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sheetId="1" r:id="rId4"/>
    <sheet state="visible" name="1kpi_performance" sheetId="2" r:id="rId5"/>
    <sheet state="visible" name="3earning_dividend" sheetId="3" r:id="rId6"/>
    <sheet state="visible" name="4market trend" sheetId="4" r:id="rId7"/>
    <sheet state="visible" name="5price_action_icon" sheetId="5" r:id="rId8"/>
    <sheet state="visible" name="6image_RS_benchmark_performance" sheetId="6" r:id="rId9"/>
    <sheet state="visible" name="7company_info" sheetId="7" r:id="rId10"/>
    <sheet state="visible" name="8stock_data" sheetId="8" r:id="rId11"/>
    <sheet state="visible" name="10blueline_strategy" sheetId="9" r:id="rId12"/>
    <sheet state="visible" name="11greenline_strategy" sheetId="10" r:id="rId13"/>
    <sheet state="visible" name="12purpleline_strategy" sheetId="11" r:id="rId14"/>
    <sheet state="visible" name="13all_company_profile" sheetId="12" r:id="rId15"/>
  </sheets>
  <definedNames/>
  <calcPr/>
</workbook>
</file>

<file path=xl/sharedStrings.xml><?xml version="1.0" encoding="utf-8"?>
<sst xmlns="http://schemas.openxmlformats.org/spreadsheetml/2006/main" count="13926" uniqueCount="7111">
  <si>
    <t>priceaction_url</t>
  </si>
  <si>
    <t>symbol</t>
  </si>
  <si>
    <t>Fired</t>
  </si>
  <si>
    <t>ADMP</t>
  </si>
  <si>
    <t>AEP</t>
  </si>
  <si>
    <t>AMPE</t>
  </si>
  <si>
    <t>ARYN.SW</t>
  </si>
  <si>
    <t>ASTI</t>
  </si>
  <si>
    <t>ASXC</t>
  </si>
  <si>
    <t>AVB</t>
  </si>
  <si>
    <t>BLDP</t>
  </si>
  <si>
    <t>BLNK</t>
  </si>
  <si>
    <t>cagr_green</t>
  </si>
  <si>
    <t>cagr_purple</t>
  </si>
  <si>
    <t>cagr_blue</t>
  </si>
  <si>
    <t>cagr_benchmark</t>
  </si>
  <si>
    <t>vol_green</t>
  </si>
  <si>
    <t>vol_purple</t>
  </si>
  <si>
    <t>vol_blue</t>
  </si>
  <si>
    <t>vlo_benchmark</t>
  </si>
  <si>
    <t>sharp_green</t>
  </si>
  <si>
    <t>sharp_purple</t>
  </si>
  <si>
    <t>sharp_blue</t>
  </si>
  <si>
    <t>sharp_benchmark</t>
  </si>
  <si>
    <t>max_dd_green</t>
  </si>
  <si>
    <t>max_dd_purple</t>
  </si>
  <si>
    <t>max_dd_blue</t>
  </si>
  <si>
    <t>max_dd_benchmark</t>
  </si>
  <si>
    <t>sortino_green</t>
  </si>
  <si>
    <t>sortino_purple</t>
  </si>
  <si>
    <t>sortino_blue</t>
  </si>
  <si>
    <t xml:space="preserve">sortino_benchmark </t>
  </si>
  <si>
    <t>A</t>
  </si>
  <si>
    <t>AA</t>
  </si>
  <si>
    <t>AAL</t>
  </si>
  <si>
    <t>AAP</t>
  </si>
  <si>
    <t>AAPL</t>
  </si>
  <si>
    <t>ABBV</t>
  </si>
  <si>
    <t>ABC</t>
  </si>
  <si>
    <t>ABMD</t>
  </si>
  <si>
    <t>ABT</t>
  </si>
  <si>
    <t>ACN</t>
  </si>
  <si>
    <t>ADBE</t>
  </si>
  <si>
    <t>ADI</t>
  </si>
  <si>
    <t>ADM</t>
  </si>
  <si>
    <t>ADP</t>
  </si>
  <si>
    <t>ADSK</t>
  </si>
  <si>
    <t>AEE</t>
  </si>
  <si>
    <t>AEO</t>
  </si>
  <si>
    <t>AES</t>
  </si>
  <si>
    <t>AFL</t>
  </si>
  <si>
    <t>AGG</t>
  </si>
  <si>
    <t>AI</t>
  </si>
  <si>
    <t>AIG</t>
  </si>
  <si>
    <t>AIZ</t>
  </si>
  <si>
    <t>AJG</t>
  </si>
  <si>
    <t>AKAM</t>
  </si>
  <si>
    <t>ALB</t>
  </si>
  <si>
    <t>ALGN</t>
  </si>
  <si>
    <t>ALK</t>
  </si>
  <si>
    <t>ALL</t>
  </si>
  <si>
    <t>ALLE</t>
  </si>
  <si>
    <t>ALLY</t>
  </si>
  <si>
    <t>ALXN</t>
  </si>
  <si>
    <t>AMAT</t>
  </si>
  <si>
    <t>AMC</t>
  </si>
  <si>
    <t>AMCR</t>
  </si>
  <si>
    <t>AMD</t>
  </si>
  <si>
    <t>AME</t>
  </si>
  <si>
    <t>AMGN</t>
  </si>
  <si>
    <t>AMLP</t>
  </si>
  <si>
    <t>AMP</t>
  </si>
  <si>
    <t>AMT</t>
  </si>
  <si>
    <t>AMZN</t>
  </si>
  <si>
    <t>ANET</t>
  </si>
  <si>
    <t>ANSS</t>
  </si>
  <si>
    <t>ANTM</t>
  </si>
  <si>
    <t>AON</t>
  </si>
  <si>
    <t>AOS</t>
  </si>
  <si>
    <t>APA</t>
  </si>
  <si>
    <t>APD</t>
  </si>
  <si>
    <t>APH</t>
  </si>
  <si>
    <t>APO</t>
  </si>
  <si>
    <t>APPS</t>
  </si>
  <si>
    <t>APTV</t>
  </si>
  <si>
    <t>ARE</t>
  </si>
  <si>
    <t>ASAN</t>
  </si>
  <si>
    <t>ASHR</t>
  </si>
  <si>
    <t>ASML</t>
  </si>
  <si>
    <t>ATO</t>
  </si>
  <si>
    <t>ATUS</t>
  </si>
  <si>
    <t>ATVI</t>
  </si>
  <si>
    <t>AVGO</t>
  </si>
  <si>
    <t>AVTR</t>
  </si>
  <si>
    <t>AVY</t>
  </si>
  <si>
    <t>AWK</t>
  </si>
  <si>
    <t>AXP</t>
  </si>
  <si>
    <t>AXTA</t>
  </si>
  <si>
    <t>AZO</t>
  </si>
  <si>
    <t>BA</t>
  </si>
  <si>
    <t>BAC</t>
  </si>
  <si>
    <t>BAX</t>
  </si>
  <si>
    <t>BBBY</t>
  </si>
  <si>
    <t>BBY</t>
  </si>
  <si>
    <t>BDX</t>
  </si>
  <si>
    <t>BEN</t>
  </si>
  <si>
    <t>BIDU</t>
  </si>
  <si>
    <t>BIIB</t>
  </si>
  <si>
    <t>BIO</t>
  </si>
  <si>
    <t>BK</t>
  </si>
  <si>
    <t>BKNG</t>
  </si>
  <si>
    <t>BKR</t>
  </si>
  <si>
    <t>BLDR</t>
  </si>
  <si>
    <t>BLK</t>
  </si>
  <si>
    <t>BLL</t>
  </si>
  <si>
    <t>BMY</t>
  </si>
  <si>
    <t>BND</t>
  </si>
  <si>
    <t>BNDX</t>
  </si>
  <si>
    <t>BR</t>
  </si>
  <si>
    <t>BSV</t>
  </si>
  <si>
    <t>BSX</t>
  </si>
  <si>
    <t>BWA</t>
  </si>
  <si>
    <t>BX</t>
  </si>
  <si>
    <t>BXP</t>
  </si>
  <si>
    <t>BYND</t>
  </si>
  <si>
    <t>C</t>
  </si>
  <si>
    <t>CAG</t>
  </si>
  <si>
    <t>CAH</t>
  </si>
  <si>
    <t>CAT</t>
  </si>
  <si>
    <t>CB</t>
  </si>
  <si>
    <t>CBOE</t>
  </si>
  <si>
    <t>CBRE</t>
  </si>
  <si>
    <t>CCI</t>
  </si>
  <si>
    <t>CCL</t>
  </si>
  <si>
    <t>CDNS</t>
  </si>
  <si>
    <t>CDW</t>
  </si>
  <si>
    <t>CE</t>
  </si>
  <si>
    <t>CERN</t>
  </si>
  <si>
    <t>CF</t>
  </si>
  <si>
    <t>CFG</t>
  </si>
  <si>
    <t>CHD</t>
  </si>
  <si>
    <t>CHKP</t>
  </si>
  <si>
    <t>CHRW</t>
  </si>
  <si>
    <t>CHTR</t>
  </si>
  <si>
    <t>CHWY</t>
  </si>
  <si>
    <t>CI</t>
  </si>
  <si>
    <t>CINF</t>
  </si>
  <si>
    <t>CL</t>
  </si>
  <si>
    <t>CLX</t>
  </si>
  <si>
    <t>CMA</t>
  </si>
  <si>
    <t>CMCSA</t>
  </si>
  <si>
    <t>CME</t>
  </si>
  <si>
    <t>CMG</t>
  </si>
  <si>
    <t>CMI</t>
  </si>
  <si>
    <t>CMS</t>
  </si>
  <si>
    <t>CNC</t>
  </si>
  <si>
    <t>CNP</t>
  </si>
  <si>
    <t>COF</t>
  </si>
  <si>
    <t>COG</t>
  </si>
  <si>
    <t>COO</t>
  </si>
  <si>
    <t>COP</t>
  </si>
  <si>
    <t>COST</t>
  </si>
  <si>
    <t>CPB</t>
  </si>
  <si>
    <t>CPRT</t>
  </si>
  <si>
    <t>CRL</t>
  </si>
  <si>
    <t>CRM</t>
  </si>
  <si>
    <t>CRSR</t>
  </si>
  <si>
    <t>CRWD</t>
  </si>
  <si>
    <t>CSCO</t>
  </si>
  <si>
    <t>CSGP</t>
  </si>
  <si>
    <t>CSX</t>
  </si>
  <si>
    <t>CTAS</t>
  </si>
  <si>
    <t>CTLT</t>
  </si>
  <si>
    <t>CTSH</t>
  </si>
  <si>
    <t>CTVA</t>
  </si>
  <si>
    <t>CTXS</t>
  </si>
  <si>
    <t>CVS</t>
  </si>
  <si>
    <t>CVX</t>
  </si>
  <si>
    <t>CZR</t>
  </si>
  <si>
    <t>D</t>
  </si>
  <si>
    <t>DAL</t>
  </si>
  <si>
    <t>DAR</t>
  </si>
  <si>
    <t>DBX</t>
  </si>
  <si>
    <t>DD</t>
  </si>
  <si>
    <t>DDD</t>
  </si>
  <si>
    <t>DDOG</t>
  </si>
  <si>
    <t>DE</t>
  </si>
  <si>
    <t>DELL</t>
  </si>
  <si>
    <t>DFS</t>
  </si>
  <si>
    <t>DG</t>
  </si>
  <si>
    <t>DGX</t>
  </si>
  <si>
    <t>DHI</t>
  </si>
  <si>
    <t>DHR</t>
  </si>
  <si>
    <t>DIA</t>
  </si>
  <si>
    <t>DIS</t>
  </si>
  <si>
    <t>DISCA</t>
  </si>
  <si>
    <t>DISH</t>
  </si>
  <si>
    <t>DKNG</t>
  </si>
  <si>
    <t>DLR</t>
  </si>
  <si>
    <t>DLTR</t>
  </si>
  <si>
    <t>DOCU</t>
  </si>
  <si>
    <t>DOV</t>
  </si>
  <si>
    <t>DOW</t>
  </si>
  <si>
    <t>DPZ</t>
  </si>
  <si>
    <t>DRE</t>
  </si>
  <si>
    <t>DRI</t>
  </si>
  <si>
    <t>DTE</t>
  </si>
  <si>
    <t>DUK</t>
  </si>
  <si>
    <t>DVA</t>
  </si>
  <si>
    <t>DVN</t>
  </si>
  <si>
    <t>DXC</t>
  </si>
  <si>
    <t>DXCM</t>
  </si>
  <si>
    <t>EA</t>
  </si>
  <si>
    <t>EBAY</t>
  </si>
  <si>
    <t>ECL</t>
  </si>
  <si>
    <t>ED</t>
  </si>
  <si>
    <t>EEM</t>
  </si>
  <si>
    <t>EFA</t>
  </si>
  <si>
    <t>EFX</t>
  </si>
  <si>
    <t>EIX</t>
  </si>
  <si>
    <t>EL</t>
  </si>
  <si>
    <t>ELAN</t>
  </si>
  <si>
    <t>ELY</t>
  </si>
  <si>
    <t>EMB</t>
  </si>
  <si>
    <t>EMN</t>
  </si>
  <si>
    <t>EMR</t>
  </si>
  <si>
    <t>ENPH</t>
  </si>
  <si>
    <t>EOG</t>
  </si>
  <si>
    <t>EQH</t>
  </si>
  <si>
    <t>EQIX</t>
  </si>
  <si>
    <t>EQR</t>
  </si>
  <si>
    <t>ES</t>
  </si>
  <si>
    <t>ESS</t>
  </si>
  <si>
    <t>ETN</t>
  </si>
  <si>
    <t>ETR</t>
  </si>
  <si>
    <t>ETSY</t>
  </si>
  <si>
    <t>EVRG</t>
  </si>
  <si>
    <t>EW</t>
  </si>
  <si>
    <t>EWC</t>
  </si>
  <si>
    <t>EWG</t>
  </si>
  <si>
    <t>EWH</t>
  </si>
  <si>
    <t>EWJ</t>
  </si>
  <si>
    <t>EWT</t>
  </si>
  <si>
    <t>EWU</t>
  </si>
  <si>
    <t>EWY</t>
  </si>
  <si>
    <t>EWZ</t>
  </si>
  <si>
    <t>EXC</t>
  </si>
  <si>
    <t>EXPD</t>
  </si>
  <si>
    <t>EXPE</t>
  </si>
  <si>
    <t>EXR</t>
  </si>
  <si>
    <t>EZU</t>
  </si>
  <si>
    <t>F</t>
  </si>
  <si>
    <t>FANG</t>
  </si>
  <si>
    <t>FAST</t>
  </si>
  <si>
    <t>FB</t>
  </si>
  <si>
    <t>FBHS</t>
  </si>
  <si>
    <t>FCX</t>
  </si>
  <si>
    <t>FDX</t>
  </si>
  <si>
    <t>FE</t>
  </si>
  <si>
    <t>FFIV</t>
  </si>
  <si>
    <t>FIS</t>
  </si>
  <si>
    <t>FISV</t>
  </si>
  <si>
    <t>FITB</t>
  </si>
  <si>
    <t>FLT</t>
  </si>
  <si>
    <t>FMC</t>
  </si>
  <si>
    <t>FOX</t>
  </si>
  <si>
    <t>FOXA</t>
  </si>
  <si>
    <t>FRC</t>
  </si>
  <si>
    <t>FRT</t>
  </si>
  <si>
    <t>FSLR</t>
  </si>
  <si>
    <t>FSLY</t>
  </si>
  <si>
    <t>FTNT</t>
  </si>
  <si>
    <t>FTV</t>
  </si>
  <si>
    <t>FUBO</t>
  </si>
  <si>
    <t>FXI</t>
  </si>
  <si>
    <t>GBTC</t>
  </si>
  <si>
    <t>GD</t>
  </si>
  <si>
    <t>GDX</t>
  </si>
  <si>
    <t>GE</t>
  </si>
  <si>
    <t>GILD</t>
  </si>
  <si>
    <t>GIS</t>
  </si>
  <si>
    <t>GL</t>
  </si>
  <si>
    <t>GLD</t>
  </si>
  <si>
    <t>GLW</t>
  </si>
  <si>
    <t>GM</t>
  </si>
  <si>
    <t>GME</t>
  </si>
  <si>
    <t>GNRC</t>
  </si>
  <si>
    <t>GOOG</t>
  </si>
  <si>
    <t>GOOGL</t>
  </si>
  <si>
    <t>GOVT</t>
  </si>
  <si>
    <t>GPC</t>
  </si>
  <si>
    <t>GPN</t>
  </si>
  <si>
    <t>GPS</t>
  </si>
  <si>
    <t>GRMN</t>
  </si>
  <si>
    <t>GS</t>
  </si>
  <si>
    <t>GWW</t>
  </si>
  <si>
    <t>HAL</t>
  </si>
  <si>
    <t>HAS</t>
  </si>
  <si>
    <t>HBAN</t>
  </si>
  <si>
    <t>HBI</t>
  </si>
  <si>
    <t>HCA</t>
  </si>
  <si>
    <t>HD</t>
  </si>
  <si>
    <t>HES</t>
  </si>
  <si>
    <t>HFC</t>
  </si>
  <si>
    <t>HIG</t>
  </si>
  <si>
    <t>HII</t>
  </si>
  <si>
    <t>HLT</t>
  </si>
  <si>
    <t>HOG</t>
  </si>
  <si>
    <t>HOLX</t>
  </si>
  <si>
    <t>HOME</t>
  </si>
  <si>
    <t>HON</t>
  </si>
  <si>
    <t>HPE</t>
  </si>
  <si>
    <t>HPQ</t>
  </si>
  <si>
    <t>HRL</t>
  </si>
  <si>
    <t>HSIC</t>
  </si>
  <si>
    <t>HST</t>
  </si>
  <si>
    <t>HSY</t>
  </si>
  <si>
    <t>HUM</t>
  </si>
  <si>
    <t>HUN</t>
  </si>
  <si>
    <t>HWM</t>
  </si>
  <si>
    <t>HYG</t>
  </si>
  <si>
    <t>HYLB</t>
  </si>
  <si>
    <t>IAU</t>
  </si>
  <si>
    <t>IBB</t>
  </si>
  <si>
    <t>IBM</t>
  </si>
  <si>
    <t>ICE</t>
  </si>
  <si>
    <t>IDXX</t>
  </si>
  <si>
    <t>IEF</t>
  </si>
  <si>
    <t>IEFA</t>
  </si>
  <si>
    <t>IEMG</t>
  </si>
  <si>
    <t>IEX</t>
  </si>
  <si>
    <t>IFF</t>
  </si>
  <si>
    <t>IJR</t>
  </si>
  <si>
    <t>ILMN</t>
  </si>
  <si>
    <t>INCY</t>
  </si>
  <si>
    <t>INDA</t>
  </si>
  <si>
    <t>INFO</t>
  </si>
  <si>
    <t>INTC</t>
  </si>
  <si>
    <t>INTU</t>
  </si>
  <si>
    <t>INVH</t>
  </si>
  <si>
    <t>IP</t>
  </si>
  <si>
    <t>IPG</t>
  </si>
  <si>
    <t>IPGP</t>
  </si>
  <si>
    <t>IQV</t>
  </si>
  <si>
    <t>IR</t>
  </si>
  <si>
    <t>IRM</t>
  </si>
  <si>
    <t>ISRG</t>
  </si>
  <si>
    <t>IT</t>
  </si>
  <si>
    <t>ITW</t>
  </si>
  <si>
    <t>IVV</t>
  </si>
  <si>
    <t>IVZ</t>
  </si>
  <si>
    <t>IWD</t>
  </si>
  <si>
    <t>IWM</t>
  </si>
  <si>
    <t>IYR</t>
  </si>
  <si>
    <t>J</t>
  </si>
  <si>
    <t>JBHT</t>
  </si>
  <si>
    <t>JCI</t>
  </si>
  <si>
    <t>JD</t>
  </si>
  <si>
    <t>JEF</t>
  </si>
  <si>
    <t>JKHY</t>
  </si>
  <si>
    <t>JNJ</t>
  </si>
  <si>
    <t>JNK</t>
  </si>
  <si>
    <t>JNPR</t>
  </si>
  <si>
    <t>JPM</t>
  </si>
  <si>
    <t>JPST</t>
  </si>
  <si>
    <t>JWN</t>
  </si>
  <si>
    <t>K</t>
  </si>
  <si>
    <t>KBE</t>
  </si>
  <si>
    <t>KDP</t>
  </si>
  <si>
    <t>KEY</t>
  </si>
  <si>
    <t>KEYS</t>
  </si>
  <si>
    <t>KHC</t>
  </si>
  <si>
    <t>KIM</t>
  </si>
  <si>
    <t>KKR</t>
  </si>
  <si>
    <t>KLAC</t>
  </si>
  <si>
    <t>KMB</t>
  </si>
  <si>
    <t>KMI</t>
  </si>
  <si>
    <t>KMX</t>
  </si>
  <si>
    <t>KO</t>
  </si>
  <si>
    <t>KR</t>
  </si>
  <si>
    <t>KRE</t>
  </si>
  <si>
    <t>KSS</t>
  </si>
  <si>
    <t>KSU</t>
  </si>
  <si>
    <t>KWEB</t>
  </si>
  <si>
    <t>L</t>
  </si>
  <si>
    <t>LB</t>
  </si>
  <si>
    <t>LDOS</t>
  </si>
  <si>
    <t>LEG</t>
  </si>
  <si>
    <t>LEN</t>
  </si>
  <si>
    <t>LESL</t>
  </si>
  <si>
    <t>LH</t>
  </si>
  <si>
    <t>LHX</t>
  </si>
  <si>
    <t>LIN</t>
  </si>
  <si>
    <t>LKQ</t>
  </si>
  <si>
    <t>LLY</t>
  </si>
  <si>
    <t>LMND</t>
  </si>
  <si>
    <t>LMT</t>
  </si>
  <si>
    <t>LNC</t>
  </si>
  <si>
    <t>LNT</t>
  </si>
  <si>
    <t>LOW</t>
  </si>
  <si>
    <t>LPX</t>
  </si>
  <si>
    <t>LQD</t>
  </si>
  <si>
    <t>LRCX</t>
  </si>
  <si>
    <t>LULU</t>
  </si>
  <si>
    <t>LUMN</t>
  </si>
  <si>
    <t>LUV</t>
  </si>
  <si>
    <t>LVS</t>
  </si>
  <si>
    <t>LW</t>
  </si>
  <si>
    <t>LYB</t>
  </si>
  <si>
    <t>LYFT</t>
  </si>
  <si>
    <t>LYV</t>
  </si>
  <si>
    <t>MA</t>
  </si>
  <si>
    <t>MAA</t>
  </si>
  <si>
    <t>MAR</t>
  </si>
  <si>
    <t>MARA</t>
  </si>
  <si>
    <t>MAS</t>
  </si>
  <si>
    <t>MCD</t>
  </si>
  <si>
    <t>MCHI</t>
  </si>
  <si>
    <t>MCHP</t>
  </si>
  <si>
    <t>MCK</t>
  </si>
  <si>
    <t>MCO</t>
  </si>
  <si>
    <t>MDLZ</t>
  </si>
  <si>
    <t>MDT</t>
  </si>
  <si>
    <t>MELI</t>
  </si>
  <si>
    <t>MET</t>
  </si>
  <si>
    <t>MGM</t>
  </si>
  <si>
    <t>MGNI</t>
  </si>
  <si>
    <t>MHK</t>
  </si>
  <si>
    <t>MKC</t>
  </si>
  <si>
    <t>MKTX</t>
  </si>
  <si>
    <t>MLM</t>
  </si>
  <si>
    <t>MMC</t>
  </si>
  <si>
    <t>MMM</t>
  </si>
  <si>
    <t>MNST</t>
  </si>
  <si>
    <t>MO</t>
  </si>
  <si>
    <t>MOS</t>
  </si>
  <si>
    <t>MP</t>
  </si>
  <si>
    <t>MPC</t>
  </si>
  <si>
    <t>MPLX</t>
  </si>
  <si>
    <t>MPWR</t>
  </si>
  <si>
    <t>MRNA</t>
  </si>
  <si>
    <t>MRO</t>
  </si>
  <si>
    <t>MRVL</t>
  </si>
  <si>
    <t>MS</t>
  </si>
  <si>
    <t>MSCI</t>
  </si>
  <si>
    <t>MSFT</t>
  </si>
  <si>
    <t>MSI</t>
  </si>
  <si>
    <t>MTB</t>
  </si>
  <si>
    <t>MTCH</t>
  </si>
  <si>
    <t>MTD</t>
  </si>
  <si>
    <t>MU</t>
  </si>
  <si>
    <t>MXIM</t>
  </si>
  <si>
    <t>NCLH</t>
  </si>
  <si>
    <t>NDAQ</t>
  </si>
  <si>
    <t>NEE</t>
  </si>
  <si>
    <t>NEM</t>
  </si>
  <si>
    <t>NET</t>
  </si>
  <si>
    <t>NFLX</t>
  </si>
  <si>
    <t>NI</t>
  </si>
  <si>
    <t>NKE</t>
  </si>
  <si>
    <t>NLOK</t>
  </si>
  <si>
    <t>NLSN</t>
  </si>
  <si>
    <t>NOC</t>
  </si>
  <si>
    <t>NOV</t>
  </si>
  <si>
    <t>NOVA</t>
  </si>
  <si>
    <t>NOW</t>
  </si>
  <si>
    <t>NRG</t>
  </si>
  <si>
    <t>NSC</t>
  </si>
  <si>
    <t>NTAP</t>
  </si>
  <si>
    <t>NTES</t>
  </si>
  <si>
    <t>NTLA</t>
  </si>
  <si>
    <t>NTNX</t>
  </si>
  <si>
    <t>NTRS</t>
  </si>
  <si>
    <t>NUAN</t>
  </si>
  <si>
    <t>NUE</t>
  </si>
  <si>
    <t>NVAX</t>
  </si>
  <si>
    <t>NVDA</t>
  </si>
  <si>
    <t>NVR</t>
  </si>
  <si>
    <t>NVTA</t>
  </si>
  <si>
    <t>NWL</t>
  </si>
  <si>
    <t>NWS</t>
  </si>
  <si>
    <t>NWSA</t>
  </si>
  <si>
    <t>NXPI</t>
  </si>
  <si>
    <t>O</t>
  </si>
  <si>
    <t>ODFL</t>
  </si>
  <si>
    <t>OGE</t>
  </si>
  <si>
    <t>OKE</t>
  </si>
  <si>
    <t>OKTA</t>
  </si>
  <si>
    <t>OMC</t>
  </si>
  <si>
    <t>ON</t>
  </si>
  <si>
    <t>ORCL</t>
  </si>
  <si>
    <t>ORLY</t>
  </si>
  <si>
    <t>OVV</t>
  </si>
  <si>
    <t>OXY</t>
  </si>
  <si>
    <t>PACB</t>
  </si>
  <si>
    <t>PAYC</t>
  </si>
  <si>
    <t>PAYX</t>
  </si>
  <si>
    <t>PBCT</t>
  </si>
  <si>
    <t>PCAR</t>
  </si>
  <si>
    <t>PDD</t>
  </si>
  <si>
    <t>PEAK</t>
  </si>
  <si>
    <t>PEG</t>
  </si>
  <si>
    <t>PENN</t>
  </si>
  <si>
    <t>PEP</t>
  </si>
  <si>
    <t>PFE</t>
  </si>
  <si>
    <t>PFF</t>
  </si>
  <si>
    <t>PFG</t>
  </si>
  <si>
    <t>PG</t>
  </si>
  <si>
    <t>PGR</t>
  </si>
  <si>
    <t>PH</t>
  </si>
  <si>
    <t>PHM</t>
  </si>
  <si>
    <t>PINS</t>
  </si>
  <si>
    <t>PKG</t>
  </si>
  <si>
    <t>PKI</t>
  </si>
  <si>
    <t>PLAN</t>
  </si>
  <si>
    <t>PLD</t>
  </si>
  <si>
    <t>PLUG</t>
  </si>
  <si>
    <t>PM</t>
  </si>
  <si>
    <t>PNC</t>
  </si>
  <si>
    <t>PNR</t>
  </si>
  <si>
    <t>PNW</t>
  </si>
  <si>
    <t>POOL</t>
  </si>
  <si>
    <t>PPG</t>
  </si>
  <si>
    <t>PPL</t>
  </si>
  <si>
    <t>PRGO</t>
  </si>
  <si>
    <t>PRSP</t>
  </si>
  <si>
    <t>PRU</t>
  </si>
  <si>
    <t>PSA</t>
  </si>
  <si>
    <t>PSX</t>
  </si>
  <si>
    <t>PTC</t>
  </si>
  <si>
    <t>PTON</t>
  </si>
  <si>
    <t>PVH</t>
  </si>
  <si>
    <t>PWR</t>
  </si>
  <si>
    <t>PXD</t>
  </si>
  <si>
    <t>PYPL</t>
  </si>
  <si>
    <t>QCOM</t>
  </si>
  <si>
    <t>QLD</t>
  </si>
  <si>
    <t>QQQ</t>
  </si>
  <si>
    <t>QRVO</t>
  </si>
  <si>
    <t>RCL</t>
  </si>
  <si>
    <t>RE</t>
  </si>
  <si>
    <t>REG</t>
  </si>
  <si>
    <t>REGN</t>
  </si>
  <si>
    <t>RF</t>
  </si>
  <si>
    <t>RHI</t>
  </si>
  <si>
    <t>RIOT</t>
  </si>
  <si>
    <t>RJF</t>
  </si>
  <si>
    <t>RL</t>
  </si>
  <si>
    <t>RMD</t>
  </si>
  <si>
    <t>ROK</t>
  </si>
  <si>
    <t>ROKU</t>
  </si>
  <si>
    <t>ROL</t>
  </si>
  <si>
    <t>ROP</t>
  </si>
  <si>
    <t>ROST</t>
  </si>
  <si>
    <t>RSG</t>
  </si>
  <si>
    <t>RSP</t>
  </si>
  <si>
    <t>RTX</t>
  </si>
  <si>
    <t>RUN</t>
  </si>
  <si>
    <t>SAVA</t>
  </si>
  <si>
    <t>SAVE</t>
  </si>
  <si>
    <t>SBAC</t>
  </si>
  <si>
    <t>SBUX</t>
  </si>
  <si>
    <t>SCHF</t>
  </si>
  <si>
    <t>SCHP</t>
  </si>
  <si>
    <t>SCHW</t>
  </si>
  <si>
    <t>SEE</t>
  </si>
  <si>
    <t>SFM</t>
  </si>
  <si>
    <t>SGEN</t>
  </si>
  <si>
    <t>SHW</t>
  </si>
  <si>
    <t>SHY</t>
  </si>
  <si>
    <t>SIRI</t>
  </si>
  <si>
    <t>SIVB</t>
  </si>
  <si>
    <t>SJM</t>
  </si>
  <si>
    <t>SJNK</t>
  </si>
  <si>
    <t>SLB</t>
  </si>
  <si>
    <t>SMH</t>
  </si>
  <si>
    <t>SNA</t>
  </si>
  <si>
    <t>SNAP</t>
  </si>
  <si>
    <t>SNOW</t>
  </si>
  <si>
    <t>SNPS</t>
  </si>
  <si>
    <t>SO</t>
  </si>
  <si>
    <t>SONO</t>
  </si>
  <si>
    <t>SPCE</t>
  </si>
  <si>
    <t>SPG</t>
  </si>
  <si>
    <t>SPGI</t>
  </si>
  <si>
    <t>SPIB</t>
  </si>
  <si>
    <t>SPLK</t>
  </si>
  <si>
    <t>SPLV</t>
  </si>
  <si>
    <t>SPWR</t>
  </si>
  <si>
    <t>SPY</t>
  </si>
  <si>
    <t>SPYV</t>
  </si>
  <si>
    <t>SQ</t>
  </si>
  <si>
    <t>SRE</t>
  </si>
  <si>
    <t>STE</t>
  </si>
  <si>
    <t>STEM</t>
  </si>
  <si>
    <t>STLD</t>
  </si>
  <si>
    <t>STT</t>
  </si>
  <si>
    <t>STX</t>
  </si>
  <si>
    <t>STZ</t>
  </si>
  <si>
    <t>SWK</t>
  </si>
  <si>
    <t>SWKS</t>
  </si>
  <si>
    <t>SYF</t>
  </si>
  <si>
    <t>SYK</t>
  </si>
  <si>
    <t>SYY</t>
  </si>
  <si>
    <t>T</t>
  </si>
  <si>
    <t>TAP</t>
  </si>
  <si>
    <t>TCOM</t>
  </si>
  <si>
    <t>TDG</t>
  </si>
  <si>
    <t>TDOC</t>
  </si>
  <si>
    <t>TDY</t>
  </si>
  <si>
    <t>TEAM</t>
  </si>
  <si>
    <t>TEL</t>
  </si>
  <si>
    <t>TER</t>
  </si>
  <si>
    <t>TFC</t>
  </si>
  <si>
    <t>TFX</t>
  </si>
  <si>
    <t>TGT</t>
  </si>
  <si>
    <t>TIP</t>
  </si>
  <si>
    <t>TJX</t>
  </si>
  <si>
    <t>TLT</t>
  </si>
  <si>
    <t>TMO</t>
  </si>
  <si>
    <t>TMUS</t>
  </si>
  <si>
    <t>TPR</t>
  </si>
  <si>
    <t>TQQQ</t>
  </si>
  <si>
    <t>TRGP</t>
  </si>
  <si>
    <t>TRIP</t>
  </si>
  <si>
    <t>TRMB</t>
  </si>
  <si>
    <t>TROW</t>
  </si>
  <si>
    <t>TRV</t>
  </si>
  <si>
    <t>TSCO</t>
  </si>
  <si>
    <t>TSLA</t>
  </si>
  <si>
    <t>TSN</t>
  </si>
  <si>
    <t>TT</t>
  </si>
  <si>
    <t>TTD</t>
  </si>
  <si>
    <t>TTWO</t>
  </si>
  <si>
    <t>TWLO</t>
  </si>
  <si>
    <t>TWTR</t>
  </si>
  <si>
    <t>TXN</t>
  </si>
  <si>
    <t>TXT</t>
  </si>
  <si>
    <t>TYL</t>
  </si>
  <si>
    <t>UA</t>
  </si>
  <si>
    <t>UAA</t>
  </si>
  <si>
    <t>UAL</t>
  </si>
  <si>
    <t>UBER</t>
  </si>
  <si>
    <t>UDR</t>
  </si>
  <si>
    <t>UHS</t>
  </si>
  <si>
    <t>ULTA</t>
  </si>
  <si>
    <t>UNH</t>
  </si>
  <si>
    <t>UNM</t>
  </si>
  <si>
    <t>UNP</t>
  </si>
  <si>
    <t>UPS</t>
  </si>
  <si>
    <t>UPST</t>
  </si>
  <si>
    <t>URI</t>
  </si>
  <si>
    <t>USB</t>
  </si>
  <si>
    <t>USMV</t>
  </si>
  <si>
    <t>USO</t>
  </si>
  <si>
    <t>V</t>
  </si>
  <si>
    <t>VCIT</t>
  </si>
  <si>
    <t>VCSH</t>
  </si>
  <si>
    <t>VEA</t>
  </si>
  <si>
    <t>VER</t>
  </si>
  <si>
    <t>VEU</t>
  </si>
  <si>
    <t>VFC</t>
  </si>
  <si>
    <t>VGK</t>
  </si>
  <si>
    <t>VIAC</t>
  </si>
  <si>
    <t>VICI</t>
  </si>
  <si>
    <t>VLO</t>
  </si>
  <si>
    <t>VMC</t>
  </si>
  <si>
    <t>VNO</t>
  </si>
  <si>
    <t>VNQ</t>
  </si>
  <si>
    <t>VOO</t>
  </si>
  <si>
    <t>VRM</t>
  </si>
  <si>
    <t>VRSK</t>
  </si>
  <si>
    <t>VRSN</t>
  </si>
  <si>
    <t>VRT</t>
  </si>
  <si>
    <t>VRTX</t>
  </si>
  <si>
    <t>VT</t>
  </si>
  <si>
    <t>VTI</t>
  </si>
  <si>
    <t>VTIP</t>
  </si>
  <si>
    <t>VTR</t>
  </si>
  <si>
    <t>VTRS</t>
  </si>
  <si>
    <t>VTV</t>
  </si>
  <si>
    <t>VWO</t>
  </si>
  <si>
    <t>VXUS</t>
  </si>
  <si>
    <t>VZ</t>
  </si>
  <si>
    <t>WAB</t>
  </si>
  <si>
    <t>WAT</t>
  </si>
  <si>
    <t>WBA</t>
  </si>
  <si>
    <t>WDAY</t>
  </si>
  <si>
    <t>WDC</t>
  </si>
  <si>
    <t>WEC</t>
  </si>
  <si>
    <t>WELL</t>
  </si>
  <si>
    <t>WFC</t>
  </si>
  <si>
    <t>WHR</t>
  </si>
  <si>
    <t>WLTW</t>
  </si>
  <si>
    <t>WM</t>
  </si>
  <si>
    <t>WMB</t>
  </si>
  <si>
    <t>WMT</t>
  </si>
  <si>
    <t>WORK</t>
  </si>
  <si>
    <t>WRB</t>
  </si>
  <si>
    <t>WRK</t>
  </si>
  <si>
    <t>WSC</t>
  </si>
  <si>
    <t>WST</t>
  </si>
  <si>
    <t>WU</t>
  </si>
  <si>
    <t>WY</t>
  </si>
  <si>
    <t>WYNN</t>
  </si>
  <si>
    <t>XBI</t>
  </si>
  <si>
    <t>XEL</t>
  </si>
  <si>
    <t>XLB</t>
  </si>
  <si>
    <t>XLC</t>
  </si>
  <si>
    <t>XLE</t>
  </si>
  <si>
    <t>XLF</t>
  </si>
  <si>
    <t>XLI</t>
  </si>
  <si>
    <t>XLK</t>
  </si>
  <si>
    <t>XLNX</t>
  </si>
  <si>
    <t>XLP</t>
  </si>
  <si>
    <t>XLRE</t>
  </si>
  <si>
    <t>XLU</t>
  </si>
  <si>
    <t>XLV</t>
  </si>
  <si>
    <t>XLY</t>
  </si>
  <si>
    <t>XOM</t>
  </si>
  <si>
    <t>XOP</t>
  </si>
  <si>
    <t>XRAY</t>
  </si>
  <si>
    <t>XYL</t>
  </si>
  <si>
    <t>YUM</t>
  </si>
  <si>
    <t>Z</t>
  </si>
  <si>
    <t>ZBH</t>
  </si>
  <si>
    <t>ZBRA</t>
  </si>
  <si>
    <t>ZION</t>
  </si>
  <si>
    <t>ZM</t>
  </si>
  <si>
    <t>ZTS</t>
  </si>
  <si>
    <t>earning_date</t>
  </si>
  <si>
    <t>dividend</t>
  </si>
  <si>
    <t>ACMR</t>
  </si>
  <si>
    <t>not avaiable</t>
  </si>
  <si>
    <t>ARES</t>
  </si>
  <si>
    <t>DECK</t>
  </si>
  <si>
    <t xml:space="preserve"> </t>
  </si>
  <si>
    <t>signal</t>
  </si>
  <si>
    <t>date</t>
  </si>
  <si>
    <t>market_trend_url</t>
  </si>
  <si>
    <t>https://3arbzfbsh-cname-us.ngrok.io/Desktop/seabridge%20fintech/icon/market_trend_up.jpg</t>
  </si>
  <si>
    <t>https://3arbzfbsh-cname-us.ngrok.io/Desktop/seabridge%20fintech/icon/A_pa_trend_signal</t>
  </si>
  <si>
    <t>https://3arbzfbsh-cname-us.ngrok.io/Desktop/seabridge%20fintech/icon/AA_pa_trend_signal</t>
  </si>
  <si>
    <t>https://3arbzfbsh-cname-us.ngrok.io/Desktop/seabridge%20fintech/icon/AAL_pa_trend_signal</t>
  </si>
  <si>
    <t>https://3arbzfbsh-cname-us.ngrok.io/Desktop/seabridge%20fintech/icon/AAP_pa_trend_signal</t>
  </si>
  <si>
    <t>https://3arbzfbsh-cname-us.ngrok.io/Desktop/seabridge%20fintech/icon/AAPL_pa_trend_signal</t>
  </si>
  <si>
    <t>https://3arbzfbsh-cname-us.ngrok.io/Desktop/seabridge%20fintech/icon/ABBV_pa_trend_signal</t>
  </si>
  <si>
    <t>https://3arbzfbsh-cname-us.ngrok.io/Desktop/seabridge%20fintech/icon/ABC_pa_trend_signal</t>
  </si>
  <si>
    <t>https://3arbzfbsh-cname-us.ngrok.io/Desktop/seabridge%20fintech/icon/ABMD_pa_trend_signal</t>
  </si>
  <si>
    <t>https://3arbzfbsh-cname-us.ngrok.io/Desktop/seabridge%20fintech/icon/ABT_pa_trend_signal</t>
  </si>
  <si>
    <t>https://3arbzfbsh-cname-us.ngrok.io/Desktop/seabridge%20fintech/icon/ACN_pa_trend_signal</t>
  </si>
  <si>
    <t>https://3arbzfbsh-cname-us.ngrok.io/Desktop/seabridge%20fintech/icon/ADBE_pa_trend_signal</t>
  </si>
  <si>
    <t>https://3arbzfbsh-cname-us.ngrok.io/Desktop/seabridge%20fintech/icon/ADI_pa_trend_signal</t>
  </si>
  <si>
    <t>https://3arbzfbsh-cname-us.ngrok.io/Desktop/seabridge%20fintech/icon/ADM_pa_trend_signal</t>
  </si>
  <si>
    <t>https://3arbzfbsh-cname-us.ngrok.io/Desktop/seabridge%20fintech/icon/ADP_pa_trend_signal</t>
  </si>
  <si>
    <t>https://3arbzfbsh-cname-us.ngrok.io/Desktop/seabridge%20fintech/icon/ADSK_pa_trend_signal</t>
  </si>
  <si>
    <t>https://3arbzfbsh-cname-us.ngrok.io/Desktop/seabridge%20fintech/icon/AEE_pa_trend_signal</t>
  </si>
  <si>
    <t>https://3arbzfbsh-cname-us.ngrok.io/Desktop/seabridge%20fintech/icon/AEO_pa_trend_signal</t>
  </si>
  <si>
    <t>https://3arbzfbsh-cname-us.ngrok.io/Desktop/seabridge%20fintech/icon/AEP_pa_trend_signal</t>
  </si>
  <si>
    <t>https://3arbzfbsh-cname-us.ngrok.io/Desktop/seabridge%20fintech/icon/AES_pa_trend_signal</t>
  </si>
  <si>
    <t>https://3arbzfbsh-cname-us.ngrok.io/Desktop/seabridge%20fintech/icon/AFL_pa_trend_signal</t>
  </si>
  <si>
    <t>https://3arbzfbsh-cname-us.ngrok.io/Desktop/seabridge%20fintech/icon/AGG_pa_trend_signal</t>
  </si>
  <si>
    <t>https://3arbzfbsh-cname-us.ngrok.io/Desktop/seabridge%20fintech/icon/AI_pa_trend_signal</t>
  </si>
  <si>
    <t>https://3arbzfbsh-cname-us.ngrok.io/Desktop/seabridge%20fintech/icon/AIG_pa_trend_signal</t>
  </si>
  <si>
    <t>https://3arbzfbsh-cname-us.ngrok.io/Desktop/seabridge%20fintech/icon/AIZ_pa_trend_signal</t>
  </si>
  <si>
    <t>https://3arbzfbsh-cname-us.ngrok.io/Desktop/seabridge%20fintech/icon/AJG_pa_trend_signal</t>
  </si>
  <si>
    <t>https://3arbzfbsh-cname-us.ngrok.io/Desktop/seabridge%20fintech/icon/AKAM_pa_trend_signal</t>
  </si>
  <si>
    <t>https://3arbzfbsh-cname-us.ngrok.io/Desktop/seabridge%20fintech/icon/ALB_pa_trend_signal</t>
  </si>
  <si>
    <t>https://3arbzfbsh-cname-us.ngrok.io/Desktop/seabridge%20fintech/icon/ALGN_pa_trend_signal</t>
  </si>
  <si>
    <t>https://3arbzfbsh-cname-us.ngrok.io/Desktop/seabridge%20fintech/icon/ALK_pa_trend_signal</t>
  </si>
  <si>
    <t>https://3arbzfbsh-cname-us.ngrok.io/Desktop/seabridge%20fintech/icon/ALL_pa_trend_signal</t>
  </si>
  <si>
    <t>https://3arbzfbsh-cname-us.ngrok.io/Desktop/seabridge%20fintech/icon/ALLE_pa_trend_signal</t>
  </si>
  <si>
    <t>https://3arbzfbsh-cname-us.ngrok.io/Desktop/seabridge%20fintech/icon/ALLY_pa_trend_signal</t>
  </si>
  <si>
    <t>https://3arbzfbsh-cname-us.ngrok.io/Desktop/seabridge%20fintech/icon/ALXN_pa_trend_signal</t>
  </si>
  <si>
    <t>https://3arbzfbsh-cname-us.ngrok.io/Desktop/seabridge%20fintech/icon/AMAT_pa_trend_signal</t>
  </si>
  <si>
    <t>https://3arbzfbsh-cname-us.ngrok.io/Desktop/seabridge%20fintech/icon/AMC_pa_trend_signal</t>
  </si>
  <si>
    <t>https://3arbzfbsh-cname-us.ngrok.io/Desktop/seabridge%20fintech/icon/AMCR_pa_trend_signal</t>
  </si>
  <si>
    <t>https://3arbzfbsh-cname-us.ngrok.io/Desktop/seabridge%20fintech/icon/AMD_pa_trend_signal</t>
  </si>
  <si>
    <t>https://3arbzfbsh-cname-us.ngrok.io/Desktop/seabridge%20fintech/icon/AME_pa_trend_signal</t>
  </si>
  <si>
    <t>https://3arbzfbsh-cname-us.ngrok.io/Desktop/seabridge%20fintech/icon/AMGN_pa_trend_signal</t>
  </si>
  <si>
    <t>https://3arbzfbsh-cname-us.ngrok.io/Desktop/seabridge%20fintech/icon/AMLP_pa_trend_signal</t>
  </si>
  <si>
    <t>https://3arbzfbsh-cname-us.ngrok.io/Desktop/seabridge%20fintech/icon/AMP_pa_trend_signal</t>
  </si>
  <si>
    <t>https://3arbzfbsh-cname-us.ngrok.io/Desktop/seabridge%20fintech/icon/AMT_pa_trend_signal</t>
  </si>
  <si>
    <t>https://3arbzfbsh-cname-us.ngrok.io/Desktop/seabridge%20fintech/icon/AMZN_pa_trend_signal</t>
  </si>
  <si>
    <t>https://3arbzfbsh-cname-us.ngrok.io/Desktop/seabridge%20fintech/icon/ANET_pa_trend_signal</t>
  </si>
  <si>
    <t>https://3arbzfbsh-cname-us.ngrok.io/Desktop/seabridge%20fintech/icon/ANSS_pa_trend_signal</t>
  </si>
  <si>
    <t>https://3arbzfbsh-cname-us.ngrok.io/Desktop/seabridge%20fintech/icon/ANTM_pa_trend_signal</t>
  </si>
  <si>
    <t>https://3arbzfbsh-cname-us.ngrok.io/Desktop/seabridge%20fintech/icon/AON_pa_trend_signal</t>
  </si>
  <si>
    <t>https://3arbzfbsh-cname-us.ngrok.io/Desktop/seabridge%20fintech/icon/AOS_pa_trend_signal</t>
  </si>
  <si>
    <t>https://3arbzfbsh-cname-us.ngrok.io/Desktop/seabridge%20fintech/icon/APA_pa_trend_signal</t>
  </si>
  <si>
    <t>https://3arbzfbsh-cname-us.ngrok.io/Desktop/seabridge%20fintech/icon/APD_pa_trend_signal</t>
  </si>
  <si>
    <t>https://3arbzfbsh-cname-us.ngrok.io/Desktop/seabridge%20fintech/icon/APH_pa_trend_signal</t>
  </si>
  <si>
    <t>https://3arbzfbsh-cname-us.ngrok.io/Desktop/seabridge%20fintech/icon/APO_pa_trend_signal</t>
  </si>
  <si>
    <t>https://3arbzfbsh-cname-us.ngrok.io/Desktop/seabridge%20fintech/icon/APPS_pa_trend_signal</t>
  </si>
  <si>
    <t>https://3arbzfbsh-cname-us.ngrok.io/Desktop/seabridge%20fintech/icon/APTV_pa_trend_signal</t>
  </si>
  <si>
    <t>https://3arbzfbsh-cname-us.ngrok.io/Desktop/seabridge%20fintech/icon/ARE_pa_trend_signal</t>
  </si>
  <si>
    <t>https://3arbzfbsh-cname-us.ngrok.io/Desktop/seabridge%20fintech/icon/ASAN_pa_trend_signal</t>
  </si>
  <si>
    <t>https://3arbzfbsh-cname-us.ngrok.io/Desktop/seabridge%20fintech/icon/ASHR_pa_trend_signal</t>
  </si>
  <si>
    <t>https://3arbzfbsh-cname-us.ngrok.io/Desktop/seabridge%20fintech/icon/ASML_pa_trend_signal</t>
  </si>
  <si>
    <t>https://3arbzfbsh-cname-us.ngrok.io/Desktop/seabridge%20fintech/icon/ATO_pa_trend_signal</t>
  </si>
  <si>
    <t>https://3arbzfbsh-cname-us.ngrok.io/Desktop/seabridge%20fintech/icon/ATUS_pa_trend_signal</t>
  </si>
  <si>
    <t>https://3arbzfbsh-cname-us.ngrok.io/Desktop/seabridge%20fintech/icon/ATVI_pa_trend_signal</t>
  </si>
  <si>
    <t>https://3arbzfbsh-cname-us.ngrok.io/Desktop/seabridge%20fintech/icon/AVB_pa_trend_signal</t>
  </si>
  <si>
    <t>https://3arbzfbsh-cname-us.ngrok.io/Desktop/seabridge%20fintech/icon/AVGO_pa_trend_signal</t>
  </si>
  <si>
    <t>https://3arbzfbsh-cname-us.ngrok.io/Desktop/seabridge%20fintech/icon/AVTR_pa_trend_signal</t>
  </si>
  <si>
    <t>https://3arbzfbsh-cname-us.ngrok.io/Desktop/seabridge%20fintech/icon/AVY_pa_trend_signal</t>
  </si>
  <si>
    <t>https://3arbzfbsh-cname-us.ngrok.io/Desktop/seabridge%20fintech/icon/AWK_pa_trend_signal</t>
  </si>
  <si>
    <t>https://3arbzfbsh-cname-us.ngrok.io/Desktop/seabridge%20fintech/icon/AXP_pa_trend_signal</t>
  </si>
  <si>
    <t>https://3arbzfbsh-cname-us.ngrok.io/Desktop/seabridge%20fintech/icon/AXTA_pa_trend_signal</t>
  </si>
  <si>
    <t>https://3arbzfbsh-cname-us.ngrok.io/Desktop/seabridge%20fintech/icon/AZO_pa_trend_signal</t>
  </si>
  <si>
    <t>https://3arbzfbsh-cname-us.ngrok.io/Desktop/seabridge%20fintech/icon/BA_pa_trend_signal</t>
  </si>
  <si>
    <t>https://3arbzfbsh-cname-us.ngrok.io/Desktop/seabridge%20fintech/icon/BAC_pa_trend_signal</t>
  </si>
  <si>
    <t>https://3arbzfbsh-cname-us.ngrok.io/Desktop/seabridge%20fintech/icon/BAX_pa_trend_signal</t>
  </si>
  <si>
    <t>https://3arbzfbsh-cname-us.ngrok.io/Desktop/seabridge%20fintech/icon/BBBY_pa_trend_signal</t>
  </si>
  <si>
    <t>https://3arbzfbsh-cname-us.ngrok.io/Desktop/seabridge%20fintech/icon/BBY_pa_trend_signal</t>
  </si>
  <si>
    <t>https://3arbzfbsh-cname-us.ngrok.io/Desktop/seabridge%20fintech/icon/BDX_pa_trend_signal</t>
  </si>
  <si>
    <t>https://3arbzfbsh-cname-us.ngrok.io/Desktop/seabridge%20fintech/icon/BEN_pa_trend_signal</t>
  </si>
  <si>
    <t>https://3arbzfbsh-cname-us.ngrok.io/Desktop/seabridge%20fintech/icon/BIDU_pa_trend_signal</t>
  </si>
  <si>
    <t>https://3arbzfbsh-cname-us.ngrok.io/Desktop/seabridge%20fintech/icon/BIIB_pa_trend_signal</t>
  </si>
  <si>
    <t>https://3arbzfbsh-cname-us.ngrok.io/Desktop/seabridge%20fintech/icon/BIO_pa_trend_signal</t>
  </si>
  <si>
    <t>https://3arbzfbsh-cname-us.ngrok.io/Desktop/seabridge%20fintech/icon/BK_pa_trend_signal</t>
  </si>
  <si>
    <t>https://3arbzfbsh-cname-us.ngrok.io/Desktop/seabridge%20fintech/icon/BKNG_pa_trend_signal</t>
  </si>
  <si>
    <t>https://3arbzfbsh-cname-us.ngrok.io/Desktop/seabridge%20fintech/icon/BKR_pa_trend_signal</t>
  </si>
  <si>
    <t>https://3arbzfbsh-cname-us.ngrok.io/Desktop/seabridge%20fintech/icon/BLDR_pa_trend_signal</t>
  </si>
  <si>
    <t>https://3arbzfbsh-cname-us.ngrok.io/Desktop/seabridge%20fintech/icon/BLK_pa_trend_signal</t>
  </si>
  <si>
    <t>https://3arbzfbsh-cname-us.ngrok.io/Desktop/seabridge%20fintech/icon/BLL_pa_trend_signal</t>
  </si>
  <si>
    <t>https://3arbzfbsh-cname-us.ngrok.io/Desktop/seabridge%20fintech/icon/BMY_pa_trend_signal</t>
  </si>
  <si>
    <t>https://3arbzfbsh-cname-us.ngrok.io/Desktop/seabridge%20fintech/icon/BND_pa_trend_signal</t>
  </si>
  <si>
    <t>https://3arbzfbsh-cname-us.ngrok.io/Desktop/seabridge%20fintech/icon/BNDX_pa_trend_signal</t>
  </si>
  <si>
    <t>https://3arbzfbsh-cname-us.ngrok.io/Desktop/seabridge%20fintech/icon/BR_pa_trend_signal</t>
  </si>
  <si>
    <t>https://3arbzfbsh-cname-us.ngrok.io/Desktop/seabridge%20fintech/icon/BSV_pa_trend_signal</t>
  </si>
  <si>
    <t>https://3arbzfbsh-cname-us.ngrok.io/Desktop/seabridge%20fintech/icon/BSX_pa_trend_signal</t>
  </si>
  <si>
    <t>https://3arbzfbsh-cname-us.ngrok.io/Desktop/seabridge%20fintech/icon/BWA_pa_trend_signal</t>
  </si>
  <si>
    <t>https://3arbzfbsh-cname-us.ngrok.io/Desktop/seabridge%20fintech/icon/BX_pa_trend_signal</t>
  </si>
  <si>
    <t>https://3arbzfbsh-cname-us.ngrok.io/Desktop/seabridge%20fintech/icon/BXP_pa_trend_signal</t>
  </si>
  <si>
    <t>https://3arbzfbsh-cname-us.ngrok.io/Desktop/seabridge%20fintech/icon/BYND_pa_trend_signal</t>
  </si>
  <si>
    <t>https://3arbzfbsh-cname-us.ngrok.io/Desktop/seabridge%20fintech/icon/C_pa_trend_signal</t>
  </si>
  <si>
    <t>https://3arbzfbsh-cname-us.ngrok.io/Desktop/seabridge%20fintech/icon/CAG_pa_trend_signal</t>
  </si>
  <si>
    <t>https://3arbzfbsh-cname-us.ngrok.io/Desktop/seabridge%20fintech/icon/CAH_pa_trend_signal</t>
  </si>
  <si>
    <t>https://3arbzfbsh-cname-us.ngrok.io/Desktop/seabridge%20fintech/icon/CAT_pa_trend_signal</t>
  </si>
  <si>
    <t>https://3arbzfbsh-cname-us.ngrok.io/Desktop/seabridge%20fintech/icon/CB_pa_trend_signal</t>
  </si>
  <si>
    <t>https://3arbzfbsh-cname-us.ngrok.io/Desktop/seabridge%20fintech/icon/CBOE_pa_trend_signal</t>
  </si>
  <si>
    <t>https://3arbzfbsh-cname-us.ngrok.io/Desktop/seabridge%20fintech/icon/CBRE_pa_trend_signal</t>
  </si>
  <si>
    <t>https://3arbzfbsh-cname-us.ngrok.io/Desktop/seabridge%20fintech/icon/CCI_pa_trend_signal</t>
  </si>
  <si>
    <t>https://3arbzfbsh-cname-us.ngrok.io/Desktop/seabridge%20fintech/icon/CCL_pa_trend_signal</t>
  </si>
  <si>
    <t>https://3arbzfbsh-cname-us.ngrok.io/Desktop/seabridge%20fintech/icon/CDNS_pa_trend_signal</t>
  </si>
  <si>
    <t>https://3arbzfbsh-cname-us.ngrok.io/Desktop/seabridge%20fintech/icon/CDW_pa_trend_signal</t>
  </si>
  <si>
    <t>https://3arbzfbsh-cname-us.ngrok.io/Desktop/seabridge%20fintech/icon/CE_pa_trend_signal</t>
  </si>
  <si>
    <t>https://3arbzfbsh-cname-us.ngrok.io/Desktop/seabridge%20fintech/icon/CERN_pa_trend_signal</t>
  </si>
  <si>
    <t>https://3arbzfbsh-cname-us.ngrok.io/Desktop/seabridge%20fintech/icon/CF_pa_trend_signal</t>
  </si>
  <si>
    <t>https://3arbzfbsh-cname-us.ngrok.io/Desktop/seabridge%20fintech/icon/CFG_pa_trend_signal</t>
  </si>
  <si>
    <t>https://3arbzfbsh-cname-us.ngrok.io/Desktop/seabridge%20fintech/icon/CHD_pa_trend_signal</t>
  </si>
  <si>
    <t>https://3arbzfbsh-cname-us.ngrok.io/Desktop/seabridge%20fintech/icon/CHKP_pa_trend_signal</t>
  </si>
  <si>
    <t>https://3arbzfbsh-cname-us.ngrok.io/Desktop/seabridge%20fintech/icon/CHRW_pa_trend_signal</t>
  </si>
  <si>
    <t>https://3arbzfbsh-cname-us.ngrok.io/Desktop/seabridge%20fintech/icon/CHTR_pa_trend_signal</t>
  </si>
  <si>
    <t>https://3arbzfbsh-cname-us.ngrok.io/Desktop/seabridge%20fintech/icon/CHWY_pa_trend_signal</t>
  </si>
  <si>
    <t>https://3arbzfbsh-cname-us.ngrok.io/Desktop/seabridge%20fintech/icon/CI_pa_trend_signal</t>
  </si>
  <si>
    <t>https://3arbzfbsh-cname-us.ngrok.io/Desktop/seabridge%20fintech/icon/CINF_pa_trend_signal</t>
  </si>
  <si>
    <t>https://3arbzfbsh-cname-us.ngrok.io/Desktop/seabridge%20fintech/icon/CL_pa_trend_signal</t>
  </si>
  <si>
    <t>https://3arbzfbsh-cname-us.ngrok.io/Desktop/seabridge%20fintech/icon/CLX_pa_trend_signal</t>
  </si>
  <si>
    <t>https://3arbzfbsh-cname-us.ngrok.io/Desktop/seabridge%20fintech/icon/CMA_pa_trend_signal</t>
  </si>
  <si>
    <t>https://3arbzfbsh-cname-us.ngrok.io/Desktop/seabridge%20fintech/icon/CMCSA_pa_trend_signal</t>
  </si>
  <si>
    <t>https://3arbzfbsh-cname-us.ngrok.io/Desktop/seabridge%20fintech/icon/CME_pa_trend_signal</t>
  </si>
  <si>
    <t>https://3arbzfbsh-cname-us.ngrok.io/Desktop/seabridge%20fintech/icon/CMG_pa_trend_signal</t>
  </si>
  <si>
    <t>https://3arbzfbsh-cname-us.ngrok.io/Desktop/seabridge%20fintech/icon/CMI_pa_trend_signal</t>
  </si>
  <si>
    <t>https://3arbzfbsh-cname-us.ngrok.io/Desktop/seabridge%20fintech/icon/CMS_pa_trend_signal</t>
  </si>
  <si>
    <t>https://3arbzfbsh-cname-us.ngrok.io/Desktop/seabridge%20fintech/icon/CNC_pa_trend_signal</t>
  </si>
  <si>
    <t>https://3arbzfbsh-cname-us.ngrok.io/Desktop/seabridge%20fintech/icon/CNP_pa_trend_signal</t>
  </si>
  <si>
    <t>https://3arbzfbsh-cname-us.ngrok.io/Desktop/seabridge%20fintech/icon/COF_pa_trend_signal</t>
  </si>
  <si>
    <t>https://3arbzfbsh-cname-us.ngrok.io/Desktop/seabridge%20fintech/icon/COG_pa_trend_signal</t>
  </si>
  <si>
    <t>https://3arbzfbsh-cname-us.ngrok.io/Desktop/seabridge%20fintech/icon/COO_pa_trend_signal</t>
  </si>
  <si>
    <t>https://3arbzfbsh-cname-us.ngrok.io/Desktop/seabridge%20fintech/icon/COP_pa_trend_signal</t>
  </si>
  <si>
    <t>https://3arbzfbsh-cname-us.ngrok.io/Desktop/seabridge%20fintech/icon/COST_pa_trend_signal</t>
  </si>
  <si>
    <t>https://3arbzfbsh-cname-us.ngrok.io/Desktop/seabridge%20fintech/icon/CPB_pa_trend_signal</t>
  </si>
  <si>
    <t>https://3arbzfbsh-cname-us.ngrok.io/Desktop/seabridge%20fintech/icon/CPRT_pa_trend_signal</t>
  </si>
  <si>
    <t>https://3arbzfbsh-cname-us.ngrok.io/Desktop/seabridge%20fintech/icon/CRL_pa_trend_signal</t>
  </si>
  <si>
    <t>https://3arbzfbsh-cname-us.ngrok.io/Desktop/seabridge%20fintech/icon/CRM_pa_trend_signal</t>
  </si>
  <si>
    <t>https://3arbzfbsh-cname-us.ngrok.io/Desktop/seabridge%20fintech/icon/CRSR_pa_trend_signal</t>
  </si>
  <si>
    <t>https://3arbzfbsh-cname-us.ngrok.io/Desktop/seabridge%20fintech/icon/CRWD_pa_trend_signal</t>
  </si>
  <si>
    <t>https://3arbzfbsh-cname-us.ngrok.io/Desktop/seabridge%20fintech/icon/CSCO_pa_trend_signal</t>
  </si>
  <si>
    <t>https://3arbzfbsh-cname-us.ngrok.io/Desktop/seabridge%20fintech/icon/CSGP_pa_trend_signal</t>
  </si>
  <si>
    <t>https://3arbzfbsh-cname-us.ngrok.io/Desktop/seabridge%20fintech/icon/CSX_pa_trend_signal</t>
  </si>
  <si>
    <t>https://3arbzfbsh-cname-us.ngrok.io/Desktop/seabridge%20fintech/icon/CTAS_pa_trend_signal</t>
  </si>
  <si>
    <t>https://3arbzfbsh-cname-us.ngrok.io/Desktop/seabridge%20fintech/icon/CTLT_pa_trend_signal</t>
  </si>
  <si>
    <t>https://3arbzfbsh-cname-us.ngrok.io/Desktop/seabridge%20fintech/icon/CTSH_pa_trend_signal</t>
  </si>
  <si>
    <t>https://3arbzfbsh-cname-us.ngrok.io/Desktop/seabridge%20fintech/icon/CTVA_pa_trend_signal</t>
  </si>
  <si>
    <t>https://3arbzfbsh-cname-us.ngrok.io/Desktop/seabridge%20fintech/icon/CTXS_pa_trend_signal</t>
  </si>
  <si>
    <t>https://3arbzfbsh-cname-us.ngrok.io/Desktop/seabridge%20fintech/icon/CVS_pa_trend_signal</t>
  </si>
  <si>
    <t>https://3arbzfbsh-cname-us.ngrok.io/Desktop/seabridge%20fintech/icon/CVX_pa_trend_signal</t>
  </si>
  <si>
    <t>https://3arbzfbsh-cname-us.ngrok.io/Desktop/seabridge%20fintech/icon/CZR_pa_trend_signal</t>
  </si>
  <si>
    <t>https://3arbzfbsh-cname-us.ngrok.io/Desktop/seabridge%20fintech/icon/D_pa_trend_signal</t>
  </si>
  <si>
    <t>https://3arbzfbsh-cname-us.ngrok.io/Desktop/seabridge%20fintech/icon/DAL_pa_trend_signal</t>
  </si>
  <si>
    <t>https://3arbzfbsh-cname-us.ngrok.io/Desktop/seabridge%20fintech/icon/DAR_pa_trend_signal</t>
  </si>
  <si>
    <t>https://3arbzfbsh-cname-us.ngrok.io/Desktop/seabridge%20fintech/icon/DBX_pa_trend_signal</t>
  </si>
  <si>
    <t>https://3arbzfbsh-cname-us.ngrok.io/Desktop/seabridge%20fintech/icon/DD_pa_trend_signal</t>
  </si>
  <si>
    <t>https://3arbzfbsh-cname-us.ngrok.io/Desktop/seabridge%20fintech/icon/DDD_pa_trend_signal</t>
  </si>
  <si>
    <t>https://3arbzfbsh-cname-us.ngrok.io/Desktop/seabridge%20fintech/icon/DDOG_pa_trend_signal</t>
  </si>
  <si>
    <t>https://3arbzfbsh-cname-us.ngrok.io/Desktop/seabridge%20fintech/icon/DE_pa_trend_signal</t>
  </si>
  <si>
    <t>https://3arbzfbsh-cname-us.ngrok.io/Desktop/seabridge%20fintech/icon/DELL_pa_trend_signal</t>
  </si>
  <si>
    <t>https://3arbzfbsh-cname-us.ngrok.io/Desktop/seabridge%20fintech/icon/DFS_pa_trend_signal</t>
  </si>
  <si>
    <t>https://3arbzfbsh-cname-us.ngrok.io/Desktop/seabridge%20fintech/icon/DG_pa_trend_signal</t>
  </si>
  <si>
    <t>https://3arbzfbsh-cname-us.ngrok.io/Desktop/seabridge%20fintech/icon/DGX_pa_trend_signal</t>
  </si>
  <si>
    <t>https://3arbzfbsh-cname-us.ngrok.io/Desktop/seabridge%20fintech/icon/DHI_pa_trend_signal</t>
  </si>
  <si>
    <t>https://3arbzfbsh-cname-us.ngrok.io/Desktop/seabridge%20fintech/icon/DHR_pa_trend_signal</t>
  </si>
  <si>
    <t>https://3arbzfbsh-cname-us.ngrok.io/Desktop/seabridge%20fintech/icon/DIA_pa_trend_signal</t>
  </si>
  <si>
    <t>https://3arbzfbsh-cname-us.ngrok.io/Desktop/seabridge%20fintech/icon/DIS_pa_trend_signal</t>
  </si>
  <si>
    <t>https://3arbzfbsh-cname-us.ngrok.io/Desktop/seabridge%20fintech/icon/DISCA_pa_trend_signal</t>
  </si>
  <si>
    <t>https://3arbzfbsh-cname-us.ngrok.io/Desktop/seabridge%20fintech/icon/DISH_pa_trend_signal</t>
  </si>
  <si>
    <t>https://3arbzfbsh-cname-us.ngrok.io/Desktop/seabridge%20fintech/icon/DKNG_pa_trend_signal</t>
  </si>
  <si>
    <t>https://3arbzfbsh-cname-us.ngrok.io/Desktop/seabridge%20fintech/icon/DLR_pa_trend_signal</t>
  </si>
  <si>
    <t>https://3arbzfbsh-cname-us.ngrok.io/Desktop/seabridge%20fintech/icon/DLTR_pa_trend_signal</t>
  </si>
  <si>
    <t>https://3arbzfbsh-cname-us.ngrok.io/Desktop/seabridge%20fintech/icon/DOCU_pa_trend_signal</t>
  </si>
  <si>
    <t>https://3arbzfbsh-cname-us.ngrok.io/Desktop/seabridge%20fintech/icon/DOV_pa_trend_signal</t>
  </si>
  <si>
    <t>https://3arbzfbsh-cname-us.ngrok.io/Desktop/seabridge%20fintech/icon/DOW_pa_trend_signal</t>
  </si>
  <si>
    <t>https://3arbzfbsh-cname-us.ngrok.io/Desktop/seabridge%20fintech/icon/DPZ_pa_trend_signal</t>
  </si>
  <si>
    <t>https://3arbzfbsh-cname-us.ngrok.io/Desktop/seabridge%20fintech/icon/DRE_pa_trend_signal</t>
  </si>
  <si>
    <t>https://3arbzfbsh-cname-us.ngrok.io/Desktop/seabridge%20fintech/icon/DRI_pa_trend_signal</t>
  </si>
  <si>
    <t>https://3arbzfbsh-cname-us.ngrok.io/Desktop/seabridge%20fintech/icon/DTE_pa_trend_signal</t>
  </si>
  <si>
    <t>https://3arbzfbsh-cname-us.ngrok.io/Desktop/seabridge%20fintech/icon/DUK_pa_trend_signal</t>
  </si>
  <si>
    <t>https://3arbzfbsh-cname-us.ngrok.io/Desktop/seabridge%20fintech/icon/DVA_pa_trend_signal</t>
  </si>
  <si>
    <t>https://3arbzfbsh-cname-us.ngrok.io/Desktop/seabridge%20fintech/icon/DVN_pa_trend_signal</t>
  </si>
  <si>
    <t>https://3arbzfbsh-cname-us.ngrok.io/Desktop/seabridge%20fintech/icon/DXC_pa_trend_signal</t>
  </si>
  <si>
    <t>https://3arbzfbsh-cname-us.ngrok.io/Desktop/seabridge%20fintech/icon/DXCM_pa_trend_signal</t>
  </si>
  <si>
    <t>https://3arbzfbsh-cname-us.ngrok.io/Desktop/seabridge%20fintech/icon/EA_pa_trend_signal</t>
  </si>
  <si>
    <t>https://3arbzfbsh-cname-us.ngrok.io/Desktop/seabridge%20fintech/icon/EBAY_pa_trend_signal</t>
  </si>
  <si>
    <t>https://3arbzfbsh-cname-us.ngrok.io/Desktop/seabridge%20fintech/icon/ECL_pa_trend_signal</t>
  </si>
  <si>
    <t>https://3arbzfbsh-cname-us.ngrok.io/Desktop/seabridge%20fintech/icon/ED_pa_trend_signal</t>
  </si>
  <si>
    <t>https://3arbzfbsh-cname-us.ngrok.io/Desktop/seabridge%20fintech/icon/EEM_pa_trend_signal</t>
  </si>
  <si>
    <t>https://3arbzfbsh-cname-us.ngrok.io/Desktop/seabridge%20fintech/icon/EFA_pa_trend_signal</t>
  </si>
  <si>
    <t>https://3arbzfbsh-cname-us.ngrok.io/Desktop/seabridge%20fintech/icon/EFX_pa_trend_signal</t>
  </si>
  <si>
    <t>https://3arbzfbsh-cname-us.ngrok.io/Desktop/seabridge%20fintech/icon/EIX_pa_trend_signal</t>
  </si>
  <si>
    <t>https://3arbzfbsh-cname-us.ngrok.io/Desktop/seabridge%20fintech/icon/EL_pa_trend_signal</t>
  </si>
  <si>
    <t>https://3arbzfbsh-cname-us.ngrok.io/Desktop/seabridge%20fintech/icon/ELAN_pa_trend_signal</t>
  </si>
  <si>
    <t>https://3arbzfbsh-cname-us.ngrok.io/Desktop/seabridge%20fintech/icon/ELY_pa_trend_signal</t>
  </si>
  <si>
    <t>https://3arbzfbsh-cname-us.ngrok.io/Desktop/seabridge%20fintech/icon/EMB_pa_trend_signal</t>
  </si>
  <si>
    <t>https://3arbzfbsh-cname-us.ngrok.io/Desktop/seabridge%20fintech/icon/EMN_pa_trend_signal</t>
  </si>
  <si>
    <t>https://3arbzfbsh-cname-us.ngrok.io/Desktop/seabridge%20fintech/icon/EMR_pa_trend_signal</t>
  </si>
  <si>
    <t>https://3arbzfbsh-cname-us.ngrok.io/Desktop/seabridge%20fintech/icon/ENPH_pa_trend_signal</t>
  </si>
  <si>
    <t>https://3arbzfbsh-cname-us.ngrok.io/Desktop/seabridge%20fintech/icon/EOG_pa_trend_signal</t>
  </si>
  <si>
    <t>https://3arbzfbsh-cname-us.ngrok.io/Desktop/seabridge%20fintech/icon/EQH_pa_trend_signal</t>
  </si>
  <si>
    <t>https://3arbzfbsh-cname-us.ngrok.io/Desktop/seabridge%20fintech/icon/EQIX_pa_trend_signal</t>
  </si>
  <si>
    <t>https://3arbzfbsh-cname-us.ngrok.io/Desktop/seabridge%20fintech/icon/EQR_pa_trend_signal</t>
  </si>
  <si>
    <t>https://3arbzfbsh-cname-us.ngrok.io/Desktop/seabridge%20fintech/icon/ES_pa_trend_signal</t>
  </si>
  <si>
    <t>https://3arbzfbsh-cname-us.ngrok.io/Desktop/seabridge%20fintech/icon/ESS_pa_trend_signal</t>
  </si>
  <si>
    <t>https://3arbzfbsh-cname-us.ngrok.io/Desktop/seabridge%20fintech/icon/ETN_pa_trend_signal</t>
  </si>
  <si>
    <t>https://3arbzfbsh-cname-us.ngrok.io/Desktop/seabridge%20fintech/icon/ETR_pa_trend_signal</t>
  </si>
  <si>
    <t>https://3arbzfbsh-cname-us.ngrok.io/Desktop/seabridge%20fintech/icon/ETSY_pa_trend_signal</t>
  </si>
  <si>
    <t>https://3arbzfbsh-cname-us.ngrok.io/Desktop/seabridge%20fintech/icon/EVRG_pa_trend_signal</t>
  </si>
  <si>
    <t>https://3arbzfbsh-cname-us.ngrok.io/Desktop/seabridge%20fintech/icon/EW_pa_trend_signal</t>
  </si>
  <si>
    <t>https://3arbzfbsh-cname-us.ngrok.io/Desktop/seabridge%20fintech/icon/EWC_pa_trend_signal</t>
  </si>
  <si>
    <t>https://3arbzfbsh-cname-us.ngrok.io/Desktop/seabridge%20fintech/icon/EWG_pa_trend_signal</t>
  </si>
  <si>
    <t>https://3arbzfbsh-cname-us.ngrok.io/Desktop/seabridge%20fintech/icon/EWH_pa_trend_signal</t>
  </si>
  <si>
    <t>https://3arbzfbsh-cname-us.ngrok.io/Desktop/seabridge%20fintech/icon/EWJ_pa_trend_signal</t>
  </si>
  <si>
    <t>https://3arbzfbsh-cname-us.ngrok.io/Desktop/seabridge%20fintech/icon/EWT_pa_trend_signal</t>
  </si>
  <si>
    <t>https://3arbzfbsh-cname-us.ngrok.io/Desktop/seabridge%20fintech/icon/EWU_pa_trend_signal</t>
  </si>
  <si>
    <t>https://3arbzfbsh-cname-us.ngrok.io/Desktop/seabridge%20fintech/icon/EWY_pa_trend_signal</t>
  </si>
  <si>
    <t>https://3arbzfbsh-cname-us.ngrok.io/Desktop/seabridge%20fintech/icon/EWZ_pa_trend_signal</t>
  </si>
  <si>
    <t>https://3arbzfbsh-cname-us.ngrok.io/Desktop/seabridge%20fintech/icon/EXC_pa_trend_signal</t>
  </si>
  <si>
    <t>https://3arbzfbsh-cname-us.ngrok.io/Desktop/seabridge%20fintech/icon/EXPD_pa_trend_signal</t>
  </si>
  <si>
    <t>https://3arbzfbsh-cname-us.ngrok.io/Desktop/seabridge%20fintech/icon/EXPE_pa_trend_signal</t>
  </si>
  <si>
    <t>https://3arbzfbsh-cname-us.ngrok.io/Desktop/seabridge%20fintech/icon/EXR_pa_trend_signal</t>
  </si>
  <si>
    <t>https://3arbzfbsh-cname-us.ngrok.io/Desktop/seabridge%20fintech/icon/EZU_pa_trend_signal</t>
  </si>
  <si>
    <t>https://3arbzfbsh-cname-us.ngrok.io/Desktop/seabridge%20fintech/icon/F_pa_trend_signal</t>
  </si>
  <si>
    <t>https://3arbzfbsh-cname-us.ngrok.io/Desktop/seabridge%20fintech/icon/FANG_pa_trend_signal</t>
  </si>
  <si>
    <t>https://3arbzfbsh-cname-us.ngrok.io/Desktop/seabridge%20fintech/icon/FAST_pa_trend_signal</t>
  </si>
  <si>
    <t>https://3arbzfbsh-cname-us.ngrok.io/Desktop/seabridge%20fintech/icon/FB_pa_trend_signal</t>
  </si>
  <si>
    <t>https://3arbzfbsh-cname-us.ngrok.io/Desktop/seabridge%20fintech/icon/FBHS_pa_trend_signal</t>
  </si>
  <si>
    <t>https://3arbzfbsh-cname-us.ngrok.io/Desktop/seabridge%20fintech/icon/FCX_pa_trend_signal</t>
  </si>
  <si>
    <t>https://3arbzfbsh-cname-us.ngrok.io/Desktop/seabridge%20fintech/icon/FDX_pa_trend_signal</t>
  </si>
  <si>
    <t>https://3arbzfbsh-cname-us.ngrok.io/Desktop/seabridge%20fintech/icon/FE_pa_trend_signal</t>
  </si>
  <si>
    <t>https://3arbzfbsh-cname-us.ngrok.io/Desktop/seabridge%20fintech/icon/FFIV_pa_trend_signal</t>
  </si>
  <si>
    <t>https://3arbzfbsh-cname-us.ngrok.io/Desktop/seabridge%20fintech/icon/FIS_pa_trend_signal</t>
  </si>
  <si>
    <t>https://3arbzfbsh-cname-us.ngrok.io/Desktop/seabridge%20fintech/icon/FISV_pa_trend_signal</t>
  </si>
  <si>
    <t>https://3arbzfbsh-cname-us.ngrok.io/Desktop/seabridge%20fintech/icon/FITB_pa_trend_signal</t>
  </si>
  <si>
    <t>https://3arbzfbsh-cname-us.ngrok.io/Desktop/seabridge%20fintech/icon/FLT_pa_trend_signal</t>
  </si>
  <si>
    <t>https://3arbzfbsh-cname-us.ngrok.io/Desktop/seabridge%20fintech/icon/FMC_pa_trend_signal</t>
  </si>
  <si>
    <t>https://3arbzfbsh-cname-us.ngrok.io/Desktop/seabridge%20fintech/icon/FOX_pa_trend_signal</t>
  </si>
  <si>
    <t>https://3arbzfbsh-cname-us.ngrok.io/Desktop/seabridge%20fintech/icon/FOXA_pa_trend_signal</t>
  </si>
  <si>
    <t>https://3arbzfbsh-cname-us.ngrok.io/Desktop/seabridge%20fintech/icon/FRC_pa_trend_signal</t>
  </si>
  <si>
    <t>https://3arbzfbsh-cname-us.ngrok.io/Desktop/seabridge%20fintech/icon/FRT_pa_trend_signal</t>
  </si>
  <si>
    <t>https://3arbzfbsh-cname-us.ngrok.io/Desktop/seabridge%20fintech/icon/FSLR_pa_trend_signal</t>
  </si>
  <si>
    <t>https://3arbzfbsh-cname-us.ngrok.io/Desktop/seabridge%20fintech/icon/FSLY_pa_trend_signal</t>
  </si>
  <si>
    <t>https://3arbzfbsh-cname-us.ngrok.io/Desktop/seabridge%20fintech/icon/FTNT_pa_trend_signal</t>
  </si>
  <si>
    <t>https://3arbzfbsh-cname-us.ngrok.io/Desktop/seabridge%20fintech/icon/FTV_pa_trend_signal</t>
  </si>
  <si>
    <t>https://3arbzfbsh-cname-us.ngrok.io/Desktop/seabridge%20fintech/icon/FUBO_pa_trend_signal</t>
  </si>
  <si>
    <t>https://3arbzfbsh-cname-us.ngrok.io/Desktop/seabridge%20fintech/icon/FXI_pa_trend_signal</t>
  </si>
  <si>
    <t>https://3arbzfbsh-cname-us.ngrok.io/Desktop/seabridge%20fintech/icon/GBTC_pa_trend_signal</t>
  </si>
  <si>
    <t>https://3arbzfbsh-cname-us.ngrok.io/Desktop/seabridge%20fintech/icon/GD_pa_trend_signal</t>
  </si>
  <si>
    <t>https://3arbzfbsh-cname-us.ngrok.io/Desktop/seabridge%20fintech/icon/GDX_pa_trend_signal</t>
  </si>
  <si>
    <t>https://3arbzfbsh-cname-us.ngrok.io/Desktop/seabridge%20fintech/icon/GE_pa_trend_signal</t>
  </si>
  <si>
    <t>https://3arbzfbsh-cname-us.ngrok.io/Desktop/seabridge%20fintech/icon/GILD_pa_trend_signal</t>
  </si>
  <si>
    <t>https://3arbzfbsh-cname-us.ngrok.io/Desktop/seabridge%20fintech/icon/GIS_pa_trend_signal</t>
  </si>
  <si>
    <t>https://3arbzfbsh-cname-us.ngrok.io/Desktop/seabridge%20fintech/icon/GL_pa_trend_signal</t>
  </si>
  <si>
    <t>https://3arbzfbsh-cname-us.ngrok.io/Desktop/seabridge%20fintech/icon/GLD_pa_trend_signal</t>
  </si>
  <si>
    <t>https://3arbzfbsh-cname-us.ngrok.io/Desktop/seabridge%20fintech/icon/GLW_pa_trend_signal</t>
  </si>
  <si>
    <t>https://3arbzfbsh-cname-us.ngrok.io/Desktop/seabridge%20fintech/icon/GM_pa_trend_signal</t>
  </si>
  <si>
    <t>https://3arbzfbsh-cname-us.ngrok.io/Desktop/seabridge%20fintech/icon/GME_pa_trend_signal</t>
  </si>
  <si>
    <t>https://3arbzfbsh-cname-us.ngrok.io/Desktop/seabridge%20fintech/icon/GNRC_pa_trend_signal</t>
  </si>
  <si>
    <t>https://3arbzfbsh-cname-us.ngrok.io/Desktop/seabridge%20fintech/icon/GOOG_pa_trend_signal</t>
  </si>
  <si>
    <t>https://3arbzfbsh-cname-us.ngrok.io/Desktop/seabridge%20fintech/icon/GOOGL_pa_trend_signal</t>
  </si>
  <si>
    <t>https://3arbzfbsh-cname-us.ngrok.io/Desktop/seabridge%20fintech/icon/GOVT_pa_trend_signal</t>
  </si>
  <si>
    <t>https://3arbzfbsh-cname-us.ngrok.io/Desktop/seabridge%20fintech/icon/GPC_pa_trend_signal</t>
  </si>
  <si>
    <t>https://3arbzfbsh-cname-us.ngrok.io/Desktop/seabridge%20fintech/icon/GPN_pa_trend_signal</t>
  </si>
  <si>
    <t>https://3arbzfbsh-cname-us.ngrok.io/Desktop/seabridge%20fintech/icon/GPS_pa_trend_signal</t>
  </si>
  <si>
    <t>https://3arbzfbsh-cname-us.ngrok.io/Desktop/seabridge%20fintech/icon/GRMN_pa_trend_signal</t>
  </si>
  <si>
    <t>https://3arbzfbsh-cname-us.ngrok.io/Desktop/seabridge%20fintech/icon/GS_pa_trend_signal</t>
  </si>
  <si>
    <t>https://3arbzfbsh-cname-us.ngrok.io/Desktop/seabridge%20fintech/icon/GWW_pa_trend_signal</t>
  </si>
  <si>
    <t>https://3arbzfbsh-cname-us.ngrok.io/Desktop/seabridge%20fintech/icon/HAL_pa_trend_signal</t>
  </si>
  <si>
    <t>https://3arbzfbsh-cname-us.ngrok.io/Desktop/seabridge%20fintech/icon/HAS_pa_trend_signal</t>
  </si>
  <si>
    <t>https://3arbzfbsh-cname-us.ngrok.io/Desktop/seabridge%20fintech/icon/HBAN_pa_trend_signal</t>
  </si>
  <si>
    <t>https://3arbzfbsh-cname-us.ngrok.io/Desktop/seabridge%20fintech/icon/HBI_pa_trend_signal</t>
  </si>
  <si>
    <t>https://3arbzfbsh-cname-us.ngrok.io/Desktop/seabridge%20fintech/icon/HCA_pa_trend_signal</t>
  </si>
  <si>
    <t>https://3arbzfbsh-cname-us.ngrok.io/Desktop/seabridge%20fintech/icon/HD_pa_trend_signal</t>
  </si>
  <si>
    <t>https://3arbzfbsh-cname-us.ngrok.io/Desktop/seabridge%20fintech/icon/HES_pa_trend_signal</t>
  </si>
  <si>
    <t>https://3arbzfbsh-cname-us.ngrok.io/Desktop/seabridge%20fintech/icon/HFC_pa_trend_signal</t>
  </si>
  <si>
    <t>https://3arbzfbsh-cname-us.ngrok.io/Desktop/seabridge%20fintech/icon/HIG_pa_trend_signal</t>
  </si>
  <si>
    <t>https://3arbzfbsh-cname-us.ngrok.io/Desktop/seabridge%20fintech/icon/HII_pa_trend_signal</t>
  </si>
  <si>
    <t>https://3arbzfbsh-cname-us.ngrok.io/Desktop/seabridge%20fintech/icon/HLT_pa_trend_signal</t>
  </si>
  <si>
    <t>https://3arbzfbsh-cname-us.ngrok.io/Desktop/seabridge%20fintech/icon/HOG_pa_trend_signal</t>
  </si>
  <si>
    <t>https://3arbzfbsh-cname-us.ngrok.io/Desktop/seabridge%20fintech/icon/HOLX_pa_trend_signal</t>
  </si>
  <si>
    <t>https://3arbzfbsh-cname-us.ngrok.io/Desktop/seabridge%20fintech/icon/HOME_pa_trend_signal</t>
  </si>
  <si>
    <t>https://3arbzfbsh-cname-us.ngrok.io/Desktop/seabridge%20fintech/icon/HON_pa_trend_signal</t>
  </si>
  <si>
    <t>https://3arbzfbsh-cname-us.ngrok.io/Desktop/seabridge%20fintech/icon/HPE_pa_trend_signal</t>
  </si>
  <si>
    <t>https://3arbzfbsh-cname-us.ngrok.io/Desktop/seabridge%20fintech/icon/HPQ_pa_trend_signal</t>
  </si>
  <si>
    <t>https://3arbzfbsh-cname-us.ngrok.io/Desktop/seabridge%20fintech/icon/HRL_pa_trend_signal</t>
  </si>
  <si>
    <t>https://3arbzfbsh-cname-us.ngrok.io/Desktop/seabridge%20fintech/icon/HSIC_pa_trend_signal</t>
  </si>
  <si>
    <t>https://3arbzfbsh-cname-us.ngrok.io/Desktop/seabridge%20fintech/icon/HST_pa_trend_signal</t>
  </si>
  <si>
    <t>https://3arbzfbsh-cname-us.ngrok.io/Desktop/seabridge%20fintech/icon/HSY_pa_trend_signal</t>
  </si>
  <si>
    <t>https://3arbzfbsh-cname-us.ngrok.io/Desktop/seabridge%20fintech/icon/HUM_pa_trend_signal</t>
  </si>
  <si>
    <t>https://3arbzfbsh-cname-us.ngrok.io/Desktop/seabridge%20fintech/icon/HUN_pa_trend_signal</t>
  </si>
  <si>
    <t>https://3arbzfbsh-cname-us.ngrok.io/Desktop/seabridge%20fintech/icon/HWM_pa_trend_signal</t>
  </si>
  <si>
    <t>https://3arbzfbsh-cname-us.ngrok.io/Desktop/seabridge%20fintech/icon/HYG_pa_trend_signal</t>
  </si>
  <si>
    <t>https://3arbzfbsh-cname-us.ngrok.io/Desktop/seabridge%20fintech/icon/HYLB_pa_trend_signal</t>
  </si>
  <si>
    <t>https://3arbzfbsh-cname-us.ngrok.io/Desktop/seabridge%20fintech/icon/IAU_pa_trend_signal</t>
  </si>
  <si>
    <t>https://3arbzfbsh-cname-us.ngrok.io/Desktop/seabridge%20fintech/icon/IBB_pa_trend_signal</t>
  </si>
  <si>
    <t>https://3arbzfbsh-cname-us.ngrok.io/Desktop/seabridge%20fintech/icon/IBM_pa_trend_signal</t>
  </si>
  <si>
    <t>https://3arbzfbsh-cname-us.ngrok.io/Desktop/seabridge%20fintech/icon/ICE_pa_trend_signal</t>
  </si>
  <si>
    <t>https://3arbzfbsh-cname-us.ngrok.io/Desktop/seabridge%20fintech/icon/IDXX_pa_trend_signal</t>
  </si>
  <si>
    <t>https://3arbzfbsh-cname-us.ngrok.io/Desktop/seabridge%20fintech/icon/IEF_pa_trend_signal</t>
  </si>
  <si>
    <t>https://3arbzfbsh-cname-us.ngrok.io/Desktop/seabridge%20fintech/icon/IEFA_pa_trend_signal</t>
  </si>
  <si>
    <t>https://3arbzfbsh-cname-us.ngrok.io/Desktop/seabridge%20fintech/icon/IEMG_pa_trend_signal</t>
  </si>
  <si>
    <t>https://3arbzfbsh-cname-us.ngrok.io/Desktop/seabridge%20fintech/icon/IEX_pa_trend_signal</t>
  </si>
  <si>
    <t>https://3arbzfbsh-cname-us.ngrok.io/Desktop/seabridge%20fintech/icon/IFF_pa_trend_signal</t>
  </si>
  <si>
    <t>https://3arbzfbsh-cname-us.ngrok.io/Desktop/seabridge%20fintech/icon/IJR_pa_trend_signal</t>
  </si>
  <si>
    <t>https://3arbzfbsh-cname-us.ngrok.io/Desktop/seabridge%20fintech/icon/ILMN_pa_trend_signal</t>
  </si>
  <si>
    <t>https://3arbzfbsh-cname-us.ngrok.io/Desktop/seabridge%20fintech/icon/INCY_pa_trend_signal</t>
  </si>
  <si>
    <t>https://3arbzfbsh-cname-us.ngrok.io/Desktop/seabridge%20fintech/icon/INDA_pa_trend_signal</t>
  </si>
  <si>
    <t>https://3arbzfbsh-cname-us.ngrok.io/Desktop/seabridge%20fintech/icon/INFO_pa_trend_signal</t>
  </si>
  <si>
    <t>https://3arbzfbsh-cname-us.ngrok.io/Desktop/seabridge%20fintech/icon/INTC_pa_trend_signal</t>
  </si>
  <si>
    <t>https://3arbzfbsh-cname-us.ngrok.io/Desktop/seabridge%20fintech/icon/INTU_pa_trend_signal</t>
  </si>
  <si>
    <t>https://3arbzfbsh-cname-us.ngrok.io/Desktop/seabridge%20fintech/icon/INVH_pa_trend_signal</t>
  </si>
  <si>
    <t>https://3arbzfbsh-cname-us.ngrok.io/Desktop/seabridge%20fintech/icon/IP_pa_trend_signal</t>
  </si>
  <si>
    <t>https://3arbzfbsh-cname-us.ngrok.io/Desktop/seabridge%20fintech/icon/IPG_pa_trend_signal</t>
  </si>
  <si>
    <t>https://3arbzfbsh-cname-us.ngrok.io/Desktop/seabridge%20fintech/icon/IPGP_pa_trend_signal</t>
  </si>
  <si>
    <t>https://3arbzfbsh-cname-us.ngrok.io/Desktop/seabridge%20fintech/icon/IQV_pa_trend_signal</t>
  </si>
  <si>
    <t>https://3arbzfbsh-cname-us.ngrok.io/Desktop/seabridge%20fintech/icon/IR_pa_trend_signal</t>
  </si>
  <si>
    <t>https://3arbzfbsh-cname-us.ngrok.io/Desktop/seabridge%20fintech/icon/IRM_pa_trend_signal</t>
  </si>
  <si>
    <t>https://3arbzfbsh-cname-us.ngrok.io/Desktop/seabridge%20fintech/icon/ISRG_pa_trend_signal</t>
  </si>
  <si>
    <t>https://3arbzfbsh-cname-us.ngrok.io/Desktop/seabridge%20fintech/icon/IT_pa_trend_signal</t>
  </si>
  <si>
    <t>https://3arbzfbsh-cname-us.ngrok.io/Desktop/seabridge%20fintech/icon/ITW_pa_trend_signal</t>
  </si>
  <si>
    <t>https://3arbzfbsh-cname-us.ngrok.io/Desktop/seabridge%20fintech/icon/IVV_pa_trend_signal</t>
  </si>
  <si>
    <t>https://3arbzfbsh-cname-us.ngrok.io/Desktop/seabridge%20fintech/icon/IVZ_pa_trend_signal</t>
  </si>
  <si>
    <t>https://3arbzfbsh-cname-us.ngrok.io/Desktop/seabridge%20fintech/icon/IWD_pa_trend_signal</t>
  </si>
  <si>
    <t>https://3arbzfbsh-cname-us.ngrok.io/Desktop/seabridge%20fintech/icon/IWM_pa_trend_signal</t>
  </si>
  <si>
    <t>https://3arbzfbsh-cname-us.ngrok.io/Desktop/seabridge%20fintech/icon/IYR_pa_trend_signal</t>
  </si>
  <si>
    <t>https://3arbzfbsh-cname-us.ngrok.io/Desktop/seabridge%20fintech/icon/J_pa_trend_signal</t>
  </si>
  <si>
    <t>https://3arbzfbsh-cname-us.ngrok.io/Desktop/seabridge%20fintech/icon/JBHT_pa_trend_signal</t>
  </si>
  <si>
    <t>https://3arbzfbsh-cname-us.ngrok.io/Desktop/seabridge%20fintech/icon/JCI_pa_trend_signal</t>
  </si>
  <si>
    <t>https://3arbzfbsh-cname-us.ngrok.io/Desktop/seabridge%20fintech/icon/JD_pa_trend_signal</t>
  </si>
  <si>
    <t>https://3arbzfbsh-cname-us.ngrok.io/Desktop/seabridge%20fintech/icon/JEF_pa_trend_signal</t>
  </si>
  <si>
    <t>https://3arbzfbsh-cname-us.ngrok.io/Desktop/seabridge%20fintech/icon/JKHY_pa_trend_signal</t>
  </si>
  <si>
    <t>https://3arbzfbsh-cname-us.ngrok.io/Desktop/seabridge%20fintech/icon/JNJ_pa_trend_signal</t>
  </si>
  <si>
    <t>https://3arbzfbsh-cname-us.ngrok.io/Desktop/seabridge%20fintech/icon/JNK_pa_trend_signal</t>
  </si>
  <si>
    <t>https://3arbzfbsh-cname-us.ngrok.io/Desktop/seabridge%20fintech/icon/JNPR_pa_trend_signal</t>
  </si>
  <si>
    <t>https://3arbzfbsh-cname-us.ngrok.io/Desktop/seabridge%20fintech/icon/JPM_pa_trend_signal</t>
  </si>
  <si>
    <t>https://3arbzfbsh-cname-us.ngrok.io/Desktop/seabridge%20fintech/icon/JPST_pa_trend_signal</t>
  </si>
  <si>
    <t>https://3arbzfbsh-cname-us.ngrok.io/Desktop/seabridge%20fintech/icon/JWN_pa_trend_signal</t>
  </si>
  <si>
    <t>https://3arbzfbsh-cname-us.ngrok.io/Desktop/seabridge%20fintech/icon/K_pa_trend_signal</t>
  </si>
  <si>
    <t>https://3arbzfbsh-cname-us.ngrok.io/Desktop/seabridge%20fintech/icon/KBE_pa_trend_signal</t>
  </si>
  <si>
    <t>https://3arbzfbsh-cname-us.ngrok.io/Desktop/seabridge%20fintech/icon/KDP_pa_trend_signal</t>
  </si>
  <si>
    <t>https://3arbzfbsh-cname-us.ngrok.io/Desktop/seabridge%20fintech/icon/KEY_pa_trend_signal</t>
  </si>
  <si>
    <t>https://3arbzfbsh-cname-us.ngrok.io/Desktop/seabridge%20fintech/icon/KEYS_pa_trend_signal</t>
  </si>
  <si>
    <t>https://3arbzfbsh-cname-us.ngrok.io/Desktop/seabridge%20fintech/icon/KHC_pa_trend_signal</t>
  </si>
  <si>
    <t>https://3arbzfbsh-cname-us.ngrok.io/Desktop/seabridge%20fintech/icon/KIM_pa_trend_signal</t>
  </si>
  <si>
    <t>https://3arbzfbsh-cname-us.ngrok.io/Desktop/seabridge%20fintech/icon/KKR_pa_trend_signal</t>
  </si>
  <si>
    <t>https://3arbzfbsh-cname-us.ngrok.io/Desktop/seabridge%20fintech/icon/KLAC_pa_trend_signal</t>
  </si>
  <si>
    <t>https://3arbzfbsh-cname-us.ngrok.io/Desktop/seabridge%20fintech/icon/KMB_pa_trend_signal</t>
  </si>
  <si>
    <t>https://3arbzfbsh-cname-us.ngrok.io/Desktop/seabridge%20fintech/icon/KMI_pa_trend_signal</t>
  </si>
  <si>
    <t>https://3arbzfbsh-cname-us.ngrok.io/Desktop/seabridge%20fintech/icon/KMX_pa_trend_signal</t>
  </si>
  <si>
    <t>https://3arbzfbsh-cname-us.ngrok.io/Desktop/seabridge%20fintech/icon/KO_pa_trend_signal</t>
  </si>
  <si>
    <t>https://3arbzfbsh-cname-us.ngrok.io/Desktop/seabridge%20fintech/icon/KR_pa_trend_signal</t>
  </si>
  <si>
    <t>https://3arbzfbsh-cname-us.ngrok.io/Desktop/seabridge%20fintech/icon/KRE_pa_trend_signal</t>
  </si>
  <si>
    <t>https://3arbzfbsh-cname-us.ngrok.io/Desktop/seabridge%20fintech/icon/KSS_pa_trend_signal</t>
  </si>
  <si>
    <t>https://3arbzfbsh-cname-us.ngrok.io/Desktop/seabridge%20fintech/icon/KSU_pa_trend_signal</t>
  </si>
  <si>
    <t>https://3arbzfbsh-cname-us.ngrok.io/Desktop/seabridge%20fintech/icon/KWEB_pa_trend_signal</t>
  </si>
  <si>
    <t>https://3arbzfbsh-cname-us.ngrok.io/Desktop/seabridge%20fintech/icon/L_pa_trend_signal</t>
  </si>
  <si>
    <t>https://3arbzfbsh-cname-us.ngrok.io/Desktop/seabridge%20fintech/icon/LB_pa_trend_signal</t>
  </si>
  <si>
    <t>https://3arbzfbsh-cname-us.ngrok.io/Desktop/seabridge%20fintech/icon/LDOS_pa_trend_signal</t>
  </si>
  <si>
    <t>https://3arbzfbsh-cname-us.ngrok.io/Desktop/seabridge%20fintech/icon/LEG_pa_trend_signal</t>
  </si>
  <si>
    <t>https://3arbzfbsh-cname-us.ngrok.io/Desktop/seabridge%20fintech/icon/LEN_pa_trend_signal</t>
  </si>
  <si>
    <t>https://3arbzfbsh-cname-us.ngrok.io/Desktop/seabridge%20fintech/icon/LESL_pa_trend_signal</t>
  </si>
  <si>
    <t>https://3arbzfbsh-cname-us.ngrok.io/Desktop/seabridge%20fintech/icon/LH_pa_trend_signal</t>
  </si>
  <si>
    <t>https://3arbzfbsh-cname-us.ngrok.io/Desktop/seabridge%20fintech/icon/LHX_pa_trend_signal</t>
  </si>
  <si>
    <t>https://3arbzfbsh-cname-us.ngrok.io/Desktop/seabridge%20fintech/icon/LIN_pa_trend_signal</t>
  </si>
  <si>
    <t>https://3arbzfbsh-cname-us.ngrok.io/Desktop/seabridge%20fintech/icon/LKQ_pa_trend_signal</t>
  </si>
  <si>
    <t>https://3arbzfbsh-cname-us.ngrok.io/Desktop/seabridge%20fintech/icon/LLY_pa_trend_signal</t>
  </si>
  <si>
    <t>https://3arbzfbsh-cname-us.ngrok.io/Desktop/seabridge%20fintech/icon/LMND_pa_trend_signal</t>
  </si>
  <si>
    <t>https://3arbzfbsh-cname-us.ngrok.io/Desktop/seabridge%20fintech/icon/LMT_pa_trend_signal</t>
  </si>
  <si>
    <t>https://3arbzfbsh-cname-us.ngrok.io/Desktop/seabridge%20fintech/icon/LNC_pa_trend_signal</t>
  </si>
  <si>
    <t>https://3arbzfbsh-cname-us.ngrok.io/Desktop/seabridge%20fintech/icon/LNT_pa_trend_signal</t>
  </si>
  <si>
    <t>https://3arbzfbsh-cname-us.ngrok.io/Desktop/seabridge%20fintech/icon/LOW_pa_trend_signal</t>
  </si>
  <si>
    <t>https://3arbzfbsh-cname-us.ngrok.io/Desktop/seabridge%20fintech/icon/LPX_pa_trend_signal</t>
  </si>
  <si>
    <t>https://3arbzfbsh-cname-us.ngrok.io/Desktop/seabridge%20fintech/icon/LQD_pa_trend_signal</t>
  </si>
  <si>
    <t>https://3arbzfbsh-cname-us.ngrok.io/Desktop/seabridge%20fintech/icon/LRCX_pa_trend_signal</t>
  </si>
  <si>
    <t>https://3arbzfbsh-cname-us.ngrok.io/Desktop/seabridge%20fintech/icon/LULU_pa_trend_signal</t>
  </si>
  <si>
    <t>https://3arbzfbsh-cname-us.ngrok.io/Desktop/seabridge%20fintech/icon/LUMN_pa_trend_signal</t>
  </si>
  <si>
    <t>https://3arbzfbsh-cname-us.ngrok.io/Desktop/seabridge%20fintech/icon/LUV_pa_trend_signal</t>
  </si>
  <si>
    <t>https://3arbzfbsh-cname-us.ngrok.io/Desktop/seabridge%20fintech/icon/LVS_pa_trend_signal</t>
  </si>
  <si>
    <t>https://3arbzfbsh-cname-us.ngrok.io/Desktop/seabridge%20fintech/icon/LW_pa_trend_signal</t>
  </si>
  <si>
    <t>https://3arbzfbsh-cname-us.ngrok.io/Desktop/seabridge%20fintech/icon/LYB_pa_trend_signal</t>
  </si>
  <si>
    <t>https://3arbzfbsh-cname-us.ngrok.io/Desktop/seabridge%20fintech/icon/LYFT_pa_trend_signal</t>
  </si>
  <si>
    <t>https://3arbzfbsh-cname-us.ngrok.io/Desktop/seabridge%20fintech/icon/LYV_pa_trend_signal</t>
  </si>
  <si>
    <t>https://3arbzfbsh-cname-us.ngrok.io/Desktop/seabridge%20fintech/icon/MA_pa_trend_signal</t>
  </si>
  <si>
    <t>https://3arbzfbsh-cname-us.ngrok.io/Desktop/seabridge%20fintech/icon/MAA_pa_trend_signal</t>
  </si>
  <si>
    <t>https://3arbzfbsh-cname-us.ngrok.io/Desktop/seabridge%20fintech/icon/MAR_pa_trend_signal</t>
  </si>
  <si>
    <t>https://3arbzfbsh-cname-us.ngrok.io/Desktop/seabridge%20fintech/icon/MARA_pa_trend_signal</t>
  </si>
  <si>
    <t>https://3arbzfbsh-cname-us.ngrok.io/Desktop/seabridge%20fintech/icon/MAS_pa_trend_signal</t>
  </si>
  <si>
    <t>https://3arbzfbsh-cname-us.ngrok.io/Desktop/seabridge%20fintech/icon/MCD_pa_trend_signal</t>
  </si>
  <si>
    <t>https://3arbzfbsh-cname-us.ngrok.io/Desktop/seabridge%20fintech/icon/MCHI_pa_trend_signal</t>
  </si>
  <si>
    <t>https://3arbzfbsh-cname-us.ngrok.io/Desktop/seabridge%20fintech/icon/MCHP_pa_trend_signal</t>
  </si>
  <si>
    <t>https://3arbzfbsh-cname-us.ngrok.io/Desktop/seabridge%20fintech/icon/MCK_pa_trend_signal</t>
  </si>
  <si>
    <t>https://3arbzfbsh-cname-us.ngrok.io/Desktop/seabridge%20fintech/icon/MCO_pa_trend_signal</t>
  </si>
  <si>
    <t>https://3arbzfbsh-cname-us.ngrok.io/Desktop/seabridge%20fintech/icon/MDLZ_pa_trend_signal</t>
  </si>
  <si>
    <t>https://3arbzfbsh-cname-us.ngrok.io/Desktop/seabridge%20fintech/icon/MDT_pa_trend_signal</t>
  </si>
  <si>
    <t>https://3arbzfbsh-cname-us.ngrok.io/Desktop/seabridge%20fintech/icon/MELI_pa_trend_signal</t>
  </si>
  <si>
    <t>https://3arbzfbsh-cname-us.ngrok.io/Desktop/seabridge%20fintech/icon/MET_pa_trend_signal</t>
  </si>
  <si>
    <t>https://3arbzfbsh-cname-us.ngrok.io/Desktop/seabridge%20fintech/icon/MGM_pa_trend_signal</t>
  </si>
  <si>
    <t>https://3arbzfbsh-cname-us.ngrok.io/Desktop/seabridge%20fintech/icon/MGNI_pa_trend_signal</t>
  </si>
  <si>
    <t>https://3arbzfbsh-cname-us.ngrok.io/Desktop/seabridge%20fintech/icon/MHK_pa_trend_signal</t>
  </si>
  <si>
    <t>https://3arbzfbsh-cname-us.ngrok.io/Desktop/seabridge%20fintech/icon/MKC_pa_trend_signal</t>
  </si>
  <si>
    <t>https://3arbzfbsh-cname-us.ngrok.io/Desktop/seabridge%20fintech/icon/MKTX_pa_trend_signal</t>
  </si>
  <si>
    <t>https://3arbzfbsh-cname-us.ngrok.io/Desktop/seabridge%20fintech/icon/MLM_pa_trend_signal</t>
  </si>
  <si>
    <t>https://3arbzfbsh-cname-us.ngrok.io/Desktop/seabridge%20fintech/icon/MMC_pa_trend_signal</t>
  </si>
  <si>
    <t>https://3arbzfbsh-cname-us.ngrok.io/Desktop/seabridge%20fintech/icon/MMM_pa_trend_signal</t>
  </si>
  <si>
    <t>https://3arbzfbsh-cname-us.ngrok.io/Desktop/seabridge%20fintech/icon/MNST_pa_trend_signal</t>
  </si>
  <si>
    <t>https://3arbzfbsh-cname-us.ngrok.io/Desktop/seabridge%20fintech/icon/MO_pa_trend_signal</t>
  </si>
  <si>
    <t>https://3arbzfbsh-cname-us.ngrok.io/Desktop/seabridge%20fintech/icon/MOS_pa_trend_signal</t>
  </si>
  <si>
    <t>https://3arbzfbsh-cname-us.ngrok.io/Desktop/seabridge%20fintech/icon/MP_pa_trend_signal</t>
  </si>
  <si>
    <t>https://3arbzfbsh-cname-us.ngrok.io/Desktop/seabridge%20fintech/icon/MPC_pa_trend_signal</t>
  </si>
  <si>
    <t>https://3arbzfbsh-cname-us.ngrok.io/Desktop/seabridge%20fintech/icon/MPLX_pa_trend_signal</t>
  </si>
  <si>
    <t>https://3arbzfbsh-cname-us.ngrok.io/Desktop/seabridge%20fintech/icon/MPWR_pa_trend_signal</t>
  </si>
  <si>
    <t>https://3arbzfbsh-cname-us.ngrok.io/Desktop/seabridge%20fintech/icon/MRNA_pa_trend_signal</t>
  </si>
  <si>
    <t>https://3arbzfbsh-cname-us.ngrok.io/Desktop/seabridge%20fintech/icon/MRO_pa_trend_signal</t>
  </si>
  <si>
    <t>https://3arbzfbsh-cname-us.ngrok.io/Desktop/seabridge%20fintech/icon/MRVL_pa_trend_signal</t>
  </si>
  <si>
    <t>https://3arbzfbsh-cname-us.ngrok.io/Desktop/seabridge%20fintech/icon/MS_pa_trend_signal</t>
  </si>
  <si>
    <t>https://3arbzfbsh-cname-us.ngrok.io/Desktop/seabridge%20fintech/icon/MSCI_pa_trend_signal</t>
  </si>
  <si>
    <t>https://3arbzfbsh-cname-us.ngrok.io/Desktop/seabridge%20fintech/icon/MSFT_pa_trend_signal</t>
  </si>
  <si>
    <t>https://3arbzfbsh-cname-us.ngrok.io/Desktop/seabridge%20fintech/icon/MSI_pa_trend_signal</t>
  </si>
  <si>
    <t>https://3arbzfbsh-cname-us.ngrok.io/Desktop/seabridge%20fintech/icon/MTB_pa_trend_signal</t>
  </si>
  <si>
    <t>https://3arbzfbsh-cname-us.ngrok.io/Desktop/seabridge%20fintech/icon/MTCH_pa_trend_signal</t>
  </si>
  <si>
    <t>https://3arbzfbsh-cname-us.ngrok.io/Desktop/seabridge%20fintech/icon/MTD_pa_trend_signal</t>
  </si>
  <si>
    <t>https://3arbzfbsh-cname-us.ngrok.io/Desktop/seabridge%20fintech/icon/MU_pa_trend_signal</t>
  </si>
  <si>
    <t>https://3arbzfbsh-cname-us.ngrok.io/Desktop/seabridge%20fintech/icon/MXIM_pa_trend_signal</t>
  </si>
  <si>
    <t>https://3arbzfbsh-cname-us.ngrok.io/Desktop/seabridge%20fintech/icon/NCLH_pa_trend_signal</t>
  </si>
  <si>
    <t>https://3arbzfbsh-cname-us.ngrok.io/Desktop/seabridge%20fintech/icon/NDAQ_pa_trend_signal</t>
  </si>
  <si>
    <t>https://3arbzfbsh-cname-us.ngrok.io/Desktop/seabridge%20fintech/icon/NEE_pa_trend_signal</t>
  </si>
  <si>
    <t>https://3arbzfbsh-cname-us.ngrok.io/Desktop/seabridge%20fintech/icon/NEM_pa_trend_signal</t>
  </si>
  <si>
    <t>https://3arbzfbsh-cname-us.ngrok.io/Desktop/seabridge%20fintech/icon/NET_pa_trend_signal</t>
  </si>
  <si>
    <t>https://3arbzfbsh-cname-us.ngrok.io/Desktop/seabridge%20fintech/icon/NFLX_pa_trend_signal</t>
  </si>
  <si>
    <t>https://3arbzfbsh-cname-us.ngrok.io/Desktop/seabridge%20fintech/icon/NI_pa_trend_signal</t>
  </si>
  <si>
    <t>https://3arbzfbsh-cname-us.ngrok.io/Desktop/seabridge%20fintech/icon/NKE_pa_trend_signal</t>
  </si>
  <si>
    <t>https://3arbzfbsh-cname-us.ngrok.io/Desktop/seabridge%20fintech/icon/NLOK_pa_trend_signal</t>
  </si>
  <si>
    <t>https://3arbzfbsh-cname-us.ngrok.io/Desktop/seabridge%20fintech/icon/NLSN_pa_trend_signal</t>
  </si>
  <si>
    <t>https://3arbzfbsh-cname-us.ngrok.io/Desktop/seabridge%20fintech/icon/NOC_pa_trend_signal</t>
  </si>
  <si>
    <t>https://3arbzfbsh-cname-us.ngrok.io/Desktop/seabridge%20fintech/icon/NOV_pa_trend_signal</t>
  </si>
  <si>
    <t>https://3arbzfbsh-cname-us.ngrok.io/Desktop/seabridge%20fintech/icon/NOVA_pa_trend_signal</t>
  </si>
  <si>
    <t>https://3arbzfbsh-cname-us.ngrok.io/Desktop/seabridge%20fintech/icon/NOW_pa_trend_signal</t>
  </si>
  <si>
    <t>https://3arbzfbsh-cname-us.ngrok.io/Desktop/seabridge%20fintech/icon/NRG_pa_trend_signal</t>
  </si>
  <si>
    <t>https://3arbzfbsh-cname-us.ngrok.io/Desktop/seabridge%20fintech/icon/NSC_pa_trend_signal</t>
  </si>
  <si>
    <t>https://3arbzfbsh-cname-us.ngrok.io/Desktop/seabridge%20fintech/icon/NTAP_pa_trend_signal</t>
  </si>
  <si>
    <t>https://3arbzfbsh-cname-us.ngrok.io/Desktop/seabridge%20fintech/icon/NTES_pa_trend_signal</t>
  </si>
  <si>
    <t>https://3arbzfbsh-cname-us.ngrok.io/Desktop/seabridge%20fintech/icon/NTLA_pa_trend_signal</t>
  </si>
  <si>
    <t>https://3arbzfbsh-cname-us.ngrok.io/Desktop/seabridge%20fintech/icon/NTNX_pa_trend_signal</t>
  </si>
  <si>
    <t>https://3arbzfbsh-cname-us.ngrok.io/Desktop/seabridge%20fintech/icon/NTRS_pa_trend_signal</t>
  </si>
  <si>
    <t>https://3arbzfbsh-cname-us.ngrok.io/Desktop/seabridge%20fintech/icon/NUAN_pa_trend_signal</t>
  </si>
  <si>
    <t>https://3arbzfbsh-cname-us.ngrok.io/Desktop/seabridge%20fintech/icon/NUE_pa_trend_signal</t>
  </si>
  <si>
    <t>https://3arbzfbsh-cname-us.ngrok.io/Desktop/seabridge%20fintech/icon/NVAX_pa_trend_signal</t>
  </si>
  <si>
    <t>https://3arbzfbsh-cname-us.ngrok.io/Desktop/seabridge%20fintech/icon/NVDA_pa_trend_signal</t>
  </si>
  <si>
    <t>https://3arbzfbsh-cname-us.ngrok.io/Desktop/seabridge%20fintech/icon/NVR_pa_trend_signal</t>
  </si>
  <si>
    <t>https://3arbzfbsh-cname-us.ngrok.io/Desktop/seabridge%20fintech/icon/NVTA_pa_trend_signal</t>
  </si>
  <si>
    <t>https://3arbzfbsh-cname-us.ngrok.io/Desktop/seabridge%20fintech/icon/NWL_pa_trend_signal</t>
  </si>
  <si>
    <t>https://3arbzfbsh-cname-us.ngrok.io/Desktop/seabridge%20fintech/icon/NWS_pa_trend_signal</t>
  </si>
  <si>
    <t>https://3arbzfbsh-cname-us.ngrok.io/Desktop/seabridge%20fintech/icon/NWSA_pa_trend_signal</t>
  </si>
  <si>
    <t>https://3arbzfbsh-cname-us.ngrok.io/Desktop/seabridge%20fintech/icon/NXPI_pa_trend_signal</t>
  </si>
  <si>
    <t>https://3arbzfbsh-cname-us.ngrok.io/Desktop/seabridge%20fintech/icon/O_pa_trend_signal</t>
  </si>
  <si>
    <t>https://3arbzfbsh-cname-us.ngrok.io/Desktop/seabridge%20fintech/icon/ODFL_pa_trend_signal</t>
  </si>
  <si>
    <t>https://3arbzfbsh-cname-us.ngrok.io/Desktop/seabridge%20fintech/icon/OGE_pa_trend_signal</t>
  </si>
  <si>
    <t>https://3arbzfbsh-cname-us.ngrok.io/Desktop/seabridge%20fintech/icon/OKE_pa_trend_signal</t>
  </si>
  <si>
    <t>https://3arbzfbsh-cname-us.ngrok.io/Desktop/seabridge%20fintech/icon/OKTA_pa_trend_signal</t>
  </si>
  <si>
    <t>https://3arbzfbsh-cname-us.ngrok.io/Desktop/seabridge%20fintech/icon/OMC_pa_trend_signal</t>
  </si>
  <si>
    <t>https://3arbzfbsh-cname-us.ngrok.io/Desktop/seabridge%20fintech/icon/ON_pa_trend_signal</t>
  </si>
  <si>
    <t>https://3arbzfbsh-cname-us.ngrok.io/Desktop/seabridge%20fintech/icon/ORCL_pa_trend_signal</t>
  </si>
  <si>
    <t>https://3arbzfbsh-cname-us.ngrok.io/Desktop/seabridge%20fintech/icon/ORLY_pa_trend_signal</t>
  </si>
  <si>
    <t>https://3arbzfbsh-cname-us.ngrok.io/Desktop/seabridge%20fintech/icon/OVV_pa_trend_signal</t>
  </si>
  <si>
    <t>https://3arbzfbsh-cname-us.ngrok.io/Desktop/seabridge%20fintech/icon/OXY_pa_trend_signal</t>
  </si>
  <si>
    <t>https://3arbzfbsh-cname-us.ngrok.io/Desktop/seabridge%20fintech/icon/PACB_pa_trend_signal</t>
  </si>
  <si>
    <t>https://3arbzfbsh-cname-us.ngrok.io/Desktop/seabridge%20fintech/icon/PAYC_pa_trend_signal</t>
  </si>
  <si>
    <t>https://3arbzfbsh-cname-us.ngrok.io/Desktop/seabridge%20fintech/icon/PAYX_pa_trend_signal</t>
  </si>
  <si>
    <t>https://3arbzfbsh-cname-us.ngrok.io/Desktop/seabridge%20fintech/icon/PBCT_pa_trend_signal</t>
  </si>
  <si>
    <t>https://3arbzfbsh-cname-us.ngrok.io/Desktop/seabridge%20fintech/icon/PCAR_pa_trend_signal</t>
  </si>
  <si>
    <t>https://3arbzfbsh-cname-us.ngrok.io/Desktop/seabridge%20fintech/icon/PDD_pa_trend_signal</t>
  </si>
  <si>
    <t>https://3arbzfbsh-cname-us.ngrok.io/Desktop/seabridge%20fintech/icon/PEAK_pa_trend_signal</t>
  </si>
  <si>
    <t>https://3arbzfbsh-cname-us.ngrok.io/Desktop/seabridge%20fintech/icon/PEG_pa_trend_signal</t>
  </si>
  <si>
    <t>https://3arbzfbsh-cname-us.ngrok.io/Desktop/seabridge%20fintech/icon/PENN_pa_trend_signal</t>
  </si>
  <si>
    <t>https://3arbzfbsh-cname-us.ngrok.io/Desktop/seabridge%20fintech/icon/PEP_pa_trend_signal</t>
  </si>
  <si>
    <t>https://3arbzfbsh-cname-us.ngrok.io/Desktop/seabridge%20fintech/icon/PFE_pa_trend_signal</t>
  </si>
  <si>
    <t>https://3arbzfbsh-cname-us.ngrok.io/Desktop/seabridge%20fintech/icon/PFF_pa_trend_signal</t>
  </si>
  <si>
    <t>https://3arbzfbsh-cname-us.ngrok.io/Desktop/seabridge%20fintech/icon/PFG_pa_trend_signal</t>
  </si>
  <si>
    <t>https://3arbzfbsh-cname-us.ngrok.io/Desktop/seabridge%20fintech/icon/PG_pa_trend_signal</t>
  </si>
  <si>
    <t>https://3arbzfbsh-cname-us.ngrok.io/Desktop/seabridge%20fintech/icon/PGR_pa_trend_signal</t>
  </si>
  <si>
    <t>https://3arbzfbsh-cname-us.ngrok.io/Desktop/seabridge%20fintech/icon/PH_pa_trend_signal</t>
  </si>
  <si>
    <t>https://3arbzfbsh-cname-us.ngrok.io/Desktop/seabridge%20fintech/icon/PHM_pa_trend_signal</t>
  </si>
  <si>
    <t>https://3arbzfbsh-cname-us.ngrok.io/Desktop/seabridge%20fintech/icon/PINS_pa_trend_signal</t>
  </si>
  <si>
    <t>https://3arbzfbsh-cname-us.ngrok.io/Desktop/seabridge%20fintech/icon/PKG_pa_trend_signal</t>
  </si>
  <si>
    <t>https://3arbzfbsh-cname-us.ngrok.io/Desktop/seabridge%20fintech/icon/PKI_pa_trend_signal</t>
  </si>
  <si>
    <t>https://3arbzfbsh-cname-us.ngrok.io/Desktop/seabridge%20fintech/icon/PLAN_pa_trend_signal</t>
  </si>
  <si>
    <t>https://3arbzfbsh-cname-us.ngrok.io/Desktop/seabridge%20fintech/icon/PLD_pa_trend_signal</t>
  </si>
  <si>
    <t>https://3arbzfbsh-cname-us.ngrok.io/Desktop/seabridge%20fintech/icon/PLUG_pa_trend_signal</t>
  </si>
  <si>
    <t>https://3arbzfbsh-cname-us.ngrok.io/Desktop/seabridge%20fintech/icon/PM_pa_trend_signal</t>
  </si>
  <si>
    <t>https://3arbzfbsh-cname-us.ngrok.io/Desktop/seabridge%20fintech/icon/PNC_pa_trend_signal</t>
  </si>
  <si>
    <t>https://3arbzfbsh-cname-us.ngrok.io/Desktop/seabridge%20fintech/icon/PNR_pa_trend_signal</t>
  </si>
  <si>
    <t>https://3arbzfbsh-cname-us.ngrok.io/Desktop/seabridge%20fintech/icon/PNW_pa_trend_signal</t>
  </si>
  <si>
    <t>https://3arbzfbsh-cname-us.ngrok.io/Desktop/seabridge%20fintech/icon/POOL_pa_trend_signal</t>
  </si>
  <si>
    <t>https://3arbzfbsh-cname-us.ngrok.io/Desktop/seabridge%20fintech/icon/PPG_pa_trend_signal</t>
  </si>
  <si>
    <t>https://3arbzfbsh-cname-us.ngrok.io/Desktop/seabridge%20fintech/icon/PPL_pa_trend_signal</t>
  </si>
  <si>
    <t>https://3arbzfbsh-cname-us.ngrok.io/Desktop/seabridge%20fintech/icon/PRGO_pa_trend_signal</t>
  </si>
  <si>
    <t>https://3arbzfbsh-cname-us.ngrok.io/Desktop/seabridge%20fintech/icon/PRSP_pa_trend_signal</t>
  </si>
  <si>
    <t>https://3arbzfbsh-cname-us.ngrok.io/Desktop/seabridge%20fintech/icon/PRU_pa_trend_signal</t>
  </si>
  <si>
    <t>https://3arbzfbsh-cname-us.ngrok.io/Desktop/seabridge%20fintech/icon/PSA_pa_trend_signal</t>
  </si>
  <si>
    <t>https://3arbzfbsh-cname-us.ngrok.io/Desktop/seabridge%20fintech/icon/PSX_pa_trend_signal</t>
  </si>
  <si>
    <t>https://3arbzfbsh-cname-us.ngrok.io/Desktop/seabridge%20fintech/icon/PTC_pa_trend_signal</t>
  </si>
  <si>
    <t>https://3arbzfbsh-cname-us.ngrok.io/Desktop/seabridge%20fintech/icon/PTON_pa_trend_signal</t>
  </si>
  <si>
    <t>https://3arbzfbsh-cname-us.ngrok.io/Desktop/seabridge%20fintech/icon/PVH_pa_trend_signal</t>
  </si>
  <si>
    <t>https://3arbzfbsh-cname-us.ngrok.io/Desktop/seabridge%20fintech/icon/PWR_pa_trend_signal</t>
  </si>
  <si>
    <t>https://3arbzfbsh-cname-us.ngrok.io/Desktop/seabridge%20fintech/icon/PXD_pa_trend_signal</t>
  </si>
  <si>
    <t>https://3arbzfbsh-cname-us.ngrok.io/Desktop/seabridge%20fintech/icon/PYPL_pa_trend_signal</t>
  </si>
  <si>
    <t>https://3arbzfbsh-cname-us.ngrok.io/Desktop/seabridge%20fintech/icon/QCOM_pa_trend_signal</t>
  </si>
  <si>
    <t>https://3arbzfbsh-cname-us.ngrok.io/Desktop/seabridge%20fintech/icon/QLD_pa_trend_signal</t>
  </si>
  <si>
    <t>https://3arbzfbsh-cname-us.ngrok.io/Desktop/seabridge%20fintech/icon/QQQ_pa_trend_signal</t>
  </si>
  <si>
    <t>https://3arbzfbsh-cname-us.ngrok.io/Desktop/seabridge%20fintech/icon/QRVO_pa_trend_signal</t>
  </si>
  <si>
    <t>https://3arbzfbsh-cname-us.ngrok.io/Desktop/seabridge%20fintech/icon/RCL_pa_trend_signal</t>
  </si>
  <si>
    <t>https://3arbzfbsh-cname-us.ngrok.io/Desktop/seabridge%20fintech/icon/RE_pa_trend_signal</t>
  </si>
  <si>
    <t>https://3arbzfbsh-cname-us.ngrok.io/Desktop/seabridge%20fintech/icon/REG_pa_trend_signal</t>
  </si>
  <si>
    <t>https://3arbzfbsh-cname-us.ngrok.io/Desktop/seabridge%20fintech/icon/REGN_pa_trend_signal</t>
  </si>
  <si>
    <t>https://3arbzfbsh-cname-us.ngrok.io/Desktop/seabridge%20fintech/icon/RF_pa_trend_signal</t>
  </si>
  <si>
    <t>https://3arbzfbsh-cname-us.ngrok.io/Desktop/seabridge%20fintech/icon/RHI_pa_trend_signal</t>
  </si>
  <si>
    <t>https://3arbzfbsh-cname-us.ngrok.io/Desktop/seabridge%20fintech/icon/RIOT_pa_trend_signal</t>
  </si>
  <si>
    <t>https://3arbzfbsh-cname-us.ngrok.io/Desktop/seabridge%20fintech/icon/RJF_pa_trend_signal</t>
  </si>
  <si>
    <t>https://3arbzfbsh-cname-us.ngrok.io/Desktop/seabridge%20fintech/icon/RL_pa_trend_signal</t>
  </si>
  <si>
    <t>https://3arbzfbsh-cname-us.ngrok.io/Desktop/seabridge%20fintech/icon/RMD_pa_trend_signal</t>
  </si>
  <si>
    <t>https://3arbzfbsh-cname-us.ngrok.io/Desktop/seabridge%20fintech/icon/ROK_pa_trend_signal</t>
  </si>
  <si>
    <t>https://3arbzfbsh-cname-us.ngrok.io/Desktop/seabridge%20fintech/icon/ROKU_pa_trend_signal</t>
  </si>
  <si>
    <t>https://3arbzfbsh-cname-us.ngrok.io/Desktop/seabridge%20fintech/icon/ROL_pa_trend_signal</t>
  </si>
  <si>
    <t>https://3arbzfbsh-cname-us.ngrok.io/Desktop/seabridge%20fintech/icon/ROP_pa_trend_signal</t>
  </si>
  <si>
    <t>https://3arbzfbsh-cname-us.ngrok.io/Desktop/seabridge%20fintech/icon/ROST_pa_trend_signal</t>
  </si>
  <si>
    <t>https://3arbzfbsh-cname-us.ngrok.io/Desktop/seabridge%20fintech/icon/RSG_pa_trend_signal</t>
  </si>
  <si>
    <t>https://3arbzfbsh-cname-us.ngrok.io/Desktop/seabridge%20fintech/icon/RSP_pa_trend_signal</t>
  </si>
  <si>
    <t>https://3arbzfbsh-cname-us.ngrok.io/Desktop/seabridge%20fintech/icon/RTX_pa_trend_signal</t>
  </si>
  <si>
    <t>https://3arbzfbsh-cname-us.ngrok.io/Desktop/seabridge%20fintech/icon/RUN_pa_trend_signal</t>
  </si>
  <si>
    <t>https://3arbzfbsh-cname-us.ngrok.io/Desktop/seabridge%20fintech/icon/SAVA_pa_trend_signal</t>
  </si>
  <si>
    <t>https://3arbzfbsh-cname-us.ngrok.io/Desktop/seabridge%20fintech/icon/SAVE_pa_trend_signal</t>
  </si>
  <si>
    <t>https://3arbzfbsh-cname-us.ngrok.io/Desktop/seabridge%20fintech/icon/SBAC_pa_trend_signal</t>
  </si>
  <si>
    <t>https://3arbzfbsh-cname-us.ngrok.io/Desktop/seabridge%20fintech/icon/SBUX_pa_trend_signal</t>
  </si>
  <si>
    <t>https://3arbzfbsh-cname-us.ngrok.io/Desktop/seabridge%20fintech/icon/SCHF_pa_trend_signal</t>
  </si>
  <si>
    <t>https://3arbzfbsh-cname-us.ngrok.io/Desktop/seabridge%20fintech/icon/SCHP_pa_trend_signal</t>
  </si>
  <si>
    <t>https://3arbzfbsh-cname-us.ngrok.io/Desktop/seabridge%20fintech/icon/SCHW_pa_trend_signal</t>
  </si>
  <si>
    <t>https://3arbzfbsh-cname-us.ngrok.io/Desktop/seabridge%20fintech/icon/SEE_pa_trend_signal</t>
  </si>
  <si>
    <t>https://3arbzfbsh-cname-us.ngrok.io/Desktop/seabridge%20fintech/icon/SFM_pa_trend_signal</t>
  </si>
  <si>
    <t>https://3arbzfbsh-cname-us.ngrok.io/Desktop/seabridge%20fintech/icon/SGEN_pa_trend_signal</t>
  </si>
  <si>
    <t>https://3arbzfbsh-cname-us.ngrok.io/Desktop/seabridge%20fintech/icon/SHW_pa_trend_signal</t>
  </si>
  <si>
    <t>https://3arbzfbsh-cname-us.ngrok.io/Desktop/seabridge%20fintech/icon/SHY_pa_trend_signal</t>
  </si>
  <si>
    <t>https://3arbzfbsh-cname-us.ngrok.io/Desktop/seabridge%20fintech/icon/SIRI_pa_trend_signal</t>
  </si>
  <si>
    <t>https://3arbzfbsh-cname-us.ngrok.io/Desktop/seabridge%20fintech/icon/SIVB_pa_trend_signal</t>
  </si>
  <si>
    <t>https://3arbzfbsh-cname-us.ngrok.io/Desktop/seabridge%20fintech/icon/SJM_pa_trend_signal</t>
  </si>
  <si>
    <t>https://3arbzfbsh-cname-us.ngrok.io/Desktop/seabridge%20fintech/icon/SJNK_pa_trend_signal</t>
  </si>
  <si>
    <t>https://3arbzfbsh-cname-us.ngrok.io/Desktop/seabridge%20fintech/icon/SLB_pa_trend_signal</t>
  </si>
  <si>
    <t>https://3arbzfbsh-cname-us.ngrok.io/Desktop/seabridge%20fintech/icon/SMH_pa_trend_signal</t>
  </si>
  <si>
    <t>https://3arbzfbsh-cname-us.ngrok.io/Desktop/seabridge%20fintech/icon/SNA_pa_trend_signal</t>
  </si>
  <si>
    <t>https://3arbzfbsh-cname-us.ngrok.io/Desktop/seabridge%20fintech/icon/SNAP_pa_trend_signal</t>
  </si>
  <si>
    <t>https://3arbzfbsh-cname-us.ngrok.io/Desktop/seabridge%20fintech/icon/SNOW_pa_trend_signal</t>
  </si>
  <si>
    <t>https://3arbzfbsh-cname-us.ngrok.io/Desktop/seabridge%20fintech/icon/SNPS_pa_trend_signal</t>
  </si>
  <si>
    <t>https://3arbzfbsh-cname-us.ngrok.io/Desktop/seabridge%20fintech/icon/SO_pa_trend_signal</t>
  </si>
  <si>
    <t>https://3arbzfbsh-cname-us.ngrok.io/Desktop/seabridge%20fintech/icon/SONO_pa_trend_signal</t>
  </si>
  <si>
    <t>https://3arbzfbsh-cname-us.ngrok.io/Desktop/seabridge%20fintech/icon/SPCE_pa_trend_signal</t>
  </si>
  <si>
    <t>https://3arbzfbsh-cname-us.ngrok.io/Desktop/seabridge%20fintech/icon/SPG_pa_trend_signal</t>
  </si>
  <si>
    <t>https://3arbzfbsh-cname-us.ngrok.io/Desktop/seabridge%20fintech/icon/SPGI_pa_trend_signal</t>
  </si>
  <si>
    <t>https://3arbzfbsh-cname-us.ngrok.io/Desktop/seabridge%20fintech/icon/SPIB_pa_trend_signal</t>
  </si>
  <si>
    <t>https://3arbzfbsh-cname-us.ngrok.io/Desktop/seabridge%20fintech/icon/SPLK_pa_trend_signal</t>
  </si>
  <si>
    <t>https://3arbzfbsh-cname-us.ngrok.io/Desktop/seabridge%20fintech/icon/SPLV_pa_trend_signal</t>
  </si>
  <si>
    <t>https://3arbzfbsh-cname-us.ngrok.io/Desktop/seabridge%20fintech/icon/SPWR_pa_trend_signal</t>
  </si>
  <si>
    <t>https://3arbzfbsh-cname-us.ngrok.io/Desktop/seabridge%20fintech/icon/SPY_pa_trend_signal</t>
  </si>
  <si>
    <t>https://3arbzfbsh-cname-us.ngrok.io/Desktop/seabridge%20fintech/icon/SPYV_pa_trend_signal</t>
  </si>
  <si>
    <t>https://3arbzfbsh-cname-us.ngrok.io/Desktop/seabridge%20fintech/icon/SQ_pa_trend_signal</t>
  </si>
  <si>
    <t>https://3arbzfbsh-cname-us.ngrok.io/Desktop/seabridge%20fintech/icon/SRE_pa_trend_signal</t>
  </si>
  <si>
    <t>https://3arbzfbsh-cname-us.ngrok.io/Desktop/seabridge%20fintech/icon/STE_pa_trend_signal</t>
  </si>
  <si>
    <t>https://3arbzfbsh-cname-us.ngrok.io/Desktop/seabridge%20fintech/icon/STEM_pa_trend_signal</t>
  </si>
  <si>
    <t>https://3arbzfbsh-cname-us.ngrok.io/Desktop/seabridge%20fintech/icon/STLD_pa_trend_signal</t>
  </si>
  <si>
    <t>https://3arbzfbsh-cname-us.ngrok.io/Desktop/seabridge%20fintech/icon/STT_pa_trend_signal</t>
  </si>
  <si>
    <t>https://3arbzfbsh-cname-us.ngrok.io/Desktop/seabridge%20fintech/icon/STX_pa_trend_signal</t>
  </si>
  <si>
    <t>https://3arbzfbsh-cname-us.ngrok.io/Desktop/seabridge%20fintech/icon/STZ_pa_trend_signal</t>
  </si>
  <si>
    <t>https://3arbzfbsh-cname-us.ngrok.io/Desktop/seabridge%20fintech/icon/SWK_pa_trend_signal</t>
  </si>
  <si>
    <t>https://3arbzfbsh-cname-us.ngrok.io/Desktop/seabridge%20fintech/icon/SWKS_pa_trend_signal</t>
  </si>
  <si>
    <t>https://3arbzfbsh-cname-us.ngrok.io/Desktop/seabridge%20fintech/icon/SYF_pa_trend_signal</t>
  </si>
  <si>
    <t>https://3arbzfbsh-cname-us.ngrok.io/Desktop/seabridge%20fintech/icon/SYK_pa_trend_signal</t>
  </si>
  <si>
    <t>https://3arbzfbsh-cname-us.ngrok.io/Desktop/seabridge%20fintech/icon/SYY_pa_trend_signal</t>
  </si>
  <si>
    <t>https://3arbzfbsh-cname-us.ngrok.io/Desktop/seabridge%20fintech/icon/T_pa_trend_signal</t>
  </si>
  <si>
    <t>https://3arbzfbsh-cname-us.ngrok.io/Desktop/seabridge%20fintech/icon/TAP_pa_trend_signal</t>
  </si>
  <si>
    <t>https://3arbzfbsh-cname-us.ngrok.io/Desktop/seabridge%20fintech/icon/TCOM_pa_trend_signal</t>
  </si>
  <si>
    <t>https://3arbzfbsh-cname-us.ngrok.io/Desktop/seabridge%20fintech/icon/TDG_pa_trend_signal</t>
  </si>
  <si>
    <t>https://3arbzfbsh-cname-us.ngrok.io/Desktop/seabridge%20fintech/icon/TDOC_pa_trend_signal</t>
  </si>
  <si>
    <t>https://3arbzfbsh-cname-us.ngrok.io/Desktop/seabridge%20fintech/icon/TDY_pa_trend_signal</t>
  </si>
  <si>
    <t>https://3arbzfbsh-cname-us.ngrok.io/Desktop/seabridge%20fintech/icon/TEAM_pa_trend_signal</t>
  </si>
  <si>
    <t>https://3arbzfbsh-cname-us.ngrok.io/Desktop/seabridge%20fintech/icon/TEL_pa_trend_signal</t>
  </si>
  <si>
    <t>https://3arbzfbsh-cname-us.ngrok.io/Desktop/seabridge%20fintech/icon/TER_pa_trend_signal</t>
  </si>
  <si>
    <t>https://3arbzfbsh-cname-us.ngrok.io/Desktop/seabridge%20fintech/icon/TFC_pa_trend_signal</t>
  </si>
  <si>
    <t>https://3arbzfbsh-cname-us.ngrok.io/Desktop/seabridge%20fintech/icon/TFX_pa_trend_signal</t>
  </si>
  <si>
    <t>https://3arbzfbsh-cname-us.ngrok.io/Desktop/seabridge%20fintech/icon/TGT_pa_trend_signal</t>
  </si>
  <si>
    <t>https://3arbzfbsh-cname-us.ngrok.io/Desktop/seabridge%20fintech/icon/TIP_pa_trend_signal</t>
  </si>
  <si>
    <t>https://3arbzfbsh-cname-us.ngrok.io/Desktop/seabridge%20fintech/icon/TJX_pa_trend_signal</t>
  </si>
  <si>
    <t>https://3arbzfbsh-cname-us.ngrok.io/Desktop/seabridge%20fintech/icon/TLT_pa_trend_signal</t>
  </si>
  <si>
    <t>https://3arbzfbsh-cname-us.ngrok.io/Desktop/seabridge%20fintech/icon/TMO_pa_trend_signal</t>
  </si>
  <si>
    <t>https://3arbzfbsh-cname-us.ngrok.io/Desktop/seabridge%20fintech/icon/TMUS_pa_trend_signal</t>
  </si>
  <si>
    <t>https://3arbzfbsh-cname-us.ngrok.io/Desktop/seabridge%20fintech/icon/TPR_pa_trend_signal</t>
  </si>
  <si>
    <t>https://3arbzfbsh-cname-us.ngrok.io/Desktop/seabridge%20fintech/icon/TQQQ_pa_trend_signal</t>
  </si>
  <si>
    <t>https://3arbzfbsh-cname-us.ngrok.io/Desktop/seabridge%20fintech/icon/TRGP_pa_trend_signal</t>
  </si>
  <si>
    <t>https://3arbzfbsh-cname-us.ngrok.io/Desktop/seabridge%20fintech/icon/TRIP_pa_trend_signal</t>
  </si>
  <si>
    <t>https://3arbzfbsh-cname-us.ngrok.io/Desktop/seabridge%20fintech/icon/TRMB_pa_trend_signal</t>
  </si>
  <si>
    <t>https://3arbzfbsh-cname-us.ngrok.io/Desktop/seabridge%20fintech/icon/TROW_pa_trend_signal</t>
  </si>
  <si>
    <t>https://3arbzfbsh-cname-us.ngrok.io/Desktop/seabridge%20fintech/icon/TRV_pa_trend_signal</t>
  </si>
  <si>
    <t>https://3arbzfbsh-cname-us.ngrok.io/Desktop/seabridge%20fintech/icon/TSCO_pa_trend_signal</t>
  </si>
  <si>
    <t>https://3arbzfbsh-cname-us.ngrok.io/Desktop/seabridge%20fintech/icon/TSLA_pa_trend_signal</t>
  </si>
  <si>
    <t>https://3arbzfbsh-cname-us.ngrok.io/Desktop/seabridge%20fintech/icon/TSN_pa_trend_signal</t>
  </si>
  <si>
    <t>https://3arbzfbsh-cname-us.ngrok.io/Desktop/seabridge%20fintech/icon/TT_pa_trend_signal</t>
  </si>
  <si>
    <t>https://3arbzfbsh-cname-us.ngrok.io/Desktop/seabridge%20fintech/icon/TTD_pa_trend_signal</t>
  </si>
  <si>
    <t>https://3arbzfbsh-cname-us.ngrok.io/Desktop/seabridge%20fintech/icon/TTWO_pa_trend_signal</t>
  </si>
  <si>
    <t>https://3arbzfbsh-cname-us.ngrok.io/Desktop/seabridge%20fintech/icon/TWLO_pa_trend_signal</t>
  </si>
  <si>
    <t>https://3arbzfbsh-cname-us.ngrok.io/Desktop/seabridge%20fintech/icon/TWTR_pa_trend_signal</t>
  </si>
  <si>
    <t>https://3arbzfbsh-cname-us.ngrok.io/Desktop/seabridge%20fintech/icon/TXN_pa_trend_signal</t>
  </si>
  <si>
    <t>https://3arbzfbsh-cname-us.ngrok.io/Desktop/seabridge%20fintech/icon/TXT_pa_trend_signal</t>
  </si>
  <si>
    <t>https://3arbzfbsh-cname-us.ngrok.io/Desktop/seabridge%20fintech/icon/TYL_pa_trend_signal</t>
  </si>
  <si>
    <t>https://3arbzfbsh-cname-us.ngrok.io/Desktop/seabridge%20fintech/icon/UA_pa_trend_signal</t>
  </si>
  <si>
    <t>https://3arbzfbsh-cname-us.ngrok.io/Desktop/seabridge%20fintech/icon/UAA_pa_trend_signal</t>
  </si>
  <si>
    <t>https://3arbzfbsh-cname-us.ngrok.io/Desktop/seabridge%20fintech/icon/UAL_pa_trend_signal</t>
  </si>
  <si>
    <t>https://3arbzfbsh-cname-us.ngrok.io/Desktop/seabridge%20fintech/icon/UBER_pa_trend_signal</t>
  </si>
  <si>
    <t>https://3arbzfbsh-cname-us.ngrok.io/Desktop/seabridge%20fintech/icon/UDR_pa_trend_signal</t>
  </si>
  <si>
    <t>https://3arbzfbsh-cname-us.ngrok.io/Desktop/seabridge%20fintech/icon/UHS_pa_trend_signal</t>
  </si>
  <si>
    <t>https://3arbzfbsh-cname-us.ngrok.io/Desktop/seabridge%20fintech/icon/ULTA_pa_trend_signal</t>
  </si>
  <si>
    <t>https://3arbzfbsh-cname-us.ngrok.io/Desktop/seabridge%20fintech/icon/UNH_pa_trend_signal</t>
  </si>
  <si>
    <t>https://3arbzfbsh-cname-us.ngrok.io/Desktop/seabridge%20fintech/icon/UNM_pa_trend_signal</t>
  </si>
  <si>
    <t>https://3arbzfbsh-cname-us.ngrok.io/Desktop/seabridge%20fintech/icon/UNP_pa_trend_signal</t>
  </si>
  <si>
    <t>https://3arbzfbsh-cname-us.ngrok.io/Desktop/seabridge%20fintech/icon/UPS_pa_trend_signal</t>
  </si>
  <si>
    <t>https://3arbzfbsh-cname-us.ngrok.io/Desktop/seabridge%20fintech/icon/UPST_pa_trend_signal</t>
  </si>
  <si>
    <t>https://3arbzfbsh-cname-us.ngrok.io/Desktop/seabridge%20fintech/icon/URI_pa_trend_signal</t>
  </si>
  <si>
    <t>https://3arbzfbsh-cname-us.ngrok.io/Desktop/seabridge%20fintech/icon/USB_pa_trend_signal</t>
  </si>
  <si>
    <t>https://3arbzfbsh-cname-us.ngrok.io/Desktop/seabridge%20fintech/icon/USMV_pa_trend_signal</t>
  </si>
  <si>
    <t>https://3arbzfbsh-cname-us.ngrok.io/Desktop/seabridge%20fintech/icon/USO_pa_trend_signal</t>
  </si>
  <si>
    <t>https://3arbzfbsh-cname-us.ngrok.io/Desktop/seabridge%20fintech/icon/V_pa_trend_signal</t>
  </si>
  <si>
    <t>https://3arbzfbsh-cname-us.ngrok.io/Desktop/seabridge%20fintech/icon/VCIT_pa_trend_signal</t>
  </si>
  <si>
    <t>https://3arbzfbsh-cname-us.ngrok.io/Desktop/seabridge%20fintech/icon/VCSH_pa_trend_signal</t>
  </si>
  <si>
    <t>https://3arbzfbsh-cname-us.ngrok.io/Desktop/seabridge%20fintech/icon/VEA_pa_trend_signal</t>
  </si>
  <si>
    <t>https://3arbzfbsh-cname-us.ngrok.io/Desktop/seabridge%20fintech/icon/VER_pa_trend_signal</t>
  </si>
  <si>
    <t>https://3arbzfbsh-cname-us.ngrok.io/Desktop/seabridge%20fintech/icon/VEU_pa_trend_signal</t>
  </si>
  <si>
    <t>https://3arbzfbsh-cname-us.ngrok.io/Desktop/seabridge%20fintech/icon/VFC_pa_trend_signal</t>
  </si>
  <si>
    <t>https://3arbzfbsh-cname-us.ngrok.io/Desktop/seabridge%20fintech/icon/VGK_pa_trend_signal</t>
  </si>
  <si>
    <t>https://3arbzfbsh-cname-us.ngrok.io/Desktop/seabridge%20fintech/icon/VIAC_pa_trend_signal</t>
  </si>
  <si>
    <t>https://3arbzfbsh-cname-us.ngrok.io/Desktop/seabridge%20fintech/icon/VICI_pa_trend_signal</t>
  </si>
  <si>
    <t>https://3arbzfbsh-cname-us.ngrok.io/Desktop/seabridge%20fintech/icon/VLO_pa_trend_signal</t>
  </si>
  <si>
    <t>https://3arbzfbsh-cname-us.ngrok.io/Desktop/seabridge%20fintech/icon/VMC_pa_trend_signal</t>
  </si>
  <si>
    <t>https://3arbzfbsh-cname-us.ngrok.io/Desktop/seabridge%20fintech/icon/VNO_pa_trend_signal</t>
  </si>
  <si>
    <t>https://3arbzfbsh-cname-us.ngrok.io/Desktop/seabridge%20fintech/icon/VNQ_pa_trend_signal</t>
  </si>
  <si>
    <t>https://3arbzfbsh-cname-us.ngrok.io/Desktop/seabridge%20fintech/icon/VOO_pa_trend_signal</t>
  </si>
  <si>
    <t>https://3arbzfbsh-cname-us.ngrok.io/Desktop/seabridge%20fintech/icon/VRM_pa_trend_signal</t>
  </si>
  <si>
    <t>https://3arbzfbsh-cname-us.ngrok.io/Desktop/seabridge%20fintech/icon/VRSK_pa_trend_signal</t>
  </si>
  <si>
    <t>https://3arbzfbsh-cname-us.ngrok.io/Desktop/seabridge%20fintech/icon/VRSN_pa_trend_signal</t>
  </si>
  <si>
    <t>https://3arbzfbsh-cname-us.ngrok.io/Desktop/seabridge%20fintech/icon/VRT_pa_trend_signal</t>
  </si>
  <si>
    <t>https://3arbzfbsh-cname-us.ngrok.io/Desktop/seabridge%20fintech/icon/VRTX_pa_trend_signal</t>
  </si>
  <si>
    <t>https://3arbzfbsh-cname-us.ngrok.io/Desktop/seabridge%20fintech/icon/VT_pa_trend_signal</t>
  </si>
  <si>
    <t>https://3arbzfbsh-cname-us.ngrok.io/Desktop/seabridge%20fintech/icon/VTI_pa_trend_signal</t>
  </si>
  <si>
    <t>https://3arbzfbsh-cname-us.ngrok.io/Desktop/seabridge%20fintech/icon/VTIP_pa_trend_signal</t>
  </si>
  <si>
    <t>https://3arbzfbsh-cname-us.ngrok.io/Desktop/seabridge%20fintech/icon/VTR_pa_trend_signal</t>
  </si>
  <si>
    <t>https://3arbzfbsh-cname-us.ngrok.io/Desktop/seabridge%20fintech/icon/VTRS_pa_trend_signal</t>
  </si>
  <si>
    <t>https://3arbzfbsh-cname-us.ngrok.io/Desktop/seabridge%20fintech/icon/VTV_pa_trend_signal</t>
  </si>
  <si>
    <t>https://3arbzfbsh-cname-us.ngrok.io/Desktop/seabridge%20fintech/icon/VWO_pa_trend_signal</t>
  </si>
  <si>
    <t>https://3arbzfbsh-cname-us.ngrok.io/Desktop/seabridge%20fintech/icon/VXUS_pa_trend_signal</t>
  </si>
  <si>
    <t>https://3arbzfbsh-cname-us.ngrok.io/Desktop/seabridge%20fintech/icon/VZ_pa_trend_signal</t>
  </si>
  <si>
    <t>https://3arbzfbsh-cname-us.ngrok.io/Desktop/seabridge%20fintech/icon/WAB_pa_trend_signal</t>
  </si>
  <si>
    <t>https://3arbzfbsh-cname-us.ngrok.io/Desktop/seabridge%20fintech/icon/WAT_pa_trend_signal</t>
  </si>
  <si>
    <t>https://3arbzfbsh-cname-us.ngrok.io/Desktop/seabridge%20fintech/icon/WBA_pa_trend_signal</t>
  </si>
  <si>
    <t>https://3arbzfbsh-cname-us.ngrok.io/Desktop/seabridge%20fintech/icon/WDAY_pa_trend_signal</t>
  </si>
  <si>
    <t>https://3arbzfbsh-cname-us.ngrok.io/Desktop/seabridge%20fintech/icon/WDC_pa_trend_signal</t>
  </si>
  <si>
    <t>https://3arbzfbsh-cname-us.ngrok.io/Desktop/seabridge%20fintech/icon/WEC_pa_trend_signal</t>
  </si>
  <si>
    <t>https://3arbzfbsh-cname-us.ngrok.io/Desktop/seabridge%20fintech/icon/WELL_pa_trend_signal</t>
  </si>
  <si>
    <t>https://3arbzfbsh-cname-us.ngrok.io/Desktop/seabridge%20fintech/icon/WFC_pa_trend_signal</t>
  </si>
  <si>
    <t>https://3arbzfbsh-cname-us.ngrok.io/Desktop/seabridge%20fintech/icon/WHR_pa_trend_signal</t>
  </si>
  <si>
    <t>https://3arbzfbsh-cname-us.ngrok.io/Desktop/seabridge%20fintech/icon/WLTW_pa_trend_signal</t>
  </si>
  <si>
    <t>https://3arbzfbsh-cname-us.ngrok.io/Desktop/seabridge%20fintech/icon/WM_pa_trend_signal</t>
  </si>
  <si>
    <t>https://3arbzfbsh-cname-us.ngrok.io/Desktop/seabridge%20fintech/icon/WMB_pa_trend_signal</t>
  </si>
  <si>
    <t>https://3arbzfbsh-cname-us.ngrok.io/Desktop/seabridge%20fintech/icon/WMT_pa_trend_signal</t>
  </si>
  <si>
    <t>https://3arbzfbsh-cname-us.ngrok.io/Desktop/seabridge%20fintech/icon/WORK_pa_trend_signal</t>
  </si>
  <si>
    <t>https://3arbzfbsh-cname-us.ngrok.io/Desktop/seabridge%20fintech/icon/WRB_pa_trend_signal</t>
  </si>
  <si>
    <t>https://3arbzfbsh-cname-us.ngrok.io/Desktop/seabridge%20fintech/icon/WRK_pa_trend_signal</t>
  </si>
  <si>
    <t>https://3arbzfbsh-cname-us.ngrok.io/Desktop/seabridge%20fintech/icon/WSC_pa_trend_signal</t>
  </si>
  <si>
    <t>https://3arbzfbsh-cname-us.ngrok.io/Desktop/seabridge%20fintech/icon/WST_pa_trend_signal</t>
  </si>
  <si>
    <t>https://3arbzfbsh-cname-us.ngrok.io/Desktop/seabridge%20fintech/icon/WU_pa_trend_signal</t>
  </si>
  <si>
    <t>https://3arbzfbsh-cname-us.ngrok.io/Desktop/seabridge%20fintech/icon/WY_pa_trend_signal</t>
  </si>
  <si>
    <t>https://3arbzfbsh-cname-us.ngrok.io/Desktop/seabridge%20fintech/icon/WYNN_pa_trend_signal</t>
  </si>
  <si>
    <t>https://3arbzfbsh-cname-us.ngrok.io/Desktop/seabridge%20fintech/icon/XBI_pa_trend_signal</t>
  </si>
  <si>
    <t>https://3arbzfbsh-cname-us.ngrok.io/Desktop/seabridge%20fintech/icon/XEL_pa_trend_signal</t>
  </si>
  <si>
    <t>https://3arbzfbsh-cname-us.ngrok.io/Desktop/seabridge%20fintech/icon/XLB_pa_trend_signal</t>
  </si>
  <si>
    <t>https://3arbzfbsh-cname-us.ngrok.io/Desktop/seabridge%20fintech/icon/XLC_pa_trend_signal</t>
  </si>
  <si>
    <t>https://3arbzfbsh-cname-us.ngrok.io/Desktop/seabridge%20fintech/icon/XLE_pa_trend_signal</t>
  </si>
  <si>
    <t>https://3arbzfbsh-cname-us.ngrok.io/Desktop/seabridge%20fintech/icon/XLF_pa_trend_signal</t>
  </si>
  <si>
    <t>https://3arbzfbsh-cname-us.ngrok.io/Desktop/seabridge%20fintech/icon/XLI_pa_trend_signal</t>
  </si>
  <si>
    <t>https://3arbzfbsh-cname-us.ngrok.io/Desktop/seabridge%20fintech/icon/XLK_pa_trend_signal</t>
  </si>
  <si>
    <t>https://3arbzfbsh-cname-us.ngrok.io/Desktop/seabridge%20fintech/icon/XLNX_pa_trend_signal</t>
  </si>
  <si>
    <t>https://3arbzfbsh-cname-us.ngrok.io/Desktop/seabridge%20fintech/icon/XLP_pa_trend_signal</t>
  </si>
  <si>
    <t>https://3arbzfbsh-cname-us.ngrok.io/Desktop/seabridge%20fintech/icon/XLRE_pa_trend_signal</t>
  </si>
  <si>
    <t>https://3arbzfbsh-cname-us.ngrok.io/Desktop/seabridge%20fintech/icon/XLU_pa_trend_signal</t>
  </si>
  <si>
    <t>https://3arbzfbsh-cname-us.ngrok.io/Desktop/seabridge%20fintech/icon/XLV_pa_trend_signal</t>
  </si>
  <si>
    <t>https://3arbzfbsh-cname-us.ngrok.io/Desktop/seabridge%20fintech/icon/XLY_pa_trend_signal</t>
  </si>
  <si>
    <t>https://3arbzfbsh-cname-us.ngrok.io/Desktop/seabridge%20fintech/icon/XOM_pa_trend_signal</t>
  </si>
  <si>
    <t>https://3arbzfbsh-cname-us.ngrok.io/Desktop/seabridge%20fintech/icon/XOP_pa_trend_signal</t>
  </si>
  <si>
    <t>https://3arbzfbsh-cname-us.ngrok.io/Desktop/seabridge%20fintech/icon/XRAY_pa_trend_signal</t>
  </si>
  <si>
    <t>https://3arbzfbsh-cname-us.ngrok.io/Desktop/seabridge%20fintech/icon/XYL_pa_trend_signal</t>
  </si>
  <si>
    <t>https://3arbzfbsh-cname-us.ngrok.io/Desktop/seabridge%20fintech/icon/YUM_pa_trend_signal</t>
  </si>
  <si>
    <t>https://3arbzfbsh-cname-us.ngrok.io/Desktop/seabridge%20fintech/icon/Z_pa_trend_signal</t>
  </si>
  <si>
    <t>https://3arbzfbsh-cname-us.ngrok.io/Desktop/seabridge%20fintech/icon/ZBH_pa_trend_signal</t>
  </si>
  <si>
    <t>https://3arbzfbsh-cname-us.ngrok.io/Desktop/seabridge%20fintech/icon/ZBRA_pa_trend_signal</t>
  </si>
  <si>
    <t>https://3arbzfbsh-cname-us.ngrok.io/Desktop/seabridge%20fintech/icon/ZION_pa_trend_signal</t>
  </si>
  <si>
    <t>https://3arbzfbsh-cname-us.ngrok.io/Desktop/seabridge%20fintech/icon/ZM_pa_trend_signal</t>
  </si>
  <si>
    <t>https://3arbzfbsh-cname-us.ngrok.io/Desktop/seabridge%20fintech/icon/ZTS_pa_trend_signal</t>
  </si>
  <si>
    <t>image_resistance_support</t>
  </si>
  <si>
    <t>image_return</t>
  </si>
  <si>
    <t>https://3arbzfbsh-cname-us.ngrok.io/Desktop/seabridge%20fintech/image_app/A_resistance_support.jpg</t>
  </si>
  <si>
    <t>https://3arbzfbsh-cname-us.ngrok.io/Desktop/seabridge%20fintech/profit_graph_app/A_Return.jpg</t>
  </si>
  <si>
    <t>https://3arbzfbsh-cname-us.ngrok.io/Desktop/seabridge%20fintech/image_app/AA_resistance_support.jpg</t>
  </si>
  <si>
    <t>https://3arbzfbsh-cname-us.ngrok.io/Desktop/seabridge%20fintech/profit_graph_app/AA_Return.jpg</t>
  </si>
  <si>
    <t>https://3arbzfbsh-cname-us.ngrok.io/Desktop/seabridge%20fintech/image_app/AAL_resistance_support.jpg</t>
  </si>
  <si>
    <t>https://3arbzfbsh-cname-us.ngrok.io/Desktop/seabridge%20fintech/profit_graph_app/AAL_Return.jpg</t>
  </si>
  <si>
    <t>https://3arbzfbsh-cname-us.ngrok.io/Desktop/seabridge%20fintech/image_app/AAP_resistance_support.jpg</t>
  </si>
  <si>
    <t>https://3arbzfbsh-cname-us.ngrok.io/Desktop/seabridge%20fintech/profit_graph_app/AAP_Return.jpg</t>
  </si>
  <si>
    <t>https://3arbzfbsh-cname-us.ngrok.io/Desktop/seabridge%20fintech/image_app/AAPL_resistance_support.jpg</t>
  </si>
  <si>
    <t>https://3arbzfbsh-cname-us.ngrok.io/Desktop/seabridge%20fintech/profit_graph_app/AAPL_Return.jpg</t>
  </si>
  <si>
    <t>https://3arbzfbsh-cname-us.ngrok.io/Desktop/seabridge%20fintech/image_app/ABBV_resistance_support.jpg</t>
  </si>
  <si>
    <t>https://3arbzfbsh-cname-us.ngrok.io/Desktop/seabridge%20fintech/profit_graph_app/ABBV_Return.jpg</t>
  </si>
  <si>
    <t>https://3arbzfbsh-cname-us.ngrok.io/Desktop/seabridge%20fintech/image_app/ABC_resistance_support.jpg</t>
  </si>
  <si>
    <t>https://3arbzfbsh-cname-us.ngrok.io/Desktop/seabridge%20fintech/profit_graph_app/ABC_Return.jpg</t>
  </si>
  <si>
    <t>https://3arbzfbsh-cname-us.ngrok.io/Desktop/seabridge%20fintech/image_app/ABMD_resistance_support.jpg</t>
  </si>
  <si>
    <t>https://3arbzfbsh-cname-us.ngrok.io/Desktop/seabridge%20fintech/profit_graph_app/ABMD_Return.jpg</t>
  </si>
  <si>
    <t>https://3arbzfbsh-cname-us.ngrok.io/Desktop/seabridge%20fintech/image_app/ABT_resistance_support.jpg</t>
  </si>
  <si>
    <t>https://3arbzfbsh-cname-us.ngrok.io/Desktop/seabridge%20fintech/profit_graph_app/ABT_Return.jpg</t>
  </si>
  <si>
    <t>https://3arbzfbsh-cname-us.ngrok.io/Desktop/seabridge%20fintech/image_app/ACN_resistance_support.jpg</t>
  </si>
  <si>
    <t>https://3arbzfbsh-cname-us.ngrok.io/Desktop/seabridge%20fintech/profit_graph_app/ACN_Return.jpg</t>
  </si>
  <si>
    <t>https://3arbzfbsh-cname-us.ngrok.io/Desktop/seabridge%20fintech/image_app/ADBE_resistance_support.jpg</t>
  </si>
  <si>
    <t>https://3arbzfbsh-cname-us.ngrok.io/Desktop/seabridge%20fintech/profit_graph_app/ADBE_Return.jpg</t>
  </si>
  <si>
    <t>https://3arbzfbsh-cname-us.ngrok.io/Desktop/seabridge%20fintech/image_app/ADI_resistance_support.jpg</t>
  </si>
  <si>
    <t>https://3arbzfbsh-cname-us.ngrok.io/Desktop/seabridge%20fintech/profit_graph_app/ADI_Return.jpg</t>
  </si>
  <si>
    <t>https://3arbzfbsh-cname-us.ngrok.io/Desktop/seabridge%20fintech/image_app/ADM_resistance_support.jpg</t>
  </si>
  <si>
    <t>https://3arbzfbsh-cname-us.ngrok.io/Desktop/seabridge%20fintech/profit_graph_app/ADM_Return.jpg</t>
  </si>
  <si>
    <t>https://3arbzfbsh-cname-us.ngrok.io/Desktop/seabridge%20fintech/image_app/ADP_resistance_support.jpg</t>
  </si>
  <si>
    <t>https://3arbzfbsh-cname-us.ngrok.io/Desktop/seabridge%20fintech/profit_graph_app/ADP_Return.jpg</t>
  </si>
  <si>
    <t>https://3arbzfbsh-cname-us.ngrok.io/Desktop/seabridge%20fintech/image_app/ADSK_resistance_support.jpg</t>
  </si>
  <si>
    <t>https://3arbzfbsh-cname-us.ngrok.io/Desktop/seabridge%20fintech/profit_graph_app/ADSK_Return.jpg</t>
  </si>
  <si>
    <t>https://3arbzfbsh-cname-us.ngrok.io/Desktop/seabridge%20fintech/image_app/AEE_resistance_support.jpg</t>
  </si>
  <si>
    <t>https://3arbzfbsh-cname-us.ngrok.io/Desktop/seabridge%20fintech/profit_graph_app/AEE_Return.jpg</t>
  </si>
  <si>
    <t>https://3arbzfbsh-cname-us.ngrok.io/Desktop/seabridge%20fintech/image_app/AEO_resistance_support.jpg</t>
  </si>
  <si>
    <t>https://3arbzfbsh-cname-us.ngrok.io/Desktop/seabridge%20fintech/profit_graph_app/AEO_Return.jpg</t>
  </si>
  <si>
    <t>https://3arbzfbsh-cname-us.ngrok.io/Desktop/seabridge%20fintech/image_app/AEP_resistance_support.jpg</t>
  </si>
  <si>
    <t>https://3arbzfbsh-cname-us.ngrok.io/Desktop/seabridge%20fintech/profit_graph_app/AEP_Return.jpg</t>
  </si>
  <si>
    <t>https://3arbzfbsh-cname-us.ngrok.io/Desktop/seabridge%20fintech/image_app/AES_resistance_support.jpg</t>
  </si>
  <si>
    <t>https://3arbzfbsh-cname-us.ngrok.io/Desktop/seabridge%20fintech/profit_graph_app/AES_Return.jpg</t>
  </si>
  <si>
    <t>https://3arbzfbsh-cname-us.ngrok.io/Desktop/seabridge%20fintech/image_app/AFL_resistance_support.jpg</t>
  </si>
  <si>
    <t>https://3arbzfbsh-cname-us.ngrok.io/Desktop/seabridge%20fintech/profit_graph_app/AFL_Return.jpg</t>
  </si>
  <si>
    <t>https://3arbzfbsh-cname-us.ngrok.io/Desktop/seabridge%20fintech/image_app/AGG_resistance_support.jpg</t>
  </si>
  <si>
    <t>https://3arbzfbsh-cname-us.ngrok.io/Desktop/seabridge%20fintech/profit_graph_app/AGG_Return.jpg</t>
  </si>
  <si>
    <t>https://3arbzfbsh-cname-us.ngrok.io/Desktop/seabridge%20fintech/image_app/AI_resistance_support.jpg</t>
  </si>
  <si>
    <t>https://3arbzfbsh-cname-us.ngrok.io/Desktop/seabridge%20fintech/profit_graph_app/AI_Return.jpg</t>
  </si>
  <si>
    <t>https://3arbzfbsh-cname-us.ngrok.io/Desktop/seabridge%20fintech/image_app/AIG_resistance_support.jpg</t>
  </si>
  <si>
    <t>https://3arbzfbsh-cname-us.ngrok.io/Desktop/seabridge%20fintech/profit_graph_app/AIG_Return.jpg</t>
  </si>
  <si>
    <t>https://3arbzfbsh-cname-us.ngrok.io/Desktop/seabridge%20fintech/image_app/AIZ_resistance_support.jpg</t>
  </si>
  <si>
    <t>https://3arbzfbsh-cname-us.ngrok.io/Desktop/seabridge%20fintech/profit_graph_app/AIZ_Return.jpg</t>
  </si>
  <si>
    <t>https://3arbzfbsh-cname-us.ngrok.io/Desktop/seabridge%20fintech/image_app/AJG_resistance_support.jpg</t>
  </si>
  <si>
    <t>https://3arbzfbsh-cname-us.ngrok.io/Desktop/seabridge%20fintech/profit_graph_app/AJG_Return.jpg</t>
  </si>
  <si>
    <t>https://3arbzfbsh-cname-us.ngrok.io/Desktop/seabridge%20fintech/image_app/AKAM_resistance_support.jpg</t>
  </si>
  <si>
    <t>https://3arbzfbsh-cname-us.ngrok.io/Desktop/seabridge%20fintech/profit_graph_app/AKAM_Return.jpg</t>
  </si>
  <si>
    <t>https://3arbzfbsh-cname-us.ngrok.io/Desktop/seabridge%20fintech/image_app/ALB_resistance_support.jpg</t>
  </si>
  <si>
    <t>https://3arbzfbsh-cname-us.ngrok.io/Desktop/seabridge%20fintech/profit_graph_app/ALB_Return.jpg</t>
  </si>
  <si>
    <t>https://3arbzfbsh-cname-us.ngrok.io/Desktop/seabridge%20fintech/image_app/ALGN_resistance_support.jpg</t>
  </si>
  <si>
    <t>https://3arbzfbsh-cname-us.ngrok.io/Desktop/seabridge%20fintech/profit_graph_app/ALGN_Return.jpg</t>
  </si>
  <si>
    <t>https://3arbzfbsh-cname-us.ngrok.io/Desktop/seabridge%20fintech/image_app/ALK_resistance_support.jpg</t>
  </si>
  <si>
    <t>https://3arbzfbsh-cname-us.ngrok.io/Desktop/seabridge%20fintech/profit_graph_app/ALK_Return.jpg</t>
  </si>
  <si>
    <t>https://3arbzfbsh-cname-us.ngrok.io/Desktop/seabridge%20fintech/image_app/ALL_resistance_support.jpg</t>
  </si>
  <si>
    <t>https://3arbzfbsh-cname-us.ngrok.io/Desktop/seabridge%20fintech/profit_graph_app/ALL_Return.jpg</t>
  </si>
  <si>
    <t>https://3arbzfbsh-cname-us.ngrok.io/Desktop/seabridge%20fintech/image_app/ALLE_resistance_support.jpg</t>
  </si>
  <si>
    <t>https://3arbzfbsh-cname-us.ngrok.io/Desktop/seabridge%20fintech/profit_graph_app/ALLE_Return.jpg</t>
  </si>
  <si>
    <t>https://3arbzfbsh-cname-us.ngrok.io/Desktop/seabridge%20fintech/image_app/ALLY_resistance_support.jpg</t>
  </si>
  <si>
    <t>https://3arbzfbsh-cname-us.ngrok.io/Desktop/seabridge%20fintech/profit_graph_app/ALLY_Return.jpg</t>
  </si>
  <si>
    <t>https://3arbzfbsh-cname-us.ngrok.io/Desktop/seabridge%20fintech/image_app/ALXN_resistance_support.jpg</t>
  </si>
  <si>
    <t>https://3arbzfbsh-cname-us.ngrok.io/Desktop/seabridge%20fintech/profit_graph_app/ALXN_Return.jpg</t>
  </si>
  <si>
    <t>https://3arbzfbsh-cname-us.ngrok.io/Desktop/seabridge%20fintech/image_app/AMAT_resistance_support.jpg</t>
  </si>
  <si>
    <t>https://3arbzfbsh-cname-us.ngrok.io/Desktop/seabridge%20fintech/profit_graph_app/AMAT_Return.jpg</t>
  </si>
  <si>
    <t>https://3arbzfbsh-cname-us.ngrok.io/Desktop/seabridge%20fintech/image_app/AMC_resistance_support.jpg</t>
  </si>
  <si>
    <t>https://3arbzfbsh-cname-us.ngrok.io/Desktop/seabridge%20fintech/profit_graph_app/AMC_Return.jpg</t>
  </si>
  <si>
    <t>https://3arbzfbsh-cname-us.ngrok.io/Desktop/seabridge%20fintech/image_app/AMCR_resistance_support.jpg</t>
  </si>
  <si>
    <t>https://3arbzfbsh-cname-us.ngrok.io/Desktop/seabridge%20fintech/profit_graph_app/AMCR_Return.jpg</t>
  </si>
  <si>
    <t>https://3arbzfbsh-cname-us.ngrok.io/Desktop/seabridge%20fintech/image_app/AMD_resistance_support.jpg</t>
  </si>
  <si>
    <t>https://3arbzfbsh-cname-us.ngrok.io/Desktop/seabridge%20fintech/profit_graph_app/AMD_Return.jpg</t>
  </si>
  <si>
    <t>https://3arbzfbsh-cname-us.ngrok.io/Desktop/seabridge%20fintech/image_app/AME_resistance_support.jpg</t>
  </si>
  <si>
    <t>https://3arbzfbsh-cname-us.ngrok.io/Desktop/seabridge%20fintech/profit_graph_app/AME_Return.jpg</t>
  </si>
  <si>
    <t>https://3arbzfbsh-cname-us.ngrok.io/Desktop/seabridge%20fintech/image_app/AMGN_resistance_support.jpg</t>
  </si>
  <si>
    <t>https://3arbzfbsh-cname-us.ngrok.io/Desktop/seabridge%20fintech/profit_graph_app/AMGN_Return.jpg</t>
  </si>
  <si>
    <t>https://3arbzfbsh-cname-us.ngrok.io/Desktop/seabridge%20fintech/image_app/AMLP_resistance_support.jpg</t>
  </si>
  <si>
    <t>https://3arbzfbsh-cname-us.ngrok.io/Desktop/seabridge%20fintech/profit_graph_app/AMLP_Return.jpg</t>
  </si>
  <si>
    <t>https://3arbzfbsh-cname-us.ngrok.io/Desktop/seabridge%20fintech/image_app/AMP_resistance_support.jpg</t>
  </si>
  <si>
    <t>https://3arbzfbsh-cname-us.ngrok.io/Desktop/seabridge%20fintech/profit_graph_app/AMP_Return.jpg</t>
  </si>
  <si>
    <t>https://3arbzfbsh-cname-us.ngrok.io/Desktop/seabridge%20fintech/image_app/AMT_resistance_support.jpg</t>
  </si>
  <si>
    <t>https://3arbzfbsh-cname-us.ngrok.io/Desktop/seabridge%20fintech/profit_graph_app/AMT_Return.jpg</t>
  </si>
  <si>
    <t>https://3arbzfbsh-cname-us.ngrok.io/Desktop/seabridge%20fintech/image_app/AMZN_resistance_support.jpg</t>
  </si>
  <si>
    <t>https://3arbzfbsh-cname-us.ngrok.io/Desktop/seabridge%20fintech/profit_graph_app/AMZN_Return.jpg</t>
  </si>
  <si>
    <t>https://3arbzfbsh-cname-us.ngrok.io/Desktop/seabridge%20fintech/image_app/ANET_resistance_support.jpg</t>
  </si>
  <si>
    <t>https://3arbzfbsh-cname-us.ngrok.io/Desktop/seabridge%20fintech/profit_graph_app/ANET_Return.jpg</t>
  </si>
  <si>
    <t>https://3arbzfbsh-cname-us.ngrok.io/Desktop/seabridge%20fintech/image_app/ANSS_resistance_support.jpg</t>
  </si>
  <si>
    <t>https://3arbzfbsh-cname-us.ngrok.io/Desktop/seabridge%20fintech/profit_graph_app/ANSS_Return.jpg</t>
  </si>
  <si>
    <t>https://3arbzfbsh-cname-us.ngrok.io/Desktop/seabridge%20fintech/image_app/ANTM_resistance_support.jpg</t>
  </si>
  <si>
    <t>https://3arbzfbsh-cname-us.ngrok.io/Desktop/seabridge%20fintech/profit_graph_app/ANTM_Return.jpg</t>
  </si>
  <si>
    <t>https://3arbzfbsh-cname-us.ngrok.io/Desktop/seabridge%20fintech/image_app/AON_resistance_support.jpg</t>
  </si>
  <si>
    <t>https://3arbzfbsh-cname-us.ngrok.io/Desktop/seabridge%20fintech/profit_graph_app/AON_Return.jpg</t>
  </si>
  <si>
    <t>https://3arbzfbsh-cname-us.ngrok.io/Desktop/seabridge%20fintech/image_app/AOS_resistance_support.jpg</t>
  </si>
  <si>
    <t>https://3arbzfbsh-cname-us.ngrok.io/Desktop/seabridge%20fintech/profit_graph_app/AOS_Return.jpg</t>
  </si>
  <si>
    <t>https://3arbzfbsh-cname-us.ngrok.io/Desktop/seabridge%20fintech/image_app/APA_resistance_support.jpg</t>
  </si>
  <si>
    <t>https://3arbzfbsh-cname-us.ngrok.io/Desktop/seabridge%20fintech/profit_graph_app/APA_Return.jpg</t>
  </si>
  <si>
    <t>https://3arbzfbsh-cname-us.ngrok.io/Desktop/seabridge%20fintech/image_app/APD_resistance_support.jpg</t>
  </si>
  <si>
    <t>https://3arbzfbsh-cname-us.ngrok.io/Desktop/seabridge%20fintech/profit_graph_app/APD_Return.jpg</t>
  </si>
  <si>
    <t>https://3arbzfbsh-cname-us.ngrok.io/Desktop/seabridge%20fintech/image_app/APH_resistance_support.jpg</t>
  </si>
  <si>
    <t>https://3arbzfbsh-cname-us.ngrok.io/Desktop/seabridge%20fintech/profit_graph_app/APH_Return.jpg</t>
  </si>
  <si>
    <t>https://3arbzfbsh-cname-us.ngrok.io/Desktop/seabridge%20fintech/image_app/APO_resistance_support.jpg</t>
  </si>
  <si>
    <t>https://3arbzfbsh-cname-us.ngrok.io/Desktop/seabridge%20fintech/profit_graph_app/APO_Return.jpg</t>
  </si>
  <si>
    <t>https://3arbzfbsh-cname-us.ngrok.io/Desktop/seabridge%20fintech/image_app/APPS_resistance_support.jpg</t>
  </si>
  <si>
    <t>https://3arbzfbsh-cname-us.ngrok.io/Desktop/seabridge%20fintech/profit_graph_app/APPS_Return.jpg</t>
  </si>
  <si>
    <t>https://3arbzfbsh-cname-us.ngrok.io/Desktop/seabridge%20fintech/image_app/APTV_resistance_support.jpg</t>
  </si>
  <si>
    <t>https://3arbzfbsh-cname-us.ngrok.io/Desktop/seabridge%20fintech/profit_graph_app/APTV_Return.jpg</t>
  </si>
  <si>
    <t>https://3arbzfbsh-cname-us.ngrok.io/Desktop/seabridge%20fintech/image_app/ARE_resistance_support.jpg</t>
  </si>
  <si>
    <t>https://3arbzfbsh-cname-us.ngrok.io/Desktop/seabridge%20fintech/profit_graph_app/ARE_Return.jpg</t>
  </si>
  <si>
    <t>https://3arbzfbsh-cname-us.ngrok.io/Desktop/seabridge%20fintech/image_app/ASAN_resistance_support.jpg</t>
  </si>
  <si>
    <t>https://3arbzfbsh-cname-us.ngrok.io/Desktop/seabridge%20fintech/profit_graph_app/ASAN_Return.jpg</t>
  </si>
  <si>
    <t>https://3arbzfbsh-cname-us.ngrok.io/Desktop/seabridge%20fintech/image_app/ASHR_resistance_support.jpg</t>
  </si>
  <si>
    <t>https://3arbzfbsh-cname-us.ngrok.io/Desktop/seabridge%20fintech/profit_graph_app/ASHR_Return.jpg</t>
  </si>
  <si>
    <t>https://3arbzfbsh-cname-us.ngrok.io/Desktop/seabridge%20fintech/image_app/ASML_resistance_support.jpg</t>
  </si>
  <si>
    <t>https://3arbzfbsh-cname-us.ngrok.io/Desktop/seabridge%20fintech/profit_graph_app/ASML_Return.jpg</t>
  </si>
  <si>
    <t>https://3arbzfbsh-cname-us.ngrok.io/Desktop/seabridge%20fintech/image_app/ATO_resistance_support.jpg</t>
  </si>
  <si>
    <t>https://3arbzfbsh-cname-us.ngrok.io/Desktop/seabridge%20fintech/profit_graph_app/ATO_Return.jpg</t>
  </si>
  <si>
    <t>https://3arbzfbsh-cname-us.ngrok.io/Desktop/seabridge%20fintech/image_app/ATUS_resistance_support.jpg</t>
  </si>
  <si>
    <t>https://3arbzfbsh-cname-us.ngrok.io/Desktop/seabridge%20fintech/profit_graph_app/ATUS_Return.jpg</t>
  </si>
  <si>
    <t>https://3arbzfbsh-cname-us.ngrok.io/Desktop/seabridge%20fintech/image_app/ATVI_resistance_support.jpg</t>
  </si>
  <si>
    <t>https://3arbzfbsh-cname-us.ngrok.io/Desktop/seabridge%20fintech/profit_graph_app/ATVI_Return.jpg</t>
  </si>
  <si>
    <t>https://3arbzfbsh-cname-us.ngrok.io/Desktop/seabridge%20fintech/image_app/AVB_resistance_support.jpg</t>
  </si>
  <si>
    <t>https://3arbzfbsh-cname-us.ngrok.io/Desktop/seabridge%20fintech/profit_graph_app/AVB_Return.jpg</t>
  </si>
  <si>
    <t>https://3arbzfbsh-cname-us.ngrok.io/Desktop/seabridge%20fintech/image_app/AVGO_resistance_support.jpg</t>
  </si>
  <si>
    <t>https://3arbzfbsh-cname-us.ngrok.io/Desktop/seabridge%20fintech/profit_graph_app/AVGO_Return.jpg</t>
  </si>
  <si>
    <t>https://3arbzfbsh-cname-us.ngrok.io/Desktop/seabridge%20fintech/image_app/AVTR_resistance_support.jpg</t>
  </si>
  <si>
    <t>https://3arbzfbsh-cname-us.ngrok.io/Desktop/seabridge%20fintech/profit_graph_app/AVTR_Return.jpg</t>
  </si>
  <si>
    <t>https://3arbzfbsh-cname-us.ngrok.io/Desktop/seabridge%20fintech/image_app/AVY_resistance_support.jpg</t>
  </si>
  <si>
    <t>https://3arbzfbsh-cname-us.ngrok.io/Desktop/seabridge%20fintech/profit_graph_app/AVY_Return.jpg</t>
  </si>
  <si>
    <t>https://3arbzfbsh-cname-us.ngrok.io/Desktop/seabridge%20fintech/image_app/AWK_resistance_support.jpg</t>
  </si>
  <si>
    <t>https://3arbzfbsh-cname-us.ngrok.io/Desktop/seabridge%20fintech/profit_graph_app/AWK_Return.jpg</t>
  </si>
  <si>
    <t>https://3arbzfbsh-cname-us.ngrok.io/Desktop/seabridge%20fintech/image_app/AXP_resistance_support.jpg</t>
  </si>
  <si>
    <t>https://3arbzfbsh-cname-us.ngrok.io/Desktop/seabridge%20fintech/profit_graph_app/AXP_Return.jpg</t>
  </si>
  <si>
    <t>https://3arbzfbsh-cname-us.ngrok.io/Desktop/seabridge%20fintech/image_app/AXTA_resistance_support.jpg</t>
  </si>
  <si>
    <t>https://3arbzfbsh-cname-us.ngrok.io/Desktop/seabridge%20fintech/profit_graph_app/AXTA_Return.jpg</t>
  </si>
  <si>
    <t>https://3arbzfbsh-cname-us.ngrok.io/Desktop/seabridge%20fintech/image_app/AZO_resistance_support.jpg</t>
  </si>
  <si>
    <t>https://3arbzfbsh-cname-us.ngrok.io/Desktop/seabridge%20fintech/profit_graph_app/AZO_Return.jpg</t>
  </si>
  <si>
    <t>https://3arbzfbsh-cname-us.ngrok.io/Desktop/seabridge%20fintech/image_app/BA_resistance_support.jpg</t>
  </si>
  <si>
    <t>https://3arbzfbsh-cname-us.ngrok.io/Desktop/seabridge%20fintech/profit_graph_app/BA_Return.jpg</t>
  </si>
  <si>
    <t>https://3arbzfbsh-cname-us.ngrok.io/Desktop/seabridge%20fintech/image_app/BAC_resistance_support.jpg</t>
  </si>
  <si>
    <t>https://3arbzfbsh-cname-us.ngrok.io/Desktop/seabridge%20fintech/profit_graph_app/BAC_Return.jpg</t>
  </si>
  <si>
    <t>https://3arbzfbsh-cname-us.ngrok.io/Desktop/seabridge%20fintech/image_app/BAX_resistance_support.jpg</t>
  </si>
  <si>
    <t>https://3arbzfbsh-cname-us.ngrok.io/Desktop/seabridge%20fintech/profit_graph_app/BAX_Return.jpg</t>
  </si>
  <si>
    <t>https://3arbzfbsh-cname-us.ngrok.io/Desktop/seabridge%20fintech/image_app/BBBY_resistance_support.jpg</t>
  </si>
  <si>
    <t>https://3arbzfbsh-cname-us.ngrok.io/Desktop/seabridge%20fintech/profit_graph_app/BBBY_Return.jpg</t>
  </si>
  <si>
    <t>https://3arbzfbsh-cname-us.ngrok.io/Desktop/seabridge%20fintech/image_app/BBY_resistance_support.jpg</t>
  </si>
  <si>
    <t>https://3arbzfbsh-cname-us.ngrok.io/Desktop/seabridge%20fintech/profit_graph_app/BBY_Return.jpg</t>
  </si>
  <si>
    <t>https://3arbzfbsh-cname-us.ngrok.io/Desktop/seabridge%20fintech/image_app/BDX_resistance_support.jpg</t>
  </si>
  <si>
    <t>https://3arbzfbsh-cname-us.ngrok.io/Desktop/seabridge%20fintech/profit_graph_app/BDX_Return.jpg</t>
  </si>
  <si>
    <t>https://3arbzfbsh-cname-us.ngrok.io/Desktop/seabridge%20fintech/image_app/BEN_resistance_support.jpg</t>
  </si>
  <si>
    <t>https://3arbzfbsh-cname-us.ngrok.io/Desktop/seabridge%20fintech/profit_graph_app/BEN_Return.jpg</t>
  </si>
  <si>
    <t>https://3arbzfbsh-cname-us.ngrok.io/Desktop/seabridge%20fintech/image_app/BIDU_resistance_support.jpg</t>
  </si>
  <si>
    <t>https://3arbzfbsh-cname-us.ngrok.io/Desktop/seabridge%20fintech/profit_graph_app/BIDU_Return.jpg</t>
  </si>
  <si>
    <t>https://3arbzfbsh-cname-us.ngrok.io/Desktop/seabridge%20fintech/image_app/BIIB_resistance_support.jpg</t>
  </si>
  <si>
    <t>https://3arbzfbsh-cname-us.ngrok.io/Desktop/seabridge%20fintech/profit_graph_app/BIIB_Return.jpg</t>
  </si>
  <si>
    <t>https://3arbzfbsh-cname-us.ngrok.io/Desktop/seabridge%20fintech/image_app/BIO_resistance_support.jpg</t>
  </si>
  <si>
    <t>https://3arbzfbsh-cname-us.ngrok.io/Desktop/seabridge%20fintech/profit_graph_app/BIO_Return.jpg</t>
  </si>
  <si>
    <t>https://3arbzfbsh-cname-us.ngrok.io/Desktop/seabridge%20fintech/image_app/BK_resistance_support.jpg</t>
  </si>
  <si>
    <t>https://3arbzfbsh-cname-us.ngrok.io/Desktop/seabridge%20fintech/profit_graph_app/BK_Return.jpg</t>
  </si>
  <si>
    <t>https://3arbzfbsh-cname-us.ngrok.io/Desktop/seabridge%20fintech/image_app/BKNG_resistance_support.jpg</t>
  </si>
  <si>
    <t>https://3arbzfbsh-cname-us.ngrok.io/Desktop/seabridge%20fintech/profit_graph_app/BKNG_Return.jpg</t>
  </si>
  <si>
    <t>https://3arbzfbsh-cname-us.ngrok.io/Desktop/seabridge%20fintech/image_app/BKR_resistance_support.jpg</t>
  </si>
  <si>
    <t>https://3arbzfbsh-cname-us.ngrok.io/Desktop/seabridge%20fintech/profit_graph_app/BKR_Return.jpg</t>
  </si>
  <si>
    <t>https://3arbzfbsh-cname-us.ngrok.io/Desktop/seabridge%20fintech/image_app/BLDR_resistance_support.jpg</t>
  </si>
  <si>
    <t>https://3arbzfbsh-cname-us.ngrok.io/Desktop/seabridge%20fintech/profit_graph_app/BLDR_Return.jpg</t>
  </si>
  <si>
    <t>https://3arbzfbsh-cname-us.ngrok.io/Desktop/seabridge%20fintech/image_app/BLK_resistance_support.jpg</t>
  </si>
  <si>
    <t>https://3arbzfbsh-cname-us.ngrok.io/Desktop/seabridge%20fintech/profit_graph_app/BLK_Return.jpg</t>
  </si>
  <si>
    <t>https://3arbzfbsh-cname-us.ngrok.io/Desktop/seabridge%20fintech/image_app/BLL_resistance_support.jpg</t>
  </si>
  <si>
    <t>https://3arbzfbsh-cname-us.ngrok.io/Desktop/seabridge%20fintech/profit_graph_app/BLL_Return.jpg</t>
  </si>
  <si>
    <t>https://3arbzfbsh-cname-us.ngrok.io/Desktop/seabridge%20fintech/image_app/BMY_resistance_support.jpg</t>
  </si>
  <si>
    <t>https://3arbzfbsh-cname-us.ngrok.io/Desktop/seabridge%20fintech/profit_graph_app/BMY_Return.jpg</t>
  </si>
  <si>
    <t>https://3arbzfbsh-cname-us.ngrok.io/Desktop/seabridge%20fintech/image_app/BND_resistance_support.jpg</t>
  </si>
  <si>
    <t>https://3arbzfbsh-cname-us.ngrok.io/Desktop/seabridge%20fintech/profit_graph_app/BND_Return.jpg</t>
  </si>
  <si>
    <t>https://3arbzfbsh-cname-us.ngrok.io/Desktop/seabridge%20fintech/image_app/BNDX_resistance_support.jpg</t>
  </si>
  <si>
    <t>https://3arbzfbsh-cname-us.ngrok.io/Desktop/seabridge%20fintech/profit_graph_app/BNDX_Return.jpg</t>
  </si>
  <si>
    <t>https://3arbzfbsh-cname-us.ngrok.io/Desktop/seabridge%20fintech/image_app/BR_resistance_support.jpg</t>
  </si>
  <si>
    <t>https://3arbzfbsh-cname-us.ngrok.io/Desktop/seabridge%20fintech/profit_graph_app/BR_Return.jpg</t>
  </si>
  <si>
    <t>https://3arbzfbsh-cname-us.ngrok.io/Desktop/seabridge%20fintech/image_app/BSV_resistance_support.jpg</t>
  </si>
  <si>
    <t>https://3arbzfbsh-cname-us.ngrok.io/Desktop/seabridge%20fintech/profit_graph_app/BSV_Return.jpg</t>
  </si>
  <si>
    <t>https://3arbzfbsh-cname-us.ngrok.io/Desktop/seabridge%20fintech/image_app/BSX_resistance_support.jpg</t>
  </si>
  <si>
    <t>https://3arbzfbsh-cname-us.ngrok.io/Desktop/seabridge%20fintech/profit_graph_app/BSX_Return.jpg</t>
  </si>
  <si>
    <t>https://3arbzfbsh-cname-us.ngrok.io/Desktop/seabridge%20fintech/image_app/BWA_resistance_support.jpg</t>
  </si>
  <si>
    <t>https://3arbzfbsh-cname-us.ngrok.io/Desktop/seabridge%20fintech/profit_graph_app/BWA_Return.jpg</t>
  </si>
  <si>
    <t>https://3arbzfbsh-cname-us.ngrok.io/Desktop/seabridge%20fintech/image_app/BX_resistance_support.jpg</t>
  </si>
  <si>
    <t>https://3arbzfbsh-cname-us.ngrok.io/Desktop/seabridge%20fintech/profit_graph_app/BX_Return.jpg</t>
  </si>
  <si>
    <t>https://3arbzfbsh-cname-us.ngrok.io/Desktop/seabridge%20fintech/image_app/BXP_resistance_support.jpg</t>
  </si>
  <si>
    <t>https://3arbzfbsh-cname-us.ngrok.io/Desktop/seabridge%20fintech/profit_graph_app/BXP_Return.jpg</t>
  </si>
  <si>
    <t>https://3arbzfbsh-cname-us.ngrok.io/Desktop/seabridge%20fintech/image_app/BYND_resistance_support.jpg</t>
  </si>
  <si>
    <t>https://3arbzfbsh-cname-us.ngrok.io/Desktop/seabridge%20fintech/profit_graph_app/BYND_Return.jpg</t>
  </si>
  <si>
    <t>https://3arbzfbsh-cname-us.ngrok.io/Desktop/seabridge%20fintech/image_app/C_resistance_support.jpg</t>
  </si>
  <si>
    <t>https://3arbzfbsh-cname-us.ngrok.io/Desktop/seabridge%20fintech/profit_graph_app/C_Return.jpg</t>
  </si>
  <si>
    <t>https://3arbzfbsh-cname-us.ngrok.io/Desktop/seabridge%20fintech/image_app/CAG_resistance_support.jpg</t>
  </si>
  <si>
    <t>https://3arbzfbsh-cname-us.ngrok.io/Desktop/seabridge%20fintech/profit_graph_app/CAG_Return.jpg</t>
  </si>
  <si>
    <t>https://3arbzfbsh-cname-us.ngrok.io/Desktop/seabridge%20fintech/image_app/CAH_resistance_support.jpg</t>
  </si>
  <si>
    <t>https://3arbzfbsh-cname-us.ngrok.io/Desktop/seabridge%20fintech/profit_graph_app/CAH_Return.jpg</t>
  </si>
  <si>
    <t>https://3arbzfbsh-cname-us.ngrok.io/Desktop/seabridge%20fintech/image_app/CAT_resistance_support.jpg</t>
  </si>
  <si>
    <t>https://3arbzfbsh-cname-us.ngrok.io/Desktop/seabridge%20fintech/profit_graph_app/CAT_Return.jpg</t>
  </si>
  <si>
    <t>https://3arbzfbsh-cname-us.ngrok.io/Desktop/seabridge%20fintech/image_app/CB_resistance_support.jpg</t>
  </si>
  <si>
    <t>https://3arbzfbsh-cname-us.ngrok.io/Desktop/seabridge%20fintech/profit_graph_app/CB_Return.jpg</t>
  </si>
  <si>
    <t>https://3arbzfbsh-cname-us.ngrok.io/Desktop/seabridge%20fintech/image_app/CBOE_resistance_support.jpg</t>
  </si>
  <si>
    <t>https://3arbzfbsh-cname-us.ngrok.io/Desktop/seabridge%20fintech/profit_graph_app/CBOE_Return.jpg</t>
  </si>
  <si>
    <t>https://3arbzfbsh-cname-us.ngrok.io/Desktop/seabridge%20fintech/image_app/CBRE_resistance_support.jpg</t>
  </si>
  <si>
    <t>https://3arbzfbsh-cname-us.ngrok.io/Desktop/seabridge%20fintech/profit_graph_app/CBRE_Return.jpg</t>
  </si>
  <si>
    <t>https://3arbzfbsh-cname-us.ngrok.io/Desktop/seabridge%20fintech/image_app/CCI_resistance_support.jpg</t>
  </si>
  <si>
    <t>https://3arbzfbsh-cname-us.ngrok.io/Desktop/seabridge%20fintech/profit_graph_app/CCI_Return.jpg</t>
  </si>
  <si>
    <t>https://3arbzfbsh-cname-us.ngrok.io/Desktop/seabridge%20fintech/image_app/CCL_resistance_support.jpg</t>
  </si>
  <si>
    <t>https://3arbzfbsh-cname-us.ngrok.io/Desktop/seabridge%20fintech/profit_graph_app/CCL_Return.jpg</t>
  </si>
  <si>
    <t>https://3arbzfbsh-cname-us.ngrok.io/Desktop/seabridge%20fintech/image_app/CDNS_resistance_support.jpg</t>
  </si>
  <si>
    <t>https://3arbzfbsh-cname-us.ngrok.io/Desktop/seabridge%20fintech/profit_graph_app/CDNS_Return.jpg</t>
  </si>
  <si>
    <t>https://3arbzfbsh-cname-us.ngrok.io/Desktop/seabridge%20fintech/image_app/CDW_resistance_support.jpg</t>
  </si>
  <si>
    <t>https://3arbzfbsh-cname-us.ngrok.io/Desktop/seabridge%20fintech/profit_graph_app/CDW_Return.jpg</t>
  </si>
  <si>
    <t>https://3arbzfbsh-cname-us.ngrok.io/Desktop/seabridge%20fintech/image_app/CE_resistance_support.jpg</t>
  </si>
  <si>
    <t>https://3arbzfbsh-cname-us.ngrok.io/Desktop/seabridge%20fintech/profit_graph_app/CE_Return.jpg</t>
  </si>
  <si>
    <t>https://3arbzfbsh-cname-us.ngrok.io/Desktop/seabridge%20fintech/image_app/CERN_resistance_support.jpg</t>
  </si>
  <si>
    <t>https://3arbzfbsh-cname-us.ngrok.io/Desktop/seabridge%20fintech/profit_graph_app/CERN_Return.jpg</t>
  </si>
  <si>
    <t>https://3arbzfbsh-cname-us.ngrok.io/Desktop/seabridge%20fintech/image_app/CF_resistance_support.jpg</t>
  </si>
  <si>
    <t>https://3arbzfbsh-cname-us.ngrok.io/Desktop/seabridge%20fintech/profit_graph_app/CF_Return.jpg</t>
  </si>
  <si>
    <t>https://3arbzfbsh-cname-us.ngrok.io/Desktop/seabridge%20fintech/image_app/CFG_resistance_support.jpg</t>
  </si>
  <si>
    <t>https://3arbzfbsh-cname-us.ngrok.io/Desktop/seabridge%20fintech/profit_graph_app/CFG_Return.jpg</t>
  </si>
  <si>
    <t>https://3arbzfbsh-cname-us.ngrok.io/Desktop/seabridge%20fintech/image_app/CHD_resistance_support.jpg</t>
  </si>
  <si>
    <t>https://3arbzfbsh-cname-us.ngrok.io/Desktop/seabridge%20fintech/profit_graph_app/CHD_Return.jpg</t>
  </si>
  <si>
    <t>https://3arbzfbsh-cname-us.ngrok.io/Desktop/seabridge%20fintech/image_app/CHKP_resistance_support.jpg</t>
  </si>
  <si>
    <t>https://3arbzfbsh-cname-us.ngrok.io/Desktop/seabridge%20fintech/profit_graph_app/CHKP_Return.jpg</t>
  </si>
  <si>
    <t>https://3arbzfbsh-cname-us.ngrok.io/Desktop/seabridge%20fintech/image_app/CHRW_resistance_support.jpg</t>
  </si>
  <si>
    <t>https://3arbzfbsh-cname-us.ngrok.io/Desktop/seabridge%20fintech/profit_graph_app/CHRW_Return.jpg</t>
  </si>
  <si>
    <t>https://3arbzfbsh-cname-us.ngrok.io/Desktop/seabridge%20fintech/image_app/CHTR_resistance_support.jpg</t>
  </si>
  <si>
    <t>https://3arbzfbsh-cname-us.ngrok.io/Desktop/seabridge%20fintech/profit_graph_app/CHTR_Return.jpg</t>
  </si>
  <si>
    <t>https://3arbzfbsh-cname-us.ngrok.io/Desktop/seabridge%20fintech/image_app/CHWY_resistance_support.jpg</t>
  </si>
  <si>
    <t>https://3arbzfbsh-cname-us.ngrok.io/Desktop/seabridge%20fintech/profit_graph_app/CHWY_Return.jpg</t>
  </si>
  <si>
    <t>https://3arbzfbsh-cname-us.ngrok.io/Desktop/seabridge%20fintech/image_app/CI_resistance_support.jpg</t>
  </si>
  <si>
    <t>https://3arbzfbsh-cname-us.ngrok.io/Desktop/seabridge%20fintech/profit_graph_app/CI_Return.jpg</t>
  </si>
  <si>
    <t>https://3arbzfbsh-cname-us.ngrok.io/Desktop/seabridge%20fintech/image_app/CINF_resistance_support.jpg</t>
  </si>
  <si>
    <t>https://3arbzfbsh-cname-us.ngrok.io/Desktop/seabridge%20fintech/profit_graph_app/CINF_Return.jpg</t>
  </si>
  <si>
    <t>https://3arbzfbsh-cname-us.ngrok.io/Desktop/seabridge%20fintech/image_app/CL_resistance_support.jpg</t>
  </si>
  <si>
    <t>https://3arbzfbsh-cname-us.ngrok.io/Desktop/seabridge%20fintech/profit_graph_app/CL_Return.jpg</t>
  </si>
  <si>
    <t>https://3arbzfbsh-cname-us.ngrok.io/Desktop/seabridge%20fintech/image_app/CLX_resistance_support.jpg</t>
  </si>
  <si>
    <t>https://3arbzfbsh-cname-us.ngrok.io/Desktop/seabridge%20fintech/profit_graph_app/CLX_Return.jpg</t>
  </si>
  <si>
    <t>https://3arbzfbsh-cname-us.ngrok.io/Desktop/seabridge%20fintech/image_app/CMA_resistance_support.jpg</t>
  </si>
  <si>
    <t>https://3arbzfbsh-cname-us.ngrok.io/Desktop/seabridge%20fintech/profit_graph_app/CMA_Return.jpg</t>
  </si>
  <si>
    <t>https://3arbzfbsh-cname-us.ngrok.io/Desktop/seabridge%20fintech/image_app/CMCSA_resistance_support.jpg</t>
  </si>
  <si>
    <t>https://3arbzfbsh-cname-us.ngrok.io/Desktop/seabridge%20fintech/profit_graph_app/CMCSA_Return.jpg</t>
  </si>
  <si>
    <t>https://3arbzfbsh-cname-us.ngrok.io/Desktop/seabridge%20fintech/image_app/CME_resistance_support.jpg</t>
  </si>
  <si>
    <t>https://3arbzfbsh-cname-us.ngrok.io/Desktop/seabridge%20fintech/profit_graph_app/CME_Return.jpg</t>
  </si>
  <si>
    <t>https://3arbzfbsh-cname-us.ngrok.io/Desktop/seabridge%20fintech/image_app/CMG_resistance_support.jpg</t>
  </si>
  <si>
    <t>https://3arbzfbsh-cname-us.ngrok.io/Desktop/seabridge%20fintech/profit_graph_app/CMG_Return.jpg</t>
  </si>
  <si>
    <t>https://3arbzfbsh-cname-us.ngrok.io/Desktop/seabridge%20fintech/image_app/CMI_resistance_support.jpg</t>
  </si>
  <si>
    <t>https://3arbzfbsh-cname-us.ngrok.io/Desktop/seabridge%20fintech/profit_graph_app/CMI_Return.jpg</t>
  </si>
  <si>
    <t>https://3arbzfbsh-cname-us.ngrok.io/Desktop/seabridge%20fintech/image_app/CMS_resistance_support.jpg</t>
  </si>
  <si>
    <t>https://3arbzfbsh-cname-us.ngrok.io/Desktop/seabridge%20fintech/profit_graph_app/CMS_Return.jpg</t>
  </si>
  <si>
    <t>https://3arbzfbsh-cname-us.ngrok.io/Desktop/seabridge%20fintech/image_app/CNC_resistance_support.jpg</t>
  </si>
  <si>
    <t>https://3arbzfbsh-cname-us.ngrok.io/Desktop/seabridge%20fintech/profit_graph_app/CNC_Return.jpg</t>
  </si>
  <si>
    <t>https://3arbzfbsh-cname-us.ngrok.io/Desktop/seabridge%20fintech/image_app/CNP_resistance_support.jpg</t>
  </si>
  <si>
    <t>https://3arbzfbsh-cname-us.ngrok.io/Desktop/seabridge%20fintech/profit_graph_app/CNP_Return.jpg</t>
  </si>
  <si>
    <t>https://3arbzfbsh-cname-us.ngrok.io/Desktop/seabridge%20fintech/image_app/COF_resistance_support.jpg</t>
  </si>
  <si>
    <t>https://3arbzfbsh-cname-us.ngrok.io/Desktop/seabridge%20fintech/profit_graph_app/COF_Return.jpg</t>
  </si>
  <si>
    <t>https://3arbzfbsh-cname-us.ngrok.io/Desktop/seabridge%20fintech/image_app/COG_resistance_support.jpg</t>
  </si>
  <si>
    <t>https://3arbzfbsh-cname-us.ngrok.io/Desktop/seabridge%20fintech/profit_graph_app/COG_Return.jpg</t>
  </si>
  <si>
    <t>https://3arbzfbsh-cname-us.ngrok.io/Desktop/seabridge%20fintech/image_app/COO_resistance_support.jpg</t>
  </si>
  <si>
    <t>https://3arbzfbsh-cname-us.ngrok.io/Desktop/seabridge%20fintech/profit_graph_app/COO_Return.jpg</t>
  </si>
  <si>
    <t>https://3arbzfbsh-cname-us.ngrok.io/Desktop/seabridge%20fintech/image_app/COP_resistance_support.jpg</t>
  </si>
  <si>
    <t>https://3arbzfbsh-cname-us.ngrok.io/Desktop/seabridge%20fintech/profit_graph_app/COP_Return.jpg</t>
  </si>
  <si>
    <t>https://3arbzfbsh-cname-us.ngrok.io/Desktop/seabridge%20fintech/image_app/COST_resistance_support.jpg</t>
  </si>
  <si>
    <t>https://3arbzfbsh-cname-us.ngrok.io/Desktop/seabridge%20fintech/profit_graph_app/COST_Return.jpg</t>
  </si>
  <si>
    <t>https://3arbzfbsh-cname-us.ngrok.io/Desktop/seabridge%20fintech/image_app/CPB_resistance_support.jpg</t>
  </si>
  <si>
    <t>https://3arbzfbsh-cname-us.ngrok.io/Desktop/seabridge%20fintech/profit_graph_app/CPB_Return.jpg</t>
  </si>
  <si>
    <t>https://3arbzfbsh-cname-us.ngrok.io/Desktop/seabridge%20fintech/image_app/CPRT_resistance_support.jpg</t>
  </si>
  <si>
    <t>https://3arbzfbsh-cname-us.ngrok.io/Desktop/seabridge%20fintech/profit_graph_app/CPRT_Return.jpg</t>
  </si>
  <si>
    <t>https://3arbzfbsh-cname-us.ngrok.io/Desktop/seabridge%20fintech/image_app/CRL_resistance_support.jpg</t>
  </si>
  <si>
    <t>https://3arbzfbsh-cname-us.ngrok.io/Desktop/seabridge%20fintech/profit_graph_app/CRL_Return.jpg</t>
  </si>
  <si>
    <t>https://3arbzfbsh-cname-us.ngrok.io/Desktop/seabridge%20fintech/image_app/CRM_resistance_support.jpg</t>
  </si>
  <si>
    <t>https://3arbzfbsh-cname-us.ngrok.io/Desktop/seabridge%20fintech/profit_graph_app/CRM_Return.jpg</t>
  </si>
  <si>
    <t>https://3arbzfbsh-cname-us.ngrok.io/Desktop/seabridge%20fintech/image_app/CRSR_resistance_support.jpg</t>
  </si>
  <si>
    <t>https://3arbzfbsh-cname-us.ngrok.io/Desktop/seabridge%20fintech/profit_graph_app/CRSR_Return.jpg</t>
  </si>
  <si>
    <t>https://3arbzfbsh-cname-us.ngrok.io/Desktop/seabridge%20fintech/image_app/CRWD_resistance_support.jpg</t>
  </si>
  <si>
    <t>https://3arbzfbsh-cname-us.ngrok.io/Desktop/seabridge%20fintech/profit_graph_app/CRWD_Return.jpg</t>
  </si>
  <si>
    <t>https://3arbzfbsh-cname-us.ngrok.io/Desktop/seabridge%20fintech/image_app/CSCO_resistance_support.jpg</t>
  </si>
  <si>
    <t>https://3arbzfbsh-cname-us.ngrok.io/Desktop/seabridge%20fintech/profit_graph_app/CSCO_Return.jpg</t>
  </si>
  <si>
    <t>https://3arbzfbsh-cname-us.ngrok.io/Desktop/seabridge%20fintech/image_app/CSGP_resistance_support.jpg</t>
  </si>
  <si>
    <t>https://3arbzfbsh-cname-us.ngrok.io/Desktop/seabridge%20fintech/profit_graph_app/CSGP_Return.jpg</t>
  </si>
  <si>
    <t>https://3arbzfbsh-cname-us.ngrok.io/Desktop/seabridge%20fintech/image_app/CSX_resistance_support.jpg</t>
  </si>
  <si>
    <t>https://3arbzfbsh-cname-us.ngrok.io/Desktop/seabridge%20fintech/profit_graph_app/CSX_Return.jpg</t>
  </si>
  <si>
    <t>https://3arbzfbsh-cname-us.ngrok.io/Desktop/seabridge%20fintech/image_app/CTAS_resistance_support.jpg</t>
  </si>
  <si>
    <t>https://3arbzfbsh-cname-us.ngrok.io/Desktop/seabridge%20fintech/profit_graph_app/CTAS_Return.jpg</t>
  </si>
  <si>
    <t>https://3arbzfbsh-cname-us.ngrok.io/Desktop/seabridge%20fintech/image_app/CTLT_resistance_support.jpg</t>
  </si>
  <si>
    <t>https://3arbzfbsh-cname-us.ngrok.io/Desktop/seabridge%20fintech/profit_graph_app/CTLT_Return.jpg</t>
  </si>
  <si>
    <t>https://3arbzfbsh-cname-us.ngrok.io/Desktop/seabridge%20fintech/image_app/CTSH_resistance_support.jpg</t>
  </si>
  <si>
    <t>https://3arbzfbsh-cname-us.ngrok.io/Desktop/seabridge%20fintech/profit_graph_app/CTSH_Return.jpg</t>
  </si>
  <si>
    <t>https://3arbzfbsh-cname-us.ngrok.io/Desktop/seabridge%20fintech/image_app/CTVA_resistance_support.jpg</t>
  </si>
  <si>
    <t>https://3arbzfbsh-cname-us.ngrok.io/Desktop/seabridge%20fintech/profit_graph_app/CTVA_Return.jpg</t>
  </si>
  <si>
    <t>https://3arbzfbsh-cname-us.ngrok.io/Desktop/seabridge%20fintech/image_app/CTXS_resistance_support.jpg</t>
  </si>
  <si>
    <t>https://3arbzfbsh-cname-us.ngrok.io/Desktop/seabridge%20fintech/profit_graph_app/CTXS_Return.jpg</t>
  </si>
  <si>
    <t>https://3arbzfbsh-cname-us.ngrok.io/Desktop/seabridge%20fintech/image_app/CVS_resistance_support.jpg</t>
  </si>
  <si>
    <t>https://3arbzfbsh-cname-us.ngrok.io/Desktop/seabridge%20fintech/profit_graph_app/CVS_Return.jpg</t>
  </si>
  <si>
    <t>https://3arbzfbsh-cname-us.ngrok.io/Desktop/seabridge%20fintech/image_app/CVX_resistance_support.jpg</t>
  </si>
  <si>
    <t>https://3arbzfbsh-cname-us.ngrok.io/Desktop/seabridge%20fintech/profit_graph_app/CVX_Return.jpg</t>
  </si>
  <si>
    <t>https://3arbzfbsh-cname-us.ngrok.io/Desktop/seabridge%20fintech/image_app/CZR_resistance_support.jpg</t>
  </si>
  <si>
    <t>https://3arbzfbsh-cname-us.ngrok.io/Desktop/seabridge%20fintech/profit_graph_app/CZR_Return.jpg</t>
  </si>
  <si>
    <t>https://3arbzfbsh-cname-us.ngrok.io/Desktop/seabridge%20fintech/image_app/D_resistance_support.jpg</t>
  </si>
  <si>
    <t>https://3arbzfbsh-cname-us.ngrok.io/Desktop/seabridge%20fintech/profit_graph_app/D_Return.jpg</t>
  </si>
  <si>
    <t>https://3arbzfbsh-cname-us.ngrok.io/Desktop/seabridge%20fintech/image_app/DAL_resistance_support.jpg</t>
  </si>
  <si>
    <t>https://3arbzfbsh-cname-us.ngrok.io/Desktop/seabridge%20fintech/profit_graph_app/DAL_Return.jpg</t>
  </si>
  <si>
    <t>https://3arbzfbsh-cname-us.ngrok.io/Desktop/seabridge%20fintech/image_app/DAR_resistance_support.jpg</t>
  </si>
  <si>
    <t>https://3arbzfbsh-cname-us.ngrok.io/Desktop/seabridge%20fintech/profit_graph_app/DAR_Return.jpg</t>
  </si>
  <si>
    <t>https://3arbzfbsh-cname-us.ngrok.io/Desktop/seabridge%20fintech/image_app/DBX_resistance_support.jpg</t>
  </si>
  <si>
    <t>https://3arbzfbsh-cname-us.ngrok.io/Desktop/seabridge%20fintech/profit_graph_app/DBX_Return.jpg</t>
  </si>
  <si>
    <t>https://3arbzfbsh-cname-us.ngrok.io/Desktop/seabridge%20fintech/image_app/DD_resistance_support.jpg</t>
  </si>
  <si>
    <t>https://3arbzfbsh-cname-us.ngrok.io/Desktop/seabridge%20fintech/profit_graph_app/DD_Return.jpg</t>
  </si>
  <si>
    <t>https://3arbzfbsh-cname-us.ngrok.io/Desktop/seabridge%20fintech/image_app/DDD_resistance_support.jpg</t>
  </si>
  <si>
    <t>https://3arbzfbsh-cname-us.ngrok.io/Desktop/seabridge%20fintech/profit_graph_app/DDD_Return.jpg</t>
  </si>
  <si>
    <t>https://3arbzfbsh-cname-us.ngrok.io/Desktop/seabridge%20fintech/image_app/DDOG_resistance_support.jpg</t>
  </si>
  <si>
    <t>https://3arbzfbsh-cname-us.ngrok.io/Desktop/seabridge%20fintech/profit_graph_app/DDOG_Return.jpg</t>
  </si>
  <si>
    <t>https://3arbzfbsh-cname-us.ngrok.io/Desktop/seabridge%20fintech/image_app/DE_resistance_support.jpg</t>
  </si>
  <si>
    <t>https://3arbzfbsh-cname-us.ngrok.io/Desktop/seabridge%20fintech/profit_graph_app/DE_Return.jpg</t>
  </si>
  <si>
    <t>https://3arbzfbsh-cname-us.ngrok.io/Desktop/seabridge%20fintech/image_app/DELL_resistance_support.jpg</t>
  </si>
  <si>
    <t>https://3arbzfbsh-cname-us.ngrok.io/Desktop/seabridge%20fintech/profit_graph_app/DELL_Return.jpg</t>
  </si>
  <si>
    <t>https://3arbzfbsh-cname-us.ngrok.io/Desktop/seabridge%20fintech/image_app/DFS_resistance_support.jpg</t>
  </si>
  <si>
    <t>https://3arbzfbsh-cname-us.ngrok.io/Desktop/seabridge%20fintech/profit_graph_app/DFS_Return.jpg</t>
  </si>
  <si>
    <t>https://3arbzfbsh-cname-us.ngrok.io/Desktop/seabridge%20fintech/image_app/DG_resistance_support.jpg</t>
  </si>
  <si>
    <t>https://3arbzfbsh-cname-us.ngrok.io/Desktop/seabridge%20fintech/profit_graph_app/DG_Return.jpg</t>
  </si>
  <si>
    <t>https://3arbzfbsh-cname-us.ngrok.io/Desktop/seabridge%20fintech/image_app/DGX_resistance_support.jpg</t>
  </si>
  <si>
    <t>https://3arbzfbsh-cname-us.ngrok.io/Desktop/seabridge%20fintech/profit_graph_app/DGX_Return.jpg</t>
  </si>
  <si>
    <t>https://3arbzfbsh-cname-us.ngrok.io/Desktop/seabridge%20fintech/image_app/DHI_resistance_support.jpg</t>
  </si>
  <si>
    <t>https://3arbzfbsh-cname-us.ngrok.io/Desktop/seabridge%20fintech/profit_graph_app/DHI_Return.jpg</t>
  </si>
  <si>
    <t>https://3arbzfbsh-cname-us.ngrok.io/Desktop/seabridge%20fintech/image_app/DHR_resistance_support.jpg</t>
  </si>
  <si>
    <t>https://3arbzfbsh-cname-us.ngrok.io/Desktop/seabridge%20fintech/profit_graph_app/DHR_Return.jpg</t>
  </si>
  <si>
    <t>https://3arbzfbsh-cname-us.ngrok.io/Desktop/seabridge%20fintech/image_app/DIA_resistance_support.jpg</t>
  </si>
  <si>
    <t>https://3arbzfbsh-cname-us.ngrok.io/Desktop/seabridge%20fintech/profit_graph_app/DIA_Return.jpg</t>
  </si>
  <si>
    <t>https://3arbzfbsh-cname-us.ngrok.io/Desktop/seabridge%20fintech/image_app/DIS_resistance_support.jpg</t>
  </si>
  <si>
    <t>https://3arbzfbsh-cname-us.ngrok.io/Desktop/seabridge%20fintech/profit_graph_app/DIS_Return.jpg</t>
  </si>
  <si>
    <t>https://3arbzfbsh-cname-us.ngrok.io/Desktop/seabridge%20fintech/image_app/DISCA_resistance_support.jpg</t>
  </si>
  <si>
    <t>https://3arbzfbsh-cname-us.ngrok.io/Desktop/seabridge%20fintech/profit_graph_app/DISCA_Return.jpg</t>
  </si>
  <si>
    <t>https://3arbzfbsh-cname-us.ngrok.io/Desktop/seabridge%20fintech/image_app/DISH_resistance_support.jpg</t>
  </si>
  <si>
    <t>https://3arbzfbsh-cname-us.ngrok.io/Desktop/seabridge%20fintech/profit_graph_app/DISH_Return.jpg</t>
  </si>
  <si>
    <t>https://3arbzfbsh-cname-us.ngrok.io/Desktop/seabridge%20fintech/image_app/DKNG_resistance_support.jpg</t>
  </si>
  <si>
    <t>https://3arbzfbsh-cname-us.ngrok.io/Desktop/seabridge%20fintech/profit_graph_app/DKNG_Return.jpg</t>
  </si>
  <si>
    <t>https://3arbzfbsh-cname-us.ngrok.io/Desktop/seabridge%20fintech/image_app/DLR_resistance_support.jpg</t>
  </si>
  <si>
    <t>https://3arbzfbsh-cname-us.ngrok.io/Desktop/seabridge%20fintech/profit_graph_app/DLR_Return.jpg</t>
  </si>
  <si>
    <t>https://3arbzfbsh-cname-us.ngrok.io/Desktop/seabridge%20fintech/image_app/DLTR_resistance_support.jpg</t>
  </si>
  <si>
    <t>https://3arbzfbsh-cname-us.ngrok.io/Desktop/seabridge%20fintech/profit_graph_app/DLTR_Return.jpg</t>
  </si>
  <si>
    <t>https://3arbzfbsh-cname-us.ngrok.io/Desktop/seabridge%20fintech/image_app/DOCU_resistance_support.jpg</t>
  </si>
  <si>
    <t>https://3arbzfbsh-cname-us.ngrok.io/Desktop/seabridge%20fintech/profit_graph_app/DOCU_Return.jpg</t>
  </si>
  <si>
    <t>https://3arbzfbsh-cname-us.ngrok.io/Desktop/seabridge%20fintech/image_app/DOV_resistance_support.jpg</t>
  </si>
  <si>
    <t>https://3arbzfbsh-cname-us.ngrok.io/Desktop/seabridge%20fintech/profit_graph_app/DOV_Return.jpg</t>
  </si>
  <si>
    <t>https://3arbzfbsh-cname-us.ngrok.io/Desktop/seabridge%20fintech/image_app/DOW_resistance_support.jpg</t>
  </si>
  <si>
    <t>https://3arbzfbsh-cname-us.ngrok.io/Desktop/seabridge%20fintech/profit_graph_app/DOW_Return.jpg</t>
  </si>
  <si>
    <t>https://3arbzfbsh-cname-us.ngrok.io/Desktop/seabridge%20fintech/image_app/DPZ_resistance_support.jpg</t>
  </si>
  <si>
    <t>https://3arbzfbsh-cname-us.ngrok.io/Desktop/seabridge%20fintech/profit_graph_app/DPZ_Return.jpg</t>
  </si>
  <si>
    <t>https://3arbzfbsh-cname-us.ngrok.io/Desktop/seabridge%20fintech/image_app/DRE_resistance_support.jpg</t>
  </si>
  <si>
    <t>https://3arbzfbsh-cname-us.ngrok.io/Desktop/seabridge%20fintech/profit_graph_app/DRE_Return.jpg</t>
  </si>
  <si>
    <t>https://3arbzfbsh-cname-us.ngrok.io/Desktop/seabridge%20fintech/image_app/DRI_resistance_support.jpg</t>
  </si>
  <si>
    <t>https://3arbzfbsh-cname-us.ngrok.io/Desktop/seabridge%20fintech/profit_graph_app/DRI_Return.jpg</t>
  </si>
  <si>
    <t>https://3arbzfbsh-cname-us.ngrok.io/Desktop/seabridge%20fintech/image_app/DTE_resistance_support.jpg</t>
  </si>
  <si>
    <t>https://3arbzfbsh-cname-us.ngrok.io/Desktop/seabridge%20fintech/profit_graph_app/DTE_Return.jpg</t>
  </si>
  <si>
    <t>https://3arbzfbsh-cname-us.ngrok.io/Desktop/seabridge%20fintech/image_app/DUK_resistance_support.jpg</t>
  </si>
  <si>
    <t>https://3arbzfbsh-cname-us.ngrok.io/Desktop/seabridge%20fintech/profit_graph_app/DUK_Return.jpg</t>
  </si>
  <si>
    <t>https://3arbzfbsh-cname-us.ngrok.io/Desktop/seabridge%20fintech/image_app/DVA_resistance_support.jpg</t>
  </si>
  <si>
    <t>https://3arbzfbsh-cname-us.ngrok.io/Desktop/seabridge%20fintech/profit_graph_app/DVA_Return.jpg</t>
  </si>
  <si>
    <t>https://3arbzfbsh-cname-us.ngrok.io/Desktop/seabridge%20fintech/image_app/DVN_resistance_support.jpg</t>
  </si>
  <si>
    <t>https://3arbzfbsh-cname-us.ngrok.io/Desktop/seabridge%20fintech/profit_graph_app/DVN_Return.jpg</t>
  </si>
  <si>
    <t>https://3arbzfbsh-cname-us.ngrok.io/Desktop/seabridge%20fintech/image_app/DXC_resistance_support.jpg</t>
  </si>
  <si>
    <t>https://3arbzfbsh-cname-us.ngrok.io/Desktop/seabridge%20fintech/profit_graph_app/DXC_Return.jpg</t>
  </si>
  <si>
    <t>https://3arbzfbsh-cname-us.ngrok.io/Desktop/seabridge%20fintech/image_app/DXCM_resistance_support.jpg</t>
  </si>
  <si>
    <t>https://3arbzfbsh-cname-us.ngrok.io/Desktop/seabridge%20fintech/profit_graph_app/DXCM_Return.jpg</t>
  </si>
  <si>
    <t>https://3arbzfbsh-cname-us.ngrok.io/Desktop/seabridge%20fintech/image_app/EA_resistance_support.jpg</t>
  </si>
  <si>
    <t>https://3arbzfbsh-cname-us.ngrok.io/Desktop/seabridge%20fintech/profit_graph_app/EA_Return.jpg</t>
  </si>
  <si>
    <t>https://3arbzfbsh-cname-us.ngrok.io/Desktop/seabridge%20fintech/image_app/EBAY_resistance_support.jpg</t>
  </si>
  <si>
    <t>https://3arbzfbsh-cname-us.ngrok.io/Desktop/seabridge%20fintech/profit_graph_app/EBAY_Return.jpg</t>
  </si>
  <si>
    <t>https://3arbzfbsh-cname-us.ngrok.io/Desktop/seabridge%20fintech/image_app/ECL_resistance_support.jpg</t>
  </si>
  <si>
    <t>https://3arbzfbsh-cname-us.ngrok.io/Desktop/seabridge%20fintech/profit_graph_app/ECL_Return.jpg</t>
  </si>
  <si>
    <t>https://3arbzfbsh-cname-us.ngrok.io/Desktop/seabridge%20fintech/image_app/ED_resistance_support.jpg</t>
  </si>
  <si>
    <t>https://3arbzfbsh-cname-us.ngrok.io/Desktop/seabridge%20fintech/profit_graph_app/ED_Return.jpg</t>
  </si>
  <si>
    <t>https://3arbzfbsh-cname-us.ngrok.io/Desktop/seabridge%20fintech/image_app/EEM_resistance_support.jpg</t>
  </si>
  <si>
    <t>https://3arbzfbsh-cname-us.ngrok.io/Desktop/seabridge%20fintech/profit_graph_app/EEM_Return.jpg</t>
  </si>
  <si>
    <t>https://3arbzfbsh-cname-us.ngrok.io/Desktop/seabridge%20fintech/image_app/EFA_resistance_support.jpg</t>
  </si>
  <si>
    <t>https://3arbzfbsh-cname-us.ngrok.io/Desktop/seabridge%20fintech/profit_graph_app/EFA_Return.jpg</t>
  </si>
  <si>
    <t>https://3arbzfbsh-cname-us.ngrok.io/Desktop/seabridge%20fintech/image_app/EFX_resistance_support.jpg</t>
  </si>
  <si>
    <t>https://3arbzfbsh-cname-us.ngrok.io/Desktop/seabridge%20fintech/profit_graph_app/EFX_Return.jpg</t>
  </si>
  <si>
    <t>https://3arbzfbsh-cname-us.ngrok.io/Desktop/seabridge%20fintech/image_app/EIX_resistance_support.jpg</t>
  </si>
  <si>
    <t>https://3arbzfbsh-cname-us.ngrok.io/Desktop/seabridge%20fintech/profit_graph_app/EIX_Return.jpg</t>
  </si>
  <si>
    <t>https://3arbzfbsh-cname-us.ngrok.io/Desktop/seabridge%20fintech/image_app/EL_resistance_support.jpg</t>
  </si>
  <si>
    <t>https://3arbzfbsh-cname-us.ngrok.io/Desktop/seabridge%20fintech/profit_graph_app/EL_Return.jpg</t>
  </si>
  <si>
    <t>https://3arbzfbsh-cname-us.ngrok.io/Desktop/seabridge%20fintech/image_app/ELAN_resistance_support.jpg</t>
  </si>
  <si>
    <t>https://3arbzfbsh-cname-us.ngrok.io/Desktop/seabridge%20fintech/profit_graph_app/ELAN_Return.jpg</t>
  </si>
  <si>
    <t>https://3arbzfbsh-cname-us.ngrok.io/Desktop/seabridge%20fintech/image_app/ELY_resistance_support.jpg</t>
  </si>
  <si>
    <t>https://3arbzfbsh-cname-us.ngrok.io/Desktop/seabridge%20fintech/profit_graph_app/ELY_Return.jpg</t>
  </si>
  <si>
    <t>https://3arbzfbsh-cname-us.ngrok.io/Desktop/seabridge%20fintech/image_app/EMB_resistance_support.jpg</t>
  </si>
  <si>
    <t>https://3arbzfbsh-cname-us.ngrok.io/Desktop/seabridge%20fintech/profit_graph_app/EMB_Return.jpg</t>
  </si>
  <si>
    <t>https://3arbzfbsh-cname-us.ngrok.io/Desktop/seabridge%20fintech/image_app/EMN_resistance_support.jpg</t>
  </si>
  <si>
    <t>https://3arbzfbsh-cname-us.ngrok.io/Desktop/seabridge%20fintech/profit_graph_app/EMN_Return.jpg</t>
  </si>
  <si>
    <t>https://3arbzfbsh-cname-us.ngrok.io/Desktop/seabridge%20fintech/image_app/EMR_resistance_support.jpg</t>
  </si>
  <si>
    <t>https://3arbzfbsh-cname-us.ngrok.io/Desktop/seabridge%20fintech/profit_graph_app/EMR_Return.jpg</t>
  </si>
  <si>
    <t>https://3arbzfbsh-cname-us.ngrok.io/Desktop/seabridge%20fintech/image_app/ENPH_resistance_support.jpg</t>
  </si>
  <si>
    <t>https://3arbzfbsh-cname-us.ngrok.io/Desktop/seabridge%20fintech/profit_graph_app/ENPH_Return.jpg</t>
  </si>
  <si>
    <t>https://3arbzfbsh-cname-us.ngrok.io/Desktop/seabridge%20fintech/image_app/EOG_resistance_support.jpg</t>
  </si>
  <si>
    <t>https://3arbzfbsh-cname-us.ngrok.io/Desktop/seabridge%20fintech/profit_graph_app/EOG_Return.jpg</t>
  </si>
  <si>
    <t>https://3arbzfbsh-cname-us.ngrok.io/Desktop/seabridge%20fintech/image_app/EQH_resistance_support.jpg</t>
  </si>
  <si>
    <t>https://3arbzfbsh-cname-us.ngrok.io/Desktop/seabridge%20fintech/profit_graph_app/EQH_Return.jpg</t>
  </si>
  <si>
    <t>https://3arbzfbsh-cname-us.ngrok.io/Desktop/seabridge%20fintech/image_app/EQIX_resistance_support.jpg</t>
  </si>
  <si>
    <t>https://3arbzfbsh-cname-us.ngrok.io/Desktop/seabridge%20fintech/profit_graph_app/EQIX_Return.jpg</t>
  </si>
  <si>
    <t>https://3arbzfbsh-cname-us.ngrok.io/Desktop/seabridge%20fintech/image_app/EQR_resistance_support.jpg</t>
  </si>
  <si>
    <t>https://3arbzfbsh-cname-us.ngrok.io/Desktop/seabridge%20fintech/profit_graph_app/EQR_Return.jpg</t>
  </si>
  <si>
    <t>https://3arbzfbsh-cname-us.ngrok.io/Desktop/seabridge%20fintech/image_app/ES_resistance_support.jpg</t>
  </si>
  <si>
    <t>https://3arbzfbsh-cname-us.ngrok.io/Desktop/seabridge%20fintech/profit_graph_app/ES_Return.jpg</t>
  </si>
  <si>
    <t>https://3arbzfbsh-cname-us.ngrok.io/Desktop/seabridge%20fintech/image_app/ESS_resistance_support.jpg</t>
  </si>
  <si>
    <t>https://3arbzfbsh-cname-us.ngrok.io/Desktop/seabridge%20fintech/profit_graph_app/ESS_Return.jpg</t>
  </si>
  <si>
    <t>https://3arbzfbsh-cname-us.ngrok.io/Desktop/seabridge%20fintech/image_app/ETN_resistance_support.jpg</t>
  </si>
  <si>
    <t>https://3arbzfbsh-cname-us.ngrok.io/Desktop/seabridge%20fintech/profit_graph_app/ETN_Return.jpg</t>
  </si>
  <si>
    <t>https://3arbzfbsh-cname-us.ngrok.io/Desktop/seabridge%20fintech/image_app/ETR_resistance_support.jpg</t>
  </si>
  <si>
    <t>https://3arbzfbsh-cname-us.ngrok.io/Desktop/seabridge%20fintech/profit_graph_app/ETR_Return.jpg</t>
  </si>
  <si>
    <t>https://3arbzfbsh-cname-us.ngrok.io/Desktop/seabridge%20fintech/image_app/ETSY_resistance_support.jpg</t>
  </si>
  <si>
    <t>https://3arbzfbsh-cname-us.ngrok.io/Desktop/seabridge%20fintech/profit_graph_app/ETSY_Return.jpg</t>
  </si>
  <si>
    <t>https://3arbzfbsh-cname-us.ngrok.io/Desktop/seabridge%20fintech/image_app/EVRG_resistance_support.jpg</t>
  </si>
  <si>
    <t>https://3arbzfbsh-cname-us.ngrok.io/Desktop/seabridge%20fintech/profit_graph_app/EVRG_Return.jpg</t>
  </si>
  <si>
    <t>https://3arbzfbsh-cname-us.ngrok.io/Desktop/seabridge%20fintech/image_app/EW_resistance_support.jpg</t>
  </si>
  <si>
    <t>https://3arbzfbsh-cname-us.ngrok.io/Desktop/seabridge%20fintech/profit_graph_app/EW_Return.jpg</t>
  </si>
  <si>
    <t>https://3arbzfbsh-cname-us.ngrok.io/Desktop/seabridge%20fintech/image_app/EWC_resistance_support.jpg</t>
  </si>
  <si>
    <t>https://3arbzfbsh-cname-us.ngrok.io/Desktop/seabridge%20fintech/profit_graph_app/EWC_Return.jpg</t>
  </si>
  <si>
    <t>https://3arbzfbsh-cname-us.ngrok.io/Desktop/seabridge%20fintech/image_app/EWG_resistance_support.jpg</t>
  </si>
  <si>
    <t>https://3arbzfbsh-cname-us.ngrok.io/Desktop/seabridge%20fintech/profit_graph_app/EWG_Return.jpg</t>
  </si>
  <si>
    <t>https://3arbzfbsh-cname-us.ngrok.io/Desktop/seabridge%20fintech/image_app/EWH_resistance_support.jpg</t>
  </si>
  <si>
    <t>https://3arbzfbsh-cname-us.ngrok.io/Desktop/seabridge%20fintech/profit_graph_app/EWH_Return.jpg</t>
  </si>
  <si>
    <t>https://3arbzfbsh-cname-us.ngrok.io/Desktop/seabridge%20fintech/image_app/EWJ_resistance_support.jpg</t>
  </si>
  <si>
    <t>https://3arbzfbsh-cname-us.ngrok.io/Desktop/seabridge%20fintech/profit_graph_app/EWJ_Return.jpg</t>
  </si>
  <si>
    <t>https://3arbzfbsh-cname-us.ngrok.io/Desktop/seabridge%20fintech/image_app/EWT_resistance_support.jpg</t>
  </si>
  <si>
    <t>https://3arbzfbsh-cname-us.ngrok.io/Desktop/seabridge%20fintech/profit_graph_app/EWT_Return.jpg</t>
  </si>
  <si>
    <t>https://3arbzfbsh-cname-us.ngrok.io/Desktop/seabridge%20fintech/image_app/EWU_resistance_support.jpg</t>
  </si>
  <si>
    <t>https://3arbzfbsh-cname-us.ngrok.io/Desktop/seabridge%20fintech/profit_graph_app/EWU_Return.jpg</t>
  </si>
  <si>
    <t>https://3arbzfbsh-cname-us.ngrok.io/Desktop/seabridge%20fintech/image_app/EWY_resistance_support.jpg</t>
  </si>
  <si>
    <t>https://3arbzfbsh-cname-us.ngrok.io/Desktop/seabridge%20fintech/profit_graph_app/EWY_Return.jpg</t>
  </si>
  <si>
    <t>https://3arbzfbsh-cname-us.ngrok.io/Desktop/seabridge%20fintech/image_app/EWZ_resistance_support.jpg</t>
  </si>
  <si>
    <t>https://3arbzfbsh-cname-us.ngrok.io/Desktop/seabridge%20fintech/profit_graph_app/EWZ_Return.jpg</t>
  </si>
  <si>
    <t>https://3arbzfbsh-cname-us.ngrok.io/Desktop/seabridge%20fintech/image_app/EXC_resistance_support.jpg</t>
  </si>
  <si>
    <t>https://3arbzfbsh-cname-us.ngrok.io/Desktop/seabridge%20fintech/profit_graph_app/EXC_Return.jpg</t>
  </si>
  <si>
    <t>https://3arbzfbsh-cname-us.ngrok.io/Desktop/seabridge%20fintech/image_app/EXPD_resistance_support.jpg</t>
  </si>
  <si>
    <t>https://3arbzfbsh-cname-us.ngrok.io/Desktop/seabridge%20fintech/profit_graph_app/EXPD_Return.jpg</t>
  </si>
  <si>
    <t>https://3arbzfbsh-cname-us.ngrok.io/Desktop/seabridge%20fintech/image_app/EXPE_resistance_support.jpg</t>
  </si>
  <si>
    <t>https://3arbzfbsh-cname-us.ngrok.io/Desktop/seabridge%20fintech/profit_graph_app/EXPE_Return.jpg</t>
  </si>
  <si>
    <t>https://3arbzfbsh-cname-us.ngrok.io/Desktop/seabridge%20fintech/image_app/EXR_resistance_support.jpg</t>
  </si>
  <si>
    <t>https://3arbzfbsh-cname-us.ngrok.io/Desktop/seabridge%20fintech/profit_graph_app/EXR_Return.jpg</t>
  </si>
  <si>
    <t>https://3arbzfbsh-cname-us.ngrok.io/Desktop/seabridge%20fintech/image_app/EZU_resistance_support.jpg</t>
  </si>
  <si>
    <t>https://3arbzfbsh-cname-us.ngrok.io/Desktop/seabridge%20fintech/profit_graph_app/EZU_Return.jpg</t>
  </si>
  <si>
    <t>https://3arbzfbsh-cname-us.ngrok.io/Desktop/seabridge%20fintech/image_app/F_resistance_support.jpg</t>
  </si>
  <si>
    <t>https://3arbzfbsh-cname-us.ngrok.io/Desktop/seabridge%20fintech/profit_graph_app/F_Return.jpg</t>
  </si>
  <si>
    <t>https://3arbzfbsh-cname-us.ngrok.io/Desktop/seabridge%20fintech/image_app/FANG_resistance_support.jpg</t>
  </si>
  <si>
    <t>https://3arbzfbsh-cname-us.ngrok.io/Desktop/seabridge%20fintech/profit_graph_app/FANG_Return.jpg</t>
  </si>
  <si>
    <t>https://3arbzfbsh-cname-us.ngrok.io/Desktop/seabridge%20fintech/image_app/FAST_resistance_support.jpg</t>
  </si>
  <si>
    <t>https://3arbzfbsh-cname-us.ngrok.io/Desktop/seabridge%20fintech/profit_graph_app/FAST_Return.jpg</t>
  </si>
  <si>
    <t>https://3arbzfbsh-cname-us.ngrok.io/Desktop/seabridge%20fintech/image_app/FB_resistance_support.jpg</t>
  </si>
  <si>
    <t>https://3arbzfbsh-cname-us.ngrok.io/Desktop/seabridge%20fintech/profit_graph_app/FB_Return.jpg</t>
  </si>
  <si>
    <t>https://3arbzfbsh-cname-us.ngrok.io/Desktop/seabridge%20fintech/image_app/FBHS_resistance_support.jpg</t>
  </si>
  <si>
    <t>https://3arbzfbsh-cname-us.ngrok.io/Desktop/seabridge%20fintech/profit_graph_app/FBHS_Return.jpg</t>
  </si>
  <si>
    <t>https://3arbzfbsh-cname-us.ngrok.io/Desktop/seabridge%20fintech/image_app/FCX_resistance_support.jpg</t>
  </si>
  <si>
    <t>https://3arbzfbsh-cname-us.ngrok.io/Desktop/seabridge%20fintech/profit_graph_app/FCX_Return.jpg</t>
  </si>
  <si>
    <t>https://3arbzfbsh-cname-us.ngrok.io/Desktop/seabridge%20fintech/image_app/FDX_resistance_support.jpg</t>
  </si>
  <si>
    <t>https://3arbzfbsh-cname-us.ngrok.io/Desktop/seabridge%20fintech/profit_graph_app/FDX_Return.jpg</t>
  </si>
  <si>
    <t>https://3arbzfbsh-cname-us.ngrok.io/Desktop/seabridge%20fintech/image_app/FE_resistance_support.jpg</t>
  </si>
  <si>
    <t>https://3arbzfbsh-cname-us.ngrok.io/Desktop/seabridge%20fintech/profit_graph_app/FE_Return.jpg</t>
  </si>
  <si>
    <t>https://3arbzfbsh-cname-us.ngrok.io/Desktop/seabridge%20fintech/image_app/FFIV_resistance_support.jpg</t>
  </si>
  <si>
    <t>https://3arbzfbsh-cname-us.ngrok.io/Desktop/seabridge%20fintech/profit_graph_app/FFIV_Return.jpg</t>
  </si>
  <si>
    <t>https://3arbzfbsh-cname-us.ngrok.io/Desktop/seabridge%20fintech/image_app/FIS_resistance_support.jpg</t>
  </si>
  <si>
    <t>https://3arbzfbsh-cname-us.ngrok.io/Desktop/seabridge%20fintech/profit_graph_app/FIS_Return.jpg</t>
  </si>
  <si>
    <t>https://3arbzfbsh-cname-us.ngrok.io/Desktop/seabridge%20fintech/image_app/FISV_resistance_support.jpg</t>
  </si>
  <si>
    <t>https://3arbzfbsh-cname-us.ngrok.io/Desktop/seabridge%20fintech/profit_graph_app/FISV_Return.jpg</t>
  </si>
  <si>
    <t>https://3arbzfbsh-cname-us.ngrok.io/Desktop/seabridge%20fintech/image_app/FITB_resistance_support.jpg</t>
  </si>
  <si>
    <t>https://3arbzfbsh-cname-us.ngrok.io/Desktop/seabridge%20fintech/profit_graph_app/FITB_Return.jpg</t>
  </si>
  <si>
    <t>https://3arbzfbsh-cname-us.ngrok.io/Desktop/seabridge%20fintech/image_app/FLT_resistance_support.jpg</t>
  </si>
  <si>
    <t>https://3arbzfbsh-cname-us.ngrok.io/Desktop/seabridge%20fintech/profit_graph_app/FLT_Return.jpg</t>
  </si>
  <si>
    <t>https://3arbzfbsh-cname-us.ngrok.io/Desktop/seabridge%20fintech/image_app/FMC_resistance_support.jpg</t>
  </si>
  <si>
    <t>https://3arbzfbsh-cname-us.ngrok.io/Desktop/seabridge%20fintech/profit_graph_app/FMC_Return.jpg</t>
  </si>
  <si>
    <t>https://3arbzfbsh-cname-us.ngrok.io/Desktop/seabridge%20fintech/image_app/FOX_resistance_support.jpg</t>
  </si>
  <si>
    <t>https://3arbzfbsh-cname-us.ngrok.io/Desktop/seabridge%20fintech/profit_graph_app/FOX_Return.jpg</t>
  </si>
  <si>
    <t>https://3arbzfbsh-cname-us.ngrok.io/Desktop/seabridge%20fintech/image_app/FOXA_resistance_support.jpg</t>
  </si>
  <si>
    <t>https://3arbzfbsh-cname-us.ngrok.io/Desktop/seabridge%20fintech/profit_graph_app/FOXA_Return.jpg</t>
  </si>
  <si>
    <t>https://3arbzfbsh-cname-us.ngrok.io/Desktop/seabridge%20fintech/image_app/FRC_resistance_support.jpg</t>
  </si>
  <si>
    <t>https://3arbzfbsh-cname-us.ngrok.io/Desktop/seabridge%20fintech/profit_graph_app/FRC_Return.jpg</t>
  </si>
  <si>
    <t>https://3arbzfbsh-cname-us.ngrok.io/Desktop/seabridge%20fintech/image_app/FRT_resistance_support.jpg</t>
  </si>
  <si>
    <t>https://3arbzfbsh-cname-us.ngrok.io/Desktop/seabridge%20fintech/profit_graph_app/FRT_Return.jpg</t>
  </si>
  <si>
    <t>https://3arbzfbsh-cname-us.ngrok.io/Desktop/seabridge%20fintech/image_app/FSLR_resistance_support.jpg</t>
  </si>
  <si>
    <t>https://3arbzfbsh-cname-us.ngrok.io/Desktop/seabridge%20fintech/profit_graph_app/FSLR_Return.jpg</t>
  </si>
  <si>
    <t>https://3arbzfbsh-cname-us.ngrok.io/Desktop/seabridge%20fintech/image_app/FSLY_resistance_support.jpg</t>
  </si>
  <si>
    <t>https://3arbzfbsh-cname-us.ngrok.io/Desktop/seabridge%20fintech/profit_graph_app/FSLY_Return.jpg</t>
  </si>
  <si>
    <t>https://3arbzfbsh-cname-us.ngrok.io/Desktop/seabridge%20fintech/image_app/FTNT_resistance_support.jpg</t>
  </si>
  <si>
    <t>https://3arbzfbsh-cname-us.ngrok.io/Desktop/seabridge%20fintech/profit_graph_app/FTNT_Return.jpg</t>
  </si>
  <si>
    <t>https://3arbzfbsh-cname-us.ngrok.io/Desktop/seabridge%20fintech/image_app/FTV_resistance_support.jpg</t>
  </si>
  <si>
    <t>https://3arbzfbsh-cname-us.ngrok.io/Desktop/seabridge%20fintech/profit_graph_app/FTV_Return.jpg</t>
  </si>
  <si>
    <t>https://3arbzfbsh-cname-us.ngrok.io/Desktop/seabridge%20fintech/image_app/FUBO_resistance_support.jpg</t>
  </si>
  <si>
    <t>https://3arbzfbsh-cname-us.ngrok.io/Desktop/seabridge%20fintech/profit_graph_app/FUBO_Return.jpg</t>
  </si>
  <si>
    <t>https://3arbzfbsh-cname-us.ngrok.io/Desktop/seabridge%20fintech/image_app/FXI_resistance_support.jpg</t>
  </si>
  <si>
    <t>https://3arbzfbsh-cname-us.ngrok.io/Desktop/seabridge%20fintech/profit_graph_app/FXI_Return.jpg</t>
  </si>
  <si>
    <t>https://3arbzfbsh-cname-us.ngrok.io/Desktop/seabridge%20fintech/image_app/GBTC_resistance_support.jpg</t>
  </si>
  <si>
    <t>https://3arbzfbsh-cname-us.ngrok.io/Desktop/seabridge%20fintech/profit_graph_app/GBTC_Return.jpg</t>
  </si>
  <si>
    <t>https://3arbzfbsh-cname-us.ngrok.io/Desktop/seabridge%20fintech/image_app/GD_resistance_support.jpg</t>
  </si>
  <si>
    <t>https://3arbzfbsh-cname-us.ngrok.io/Desktop/seabridge%20fintech/profit_graph_app/GD_Return.jpg</t>
  </si>
  <si>
    <t>https://3arbzfbsh-cname-us.ngrok.io/Desktop/seabridge%20fintech/image_app/GDX_resistance_support.jpg</t>
  </si>
  <si>
    <t>https://3arbzfbsh-cname-us.ngrok.io/Desktop/seabridge%20fintech/profit_graph_app/GDX_Return.jpg</t>
  </si>
  <si>
    <t>https://3arbzfbsh-cname-us.ngrok.io/Desktop/seabridge%20fintech/image_app/GE_resistance_support.jpg</t>
  </si>
  <si>
    <t>https://3arbzfbsh-cname-us.ngrok.io/Desktop/seabridge%20fintech/profit_graph_app/GE_Return.jpg</t>
  </si>
  <si>
    <t>https://3arbzfbsh-cname-us.ngrok.io/Desktop/seabridge%20fintech/image_app/GILD_resistance_support.jpg</t>
  </si>
  <si>
    <t>https://3arbzfbsh-cname-us.ngrok.io/Desktop/seabridge%20fintech/profit_graph_app/GILD_Return.jpg</t>
  </si>
  <si>
    <t>https://3arbzfbsh-cname-us.ngrok.io/Desktop/seabridge%20fintech/image_app/GIS_resistance_support.jpg</t>
  </si>
  <si>
    <t>https://3arbzfbsh-cname-us.ngrok.io/Desktop/seabridge%20fintech/profit_graph_app/GIS_Return.jpg</t>
  </si>
  <si>
    <t>https://3arbzfbsh-cname-us.ngrok.io/Desktop/seabridge%20fintech/image_app/GL_resistance_support.jpg</t>
  </si>
  <si>
    <t>https://3arbzfbsh-cname-us.ngrok.io/Desktop/seabridge%20fintech/profit_graph_app/GL_Return.jpg</t>
  </si>
  <si>
    <t>https://3arbzfbsh-cname-us.ngrok.io/Desktop/seabridge%20fintech/image_app/GLD_resistance_support.jpg</t>
  </si>
  <si>
    <t>https://3arbzfbsh-cname-us.ngrok.io/Desktop/seabridge%20fintech/profit_graph_app/GLD_Return.jpg</t>
  </si>
  <si>
    <t>https://3arbzfbsh-cname-us.ngrok.io/Desktop/seabridge%20fintech/image_app/GLW_resistance_support.jpg</t>
  </si>
  <si>
    <t>https://3arbzfbsh-cname-us.ngrok.io/Desktop/seabridge%20fintech/profit_graph_app/GLW_Return.jpg</t>
  </si>
  <si>
    <t>https://3arbzfbsh-cname-us.ngrok.io/Desktop/seabridge%20fintech/image_app/GM_resistance_support.jpg</t>
  </si>
  <si>
    <t>https://3arbzfbsh-cname-us.ngrok.io/Desktop/seabridge%20fintech/profit_graph_app/GM_Return.jpg</t>
  </si>
  <si>
    <t>https://3arbzfbsh-cname-us.ngrok.io/Desktop/seabridge%20fintech/image_app/GME_resistance_support.jpg</t>
  </si>
  <si>
    <t>https://3arbzfbsh-cname-us.ngrok.io/Desktop/seabridge%20fintech/profit_graph_app/GME_Return.jpg</t>
  </si>
  <si>
    <t>https://3arbzfbsh-cname-us.ngrok.io/Desktop/seabridge%20fintech/image_app/GNRC_resistance_support.jpg</t>
  </si>
  <si>
    <t>https://3arbzfbsh-cname-us.ngrok.io/Desktop/seabridge%20fintech/profit_graph_app/GNRC_Return.jpg</t>
  </si>
  <si>
    <t>https://3arbzfbsh-cname-us.ngrok.io/Desktop/seabridge%20fintech/image_app/GOOG_resistance_support.jpg</t>
  </si>
  <si>
    <t>https://3arbzfbsh-cname-us.ngrok.io/Desktop/seabridge%20fintech/profit_graph_app/GOOG_Return.jpg</t>
  </si>
  <si>
    <t>https://3arbzfbsh-cname-us.ngrok.io/Desktop/seabridge%20fintech/image_app/GOOGL_resistance_support.jpg</t>
  </si>
  <si>
    <t>https://3arbzfbsh-cname-us.ngrok.io/Desktop/seabridge%20fintech/profit_graph_app/GOOGL_Return.jpg</t>
  </si>
  <si>
    <t>https://3arbzfbsh-cname-us.ngrok.io/Desktop/seabridge%20fintech/image_app/GOVT_resistance_support.jpg</t>
  </si>
  <si>
    <t>https://3arbzfbsh-cname-us.ngrok.io/Desktop/seabridge%20fintech/profit_graph_app/GOVT_Return.jpg</t>
  </si>
  <si>
    <t>https://3arbzfbsh-cname-us.ngrok.io/Desktop/seabridge%20fintech/image_app/GPC_resistance_support.jpg</t>
  </si>
  <si>
    <t>https://3arbzfbsh-cname-us.ngrok.io/Desktop/seabridge%20fintech/profit_graph_app/GPC_Return.jpg</t>
  </si>
  <si>
    <t>https://3arbzfbsh-cname-us.ngrok.io/Desktop/seabridge%20fintech/image_app/GPN_resistance_support.jpg</t>
  </si>
  <si>
    <t>https://3arbzfbsh-cname-us.ngrok.io/Desktop/seabridge%20fintech/profit_graph_app/GPN_Return.jpg</t>
  </si>
  <si>
    <t>https://3arbzfbsh-cname-us.ngrok.io/Desktop/seabridge%20fintech/image_app/GPS_resistance_support.jpg</t>
  </si>
  <si>
    <t>https://3arbzfbsh-cname-us.ngrok.io/Desktop/seabridge%20fintech/profit_graph_app/GPS_Return.jpg</t>
  </si>
  <si>
    <t>https://3arbzfbsh-cname-us.ngrok.io/Desktop/seabridge%20fintech/image_app/GRMN_resistance_support.jpg</t>
  </si>
  <si>
    <t>https://3arbzfbsh-cname-us.ngrok.io/Desktop/seabridge%20fintech/profit_graph_app/GRMN_Return.jpg</t>
  </si>
  <si>
    <t>https://3arbzfbsh-cname-us.ngrok.io/Desktop/seabridge%20fintech/image_app/GS_resistance_support.jpg</t>
  </si>
  <si>
    <t>https://3arbzfbsh-cname-us.ngrok.io/Desktop/seabridge%20fintech/profit_graph_app/GS_Return.jpg</t>
  </si>
  <si>
    <t>https://3arbzfbsh-cname-us.ngrok.io/Desktop/seabridge%20fintech/image_app/GWW_resistance_support.jpg</t>
  </si>
  <si>
    <t>https://3arbzfbsh-cname-us.ngrok.io/Desktop/seabridge%20fintech/profit_graph_app/GWW_Return.jpg</t>
  </si>
  <si>
    <t>https://3arbzfbsh-cname-us.ngrok.io/Desktop/seabridge%20fintech/image_app/HAL_resistance_support.jpg</t>
  </si>
  <si>
    <t>https://3arbzfbsh-cname-us.ngrok.io/Desktop/seabridge%20fintech/profit_graph_app/HAL_Return.jpg</t>
  </si>
  <si>
    <t>https://3arbzfbsh-cname-us.ngrok.io/Desktop/seabridge%20fintech/image_app/HAS_resistance_support.jpg</t>
  </si>
  <si>
    <t>https://3arbzfbsh-cname-us.ngrok.io/Desktop/seabridge%20fintech/profit_graph_app/HAS_Return.jpg</t>
  </si>
  <si>
    <t>https://3arbzfbsh-cname-us.ngrok.io/Desktop/seabridge%20fintech/image_app/HBAN_resistance_support.jpg</t>
  </si>
  <si>
    <t>https://3arbzfbsh-cname-us.ngrok.io/Desktop/seabridge%20fintech/profit_graph_app/HBAN_Return.jpg</t>
  </si>
  <si>
    <t>https://3arbzfbsh-cname-us.ngrok.io/Desktop/seabridge%20fintech/image_app/HBI_resistance_support.jpg</t>
  </si>
  <si>
    <t>https://3arbzfbsh-cname-us.ngrok.io/Desktop/seabridge%20fintech/profit_graph_app/HBI_Return.jpg</t>
  </si>
  <si>
    <t>https://3arbzfbsh-cname-us.ngrok.io/Desktop/seabridge%20fintech/image_app/HCA_resistance_support.jpg</t>
  </si>
  <si>
    <t>https://3arbzfbsh-cname-us.ngrok.io/Desktop/seabridge%20fintech/profit_graph_app/HCA_Return.jpg</t>
  </si>
  <si>
    <t>https://3arbzfbsh-cname-us.ngrok.io/Desktop/seabridge%20fintech/image_app/HD_resistance_support.jpg</t>
  </si>
  <si>
    <t>https://3arbzfbsh-cname-us.ngrok.io/Desktop/seabridge%20fintech/profit_graph_app/HD_Return.jpg</t>
  </si>
  <si>
    <t>https://3arbzfbsh-cname-us.ngrok.io/Desktop/seabridge%20fintech/image_app/HES_resistance_support.jpg</t>
  </si>
  <si>
    <t>https://3arbzfbsh-cname-us.ngrok.io/Desktop/seabridge%20fintech/profit_graph_app/HES_Return.jpg</t>
  </si>
  <si>
    <t>https://3arbzfbsh-cname-us.ngrok.io/Desktop/seabridge%20fintech/image_app/HFC_resistance_support.jpg</t>
  </si>
  <si>
    <t>https://3arbzfbsh-cname-us.ngrok.io/Desktop/seabridge%20fintech/profit_graph_app/HFC_Return.jpg</t>
  </si>
  <si>
    <t>https://3arbzfbsh-cname-us.ngrok.io/Desktop/seabridge%20fintech/image_app/HIG_resistance_support.jpg</t>
  </si>
  <si>
    <t>https://3arbzfbsh-cname-us.ngrok.io/Desktop/seabridge%20fintech/profit_graph_app/HIG_Return.jpg</t>
  </si>
  <si>
    <t>https://3arbzfbsh-cname-us.ngrok.io/Desktop/seabridge%20fintech/image_app/HII_resistance_support.jpg</t>
  </si>
  <si>
    <t>https://3arbzfbsh-cname-us.ngrok.io/Desktop/seabridge%20fintech/profit_graph_app/HII_Return.jpg</t>
  </si>
  <si>
    <t>https://3arbzfbsh-cname-us.ngrok.io/Desktop/seabridge%20fintech/image_app/HLT_resistance_support.jpg</t>
  </si>
  <si>
    <t>https://3arbzfbsh-cname-us.ngrok.io/Desktop/seabridge%20fintech/profit_graph_app/HLT_Return.jpg</t>
  </si>
  <si>
    <t>https://3arbzfbsh-cname-us.ngrok.io/Desktop/seabridge%20fintech/image_app/HOG_resistance_support.jpg</t>
  </si>
  <si>
    <t>https://3arbzfbsh-cname-us.ngrok.io/Desktop/seabridge%20fintech/profit_graph_app/HOG_Return.jpg</t>
  </si>
  <si>
    <t>https://3arbzfbsh-cname-us.ngrok.io/Desktop/seabridge%20fintech/image_app/HOLX_resistance_support.jpg</t>
  </si>
  <si>
    <t>https://3arbzfbsh-cname-us.ngrok.io/Desktop/seabridge%20fintech/profit_graph_app/HOLX_Return.jpg</t>
  </si>
  <si>
    <t>https://3arbzfbsh-cname-us.ngrok.io/Desktop/seabridge%20fintech/image_app/HOME_resistance_support.jpg</t>
  </si>
  <si>
    <t>https://3arbzfbsh-cname-us.ngrok.io/Desktop/seabridge%20fintech/profit_graph_app/HOME_Return.jpg</t>
  </si>
  <si>
    <t>https://3arbzfbsh-cname-us.ngrok.io/Desktop/seabridge%20fintech/image_app/HON_resistance_support.jpg</t>
  </si>
  <si>
    <t>https://3arbzfbsh-cname-us.ngrok.io/Desktop/seabridge%20fintech/profit_graph_app/HON_Return.jpg</t>
  </si>
  <si>
    <t>https://3arbzfbsh-cname-us.ngrok.io/Desktop/seabridge%20fintech/image_app/HPE_resistance_support.jpg</t>
  </si>
  <si>
    <t>https://3arbzfbsh-cname-us.ngrok.io/Desktop/seabridge%20fintech/profit_graph_app/HPE_Return.jpg</t>
  </si>
  <si>
    <t>https://3arbzfbsh-cname-us.ngrok.io/Desktop/seabridge%20fintech/image_app/HPQ_resistance_support.jpg</t>
  </si>
  <si>
    <t>https://3arbzfbsh-cname-us.ngrok.io/Desktop/seabridge%20fintech/profit_graph_app/HPQ_Return.jpg</t>
  </si>
  <si>
    <t>https://3arbzfbsh-cname-us.ngrok.io/Desktop/seabridge%20fintech/image_app/HRL_resistance_support.jpg</t>
  </si>
  <si>
    <t>https://3arbzfbsh-cname-us.ngrok.io/Desktop/seabridge%20fintech/profit_graph_app/HRL_Return.jpg</t>
  </si>
  <si>
    <t>https://3arbzfbsh-cname-us.ngrok.io/Desktop/seabridge%20fintech/image_app/HSIC_resistance_support.jpg</t>
  </si>
  <si>
    <t>https://3arbzfbsh-cname-us.ngrok.io/Desktop/seabridge%20fintech/profit_graph_app/HSIC_Return.jpg</t>
  </si>
  <si>
    <t>https://3arbzfbsh-cname-us.ngrok.io/Desktop/seabridge%20fintech/image_app/HST_resistance_support.jpg</t>
  </si>
  <si>
    <t>https://3arbzfbsh-cname-us.ngrok.io/Desktop/seabridge%20fintech/profit_graph_app/HST_Return.jpg</t>
  </si>
  <si>
    <t>https://3arbzfbsh-cname-us.ngrok.io/Desktop/seabridge%20fintech/image_app/HSY_resistance_support.jpg</t>
  </si>
  <si>
    <t>https://3arbzfbsh-cname-us.ngrok.io/Desktop/seabridge%20fintech/profit_graph_app/HSY_Return.jpg</t>
  </si>
  <si>
    <t>https://3arbzfbsh-cname-us.ngrok.io/Desktop/seabridge%20fintech/image_app/HUM_resistance_support.jpg</t>
  </si>
  <si>
    <t>https://3arbzfbsh-cname-us.ngrok.io/Desktop/seabridge%20fintech/profit_graph_app/HUM_Return.jpg</t>
  </si>
  <si>
    <t>https://3arbzfbsh-cname-us.ngrok.io/Desktop/seabridge%20fintech/image_app/HUN_resistance_support.jpg</t>
  </si>
  <si>
    <t>https://3arbzfbsh-cname-us.ngrok.io/Desktop/seabridge%20fintech/profit_graph_app/HUN_Return.jpg</t>
  </si>
  <si>
    <t>https://3arbzfbsh-cname-us.ngrok.io/Desktop/seabridge%20fintech/image_app/HWM_resistance_support.jpg</t>
  </si>
  <si>
    <t>https://3arbzfbsh-cname-us.ngrok.io/Desktop/seabridge%20fintech/profit_graph_app/HWM_Return.jpg</t>
  </si>
  <si>
    <t>https://3arbzfbsh-cname-us.ngrok.io/Desktop/seabridge%20fintech/image_app/HYG_resistance_support.jpg</t>
  </si>
  <si>
    <t>https://3arbzfbsh-cname-us.ngrok.io/Desktop/seabridge%20fintech/profit_graph_app/HYG_Return.jpg</t>
  </si>
  <si>
    <t>https://3arbzfbsh-cname-us.ngrok.io/Desktop/seabridge%20fintech/image_app/HYLB_resistance_support.jpg</t>
  </si>
  <si>
    <t>https://3arbzfbsh-cname-us.ngrok.io/Desktop/seabridge%20fintech/profit_graph_app/HYLB_Return.jpg</t>
  </si>
  <si>
    <t>https://3arbzfbsh-cname-us.ngrok.io/Desktop/seabridge%20fintech/image_app/IAU_resistance_support.jpg</t>
  </si>
  <si>
    <t>https://3arbzfbsh-cname-us.ngrok.io/Desktop/seabridge%20fintech/profit_graph_app/IAU_Return.jpg</t>
  </si>
  <si>
    <t>https://3arbzfbsh-cname-us.ngrok.io/Desktop/seabridge%20fintech/image_app/IBB_resistance_support.jpg</t>
  </si>
  <si>
    <t>https://3arbzfbsh-cname-us.ngrok.io/Desktop/seabridge%20fintech/profit_graph_app/IBB_Return.jpg</t>
  </si>
  <si>
    <t>https://3arbzfbsh-cname-us.ngrok.io/Desktop/seabridge%20fintech/image_app/IBM_resistance_support.jpg</t>
  </si>
  <si>
    <t>https://3arbzfbsh-cname-us.ngrok.io/Desktop/seabridge%20fintech/profit_graph_app/IBM_Return.jpg</t>
  </si>
  <si>
    <t>https://3arbzfbsh-cname-us.ngrok.io/Desktop/seabridge%20fintech/image_app/ICE_resistance_support.jpg</t>
  </si>
  <si>
    <t>https://3arbzfbsh-cname-us.ngrok.io/Desktop/seabridge%20fintech/profit_graph_app/ICE_Return.jpg</t>
  </si>
  <si>
    <t>https://3arbzfbsh-cname-us.ngrok.io/Desktop/seabridge%20fintech/image_app/IDXX_resistance_support.jpg</t>
  </si>
  <si>
    <t>https://3arbzfbsh-cname-us.ngrok.io/Desktop/seabridge%20fintech/profit_graph_app/IDXX_Return.jpg</t>
  </si>
  <si>
    <t>https://3arbzfbsh-cname-us.ngrok.io/Desktop/seabridge%20fintech/image_app/IEF_resistance_support.jpg</t>
  </si>
  <si>
    <t>https://3arbzfbsh-cname-us.ngrok.io/Desktop/seabridge%20fintech/profit_graph_app/IEF_Return.jpg</t>
  </si>
  <si>
    <t>https://3arbzfbsh-cname-us.ngrok.io/Desktop/seabridge%20fintech/image_app/IEFA_resistance_support.jpg</t>
  </si>
  <si>
    <t>https://3arbzfbsh-cname-us.ngrok.io/Desktop/seabridge%20fintech/profit_graph_app/IEFA_Return.jpg</t>
  </si>
  <si>
    <t>https://3arbzfbsh-cname-us.ngrok.io/Desktop/seabridge%20fintech/image_app/IEMG_resistance_support.jpg</t>
  </si>
  <si>
    <t>https://3arbzfbsh-cname-us.ngrok.io/Desktop/seabridge%20fintech/profit_graph_app/IEMG_Return.jpg</t>
  </si>
  <si>
    <t>https://3arbzfbsh-cname-us.ngrok.io/Desktop/seabridge%20fintech/image_app/IEX_resistance_support.jpg</t>
  </si>
  <si>
    <t>https://3arbzfbsh-cname-us.ngrok.io/Desktop/seabridge%20fintech/profit_graph_app/IEX_Return.jpg</t>
  </si>
  <si>
    <t>https://3arbzfbsh-cname-us.ngrok.io/Desktop/seabridge%20fintech/image_app/IFF_resistance_support.jpg</t>
  </si>
  <si>
    <t>https://3arbzfbsh-cname-us.ngrok.io/Desktop/seabridge%20fintech/profit_graph_app/IFF_Return.jpg</t>
  </si>
  <si>
    <t>https://3arbzfbsh-cname-us.ngrok.io/Desktop/seabridge%20fintech/image_app/IJR_resistance_support.jpg</t>
  </si>
  <si>
    <t>https://3arbzfbsh-cname-us.ngrok.io/Desktop/seabridge%20fintech/profit_graph_app/IJR_Return.jpg</t>
  </si>
  <si>
    <t>https://3arbzfbsh-cname-us.ngrok.io/Desktop/seabridge%20fintech/image_app/ILMN_resistance_support.jpg</t>
  </si>
  <si>
    <t>https://3arbzfbsh-cname-us.ngrok.io/Desktop/seabridge%20fintech/profit_graph_app/ILMN_Return.jpg</t>
  </si>
  <si>
    <t>https://3arbzfbsh-cname-us.ngrok.io/Desktop/seabridge%20fintech/image_app/INCY_resistance_support.jpg</t>
  </si>
  <si>
    <t>https://3arbzfbsh-cname-us.ngrok.io/Desktop/seabridge%20fintech/profit_graph_app/INCY_Return.jpg</t>
  </si>
  <si>
    <t>https://3arbzfbsh-cname-us.ngrok.io/Desktop/seabridge%20fintech/image_app/INDA_resistance_support.jpg</t>
  </si>
  <si>
    <t>https://3arbzfbsh-cname-us.ngrok.io/Desktop/seabridge%20fintech/profit_graph_app/INDA_Return.jpg</t>
  </si>
  <si>
    <t>https://3arbzfbsh-cname-us.ngrok.io/Desktop/seabridge%20fintech/image_app/INFO_resistance_support.jpg</t>
  </si>
  <si>
    <t>https://3arbzfbsh-cname-us.ngrok.io/Desktop/seabridge%20fintech/profit_graph_app/INFO_Return.jpg</t>
  </si>
  <si>
    <t>https://3arbzfbsh-cname-us.ngrok.io/Desktop/seabridge%20fintech/image_app/INTC_resistance_support.jpg</t>
  </si>
  <si>
    <t>https://3arbzfbsh-cname-us.ngrok.io/Desktop/seabridge%20fintech/profit_graph_app/INTC_Return.jpg</t>
  </si>
  <si>
    <t>https://3arbzfbsh-cname-us.ngrok.io/Desktop/seabridge%20fintech/image_app/INTU_resistance_support.jpg</t>
  </si>
  <si>
    <t>https://3arbzfbsh-cname-us.ngrok.io/Desktop/seabridge%20fintech/profit_graph_app/INTU_Return.jpg</t>
  </si>
  <si>
    <t>https://3arbzfbsh-cname-us.ngrok.io/Desktop/seabridge%20fintech/image_app/INVH_resistance_support.jpg</t>
  </si>
  <si>
    <t>https://3arbzfbsh-cname-us.ngrok.io/Desktop/seabridge%20fintech/profit_graph_app/INVH_Return.jpg</t>
  </si>
  <si>
    <t>https://3arbzfbsh-cname-us.ngrok.io/Desktop/seabridge%20fintech/image_app/IP_resistance_support.jpg</t>
  </si>
  <si>
    <t>https://3arbzfbsh-cname-us.ngrok.io/Desktop/seabridge%20fintech/profit_graph_app/IP_Return.jpg</t>
  </si>
  <si>
    <t>https://3arbzfbsh-cname-us.ngrok.io/Desktop/seabridge%20fintech/image_app/IPG_resistance_support.jpg</t>
  </si>
  <si>
    <t>https://3arbzfbsh-cname-us.ngrok.io/Desktop/seabridge%20fintech/profit_graph_app/IPG_Return.jpg</t>
  </si>
  <si>
    <t>https://3arbzfbsh-cname-us.ngrok.io/Desktop/seabridge%20fintech/image_app/IPGP_resistance_support.jpg</t>
  </si>
  <si>
    <t>https://3arbzfbsh-cname-us.ngrok.io/Desktop/seabridge%20fintech/profit_graph_app/IPGP_Return.jpg</t>
  </si>
  <si>
    <t>https://3arbzfbsh-cname-us.ngrok.io/Desktop/seabridge%20fintech/image_app/IQV_resistance_support.jpg</t>
  </si>
  <si>
    <t>https://3arbzfbsh-cname-us.ngrok.io/Desktop/seabridge%20fintech/profit_graph_app/IQV_Return.jpg</t>
  </si>
  <si>
    <t>https://3arbzfbsh-cname-us.ngrok.io/Desktop/seabridge%20fintech/image_app/IR_resistance_support.jpg</t>
  </si>
  <si>
    <t>https://3arbzfbsh-cname-us.ngrok.io/Desktop/seabridge%20fintech/profit_graph_app/IR_Return.jpg</t>
  </si>
  <si>
    <t>https://3arbzfbsh-cname-us.ngrok.io/Desktop/seabridge%20fintech/image_app/IRM_resistance_support.jpg</t>
  </si>
  <si>
    <t>https://3arbzfbsh-cname-us.ngrok.io/Desktop/seabridge%20fintech/profit_graph_app/IRM_Return.jpg</t>
  </si>
  <si>
    <t>https://3arbzfbsh-cname-us.ngrok.io/Desktop/seabridge%20fintech/image_app/ISRG_resistance_support.jpg</t>
  </si>
  <si>
    <t>https://3arbzfbsh-cname-us.ngrok.io/Desktop/seabridge%20fintech/profit_graph_app/ISRG_Return.jpg</t>
  </si>
  <si>
    <t>https://3arbzfbsh-cname-us.ngrok.io/Desktop/seabridge%20fintech/image_app/IT_resistance_support.jpg</t>
  </si>
  <si>
    <t>https://3arbzfbsh-cname-us.ngrok.io/Desktop/seabridge%20fintech/profit_graph_app/IT_Return.jpg</t>
  </si>
  <si>
    <t>https://3arbzfbsh-cname-us.ngrok.io/Desktop/seabridge%20fintech/image_app/ITW_resistance_support.jpg</t>
  </si>
  <si>
    <t>https://3arbzfbsh-cname-us.ngrok.io/Desktop/seabridge%20fintech/profit_graph_app/ITW_Return.jpg</t>
  </si>
  <si>
    <t>https://3arbzfbsh-cname-us.ngrok.io/Desktop/seabridge%20fintech/image_app/IVV_resistance_support.jpg</t>
  </si>
  <si>
    <t>https://3arbzfbsh-cname-us.ngrok.io/Desktop/seabridge%20fintech/profit_graph_app/IVV_Return.jpg</t>
  </si>
  <si>
    <t>https://3arbzfbsh-cname-us.ngrok.io/Desktop/seabridge%20fintech/image_app/IVZ_resistance_support.jpg</t>
  </si>
  <si>
    <t>https://3arbzfbsh-cname-us.ngrok.io/Desktop/seabridge%20fintech/profit_graph_app/IVZ_Return.jpg</t>
  </si>
  <si>
    <t>https://3arbzfbsh-cname-us.ngrok.io/Desktop/seabridge%20fintech/image_app/IWD_resistance_support.jpg</t>
  </si>
  <si>
    <t>https://3arbzfbsh-cname-us.ngrok.io/Desktop/seabridge%20fintech/profit_graph_app/IWD_Return.jpg</t>
  </si>
  <si>
    <t>https://3arbzfbsh-cname-us.ngrok.io/Desktop/seabridge%20fintech/image_app/IWM_resistance_support.jpg</t>
  </si>
  <si>
    <t>https://3arbzfbsh-cname-us.ngrok.io/Desktop/seabridge%20fintech/profit_graph_app/IWM_Return.jpg</t>
  </si>
  <si>
    <t>https://3arbzfbsh-cname-us.ngrok.io/Desktop/seabridge%20fintech/image_app/IYR_resistance_support.jpg</t>
  </si>
  <si>
    <t>https://3arbzfbsh-cname-us.ngrok.io/Desktop/seabridge%20fintech/profit_graph_app/IYR_Return.jpg</t>
  </si>
  <si>
    <t>https://3arbzfbsh-cname-us.ngrok.io/Desktop/seabridge%20fintech/image_app/J_resistance_support.jpg</t>
  </si>
  <si>
    <t>https://3arbzfbsh-cname-us.ngrok.io/Desktop/seabridge%20fintech/profit_graph_app/J_Return.jpg</t>
  </si>
  <si>
    <t>https://3arbzfbsh-cname-us.ngrok.io/Desktop/seabridge%20fintech/image_app/JBHT_resistance_support.jpg</t>
  </si>
  <si>
    <t>https://3arbzfbsh-cname-us.ngrok.io/Desktop/seabridge%20fintech/profit_graph_app/JBHT_Return.jpg</t>
  </si>
  <si>
    <t>https://3arbzfbsh-cname-us.ngrok.io/Desktop/seabridge%20fintech/image_app/JCI_resistance_support.jpg</t>
  </si>
  <si>
    <t>https://3arbzfbsh-cname-us.ngrok.io/Desktop/seabridge%20fintech/profit_graph_app/JCI_Return.jpg</t>
  </si>
  <si>
    <t>https://3arbzfbsh-cname-us.ngrok.io/Desktop/seabridge%20fintech/image_app/JD_resistance_support.jpg</t>
  </si>
  <si>
    <t>https://3arbzfbsh-cname-us.ngrok.io/Desktop/seabridge%20fintech/profit_graph_app/JD_Return.jpg</t>
  </si>
  <si>
    <t>https://3arbzfbsh-cname-us.ngrok.io/Desktop/seabridge%20fintech/image_app/JEF_resistance_support.jpg</t>
  </si>
  <si>
    <t>https://3arbzfbsh-cname-us.ngrok.io/Desktop/seabridge%20fintech/profit_graph_app/JEF_Return.jpg</t>
  </si>
  <si>
    <t>https://3arbzfbsh-cname-us.ngrok.io/Desktop/seabridge%20fintech/image_app/JKHY_resistance_support.jpg</t>
  </si>
  <si>
    <t>https://3arbzfbsh-cname-us.ngrok.io/Desktop/seabridge%20fintech/profit_graph_app/JKHY_Return.jpg</t>
  </si>
  <si>
    <t>https://3arbzfbsh-cname-us.ngrok.io/Desktop/seabridge%20fintech/image_app/JNJ_resistance_support.jpg</t>
  </si>
  <si>
    <t>https://3arbzfbsh-cname-us.ngrok.io/Desktop/seabridge%20fintech/profit_graph_app/JNJ_Return.jpg</t>
  </si>
  <si>
    <t>https://3arbzfbsh-cname-us.ngrok.io/Desktop/seabridge%20fintech/image_app/JNK_resistance_support.jpg</t>
  </si>
  <si>
    <t>https://3arbzfbsh-cname-us.ngrok.io/Desktop/seabridge%20fintech/profit_graph_app/JNK_Return.jpg</t>
  </si>
  <si>
    <t>https://3arbzfbsh-cname-us.ngrok.io/Desktop/seabridge%20fintech/image_app/JNPR_resistance_support.jpg</t>
  </si>
  <si>
    <t>https://3arbzfbsh-cname-us.ngrok.io/Desktop/seabridge%20fintech/profit_graph_app/JNPR_Return.jpg</t>
  </si>
  <si>
    <t>https://3arbzfbsh-cname-us.ngrok.io/Desktop/seabridge%20fintech/image_app/JPM_resistance_support.jpg</t>
  </si>
  <si>
    <t>https://3arbzfbsh-cname-us.ngrok.io/Desktop/seabridge%20fintech/profit_graph_app/JPM_Return.jpg</t>
  </si>
  <si>
    <t>https://3arbzfbsh-cname-us.ngrok.io/Desktop/seabridge%20fintech/image_app/JPST_resistance_support.jpg</t>
  </si>
  <si>
    <t>https://3arbzfbsh-cname-us.ngrok.io/Desktop/seabridge%20fintech/profit_graph_app/JPST_Return.jpg</t>
  </si>
  <si>
    <t>https://3arbzfbsh-cname-us.ngrok.io/Desktop/seabridge%20fintech/image_app/JWN_resistance_support.jpg</t>
  </si>
  <si>
    <t>https://3arbzfbsh-cname-us.ngrok.io/Desktop/seabridge%20fintech/profit_graph_app/JWN_Return.jpg</t>
  </si>
  <si>
    <t>https://3arbzfbsh-cname-us.ngrok.io/Desktop/seabridge%20fintech/image_app/K_resistance_support.jpg</t>
  </si>
  <si>
    <t>https://3arbzfbsh-cname-us.ngrok.io/Desktop/seabridge%20fintech/profit_graph_app/K_Return.jpg</t>
  </si>
  <si>
    <t>https://3arbzfbsh-cname-us.ngrok.io/Desktop/seabridge%20fintech/image_app/KBE_resistance_support.jpg</t>
  </si>
  <si>
    <t>https://3arbzfbsh-cname-us.ngrok.io/Desktop/seabridge%20fintech/profit_graph_app/KBE_Return.jpg</t>
  </si>
  <si>
    <t>https://3arbzfbsh-cname-us.ngrok.io/Desktop/seabridge%20fintech/image_app/KDP_resistance_support.jpg</t>
  </si>
  <si>
    <t>https://3arbzfbsh-cname-us.ngrok.io/Desktop/seabridge%20fintech/profit_graph_app/KDP_Return.jpg</t>
  </si>
  <si>
    <t>https://3arbzfbsh-cname-us.ngrok.io/Desktop/seabridge%20fintech/image_app/KEY_resistance_support.jpg</t>
  </si>
  <si>
    <t>https://3arbzfbsh-cname-us.ngrok.io/Desktop/seabridge%20fintech/profit_graph_app/KEY_Return.jpg</t>
  </si>
  <si>
    <t>https://3arbzfbsh-cname-us.ngrok.io/Desktop/seabridge%20fintech/image_app/KEYS_resistance_support.jpg</t>
  </si>
  <si>
    <t>https://3arbzfbsh-cname-us.ngrok.io/Desktop/seabridge%20fintech/profit_graph_app/KEYS_Return.jpg</t>
  </si>
  <si>
    <t>https://3arbzfbsh-cname-us.ngrok.io/Desktop/seabridge%20fintech/image_app/KHC_resistance_support.jpg</t>
  </si>
  <si>
    <t>https://3arbzfbsh-cname-us.ngrok.io/Desktop/seabridge%20fintech/profit_graph_app/KHC_Return.jpg</t>
  </si>
  <si>
    <t>https://3arbzfbsh-cname-us.ngrok.io/Desktop/seabridge%20fintech/image_app/KIM_resistance_support.jpg</t>
  </si>
  <si>
    <t>https://3arbzfbsh-cname-us.ngrok.io/Desktop/seabridge%20fintech/profit_graph_app/KIM_Return.jpg</t>
  </si>
  <si>
    <t>https://3arbzfbsh-cname-us.ngrok.io/Desktop/seabridge%20fintech/image_app/KKR_resistance_support.jpg</t>
  </si>
  <si>
    <t>https://3arbzfbsh-cname-us.ngrok.io/Desktop/seabridge%20fintech/profit_graph_app/KKR_Return.jpg</t>
  </si>
  <si>
    <t>https://3arbzfbsh-cname-us.ngrok.io/Desktop/seabridge%20fintech/image_app/KLAC_resistance_support.jpg</t>
  </si>
  <si>
    <t>https://3arbzfbsh-cname-us.ngrok.io/Desktop/seabridge%20fintech/profit_graph_app/KLAC_Return.jpg</t>
  </si>
  <si>
    <t>https://3arbzfbsh-cname-us.ngrok.io/Desktop/seabridge%20fintech/image_app/KMB_resistance_support.jpg</t>
  </si>
  <si>
    <t>https://3arbzfbsh-cname-us.ngrok.io/Desktop/seabridge%20fintech/profit_graph_app/KMB_Return.jpg</t>
  </si>
  <si>
    <t>https://3arbzfbsh-cname-us.ngrok.io/Desktop/seabridge%20fintech/image_app/KMI_resistance_support.jpg</t>
  </si>
  <si>
    <t>https://3arbzfbsh-cname-us.ngrok.io/Desktop/seabridge%20fintech/profit_graph_app/KMI_Return.jpg</t>
  </si>
  <si>
    <t>https://3arbzfbsh-cname-us.ngrok.io/Desktop/seabridge%20fintech/image_app/KMX_resistance_support.jpg</t>
  </si>
  <si>
    <t>https://3arbzfbsh-cname-us.ngrok.io/Desktop/seabridge%20fintech/profit_graph_app/KMX_Return.jpg</t>
  </si>
  <si>
    <t>https://3arbzfbsh-cname-us.ngrok.io/Desktop/seabridge%20fintech/image_app/KO_resistance_support.jpg</t>
  </si>
  <si>
    <t>https://3arbzfbsh-cname-us.ngrok.io/Desktop/seabridge%20fintech/profit_graph_app/KO_Return.jpg</t>
  </si>
  <si>
    <t>https://3arbzfbsh-cname-us.ngrok.io/Desktop/seabridge%20fintech/image_app/KR_resistance_support.jpg</t>
  </si>
  <si>
    <t>https://3arbzfbsh-cname-us.ngrok.io/Desktop/seabridge%20fintech/profit_graph_app/KR_Return.jpg</t>
  </si>
  <si>
    <t>https://3arbzfbsh-cname-us.ngrok.io/Desktop/seabridge%20fintech/image_app/KRE_resistance_support.jpg</t>
  </si>
  <si>
    <t>https://3arbzfbsh-cname-us.ngrok.io/Desktop/seabridge%20fintech/profit_graph_app/KRE_Return.jpg</t>
  </si>
  <si>
    <t>https://3arbzfbsh-cname-us.ngrok.io/Desktop/seabridge%20fintech/image_app/KSS_resistance_support.jpg</t>
  </si>
  <si>
    <t>https://3arbzfbsh-cname-us.ngrok.io/Desktop/seabridge%20fintech/profit_graph_app/KSS_Return.jpg</t>
  </si>
  <si>
    <t>https://3arbzfbsh-cname-us.ngrok.io/Desktop/seabridge%20fintech/image_app/KSU_resistance_support.jpg</t>
  </si>
  <si>
    <t>https://3arbzfbsh-cname-us.ngrok.io/Desktop/seabridge%20fintech/profit_graph_app/KSU_Return.jpg</t>
  </si>
  <si>
    <t>https://3arbzfbsh-cname-us.ngrok.io/Desktop/seabridge%20fintech/image_app/KWEB_resistance_support.jpg</t>
  </si>
  <si>
    <t>https://3arbzfbsh-cname-us.ngrok.io/Desktop/seabridge%20fintech/profit_graph_app/KWEB_Return.jpg</t>
  </si>
  <si>
    <t>https://3arbzfbsh-cname-us.ngrok.io/Desktop/seabridge%20fintech/image_app/L_resistance_support.jpg</t>
  </si>
  <si>
    <t>https://3arbzfbsh-cname-us.ngrok.io/Desktop/seabridge%20fintech/profit_graph_app/L_Return.jpg</t>
  </si>
  <si>
    <t>https://3arbzfbsh-cname-us.ngrok.io/Desktop/seabridge%20fintech/image_app/LB_resistance_support.jpg</t>
  </si>
  <si>
    <t>https://3arbzfbsh-cname-us.ngrok.io/Desktop/seabridge%20fintech/profit_graph_app/LB_Return.jpg</t>
  </si>
  <si>
    <t>https://3arbzfbsh-cname-us.ngrok.io/Desktop/seabridge%20fintech/image_app/LDOS_resistance_support.jpg</t>
  </si>
  <si>
    <t>https://3arbzfbsh-cname-us.ngrok.io/Desktop/seabridge%20fintech/profit_graph_app/LDOS_Return.jpg</t>
  </si>
  <si>
    <t>https://3arbzfbsh-cname-us.ngrok.io/Desktop/seabridge%20fintech/image_app/LEG_resistance_support.jpg</t>
  </si>
  <si>
    <t>https://3arbzfbsh-cname-us.ngrok.io/Desktop/seabridge%20fintech/profit_graph_app/LEG_Return.jpg</t>
  </si>
  <si>
    <t>https://3arbzfbsh-cname-us.ngrok.io/Desktop/seabridge%20fintech/image_app/LEN_resistance_support.jpg</t>
  </si>
  <si>
    <t>https://3arbzfbsh-cname-us.ngrok.io/Desktop/seabridge%20fintech/profit_graph_app/LEN_Return.jpg</t>
  </si>
  <si>
    <t>https://3arbzfbsh-cname-us.ngrok.io/Desktop/seabridge%20fintech/image_app/LESL_resistance_support.jpg</t>
  </si>
  <si>
    <t>https://3arbzfbsh-cname-us.ngrok.io/Desktop/seabridge%20fintech/profit_graph_app/LESL_Return.jpg</t>
  </si>
  <si>
    <t>https://3arbzfbsh-cname-us.ngrok.io/Desktop/seabridge%20fintech/image_app/LH_resistance_support.jpg</t>
  </si>
  <si>
    <t>https://3arbzfbsh-cname-us.ngrok.io/Desktop/seabridge%20fintech/profit_graph_app/LH_Return.jpg</t>
  </si>
  <si>
    <t>https://3arbzfbsh-cname-us.ngrok.io/Desktop/seabridge%20fintech/image_app/LHX_resistance_support.jpg</t>
  </si>
  <si>
    <t>https://3arbzfbsh-cname-us.ngrok.io/Desktop/seabridge%20fintech/profit_graph_app/LHX_Return.jpg</t>
  </si>
  <si>
    <t>https://3arbzfbsh-cname-us.ngrok.io/Desktop/seabridge%20fintech/image_app/LIN_resistance_support.jpg</t>
  </si>
  <si>
    <t>https://3arbzfbsh-cname-us.ngrok.io/Desktop/seabridge%20fintech/profit_graph_app/LIN_Return.jpg</t>
  </si>
  <si>
    <t>https://3arbzfbsh-cname-us.ngrok.io/Desktop/seabridge%20fintech/image_app/LKQ_resistance_support.jpg</t>
  </si>
  <si>
    <t>https://3arbzfbsh-cname-us.ngrok.io/Desktop/seabridge%20fintech/profit_graph_app/LKQ_Return.jpg</t>
  </si>
  <si>
    <t>https://3arbzfbsh-cname-us.ngrok.io/Desktop/seabridge%20fintech/image_app/LLY_resistance_support.jpg</t>
  </si>
  <si>
    <t>https://3arbzfbsh-cname-us.ngrok.io/Desktop/seabridge%20fintech/profit_graph_app/LLY_Return.jpg</t>
  </si>
  <si>
    <t>https://3arbzfbsh-cname-us.ngrok.io/Desktop/seabridge%20fintech/image_app/LMND_resistance_support.jpg</t>
  </si>
  <si>
    <t>https://3arbzfbsh-cname-us.ngrok.io/Desktop/seabridge%20fintech/profit_graph_app/LMND_Return.jpg</t>
  </si>
  <si>
    <t>https://3arbzfbsh-cname-us.ngrok.io/Desktop/seabridge%20fintech/image_app/LMT_resistance_support.jpg</t>
  </si>
  <si>
    <t>https://3arbzfbsh-cname-us.ngrok.io/Desktop/seabridge%20fintech/profit_graph_app/LMT_Return.jpg</t>
  </si>
  <si>
    <t>https://3arbzfbsh-cname-us.ngrok.io/Desktop/seabridge%20fintech/image_app/LNC_resistance_support.jpg</t>
  </si>
  <si>
    <t>https://3arbzfbsh-cname-us.ngrok.io/Desktop/seabridge%20fintech/profit_graph_app/LNC_Return.jpg</t>
  </si>
  <si>
    <t>https://3arbzfbsh-cname-us.ngrok.io/Desktop/seabridge%20fintech/image_app/LNT_resistance_support.jpg</t>
  </si>
  <si>
    <t>https://3arbzfbsh-cname-us.ngrok.io/Desktop/seabridge%20fintech/profit_graph_app/LNT_Return.jpg</t>
  </si>
  <si>
    <t>https://3arbzfbsh-cname-us.ngrok.io/Desktop/seabridge%20fintech/image_app/LOW_resistance_support.jpg</t>
  </si>
  <si>
    <t>https://3arbzfbsh-cname-us.ngrok.io/Desktop/seabridge%20fintech/profit_graph_app/LOW_Return.jpg</t>
  </si>
  <si>
    <t>https://3arbzfbsh-cname-us.ngrok.io/Desktop/seabridge%20fintech/image_app/LPX_resistance_support.jpg</t>
  </si>
  <si>
    <t>https://3arbzfbsh-cname-us.ngrok.io/Desktop/seabridge%20fintech/profit_graph_app/LPX_Return.jpg</t>
  </si>
  <si>
    <t>https://3arbzfbsh-cname-us.ngrok.io/Desktop/seabridge%20fintech/image_app/LQD_resistance_support.jpg</t>
  </si>
  <si>
    <t>https://3arbzfbsh-cname-us.ngrok.io/Desktop/seabridge%20fintech/profit_graph_app/LQD_Return.jpg</t>
  </si>
  <si>
    <t>https://3arbzfbsh-cname-us.ngrok.io/Desktop/seabridge%20fintech/image_app/LRCX_resistance_support.jpg</t>
  </si>
  <si>
    <t>https://3arbzfbsh-cname-us.ngrok.io/Desktop/seabridge%20fintech/profit_graph_app/LRCX_Return.jpg</t>
  </si>
  <si>
    <t>https://3arbzfbsh-cname-us.ngrok.io/Desktop/seabridge%20fintech/image_app/LULU_resistance_support.jpg</t>
  </si>
  <si>
    <t>https://3arbzfbsh-cname-us.ngrok.io/Desktop/seabridge%20fintech/profit_graph_app/LULU_Return.jpg</t>
  </si>
  <si>
    <t>https://3arbzfbsh-cname-us.ngrok.io/Desktop/seabridge%20fintech/image_app/LUMN_resistance_support.jpg</t>
  </si>
  <si>
    <t>https://3arbzfbsh-cname-us.ngrok.io/Desktop/seabridge%20fintech/profit_graph_app/LUMN_Return.jpg</t>
  </si>
  <si>
    <t>https://3arbzfbsh-cname-us.ngrok.io/Desktop/seabridge%20fintech/image_app/LUV_resistance_support.jpg</t>
  </si>
  <si>
    <t>https://3arbzfbsh-cname-us.ngrok.io/Desktop/seabridge%20fintech/profit_graph_app/LUV_Return.jpg</t>
  </si>
  <si>
    <t>https://3arbzfbsh-cname-us.ngrok.io/Desktop/seabridge%20fintech/image_app/LVS_resistance_support.jpg</t>
  </si>
  <si>
    <t>https://3arbzfbsh-cname-us.ngrok.io/Desktop/seabridge%20fintech/profit_graph_app/LVS_Return.jpg</t>
  </si>
  <si>
    <t>https://3arbzfbsh-cname-us.ngrok.io/Desktop/seabridge%20fintech/image_app/LW_resistance_support.jpg</t>
  </si>
  <si>
    <t>https://3arbzfbsh-cname-us.ngrok.io/Desktop/seabridge%20fintech/profit_graph_app/LW_Return.jpg</t>
  </si>
  <si>
    <t>https://3arbzfbsh-cname-us.ngrok.io/Desktop/seabridge%20fintech/image_app/LYB_resistance_support.jpg</t>
  </si>
  <si>
    <t>https://3arbzfbsh-cname-us.ngrok.io/Desktop/seabridge%20fintech/profit_graph_app/LYB_Return.jpg</t>
  </si>
  <si>
    <t>https://3arbzfbsh-cname-us.ngrok.io/Desktop/seabridge%20fintech/image_app/LYFT_resistance_support.jpg</t>
  </si>
  <si>
    <t>https://3arbzfbsh-cname-us.ngrok.io/Desktop/seabridge%20fintech/profit_graph_app/LYFT_Return.jpg</t>
  </si>
  <si>
    <t>https://3arbzfbsh-cname-us.ngrok.io/Desktop/seabridge%20fintech/image_app/LYV_resistance_support.jpg</t>
  </si>
  <si>
    <t>https://3arbzfbsh-cname-us.ngrok.io/Desktop/seabridge%20fintech/profit_graph_app/LYV_Return.jpg</t>
  </si>
  <si>
    <t>https://3arbzfbsh-cname-us.ngrok.io/Desktop/seabridge%20fintech/image_app/MA_resistance_support.jpg</t>
  </si>
  <si>
    <t>https://3arbzfbsh-cname-us.ngrok.io/Desktop/seabridge%20fintech/profit_graph_app/MA_Return.jpg</t>
  </si>
  <si>
    <t>https://3arbzfbsh-cname-us.ngrok.io/Desktop/seabridge%20fintech/image_app/MAA_resistance_support.jpg</t>
  </si>
  <si>
    <t>https://3arbzfbsh-cname-us.ngrok.io/Desktop/seabridge%20fintech/profit_graph_app/MAA_Return.jpg</t>
  </si>
  <si>
    <t>https://3arbzfbsh-cname-us.ngrok.io/Desktop/seabridge%20fintech/image_app/MAR_resistance_support.jpg</t>
  </si>
  <si>
    <t>https://3arbzfbsh-cname-us.ngrok.io/Desktop/seabridge%20fintech/profit_graph_app/MAR_Return.jpg</t>
  </si>
  <si>
    <t>https://3arbzfbsh-cname-us.ngrok.io/Desktop/seabridge%20fintech/image_app/MARA_resistance_support.jpg</t>
  </si>
  <si>
    <t>https://3arbzfbsh-cname-us.ngrok.io/Desktop/seabridge%20fintech/profit_graph_app/MARA_Return.jpg</t>
  </si>
  <si>
    <t>https://3arbzfbsh-cname-us.ngrok.io/Desktop/seabridge%20fintech/image_app/MAS_resistance_support.jpg</t>
  </si>
  <si>
    <t>https://3arbzfbsh-cname-us.ngrok.io/Desktop/seabridge%20fintech/profit_graph_app/MAS_Return.jpg</t>
  </si>
  <si>
    <t>https://3arbzfbsh-cname-us.ngrok.io/Desktop/seabridge%20fintech/image_app/MCD_resistance_support.jpg</t>
  </si>
  <si>
    <t>https://3arbzfbsh-cname-us.ngrok.io/Desktop/seabridge%20fintech/profit_graph_app/MCD_Return.jpg</t>
  </si>
  <si>
    <t>https://3arbzfbsh-cname-us.ngrok.io/Desktop/seabridge%20fintech/image_app/MCHI_resistance_support.jpg</t>
  </si>
  <si>
    <t>https://3arbzfbsh-cname-us.ngrok.io/Desktop/seabridge%20fintech/profit_graph_app/MCHI_Return.jpg</t>
  </si>
  <si>
    <t>https://3arbzfbsh-cname-us.ngrok.io/Desktop/seabridge%20fintech/image_app/MCHP_resistance_support.jpg</t>
  </si>
  <si>
    <t>https://3arbzfbsh-cname-us.ngrok.io/Desktop/seabridge%20fintech/profit_graph_app/MCHP_Return.jpg</t>
  </si>
  <si>
    <t>https://3arbzfbsh-cname-us.ngrok.io/Desktop/seabridge%20fintech/image_app/MCK_resistance_support.jpg</t>
  </si>
  <si>
    <t>https://3arbzfbsh-cname-us.ngrok.io/Desktop/seabridge%20fintech/profit_graph_app/MCK_Return.jpg</t>
  </si>
  <si>
    <t>https://3arbzfbsh-cname-us.ngrok.io/Desktop/seabridge%20fintech/image_app/MCO_resistance_support.jpg</t>
  </si>
  <si>
    <t>https://3arbzfbsh-cname-us.ngrok.io/Desktop/seabridge%20fintech/profit_graph_app/MCO_Return.jpg</t>
  </si>
  <si>
    <t>https://3arbzfbsh-cname-us.ngrok.io/Desktop/seabridge%20fintech/image_app/MDLZ_resistance_support.jpg</t>
  </si>
  <si>
    <t>https://3arbzfbsh-cname-us.ngrok.io/Desktop/seabridge%20fintech/profit_graph_app/MDLZ_Return.jpg</t>
  </si>
  <si>
    <t>https://3arbzfbsh-cname-us.ngrok.io/Desktop/seabridge%20fintech/image_app/MDT_resistance_support.jpg</t>
  </si>
  <si>
    <t>https://3arbzfbsh-cname-us.ngrok.io/Desktop/seabridge%20fintech/profit_graph_app/MDT_Return.jpg</t>
  </si>
  <si>
    <t>https://3arbzfbsh-cname-us.ngrok.io/Desktop/seabridge%20fintech/image_app/MELI_resistance_support.jpg</t>
  </si>
  <si>
    <t>https://3arbzfbsh-cname-us.ngrok.io/Desktop/seabridge%20fintech/profit_graph_app/MELI_Return.jpg</t>
  </si>
  <si>
    <t>https://3arbzfbsh-cname-us.ngrok.io/Desktop/seabridge%20fintech/image_app/MET_resistance_support.jpg</t>
  </si>
  <si>
    <t>https://3arbzfbsh-cname-us.ngrok.io/Desktop/seabridge%20fintech/profit_graph_app/MET_Return.jpg</t>
  </si>
  <si>
    <t>https://3arbzfbsh-cname-us.ngrok.io/Desktop/seabridge%20fintech/image_app/MGM_resistance_support.jpg</t>
  </si>
  <si>
    <t>https://3arbzfbsh-cname-us.ngrok.io/Desktop/seabridge%20fintech/profit_graph_app/MGM_Return.jpg</t>
  </si>
  <si>
    <t>https://3arbzfbsh-cname-us.ngrok.io/Desktop/seabridge%20fintech/image_app/MGNI_resistance_support.jpg</t>
  </si>
  <si>
    <t>https://3arbzfbsh-cname-us.ngrok.io/Desktop/seabridge%20fintech/profit_graph_app/MGNI_Return.jpg</t>
  </si>
  <si>
    <t>https://3arbzfbsh-cname-us.ngrok.io/Desktop/seabridge%20fintech/image_app/MHK_resistance_support.jpg</t>
  </si>
  <si>
    <t>https://3arbzfbsh-cname-us.ngrok.io/Desktop/seabridge%20fintech/profit_graph_app/MHK_Return.jpg</t>
  </si>
  <si>
    <t>https://3arbzfbsh-cname-us.ngrok.io/Desktop/seabridge%20fintech/image_app/MKC_resistance_support.jpg</t>
  </si>
  <si>
    <t>https://3arbzfbsh-cname-us.ngrok.io/Desktop/seabridge%20fintech/profit_graph_app/MKC_Return.jpg</t>
  </si>
  <si>
    <t>https://3arbzfbsh-cname-us.ngrok.io/Desktop/seabridge%20fintech/image_app/MKTX_resistance_support.jpg</t>
  </si>
  <si>
    <t>https://3arbzfbsh-cname-us.ngrok.io/Desktop/seabridge%20fintech/profit_graph_app/MKTX_Return.jpg</t>
  </si>
  <si>
    <t>https://3arbzfbsh-cname-us.ngrok.io/Desktop/seabridge%20fintech/image_app/MLM_resistance_support.jpg</t>
  </si>
  <si>
    <t>https://3arbzfbsh-cname-us.ngrok.io/Desktop/seabridge%20fintech/profit_graph_app/MLM_Return.jpg</t>
  </si>
  <si>
    <t>https://3arbzfbsh-cname-us.ngrok.io/Desktop/seabridge%20fintech/image_app/MMC_resistance_support.jpg</t>
  </si>
  <si>
    <t>https://3arbzfbsh-cname-us.ngrok.io/Desktop/seabridge%20fintech/profit_graph_app/MMC_Return.jpg</t>
  </si>
  <si>
    <t>https://3arbzfbsh-cname-us.ngrok.io/Desktop/seabridge%20fintech/image_app/MMM_resistance_support.jpg</t>
  </si>
  <si>
    <t>https://3arbzfbsh-cname-us.ngrok.io/Desktop/seabridge%20fintech/profit_graph_app/MMM_Return.jpg</t>
  </si>
  <si>
    <t>https://3arbzfbsh-cname-us.ngrok.io/Desktop/seabridge%20fintech/image_app/MNST_resistance_support.jpg</t>
  </si>
  <si>
    <t>https://3arbzfbsh-cname-us.ngrok.io/Desktop/seabridge%20fintech/profit_graph_app/MNST_Return.jpg</t>
  </si>
  <si>
    <t>https://3arbzfbsh-cname-us.ngrok.io/Desktop/seabridge%20fintech/image_app/MO_resistance_support.jpg</t>
  </si>
  <si>
    <t>https://3arbzfbsh-cname-us.ngrok.io/Desktop/seabridge%20fintech/profit_graph_app/MO_Return.jpg</t>
  </si>
  <si>
    <t>https://3arbzfbsh-cname-us.ngrok.io/Desktop/seabridge%20fintech/image_app/MOS_resistance_support.jpg</t>
  </si>
  <si>
    <t>https://3arbzfbsh-cname-us.ngrok.io/Desktop/seabridge%20fintech/profit_graph_app/MOS_Return.jpg</t>
  </si>
  <si>
    <t>https://3arbzfbsh-cname-us.ngrok.io/Desktop/seabridge%20fintech/image_app/MP_resistance_support.jpg</t>
  </si>
  <si>
    <t>https://3arbzfbsh-cname-us.ngrok.io/Desktop/seabridge%20fintech/profit_graph_app/MP_Return.jpg</t>
  </si>
  <si>
    <t>https://3arbzfbsh-cname-us.ngrok.io/Desktop/seabridge%20fintech/image_app/MPC_resistance_support.jpg</t>
  </si>
  <si>
    <t>https://3arbzfbsh-cname-us.ngrok.io/Desktop/seabridge%20fintech/profit_graph_app/MPC_Return.jpg</t>
  </si>
  <si>
    <t>https://3arbzfbsh-cname-us.ngrok.io/Desktop/seabridge%20fintech/image_app/MPLX_resistance_support.jpg</t>
  </si>
  <si>
    <t>https://3arbzfbsh-cname-us.ngrok.io/Desktop/seabridge%20fintech/profit_graph_app/MPLX_Return.jpg</t>
  </si>
  <si>
    <t>https://3arbzfbsh-cname-us.ngrok.io/Desktop/seabridge%20fintech/image_app/MPWR_resistance_support.jpg</t>
  </si>
  <si>
    <t>https://3arbzfbsh-cname-us.ngrok.io/Desktop/seabridge%20fintech/profit_graph_app/MPWR_Return.jpg</t>
  </si>
  <si>
    <t>https://3arbzfbsh-cname-us.ngrok.io/Desktop/seabridge%20fintech/image_app/MRNA_resistance_support.jpg</t>
  </si>
  <si>
    <t>https://3arbzfbsh-cname-us.ngrok.io/Desktop/seabridge%20fintech/profit_graph_app/MRNA_Return.jpg</t>
  </si>
  <si>
    <t>https://3arbzfbsh-cname-us.ngrok.io/Desktop/seabridge%20fintech/image_app/MRO_resistance_support.jpg</t>
  </si>
  <si>
    <t>https://3arbzfbsh-cname-us.ngrok.io/Desktop/seabridge%20fintech/profit_graph_app/MRO_Return.jpg</t>
  </si>
  <si>
    <t>https://3arbzfbsh-cname-us.ngrok.io/Desktop/seabridge%20fintech/image_app/MRVL_resistance_support.jpg</t>
  </si>
  <si>
    <t>https://3arbzfbsh-cname-us.ngrok.io/Desktop/seabridge%20fintech/profit_graph_app/MRVL_Return.jpg</t>
  </si>
  <si>
    <t>https://3arbzfbsh-cname-us.ngrok.io/Desktop/seabridge%20fintech/image_app/MS_resistance_support.jpg</t>
  </si>
  <si>
    <t>https://3arbzfbsh-cname-us.ngrok.io/Desktop/seabridge%20fintech/profit_graph_app/MS_Return.jpg</t>
  </si>
  <si>
    <t>https://3arbzfbsh-cname-us.ngrok.io/Desktop/seabridge%20fintech/image_app/MSCI_resistance_support.jpg</t>
  </si>
  <si>
    <t>https://3arbzfbsh-cname-us.ngrok.io/Desktop/seabridge%20fintech/profit_graph_app/MSCI_Return.jpg</t>
  </si>
  <si>
    <t>https://3arbzfbsh-cname-us.ngrok.io/Desktop/seabridge%20fintech/image_app/MSFT_resistance_support.jpg</t>
  </si>
  <si>
    <t>https://3arbzfbsh-cname-us.ngrok.io/Desktop/seabridge%20fintech/profit_graph_app/MSFT_Return.jpg</t>
  </si>
  <si>
    <t>https://3arbzfbsh-cname-us.ngrok.io/Desktop/seabridge%20fintech/image_app/MSI_resistance_support.jpg</t>
  </si>
  <si>
    <t>https://3arbzfbsh-cname-us.ngrok.io/Desktop/seabridge%20fintech/profit_graph_app/MSI_Return.jpg</t>
  </si>
  <si>
    <t>https://3arbzfbsh-cname-us.ngrok.io/Desktop/seabridge%20fintech/image_app/MTB_resistance_support.jpg</t>
  </si>
  <si>
    <t>https://3arbzfbsh-cname-us.ngrok.io/Desktop/seabridge%20fintech/profit_graph_app/MTB_Return.jpg</t>
  </si>
  <si>
    <t>https://3arbzfbsh-cname-us.ngrok.io/Desktop/seabridge%20fintech/image_app/MTCH_resistance_support.jpg</t>
  </si>
  <si>
    <t>https://3arbzfbsh-cname-us.ngrok.io/Desktop/seabridge%20fintech/profit_graph_app/MTCH_Return.jpg</t>
  </si>
  <si>
    <t>https://3arbzfbsh-cname-us.ngrok.io/Desktop/seabridge%20fintech/image_app/MTD_resistance_support.jpg</t>
  </si>
  <si>
    <t>https://3arbzfbsh-cname-us.ngrok.io/Desktop/seabridge%20fintech/profit_graph_app/MTD_Return.jpg</t>
  </si>
  <si>
    <t>https://3arbzfbsh-cname-us.ngrok.io/Desktop/seabridge%20fintech/image_app/MU_resistance_support.jpg</t>
  </si>
  <si>
    <t>https://3arbzfbsh-cname-us.ngrok.io/Desktop/seabridge%20fintech/profit_graph_app/MU_Return.jpg</t>
  </si>
  <si>
    <t>https://3arbzfbsh-cname-us.ngrok.io/Desktop/seabridge%20fintech/image_app/MXIM_resistance_support.jpg</t>
  </si>
  <si>
    <t>https://3arbzfbsh-cname-us.ngrok.io/Desktop/seabridge%20fintech/profit_graph_app/MXIM_Return.jpg</t>
  </si>
  <si>
    <t>https://3arbzfbsh-cname-us.ngrok.io/Desktop/seabridge%20fintech/image_app/NCLH_resistance_support.jpg</t>
  </si>
  <si>
    <t>https://3arbzfbsh-cname-us.ngrok.io/Desktop/seabridge%20fintech/profit_graph_app/NCLH_Return.jpg</t>
  </si>
  <si>
    <t>https://3arbzfbsh-cname-us.ngrok.io/Desktop/seabridge%20fintech/image_app/NDAQ_resistance_support.jpg</t>
  </si>
  <si>
    <t>https://3arbzfbsh-cname-us.ngrok.io/Desktop/seabridge%20fintech/profit_graph_app/NDAQ_Return.jpg</t>
  </si>
  <si>
    <t>https://3arbzfbsh-cname-us.ngrok.io/Desktop/seabridge%20fintech/image_app/NEE_resistance_support.jpg</t>
  </si>
  <si>
    <t>https://3arbzfbsh-cname-us.ngrok.io/Desktop/seabridge%20fintech/profit_graph_app/NEE_Return.jpg</t>
  </si>
  <si>
    <t>https://3arbzfbsh-cname-us.ngrok.io/Desktop/seabridge%20fintech/image_app/NEM_resistance_support.jpg</t>
  </si>
  <si>
    <t>https://3arbzfbsh-cname-us.ngrok.io/Desktop/seabridge%20fintech/profit_graph_app/NEM_Return.jpg</t>
  </si>
  <si>
    <t>https://3arbzfbsh-cname-us.ngrok.io/Desktop/seabridge%20fintech/image_app/NET_resistance_support.jpg</t>
  </si>
  <si>
    <t>https://3arbzfbsh-cname-us.ngrok.io/Desktop/seabridge%20fintech/profit_graph_app/NET_Return.jpg</t>
  </si>
  <si>
    <t>https://3arbzfbsh-cname-us.ngrok.io/Desktop/seabridge%20fintech/image_app/NFLX_resistance_support.jpg</t>
  </si>
  <si>
    <t>https://3arbzfbsh-cname-us.ngrok.io/Desktop/seabridge%20fintech/profit_graph_app/NFLX_Return.jpg</t>
  </si>
  <si>
    <t>https://3arbzfbsh-cname-us.ngrok.io/Desktop/seabridge%20fintech/image_app/NI_resistance_support.jpg</t>
  </si>
  <si>
    <t>https://3arbzfbsh-cname-us.ngrok.io/Desktop/seabridge%20fintech/profit_graph_app/NI_Return.jpg</t>
  </si>
  <si>
    <t>https://3arbzfbsh-cname-us.ngrok.io/Desktop/seabridge%20fintech/image_app/NKE_resistance_support.jpg</t>
  </si>
  <si>
    <t>https://3arbzfbsh-cname-us.ngrok.io/Desktop/seabridge%20fintech/profit_graph_app/NKE_Return.jpg</t>
  </si>
  <si>
    <t>https://3arbzfbsh-cname-us.ngrok.io/Desktop/seabridge%20fintech/image_app/NLOK_resistance_support.jpg</t>
  </si>
  <si>
    <t>https://3arbzfbsh-cname-us.ngrok.io/Desktop/seabridge%20fintech/profit_graph_app/NLOK_Return.jpg</t>
  </si>
  <si>
    <t>https://3arbzfbsh-cname-us.ngrok.io/Desktop/seabridge%20fintech/image_app/NLSN_resistance_support.jpg</t>
  </si>
  <si>
    <t>https://3arbzfbsh-cname-us.ngrok.io/Desktop/seabridge%20fintech/profit_graph_app/NLSN_Return.jpg</t>
  </si>
  <si>
    <t>https://3arbzfbsh-cname-us.ngrok.io/Desktop/seabridge%20fintech/image_app/NOC_resistance_support.jpg</t>
  </si>
  <si>
    <t>https://3arbzfbsh-cname-us.ngrok.io/Desktop/seabridge%20fintech/profit_graph_app/NOC_Return.jpg</t>
  </si>
  <si>
    <t>https://3arbzfbsh-cname-us.ngrok.io/Desktop/seabridge%20fintech/image_app/NOV_resistance_support.jpg</t>
  </si>
  <si>
    <t>https://3arbzfbsh-cname-us.ngrok.io/Desktop/seabridge%20fintech/profit_graph_app/NOV_Return.jpg</t>
  </si>
  <si>
    <t>https://3arbzfbsh-cname-us.ngrok.io/Desktop/seabridge%20fintech/image_app/NOVA_resistance_support.jpg</t>
  </si>
  <si>
    <t>https://3arbzfbsh-cname-us.ngrok.io/Desktop/seabridge%20fintech/profit_graph_app/NOVA_Return.jpg</t>
  </si>
  <si>
    <t>https://3arbzfbsh-cname-us.ngrok.io/Desktop/seabridge%20fintech/image_app/NOW_resistance_support.jpg</t>
  </si>
  <si>
    <t>https://3arbzfbsh-cname-us.ngrok.io/Desktop/seabridge%20fintech/profit_graph_app/NOW_Return.jpg</t>
  </si>
  <si>
    <t>https://3arbzfbsh-cname-us.ngrok.io/Desktop/seabridge%20fintech/image_app/NRG_resistance_support.jpg</t>
  </si>
  <si>
    <t>https://3arbzfbsh-cname-us.ngrok.io/Desktop/seabridge%20fintech/profit_graph_app/NRG_Return.jpg</t>
  </si>
  <si>
    <t>https://3arbzfbsh-cname-us.ngrok.io/Desktop/seabridge%20fintech/image_app/NSC_resistance_support.jpg</t>
  </si>
  <si>
    <t>https://3arbzfbsh-cname-us.ngrok.io/Desktop/seabridge%20fintech/profit_graph_app/NSC_Return.jpg</t>
  </si>
  <si>
    <t>https://3arbzfbsh-cname-us.ngrok.io/Desktop/seabridge%20fintech/image_app/NTAP_resistance_support.jpg</t>
  </si>
  <si>
    <t>https://3arbzfbsh-cname-us.ngrok.io/Desktop/seabridge%20fintech/profit_graph_app/NTAP_Return.jpg</t>
  </si>
  <si>
    <t>https://3arbzfbsh-cname-us.ngrok.io/Desktop/seabridge%20fintech/image_app/NTES_resistance_support.jpg</t>
  </si>
  <si>
    <t>https://3arbzfbsh-cname-us.ngrok.io/Desktop/seabridge%20fintech/profit_graph_app/NTES_Return.jpg</t>
  </si>
  <si>
    <t>https://3arbzfbsh-cname-us.ngrok.io/Desktop/seabridge%20fintech/image_app/NTLA_resistance_support.jpg</t>
  </si>
  <si>
    <t>https://3arbzfbsh-cname-us.ngrok.io/Desktop/seabridge%20fintech/profit_graph_app/NTLA_Return.jpg</t>
  </si>
  <si>
    <t>https://3arbzfbsh-cname-us.ngrok.io/Desktop/seabridge%20fintech/image_app/NTNX_resistance_support.jpg</t>
  </si>
  <si>
    <t>https://3arbzfbsh-cname-us.ngrok.io/Desktop/seabridge%20fintech/profit_graph_app/NTNX_Return.jpg</t>
  </si>
  <si>
    <t>https://3arbzfbsh-cname-us.ngrok.io/Desktop/seabridge%20fintech/image_app/NTRS_resistance_support.jpg</t>
  </si>
  <si>
    <t>https://3arbzfbsh-cname-us.ngrok.io/Desktop/seabridge%20fintech/profit_graph_app/NTRS_Return.jpg</t>
  </si>
  <si>
    <t>https://3arbzfbsh-cname-us.ngrok.io/Desktop/seabridge%20fintech/image_app/NUAN_resistance_support.jpg</t>
  </si>
  <si>
    <t>https://3arbzfbsh-cname-us.ngrok.io/Desktop/seabridge%20fintech/profit_graph_app/NUAN_Return.jpg</t>
  </si>
  <si>
    <t>https://3arbzfbsh-cname-us.ngrok.io/Desktop/seabridge%20fintech/image_app/NUE_resistance_support.jpg</t>
  </si>
  <si>
    <t>https://3arbzfbsh-cname-us.ngrok.io/Desktop/seabridge%20fintech/profit_graph_app/NUE_Return.jpg</t>
  </si>
  <si>
    <t>https://3arbzfbsh-cname-us.ngrok.io/Desktop/seabridge%20fintech/image_app/NVAX_resistance_support.jpg</t>
  </si>
  <si>
    <t>https://3arbzfbsh-cname-us.ngrok.io/Desktop/seabridge%20fintech/profit_graph_app/NVAX_Return.jpg</t>
  </si>
  <si>
    <t>https://3arbzfbsh-cname-us.ngrok.io/Desktop/seabridge%20fintech/image_app/NVDA_resistance_support.jpg</t>
  </si>
  <si>
    <t>https://3arbzfbsh-cname-us.ngrok.io/Desktop/seabridge%20fintech/profit_graph_app/NVDA_Return.jpg</t>
  </si>
  <si>
    <t>https://3arbzfbsh-cname-us.ngrok.io/Desktop/seabridge%20fintech/image_app/NVR_resistance_support.jpg</t>
  </si>
  <si>
    <t>https://3arbzfbsh-cname-us.ngrok.io/Desktop/seabridge%20fintech/profit_graph_app/NVR_Return.jpg</t>
  </si>
  <si>
    <t>https://3arbzfbsh-cname-us.ngrok.io/Desktop/seabridge%20fintech/image_app/NVTA_resistance_support.jpg</t>
  </si>
  <si>
    <t>https://3arbzfbsh-cname-us.ngrok.io/Desktop/seabridge%20fintech/profit_graph_app/NVTA_Return.jpg</t>
  </si>
  <si>
    <t>https://3arbzfbsh-cname-us.ngrok.io/Desktop/seabridge%20fintech/image_app/NWL_resistance_support.jpg</t>
  </si>
  <si>
    <t>https://3arbzfbsh-cname-us.ngrok.io/Desktop/seabridge%20fintech/profit_graph_app/NWL_Return.jpg</t>
  </si>
  <si>
    <t>https://3arbzfbsh-cname-us.ngrok.io/Desktop/seabridge%20fintech/image_app/NWS_resistance_support.jpg</t>
  </si>
  <si>
    <t>https://3arbzfbsh-cname-us.ngrok.io/Desktop/seabridge%20fintech/profit_graph_app/NWS_Return.jpg</t>
  </si>
  <si>
    <t>https://3arbzfbsh-cname-us.ngrok.io/Desktop/seabridge%20fintech/image_app/NWSA_resistance_support.jpg</t>
  </si>
  <si>
    <t>https://3arbzfbsh-cname-us.ngrok.io/Desktop/seabridge%20fintech/profit_graph_app/NWSA_Return.jpg</t>
  </si>
  <si>
    <t>https://3arbzfbsh-cname-us.ngrok.io/Desktop/seabridge%20fintech/image_app/NXPI_resistance_support.jpg</t>
  </si>
  <si>
    <t>https://3arbzfbsh-cname-us.ngrok.io/Desktop/seabridge%20fintech/profit_graph_app/NXPI_Return.jpg</t>
  </si>
  <si>
    <t>https://3arbzfbsh-cname-us.ngrok.io/Desktop/seabridge%20fintech/image_app/O_resistance_support.jpg</t>
  </si>
  <si>
    <t>https://3arbzfbsh-cname-us.ngrok.io/Desktop/seabridge%20fintech/profit_graph_app/O_Return.jpg</t>
  </si>
  <si>
    <t>https://3arbzfbsh-cname-us.ngrok.io/Desktop/seabridge%20fintech/image_app/ODFL_resistance_support.jpg</t>
  </si>
  <si>
    <t>https://3arbzfbsh-cname-us.ngrok.io/Desktop/seabridge%20fintech/profit_graph_app/ODFL_Return.jpg</t>
  </si>
  <si>
    <t>https://3arbzfbsh-cname-us.ngrok.io/Desktop/seabridge%20fintech/image_app/OGE_resistance_support.jpg</t>
  </si>
  <si>
    <t>https://3arbzfbsh-cname-us.ngrok.io/Desktop/seabridge%20fintech/profit_graph_app/OGE_Return.jpg</t>
  </si>
  <si>
    <t>https://3arbzfbsh-cname-us.ngrok.io/Desktop/seabridge%20fintech/image_app/OKE_resistance_support.jpg</t>
  </si>
  <si>
    <t>https://3arbzfbsh-cname-us.ngrok.io/Desktop/seabridge%20fintech/profit_graph_app/OKE_Return.jpg</t>
  </si>
  <si>
    <t>https://3arbzfbsh-cname-us.ngrok.io/Desktop/seabridge%20fintech/image_app/OKTA_resistance_support.jpg</t>
  </si>
  <si>
    <t>https://3arbzfbsh-cname-us.ngrok.io/Desktop/seabridge%20fintech/profit_graph_app/OKTA_Return.jpg</t>
  </si>
  <si>
    <t>https://3arbzfbsh-cname-us.ngrok.io/Desktop/seabridge%20fintech/image_app/OMC_resistance_support.jpg</t>
  </si>
  <si>
    <t>https://3arbzfbsh-cname-us.ngrok.io/Desktop/seabridge%20fintech/profit_graph_app/OMC_Return.jpg</t>
  </si>
  <si>
    <t>https://3arbzfbsh-cname-us.ngrok.io/Desktop/seabridge%20fintech/image_app/ON_resistance_support.jpg</t>
  </si>
  <si>
    <t>https://3arbzfbsh-cname-us.ngrok.io/Desktop/seabridge%20fintech/profit_graph_app/ON_Return.jpg</t>
  </si>
  <si>
    <t>https://3arbzfbsh-cname-us.ngrok.io/Desktop/seabridge%20fintech/image_app/ORCL_resistance_support.jpg</t>
  </si>
  <si>
    <t>https://3arbzfbsh-cname-us.ngrok.io/Desktop/seabridge%20fintech/profit_graph_app/ORCL_Return.jpg</t>
  </si>
  <si>
    <t>https://3arbzfbsh-cname-us.ngrok.io/Desktop/seabridge%20fintech/image_app/ORLY_resistance_support.jpg</t>
  </si>
  <si>
    <t>https://3arbzfbsh-cname-us.ngrok.io/Desktop/seabridge%20fintech/profit_graph_app/ORLY_Return.jpg</t>
  </si>
  <si>
    <t>https://3arbzfbsh-cname-us.ngrok.io/Desktop/seabridge%20fintech/image_app/OVV_resistance_support.jpg</t>
  </si>
  <si>
    <t>https://3arbzfbsh-cname-us.ngrok.io/Desktop/seabridge%20fintech/profit_graph_app/OVV_Return.jpg</t>
  </si>
  <si>
    <t>https://3arbzfbsh-cname-us.ngrok.io/Desktop/seabridge%20fintech/image_app/OXY_resistance_support.jpg</t>
  </si>
  <si>
    <t>https://3arbzfbsh-cname-us.ngrok.io/Desktop/seabridge%20fintech/profit_graph_app/OXY_Return.jpg</t>
  </si>
  <si>
    <t>https://3arbzfbsh-cname-us.ngrok.io/Desktop/seabridge%20fintech/image_app/PACB_resistance_support.jpg</t>
  </si>
  <si>
    <t>https://3arbzfbsh-cname-us.ngrok.io/Desktop/seabridge%20fintech/profit_graph_app/PACB_Return.jpg</t>
  </si>
  <si>
    <t>https://3arbzfbsh-cname-us.ngrok.io/Desktop/seabridge%20fintech/image_app/PAYC_resistance_support.jpg</t>
  </si>
  <si>
    <t>https://3arbzfbsh-cname-us.ngrok.io/Desktop/seabridge%20fintech/profit_graph_app/PAYC_Return.jpg</t>
  </si>
  <si>
    <t>https://3arbzfbsh-cname-us.ngrok.io/Desktop/seabridge%20fintech/image_app/PAYX_resistance_support.jpg</t>
  </si>
  <si>
    <t>https://3arbzfbsh-cname-us.ngrok.io/Desktop/seabridge%20fintech/profit_graph_app/PAYX_Return.jpg</t>
  </si>
  <si>
    <t>https://3arbzfbsh-cname-us.ngrok.io/Desktop/seabridge%20fintech/image_app/PBCT_resistance_support.jpg</t>
  </si>
  <si>
    <t>https://3arbzfbsh-cname-us.ngrok.io/Desktop/seabridge%20fintech/profit_graph_app/PBCT_Return.jpg</t>
  </si>
  <si>
    <t>https://3arbzfbsh-cname-us.ngrok.io/Desktop/seabridge%20fintech/image_app/PCAR_resistance_support.jpg</t>
  </si>
  <si>
    <t>https://3arbzfbsh-cname-us.ngrok.io/Desktop/seabridge%20fintech/profit_graph_app/PCAR_Return.jpg</t>
  </si>
  <si>
    <t>https://3arbzfbsh-cname-us.ngrok.io/Desktop/seabridge%20fintech/image_app/PDD_resistance_support.jpg</t>
  </si>
  <si>
    <t>https://3arbzfbsh-cname-us.ngrok.io/Desktop/seabridge%20fintech/profit_graph_app/PDD_Return.jpg</t>
  </si>
  <si>
    <t>https://3arbzfbsh-cname-us.ngrok.io/Desktop/seabridge%20fintech/image_app/PEAK_resistance_support.jpg</t>
  </si>
  <si>
    <t>https://3arbzfbsh-cname-us.ngrok.io/Desktop/seabridge%20fintech/profit_graph_app/PEAK_Return.jpg</t>
  </si>
  <si>
    <t>https://3arbzfbsh-cname-us.ngrok.io/Desktop/seabridge%20fintech/image_app/PEG_resistance_support.jpg</t>
  </si>
  <si>
    <t>https://3arbzfbsh-cname-us.ngrok.io/Desktop/seabridge%20fintech/profit_graph_app/PEG_Return.jpg</t>
  </si>
  <si>
    <t>https://3arbzfbsh-cname-us.ngrok.io/Desktop/seabridge%20fintech/image_app/PENN_resistance_support.jpg</t>
  </si>
  <si>
    <t>https://3arbzfbsh-cname-us.ngrok.io/Desktop/seabridge%20fintech/profit_graph_app/PENN_Return.jpg</t>
  </si>
  <si>
    <t>https://3arbzfbsh-cname-us.ngrok.io/Desktop/seabridge%20fintech/image_app/PEP_resistance_support.jpg</t>
  </si>
  <si>
    <t>https://3arbzfbsh-cname-us.ngrok.io/Desktop/seabridge%20fintech/profit_graph_app/PEP_Return.jpg</t>
  </si>
  <si>
    <t>https://3arbzfbsh-cname-us.ngrok.io/Desktop/seabridge%20fintech/image_app/PFE_resistance_support.jpg</t>
  </si>
  <si>
    <t>https://3arbzfbsh-cname-us.ngrok.io/Desktop/seabridge%20fintech/profit_graph_app/PFE_Return.jpg</t>
  </si>
  <si>
    <t>https://3arbzfbsh-cname-us.ngrok.io/Desktop/seabridge%20fintech/image_app/PFF_resistance_support.jpg</t>
  </si>
  <si>
    <t>https://3arbzfbsh-cname-us.ngrok.io/Desktop/seabridge%20fintech/profit_graph_app/PFF_Return.jpg</t>
  </si>
  <si>
    <t>https://3arbzfbsh-cname-us.ngrok.io/Desktop/seabridge%20fintech/image_app/PFG_resistance_support.jpg</t>
  </si>
  <si>
    <t>https://3arbzfbsh-cname-us.ngrok.io/Desktop/seabridge%20fintech/profit_graph_app/PFG_Return.jpg</t>
  </si>
  <si>
    <t>https://3arbzfbsh-cname-us.ngrok.io/Desktop/seabridge%20fintech/image_app/PG_resistance_support.jpg</t>
  </si>
  <si>
    <t>https://3arbzfbsh-cname-us.ngrok.io/Desktop/seabridge%20fintech/profit_graph_app/PG_Return.jpg</t>
  </si>
  <si>
    <t>https://3arbzfbsh-cname-us.ngrok.io/Desktop/seabridge%20fintech/image_app/PGR_resistance_support.jpg</t>
  </si>
  <si>
    <t>https://3arbzfbsh-cname-us.ngrok.io/Desktop/seabridge%20fintech/profit_graph_app/PGR_Return.jpg</t>
  </si>
  <si>
    <t>https://3arbzfbsh-cname-us.ngrok.io/Desktop/seabridge%20fintech/image_app/PH_resistance_support.jpg</t>
  </si>
  <si>
    <t>https://3arbzfbsh-cname-us.ngrok.io/Desktop/seabridge%20fintech/profit_graph_app/PH_Return.jpg</t>
  </si>
  <si>
    <t>https://3arbzfbsh-cname-us.ngrok.io/Desktop/seabridge%20fintech/image_app/PHM_resistance_support.jpg</t>
  </si>
  <si>
    <t>https://3arbzfbsh-cname-us.ngrok.io/Desktop/seabridge%20fintech/profit_graph_app/PHM_Return.jpg</t>
  </si>
  <si>
    <t>https://3arbzfbsh-cname-us.ngrok.io/Desktop/seabridge%20fintech/image_app/PINS_resistance_support.jpg</t>
  </si>
  <si>
    <t>https://3arbzfbsh-cname-us.ngrok.io/Desktop/seabridge%20fintech/profit_graph_app/PINS_Return.jpg</t>
  </si>
  <si>
    <t>https://3arbzfbsh-cname-us.ngrok.io/Desktop/seabridge%20fintech/image_app/PKG_resistance_support.jpg</t>
  </si>
  <si>
    <t>https://3arbzfbsh-cname-us.ngrok.io/Desktop/seabridge%20fintech/profit_graph_app/PKG_Return.jpg</t>
  </si>
  <si>
    <t>https://3arbzfbsh-cname-us.ngrok.io/Desktop/seabridge%20fintech/image_app/PKI_resistance_support.jpg</t>
  </si>
  <si>
    <t>https://3arbzfbsh-cname-us.ngrok.io/Desktop/seabridge%20fintech/profit_graph_app/PKI_Return.jpg</t>
  </si>
  <si>
    <t>https://3arbzfbsh-cname-us.ngrok.io/Desktop/seabridge%20fintech/image_app/PLAN_resistance_support.jpg</t>
  </si>
  <si>
    <t>https://3arbzfbsh-cname-us.ngrok.io/Desktop/seabridge%20fintech/profit_graph_app/PLAN_Return.jpg</t>
  </si>
  <si>
    <t>https://3arbzfbsh-cname-us.ngrok.io/Desktop/seabridge%20fintech/image_app/PLD_resistance_support.jpg</t>
  </si>
  <si>
    <t>https://3arbzfbsh-cname-us.ngrok.io/Desktop/seabridge%20fintech/profit_graph_app/PLD_Return.jpg</t>
  </si>
  <si>
    <t>https://3arbzfbsh-cname-us.ngrok.io/Desktop/seabridge%20fintech/image_app/PLUG_resistance_support.jpg</t>
  </si>
  <si>
    <t>https://3arbzfbsh-cname-us.ngrok.io/Desktop/seabridge%20fintech/profit_graph_app/PLUG_Return.jpg</t>
  </si>
  <si>
    <t>https://3arbzfbsh-cname-us.ngrok.io/Desktop/seabridge%20fintech/image_app/PM_resistance_support.jpg</t>
  </si>
  <si>
    <t>https://3arbzfbsh-cname-us.ngrok.io/Desktop/seabridge%20fintech/profit_graph_app/PM_Return.jpg</t>
  </si>
  <si>
    <t>https://3arbzfbsh-cname-us.ngrok.io/Desktop/seabridge%20fintech/image_app/PNC_resistance_support.jpg</t>
  </si>
  <si>
    <t>https://3arbzfbsh-cname-us.ngrok.io/Desktop/seabridge%20fintech/profit_graph_app/PNC_Return.jpg</t>
  </si>
  <si>
    <t>https://3arbzfbsh-cname-us.ngrok.io/Desktop/seabridge%20fintech/image_app/PNR_resistance_support.jpg</t>
  </si>
  <si>
    <t>https://3arbzfbsh-cname-us.ngrok.io/Desktop/seabridge%20fintech/profit_graph_app/PNR_Return.jpg</t>
  </si>
  <si>
    <t>https://3arbzfbsh-cname-us.ngrok.io/Desktop/seabridge%20fintech/image_app/PNW_resistance_support.jpg</t>
  </si>
  <si>
    <t>https://3arbzfbsh-cname-us.ngrok.io/Desktop/seabridge%20fintech/profit_graph_app/PNW_Return.jpg</t>
  </si>
  <si>
    <t>https://3arbzfbsh-cname-us.ngrok.io/Desktop/seabridge%20fintech/image_app/POOL_resistance_support.jpg</t>
  </si>
  <si>
    <t>https://3arbzfbsh-cname-us.ngrok.io/Desktop/seabridge%20fintech/profit_graph_app/POOL_Return.jpg</t>
  </si>
  <si>
    <t>https://3arbzfbsh-cname-us.ngrok.io/Desktop/seabridge%20fintech/image_app/PPG_resistance_support.jpg</t>
  </si>
  <si>
    <t>https://3arbzfbsh-cname-us.ngrok.io/Desktop/seabridge%20fintech/profit_graph_app/PPG_Return.jpg</t>
  </si>
  <si>
    <t>https://3arbzfbsh-cname-us.ngrok.io/Desktop/seabridge%20fintech/image_app/PPL_resistance_support.jpg</t>
  </si>
  <si>
    <t>https://3arbzfbsh-cname-us.ngrok.io/Desktop/seabridge%20fintech/profit_graph_app/PPL_Return.jpg</t>
  </si>
  <si>
    <t>https://3arbzfbsh-cname-us.ngrok.io/Desktop/seabridge%20fintech/image_app/PRGO_resistance_support.jpg</t>
  </si>
  <si>
    <t>https://3arbzfbsh-cname-us.ngrok.io/Desktop/seabridge%20fintech/profit_graph_app/PRGO_Return.jpg</t>
  </si>
  <si>
    <t>https://3arbzfbsh-cname-us.ngrok.io/Desktop/seabridge%20fintech/image_app/PRSP_resistance_support.jpg</t>
  </si>
  <si>
    <t>https://3arbzfbsh-cname-us.ngrok.io/Desktop/seabridge%20fintech/profit_graph_app/PRSP_Return.jpg</t>
  </si>
  <si>
    <t>https://3arbzfbsh-cname-us.ngrok.io/Desktop/seabridge%20fintech/image_app/PRU_resistance_support.jpg</t>
  </si>
  <si>
    <t>https://3arbzfbsh-cname-us.ngrok.io/Desktop/seabridge%20fintech/profit_graph_app/PRU_Return.jpg</t>
  </si>
  <si>
    <t>https://3arbzfbsh-cname-us.ngrok.io/Desktop/seabridge%20fintech/image_app/PSA_resistance_support.jpg</t>
  </si>
  <si>
    <t>https://3arbzfbsh-cname-us.ngrok.io/Desktop/seabridge%20fintech/profit_graph_app/PSA_Return.jpg</t>
  </si>
  <si>
    <t>https://3arbzfbsh-cname-us.ngrok.io/Desktop/seabridge%20fintech/image_app/PSX_resistance_support.jpg</t>
  </si>
  <si>
    <t>https://3arbzfbsh-cname-us.ngrok.io/Desktop/seabridge%20fintech/profit_graph_app/PSX_Return.jpg</t>
  </si>
  <si>
    <t>https://3arbzfbsh-cname-us.ngrok.io/Desktop/seabridge%20fintech/image_app/PTC_resistance_support.jpg</t>
  </si>
  <si>
    <t>https://3arbzfbsh-cname-us.ngrok.io/Desktop/seabridge%20fintech/profit_graph_app/PTC_Return.jpg</t>
  </si>
  <si>
    <t>https://3arbzfbsh-cname-us.ngrok.io/Desktop/seabridge%20fintech/image_app/PTON_resistance_support.jpg</t>
  </si>
  <si>
    <t>https://3arbzfbsh-cname-us.ngrok.io/Desktop/seabridge%20fintech/profit_graph_app/PTON_Return.jpg</t>
  </si>
  <si>
    <t>https://3arbzfbsh-cname-us.ngrok.io/Desktop/seabridge%20fintech/image_app/PVH_resistance_support.jpg</t>
  </si>
  <si>
    <t>https://3arbzfbsh-cname-us.ngrok.io/Desktop/seabridge%20fintech/profit_graph_app/PVH_Return.jpg</t>
  </si>
  <si>
    <t>https://3arbzfbsh-cname-us.ngrok.io/Desktop/seabridge%20fintech/image_app/PWR_resistance_support.jpg</t>
  </si>
  <si>
    <t>https://3arbzfbsh-cname-us.ngrok.io/Desktop/seabridge%20fintech/profit_graph_app/PWR_Return.jpg</t>
  </si>
  <si>
    <t>https://3arbzfbsh-cname-us.ngrok.io/Desktop/seabridge%20fintech/image_app/PXD_resistance_support.jpg</t>
  </si>
  <si>
    <t>https://3arbzfbsh-cname-us.ngrok.io/Desktop/seabridge%20fintech/profit_graph_app/PXD_Return.jpg</t>
  </si>
  <si>
    <t>https://3arbzfbsh-cname-us.ngrok.io/Desktop/seabridge%20fintech/image_app/PYPL_resistance_support.jpg</t>
  </si>
  <si>
    <t>https://3arbzfbsh-cname-us.ngrok.io/Desktop/seabridge%20fintech/profit_graph_app/PYPL_Return.jpg</t>
  </si>
  <si>
    <t>https://3arbzfbsh-cname-us.ngrok.io/Desktop/seabridge%20fintech/image_app/QCOM_resistance_support.jpg</t>
  </si>
  <si>
    <t>https://3arbzfbsh-cname-us.ngrok.io/Desktop/seabridge%20fintech/profit_graph_app/QCOM_Return.jpg</t>
  </si>
  <si>
    <t>https://3arbzfbsh-cname-us.ngrok.io/Desktop/seabridge%20fintech/image_app/QLD_resistance_support.jpg</t>
  </si>
  <si>
    <t>https://3arbzfbsh-cname-us.ngrok.io/Desktop/seabridge%20fintech/profit_graph_app/QLD_Return.jpg</t>
  </si>
  <si>
    <t>https://3arbzfbsh-cname-us.ngrok.io/Desktop/seabridge%20fintech/image_app/QQQ_resistance_support.jpg</t>
  </si>
  <si>
    <t>https://3arbzfbsh-cname-us.ngrok.io/Desktop/seabridge%20fintech/profit_graph_app/QQQ_Return.jpg</t>
  </si>
  <si>
    <t>https://3arbzfbsh-cname-us.ngrok.io/Desktop/seabridge%20fintech/image_app/QRVO_resistance_support.jpg</t>
  </si>
  <si>
    <t>https://3arbzfbsh-cname-us.ngrok.io/Desktop/seabridge%20fintech/profit_graph_app/QRVO_Return.jpg</t>
  </si>
  <si>
    <t>https://3arbzfbsh-cname-us.ngrok.io/Desktop/seabridge%20fintech/image_app/RCL_resistance_support.jpg</t>
  </si>
  <si>
    <t>https://3arbzfbsh-cname-us.ngrok.io/Desktop/seabridge%20fintech/profit_graph_app/RCL_Return.jpg</t>
  </si>
  <si>
    <t>https://3arbzfbsh-cname-us.ngrok.io/Desktop/seabridge%20fintech/image_app/RE_resistance_support.jpg</t>
  </si>
  <si>
    <t>https://3arbzfbsh-cname-us.ngrok.io/Desktop/seabridge%20fintech/profit_graph_app/RE_Return.jpg</t>
  </si>
  <si>
    <t>https://3arbzfbsh-cname-us.ngrok.io/Desktop/seabridge%20fintech/image_app/REG_resistance_support.jpg</t>
  </si>
  <si>
    <t>https://3arbzfbsh-cname-us.ngrok.io/Desktop/seabridge%20fintech/profit_graph_app/REG_Return.jpg</t>
  </si>
  <si>
    <t>https://3arbzfbsh-cname-us.ngrok.io/Desktop/seabridge%20fintech/image_app/REGN_resistance_support.jpg</t>
  </si>
  <si>
    <t>https://3arbzfbsh-cname-us.ngrok.io/Desktop/seabridge%20fintech/profit_graph_app/REGN_Return.jpg</t>
  </si>
  <si>
    <t>https://3arbzfbsh-cname-us.ngrok.io/Desktop/seabridge%20fintech/image_app/RF_resistance_support.jpg</t>
  </si>
  <si>
    <t>https://3arbzfbsh-cname-us.ngrok.io/Desktop/seabridge%20fintech/profit_graph_app/RF_Return.jpg</t>
  </si>
  <si>
    <t>https://3arbzfbsh-cname-us.ngrok.io/Desktop/seabridge%20fintech/image_app/RHI_resistance_support.jpg</t>
  </si>
  <si>
    <t>https://3arbzfbsh-cname-us.ngrok.io/Desktop/seabridge%20fintech/profit_graph_app/RHI_Return.jpg</t>
  </si>
  <si>
    <t>https://3arbzfbsh-cname-us.ngrok.io/Desktop/seabridge%20fintech/image_app/RIOT_resistance_support.jpg</t>
  </si>
  <si>
    <t>https://3arbzfbsh-cname-us.ngrok.io/Desktop/seabridge%20fintech/profit_graph_app/RIOT_Return.jpg</t>
  </si>
  <si>
    <t>https://3arbzfbsh-cname-us.ngrok.io/Desktop/seabridge%20fintech/image_app/RJF_resistance_support.jpg</t>
  </si>
  <si>
    <t>https://3arbzfbsh-cname-us.ngrok.io/Desktop/seabridge%20fintech/profit_graph_app/RJF_Return.jpg</t>
  </si>
  <si>
    <t>https://3arbzfbsh-cname-us.ngrok.io/Desktop/seabridge%20fintech/image_app/RL_resistance_support.jpg</t>
  </si>
  <si>
    <t>https://3arbzfbsh-cname-us.ngrok.io/Desktop/seabridge%20fintech/profit_graph_app/RL_Return.jpg</t>
  </si>
  <si>
    <t>https://3arbzfbsh-cname-us.ngrok.io/Desktop/seabridge%20fintech/image_app/RMD_resistance_support.jpg</t>
  </si>
  <si>
    <t>https://3arbzfbsh-cname-us.ngrok.io/Desktop/seabridge%20fintech/profit_graph_app/RMD_Return.jpg</t>
  </si>
  <si>
    <t>https://3arbzfbsh-cname-us.ngrok.io/Desktop/seabridge%20fintech/image_app/ROK_resistance_support.jpg</t>
  </si>
  <si>
    <t>https://3arbzfbsh-cname-us.ngrok.io/Desktop/seabridge%20fintech/profit_graph_app/ROK_Return.jpg</t>
  </si>
  <si>
    <t>https://3arbzfbsh-cname-us.ngrok.io/Desktop/seabridge%20fintech/image_app/ROKU_resistance_support.jpg</t>
  </si>
  <si>
    <t>https://3arbzfbsh-cname-us.ngrok.io/Desktop/seabridge%20fintech/profit_graph_app/ROKU_Return.jpg</t>
  </si>
  <si>
    <t>https://3arbzfbsh-cname-us.ngrok.io/Desktop/seabridge%20fintech/image_app/ROL_resistance_support.jpg</t>
  </si>
  <si>
    <t>https://3arbzfbsh-cname-us.ngrok.io/Desktop/seabridge%20fintech/profit_graph_app/ROL_Return.jpg</t>
  </si>
  <si>
    <t>https://3arbzfbsh-cname-us.ngrok.io/Desktop/seabridge%20fintech/image_app/ROP_resistance_support.jpg</t>
  </si>
  <si>
    <t>https://3arbzfbsh-cname-us.ngrok.io/Desktop/seabridge%20fintech/profit_graph_app/ROP_Return.jpg</t>
  </si>
  <si>
    <t>https://3arbzfbsh-cname-us.ngrok.io/Desktop/seabridge%20fintech/image_app/ROST_resistance_support.jpg</t>
  </si>
  <si>
    <t>https://3arbzfbsh-cname-us.ngrok.io/Desktop/seabridge%20fintech/profit_graph_app/ROST_Return.jpg</t>
  </si>
  <si>
    <t>https://3arbzfbsh-cname-us.ngrok.io/Desktop/seabridge%20fintech/image_app/RSG_resistance_support.jpg</t>
  </si>
  <si>
    <t>https://3arbzfbsh-cname-us.ngrok.io/Desktop/seabridge%20fintech/profit_graph_app/RSG_Return.jpg</t>
  </si>
  <si>
    <t>https://3arbzfbsh-cname-us.ngrok.io/Desktop/seabridge%20fintech/image_app/RSP_resistance_support.jpg</t>
  </si>
  <si>
    <t>https://3arbzfbsh-cname-us.ngrok.io/Desktop/seabridge%20fintech/profit_graph_app/RSP_Return.jpg</t>
  </si>
  <si>
    <t>https://3arbzfbsh-cname-us.ngrok.io/Desktop/seabridge%20fintech/image_app/RTX_resistance_support.jpg</t>
  </si>
  <si>
    <t>https://3arbzfbsh-cname-us.ngrok.io/Desktop/seabridge%20fintech/profit_graph_app/RTX_Return.jpg</t>
  </si>
  <si>
    <t>https://3arbzfbsh-cname-us.ngrok.io/Desktop/seabridge%20fintech/image_app/RUN_resistance_support.jpg</t>
  </si>
  <si>
    <t>https://3arbzfbsh-cname-us.ngrok.io/Desktop/seabridge%20fintech/profit_graph_app/RUN_Return.jpg</t>
  </si>
  <si>
    <t>https://3arbzfbsh-cname-us.ngrok.io/Desktop/seabridge%20fintech/image_app/SAVA_resistance_support.jpg</t>
  </si>
  <si>
    <t>https://3arbzfbsh-cname-us.ngrok.io/Desktop/seabridge%20fintech/profit_graph_app/SAVA_Return.jpg</t>
  </si>
  <si>
    <t>https://3arbzfbsh-cname-us.ngrok.io/Desktop/seabridge%20fintech/image_app/SAVE_resistance_support.jpg</t>
  </si>
  <si>
    <t>https://3arbzfbsh-cname-us.ngrok.io/Desktop/seabridge%20fintech/profit_graph_app/SAVE_Return.jpg</t>
  </si>
  <si>
    <t>https://3arbzfbsh-cname-us.ngrok.io/Desktop/seabridge%20fintech/image_app/SBAC_resistance_support.jpg</t>
  </si>
  <si>
    <t>https://3arbzfbsh-cname-us.ngrok.io/Desktop/seabridge%20fintech/profit_graph_app/SBAC_Return.jpg</t>
  </si>
  <si>
    <t>https://3arbzfbsh-cname-us.ngrok.io/Desktop/seabridge%20fintech/image_app/SBUX_resistance_support.jpg</t>
  </si>
  <si>
    <t>https://3arbzfbsh-cname-us.ngrok.io/Desktop/seabridge%20fintech/profit_graph_app/SBUX_Return.jpg</t>
  </si>
  <si>
    <t>https://3arbzfbsh-cname-us.ngrok.io/Desktop/seabridge%20fintech/image_app/SCHF_resistance_support.jpg</t>
  </si>
  <si>
    <t>https://3arbzfbsh-cname-us.ngrok.io/Desktop/seabridge%20fintech/profit_graph_app/SCHF_Return.jpg</t>
  </si>
  <si>
    <t>https://3arbzfbsh-cname-us.ngrok.io/Desktop/seabridge%20fintech/image_app/SCHP_resistance_support.jpg</t>
  </si>
  <si>
    <t>https://3arbzfbsh-cname-us.ngrok.io/Desktop/seabridge%20fintech/profit_graph_app/SCHP_Return.jpg</t>
  </si>
  <si>
    <t>https://3arbzfbsh-cname-us.ngrok.io/Desktop/seabridge%20fintech/image_app/SCHW_resistance_support.jpg</t>
  </si>
  <si>
    <t>https://3arbzfbsh-cname-us.ngrok.io/Desktop/seabridge%20fintech/profit_graph_app/SCHW_Return.jpg</t>
  </si>
  <si>
    <t>https://3arbzfbsh-cname-us.ngrok.io/Desktop/seabridge%20fintech/image_app/SEE_resistance_support.jpg</t>
  </si>
  <si>
    <t>https://3arbzfbsh-cname-us.ngrok.io/Desktop/seabridge%20fintech/profit_graph_app/SEE_Return.jpg</t>
  </si>
  <si>
    <t>https://3arbzfbsh-cname-us.ngrok.io/Desktop/seabridge%20fintech/image_app/SFM_resistance_support.jpg</t>
  </si>
  <si>
    <t>https://3arbzfbsh-cname-us.ngrok.io/Desktop/seabridge%20fintech/profit_graph_app/SFM_Return.jpg</t>
  </si>
  <si>
    <t>https://3arbzfbsh-cname-us.ngrok.io/Desktop/seabridge%20fintech/image_app/SGEN_resistance_support.jpg</t>
  </si>
  <si>
    <t>https://3arbzfbsh-cname-us.ngrok.io/Desktop/seabridge%20fintech/profit_graph_app/SGEN_Return.jpg</t>
  </si>
  <si>
    <t>https://3arbzfbsh-cname-us.ngrok.io/Desktop/seabridge%20fintech/image_app/SHW_resistance_support.jpg</t>
  </si>
  <si>
    <t>https://3arbzfbsh-cname-us.ngrok.io/Desktop/seabridge%20fintech/profit_graph_app/SHW_Return.jpg</t>
  </si>
  <si>
    <t>https://3arbzfbsh-cname-us.ngrok.io/Desktop/seabridge%20fintech/image_app/SHY_resistance_support.jpg</t>
  </si>
  <si>
    <t>https://3arbzfbsh-cname-us.ngrok.io/Desktop/seabridge%20fintech/profit_graph_app/SHY_Return.jpg</t>
  </si>
  <si>
    <t>https://3arbzfbsh-cname-us.ngrok.io/Desktop/seabridge%20fintech/image_app/SIRI_resistance_support.jpg</t>
  </si>
  <si>
    <t>https://3arbzfbsh-cname-us.ngrok.io/Desktop/seabridge%20fintech/profit_graph_app/SIRI_Return.jpg</t>
  </si>
  <si>
    <t>https://3arbzfbsh-cname-us.ngrok.io/Desktop/seabridge%20fintech/image_app/SIVB_resistance_support.jpg</t>
  </si>
  <si>
    <t>https://3arbzfbsh-cname-us.ngrok.io/Desktop/seabridge%20fintech/profit_graph_app/SIVB_Return.jpg</t>
  </si>
  <si>
    <t>https://3arbzfbsh-cname-us.ngrok.io/Desktop/seabridge%20fintech/image_app/SJM_resistance_support.jpg</t>
  </si>
  <si>
    <t>https://3arbzfbsh-cname-us.ngrok.io/Desktop/seabridge%20fintech/profit_graph_app/SJM_Return.jpg</t>
  </si>
  <si>
    <t>https://3arbzfbsh-cname-us.ngrok.io/Desktop/seabridge%20fintech/image_app/SJNK_resistance_support.jpg</t>
  </si>
  <si>
    <t>https://3arbzfbsh-cname-us.ngrok.io/Desktop/seabridge%20fintech/profit_graph_app/SJNK_Return.jpg</t>
  </si>
  <si>
    <t>https://3arbzfbsh-cname-us.ngrok.io/Desktop/seabridge%20fintech/image_app/SLB_resistance_support.jpg</t>
  </si>
  <si>
    <t>https://3arbzfbsh-cname-us.ngrok.io/Desktop/seabridge%20fintech/profit_graph_app/SLB_Return.jpg</t>
  </si>
  <si>
    <t>https://3arbzfbsh-cname-us.ngrok.io/Desktop/seabridge%20fintech/image_app/SMH_resistance_support.jpg</t>
  </si>
  <si>
    <t>https://3arbzfbsh-cname-us.ngrok.io/Desktop/seabridge%20fintech/profit_graph_app/SMH_Return.jpg</t>
  </si>
  <si>
    <t>https://3arbzfbsh-cname-us.ngrok.io/Desktop/seabridge%20fintech/image_app/SNA_resistance_support.jpg</t>
  </si>
  <si>
    <t>https://3arbzfbsh-cname-us.ngrok.io/Desktop/seabridge%20fintech/profit_graph_app/SNA_Return.jpg</t>
  </si>
  <si>
    <t>https://3arbzfbsh-cname-us.ngrok.io/Desktop/seabridge%20fintech/image_app/SNAP_resistance_support.jpg</t>
  </si>
  <si>
    <t>https://3arbzfbsh-cname-us.ngrok.io/Desktop/seabridge%20fintech/profit_graph_app/SNAP_Return.jpg</t>
  </si>
  <si>
    <t>https://3arbzfbsh-cname-us.ngrok.io/Desktop/seabridge%20fintech/image_app/SNOW_resistance_support.jpg</t>
  </si>
  <si>
    <t>https://3arbzfbsh-cname-us.ngrok.io/Desktop/seabridge%20fintech/profit_graph_app/SNOW_Return.jpg</t>
  </si>
  <si>
    <t>https://3arbzfbsh-cname-us.ngrok.io/Desktop/seabridge%20fintech/image_app/SNPS_resistance_support.jpg</t>
  </si>
  <si>
    <t>https://3arbzfbsh-cname-us.ngrok.io/Desktop/seabridge%20fintech/profit_graph_app/SNPS_Return.jpg</t>
  </si>
  <si>
    <t>https://3arbzfbsh-cname-us.ngrok.io/Desktop/seabridge%20fintech/image_app/SO_resistance_support.jpg</t>
  </si>
  <si>
    <t>https://3arbzfbsh-cname-us.ngrok.io/Desktop/seabridge%20fintech/profit_graph_app/SO_Return.jpg</t>
  </si>
  <si>
    <t>https://3arbzfbsh-cname-us.ngrok.io/Desktop/seabridge%20fintech/image_app/SONO_resistance_support.jpg</t>
  </si>
  <si>
    <t>https://3arbzfbsh-cname-us.ngrok.io/Desktop/seabridge%20fintech/profit_graph_app/SONO_Return.jpg</t>
  </si>
  <si>
    <t>https://3arbzfbsh-cname-us.ngrok.io/Desktop/seabridge%20fintech/image_app/SPCE_resistance_support.jpg</t>
  </si>
  <si>
    <t>https://3arbzfbsh-cname-us.ngrok.io/Desktop/seabridge%20fintech/profit_graph_app/SPCE_Return.jpg</t>
  </si>
  <si>
    <t>https://3arbzfbsh-cname-us.ngrok.io/Desktop/seabridge%20fintech/image_app/SPG_resistance_support.jpg</t>
  </si>
  <si>
    <t>https://3arbzfbsh-cname-us.ngrok.io/Desktop/seabridge%20fintech/profit_graph_app/SPG_Return.jpg</t>
  </si>
  <si>
    <t>https://3arbzfbsh-cname-us.ngrok.io/Desktop/seabridge%20fintech/image_app/SPGI_resistance_support.jpg</t>
  </si>
  <si>
    <t>https://3arbzfbsh-cname-us.ngrok.io/Desktop/seabridge%20fintech/profit_graph_app/SPGI_Return.jpg</t>
  </si>
  <si>
    <t>https://3arbzfbsh-cname-us.ngrok.io/Desktop/seabridge%20fintech/image_app/SPIB_resistance_support.jpg</t>
  </si>
  <si>
    <t>https://3arbzfbsh-cname-us.ngrok.io/Desktop/seabridge%20fintech/profit_graph_app/SPIB_Return.jpg</t>
  </si>
  <si>
    <t>https://3arbzfbsh-cname-us.ngrok.io/Desktop/seabridge%20fintech/image_app/SPLK_resistance_support.jpg</t>
  </si>
  <si>
    <t>https://3arbzfbsh-cname-us.ngrok.io/Desktop/seabridge%20fintech/profit_graph_app/SPLK_Return.jpg</t>
  </si>
  <si>
    <t>https://3arbzfbsh-cname-us.ngrok.io/Desktop/seabridge%20fintech/image_app/SPLV_resistance_support.jpg</t>
  </si>
  <si>
    <t>https://3arbzfbsh-cname-us.ngrok.io/Desktop/seabridge%20fintech/profit_graph_app/SPLV_Return.jpg</t>
  </si>
  <si>
    <t>https://3arbzfbsh-cname-us.ngrok.io/Desktop/seabridge%20fintech/image_app/SPWR_resistance_support.jpg</t>
  </si>
  <si>
    <t>https://3arbzfbsh-cname-us.ngrok.io/Desktop/seabridge%20fintech/profit_graph_app/SPWR_Return.jpg</t>
  </si>
  <si>
    <t>https://3arbzfbsh-cname-us.ngrok.io/Desktop/seabridge%20fintech/image_app/SPY_resistance_support.jpg</t>
  </si>
  <si>
    <t>https://3arbzfbsh-cname-us.ngrok.io/Desktop/seabridge%20fintech/profit_graph_app/SPY_Return.jpg</t>
  </si>
  <si>
    <t>https://3arbzfbsh-cname-us.ngrok.io/Desktop/seabridge%20fintech/image_app/SPYV_resistance_support.jpg</t>
  </si>
  <si>
    <t>https://3arbzfbsh-cname-us.ngrok.io/Desktop/seabridge%20fintech/profit_graph_app/SPYV_Return.jpg</t>
  </si>
  <si>
    <t>https://3arbzfbsh-cname-us.ngrok.io/Desktop/seabridge%20fintech/image_app/SQ_resistance_support.jpg</t>
  </si>
  <si>
    <t>https://3arbzfbsh-cname-us.ngrok.io/Desktop/seabridge%20fintech/profit_graph_app/SQ_Return.jpg</t>
  </si>
  <si>
    <t>https://3arbzfbsh-cname-us.ngrok.io/Desktop/seabridge%20fintech/image_app/SRE_resistance_support.jpg</t>
  </si>
  <si>
    <t>https://3arbzfbsh-cname-us.ngrok.io/Desktop/seabridge%20fintech/profit_graph_app/SRE_Return.jpg</t>
  </si>
  <si>
    <t>https://3arbzfbsh-cname-us.ngrok.io/Desktop/seabridge%20fintech/image_app/STE_resistance_support.jpg</t>
  </si>
  <si>
    <t>https://3arbzfbsh-cname-us.ngrok.io/Desktop/seabridge%20fintech/profit_graph_app/STE_Return.jpg</t>
  </si>
  <si>
    <t>https://3arbzfbsh-cname-us.ngrok.io/Desktop/seabridge%20fintech/image_app/STEM_resistance_support.jpg</t>
  </si>
  <si>
    <t>https://3arbzfbsh-cname-us.ngrok.io/Desktop/seabridge%20fintech/profit_graph_app/STEM_Return.jpg</t>
  </si>
  <si>
    <t>https://3arbzfbsh-cname-us.ngrok.io/Desktop/seabridge%20fintech/image_app/STLD_resistance_support.jpg</t>
  </si>
  <si>
    <t>https://3arbzfbsh-cname-us.ngrok.io/Desktop/seabridge%20fintech/profit_graph_app/STLD_Return.jpg</t>
  </si>
  <si>
    <t>https://3arbzfbsh-cname-us.ngrok.io/Desktop/seabridge%20fintech/image_app/STT_resistance_support.jpg</t>
  </si>
  <si>
    <t>https://3arbzfbsh-cname-us.ngrok.io/Desktop/seabridge%20fintech/profit_graph_app/STT_Return.jpg</t>
  </si>
  <si>
    <t>https://3arbzfbsh-cname-us.ngrok.io/Desktop/seabridge%20fintech/image_app/STX_resistance_support.jpg</t>
  </si>
  <si>
    <t>https://3arbzfbsh-cname-us.ngrok.io/Desktop/seabridge%20fintech/profit_graph_app/STX_Return.jpg</t>
  </si>
  <si>
    <t>https://3arbzfbsh-cname-us.ngrok.io/Desktop/seabridge%20fintech/image_app/STZ_resistance_support.jpg</t>
  </si>
  <si>
    <t>https://3arbzfbsh-cname-us.ngrok.io/Desktop/seabridge%20fintech/profit_graph_app/STZ_Return.jpg</t>
  </si>
  <si>
    <t>https://3arbzfbsh-cname-us.ngrok.io/Desktop/seabridge%20fintech/image_app/SWK_resistance_support.jpg</t>
  </si>
  <si>
    <t>https://3arbzfbsh-cname-us.ngrok.io/Desktop/seabridge%20fintech/profit_graph_app/SWK_Return.jpg</t>
  </si>
  <si>
    <t>https://3arbzfbsh-cname-us.ngrok.io/Desktop/seabridge%20fintech/image_app/SWKS_resistance_support.jpg</t>
  </si>
  <si>
    <t>https://3arbzfbsh-cname-us.ngrok.io/Desktop/seabridge%20fintech/profit_graph_app/SWKS_Return.jpg</t>
  </si>
  <si>
    <t>https://3arbzfbsh-cname-us.ngrok.io/Desktop/seabridge%20fintech/image_app/SYF_resistance_support.jpg</t>
  </si>
  <si>
    <t>https://3arbzfbsh-cname-us.ngrok.io/Desktop/seabridge%20fintech/profit_graph_app/SYF_Return.jpg</t>
  </si>
  <si>
    <t>https://3arbzfbsh-cname-us.ngrok.io/Desktop/seabridge%20fintech/image_app/SYK_resistance_support.jpg</t>
  </si>
  <si>
    <t>https://3arbzfbsh-cname-us.ngrok.io/Desktop/seabridge%20fintech/profit_graph_app/SYK_Return.jpg</t>
  </si>
  <si>
    <t>https://3arbzfbsh-cname-us.ngrok.io/Desktop/seabridge%20fintech/image_app/SYY_resistance_support.jpg</t>
  </si>
  <si>
    <t>https://3arbzfbsh-cname-us.ngrok.io/Desktop/seabridge%20fintech/profit_graph_app/SYY_Return.jpg</t>
  </si>
  <si>
    <t>https://3arbzfbsh-cname-us.ngrok.io/Desktop/seabridge%20fintech/image_app/T_resistance_support.jpg</t>
  </si>
  <si>
    <t>https://3arbzfbsh-cname-us.ngrok.io/Desktop/seabridge%20fintech/profit_graph_app/T_Return.jpg</t>
  </si>
  <si>
    <t>https://3arbzfbsh-cname-us.ngrok.io/Desktop/seabridge%20fintech/image_app/TAP_resistance_support.jpg</t>
  </si>
  <si>
    <t>https://3arbzfbsh-cname-us.ngrok.io/Desktop/seabridge%20fintech/profit_graph_app/TAP_Return.jpg</t>
  </si>
  <si>
    <t>https://3arbzfbsh-cname-us.ngrok.io/Desktop/seabridge%20fintech/image_app/TCOM_resistance_support.jpg</t>
  </si>
  <si>
    <t>https://3arbzfbsh-cname-us.ngrok.io/Desktop/seabridge%20fintech/profit_graph_app/TCOM_Return.jpg</t>
  </si>
  <si>
    <t>https://3arbzfbsh-cname-us.ngrok.io/Desktop/seabridge%20fintech/image_app/TDG_resistance_support.jpg</t>
  </si>
  <si>
    <t>https://3arbzfbsh-cname-us.ngrok.io/Desktop/seabridge%20fintech/profit_graph_app/TDG_Return.jpg</t>
  </si>
  <si>
    <t>https://3arbzfbsh-cname-us.ngrok.io/Desktop/seabridge%20fintech/image_app/TDOC_resistance_support.jpg</t>
  </si>
  <si>
    <t>https://3arbzfbsh-cname-us.ngrok.io/Desktop/seabridge%20fintech/profit_graph_app/TDOC_Return.jpg</t>
  </si>
  <si>
    <t>https://3arbzfbsh-cname-us.ngrok.io/Desktop/seabridge%20fintech/image_app/TDY_resistance_support.jpg</t>
  </si>
  <si>
    <t>https://3arbzfbsh-cname-us.ngrok.io/Desktop/seabridge%20fintech/profit_graph_app/TDY_Return.jpg</t>
  </si>
  <si>
    <t>https://3arbzfbsh-cname-us.ngrok.io/Desktop/seabridge%20fintech/image_app/TEAM_resistance_support.jpg</t>
  </si>
  <si>
    <t>https://3arbzfbsh-cname-us.ngrok.io/Desktop/seabridge%20fintech/profit_graph_app/TEAM_Return.jpg</t>
  </si>
  <si>
    <t>https://3arbzfbsh-cname-us.ngrok.io/Desktop/seabridge%20fintech/image_app/TEL_resistance_support.jpg</t>
  </si>
  <si>
    <t>https://3arbzfbsh-cname-us.ngrok.io/Desktop/seabridge%20fintech/profit_graph_app/TEL_Return.jpg</t>
  </si>
  <si>
    <t>https://3arbzfbsh-cname-us.ngrok.io/Desktop/seabridge%20fintech/image_app/TER_resistance_support.jpg</t>
  </si>
  <si>
    <t>https://3arbzfbsh-cname-us.ngrok.io/Desktop/seabridge%20fintech/profit_graph_app/TER_Return.jpg</t>
  </si>
  <si>
    <t>https://3arbzfbsh-cname-us.ngrok.io/Desktop/seabridge%20fintech/image_app/TFC_resistance_support.jpg</t>
  </si>
  <si>
    <t>https://3arbzfbsh-cname-us.ngrok.io/Desktop/seabridge%20fintech/profit_graph_app/TFC_Return.jpg</t>
  </si>
  <si>
    <t>https://3arbzfbsh-cname-us.ngrok.io/Desktop/seabridge%20fintech/image_app/TFX_resistance_support.jpg</t>
  </si>
  <si>
    <t>https://3arbzfbsh-cname-us.ngrok.io/Desktop/seabridge%20fintech/profit_graph_app/TFX_Return.jpg</t>
  </si>
  <si>
    <t>https://3arbzfbsh-cname-us.ngrok.io/Desktop/seabridge%20fintech/image_app/TGT_resistance_support.jpg</t>
  </si>
  <si>
    <t>https://3arbzfbsh-cname-us.ngrok.io/Desktop/seabridge%20fintech/profit_graph_app/TGT_Return.jpg</t>
  </si>
  <si>
    <t>https://3arbzfbsh-cname-us.ngrok.io/Desktop/seabridge%20fintech/image_app/TIP_resistance_support.jpg</t>
  </si>
  <si>
    <t>https://3arbzfbsh-cname-us.ngrok.io/Desktop/seabridge%20fintech/profit_graph_app/TIP_Return.jpg</t>
  </si>
  <si>
    <t>https://3arbzfbsh-cname-us.ngrok.io/Desktop/seabridge%20fintech/image_app/TJX_resistance_support.jpg</t>
  </si>
  <si>
    <t>https://3arbzfbsh-cname-us.ngrok.io/Desktop/seabridge%20fintech/profit_graph_app/TJX_Return.jpg</t>
  </si>
  <si>
    <t>https://3arbzfbsh-cname-us.ngrok.io/Desktop/seabridge%20fintech/image_app/TLT_resistance_support.jpg</t>
  </si>
  <si>
    <t>https://3arbzfbsh-cname-us.ngrok.io/Desktop/seabridge%20fintech/profit_graph_app/TLT_Return.jpg</t>
  </si>
  <si>
    <t>https://3arbzfbsh-cname-us.ngrok.io/Desktop/seabridge%20fintech/image_app/TMO_resistance_support.jpg</t>
  </si>
  <si>
    <t>https://3arbzfbsh-cname-us.ngrok.io/Desktop/seabridge%20fintech/profit_graph_app/TMO_Return.jpg</t>
  </si>
  <si>
    <t>https://3arbzfbsh-cname-us.ngrok.io/Desktop/seabridge%20fintech/image_app/TMUS_resistance_support.jpg</t>
  </si>
  <si>
    <t>https://3arbzfbsh-cname-us.ngrok.io/Desktop/seabridge%20fintech/profit_graph_app/TMUS_Return.jpg</t>
  </si>
  <si>
    <t>https://3arbzfbsh-cname-us.ngrok.io/Desktop/seabridge%20fintech/image_app/TPR_resistance_support.jpg</t>
  </si>
  <si>
    <t>https://3arbzfbsh-cname-us.ngrok.io/Desktop/seabridge%20fintech/profit_graph_app/TPR_Return.jpg</t>
  </si>
  <si>
    <t>https://3arbzfbsh-cname-us.ngrok.io/Desktop/seabridge%20fintech/image_app/TQQQ_resistance_support.jpg</t>
  </si>
  <si>
    <t>https://3arbzfbsh-cname-us.ngrok.io/Desktop/seabridge%20fintech/profit_graph_app/TQQQ_Return.jpg</t>
  </si>
  <si>
    <t>https://3arbzfbsh-cname-us.ngrok.io/Desktop/seabridge%20fintech/image_app/TRGP_resistance_support.jpg</t>
  </si>
  <si>
    <t>https://3arbzfbsh-cname-us.ngrok.io/Desktop/seabridge%20fintech/profit_graph_app/TRGP_Return.jpg</t>
  </si>
  <si>
    <t>https://3arbzfbsh-cname-us.ngrok.io/Desktop/seabridge%20fintech/image_app/TRIP_resistance_support.jpg</t>
  </si>
  <si>
    <t>https://3arbzfbsh-cname-us.ngrok.io/Desktop/seabridge%20fintech/profit_graph_app/TRIP_Return.jpg</t>
  </si>
  <si>
    <t>https://3arbzfbsh-cname-us.ngrok.io/Desktop/seabridge%20fintech/image_app/TRMB_resistance_support.jpg</t>
  </si>
  <si>
    <t>https://3arbzfbsh-cname-us.ngrok.io/Desktop/seabridge%20fintech/profit_graph_app/TRMB_Return.jpg</t>
  </si>
  <si>
    <t>https://3arbzfbsh-cname-us.ngrok.io/Desktop/seabridge%20fintech/image_app/TROW_resistance_support.jpg</t>
  </si>
  <si>
    <t>https://3arbzfbsh-cname-us.ngrok.io/Desktop/seabridge%20fintech/profit_graph_app/TROW_Return.jpg</t>
  </si>
  <si>
    <t>https://3arbzfbsh-cname-us.ngrok.io/Desktop/seabridge%20fintech/image_app/TRV_resistance_support.jpg</t>
  </si>
  <si>
    <t>https://3arbzfbsh-cname-us.ngrok.io/Desktop/seabridge%20fintech/profit_graph_app/TRV_Return.jpg</t>
  </si>
  <si>
    <t>https://3arbzfbsh-cname-us.ngrok.io/Desktop/seabridge%20fintech/image_app/TSCO_resistance_support.jpg</t>
  </si>
  <si>
    <t>https://3arbzfbsh-cname-us.ngrok.io/Desktop/seabridge%20fintech/profit_graph_app/TSCO_Return.jpg</t>
  </si>
  <si>
    <t>https://3arbzfbsh-cname-us.ngrok.io/Desktop/seabridge%20fintech/image_app/TSLA_resistance_support.jpg</t>
  </si>
  <si>
    <t>https://3arbzfbsh-cname-us.ngrok.io/Desktop/seabridge%20fintech/profit_graph_app/TSLA_Return.jpg</t>
  </si>
  <si>
    <t>https://3arbzfbsh-cname-us.ngrok.io/Desktop/seabridge%20fintech/image_app/TSN_resistance_support.jpg</t>
  </si>
  <si>
    <t>https://3arbzfbsh-cname-us.ngrok.io/Desktop/seabridge%20fintech/profit_graph_app/TSN_Return.jpg</t>
  </si>
  <si>
    <t>https://3arbzfbsh-cname-us.ngrok.io/Desktop/seabridge%20fintech/image_app/TT_resistance_support.jpg</t>
  </si>
  <si>
    <t>https://3arbzfbsh-cname-us.ngrok.io/Desktop/seabridge%20fintech/profit_graph_app/TT_Return.jpg</t>
  </si>
  <si>
    <t>https://3arbzfbsh-cname-us.ngrok.io/Desktop/seabridge%20fintech/image_app/TTD_resistance_support.jpg</t>
  </si>
  <si>
    <t>https://3arbzfbsh-cname-us.ngrok.io/Desktop/seabridge%20fintech/profit_graph_app/TTD_Return.jpg</t>
  </si>
  <si>
    <t>https://3arbzfbsh-cname-us.ngrok.io/Desktop/seabridge%20fintech/image_app/TTWO_resistance_support.jpg</t>
  </si>
  <si>
    <t>https://3arbzfbsh-cname-us.ngrok.io/Desktop/seabridge%20fintech/profit_graph_app/TTWO_Return.jpg</t>
  </si>
  <si>
    <t>https://3arbzfbsh-cname-us.ngrok.io/Desktop/seabridge%20fintech/image_app/TWLO_resistance_support.jpg</t>
  </si>
  <si>
    <t>https://3arbzfbsh-cname-us.ngrok.io/Desktop/seabridge%20fintech/profit_graph_app/TWLO_Return.jpg</t>
  </si>
  <si>
    <t>https://3arbzfbsh-cname-us.ngrok.io/Desktop/seabridge%20fintech/image_app/TWTR_resistance_support.jpg</t>
  </si>
  <si>
    <t>https://3arbzfbsh-cname-us.ngrok.io/Desktop/seabridge%20fintech/profit_graph_app/TWTR_Return.jpg</t>
  </si>
  <si>
    <t>https://3arbzfbsh-cname-us.ngrok.io/Desktop/seabridge%20fintech/image_app/TXN_resistance_support.jpg</t>
  </si>
  <si>
    <t>https://3arbzfbsh-cname-us.ngrok.io/Desktop/seabridge%20fintech/profit_graph_app/TXN_Return.jpg</t>
  </si>
  <si>
    <t>https://3arbzfbsh-cname-us.ngrok.io/Desktop/seabridge%20fintech/image_app/TXT_resistance_support.jpg</t>
  </si>
  <si>
    <t>https://3arbzfbsh-cname-us.ngrok.io/Desktop/seabridge%20fintech/profit_graph_app/TXT_Return.jpg</t>
  </si>
  <si>
    <t>https://3arbzfbsh-cname-us.ngrok.io/Desktop/seabridge%20fintech/image_app/TYL_resistance_support.jpg</t>
  </si>
  <si>
    <t>https://3arbzfbsh-cname-us.ngrok.io/Desktop/seabridge%20fintech/profit_graph_app/TYL_Return.jpg</t>
  </si>
  <si>
    <t>https://3arbzfbsh-cname-us.ngrok.io/Desktop/seabridge%20fintech/image_app/UA_resistance_support.jpg</t>
  </si>
  <si>
    <t>https://3arbzfbsh-cname-us.ngrok.io/Desktop/seabridge%20fintech/profit_graph_app/UA_Return.jpg</t>
  </si>
  <si>
    <t>https://3arbzfbsh-cname-us.ngrok.io/Desktop/seabridge%20fintech/image_app/UAA_resistance_support.jpg</t>
  </si>
  <si>
    <t>https://3arbzfbsh-cname-us.ngrok.io/Desktop/seabridge%20fintech/profit_graph_app/UAA_Return.jpg</t>
  </si>
  <si>
    <t>https://3arbzfbsh-cname-us.ngrok.io/Desktop/seabridge%20fintech/image_app/UAL_resistance_support.jpg</t>
  </si>
  <si>
    <t>https://3arbzfbsh-cname-us.ngrok.io/Desktop/seabridge%20fintech/profit_graph_app/UAL_Return.jpg</t>
  </si>
  <si>
    <t>https://3arbzfbsh-cname-us.ngrok.io/Desktop/seabridge%20fintech/image_app/UBER_resistance_support.jpg</t>
  </si>
  <si>
    <t>https://3arbzfbsh-cname-us.ngrok.io/Desktop/seabridge%20fintech/profit_graph_app/UBER_Return.jpg</t>
  </si>
  <si>
    <t>https://3arbzfbsh-cname-us.ngrok.io/Desktop/seabridge%20fintech/image_app/UDR_resistance_support.jpg</t>
  </si>
  <si>
    <t>https://3arbzfbsh-cname-us.ngrok.io/Desktop/seabridge%20fintech/profit_graph_app/UDR_Return.jpg</t>
  </si>
  <si>
    <t>https://3arbzfbsh-cname-us.ngrok.io/Desktop/seabridge%20fintech/image_app/UHS_resistance_support.jpg</t>
  </si>
  <si>
    <t>https://3arbzfbsh-cname-us.ngrok.io/Desktop/seabridge%20fintech/profit_graph_app/UHS_Return.jpg</t>
  </si>
  <si>
    <t>https://3arbzfbsh-cname-us.ngrok.io/Desktop/seabridge%20fintech/image_app/ULTA_resistance_support.jpg</t>
  </si>
  <si>
    <t>https://3arbzfbsh-cname-us.ngrok.io/Desktop/seabridge%20fintech/profit_graph_app/ULTA_Return.jpg</t>
  </si>
  <si>
    <t>https://3arbzfbsh-cname-us.ngrok.io/Desktop/seabridge%20fintech/image_app/UNH_resistance_support.jpg</t>
  </si>
  <si>
    <t>https://3arbzfbsh-cname-us.ngrok.io/Desktop/seabridge%20fintech/profit_graph_app/UNH_Return.jpg</t>
  </si>
  <si>
    <t>https://3arbzfbsh-cname-us.ngrok.io/Desktop/seabridge%20fintech/image_app/UNM_resistance_support.jpg</t>
  </si>
  <si>
    <t>https://3arbzfbsh-cname-us.ngrok.io/Desktop/seabridge%20fintech/profit_graph_app/UNM_Return.jpg</t>
  </si>
  <si>
    <t>https://3arbzfbsh-cname-us.ngrok.io/Desktop/seabridge%20fintech/image_app/UNP_resistance_support.jpg</t>
  </si>
  <si>
    <t>https://3arbzfbsh-cname-us.ngrok.io/Desktop/seabridge%20fintech/profit_graph_app/UNP_Return.jpg</t>
  </si>
  <si>
    <t>https://3arbzfbsh-cname-us.ngrok.io/Desktop/seabridge%20fintech/image_app/UPS_resistance_support.jpg</t>
  </si>
  <si>
    <t>https://3arbzfbsh-cname-us.ngrok.io/Desktop/seabridge%20fintech/profit_graph_app/UPS_Return.jpg</t>
  </si>
  <si>
    <t>https://3arbzfbsh-cname-us.ngrok.io/Desktop/seabridge%20fintech/image_app/UPST_resistance_support.jpg</t>
  </si>
  <si>
    <t>https://3arbzfbsh-cname-us.ngrok.io/Desktop/seabridge%20fintech/profit_graph_app/UPST_Return.jpg</t>
  </si>
  <si>
    <t>https://3arbzfbsh-cname-us.ngrok.io/Desktop/seabridge%20fintech/image_app/URI_resistance_support.jpg</t>
  </si>
  <si>
    <t>https://3arbzfbsh-cname-us.ngrok.io/Desktop/seabridge%20fintech/profit_graph_app/URI_Return.jpg</t>
  </si>
  <si>
    <t>https://3arbzfbsh-cname-us.ngrok.io/Desktop/seabridge%20fintech/image_app/USB_resistance_support.jpg</t>
  </si>
  <si>
    <t>https://3arbzfbsh-cname-us.ngrok.io/Desktop/seabridge%20fintech/profit_graph_app/USB_Return.jpg</t>
  </si>
  <si>
    <t>https://3arbzfbsh-cname-us.ngrok.io/Desktop/seabridge%20fintech/image_app/USMV_resistance_support.jpg</t>
  </si>
  <si>
    <t>https://3arbzfbsh-cname-us.ngrok.io/Desktop/seabridge%20fintech/profit_graph_app/USMV_Return.jpg</t>
  </si>
  <si>
    <t>https://3arbzfbsh-cname-us.ngrok.io/Desktop/seabridge%20fintech/image_app/USO_resistance_support.jpg</t>
  </si>
  <si>
    <t>https://3arbzfbsh-cname-us.ngrok.io/Desktop/seabridge%20fintech/profit_graph_app/USO_Return.jpg</t>
  </si>
  <si>
    <t>https://3arbzfbsh-cname-us.ngrok.io/Desktop/seabridge%20fintech/image_app/V_resistance_support.jpg</t>
  </si>
  <si>
    <t>https://3arbzfbsh-cname-us.ngrok.io/Desktop/seabridge%20fintech/profit_graph_app/V_Return.jpg</t>
  </si>
  <si>
    <t>https://3arbzfbsh-cname-us.ngrok.io/Desktop/seabridge%20fintech/image_app/VCIT_resistance_support.jpg</t>
  </si>
  <si>
    <t>https://3arbzfbsh-cname-us.ngrok.io/Desktop/seabridge%20fintech/profit_graph_app/VCIT_Return.jpg</t>
  </si>
  <si>
    <t>https://3arbzfbsh-cname-us.ngrok.io/Desktop/seabridge%20fintech/image_app/VCSH_resistance_support.jpg</t>
  </si>
  <si>
    <t>https://3arbzfbsh-cname-us.ngrok.io/Desktop/seabridge%20fintech/profit_graph_app/VCSH_Return.jpg</t>
  </si>
  <si>
    <t>https://3arbzfbsh-cname-us.ngrok.io/Desktop/seabridge%20fintech/image_app/VEA_resistance_support.jpg</t>
  </si>
  <si>
    <t>https://3arbzfbsh-cname-us.ngrok.io/Desktop/seabridge%20fintech/profit_graph_app/VEA_Return.jpg</t>
  </si>
  <si>
    <t>https://3arbzfbsh-cname-us.ngrok.io/Desktop/seabridge%20fintech/image_app/VER_resistance_support.jpg</t>
  </si>
  <si>
    <t>https://3arbzfbsh-cname-us.ngrok.io/Desktop/seabridge%20fintech/profit_graph_app/VER_Return.jpg</t>
  </si>
  <si>
    <t>https://3arbzfbsh-cname-us.ngrok.io/Desktop/seabridge%20fintech/image_app/VEU_resistance_support.jpg</t>
  </si>
  <si>
    <t>https://3arbzfbsh-cname-us.ngrok.io/Desktop/seabridge%20fintech/profit_graph_app/VEU_Return.jpg</t>
  </si>
  <si>
    <t>https://3arbzfbsh-cname-us.ngrok.io/Desktop/seabridge%20fintech/image_app/VFC_resistance_support.jpg</t>
  </si>
  <si>
    <t>https://3arbzfbsh-cname-us.ngrok.io/Desktop/seabridge%20fintech/profit_graph_app/VFC_Return.jpg</t>
  </si>
  <si>
    <t>https://3arbzfbsh-cname-us.ngrok.io/Desktop/seabridge%20fintech/image_app/VGK_resistance_support.jpg</t>
  </si>
  <si>
    <t>https://3arbzfbsh-cname-us.ngrok.io/Desktop/seabridge%20fintech/profit_graph_app/VGK_Return.jpg</t>
  </si>
  <si>
    <t>https://3arbzfbsh-cname-us.ngrok.io/Desktop/seabridge%20fintech/image_app/VIAC_resistance_support.jpg</t>
  </si>
  <si>
    <t>https://3arbzfbsh-cname-us.ngrok.io/Desktop/seabridge%20fintech/profit_graph_app/VIAC_Return.jpg</t>
  </si>
  <si>
    <t>https://3arbzfbsh-cname-us.ngrok.io/Desktop/seabridge%20fintech/image_app/VICI_resistance_support.jpg</t>
  </si>
  <si>
    <t>https://3arbzfbsh-cname-us.ngrok.io/Desktop/seabridge%20fintech/profit_graph_app/VICI_Return.jpg</t>
  </si>
  <si>
    <t>https://3arbzfbsh-cname-us.ngrok.io/Desktop/seabridge%20fintech/image_app/VLO_resistance_support.jpg</t>
  </si>
  <si>
    <t>https://3arbzfbsh-cname-us.ngrok.io/Desktop/seabridge%20fintech/profit_graph_app/VLO_Return.jpg</t>
  </si>
  <si>
    <t>https://3arbzfbsh-cname-us.ngrok.io/Desktop/seabridge%20fintech/image_app/VMC_resistance_support.jpg</t>
  </si>
  <si>
    <t>https://3arbzfbsh-cname-us.ngrok.io/Desktop/seabridge%20fintech/profit_graph_app/VMC_Return.jpg</t>
  </si>
  <si>
    <t>https://3arbzfbsh-cname-us.ngrok.io/Desktop/seabridge%20fintech/image_app/VNO_resistance_support.jpg</t>
  </si>
  <si>
    <t>https://3arbzfbsh-cname-us.ngrok.io/Desktop/seabridge%20fintech/profit_graph_app/VNO_Return.jpg</t>
  </si>
  <si>
    <t>https://3arbzfbsh-cname-us.ngrok.io/Desktop/seabridge%20fintech/image_app/VNQ_resistance_support.jpg</t>
  </si>
  <si>
    <t>https://3arbzfbsh-cname-us.ngrok.io/Desktop/seabridge%20fintech/profit_graph_app/VNQ_Return.jpg</t>
  </si>
  <si>
    <t>https://3arbzfbsh-cname-us.ngrok.io/Desktop/seabridge%20fintech/image_app/VOO_resistance_support.jpg</t>
  </si>
  <si>
    <t>https://3arbzfbsh-cname-us.ngrok.io/Desktop/seabridge%20fintech/profit_graph_app/VOO_Return.jpg</t>
  </si>
  <si>
    <t>https://3arbzfbsh-cname-us.ngrok.io/Desktop/seabridge%20fintech/image_app/VRM_resistance_support.jpg</t>
  </si>
  <si>
    <t>https://3arbzfbsh-cname-us.ngrok.io/Desktop/seabridge%20fintech/profit_graph_app/VRM_Return.jpg</t>
  </si>
  <si>
    <t>https://3arbzfbsh-cname-us.ngrok.io/Desktop/seabridge%20fintech/image_app/VRSK_resistance_support.jpg</t>
  </si>
  <si>
    <t>https://3arbzfbsh-cname-us.ngrok.io/Desktop/seabridge%20fintech/profit_graph_app/VRSK_Return.jpg</t>
  </si>
  <si>
    <t>https://3arbzfbsh-cname-us.ngrok.io/Desktop/seabridge%20fintech/image_app/VRSN_resistance_support.jpg</t>
  </si>
  <si>
    <t>https://3arbzfbsh-cname-us.ngrok.io/Desktop/seabridge%20fintech/profit_graph_app/VRSN_Return.jpg</t>
  </si>
  <si>
    <t>https://3arbzfbsh-cname-us.ngrok.io/Desktop/seabridge%20fintech/image_app/VRT_resistance_support.jpg</t>
  </si>
  <si>
    <t>https://3arbzfbsh-cname-us.ngrok.io/Desktop/seabridge%20fintech/profit_graph_app/VRT_Return.jpg</t>
  </si>
  <si>
    <t>https://3arbzfbsh-cname-us.ngrok.io/Desktop/seabridge%20fintech/image_app/VRTX_resistance_support.jpg</t>
  </si>
  <si>
    <t>https://3arbzfbsh-cname-us.ngrok.io/Desktop/seabridge%20fintech/profit_graph_app/VRTX_Return.jpg</t>
  </si>
  <si>
    <t>https://3arbzfbsh-cname-us.ngrok.io/Desktop/seabridge%20fintech/image_app/VT_resistance_support.jpg</t>
  </si>
  <si>
    <t>https://3arbzfbsh-cname-us.ngrok.io/Desktop/seabridge%20fintech/profit_graph_app/VT_Return.jpg</t>
  </si>
  <si>
    <t>https://3arbzfbsh-cname-us.ngrok.io/Desktop/seabridge%20fintech/image_app/VTI_resistance_support.jpg</t>
  </si>
  <si>
    <t>https://3arbzfbsh-cname-us.ngrok.io/Desktop/seabridge%20fintech/profit_graph_app/VTI_Return.jpg</t>
  </si>
  <si>
    <t>https://3arbzfbsh-cname-us.ngrok.io/Desktop/seabridge%20fintech/image_app/VTIP_resistance_support.jpg</t>
  </si>
  <si>
    <t>https://3arbzfbsh-cname-us.ngrok.io/Desktop/seabridge%20fintech/profit_graph_app/VTIP_Return.jpg</t>
  </si>
  <si>
    <t>https://3arbzfbsh-cname-us.ngrok.io/Desktop/seabridge%20fintech/image_app/VTR_resistance_support.jpg</t>
  </si>
  <si>
    <t>https://3arbzfbsh-cname-us.ngrok.io/Desktop/seabridge%20fintech/profit_graph_app/VTR_Return.jpg</t>
  </si>
  <si>
    <t>https://3arbzfbsh-cname-us.ngrok.io/Desktop/seabridge%20fintech/image_app/VTRS_resistance_support.jpg</t>
  </si>
  <si>
    <t>https://3arbzfbsh-cname-us.ngrok.io/Desktop/seabridge%20fintech/profit_graph_app/VTRS_Return.jpg</t>
  </si>
  <si>
    <t>https://3arbzfbsh-cname-us.ngrok.io/Desktop/seabridge%20fintech/image_app/VTV_resistance_support.jpg</t>
  </si>
  <si>
    <t>https://3arbzfbsh-cname-us.ngrok.io/Desktop/seabridge%20fintech/profit_graph_app/VTV_Return.jpg</t>
  </si>
  <si>
    <t>https://3arbzfbsh-cname-us.ngrok.io/Desktop/seabridge%20fintech/image_app/VWO_resistance_support.jpg</t>
  </si>
  <si>
    <t>https://3arbzfbsh-cname-us.ngrok.io/Desktop/seabridge%20fintech/profit_graph_app/VWO_Return.jpg</t>
  </si>
  <si>
    <t>https://3arbzfbsh-cname-us.ngrok.io/Desktop/seabridge%20fintech/image_app/VXUS_resistance_support.jpg</t>
  </si>
  <si>
    <t>https://3arbzfbsh-cname-us.ngrok.io/Desktop/seabridge%20fintech/profit_graph_app/VXUS_Return.jpg</t>
  </si>
  <si>
    <t>https://3arbzfbsh-cname-us.ngrok.io/Desktop/seabridge%20fintech/image_app/VZ_resistance_support.jpg</t>
  </si>
  <si>
    <t>https://3arbzfbsh-cname-us.ngrok.io/Desktop/seabridge%20fintech/profit_graph_app/VZ_Return.jpg</t>
  </si>
  <si>
    <t>https://3arbzfbsh-cname-us.ngrok.io/Desktop/seabridge%20fintech/image_app/WAB_resistance_support.jpg</t>
  </si>
  <si>
    <t>https://3arbzfbsh-cname-us.ngrok.io/Desktop/seabridge%20fintech/profit_graph_app/WAB_Return.jpg</t>
  </si>
  <si>
    <t>https://3arbzfbsh-cname-us.ngrok.io/Desktop/seabridge%20fintech/image_app/WAT_resistance_support.jpg</t>
  </si>
  <si>
    <t>https://3arbzfbsh-cname-us.ngrok.io/Desktop/seabridge%20fintech/profit_graph_app/WAT_Return.jpg</t>
  </si>
  <si>
    <t>https://3arbzfbsh-cname-us.ngrok.io/Desktop/seabridge%20fintech/image_app/WBA_resistance_support.jpg</t>
  </si>
  <si>
    <t>https://3arbzfbsh-cname-us.ngrok.io/Desktop/seabridge%20fintech/profit_graph_app/WBA_Return.jpg</t>
  </si>
  <si>
    <t>https://3arbzfbsh-cname-us.ngrok.io/Desktop/seabridge%20fintech/image_app/WDAY_resistance_support.jpg</t>
  </si>
  <si>
    <t>https://3arbzfbsh-cname-us.ngrok.io/Desktop/seabridge%20fintech/profit_graph_app/WDAY_Return.jpg</t>
  </si>
  <si>
    <t>https://3arbzfbsh-cname-us.ngrok.io/Desktop/seabridge%20fintech/image_app/WDC_resistance_support.jpg</t>
  </si>
  <si>
    <t>https://3arbzfbsh-cname-us.ngrok.io/Desktop/seabridge%20fintech/profit_graph_app/WDC_Return.jpg</t>
  </si>
  <si>
    <t>https://3arbzfbsh-cname-us.ngrok.io/Desktop/seabridge%20fintech/image_app/WEC_resistance_support.jpg</t>
  </si>
  <si>
    <t>https://3arbzfbsh-cname-us.ngrok.io/Desktop/seabridge%20fintech/profit_graph_app/WEC_Return.jpg</t>
  </si>
  <si>
    <t>https://3arbzfbsh-cname-us.ngrok.io/Desktop/seabridge%20fintech/image_app/WELL_resistance_support.jpg</t>
  </si>
  <si>
    <t>https://3arbzfbsh-cname-us.ngrok.io/Desktop/seabridge%20fintech/profit_graph_app/WELL_Return.jpg</t>
  </si>
  <si>
    <t>https://3arbzfbsh-cname-us.ngrok.io/Desktop/seabridge%20fintech/image_app/WFC_resistance_support.jpg</t>
  </si>
  <si>
    <t>https://3arbzfbsh-cname-us.ngrok.io/Desktop/seabridge%20fintech/profit_graph_app/WFC_Return.jpg</t>
  </si>
  <si>
    <t>https://3arbzfbsh-cname-us.ngrok.io/Desktop/seabridge%20fintech/image_app/WHR_resistance_support.jpg</t>
  </si>
  <si>
    <t>https://3arbzfbsh-cname-us.ngrok.io/Desktop/seabridge%20fintech/profit_graph_app/WHR_Return.jpg</t>
  </si>
  <si>
    <t>https://3arbzfbsh-cname-us.ngrok.io/Desktop/seabridge%20fintech/image_app/WLTW_resistance_support.jpg</t>
  </si>
  <si>
    <t>https://3arbzfbsh-cname-us.ngrok.io/Desktop/seabridge%20fintech/profit_graph_app/WLTW_Return.jpg</t>
  </si>
  <si>
    <t>https://3arbzfbsh-cname-us.ngrok.io/Desktop/seabridge%20fintech/image_app/WM_resistance_support.jpg</t>
  </si>
  <si>
    <t>https://3arbzfbsh-cname-us.ngrok.io/Desktop/seabridge%20fintech/profit_graph_app/WM_Return.jpg</t>
  </si>
  <si>
    <t>https://3arbzfbsh-cname-us.ngrok.io/Desktop/seabridge%20fintech/image_app/WMB_resistance_support.jpg</t>
  </si>
  <si>
    <t>https://3arbzfbsh-cname-us.ngrok.io/Desktop/seabridge%20fintech/profit_graph_app/WMB_Return.jpg</t>
  </si>
  <si>
    <t>https://3arbzfbsh-cname-us.ngrok.io/Desktop/seabridge%20fintech/image_app/WMT_resistance_support.jpg</t>
  </si>
  <si>
    <t>https://3arbzfbsh-cname-us.ngrok.io/Desktop/seabridge%20fintech/profit_graph_app/WMT_Return.jpg</t>
  </si>
  <si>
    <t>https://3arbzfbsh-cname-us.ngrok.io/Desktop/seabridge%20fintech/image_app/WORK_resistance_support.jpg</t>
  </si>
  <si>
    <t>https://3arbzfbsh-cname-us.ngrok.io/Desktop/seabridge%20fintech/profit_graph_app/WORK_Return.jpg</t>
  </si>
  <si>
    <t>https://3arbzfbsh-cname-us.ngrok.io/Desktop/seabridge%20fintech/image_app/WRB_resistance_support.jpg</t>
  </si>
  <si>
    <t>https://3arbzfbsh-cname-us.ngrok.io/Desktop/seabridge%20fintech/profit_graph_app/WRB_Return.jpg</t>
  </si>
  <si>
    <t>https://3arbzfbsh-cname-us.ngrok.io/Desktop/seabridge%20fintech/image_app/WRK_resistance_support.jpg</t>
  </si>
  <si>
    <t>https://3arbzfbsh-cname-us.ngrok.io/Desktop/seabridge%20fintech/profit_graph_app/WRK_Return.jpg</t>
  </si>
  <si>
    <t>https://3arbzfbsh-cname-us.ngrok.io/Desktop/seabridge%20fintech/image_app/WSC_resistance_support.jpg</t>
  </si>
  <si>
    <t>https://3arbzfbsh-cname-us.ngrok.io/Desktop/seabridge%20fintech/profit_graph_app/WSC_Return.jpg</t>
  </si>
  <si>
    <t>https://3arbzfbsh-cname-us.ngrok.io/Desktop/seabridge%20fintech/image_app/WST_resistance_support.jpg</t>
  </si>
  <si>
    <t>https://3arbzfbsh-cname-us.ngrok.io/Desktop/seabridge%20fintech/profit_graph_app/WST_Return.jpg</t>
  </si>
  <si>
    <t>https://3arbzfbsh-cname-us.ngrok.io/Desktop/seabridge%20fintech/image_app/WU_resistance_support.jpg</t>
  </si>
  <si>
    <t>https://3arbzfbsh-cname-us.ngrok.io/Desktop/seabridge%20fintech/profit_graph_app/WU_Return.jpg</t>
  </si>
  <si>
    <t>https://3arbzfbsh-cname-us.ngrok.io/Desktop/seabridge%20fintech/image_app/WY_resistance_support.jpg</t>
  </si>
  <si>
    <t>https://3arbzfbsh-cname-us.ngrok.io/Desktop/seabridge%20fintech/profit_graph_app/WY_Return.jpg</t>
  </si>
  <si>
    <t>https://3arbzfbsh-cname-us.ngrok.io/Desktop/seabridge%20fintech/image_app/WYNN_resistance_support.jpg</t>
  </si>
  <si>
    <t>https://3arbzfbsh-cname-us.ngrok.io/Desktop/seabridge%20fintech/profit_graph_app/WYNN_Return.jpg</t>
  </si>
  <si>
    <t>https://3arbzfbsh-cname-us.ngrok.io/Desktop/seabridge%20fintech/image_app/XBI_resistance_support.jpg</t>
  </si>
  <si>
    <t>https://3arbzfbsh-cname-us.ngrok.io/Desktop/seabridge%20fintech/profit_graph_app/XBI_Return.jpg</t>
  </si>
  <si>
    <t>https://3arbzfbsh-cname-us.ngrok.io/Desktop/seabridge%20fintech/image_app/XEL_resistance_support.jpg</t>
  </si>
  <si>
    <t>https://3arbzfbsh-cname-us.ngrok.io/Desktop/seabridge%20fintech/profit_graph_app/XEL_Return.jpg</t>
  </si>
  <si>
    <t>https://3arbzfbsh-cname-us.ngrok.io/Desktop/seabridge%20fintech/image_app/XLB_resistance_support.jpg</t>
  </si>
  <si>
    <t>https://3arbzfbsh-cname-us.ngrok.io/Desktop/seabridge%20fintech/profit_graph_app/XLB_Return.jpg</t>
  </si>
  <si>
    <t>https://3arbzfbsh-cname-us.ngrok.io/Desktop/seabridge%20fintech/image_app/XLC_resistance_support.jpg</t>
  </si>
  <si>
    <t>https://3arbzfbsh-cname-us.ngrok.io/Desktop/seabridge%20fintech/profit_graph_app/XLC_Return.jpg</t>
  </si>
  <si>
    <t>https://3arbzfbsh-cname-us.ngrok.io/Desktop/seabridge%20fintech/image_app/XLE_resistance_support.jpg</t>
  </si>
  <si>
    <t>https://3arbzfbsh-cname-us.ngrok.io/Desktop/seabridge%20fintech/profit_graph_app/XLE_Return.jpg</t>
  </si>
  <si>
    <t>https://3arbzfbsh-cname-us.ngrok.io/Desktop/seabridge%20fintech/image_app/XLF_resistance_support.jpg</t>
  </si>
  <si>
    <t>https://3arbzfbsh-cname-us.ngrok.io/Desktop/seabridge%20fintech/profit_graph_app/XLF_Return.jpg</t>
  </si>
  <si>
    <t>https://3arbzfbsh-cname-us.ngrok.io/Desktop/seabridge%20fintech/image_app/XLI_resistance_support.jpg</t>
  </si>
  <si>
    <t>https://3arbzfbsh-cname-us.ngrok.io/Desktop/seabridge%20fintech/profit_graph_app/XLI_Return.jpg</t>
  </si>
  <si>
    <t>https://3arbzfbsh-cname-us.ngrok.io/Desktop/seabridge%20fintech/image_app/XLK_resistance_support.jpg</t>
  </si>
  <si>
    <t>https://3arbzfbsh-cname-us.ngrok.io/Desktop/seabridge%20fintech/profit_graph_app/XLK_Return.jpg</t>
  </si>
  <si>
    <t>https://3arbzfbsh-cname-us.ngrok.io/Desktop/seabridge%20fintech/image_app/XLNX_resistance_support.jpg</t>
  </si>
  <si>
    <t>https://3arbzfbsh-cname-us.ngrok.io/Desktop/seabridge%20fintech/profit_graph_app/XLNX_Return.jpg</t>
  </si>
  <si>
    <t>https://3arbzfbsh-cname-us.ngrok.io/Desktop/seabridge%20fintech/image_app/XLP_resistance_support.jpg</t>
  </si>
  <si>
    <t>https://3arbzfbsh-cname-us.ngrok.io/Desktop/seabridge%20fintech/profit_graph_app/XLP_Return.jpg</t>
  </si>
  <si>
    <t>https://3arbzfbsh-cname-us.ngrok.io/Desktop/seabridge%20fintech/image_app/XLRE_resistance_support.jpg</t>
  </si>
  <si>
    <t>https://3arbzfbsh-cname-us.ngrok.io/Desktop/seabridge%20fintech/profit_graph_app/XLRE_Return.jpg</t>
  </si>
  <si>
    <t>https://3arbzfbsh-cname-us.ngrok.io/Desktop/seabridge%20fintech/image_app/XLU_resistance_support.jpg</t>
  </si>
  <si>
    <t>https://3arbzfbsh-cname-us.ngrok.io/Desktop/seabridge%20fintech/profit_graph_app/XLU_Return.jpg</t>
  </si>
  <si>
    <t>https://3arbzfbsh-cname-us.ngrok.io/Desktop/seabridge%20fintech/image_app/XLV_resistance_support.jpg</t>
  </si>
  <si>
    <t>https://3arbzfbsh-cname-us.ngrok.io/Desktop/seabridge%20fintech/profit_graph_app/XLV_Return.jpg</t>
  </si>
  <si>
    <t>https://3arbzfbsh-cname-us.ngrok.io/Desktop/seabridge%20fintech/image_app/XLY_resistance_support.jpg</t>
  </si>
  <si>
    <t>https://3arbzfbsh-cname-us.ngrok.io/Desktop/seabridge%20fintech/profit_graph_app/XLY_Return.jpg</t>
  </si>
  <si>
    <t>https://3arbzfbsh-cname-us.ngrok.io/Desktop/seabridge%20fintech/image_app/XOM_resistance_support.jpg</t>
  </si>
  <si>
    <t>https://3arbzfbsh-cname-us.ngrok.io/Desktop/seabridge%20fintech/profit_graph_app/XOM_Return.jpg</t>
  </si>
  <si>
    <t>https://3arbzfbsh-cname-us.ngrok.io/Desktop/seabridge%20fintech/image_app/XOP_resistance_support.jpg</t>
  </si>
  <si>
    <t>https://3arbzfbsh-cname-us.ngrok.io/Desktop/seabridge%20fintech/profit_graph_app/XOP_Return.jpg</t>
  </si>
  <si>
    <t>https://3arbzfbsh-cname-us.ngrok.io/Desktop/seabridge%20fintech/image_app/XRAY_resistance_support.jpg</t>
  </si>
  <si>
    <t>https://3arbzfbsh-cname-us.ngrok.io/Desktop/seabridge%20fintech/profit_graph_app/XRAY_Return.jpg</t>
  </si>
  <si>
    <t>https://3arbzfbsh-cname-us.ngrok.io/Desktop/seabridge%20fintech/image_app/XYL_resistance_support.jpg</t>
  </si>
  <si>
    <t>https://3arbzfbsh-cname-us.ngrok.io/Desktop/seabridge%20fintech/profit_graph_app/XYL_Return.jpg</t>
  </si>
  <si>
    <t>https://3arbzfbsh-cname-us.ngrok.io/Desktop/seabridge%20fintech/image_app/YUM_resistance_support.jpg</t>
  </si>
  <si>
    <t>https://3arbzfbsh-cname-us.ngrok.io/Desktop/seabridge%20fintech/profit_graph_app/YUM_Return.jpg</t>
  </si>
  <si>
    <t>https://3arbzfbsh-cname-us.ngrok.io/Desktop/seabridge%20fintech/image_app/Z_resistance_support.jpg</t>
  </si>
  <si>
    <t>https://3arbzfbsh-cname-us.ngrok.io/Desktop/seabridge%20fintech/profit_graph_app/Z_Return.jpg</t>
  </si>
  <si>
    <t>https://3arbzfbsh-cname-us.ngrok.io/Desktop/seabridge%20fintech/image_app/ZBH_resistance_support.jpg</t>
  </si>
  <si>
    <t>https://3arbzfbsh-cname-us.ngrok.io/Desktop/seabridge%20fintech/profit_graph_app/ZBH_Return.jpg</t>
  </si>
  <si>
    <t>https://3arbzfbsh-cname-us.ngrok.io/Desktop/seabridge%20fintech/image_app/ZBRA_resistance_support.jpg</t>
  </si>
  <si>
    <t>https://3arbzfbsh-cname-us.ngrok.io/Desktop/seabridge%20fintech/profit_graph_app/ZBRA_Return.jpg</t>
  </si>
  <si>
    <t>https://3arbzfbsh-cname-us.ngrok.io/Desktop/seabridge%20fintech/image_app/ZION_resistance_support.jpg</t>
  </si>
  <si>
    <t>https://3arbzfbsh-cname-us.ngrok.io/Desktop/seabridge%20fintech/profit_graph_app/ZION_Return.jpg</t>
  </si>
  <si>
    <t>https://3arbzfbsh-cname-us.ngrok.io/Desktop/seabridge%20fintech/image_app/ZM_resistance_support.jpg</t>
  </si>
  <si>
    <t>https://3arbzfbsh-cname-us.ngrok.io/Desktop/seabridge%20fintech/profit_graph_app/ZM_Return.jpg</t>
  </si>
  <si>
    <t>https://3arbzfbsh-cname-us.ngrok.io/Desktop/seabridge%20fintech/image_app/ZTS_resistance_support.jpg</t>
  </si>
  <si>
    <t>https://3arbzfbsh-cname-us.ngrok.io/Desktop/seabridge%20fintech/profit_graph_app/ZTS_Return.jpg</t>
  </si>
  <si>
    <t>current_share_price</t>
  </si>
  <si>
    <t>today_high</t>
  </si>
  <si>
    <t>today_low</t>
  </si>
  <si>
    <t>today_price_chang</t>
  </si>
  <si>
    <t>today_changes%</t>
  </si>
  <si>
    <t>open</t>
  </si>
  <si>
    <t>prev_close</t>
  </si>
  <si>
    <t>52wk_low</t>
  </si>
  <si>
    <t>52wk_high</t>
  </si>
  <si>
    <t>center_gravity</t>
  </si>
  <si>
    <t>vol_up1</t>
  </si>
  <si>
    <t>vol_up2</t>
  </si>
  <si>
    <t>vol_up3</t>
  </si>
  <si>
    <t>vol_down1</t>
  </si>
  <si>
    <t>vol_down2</t>
  </si>
  <si>
    <t>vol_down3</t>
  </si>
  <si>
    <t>recent_support</t>
  </si>
  <si>
    <t>recent_resistance</t>
  </si>
  <si>
    <t>recent_stoploss</t>
  </si>
  <si>
    <t>recent_trailingstoploss</t>
  </si>
  <si>
    <t>atr</t>
  </si>
  <si>
    <t>last_peak</t>
  </si>
  <si>
    <t>last_peakday</t>
  </si>
  <si>
    <t>blueline_buy_price</t>
  </si>
  <si>
    <t xml:space="preserve">blueline_sell_price </t>
  </si>
  <si>
    <t xml:space="preserve">blueline_previous_buy_price </t>
  </si>
  <si>
    <t>blueline_previous_sell_price</t>
  </si>
  <si>
    <t>blueline_tradedate</t>
  </si>
  <si>
    <t>strategy3_oscillator_blue_signal</t>
  </si>
  <si>
    <t>blueline_current_price</t>
  </si>
  <si>
    <t>blueline_date</t>
  </si>
  <si>
    <t>blueline_strategy_name</t>
  </si>
  <si>
    <t>blueline_pa_buy_sell_image</t>
  </si>
  <si>
    <t>blueline_buy_range_plus</t>
  </si>
  <si>
    <t>blueline_buy_range_minors</t>
  </si>
  <si>
    <t>blueline_buy_zone</t>
  </si>
  <si>
    <t>blueline_super_oscillator</t>
  </si>
  <si>
    <t>https://3arbzfbsh-cname-us.ngrok.io/Desktop/seabridge%20fintech/blueline_pa_icon/A_pa_blueline_signal.jpg</t>
  </si>
  <si>
    <t>https://3arbzfbsh-cname-us.ngrok.io/Desktop/seabridge%20fintech/blueline_pa_icon/AA_pa_blueline_signal.jpg</t>
  </si>
  <si>
    <t>https://3arbzfbsh-cname-us.ngrok.io/Desktop/seabridge%20fintech/blueline_pa_icon/AAL_pa_blueline_signal.jpg</t>
  </si>
  <si>
    <t>https://3arbzfbsh-cname-us.ngrok.io/Desktop/seabridge%20fintech/blueline_pa_icon/AAP_pa_blueline_signal.jpg</t>
  </si>
  <si>
    <t>https://3arbzfbsh-cname-us.ngrok.io/Desktop/seabridge%20fintech/blueline_pa_icon/AAPL_pa_blueline_signal.jpg</t>
  </si>
  <si>
    <t>https://3arbzfbsh-cname-us.ngrok.io/Desktop/seabridge%20fintech/blueline_pa_icon/ABBV_pa_blueline_signal.jpg</t>
  </si>
  <si>
    <t>https://3arbzfbsh-cname-us.ngrok.io/Desktop/seabridge%20fintech/blueline_pa_icon/ABC_pa_blueline_signal.jpg</t>
  </si>
  <si>
    <t>https://3arbzfbsh-cname-us.ngrok.io/Desktop/seabridge%20fintech/blueline_pa_icon/ABMD_pa_blueline_signal.jpg</t>
  </si>
  <si>
    <t>https://3arbzfbsh-cname-us.ngrok.io/Desktop/seabridge%20fintech/blueline_pa_icon/ABT_pa_blueline_signal.jpg</t>
  </si>
  <si>
    <t>https://3arbzfbsh-cname-us.ngrok.io/Desktop/seabridge%20fintech/blueline_pa_icon/ACN_pa_blueline_signal.jpg</t>
  </si>
  <si>
    <t>https://3arbzfbsh-cname-us.ngrok.io/Desktop/seabridge%20fintech/blueline_pa_icon/ADBE_pa_blueline_signal.jpg</t>
  </si>
  <si>
    <t>https://3arbzfbsh-cname-us.ngrok.io/Desktop/seabridge%20fintech/blueline_pa_icon/ADI_pa_blueline_signal.jpg</t>
  </si>
  <si>
    <t>https://3arbzfbsh-cname-us.ngrok.io/Desktop/seabridge%20fintech/blueline_pa_icon/ADM_pa_blueline_signal.jpg</t>
  </si>
  <si>
    <t>https://3arbzfbsh-cname-us.ngrok.io/Desktop/seabridge%20fintech/blueline_pa_icon/ADP_pa_blueline_signal.jpg</t>
  </si>
  <si>
    <t>https://3arbzfbsh-cname-us.ngrok.io/Desktop/seabridge%20fintech/blueline_pa_icon/ADSK_pa_blueline_signal.jpg</t>
  </si>
  <si>
    <t>https://3arbzfbsh-cname-us.ngrok.io/Desktop/seabridge%20fintech/blueline_pa_icon/AEE_pa_blueline_signal.jpg</t>
  </si>
  <si>
    <t>https://3arbzfbsh-cname-us.ngrok.io/Desktop/seabridge%20fintech/blueline_pa_icon/AEO_pa_blueline_signal.jpg</t>
  </si>
  <si>
    <t>https://3arbzfbsh-cname-us.ngrok.io/Desktop/seabridge%20fintech/blueline_pa_icon/AEP_pa_blueline_signal.jpg</t>
  </si>
  <si>
    <t>https://3arbzfbsh-cname-us.ngrok.io/Desktop/seabridge%20fintech/blueline_pa_icon/AES_pa_blueline_signal.jpg</t>
  </si>
  <si>
    <t>https://3arbzfbsh-cname-us.ngrok.io/Desktop/seabridge%20fintech/blueline_pa_icon/AFL_pa_blueline_signal.jpg</t>
  </si>
  <si>
    <t>https://3arbzfbsh-cname-us.ngrok.io/Desktop/seabridge%20fintech/blueline_pa_icon/AGG_pa_blueline_signal.jpg</t>
  </si>
  <si>
    <t>https://3arbzfbsh-cname-us.ngrok.io/Desktop/seabridge%20fintech/blueline_pa_icon/AI_pa_blueline_signal.jpg</t>
  </si>
  <si>
    <t>https://3arbzfbsh-cname-us.ngrok.io/Desktop/seabridge%20fintech/blueline_pa_icon/AIG_pa_blueline_signal.jpg</t>
  </si>
  <si>
    <t>https://3arbzfbsh-cname-us.ngrok.io/Desktop/seabridge%20fintech/blueline_pa_icon/AIZ_pa_blueline_signal.jpg</t>
  </si>
  <si>
    <t>https://3arbzfbsh-cname-us.ngrok.io/Desktop/seabridge%20fintech/blueline_pa_icon/AJG_pa_blueline_signal.jpg</t>
  </si>
  <si>
    <t>https://3arbzfbsh-cname-us.ngrok.io/Desktop/seabridge%20fintech/blueline_pa_icon/AKAM_pa_blueline_signal.jpg</t>
  </si>
  <si>
    <t>https://3arbzfbsh-cname-us.ngrok.io/Desktop/seabridge%20fintech/blueline_pa_icon/ALB_pa_blueline_signal.jpg</t>
  </si>
  <si>
    <t>https://3arbzfbsh-cname-us.ngrok.io/Desktop/seabridge%20fintech/blueline_pa_icon/ALGN_pa_blueline_signal.jpg</t>
  </si>
  <si>
    <t>https://3arbzfbsh-cname-us.ngrok.io/Desktop/seabridge%20fintech/blueline_pa_icon/ALK_pa_blueline_signal.jpg</t>
  </si>
  <si>
    <t>https://3arbzfbsh-cname-us.ngrok.io/Desktop/seabridge%20fintech/blueline_pa_icon/ALL_pa_blueline_signal.jpg</t>
  </si>
  <si>
    <t>https://3arbzfbsh-cname-us.ngrok.io/Desktop/seabridge%20fintech/blueline_pa_icon/ALLE_pa_blueline_signal.jpg</t>
  </si>
  <si>
    <t>https://3arbzfbsh-cname-us.ngrok.io/Desktop/seabridge%20fintech/blueline_pa_icon/ALLY_pa_blueline_signal.jpg</t>
  </si>
  <si>
    <t>https://3arbzfbsh-cname-us.ngrok.io/Desktop/seabridge%20fintech/blueline_pa_icon/ALXN_pa_blueline_signal.jpg</t>
  </si>
  <si>
    <t>https://3arbzfbsh-cname-us.ngrok.io/Desktop/seabridge%20fintech/blueline_pa_icon/AMAT_pa_blueline_signal.jpg</t>
  </si>
  <si>
    <t>https://3arbzfbsh-cname-us.ngrok.io/Desktop/seabridge%20fintech/blueline_pa_icon/AMC_pa_blueline_signal.jpg</t>
  </si>
  <si>
    <t>https://3arbzfbsh-cname-us.ngrok.io/Desktop/seabridge%20fintech/blueline_pa_icon/AMCR_pa_blueline_signal.jpg</t>
  </si>
  <si>
    <t>https://3arbzfbsh-cname-us.ngrok.io/Desktop/seabridge%20fintech/blueline_pa_icon/AMD_pa_blueline_signal.jpg</t>
  </si>
  <si>
    <t>https://3arbzfbsh-cname-us.ngrok.io/Desktop/seabridge%20fintech/blueline_pa_icon/AME_pa_blueline_signal.jpg</t>
  </si>
  <si>
    <t>https://3arbzfbsh-cname-us.ngrok.io/Desktop/seabridge%20fintech/blueline_pa_icon/AMGN_pa_blueline_signal.jpg</t>
  </si>
  <si>
    <t>https://3arbzfbsh-cname-us.ngrok.io/Desktop/seabridge%20fintech/blueline_pa_icon/AMLP_pa_blueline_signal.jpg</t>
  </si>
  <si>
    <t>https://3arbzfbsh-cname-us.ngrok.io/Desktop/seabridge%20fintech/blueline_pa_icon/AMP_pa_blueline_signal.jpg</t>
  </si>
  <si>
    <t>https://3arbzfbsh-cname-us.ngrok.io/Desktop/seabridge%20fintech/blueline_pa_icon/AMT_pa_blueline_signal.jpg</t>
  </si>
  <si>
    <t>https://3arbzfbsh-cname-us.ngrok.io/Desktop/seabridge%20fintech/blueline_pa_icon/AMZN_pa_blueline_signal.jpg</t>
  </si>
  <si>
    <t>https://3arbzfbsh-cname-us.ngrok.io/Desktop/seabridge%20fintech/blueline_pa_icon/ANET_pa_blueline_signal.jpg</t>
  </si>
  <si>
    <t>https://3arbzfbsh-cname-us.ngrok.io/Desktop/seabridge%20fintech/blueline_pa_icon/ANSS_pa_blueline_signal.jpg</t>
  </si>
  <si>
    <t>https://3arbzfbsh-cname-us.ngrok.io/Desktop/seabridge%20fintech/blueline_pa_icon/ANTM_pa_blueline_signal.jpg</t>
  </si>
  <si>
    <t>https://3arbzfbsh-cname-us.ngrok.io/Desktop/seabridge%20fintech/blueline_pa_icon/AON_pa_blueline_signal.jpg</t>
  </si>
  <si>
    <t>https://3arbzfbsh-cname-us.ngrok.io/Desktop/seabridge%20fintech/blueline_pa_icon/AOS_pa_blueline_signal.jpg</t>
  </si>
  <si>
    <t>https://3arbzfbsh-cname-us.ngrok.io/Desktop/seabridge%20fintech/blueline_pa_icon/APA_pa_blueline_signal.jpg</t>
  </si>
  <si>
    <t>https://3arbzfbsh-cname-us.ngrok.io/Desktop/seabridge%20fintech/blueline_pa_icon/APD_pa_blueline_signal.jpg</t>
  </si>
  <si>
    <t>https://3arbzfbsh-cname-us.ngrok.io/Desktop/seabridge%20fintech/blueline_pa_icon/APH_pa_blueline_signal.jpg</t>
  </si>
  <si>
    <t>https://3arbzfbsh-cname-us.ngrok.io/Desktop/seabridge%20fintech/blueline_pa_icon/APO_pa_blueline_signal.jpg</t>
  </si>
  <si>
    <t>https://3arbzfbsh-cname-us.ngrok.io/Desktop/seabridge%20fintech/blueline_pa_icon/APPS_pa_blueline_signal.jpg</t>
  </si>
  <si>
    <t>https://3arbzfbsh-cname-us.ngrok.io/Desktop/seabridge%20fintech/blueline_pa_icon/APTV_pa_blueline_signal.jpg</t>
  </si>
  <si>
    <t>https://3arbzfbsh-cname-us.ngrok.io/Desktop/seabridge%20fintech/blueline_pa_icon/ARE_pa_blueline_signal.jpg</t>
  </si>
  <si>
    <t>https://3arbzfbsh-cname-us.ngrok.io/Desktop/seabridge%20fintech/blueline_pa_icon/ASAN_pa_blueline_signal.jpg</t>
  </si>
  <si>
    <t>https://3arbzfbsh-cname-us.ngrok.io/Desktop/seabridge%20fintech/blueline_pa_icon/ASHR_pa_blueline_signal.jpg</t>
  </si>
  <si>
    <t>https://3arbzfbsh-cname-us.ngrok.io/Desktop/seabridge%20fintech/blueline_pa_icon/ASML_pa_blueline_signal.jpg</t>
  </si>
  <si>
    <t>https://3arbzfbsh-cname-us.ngrok.io/Desktop/seabridge%20fintech/blueline_pa_icon/ATO_pa_blueline_signal.jpg</t>
  </si>
  <si>
    <t>https://3arbzfbsh-cname-us.ngrok.io/Desktop/seabridge%20fintech/blueline_pa_icon/ATUS_pa_blueline_signal.jpg</t>
  </si>
  <si>
    <t>https://3arbzfbsh-cname-us.ngrok.io/Desktop/seabridge%20fintech/blueline_pa_icon/ATVI_pa_blueline_signal.jpg</t>
  </si>
  <si>
    <t>https://3arbzfbsh-cname-us.ngrok.io/Desktop/seabridge%20fintech/blueline_pa_icon/AVB_pa_blueline_signal.jpg</t>
  </si>
  <si>
    <t>https://3arbzfbsh-cname-us.ngrok.io/Desktop/seabridge%20fintech/blueline_pa_icon/AVGO_pa_blueline_signal.jpg</t>
  </si>
  <si>
    <t>https://3arbzfbsh-cname-us.ngrok.io/Desktop/seabridge%20fintech/blueline_pa_icon/AVTR_pa_blueline_signal.jpg</t>
  </si>
  <si>
    <t>https://3arbzfbsh-cname-us.ngrok.io/Desktop/seabridge%20fintech/blueline_pa_icon/AVY_pa_blueline_signal.jpg</t>
  </si>
  <si>
    <t>https://3arbzfbsh-cname-us.ngrok.io/Desktop/seabridge%20fintech/blueline_pa_icon/AWK_pa_blueline_signal.jpg</t>
  </si>
  <si>
    <t>https://3arbzfbsh-cname-us.ngrok.io/Desktop/seabridge%20fintech/blueline_pa_icon/AXP_pa_blueline_signal.jpg</t>
  </si>
  <si>
    <t>https://3arbzfbsh-cname-us.ngrok.io/Desktop/seabridge%20fintech/blueline_pa_icon/AXTA_pa_blueline_signal.jpg</t>
  </si>
  <si>
    <t>https://3arbzfbsh-cname-us.ngrok.io/Desktop/seabridge%20fintech/blueline_pa_icon/AZO_pa_blueline_signal.jpg</t>
  </si>
  <si>
    <t>https://3arbzfbsh-cname-us.ngrok.io/Desktop/seabridge%20fintech/blueline_pa_icon/BA_pa_blueline_signal.jpg</t>
  </si>
  <si>
    <t>https://3arbzfbsh-cname-us.ngrok.io/Desktop/seabridge%20fintech/blueline_pa_icon/BAC_pa_blueline_signal.jpg</t>
  </si>
  <si>
    <t>https://3arbzfbsh-cname-us.ngrok.io/Desktop/seabridge%20fintech/blueline_pa_icon/BAX_pa_blueline_signal.jpg</t>
  </si>
  <si>
    <t>https://3arbzfbsh-cname-us.ngrok.io/Desktop/seabridge%20fintech/blueline_pa_icon/BBBY_pa_blueline_signal.jpg</t>
  </si>
  <si>
    <t>https://3arbzfbsh-cname-us.ngrok.io/Desktop/seabridge%20fintech/blueline_pa_icon/BBY_pa_blueline_signal.jpg</t>
  </si>
  <si>
    <t>https://3arbzfbsh-cname-us.ngrok.io/Desktop/seabridge%20fintech/blueline_pa_icon/BDX_pa_blueline_signal.jpg</t>
  </si>
  <si>
    <t>https://3arbzfbsh-cname-us.ngrok.io/Desktop/seabridge%20fintech/blueline_pa_icon/BEN_pa_blueline_signal.jpg</t>
  </si>
  <si>
    <t>https://3arbzfbsh-cname-us.ngrok.io/Desktop/seabridge%20fintech/blueline_pa_icon/BIDU_pa_blueline_signal.jpg</t>
  </si>
  <si>
    <t>https://3arbzfbsh-cname-us.ngrok.io/Desktop/seabridge%20fintech/blueline_pa_icon/BIIB_pa_blueline_signal.jpg</t>
  </si>
  <si>
    <t>https://3arbzfbsh-cname-us.ngrok.io/Desktop/seabridge%20fintech/blueline_pa_icon/BIO_pa_blueline_signal.jpg</t>
  </si>
  <si>
    <t>https://3arbzfbsh-cname-us.ngrok.io/Desktop/seabridge%20fintech/blueline_pa_icon/BK_pa_blueline_signal.jpg</t>
  </si>
  <si>
    <t>https://3arbzfbsh-cname-us.ngrok.io/Desktop/seabridge%20fintech/blueline_pa_icon/BKNG_pa_blueline_signal.jpg</t>
  </si>
  <si>
    <t>https://3arbzfbsh-cname-us.ngrok.io/Desktop/seabridge%20fintech/blueline_pa_icon/BKR_pa_blueline_signal.jpg</t>
  </si>
  <si>
    <t>https://3arbzfbsh-cname-us.ngrok.io/Desktop/seabridge%20fintech/blueline_pa_icon/BLDR_pa_blueline_signal.jpg</t>
  </si>
  <si>
    <t>https://3arbzfbsh-cname-us.ngrok.io/Desktop/seabridge%20fintech/blueline_pa_icon/BLK_pa_blueline_signal.jpg</t>
  </si>
  <si>
    <t>https://3arbzfbsh-cname-us.ngrok.io/Desktop/seabridge%20fintech/blueline_pa_icon/BLL_pa_blueline_signal.jpg</t>
  </si>
  <si>
    <t>https://3arbzfbsh-cname-us.ngrok.io/Desktop/seabridge%20fintech/blueline_pa_icon/BMY_pa_blueline_signal.jpg</t>
  </si>
  <si>
    <t>https://3arbzfbsh-cname-us.ngrok.io/Desktop/seabridge%20fintech/blueline_pa_icon/BND_pa_blueline_signal.jpg</t>
  </si>
  <si>
    <t>https://3arbzfbsh-cname-us.ngrok.io/Desktop/seabridge%20fintech/blueline_pa_icon/BNDX_pa_blueline_signal.jpg</t>
  </si>
  <si>
    <t>https://3arbzfbsh-cname-us.ngrok.io/Desktop/seabridge%20fintech/blueline_pa_icon/BR_pa_blueline_signal.jpg</t>
  </si>
  <si>
    <t>https://3arbzfbsh-cname-us.ngrok.io/Desktop/seabridge%20fintech/blueline_pa_icon/BSV_pa_blueline_signal.jpg</t>
  </si>
  <si>
    <t>https://3arbzfbsh-cname-us.ngrok.io/Desktop/seabridge%20fintech/blueline_pa_icon/BSX_pa_blueline_signal.jpg</t>
  </si>
  <si>
    <t>https://3arbzfbsh-cname-us.ngrok.io/Desktop/seabridge%20fintech/blueline_pa_icon/BWA_pa_blueline_signal.jpg</t>
  </si>
  <si>
    <t>https://3arbzfbsh-cname-us.ngrok.io/Desktop/seabridge%20fintech/blueline_pa_icon/BX_pa_blueline_signal.jpg</t>
  </si>
  <si>
    <t>https://3arbzfbsh-cname-us.ngrok.io/Desktop/seabridge%20fintech/blueline_pa_icon/BXP_pa_blueline_signal.jpg</t>
  </si>
  <si>
    <t>https://3arbzfbsh-cname-us.ngrok.io/Desktop/seabridge%20fintech/blueline_pa_icon/BYND_pa_blueline_signal.jpg</t>
  </si>
  <si>
    <t>https://3arbzfbsh-cname-us.ngrok.io/Desktop/seabridge%20fintech/blueline_pa_icon/C_pa_blueline_signal.jpg</t>
  </si>
  <si>
    <t>https://3arbzfbsh-cname-us.ngrok.io/Desktop/seabridge%20fintech/blueline_pa_icon/CAG_pa_blueline_signal.jpg</t>
  </si>
  <si>
    <t>https://3arbzfbsh-cname-us.ngrok.io/Desktop/seabridge%20fintech/blueline_pa_icon/CAH_pa_blueline_signal.jpg</t>
  </si>
  <si>
    <t>https://3arbzfbsh-cname-us.ngrok.io/Desktop/seabridge%20fintech/blueline_pa_icon/CAT_pa_blueline_signal.jpg</t>
  </si>
  <si>
    <t>https://3arbzfbsh-cname-us.ngrok.io/Desktop/seabridge%20fintech/blueline_pa_icon/CB_pa_blueline_signal.jpg</t>
  </si>
  <si>
    <t>https://3arbzfbsh-cname-us.ngrok.io/Desktop/seabridge%20fintech/blueline_pa_icon/CBOE_pa_blueline_signal.jpg</t>
  </si>
  <si>
    <t>https://3arbzfbsh-cname-us.ngrok.io/Desktop/seabridge%20fintech/blueline_pa_icon/CBRE_pa_blueline_signal.jpg</t>
  </si>
  <si>
    <t>https://3arbzfbsh-cname-us.ngrok.io/Desktop/seabridge%20fintech/blueline_pa_icon/CCI_pa_blueline_signal.jpg</t>
  </si>
  <si>
    <t>https://3arbzfbsh-cname-us.ngrok.io/Desktop/seabridge%20fintech/blueline_pa_icon/CCL_pa_blueline_signal.jpg</t>
  </si>
  <si>
    <t>https://3arbzfbsh-cname-us.ngrok.io/Desktop/seabridge%20fintech/blueline_pa_icon/CDNS_pa_blueline_signal.jpg</t>
  </si>
  <si>
    <t>https://3arbzfbsh-cname-us.ngrok.io/Desktop/seabridge%20fintech/blueline_pa_icon/CDW_pa_blueline_signal.jpg</t>
  </si>
  <si>
    <t>https://3arbzfbsh-cname-us.ngrok.io/Desktop/seabridge%20fintech/blueline_pa_icon/CE_pa_blueline_signal.jpg</t>
  </si>
  <si>
    <t>https://3arbzfbsh-cname-us.ngrok.io/Desktop/seabridge%20fintech/blueline_pa_icon/CERN_pa_blueline_signal.jpg</t>
  </si>
  <si>
    <t>https://3arbzfbsh-cname-us.ngrok.io/Desktop/seabridge%20fintech/blueline_pa_icon/CF_pa_blueline_signal.jpg</t>
  </si>
  <si>
    <t>https://3arbzfbsh-cname-us.ngrok.io/Desktop/seabridge%20fintech/blueline_pa_icon/CFG_pa_blueline_signal.jpg</t>
  </si>
  <si>
    <t>https://3arbzfbsh-cname-us.ngrok.io/Desktop/seabridge%20fintech/blueline_pa_icon/CHD_pa_blueline_signal.jpg</t>
  </si>
  <si>
    <t>https://3arbzfbsh-cname-us.ngrok.io/Desktop/seabridge%20fintech/blueline_pa_icon/CHKP_pa_blueline_signal.jpg</t>
  </si>
  <si>
    <t>https://3arbzfbsh-cname-us.ngrok.io/Desktop/seabridge%20fintech/blueline_pa_icon/CHRW_pa_blueline_signal.jpg</t>
  </si>
  <si>
    <t>https://3arbzfbsh-cname-us.ngrok.io/Desktop/seabridge%20fintech/blueline_pa_icon/CHTR_pa_blueline_signal.jpg</t>
  </si>
  <si>
    <t>https://3arbzfbsh-cname-us.ngrok.io/Desktop/seabridge%20fintech/blueline_pa_icon/CHWY_pa_blueline_signal.jpg</t>
  </si>
  <si>
    <t>https://3arbzfbsh-cname-us.ngrok.io/Desktop/seabridge%20fintech/blueline_pa_icon/CI_pa_blueline_signal.jpg</t>
  </si>
  <si>
    <t>https://3arbzfbsh-cname-us.ngrok.io/Desktop/seabridge%20fintech/blueline_pa_icon/CINF_pa_blueline_signal.jpg</t>
  </si>
  <si>
    <t>https://3arbzfbsh-cname-us.ngrok.io/Desktop/seabridge%20fintech/blueline_pa_icon/CL_pa_blueline_signal.jpg</t>
  </si>
  <si>
    <t>https://3arbzfbsh-cname-us.ngrok.io/Desktop/seabridge%20fintech/blueline_pa_icon/CLX_pa_blueline_signal.jpg</t>
  </si>
  <si>
    <t>https://3arbzfbsh-cname-us.ngrok.io/Desktop/seabridge%20fintech/blueline_pa_icon/CMA_pa_blueline_signal.jpg</t>
  </si>
  <si>
    <t>https://3arbzfbsh-cname-us.ngrok.io/Desktop/seabridge%20fintech/blueline_pa_icon/CMCSA_pa_blueline_signal.jpg</t>
  </si>
  <si>
    <t>https://3arbzfbsh-cname-us.ngrok.io/Desktop/seabridge%20fintech/blueline_pa_icon/CME_pa_blueline_signal.jpg</t>
  </si>
  <si>
    <t>https://3arbzfbsh-cname-us.ngrok.io/Desktop/seabridge%20fintech/blueline_pa_icon/CMG_pa_blueline_signal.jpg</t>
  </si>
  <si>
    <t>https://3arbzfbsh-cname-us.ngrok.io/Desktop/seabridge%20fintech/blueline_pa_icon/CMI_pa_blueline_signal.jpg</t>
  </si>
  <si>
    <t>https://3arbzfbsh-cname-us.ngrok.io/Desktop/seabridge%20fintech/blueline_pa_icon/CMS_pa_blueline_signal.jpg</t>
  </si>
  <si>
    <t>https://3arbzfbsh-cname-us.ngrok.io/Desktop/seabridge%20fintech/blueline_pa_icon/CNC_pa_blueline_signal.jpg</t>
  </si>
  <si>
    <t>https://3arbzfbsh-cname-us.ngrok.io/Desktop/seabridge%20fintech/blueline_pa_icon/CNP_pa_blueline_signal.jpg</t>
  </si>
  <si>
    <t>https://3arbzfbsh-cname-us.ngrok.io/Desktop/seabridge%20fintech/blueline_pa_icon/COF_pa_blueline_signal.jpg</t>
  </si>
  <si>
    <t>https://3arbzfbsh-cname-us.ngrok.io/Desktop/seabridge%20fintech/blueline_pa_icon/COG_pa_blueline_signal.jpg</t>
  </si>
  <si>
    <t>https://3arbzfbsh-cname-us.ngrok.io/Desktop/seabridge%20fintech/blueline_pa_icon/COO_pa_blueline_signal.jpg</t>
  </si>
  <si>
    <t>https://3arbzfbsh-cname-us.ngrok.io/Desktop/seabridge%20fintech/blueline_pa_icon/COP_pa_blueline_signal.jpg</t>
  </si>
  <si>
    <t>https://3arbzfbsh-cname-us.ngrok.io/Desktop/seabridge%20fintech/blueline_pa_icon/COST_pa_blueline_signal.jpg</t>
  </si>
  <si>
    <t>https://3arbzfbsh-cname-us.ngrok.io/Desktop/seabridge%20fintech/blueline_pa_icon/CPB_pa_blueline_signal.jpg</t>
  </si>
  <si>
    <t>https://3arbzfbsh-cname-us.ngrok.io/Desktop/seabridge%20fintech/blueline_pa_icon/CPRT_pa_blueline_signal.jpg</t>
  </si>
  <si>
    <t>https://3arbzfbsh-cname-us.ngrok.io/Desktop/seabridge%20fintech/blueline_pa_icon/CRL_pa_blueline_signal.jpg</t>
  </si>
  <si>
    <t>https://3arbzfbsh-cname-us.ngrok.io/Desktop/seabridge%20fintech/blueline_pa_icon/CRM_pa_blueline_signal.jpg</t>
  </si>
  <si>
    <t>https://3arbzfbsh-cname-us.ngrok.io/Desktop/seabridge%20fintech/blueline_pa_icon/CRSR_pa_blueline_signal.jpg</t>
  </si>
  <si>
    <t>https://3arbzfbsh-cname-us.ngrok.io/Desktop/seabridge%20fintech/blueline_pa_icon/CRWD_pa_blueline_signal.jpg</t>
  </si>
  <si>
    <t>https://3arbzfbsh-cname-us.ngrok.io/Desktop/seabridge%20fintech/blueline_pa_icon/CSCO_pa_blueline_signal.jpg</t>
  </si>
  <si>
    <t>https://3arbzfbsh-cname-us.ngrok.io/Desktop/seabridge%20fintech/blueline_pa_icon/CSGP_pa_blueline_signal.jpg</t>
  </si>
  <si>
    <t>https://3arbzfbsh-cname-us.ngrok.io/Desktop/seabridge%20fintech/blueline_pa_icon/CSX_pa_blueline_signal.jpg</t>
  </si>
  <si>
    <t>https://3arbzfbsh-cname-us.ngrok.io/Desktop/seabridge%20fintech/blueline_pa_icon/CTAS_pa_blueline_signal.jpg</t>
  </si>
  <si>
    <t>https://3arbzfbsh-cname-us.ngrok.io/Desktop/seabridge%20fintech/blueline_pa_icon/CTLT_pa_blueline_signal.jpg</t>
  </si>
  <si>
    <t>https://3arbzfbsh-cname-us.ngrok.io/Desktop/seabridge%20fintech/blueline_pa_icon/CTSH_pa_blueline_signal.jpg</t>
  </si>
  <si>
    <t>https://3arbzfbsh-cname-us.ngrok.io/Desktop/seabridge%20fintech/blueline_pa_icon/CTVA_pa_blueline_signal.jpg</t>
  </si>
  <si>
    <t>https://3arbzfbsh-cname-us.ngrok.io/Desktop/seabridge%20fintech/blueline_pa_icon/CTXS_pa_blueline_signal.jpg</t>
  </si>
  <si>
    <t>https://3arbzfbsh-cname-us.ngrok.io/Desktop/seabridge%20fintech/blueline_pa_icon/CVS_pa_blueline_signal.jpg</t>
  </si>
  <si>
    <t>https://3arbzfbsh-cname-us.ngrok.io/Desktop/seabridge%20fintech/blueline_pa_icon/CVX_pa_blueline_signal.jpg</t>
  </si>
  <si>
    <t>https://3arbzfbsh-cname-us.ngrok.io/Desktop/seabridge%20fintech/blueline_pa_icon/CZR_pa_blueline_signal.jpg</t>
  </si>
  <si>
    <t>https://3arbzfbsh-cname-us.ngrok.io/Desktop/seabridge%20fintech/blueline_pa_icon/D_pa_blueline_signal.jpg</t>
  </si>
  <si>
    <t>https://3arbzfbsh-cname-us.ngrok.io/Desktop/seabridge%20fintech/blueline_pa_icon/DAL_pa_blueline_signal.jpg</t>
  </si>
  <si>
    <t>https://3arbzfbsh-cname-us.ngrok.io/Desktop/seabridge%20fintech/blueline_pa_icon/DAR_pa_blueline_signal.jpg</t>
  </si>
  <si>
    <t>https://3arbzfbsh-cname-us.ngrok.io/Desktop/seabridge%20fintech/blueline_pa_icon/DBX_pa_blueline_signal.jpg</t>
  </si>
  <si>
    <t>https://3arbzfbsh-cname-us.ngrok.io/Desktop/seabridge%20fintech/blueline_pa_icon/DD_pa_blueline_signal.jpg</t>
  </si>
  <si>
    <t>https://3arbzfbsh-cname-us.ngrok.io/Desktop/seabridge%20fintech/blueline_pa_icon/DDD_pa_blueline_signal.jpg</t>
  </si>
  <si>
    <t>https://3arbzfbsh-cname-us.ngrok.io/Desktop/seabridge%20fintech/blueline_pa_icon/DDOG_pa_blueline_signal.jpg</t>
  </si>
  <si>
    <t>https://3arbzfbsh-cname-us.ngrok.io/Desktop/seabridge%20fintech/blueline_pa_icon/DE_pa_blueline_signal.jpg</t>
  </si>
  <si>
    <t>https://3arbzfbsh-cname-us.ngrok.io/Desktop/seabridge%20fintech/blueline_pa_icon/DELL_pa_blueline_signal.jpg</t>
  </si>
  <si>
    <t>https://3arbzfbsh-cname-us.ngrok.io/Desktop/seabridge%20fintech/blueline_pa_icon/DFS_pa_blueline_signal.jpg</t>
  </si>
  <si>
    <t>https://3arbzfbsh-cname-us.ngrok.io/Desktop/seabridge%20fintech/blueline_pa_icon/DG_pa_blueline_signal.jpg</t>
  </si>
  <si>
    <t>https://3arbzfbsh-cname-us.ngrok.io/Desktop/seabridge%20fintech/blueline_pa_icon/DGX_pa_blueline_signal.jpg</t>
  </si>
  <si>
    <t>https://3arbzfbsh-cname-us.ngrok.io/Desktop/seabridge%20fintech/blueline_pa_icon/DHI_pa_blueline_signal.jpg</t>
  </si>
  <si>
    <t>https://3arbzfbsh-cname-us.ngrok.io/Desktop/seabridge%20fintech/blueline_pa_icon/DHR_pa_blueline_signal.jpg</t>
  </si>
  <si>
    <t>https://3arbzfbsh-cname-us.ngrok.io/Desktop/seabridge%20fintech/blueline_pa_icon/DIA_pa_blueline_signal.jpg</t>
  </si>
  <si>
    <t>https://3arbzfbsh-cname-us.ngrok.io/Desktop/seabridge%20fintech/blueline_pa_icon/DIS_pa_blueline_signal.jpg</t>
  </si>
  <si>
    <t>https://3arbzfbsh-cname-us.ngrok.io/Desktop/seabridge%20fintech/blueline_pa_icon/DISCA_pa_blueline_signal.jpg</t>
  </si>
  <si>
    <t>https://3arbzfbsh-cname-us.ngrok.io/Desktop/seabridge%20fintech/blueline_pa_icon/DISH_pa_blueline_signal.jpg</t>
  </si>
  <si>
    <t>https://3arbzfbsh-cname-us.ngrok.io/Desktop/seabridge%20fintech/blueline_pa_icon/DKNG_pa_blueline_signal.jpg</t>
  </si>
  <si>
    <t>https://3arbzfbsh-cname-us.ngrok.io/Desktop/seabridge%20fintech/blueline_pa_icon/DLR_pa_blueline_signal.jpg</t>
  </si>
  <si>
    <t>https://3arbzfbsh-cname-us.ngrok.io/Desktop/seabridge%20fintech/blueline_pa_icon/DLTR_pa_blueline_signal.jpg</t>
  </si>
  <si>
    <t>https://3arbzfbsh-cname-us.ngrok.io/Desktop/seabridge%20fintech/blueline_pa_icon/DOCU_pa_blueline_signal.jpg</t>
  </si>
  <si>
    <t>https://3arbzfbsh-cname-us.ngrok.io/Desktop/seabridge%20fintech/blueline_pa_icon/DOV_pa_blueline_signal.jpg</t>
  </si>
  <si>
    <t>https://3arbzfbsh-cname-us.ngrok.io/Desktop/seabridge%20fintech/blueline_pa_icon/DOW_pa_blueline_signal.jpg</t>
  </si>
  <si>
    <t>https://3arbzfbsh-cname-us.ngrok.io/Desktop/seabridge%20fintech/blueline_pa_icon/DPZ_pa_blueline_signal.jpg</t>
  </si>
  <si>
    <t>https://3arbzfbsh-cname-us.ngrok.io/Desktop/seabridge%20fintech/blueline_pa_icon/DRE_pa_blueline_signal.jpg</t>
  </si>
  <si>
    <t>https://3arbzfbsh-cname-us.ngrok.io/Desktop/seabridge%20fintech/blueline_pa_icon/DRI_pa_blueline_signal.jpg</t>
  </si>
  <si>
    <t>https://3arbzfbsh-cname-us.ngrok.io/Desktop/seabridge%20fintech/blueline_pa_icon/DTE_pa_blueline_signal.jpg</t>
  </si>
  <si>
    <t>https://3arbzfbsh-cname-us.ngrok.io/Desktop/seabridge%20fintech/blueline_pa_icon/DUK_pa_blueline_signal.jpg</t>
  </si>
  <si>
    <t>https://3arbzfbsh-cname-us.ngrok.io/Desktop/seabridge%20fintech/blueline_pa_icon/DVA_pa_blueline_signal.jpg</t>
  </si>
  <si>
    <t>https://3arbzfbsh-cname-us.ngrok.io/Desktop/seabridge%20fintech/blueline_pa_icon/DVN_pa_blueline_signal.jpg</t>
  </si>
  <si>
    <t>https://3arbzfbsh-cname-us.ngrok.io/Desktop/seabridge%20fintech/blueline_pa_icon/DXC_pa_blueline_signal.jpg</t>
  </si>
  <si>
    <t>https://3arbzfbsh-cname-us.ngrok.io/Desktop/seabridge%20fintech/blueline_pa_icon/DXCM_pa_blueline_signal.jpg</t>
  </si>
  <si>
    <t>https://3arbzfbsh-cname-us.ngrok.io/Desktop/seabridge%20fintech/blueline_pa_icon/EA_pa_blueline_signal.jpg</t>
  </si>
  <si>
    <t>https://3arbzfbsh-cname-us.ngrok.io/Desktop/seabridge%20fintech/blueline_pa_icon/EBAY_pa_blueline_signal.jpg</t>
  </si>
  <si>
    <t>https://3arbzfbsh-cname-us.ngrok.io/Desktop/seabridge%20fintech/blueline_pa_icon/ECL_pa_blueline_signal.jpg</t>
  </si>
  <si>
    <t>https://3arbzfbsh-cname-us.ngrok.io/Desktop/seabridge%20fintech/blueline_pa_icon/ED_pa_blueline_signal.jpg</t>
  </si>
  <si>
    <t>https://3arbzfbsh-cname-us.ngrok.io/Desktop/seabridge%20fintech/blueline_pa_icon/EEM_pa_blueline_signal.jpg</t>
  </si>
  <si>
    <t>https://3arbzfbsh-cname-us.ngrok.io/Desktop/seabridge%20fintech/blueline_pa_icon/EFA_pa_blueline_signal.jpg</t>
  </si>
  <si>
    <t>https://3arbzfbsh-cname-us.ngrok.io/Desktop/seabridge%20fintech/blueline_pa_icon/EFX_pa_blueline_signal.jpg</t>
  </si>
  <si>
    <t>https://3arbzfbsh-cname-us.ngrok.io/Desktop/seabridge%20fintech/blueline_pa_icon/EIX_pa_blueline_signal.jpg</t>
  </si>
  <si>
    <t>https://3arbzfbsh-cname-us.ngrok.io/Desktop/seabridge%20fintech/blueline_pa_icon/EL_pa_blueline_signal.jpg</t>
  </si>
  <si>
    <t>https://3arbzfbsh-cname-us.ngrok.io/Desktop/seabridge%20fintech/blueline_pa_icon/ELAN_pa_blueline_signal.jpg</t>
  </si>
  <si>
    <t>https://3arbzfbsh-cname-us.ngrok.io/Desktop/seabridge%20fintech/blueline_pa_icon/ELY_pa_blueline_signal.jpg</t>
  </si>
  <si>
    <t>https://3arbzfbsh-cname-us.ngrok.io/Desktop/seabridge%20fintech/blueline_pa_icon/EMB_pa_blueline_signal.jpg</t>
  </si>
  <si>
    <t>https://3arbzfbsh-cname-us.ngrok.io/Desktop/seabridge%20fintech/blueline_pa_icon/EMN_pa_blueline_signal.jpg</t>
  </si>
  <si>
    <t>https://3arbzfbsh-cname-us.ngrok.io/Desktop/seabridge%20fintech/blueline_pa_icon/EMR_pa_blueline_signal.jpg</t>
  </si>
  <si>
    <t>https://3arbzfbsh-cname-us.ngrok.io/Desktop/seabridge%20fintech/blueline_pa_icon/ENPH_pa_blueline_signal.jpg</t>
  </si>
  <si>
    <t>https://3arbzfbsh-cname-us.ngrok.io/Desktop/seabridge%20fintech/blueline_pa_icon/EOG_pa_blueline_signal.jpg</t>
  </si>
  <si>
    <t>https://3arbzfbsh-cname-us.ngrok.io/Desktop/seabridge%20fintech/blueline_pa_icon/EQH_pa_blueline_signal.jpg</t>
  </si>
  <si>
    <t>https://3arbzfbsh-cname-us.ngrok.io/Desktop/seabridge%20fintech/blueline_pa_icon/EQIX_pa_blueline_signal.jpg</t>
  </si>
  <si>
    <t>https://3arbzfbsh-cname-us.ngrok.io/Desktop/seabridge%20fintech/blueline_pa_icon/EQR_pa_blueline_signal.jpg</t>
  </si>
  <si>
    <t>https://3arbzfbsh-cname-us.ngrok.io/Desktop/seabridge%20fintech/blueline_pa_icon/ES_pa_blueline_signal.jpg</t>
  </si>
  <si>
    <t>https://3arbzfbsh-cname-us.ngrok.io/Desktop/seabridge%20fintech/blueline_pa_icon/ESS_pa_blueline_signal.jpg</t>
  </si>
  <si>
    <t>https://3arbzfbsh-cname-us.ngrok.io/Desktop/seabridge%20fintech/blueline_pa_icon/ETN_pa_blueline_signal.jpg</t>
  </si>
  <si>
    <t>https://3arbzfbsh-cname-us.ngrok.io/Desktop/seabridge%20fintech/blueline_pa_icon/ETR_pa_blueline_signal.jpg</t>
  </si>
  <si>
    <t>https://3arbzfbsh-cname-us.ngrok.io/Desktop/seabridge%20fintech/blueline_pa_icon/ETSY_pa_blueline_signal.jpg</t>
  </si>
  <si>
    <t>https://3arbzfbsh-cname-us.ngrok.io/Desktop/seabridge%20fintech/blueline_pa_icon/EVRG_pa_blueline_signal.jpg</t>
  </si>
  <si>
    <t>https://3arbzfbsh-cname-us.ngrok.io/Desktop/seabridge%20fintech/blueline_pa_icon/EW_pa_blueline_signal.jpg</t>
  </si>
  <si>
    <t>https://3arbzfbsh-cname-us.ngrok.io/Desktop/seabridge%20fintech/blueline_pa_icon/EWC_pa_blueline_signal.jpg</t>
  </si>
  <si>
    <t>https://3arbzfbsh-cname-us.ngrok.io/Desktop/seabridge%20fintech/blueline_pa_icon/EWG_pa_blueline_signal.jpg</t>
  </si>
  <si>
    <t>https://3arbzfbsh-cname-us.ngrok.io/Desktop/seabridge%20fintech/blueline_pa_icon/EWH_pa_blueline_signal.jpg</t>
  </si>
  <si>
    <t>https://3arbzfbsh-cname-us.ngrok.io/Desktop/seabridge%20fintech/blueline_pa_icon/EWJ_pa_blueline_signal.jpg</t>
  </si>
  <si>
    <t>https://3arbzfbsh-cname-us.ngrok.io/Desktop/seabridge%20fintech/blueline_pa_icon/EWT_pa_blueline_signal.jpg</t>
  </si>
  <si>
    <t>https://3arbzfbsh-cname-us.ngrok.io/Desktop/seabridge%20fintech/blueline_pa_icon/EWU_pa_blueline_signal.jpg</t>
  </si>
  <si>
    <t>https://3arbzfbsh-cname-us.ngrok.io/Desktop/seabridge%20fintech/blueline_pa_icon/EWY_pa_blueline_signal.jpg</t>
  </si>
  <si>
    <t>https://3arbzfbsh-cname-us.ngrok.io/Desktop/seabridge%20fintech/blueline_pa_icon/EWZ_pa_blueline_signal.jpg</t>
  </si>
  <si>
    <t>https://3arbzfbsh-cname-us.ngrok.io/Desktop/seabridge%20fintech/blueline_pa_icon/EXC_pa_blueline_signal.jpg</t>
  </si>
  <si>
    <t>https://3arbzfbsh-cname-us.ngrok.io/Desktop/seabridge%20fintech/blueline_pa_icon/EXPD_pa_blueline_signal.jpg</t>
  </si>
  <si>
    <t>https://3arbzfbsh-cname-us.ngrok.io/Desktop/seabridge%20fintech/blueline_pa_icon/EXPE_pa_blueline_signal.jpg</t>
  </si>
  <si>
    <t>https://3arbzfbsh-cname-us.ngrok.io/Desktop/seabridge%20fintech/blueline_pa_icon/EXR_pa_blueline_signal.jpg</t>
  </si>
  <si>
    <t>https://3arbzfbsh-cname-us.ngrok.io/Desktop/seabridge%20fintech/blueline_pa_icon/EZU_pa_blueline_signal.jpg</t>
  </si>
  <si>
    <t>https://3arbzfbsh-cname-us.ngrok.io/Desktop/seabridge%20fintech/blueline_pa_icon/F_pa_blueline_signal.jpg</t>
  </si>
  <si>
    <t>https://3arbzfbsh-cname-us.ngrok.io/Desktop/seabridge%20fintech/blueline_pa_icon/FANG_pa_blueline_signal.jpg</t>
  </si>
  <si>
    <t>https://3arbzfbsh-cname-us.ngrok.io/Desktop/seabridge%20fintech/blueline_pa_icon/FAST_pa_blueline_signal.jpg</t>
  </si>
  <si>
    <t>https://3arbzfbsh-cname-us.ngrok.io/Desktop/seabridge%20fintech/blueline_pa_icon/FB_pa_blueline_signal.jpg</t>
  </si>
  <si>
    <t>https://3arbzfbsh-cname-us.ngrok.io/Desktop/seabridge%20fintech/blueline_pa_icon/FBHS_pa_blueline_signal.jpg</t>
  </si>
  <si>
    <t>https://3arbzfbsh-cname-us.ngrok.io/Desktop/seabridge%20fintech/blueline_pa_icon/FCX_pa_blueline_signal.jpg</t>
  </si>
  <si>
    <t>https://3arbzfbsh-cname-us.ngrok.io/Desktop/seabridge%20fintech/blueline_pa_icon/FDX_pa_blueline_signal.jpg</t>
  </si>
  <si>
    <t>https://3arbzfbsh-cname-us.ngrok.io/Desktop/seabridge%20fintech/blueline_pa_icon/FE_pa_blueline_signal.jpg</t>
  </si>
  <si>
    <t>https://3arbzfbsh-cname-us.ngrok.io/Desktop/seabridge%20fintech/blueline_pa_icon/FFIV_pa_blueline_signal.jpg</t>
  </si>
  <si>
    <t>https://3arbzfbsh-cname-us.ngrok.io/Desktop/seabridge%20fintech/blueline_pa_icon/FIS_pa_blueline_signal.jpg</t>
  </si>
  <si>
    <t>https://3arbzfbsh-cname-us.ngrok.io/Desktop/seabridge%20fintech/blueline_pa_icon/FISV_pa_blueline_signal.jpg</t>
  </si>
  <si>
    <t>https://3arbzfbsh-cname-us.ngrok.io/Desktop/seabridge%20fintech/blueline_pa_icon/FITB_pa_blueline_signal.jpg</t>
  </si>
  <si>
    <t>https://3arbzfbsh-cname-us.ngrok.io/Desktop/seabridge%20fintech/blueline_pa_icon/FLT_pa_blueline_signal.jpg</t>
  </si>
  <si>
    <t>https://3arbzfbsh-cname-us.ngrok.io/Desktop/seabridge%20fintech/blueline_pa_icon/FMC_pa_blueline_signal.jpg</t>
  </si>
  <si>
    <t>https://3arbzfbsh-cname-us.ngrok.io/Desktop/seabridge%20fintech/blueline_pa_icon/FOX_pa_blueline_signal.jpg</t>
  </si>
  <si>
    <t>https://3arbzfbsh-cname-us.ngrok.io/Desktop/seabridge%20fintech/blueline_pa_icon/FOXA_pa_blueline_signal.jpg</t>
  </si>
  <si>
    <t>https://3arbzfbsh-cname-us.ngrok.io/Desktop/seabridge%20fintech/blueline_pa_icon/FRC_pa_blueline_signal.jpg</t>
  </si>
  <si>
    <t>https://3arbzfbsh-cname-us.ngrok.io/Desktop/seabridge%20fintech/blueline_pa_icon/FRT_pa_blueline_signal.jpg</t>
  </si>
  <si>
    <t>https://3arbzfbsh-cname-us.ngrok.io/Desktop/seabridge%20fintech/blueline_pa_icon/FSLR_pa_blueline_signal.jpg</t>
  </si>
  <si>
    <t>https://3arbzfbsh-cname-us.ngrok.io/Desktop/seabridge%20fintech/blueline_pa_icon/FSLY_pa_blueline_signal.jpg</t>
  </si>
  <si>
    <t>https://3arbzfbsh-cname-us.ngrok.io/Desktop/seabridge%20fintech/blueline_pa_icon/FTNT_pa_blueline_signal.jpg</t>
  </si>
  <si>
    <t>https://3arbzfbsh-cname-us.ngrok.io/Desktop/seabridge%20fintech/blueline_pa_icon/FTV_pa_blueline_signal.jpg</t>
  </si>
  <si>
    <t>https://3arbzfbsh-cname-us.ngrok.io/Desktop/seabridge%20fintech/blueline_pa_icon/FUBO_pa_blueline_signal.jpg</t>
  </si>
  <si>
    <t>https://3arbzfbsh-cname-us.ngrok.io/Desktop/seabridge%20fintech/blueline_pa_icon/FXI_pa_blueline_signal.jpg</t>
  </si>
  <si>
    <t>https://3arbzfbsh-cname-us.ngrok.io/Desktop/seabridge%20fintech/blueline_pa_icon/GBTC_pa_blueline_signal.jpg</t>
  </si>
  <si>
    <t>https://3arbzfbsh-cname-us.ngrok.io/Desktop/seabridge%20fintech/blueline_pa_icon/GD_pa_blueline_signal.jpg</t>
  </si>
  <si>
    <t>https://3arbzfbsh-cname-us.ngrok.io/Desktop/seabridge%20fintech/blueline_pa_icon/GDX_pa_blueline_signal.jpg</t>
  </si>
  <si>
    <t>https://3arbzfbsh-cname-us.ngrok.io/Desktop/seabridge%20fintech/blueline_pa_icon/GE_pa_blueline_signal.jpg</t>
  </si>
  <si>
    <t>https://3arbzfbsh-cname-us.ngrok.io/Desktop/seabridge%20fintech/blueline_pa_icon/GILD_pa_blueline_signal.jpg</t>
  </si>
  <si>
    <t>https://3arbzfbsh-cname-us.ngrok.io/Desktop/seabridge%20fintech/blueline_pa_icon/GIS_pa_blueline_signal.jpg</t>
  </si>
  <si>
    <t>https://3arbzfbsh-cname-us.ngrok.io/Desktop/seabridge%20fintech/blueline_pa_icon/GL_pa_blueline_signal.jpg</t>
  </si>
  <si>
    <t>https://3arbzfbsh-cname-us.ngrok.io/Desktop/seabridge%20fintech/blueline_pa_icon/GLD_pa_blueline_signal.jpg</t>
  </si>
  <si>
    <t>https://3arbzfbsh-cname-us.ngrok.io/Desktop/seabridge%20fintech/blueline_pa_icon/GLW_pa_blueline_signal.jpg</t>
  </si>
  <si>
    <t>https://3arbzfbsh-cname-us.ngrok.io/Desktop/seabridge%20fintech/blueline_pa_icon/GM_pa_blueline_signal.jpg</t>
  </si>
  <si>
    <t>https://3arbzfbsh-cname-us.ngrok.io/Desktop/seabridge%20fintech/blueline_pa_icon/GME_pa_blueline_signal.jpg</t>
  </si>
  <si>
    <t>https://3arbzfbsh-cname-us.ngrok.io/Desktop/seabridge%20fintech/blueline_pa_icon/GNRC_pa_blueline_signal.jpg</t>
  </si>
  <si>
    <t>https://3arbzfbsh-cname-us.ngrok.io/Desktop/seabridge%20fintech/blueline_pa_icon/GOOG_pa_blueline_signal.jpg</t>
  </si>
  <si>
    <t>https://3arbzfbsh-cname-us.ngrok.io/Desktop/seabridge%20fintech/blueline_pa_icon/GOOGL_pa_blueline_signal.jpg</t>
  </si>
  <si>
    <t>https://3arbzfbsh-cname-us.ngrok.io/Desktop/seabridge%20fintech/blueline_pa_icon/GOVT_pa_blueline_signal.jpg</t>
  </si>
  <si>
    <t>https://3arbzfbsh-cname-us.ngrok.io/Desktop/seabridge%20fintech/blueline_pa_icon/GPC_pa_blueline_signal.jpg</t>
  </si>
  <si>
    <t>https://3arbzfbsh-cname-us.ngrok.io/Desktop/seabridge%20fintech/blueline_pa_icon/GPN_pa_blueline_signal.jpg</t>
  </si>
  <si>
    <t>https://3arbzfbsh-cname-us.ngrok.io/Desktop/seabridge%20fintech/blueline_pa_icon/GPS_pa_blueline_signal.jpg</t>
  </si>
  <si>
    <t>https://3arbzfbsh-cname-us.ngrok.io/Desktop/seabridge%20fintech/blueline_pa_icon/GRMN_pa_blueline_signal.jpg</t>
  </si>
  <si>
    <t>https://3arbzfbsh-cname-us.ngrok.io/Desktop/seabridge%20fintech/blueline_pa_icon/GS_pa_blueline_signal.jpg</t>
  </si>
  <si>
    <t>https://3arbzfbsh-cname-us.ngrok.io/Desktop/seabridge%20fintech/blueline_pa_icon/GWW_pa_blueline_signal.jpg</t>
  </si>
  <si>
    <t>https://3arbzfbsh-cname-us.ngrok.io/Desktop/seabridge%20fintech/blueline_pa_icon/HAL_pa_blueline_signal.jpg</t>
  </si>
  <si>
    <t>https://3arbzfbsh-cname-us.ngrok.io/Desktop/seabridge%20fintech/blueline_pa_icon/HAS_pa_blueline_signal.jpg</t>
  </si>
  <si>
    <t>https://3arbzfbsh-cname-us.ngrok.io/Desktop/seabridge%20fintech/blueline_pa_icon/HBAN_pa_blueline_signal.jpg</t>
  </si>
  <si>
    <t>https://3arbzfbsh-cname-us.ngrok.io/Desktop/seabridge%20fintech/blueline_pa_icon/HBI_pa_blueline_signal.jpg</t>
  </si>
  <si>
    <t>https://3arbzfbsh-cname-us.ngrok.io/Desktop/seabridge%20fintech/blueline_pa_icon/HCA_pa_blueline_signal.jpg</t>
  </si>
  <si>
    <t>https://3arbzfbsh-cname-us.ngrok.io/Desktop/seabridge%20fintech/blueline_pa_icon/HD_pa_blueline_signal.jpg</t>
  </si>
  <si>
    <t>https://3arbzfbsh-cname-us.ngrok.io/Desktop/seabridge%20fintech/blueline_pa_icon/HES_pa_blueline_signal.jpg</t>
  </si>
  <si>
    <t>https://3arbzfbsh-cname-us.ngrok.io/Desktop/seabridge%20fintech/blueline_pa_icon/HFC_pa_blueline_signal.jpg</t>
  </si>
  <si>
    <t>https://3arbzfbsh-cname-us.ngrok.io/Desktop/seabridge%20fintech/blueline_pa_icon/HIG_pa_blueline_signal.jpg</t>
  </si>
  <si>
    <t>https://3arbzfbsh-cname-us.ngrok.io/Desktop/seabridge%20fintech/blueline_pa_icon/HII_pa_blueline_signal.jpg</t>
  </si>
  <si>
    <t>https://3arbzfbsh-cname-us.ngrok.io/Desktop/seabridge%20fintech/blueline_pa_icon/HLT_pa_blueline_signal.jpg</t>
  </si>
  <si>
    <t>https://3arbzfbsh-cname-us.ngrok.io/Desktop/seabridge%20fintech/blueline_pa_icon/HOG_pa_blueline_signal.jpg</t>
  </si>
  <si>
    <t>https://3arbzfbsh-cname-us.ngrok.io/Desktop/seabridge%20fintech/blueline_pa_icon/HOLX_pa_blueline_signal.jpg</t>
  </si>
  <si>
    <t>https://3arbzfbsh-cname-us.ngrok.io/Desktop/seabridge%20fintech/blueline_pa_icon/HOME_pa_blueline_signal.jpg</t>
  </si>
  <si>
    <t>https://3arbzfbsh-cname-us.ngrok.io/Desktop/seabridge%20fintech/blueline_pa_icon/HON_pa_blueline_signal.jpg</t>
  </si>
  <si>
    <t>https://3arbzfbsh-cname-us.ngrok.io/Desktop/seabridge%20fintech/blueline_pa_icon/HPE_pa_blueline_signal.jpg</t>
  </si>
  <si>
    <t>https://3arbzfbsh-cname-us.ngrok.io/Desktop/seabridge%20fintech/blueline_pa_icon/HPQ_pa_blueline_signal.jpg</t>
  </si>
  <si>
    <t>https://3arbzfbsh-cname-us.ngrok.io/Desktop/seabridge%20fintech/blueline_pa_icon/HRL_pa_blueline_signal.jpg</t>
  </si>
  <si>
    <t>https://3arbzfbsh-cname-us.ngrok.io/Desktop/seabridge%20fintech/blueline_pa_icon/HSIC_pa_blueline_signal.jpg</t>
  </si>
  <si>
    <t>https://3arbzfbsh-cname-us.ngrok.io/Desktop/seabridge%20fintech/blueline_pa_icon/HST_pa_blueline_signal.jpg</t>
  </si>
  <si>
    <t>https://3arbzfbsh-cname-us.ngrok.io/Desktop/seabridge%20fintech/blueline_pa_icon/HSY_pa_blueline_signal.jpg</t>
  </si>
  <si>
    <t>https://3arbzfbsh-cname-us.ngrok.io/Desktop/seabridge%20fintech/blueline_pa_icon/HUM_pa_blueline_signal.jpg</t>
  </si>
  <si>
    <t>https://3arbzfbsh-cname-us.ngrok.io/Desktop/seabridge%20fintech/blueline_pa_icon/HUN_pa_blueline_signal.jpg</t>
  </si>
  <si>
    <t>https://3arbzfbsh-cname-us.ngrok.io/Desktop/seabridge%20fintech/blueline_pa_icon/HWM_pa_blueline_signal.jpg</t>
  </si>
  <si>
    <t>https://3arbzfbsh-cname-us.ngrok.io/Desktop/seabridge%20fintech/blueline_pa_icon/HYG_pa_blueline_signal.jpg</t>
  </si>
  <si>
    <t>https://3arbzfbsh-cname-us.ngrok.io/Desktop/seabridge%20fintech/blueline_pa_icon/HYLB_pa_blueline_signal.jpg</t>
  </si>
  <si>
    <t>https://3arbzfbsh-cname-us.ngrok.io/Desktop/seabridge%20fintech/blueline_pa_icon/IAU_pa_blueline_signal.jpg</t>
  </si>
  <si>
    <t>https://3arbzfbsh-cname-us.ngrok.io/Desktop/seabridge%20fintech/blueline_pa_icon/IBB_pa_blueline_signal.jpg</t>
  </si>
  <si>
    <t>https://3arbzfbsh-cname-us.ngrok.io/Desktop/seabridge%20fintech/blueline_pa_icon/IBM_pa_blueline_signal.jpg</t>
  </si>
  <si>
    <t>https://3arbzfbsh-cname-us.ngrok.io/Desktop/seabridge%20fintech/blueline_pa_icon/ICE_pa_blueline_signal.jpg</t>
  </si>
  <si>
    <t>https://3arbzfbsh-cname-us.ngrok.io/Desktop/seabridge%20fintech/blueline_pa_icon/IDXX_pa_blueline_signal.jpg</t>
  </si>
  <si>
    <t>https://3arbzfbsh-cname-us.ngrok.io/Desktop/seabridge%20fintech/blueline_pa_icon/IEF_pa_blueline_signal.jpg</t>
  </si>
  <si>
    <t>https://3arbzfbsh-cname-us.ngrok.io/Desktop/seabridge%20fintech/blueline_pa_icon/IEFA_pa_blueline_signal.jpg</t>
  </si>
  <si>
    <t>https://3arbzfbsh-cname-us.ngrok.io/Desktop/seabridge%20fintech/blueline_pa_icon/IEMG_pa_blueline_signal.jpg</t>
  </si>
  <si>
    <t>https://3arbzfbsh-cname-us.ngrok.io/Desktop/seabridge%20fintech/blueline_pa_icon/IEX_pa_blueline_signal.jpg</t>
  </si>
  <si>
    <t>https://3arbzfbsh-cname-us.ngrok.io/Desktop/seabridge%20fintech/blueline_pa_icon/IFF_pa_blueline_signal.jpg</t>
  </si>
  <si>
    <t>https://3arbzfbsh-cname-us.ngrok.io/Desktop/seabridge%20fintech/blueline_pa_icon/IJR_pa_blueline_signal.jpg</t>
  </si>
  <si>
    <t>https://3arbzfbsh-cname-us.ngrok.io/Desktop/seabridge%20fintech/blueline_pa_icon/ILMN_pa_blueline_signal.jpg</t>
  </si>
  <si>
    <t>https://3arbzfbsh-cname-us.ngrok.io/Desktop/seabridge%20fintech/blueline_pa_icon/INCY_pa_blueline_signal.jpg</t>
  </si>
  <si>
    <t>https://3arbzfbsh-cname-us.ngrok.io/Desktop/seabridge%20fintech/blueline_pa_icon/INDA_pa_blueline_signal.jpg</t>
  </si>
  <si>
    <t>https://3arbzfbsh-cname-us.ngrok.io/Desktop/seabridge%20fintech/blueline_pa_icon/INFO_pa_blueline_signal.jpg</t>
  </si>
  <si>
    <t>https://3arbzfbsh-cname-us.ngrok.io/Desktop/seabridge%20fintech/blueline_pa_icon/INTC_pa_blueline_signal.jpg</t>
  </si>
  <si>
    <t>https://3arbzfbsh-cname-us.ngrok.io/Desktop/seabridge%20fintech/blueline_pa_icon/INTU_pa_blueline_signal.jpg</t>
  </si>
  <si>
    <t>https://3arbzfbsh-cname-us.ngrok.io/Desktop/seabridge%20fintech/blueline_pa_icon/INVH_pa_blueline_signal.jpg</t>
  </si>
  <si>
    <t>https://3arbzfbsh-cname-us.ngrok.io/Desktop/seabridge%20fintech/blueline_pa_icon/IP_pa_blueline_signal.jpg</t>
  </si>
  <si>
    <t>https://3arbzfbsh-cname-us.ngrok.io/Desktop/seabridge%20fintech/blueline_pa_icon/IPG_pa_blueline_signal.jpg</t>
  </si>
  <si>
    <t>https://3arbzfbsh-cname-us.ngrok.io/Desktop/seabridge%20fintech/blueline_pa_icon/IPGP_pa_blueline_signal.jpg</t>
  </si>
  <si>
    <t>https://3arbzfbsh-cname-us.ngrok.io/Desktop/seabridge%20fintech/blueline_pa_icon/IQV_pa_blueline_signal.jpg</t>
  </si>
  <si>
    <t>https://3arbzfbsh-cname-us.ngrok.io/Desktop/seabridge%20fintech/blueline_pa_icon/IR_pa_blueline_signal.jpg</t>
  </si>
  <si>
    <t>https://3arbzfbsh-cname-us.ngrok.io/Desktop/seabridge%20fintech/blueline_pa_icon/IRM_pa_blueline_signal.jpg</t>
  </si>
  <si>
    <t>https://3arbzfbsh-cname-us.ngrok.io/Desktop/seabridge%20fintech/blueline_pa_icon/ISRG_pa_blueline_signal.jpg</t>
  </si>
  <si>
    <t>https://3arbzfbsh-cname-us.ngrok.io/Desktop/seabridge%20fintech/blueline_pa_icon/IT_pa_blueline_signal.jpg</t>
  </si>
  <si>
    <t>https://3arbzfbsh-cname-us.ngrok.io/Desktop/seabridge%20fintech/blueline_pa_icon/ITW_pa_blueline_signal.jpg</t>
  </si>
  <si>
    <t>https://3arbzfbsh-cname-us.ngrok.io/Desktop/seabridge%20fintech/blueline_pa_icon/IVV_pa_blueline_signal.jpg</t>
  </si>
  <si>
    <t>https://3arbzfbsh-cname-us.ngrok.io/Desktop/seabridge%20fintech/blueline_pa_icon/IVZ_pa_blueline_signal.jpg</t>
  </si>
  <si>
    <t>https://3arbzfbsh-cname-us.ngrok.io/Desktop/seabridge%20fintech/blueline_pa_icon/IWD_pa_blueline_signal.jpg</t>
  </si>
  <si>
    <t>https://3arbzfbsh-cname-us.ngrok.io/Desktop/seabridge%20fintech/blueline_pa_icon/IWM_pa_blueline_signal.jpg</t>
  </si>
  <si>
    <t>https://3arbzfbsh-cname-us.ngrok.io/Desktop/seabridge%20fintech/blueline_pa_icon/IYR_pa_blueline_signal.jpg</t>
  </si>
  <si>
    <t>https://3arbzfbsh-cname-us.ngrok.io/Desktop/seabridge%20fintech/blueline_pa_icon/J_pa_blueline_signal.jpg</t>
  </si>
  <si>
    <t>https://3arbzfbsh-cname-us.ngrok.io/Desktop/seabridge%20fintech/blueline_pa_icon/JBHT_pa_blueline_signal.jpg</t>
  </si>
  <si>
    <t>https://3arbzfbsh-cname-us.ngrok.io/Desktop/seabridge%20fintech/blueline_pa_icon/JCI_pa_blueline_signal.jpg</t>
  </si>
  <si>
    <t>https://3arbzfbsh-cname-us.ngrok.io/Desktop/seabridge%20fintech/blueline_pa_icon/JD_pa_blueline_signal.jpg</t>
  </si>
  <si>
    <t>https://3arbzfbsh-cname-us.ngrok.io/Desktop/seabridge%20fintech/blueline_pa_icon/JEF_pa_blueline_signal.jpg</t>
  </si>
  <si>
    <t>https://3arbzfbsh-cname-us.ngrok.io/Desktop/seabridge%20fintech/blueline_pa_icon/JKHY_pa_blueline_signal.jpg</t>
  </si>
  <si>
    <t>https://3arbzfbsh-cname-us.ngrok.io/Desktop/seabridge%20fintech/blueline_pa_icon/JNJ_pa_blueline_signal.jpg</t>
  </si>
  <si>
    <t>https://3arbzfbsh-cname-us.ngrok.io/Desktop/seabridge%20fintech/blueline_pa_icon/JNK_pa_blueline_signal.jpg</t>
  </si>
  <si>
    <t>https://3arbzfbsh-cname-us.ngrok.io/Desktop/seabridge%20fintech/blueline_pa_icon/JNPR_pa_blueline_signal.jpg</t>
  </si>
  <si>
    <t>https://3arbzfbsh-cname-us.ngrok.io/Desktop/seabridge%20fintech/blueline_pa_icon/JPM_pa_blueline_signal.jpg</t>
  </si>
  <si>
    <t>https://3arbzfbsh-cname-us.ngrok.io/Desktop/seabridge%20fintech/blueline_pa_icon/JPST_pa_blueline_signal.jpg</t>
  </si>
  <si>
    <t>https://3arbzfbsh-cname-us.ngrok.io/Desktop/seabridge%20fintech/blueline_pa_icon/JWN_pa_blueline_signal.jpg</t>
  </si>
  <si>
    <t>https://3arbzfbsh-cname-us.ngrok.io/Desktop/seabridge%20fintech/blueline_pa_icon/K_pa_blueline_signal.jpg</t>
  </si>
  <si>
    <t>https://3arbzfbsh-cname-us.ngrok.io/Desktop/seabridge%20fintech/blueline_pa_icon/KBE_pa_blueline_signal.jpg</t>
  </si>
  <si>
    <t>https://3arbzfbsh-cname-us.ngrok.io/Desktop/seabridge%20fintech/blueline_pa_icon/KDP_pa_blueline_signal.jpg</t>
  </si>
  <si>
    <t>https://3arbzfbsh-cname-us.ngrok.io/Desktop/seabridge%20fintech/blueline_pa_icon/KEY_pa_blueline_signal.jpg</t>
  </si>
  <si>
    <t>https://3arbzfbsh-cname-us.ngrok.io/Desktop/seabridge%20fintech/blueline_pa_icon/KEYS_pa_blueline_signal.jpg</t>
  </si>
  <si>
    <t>https://3arbzfbsh-cname-us.ngrok.io/Desktop/seabridge%20fintech/blueline_pa_icon/KHC_pa_blueline_signal.jpg</t>
  </si>
  <si>
    <t>https://3arbzfbsh-cname-us.ngrok.io/Desktop/seabridge%20fintech/blueline_pa_icon/KIM_pa_blueline_signal.jpg</t>
  </si>
  <si>
    <t>https://3arbzfbsh-cname-us.ngrok.io/Desktop/seabridge%20fintech/blueline_pa_icon/KKR_pa_blueline_signal.jpg</t>
  </si>
  <si>
    <t>https://3arbzfbsh-cname-us.ngrok.io/Desktop/seabridge%20fintech/blueline_pa_icon/KLAC_pa_blueline_signal.jpg</t>
  </si>
  <si>
    <t>https://3arbzfbsh-cname-us.ngrok.io/Desktop/seabridge%20fintech/blueline_pa_icon/KMB_pa_blueline_signal.jpg</t>
  </si>
  <si>
    <t>https://3arbzfbsh-cname-us.ngrok.io/Desktop/seabridge%20fintech/blueline_pa_icon/KMI_pa_blueline_signal.jpg</t>
  </si>
  <si>
    <t>https://3arbzfbsh-cname-us.ngrok.io/Desktop/seabridge%20fintech/blueline_pa_icon/KMX_pa_blueline_signal.jpg</t>
  </si>
  <si>
    <t>https://3arbzfbsh-cname-us.ngrok.io/Desktop/seabridge%20fintech/blueline_pa_icon/KO_pa_blueline_signal.jpg</t>
  </si>
  <si>
    <t>https://3arbzfbsh-cname-us.ngrok.io/Desktop/seabridge%20fintech/blueline_pa_icon/KR_pa_blueline_signal.jpg</t>
  </si>
  <si>
    <t>https://3arbzfbsh-cname-us.ngrok.io/Desktop/seabridge%20fintech/blueline_pa_icon/KRE_pa_blueline_signal.jpg</t>
  </si>
  <si>
    <t>https://3arbzfbsh-cname-us.ngrok.io/Desktop/seabridge%20fintech/blueline_pa_icon/KSS_pa_blueline_signal.jpg</t>
  </si>
  <si>
    <t>https://3arbzfbsh-cname-us.ngrok.io/Desktop/seabridge%20fintech/blueline_pa_icon/KSU_pa_blueline_signal.jpg</t>
  </si>
  <si>
    <t>https://3arbzfbsh-cname-us.ngrok.io/Desktop/seabridge%20fintech/blueline_pa_icon/KWEB_pa_blueline_signal.jpg</t>
  </si>
  <si>
    <t>https://3arbzfbsh-cname-us.ngrok.io/Desktop/seabridge%20fintech/blueline_pa_icon/L_pa_blueline_signal.jpg</t>
  </si>
  <si>
    <t>https://3arbzfbsh-cname-us.ngrok.io/Desktop/seabridge%20fintech/blueline_pa_icon/LB_pa_blueline_signal.jpg</t>
  </si>
  <si>
    <t>https://3arbzfbsh-cname-us.ngrok.io/Desktop/seabridge%20fintech/blueline_pa_icon/LDOS_pa_blueline_signal.jpg</t>
  </si>
  <si>
    <t>https://3arbzfbsh-cname-us.ngrok.io/Desktop/seabridge%20fintech/blueline_pa_icon/LEG_pa_blueline_signal.jpg</t>
  </si>
  <si>
    <t>https://3arbzfbsh-cname-us.ngrok.io/Desktop/seabridge%20fintech/blueline_pa_icon/LEN_pa_blueline_signal.jpg</t>
  </si>
  <si>
    <t>https://3arbzfbsh-cname-us.ngrok.io/Desktop/seabridge%20fintech/blueline_pa_icon/LESL_pa_blueline_signal.jpg</t>
  </si>
  <si>
    <t>https://3arbzfbsh-cname-us.ngrok.io/Desktop/seabridge%20fintech/blueline_pa_icon/LH_pa_blueline_signal.jpg</t>
  </si>
  <si>
    <t>https://3arbzfbsh-cname-us.ngrok.io/Desktop/seabridge%20fintech/blueline_pa_icon/LHX_pa_blueline_signal.jpg</t>
  </si>
  <si>
    <t>https://3arbzfbsh-cname-us.ngrok.io/Desktop/seabridge%20fintech/blueline_pa_icon/LIN_pa_blueline_signal.jpg</t>
  </si>
  <si>
    <t>https://3arbzfbsh-cname-us.ngrok.io/Desktop/seabridge%20fintech/blueline_pa_icon/LKQ_pa_blueline_signal.jpg</t>
  </si>
  <si>
    <t>https://3arbzfbsh-cname-us.ngrok.io/Desktop/seabridge%20fintech/blueline_pa_icon/LLY_pa_blueline_signal.jpg</t>
  </si>
  <si>
    <t>https://3arbzfbsh-cname-us.ngrok.io/Desktop/seabridge%20fintech/blueline_pa_icon/LMND_pa_blueline_signal.jpg</t>
  </si>
  <si>
    <t>https://3arbzfbsh-cname-us.ngrok.io/Desktop/seabridge%20fintech/blueline_pa_icon/LMT_pa_blueline_signal.jpg</t>
  </si>
  <si>
    <t>https://3arbzfbsh-cname-us.ngrok.io/Desktop/seabridge%20fintech/blueline_pa_icon/LNC_pa_blueline_signal.jpg</t>
  </si>
  <si>
    <t>https://3arbzfbsh-cname-us.ngrok.io/Desktop/seabridge%20fintech/blueline_pa_icon/LNT_pa_blueline_signal.jpg</t>
  </si>
  <si>
    <t>https://3arbzfbsh-cname-us.ngrok.io/Desktop/seabridge%20fintech/blueline_pa_icon/LOW_pa_blueline_signal.jpg</t>
  </si>
  <si>
    <t>https://3arbzfbsh-cname-us.ngrok.io/Desktop/seabridge%20fintech/blueline_pa_icon/LPX_pa_blueline_signal.jpg</t>
  </si>
  <si>
    <t>https://3arbzfbsh-cname-us.ngrok.io/Desktop/seabridge%20fintech/blueline_pa_icon/LQD_pa_blueline_signal.jpg</t>
  </si>
  <si>
    <t>https://3arbzfbsh-cname-us.ngrok.io/Desktop/seabridge%20fintech/blueline_pa_icon/LRCX_pa_blueline_signal.jpg</t>
  </si>
  <si>
    <t>https://3arbzfbsh-cname-us.ngrok.io/Desktop/seabridge%20fintech/blueline_pa_icon/LULU_pa_blueline_signal.jpg</t>
  </si>
  <si>
    <t>https://3arbzfbsh-cname-us.ngrok.io/Desktop/seabridge%20fintech/blueline_pa_icon/LUMN_pa_blueline_signal.jpg</t>
  </si>
  <si>
    <t>https://3arbzfbsh-cname-us.ngrok.io/Desktop/seabridge%20fintech/blueline_pa_icon/LUV_pa_blueline_signal.jpg</t>
  </si>
  <si>
    <t>https://3arbzfbsh-cname-us.ngrok.io/Desktop/seabridge%20fintech/blueline_pa_icon/LVS_pa_blueline_signal.jpg</t>
  </si>
  <si>
    <t>https://3arbzfbsh-cname-us.ngrok.io/Desktop/seabridge%20fintech/blueline_pa_icon/LW_pa_blueline_signal.jpg</t>
  </si>
  <si>
    <t>https://3arbzfbsh-cname-us.ngrok.io/Desktop/seabridge%20fintech/blueline_pa_icon/LYB_pa_blueline_signal.jpg</t>
  </si>
  <si>
    <t>https://3arbzfbsh-cname-us.ngrok.io/Desktop/seabridge%20fintech/blueline_pa_icon/LYFT_pa_blueline_signal.jpg</t>
  </si>
  <si>
    <t>https://3arbzfbsh-cname-us.ngrok.io/Desktop/seabridge%20fintech/blueline_pa_icon/LYV_pa_blueline_signal.jpg</t>
  </si>
  <si>
    <t>https://3arbzfbsh-cname-us.ngrok.io/Desktop/seabridge%20fintech/blueline_pa_icon/MA_pa_blueline_signal.jpg</t>
  </si>
  <si>
    <t>https://3arbzfbsh-cname-us.ngrok.io/Desktop/seabridge%20fintech/blueline_pa_icon/MAA_pa_blueline_signal.jpg</t>
  </si>
  <si>
    <t>https://3arbzfbsh-cname-us.ngrok.io/Desktop/seabridge%20fintech/blueline_pa_icon/MAR_pa_blueline_signal.jpg</t>
  </si>
  <si>
    <t>https://3arbzfbsh-cname-us.ngrok.io/Desktop/seabridge%20fintech/blueline_pa_icon/MARA_pa_blueline_signal.jpg</t>
  </si>
  <si>
    <t>https://3arbzfbsh-cname-us.ngrok.io/Desktop/seabridge%20fintech/blueline_pa_icon/MAS_pa_blueline_signal.jpg</t>
  </si>
  <si>
    <t>https://3arbzfbsh-cname-us.ngrok.io/Desktop/seabridge%20fintech/blueline_pa_icon/MCD_pa_blueline_signal.jpg</t>
  </si>
  <si>
    <t>https://3arbzfbsh-cname-us.ngrok.io/Desktop/seabridge%20fintech/blueline_pa_icon/MCHI_pa_blueline_signal.jpg</t>
  </si>
  <si>
    <t>https://3arbzfbsh-cname-us.ngrok.io/Desktop/seabridge%20fintech/blueline_pa_icon/MCHP_pa_blueline_signal.jpg</t>
  </si>
  <si>
    <t>https://3arbzfbsh-cname-us.ngrok.io/Desktop/seabridge%20fintech/blueline_pa_icon/MCK_pa_blueline_signal.jpg</t>
  </si>
  <si>
    <t>https://3arbzfbsh-cname-us.ngrok.io/Desktop/seabridge%20fintech/blueline_pa_icon/MCO_pa_blueline_signal.jpg</t>
  </si>
  <si>
    <t>https://3arbzfbsh-cname-us.ngrok.io/Desktop/seabridge%20fintech/blueline_pa_icon/MDLZ_pa_blueline_signal.jpg</t>
  </si>
  <si>
    <t>https://3arbzfbsh-cname-us.ngrok.io/Desktop/seabridge%20fintech/blueline_pa_icon/MDT_pa_blueline_signal.jpg</t>
  </si>
  <si>
    <t>https://3arbzfbsh-cname-us.ngrok.io/Desktop/seabridge%20fintech/blueline_pa_icon/MELI_pa_blueline_signal.jpg</t>
  </si>
  <si>
    <t>https://3arbzfbsh-cname-us.ngrok.io/Desktop/seabridge%20fintech/blueline_pa_icon/MET_pa_blueline_signal.jpg</t>
  </si>
  <si>
    <t>https://3arbzfbsh-cname-us.ngrok.io/Desktop/seabridge%20fintech/blueline_pa_icon/MGM_pa_blueline_signal.jpg</t>
  </si>
  <si>
    <t>https://3arbzfbsh-cname-us.ngrok.io/Desktop/seabridge%20fintech/blueline_pa_icon/MGNI_pa_blueline_signal.jpg</t>
  </si>
  <si>
    <t>https://3arbzfbsh-cname-us.ngrok.io/Desktop/seabridge%20fintech/blueline_pa_icon/MHK_pa_blueline_signal.jpg</t>
  </si>
  <si>
    <t>https://3arbzfbsh-cname-us.ngrok.io/Desktop/seabridge%20fintech/blueline_pa_icon/MKC_pa_blueline_signal.jpg</t>
  </si>
  <si>
    <t>https://3arbzfbsh-cname-us.ngrok.io/Desktop/seabridge%20fintech/blueline_pa_icon/MKTX_pa_blueline_signal.jpg</t>
  </si>
  <si>
    <t>https://3arbzfbsh-cname-us.ngrok.io/Desktop/seabridge%20fintech/blueline_pa_icon/MLM_pa_blueline_signal.jpg</t>
  </si>
  <si>
    <t>https://3arbzfbsh-cname-us.ngrok.io/Desktop/seabridge%20fintech/blueline_pa_icon/MMC_pa_blueline_signal.jpg</t>
  </si>
  <si>
    <t>https://3arbzfbsh-cname-us.ngrok.io/Desktop/seabridge%20fintech/blueline_pa_icon/MMM_pa_blueline_signal.jpg</t>
  </si>
  <si>
    <t>https://3arbzfbsh-cname-us.ngrok.io/Desktop/seabridge%20fintech/blueline_pa_icon/MNST_pa_blueline_signal.jpg</t>
  </si>
  <si>
    <t>https://3arbzfbsh-cname-us.ngrok.io/Desktop/seabridge%20fintech/blueline_pa_icon/MO_pa_blueline_signal.jpg</t>
  </si>
  <si>
    <t>https://3arbzfbsh-cname-us.ngrok.io/Desktop/seabridge%20fintech/blueline_pa_icon/MOS_pa_blueline_signal.jpg</t>
  </si>
  <si>
    <t>https://3arbzfbsh-cname-us.ngrok.io/Desktop/seabridge%20fintech/blueline_pa_icon/MP_pa_blueline_signal.jpg</t>
  </si>
  <si>
    <t>https://3arbzfbsh-cname-us.ngrok.io/Desktop/seabridge%20fintech/blueline_pa_icon/MPC_pa_blueline_signal.jpg</t>
  </si>
  <si>
    <t>https://3arbzfbsh-cname-us.ngrok.io/Desktop/seabridge%20fintech/blueline_pa_icon/MPLX_pa_blueline_signal.jpg</t>
  </si>
  <si>
    <t>https://3arbzfbsh-cname-us.ngrok.io/Desktop/seabridge%20fintech/blueline_pa_icon/MPWR_pa_blueline_signal.jpg</t>
  </si>
  <si>
    <t>https://3arbzfbsh-cname-us.ngrok.io/Desktop/seabridge%20fintech/blueline_pa_icon/MRNA_pa_blueline_signal.jpg</t>
  </si>
  <si>
    <t>https://3arbzfbsh-cname-us.ngrok.io/Desktop/seabridge%20fintech/blueline_pa_icon/MRO_pa_blueline_signal.jpg</t>
  </si>
  <si>
    <t>https://3arbzfbsh-cname-us.ngrok.io/Desktop/seabridge%20fintech/blueline_pa_icon/MRVL_pa_blueline_signal.jpg</t>
  </si>
  <si>
    <t>https://3arbzfbsh-cname-us.ngrok.io/Desktop/seabridge%20fintech/blueline_pa_icon/MS_pa_blueline_signal.jpg</t>
  </si>
  <si>
    <t>https://3arbzfbsh-cname-us.ngrok.io/Desktop/seabridge%20fintech/blueline_pa_icon/MSCI_pa_blueline_signal.jpg</t>
  </si>
  <si>
    <t>https://3arbzfbsh-cname-us.ngrok.io/Desktop/seabridge%20fintech/blueline_pa_icon/MSFT_pa_blueline_signal.jpg</t>
  </si>
  <si>
    <t>https://3arbzfbsh-cname-us.ngrok.io/Desktop/seabridge%20fintech/blueline_pa_icon/MSI_pa_blueline_signal.jpg</t>
  </si>
  <si>
    <t>https://3arbzfbsh-cname-us.ngrok.io/Desktop/seabridge%20fintech/blueline_pa_icon/MTB_pa_blueline_signal.jpg</t>
  </si>
  <si>
    <t>https://3arbzfbsh-cname-us.ngrok.io/Desktop/seabridge%20fintech/blueline_pa_icon/MTCH_pa_blueline_signal.jpg</t>
  </si>
  <si>
    <t>https://3arbzfbsh-cname-us.ngrok.io/Desktop/seabridge%20fintech/blueline_pa_icon/MTD_pa_blueline_signal.jpg</t>
  </si>
  <si>
    <t>https://3arbzfbsh-cname-us.ngrok.io/Desktop/seabridge%20fintech/blueline_pa_icon/MU_pa_blueline_signal.jpg</t>
  </si>
  <si>
    <t>https://3arbzfbsh-cname-us.ngrok.io/Desktop/seabridge%20fintech/blueline_pa_icon/MXIM_pa_blueline_signal.jpg</t>
  </si>
  <si>
    <t>https://3arbzfbsh-cname-us.ngrok.io/Desktop/seabridge%20fintech/blueline_pa_icon/NCLH_pa_blueline_signal.jpg</t>
  </si>
  <si>
    <t>https://3arbzfbsh-cname-us.ngrok.io/Desktop/seabridge%20fintech/blueline_pa_icon/NDAQ_pa_blueline_signal.jpg</t>
  </si>
  <si>
    <t>https://3arbzfbsh-cname-us.ngrok.io/Desktop/seabridge%20fintech/blueline_pa_icon/NEE_pa_blueline_signal.jpg</t>
  </si>
  <si>
    <t>https://3arbzfbsh-cname-us.ngrok.io/Desktop/seabridge%20fintech/blueline_pa_icon/NEM_pa_blueline_signal.jpg</t>
  </si>
  <si>
    <t>https://3arbzfbsh-cname-us.ngrok.io/Desktop/seabridge%20fintech/blueline_pa_icon/NET_pa_blueline_signal.jpg</t>
  </si>
  <si>
    <t>https://3arbzfbsh-cname-us.ngrok.io/Desktop/seabridge%20fintech/blueline_pa_icon/NFLX_pa_blueline_signal.jpg</t>
  </si>
  <si>
    <t>https://3arbzfbsh-cname-us.ngrok.io/Desktop/seabridge%20fintech/blueline_pa_icon/NI_pa_blueline_signal.jpg</t>
  </si>
  <si>
    <t>https://3arbzfbsh-cname-us.ngrok.io/Desktop/seabridge%20fintech/blueline_pa_icon/NKE_pa_blueline_signal.jpg</t>
  </si>
  <si>
    <t>https://3arbzfbsh-cname-us.ngrok.io/Desktop/seabridge%20fintech/blueline_pa_icon/NLOK_pa_blueline_signal.jpg</t>
  </si>
  <si>
    <t>https://3arbzfbsh-cname-us.ngrok.io/Desktop/seabridge%20fintech/blueline_pa_icon/NLSN_pa_blueline_signal.jpg</t>
  </si>
  <si>
    <t>https://3arbzfbsh-cname-us.ngrok.io/Desktop/seabridge%20fintech/blueline_pa_icon/NOC_pa_blueline_signal.jpg</t>
  </si>
  <si>
    <t>https://3arbzfbsh-cname-us.ngrok.io/Desktop/seabridge%20fintech/blueline_pa_icon/NOV_pa_blueline_signal.jpg</t>
  </si>
  <si>
    <t>https://3arbzfbsh-cname-us.ngrok.io/Desktop/seabridge%20fintech/blueline_pa_icon/NOVA_pa_blueline_signal.jpg</t>
  </si>
  <si>
    <t>https://3arbzfbsh-cname-us.ngrok.io/Desktop/seabridge%20fintech/blueline_pa_icon/NOW_pa_blueline_signal.jpg</t>
  </si>
  <si>
    <t>https://3arbzfbsh-cname-us.ngrok.io/Desktop/seabridge%20fintech/blueline_pa_icon/NRG_pa_blueline_signal.jpg</t>
  </si>
  <si>
    <t>https://3arbzfbsh-cname-us.ngrok.io/Desktop/seabridge%20fintech/blueline_pa_icon/NSC_pa_blueline_signal.jpg</t>
  </si>
  <si>
    <t>https://3arbzfbsh-cname-us.ngrok.io/Desktop/seabridge%20fintech/blueline_pa_icon/NTAP_pa_blueline_signal.jpg</t>
  </si>
  <si>
    <t>https://3arbzfbsh-cname-us.ngrok.io/Desktop/seabridge%20fintech/blueline_pa_icon/NTES_pa_blueline_signal.jpg</t>
  </si>
  <si>
    <t>https://3arbzfbsh-cname-us.ngrok.io/Desktop/seabridge%20fintech/blueline_pa_icon/NTLA_pa_blueline_signal.jpg</t>
  </si>
  <si>
    <t>https://3arbzfbsh-cname-us.ngrok.io/Desktop/seabridge%20fintech/blueline_pa_icon/NTNX_pa_blueline_signal.jpg</t>
  </si>
  <si>
    <t>https://3arbzfbsh-cname-us.ngrok.io/Desktop/seabridge%20fintech/blueline_pa_icon/NTRS_pa_blueline_signal.jpg</t>
  </si>
  <si>
    <t>https://3arbzfbsh-cname-us.ngrok.io/Desktop/seabridge%20fintech/blueline_pa_icon/NUAN_pa_blueline_signal.jpg</t>
  </si>
  <si>
    <t>https://3arbzfbsh-cname-us.ngrok.io/Desktop/seabridge%20fintech/blueline_pa_icon/NUE_pa_blueline_signal.jpg</t>
  </si>
  <si>
    <t>https://3arbzfbsh-cname-us.ngrok.io/Desktop/seabridge%20fintech/blueline_pa_icon/NVAX_pa_blueline_signal.jpg</t>
  </si>
  <si>
    <t>https://3arbzfbsh-cname-us.ngrok.io/Desktop/seabridge%20fintech/blueline_pa_icon/NVDA_pa_blueline_signal.jpg</t>
  </si>
  <si>
    <t>https://3arbzfbsh-cname-us.ngrok.io/Desktop/seabridge%20fintech/blueline_pa_icon/NVR_pa_blueline_signal.jpg</t>
  </si>
  <si>
    <t>https://3arbzfbsh-cname-us.ngrok.io/Desktop/seabridge%20fintech/blueline_pa_icon/NVTA_pa_blueline_signal.jpg</t>
  </si>
  <si>
    <t>https://3arbzfbsh-cname-us.ngrok.io/Desktop/seabridge%20fintech/blueline_pa_icon/NWL_pa_blueline_signal.jpg</t>
  </si>
  <si>
    <t>https://3arbzfbsh-cname-us.ngrok.io/Desktop/seabridge%20fintech/blueline_pa_icon/NWS_pa_blueline_signal.jpg</t>
  </si>
  <si>
    <t>https://3arbzfbsh-cname-us.ngrok.io/Desktop/seabridge%20fintech/blueline_pa_icon/NWSA_pa_blueline_signal.jpg</t>
  </si>
  <si>
    <t>https://3arbzfbsh-cname-us.ngrok.io/Desktop/seabridge%20fintech/blueline_pa_icon/NXPI_pa_blueline_signal.jpg</t>
  </si>
  <si>
    <t>https://3arbzfbsh-cname-us.ngrok.io/Desktop/seabridge%20fintech/blueline_pa_icon/O_pa_blueline_signal.jpg</t>
  </si>
  <si>
    <t>https://3arbzfbsh-cname-us.ngrok.io/Desktop/seabridge%20fintech/blueline_pa_icon/ODFL_pa_blueline_signal.jpg</t>
  </si>
  <si>
    <t>https://3arbzfbsh-cname-us.ngrok.io/Desktop/seabridge%20fintech/blueline_pa_icon/OGE_pa_blueline_signal.jpg</t>
  </si>
  <si>
    <t>https://3arbzfbsh-cname-us.ngrok.io/Desktop/seabridge%20fintech/blueline_pa_icon/OKE_pa_blueline_signal.jpg</t>
  </si>
  <si>
    <t>https://3arbzfbsh-cname-us.ngrok.io/Desktop/seabridge%20fintech/blueline_pa_icon/OKTA_pa_blueline_signal.jpg</t>
  </si>
  <si>
    <t>https://3arbzfbsh-cname-us.ngrok.io/Desktop/seabridge%20fintech/blueline_pa_icon/OMC_pa_blueline_signal.jpg</t>
  </si>
  <si>
    <t>https://3arbzfbsh-cname-us.ngrok.io/Desktop/seabridge%20fintech/blueline_pa_icon/ON_pa_blueline_signal.jpg</t>
  </si>
  <si>
    <t>https://3arbzfbsh-cname-us.ngrok.io/Desktop/seabridge%20fintech/blueline_pa_icon/ORCL_pa_blueline_signal.jpg</t>
  </si>
  <si>
    <t>https://3arbzfbsh-cname-us.ngrok.io/Desktop/seabridge%20fintech/blueline_pa_icon/ORLY_pa_blueline_signal.jpg</t>
  </si>
  <si>
    <t>https://3arbzfbsh-cname-us.ngrok.io/Desktop/seabridge%20fintech/blueline_pa_icon/OVV_pa_blueline_signal.jpg</t>
  </si>
  <si>
    <t>https://3arbzfbsh-cname-us.ngrok.io/Desktop/seabridge%20fintech/blueline_pa_icon/OXY_pa_blueline_signal.jpg</t>
  </si>
  <si>
    <t>https://3arbzfbsh-cname-us.ngrok.io/Desktop/seabridge%20fintech/blueline_pa_icon/PACB_pa_blueline_signal.jpg</t>
  </si>
  <si>
    <t>https://3arbzfbsh-cname-us.ngrok.io/Desktop/seabridge%20fintech/blueline_pa_icon/PAYC_pa_blueline_signal.jpg</t>
  </si>
  <si>
    <t>https://3arbzfbsh-cname-us.ngrok.io/Desktop/seabridge%20fintech/blueline_pa_icon/PAYX_pa_blueline_signal.jpg</t>
  </si>
  <si>
    <t>https://3arbzfbsh-cname-us.ngrok.io/Desktop/seabridge%20fintech/blueline_pa_icon/PBCT_pa_blueline_signal.jpg</t>
  </si>
  <si>
    <t>https://3arbzfbsh-cname-us.ngrok.io/Desktop/seabridge%20fintech/blueline_pa_icon/PCAR_pa_blueline_signal.jpg</t>
  </si>
  <si>
    <t>https://3arbzfbsh-cname-us.ngrok.io/Desktop/seabridge%20fintech/blueline_pa_icon/PDD_pa_blueline_signal.jpg</t>
  </si>
  <si>
    <t>https://3arbzfbsh-cname-us.ngrok.io/Desktop/seabridge%20fintech/blueline_pa_icon/PEAK_pa_blueline_signal.jpg</t>
  </si>
  <si>
    <t>https://3arbzfbsh-cname-us.ngrok.io/Desktop/seabridge%20fintech/blueline_pa_icon/PEG_pa_blueline_signal.jpg</t>
  </si>
  <si>
    <t>https://3arbzfbsh-cname-us.ngrok.io/Desktop/seabridge%20fintech/blueline_pa_icon/PENN_pa_blueline_signal.jpg</t>
  </si>
  <si>
    <t>https://3arbzfbsh-cname-us.ngrok.io/Desktop/seabridge%20fintech/blueline_pa_icon/PEP_pa_blueline_signal.jpg</t>
  </si>
  <si>
    <t>https://3arbzfbsh-cname-us.ngrok.io/Desktop/seabridge%20fintech/blueline_pa_icon/PFE_pa_blueline_signal.jpg</t>
  </si>
  <si>
    <t>https://3arbzfbsh-cname-us.ngrok.io/Desktop/seabridge%20fintech/blueline_pa_icon/PFF_pa_blueline_signal.jpg</t>
  </si>
  <si>
    <t>https://3arbzfbsh-cname-us.ngrok.io/Desktop/seabridge%20fintech/blueline_pa_icon/PFG_pa_blueline_signal.jpg</t>
  </si>
  <si>
    <t>https://3arbzfbsh-cname-us.ngrok.io/Desktop/seabridge%20fintech/blueline_pa_icon/PG_pa_blueline_signal.jpg</t>
  </si>
  <si>
    <t>https://3arbzfbsh-cname-us.ngrok.io/Desktop/seabridge%20fintech/blueline_pa_icon/PGR_pa_blueline_signal.jpg</t>
  </si>
  <si>
    <t>https://3arbzfbsh-cname-us.ngrok.io/Desktop/seabridge%20fintech/blueline_pa_icon/PH_pa_blueline_signal.jpg</t>
  </si>
  <si>
    <t>https://3arbzfbsh-cname-us.ngrok.io/Desktop/seabridge%20fintech/blueline_pa_icon/PHM_pa_blueline_signal.jpg</t>
  </si>
  <si>
    <t>https://3arbzfbsh-cname-us.ngrok.io/Desktop/seabridge%20fintech/blueline_pa_icon/PINS_pa_blueline_signal.jpg</t>
  </si>
  <si>
    <t>https://3arbzfbsh-cname-us.ngrok.io/Desktop/seabridge%20fintech/blueline_pa_icon/PKG_pa_blueline_signal.jpg</t>
  </si>
  <si>
    <t>https://3arbzfbsh-cname-us.ngrok.io/Desktop/seabridge%20fintech/blueline_pa_icon/PKI_pa_blueline_signal.jpg</t>
  </si>
  <si>
    <t>https://3arbzfbsh-cname-us.ngrok.io/Desktop/seabridge%20fintech/blueline_pa_icon/PLAN_pa_blueline_signal.jpg</t>
  </si>
  <si>
    <t>https://3arbzfbsh-cname-us.ngrok.io/Desktop/seabridge%20fintech/blueline_pa_icon/PLD_pa_blueline_signal.jpg</t>
  </si>
  <si>
    <t>https://3arbzfbsh-cname-us.ngrok.io/Desktop/seabridge%20fintech/blueline_pa_icon/PLUG_pa_blueline_signal.jpg</t>
  </si>
  <si>
    <t>https://3arbzfbsh-cname-us.ngrok.io/Desktop/seabridge%20fintech/blueline_pa_icon/PM_pa_blueline_signal.jpg</t>
  </si>
  <si>
    <t>https://3arbzfbsh-cname-us.ngrok.io/Desktop/seabridge%20fintech/blueline_pa_icon/PNC_pa_blueline_signal.jpg</t>
  </si>
  <si>
    <t>https://3arbzfbsh-cname-us.ngrok.io/Desktop/seabridge%20fintech/blueline_pa_icon/PNR_pa_blueline_signal.jpg</t>
  </si>
  <si>
    <t>https://3arbzfbsh-cname-us.ngrok.io/Desktop/seabridge%20fintech/blueline_pa_icon/PNW_pa_blueline_signal.jpg</t>
  </si>
  <si>
    <t>https://3arbzfbsh-cname-us.ngrok.io/Desktop/seabridge%20fintech/blueline_pa_icon/POOL_pa_blueline_signal.jpg</t>
  </si>
  <si>
    <t>https://3arbzfbsh-cname-us.ngrok.io/Desktop/seabridge%20fintech/blueline_pa_icon/PPG_pa_blueline_signal.jpg</t>
  </si>
  <si>
    <t>https://3arbzfbsh-cname-us.ngrok.io/Desktop/seabridge%20fintech/blueline_pa_icon/PPL_pa_blueline_signal.jpg</t>
  </si>
  <si>
    <t>https://3arbzfbsh-cname-us.ngrok.io/Desktop/seabridge%20fintech/blueline_pa_icon/PRGO_pa_blueline_signal.jpg</t>
  </si>
  <si>
    <t>https://3arbzfbsh-cname-us.ngrok.io/Desktop/seabridge%20fintech/blueline_pa_icon/PRSP_pa_blueline_signal.jpg</t>
  </si>
  <si>
    <t>https://3arbzfbsh-cname-us.ngrok.io/Desktop/seabridge%20fintech/blueline_pa_icon/PRU_pa_blueline_signal.jpg</t>
  </si>
  <si>
    <t>https://3arbzfbsh-cname-us.ngrok.io/Desktop/seabridge%20fintech/blueline_pa_icon/PSA_pa_blueline_signal.jpg</t>
  </si>
  <si>
    <t>https://3arbzfbsh-cname-us.ngrok.io/Desktop/seabridge%20fintech/blueline_pa_icon/PSX_pa_blueline_signal.jpg</t>
  </si>
  <si>
    <t>https://3arbzfbsh-cname-us.ngrok.io/Desktop/seabridge%20fintech/blueline_pa_icon/PTC_pa_blueline_signal.jpg</t>
  </si>
  <si>
    <t>https://3arbzfbsh-cname-us.ngrok.io/Desktop/seabridge%20fintech/blueline_pa_icon/PTON_pa_blueline_signal.jpg</t>
  </si>
  <si>
    <t>https://3arbzfbsh-cname-us.ngrok.io/Desktop/seabridge%20fintech/blueline_pa_icon/PVH_pa_blueline_signal.jpg</t>
  </si>
  <si>
    <t>https://3arbzfbsh-cname-us.ngrok.io/Desktop/seabridge%20fintech/blueline_pa_icon/PWR_pa_blueline_signal.jpg</t>
  </si>
  <si>
    <t>https://3arbzfbsh-cname-us.ngrok.io/Desktop/seabridge%20fintech/blueline_pa_icon/PXD_pa_blueline_signal.jpg</t>
  </si>
  <si>
    <t>https://3arbzfbsh-cname-us.ngrok.io/Desktop/seabridge%20fintech/blueline_pa_icon/PYPL_pa_blueline_signal.jpg</t>
  </si>
  <si>
    <t>https://3arbzfbsh-cname-us.ngrok.io/Desktop/seabridge%20fintech/blueline_pa_icon/QCOM_pa_blueline_signal.jpg</t>
  </si>
  <si>
    <t>https://3arbzfbsh-cname-us.ngrok.io/Desktop/seabridge%20fintech/blueline_pa_icon/QLD_pa_blueline_signal.jpg</t>
  </si>
  <si>
    <t>https://3arbzfbsh-cname-us.ngrok.io/Desktop/seabridge%20fintech/blueline_pa_icon/QQQ_pa_blueline_signal.jpg</t>
  </si>
  <si>
    <t>https://3arbzfbsh-cname-us.ngrok.io/Desktop/seabridge%20fintech/blueline_pa_icon/QRVO_pa_blueline_signal.jpg</t>
  </si>
  <si>
    <t>https://3arbzfbsh-cname-us.ngrok.io/Desktop/seabridge%20fintech/blueline_pa_icon/RCL_pa_blueline_signal.jpg</t>
  </si>
  <si>
    <t>https://3arbzfbsh-cname-us.ngrok.io/Desktop/seabridge%20fintech/blueline_pa_icon/RE_pa_blueline_signal.jpg</t>
  </si>
  <si>
    <t>https://3arbzfbsh-cname-us.ngrok.io/Desktop/seabridge%20fintech/blueline_pa_icon/REG_pa_blueline_signal.jpg</t>
  </si>
  <si>
    <t>https://3arbzfbsh-cname-us.ngrok.io/Desktop/seabridge%20fintech/blueline_pa_icon/REGN_pa_blueline_signal.jpg</t>
  </si>
  <si>
    <t>https://3arbzfbsh-cname-us.ngrok.io/Desktop/seabridge%20fintech/blueline_pa_icon/RF_pa_blueline_signal.jpg</t>
  </si>
  <si>
    <t>https://3arbzfbsh-cname-us.ngrok.io/Desktop/seabridge%20fintech/blueline_pa_icon/RHI_pa_blueline_signal.jpg</t>
  </si>
  <si>
    <t>https://3arbzfbsh-cname-us.ngrok.io/Desktop/seabridge%20fintech/blueline_pa_icon/RIOT_pa_blueline_signal.jpg</t>
  </si>
  <si>
    <t>https://3arbzfbsh-cname-us.ngrok.io/Desktop/seabridge%20fintech/blueline_pa_icon/RJF_pa_blueline_signal.jpg</t>
  </si>
  <si>
    <t>https://3arbzfbsh-cname-us.ngrok.io/Desktop/seabridge%20fintech/blueline_pa_icon/RL_pa_blueline_signal.jpg</t>
  </si>
  <si>
    <t>https://3arbzfbsh-cname-us.ngrok.io/Desktop/seabridge%20fintech/blueline_pa_icon/RMD_pa_blueline_signal.jpg</t>
  </si>
  <si>
    <t>https://3arbzfbsh-cname-us.ngrok.io/Desktop/seabridge%20fintech/blueline_pa_icon/ROK_pa_blueline_signal.jpg</t>
  </si>
  <si>
    <t>https://3arbzfbsh-cname-us.ngrok.io/Desktop/seabridge%20fintech/blueline_pa_icon/ROKU_pa_blueline_signal.jpg</t>
  </si>
  <si>
    <t>https://3arbzfbsh-cname-us.ngrok.io/Desktop/seabridge%20fintech/blueline_pa_icon/ROL_pa_blueline_signal.jpg</t>
  </si>
  <si>
    <t>https://3arbzfbsh-cname-us.ngrok.io/Desktop/seabridge%20fintech/blueline_pa_icon/ROP_pa_blueline_signal.jpg</t>
  </si>
  <si>
    <t>https://3arbzfbsh-cname-us.ngrok.io/Desktop/seabridge%20fintech/blueline_pa_icon/ROST_pa_blueline_signal.jpg</t>
  </si>
  <si>
    <t>https://3arbzfbsh-cname-us.ngrok.io/Desktop/seabridge%20fintech/blueline_pa_icon/RSG_pa_blueline_signal.jpg</t>
  </si>
  <si>
    <t>https://3arbzfbsh-cname-us.ngrok.io/Desktop/seabridge%20fintech/blueline_pa_icon/RSP_pa_blueline_signal.jpg</t>
  </si>
  <si>
    <t>https://3arbzfbsh-cname-us.ngrok.io/Desktop/seabridge%20fintech/blueline_pa_icon/RTX_pa_blueline_signal.jpg</t>
  </si>
  <si>
    <t>https://3arbzfbsh-cname-us.ngrok.io/Desktop/seabridge%20fintech/blueline_pa_icon/RUN_pa_blueline_signal.jpg</t>
  </si>
  <si>
    <t>https://3arbzfbsh-cname-us.ngrok.io/Desktop/seabridge%20fintech/blueline_pa_icon/SAVA_pa_blueline_signal.jpg</t>
  </si>
  <si>
    <t>https://3arbzfbsh-cname-us.ngrok.io/Desktop/seabridge%20fintech/blueline_pa_icon/SAVE_pa_blueline_signal.jpg</t>
  </si>
  <si>
    <t>https://3arbzfbsh-cname-us.ngrok.io/Desktop/seabridge%20fintech/blueline_pa_icon/SBAC_pa_blueline_signal.jpg</t>
  </si>
  <si>
    <t>https://3arbzfbsh-cname-us.ngrok.io/Desktop/seabridge%20fintech/blueline_pa_icon/SBUX_pa_blueline_signal.jpg</t>
  </si>
  <si>
    <t>https://3arbzfbsh-cname-us.ngrok.io/Desktop/seabridge%20fintech/blueline_pa_icon/SCHF_pa_blueline_signal.jpg</t>
  </si>
  <si>
    <t>https://3arbzfbsh-cname-us.ngrok.io/Desktop/seabridge%20fintech/blueline_pa_icon/SCHP_pa_blueline_signal.jpg</t>
  </si>
  <si>
    <t>https://3arbzfbsh-cname-us.ngrok.io/Desktop/seabridge%20fintech/blueline_pa_icon/SCHW_pa_blueline_signal.jpg</t>
  </si>
  <si>
    <t>https://3arbzfbsh-cname-us.ngrok.io/Desktop/seabridge%20fintech/blueline_pa_icon/SEE_pa_blueline_signal.jpg</t>
  </si>
  <si>
    <t>https://3arbzfbsh-cname-us.ngrok.io/Desktop/seabridge%20fintech/blueline_pa_icon/SFM_pa_blueline_signal.jpg</t>
  </si>
  <si>
    <t>https://3arbzfbsh-cname-us.ngrok.io/Desktop/seabridge%20fintech/blueline_pa_icon/SGEN_pa_blueline_signal.jpg</t>
  </si>
  <si>
    <t>https://3arbzfbsh-cname-us.ngrok.io/Desktop/seabridge%20fintech/blueline_pa_icon/SHW_pa_blueline_signal.jpg</t>
  </si>
  <si>
    <t>https://3arbzfbsh-cname-us.ngrok.io/Desktop/seabridge%20fintech/blueline_pa_icon/SHY_pa_blueline_signal.jpg</t>
  </si>
  <si>
    <t>https://3arbzfbsh-cname-us.ngrok.io/Desktop/seabridge%20fintech/blueline_pa_icon/SIRI_pa_blueline_signal.jpg</t>
  </si>
  <si>
    <t>https://3arbzfbsh-cname-us.ngrok.io/Desktop/seabridge%20fintech/blueline_pa_icon/SIVB_pa_blueline_signal.jpg</t>
  </si>
  <si>
    <t>https://3arbzfbsh-cname-us.ngrok.io/Desktop/seabridge%20fintech/blueline_pa_icon/SJM_pa_blueline_signal.jpg</t>
  </si>
  <si>
    <t>https://3arbzfbsh-cname-us.ngrok.io/Desktop/seabridge%20fintech/blueline_pa_icon/SJNK_pa_blueline_signal.jpg</t>
  </si>
  <si>
    <t>https://3arbzfbsh-cname-us.ngrok.io/Desktop/seabridge%20fintech/blueline_pa_icon/SLB_pa_blueline_signal.jpg</t>
  </si>
  <si>
    <t>https://3arbzfbsh-cname-us.ngrok.io/Desktop/seabridge%20fintech/blueline_pa_icon/SMH_pa_blueline_signal.jpg</t>
  </si>
  <si>
    <t>https://3arbzfbsh-cname-us.ngrok.io/Desktop/seabridge%20fintech/blueline_pa_icon/SNA_pa_blueline_signal.jpg</t>
  </si>
  <si>
    <t>https://3arbzfbsh-cname-us.ngrok.io/Desktop/seabridge%20fintech/blueline_pa_icon/SNAP_pa_blueline_signal.jpg</t>
  </si>
  <si>
    <t>https://3arbzfbsh-cname-us.ngrok.io/Desktop/seabridge%20fintech/blueline_pa_icon/SNOW_pa_blueline_signal.jpg</t>
  </si>
  <si>
    <t>https://3arbzfbsh-cname-us.ngrok.io/Desktop/seabridge%20fintech/blueline_pa_icon/SNPS_pa_blueline_signal.jpg</t>
  </si>
  <si>
    <t>https://3arbzfbsh-cname-us.ngrok.io/Desktop/seabridge%20fintech/blueline_pa_icon/SO_pa_blueline_signal.jpg</t>
  </si>
  <si>
    <t>https://3arbzfbsh-cname-us.ngrok.io/Desktop/seabridge%20fintech/blueline_pa_icon/SONO_pa_blueline_signal.jpg</t>
  </si>
  <si>
    <t>https://3arbzfbsh-cname-us.ngrok.io/Desktop/seabridge%20fintech/blueline_pa_icon/SPCE_pa_blueline_signal.jpg</t>
  </si>
  <si>
    <t>https://3arbzfbsh-cname-us.ngrok.io/Desktop/seabridge%20fintech/blueline_pa_icon/SPG_pa_blueline_signal.jpg</t>
  </si>
  <si>
    <t>https://3arbzfbsh-cname-us.ngrok.io/Desktop/seabridge%20fintech/blueline_pa_icon/SPGI_pa_blueline_signal.jpg</t>
  </si>
  <si>
    <t>https://3arbzfbsh-cname-us.ngrok.io/Desktop/seabridge%20fintech/blueline_pa_icon/SPIB_pa_blueline_signal.jpg</t>
  </si>
  <si>
    <t>https://3arbzfbsh-cname-us.ngrok.io/Desktop/seabridge%20fintech/blueline_pa_icon/SPLK_pa_blueline_signal.jpg</t>
  </si>
  <si>
    <t>https://3arbzfbsh-cname-us.ngrok.io/Desktop/seabridge%20fintech/blueline_pa_icon/SPLV_pa_blueline_signal.jpg</t>
  </si>
  <si>
    <t>https://3arbzfbsh-cname-us.ngrok.io/Desktop/seabridge%20fintech/blueline_pa_icon/SPWR_pa_blueline_signal.jpg</t>
  </si>
  <si>
    <t>https://3arbzfbsh-cname-us.ngrok.io/Desktop/seabridge%20fintech/blueline_pa_icon/SPY_pa_blueline_signal.jpg</t>
  </si>
  <si>
    <t>https://3arbzfbsh-cname-us.ngrok.io/Desktop/seabridge%20fintech/blueline_pa_icon/SPYV_pa_blueline_signal.jpg</t>
  </si>
  <si>
    <t>https://3arbzfbsh-cname-us.ngrok.io/Desktop/seabridge%20fintech/blueline_pa_icon/SQ_pa_blueline_signal.jpg</t>
  </si>
  <si>
    <t>https://3arbzfbsh-cname-us.ngrok.io/Desktop/seabridge%20fintech/blueline_pa_icon/SRE_pa_blueline_signal.jpg</t>
  </si>
  <si>
    <t>https://3arbzfbsh-cname-us.ngrok.io/Desktop/seabridge%20fintech/blueline_pa_icon/STE_pa_blueline_signal.jpg</t>
  </si>
  <si>
    <t>https://3arbzfbsh-cname-us.ngrok.io/Desktop/seabridge%20fintech/blueline_pa_icon/STEM_pa_blueline_signal.jpg</t>
  </si>
  <si>
    <t>https://3arbzfbsh-cname-us.ngrok.io/Desktop/seabridge%20fintech/blueline_pa_icon/STLD_pa_blueline_signal.jpg</t>
  </si>
  <si>
    <t>https://3arbzfbsh-cname-us.ngrok.io/Desktop/seabridge%20fintech/blueline_pa_icon/STT_pa_blueline_signal.jpg</t>
  </si>
  <si>
    <t>https://3arbzfbsh-cname-us.ngrok.io/Desktop/seabridge%20fintech/blueline_pa_icon/STX_pa_blueline_signal.jpg</t>
  </si>
  <si>
    <t>https://3arbzfbsh-cname-us.ngrok.io/Desktop/seabridge%20fintech/blueline_pa_icon/STZ_pa_blueline_signal.jpg</t>
  </si>
  <si>
    <t>https://3arbzfbsh-cname-us.ngrok.io/Desktop/seabridge%20fintech/blueline_pa_icon/SWK_pa_blueline_signal.jpg</t>
  </si>
  <si>
    <t>https://3arbzfbsh-cname-us.ngrok.io/Desktop/seabridge%20fintech/blueline_pa_icon/SWKS_pa_blueline_signal.jpg</t>
  </si>
  <si>
    <t>https://3arbzfbsh-cname-us.ngrok.io/Desktop/seabridge%20fintech/blueline_pa_icon/SYF_pa_blueline_signal.jpg</t>
  </si>
  <si>
    <t>https://3arbzfbsh-cname-us.ngrok.io/Desktop/seabridge%20fintech/blueline_pa_icon/SYK_pa_blueline_signal.jpg</t>
  </si>
  <si>
    <t>https://3arbzfbsh-cname-us.ngrok.io/Desktop/seabridge%20fintech/blueline_pa_icon/SYY_pa_blueline_signal.jpg</t>
  </si>
  <si>
    <t>https://3arbzfbsh-cname-us.ngrok.io/Desktop/seabridge%20fintech/blueline_pa_icon/T_pa_blueline_signal.jpg</t>
  </si>
  <si>
    <t>https://3arbzfbsh-cname-us.ngrok.io/Desktop/seabridge%20fintech/blueline_pa_icon/TAP_pa_blueline_signal.jpg</t>
  </si>
  <si>
    <t>https://3arbzfbsh-cname-us.ngrok.io/Desktop/seabridge%20fintech/blueline_pa_icon/TCOM_pa_blueline_signal.jpg</t>
  </si>
  <si>
    <t>https://3arbzfbsh-cname-us.ngrok.io/Desktop/seabridge%20fintech/blueline_pa_icon/TDG_pa_blueline_signal.jpg</t>
  </si>
  <si>
    <t>https://3arbzfbsh-cname-us.ngrok.io/Desktop/seabridge%20fintech/blueline_pa_icon/TDOC_pa_blueline_signal.jpg</t>
  </si>
  <si>
    <t>https://3arbzfbsh-cname-us.ngrok.io/Desktop/seabridge%20fintech/blueline_pa_icon/TDY_pa_blueline_signal.jpg</t>
  </si>
  <si>
    <t>https://3arbzfbsh-cname-us.ngrok.io/Desktop/seabridge%20fintech/blueline_pa_icon/TEAM_pa_blueline_signal.jpg</t>
  </si>
  <si>
    <t>https://3arbzfbsh-cname-us.ngrok.io/Desktop/seabridge%20fintech/blueline_pa_icon/TEL_pa_blueline_signal.jpg</t>
  </si>
  <si>
    <t>https://3arbzfbsh-cname-us.ngrok.io/Desktop/seabridge%20fintech/blueline_pa_icon/TER_pa_blueline_signal.jpg</t>
  </si>
  <si>
    <t>https://3arbzfbsh-cname-us.ngrok.io/Desktop/seabridge%20fintech/blueline_pa_icon/TFC_pa_blueline_signal.jpg</t>
  </si>
  <si>
    <t>https://3arbzfbsh-cname-us.ngrok.io/Desktop/seabridge%20fintech/blueline_pa_icon/TFX_pa_blueline_signal.jpg</t>
  </si>
  <si>
    <t>https://3arbzfbsh-cname-us.ngrok.io/Desktop/seabridge%20fintech/blueline_pa_icon/TGT_pa_blueline_signal.jpg</t>
  </si>
  <si>
    <t>https://3arbzfbsh-cname-us.ngrok.io/Desktop/seabridge%20fintech/blueline_pa_icon/TIP_pa_blueline_signal.jpg</t>
  </si>
  <si>
    <t>https://3arbzfbsh-cname-us.ngrok.io/Desktop/seabridge%20fintech/blueline_pa_icon/TJX_pa_blueline_signal.jpg</t>
  </si>
  <si>
    <t>https://3arbzfbsh-cname-us.ngrok.io/Desktop/seabridge%20fintech/blueline_pa_icon/TLT_pa_blueline_signal.jpg</t>
  </si>
  <si>
    <t>https://3arbzfbsh-cname-us.ngrok.io/Desktop/seabridge%20fintech/blueline_pa_icon/TMO_pa_blueline_signal.jpg</t>
  </si>
  <si>
    <t>https://3arbzfbsh-cname-us.ngrok.io/Desktop/seabridge%20fintech/blueline_pa_icon/TMUS_pa_blueline_signal.jpg</t>
  </si>
  <si>
    <t>https://3arbzfbsh-cname-us.ngrok.io/Desktop/seabridge%20fintech/blueline_pa_icon/TPR_pa_blueline_signal.jpg</t>
  </si>
  <si>
    <t>https://3arbzfbsh-cname-us.ngrok.io/Desktop/seabridge%20fintech/blueline_pa_icon/TQQQ_pa_blueline_signal.jpg</t>
  </si>
  <si>
    <t>https://3arbzfbsh-cname-us.ngrok.io/Desktop/seabridge%20fintech/blueline_pa_icon/TRGP_pa_blueline_signal.jpg</t>
  </si>
  <si>
    <t>https://3arbzfbsh-cname-us.ngrok.io/Desktop/seabridge%20fintech/blueline_pa_icon/TRIP_pa_blueline_signal.jpg</t>
  </si>
  <si>
    <t>https://3arbzfbsh-cname-us.ngrok.io/Desktop/seabridge%20fintech/blueline_pa_icon/TRMB_pa_blueline_signal.jpg</t>
  </si>
  <si>
    <t>https://3arbzfbsh-cname-us.ngrok.io/Desktop/seabridge%20fintech/blueline_pa_icon/TROW_pa_blueline_signal.jpg</t>
  </si>
  <si>
    <t>https://3arbzfbsh-cname-us.ngrok.io/Desktop/seabridge%20fintech/blueline_pa_icon/TRV_pa_blueline_signal.jpg</t>
  </si>
  <si>
    <t>https://3arbzfbsh-cname-us.ngrok.io/Desktop/seabridge%20fintech/blueline_pa_icon/TSCO_pa_blueline_signal.jpg</t>
  </si>
  <si>
    <t>https://3arbzfbsh-cname-us.ngrok.io/Desktop/seabridge%20fintech/blueline_pa_icon/TSLA_pa_blueline_signal.jpg</t>
  </si>
  <si>
    <t>https://3arbzfbsh-cname-us.ngrok.io/Desktop/seabridge%20fintech/blueline_pa_icon/TSN_pa_blueline_signal.jpg</t>
  </si>
  <si>
    <t>https://3arbzfbsh-cname-us.ngrok.io/Desktop/seabridge%20fintech/blueline_pa_icon/TT_pa_blueline_signal.jpg</t>
  </si>
  <si>
    <t>https://3arbzfbsh-cname-us.ngrok.io/Desktop/seabridge%20fintech/blueline_pa_icon/TTD_pa_blueline_signal.jpg</t>
  </si>
  <si>
    <t>https://3arbzfbsh-cname-us.ngrok.io/Desktop/seabridge%20fintech/blueline_pa_icon/TTWO_pa_blueline_signal.jpg</t>
  </si>
  <si>
    <t>https://3arbzfbsh-cname-us.ngrok.io/Desktop/seabridge%20fintech/blueline_pa_icon/TWLO_pa_blueline_signal.jpg</t>
  </si>
  <si>
    <t>https://3arbzfbsh-cname-us.ngrok.io/Desktop/seabridge%20fintech/blueline_pa_icon/TWTR_pa_blueline_signal.jpg</t>
  </si>
  <si>
    <t>https://3arbzfbsh-cname-us.ngrok.io/Desktop/seabridge%20fintech/blueline_pa_icon/TXN_pa_blueline_signal.jpg</t>
  </si>
  <si>
    <t>https://3arbzfbsh-cname-us.ngrok.io/Desktop/seabridge%20fintech/blueline_pa_icon/TXT_pa_blueline_signal.jpg</t>
  </si>
  <si>
    <t>https://3arbzfbsh-cname-us.ngrok.io/Desktop/seabridge%20fintech/blueline_pa_icon/TYL_pa_blueline_signal.jpg</t>
  </si>
  <si>
    <t>https://3arbzfbsh-cname-us.ngrok.io/Desktop/seabridge%20fintech/blueline_pa_icon/UA_pa_blueline_signal.jpg</t>
  </si>
  <si>
    <t>https://3arbzfbsh-cname-us.ngrok.io/Desktop/seabridge%20fintech/blueline_pa_icon/UAA_pa_blueline_signal.jpg</t>
  </si>
  <si>
    <t>https://3arbzfbsh-cname-us.ngrok.io/Desktop/seabridge%20fintech/blueline_pa_icon/UAL_pa_blueline_signal.jpg</t>
  </si>
  <si>
    <t>https://3arbzfbsh-cname-us.ngrok.io/Desktop/seabridge%20fintech/blueline_pa_icon/UBER_pa_blueline_signal.jpg</t>
  </si>
  <si>
    <t>https://3arbzfbsh-cname-us.ngrok.io/Desktop/seabridge%20fintech/blueline_pa_icon/UDR_pa_blueline_signal.jpg</t>
  </si>
  <si>
    <t>https://3arbzfbsh-cname-us.ngrok.io/Desktop/seabridge%20fintech/blueline_pa_icon/UHS_pa_blueline_signal.jpg</t>
  </si>
  <si>
    <t>https://3arbzfbsh-cname-us.ngrok.io/Desktop/seabridge%20fintech/blueline_pa_icon/ULTA_pa_blueline_signal.jpg</t>
  </si>
  <si>
    <t>https://3arbzfbsh-cname-us.ngrok.io/Desktop/seabridge%20fintech/blueline_pa_icon/UNH_pa_blueline_signal.jpg</t>
  </si>
  <si>
    <t>https://3arbzfbsh-cname-us.ngrok.io/Desktop/seabridge%20fintech/blueline_pa_icon/UNM_pa_blueline_signal.jpg</t>
  </si>
  <si>
    <t>https://3arbzfbsh-cname-us.ngrok.io/Desktop/seabridge%20fintech/blueline_pa_icon/UNP_pa_blueline_signal.jpg</t>
  </si>
  <si>
    <t>https://3arbzfbsh-cname-us.ngrok.io/Desktop/seabridge%20fintech/blueline_pa_icon/UPS_pa_blueline_signal.jpg</t>
  </si>
  <si>
    <t>https://3arbzfbsh-cname-us.ngrok.io/Desktop/seabridge%20fintech/blueline_pa_icon/UPST_pa_blueline_signal.jpg</t>
  </si>
  <si>
    <t>https://3arbzfbsh-cname-us.ngrok.io/Desktop/seabridge%20fintech/blueline_pa_icon/URI_pa_blueline_signal.jpg</t>
  </si>
  <si>
    <t>https://3arbzfbsh-cname-us.ngrok.io/Desktop/seabridge%20fintech/blueline_pa_icon/USB_pa_blueline_signal.jpg</t>
  </si>
  <si>
    <t>https://3arbzfbsh-cname-us.ngrok.io/Desktop/seabridge%20fintech/blueline_pa_icon/USMV_pa_blueline_signal.jpg</t>
  </si>
  <si>
    <t>https://3arbzfbsh-cname-us.ngrok.io/Desktop/seabridge%20fintech/blueline_pa_icon/USO_pa_blueline_signal.jpg</t>
  </si>
  <si>
    <t>https://3arbzfbsh-cname-us.ngrok.io/Desktop/seabridge%20fintech/blueline_pa_icon/V_pa_blueline_signal.jpg</t>
  </si>
  <si>
    <t>https://3arbzfbsh-cname-us.ngrok.io/Desktop/seabridge%20fintech/blueline_pa_icon/VCIT_pa_blueline_signal.jpg</t>
  </si>
  <si>
    <t>https://3arbzfbsh-cname-us.ngrok.io/Desktop/seabridge%20fintech/blueline_pa_icon/VCSH_pa_blueline_signal.jpg</t>
  </si>
  <si>
    <t>https://3arbzfbsh-cname-us.ngrok.io/Desktop/seabridge%20fintech/blueline_pa_icon/VEA_pa_blueline_signal.jpg</t>
  </si>
  <si>
    <t>https://3arbzfbsh-cname-us.ngrok.io/Desktop/seabridge%20fintech/blueline_pa_icon/VER_pa_blueline_signal.jpg</t>
  </si>
  <si>
    <t>https://3arbzfbsh-cname-us.ngrok.io/Desktop/seabridge%20fintech/blueline_pa_icon/VEU_pa_blueline_signal.jpg</t>
  </si>
  <si>
    <t>https://3arbzfbsh-cname-us.ngrok.io/Desktop/seabridge%20fintech/blueline_pa_icon/VFC_pa_blueline_signal.jpg</t>
  </si>
  <si>
    <t>https://3arbzfbsh-cname-us.ngrok.io/Desktop/seabridge%20fintech/blueline_pa_icon/VGK_pa_blueline_signal.jpg</t>
  </si>
  <si>
    <t>https://3arbzfbsh-cname-us.ngrok.io/Desktop/seabridge%20fintech/blueline_pa_icon/VIAC_pa_blueline_signal.jpg</t>
  </si>
  <si>
    <t>https://3arbzfbsh-cname-us.ngrok.io/Desktop/seabridge%20fintech/blueline_pa_icon/VICI_pa_blueline_signal.jpg</t>
  </si>
  <si>
    <t>https://3arbzfbsh-cname-us.ngrok.io/Desktop/seabridge%20fintech/blueline_pa_icon/VLO_pa_blueline_signal.jpg</t>
  </si>
  <si>
    <t>https://3arbzfbsh-cname-us.ngrok.io/Desktop/seabridge%20fintech/blueline_pa_icon/VMC_pa_blueline_signal.jpg</t>
  </si>
  <si>
    <t>https://3arbzfbsh-cname-us.ngrok.io/Desktop/seabridge%20fintech/blueline_pa_icon/VNO_pa_blueline_signal.jpg</t>
  </si>
  <si>
    <t>https://3arbzfbsh-cname-us.ngrok.io/Desktop/seabridge%20fintech/blueline_pa_icon/VNQ_pa_blueline_signal.jpg</t>
  </si>
  <si>
    <t>https://3arbzfbsh-cname-us.ngrok.io/Desktop/seabridge%20fintech/blueline_pa_icon/VOO_pa_blueline_signal.jpg</t>
  </si>
  <si>
    <t>https://3arbzfbsh-cname-us.ngrok.io/Desktop/seabridge%20fintech/blueline_pa_icon/VRM_pa_blueline_signal.jpg</t>
  </si>
  <si>
    <t>https://3arbzfbsh-cname-us.ngrok.io/Desktop/seabridge%20fintech/blueline_pa_icon/VRSK_pa_blueline_signal.jpg</t>
  </si>
  <si>
    <t>https://3arbzfbsh-cname-us.ngrok.io/Desktop/seabridge%20fintech/blueline_pa_icon/VRSN_pa_blueline_signal.jpg</t>
  </si>
  <si>
    <t>https://3arbzfbsh-cname-us.ngrok.io/Desktop/seabridge%20fintech/blueline_pa_icon/VRT_pa_blueline_signal.jpg</t>
  </si>
  <si>
    <t>https://3arbzfbsh-cname-us.ngrok.io/Desktop/seabridge%20fintech/blueline_pa_icon/VRTX_pa_blueline_signal.jpg</t>
  </si>
  <si>
    <t>https://3arbzfbsh-cname-us.ngrok.io/Desktop/seabridge%20fintech/blueline_pa_icon/VT_pa_blueline_signal.jpg</t>
  </si>
  <si>
    <t>https://3arbzfbsh-cname-us.ngrok.io/Desktop/seabridge%20fintech/blueline_pa_icon/VTI_pa_blueline_signal.jpg</t>
  </si>
  <si>
    <t>https://3arbzfbsh-cname-us.ngrok.io/Desktop/seabridge%20fintech/blueline_pa_icon/VTIP_pa_blueline_signal.jpg</t>
  </si>
  <si>
    <t>https://3arbzfbsh-cname-us.ngrok.io/Desktop/seabridge%20fintech/blueline_pa_icon/VTR_pa_blueline_signal.jpg</t>
  </si>
  <si>
    <t>https://3arbzfbsh-cname-us.ngrok.io/Desktop/seabridge%20fintech/blueline_pa_icon/VTRS_pa_blueline_signal.jpg</t>
  </si>
  <si>
    <t>https://3arbzfbsh-cname-us.ngrok.io/Desktop/seabridge%20fintech/blueline_pa_icon/VTV_pa_blueline_signal.jpg</t>
  </si>
  <si>
    <t>https://3arbzfbsh-cname-us.ngrok.io/Desktop/seabridge%20fintech/blueline_pa_icon/VWO_pa_blueline_signal.jpg</t>
  </si>
  <si>
    <t>https://3arbzfbsh-cname-us.ngrok.io/Desktop/seabridge%20fintech/blueline_pa_icon/VXUS_pa_blueline_signal.jpg</t>
  </si>
  <si>
    <t>https://3arbzfbsh-cname-us.ngrok.io/Desktop/seabridge%20fintech/blueline_pa_icon/VZ_pa_blueline_signal.jpg</t>
  </si>
  <si>
    <t>https://3arbzfbsh-cname-us.ngrok.io/Desktop/seabridge%20fintech/blueline_pa_icon/WAB_pa_blueline_signal.jpg</t>
  </si>
  <si>
    <t>https://3arbzfbsh-cname-us.ngrok.io/Desktop/seabridge%20fintech/blueline_pa_icon/WAT_pa_blueline_signal.jpg</t>
  </si>
  <si>
    <t>https://3arbzfbsh-cname-us.ngrok.io/Desktop/seabridge%20fintech/blueline_pa_icon/WBA_pa_blueline_signal.jpg</t>
  </si>
  <si>
    <t>https://3arbzfbsh-cname-us.ngrok.io/Desktop/seabridge%20fintech/blueline_pa_icon/WDAY_pa_blueline_signal.jpg</t>
  </si>
  <si>
    <t>https://3arbzfbsh-cname-us.ngrok.io/Desktop/seabridge%20fintech/blueline_pa_icon/WDC_pa_blueline_signal.jpg</t>
  </si>
  <si>
    <t>https://3arbzfbsh-cname-us.ngrok.io/Desktop/seabridge%20fintech/blueline_pa_icon/WEC_pa_blueline_signal.jpg</t>
  </si>
  <si>
    <t>https://3arbzfbsh-cname-us.ngrok.io/Desktop/seabridge%20fintech/blueline_pa_icon/WELL_pa_blueline_signal.jpg</t>
  </si>
  <si>
    <t>https://3arbzfbsh-cname-us.ngrok.io/Desktop/seabridge%20fintech/blueline_pa_icon/WFC_pa_blueline_signal.jpg</t>
  </si>
  <si>
    <t>https://3arbzfbsh-cname-us.ngrok.io/Desktop/seabridge%20fintech/blueline_pa_icon/WHR_pa_blueline_signal.jpg</t>
  </si>
  <si>
    <t>https://3arbzfbsh-cname-us.ngrok.io/Desktop/seabridge%20fintech/blueline_pa_icon/WLTW_pa_blueline_signal.jpg</t>
  </si>
  <si>
    <t>https://3arbzfbsh-cname-us.ngrok.io/Desktop/seabridge%20fintech/blueline_pa_icon/WM_pa_blueline_signal.jpg</t>
  </si>
  <si>
    <t>https://3arbzfbsh-cname-us.ngrok.io/Desktop/seabridge%20fintech/blueline_pa_icon/WMB_pa_blueline_signal.jpg</t>
  </si>
  <si>
    <t>https://3arbzfbsh-cname-us.ngrok.io/Desktop/seabridge%20fintech/blueline_pa_icon/WMT_pa_blueline_signal.jpg</t>
  </si>
  <si>
    <t>https://3arbzfbsh-cname-us.ngrok.io/Desktop/seabridge%20fintech/blueline_pa_icon/WORK_pa_blueline_signal.jpg</t>
  </si>
  <si>
    <t>https://3arbzfbsh-cname-us.ngrok.io/Desktop/seabridge%20fintech/blueline_pa_icon/WRB_pa_blueline_signal.jpg</t>
  </si>
  <si>
    <t>https://3arbzfbsh-cname-us.ngrok.io/Desktop/seabridge%20fintech/blueline_pa_icon/WRK_pa_blueline_signal.jpg</t>
  </si>
  <si>
    <t>https://3arbzfbsh-cname-us.ngrok.io/Desktop/seabridge%20fintech/blueline_pa_icon/WSC_pa_blueline_signal.jpg</t>
  </si>
  <si>
    <t>https://3arbzfbsh-cname-us.ngrok.io/Desktop/seabridge%20fintech/blueline_pa_icon/WST_pa_blueline_signal.jpg</t>
  </si>
  <si>
    <t>https://3arbzfbsh-cname-us.ngrok.io/Desktop/seabridge%20fintech/blueline_pa_icon/WU_pa_blueline_signal.jpg</t>
  </si>
  <si>
    <t>https://3arbzfbsh-cname-us.ngrok.io/Desktop/seabridge%20fintech/blueline_pa_icon/WY_pa_blueline_signal.jpg</t>
  </si>
  <si>
    <t>https://3arbzfbsh-cname-us.ngrok.io/Desktop/seabridge%20fintech/blueline_pa_icon/WYNN_pa_blueline_signal.jpg</t>
  </si>
  <si>
    <t>https://3arbzfbsh-cname-us.ngrok.io/Desktop/seabridge%20fintech/blueline_pa_icon/XBI_pa_blueline_signal.jpg</t>
  </si>
  <si>
    <t>https://3arbzfbsh-cname-us.ngrok.io/Desktop/seabridge%20fintech/blueline_pa_icon/XEL_pa_blueline_signal.jpg</t>
  </si>
  <si>
    <t>https://3arbzfbsh-cname-us.ngrok.io/Desktop/seabridge%20fintech/blueline_pa_icon/XLB_pa_blueline_signal.jpg</t>
  </si>
  <si>
    <t>https://3arbzfbsh-cname-us.ngrok.io/Desktop/seabridge%20fintech/blueline_pa_icon/XLC_pa_blueline_signal.jpg</t>
  </si>
  <si>
    <t>https://3arbzfbsh-cname-us.ngrok.io/Desktop/seabridge%20fintech/blueline_pa_icon/XLE_pa_blueline_signal.jpg</t>
  </si>
  <si>
    <t>https://3arbzfbsh-cname-us.ngrok.io/Desktop/seabridge%20fintech/blueline_pa_icon/XLF_pa_blueline_signal.jpg</t>
  </si>
  <si>
    <t>https://3arbzfbsh-cname-us.ngrok.io/Desktop/seabridge%20fintech/blueline_pa_icon/XLI_pa_blueline_signal.jpg</t>
  </si>
  <si>
    <t>https://3arbzfbsh-cname-us.ngrok.io/Desktop/seabridge%20fintech/blueline_pa_icon/XLK_pa_blueline_signal.jpg</t>
  </si>
  <si>
    <t>https://3arbzfbsh-cname-us.ngrok.io/Desktop/seabridge%20fintech/blueline_pa_icon/XLNX_pa_blueline_signal.jpg</t>
  </si>
  <si>
    <t>https://3arbzfbsh-cname-us.ngrok.io/Desktop/seabridge%20fintech/blueline_pa_icon/XLP_pa_blueline_signal.jpg</t>
  </si>
  <si>
    <t>https://3arbzfbsh-cname-us.ngrok.io/Desktop/seabridge%20fintech/blueline_pa_icon/XLRE_pa_blueline_signal.jpg</t>
  </si>
  <si>
    <t>https://3arbzfbsh-cname-us.ngrok.io/Desktop/seabridge%20fintech/blueline_pa_icon/XLU_pa_blueline_signal.jpg</t>
  </si>
  <si>
    <t>https://3arbzfbsh-cname-us.ngrok.io/Desktop/seabridge%20fintech/blueline_pa_icon/XLV_pa_blueline_signal.jpg</t>
  </si>
  <si>
    <t>https://3arbzfbsh-cname-us.ngrok.io/Desktop/seabridge%20fintech/blueline_pa_icon/XLY_pa_blueline_signal.jpg</t>
  </si>
  <si>
    <t>https://3arbzfbsh-cname-us.ngrok.io/Desktop/seabridge%20fintech/blueline_pa_icon/XOM_pa_blueline_signal.jpg</t>
  </si>
  <si>
    <t>https://3arbzfbsh-cname-us.ngrok.io/Desktop/seabridge%20fintech/blueline_pa_icon/XOP_pa_blueline_signal.jpg</t>
  </si>
  <si>
    <t>https://3arbzfbsh-cname-us.ngrok.io/Desktop/seabridge%20fintech/blueline_pa_icon/XRAY_pa_blueline_signal.jpg</t>
  </si>
  <si>
    <t>https://3arbzfbsh-cname-us.ngrok.io/Desktop/seabridge%20fintech/blueline_pa_icon/XYL_pa_blueline_signal.jpg</t>
  </si>
  <si>
    <t>https://3arbzfbsh-cname-us.ngrok.io/Desktop/seabridge%20fintech/blueline_pa_icon/YUM_pa_blueline_signal.jpg</t>
  </si>
  <si>
    <t>https://3arbzfbsh-cname-us.ngrok.io/Desktop/seabridge%20fintech/blueline_pa_icon/Z_pa_blueline_signal.jpg</t>
  </si>
  <si>
    <t>https://3arbzfbsh-cname-us.ngrok.io/Desktop/seabridge%20fintech/blueline_pa_icon/ZBH_pa_blueline_signal.jpg</t>
  </si>
  <si>
    <t>https://3arbzfbsh-cname-us.ngrok.io/Desktop/seabridge%20fintech/blueline_pa_icon/ZBRA_pa_blueline_signal.jpg</t>
  </si>
  <si>
    <t>https://3arbzfbsh-cname-us.ngrok.io/Desktop/seabridge%20fintech/blueline_pa_icon/ZION_pa_blueline_signal.jpg</t>
  </si>
  <si>
    <t>https://3arbzfbsh-cname-us.ngrok.io/Desktop/seabridge%20fintech/blueline_pa_icon/ZM_pa_blueline_signal.jpg</t>
  </si>
  <si>
    <t>https://3arbzfbsh-cname-us.ngrok.io/Desktop/seabridge%20fintech/blueline_pa_icon/ZTS_pa_blueline_signal.jpg</t>
  </si>
  <si>
    <t>greenline_buy_price</t>
  </si>
  <si>
    <t xml:space="preserve">greenline_sell_price </t>
  </si>
  <si>
    <t xml:space="preserve">greenline_previous_buy_price </t>
  </si>
  <si>
    <t>greenline_previous_sell_price</t>
  </si>
  <si>
    <t>greenline_tradedate</t>
  </si>
  <si>
    <t>strategy1_momentume_green_signal</t>
  </si>
  <si>
    <t>greenline_current_price</t>
  </si>
  <si>
    <t>greenline_date</t>
  </si>
  <si>
    <t>greenline_strategy_name</t>
  </si>
  <si>
    <t>greenline_pa_buy_sell_image</t>
  </si>
  <si>
    <t>greenline_buy_range_plus</t>
  </si>
  <si>
    <t>greenline_buy_range_minors</t>
  </si>
  <si>
    <t>greenline_buy_zone</t>
  </si>
  <si>
    <t>purple_line_gain_loss</t>
  </si>
  <si>
    <t>greenline_super_momentum</t>
  </si>
  <si>
    <t>https://3arbzfbsh-cname-us.ngrok.io/Desktop/seabridge%20fintech/greenline_pa_icon/A_pa_greenline_signal.jpg</t>
  </si>
  <si>
    <t>https://3arbzfbsh-cname-us.ngrok.io/Desktop/seabridge%20fintech/greenline_pa_icon/AA_pa_greenline_signal.jpg</t>
  </si>
  <si>
    <t>https://3arbzfbsh-cname-us.ngrok.io/Desktop/seabridge%20fintech/greenline_pa_icon/AAL_pa_greenline_signal.jpg</t>
  </si>
  <si>
    <t>https://3arbzfbsh-cname-us.ngrok.io/Desktop/seabridge%20fintech/greenline_pa_icon/AAP_pa_greenline_signal.jpg</t>
  </si>
  <si>
    <t>https://3arbzfbsh-cname-us.ngrok.io/Desktop/seabridge%20fintech/greenline_pa_icon/AAPL_pa_greenline_signal.jpg</t>
  </si>
  <si>
    <t>https://3arbzfbsh-cname-us.ngrok.io/Desktop/seabridge%20fintech/greenline_pa_icon/ABBV_pa_greenline_signal.jpg</t>
  </si>
  <si>
    <t>https://3arbzfbsh-cname-us.ngrok.io/Desktop/seabridge%20fintech/greenline_pa_icon/ABC_pa_greenline_signal.jpg</t>
  </si>
  <si>
    <t>https://3arbzfbsh-cname-us.ngrok.io/Desktop/seabridge%20fintech/greenline_pa_icon/ABMD_pa_greenline_signal.jpg</t>
  </si>
  <si>
    <t>https://3arbzfbsh-cname-us.ngrok.io/Desktop/seabridge%20fintech/greenline_pa_icon/ABT_pa_greenline_signal.jpg</t>
  </si>
  <si>
    <t>https://3arbzfbsh-cname-us.ngrok.io/Desktop/seabridge%20fintech/greenline_pa_icon/ACN_pa_greenline_signal.jpg</t>
  </si>
  <si>
    <t>https://3arbzfbsh-cname-us.ngrok.io/Desktop/seabridge%20fintech/greenline_pa_icon/ADBE_pa_greenline_signal.jpg</t>
  </si>
  <si>
    <t>https://3arbzfbsh-cname-us.ngrok.io/Desktop/seabridge%20fintech/greenline_pa_icon/ADI_pa_greenline_signal.jpg</t>
  </si>
  <si>
    <t>https://3arbzfbsh-cname-us.ngrok.io/Desktop/seabridge%20fintech/greenline_pa_icon/ADM_pa_greenline_signal.jpg</t>
  </si>
  <si>
    <t>https://3arbzfbsh-cname-us.ngrok.io/Desktop/seabridge%20fintech/greenline_pa_icon/ADP_pa_greenline_signal.jpg</t>
  </si>
  <si>
    <t>https://3arbzfbsh-cname-us.ngrok.io/Desktop/seabridge%20fintech/greenline_pa_icon/ADSK_pa_greenline_signal.jpg</t>
  </si>
  <si>
    <t>https://3arbzfbsh-cname-us.ngrok.io/Desktop/seabridge%20fintech/greenline_pa_icon/AEE_pa_greenline_signal.jpg</t>
  </si>
  <si>
    <t>https://3arbzfbsh-cname-us.ngrok.io/Desktop/seabridge%20fintech/greenline_pa_icon/AEO_pa_greenline_signal.jpg</t>
  </si>
  <si>
    <t>https://3arbzfbsh-cname-us.ngrok.io/Desktop/seabridge%20fintech/greenline_pa_icon/AEP_pa_greenline_signal.jpg</t>
  </si>
  <si>
    <t>https://3arbzfbsh-cname-us.ngrok.io/Desktop/seabridge%20fintech/greenline_pa_icon/AES_pa_greenline_signal.jpg</t>
  </si>
  <si>
    <t>https://3arbzfbsh-cname-us.ngrok.io/Desktop/seabridge%20fintech/greenline_pa_icon/AFL_pa_greenline_signal.jpg</t>
  </si>
  <si>
    <t>https://3arbzfbsh-cname-us.ngrok.io/Desktop/seabridge%20fintech/greenline_pa_icon/AGG_pa_greenline_signal.jpg</t>
  </si>
  <si>
    <t>https://3arbzfbsh-cname-us.ngrok.io/Desktop/seabridge%20fintech/greenline_pa_icon/AI_pa_greenline_signal.jpg</t>
  </si>
  <si>
    <t>https://3arbzfbsh-cname-us.ngrok.io/Desktop/seabridge%20fintech/greenline_pa_icon/AIG_pa_greenline_signal.jpg</t>
  </si>
  <si>
    <t>https://3arbzfbsh-cname-us.ngrok.io/Desktop/seabridge%20fintech/greenline_pa_icon/AIZ_pa_greenline_signal.jpg</t>
  </si>
  <si>
    <t>https://3arbzfbsh-cname-us.ngrok.io/Desktop/seabridge%20fintech/greenline_pa_icon/AJG_pa_greenline_signal.jpg</t>
  </si>
  <si>
    <t>https://3arbzfbsh-cname-us.ngrok.io/Desktop/seabridge%20fintech/greenline_pa_icon/AKAM_pa_greenline_signal.jpg</t>
  </si>
  <si>
    <t>https://3arbzfbsh-cname-us.ngrok.io/Desktop/seabridge%20fintech/greenline_pa_icon/ALB_pa_greenline_signal.jpg</t>
  </si>
  <si>
    <t>https://3arbzfbsh-cname-us.ngrok.io/Desktop/seabridge%20fintech/greenline_pa_icon/ALGN_pa_greenline_signal.jpg</t>
  </si>
  <si>
    <t>https://3arbzfbsh-cname-us.ngrok.io/Desktop/seabridge%20fintech/greenline_pa_icon/ALK_pa_greenline_signal.jpg</t>
  </si>
  <si>
    <t>https://3arbzfbsh-cname-us.ngrok.io/Desktop/seabridge%20fintech/greenline_pa_icon/ALL_pa_greenline_signal.jpg</t>
  </si>
  <si>
    <t>https://3arbzfbsh-cname-us.ngrok.io/Desktop/seabridge%20fintech/greenline_pa_icon/ALLE_pa_greenline_signal.jpg</t>
  </si>
  <si>
    <t>https://3arbzfbsh-cname-us.ngrok.io/Desktop/seabridge%20fintech/greenline_pa_icon/ALLY_pa_greenline_signal.jpg</t>
  </si>
  <si>
    <t>https://3arbzfbsh-cname-us.ngrok.io/Desktop/seabridge%20fintech/greenline_pa_icon/ALXN_pa_greenline_signal.jpg</t>
  </si>
  <si>
    <t>https://3arbzfbsh-cname-us.ngrok.io/Desktop/seabridge%20fintech/greenline_pa_icon/AMAT_pa_greenline_signal.jpg</t>
  </si>
  <si>
    <t>https://3arbzfbsh-cname-us.ngrok.io/Desktop/seabridge%20fintech/greenline_pa_icon/AMC_pa_greenline_signal.jpg</t>
  </si>
  <si>
    <t>https://3arbzfbsh-cname-us.ngrok.io/Desktop/seabridge%20fintech/greenline_pa_icon/AMCR_pa_greenline_signal.jpg</t>
  </si>
  <si>
    <t>https://3arbzfbsh-cname-us.ngrok.io/Desktop/seabridge%20fintech/greenline_pa_icon/AMD_pa_greenline_signal.jpg</t>
  </si>
  <si>
    <t>https://3arbzfbsh-cname-us.ngrok.io/Desktop/seabridge%20fintech/greenline_pa_icon/AME_pa_greenline_signal.jpg</t>
  </si>
  <si>
    <t>https://3arbzfbsh-cname-us.ngrok.io/Desktop/seabridge%20fintech/greenline_pa_icon/AMGN_pa_greenline_signal.jpg</t>
  </si>
  <si>
    <t>https://3arbzfbsh-cname-us.ngrok.io/Desktop/seabridge%20fintech/greenline_pa_icon/AMLP_pa_greenline_signal.jpg</t>
  </si>
  <si>
    <t>https://3arbzfbsh-cname-us.ngrok.io/Desktop/seabridge%20fintech/greenline_pa_icon/AMP_pa_greenline_signal.jpg</t>
  </si>
  <si>
    <t>https://3arbzfbsh-cname-us.ngrok.io/Desktop/seabridge%20fintech/greenline_pa_icon/AMT_pa_greenline_signal.jpg</t>
  </si>
  <si>
    <t>https://3arbzfbsh-cname-us.ngrok.io/Desktop/seabridge%20fintech/greenline_pa_icon/AMZN_pa_greenline_signal.jpg</t>
  </si>
  <si>
    <t>https://3arbzfbsh-cname-us.ngrok.io/Desktop/seabridge%20fintech/greenline_pa_icon/ANET_pa_greenline_signal.jpg</t>
  </si>
  <si>
    <t>https://3arbzfbsh-cname-us.ngrok.io/Desktop/seabridge%20fintech/greenline_pa_icon/ANSS_pa_greenline_signal.jpg</t>
  </si>
  <si>
    <t>https://3arbzfbsh-cname-us.ngrok.io/Desktop/seabridge%20fintech/greenline_pa_icon/ANTM_pa_greenline_signal.jpg</t>
  </si>
  <si>
    <t>https://3arbzfbsh-cname-us.ngrok.io/Desktop/seabridge%20fintech/greenline_pa_icon/AON_pa_greenline_signal.jpg</t>
  </si>
  <si>
    <t>https://3arbzfbsh-cname-us.ngrok.io/Desktop/seabridge%20fintech/greenline_pa_icon/AOS_pa_greenline_signal.jpg</t>
  </si>
  <si>
    <t>https://3arbzfbsh-cname-us.ngrok.io/Desktop/seabridge%20fintech/greenline_pa_icon/APA_pa_greenline_signal.jpg</t>
  </si>
  <si>
    <t>https://3arbzfbsh-cname-us.ngrok.io/Desktop/seabridge%20fintech/greenline_pa_icon/APD_pa_greenline_signal.jpg</t>
  </si>
  <si>
    <t>https://3arbzfbsh-cname-us.ngrok.io/Desktop/seabridge%20fintech/greenline_pa_icon/APH_pa_greenline_signal.jpg</t>
  </si>
  <si>
    <t>https://3arbzfbsh-cname-us.ngrok.io/Desktop/seabridge%20fintech/greenline_pa_icon/APO_pa_greenline_signal.jpg</t>
  </si>
  <si>
    <t>https://3arbzfbsh-cname-us.ngrok.io/Desktop/seabridge%20fintech/greenline_pa_icon/APPS_pa_greenline_signal.jpg</t>
  </si>
  <si>
    <t>https://3arbzfbsh-cname-us.ngrok.io/Desktop/seabridge%20fintech/greenline_pa_icon/APTV_pa_greenline_signal.jpg</t>
  </si>
  <si>
    <t>https://3arbzfbsh-cname-us.ngrok.io/Desktop/seabridge%20fintech/greenline_pa_icon/ARE_pa_greenline_signal.jpg</t>
  </si>
  <si>
    <t>https://3arbzfbsh-cname-us.ngrok.io/Desktop/seabridge%20fintech/greenline_pa_icon/ASAN_pa_greenline_signal.jpg</t>
  </si>
  <si>
    <t>https://3arbzfbsh-cname-us.ngrok.io/Desktop/seabridge%20fintech/greenline_pa_icon/ASHR_pa_greenline_signal.jpg</t>
  </si>
  <si>
    <t>https://3arbzfbsh-cname-us.ngrok.io/Desktop/seabridge%20fintech/greenline_pa_icon/ASML_pa_greenline_signal.jpg</t>
  </si>
  <si>
    <t>https://3arbzfbsh-cname-us.ngrok.io/Desktop/seabridge%20fintech/greenline_pa_icon/ATO_pa_greenline_signal.jpg</t>
  </si>
  <si>
    <t>https://3arbzfbsh-cname-us.ngrok.io/Desktop/seabridge%20fintech/greenline_pa_icon/ATUS_pa_greenline_signal.jpg</t>
  </si>
  <si>
    <t>https://3arbzfbsh-cname-us.ngrok.io/Desktop/seabridge%20fintech/greenline_pa_icon/ATVI_pa_greenline_signal.jpg</t>
  </si>
  <si>
    <t>https://3arbzfbsh-cname-us.ngrok.io/Desktop/seabridge%20fintech/greenline_pa_icon/AVB_pa_greenline_signal.jpg</t>
  </si>
  <si>
    <t>https://3arbzfbsh-cname-us.ngrok.io/Desktop/seabridge%20fintech/greenline_pa_icon/AVGO_pa_greenline_signal.jpg</t>
  </si>
  <si>
    <t>https://3arbzfbsh-cname-us.ngrok.io/Desktop/seabridge%20fintech/greenline_pa_icon/AVTR_pa_greenline_signal.jpg</t>
  </si>
  <si>
    <t>https://3arbzfbsh-cname-us.ngrok.io/Desktop/seabridge%20fintech/greenline_pa_icon/AVY_pa_greenline_signal.jpg</t>
  </si>
  <si>
    <t>https://3arbzfbsh-cname-us.ngrok.io/Desktop/seabridge%20fintech/greenline_pa_icon/AWK_pa_greenline_signal.jpg</t>
  </si>
  <si>
    <t>https://3arbzfbsh-cname-us.ngrok.io/Desktop/seabridge%20fintech/greenline_pa_icon/AXP_pa_greenline_signal.jpg</t>
  </si>
  <si>
    <t>https://3arbzfbsh-cname-us.ngrok.io/Desktop/seabridge%20fintech/greenline_pa_icon/AXTA_pa_greenline_signal.jpg</t>
  </si>
  <si>
    <t>https://3arbzfbsh-cname-us.ngrok.io/Desktop/seabridge%20fintech/greenline_pa_icon/AZO_pa_greenline_signal.jpg</t>
  </si>
  <si>
    <t>https://3arbzfbsh-cname-us.ngrok.io/Desktop/seabridge%20fintech/greenline_pa_icon/BA_pa_greenline_signal.jpg</t>
  </si>
  <si>
    <t>https://3arbzfbsh-cname-us.ngrok.io/Desktop/seabridge%20fintech/greenline_pa_icon/BAC_pa_greenline_signal.jpg</t>
  </si>
  <si>
    <t>https://3arbzfbsh-cname-us.ngrok.io/Desktop/seabridge%20fintech/greenline_pa_icon/BAX_pa_greenline_signal.jpg</t>
  </si>
  <si>
    <t>https://3arbzfbsh-cname-us.ngrok.io/Desktop/seabridge%20fintech/greenline_pa_icon/BBBY_pa_greenline_signal.jpg</t>
  </si>
  <si>
    <t>https://3arbzfbsh-cname-us.ngrok.io/Desktop/seabridge%20fintech/greenline_pa_icon/BBY_pa_greenline_signal.jpg</t>
  </si>
  <si>
    <t>https://3arbzfbsh-cname-us.ngrok.io/Desktop/seabridge%20fintech/greenline_pa_icon/BDX_pa_greenline_signal.jpg</t>
  </si>
  <si>
    <t>https://3arbzfbsh-cname-us.ngrok.io/Desktop/seabridge%20fintech/greenline_pa_icon/BEN_pa_greenline_signal.jpg</t>
  </si>
  <si>
    <t>https://3arbzfbsh-cname-us.ngrok.io/Desktop/seabridge%20fintech/greenline_pa_icon/BIDU_pa_greenline_signal.jpg</t>
  </si>
  <si>
    <t>https://3arbzfbsh-cname-us.ngrok.io/Desktop/seabridge%20fintech/greenline_pa_icon/BIIB_pa_greenline_signal.jpg</t>
  </si>
  <si>
    <t>https://3arbzfbsh-cname-us.ngrok.io/Desktop/seabridge%20fintech/greenline_pa_icon/BIO_pa_greenline_signal.jpg</t>
  </si>
  <si>
    <t>https://3arbzfbsh-cname-us.ngrok.io/Desktop/seabridge%20fintech/greenline_pa_icon/BK_pa_greenline_signal.jpg</t>
  </si>
  <si>
    <t>https://3arbzfbsh-cname-us.ngrok.io/Desktop/seabridge%20fintech/greenline_pa_icon/BKNG_pa_greenline_signal.jpg</t>
  </si>
  <si>
    <t>https://3arbzfbsh-cname-us.ngrok.io/Desktop/seabridge%20fintech/greenline_pa_icon/BKR_pa_greenline_signal.jpg</t>
  </si>
  <si>
    <t>https://3arbzfbsh-cname-us.ngrok.io/Desktop/seabridge%20fintech/greenline_pa_icon/BLDR_pa_greenline_signal.jpg</t>
  </si>
  <si>
    <t>https://3arbzfbsh-cname-us.ngrok.io/Desktop/seabridge%20fintech/greenline_pa_icon/BLK_pa_greenline_signal.jpg</t>
  </si>
  <si>
    <t>https://3arbzfbsh-cname-us.ngrok.io/Desktop/seabridge%20fintech/greenline_pa_icon/BLL_pa_greenline_signal.jpg</t>
  </si>
  <si>
    <t>https://3arbzfbsh-cname-us.ngrok.io/Desktop/seabridge%20fintech/greenline_pa_icon/BMY_pa_greenline_signal.jpg</t>
  </si>
  <si>
    <t>https://3arbzfbsh-cname-us.ngrok.io/Desktop/seabridge%20fintech/greenline_pa_icon/BND_pa_greenline_signal.jpg</t>
  </si>
  <si>
    <t>https://3arbzfbsh-cname-us.ngrok.io/Desktop/seabridge%20fintech/greenline_pa_icon/BNDX_pa_greenline_signal.jpg</t>
  </si>
  <si>
    <t>https://3arbzfbsh-cname-us.ngrok.io/Desktop/seabridge%20fintech/greenline_pa_icon/BR_pa_greenline_signal.jpg</t>
  </si>
  <si>
    <t>https://3arbzfbsh-cname-us.ngrok.io/Desktop/seabridge%20fintech/greenline_pa_icon/BSV_pa_greenline_signal.jpg</t>
  </si>
  <si>
    <t>https://3arbzfbsh-cname-us.ngrok.io/Desktop/seabridge%20fintech/greenline_pa_icon/BSX_pa_greenline_signal.jpg</t>
  </si>
  <si>
    <t>https://3arbzfbsh-cname-us.ngrok.io/Desktop/seabridge%20fintech/greenline_pa_icon/BWA_pa_greenline_signal.jpg</t>
  </si>
  <si>
    <t>https://3arbzfbsh-cname-us.ngrok.io/Desktop/seabridge%20fintech/greenline_pa_icon/BX_pa_greenline_signal.jpg</t>
  </si>
  <si>
    <t>https://3arbzfbsh-cname-us.ngrok.io/Desktop/seabridge%20fintech/greenline_pa_icon/BXP_pa_greenline_signal.jpg</t>
  </si>
  <si>
    <t>https://3arbzfbsh-cname-us.ngrok.io/Desktop/seabridge%20fintech/greenline_pa_icon/BYND_pa_greenline_signal.jpg</t>
  </si>
  <si>
    <t>https://3arbzfbsh-cname-us.ngrok.io/Desktop/seabridge%20fintech/greenline_pa_icon/C_pa_greenline_signal.jpg</t>
  </si>
  <si>
    <t>https://3arbzfbsh-cname-us.ngrok.io/Desktop/seabridge%20fintech/greenline_pa_icon/CAG_pa_greenline_signal.jpg</t>
  </si>
  <si>
    <t>https://3arbzfbsh-cname-us.ngrok.io/Desktop/seabridge%20fintech/greenline_pa_icon/CAH_pa_greenline_signal.jpg</t>
  </si>
  <si>
    <t>https://3arbzfbsh-cname-us.ngrok.io/Desktop/seabridge%20fintech/greenline_pa_icon/CAT_pa_greenline_signal.jpg</t>
  </si>
  <si>
    <t>https://3arbzfbsh-cname-us.ngrok.io/Desktop/seabridge%20fintech/greenline_pa_icon/CB_pa_greenline_signal.jpg</t>
  </si>
  <si>
    <t>https://3arbzfbsh-cname-us.ngrok.io/Desktop/seabridge%20fintech/greenline_pa_icon/CBOE_pa_greenline_signal.jpg</t>
  </si>
  <si>
    <t>https://3arbzfbsh-cname-us.ngrok.io/Desktop/seabridge%20fintech/greenline_pa_icon/CBRE_pa_greenline_signal.jpg</t>
  </si>
  <si>
    <t>https://3arbzfbsh-cname-us.ngrok.io/Desktop/seabridge%20fintech/greenline_pa_icon/CCI_pa_greenline_signal.jpg</t>
  </si>
  <si>
    <t>https://3arbzfbsh-cname-us.ngrok.io/Desktop/seabridge%20fintech/greenline_pa_icon/CCL_pa_greenline_signal.jpg</t>
  </si>
  <si>
    <t>https://3arbzfbsh-cname-us.ngrok.io/Desktop/seabridge%20fintech/greenline_pa_icon/CDNS_pa_greenline_signal.jpg</t>
  </si>
  <si>
    <t>https://3arbzfbsh-cname-us.ngrok.io/Desktop/seabridge%20fintech/greenline_pa_icon/CDW_pa_greenline_signal.jpg</t>
  </si>
  <si>
    <t>https://3arbzfbsh-cname-us.ngrok.io/Desktop/seabridge%20fintech/greenline_pa_icon/CE_pa_greenline_signal.jpg</t>
  </si>
  <si>
    <t>https://3arbzfbsh-cname-us.ngrok.io/Desktop/seabridge%20fintech/greenline_pa_icon/CERN_pa_greenline_signal.jpg</t>
  </si>
  <si>
    <t>https://3arbzfbsh-cname-us.ngrok.io/Desktop/seabridge%20fintech/greenline_pa_icon/CF_pa_greenline_signal.jpg</t>
  </si>
  <si>
    <t>https://3arbzfbsh-cname-us.ngrok.io/Desktop/seabridge%20fintech/greenline_pa_icon/CFG_pa_greenline_signal.jpg</t>
  </si>
  <si>
    <t>https://3arbzfbsh-cname-us.ngrok.io/Desktop/seabridge%20fintech/greenline_pa_icon/CHD_pa_greenline_signal.jpg</t>
  </si>
  <si>
    <t>https://3arbzfbsh-cname-us.ngrok.io/Desktop/seabridge%20fintech/greenline_pa_icon/CHKP_pa_greenline_signal.jpg</t>
  </si>
  <si>
    <t>https://3arbzfbsh-cname-us.ngrok.io/Desktop/seabridge%20fintech/greenline_pa_icon/CHRW_pa_greenline_signal.jpg</t>
  </si>
  <si>
    <t>https://3arbzfbsh-cname-us.ngrok.io/Desktop/seabridge%20fintech/greenline_pa_icon/CHTR_pa_greenline_signal.jpg</t>
  </si>
  <si>
    <t>https://3arbzfbsh-cname-us.ngrok.io/Desktop/seabridge%20fintech/greenline_pa_icon/CHWY_pa_greenline_signal.jpg</t>
  </si>
  <si>
    <t>https://3arbzfbsh-cname-us.ngrok.io/Desktop/seabridge%20fintech/greenline_pa_icon/CI_pa_greenline_signal.jpg</t>
  </si>
  <si>
    <t>https://3arbzfbsh-cname-us.ngrok.io/Desktop/seabridge%20fintech/greenline_pa_icon/CINF_pa_greenline_signal.jpg</t>
  </si>
  <si>
    <t>https://3arbzfbsh-cname-us.ngrok.io/Desktop/seabridge%20fintech/greenline_pa_icon/CL_pa_greenline_signal.jpg</t>
  </si>
  <si>
    <t>https://3arbzfbsh-cname-us.ngrok.io/Desktop/seabridge%20fintech/greenline_pa_icon/CLX_pa_greenline_signal.jpg</t>
  </si>
  <si>
    <t>https://3arbzfbsh-cname-us.ngrok.io/Desktop/seabridge%20fintech/greenline_pa_icon/CMA_pa_greenline_signal.jpg</t>
  </si>
  <si>
    <t>https://3arbzfbsh-cname-us.ngrok.io/Desktop/seabridge%20fintech/greenline_pa_icon/CMCSA_pa_greenline_signal.jpg</t>
  </si>
  <si>
    <t>https://3arbzfbsh-cname-us.ngrok.io/Desktop/seabridge%20fintech/greenline_pa_icon/CME_pa_greenline_signal.jpg</t>
  </si>
  <si>
    <t>https://3arbzfbsh-cname-us.ngrok.io/Desktop/seabridge%20fintech/greenline_pa_icon/CMG_pa_greenline_signal.jpg</t>
  </si>
  <si>
    <t>https://3arbzfbsh-cname-us.ngrok.io/Desktop/seabridge%20fintech/greenline_pa_icon/CMI_pa_greenline_signal.jpg</t>
  </si>
  <si>
    <t>https://3arbzfbsh-cname-us.ngrok.io/Desktop/seabridge%20fintech/greenline_pa_icon/CMS_pa_greenline_signal.jpg</t>
  </si>
  <si>
    <t>https://3arbzfbsh-cname-us.ngrok.io/Desktop/seabridge%20fintech/greenline_pa_icon/CNC_pa_greenline_signal.jpg</t>
  </si>
  <si>
    <t>https://3arbzfbsh-cname-us.ngrok.io/Desktop/seabridge%20fintech/greenline_pa_icon/CNP_pa_greenline_signal.jpg</t>
  </si>
  <si>
    <t>https://3arbzfbsh-cname-us.ngrok.io/Desktop/seabridge%20fintech/greenline_pa_icon/COF_pa_greenline_signal.jpg</t>
  </si>
  <si>
    <t>https://3arbzfbsh-cname-us.ngrok.io/Desktop/seabridge%20fintech/greenline_pa_icon/COG_pa_greenline_signal.jpg</t>
  </si>
  <si>
    <t>https://3arbzfbsh-cname-us.ngrok.io/Desktop/seabridge%20fintech/greenline_pa_icon/COO_pa_greenline_signal.jpg</t>
  </si>
  <si>
    <t>https://3arbzfbsh-cname-us.ngrok.io/Desktop/seabridge%20fintech/greenline_pa_icon/COP_pa_greenline_signal.jpg</t>
  </si>
  <si>
    <t>https://3arbzfbsh-cname-us.ngrok.io/Desktop/seabridge%20fintech/greenline_pa_icon/COST_pa_greenline_signal.jpg</t>
  </si>
  <si>
    <t>https://3arbzfbsh-cname-us.ngrok.io/Desktop/seabridge%20fintech/greenline_pa_icon/CPB_pa_greenline_signal.jpg</t>
  </si>
  <si>
    <t>https://3arbzfbsh-cname-us.ngrok.io/Desktop/seabridge%20fintech/greenline_pa_icon/CPRT_pa_greenline_signal.jpg</t>
  </si>
  <si>
    <t>https://3arbzfbsh-cname-us.ngrok.io/Desktop/seabridge%20fintech/greenline_pa_icon/CRL_pa_greenline_signal.jpg</t>
  </si>
  <si>
    <t>https://3arbzfbsh-cname-us.ngrok.io/Desktop/seabridge%20fintech/greenline_pa_icon/CRM_pa_greenline_signal.jpg</t>
  </si>
  <si>
    <t>https://3arbzfbsh-cname-us.ngrok.io/Desktop/seabridge%20fintech/greenline_pa_icon/CRSR_pa_greenline_signal.jpg</t>
  </si>
  <si>
    <t>https://3arbzfbsh-cname-us.ngrok.io/Desktop/seabridge%20fintech/greenline_pa_icon/CRWD_pa_greenline_signal.jpg</t>
  </si>
  <si>
    <t>https://3arbzfbsh-cname-us.ngrok.io/Desktop/seabridge%20fintech/greenline_pa_icon/CSCO_pa_greenline_signal.jpg</t>
  </si>
  <si>
    <t>https://3arbzfbsh-cname-us.ngrok.io/Desktop/seabridge%20fintech/greenline_pa_icon/CSGP_pa_greenline_signal.jpg</t>
  </si>
  <si>
    <t>https://3arbzfbsh-cname-us.ngrok.io/Desktop/seabridge%20fintech/greenline_pa_icon/CSX_pa_greenline_signal.jpg</t>
  </si>
  <si>
    <t>https://3arbzfbsh-cname-us.ngrok.io/Desktop/seabridge%20fintech/greenline_pa_icon/CTAS_pa_greenline_signal.jpg</t>
  </si>
  <si>
    <t>https://3arbzfbsh-cname-us.ngrok.io/Desktop/seabridge%20fintech/greenline_pa_icon/CTLT_pa_greenline_signal.jpg</t>
  </si>
  <si>
    <t>https://3arbzfbsh-cname-us.ngrok.io/Desktop/seabridge%20fintech/greenline_pa_icon/CTSH_pa_greenline_signal.jpg</t>
  </si>
  <si>
    <t>https://3arbzfbsh-cname-us.ngrok.io/Desktop/seabridge%20fintech/greenline_pa_icon/CTVA_pa_greenline_signal.jpg</t>
  </si>
  <si>
    <t>https://3arbzfbsh-cname-us.ngrok.io/Desktop/seabridge%20fintech/greenline_pa_icon/CTXS_pa_greenline_signal.jpg</t>
  </si>
  <si>
    <t>https://3arbzfbsh-cname-us.ngrok.io/Desktop/seabridge%20fintech/greenline_pa_icon/CVS_pa_greenline_signal.jpg</t>
  </si>
  <si>
    <t>https://3arbzfbsh-cname-us.ngrok.io/Desktop/seabridge%20fintech/greenline_pa_icon/CVX_pa_greenline_signal.jpg</t>
  </si>
  <si>
    <t>https://3arbzfbsh-cname-us.ngrok.io/Desktop/seabridge%20fintech/greenline_pa_icon/CZR_pa_greenline_signal.jpg</t>
  </si>
  <si>
    <t>https://3arbzfbsh-cname-us.ngrok.io/Desktop/seabridge%20fintech/greenline_pa_icon/D_pa_greenline_signal.jpg</t>
  </si>
  <si>
    <t>https://3arbzfbsh-cname-us.ngrok.io/Desktop/seabridge%20fintech/greenline_pa_icon/DAL_pa_greenline_signal.jpg</t>
  </si>
  <si>
    <t>https://3arbzfbsh-cname-us.ngrok.io/Desktop/seabridge%20fintech/greenline_pa_icon/DAR_pa_greenline_signal.jpg</t>
  </si>
  <si>
    <t>https://3arbzfbsh-cname-us.ngrok.io/Desktop/seabridge%20fintech/greenline_pa_icon/DBX_pa_greenline_signal.jpg</t>
  </si>
  <si>
    <t>https://3arbzfbsh-cname-us.ngrok.io/Desktop/seabridge%20fintech/greenline_pa_icon/DD_pa_greenline_signal.jpg</t>
  </si>
  <si>
    <t>https://3arbzfbsh-cname-us.ngrok.io/Desktop/seabridge%20fintech/greenline_pa_icon/DDD_pa_greenline_signal.jpg</t>
  </si>
  <si>
    <t>https://3arbzfbsh-cname-us.ngrok.io/Desktop/seabridge%20fintech/greenline_pa_icon/DDOG_pa_greenline_signal.jpg</t>
  </si>
  <si>
    <t>https://3arbzfbsh-cname-us.ngrok.io/Desktop/seabridge%20fintech/greenline_pa_icon/DE_pa_greenline_signal.jpg</t>
  </si>
  <si>
    <t>https://3arbzfbsh-cname-us.ngrok.io/Desktop/seabridge%20fintech/greenline_pa_icon/DELL_pa_greenline_signal.jpg</t>
  </si>
  <si>
    <t>https://3arbzfbsh-cname-us.ngrok.io/Desktop/seabridge%20fintech/greenline_pa_icon/DFS_pa_greenline_signal.jpg</t>
  </si>
  <si>
    <t>https://3arbzfbsh-cname-us.ngrok.io/Desktop/seabridge%20fintech/greenline_pa_icon/DG_pa_greenline_signal.jpg</t>
  </si>
  <si>
    <t>https://3arbzfbsh-cname-us.ngrok.io/Desktop/seabridge%20fintech/greenline_pa_icon/DGX_pa_greenline_signal.jpg</t>
  </si>
  <si>
    <t>https://3arbzfbsh-cname-us.ngrok.io/Desktop/seabridge%20fintech/greenline_pa_icon/DHI_pa_greenline_signal.jpg</t>
  </si>
  <si>
    <t>https://3arbzfbsh-cname-us.ngrok.io/Desktop/seabridge%20fintech/greenline_pa_icon/DHR_pa_greenline_signal.jpg</t>
  </si>
  <si>
    <t>https://3arbzfbsh-cname-us.ngrok.io/Desktop/seabridge%20fintech/greenline_pa_icon/DIA_pa_greenline_signal.jpg</t>
  </si>
  <si>
    <t>https://3arbzfbsh-cname-us.ngrok.io/Desktop/seabridge%20fintech/greenline_pa_icon/DIS_pa_greenline_signal.jpg</t>
  </si>
  <si>
    <t>https://3arbzfbsh-cname-us.ngrok.io/Desktop/seabridge%20fintech/greenline_pa_icon/DISCA_pa_greenline_signal.jpg</t>
  </si>
  <si>
    <t>https://3arbzfbsh-cname-us.ngrok.io/Desktop/seabridge%20fintech/greenline_pa_icon/DISH_pa_greenline_signal.jpg</t>
  </si>
  <si>
    <t>https://3arbzfbsh-cname-us.ngrok.io/Desktop/seabridge%20fintech/greenline_pa_icon/DKNG_pa_greenline_signal.jpg</t>
  </si>
  <si>
    <t>https://3arbzfbsh-cname-us.ngrok.io/Desktop/seabridge%20fintech/greenline_pa_icon/DLR_pa_greenline_signal.jpg</t>
  </si>
  <si>
    <t>https://3arbzfbsh-cname-us.ngrok.io/Desktop/seabridge%20fintech/greenline_pa_icon/DLTR_pa_greenline_signal.jpg</t>
  </si>
  <si>
    <t>https://3arbzfbsh-cname-us.ngrok.io/Desktop/seabridge%20fintech/greenline_pa_icon/DOCU_pa_greenline_signal.jpg</t>
  </si>
  <si>
    <t>https://3arbzfbsh-cname-us.ngrok.io/Desktop/seabridge%20fintech/greenline_pa_icon/DOV_pa_greenline_signal.jpg</t>
  </si>
  <si>
    <t>https://3arbzfbsh-cname-us.ngrok.io/Desktop/seabridge%20fintech/greenline_pa_icon/DOW_pa_greenline_signal.jpg</t>
  </si>
  <si>
    <t>https://3arbzfbsh-cname-us.ngrok.io/Desktop/seabridge%20fintech/greenline_pa_icon/DPZ_pa_greenline_signal.jpg</t>
  </si>
  <si>
    <t>https://3arbzfbsh-cname-us.ngrok.io/Desktop/seabridge%20fintech/greenline_pa_icon/DRE_pa_greenline_signal.jpg</t>
  </si>
  <si>
    <t>https://3arbzfbsh-cname-us.ngrok.io/Desktop/seabridge%20fintech/greenline_pa_icon/DRI_pa_greenline_signal.jpg</t>
  </si>
  <si>
    <t>https://3arbzfbsh-cname-us.ngrok.io/Desktop/seabridge%20fintech/greenline_pa_icon/DTE_pa_greenline_signal.jpg</t>
  </si>
  <si>
    <t>https://3arbzfbsh-cname-us.ngrok.io/Desktop/seabridge%20fintech/greenline_pa_icon/DUK_pa_greenline_signal.jpg</t>
  </si>
  <si>
    <t>https://3arbzfbsh-cname-us.ngrok.io/Desktop/seabridge%20fintech/greenline_pa_icon/DVA_pa_greenline_signal.jpg</t>
  </si>
  <si>
    <t>https://3arbzfbsh-cname-us.ngrok.io/Desktop/seabridge%20fintech/greenline_pa_icon/DVN_pa_greenline_signal.jpg</t>
  </si>
  <si>
    <t>https://3arbzfbsh-cname-us.ngrok.io/Desktop/seabridge%20fintech/greenline_pa_icon/DXC_pa_greenline_signal.jpg</t>
  </si>
  <si>
    <t>https://3arbzfbsh-cname-us.ngrok.io/Desktop/seabridge%20fintech/greenline_pa_icon/DXCM_pa_greenline_signal.jpg</t>
  </si>
  <si>
    <t>https://3arbzfbsh-cname-us.ngrok.io/Desktop/seabridge%20fintech/greenline_pa_icon/EA_pa_greenline_signal.jpg</t>
  </si>
  <si>
    <t>https://3arbzfbsh-cname-us.ngrok.io/Desktop/seabridge%20fintech/greenline_pa_icon/EBAY_pa_greenline_signal.jpg</t>
  </si>
  <si>
    <t>https://3arbzfbsh-cname-us.ngrok.io/Desktop/seabridge%20fintech/greenline_pa_icon/ECL_pa_greenline_signal.jpg</t>
  </si>
  <si>
    <t>https://3arbzfbsh-cname-us.ngrok.io/Desktop/seabridge%20fintech/greenline_pa_icon/ED_pa_greenline_signal.jpg</t>
  </si>
  <si>
    <t>https://3arbzfbsh-cname-us.ngrok.io/Desktop/seabridge%20fintech/greenline_pa_icon/EEM_pa_greenline_signal.jpg</t>
  </si>
  <si>
    <t>https://3arbzfbsh-cname-us.ngrok.io/Desktop/seabridge%20fintech/greenline_pa_icon/EFA_pa_greenline_signal.jpg</t>
  </si>
  <si>
    <t>https://3arbzfbsh-cname-us.ngrok.io/Desktop/seabridge%20fintech/greenline_pa_icon/EFX_pa_greenline_signal.jpg</t>
  </si>
  <si>
    <t>https://3arbzfbsh-cname-us.ngrok.io/Desktop/seabridge%20fintech/greenline_pa_icon/EIX_pa_greenline_signal.jpg</t>
  </si>
  <si>
    <t>https://3arbzfbsh-cname-us.ngrok.io/Desktop/seabridge%20fintech/greenline_pa_icon/EL_pa_greenline_signal.jpg</t>
  </si>
  <si>
    <t>https://3arbzfbsh-cname-us.ngrok.io/Desktop/seabridge%20fintech/greenline_pa_icon/ELAN_pa_greenline_signal.jpg</t>
  </si>
  <si>
    <t>https://3arbzfbsh-cname-us.ngrok.io/Desktop/seabridge%20fintech/greenline_pa_icon/ELY_pa_greenline_signal.jpg</t>
  </si>
  <si>
    <t>https://3arbzfbsh-cname-us.ngrok.io/Desktop/seabridge%20fintech/greenline_pa_icon/EMB_pa_greenline_signal.jpg</t>
  </si>
  <si>
    <t>https://3arbzfbsh-cname-us.ngrok.io/Desktop/seabridge%20fintech/greenline_pa_icon/EMN_pa_greenline_signal.jpg</t>
  </si>
  <si>
    <t>https://3arbzfbsh-cname-us.ngrok.io/Desktop/seabridge%20fintech/greenline_pa_icon/EMR_pa_greenline_signal.jpg</t>
  </si>
  <si>
    <t>https://3arbzfbsh-cname-us.ngrok.io/Desktop/seabridge%20fintech/greenline_pa_icon/ENPH_pa_greenline_signal.jpg</t>
  </si>
  <si>
    <t>https://3arbzfbsh-cname-us.ngrok.io/Desktop/seabridge%20fintech/greenline_pa_icon/EOG_pa_greenline_signal.jpg</t>
  </si>
  <si>
    <t>https://3arbzfbsh-cname-us.ngrok.io/Desktop/seabridge%20fintech/greenline_pa_icon/EQH_pa_greenline_signal.jpg</t>
  </si>
  <si>
    <t>https://3arbzfbsh-cname-us.ngrok.io/Desktop/seabridge%20fintech/greenline_pa_icon/EQIX_pa_greenline_signal.jpg</t>
  </si>
  <si>
    <t>https://3arbzfbsh-cname-us.ngrok.io/Desktop/seabridge%20fintech/greenline_pa_icon/EQR_pa_greenline_signal.jpg</t>
  </si>
  <si>
    <t>https://3arbzfbsh-cname-us.ngrok.io/Desktop/seabridge%20fintech/greenline_pa_icon/ES_pa_greenline_signal.jpg</t>
  </si>
  <si>
    <t>https://3arbzfbsh-cname-us.ngrok.io/Desktop/seabridge%20fintech/greenline_pa_icon/ESS_pa_greenline_signal.jpg</t>
  </si>
  <si>
    <t>https://3arbzfbsh-cname-us.ngrok.io/Desktop/seabridge%20fintech/greenline_pa_icon/ETN_pa_greenline_signal.jpg</t>
  </si>
  <si>
    <t>https://3arbzfbsh-cname-us.ngrok.io/Desktop/seabridge%20fintech/greenline_pa_icon/ETR_pa_greenline_signal.jpg</t>
  </si>
  <si>
    <t>https://3arbzfbsh-cname-us.ngrok.io/Desktop/seabridge%20fintech/greenline_pa_icon/ETSY_pa_greenline_signal.jpg</t>
  </si>
  <si>
    <t>https://3arbzfbsh-cname-us.ngrok.io/Desktop/seabridge%20fintech/greenline_pa_icon/EVRG_pa_greenline_signal.jpg</t>
  </si>
  <si>
    <t>https://3arbzfbsh-cname-us.ngrok.io/Desktop/seabridge%20fintech/greenline_pa_icon/EW_pa_greenline_signal.jpg</t>
  </si>
  <si>
    <t>https://3arbzfbsh-cname-us.ngrok.io/Desktop/seabridge%20fintech/greenline_pa_icon/EWC_pa_greenline_signal.jpg</t>
  </si>
  <si>
    <t>https://3arbzfbsh-cname-us.ngrok.io/Desktop/seabridge%20fintech/greenline_pa_icon/EWG_pa_greenline_signal.jpg</t>
  </si>
  <si>
    <t>https://3arbzfbsh-cname-us.ngrok.io/Desktop/seabridge%20fintech/greenline_pa_icon/EWH_pa_greenline_signal.jpg</t>
  </si>
  <si>
    <t>https://3arbzfbsh-cname-us.ngrok.io/Desktop/seabridge%20fintech/greenline_pa_icon/EWJ_pa_greenline_signal.jpg</t>
  </si>
  <si>
    <t>https://3arbzfbsh-cname-us.ngrok.io/Desktop/seabridge%20fintech/greenline_pa_icon/EWT_pa_greenline_signal.jpg</t>
  </si>
  <si>
    <t>https://3arbzfbsh-cname-us.ngrok.io/Desktop/seabridge%20fintech/greenline_pa_icon/EWU_pa_greenline_signal.jpg</t>
  </si>
  <si>
    <t>https://3arbzfbsh-cname-us.ngrok.io/Desktop/seabridge%20fintech/greenline_pa_icon/EWY_pa_greenline_signal.jpg</t>
  </si>
  <si>
    <t>https://3arbzfbsh-cname-us.ngrok.io/Desktop/seabridge%20fintech/greenline_pa_icon/EWZ_pa_greenline_signal.jpg</t>
  </si>
  <si>
    <t>https://3arbzfbsh-cname-us.ngrok.io/Desktop/seabridge%20fintech/greenline_pa_icon/EXC_pa_greenline_signal.jpg</t>
  </si>
  <si>
    <t>https://3arbzfbsh-cname-us.ngrok.io/Desktop/seabridge%20fintech/greenline_pa_icon/EXPD_pa_greenline_signal.jpg</t>
  </si>
  <si>
    <t>https://3arbzfbsh-cname-us.ngrok.io/Desktop/seabridge%20fintech/greenline_pa_icon/EXPE_pa_greenline_signal.jpg</t>
  </si>
  <si>
    <t>https://3arbzfbsh-cname-us.ngrok.io/Desktop/seabridge%20fintech/greenline_pa_icon/EXR_pa_greenline_signal.jpg</t>
  </si>
  <si>
    <t>https://3arbzfbsh-cname-us.ngrok.io/Desktop/seabridge%20fintech/greenline_pa_icon/EZU_pa_greenline_signal.jpg</t>
  </si>
  <si>
    <t>https://3arbzfbsh-cname-us.ngrok.io/Desktop/seabridge%20fintech/greenline_pa_icon/F_pa_greenline_signal.jpg</t>
  </si>
  <si>
    <t>https://3arbzfbsh-cname-us.ngrok.io/Desktop/seabridge%20fintech/greenline_pa_icon/FANG_pa_greenline_signal.jpg</t>
  </si>
  <si>
    <t>https://3arbzfbsh-cname-us.ngrok.io/Desktop/seabridge%20fintech/greenline_pa_icon/FAST_pa_greenline_signal.jpg</t>
  </si>
  <si>
    <t>https://3arbzfbsh-cname-us.ngrok.io/Desktop/seabridge%20fintech/greenline_pa_icon/FB_pa_greenline_signal.jpg</t>
  </si>
  <si>
    <t>https://3arbzfbsh-cname-us.ngrok.io/Desktop/seabridge%20fintech/greenline_pa_icon/FBHS_pa_greenline_signal.jpg</t>
  </si>
  <si>
    <t>https://3arbzfbsh-cname-us.ngrok.io/Desktop/seabridge%20fintech/greenline_pa_icon/FCX_pa_greenline_signal.jpg</t>
  </si>
  <si>
    <t>https://3arbzfbsh-cname-us.ngrok.io/Desktop/seabridge%20fintech/greenline_pa_icon/FDX_pa_greenline_signal.jpg</t>
  </si>
  <si>
    <t>https://3arbzfbsh-cname-us.ngrok.io/Desktop/seabridge%20fintech/greenline_pa_icon/FE_pa_greenline_signal.jpg</t>
  </si>
  <si>
    <t>https://3arbzfbsh-cname-us.ngrok.io/Desktop/seabridge%20fintech/greenline_pa_icon/FFIV_pa_greenline_signal.jpg</t>
  </si>
  <si>
    <t>https://3arbzfbsh-cname-us.ngrok.io/Desktop/seabridge%20fintech/greenline_pa_icon/FIS_pa_greenline_signal.jpg</t>
  </si>
  <si>
    <t>https://3arbzfbsh-cname-us.ngrok.io/Desktop/seabridge%20fintech/greenline_pa_icon/FISV_pa_greenline_signal.jpg</t>
  </si>
  <si>
    <t>https://3arbzfbsh-cname-us.ngrok.io/Desktop/seabridge%20fintech/greenline_pa_icon/FITB_pa_greenline_signal.jpg</t>
  </si>
  <si>
    <t>https://3arbzfbsh-cname-us.ngrok.io/Desktop/seabridge%20fintech/greenline_pa_icon/FLT_pa_greenline_signal.jpg</t>
  </si>
  <si>
    <t>https://3arbzfbsh-cname-us.ngrok.io/Desktop/seabridge%20fintech/greenline_pa_icon/FMC_pa_greenline_signal.jpg</t>
  </si>
  <si>
    <t>https://3arbzfbsh-cname-us.ngrok.io/Desktop/seabridge%20fintech/greenline_pa_icon/FOX_pa_greenline_signal.jpg</t>
  </si>
  <si>
    <t>https://3arbzfbsh-cname-us.ngrok.io/Desktop/seabridge%20fintech/greenline_pa_icon/FOXA_pa_greenline_signal.jpg</t>
  </si>
  <si>
    <t>https://3arbzfbsh-cname-us.ngrok.io/Desktop/seabridge%20fintech/greenline_pa_icon/FRC_pa_greenline_signal.jpg</t>
  </si>
  <si>
    <t>https://3arbzfbsh-cname-us.ngrok.io/Desktop/seabridge%20fintech/greenline_pa_icon/FRT_pa_greenline_signal.jpg</t>
  </si>
  <si>
    <t>https://3arbzfbsh-cname-us.ngrok.io/Desktop/seabridge%20fintech/greenline_pa_icon/FSLR_pa_greenline_signal.jpg</t>
  </si>
  <si>
    <t>https://3arbzfbsh-cname-us.ngrok.io/Desktop/seabridge%20fintech/greenline_pa_icon/FSLY_pa_greenline_signal.jpg</t>
  </si>
  <si>
    <t>https://3arbzfbsh-cname-us.ngrok.io/Desktop/seabridge%20fintech/greenline_pa_icon/FTNT_pa_greenline_signal.jpg</t>
  </si>
  <si>
    <t>https://3arbzfbsh-cname-us.ngrok.io/Desktop/seabridge%20fintech/greenline_pa_icon/FTV_pa_greenline_signal.jpg</t>
  </si>
  <si>
    <t>https://3arbzfbsh-cname-us.ngrok.io/Desktop/seabridge%20fintech/greenline_pa_icon/FUBO_pa_greenline_signal.jpg</t>
  </si>
  <si>
    <t>https://3arbzfbsh-cname-us.ngrok.io/Desktop/seabridge%20fintech/greenline_pa_icon/FXI_pa_greenline_signal.jpg</t>
  </si>
  <si>
    <t>https://3arbzfbsh-cname-us.ngrok.io/Desktop/seabridge%20fintech/greenline_pa_icon/GBTC_pa_greenline_signal.jpg</t>
  </si>
  <si>
    <t>https://3arbzfbsh-cname-us.ngrok.io/Desktop/seabridge%20fintech/greenline_pa_icon/GD_pa_greenline_signal.jpg</t>
  </si>
  <si>
    <t>https://3arbzfbsh-cname-us.ngrok.io/Desktop/seabridge%20fintech/greenline_pa_icon/GDX_pa_greenline_signal.jpg</t>
  </si>
  <si>
    <t>https://3arbzfbsh-cname-us.ngrok.io/Desktop/seabridge%20fintech/greenline_pa_icon/GE_pa_greenline_signal.jpg</t>
  </si>
  <si>
    <t>https://3arbzfbsh-cname-us.ngrok.io/Desktop/seabridge%20fintech/greenline_pa_icon/GILD_pa_greenline_signal.jpg</t>
  </si>
  <si>
    <t>https://3arbzfbsh-cname-us.ngrok.io/Desktop/seabridge%20fintech/greenline_pa_icon/GIS_pa_greenline_signal.jpg</t>
  </si>
  <si>
    <t>https://3arbzfbsh-cname-us.ngrok.io/Desktop/seabridge%20fintech/greenline_pa_icon/GL_pa_greenline_signal.jpg</t>
  </si>
  <si>
    <t>https://3arbzfbsh-cname-us.ngrok.io/Desktop/seabridge%20fintech/greenline_pa_icon/GLD_pa_greenline_signal.jpg</t>
  </si>
  <si>
    <t>https://3arbzfbsh-cname-us.ngrok.io/Desktop/seabridge%20fintech/greenline_pa_icon/GLW_pa_greenline_signal.jpg</t>
  </si>
  <si>
    <t>https://3arbzfbsh-cname-us.ngrok.io/Desktop/seabridge%20fintech/greenline_pa_icon/GM_pa_greenline_signal.jpg</t>
  </si>
  <si>
    <t>https://3arbzfbsh-cname-us.ngrok.io/Desktop/seabridge%20fintech/greenline_pa_icon/GME_pa_greenline_signal.jpg</t>
  </si>
  <si>
    <t>https://3arbzfbsh-cname-us.ngrok.io/Desktop/seabridge%20fintech/greenline_pa_icon/GNRC_pa_greenline_signal.jpg</t>
  </si>
  <si>
    <t>https://3arbzfbsh-cname-us.ngrok.io/Desktop/seabridge%20fintech/greenline_pa_icon/GOOG_pa_greenline_signal.jpg</t>
  </si>
  <si>
    <t>https://3arbzfbsh-cname-us.ngrok.io/Desktop/seabridge%20fintech/greenline_pa_icon/GOOGL_pa_greenline_signal.jpg</t>
  </si>
  <si>
    <t>https://3arbzfbsh-cname-us.ngrok.io/Desktop/seabridge%20fintech/greenline_pa_icon/GOVT_pa_greenline_signal.jpg</t>
  </si>
  <si>
    <t>https://3arbzfbsh-cname-us.ngrok.io/Desktop/seabridge%20fintech/greenline_pa_icon/GPC_pa_greenline_signal.jpg</t>
  </si>
  <si>
    <t>https://3arbzfbsh-cname-us.ngrok.io/Desktop/seabridge%20fintech/greenline_pa_icon/GPN_pa_greenline_signal.jpg</t>
  </si>
  <si>
    <t>https://3arbzfbsh-cname-us.ngrok.io/Desktop/seabridge%20fintech/greenline_pa_icon/GPS_pa_greenline_signal.jpg</t>
  </si>
  <si>
    <t>https://3arbzfbsh-cname-us.ngrok.io/Desktop/seabridge%20fintech/greenline_pa_icon/GRMN_pa_greenline_signal.jpg</t>
  </si>
  <si>
    <t>https://3arbzfbsh-cname-us.ngrok.io/Desktop/seabridge%20fintech/greenline_pa_icon/GS_pa_greenline_signal.jpg</t>
  </si>
  <si>
    <t>https://3arbzfbsh-cname-us.ngrok.io/Desktop/seabridge%20fintech/greenline_pa_icon/GWW_pa_greenline_signal.jpg</t>
  </si>
  <si>
    <t>https://3arbzfbsh-cname-us.ngrok.io/Desktop/seabridge%20fintech/greenline_pa_icon/HAL_pa_greenline_signal.jpg</t>
  </si>
  <si>
    <t>https://3arbzfbsh-cname-us.ngrok.io/Desktop/seabridge%20fintech/greenline_pa_icon/HAS_pa_greenline_signal.jpg</t>
  </si>
  <si>
    <t>https://3arbzfbsh-cname-us.ngrok.io/Desktop/seabridge%20fintech/greenline_pa_icon/HBAN_pa_greenline_signal.jpg</t>
  </si>
  <si>
    <t>https://3arbzfbsh-cname-us.ngrok.io/Desktop/seabridge%20fintech/greenline_pa_icon/HBI_pa_greenline_signal.jpg</t>
  </si>
  <si>
    <t>https://3arbzfbsh-cname-us.ngrok.io/Desktop/seabridge%20fintech/greenline_pa_icon/HCA_pa_greenline_signal.jpg</t>
  </si>
  <si>
    <t>https://3arbzfbsh-cname-us.ngrok.io/Desktop/seabridge%20fintech/greenline_pa_icon/HD_pa_greenline_signal.jpg</t>
  </si>
  <si>
    <t>https://3arbzfbsh-cname-us.ngrok.io/Desktop/seabridge%20fintech/greenline_pa_icon/HES_pa_greenline_signal.jpg</t>
  </si>
  <si>
    <t>https://3arbzfbsh-cname-us.ngrok.io/Desktop/seabridge%20fintech/greenline_pa_icon/HFC_pa_greenline_signal.jpg</t>
  </si>
  <si>
    <t>https://3arbzfbsh-cname-us.ngrok.io/Desktop/seabridge%20fintech/greenline_pa_icon/HIG_pa_greenline_signal.jpg</t>
  </si>
  <si>
    <t>https://3arbzfbsh-cname-us.ngrok.io/Desktop/seabridge%20fintech/greenline_pa_icon/HII_pa_greenline_signal.jpg</t>
  </si>
  <si>
    <t>https://3arbzfbsh-cname-us.ngrok.io/Desktop/seabridge%20fintech/greenline_pa_icon/HLT_pa_greenline_signal.jpg</t>
  </si>
  <si>
    <t>https://3arbzfbsh-cname-us.ngrok.io/Desktop/seabridge%20fintech/greenline_pa_icon/HOG_pa_greenline_signal.jpg</t>
  </si>
  <si>
    <t>https://3arbzfbsh-cname-us.ngrok.io/Desktop/seabridge%20fintech/greenline_pa_icon/HOLX_pa_greenline_signal.jpg</t>
  </si>
  <si>
    <t>https://3arbzfbsh-cname-us.ngrok.io/Desktop/seabridge%20fintech/greenline_pa_icon/HOME_pa_greenline_signal.jpg</t>
  </si>
  <si>
    <t>https://3arbzfbsh-cname-us.ngrok.io/Desktop/seabridge%20fintech/greenline_pa_icon/HON_pa_greenline_signal.jpg</t>
  </si>
  <si>
    <t>https://3arbzfbsh-cname-us.ngrok.io/Desktop/seabridge%20fintech/greenline_pa_icon/HPE_pa_greenline_signal.jpg</t>
  </si>
  <si>
    <t>https://3arbzfbsh-cname-us.ngrok.io/Desktop/seabridge%20fintech/greenline_pa_icon/HPQ_pa_greenline_signal.jpg</t>
  </si>
  <si>
    <t>https://3arbzfbsh-cname-us.ngrok.io/Desktop/seabridge%20fintech/greenline_pa_icon/HRL_pa_greenline_signal.jpg</t>
  </si>
  <si>
    <t>https://3arbzfbsh-cname-us.ngrok.io/Desktop/seabridge%20fintech/greenline_pa_icon/HSIC_pa_greenline_signal.jpg</t>
  </si>
  <si>
    <t>https://3arbzfbsh-cname-us.ngrok.io/Desktop/seabridge%20fintech/greenline_pa_icon/HST_pa_greenline_signal.jpg</t>
  </si>
  <si>
    <t>https://3arbzfbsh-cname-us.ngrok.io/Desktop/seabridge%20fintech/greenline_pa_icon/HSY_pa_greenline_signal.jpg</t>
  </si>
  <si>
    <t>https://3arbzfbsh-cname-us.ngrok.io/Desktop/seabridge%20fintech/greenline_pa_icon/HUM_pa_greenline_signal.jpg</t>
  </si>
  <si>
    <t>https://3arbzfbsh-cname-us.ngrok.io/Desktop/seabridge%20fintech/greenline_pa_icon/HUN_pa_greenline_signal.jpg</t>
  </si>
  <si>
    <t>https://3arbzfbsh-cname-us.ngrok.io/Desktop/seabridge%20fintech/greenline_pa_icon/HWM_pa_greenline_signal.jpg</t>
  </si>
  <si>
    <t>https://3arbzfbsh-cname-us.ngrok.io/Desktop/seabridge%20fintech/greenline_pa_icon/HYG_pa_greenline_signal.jpg</t>
  </si>
  <si>
    <t>https://3arbzfbsh-cname-us.ngrok.io/Desktop/seabridge%20fintech/greenline_pa_icon/HYLB_pa_greenline_signal.jpg</t>
  </si>
  <si>
    <t>https://3arbzfbsh-cname-us.ngrok.io/Desktop/seabridge%20fintech/greenline_pa_icon/IAU_pa_greenline_signal.jpg</t>
  </si>
  <si>
    <t>https://3arbzfbsh-cname-us.ngrok.io/Desktop/seabridge%20fintech/greenline_pa_icon/IBB_pa_greenline_signal.jpg</t>
  </si>
  <si>
    <t>https://3arbzfbsh-cname-us.ngrok.io/Desktop/seabridge%20fintech/greenline_pa_icon/IBM_pa_greenline_signal.jpg</t>
  </si>
  <si>
    <t>https://3arbzfbsh-cname-us.ngrok.io/Desktop/seabridge%20fintech/greenline_pa_icon/ICE_pa_greenline_signal.jpg</t>
  </si>
  <si>
    <t>https://3arbzfbsh-cname-us.ngrok.io/Desktop/seabridge%20fintech/greenline_pa_icon/IDXX_pa_greenline_signal.jpg</t>
  </si>
  <si>
    <t>https://3arbzfbsh-cname-us.ngrok.io/Desktop/seabridge%20fintech/greenline_pa_icon/IEF_pa_greenline_signal.jpg</t>
  </si>
  <si>
    <t>https://3arbzfbsh-cname-us.ngrok.io/Desktop/seabridge%20fintech/greenline_pa_icon/IEFA_pa_greenline_signal.jpg</t>
  </si>
  <si>
    <t>https://3arbzfbsh-cname-us.ngrok.io/Desktop/seabridge%20fintech/greenline_pa_icon/IEMG_pa_greenline_signal.jpg</t>
  </si>
  <si>
    <t>https://3arbzfbsh-cname-us.ngrok.io/Desktop/seabridge%20fintech/greenline_pa_icon/IEX_pa_greenline_signal.jpg</t>
  </si>
  <si>
    <t>https://3arbzfbsh-cname-us.ngrok.io/Desktop/seabridge%20fintech/greenline_pa_icon/IFF_pa_greenline_signal.jpg</t>
  </si>
  <si>
    <t>https://3arbzfbsh-cname-us.ngrok.io/Desktop/seabridge%20fintech/greenline_pa_icon/IJR_pa_greenline_signal.jpg</t>
  </si>
  <si>
    <t>https://3arbzfbsh-cname-us.ngrok.io/Desktop/seabridge%20fintech/greenline_pa_icon/ILMN_pa_greenline_signal.jpg</t>
  </si>
  <si>
    <t>https://3arbzfbsh-cname-us.ngrok.io/Desktop/seabridge%20fintech/greenline_pa_icon/INCY_pa_greenline_signal.jpg</t>
  </si>
  <si>
    <t>https://3arbzfbsh-cname-us.ngrok.io/Desktop/seabridge%20fintech/greenline_pa_icon/INDA_pa_greenline_signal.jpg</t>
  </si>
  <si>
    <t>https://3arbzfbsh-cname-us.ngrok.io/Desktop/seabridge%20fintech/greenline_pa_icon/INFO_pa_greenline_signal.jpg</t>
  </si>
  <si>
    <t>https://3arbzfbsh-cname-us.ngrok.io/Desktop/seabridge%20fintech/greenline_pa_icon/INTC_pa_greenline_signal.jpg</t>
  </si>
  <si>
    <t>https://3arbzfbsh-cname-us.ngrok.io/Desktop/seabridge%20fintech/greenline_pa_icon/INTU_pa_greenline_signal.jpg</t>
  </si>
  <si>
    <t>https://3arbzfbsh-cname-us.ngrok.io/Desktop/seabridge%20fintech/greenline_pa_icon/INVH_pa_greenline_signal.jpg</t>
  </si>
  <si>
    <t>https://3arbzfbsh-cname-us.ngrok.io/Desktop/seabridge%20fintech/greenline_pa_icon/IP_pa_greenline_signal.jpg</t>
  </si>
  <si>
    <t>https://3arbzfbsh-cname-us.ngrok.io/Desktop/seabridge%20fintech/greenline_pa_icon/IPG_pa_greenline_signal.jpg</t>
  </si>
  <si>
    <t>https://3arbzfbsh-cname-us.ngrok.io/Desktop/seabridge%20fintech/greenline_pa_icon/IPGP_pa_greenline_signal.jpg</t>
  </si>
  <si>
    <t>https://3arbzfbsh-cname-us.ngrok.io/Desktop/seabridge%20fintech/greenline_pa_icon/IQV_pa_greenline_signal.jpg</t>
  </si>
  <si>
    <t>https://3arbzfbsh-cname-us.ngrok.io/Desktop/seabridge%20fintech/greenline_pa_icon/IR_pa_greenline_signal.jpg</t>
  </si>
  <si>
    <t>https://3arbzfbsh-cname-us.ngrok.io/Desktop/seabridge%20fintech/greenline_pa_icon/IRM_pa_greenline_signal.jpg</t>
  </si>
  <si>
    <t>https://3arbzfbsh-cname-us.ngrok.io/Desktop/seabridge%20fintech/greenline_pa_icon/ISRG_pa_greenline_signal.jpg</t>
  </si>
  <si>
    <t>https://3arbzfbsh-cname-us.ngrok.io/Desktop/seabridge%20fintech/greenline_pa_icon/IT_pa_greenline_signal.jpg</t>
  </si>
  <si>
    <t>https://3arbzfbsh-cname-us.ngrok.io/Desktop/seabridge%20fintech/greenline_pa_icon/ITW_pa_greenline_signal.jpg</t>
  </si>
  <si>
    <t>https://3arbzfbsh-cname-us.ngrok.io/Desktop/seabridge%20fintech/greenline_pa_icon/IVV_pa_greenline_signal.jpg</t>
  </si>
  <si>
    <t>https://3arbzfbsh-cname-us.ngrok.io/Desktop/seabridge%20fintech/greenline_pa_icon/IVZ_pa_greenline_signal.jpg</t>
  </si>
  <si>
    <t>https://3arbzfbsh-cname-us.ngrok.io/Desktop/seabridge%20fintech/greenline_pa_icon/IWD_pa_greenline_signal.jpg</t>
  </si>
  <si>
    <t>https://3arbzfbsh-cname-us.ngrok.io/Desktop/seabridge%20fintech/greenline_pa_icon/IWM_pa_greenline_signal.jpg</t>
  </si>
  <si>
    <t>https://3arbzfbsh-cname-us.ngrok.io/Desktop/seabridge%20fintech/greenline_pa_icon/IYR_pa_greenline_signal.jpg</t>
  </si>
  <si>
    <t>https://3arbzfbsh-cname-us.ngrok.io/Desktop/seabridge%20fintech/greenline_pa_icon/J_pa_greenline_signal.jpg</t>
  </si>
  <si>
    <t>https://3arbzfbsh-cname-us.ngrok.io/Desktop/seabridge%20fintech/greenline_pa_icon/JBHT_pa_greenline_signal.jpg</t>
  </si>
  <si>
    <t>https://3arbzfbsh-cname-us.ngrok.io/Desktop/seabridge%20fintech/greenline_pa_icon/JCI_pa_greenline_signal.jpg</t>
  </si>
  <si>
    <t>https://3arbzfbsh-cname-us.ngrok.io/Desktop/seabridge%20fintech/greenline_pa_icon/JD_pa_greenline_signal.jpg</t>
  </si>
  <si>
    <t>https://3arbzfbsh-cname-us.ngrok.io/Desktop/seabridge%20fintech/greenline_pa_icon/JEF_pa_greenline_signal.jpg</t>
  </si>
  <si>
    <t>https://3arbzfbsh-cname-us.ngrok.io/Desktop/seabridge%20fintech/greenline_pa_icon/JKHY_pa_greenline_signal.jpg</t>
  </si>
  <si>
    <t>https://3arbzfbsh-cname-us.ngrok.io/Desktop/seabridge%20fintech/greenline_pa_icon/JNJ_pa_greenline_signal.jpg</t>
  </si>
  <si>
    <t>https://3arbzfbsh-cname-us.ngrok.io/Desktop/seabridge%20fintech/greenline_pa_icon/JNK_pa_greenline_signal.jpg</t>
  </si>
  <si>
    <t>https://3arbzfbsh-cname-us.ngrok.io/Desktop/seabridge%20fintech/greenline_pa_icon/JNPR_pa_greenline_signal.jpg</t>
  </si>
  <si>
    <t>https://3arbzfbsh-cname-us.ngrok.io/Desktop/seabridge%20fintech/greenline_pa_icon/JPM_pa_greenline_signal.jpg</t>
  </si>
  <si>
    <t>https://3arbzfbsh-cname-us.ngrok.io/Desktop/seabridge%20fintech/greenline_pa_icon/JPST_pa_greenline_signal.jpg</t>
  </si>
  <si>
    <t>https://3arbzfbsh-cname-us.ngrok.io/Desktop/seabridge%20fintech/greenline_pa_icon/JWN_pa_greenline_signal.jpg</t>
  </si>
  <si>
    <t>https://3arbzfbsh-cname-us.ngrok.io/Desktop/seabridge%20fintech/greenline_pa_icon/K_pa_greenline_signal.jpg</t>
  </si>
  <si>
    <t>https://3arbzfbsh-cname-us.ngrok.io/Desktop/seabridge%20fintech/greenline_pa_icon/KBE_pa_greenline_signal.jpg</t>
  </si>
  <si>
    <t>https://3arbzfbsh-cname-us.ngrok.io/Desktop/seabridge%20fintech/greenline_pa_icon/KDP_pa_greenline_signal.jpg</t>
  </si>
  <si>
    <t>https://3arbzfbsh-cname-us.ngrok.io/Desktop/seabridge%20fintech/greenline_pa_icon/KEY_pa_greenline_signal.jpg</t>
  </si>
  <si>
    <t>https://3arbzfbsh-cname-us.ngrok.io/Desktop/seabridge%20fintech/greenline_pa_icon/KEYS_pa_greenline_signal.jpg</t>
  </si>
  <si>
    <t>https://3arbzfbsh-cname-us.ngrok.io/Desktop/seabridge%20fintech/greenline_pa_icon/KHC_pa_greenline_signal.jpg</t>
  </si>
  <si>
    <t>https://3arbzfbsh-cname-us.ngrok.io/Desktop/seabridge%20fintech/greenline_pa_icon/KIM_pa_greenline_signal.jpg</t>
  </si>
  <si>
    <t>https://3arbzfbsh-cname-us.ngrok.io/Desktop/seabridge%20fintech/greenline_pa_icon/KKR_pa_greenline_signal.jpg</t>
  </si>
  <si>
    <t>https://3arbzfbsh-cname-us.ngrok.io/Desktop/seabridge%20fintech/greenline_pa_icon/KLAC_pa_greenline_signal.jpg</t>
  </si>
  <si>
    <t>https://3arbzfbsh-cname-us.ngrok.io/Desktop/seabridge%20fintech/greenline_pa_icon/KMB_pa_greenline_signal.jpg</t>
  </si>
  <si>
    <t>https://3arbzfbsh-cname-us.ngrok.io/Desktop/seabridge%20fintech/greenline_pa_icon/KMI_pa_greenline_signal.jpg</t>
  </si>
  <si>
    <t>https://3arbzfbsh-cname-us.ngrok.io/Desktop/seabridge%20fintech/greenline_pa_icon/KMX_pa_greenline_signal.jpg</t>
  </si>
  <si>
    <t>https://3arbzfbsh-cname-us.ngrok.io/Desktop/seabridge%20fintech/greenline_pa_icon/KO_pa_greenline_signal.jpg</t>
  </si>
  <si>
    <t>https://3arbzfbsh-cname-us.ngrok.io/Desktop/seabridge%20fintech/greenline_pa_icon/KR_pa_greenline_signal.jpg</t>
  </si>
  <si>
    <t>https://3arbzfbsh-cname-us.ngrok.io/Desktop/seabridge%20fintech/greenline_pa_icon/KRE_pa_greenline_signal.jpg</t>
  </si>
  <si>
    <t>https://3arbzfbsh-cname-us.ngrok.io/Desktop/seabridge%20fintech/greenline_pa_icon/KSS_pa_greenline_signal.jpg</t>
  </si>
  <si>
    <t>https://3arbzfbsh-cname-us.ngrok.io/Desktop/seabridge%20fintech/greenline_pa_icon/KSU_pa_greenline_signal.jpg</t>
  </si>
  <si>
    <t>https://3arbzfbsh-cname-us.ngrok.io/Desktop/seabridge%20fintech/greenline_pa_icon/KWEB_pa_greenline_signal.jpg</t>
  </si>
  <si>
    <t>https://3arbzfbsh-cname-us.ngrok.io/Desktop/seabridge%20fintech/greenline_pa_icon/L_pa_greenline_signal.jpg</t>
  </si>
  <si>
    <t>https://3arbzfbsh-cname-us.ngrok.io/Desktop/seabridge%20fintech/greenline_pa_icon/LB_pa_greenline_signal.jpg</t>
  </si>
  <si>
    <t>https://3arbzfbsh-cname-us.ngrok.io/Desktop/seabridge%20fintech/greenline_pa_icon/LDOS_pa_greenline_signal.jpg</t>
  </si>
  <si>
    <t>https://3arbzfbsh-cname-us.ngrok.io/Desktop/seabridge%20fintech/greenline_pa_icon/LEG_pa_greenline_signal.jpg</t>
  </si>
  <si>
    <t>https://3arbzfbsh-cname-us.ngrok.io/Desktop/seabridge%20fintech/greenline_pa_icon/LEN_pa_greenline_signal.jpg</t>
  </si>
  <si>
    <t>https://3arbzfbsh-cname-us.ngrok.io/Desktop/seabridge%20fintech/greenline_pa_icon/LESL_pa_greenline_signal.jpg</t>
  </si>
  <si>
    <t>https://3arbzfbsh-cname-us.ngrok.io/Desktop/seabridge%20fintech/greenline_pa_icon/LH_pa_greenline_signal.jpg</t>
  </si>
  <si>
    <t>https://3arbzfbsh-cname-us.ngrok.io/Desktop/seabridge%20fintech/greenline_pa_icon/LHX_pa_greenline_signal.jpg</t>
  </si>
  <si>
    <t>https://3arbzfbsh-cname-us.ngrok.io/Desktop/seabridge%20fintech/greenline_pa_icon/LIN_pa_greenline_signal.jpg</t>
  </si>
  <si>
    <t>https://3arbzfbsh-cname-us.ngrok.io/Desktop/seabridge%20fintech/greenline_pa_icon/LKQ_pa_greenline_signal.jpg</t>
  </si>
  <si>
    <t>https://3arbzfbsh-cname-us.ngrok.io/Desktop/seabridge%20fintech/greenline_pa_icon/LLY_pa_greenline_signal.jpg</t>
  </si>
  <si>
    <t>https://3arbzfbsh-cname-us.ngrok.io/Desktop/seabridge%20fintech/greenline_pa_icon/LMND_pa_greenline_signal.jpg</t>
  </si>
  <si>
    <t>https://3arbzfbsh-cname-us.ngrok.io/Desktop/seabridge%20fintech/greenline_pa_icon/LMT_pa_greenline_signal.jpg</t>
  </si>
  <si>
    <t>https://3arbzfbsh-cname-us.ngrok.io/Desktop/seabridge%20fintech/greenline_pa_icon/LNC_pa_greenline_signal.jpg</t>
  </si>
  <si>
    <t>https://3arbzfbsh-cname-us.ngrok.io/Desktop/seabridge%20fintech/greenline_pa_icon/LNT_pa_greenline_signal.jpg</t>
  </si>
  <si>
    <t>https://3arbzfbsh-cname-us.ngrok.io/Desktop/seabridge%20fintech/greenline_pa_icon/LOW_pa_greenline_signal.jpg</t>
  </si>
  <si>
    <t>https://3arbzfbsh-cname-us.ngrok.io/Desktop/seabridge%20fintech/greenline_pa_icon/LPX_pa_greenline_signal.jpg</t>
  </si>
  <si>
    <t>https://3arbzfbsh-cname-us.ngrok.io/Desktop/seabridge%20fintech/greenline_pa_icon/LQD_pa_greenline_signal.jpg</t>
  </si>
  <si>
    <t>https://3arbzfbsh-cname-us.ngrok.io/Desktop/seabridge%20fintech/greenline_pa_icon/LRCX_pa_greenline_signal.jpg</t>
  </si>
  <si>
    <t>https://3arbzfbsh-cname-us.ngrok.io/Desktop/seabridge%20fintech/greenline_pa_icon/LULU_pa_greenline_signal.jpg</t>
  </si>
  <si>
    <t>https://3arbzfbsh-cname-us.ngrok.io/Desktop/seabridge%20fintech/greenline_pa_icon/LUMN_pa_greenline_signal.jpg</t>
  </si>
  <si>
    <t>https://3arbzfbsh-cname-us.ngrok.io/Desktop/seabridge%20fintech/greenline_pa_icon/LUV_pa_greenline_signal.jpg</t>
  </si>
  <si>
    <t>https://3arbzfbsh-cname-us.ngrok.io/Desktop/seabridge%20fintech/greenline_pa_icon/LVS_pa_greenline_signal.jpg</t>
  </si>
  <si>
    <t>https://3arbzfbsh-cname-us.ngrok.io/Desktop/seabridge%20fintech/greenline_pa_icon/LW_pa_greenline_signal.jpg</t>
  </si>
  <si>
    <t>https://3arbzfbsh-cname-us.ngrok.io/Desktop/seabridge%20fintech/greenline_pa_icon/LYB_pa_greenline_signal.jpg</t>
  </si>
  <si>
    <t>https://3arbzfbsh-cname-us.ngrok.io/Desktop/seabridge%20fintech/greenline_pa_icon/LYFT_pa_greenline_signal.jpg</t>
  </si>
  <si>
    <t>https://3arbzfbsh-cname-us.ngrok.io/Desktop/seabridge%20fintech/greenline_pa_icon/LYV_pa_greenline_signal.jpg</t>
  </si>
  <si>
    <t>https://3arbzfbsh-cname-us.ngrok.io/Desktop/seabridge%20fintech/greenline_pa_icon/MA_pa_greenline_signal.jpg</t>
  </si>
  <si>
    <t>https://3arbzfbsh-cname-us.ngrok.io/Desktop/seabridge%20fintech/greenline_pa_icon/MAA_pa_greenline_signal.jpg</t>
  </si>
  <si>
    <t>https://3arbzfbsh-cname-us.ngrok.io/Desktop/seabridge%20fintech/greenline_pa_icon/MAR_pa_greenline_signal.jpg</t>
  </si>
  <si>
    <t>https://3arbzfbsh-cname-us.ngrok.io/Desktop/seabridge%20fintech/greenline_pa_icon/MARA_pa_greenline_signal.jpg</t>
  </si>
  <si>
    <t>https://3arbzfbsh-cname-us.ngrok.io/Desktop/seabridge%20fintech/greenline_pa_icon/MAS_pa_greenline_signal.jpg</t>
  </si>
  <si>
    <t>https://3arbzfbsh-cname-us.ngrok.io/Desktop/seabridge%20fintech/greenline_pa_icon/MCD_pa_greenline_signal.jpg</t>
  </si>
  <si>
    <t>https://3arbzfbsh-cname-us.ngrok.io/Desktop/seabridge%20fintech/greenline_pa_icon/MCHI_pa_greenline_signal.jpg</t>
  </si>
  <si>
    <t>https://3arbzfbsh-cname-us.ngrok.io/Desktop/seabridge%20fintech/greenline_pa_icon/MCHP_pa_greenline_signal.jpg</t>
  </si>
  <si>
    <t>https://3arbzfbsh-cname-us.ngrok.io/Desktop/seabridge%20fintech/greenline_pa_icon/MCK_pa_greenline_signal.jpg</t>
  </si>
  <si>
    <t>https://3arbzfbsh-cname-us.ngrok.io/Desktop/seabridge%20fintech/greenline_pa_icon/MCO_pa_greenline_signal.jpg</t>
  </si>
  <si>
    <t>https://3arbzfbsh-cname-us.ngrok.io/Desktop/seabridge%20fintech/greenline_pa_icon/MDLZ_pa_greenline_signal.jpg</t>
  </si>
  <si>
    <t>https://3arbzfbsh-cname-us.ngrok.io/Desktop/seabridge%20fintech/greenline_pa_icon/MDT_pa_greenline_signal.jpg</t>
  </si>
  <si>
    <t>https://3arbzfbsh-cname-us.ngrok.io/Desktop/seabridge%20fintech/greenline_pa_icon/MELI_pa_greenline_signal.jpg</t>
  </si>
  <si>
    <t>https://3arbzfbsh-cname-us.ngrok.io/Desktop/seabridge%20fintech/greenline_pa_icon/MET_pa_greenline_signal.jpg</t>
  </si>
  <si>
    <t>https://3arbzfbsh-cname-us.ngrok.io/Desktop/seabridge%20fintech/greenline_pa_icon/MGM_pa_greenline_signal.jpg</t>
  </si>
  <si>
    <t>https://3arbzfbsh-cname-us.ngrok.io/Desktop/seabridge%20fintech/greenline_pa_icon/MGNI_pa_greenline_signal.jpg</t>
  </si>
  <si>
    <t>https://3arbzfbsh-cname-us.ngrok.io/Desktop/seabridge%20fintech/greenline_pa_icon/MHK_pa_greenline_signal.jpg</t>
  </si>
  <si>
    <t>https://3arbzfbsh-cname-us.ngrok.io/Desktop/seabridge%20fintech/greenline_pa_icon/MKC_pa_greenline_signal.jpg</t>
  </si>
  <si>
    <t>https://3arbzfbsh-cname-us.ngrok.io/Desktop/seabridge%20fintech/greenline_pa_icon/MKTX_pa_greenline_signal.jpg</t>
  </si>
  <si>
    <t>https://3arbzfbsh-cname-us.ngrok.io/Desktop/seabridge%20fintech/greenline_pa_icon/MLM_pa_greenline_signal.jpg</t>
  </si>
  <si>
    <t>https://3arbzfbsh-cname-us.ngrok.io/Desktop/seabridge%20fintech/greenline_pa_icon/MMC_pa_greenline_signal.jpg</t>
  </si>
  <si>
    <t>https://3arbzfbsh-cname-us.ngrok.io/Desktop/seabridge%20fintech/greenline_pa_icon/MMM_pa_greenline_signal.jpg</t>
  </si>
  <si>
    <t>https://3arbzfbsh-cname-us.ngrok.io/Desktop/seabridge%20fintech/greenline_pa_icon/MNST_pa_greenline_signal.jpg</t>
  </si>
  <si>
    <t>https://3arbzfbsh-cname-us.ngrok.io/Desktop/seabridge%20fintech/greenline_pa_icon/MO_pa_greenline_signal.jpg</t>
  </si>
  <si>
    <t>https://3arbzfbsh-cname-us.ngrok.io/Desktop/seabridge%20fintech/greenline_pa_icon/MOS_pa_greenline_signal.jpg</t>
  </si>
  <si>
    <t>https://3arbzfbsh-cname-us.ngrok.io/Desktop/seabridge%20fintech/greenline_pa_icon/MP_pa_greenline_signal.jpg</t>
  </si>
  <si>
    <t>https://3arbzfbsh-cname-us.ngrok.io/Desktop/seabridge%20fintech/greenline_pa_icon/MPC_pa_greenline_signal.jpg</t>
  </si>
  <si>
    <t>https://3arbzfbsh-cname-us.ngrok.io/Desktop/seabridge%20fintech/greenline_pa_icon/MPLX_pa_greenline_signal.jpg</t>
  </si>
  <si>
    <t>https://3arbzfbsh-cname-us.ngrok.io/Desktop/seabridge%20fintech/greenline_pa_icon/MPWR_pa_greenline_signal.jpg</t>
  </si>
  <si>
    <t>https://3arbzfbsh-cname-us.ngrok.io/Desktop/seabridge%20fintech/greenline_pa_icon/MRNA_pa_greenline_signal.jpg</t>
  </si>
  <si>
    <t>https://3arbzfbsh-cname-us.ngrok.io/Desktop/seabridge%20fintech/greenline_pa_icon/MRO_pa_greenline_signal.jpg</t>
  </si>
  <si>
    <t>https://3arbzfbsh-cname-us.ngrok.io/Desktop/seabridge%20fintech/greenline_pa_icon/MRVL_pa_greenline_signal.jpg</t>
  </si>
  <si>
    <t>https://3arbzfbsh-cname-us.ngrok.io/Desktop/seabridge%20fintech/greenline_pa_icon/MS_pa_greenline_signal.jpg</t>
  </si>
  <si>
    <t>https://3arbzfbsh-cname-us.ngrok.io/Desktop/seabridge%20fintech/greenline_pa_icon/MSCI_pa_greenline_signal.jpg</t>
  </si>
  <si>
    <t>https://3arbzfbsh-cname-us.ngrok.io/Desktop/seabridge%20fintech/greenline_pa_icon/MSFT_pa_greenline_signal.jpg</t>
  </si>
  <si>
    <t>https://3arbzfbsh-cname-us.ngrok.io/Desktop/seabridge%20fintech/greenline_pa_icon/MSI_pa_greenline_signal.jpg</t>
  </si>
  <si>
    <t>https://3arbzfbsh-cname-us.ngrok.io/Desktop/seabridge%20fintech/greenline_pa_icon/MTB_pa_greenline_signal.jpg</t>
  </si>
  <si>
    <t>https://3arbzfbsh-cname-us.ngrok.io/Desktop/seabridge%20fintech/greenline_pa_icon/MTCH_pa_greenline_signal.jpg</t>
  </si>
  <si>
    <t>https://3arbzfbsh-cname-us.ngrok.io/Desktop/seabridge%20fintech/greenline_pa_icon/MTD_pa_greenline_signal.jpg</t>
  </si>
  <si>
    <t>https://3arbzfbsh-cname-us.ngrok.io/Desktop/seabridge%20fintech/greenline_pa_icon/MU_pa_greenline_signal.jpg</t>
  </si>
  <si>
    <t>https://3arbzfbsh-cname-us.ngrok.io/Desktop/seabridge%20fintech/greenline_pa_icon/MXIM_pa_greenline_signal.jpg</t>
  </si>
  <si>
    <t>https://3arbzfbsh-cname-us.ngrok.io/Desktop/seabridge%20fintech/greenline_pa_icon/NCLH_pa_greenline_signal.jpg</t>
  </si>
  <si>
    <t>https://3arbzfbsh-cname-us.ngrok.io/Desktop/seabridge%20fintech/greenline_pa_icon/NDAQ_pa_greenline_signal.jpg</t>
  </si>
  <si>
    <t>https://3arbzfbsh-cname-us.ngrok.io/Desktop/seabridge%20fintech/greenline_pa_icon/NEE_pa_greenline_signal.jpg</t>
  </si>
  <si>
    <t>https://3arbzfbsh-cname-us.ngrok.io/Desktop/seabridge%20fintech/greenline_pa_icon/NEM_pa_greenline_signal.jpg</t>
  </si>
  <si>
    <t>https://3arbzfbsh-cname-us.ngrok.io/Desktop/seabridge%20fintech/greenline_pa_icon/NET_pa_greenline_signal.jpg</t>
  </si>
  <si>
    <t>https://3arbzfbsh-cname-us.ngrok.io/Desktop/seabridge%20fintech/greenline_pa_icon/NFLX_pa_greenline_signal.jpg</t>
  </si>
  <si>
    <t>https://3arbzfbsh-cname-us.ngrok.io/Desktop/seabridge%20fintech/greenline_pa_icon/NI_pa_greenline_signal.jpg</t>
  </si>
  <si>
    <t>https://3arbzfbsh-cname-us.ngrok.io/Desktop/seabridge%20fintech/greenline_pa_icon/NKE_pa_greenline_signal.jpg</t>
  </si>
  <si>
    <t>https://3arbzfbsh-cname-us.ngrok.io/Desktop/seabridge%20fintech/greenline_pa_icon/NLOK_pa_greenline_signal.jpg</t>
  </si>
  <si>
    <t>https://3arbzfbsh-cname-us.ngrok.io/Desktop/seabridge%20fintech/greenline_pa_icon/NLSN_pa_greenline_signal.jpg</t>
  </si>
  <si>
    <t>https://3arbzfbsh-cname-us.ngrok.io/Desktop/seabridge%20fintech/greenline_pa_icon/NOC_pa_greenline_signal.jpg</t>
  </si>
  <si>
    <t>https://3arbzfbsh-cname-us.ngrok.io/Desktop/seabridge%20fintech/greenline_pa_icon/NOV_pa_greenline_signal.jpg</t>
  </si>
  <si>
    <t>https://3arbzfbsh-cname-us.ngrok.io/Desktop/seabridge%20fintech/greenline_pa_icon/NOVA_pa_greenline_signal.jpg</t>
  </si>
  <si>
    <t>https://3arbzfbsh-cname-us.ngrok.io/Desktop/seabridge%20fintech/greenline_pa_icon/NOW_pa_greenline_signal.jpg</t>
  </si>
  <si>
    <t>https://3arbzfbsh-cname-us.ngrok.io/Desktop/seabridge%20fintech/greenline_pa_icon/NRG_pa_greenline_signal.jpg</t>
  </si>
  <si>
    <t>https://3arbzfbsh-cname-us.ngrok.io/Desktop/seabridge%20fintech/greenline_pa_icon/NSC_pa_greenline_signal.jpg</t>
  </si>
  <si>
    <t>https://3arbzfbsh-cname-us.ngrok.io/Desktop/seabridge%20fintech/greenline_pa_icon/NTAP_pa_greenline_signal.jpg</t>
  </si>
  <si>
    <t>https://3arbzfbsh-cname-us.ngrok.io/Desktop/seabridge%20fintech/greenline_pa_icon/NTES_pa_greenline_signal.jpg</t>
  </si>
  <si>
    <t>https://3arbzfbsh-cname-us.ngrok.io/Desktop/seabridge%20fintech/greenline_pa_icon/NTLA_pa_greenline_signal.jpg</t>
  </si>
  <si>
    <t>https://3arbzfbsh-cname-us.ngrok.io/Desktop/seabridge%20fintech/greenline_pa_icon/NTNX_pa_greenline_signal.jpg</t>
  </si>
  <si>
    <t>https://3arbzfbsh-cname-us.ngrok.io/Desktop/seabridge%20fintech/greenline_pa_icon/NTRS_pa_greenline_signal.jpg</t>
  </si>
  <si>
    <t>https://3arbzfbsh-cname-us.ngrok.io/Desktop/seabridge%20fintech/greenline_pa_icon/NUAN_pa_greenline_signal.jpg</t>
  </si>
  <si>
    <t>https://3arbzfbsh-cname-us.ngrok.io/Desktop/seabridge%20fintech/greenline_pa_icon/NUE_pa_greenline_signal.jpg</t>
  </si>
  <si>
    <t>https://3arbzfbsh-cname-us.ngrok.io/Desktop/seabridge%20fintech/greenline_pa_icon/NVAX_pa_greenline_signal.jpg</t>
  </si>
  <si>
    <t>https://3arbzfbsh-cname-us.ngrok.io/Desktop/seabridge%20fintech/greenline_pa_icon/NVDA_pa_greenline_signal.jpg</t>
  </si>
  <si>
    <t>https://3arbzfbsh-cname-us.ngrok.io/Desktop/seabridge%20fintech/greenline_pa_icon/NVR_pa_greenline_signal.jpg</t>
  </si>
  <si>
    <t>https://3arbzfbsh-cname-us.ngrok.io/Desktop/seabridge%20fintech/greenline_pa_icon/NVTA_pa_greenline_signal.jpg</t>
  </si>
  <si>
    <t>https://3arbzfbsh-cname-us.ngrok.io/Desktop/seabridge%20fintech/greenline_pa_icon/NWL_pa_greenline_signal.jpg</t>
  </si>
  <si>
    <t>https://3arbzfbsh-cname-us.ngrok.io/Desktop/seabridge%20fintech/greenline_pa_icon/NWS_pa_greenline_signal.jpg</t>
  </si>
  <si>
    <t>https://3arbzfbsh-cname-us.ngrok.io/Desktop/seabridge%20fintech/greenline_pa_icon/NWSA_pa_greenline_signal.jpg</t>
  </si>
  <si>
    <t>https://3arbzfbsh-cname-us.ngrok.io/Desktop/seabridge%20fintech/greenline_pa_icon/NXPI_pa_greenline_signal.jpg</t>
  </si>
  <si>
    <t>https://3arbzfbsh-cname-us.ngrok.io/Desktop/seabridge%20fintech/greenline_pa_icon/O_pa_greenline_signal.jpg</t>
  </si>
  <si>
    <t>https://3arbzfbsh-cname-us.ngrok.io/Desktop/seabridge%20fintech/greenline_pa_icon/ODFL_pa_greenline_signal.jpg</t>
  </si>
  <si>
    <t>https://3arbzfbsh-cname-us.ngrok.io/Desktop/seabridge%20fintech/greenline_pa_icon/OGE_pa_greenline_signal.jpg</t>
  </si>
  <si>
    <t>https://3arbzfbsh-cname-us.ngrok.io/Desktop/seabridge%20fintech/greenline_pa_icon/OKE_pa_greenline_signal.jpg</t>
  </si>
  <si>
    <t>https://3arbzfbsh-cname-us.ngrok.io/Desktop/seabridge%20fintech/greenline_pa_icon/OKTA_pa_greenline_signal.jpg</t>
  </si>
  <si>
    <t>https://3arbzfbsh-cname-us.ngrok.io/Desktop/seabridge%20fintech/greenline_pa_icon/OMC_pa_greenline_signal.jpg</t>
  </si>
  <si>
    <t>https://3arbzfbsh-cname-us.ngrok.io/Desktop/seabridge%20fintech/greenline_pa_icon/ON_pa_greenline_signal.jpg</t>
  </si>
  <si>
    <t>https://3arbzfbsh-cname-us.ngrok.io/Desktop/seabridge%20fintech/greenline_pa_icon/ORCL_pa_greenline_signal.jpg</t>
  </si>
  <si>
    <t>https://3arbzfbsh-cname-us.ngrok.io/Desktop/seabridge%20fintech/greenline_pa_icon/ORLY_pa_greenline_signal.jpg</t>
  </si>
  <si>
    <t>https://3arbzfbsh-cname-us.ngrok.io/Desktop/seabridge%20fintech/greenline_pa_icon/OVV_pa_greenline_signal.jpg</t>
  </si>
  <si>
    <t>https://3arbzfbsh-cname-us.ngrok.io/Desktop/seabridge%20fintech/greenline_pa_icon/OXY_pa_greenline_signal.jpg</t>
  </si>
  <si>
    <t>https://3arbzfbsh-cname-us.ngrok.io/Desktop/seabridge%20fintech/greenline_pa_icon/PACB_pa_greenline_signal.jpg</t>
  </si>
  <si>
    <t>https://3arbzfbsh-cname-us.ngrok.io/Desktop/seabridge%20fintech/greenline_pa_icon/PAYC_pa_greenline_signal.jpg</t>
  </si>
  <si>
    <t>https://3arbzfbsh-cname-us.ngrok.io/Desktop/seabridge%20fintech/greenline_pa_icon/PAYX_pa_greenline_signal.jpg</t>
  </si>
  <si>
    <t>https://3arbzfbsh-cname-us.ngrok.io/Desktop/seabridge%20fintech/greenline_pa_icon/PBCT_pa_greenline_signal.jpg</t>
  </si>
  <si>
    <t>https://3arbzfbsh-cname-us.ngrok.io/Desktop/seabridge%20fintech/greenline_pa_icon/PCAR_pa_greenline_signal.jpg</t>
  </si>
  <si>
    <t>https://3arbzfbsh-cname-us.ngrok.io/Desktop/seabridge%20fintech/greenline_pa_icon/PDD_pa_greenline_signal.jpg</t>
  </si>
  <si>
    <t>https://3arbzfbsh-cname-us.ngrok.io/Desktop/seabridge%20fintech/greenline_pa_icon/PEAK_pa_greenline_signal.jpg</t>
  </si>
  <si>
    <t>https://3arbzfbsh-cname-us.ngrok.io/Desktop/seabridge%20fintech/greenline_pa_icon/PEG_pa_greenline_signal.jpg</t>
  </si>
  <si>
    <t>https://3arbzfbsh-cname-us.ngrok.io/Desktop/seabridge%20fintech/greenline_pa_icon/PENN_pa_greenline_signal.jpg</t>
  </si>
  <si>
    <t>https://3arbzfbsh-cname-us.ngrok.io/Desktop/seabridge%20fintech/greenline_pa_icon/PEP_pa_greenline_signal.jpg</t>
  </si>
  <si>
    <t>https://3arbzfbsh-cname-us.ngrok.io/Desktop/seabridge%20fintech/greenline_pa_icon/PFE_pa_greenline_signal.jpg</t>
  </si>
  <si>
    <t>https://3arbzfbsh-cname-us.ngrok.io/Desktop/seabridge%20fintech/greenline_pa_icon/PFF_pa_greenline_signal.jpg</t>
  </si>
  <si>
    <t>https://3arbzfbsh-cname-us.ngrok.io/Desktop/seabridge%20fintech/greenline_pa_icon/PFG_pa_greenline_signal.jpg</t>
  </si>
  <si>
    <t>https://3arbzfbsh-cname-us.ngrok.io/Desktop/seabridge%20fintech/greenline_pa_icon/PG_pa_greenline_signal.jpg</t>
  </si>
  <si>
    <t>https://3arbzfbsh-cname-us.ngrok.io/Desktop/seabridge%20fintech/greenline_pa_icon/PGR_pa_greenline_signal.jpg</t>
  </si>
  <si>
    <t>https://3arbzfbsh-cname-us.ngrok.io/Desktop/seabridge%20fintech/greenline_pa_icon/PH_pa_greenline_signal.jpg</t>
  </si>
  <si>
    <t>https://3arbzfbsh-cname-us.ngrok.io/Desktop/seabridge%20fintech/greenline_pa_icon/PHM_pa_greenline_signal.jpg</t>
  </si>
  <si>
    <t>https://3arbzfbsh-cname-us.ngrok.io/Desktop/seabridge%20fintech/greenline_pa_icon/PINS_pa_greenline_signal.jpg</t>
  </si>
  <si>
    <t>https://3arbzfbsh-cname-us.ngrok.io/Desktop/seabridge%20fintech/greenline_pa_icon/PKG_pa_greenline_signal.jpg</t>
  </si>
  <si>
    <t>https://3arbzfbsh-cname-us.ngrok.io/Desktop/seabridge%20fintech/greenline_pa_icon/PKI_pa_greenline_signal.jpg</t>
  </si>
  <si>
    <t>https://3arbzfbsh-cname-us.ngrok.io/Desktop/seabridge%20fintech/greenline_pa_icon/PLAN_pa_greenline_signal.jpg</t>
  </si>
  <si>
    <t>https://3arbzfbsh-cname-us.ngrok.io/Desktop/seabridge%20fintech/greenline_pa_icon/PLD_pa_greenline_signal.jpg</t>
  </si>
  <si>
    <t>https://3arbzfbsh-cname-us.ngrok.io/Desktop/seabridge%20fintech/greenline_pa_icon/PLUG_pa_greenline_signal.jpg</t>
  </si>
  <si>
    <t>https://3arbzfbsh-cname-us.ngrok.io/Desktop/seabridge%20fintech/greenline_pa_icon/PM_pa_greenline_signal.jpg</t>
  </si>
  <si>
    <t>https://3arbzfbsh-cname-us.ngrok.io/Desktop/seabridge%20fintech/greenline_pa_icon/PNC_pa_greenline_signal.jpg</t>
  </si>
  <si>
    <t>https://3arbzfbsh-cname-us.ngrok.io/Desktop/seabridge%20fintech/greenline_pa_icon/PNR_pa_greenline_signal.jpg</t>
  </si>
  <si>
    <t>https://3arbzfbsh-cname-us.ngrok.io/Desktop/seabridge%20fintech/greenline_pa_icon/PNW_pa_greenline_signal.jpg</t>
  </si>
  <si>
    <t>https://3arbzfbsh-cname-us.ngrok.io/Desktop/seabridge%20fintech/greenline_pa_icon/POOL_pa_greenline_signal.jpg</t>
  </si>
  <si>
    <t>https://3arbzfbsh-cname-us.ngrok.io/Desktop/seabridge%20fintech/greenline_pa_icon/PPG_pa_greenline_signal.jpg</t>
  </si>
  <si>
    <t>https://3arbzfbsh-cname-us.ngrok.io/Desktop/seabridge%20fintech/greenline_pa_icon/PPL_pa_greenline_signal.jpg</t>
  </si>
  <si>
    <t>https://3arbzfbsh-cname-us.ngrok.io/Desktop/seabridge%20fintech/greenline_pa_icon/PRGO_pa_greenline_signal.jpg</t>
  </si>
  <si>
    <t>https://3arbzfbsh-cname-us.ngrok.io/Desktop/seabridge%20fintech/greenline_pa_icon/PRSP_pa_greenline_signal.jpg</t>
  </si>
  <si>
    <t>https://3arbzfbsh-cname-us.ngrok.io/Desktop/seabridge%20fintech/greenline_pa_icon/PRU_pa_greenline_signal.jpg</t>
  </si>
  <si>
    <t>https://3arbzfbsh-cname-us.ngrok.io/Desktop/seabridge%20fintech/greenline_pa_icon/PSA_pa_greenline_signal.jpg</t>
  </si>
  <si>
    <t>https://3arbzfbsh-cname-us.ngrok.io/Desktop/seabridge%20fintech/greenline_pa_icon/PSX_pa_greenline_signal.jpg</t>
  </si>
  <si>
    <t>https://3arbzfbsh-cname-us.ngrok.io/Desktop/seabridge%20fintech/greenline_pa_icon/PTC_pa_greenline_signal.jpg</t>
  </si>
  <si>
    <t>https://3arbzfbsh-cname-us.ngrok.io/Desktop/seabridge%20fintech/greenline_pa_icon/PTON_pa_greenline_signal.jpg</t>
  </si>
  <si>
    <t>https://3arbzfbsh-cname-us.ngrok.io/Desktop/seabridge%20fintech/greenline_pa_icon/PVH_pa_greenline_signal.jpg</t>
  </si>
  <si>
    <t>https://3arbzfbsh-cname-us.ngrok.io/Desktop/seabridge%20fintech/greenline_pa_icon/PWR_pa_greenline_signal.jpg</t>
  </si>
  <si>
    <t>https://3arbzfbsh-cname-us.ngrok.io/Desktop/seabridge%20fintech/greenline_pa_icon/PXD_pa_greenline_signal.jpg</t>
  </si>
  <si>
    <t>https://3arbzfbsh-cname-us.ngrok.io/Desktop/seabridge%20fintech/greenline_pa_icon/PYPL_pa_greenline_signal.jpg</t>
  </si>
  <si>
    <t>https://3arbzfbsh-cname-us.ngrok.io/Desktop/seabridge%20fintech/greenline_pa_icon/QCOM_pa_greenline_signal.jpg</t>
  </si>
  <si>
    <t>https://3arbzfbsh-cname-us.ngrok.io/Desktop/seabridge%20fintech/greenline_pa_icon/QLD_pa_greenline_signal.jpg</t>
  </si>
  <si>
    <t>https://3arbzfbsh-cname-us.ngrok.io/Desktop/seabridge%20fintech/greenline_pa_icon/QQQ_pa_greenline_signal.jpg</t>
  </si>
  <si>
    <t>https://3arbzfbsh-cname-us.ngrok.io/Desktop/seabridge%20fintech/greenline_pa_icon/QRVO_pa_greenline_signal.jpg</t>
  </si>
  <si>
    <t>https://3arbzfbsh-cname-us.ngrok.io/Desktop/seabridge%20fintech/greenline_pa_icon/RCL_pa_greenline_signal.jpg</t>
  </si>
  <si>
    <t>https://3arbzfbsh-cname-us.ngrok.io/Desktop/seabridge%20fintech/greenline_pa_icon/RE_pa_greenline_signal.jpg</t>
  </si>
  <si>
    <t>https://3arbzfbsh-cname-us.ngrok.io/Desktop/seabridge%20fintech/greenline_pa_icon/REG_pa_greenline_signal.jpg</t>
  </si>
  <si>
    <t>https://3arbzfbsh-cname-us.ngrok.io/Desktop/seabridge%20fintech/greenline_pa_icon/REGN_pa_greenline_signal.jpg</t>
  </si>
  <si>
    <t>https://3arbzfbsh-cname-us.ngrok.io/Desktop/seabridge%20fintech/greenline_pa_icon/RF_pa_greenline_signal.jpg</t>
  </si>
  <si>
    <t>https://3arbzfbsh-cname-us.ngrok.io/Desktop/seabridge%20fintech/greenline_pa_icon/RHI_pa_greenline_signal.jpg</t>
  </si>
  <si>
    <t>https://3arbzfbsh-cname-us.ngrok.io/Desktop/seabridge%20fintech/greenline_pa_icon/RIOT_pa_greenline_signal.jpg</t>
  </si>
  <si>
    <t>https://3arbzfbsh-cname-us.ngrok.io/Desktop/seabridge%20fintech/greenline_pa_icon/RJF_pa_greenline_signal.jpg</t>
  </si>
  <si>
    <t>https://3arbzfbsh-cname-us.ngrok.io/Desktop/seabridge%20fintech/greenline_pa_icon/RL_pa_greenline_signal.jpg</t>
  </si>
  <si>
    <t>https://3arbzfbsh-cname-us.ngrok.io/Desktop/seabridge%20fintech/greenline_pa_icon/RMD_pa_greenline_signal.jpg</t>
  </si>
  <si>
    <t>https://3arbzfbsh-cname-us.ngrok.io/Desktop/seabridge%20fintech/greenline_pa_icon/ROK_pa_greenline_signal.jpg</t>
  </si>
  <si>
    <t>https://3arbzfbsh-cname-us.ngrok.io/Desktop/seabridge%20fintech/greenline_pa_icon/ROKU_pa_greenline_signal.jpg</t>
  </si>
  <si>
    <t>https://3arbzfbsh-cname-us.ngrok.io/Desktop/seabridge%20fintech/greenline_pa_icon/ROL_pa_greenline_signal.jpg</t>
  </si>
  <si>
    <t>https://3arbzfbsh-cname-us.ngrok.io/Desktop/seabridge%20fintech/greenline_pa_icon/ROP_pa_greenline_signal.jpg</t>
  </si>
  <si>
    <t>https://3arbzfbsh-cname-us.ngrok.io/Desktop/seabridge%20fintech/greenline_pa_icon/ROST_pa_greenline_signal.jpg</t>
  </si>
  <si>
    <t>https://3arbzfbsh-cname-us.ngrok.io/Desktop/seabridge%20fintech/greenline_pa_icon/RSG_pa_greenline_signal.jpg</t>
  </si>
  <si>
    <t>https://3arbzfbsh-cname-us.ngrok.io/Desktop/seabridge%20fintech/greenline_pa_icon/RSP_pa_greenline_signal.jpg</t>
  </si>
  <si>
    <t>https://3arbzfbsh-cname-us.ngrok.io/Desktop/seabridge%20fintech/greenline_pa_icon/RTX_pa_greenline_signal.jpg</t>
  </si>
  <si>
    <t>https://3arbzfbsh-cname-us.ngrok.io/Desktop/seabridge%20fintech/greenline_pa_icon/RUN_pa_greenline_signal.jpg</t>
  </si>
  <si>
    <t>https://3arbzfbsh-cname-us.ngrok.io/Desktop/seabridge%20fintech/greenline_pa_icon/SAVA_pa_greenline_signal.jpg</t>
  </si>
  <si>
    <t>https://3arbzfbsh-cname-us.ngrok.io/Desktop/seabridge%20fintech/greenline_pa_icon/SAVE_pa_greenline_signal.jpg</t>
  </si>
  <si>
    <t>https://3arbzfbsh-cname-us.ngrok.io/Desktop/seabridge%20fintech/greenline_pa_icon/SBAC_pa_greenline_signal.jpg</t>
  </si>
  <si>
    <t>https://3arbzfbsh-cname-us.ngrok.io/Desktop/seabridge%20fintech/greenline_pa_icon/SBUX_pa_greenline_signal.jpg</t>
  </si>
  <si>
    <t>https://3arbzfbsh-cname-us.ngrok.io/Desktop/seabridge%20fintech/greenline_pa_icon/SCHF_pa_greenline_signal.jpg</t>
  </si>
  <si>
    <t>https://3arbzfbsh-cname-us.ngrok.io/Desktop/seabridge%20fintech/greenline_pa_icon/SCHP_pa_greenline_signal.jpg</t>
  </si>
  <si>
    <t>https://3arbzfbsh-cname-us.ngrok.io/Desktop/seabridge%20fintech/greenline_pa_icon/SCHW_pa_greenline_signal.jpg</t>
  </si>
  <si>
    <t>https://3arbzfbsh-cname-us.ngrok.io/Desktop/seabridge%20fintech/greenline_pa_icon/SEE_pa_greenline_signal.jpg</t>
  </si>
  <si>
    <t>https://3arbzfbsh-cname-us.ngrok.io/Desktop/seabridge%20fintech/greenline_pa_icon/SFM_pa_greenline_signal.jpg</t>
  </si>
  <si>
    <t>https://3arbzfbsh-cname-us.ngrok.io/Desktop/seabridge%20fintech/greenline_pa_icon/SGEN_pa_greenline_signal.jpg</t>
  </si>
  <si>
    <t>https://3arbzfbsh-cname-us.ngrok.io/Desktop/seabridge%20fintech/greenline_pa_icon/SHW_pa_greenline_signal.jpg</t>
  </si>
  <si>
    <t>https://3arbzfbsh-cname-us.ngrok.io/Desktop/seabridge%20fintech/greenline_pa_icon/SHY_pa_greenline_signal.jpg</t>
  </si>
  <si>
    <t>https://3arbzfbsh-cname-us.ngrok.io/Desktop/seabridge%20fintech/greenline_pa_icon/SIRI_pa_greenline_signal.jpg</t>
  </si>
  <si>
    <t>https://3arbzfbsh-cname-us.ngrok.io/Desktop/seabridge%20fintech/greenline_pa_icon/SIVB_pa_greenline_signal.jpg</t>
  </si>
  <si>
    <t>https://3arbzfbsh-cname-us.ngrok.io/Desktop/seabridge%20fintech/greenline_pa_icon/SJM_pa_greenline_signal.jpg</t>
  </si>
  <si>
    <t>https://3arbzfbsh-cname-us.ngrok.io/Desktop/seabridge%20fintech/greenline_pa_icon/SJNK_pa_greenline_signal.jpg</t>
  </si>
  <si>
    <t>https://3arbzfbsh-cname-us.ngrok.io/Desktop/seabridge%20fintech/greenline_pa_icon/SLB_pa_greenline_signal.jpg</t>
  </si>
  <si>
    <t>https://3arbzfbsh-cname-us.ngrok.io/Desktop/seabridge%20fintech/greenline_pa_icon/SMH_pa_greenline_signal.jpg</t>
  </si>
  <si>
    <t>https://3arbzfbsh-cname-us.ngrok.io/Desktop/seabridge%20fintech/greenline_pa_icon/SNA_pa_greenline_signal.jpg</t>
  </si>
  <si>
    <t>https://3arbzfbsh-cname-us.ngrok.io/Desktop/seabridge%20fintech/greenline_pa_icon/SNAP_pa_greenline_signal.jpg</t>
  </si>
  <si>
    <t>https://3arbzfbsh-cname-us.ngrok.io/Desktop/seabridge%20fintech/greenline_pa_icon/SNOW_pa_greenline_signal.jpg</t>
  </si>
  <si>
    <t>https://3arbzfbsh-cname-us.ngrok.io/Desktop/seabridge%20fintech/greenline_pa_icon/SNPS_pa_greenline_signal.jpg</t>
  </si>
  <si>
    <t>https://3arbzfbsh-cname-us.ngrok.io/Desktop/seabridge%20fintech/greenline_pa_icon/SO_pa_greenline_signal.jpg</t>
  </si>
  <si>
    <t>https://3arbzfbsh-cname-us.ngrok.io/Desktop/seabridge%20fintech/greenline_pa_icon/SONO_pa_greenline_signal.jpg</t>
  </si>
  <si>
    <t>https://3arbzfbsh-cname-us.ngrok.io/Desktop/seabridge%20fintech/greenline_pa_icon/SPCE_pa_greenline_signal.jpg</t>
  </si>
  <si>
    <t>https://3arbzfbsh-cname-us.ngrok.io/Desktop/seabridge%20fintech/greenline_pa_icon/SPG_pa_greenline_signal.jpg</t>
  </si>
  <si>
    <t>https://3arbzfbsh-cname-us.ngrok.io/Desktop/seabridge%20fintech/greenline_pa_icon/SPGI_pa_greenline_signal.jpg</t>
  </si>
  <si>
    <t>https://3arbzfbsh-cname-us.ngrok.io/Desktop/seabridge%20fintech/greenline_pa_icon/SPIB_pa_greenline_signal.jpg</t>
  </si>
  <si>
    <t>https://3arbzfbsh-cname-us.ngrok.io/Desktop/seabridge%20fintech/greenline_pa_icon/SPLK_pa_greenline_signal.jpg</t>
  </si>
  <si>
    <t>https://3arbzfbsh-cname-us.ngrok.io/Desktop/seabridge%20fintech/greenline_pa_icon/SPLV_pa_greenline_signal.jpg</t>
  </si>
  <si>
    <t>https://3arbzfbsh-cname-us.ngrok.io/Desktop/seabridge%20fintech/greenline_pa_icon/SPWR_pa_greenline_signal.jpg</t>
  </si>
  <si>
    <t>https://3arbzfbsh-cname-us.ngrok.io/Desktop/seabridge%20fintech/greenline_pa_icon/SPY_pa_greenline_signal.jpg</t>
  </si>
  <si>
    <t>https://3arbzfbsh-cname-us.ngrok.io/Desktop/seabridge%20fintech/greenline_pa_icon/SPYV_pa_greenline_signal.jpg</t>
  </si>
  <si>
    <t>https://3arbzfbsh-cname-us.ngrok.io/Desktop/seabridge%20fintech/greenline_pa_icon/SQ_pa_greenline_signal.jpg</t>
  </si>
  <si>
    <t>https://3arbzfbsh-cname-us.ngrok.io/Desktop/seabridge%20fintech/greenline_pa_icon/SRE_pa_greenline_signal.jpg</t>
  </si>
  <si>
    <t>https://3arbzfbsh-cname-us.ngrok.io/Desktop/seabridge%20fintech/greenline_pa_icon/STE_pa_greenline_signal.jpg</t>
  </si>
  <si>
    <t>https://3arbzfbsh-cname-us.ngrok.io/Desktop/seabridge%20fintech/greenline_pa_icon/STEM_pa_greenline_signal.jpg</t>
  </si>
  <si>
    <t>https://3arbzfbsh-cname-us.ngrok.io/Desktop/seabridge%20fintech/greenline_pa_icon/STLD_pa_greenline_signal.jpg</t>
  </si>
  <si>
    <t>https://3arbzfbsh-cname-us.ngrok.io/Desktop/seabridge%20fintech/greenline_pa_icon/STT_pa_greenline_signal.jpg</t>
  </si>
  <si>
    <t>https://3arbzfbsh-cname-us.ngrok.io/Desktop/seabridge%20fintech/greenline_pa_icon/STX_pa_greenline_signal.jpg</t>
  </si>
  <si>
    <t>https://3arbzfbsh-cname-us.ngrok.io/Desktop/seabridge%20fintech/greenline_pa_icon/STZ_pa_greenline_signal.jpg</t>
  </si>
  <si>
    <t>https://3arbzfbsh-cname-us.ngrok.io/Desktop/seabridge%20fintech/greenline_pa_icon/SWK_pa_greenline_signal.jpg</t>
  </si>
  <si>
    <t>https://3arbzfbsh-cname-us.ngrok.io/Desktop/seabridge%20fintech/greenline_pa_icon/SWKS_pa_greenline_signal.jpg</t>
  </si>
  <si>
    <t>https://3arbzfbsh-cname-us.ngrok.io/Desktop/seabridge%20fintech/greenline_pa_icon/SYF_pa_greenline_signal.jpg</t>
  </si>
  <si>
    <t>https://3arbzfbsh-cname-us.ngrok.io/Desktop/seabridge%20fintech/greenline_pa_icon/SYK_pa_greenline_signal.jpg</t>
  </si>
  <si>
    <t>https://3arbzfbsh-cname-us.ngrok.io/Desktop/seabridge%20fintech/greenline_pa_icon/SYY_pa_greenline_signal.jpg</t>
  </si>
  <si>
    <t>https://3arbzfbsh-cname-us.ngrok.io/Desktop/seabridge%20fintech/greenline_pa_icon/T_pa_greenline_signal.jpg</t>
  </si>
  <si>
    <t>https://3arbzfbsh-cname-us.ngrok.io/Desktop/seabridge%20fintech/greenline_pa_icon/TAP_pa_greenline_signal.jpg</t>
  </si>
  <si>
    <t>https://3arbzfbsh-cname-us.ngrok.io/Desktop/seabridge%20fintech/greenline_pa_icon/TCOM_pa_greenline_signal.jpg</t>
  </si>
  <si>
    <t>https://3arbzfbsh-cname-us.ngrok.io/Desktop/seabridge%20fintech/greenline_pa_icon/TDG_pa_greenline_signal.jpg</t>
  </si>
  <si>
    <t>https://3arbzfbsh-cname-us.ngrok.io/Desktop/seabridge%20fintech/greenline_pa_icon/TDOC_pa_greenline_signal.jpg</t>
  </si>
  <si>
    <t>https://3arbzfbsh-cname-us.ngrok.io/Desktop/seabridge%20fintech/greenline_pa_icon/TDY_pa_greenline_signal.jpg</t>
  </si>
  <si>
    <t>https://3arbzfbsh-cname-us.ngrok.io/Desktop/seabridge%20fintech/greenline_pa_icon/TEAM_pa_greenline_signal.jpg</t>
  </si>
  <si>
    <t>https://3arbzfbsh-cname-us.ngrok.io/Desktop/seabridge%20fintech/greenline_pa_icon/TEL_pa_greenline_signal.jpg</t>
  </si>
  <si>
    <t>https://3arbzfbsh-cname-us.ngrok.io/Desktop/seabridge%20fintech/greenline_pa_icon/TER_pa_greenline_signal.jpg</t>
  </si>
  <si>
    <t>https://3arbzfbsh-cname-us.ngrok.io/Desktop/seabridge%20fintech/greenline_pa_icon/TFC_pa_greenline_signal.jpg</t>
  </si>
  <si>
    <t>https://3arbzfbsh-cname-us.ngrok.io/Desktop/seabridge%20fintech/greenline_pa_icon/TFX_pa_greenline_signal.jpg</t>
  </si>
  <si>
    <t>https://3arbzfbsh-cname-us.ngrok.io/Desktop/seabridge%20fintech/greenline_pa_icon/TGT_pa_greenline_signal.jpg</t>
  </si>
  <si>
    <t>https://3arbzfbsh-cname-us.ngrok.io/Desktop/seabridge%20fintech/greenline_pa_icon/TIP_pa_greenline_signal.jpg</t>
  </si>
  <si>
    <t>https://3arbzfbsh-cname-us.ngrok.io/Desktop/seabridge%20fintech/greenline_pa_icon/TJX_pa_greenline_signal.jpg</t>
  </si>
  <si>
    <t>https://3arbzfbsh-cname-us.ngrok.io/Desktop/seabridge%20fintech/greenline_pa_icon/TLT_pa_greenline_signal.jpg</t>
  </si>
  <si>
    <t>https://3arbzfbsh-cname-us.ngrok.io/Desktop/seabridge%20fintech/greenline_pa_icon/TMO_pa_greenline_signal.jpg</t>
  </si>
  <si>
    <t>https://3arbzfbsh-cname-us.ngrok.io/Desktop/seabridge%20fintech/greenline_pa_icon/TMUS_pa_greenline_signal.jpg</t>
  </si>
  <si>
    <t>https://3arbzfbsh-cname-us.ngrok.io/Desktop/seabridge%20fintech/greenline_pa_icon/TPR_pa_greenline_signal.jpg</t>
  </si>
  <si>
    <t>https://3arbzfbsh-cname-us.ngrok.io/Desktop/seabridge%20fintech/greenline_pa_icon/TQQQ_pa_greenline_signal.jpg</t>
  </si>
  <si>
    <t>https://3arbzfbsh-cname-us.ngrok.io/Desktop/seabridge%20fintech/greenline_pa_icon/TRGP_pa_greenline_signal.jpg</t>
  </si>
  <si>
    <t>https://3arbzfbsh-cname-us.ngrok.io/Desktop/seabridge%20fintech/greenline_pa_icon/TRIP_pa_greenline_signal.jpg</t>
  </si>
  <si>
    <t>https://3arbzfbsh-cname-us.ngrok.io/Desktop/seabridge%20fintech/greenline_pa_icon/TRMB_pa_greenline_signal.jpg</t>
  </si>
  <si>
    <t>https://3arbzfbsh-cname-us.ngrok.io/Desktop/seabridge%20fintech/greenline_pa_icon/TROW_pa_greenline_signal.jpg</t>
  </si>
  <si>
    <t>https://3arbzfbsh-cname-us.ngrok.io/Desktop/seabridge%20fintech/greenline_pa_icon/TRV_pa_greenline_signal.jpg</t>
  </si>
  <si>
    <t>https://3arbzfbsh-cname-us.ngrok.io/Desktop/seabridge%20fintech/greenline_pa_icon/TSCO_pa_greenline_signal.jpg</t>
  </si>
  <si>
    <t>https://3arbzfbsh-cname-us.ngrok.io/Desktop/seabridge%20fintech/greenline_pa_icon/TSLA_pa_greenline_signal.jpg</t>
  </si>
  <si>
    <t>https://3arbzfbsh-cname-us.ngrok.io/Desktop/seabridge%20fintech/greenline_pa_icon/TSN_pa_greenline_signal.jpg</t>
  </si>
  <si>
    <t>https://3arbzfbsh-cname-us.ngrok.io/Desktop/seabridge%20fintech/greenline_pa_icon/TT_pa_greenline_signal.jpg</t>
  </si>
  <si>
    <t>https://3arbzfbsh-cname-us.ngrok.io/Desktop/seabridge%20fintech/greenline_pa_icon/TTD_pa_greenline_signal.jpg</t>
  </si>
  <si>
    <t>https://3arbzfbsh-cname-us.ngrok.io/Desktop/seabridge%20fintech/greenline_pa_icon/TTWO_pa_greenline_signal.jpg</t>
  </si>
  <si>
    <t>https://3arbzfbsh-cname-us.ngrok.io/Desktop/seabridge%20fintech/greenline_pa_icon/TWLO_pa_greenline_signal.jpg</t>
  </si>
  <si>
    <t>https://3arbzfbsh-cname-us.ngrok.io/Desktop/seabridge%20fintech/greenline_pa_icon/TWTR_pa_greenline_signal.jpg</t>
  </si>
  <si>
    <t>https://3arbzfbsh-cname-us.ngrok.io/Desktop/seabridge%20fintech/greenline_pa_icon/TXN_pa_greenline_signal.jpg</t>
  </si>
  <si>
    <t>https://3arbzfbsh-cname-us.ngrok.io/Desktop/seabridge%20fintech/greenline_pa_icon/TXT_pa_greenline_signal.jpg</t>
  </si>
  <si>
    <t>https://3arbzfbsh-cname-us.ngrok.io/Desktop/seabridge%20fintech/greenline_pa_icon/TYL_pa_greenline_signal.jpg</t>
  </si>
  <si>
    <t>https://3arbzfbsh-cname-us.ngrok.io/Desktop/seabridge%20fintech/greenline_pa_icon/UA_pa_greenline_signal.jpg</t>
  </si>
  <si>
    <t>https://3arbzfbsh-cname-us.ngrok.io/Desktop/seabridge%20fintech/greenline_pa_icon/UAA_pa_greenline_signal.jpg</t>
  </si>
  <si>
    <t>https://3arbzfbsh-cname-us.ngrok.io/Desktop/seabridge%20fintech/greenline_pa_icon/UAL_pa_greenline_signal.jpg</t>
  </si>
  <si>
    <t>https://3arbzfbsh-cname-us.ngrok.io/Desktop/seabridge%20fintech/greenline_pa_icon/UBER_pa_greenline_signal.jpg</t>
  </si>
  <si>
    <t>https://3arbzfbsh-cname-us.ngrok.io/Desktop/seabridge%20fintech/greenline_pa_icon/UDR_pa_greenline_signal.jpg</t>
  </si>
  <si>
    <t>https://3arbzfbsh-cname-us.ngrok.io/Desktop/seabridge%20fintech/greenline_pa_icon/UHS_pa_greenline_signal.jpg</t>
  </si>
  <si>
    <t>https://3arbzfbsh-cname-us.ngrok.io/Desktop/seabridge%20fintech/greenline_pa_icon/ULTA_pa_greenline_signal.jpg</t>
  </si>
  <si>
    <t>https://3arbzfbsh-cname-us.ngrok.io/Desktop/seabridge%20fintech/greenline_pa_icon/UNH_pa_greenline_signal.jpg</t>
  </si>
  <si>
    <t>https://3arbzfbsh-cname-us.ngrok.io/Desktop/seabridge%20fintech/greenline_pa_icon/UNM_pa_greenline_signal.jpg</t>
  </si>
  <si>
    <t>https://3arbzfbsh-cname-us.ngrok.io/Desktop/seabridge%20fintech/greenline_pa_icon/UNP_pa_greenline_signal.jpg</t>
  </si>
  <si>
    <t>https://3arbzfbsh-cname-us.ngrok.io/Desktop/seabridge%20fintech/greenline_pa_icon/UPS_pa_greenline_signal.jpg</t>
  </si>
  <si>
    <t>https://3arbzfbsh-cname-us.ngrok.io/Desktop/seabridge%20fintech/greenline_pa_icon/UPST_pa_greenline_signal.jpg</t>
  </si>
  <si>
    <t>https://3arbzfbsh-cname-us.ngrok.io/Desktop/seabridge%20fintech/greenline_pa_icon/URI_pa_greenline_signal.jpg</t>
  </si>
  <si>
    <t>https://3arbzfbsh-cname-us.ngrok.io/Desktop/seabridge%20fintech/greenline_pa_icon/USB_pa_greenline_signal.jpg</t>
  </si>
  <si>
    <t>https://3arbzfbsh-cname-us.ngrok.io/Desktop/seabridge%20fintech/greenline_pa_icon/USMV_pa_greenline_signal.jpg</t>
  </si>
  <si>
    <t>https://3arbzfbsh-cname-us.ngrok.io/Desktop/seabridge%20fintech/greenline_pa_icon/USO_pa_greenline_signal.jpg</t>
  </si>
  <si>
    <t>https://3arbzfbsh-cname-us.ngrok.io/Desktop/seabridge%20fintech/greenline_pa_icon/V_pa_greenline_signal.jpg</t>
  </si>
  <si>
    <t>https://3arbzfbsh-cname-us.ngrok.io/Desktop/seabridge%20fintech/greenline_pa_icon/VCIT_pa_greenline_signal.jpg</t>
  </si>
  <si>
    <t>https://3arbzfbsh-cname-us.ngrok.io/Desktop/seabridge%20fintech/greenline_pa_icon/VCSH_pa_greenline_signal.jpg</t>
  </si>
  <si>
    <t>https://3arbzfbsh-cname-us.ngrok.io/Desktop/seabridge%20fintech/greenline_pa_icon/VEA_pa_greenline_signal.jpg</t>
  </si>
  <si>
    <t>https://3arbzfbsh-cname-us.ngrok.io/Desktop/seabridge%20fintech/greenline_pa_icon/VER_pa_greenline_signal.jpg</t>
  </si>
  <si>
    <t>https://3arbzfbsh-cname-us.ngrok.io/Desktop/seabridge%20fintech/greenline_pa_icon/VEU_pa_greenline_signal.jpg</t>
  </si>
  <si>
    <t>https://3arbzfbsh-cname-us.ngrok.io/Desktop/seabridge%20fintech/greenline_pa_icon/VFC_pa_greenline_signal.jpg</t>
  </si>
  <si>
    <t>https://3arbzfbsh-cname-us.ngrok.io/Desktop/seabridge%20fintech/greenline_pa_icon/VGK_pa_greenline_signal.jpg</t>
  </si>
  <si>
    <t>https://3arbzfbsh-cname-us.ngrok.io/Desktop/seabridge%20fintech/greenline_pa_icon/VIAC_pa_greenline_signal.jpg</t>
  </si>
  <si>
    <t>https://3arbzfbsh-cname-us.ngrok.io/Desktop/seabridge%20fintech/greenline_pa_icon/VICI_pa_greenline_signal.jpg</t>
  </si>
  <si>
    <t>https://3arbzfbsh-cname-us.ngrok.io/Desktop/seabridge%20fintech/greenline_pa_icon/VLO_pa_greenline_signal.jpg</t>
  </si>
  <si>
    <t>https://3arbzfbsh-cname-us.ngrok.io/Desktop/seabridge%20fintech/greenline_pa_icon/VMC_pa_greenline_signal.jpg</t>
  </si>
  <si>
    <t>https://3arbzfbsh-cname-us.ngrok.io/Desktop/seabridge%20fintech/greenline_pa_icon/VNO_pa_greenline_signal.jpg</t>
  </si>
  <si>
    <t>https://3arbzfbsh-cname-us.ngrok.io/Desktop/seabridge%20fintech/greenline_pa_icon/VNQ_pa_greenline_signal.jpg</t>
  </si>
  <si>
    <t>https://3arbzfbsh-cname-us.ngrok.io/Desktop/seabridge%20fintech/greenline_pa_icon/VOO_pa_greenline_signal.jpg</t>
  </si>
  <si>
    <t>https://3arbzfbsh-cname-us.ngrok.io/Desktop/seabridge%20fintech/greenline_pa_icon/VRM_pa_greenline_signal.jpg</t>
  </si>
  <si>
    <t>https://3arbzfbsh-cname-us.ngrok.io/Desktop/seabridge%20fintech/greenline_pa_icon/VRSK_pa_greenline_signal.jpg</t>
  </si>
  <si>
    <t>https://3arbzfbsh-cname-us.ngrok.io/Desktop/seabridge%20fintech/greenline_pa_icon/VRSN_pa_greenline_signal.jpg</t>
  </si>
  <si>
    <t>https://3arbzfbsh-cname-us.ngrok.io/Desktop/seabridge%20fintech/greenline_pa_icon/VRT_pa_greenline_signal.jpg</t>
  </si>
  <si>
    <t>https://3arbzfbsh-cname-us.ngrok.io/Desktop/seabridge%20fintech/greenline_pa_icon/VRTX_pa_greenline_signal.jpg</t>
  </si>
  <si>
    <t>https://3arbzfbsh-cname-us.ngrok.io/Desktop/seabridge%20fintech/greenline_pa_icon/VT_pa_greenline_signal.jpg</t>
  </si>
  <si>
    <t>https://3arbzfbsh-cname-us.ngrok.io/Desktop/seabridge%20fintech/greenline_pa_icon/VTI_pa_greenline_signal.jpg</t>
  </si>
  <si>
    <t>https://3arbzfbsh-cname-us.ngrok.io/Desktop/seabridge%20fintech/greenline_pa_icon/VTIP_pa_greenline_signal.jpg</t>
  </si>
  <si>
    <t>https://3arbzfbsh-cname-us.ngrok.io/Desktop/seabridge%20fintech/greenline_pa_icon/VTR_pa_greenline_signal.jpg</t>
  </si>
  <si>
    <t>https://3arbzfbsh-cname-us.ngrok.io/Desktop/seabridge%20fintech/greenline_pa_icon/VTRS_pa_greenline_signal.jpg</t>
  </si>
  <si>
    <t>https://3arbzfbsh-cname-us.ngrok.io/Desktop/seabridge%20fintech/greenline_pa_icon/VTV_pa_greenline_signal.jpg</t>
  </si>
  <si>
    <t>https://3arbzfbsh-cname-us.ngrok.io/Desktop/seabridge%20fintech/greenline_pa_icon/VWO_pa_greenline_signal.jpg</t>
  </si>
  <si>
    <t>https://3arbzfbsh-cname-us.ngrok.io/Desktop/seabridge%20fintech/greenline_pa_icon/VXUS_pa_greenline_signal.jpg</t>
  </si>
  <si>
    <t>https://3arbzfbsh-cname-us.ngrok.io/Desktop/seabridge%20fintech/greenline_pa_icon/VZ_pa_greenline_signal.jpg</t>
  </si>
  <si>
    <t>https://3arbzfbsh-cname-us.ngrok.io/Desktop/seabridge%20fintech/greenline_pa_icon/WAB_pa_greenline_signal.jpg</t>
  </si>
  <si>
    <t>https://3arbzfbsh-cname-us.ngrok.io/Desktop/seabridge%20fintech/greenline_pa_icon/WAT_pa_greenline_signal.jpg</t>
  </si>
  <si>
    <t>https://3arbzfbsh-cname-us.ngrok.io/Desktop/seabridge%20fintech/greenline_pa_icon/WBA_pa_greenline_signal.jpg</t>
  </si>
  <si>
    <t>https://3arbzfbsh-cname-us.ngrok.io/Desktop/seabridge%20fintech/greenline_pa_icon/WDAY_pa_greenline_signal.jpg</t>
  </si>
  <si>
    <t>https://3arbzfbsh-cname-us.ngrok.io/Desktop/seabridge%20fintech/greenline_pa_icon/WDC_pa_greenline_signal.jpg</t>
  </si>
  <si>
    <t>https://3arbzfbsh-cname-us.ngrok.io/Desktop/seabridge%20fintech/greenline_pa_icon/WEC_pa_greenline_signal.jpg</t>
  </si>
  <si>
    <t>https://3arbzfbsh-cname-us.ngrok.io/Desktop/seabridge%20fintech/greenline_pa_icon/WELL_pa_greenline_signal.jpg</t>
  </si>
  <si>
    <t>https://3arbzfbsh-cname-us.ngrok.io/Desktop/seabridge%20fintech/greenline_pa_icon/WFC_pa_greenline_signal.jpg</t>
  </si>
  <si>
    <t>https://3arbzfbsh-cname-us.ngrok.io/Desktop/seabridge%20fintech/greenline_pa_icon/WHR_pa_greenline_signal.jpg</t>
  </si>
  <si>
    <t>https://3arbzfbsh-cname-us.ngrok.io/Desktop/seabridge%20fintech/greenline_pa_icon/WLTW_pa_greenline_signal.jpg</t>
  </si>
  <si>
    <t>https://3arbzfbsh-cname-us.ngrok.io/Desktop/seabridge%20fintech/greenline_pa_icon/WM_pa_greenline_signal.jpg</t>
  </si>
  <si>
    <t>https://3arbzfbsh-cname-us.ngrok.io/Desktop/seabridge%20fintech/greenline_pa_icon/WMB_pa_greenline_signal.jpg</t>
  </si>
  <si>
    <t>https://3arbzfbsh-cname-us.ngrok.io/Desktop/seabridge%20fintech/greenline_pa_icon/WMT_pa_greenline_signal.jpg</t>
  </si>
  <si>
    <t>https://3arbzfbsh-cname-us.ngrok.io/Desktop/seabridge%20fintech/greenline_pa_icon/WORK_pa_greenline_signal.jpg</t>
  </si>
  <si>
    <t>https://3arbzfbsh-cname-us.ngrok.io/Desktop/seabridge%20fintech/greenline_pa_icon/WRB_pa_greenline_signal.jpg</t>
  </si>
  <si>
    <t>https://3arbzfbsh-cname-us.ngrok.io/Desktop/seabridge%20fintech/greenline_pa_icon/WRK_pa_greenline_signal.jpg</t>
  </si>
  <si>
    <t>https://3arbzfbsh-cname-us.ngrok.io/Desktop/seabridge%20fintech/greenline_pa_icon/WSC_pa_greenline_signal.jpg</t>
  </si>
  <si>
    <t>https://3arbzfbsh-cname-us.ngrok.io/Desktop/seabridge%20fintech/greenline_pa_icon/WST_pa_greenline_signal.jpg</t>
  </si>
  <si>
    <t>https://3arbzfbsh-cname-us.ngrok.io/Desktop/seabridge%20fintech/greenline_pa_icon/WU_pa_greenline_signal.jpg</t>
  </si>
  <si>
    <t>https://3arbzfbsh-cname-us.ngrok.io/Desktop/seabridge%20fintech/greenline_pa_icon/WY_pa_greenline_signal.jpg</t>
  </si>
  <si>
    <t>https://3arbzfbsh-cname-us.ngrok.io/Desktop/seabridge%20fintech/greenline_pa_icon/WYNN_pa_greenline_signal.jpg</t>
  </si>
  <si>
    <t>https://3arbzfbsh-cname-us.ngrok.io/Desktop/seabridge%20fintech/greenline_pa_icon/XBI_pa_greenline_signal.jpg</t>
  </si>
  <si>
    <t>https://3arbzfbsh-cname-us.ngrok.io/Desktop/seabridge%20fintech/greenline_pa_icon/XEL_pa_greenline_signal.jpg</t>
  </si>
  <si>
    <t>https://3arbzfbsh-cname-us.ngrok.io/Desktop/seabridge%20fintech/greenline_pa_icon/XLB_pa_greenline_signal.jpg</t>
  </si>
  <si>
    <t>https://3arbzfbsh-cname-us.ngrok.io/Desktop/seabridge%20fintech/greenline_pa_icon/XLC_pa_greenline_signal.jpg</t>
  </si>
  <si>
    <t>https://3arbzfbsh-cname-us.ngrok.io/Desktop/seabridge%20fintech/greenline_pa_icon/XLE_pa_greenline_signal.jpg</t>
  </si>
  <si>
    <t>https://3arbzfbsh-cname-us.ngrok.io/Desktop/seabridge%20fintech/greenline_pa_icon/XLF_pa_greenline_signal.jpg</t>
  </si>
  <si>
    <t>https://3arbzfbsh-cname-us.ngrok.io/Desktop/seabridge%20fintech/greenline_pa_icon/XLI_pa_greenline_signal.jpg</t>
  </si>
  <si>
    <t>https://3arbzfbsh-cname-us.ngrok.io/Desktop/seabridge%20fintech/greenline_pa_icon/XLK_pa_greenline_signal.jpg</t>
  </si>
  <si>
    <t>https://3arbzfbsh-cname-us.ngrok.io/Desktop/seabridge%20fintech/greenline_pa_icon/XLNX_pa_greenline_signal.jpg</t>
  </si>
  <si>
    <t>https://3arbzfbsh-cname-us.ngrok.io/Desktop/seabridge%20fintech/greenline_pa_icon/XLP_pa_greenline_signal.jpg</t>
  </si>
  <si>
    <t>https://3arbzfbsh-cname-us.ngrok.io/Desktop/seabridge%20fintech/greenline_pa_icon/XLRE_pa_greenline_signal.jpg</t>
  </si>
  <si>
    <t>https://3arbzfbsh-cname-us.ngrok.io/Desktop/seabridge%20fintech/greenline_pa_icon/XLU_pa_greenline_signal.jpg</t>
  </si>
  <si>
    <t>https://3arbzfbsh-cname-us.ngrok.io/Desktop/seabridge%20fintech/greenline_pa_icon/XLV_pa_greenline_signal.jpg</t>
  </si>
  <si>
    <t>https://3arbzfbsh-cname-us.ngrok.io/Desktop/seabridge%20fintech/greenline_pa_icon/XLY_pa_greenline_signal.jpg</t>
  </si>
  <si>
    <t>https://3arbzfbsh-cname-us.ngrok.io/Desktop/seabridge%20fintech/greenline_pa_icon/XOM_pa_greenline_signal.jpg</t>
  </si>
  <si>
    <t>https://3arbzfbsh-cname-us.ngrok.io/Desktop/seabridge%20fintech/greenline_pa_icon/XOP_pa_greenline_signal.jpg</t>
  </si>
  <si>
    <t>https://3arbzfbsh-cname-us.ngrok.io/Desktop/seabridge%20fintech/greenline_pa_icon/XRAY_pa_greenline_signal.jpg</t>
  </si>
  <si>
    <t>https://3arbzfbsh-cname-us.ngrok.io/Desktop/seabridge%20fintech/greenline_pa_icon/XYL_pa_greenline_signal.jpg</t>
  </si>
  <si>
    <t>https://3arbzfbsh-cname-us.ngrok.io/Desktop/seabridge%20fintech/greenline_pa_icon/YUM_pa_greenline_signal.jpg</t>
  </si>
  <si>
    <t>https://3arbzfbsh-cname-us.ngrok.io/Desktop/seabridge%20fintech/greenline_pa_icon/Z_pa_greenline_signal.jpg</t>
  </si>
  <si>
    <t>https://3arbzfbsh-cname-us.ngrok.io/Desktop/seabridge%20fintech/greenline_pa_icon/ZBH_pa_greenline_signal.jpg</t>
  </si>
  <si>
    <t>https://3arbzfbsh-cname-us.ngrok.io/Desktop/seabridge%20fintech/greenline_pa_icon/ZBRA_pa_greenline_signal.jpg</t>
  </si>
  <si>
    <t>https://3arbzfbsh-cname-us.ngrok.io/Desktop/seabridge%20fintech/greenline_pa_icon/ZION_pa_greenline_signal.jpg</t>
  </si>
  <si>
    <t>https://3arbzfbsh-cname-us.ngrok.io/Desktop/seabridge%20fintech/greenline_pa_icon/ZM_pa_greenline_signal.jpg</t>
  </si>
  <si>
    <t>https://3arbzfbsh-cname-us.ngrok.io/Desktop/seabridge%20fintech/greenline_pa_icon/ZTS_pa_greenline_signal.jpg</t>
  </si>
  <si>
    <t>purpleline_buy_price</t>
  </si>
  <si>
    <t xml:space="preserve">purpleline_sell_price </t>
  </si>
  <si>
    <t xml:space="preserve">purpleline_previous_buy_price </t>
  </si>
  <si>
    <t>purpleline_previous_sell_price</t>
  </si>
  <si>
    <t>purpleline_tradedate</t>
  </si>
  <si>
    <t>strategy2_super_trend_purple_signal</t>
  </si>
  <si>
    <t>purpleline_current_price</t>
  </si>
  <si>
    <t>purpleline_date</t>
  </si>
  <si>
    <t>purpleline_strategy_name</t>
  </si>
  <si>
    <t>purpleline_pa_buy_sell_image</t>
  </si>
  <si>
    <t>purpleline_buy_range_plus</t>
  </si>
  <si>
    <t>purpleline_buy_range_minors</t>
  </si>
  <si>
    <t>purpleline_buy_zone</t>
  </si>
  <si>
    <t>purpleline_super_trend</t>
  </si>
  <si>
    <t>https://3arbzfbsh-cname-us.ngrok.io/Desktop/seabridge%20fintech/purpleline_pa_icon/A_pa_purpleline_signal.jpg</t>
  </si>
  <si>
    <t>https://3arbzfbsh-cname-us.ngrok.io/Desktop/seabridge%20fintech/purpleline_pa_icon/AA_pa_purpleline_signal.jpg</t>
  </si>
  <si>
    <t>https://3arbzfbsh-cname-us.ngrok.io/Desktop/seabridge%20fintech/purpleline_pa_icon/AAL_pa_purpleline_signal.jpg</t>
  </si>
  <si>
    <t>https://3arbzfbsh-cname-us.ngrok.io/Desktop/seabridge%20fintech/purpleline_pa_icon/AAP_pa_purpleline_signal.jpg</t>
  </si>
  <si>
    <t>https://3arbzfbsh-cname-us.ngrok.io/Desktop/seabridge%20fintech/purpleline_pa_icon/AAPL_pa_purpleline_signal.jpg</t>
  </si>
  <si>
    <t>https://3arbzfbsh-cname-us.ngrok.io/Desktop/seabridge%20fintech/purpleline_pa_icon/ABBV_pa_purpleline_signal.jpg</t>
  </si>
  <si>
    <t>https://3arbzfbsh-cname-us.ngrok.io/Desktop/seabridge%20fintech/purpleline_pa_icon/ABC_pa_purpleline_signal.jpg</t>
  </si>
  <si>
    <t>https://3arbzfbsh-cname-us.ngrok.io/Desktop/seabridge%20fintech/purpleline_pa_icon/ABMD_pa_purpleline_signal.jpg</t>
  </si>
  <si>
    <t>https://3arbzfbsh-cname-us.ngrok.io/Desktop/seabridge%20fintech/purpleline_pa_icon/ABT_pa_purpleline_signal.jpg</t>
  </si>
  <si>
    <t>https://3arbzfbsh-cname-us.ngrok.io/Desktop/seabridge%20fintech/purpleline_pa_icon/ACN_pa_purpleline_signal.jpg</t>
  </si>
  <si>
    <t>https://3arbzfbsh-cname-us.ngrok.io/Desktop/seabridge%20fintech/purpleline_pa_icon/ADBE_pa_purpleline_signal.jpg</t>
  </si>
  <si>
    <t>https://3arbzfbsh-cname-us.ngrok.io/Desktop/seabridge%20fintech/purpleline_pa_icon/ADI_pa_purpleline_signal.jpg</t>
  </si>
  <si>
    <t>https://3arbzfbsh-cname-us.ngrok.io/Desktop/seabridge%20fintech/purpleline_pa_icon/ADM_pa_purpleline_signal.jpg</t>
  </si>
  <si>
    <t>https://3arbzfbsh-cname-us.ngrok.io/Desktop/seabridge%20fintech/purpleline_pa_icon/ADP_pa_purpleline_signal.jpg</t>
  </si>
  <si>
    <t>https://3arbzfbsh-cname-us.ngrok.io/Desktop/seabridge%20fintech/purpleline_pa_icon/ADSK_pa_purpleline_signal.jpg</t>
  </si>
  <si>
    <t>https://3arbzfbsh-cname-us.ngrok.io/Desktop/seabridge%20fintech/purpleline_pa_icon/AEE_pa_purpleline_signal.jpg</t>
  </si>
  <si>
    <t>https://3arbzfbsh-cname-us.ngrok.io/Desktop/seabridge%20fintech/purpleline_pa_icon/AEO_pa_purpleline_signal.jpg</t>
  </si>
  <si>
    <t>https://3arbzfbsh-cname-us.ngrok.io/Desktop/seabridge%20fintech/purpleline_pa_icon/AEP_pa_purpleline_signal.jpg</t>
  </si>
  <si>
    <t>https://3arbzfbsh-cname-us.ngrok.io/Desktop/seabridge%20fintech/purpleline_pa_icon/AES_pa_purpleline_signal.jpg</t>
  </si>
  <si>
    <t>https://3arbzfbsh-cname-us.ngrok.io/Desktop/seabridge%20fintech/purpleline_pa_icon/AFL_pa_purpleline_signal.jpg</t>
  </si>
  <si>
    <t>https://3arbzfbsh-cname-us.ngrok.io/Desktop/seabridge%20fintech/purpleline_pa_icon/AGG_pa_purpleline_signal.jpg</t>
  </si>
  <si>
    <t>https://3arbzfbsh-cname-us.ngrok.io/Desktop/seabridge%20fintech/purpleline_pa_icon/AI_pa_purpleline_signal.jpg</t>
  </si>
  <si>
    <t>https://3arbzfbsh-cname-us.ngrok.io/Desktop/seabridge%20fintech/purpleline_pa_icon/AIG_pa_purpleline_signal.jpg</t>
  </si>
  <si>
    <t>https://3arbzfbsh-cname-us.ngrok.io/Desktop/seabridge%20fintech/purpleline_pa_icon/AIZ_pa_purpleline_signal.jpg</t>
  </si>
  <si>
    <t>https://3arbzfbsh-cname-us.ngrok.io/Desktop/seabridge%20fintech/purpleline_pa_icon/AJG_pa_purpleline_signal.jpg</t>
  </si>
  <si>
    <t>https://3arbzfbsh-cname-us.ngrok.io/Desktop/seabridge%20fintech/purpleline_pa_icon/AKAM_pa_purpleline_signal.jpg</t>
  </si>
  <si>
    <t>https://3arbzfbsh-cname-us.ngrok.io/Desktop/seabridge%20fintech/purpleline_pa_icon/ALB_pa_purpleline_signal.jpg</t>
  </si>
  <si>
    <t>https://3arbzfbsh-cname-us.ngrok.io/Desktop/seabridge%20fintech/purpleline_pa_icon/ALGN_pa_purpleline_signal.jpg</t>
  </si>
  <si>
    <t>https://3arbzfbsh-cname-us.ngrok.io/Desktop/seabridge%20fintech/purpleline_pa_icon/ALK_pa_purpleline_signal.jpg</t>
  </si>
  <si>
    <t>https://3arbzfbsh-cname-us.ngrok.io/Desktop/seabridge%20fintech/purpleline_pa_icon/ALL_pa_purpleline_signal.jpg</t>
  </si>
  <si>
    <t>https://3arbzfbsh-cname-us.ngrok.io/Desktop/seabridge%20fintech/purpleline_pa_icon/ALLE_pa_purpleline_signal.jpg</t>
  </si>
  <si>
    <t>https://3arbzfbsh-cname-us.ngrok.io/Desktop/seabridge%20fintech/purpleline_pa_icon/ALLY_pa_purpleline_signal.jpg</t>
  </si>
  <si>
    <t>https://3arbzfbsh-cname-us.ngrok.io/Desktop/seabridge%20fintech/purpleline_pa_icon/ALXN_pa_purpleline_signal.jpg</t>
  </si>
  <si>
    <t>https://3arbzfbsh-cname-us.ngrok.io/Desktop/seabridge%20fintech/purpleline_pa_icon/AMAT_pa_purpleline_signal.jpg</t>
  </si>
  <si>
    <t>https://3arbzfbsh-cname-us.ngrok.io/Desktop/seabridge%20fintech/purpleline_pa_icon/AMC_pa_purpleline_signal.jpg</t>
  </si>
  <si>
    <t>https://3arbzfbsh-cname-us.ngrok.io/Desktop/seabridge%20fintech/purpleline_pa_icon/AMCR_pa_purpleline_signal.jpg</t>
  </si>
  <si>
    <t>https://3arbzfbsh-cname-us.ngrok.io/Desktop/seabridge%20fintech/purpleline_pa_icon/AMD_pa_purpleline_signal.jpg</t>
  </si>
  <si>
    <t>https://3arbzfbsh-cname-us.ngrok.io/Desktop/seabridge%20fintech/purpleline_pa_icon/AME_pa_purpleline_signal.jpg</t>
  </si>
  <si>
    <t>https://3arbzfbsh-cname-us.ngrok.io/Desktop/seabridge%20fintech/purpleline_pa_icon/AMGN_pa_purpleline_signal.jpg</t>
  </si>
  <si>
    <t>https://3arbzfbsh-cname-us.ngrok.io/Desktop/seabridge%20fintech/purpleline_pa_icon/AMLP_pa_purpleline_signal.jpg</t>
  </si>
  <si>
    <t>https://3arbzfbsh-cname-us.ngrok.io/Desktop/seabridge%20fintech/purpleline_pa_icon/AMP_pa_purpleline_signal.jpg</t>
  </si>
  <si>
    <t>https://3arbzfbsh-cname-us.ngrok.io/Desktop/seabridge%20fintech/purpleline_pa_icon/AMT_pa_purpleline_signal.jpg</t>
  </si>
  <si>
    <t>https://3arbzfbsh-cname-us.ngrok.io/Desktop/seabridge%20fintech/purpleline_pa_icon/AMZN_pa_purpleline_signal.jpg</t>
  </si>
  <si>
    <t>https://3arbzfbsh-cname-us.ngrok.io/Desktop/seabridge%20fintech/purpleline_pa_icon/ANET_pa_purpleline_signal.jpg</t>
  </si>
  <si>
    <t>https://3arbzfbsh-cname-us.ngrok.io/Desktop/seabridge%20fintech/purpleline_pa_icon/ANSS_pa_purpleline_signal.jpg</t>
  </si>
  <si>
    <t>https://3arbzfbsh-cname-us.ngrok.io/Desktop/seabridge%20fintech/purpleline_pa_icon/ANTM_pa_purpleline_signal.jpg</t>
  </si>
  <si>
    <t>https://3arbzfbsh-cname-us.ngrok.io/Desktop/seabridge%20fintech/purpleline_pa_icon/AON_pa_purpleline_signal.jpg</t>
  </si>
  <si>
    <t>https://3arbzfbsh-cname-us.ngrok.io/Desktop/seabridge%20fintech/purpleline_pa_icon/AOS_pa_purpleline_signal.jpg</t>
  </si>
  <si>
    <t>https://3arbzfbsh-cname-us.ngrok.io/Desktop/seabridge%20fintech/purpleline_pa_icon/APA_pa_purpleline_signal.jpg</t>
  </si>
  <si>
    <t>https://3arbzfbsh-cname-us.ngrok.io/Desktop/seabridge%20fintech/purpleline_pa_icon/APD_pa_purpleline_signal.jpg</t>
  </si>
  <si>
    <t>https://3arbzfbsh-cname-us.ngrok.io/Desktop/seabridge%20fintech/purpleline_pa_icon/APH_pa_purpleline_signal.jpg</t>
  </si>
  <si>
    <t>https://3arbzfbsh-cname-us.ngrok.io/Desktop/seabridge%20fintech/purpleline_pa_icon/APO_pa_purpleline_signal.jpg</t>
  </si>
  <si>
    <t>https://3arbzfbsh-cname-us.ngrok.io/Desktop/seabridge%20fintech/purpleline_pa_icon/APPS_pa_purpleline_signal.jpg</t>
  </si>
  <si>
    <t>https://3arbzfbsh-cname-us.ngrok.io/Desktop/seabridge%20fintech/purpleline_pa_icon/APTV_pa_purpleline_signal.jpg</t>
  </si>
  <si>
    <t>https://3arbzfbsh-cname-us.ngrok.io/Desktop/seabridge%20fintech/purpleline_pa_icon/ARE_pa_purpleline_signal.jpg</t>
  </si>
  <si>
    <t>https://3arbzfbsh-cname-us.ngrok.io/Desktop/seabridge%20fintech/purpleline_pa_icon/ASAN_pa_purpleline_signal.jpg</t>
  </si>
  <si>
    <t>https://3arbzfbsh-cname-us.ngrok.io/Desktop/seabridge%20fintech/purpleline_pa_icon/ASHR_pa_purpleline_signal.jpg</t>
  </si>
  <si>
    <t>https://3arbzfbsh-cname-us.ngrok.io/Desktop/seabridge%20fintech/purpleline_pa_icon/ASML_pa_purpleline_signal.jpg</t>
  </si>
  <si>
    <t>https://3arbzfbsh-cname-us.ngrok.io/Desktop/seabridge%20fintech/purpleline_pa_icon/ATO_pa_purpleline_signal.jpg</t>
  </si>
  <si>
    <t>https://3arbzfbsh-cname-us.ngrok.io/Desktop/seabridge%20fintech/purpleline_pa_icon/ATUS_pa_purpleline_signal.jpg</t>
  </si>
  <si>
    <t>https://3arbzfbsh-cname-us.ngrok.io/Desktop/seabridge%20fintech/purpleline_pa_icon/ATVI_pa_purpleline_signal.jpg</t>
  </si>
  <si>
    <t>https://3arbzfbsh-cname-us.ngrok.io/Desktop/seabridge%20fintech/purpleline_pa_icon/AVB_pa_purpleline_signal.jpg</t>
  </si>
  <si>
    <t>https://3arbzfbsh-cname-us.ngrok.io/Desktop/seabridge%20fintech/purpleline_pa_icon/AVGO_pa_purpleline_signal.jpg</t>
  </si>
  <si>
    <t>https://3arbzfbsh-cname-us.ngrok.io/Desktop/seabridge%20fintech/purpleline_pa_icon/AVTR_pa_purpleline_signal.jpg</t>
  </si>
  <si>
    <t>https://3arbzfbsh-cname-us.ngrok.io/Desktop/seabridge%20fintech/purpleline_pa_icon/AVY_pa_purpleline_signal.jpg</t>
  </si>
  <si>
    <t>https://3arbzfbsh-cname-us.ngrok.io/Desktop/seabridge%20fintech/purpleline_pa_icon/AWK_pa_purpleline_signal.jpg</t>
  </si>
  <si>
    <t>https://3arbzfbsh-cname-us.ngrok.io/Desktop/seabridge%20fintech/purpleline_pa_icon/AXP_pa_purpleline_signal.jpg</t>
  </si>
  <si>
    <t>https://3arbzfbsh-cname-us.ngrok.io/Desktop/seabridge%20fintech/purpleline_pa_icon/AXTA_pa_purpleline_signal.jpg</t>
  </si>
  <si>
    <t>https://3arbzfbsh-cname-us.ngrok.io/Desktop/seabridge%20fintech/purpleline_pa_icon/AZO_pa_purpleline_signal.jpg</t>
  </si>
  <si>
    <t>https://3arbzfbsh-cname-us.ngrok.io/Desktop/seabridge%20fintech/purpleline_pa_icon/BA_pa_purpleline_signal.jpg</t>
  </si>
  <si>
    <t>https://3arbzfbsh-cname-us.ngrok.io/Desktop/seabridge%20fintech/purpleline_pa_icon/BAC_pa_purpleline_signal.jpg</t>
  </si>
  <si>
    <t>https://3arbzfbsh-cname-us.ngrok.io/Desktop/seabridge%20fintech/purpleline_pa_icon/BAX_pa_purpleline_signal.jpg</t>
  </si>
  <si>
    <t>https://3arbzfbsh-cname-us.ngrok.io/Desktop/seabridge%20fintech/purpleline_pa_icon/BBBY_pa_purpleline_signal.jpg</t>
  </si>
  <si>
    <t>https://3arbzfbsh-cname-us.ngrok.io/Desktop/seabridge%20fintech/purpleline_pa_icon/BBY_pa_purpleline_signal.jpg</t>
  </si>
  <si>
    <t>https://3arbzfbsh-cname-us.ngrok.io/Desktop/seabridge%20fintech/purpleline_pa_icon/BDX_pa_purpleline_signal.jpg</t>
  </si>
  <si>
    <t>https://3arbzfbsh-cname-us.ngrok.io/Desktop/seabridge%20fintech/purpleline_pa_icon/BEN_pa_purpleline_signal.jpg</t>
  </si>
  <si>
    <t>https://3arbzfbsh-cname-us.ngrok.io/Desktop/seabridge%20fintech/purpleline_pa_icon/BIDU_pa_purpleline_signal.jpg</t>
  </si>
  <si>
    <t>https://3arbzfbsh-cname-us.ngrok.io/Desktop/seabridge%20fintech/purpleline_pa_icon/BIIB_pa_purpleline_signal.jpg</t>
  </si>
  <si>
    <t>https://3arbzfbsh-cname-us.ngrok.io/Desktop/seabridge%20fintech/purpleline_pa_icon/BIO_pa_purpleline_signal.jpg</t>
  </si>
  <si>
    <t>https://3arbzfbsh-cname-us.ngrok.io/Desktop/seabridge%20fintech/purpleline_pa_icon/BK_pa_purpleline_signal.jpg</t>
  </si>
  <si>
    <t>https://3arbzfbsh-cname-us.ngrok.io/Desktop/seabridge%20fintech/purpleline_pa_icon/BKNG_pa_purpleline_signal.jpg</t>
  </si>
  <si>
    <t>https://3arbzfbsh-cname-us.ngrok.io/Desktop/seabridge%20fintech/purpleline_pa_icon/BKR_pa_purpleline_signal.jpg</t>
  </si>
  <si>
    <t>https://3arbzfbsh-cname-us.ngrok.io/Desktop/seabridge%20fintech/purpleline_pa_icon/BLDR_pa_purpleline_signal.jpg</t>
  </si>
  <si>
    <t>https://3arbzfbsh-cname-us.ngrok.io/Desktop/seabridge%20fintech/purpleline_pa_icon/BLK_pa_purpleline_signal.jpg</t>
  </si>
  <si>
    <t>https://3arbzfbsh-cname-us.ngrok.io/Desktop/seabridge%20fintech/purpleline_pa_icon/BLL_pa_purpleline_signal.jpg</t>
  </si>
  <si>
    <t>https://3arbzfbsh-cname-us.ngrok.io/Desktop/seabridge%20fintech/purpleline_pa_icon/BMY_pa_purpleline_signal.jpg</t>
  </si>
  <si>
    <t>https://3arbzfbsh-cname-us.ngrok.io/Desktop/seabridge%20fintech/purpleline_pa_icon/BND_pa_purpleline_signal.jpg</t>
  </si>
  <si>
    <t>https://3arbzfbsh-cname-us.ngrok.io/Desktop/seabridge%20fintech/purpleline_pa_icon/BNDX_pa_purpleline_signal.jpg</t>
  </si>
  <si>
    <t>https://3arbzfbsh-cname-us.ngrok.io/Desktop/seabridge%20fintech/purpleline_pa_icon/BR_pa_purpleline_signal.jpg</t>
  </si>
  <si>
    <t>https://3arbzfbsh-cname-us.ngrok.io/Desktop/seabridge%20fintech/purpleline_pa_icon/BSV_pa_purpleline_signal.jpg</t>
  </si>
  <si>
    <t>https://3arbzfbsh-cname-us.ngrok.io/Desktop/seabridge%20fintech/purpleline_pa_icon/BSX_pa_purpleline_signal.jpg</t>
  </si>
  <si>
    <t>https://3arbzfbsh-cname-us.ngrok.io/Desktop/seabridge%20fintech/purpleline_pa_icon/BWA_pa_purpleline_signal.jpg</t>
  </si>
  <si>
    <t>https://3arbzfbsh-cname-us.ngrok.io/Desktop/seabridge%20fintech/purpleline_pa_icon/BX_pa_purpleline_signal.jpg</t>
  </si>
  <si>
    <t>https://3arbzfbsh-cname-us.ngrok.io/Desktop/seabridge%20fintech/purpleline_pa_icon/BXP_pa_purpleline_signal.jpg</t>
  </si>
  <si>
    <t>https://3arbzfbsh-cname-us.ngrok.io/Desktop/seabridge%20fintech/purpleline_pa_icon/BYND_pa_purpleline_signal.jpg</t>
  </si>
  <si>
    <t>https://3arbzfbsh-cname-us.ngrok.io/Desktop/seabridge%20fintech/purpleline_pa_icon/C_pa_purpleline_signal.jpg</t>
  </si>
  <si>
    <t>https://3arbzfbsh-cname-us.ngrok.io/Desktop/seabridge%20fintech/purpleline_pa_icon/CAG_pa_purpleline_signal.jpg</t>
  </si>
  <si>
    <t>https://3arbzfbsh-cname-us.ngrok.io/Desktop/seabridge%20fintech/purpleline_pa_icon/CAH_pa_purpleline_signal.jpg</t>
  </si>
  <si>
    <t>https://3arbzfbsh-cname-us.ngrok.io/Desktop/seabridge%20fintech/purpleline_pa_icon/CAT_pa_purpleline_signal.jpg</t>
  </si>
  <si>
    <t>https://3arbzfbsh-cname-us.ngrok.io/Desktop/seabridge%20fintech/purpleline_pa_icon/CB_pa_purpleline_signal.jpg</t>
  </si>
  <si>
    <t>https://3arbzfbsh-cname-us.ngrok.io/Desktop/seabridge%20fintech/purpleline_pa_icon/CBOE_pa_purpleline_signal.jpg</t>
  </si>
  <si>
    <t>https://3arbzfbsh-cname-us.ngrok.io/Desktop/seabridge%20fintech/purpleline_pa_icon/CBRE_pa_purpleline_signal.jpg</t>
  </si>
  <si>
    <t>https://3arbzfbsh-cname-us.ngrok.io/Desktop/seabridge%20fintech/purpleline_pa_icon/CCI_pa_purpleline_signal.jpg</t>
  </si>
  <si>
    <t>https://3arbzfbsh-cname-us.ngrok.io/Desktop/seabridge%20fintech/purpleline_pa_icon/CCL_pa_purpleline_signal.jpg</t>
  </si>
  <si>
    <t>https://3arbzfbsh-cname-us.ngrok.io/Desktop/seabridge%20fintech/purpleline_pa_icon/CDNS_pa_purpleline_signal.jpg</t>
  </si>
  <si>
    <t>https://3arbzfbsh-cname-us.ngrok.io/Desktop/seabridge%20fintech/purpleline_pa_icon/CDW_pa_purpleline_signal.jpg</t>
  </si>
  <si>
    <t>https://3arbzfbsh-cname-us.ngrok.io/Desktop/seabridge%20fintech/purpleline_pa_icon/CE_pa_purpleline_signal.jpg</t>
  </si>
  <si>
    <t>https://3arbzfbsh-cname-us.ngrok.io/Desktop/seabridge%20fintech/purpleline_pa_icon/CERN_pa_purpleline_signal.jpg</t>
  </si>
  <si>
    <t>https://3arbzfbsh-cname-us.ngrok.io/Desktop/seabridge%20fintech/purpleline_pa_icon/CF_pa_purpleline_signal.jpg</t>
  </si>
  <si>
    <t>https://3arbzfbsh-cname-us.ngrok.io/Desktop/seabridge%20fintech/purpleline_pa_icon/CFG_pa_purpleline_signal.jpg</t>
  </si>
  <si>
    <t>https://3arbzfbsh-cname-us.ngrok.io/Desktop/seabridge%20fintech/purpleline_pa_icon/CHD_pa_purpleline_signal.jpg</t>
  </si>
  <si>
    <t>https://3arbzfbsh-cname-us.ngrok.io/Desktop/seabridge%20fintech/purpleline_pa_icon/CHKP_pa_purpleline_signal.jpg</t>
  </si>
  <si>
    <t>https://3arbzfbsh-cname-us.ngrok.io/Desktop/seabridge%20fintech/purpleline_pa_icon/CHRW_pa_purpleline_signal.jpg</t>
  </si>
  <si>
    <t>https://3arbzfbsh-cname-us.ngrok.io/Desktop/seabridge%20fintech/purpleline_pa_icon/CHTR_pa_purpleline_signal.jpg</t>
  </si>
  <si>
    <t>https://3arbzfbsh-cname-us.ngrok.io/Desktop/seabridge%20fintech/purpleline_pa_icon/CHWY_pa_purpleline_signal.jpg</t>
  </si>
  <si>
    <t>https://3arbzfbsh-cname-us.ngrok.io/Desktop/seabridge%20fintech/purpleline_pa_icon/CI_pa_purpleline_signal.jpg</t>
  </si>
  <si>
    <t>https://3arbzfbsh-cname-us.ngrok.io/Desktop/seabridge%20fintech/purpleline_pa_icon/CINF_pa_purpleline_signal.jpg</t>
  </si>
  <si>
    <t>https://3arbzfbsh-cname-us.ngrok.io/Desktop/seabridge%20fintech/purpleline_pa_icon/CL_pa_purpleline_signal.jpg</t>
  </si>
  <si>
    <t>https://3arbzfbsh-cname-us.ngrok.io/Desktop/seabridge%20fintech/purpleline_pa_icon/CLX_pa_purpleline_signal.jpg</t>
  </si>
  <si>
    <t>https://3arbzfbsh-cname-us.ngrok.io/Desktop/seabridge%20fintech/purpleline_pa_icon/CMA_pa_purpleline_signal.jpg</t>
  </si>
  <si>
    <t>https://3arbzfbsh-cname-us.ngrok.io/Desktop/seabridge%20fintech/purpleline_pa_icon/CMCSA_pa_purpleline_signal.jpg</t>
  </si>
  <si>
    <t>https://3arbzfbsh-cname-us.ngrok.io/Desktop/seabridge%20fintech/purpleline_pa_icon/CME_pa_purpleline_signal.jpg</t>
  </si>
  <si>
    <t>https://3arbzfbsh-cname-us.ngrok.io/Desktop/seabridge%20fintech/purpleline_pa_icon/CMG_pa_purpleline_signal.jpg</t>
  </si>
  <si>
    <t>https://3arbzfbsh-cname-us.ngrok.io/Desktop/seabridge%20fintech/purpleline_pa_icon/CMI_pa_purpleline_signal.jpg</t>
  </si>
  <si>
    <t>https://3arbzfbsh-cname-us.ngrok.io/Desktop/seabridge%20fintech/purpleline_pa_icon/CMS_pa_purpleline_signal.jpg</t>
  </si>
  <si>
    <t>https://3arbzfbsh-cname-us.ngrok.io/Desktop/seabridge%20fintech/purpleline_pa_icon/CNC_pa_purpleline_signal.jpg</t>
  </si>
  <si>
    <t>https://3arbzfbsh-cname-us.ngrok.io/Desktop/seabridge%20fintech/purpleline_pa_icon/CNP_pa_purpleline_signal.jpg</t>
  </si>
  <si>
    <t>https://3arbzfbsh-cname-us.ngrok.io/Desktop/seabridge%20fintech/purpleline_pa_icon/COF_pa_purpleline_signal.jpg</t>
  </si>
  <si>
    <t>https://3arbzfbsh-cname-us.ngrok.io/Desktop/seabridge%20fintech/purpleline_pa_icon/COG_pa_purpleline_signal.jpg</t>
  </si>
  <si>
    <t>https://3arbzfbsh-cname-us.ngrok.io/Desktop/seabridge%20fintech/purpleline_pa_icon/COO_pa_purpleline_signal.jpg</t>
  </si>
  <si>
    <t>https://3arbzfbsh-cname-us.ngrok.io/Desktop/seabridge%20fintech/purpleline_pa_icon/COP_pa_purpleline_signal.jpg</t>
  </si>
  <si>
    <t>https://3arbzfbsh-cname-us.ngrok.io/Desktop/seabridge%20fintech/purpleline_pa_icon/COST_pa_purpleline_signal.jpg</t>
  </si>
  <si>
    <t>https://3arbzfbsh-cname-us.ngrok.io/Desktop/seabridge%20fintech/purpleline_pa_icon/CPB_pa_purpleline_signal.jpg</t>
  </si>
  <si>
    <t>https://3arbzfbsh-cname-us.ngrok.io/Desktop/seabridge%20fintech/purpleline_pa_icon/CPRT_pa_purpleline_signal.jpg</t>
  </si>
  <si>
    <t>https://3arbzfbsh-cname-us.ngrok.io/Desktop/seabridge%20fintech/purpleline_pa_icon/CRL_pa_purpleline_signal.jpg</t>
  </si>
  <si>
    <t>https://3arbzfbsh-cname-us.ngrok.io/Desktop/seabridge%20fintech/purpleline_pa_icon/CRM_pa_purpleline_signal.jpg</t>
  </si>
  <si>
    <t>https://3arbzfbsh-cname-us.ngrok.io/Desktop/seabridge%20fintech/purpleline_pa_icon/CRSR_pa_purpleline_signal.jpg</t>
  </si>
  <si>
    <t>https://3arbzfbsh-cname-us.ngrok.io/Desktop/seabridge%20fintech/purpleline_pa_icon/CRWD_pa_purpleline_signal.jpg</t>
  </si>
  <si>
    <t>https://3arbzfbsh-cname-us.ngrok.io/Desktop/seabridge%20fintech/purpleline_pa_icon/CSCO_pa_purpleline_signal.jpg</t>
  </si>
  <si>
    <t>https://3arbzfbsh-cname-us.ngrok.io/Desktop/seabridge%20fintech/purpleline_pa_icon/CSGP_pa_purpleline_signal.jpg</t>
  </si>
  <si>
    <t>https://3arbzfbsh-cname-us.ngrok.io/Desktop/seabridge%20fintech/purpleline_pa_icon/CSX_pa_purpleline_signal.jpg</t>
  </si>
  <si>
    <t>https://3arbzfbsh-cname-us.ngrok.io/Desktop/seabridge%20fintech/purpleline_pa_icon/CTAS_pa_purpleline_signal.jpg</t>
  </si>
  <si>
    <t>https://3arbzfbsh-cname-us.ngrok.io/Desktop/seabridge%20fintech/purpleline_pa_icon/CTLT_pa_purpleline_signal.jpg</t>
  </si>
  <si>
    <t>https://3arbzfbsh-cname-us.ngrok.io/Desktop/seabridge%20fintech/purpleline_pa_icon/CTSH_pa_purpleline_signal.jpg</t>
  </si>
  <si>
    <t>https://3arbzfbsh-cname-us.ngrok.io/Desktop/seabridge%20fintech/purpleline_pa_icon/CTVA_pa_purpleline_signal.jpg</t>
  </si>
  <si>
    <t>https://3arbzfbsh-cname-us.ngrok.io/Desktop/seabridge%20fintech/purpleline_pa_icon/CTXS_pa_purpleline_signal.jpg</t>
  </si>
  <si>
    <t>https://3arbzfbsh-cname-us.ngrok.io/Desktop/seabridge%20fintech/purpleline_pa_icon/CVS_pa_purpleline_signal.jpg</t>
  </si>
  <si>
    <t>https://3arbzfbsh-cname-us.ngrok.io/Desktop/seabridge%20fintech/purpleline_pa_icon/CVX_pa_purpleline_signal.jpg</t>
  </si>
  <si>
    <t>https://3arbzfbsh-cname-us.ngrok.io/Desktop/seabridge%20fintech/purpleline_pa_icon/CZR_pa_purpleline_signal.jpg</t>
  </si>
  <si>
    <t>https://3arbzfbsh-cname-us.ngrok.io/Desktop/seabridge%20fintech/purpleline_pa_icon/D_pa_purpleline_signal.jpg</t>
  </si>
  <si>
    <t>https://3arbzfbsh-cname-us.ngrok.io/Desktop/seabridge%20fintech/purpleline_pa_icon/DAL_pa_purpleline_signal.jpg</t>
  </si>
  <si>
    <t>https://3arbzfbsh-cname-us.ngrok.io/Desktop/seabridge%20fintech/purpleline_pa_icon/DAR_pa_purpleline_signal.jpg</t>
  </si>
  <si>
    <t>https://3arbzfbsh-cname-us.ngrok.io/Desktop/seabridge%20fintech/purpleline_pa_icon/DBX_pa_purpleline_signal.jpg</t>
  </si>
  <si>
    <t>https://3arbzfbsh-cname-us.ngrok.io/Desktop/seabridge%20fintech/purpleline_pa_icon/DD_pa_purpleline_signal.jpg</t>
  </si>
  <si>
    <t>https://3arbzfbsh-cname-us.ngrok.io/Desktop/seabridge%20fintech/purpleline_pa_icon/DDD_pa_purpleline_signal.jpg</t>
  </si>
  <si>
    <t>https://3arbzfbsh-cname-us.ngrok.io/Desktop/seabridge%20fintech/purpleline_pa_icon/DDOG_pa_purpleline_signal.jpg</t>
  </si>
  <si>
    <t>https://3arbzfbsh-cname-us.ngrok.io/Desktop/seabridge%20fintech/purpleline_pa_icon/DE_pa_purpleline_signal.jpg</t>
  </si>
  <si>
    <t>https://3arbzfbsh-cname-us.ngrok.io/Desktop/seabridge%20fintech/purpleline_pa_icon/DELL_pa_purpleline_signal.jpg</t>
  </si>
  <si>
    <t>https://3arbzfbsh-cname-us.ngrok.io/Desktop/seabridge%20fintech/purpleline_pa_icon/DFS_pa_purpleline_signal.jpg</t>
  </si>
  <si>
    <t>https://3arbzfbsh-cname-us.ngrok.io/Desktop/seabridge%20fintech/purpleline_pa_icon/DG_pa_purpleline_signal.jpg</t>
  </si>
  <si>
    <t>https://3arbzfbsh-cname-us.ngrok.io/Desktop/seabridge%20fintech/purpleline_pa_icon/DGX_pa_purpleline_signal.jpg</t>
  </si>
  <si>
    <t>https://3arbzfbsh-cname-us.ngrok.io/Desktop/seabridge%20fintech/purpleline_pa_icon/DHI_pa_purpleline_signal.jpg</t>
  </si>
  <si>
    <t>https://3arbzfbsh-cname-us.ngrok.io/Desktop/seabridge%20fintech/purpleline_pa_icon/DHR_pa_purpleline_signal.jpg</t>
  </si>
  <si>
    <t>https://3arbzfbsh-cname-us.ngrok.io/Desktop/seabridge%20fintech/purpleline_pa_icon/DIA_pa_purpleline_signal.jpg</t>
  </si>
  <si>
    <t>https://3arbzfbsh-cname-us.ngrok.io/Desktop/seabridge%20fintech/purpleline_pa_icon/DIS_pa_purpleline_signal.jpg</t>
  </si>
  <si>
    <t>https://3arbzfbsh-cname-us.ngrok.io/Desktop/seabridge%20fintech/purpleline_pa_icon/DISCA_pa_purpleline_signal.jpg</t>
  </si>
  <si>
    <t>https://3arbzfbsh-cname-us.ngrok.io/Desktop/seabridge%20fintech/purpleline_pa_icon/DISH_pa_purpleline_signal.jpg</t>
  </si>
  <si>
    <t>https://3arbzfbsh-cname-us.ngrok.io/Desktop/seabridge%20fintech/purpleline_pa_icon/DKNG_pa_purpleline_signal.jpg</t>
  </si>
  <si>
    <t>https://3arbzfbsh-cname-us.ngrok.io/Desktop/seabridge%20fintech/purpleline_pa_icon/DLR_pa_purpleline_signal.jpg</t>
  </si>
  <si>
    <t>https://3arbzfbsh-cname-us.ngrok.io/Desktop/seabridge%20fintech/purpleline_pa_icon/DLTR_pa_purpleline_signal.jpg</t>
  </si>
  <si>
    <t>https://3arbzfbsh-cname-us.ngrok.io/Desktop/seabridge%20fintech/purpleline_pa_icon/DOCU_pa_purpleline_signal.jpg</t>
  </si>
  <si>
    <t>https://3arbzfbsh-cname-us.ngrok.io/Desktop/seabridge%20fintech/purpleline_pa_icon/DOV_pa_purpleline_signal.jpg</t>
  </si>
  <si>
    <t>https://3arbzfbsh-cname-us.ngrok.io/Desktop/seabridge%20fintech/purpleline_pa_icon/DOW_pa_purpleline_signal.jpg</t>
  </si>
  <si>
    <t>https://3arbzfbsh-cname-us.ngrok.io/Desktop/seabridge%20fintech/purpleline_pa_icon/DPZ_pa_purpleline_signal.jpg</t>
  </si>
  <si>
    <t>https://3arbzfbsh-cname-us.ngrok.io/Desktop/seabridge%20fintech/purpleline_pa_icon/DRE_pa_purpleline_signal.jpg</t>
  </si>
  <si>
    <t>https://3arbzfbsh-cname-us.ngrok.io/Desktop/seabridge%20fintech/purpleline_pa_icon/DRI_pa_purpleline_signal.jpg</t>
  </si>
  <si>
    <t>https://3arbzfbsh-cname-us.ngrok.io/Desktop/seabridge%20fintech/purpleline_pa_icon/DTE_pa_purpleline_signal.jpg</t>
  </si>
  <si>
    <t>https://3arbzfbsh-cname-us.ngrok.io/Desktop/seabridge%20fintech/purpleline_pa_icon/DUK_pa_purpleline_signal.jpg</t>
  </si>
  <si>
    <t>https://3arbzfbsh-cname-us.ngrok.io/Desktop/seabridge%20fintech/purpleline_pa_icon/DVA_pa_purpleline_signal.jpg</t>
  </si>
  <si>
    <t>https://3arbzfbsh-cname-us.ngrok.io/Desktop/seabridge%20fintech/purpleline_pa_icon/DVN_pa_purpleline_signal.jpg</t>
  </si>
  <si>
    <t>https://3arbzfbsh-cname-us.ngrok.io/Desktop/seabridge%20fintech/purpleline_pa_icon/DXC_pa_purpleline_signal.jpg</t>
  </si>
  <si>
    <t>https://3arbzfbsh-cname-us.ngrok.io/Desktop/seabridge%20fintech/purpleline_pa_icon/DXCM_pa_purpleline_signal.jpg</t>
  </si>
  <si>
    <t>https://3arbzfbsh-cname-us.ngrok.io/Desktop/seabridge%20fintech/purpleline_pa_icon/EA_pa_purpleline_signal.jpg</t>
  </si>
  <si>
    <t>https://3arbzfbsh-cname-us.ngrok.io/Desktop/seabridge%20fintech/purpleline_pa_icon/EBAY_pa_purpleline_signal.jpg</t>
  </si>
  <si>
    <t>https://3arbzfbsh-cname-us.ngrok.io/Desktop/seabridge%20fintech/purpleline_pa_icon/ECL_pa_purpleline_signal.jpg</t>
  </si>
  <si>
    <t>https://3arbzfbsh-cname-us.ngrok.io/Desktop/seabridge%20fintech/purpleline_pa_icon/ED_pa_purpleline_signal.jpg</t>
  </si>
  <si>
    <t>https://3arbzfbsh-cname-us.ngrok.io/Desktop/seabridge%20fintech/purpleline_pa_icon/EEM_pa_purpleline_signal.jpg</t>
  </si>
  <si>
    <t>https://3arbzfbsh-cname-us.ngrok.io/Desktop/seabridge%20fintech/purpleline_pa_icon/EFA_pa_purpleline_signal.jpg</t>
  </si>
  <si>
    <t>https://3arbzfbsh-cname-us.ngrok.io/Desktop/seabridge%20fintech/purpleline_pa_icon/EFX_pa_purpleline_signal.jpg</t>
  </si>
  <si>
    <t>https://3arbzfbsh-cname-us.ngrok.io/Desktop/seabridge%20fintech/purpleline_pa_icon/EIX_pa_purpleline_signal.jpg</t>
  </si>
  <si>
    <t>https://3arbzfbsh-cname-us.ngrok.io/Desktop/seabridge%20fintech/purpleline_pa_icon/EL_pa_purpleline_signal.jpg</t>
  </si>
  <si>
    <t>https://3arbzfbsh-cname-us.ngrok.io/Desktop/seabridge%20fintech/purpleline_pa_icon/ELAN_pa_purpleline_signal.jpg</t>
  </si>
  <si>
    <t>https://3arbzfbsh-cname-us.ngrok.io/Desktop/seabridge%20fintech/purpleline_pa_icon/ELY_pa_purpleline_signal.jpg</t>
  </si>
  <si>
    <t>https://3arbzfbsh-cname-us.ngrok.io/Desktop/seabridge%20fintech/purpleline_pa_icon/EMB_pa_purpleline_signal.jpg</t>
  </si>
  <si>
    <t>https://3arbzfbsh-cname-us.ngrok.io/Desktop/seabridge%20fintech/purpleline_pa_icon/EMN_pa_purpleline_signal.jpg</t>
  </si>
  <si>
    <t>https://3arbzfbsh-cname-us.ngrok.io/Desktop/seabridge%20fintech/purpleline_pa_icon/EMR_pa_purpleline_signal.jpg</t>
  </si>
  <si>
    <t>https://3arbzfbsh-cname-us.ngrok.io/Desktop/seabridge%20fintech/purpleline_pa_icon/ENPH_pa_purpleline_signal.jpg</t>
  </si>
  <si>
    <t>https://3arbzfbsh-cname-us.ngrok.io/Desktop/seabridge%20fintech/purpleline_pa_icon/EOG_pa_purpleline_signal.jpg</t>
  </si>
  <si>
    <t>https://3arbzfbsh-cname-us.ngrok.io/Desktop/seabridge%20fintech/purpleline_pa_icon/EQH_pa_purpleline_signal.jpg</t>
  </si>
  <si>
    <t>https://3arbzfbsh-cname-us.ngrok.io/Desktop/seabridge%20fintech/purpleline_pa_icon/EQIX_pa_purpleline_signal.jpg</t>
  </si>
  <si>
    <t>https://3arbzfbsh-cname-us.ngrok.io/Desktop/seabridge%20fintech/purpleline_pa_icon/EQR_pa_purpleline_signal.jpg</t>
  </si>
  <si>
    <t>https://3arbzfbsh-cname-us.ngrok.io/Desktop/seabridge%20fintech/purpleline_pa_icon/ES_pa_purpleline_signal.jpg</t>
  </si>
  <si>
    <t>https://3arbzfbsh-cname-us.ngrok.io/Desktop/seabridge%20fintech/purpleline_pa_icon/ESS_pa_purpleline_signal.jpg</t>
  </si>
  <si>
    <t>https://3arbzfbsh-cname-us.ngrok.io/Desktop/seabridge%20fintech/purpleline_pa_icon/ETN_pa_purpleline_signal.jpg</t>
  </si>
  <si>
    <t>https://3arbzfbsh-cname-us.ngrok.io/Desktop/seabridge%20fintech/purpleline_pa_icon/ETR_pa_purpleline_signal.jpg</t>
  </si>
  <si>
    <t>https://3arbzfbsh-cname-us.ngrok.io/Desktop/seabridge%20fintech/purpleline_pa_icon/ETSY_pa_purpleline_signal.jpg</t>
  </si>
  <si>
    <t>https://3arbzfbsh-cname-us.ngrok.io/Desktop/seabridge%20fintech/purpleline_pa_icon/EVRG_pa_purpleline_signal.jpg</t>
  </si>
  <si>
    <t>https://3arbzfbsh-cname-us.ngrok.io/Desktop/seabridge%20fintech/purpleline_pa_icon/EW_pa_purpleline_signal.jpg</t>
  </si>
  <si>
    <t>https://3arbzfbsh-cname-us.ngrok.io/Desktop/seabridge%20fintech/purpleline_pa_icon/EWC_pa_purpleline_signal.jpg</t>
  </si>
  <si>
    <t>https://3arbzfbsh-cname-us.ngrok.io/Desktop/seabridge%20fintech/purpleline_pa_icon/EWG_pa_purpleline_signal.jpg</t>
  </si>
  <si>
    <t>https://3arbzfbsh-cname-us.ngrok.io/Desktop/seabridge%20fintech/purpleline_pa_icon/EWH_pa_purpleline_signal.jpg</t>
  </si>
  <si>
    <t>https://3arbzfbsh-cname-us.ngrok.io/Desktop/seabridge%20fintech/purpleline_pa_icon/EWJ_pa_purpleline_signal.jpg</t>
  </si>
  <si>
    <t>https://3arbzfbsh-cname-us.ngrok.io/Desktop/seabridge%20fintech/purpleline_pa_icon/EWT_pa_purpleline_signal.jpg</t>
  </si>
  <si>
    <t>https://3arbzfbsh-cname-us.ngrok.io/Desktop/seabridge%20fintech/purpleline_pa_icon/EWU_pa_purpleline_signal.jpg</t>
  </si>
  <si>
    <t>https://3arbzfbsh-cname-us.ngrok.io/Desktop/seabridge%20fintech/purpleline_pa_icon/EWY_pa_purpleline_signal.jpg</t>
  </si>
  <si>
    <t>https://3arbzfbsh-cname-us.ngrok.io/Desktop/seabridge%20fintech/purpleline_pa_icon/EWZ_pa_purpleline_signal.jpg</t>
  </si>
  <si>
    <t>https://3arbzfbsh-cname-us.ngrok.io/Desktop/seabridge%20fintech/purpleline_pa_icon/EXC_pa_purpleline_signal.jpg</t>
  </si>
  <si>
    <t>https://3arbzfbsh-cname-us.ngrok.io/Desktop/seabridge%20fintech/purpleline_pa_icon/EXPD_pa_purpleline_signal.jpg</t>
  </si>
  <si>
    <t>https://3arbzfbsh-cname-us.ngrok.io/Desktop/seabridge%20fintech/purpleline_pa_icon/EXPE_pa_purpleline_signal.jpg</t>
  </si>
  <si>
    <t>https://3arbzfbsh-cname-us.ngrok.io/Desktop/seabridge%20fintech/purpleline_pa_icon/EXR_pa_purpleline_signal.jpg</t>
  </si>
  <si>
    <t>https://3arbzfbsh-cname-us.ngrok.io/Desktop/seabridge%20fintech/purpleline_pa_icon/EZU_pa_purpleline_signal.jpg</t>
  </si>
  <si>
    <t>https://3arbzfbsh-cname-us.ngrok.io/Desktop/seabridge%20fintech/purpleline_pa_icon/F_pa_purpleline_signal.jpg</t>
  </si>
  <si>
    <t>https://3arbzfbsh-cname-us.ngrok.io/Desktop/seabridge%20fintech/purpleline_pa_icon/FANG_pa_purpleline_signal.jpg</t>
  </si>
  <si>
    <t>https://3arbzfbsh-cname-us.ngrok.io/Desktop/seabridge%20fintech/purpleline_pa_icon/FAST_pa_purpleline_signal.jpg</t>
  </si>
  <si>
    <t>https://3arbzfbsh-cname-us.ngrok.io/Desktop/seabridge%20fintech/purpleline_pa_icon/FB_pa_purpleline_signal.jpg</t>
  </si>
  <si>
    <t>https://3arbzfbsh-cname-us.ngrok.io/Desktop/seabridge%20fintech/purpleline_pa_icon/FBHS_pa_purpleline_signal.jpg</t>
  </si>
  <si>
    <t>https://3arbzfbsh-cname-us.ngrok.io/Desktop/seabridge%20fintech/purpleline_pa_icon/FCX_pa_purpleline_signal.jpg</t>
  </si>
  <si>
    <t>https://3arbzfbsh-cname-us.ngrok.io/Desktop/seabridge%20fintech/purpleline_pa_icon/FDX_pa_purpleline_signal.jpg</t>
  </si>
  <si>
    <t>https://3arbzfbsh-cname-us.ngrok.io/Desktop/seabridge%20fintech/purpleline_pa_icon/FE_pa_purpleline_signal.jpg</t>
  </si>
  <si>
    <t>https://3arbzfbsh-cname-us.ngrok.io/Desktop/seabridge%20fintech/purpleline_pa_icon/FFIV_pa_purpleline_signal.jpg</t>
  </si>
  <si>
    <t>https://3arbzfbsh-cname-us.ngrok.io/Desktop/seabridge%20fintech/purpleline_pa_icon/FIS_pa_purpleline_signal.jpg</t>
  </si>
  <si>
    <t>https://3arbzfbsh-cname-us.ngrok.io/Desktop/seabridge%20fintech/purpleline_pa_icon/FISV_pa_purpleline_signal.jpg</t>
  </si>
  <si>
    <t>https://3arbzfbsh-cname-us.ngrok.io/Desktop/seabridge%20fintech/purpleline_pa_icon/FITB_pa_purpleline_signal.jpg</t>
  </si>
  <si>
    <t>https://3arbzfbsh-cname-us.ngrok.io/Desktop/seabridge%20fintech/purpleline_pa_icon/FLT_pa_purpleline_signal.jpg</t>
  </si>
  <si>
    <t>https://3arbzfbsh-cname-us.ngrok.io/Desktop/seabridge%20fintech/purpleline_pa_icon/FMC_pa_purpleline_signal.jpg</t>
  </si>
  <si>
    <t>https://3arbzfbsh-cname-us.ngrok.io/Desktop/seabridge%20fintech/purpleline_pa_icon/FOX_pa_purpleline_signal.jpg</t>
  </si>
  <si>
    <t>https://3arbzfbsh-cname-us.ngrok.io/Desktop/seabridge%20fintech/purpleline_pa_icon/FOXA_pa_purpleline_signal.jpg</t>
  </si>
  <si>
    <t>https://3arbzfbsh-cname-us.ngrok.io/Desktop/seabridge%20fintech/purpleline_pa_icon/FRC_pa_purpleline_signal.jpg</t>
  </si>
  <si>
    <t>https://3arbzfbsh-cname-us.ngrok.io/Desktop/seabridge%20fintech/purpleline_pa_icon/FRT_pa_purpleline_signal.jpg</t>
  </si>
  <si>
    <t>https://3arbzfbsh-cname-us.ngrok.io/Desktop/seabridge%20fintech/purpleline_pa_icon/FSLR_pa_purpleline_signal.jpg</t>
  </si>
  <si>
    <t>https://3arbzfbsh-cname-us.ngrok.io/Desktop/seabridge%20fintech/purpleline_pa_icon/FSLY_pa_purpleline_signal.jpg</t>
  </si>
  <si>
    <t>https://3arbzfbsh-cname-us.ngrok.io/Desktop/seabridge%20fintech/purpleline_pa_icon/FTNT_pa_purpleline_signal.jpg</t>
  </si>
  <si>
    <t>https://3arbzfbsh-cname-us.ngrok.io/Desktop/seabridge%20fintech/purpleline_pa_icon/FTV_pa_purpleline_signal.jpg</t>
  </si>
  <si>
    <t>https://3arbzfbsh-cname-us.ngrok.io/Desktop/seabridge%20fintech/purpleline_pa_icon/FUBO_pa_purpleline_signal.jpg</t>
  </si>
  <si>
    <t>https://3arbzfbsh-cname-us.ngrok.io/Desktop/seabridge%20fintech/purpleline_pa_icon/FXI_pa_purpleline_signal.jpg</t>
  </si>
  <si>
    <t>https://3arbzfbsh-cname-us.ngrok.io/Desktop/seabridge%20fintech/purpleline_pa_icon/GBTC_pa_purpleline_signal.jpg</t>
  </si>
  <si>
    <t>https://3arbzfbsh-cname-us.ngrok.io/Desktop/seabridge%20fintech/purpleline_pa_icon/GD_pa_purpleline_signal.jpg</t>
  </si>
  <si>
    <t>https://3arbzfbsh-cname-us.ngrok.io/Desktop/seabridge%20fintech/purpleline_pa_icon/GDX_pa_purpleline_signal.jpg</t>
  </si>
  <si>
    <t>https://3arbzfbsh-cname-us.ngrok.io/Desktop/seabridge%20fintech/purpleline_pa_icon/GE_pa_purpleline_signal.jpg</t>
  </si>
  <si>
    <t>https://3arbzfbsh-cname-us.ngrok.io/Desktop/seabridge%20fintech/purpleline_pa_icon/GILD_pa_purpleline_signal.jpg</t>
  </si>
  <si>
    <t>https://3arbzfbsh-cname-us.ngrok.io/Desktop/seabridge%20fintech/purpleline_pa_icon/GIS_pa_purpleline_signal.jpg</t>
  </si>
  <si>
    <t>https://3arbzfbsh-cname-us.ngrok.io/Desktop/seabridge%20fintech/purpleline_pa_icon/GL_pa_purpleline_signal.jpg</t>
  </si>
  <si>
    <t>https://3arbzfbsh-cname-us.ngrok.io/Desktop/seabridge%20fintech/purpleline_pa_icon/GLD_pa_purpleline_signal.jpg</t>
  </si>
  <si>
    <t>https://3arbzfbsh-cname-us.ngrok.io/Desktop/seabridge%20fintech/purpleline_pa_icon/GLW_pa_purpleline_signal.jpg</t>
  </si>
  <si>
    <t>https://3arbzfbsh-cname-us.ngrok.io/Desktop/seabridge%20fintech/purpleline_pa_icon/GM_pa_purpleline_signal.jpg</t>
  </si>
  <si>
    <t>https://3arbzfbsh-cname-us.ngrok.io/Desktop/seabridge%20fintech/purpleline_pa_icon/GME_pa_purpleline_signal.jpg</t>
  </si>
  <si>
    <t>https://3arbzfbsh-cname-us.ngrok.io/Desktop/seabridge%20fintech/purpleline_pa_icon/GNRC_pa_purpleline_signal.jpg</t>
  </si>
  <si>
    <t>https://3arbzfbsh-cname-us.ngrok.io/Desktop/seabridge%20fintech/purpleline_pa_icon/GOOG_pa_purpleline_signal.jpg</t>
  </si>
  <si>
    <t>https://3arbzfbsh-cname-us.ngrok.io/Desktop/seabridge%20fintech/purpleline_pa_icon/GOOGL_pa_purpleline_signal.jpg</t>
  </si>
  <si>
    <t>https://3arbzfbsh-cname-us.ngrok.io/Desktop/seabridge%20fintech/purpleline_pa_icon/GOVT_pa_purpleline_signal.jpg</t>
  </si>
  <si>
    <t>https://3arbzfbsh-cname-us.ngrok.io/Desktop/seabridge%20fintech/purpleline_pa_icon/GPC_pa_purpleline_signal.jpg</t>
  </si>
  <si>
    <t>https://3arbzfbsh-cname-us.ngrok.io/Desktop/seabridge%20fintech/purpleline_pa_icon/GPN_pa_purpleline_signal.jpg</t>
  </si>
  <si>
    <t>https://3arbzfbsh-cname-us.ngrok.io/Desktop/seabridge%20fintech/purpleline_pa_icon/GPS_pa_purpleline_signal.jpg</t>
  </si>
  <si>
    <t>https://3arbzfbsh-cname-us.ngrok.io/Desktop/seabridge%20fintech/purpleline_pa_icon/GRMN_pa_purpleline_signal.jpg</t>
  </si>
  <si>
    <t>https://3arbzfbsh-cname-us.ngrok.io/Desktop/seabridge%20fintech/purpleline_pa_icon/GS_pa_purpleline_signal.jpg</t>
  </si>
  <si>
    <t>https://3arbzfbsh-cname-us.ngrok.io/Desktop/seabridge%20fintech/purpleline_pa_icon/GWW_pa_purpleline_signal.jpg</t>
  </si>
  <si>
    <t>https://3arbzfbsh-cname-us.ngrok.io/Desktop/seabridge%20fintech/purpleline_pa_icon/HAL_pa_purpleline_signal.jpg</t>
  </si>
  <si>
    <t>https://3arbzfbsh-cname-us.ngrok.io/Desktop/seabridge%20fintech/purpleline_pa_icon/HAS_pa_purpleline_signal.jpg</t>
  </si>
  <si>
    <t>https://3arbzfbsh-cname-us.ngrok.io/Desktop/seabridge%20fintech/purpleline_pa_icon/HBAN_pa_purpleline_signal.jpg</t>
  </si>
  <si>
    <t>https://3arbzfbsh-cname-us.ngrok.io/Desktop/seabridge%20fintech/purpleline_pa_icon/HBI_pa_purpleline_signal.jpg</t>
  </si>
  <si>
    <t>https://3arbzfbsh-cname-us.ngrok.io/Desktop/seabridge%20fintech/purpleline_pa_icon/HCA_pa_purpleline_signal.jpg</t>
  </si>
  <si>
    <t>https://3arbzfbsh-cname-us.ngrok.io/Desktop/seabridge%20fintech/purpleline_pa_icon/HD_pa_purpleline_signal.jpg</t>
  </si>
  <si>
    <t>https://3arbzfbsh-cname-us.ngrok.io/Desktop/seabridge%20fintech/purpleline_pa_icon/HES_pa_purpleline_signal.jpg</t>
  </si>
  <si>
    <t>https://3arbzfbsh-cname-us.ngrok.io/Desktop/seabridge%20fintech/purpleline_pa_icon/HFC_pa_purpleline_signal.jpg</t>
  </si>
  <si>
    <t>https://3arbzfbsh-cname-us.ngrok.io/Desktop/seabridge%20fintech/purpleline_pa_icon/HIG_pa_purpleline_signal.jpg</t>
  </si>
  <si>
    <t>https://3arbzfbsh-cname-us.ngrok.io/Desktop/seabridge%20fintech/purpleline_pa_icon/HII_pa_purpleline_signal.jpg</t>
  </si>
  <si>
    <t>https://3arbzfbsh-cname-us.ngrok.io/Desktop/seabridge%20fintech/purpleline_pa_icon/HLT_pa_purpleline_signal.jpg</t>
  </si>
  <si>
    <t>https://3arbzfbsh-cname-us.ngrok.io/Desktop/seabridge%20fintech/purpleline_pa_icon/HOG_pa_purpleline_signal.jpg</t>
  </si>
  <si>
    <t>https://3arbzfbsh-cname-us.ngrok.io/Desktop/seabridge%20fintech/purpleline_pa_icon/HOLX_pa_purpleline_signal.jpg</t>
  </si>
  <si>
    <t>https://3arbzfbsh-cname-us.ngrok.io/Desktop/seabridge%20fintech/purpleline_pa_icon/HOME_pa_purpleline_signal.jpg</t>
  </si>
  <si>
    <t>https://3arbzfbsh-cname-us.ngrok.io/Desktop/seabridge%20fintech/purpleline_pa_icon/HON_pa_purpleline_signal.jpg</t>
  </si>
  <si>
    <t>https://3arbzfbsh-cname-us.ngrok.io/Desktop/seabridge%20fintech/purpleline_pa_icon/HPE_pa_purpleline_signal.jpg</t>
  </si>
  <si>
    <t>https://3arbzfbsh-cname-us.ngrok.io/Desktop/seabridge%20fintech/purpleline_pa_icon/HPQ_pa_purpleline_signal.jpg</t>
  </si>
  <si>
    <t>https://3arbzfbsh-cname-us.ngrok.io/Desktop/seabridge%20fintech/purpleline_pa_icon/HRL_pa_purpleline_signal.jpg</t>
  </si>
  <si>
    <t>https://3arbzfbsh-cname-us.ngrok.io/Desktop/seabridge%20fintech/purpleline_pa_icon/HSIC_pa_purpleline_signal.jpg</t>
  </si>
  <si>
    <t>https://3arbzfbsh-cname-us.ngrok.io/Desktop/seabridge%20fintech/purpleline_pa_icon/HST_pa_purpleline_signal.jpg</t>
  </si>
  <si>
    <t>https://3arbzfbsh-cname-us.ngrok.io/Desktop/seabridge%20fintech/purpleline_pa_icon/HSY_pa_purpleline_signal.jpg</t>
  </si>
  <si>
    <t>https://3arbzfbsh-cname-us.ngrok.io/Desktop/seabridge%20fintech/purpleline_pa_icon/HUM_pa_purpleline_signal.jpg</t>
  </si>
  <si>
    <t>https://3arbzfbsh-cname-us.ngrok.io/Desktop/seabridge%20fintech/purpleline_pa_icon/HUN_pa_purpleline_signal.jpg</t>
  </si>
  <si>
    <t>https://3arbzfbsh-cname-us.ngrok.io/Desktop/seabridge%20fintech/purpleline_pa_icon/HWM_pa_purpleline_signal.jpg</t>
  </si>
  <si>
    <t>https://3arbzfbsh-cname-us.ngrok.io/Desktop/seabridge%20fintech/purpleline_pa_icon/HYG_pa_purpleline_signal.jpg</t>
  </si>
  <si>
    <t>https://3arbzfbsh-cname-us.ngrok.io/Desktop/seabridge%20fintech/purpleline_pa_icon/HYLB_pa_purpleline_signal.jpg</t>
  </si>
  <si>
    <t>https://3arbzfbsh-cname-us.ngrok.io/Desktop/seabridge%20fintech/purpleline_pa_icon/IAU_pa_purpleline_signal.jpg</t>
  </si>
  <si>
    <t>https://3arbzfbsh-cname-us.ngrok.io/Desktop/seabridge%20fintech/purpleline_pa_icon/IBB_pa_purpleline_signal.jpg</t>
  </si>
  <si>
    <t>https://3arbzfbsh-cname-us.ngrok.io/Desktop/seabridge%20fintech/purpleline_pa_icon/IBM_pa_purpleline_signal.jpg</t>
  </si>
  <si>
    <t>https://3arbzfbsh-cname-us.ngrok.io/Desktop/seabridge%20fintech/purpleline_pa_icon/ICE_pa_purpleline_signal.jpg</t>
  </si>
  <si>
    <t>https://3arbzfbsh-cname-us.ngrok.io/Desktop/seabridge%20fintech/purpleline_pa_icon/IDXX_pa_purpleline_signal.jpg</t>
  </si>
  <si>
    <t>https://3arbzfbsh-cname-us.ngrok.io/Desktop/seabridge%20fintech/purpleline_pa_icon/IEF_pa_purpleline_signal.jpg</t>
  </si>
  <si>
    <t>https://3arbzfbsh-cname-us.ngrok.io/Desktop/seabridge%20fintech/purpleline_pa_icon/IEFA_pa_purpleline_signal.jpg</t>
  </si>
  <si>
    <t>https://3arbzfbsh-cname-us.ngrok.io/Desktop/seabridge%20fintech/purpleline_pa_icon/IEMG_pa_purpleline_signal.jpg</t>
  </si>
  <si>
    <t>https://3arbzfbsh-cname-us.ngrok.io/Desktop/seabridge%20fintech/purpleline_pa_icon/IEX_pa_purpleline_signal.jpg</t>
  </si>
  <si>
    <t>https://3arbzfbsh-cname-us.ngrok.io/Desktop/seabridge%20fintech/purpleline_pa_icon/IFF_pa_purpleline_signal.jpg</t>
  </si>
  <si>
    <t>https://3arbzfbsh-cname-us.ngrok.io/Desktop/seabridge%20fintech/purpleline_pa_icon/IJR_pa_purpleline_signal.jpg</t>
  </si>
  <si>
    <t>https://3arbzfbsh-cname-us.ngrok.io/Desktop/seabridge%20fintech/purpleline_pa_icon/ILMN_pa_purpleline_signal.jpg</t>
  </si>
  <si>
    <t>https://3arbzfbsh-cname-us.ngrok.io/Desktop/seabridge%20fintech/purpleline_pa_icon/INCY_pa_purpleline_signal.jpg</t>
  </si>
  <si>
    <t>https://3arbzfbsh-cname-us.ngrok.io/Desktop/seabridge%20fintech/purpleline_pa_icon/INDA_pa_purpleline_signal.jpg</t>
  </si>
  <si>
    <t>https://3arbzfbsh-cname-us.ngrok.io/Desktop/seabridge%20fintech/purpleline_pa_icon/INFO_pa_purpleline_signal.jpg</t>
  </si>
  <si>
    <t>https://3arbzfbsh-cname-us.ngrok.io/Desktop/seabridge%20fintech/purpleline_pa_icon/INTC_pa_purpleline_signal.jpg</t>
  </si>
  <si>
    <t>https://3arbzfbsh-cname-us.ngrok.io/Desktop/seabridge%20fintech/purpleline_pa_icon/INTU_pa_purpleline_signal.jpg</t>
  </si>
  <si>
    <t>https://3arbzfbsh-cname-us.ngrok.io/Desktop/seabridge%20fintech/purpleline_pa_icon/INVH_pa_purpleline_signal.jpg</t>
  </si>
  <si>
    <t>https://3arbzfbsh-cname-us.ngrok.io/Desktop/seabridge%20fintech/purpleline_pa_icon/IP_pa_purpleline_signal.jpg</t>
  </si>
  <si>
    <t>https://3arbzfbsh-cname-us.ngrok.io/Desktop/seabridge%20fintech/purpleline_pa_icon/IPG_pa_purpleline_signal.jpg</t>
  </si>
  <si>
    <t>https://3arbzfbsh-cname-us.ngrok.io/Desktop/seabridge%20fintech/purpleline_pa_icon/IPGP_pa_purpleline_signal.jpg</t>
  </si>
  <si>
    <t>https://3arbzfbsh-cname-us.ngrok.io/Desktop/seabridge%20fintech/purpleline_pa_icon/IQV_pa_purpleline_signal.jpg</t>
  </si>
  <si>
    <t>https://3arbzfbsh-cname-us.ngrok.io/Desktop/seabridge%20fintech/purpleline_pa_icon/IR_pa_purpleline_signal.jpg</t>
  </si>
  <si>
    <t>https://3arbzfbsh-cname-us.ngrok.io/Desktop/seabridge%20fintech/purpleline_pa_icon/IRM_pa_purpleline_signal.jpg</t>
  </si>
  <si>
    <t>https://3arbzfbsh-cname-us.ngrok.io/Desktop/seabridge%20fintech/purpleline_pa_icon/ISRG_pa_purpleline_signal.jpg</t>
  </si>
  <si>
    <t>https://3arbzfbsh-cname-us.ngrok.io/Desktop/seabridge%20fintech/purpleline_pa_icon/IT_pa_purpleline_signal.jpg</t>
  </si>
  <si>
    <t>https://3arbzfbsh-cname-us.ngrok.io/Desktop/seabridge%20fintech/purpleline_pa_icon/ITW_pa_purpleline_signal.jpg</t>
  </si>
  <si>
    <t>https://3arbzfbsh-cname-us.ngrok.io/Desktop/seabridge%20fintech/purpleline_pa_icon/IVV_pa_purpleline_signal.jpg</t>
  </si>
  <si>
    <t>https://3arbzfbsh-cname-us.ngrok.io/Desktop/seabridge%20fintech/purpleline_pa_icon/IVZ_pa_purpleline_signal.jpg</t>
  </si>
  <si>
    <t>https://3arbzfbsh-cname-us.ngrok.io/Desktop/seabridge%20fintech/purpleline_pa_icon/IWD_pa_purpleline_signal.jpg</t>
  </si>
  <si>
    <t>https://3arbzfbsh-cname-us.ngrok.io/Desktop/seabridge%20fintech/purpleline_pa_icon/IWM_pa_purpleline_signal.jpg</t>
  </si>
  <si>
    <t>https://3arbzfbsh-cname-us.ngrok.io/Desktop/seabridge%20fintech/purpleline_pa_icon/IYR_pa_purpleline_signal.jpg</t>
  </si>
  <si>
    <t>https://3arbzfbsh-cname-us.ngrok.io/Desktop/seabridge%20fintech/purpleline_pa_icon/J_pa_purpleline_signal.jpg</t>
  </si>
  <si>
    <t>https://3arbzfbsh-cname-us.ngrok.io/Desktop/seabridge%20fintech/purpleline_pa_icon/JBHT_pa_purpleline_signal.jpg</t>
  </si>
  <si>
    <t>https://3arbzfbsh-cname-us.ngrok.io/Desktop/seabridge%20fintech/purpleline_pa_icon/JCI_pa_purpleline_signal.jpg</t>
  </si>
  <si>
    <t>https://3arbzfbsh-cname-us.ngrok.io/Desktop/seabridge%20fintech/purpleline_pa_icon/JD_pa_purpleline_signal.jpg</t>
  </si>
  <si>
    <t>https://3arbzfbsh-cname-us.ngrok.io/Desktop/seabridge%20fintech/purpleline_pa_icon/JEF_pa_purpleline_signal.jpg</t>
  </si>
  <si>
    <t>https://3arbzfbsh-cname-us.ngrok.io/Desktop/seabridge%20fintech/purpleline_pa_icon/JKHY_pa_purpleline_signal.jpg</t>
  </si>
  <si>
    <t>https://3arbzfbsh-cname-us.ngrok.io/Desktop/seabridge%20fintech/purpleline_pa_icon/JNJ_pa_purpleline_signal.jpg</t>
  </si>
  <si>
    <t>https://3arbzfbsh-cname-us.ngrok.io/Desktop/seabridge%20fintech/purpleline_pa_icon/JNK_pa_purpleline_signal.jpg</t>
  </si>
  <si>
    <t>https://3arbzfbsh-cname-us.ngrok.io/Desktop/seabridge%20fintech/purpleline_pa_icon/JNPR_pa_purpleline_signal.jpg</t>
  </si>
  <si>
    <t>https://3arbzfbsh-cname-us.ngrok.io/Desktop/seabridge%20fintech/purpleline_pa_icon/JPM_pa_purpleline_signal.jpg</t>
  </si>
  <si>
    <t>https://3arbzfbsh-cname-us.ngrok.io/Desktop/seabridge%20fintech/purpleline_pa_icon/JPST_pa_purpleline_signal.jpg</t>
  </si>
  <si>
    <t>https://3arbzfbsh-cname-us.ngrok.io/Desktop/seabridge%20fintech/purpleline_pa_icon/JWN_pa_purpleline_signal.jpg</t>
  </si>
  <si>
    <t>https://3arbzfbsh-cname-us.ngrok.io/Desktop/seabridge%20fintech/purpleline_pa_icon/K_pa_purpleline_signal.jpg</t>
  </si>
  <si>
    <t>https://3arbzfbsh-cname-us.ngrok.io/Desktop/seabridge%20fintech/purpleline_pa_icon/KBE_pa_purpleline_signal.jpg</t>
  </si>
  <si>
    <t>https://3arbzfbsh-cname-us.ngrok.io/Desktop/seabridge%20fintech/purpleline_pa_icon/KDP_pa_purpleline_signal.jpg</t>
  </si>
  <si>
    <t>https://3arbzfbsh-cname-us.ngrok.io/Desktop/seabridge%20fintech/purpleline_pa_icon/KEY_pa_purpleline_signal.jpg</t>
  </si>
  <si>
    <t>https://3arbzfbsh-cname-us.ngrok.io/Desktop/seabridge%20fintech/purpleline_pa_icon/KEYS_pa_purpleline_signal.jpg</t>
  </si>
  <si>
    <t>https://3arbzfbsh-cname-us.ngrok.io/Desktop/seabridge%20fintech/purpleline_pa_icon/KHC_pa_purpleline_signal.jpg</t>
  </si>
  <si>
    <t>https://3arbzfbsh-cname-us.ngrok.io/Desktop/seabridge%20fintech/purpleline_pa_icon/KIM_pa_purpleline_signal.jpg</t>
  </si>
  <si>
    <t>https://3arbzfbsh-cname-us.ngrok.io/Desktop/seabridge%20fintech/purpleline_pa_icon/KKR_pa_purpleline_signal.jpg</t>
  </si>
  <si>
    <t>https://3arbzfbsh-cname-us.ngrok.io/Desktop/seabridge%20fintech/purpleline_pa_icon/KLAC_pa_purpleline_signal.jpg</t>
  </si>
  <si>
    <t>https://3arbzfbsh-cname-us.ngrok.io/Desktop/seabridge%20fintech/purpleline_pa_icon/KMB_pa_purpleline_signal.jpg</t>
  </si>
  <si>
    <t>https://3arbzfbsh-cname-us.ngrok.io/Desktop/seabridge%20fintech/purpleline_pa_icon/KMI_pa_purpleline_signal.jpg</t>
  </si>
  <si>
    <t>https://3arbzfbsh-cname-us.ngrok.io/Desktop/seabridge%20fintech/purpleline_pa_icon/KMX_pa_purpleline_signal.jpg</t>
  </si>
  <si>
    <t>https://3arbzfbsh-cname-us.ngrok.io/Desktop/seabridge%20fintech/purpleline_pa_icon/KO_pa_purpleline_signal.jpg</t>
  </si>
  <si>
    <t>https://3arbzfbsh-cname-us.ngrok.io/Desktop/seabridge%20fintech/purpleline_pa_icon/KR_pa_purpleline_signal.jpg</t>
  </si>
  <si>
    <t>https://3arbzfbsh-cname-us.ngrok.io/Desktop/seabridge%20fintech/purpleline_pa_icon/KRE_pa_purpleline_signal.jpg</t>
  </si>
  <si>
    <t>https://3arbzfbsh-cname-us.ngrok.io/Desktop/seabridge%20fintech/purpleline_pa_icon/KSS_pa_purpleline_signal.jpg</t>
  </si>
  <si>
    <t>https://3arbzfbsh-cname-us.ngrok.io/Desktop/seabridge%20fintech/purpleline_pa_icon/KSU_pa_purpleline_signal.jpg</t>
  </si>
  <si>
    <t>https://3arbzfbsh-cname-us.ngrok.io/Desktop/seabridge%20fintech/purpleline_pa_icon/KWEB_pa_purpleline_signal.jpg</t>
  </si>
  <si>
    <t>https://3arbzfbsh-cname-us.ngrok.io/Desktop/seabridge%20fintech/purpleline_pa_icon/L_pa_purpleline_signal.jpg</t>
  </si>
  <si>
    <t>https://3arbzfbsh-cname-us.ngrok.io/Desktop/seabridge%20fintech/purpleline_pa_icon/LB_pa_purpleline_signal.jpg</t>
  </si>
  <si>
    <t>https://3arbzfbsh-cname-us.ngrok.io/Desktop/seabridge%20fintech/purpleline_pa_icon/LDOS_pa_purpleline_signal.jpg</t>
  </si>
  <si>
    <t>https://3arbzfbsh-cname-us.ngrok.io/Desktop/seabridge%20fintech/purpleline_pa_icon/LEG_pa_purpleline_signal.jpg</t>
  </si>
  <si>
    <t>https://3arbzfbsh-cname-us.ngrok.io/Desktop/seabridge%20fintech/purpleline_pa_icon/LEN_pa_purpleline_signal.jpg</t>
  </si>
  <si>
    <t>https://3arbzfbsh-cname-us.ngrok.io/Desktop/seabridge%20fintech/purpleline_pa_icon/LESL_pa_purpleline_signal.jpg</t>
  </si>
  <si>
    <t>https://3arbzfbsh-cname-us.ngrok.io/Desktop/seabridge%20fintech/purpleline_pa_icon/LH_pa_purpleline_signal.jpg</t>
  </si>
  <si>
    <t>https://3arbzfbsh-cname-us.ngrok.io/Desktop/seabridge%20fintech/purpleline_pa_icon/LHX_pa_purpleline_signal.jpg</t>
  </si>
  <si>
    <t>https://3arbzfbsh-cname-us.ngrok.io/Desktop/seabridge%20fintech/purpleline_pa_icon/LIN_pa_purpleline_signal.jpg</t>
  </si>
  <si>
    <t>https://3arbzfbsh-cname-us.ngrok.io/Desktop/seabridge%20fintech/purpleline_pa_icon/LKQ_pa_purpleline_signal.jpg</t>
  </si>
  <si>
    <t>https://3arbzfbsh-cname-us.ngrok.io/Desktop/seabridge%20fintech/purpleline_pa_icon/LLY_pa_purpleline_signal.jpg</t>
  </si>
  <si>
    <t>https://3arbzfbsh-cname-us.ngrok.io/Desktop/seabridge%20fintech/purpleline_pa_icon/LMND_pa_purpleline_signal.jpg</t>
  </si>
  <si>
    <t>https://3arbzfbsh-cname-us.ngrok.io/Desktop/seabridge%20fintech/purpleline_pa_icon/LMT_pa_purpleline_signal.jpg</t>
  </si>
  <si>
    <t>https://3arbzfbsh-cname-us.ngrok.io/Desktop/seabridge%20fintech/purpleline_pa_icon/LNC_pa_purpleline_signal.jpg</t>
  </si>
  <si>
    <t>https://3arbzfbsh-cname-us.ngrok.io/Desktop/seabridge%20fintech/purpleline_pa_icon/LNT_pa_purpleline_signal.jpg</t>
  </si>
  <si>
    <t>https://3arbzfbsh-cname-us.ngrok.io/Desktop/seabridge%20fintech/purpleline_pa_icon/LOW_pa_purpleline_signal.jpg</t>
  </si>
  <si>
    <t>https://3arbzfbsh-cname-us.ngrok.io/Desktop/seabridge%20fintech/purpleline_pa_icon/LPX_pa_purpleline_signal.jpg</t>
  </si>
  <si>
    <t>https://3arbzfbsh-cname-us.ngrok.io/Desktop/seabridge%20fintech/purpleline_pa_icon/LQD_pa_purpleline_signal.jpg</t>
  </si>
  <si>
    <t>https://3arbzfbsh-cname-us.ngrok.io/Desktop/seabridge%20fintech/purpleline_pa_icon/LRCX_pa_purpleline_signal.jpg</t>
  </si>
  <si>
    <t>https://3arbzfbsh-cname-us.ngrok.io/Desktop/seabridge%20fintech/purpleline_pa_icon/LULU_pa_purpleline_signal.jpg</t>
  </si>
  <si>
    <t>https://3arbzfbsh-cname-us.ngrok.io/Desktop/seabridge%20fintech/purpleline_pa_icon/LUMN_pa_purpleline_signal.jpg</t>
  </si>
  <si>
    <t>https://3arbzfbsh-cname-us.ngrok.io/Desktop/seabridge%20fintech/purpleline_pa_icon/LUV_pa_purpleline_signal.jpg</t>
  </si>
  <si>
    <t>https://3arbzfbsh-cname-us.ngrok.io/Desktop/seabridge%20fintech/purpleline_pa_icon/LVS_pa_purpleline_signal.jpg</t>
  </si>
  <si>
    <t>https://3arbzfbsh-cname-us.ngrok.io/Desktop/seabridge%20fintech/purpleline_pa_icon/LW_pa_purpleline_signal.jpg</t>
  </si>
  <si>
    <t>https://3arbzfbsh-cname-us.ngrok.io/Desktop/seabridge%20fintech/purpleline_pa_icon/LYB_pa_purpleline_signal.jpg</t>
  </si>
  <si>
    <t>https://3arbzfbsh-cname-us.ngrok.io/Desktop/seabridge%20fintech/purpleline_pa_icon/LYFT_pa_purpleline_signal.jpg</t>
  </si>
  <si>
    <t>https://3arbzfbsh-cname-us.ngrok.io/Desktop/seabridge%20fintech/purpleline_pa_icon/LYV_pa_purpleline_signal.jpg</t>
  </si>
  <si>
    <t>https://3arbzfbsh-cname-us.ngrok.io/Desktop/seabridge%20fintech/purpleline_pa_icon/MA_pa_purpleline_signal.jpg</t>
  </si>
  <si>
    <t>https://3arbzfbsh-cname-us.ngrok.io/Desktop/seabridge%20fintech/purpleline_pa_icon/MAA_pa_purpleline_signal.jpg</t>
  </si>
  <si>
    <t>https://3arbzfbsh-cname-us.ngrok.io/Desktop/seabridge%20fintech/purpleline_pa_icon/MAR_pa_purpleline_signal.jpg</t>
  </si>
  <si>
    <t>https://3arbzfbsh-cname-us.ngrok.io/Desktop/seabridge%20fintech/purpleline_pa_icon/MARA_pa_purpleline_signal.jpg</t>
  </si>
  <si>
    <t>https://3arbzfbsh-cname-us.ngrok.io/Desktop/seabridge%20fintech/purpleline_pa_icon/MAS_pa_purpleline_signal.jpg</t>
  </si>
  <si>
    <t>https://3arbzfbsh-cname-us.ngrok.io/Desktop/seabridge%20fintech/purpleline_pa_icon/MCD_pa_purpleline_signal.jpg</t>
  </si>
  <si>
    <t>https://3arbzfbsh-cname-us.ngrok.io/Desktop/seabridge%20fintech/purpleline_pa_icon/MCHI_pa_purpleline_signal.jpg</t>
  </si>
  <si>
    <t>https://3arbzfbsh-cname-us.ngrok.io/Desktop/seabridge%20fintech/purpleline_pa_icon/MCHP_pa_purpleline_signal.jpg</t>
  </si>
  <si>
    <t>https://3arbzfbsh-cname-us.ngrok.io/Desktop/seabridge%20fintech/purpleline_pa_icon/MCK_pa_purpleline_signal.jpg</t>
  </si>
  <si>
    <t>https://3arbzfbsh-cname-us.ngrok.io/Desktop/seabridge%20fintech/purpleline_pa_icon/MCO_pa_purpleline_signal.jpg</t>
  </si>
  <si>
    <t>https://3arbzfbsh-cname-us.ngrok.io/Desktop/seabridge%20fintech/purpleline_pa_icon/MDLZ_pa_purpleline_signal.jpg</t>
  </si>
  <si>
    <t>https://3arbzfbsh-cname-us.ngrok.io/Desktop/seabridge%20fintech/purpleline_pa_icon/MDT_pa_purpleline_signal.jpg</t>
  </si>
  <si>
    <t>https://3arbzfbsh-cname-us.ngrok.io/Desktop/seabridge%20fintech/purpleline_pa_icon/MELI_pa_purpleline_signal.jpg</t>
  </si>
  <si>
    <t>https://3arbzfbsh-cname-us.ngrok.io/Desktop/seabridge%20fintech/purpleline_pa_icon/MET_pa_purpleline_signal.jpg</t>
  </si>
  <si>
    <t>https://3arbzfbsh-cname-us.ngrok.io/Desktop/seabridge%20fintech/purpleline_pa_icon/MGM_pa_purpleline_signal.jpg</t>
  </si>
  <si>
    <t>https://3arbzfbsh-cname-us.ngrok.io/Desktop/seabridge%20fintech/purpleline_pa_icon/MGNI_pa_purpleline_signal.jpg</t>
  </si>
  <si>
    <t>https://3arbzfbsh-cname-us.ngrok.io/Desktop/seabridge%20fintech/purpleline_pa_icon/MHK_pa_purpleline_signal.jpg</t>
  </si>
  <si>
    <t>https://3arbzfbsh-cname-us.ngrok.io/Desktop/seabridge%20fintech/purpleline_pa_icon/MKC_pa_purpleline_signal.jpg</t>
  </si>
  <si>
    <t>https://3arbzfbsh-cname-us.ngrok.io/Desktop/seabridge%20fintech/purpleline_pa_icon/MKTX_pa_purpleline_signal.jpg</t>
  </si>
  <si>
    <t>https://3arbzfbsh-cname-us.ngrok.io/Desktop/seabridge%20fintech/purpleline_pa_icon/MLM_pa_purpleline_signal.jpg</t>
  </si>
  <si>
    <t>https://3arbzfbsh-cname-us.ngrok.io/Desktop/seabridge%20fintech/purpleline_pa_icon/MMC_pa_purpleline_signal.jpg</t>
  </si>
  <si>
    <t>https://3arbzfbsh-cname-us.ngrok.io/Desktop/seabridge%20fintech/purpleline_pa_icon/MMM_pa_purpleline_signal.jpg</t>
  </si>
  <si>
    <t>https://3arbzfbsh-cname-us.ngrok.io/Desktop/seabridge%20fintech/purpleline_pa_icon/MNST_pa_purpleline_signal.jpg</t>
  </si>
  <si>
    <t>https://3arbzfbsh-cname-us.ngrok.io/Desktop/seabridge%20fintech/purpleline_pa_icon/MO_pa_purpleline_signal.jpg</t>
  </si>
  <si>
    <t>https://3arbzfbsh-cname-us.ngrok.io/Desktop/seabridge%20fintech/purpleline_pa_icon/MOS_pa_purpleline_signal.jpg</t>
  </si>
  <si>
    <t>https://3arbzfbsh-cname-us.ngrok.io/Desktop/seabridge%20fintech/purpleline_pa_icon/MP_pa_purpleline_signal.jpg</t>
  </si>
  <si>
    <t>https://3arbzfbsh-cname-us.ngrok.io/Desktop/seabridge%20fintech/purpleline_pa_icon/MPC_pa_purpleline_signal.jpg</t>
  </si>
  <si>
    <t>https://3arbzfbsh-cname-us.ngrok.io/Desktop/seabridge%20fintech/purpleline_pa_icon/MPLX_pa_purpleline_signal.jpg</t>
  </si>
  <si>
    <t>https://3arbzfbsh-cname-us.ngrok.io/Desktop/seabridge%20fintech/purpleline_pa_icon/MPWR_pa_purpleline_signal.jpg</t>
  </si>
  <si>
    <t>https://3arbzfbsh-cname-us.ngrok.io/Desktop/seabridge%20fintech/purpleline_pa_icon/MRNA_pa_purpleline_signal.jpg</t>
  </si>
  <si>
    <t>https://3arbzfbsh-cname-us.ngrok.io/Desktop/seabridge%20fintech/purpleline_pa_icon/MRO_pa_purpleline_signal.jpg</t>
  </si>
  <si>
    <t>https://3arbzfbsh-cname-us.ngrok.io/Desktop/seabridge%20fintech/purpleline_pa_icon/MRVL_pa_purpleline_signal.jpg</t>
  </si>
  <si>
    <t>https://3arbzfbsh-cname-us.ngrok.io/Desktop/seabridge%20fintech/purpleline_pa_icon/MS_pa_purpleline_signal.jpg</t>
  </si>
  <si>
    <t>https://3arbzfbsh-cname-us.ngrok.io/Desktop/seabridge%20fintech/purpleline_pa_icon/MSCI_pa_purpleline_signal.jpg</t>
  </si>
  <si>
    <t>https://3arbzfbsh-cname-us.ngrok.io/Desktop/seabridge%20fintech/purpleline_pa_icon/MSFT_pa_purpleline_signal.jpg</t>
  </si>
  <si>
    <t>https://3arbzfbsh-cname-us.ngrok.io/Desktop/seabridge%20fintech/purpleline_pa_icon/MSI_pa_purpleline_signal.jpg</t>
  </si>
  <si>
    <t>https://3arbzfbsh-cname-us.ngrok.io/Desktop/seabridge%20fintech/purpleline_pa_icon/MTB_pa_purpleline_signal.jpg</t>
  </si>
  <si>
    <t>https://3arbzfbsh-cname-us.ngrok.io/Desktop/seabridge%20fintech/purpleline_pa_icon/MTCH_pa_purpleline_signal.jpg</t>
  </si>
  <si>
    <t>https://3arbzfbsh-cname-us.ngrok.io/Desktop/seabridge%20fintech/purpleline_pa_icon/MTD_pa_purpleline_signal.jpg</t>
  </si>
  <si>
    <t>https://3arbzfbsh-cname-us.ngrok.io/Desktop/seabridge%20fintech/purpleline_pa_icon/MU_pa_purpleline_signal.jpg</t>
  </si>
  <si>
    <t>https://3arbzfbsh-cname-us.ngrok.io/Desktop/seabridge%20fintech/purpleline_pa_icon/MXIM_pa_purpleline_signal.jpg</t>
  </si>
  <si>
    <t>https://3arbzfbsh-cname-us.ngrok.io/Desktop/seabridge%20fintech/purpleline_pa_icon/NCLH_pa_purpleline_signal.jpg</t>
  </si>
  <si>
    <t>https://3arbzfbsh-cname-us.ngrok.io/Desktop/seabridge%20fintech/purpleline_pa_icon/NDAQ_pa_purpleline_signal.jpg</t>
  </si>
  <si>
    <t>https://3arbzfbsh-cname-us.ngrok.io/Desktop/seabridge%20fintech/purpleline_pa_icon/NEE_pa_purpleline_signal.jpg</t>
  </si>
  <si>
    <t>https://3arbzfbsh-cname-us.ngrok.io/Desktop/seabridge%20fintech/purpleline_pa_icon/NEM_pa_purpleline_signal.jpg</t>
  </si>
  <si>
    <t>https://3arbzfbsh-cname-us.ngrok.io/Desktop/seabridge%20fintech/purpleline_pa_icon/NET_pa_purpleline_signal.jpg</t>
  </si>
  <si>
    <t>https://3arbzfbsh-cname-us.ngrok.io/Desktop/seabridge%20fintech/purpleline_pa_icon/NFLX_pa_purpleline_signal.jpg</t>
  </si>
  <si>
    <t>https://3arbzfbsh-cname-us.ngrok.io/Desktop/seabridge%20fintech/purpleline_pa_icon/NI_pa_purpleline_signal.jpg</t>
  </si>
  <si>
    <t>https://3arbzfbsh-cname-us.ngrok.io/Desktop/seabridge%20fintech/purpleline_pa_icon/NKE_pa_purpleline_signal.jpg</t>
  </si>
  <si>
    <t>https://3arbzfbsh-cname-us.ngrok.io/Desktop/seabridge%20fintech/purpleline_pa_icon/NLOK_pa_purpleline_signal.jpg</t>
  </si>
  <si>
    <t>https://3arbzfbsh-cname-us.ngrok.io/Desktop/seabridge%20fintech/purpleline_pa_icon/NLSN_pa_purpleline_signal.jpg</t>
  </si>
  <si>
    <t>https://3arbzfbsh-cname-us.ngrok.io/Desktop/seabridge%20fintech/purpleline_pa_icon/NOC_pa_purpleline_signal.jpg</t>
  </si>
  <si>
    <t>https://3arbzfbsh-cname-us.ngrok.io/Desktop/seabridge%20fintech/purpleline_pa_icon/NOV_pa_purpleline_signal.jpg</t>
  </si>
  <si>
    <t>https://3arbzfbsh-cname-us.ngrok.io/Desktop/seabridge%20fintech/purpleline_pa_icon/NOVA_pa_purpleline_signal.jpg</t>
  </si>
  <si>
    <t>https://3arbzfbsh-cname-us.ngrok.io/Desktop/seabridge%20fintech/purpleline_pa_icon/NOW_pa_purpleline_signal.jpg</t>
  </si>
  <si>
    <t>https://3arbzfbsh-cname-us.ngrok.io/Desktop/seabridge%20fintech/purpleline_pa_icon/NRG_pa_purpleline_signal.jpg</t>
  </si>
  <si>
    <t>https://3arbzfbsh-cname-us.ngrok.io/Desktop/seabridge%20fintech/purpleline_pa_icon/NSC_pa_purpleline_signal.jpg</t>
  </si>
  <si>
    <t>https://3arbzfbsh-cname-us.ngrok.io/Desktop/seabridge%20fintech/purpleline_pa_icon/NTAP_pa_purpleline_signal.jpg</t>
  </si>
  <si>
    <t>https://3arbzfbsh-cname-us.ngrok.io/Desktop/seabridge%20fintech/purpleline_pa_icon/NTES_pa_purpleline_signal.jpg</t>
  </si>
  <si>
    <t>https://3arbzfbsh-cname-us.ngrok.io/Desktop/seabridge%20fintech/purpleline_pa_icon/NTLA_pa_purpleline_signal.jpg</t>
  </si>
  <si>
    <t>https://3arbzfbsh-cname-us.ngrok.io/Desktop/seabridge%20fintech/purpleline_pa_icon/NTNX_pa_purpleline_signal.jpg</t>
  </si>
  <si>
    <t>https://3arbzfbsh-cname-us.ngrok.io/Desktop/seabridge%20fintech/purpleline_pa_icon/NTRS_pa_purpleline_signal.jpg</t>
  </si>
  <si>
    <t>https://3arbzfbsh-cname-us.ngrok.io/Desktop/seabridge%20fintech/purpleline_pa_icon/NUAN_pa_purpleline_signal.jpg</t>
  </si>
  <si>
    <t>https://3arbzfbsh-cname-us.ngrok.io/Desktop/seabridge%20fintech/purpleline_pa_icon/NUE_pa_purpleline_signal.jpg</t>
  </si>
  <si>
    <t>https://3arbzfbsh-cname-us.ngrok.io/Desktop/seabridge%20fintech/purpleline_pa_icon/NVAX_pa_purpleline_signal.jpg</t>
  </si>
  <si>
    <t>https://3arbzfbsh-cname-us.ngrok.io/Desktop/seabridge%20fintech/purpleline_pa_icon/NVDA_pa_purpleline_signal.jpg</t>
  </si>
  <si>
    <t>https://3arbzfbsh-cname-us.ngrok.io/Desktop/seabridge%20fintech/purpleline_pa_icon/NVR_pa_purpleline_signal.jpg</t>
  </si>
  <si>
    <t>https://3arbzfbsh-cname-us.ngrok.io/Desktop/seabridge%20fintech/purpleline_pa_icon/NVTA_pa_purpleline_signal.jpg</t>
  </si>
  <si>
    <t>https://3arbzfbsh-cname-us.ngrok.io/Desktop/seabridge%20fintech/purpleline_pa_icon/NWL_pa_purpleline_signal.jpg</t>
  </si>
  <si>
    <t>https://3arbzfbsh-cname-us.ngrok.io/Desktop/seabridge%20fintech/purpleline_pa_icon/NWS_pa_purpleline_signal.jpg</t>
  </si>
  <si>
    <t>https://3arbzfbsh-cname-us.ngrok.io/Desktop/seabridge%20fintech/purpleline_pa_icon/NWSA_pa_purpleline_signal.jpg</t>
  </si>
  <si>
    <t>https://3arbzfbsh-cname-us.ngrok.io/Desktop/seabridge%20fintech/purpleline_pa_icon/NXPI_pa_purpleline_signal.jpg</t>
  </si>
  <si>
    <t>https://3arbzfbsh-cname-us.ngrok.io/Desktop/seabridge%20fintech/purpleline_pa_icon/O_pa_purpleline_signal.jpg</t>
  </si>
  <si>
    <t>https://3arbzfbsh-cname-us.ngrok.io/Desktop/seabridge%20fintech/purpleline_pa_icon/ODFL_pa_purpleline_signal.jpg</t>
  </si>
  <si>
    <t>https://3arbzfbsh-cname-us.ngrok.io/Desktop/seabridge%20fintech/purpleline_pa_icon/OGE_pa_purpleline_signal.jpg</t>
  </si>
  <si>
    <t>https://3arbzfbsh-cname-us.ngrok.io/Desktop/seabridge%20fintech/purpleline_pa_icon/OKE_pa_purpleline_signal.jpg</t>
  </si>
  <si>
    <t>https://3arbzfbsh-cname-us.ngrok.io/Desktop/seabridge%20fintech/purpleline_pa_icon/OKTA_pa_purpleline_signal.jpg</t>
  </si>
  <si>
    <t>https://3arbzfbsh-cname-us.ngrok.io/Desktop/seabridge%20fintech/purpleline_pa_icon/OMC_pa_purpleline_signal.jpg</t>
  </si>
  <si>
    <t>https://3arbzfbsh-cname-us.ngrok.io/Desktop/seabridge%20fintech/purpleline_pa_icon/ON_pa_purpleline_signal.jpg</t>
  </si>
  <si>
    <t>https://3arbzfbsh-cname-us.ngrok.io/Desktop/seabridge%20fintech/purpleline_pa_icon/ORCL_pa_purpleline_signal.jpg</t>
  </si>
  <si>
    <t>https://3arbzfbsh-cname-us.ngrok.io/Desktop/seabridge%20fintech/purpleline_pa_icon/ORLY_pa_purpleline_signal.jpg</t>
  </si>
  <si>
    <t>https://3arbzfbsh-cname-us.ngrok.io/Desktop/seabridge%20fintech/purpleline_pa_icon/OVV_pa_purpleline_signal.jpg</t>
  </si>
  <si>
    <t>https://3arbzfbsh-cname-us.ngrok.io/Desktop/seabridge%20fintech/purpleline_pa_icon/OXY_pa_purpleline_signal.jpg</t>
  </si>
  <si>
    <t>https://3arbzfbsh-cname-us.ngrok.io/Desktop/seabridge%20fintech/purpleline_pa_icon/PACB_pa_purpleline_signal.jpg</t>
  </si>
  <si>
    <t>https://3arbzfbsh-cname-us.ngrok.io/Desktop/seabridge%20fintech/purpleline_pa_icon/PAYC_pa_purpleline_signal.jpg</t>
  </si>
  <si>
    <t>https://3arbzfbsh-cname-us.ngrok.io/Desktop/seabridge%20fintech/purpleline_pa_icon/PAYX_pa_purpleline_signal.jpg</t>
  </si>
  <si>
    <t>https://3arbzfbsh-cname-us.ngrok.io/Desktop/seabridge%20fintech/purpleline_pa_icon/PBCT_pa_purpleline_signal.jpg</t>
  </si>
  <si>
    <t>https://3arbzfbsh-cname-us.ngrok.io/Desktop/seabridge%20fintech/purpleline_pa_icon/PCAR_pa_purpleline_signal.jpg</t>
  </si>
  <si>
    <t>https://3arbzfbsh-cname-us.ngrok.io/Desktop/seabridge%20fintech/purpleline_pa_icon/PDD_pa_purpleline_signal.jpg</t>
  </si>
  <si>
    <t>https://3arbzfbsh-cname-us.ngrok.io/Desktop/seabridge%20fintech/purpleline_pa_icon/PEAK_pa_purpleline_signal.jpg</t>
  </si>
  <si>
    <t>https://3arbzfbsh-cname-us.ngrok.io/Desktop/seabridge%20fintech/purpleline_pa_icon/PEG_pa_purpleline_signal.jpg</t>
  </si>
  <si>
    <t>https://3arbzfbsh-cname-us.ngrok.io/Desktop/seabridge%20fintech/purpleline_pa_icon/PENN_pa_purpleline_signal.jpg</t>
  </si>
  <si>
    <t>https://3arbzfbsh-cname-us.ngrok.io/Desktop/seabridge%20fintech/purpleline_pa_icon/PEP_pa_purpleline_signal.jpg</t>
  </si>
  <si>
    <t>https://3arbzfbsh-cname-us.ngrok.io/Desktop/seabridge%20fintech/purpleline_pa_icon/PFE_pa_purpleline_signal.jpg</t>
  </si>
  <si>
    <t>https://3arbzfbsh-cname-us.ngrok.io/Desktop/seabridge%20fintech/purpleline_pa_icon/PFF_pa_purpleline_signal.jpg</t>
  </si>
  <si>
    <t>https://3arbzfbsh-cname-us.ngrok.io/Desktop/seabridge%20fintech/purpleline_pa_icon/PFG_pa_purpleline_signal.jpg</t>
  </si>
  <si>
    <t>https://3arbzfbsh-cname-us.ngrok.io/Desktop/seabridge%20fintech/purpleline_pa_icon/PG_pa_purpleline_signal.jpg</t>
  </si>
  <si>
    <t>https://3arbzfbsh-cname-us.ngrok.io/Desktop/seabridge%20fintech/purpleline_pa_icon/PGR_pa_purpleline_signal.jpg</t>
  </si>
  <si>
    <t>https://3arbzfbsh-cname-us.ngrok.io/Desktop/seabridge%20fintech/purpleline_pa_icon/PH_pa_purpleline_signal.jpg</t>
  </si>
  <si>
    <t>https://3arbzfbsh-cname-us.ngrok.io/Desktop/seabridge%20fintech/purpleline_pa_icon/PHM_pa_purpleline_signal.jpg</t>
  </si>
  <si>
    <t>https://3arbzfbsh-cname-us.ngrok.io/Desktop/seabridge%20fintech/purpleline_pa_icon/PINS_pa_purpleline_signal.jpg</t>
  </si>
  <si>
    <t>https://3arbzfbsh-cname-us.ngrok.io/Desktop/seabridge%20fintech/purpleline_pa_icon/PKG_pa_purpleline_signal.jpg</t>
  </si>
  <si>
    <t>https://3arbzfbsh-cname-us.ngrok.io/Desktop/seabridge%20fintech/purpleline_pa_icon/PKI_pa_purpleline_signal.jpg</t>
  </si>
  <si>
    <t>https://3arbzfbsh-cname-us.ngrok.io/Desktop/seabridge%20fintech/purpleline_pa_icon/PLAN_pa_purpleline_signal.jpg</t>
  </si>
  <si>
    <t>https://3arbzfbsh-cname-us.ngrok.io/Desktop/seabridge%20fintech/purpleline_pa_icon/PLD_pa_purpleline_signal.jpg</t>
  </si>
  <si>
    <t>https://3arbzfbsh-cname-us.ngrok.io/Desktop/seabridge%20fintech/purpleline_pa_icon/PLUG_pa_purpleline_signal.jpg</t>
  </si>
  <si>
    <t>https://3arbzfbsh-cname-us.ngrok.io/Desktop/seabridge%20fintech/purpleline_pa_icon/PM_pa_purpleline_signal.jpg</t>
  </si>
  <si>
    <t>https://3arbzfbsh-cname-us.ngrok.io/Desktop/seabridge%20fintech/purpleline_pa_icon/PNC_pa_purpleline_signal.jpg</t>
  </si>
  <si>
    <t>https://3arbzfbsh-cname-us.ngrok.io/Desktop/seabridge%20fintech/purpleline_pa_icon/PNR_pa_purpleline_signal.jpg</t>
  </si>
  <si>
    <t>https://3arbzfbsh-cname-us.ngrok.io/Desktop/seabridge%20fintech/purpleline_pa_icon/PNW_pa_purpleline_signal.jpg</t>
  </si>
  <si>
    <t>https://3arbzfbsh-cname-us.ngrok.io/Desktop/seabridge%20fintech/purpleline_pa_icon/POOL_pa_purpleline_signal.jpg</t>
  </si>
  <si>
    <t>https://3arbzfbsh-cname-us.ngrok.io/Desktop/seabridge%20fintech/purpleline_pa_icon/PPG_pa_purpleline_signal.jpg</t>
  </si>
  <si>
    <t>https://3arbzfbsh-cname-us.ngrok.io/Desktop/seabridge%20fintech/purpleline_pa_icon/PPL_pa_purpleline_signal.jpg</t>
  </si>
  <si>
    <t>https://3arbzfbsh-cname-us.ngrok.io/Desktop/seabridge%20fintech/purpleline_pa_icon/PRGO_pa_purpleline_signal.jpg</t>
  </si>
  <si>
    <t>https://3arbzfbsh-cname-us.ngrok.io/Desktop/seabridge%20fintech/purpleline_pa_icon/PRSP_pa_purpleline_signal.jpg</t>
  </si>
  <si>
    <t>https://3arbzfbsh-cname-us.ngrok.io/Desktop/seabridge%20fintech/purpleline_pa_icon/PRU_pa_purpleline_signal.jpg</t>
  </si>
  <si>
    <t>https://3arbzfbsh-cname-us.ngrok.io/Desktop/seabridge%20fintech/purpleline_pa_icon/PSA_pa_purpleline_signal.jpg</t>
  </si>
  <si>
    <t>https://3arbzfbsh-cname-us.ngrok.io/Desktop/seabridge%20fintech/purpleline_pa_icon/PSX_pa_purpleline_signal.jpg</t>
  </si>
  <si>
    <t>https://3arbzfbsh-cname-us.ngrok.io/Desktop/seabridge%20fintech/purpleline_pa_icon/PTC_pa_purpleline_signal.jpg</t>
  </si>
  <si>
    <t>https://3arbzfbsh-cname-us.ngrok.io/Desktop/seabridge%20fintech/purpleline_pa_icon/PTON_pa_purpleline_signal.jpg</t>
  </si>
  <si>
    <t>https://3arbzfbsh-cname-us.ngrok.io/Desktop/seabridge%20fintech/purpleline_pa_icon/PVH_pa_purpleline_signal.jpg</t>
  </si>
  <si>
    <t>https://3arbzfbsh-cname-us.ngrok.io/Desktop/seabridge%20fintech/purpleline_pa_icon/PWR_pa_purpleline_signal.jpg</t>
  </si>
  <si>
    <t>https://3arbzfbsh-cname-us.ngrok.io/Desktop/seabridge%20fintech/purpleline_pa_icon/PXD_pa_purpleline_signal.jpg</t>
  </si>
  <si>
    <t>https://3arbzfbsh-cname-us.ngrok.io/Desktop/seabridge%20fintech/purpleline_pa_icon/PYPL_pa_purpleline_signal.jpg</t>
  </si>
  <si>
    <t>https://3arbzfbsh-cname-us.ngrok.io/Desktop/seabridge%20fintech/purpleline_pa_icon/QCOM_pa_purpleline_signal.jpg</t>
  </si>
  <si>
    <t>https://3arbzfbsh-cname-us.ngrok.io/Desktop/seabridge%20fintech/purpleline_pa_icon/QLD_pa_purpleline_signal.jpg</t>
  </si>
  <si>
    <t>https://3arbzfbsh-cname-us.ngrok.io/Desktop/seabridge%20fintech/purpleline_pa_icon/QQQ_pa_purpleline_signal.jpg</t>
  </si>
  <si>
    <t>https://3arbzfbsh-cname-us.ngrok.io/Desktop/seabridge%20fintech/purpleline_pa_icon/QRVO_pa_purpleline_signal.jpg</t>
  </si>
  <si>
    <t>https://3arbzfbsh-cname-us.ngrok.io/Desktop/seabridge%20fintech/purpleline_pa_icon/RCL_pa_purpleline_signal.jpg</t>
  </si>
  <si>
    <t>https://3arbzfbsh-cname-us.ngrok.io/Desktop/seabridge%20fintech/purpleline_pa_icon/RE_pa_purpleline_signal.jpg</t>
  </si>
  <si>
    <t>https://3arbzfbsh-cname-us.ngrok.io/Desktop/seabridge%20fintech/purpleline_pa_icon/REG_pa_purpleline_signal.jpg</t>
  </si>
  <si>
    <t>https://3arbzfbsh-cname-us.ngrok.io/Desktop/seabridge%20fintech/purpleline_pa_icon/REGN_pa_purpleline_signal.jpg</t>
  </si>
  <si>
    <t>https://3arbzfbsh-cname-us.ngrok.io/Desktop/seabridge%20fintech/purpleline_pa_icon/RF_pa_purpleline_signal.jpg</t>
  </si>
  <si>
    <t>https://3arbzfbsh-cname-us.ngrok.io/Desktop/seabridge%20fintech/purpleline_pa_icon/RHI_pa_purpleline_signal.jpg</t>
  </si>
  <si>
    <t>https://3arbzfbsh-cname-us.ngrok.io/Desktop/seabridge%20fintech/purpleline_pa_icon/RIOT_pa_purpleline_signal.jpg</t>
  </si>
  <si>
    <t>https://3arbzfbsh-cname-us.ngrok.io/Desktop/seabridge%20fintech/purpleline_pa_icon/RJF_pa_purpleline_signal.jpg</t>
  </si>
  <si>
    <t>https://3arbzfbsh-cname-us.ngrok.io/Desktop/seabridge%20fintech/purpleline_pa_icon/RL_pa_purpleline_signal.jpg</t>
  </si>
  <si>
    <t>https://3arbzfbsh-cname-us.ngrok.io/Desktop/seabridge%20fintech/purpleline_pa_icon/RMD_pa_purpleline_signal.jpg</t>
  </si>
  <si>
    <t>https://3arbzfbsh-cname-us.ngrok.io/Desktop/seabridge%20fintech/purpleline_pa_icon/ROK_pa_purpleline_signal.jpg</t>
  </si>
  <si>
    <t>https://3arbzfbsh-cname-us.ngrok.io/Desktop/seabridge%20fintech/purpleline_pa_icon/ROKU_pa_purpleline_signal.jpg</t>
  </si>
  <si>
    <t>https://3arbzfbsh-cname-us.ngrok.io/Desktop/seabridge%20fintech/purpleline_pa_icon/ROL_pa_purpleline_signal.jpg</t>
  </si>
  <si>
    <t>https://3arbzfbsh-cname-us.ngrok.io/Desktop/seabridge%20fintech/purpleline_pa_icon/ROP_pa_purpleline_signal.jpg</t>
  </si>
  <si>
    <t>https://3arbzfbsh-cname-us.ngrok.io/Desktop/seabridge%20fintech/purpleline_pa_icon/ROST_pa_purpleline_signal.jpg</t>
  </si>
  <si>
    <t>https://3arbzfbsh-cname-us.ngrok.io/Desktop/seabridge%20fintech/purpleline_pa_icon/RSG_pa_purpleline_signal.jpg</t>
  </si>
  <si>
    <t>https://3arbzfbsh-cname-us.ngrok.io/Desktop/seabridge%20fintech/purpleline_pa_icon/RSP_pa_purpleline_signal.jpg</t>
  </si>
  <si>
    <t>https://3arbzfbsh-cname-us.ngrok.io/Desktop/seabridge%20fintech/purpleline_pa_icon/RTX_pa_purpleline_signal.jpg</t>
  </si>
  <si>
    <t>https://3arbzfbsh-cname-us.ngrok.io/Desktop/seabridge%20fintech/purpleline_pa_icon/RUN_pa_purpleline_signal.jpg</t>
  </si>
  <si>
    <t>https://3arbzfbsh-cname-us.ngrok.io/Desktop/seabridge%20fintech/purpleline_pa_icon/SAVA_pa_purpleline_signal.jpg</t>
  </si>
  <si>
    <t>https://3arbzfbsh-cname-us.ngrok.io/Desktop/seabridge%20fintech/purpleline_pa_icon/SAVE_pa_purpleline_signal.jpg</t>
  </si>
  <si>
    <t>https://3arbzfbsh-cname-us.ngrok.io/Desktop/seabridge%20fintech/purpleline_pa_icon/SBAC_pa_purpleline_signal.jpg</t>
  </si>
  <si>
    <t>https://3arbzfbsh-cname-us.ngrok.io/Desktop/seabridge%20fintech/purpleline_pa_icon/SBUX_pa_purpleline_signal.jpg</t>
  </si>
  <si>
    <t>https://3arbzfbsh-cname-us.ngrok.io/Desktop/seabridge%20fintech/purpleline_pa_icon/SCHF_pa_purpleline_signal.jpg</t>
  </si>
  <si>
    <t>https://3arbzfbsh-cname-us.ngrok.io/Desktop/seabridge%20fintech/purpleline_pa_icon/SCHP_pa_purpleline_signal.jpg</t>
  </si>
  <si>
    <t>https://3arbzfbsh-cname-us.ngrok.io/Desktop/seabridge%20fintech/purpleline_pa_icon/SCHW_pa_purpleline_signal.jpg</t>
  </si>
  <si>
    <t>https://3arbzfbsh-cname-us.ngrok.io/Desktop/seabridge%20fintech/purpleline_pa_icon/SEE_pa_purpleline_signal.jpg</t>
  </si>
  <si>
    <t>https://3arbzfbsh-cname-us.ngrok.io/Desktop/seabridge%20fintech/purpleline_pa_icon/SFM_pa_purpleline_signal.jpg</t>
  </si>
  <si>
    <t>https://3arbzfbsh-cname-us.ngrok.io/Desktop/seabridge%20fintech/purpleline_pa_icon/SGEN_pa_purpleline_signal.jpg</t>
  </si>
  <si>
    <t>https://3arbzfbsh-cname-us.ngrok.io/Desktop/seabridge%20fintech/purpleline_pa_icon/SHW_pa_purpleline_signal.jpg</t>
  </si>
  <si>
    <t>https://3arbzfbsh-cname-us.ngrok.io/Desktop/seabridge%20fintech/purpleline_pa_icon/SHY_pa_purpleline_signal.jpg</t>
  </si>
  <si>
    <t>https://3arbzfbsh-cname-us.ngrok.io/Desktop/seabridge%20fintech/purpleline_pa_icon/SIRI_pa_purpleline_signal.jpg</t>
  </si>
  <si>
    <t>https://3arbzfbsh-cname-us.ngrok.io/Desktop/seabridge%20fintech/purpleline_pa_icon/SIVB_pa_purpleline_signal.jpg</t>
  </si>
  <si>
    <t>https://3arbzfbsh-cname-us.ngrok.io/Desktop/seabridge%20fintech/purpleline_pa_icon/SJM_pa_purpleline_signal.jpg</t>
  </si>
  <si>
    <t>https://3arbzfbsh-cname-us.ngrok.io/Desktop/seabridge%20fintech/purpleline_pa_icon/SJNK_pa_purpleline_signal.jpg</t>
  </si>
  <si>
    <t>https://3arbzfbsh-cname-us.ngrok.io/Desktop/seabridge%20fintech/purpleline_pa_icon/SLB_pa_purpleline_signal.jpg</t>
  </si>
  <si>
    <t>https://3arbzfbsh-cname-us.ngrok.io/Desktop/seabridge%20fintech/purpleline_pa_icon/SMH_pa_purpleline_signal.jpg</t>
  </si>
  <si>
    <t>https://3arbzfbsh-cname-us.ngrok.io/Desktop/seabridge%20fintech/purpleline_pa_icon/SNA_pa_purpleline_signal.jpg</t>
  </si>
  <si>
    <t>https://3arbzfbsh-cname-us.ngrok.io/Desktop/seabridge%20fintech/purpleline_pa_icon/SNAP_pa_purpleline_signal.jpg</t>
  </si>
  <si>
    <t>https://3arbzfbsh-cname-us.ngrok.io/Desktop/seabridge%20fintech/purpleline_pa_icon/SNOW_pa_purpleline_signal.jpg</t>
  </si>
  <si>
    <t>https://3arbzfbsh-cname-us.ngrok.io/Desktop/seabridge%20fintech/purpleline_pa_icon/SNPS_pa_purpleline_signal.jpg</t>
  </si>
  <si>
    <t>https://3arbzfbsh-cname-us.ngrok.io/Desktop/seabridge%20fintech/purpleline_pa_icon/SO_pa_purpleline_signal.jpg</t>
  </si>
  <si>
    <t>https://3arbzfbsh-cname-us.ngrok.io/Desktop/seabridge%20fintech/purpleline_pa_icon/SONO_pa_purpleline_signal.jpg</t>
  </si>
  <si>
    <t>https://3arbzfbsh-cname-us.ngrok.io/Desktop/seabridge%20fintech/purpleline_pa_icon/SPCE_pa_purpleline_signal.jpg</t>
  </si>
  <si>
    <t>https://3arbzfbsh-cname-us.ngrok.io/Desktop/seabridge%20fintech/purpleline_pa_icon/SPG_pa_purpleline_signal.jpg</t>
  </si>
  <si>
    <t>https://3arbzfbsh-cname-us.ngrok.io/Desktop/seabridge%20fintech/purpleline_pa_icon/SPGI_pa_purpleline_signal.jpg</t>
  </si>
  <si>
    <t>https://3arbzfbsh-cname-us.ngrok.io/Desktop/seabridge%20fintech/purpleline_pa_icon/SPIB_pa_purpleline_signal.jpg</t>
  </si>
  <si>
    <t>https://3arbzfbsh-cname-us.ngrok.io/Desktop/seabridge%20fintech/purpleline_pa_icon/SPLK_pa_purpleline_signal.jpg</t>
  </si>
  <si>
    <t>https://3arbzfbsh-cname-us.ngrok.io/Desktop/seabridge%20fintech/purpleline_pa_icon/SPLV_pa_purpleline_signal.jpg</t>
  </si>
  <si>
    <t>https://3arbzfbsh-cname-us.ngrok.io/Desktop/seabridge%20fintech/purpleline_pa_icon/SPWR_pa_purpleline_signal.jpg</t>
  </si>
  <si>
    <t>https://3arbzfbsh-cname-us.ngrok.io/Desktop/seabridge%20fintech/purpleline_pa_icon/SPY_pa_purpleline_signal.jpg</t>
  </si>
  <si>
    <t>https://3arbzfbsh-cname-us.ngrok.io/Desktop/seabridge%20fintech/purpleline_pa_icon/SPYV_pa_purpleline_signal.jpg</t>
  </si>
  <si>
    <t>https://3arbzfbsh-cname-us.ngrok.io/Desktop/seabridge%20fintech/purpleline_pa_icon/SQ_pa_purpleline_signal.jpg</t>
  </si>
  <si>
    <t>https://3arbzfbsh-cname-us.ngrok.io/Desktop/seabridge%20fintech/purpleline_pa_icon/SRE_pa_purpleline_signal.jpg</t>
  </si>
  <si>
    <t>https://3arbzfbsh-cname-us.ngrok.io/Desktop/seabridge%20fintech/purpleline_pa_icon/STE_pa_purpleline_signal.jpg</t>
  </si>
  <si>
    <t>https://3arbzfbsh-cname-us.ngrok.io/Desktop/seabridge%20fintech/purpleline_pa_icon/STEM_pa_purpleline_signal.jpg</t>
  </si>
  <si>
    <t>https://3arbzfbsh-cname-us.ngrok.io/Desktop/seabridge%20fintech/purpleline_pa_icon/STLD_pa_purpleline_signal.jpg</t>
  </si>
  <si>
    <t>https://3arbzfbsh-cname-us.ngrok.io/Desktop/seabridge%20fintech/purpleline_pa_icon/STT_pa_purpleline_signal.jpg</t>
  </si>
  <si>
    <t>https://3arbzfbsh-cname-us.ngrok.io/Desktop/seabridge%20fintech/purpleline_pa_icon/STX_pa_purpleline_signal.jpg</t>
  </si>
  <si>
    <t>https://3arbzfbsh-cname-us.ngrok.io/Desktop/seabridge%20fintech/purpleline_pa_icon/STZ_pa_purpleline_signal.jpg</t>
  </si>
  <si>
    <t>https://3arbzfbsh-cname-us.ngrok.io/Desktop/seabridge%20fintech/purpleline_pa_icon/SWK_pa_purpleline_signal.jpg</t>
  </si>
  <si>
    <t>https://3arbzfbsh-cname-us.ngrok.io/Desktop/seabridge%20fintech/purpleline_pa_icon/SWKS_pa_purpleline_signal.jpg</t>
  </si>
  <si>
    <t>https://3arbzfbsh-cname-us.ngrok.io/Desktop/seabridge%20fintech/purpleline_pa_icon/SYF_pa_purpleline_signal.jpg</t>
  </si>
  <si>
    <t>https://3arbzfbsh-cname-us.ngrok.io/Desktop/seabridge%20fintech/purpleline_pa_icon/SYK_pa_purpleline_signal.jpg</t>
  </si>
  <si>
    <t>https://3arbzfbsh-cname-us.ngrok.io/Desktop/seabridge%20fintech/purpleline_pa_icon/SYY_pa_purpleline_signal.jpg</t>
  </si>
  <si>
    <t>https://3arbzfbsh-cname-us.ngrok.io/Desktop/seabridge%20fintech/purpleline_pa_icon/T_pa_purpleline_signal.jpg</t>
  </si>
  <si>
    <t>https://3arbzfbsh-cname-us.ngrok.io/Desktop/seabridge%20fintech/purpleline_pa_icon/TAP_pa_purpleline_signal.jpg</t>
  </si>
  <si>
    <t>https://3arbzfbsh-cname-us.ngrok.io/Desktop/seabridge%20fintech/purpleline_pa_icon/TCOM_pa_purpleline_signal.jpg</t>
  </si>
  <si>
    <t>https://3arbzfbsh-cname-us.ngrok.io/Desktop/seabridge%20fintech/purpleline_pa_icon/TDG_pa_purpleline_signal.jpg</t>
  </si>
  <si>
    <t>https://3arbzfbsh-cname-us.ngrok.io/Desktop/seabridge%20fintech/purpleline_pa_icon/TDOC_pa_purpleline_signal.jpg</t>
  </si>
  <si>
    <t>https://3arbzfbsh-cname-us.ngrok.io/Desktop/seabridge%20fintech/purpleline_pa_icon/TDY_pa_purpleline_signal.jpg</t>
  </si>
  <si>
    <t>https://3arbzfbsh-cname-us.ngrok.io/Desktop/seabridge%20fintech/purpleline_pa_icon/TEAM_pa_purpleline_signal.jpg</t>
  </si>
  <si>
    <t>https://3arbzfbsh-cname-us.ngrok.io/Desktop/seabridge%20fintech/purpleline_pa_icon/TEL_pa_purpleline_signal.jpg</t>
  </si>
  <si>
    <t>https://3arbzfbsh-cname-us.ngrok.io/Desktop/seabridge%20fintech/purpleline_pa_icon/TER_pa_purpleline_signal.jpg</t>
  </si>
  <si>
    <t>https://3arbzfbsh-cname-us.ngrok.io/Desktop/seabridge%20fintech/purpleline_pa_icon/TFC_pa_purpleline_signal.jpg</t>
  </si>
  <si>
    <t>https://3arbzfbsh-cname-us.ngrok.io/Desktop/seabridge%20fintech/purpleline_pa_icon/TFX_pa_purpleline_signal.jpg</t>
  </si>
  <si>
    <t>https://3arbzfbsh-cname-us.ngrok.io/Desktop/seabridge%20fintech/purpleline_pa_icon/TGT_pa_purpleline_signal.jpg</t>
  </si>
  <si>
    <t>https://3arbzfbsh-cname-us.ngrok.io/Desktop/seabridge%20fintech/purpleline_pa_icon/TIP_pa_purpleline_signal.jpg</t>
  </si>
  <si>
    <t>https://3arbzfbsh-cname-us.ngrok.io/Desktop/seabridge%20fintech/purpleline_pa_icon/TJX_pa_purpleline_signal.jpg</t>
  </si>
  <si>
    <t>https://3arbzfbsh-cname-us.ngrok.io/Desktop/seabridge%20fintech/purpleline_pa_icon/TLT_pa_purpleline_signal.jpg</t>
  </si>
  <si>
    <t>https://3arbzfbsh-cname-us.ngrok.io/Desktop/seabridge%20fintech/purpleline_pa_icon/TMO_pa_purpleline_signal.jpg</t>
  </si>
  <si>
    <t>https://3arbzfbsh-cname-us.ngrok.io/Desktop/seabridge%20fintech/purpleline_pa_icon/TMUS_pa_purpleline_signal.jpg</t>
  </si>
  <si>
    <t>https://3arbzfbsh-cname-us.ngrok.io/Desktop/seabridge%20fintech/purpleline_pa_icon/TPR_pa_purpleline_signal.jpg</t>
  </si>
  <si>
    <t>https://3arbzfbsh-cname-us.ngrok.io/Desktop/seabridge%20fintech/purpleline_pa_icon/TQQQ_pa_purpleline_signal.jpg</t>
  </si>
  <si>
    <t>https://3arbzfbsh-cname-us.ngrok.io/Desktop/seabridge%20fintech/purpleline_pa_icon/TRGP_pa_purpleline_signal.jpg</t>
  </si>
  <si>
    <t>https://3arbzfbsh-cname-us.ngrok.io/Desktop/seabridge%20fintech/purpleline_pa_icon/TRIP_pa_purpleline_signal.jpg</t>
  </si>
  <si>
    <t>https://3arbzfbsh-cname-us.ngrok.io/Desktop/seabridge%20fintech/purpleline_pa_icon/TRMB_pa_purpleline_signal.jpg</t>
  </si>
  <si>
    <t>https://3arbzfbsh-cname-us.ngrok.io/Desktop/seabridge%20fintech/purpleline_pa_icon/TROW_pa_purpleline_signal.jpg</t>
  </si>
  <si>
    <t>https://3arbzfbsh-cname-us.ngrok.io/Desktop/seabridge%20fintech/purpleline_pa_icon/TRV_pa_purpleline_signal.jpg</t>
  </si>
  <si>
    <t>https://3arbzfbsh-cname-us.ngrok.io/Desktop/seabridge%20fintech/purpleline_pa_icon/TSCO_pa_purpleline_signal.jpg</t>
  </si>
  <si>
    <t>https://3arbzfbsh-cname-us.ngrok.io/Desktop/seabridge%20fintech/purpleline_pa_icon/TSLA_pa_purpleline_signal.jpg</t>
  </si>
  <si>
    <t>https://3arbzfbsh-cname-us.ngrok.io/Desktop/seabridge%20fintech/purpleline_pa_icon/TSN_pa_purpleline_signal.jpg</t>
  </si>
  <si>
    <t>https://3arbzfbsh-cname-us.ngrok.io/Desktop/seabridge%20fintech/purpleline_pa_icon/TT_pa_purpleline_signal.jpg</t>
  </si>
  <si>
    <t>https://3arbzfbsh-cname-us.ngrok.io/Desktop/seabridge%20fintech/purpleline_pa_icon/TTD_pa_purpleline_signal.jpg</t>
  </si>
  <si>
    <t>https://3arbzfbsh-cname-us.ngrok.io/Desktop/seabridge%20fintech/purpleline_pa_icon/TTWO_pa_purpleline_signal.jpg</t>
  </si>
  <si>
    <t>https://3arbzfbsh-cname-us.ngrok.io/Desktop/seabridge%20fintech/purpleline_pa_icon/TWLO_pa_purpleline_signal.jpg</t>
  </si>
  <si>
    <t>https://3arbzfbsh-cname-us.ngrok.io/Desktop/seabridge%20fintech/purpleline_pa_icon/TWTR_pa_purpleline_signal.jpg</t>
  </si>
  <si>
    <t>https://3arbzfbsh-cname-us.ngrok.io/Desktop/seabridge%20fintech/purpleline_pa_icon/TXN_pa_purpleline_signal.jpg</t>
  </si>
  <si>
    <t>https://3arbzfbsh-cname-us.ngrok.io/Desktop/seabridge%20fintech/purpleline_pa_icon/TXT_pa_purpleline_signal.jpg</t>
  </si>
  <si>
    <t>https://3arbzfbsh-cname-us.ngrok.io/Desktop/seabridge%20fintech/purpleline_pa_icon/TYL_pa_purpleline_signal.jpg</t>
  </si>
  <si>
    <t>https://3arbzfbsh-cname-us.ngrok.io/Desktop/seabridge%20fintech/purpleline_pa_icon/UA_pa_purpleline_signal.jpg</t>
  </si>
  <si>
    <t>https://3arbzfbsh-cname-us.ngrok.io/Desktop/seabridge%20fintech/purpleline_pa_icon/UAA_pa_purpleline_signal.jpg</t>
  </si>
  <si>
    <t>https://3arbzfbsh-cname-us.ngrok.io/Desktop/seabridge%20fintech/purpleline_pa_icon/UAL_pa_purpleline_signal.jpg</t>
  </si>
  <si>
    <t>https://3arbzfbsh-cname-us.ngrok.io/Desktop/seabridge%20fintech/purpleline_pa_icon/UBER_pa_purpleline_signal.jpg</t>
  </si>
  <si>
    <t>https://3arbzfbsh-cname-us.ngrok.io/Desktop/seabridge%20fintech/purpleline_pa_icon/UDR_pa_purpleline_signal.jpg</t>
  </si>
  <si>
    <t>https://3arbzfbsh-cname-us.ngrok.io/Desktop/seabridge%20fintech/purpleline_pa_icon/UHS_pa_purpleline_signal.jpg</t>
  </si>
  <si>
    <t>https://3arbzfbsh-cname-us.ngrok.io/Desktop/seabridge%20fintech/purpleline_pa_icon/ULTA_pa_purpleline_signal.jpg</t>
  </si>
  <si>
    <t>https://3arbzfbsh-cname-us.ngrok.io/Desktop/seabridge%20fintech/purpleline_pa_icon/UNH_pa_purpleline_signal.jpg</t>
  </si>
  <si>
    <t>https://3arbzfbsh-cname-us.ngrok.io/Desktop/seabridge%20fintech/purpleline_pa_icon/UNM_pa_purpleline_signal.jpg</t>
  </si>
  <si>
    <t>https://3arbzfbsh-cname-us.ngrok.io/Desktop/seabridge%20fintech/purpleline_pa_icon/UNP_pa_purpleline_signal.jpg</t>
  </si>
  <si>
    <t>https://3arbzfbsh-cname-us.ngrok.io/Desktop/seabridge%20fintech/purpleline_pa_icon/UPS_pa_purpleline_signal.jpg</t>
  </si>
  <si>
    <t>https://3arbzfbsh-cname-us.ngrok.io/Desktop/seabridge%20fintech/purpleline_pa_icon/UPST_pa_purpleline_signal.jpg</t>
  </si>
  <si>
    <t>https://3arbzfbsh-cname-us.ngrok.io/Desktop/seabridge%20fintech/purpleline_pa_icon/URI_pa_purpleline_signal.jpg</t>
  </si>
  <si>
    <t>https://3arbzfbsh-cname-us.ngrok.io/Desktop/seabridge%20fintech/purpleline_pa_icon/USB_pa_purpleline_signal.jpg</t>
  </si>
  <si>
    <t>https://3arbzfbsh-cname-us.ngrok.io/Desktop/seabridge%20fintech/purpleline_pa_icon/USMV_pa_purpleline_signal.jpg</t>
  </si>
  <si>
    <t>https://3arbzfbsh-cname-us.ngrok.io/Desktop/seabridge%20fintech/purpleline_pa_icon/USO_pa_purpleline_signal.jpg</t>
  </si>
  <si>
    <t>https://3arbzfbsh-cname-us.ngrok.io/Desktop/seabridge%20fintech/purpleline_pa_icon/V_pa_purpleline_signal.jpg</t>
  </si>
  <si>
    <t>https://3arbzfbsh-cname-us.ngrok.io/Desktop/seabridge%20fintech/purpleline_pa_icon/VCIT_pa_purpleline_signal.jpg</t>
  </si>
  <si>
    <t>https://3arbzfbsh-cname-us.ngrok.io/Desktop/seabridge%20fintech/purpleline_pa_icon/VCSH_pa_purpleline_signal.jpg</t>
  </si>
  <si>
    <t>https://3arbzfbsh-cname-us.ngrok.io/Desktop/seabridge%20fintech/purpleline_pa_icon/VEA_pa_purpleline_signal.jpg</t>
  </si>
  <si>
    <t>https://3arbzfbsh-cname-us.ngrok.io/Desktop/seabridge%20fintech/purpleline_pa_icon/VER_pa_purpleline_signal.jpg</t>
  </si>
  <si>
    <t>https://3arbzfbsh-cname-us.ngrok.io/Desktop/seabridge%20fintech/purpleline_pa_icon/VEU_pa_purpleline_signal.jpg</t>
  </si>
  <si>
    <t>https://3arbzfbsh-cname-us.ngrok.io/Desktop/seabridge%20fintech/purpleline_pa_icon/VFC_pa_purpleline_signal.jpg</t>
  </si>
  <si>
    <t>https://3arbzfbsh-cname-us.ngrok.io/Desktop/seabridge%20fintech/purpleline_pa_icon/VGK_pa_purpleline_signal.jpg</t>
  </si>
  <si>
    <t>https://3arbzfbsh-cname-us.ngrok.io/Desktop/seabridge%20fintech/purpleline_pa_icon/VIAC_pa_purpleline_signal.jpg</t>
  </si>
  <si>
    <t>https://3arbzfbsh-cname-us.ngrok.io/Desktop/seabridge%20fintech/purpleline_pa_icon/VICI_pa_purpleline_signal.jpg</t>
  </si>
  <si>
    <t>https://3arbzfbsh-cname-us.ngrok.io/Desktop/seabridge%20fintech/purpleline_pa_icon/VLO_pa_purpleline_signal.jpg</t>
  </si>
  <si>
    <t>https://3arbzfbsh-cname-us.ngrok.io/Desktop/seabridge%20fintech/purpleline_pa_icon/VMC_pa_purpleline_signal.jpg</t>
  </si>
  <si>
    <t>https://3arbzfbsh-cname-us.ngrok.io/Desktop/seabridge%20fintech/purpleline_pa_icon/VNO_pa_purpleline_signal.jpg</t>
  </si>
  <si>
    <t>https://3arbzfbsh-cname-us.ngrok.io/Desktop/seabridge%20fintech/purpleline_pa_icon/VNQ_pa_purpleline_signal.jpg</t>
  </si>
  <si>
    <t>https://3arbzfbsh-cname-us.ngrok.io/Desktop/seabridge%20fintech/purpleline_pa_icon/VOO_pa_purpleline_signal.jpg</t>
  </si>
  <si>
    <t>https://3arbzfbsh-cname-us.ngrok.io/Desktop/seabridge%20fintech/purpleline_pa_icon/VRM_pa_purpleline_signal.jpg</t>
  </si>
  <si>
    <t>https://3arbzfbsh-cname-us.ngrok.io/Desktop/seabridge%20fintech/purpleline_pa_icon/VRSK_pa_purpleline_signal.jpg</t>
  </si>
  <si>
    <t>https://3arbzfbsh-cname-us.ngrok.io/Desktop/seabridge%20fintech/purpleline_pa_icon/VRSN_pa_purpleline_signal.jpg</t>
  </si>
  <si>
    <t>https://3arbzfbsh-cname-us.ngrok.io/Desktop/seabridge%20fintech/purpleline_pa_icon/VRT_pa_purpleline_signal.jpg</t>
  </si>
  <si>
    <t>https://3arbzfbsh-cname-us.ngrok.io/Desktop/seabridge%20fintech/purpleline_pa_icon/VRTX_pa_purpleline_signal.jpg</t>
  </si>
  <si>
    <t>https://3arbzfbsh-cname-us.ngrok.io/Desktop/seabridge%20fintech/purpleline_pa_icon/VT_pa_purpleline_signal.jpg</t>
  </si>
  <si>
    <t>https://3arbzfbsh-cname-us.ngrok.io/Desktop/seabridge%20fintech/purpleline_pa_icon/VTI_pa_purpleline_signal.jpg</t>
  </si>
  <si>
    <t>https://3arbzfbsh-cname-us.ngrok.io/Desktop/seabridge%20fintech/purpleline_pa_icon/VTIP_pa_purpleline_signal.jpg</t>
  </si>
  <si>
    <t>https://3arbzfbsh-cname-us.ngrok.io/Desktop/seabridge%20fintech/purpleline_pa_icon/VTR_pa_purpleline_signal.jpg</t>
  </si>
  <si>
    <t>https://3arbzfbsh-cname-us.ngrok.io/Desktop/seabridge%20fintech/purpleline_pa_icon/VTRS_pa_purpleline_signal.jpg</t>
  </si>
  <si>
    <t>https://3arbzfbsh-cname-us.ngrok.io/Desktop/seabridge%20fintech/purpleline_pa_icon/VTV_pa_purpleline_signal.jpg</t>
  </si>
  <si>
    <t>https://3arbzfbsh-cname-us.ngrok.io/Desktop/seabridge%20fintech/purpleline_pa_icon/VWO_pa_purpleline_signal.jpg</t>
  </si>
  <si>
    <t>https://3arbzfbsh-cname-us.ngrok.io/Desktop/seabridge%20fintech/purpleline_pa_icon/VXUS_pa_purpleline_signal.jpg</t>
  </si>
  <si>
    <t>https://3arbzfbsh-cname-us.ngrok.io/Desktop/seabridge%20fintech/purpleline_pa_icon/VZ_pa_purpleline_signal.jpg</t>
  </si>
  <si>
    <t>https://3arbzfbsh-cname-us.ngrok.io/Desktop/seabridge%20fintech/purpleline_pa_icon/WAB_pa_purpleline_signal.jpg</t>
  </si>
  <si>
    <t>https://3arbzfbsh-cname-us.ngrok.io/Desktop/seabridge%20fintech/purpleline_pa_icon/WAT_pa_purpleline_signal.jpg</t>
  </si>
  <si>
    <t>https://3arbzfbsh-cname-us.ngrok.io/Desktop/seabridge%20fintech/purpleline_pa_icon/WBA_pa_purpleline_signal.jpg</t>
  </si>
  <si>
    <t>https://3arbzfbsh-cname-us.ngrok.io/Desktop/seabridge%20fintech/purpleline_pa_icon/WDAY_pa_purpleline_signal.jpg</t>
  </si>
  <si>
    <t>https://3arbzfbsh-cname-us.ngrok.io/Desktop/seabridge%20fintech/purpleline_pa_icon/WDC_pa_purpleline_signal.jpg</t>
  </si>
  <si>
    <t>https://3arbzfbsh-cname-us.ngrok.io/Desktop/seabridge%20fintech/purpleline_pa_icon/WEC_pa_purpleline_signal.jpg</t>
  </si>
  <si>
    <t>https://3arbzfbsh-cname-us.ngrok.io/Desktop/seabridge%20fintech/purpleline_pa_icon/WELL_pa_purpleline_signal.jpg</t>
  </si>
  <si>
    <t>https://3arbzfbsh-cname-us.ngrok.io/Desktop/seabridge%20fintech/purpleline_pa_icon/WFC_pa_purpleline_signal.jpg</t>
  </si>
  <si>
    <t>https://3arbzfbsh-cname-us.ngrok.io/Desktop/seabridge%20fintech/purpleline_pa_icon/WHR_pa_purpleline_signal.jpg</t>
  </si>
  <si>
    <t>https://3arbzfbsh-cname-us.ngrok.io/Desktop/seabridge%20fintech/purpleline_pa_icon/WLTW_pa_purpleline_signal.jpg</t>
  </si>
  <si>
    <t>https://3arbzfbsh-cname-us.ngrok.io/Desktop/seabridge%20fintech/purpleline_pa_icon/WM_pa_purpleline_signal.jpg</t>
  </si>
  <si>
    <t>https://3arbzfbsh-cname-us.ngrok.io/Desktop/seabridge%20fintech/purpleline_pa_icon/WMB_pa_purpleline_signal.jpg</t>
  </si>
  <si>
    <t>https://3arbzfbsh-cname-us.ngrok.io/Desktop/seabridge%20fintech/purpleline_pa_icon/WMT_pa_purpleline_signal.jpg</t>
  </si>
  <si>
    <t>https://3arbzfbsh-cname-us.ngrok.io/Desktop/seabridge%20fintech/purpleline_pa_icon/WORK_pa_purpleline_signal.jpg</t>
  </si>
  <si>
    <t>https://3arbzfbsh-cname-us.ngrok.io/Desktop/seabridge%20fintech/purpleline_pa_icon/WRB_pa_purpleline_signal.jpg</t>
  </si>
  <si>
    <t>https://3arbzfbsh-cname-us.ngrok.io/Desktop/seabridge%20fintech/purpleline_pa_icon/WRK_pa_purpleline_signal.jpg</t>
  </si>
  <si>
    <t>https://3arbzfbsh-cname-us.ngrok.io/Desktop/seabridge%20fintech/purpleline_pa_icon/WSC_pa_purpleline_signal.jpg</t>
  </si>
  <si>
    <t>https://3arbzfbsh-cname-us.ngrok.io/Desktop/seabridge%20fintech/purpleline_pa_icon/WST_pa_purpleline_signal.jpg</t>
  </si>
  <si>
    <t>https://3arbzfbsh-cname-us.ngrok.io/Desktop/seabridge%20fintech/purpleline_pa_icon/WU_pa_purpleline_signal.jpg</t>
  </si>
  <si>
    <t>https://3arbzfbsh-cname-us.ngrok.io/Desktop/seabridge%20fintech/purpleline_pa_icon/WY_pa_purpleline_signal.jpg</t>
  </si>
  <si>
    <t>https://3arbzfbsh-cname-us.ngrok.io/Desktop/seabridge%20fintech/purpleline_pa_icon/WYNN_pa_purpleline_signal.jpg</t>
  </si>
  <si>
    <t>https://3arbzfbsh-cname-us.ngrok.io/Desktop/seabridge%20fintech/purpleline_pa_icon/XBI_pa_purpleline_signal.jpg</t>
  </si>
  <si>
    <t>https://3arbzfbsh-cname-us.ngrok.io/Desktop/seabridge%20fintech/purpleline_pa_icon/XEL_pa_purpleline_signal.jpg</t>
  </si>
  <si>
    <t>https://3arbzfbsh-cname-us.ngrok.io/Desktop/seabridge%20fintech/purpleline_pa_icon/XLB_pa_purpleline_signal.jpg</t>
  </si>
  <si>
    <t>https://3arbzfbsh-cname-us.ngrok.io/Desktop/seabridge%20fintech/purpleline_pa_icon/XLC_pa_purpleline_signal.jpg</t>
  </si>
  <si>
    <t>https://3arbzfbsh-cname-us.ngrok.io/Desktop/seabridge%20fintech/purpleline_pa_icon/XLE_pa_purpleline_signal.jpg</t>
  </si>
  <si>
    <t>https://3arbzfbsh-cname-us.ngrok.io/Desktop/seabridge%20fintech/purpleline_pa_icon/XLF_pa_purpleline_signal.jpg</t>
  </si>
  <si>
    <t>https://3arbzfbsh-cname-us.ngrok.io/Desktop/seabridge%20fintech/purpleline_pa_icon/XLI_pa_purpleline_signal.jpg</t>
  </si>
  <si>
    <t>https://3arbzfbsh-cname-us.ngrok.io/Desktop/seabridge%20fintech/purpleline_pa_icon/XLK_pa_purpleline_signal.jpg</t>
  </si>
  <si>
    <t>https://3arbzfbsh-cname-us.ngrok.io/Desktop/seabridge%20fintech/purpleline_pa_icon/XLNX_pa_purpleline_signal.jpg</t>
  </si>
  <si>
    <t>https://3arbzfbsh-cname-us.ngrok.io/Desktop/seabridge%20fintech/purpleline_pa_icon/XLP_pa_purpleline_signal.jpg</t>
  </si>
  <si>
    <t>https://3arbzfbsh-cname-us.ngrok.io/Desktop/seabridge%20fintech/purpleline_pa_icon/XLRE_pa_purpleline_signal.jpg</t>
  </si>
  <si>
    <t>https://3arbzfbsh-cname-us.ngrok.io/Desktop/seabridge%20fintech/purpleline_pa_icon/XLU_pa_purpleline_signal.jpg</t>
  </si>
  <si>
    <t>https://3arbzfbsh-cname-us.ngrok.io/Desktop/seabridge%20fintech/purpleline_pa_icon/XLV_pa_purpleline_signal.jpg</t>
  </si>
  <si>
    <t>https://3arbzfbsh-cname-us.ngrok.io/Desktop/seabridge%20fintech/purpleline_pa_icon/XLY_pa_purpleline_signal.jpg</t>
  </si>
  <si>
    <t>https://3arbzfbsh-cname-us.ngrok.io/Desktop/seabridge%20fintech/purpleline_pa_icon/XOM_pa_purpleline_signal.jpg</t>
  </si>
  <si>
    <t>https://3arbzfbsh-cname-us.ngrok.io/Desktop/seabridge%20fintech/purpleline_pa_icon/XOP_pa_purpleline_signal.jpg</t>
  </si>
  <si>
    <t>https://3arbzfbsh-cname-us.ngrok.io/Desktop/seabridge%20fintech/purpleline_pa_icon/XRAY_pa_purpleline_signal.jpg</t>
  </si>
  <si>
    <t>https://3arbzfbsh-cname-us.ngrok.io/Desktop/seabridge%20fintech/purpleline_pa_icon/XYL_pa_purpleline_signal.jpg</t>
  </si>
  <si>
    <t>https://3arbzfbsh-cname-us.ngrok.io/Desktop/seabridge%20fintech/purpleline_pa_icon/YUM_pa_purpleline_signal.jpg</t>
  </si>
  <si>
    <t>https://3arbzfbsh-cname-us.ngrok.io/Desktop/seabridge%20fintech/purpleline_pa_icon/Z_pa_purpleline_signal.jpg</t>
  </si>
  <si>
    <t>https://3arbzfbsh-cname-us.ngrok.io/Desktop/seabridge%20fintech/purpleline_pa_icon/ZBH_pa_purpleline_signal.jpg</t>
  </si>
  <si>
    <t>https://3arbzfbsh-cname-us.ngrok.io/Desktop/seabridge%20fintech/purpleline_pa_icon/ZBRA_pa_purpleline_signal.jpg</t>
  </si>
  <si>
    <t>https://3arbzfbsh-cname-us.ngrok.io/Desktop/seabridge%20fintech/purpleline_pa_icon/ZION_pa_purpleline_signal.jpg</t>
  </si>
  <si>
    <t>https://3arbzfbsh-cname-us.ngrok.io/Desktop/seabridge%20fintech/purpleline_pa_icon/ZM_pa_purpleline_signal.jpg</t>
  </si>
  <si>
    <t>https://3arbzfbsh-cname-us.ngrok.io/Desktop/seabridge%20fintech/purpleline_pa_icon/ZTS_pa_purpleline_signal.jpg</t>
  </si>
  <si>
    <t>description</t>
  </si>
  <si>
    <t>logourl</t>
  </si>
  <si>
    <t>name</t>
  </si>
  <si>
    <t>mktCap</t>
  </si>
  <si>
    <t>volAvg</t>
  </si>
  <si>
    <t>lastDiv</t>
  </si>
  <si>
    <t>pe_ratio(TTM)</t>
  </si>
  <si>
    <t>eps(TTM)</t>
  </si>
  <si>
    <t>dividend_yield</t>
  </si>
  <si>
    <t>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t>
  </si>
  <si>
    <t>https://financialmodelingprep.com/image-stock/A.png</t>
  </si>
  <si>
    <t>Agilent Technologies, Inc.</t>
  </si>
  <si>
    <t>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t>
  </si>
  <si>
    <t>https://financialmodelingprep.com/image-stock/AA.png</t>
  </si>
  <si>
    <t>Alcoa Corporation</t>
  </si>
  <si>
    <t>NaN</t>
  </si>
  <si>
    <t>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t>
  </si>
  <si>
    <t>https://financialmodelingprep.com/image-stock/AAL.png</t>
  </si>
  <si>
    <t>American Airlines Group Inc.</t>
  </si>
  <si>
    <t>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t>
  </si>
  <si>
    <t>https://financialmodelingprep.com/image-stock/AAP.png</t>
  </si>
  <si>
    <t>Advance Auto Parts, Inc.</t>
  </si>
  <si>
    <t>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t>
  </si>
  <si>
    <t>https://financialmodelingprep.com/image-stock/AAPL.png</t>
  </si>
  <si>
    <t>Apple Inc.</t>
  </si>
  <si>
    <t>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t>
  </si>
  <si>
    <t>https://financialmodelingprep.com/image-stock/ABBV.png</t>
  </si>
  <si>
    <t>AbbVie Inc.</t>
  </si>
  <si>
    <t>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t>
  </si>
  <si>
    <t>https://financialmodelingprep.com/image-stock/ABC.png</t>
  </si>
  <si>
    <t>AmerisourceBergen Corporation</t>
  </si>
  <si>
    <t>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t>
  </si>
  <si>
    <t>https://financialmodelingprep.com/image-stock/ABMD.png</t>
  </si>
  <si>
    <t>Abiomed, Inc.</t>
  </si>
  <si>
    <t>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t>
  </si>
  <si>
    <t>https://financialmodelingprep.com/image-stock/ABT.png</t>
  </si>
  <si>
    <t>Abbott Laboratories</t>
  </si>
  <si>
    <t>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t>
  </si>
  <si>
    <t>https://financialmodelingprep.com/image-stock/ACN.png</t>
  </si>
  <si>
    <t>Accenture plc</t>
  </si>
  <si>
    <t>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t>
  </si>
  <si>
    <t>https://financialmodelingprep.com/image-stock/ADBE.png</t>
  </si>
  <si>
    <t>Adobe Inc.</t>
  </si>
  <si>
    <t>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t>
  </si>
  <si>
    <t>https://financialmodelingprep.com/image-stock/ADI.png</t>
  </si>
  <si>
    <t>Analog Devices, Inc.</t>
  </si>
  <si>
    <t>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t>
  </si>
  <si>
    <t>https://financialmodelingprep.com/image-stock/ADM.png</t>
  </si>
  <si>
    <t>Archer-Daniels-Midland Company</t>
  </si>
  <si>
    <t>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t>
  </si>
  <si>
    <t>https://financialmodelingprep.com/image-stock/ADP.png</t>
  </si>
  <si>
    <t>Automatic Data Processing, Inc.</t>
  </si>
  <si>
    <t>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t>
  </si>
  <si>
    <t>https://financialmodelingprep.com/image-stock/ADSK.png</t>
  </si>
  <si>
    <t>Autodesk, Inc.</t>
  </si>
  <si>
    <t>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t>
  </si>
  <si>
    <t>https://financialmodelingprep.com/image-stock/AEE.png</t>
  </si>
  <si>
    <t>Ameren Corporation</t>
  </si>
  <si>
    <t>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t>
  </si>
  <si>
    <t>https://financialmodelingprep.com/image-stock/AEO.png</t>
  </si>
  <si>
    <t>American Eagle Outfitters, Inc.</t>
  </si>
  <si>
    <t>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t>
  </si>
  <si>
    <t>https://financialmodelingprep.com/image-stock/AEP.png</t>
  </si>
  <si>
    <t>American Electric Power Company, Inc.</t>
  </si>
  <si>
    <t>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t>
  </si>
  <si>
    <t>https://financialmodelingprep.com/image-stock/AES.png</t>
  </si>
  <si>
    <t>The AES Corporation</t>
  </si>
  <si>
    <t>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t>
  </si>
  <si>
    <t>https://financialmodelingprep.com/image-stock/AFL.png</t>
  </si>
  <si>
    <t>Aflac Incorporated</t>
  </si>
  <si>
    <t>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t>
  </si>
  <si>
    <t>https://financialmodelingprep.com/image-stock/AGG.png</t>
  </si>
  <si>
    <t>iShares Core U.S. Aggregate Bond ETF</t>
  </si>
  <si>
    <t>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t>
  </si>
  <si>
    <t>https://financialmodelingprep.com/image-stock/AI.png</t>
  </si>
  <si>
    <t>C3.ai, Inc.</t>
  </si>
  <si>
    <t>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t>
  </si>
  <si>
    <t>https://financialmodelingprep.com/image-stock/AIG.png</t>
  </si>
  <si>
    <t>American International Group, Inc.</t>
  </si>
  <si>
    <t>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t>
  </si>
  <si>
    <t>https://financialmodelingprep.com/image-stock/AIZ.png</t>
  </si>
  <si>
    <t>Assurant, Inc.</t>
  </si>
  <si>
    <t>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t>
  </si>
  <si>
    <t>https://financialmodelingprep.com/image-stock/AJG.png</t>
  </si>
  <si>
    <t>Arthur J. Gallagher &amp; Co.</t>
  </si>
  <si>
    <t>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t>
  </si>
  <si>
    <t>https://financialmodelingprep.com/image-stock/AKAM.png</t>
  </si>
  <si>
    <t>Akamai Technologies, Inc.</t>
  </si>
  <si>
    <t>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t>
  </si>
  <si>
    <t>https://financialmodelingprep.com/image-stock/ALB.png</t>
  </si>
  <si>
    <t>Albemarle Corporation</t>
  </si>
  <si>
    <t>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t>
  </si>
  <si>
    <t>https://financialmodelingprep.com/image-stock/ALGN.png</t>
  </si>
  <si>
    <t>Align Technology, Inc.</t>
  </si>
  <si>
    <t>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t>
  </si>
  <si>
    <t>https://financialmodelingprep.com/image-stock/ALK.png</t>
  </si>
  <si>
    <t>Alaska Air Group, Inc.</t>
  </si>
  <si>
    <t>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t>
  </si>
  <si>
    <t>https://financialmodelingprep.com/image-stock/ALL.png</t>
  </si>
  <si>
    <t>The Allstate Corporation</t>
  </si>
  <si>
    <t>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t>
  </si>
  <si>
    <t>https://financialmodelingprep.com/image-stock/ALLE.png</t>
  </si>
  <si>
    <t>Allegion plc</t>
  </si>
  <si>
    <t>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t>
  </si>
  <si>
    <t>https://financialmodelingprep.com/image-stock/ALLY.png</t>
  </si>
  <si>
    <t>Ally Financial Inc.</t>
  </si>
  <si>
    <t>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t>
  </si>
  <si>
    <t>https://financialmodelingprep.com/image-stock/ALXN.png</t>
  </si>
  <si>
    <t>Alexion Pharmaceuticals, Inc.</t>
  </si>
  <si>
    <t>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t>
  </si>
  <si>
    <t>https://financialmodelingprep.com/image-stock/AMAT.png</t>
  </si>
  <si>
    <t>Applied Materials, Inc.</t>
  </si>
  <si>
    <t>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t>
  </si>
  <si>
    <t>https://financialmodelingprep.com/image-stock/AMC.png</t>
  </si>
  <si>
    <t>AMC Entertainment Holdings, Inc.</t>
  </si>
  <si>
    <t>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t>
  </si>
  <si>
    <t>https://financialmodelingprep.com/image-stock/AMCR.png</t>
  </si>
  <si>
    <t>Amcor plc</t>
  </si>
  <si>
    <t>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t>
  </si>
  <si>
    <t>https://financialmodelingprep.com/image-stock/AMD.png</t>
  </si>
  <si>
    <t>Advanced Micro Devices, Inc.</t>
  </si>
  <si>
    <t>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t>
  </si>
  <si>
    <t>https://financialmodelingprep.com/image-stock/AME.png</t>
  </si>
  <si>
    <t>AMETEK, Inc.</t>
  </si>
  <si>
    <t>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t>
  </si>
  <si>
    <t>https://financialmodelingprep.com/image-stock/AMGN.png</t>
  </si>
  <si>
    <t>Amgen Inc.</t>
  </si>
  <si>
    <t>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t>
  </si>
  <si>
    <t>https://financialmodelingprep.com/image-stock/AMLP.jpg</t>
  </si>
  <si>
    <t>Alerian MLP ETF</t>
  </si>
  <si>
    <t>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t>
  </si>
  <si>
    <t>https://financialmodelingprep.com/image-stock/AMP.png</t>
  </si>
  <si>
    <t>Ameriprise Financial, Inc.</t>
  </si>
  <si>
    <t>American Tower, one of the largest global REITs, is a leading independent owner, operator and developer of multitenant communications real estate with a portfolio of approximately 181,000 communications sites.</t>
  </si>
  <si>
    <t>https://financialmodelingprep.com/image-stock/AMT.png</t>
  </si>
  <si>
    <t>American Tower Corporation (REIT)</t>
  </si>
  <si>
    <t>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t>
  </si>
  <si>
    <t>https://financialmodelingprep.com/image-stock/AMZN.png</t>
  </si>
  <si>
    <t>Amazon.com, Inc.</t>
  </si>
  <si>
    <t>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t>
  </si>
  <si>
    <t>https://financialmodelingprep.com/image-stock/ANET.png</t>
  </si>
  <si>
    <t>Arista Networks, Inc.</t>
  </si>
  <si>
    <t>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t>
  </si>
  <si>
    <t>https://financialmodelingprep.com/image-stock/ANSS.png</t>
  </si>
  <si>
    <t>ANSYS, Inc.</t>
  </si>
  <si>
    <t>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t>
  </si>
  <si>
    <t>https://financialmodelingprep.com/image-stock/ANTM.png</t>
  </si>
  <si>
    <t>Anthem, Inc.</t>
  </si>
  <si>
    <t>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t>
  </si>
  <si>
    <t>https://financialmodelingprep.com/image-stock/AON.png</t>
  </si>
  <si>
    <t>Aon plc</t>
  </si>
  <si>
    <t>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t>
  </si>
  <si>
    <t>https://financialmodelingprep.com/image-stock/AOS.png</t>
  </si>
  <si>
    <t>A. O. Smith Corporation</t>
  </si>
  <si>
    <t>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t>
  </si>
  <si>
    <t>https://financialmodelingprep.com/image-stock/APA.png</t>
  </si>
  <si>
    <t>APA Corporation</t>
  </si>
  <si>
    <t>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t>
  </si>
  <si>
    <t>https://financialmodelingprep.com/image-stock/APD.png</t>
  </si>
  <si>
    <t>Air Products and Chemicals, Inc.</t>
  </si>
  <si>
    <t>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t>
  </si>
  <si>
    <t>https://financialmodelingprep.com/image-stock/APH.png</t>
  </si>
  <si>
    <t>Amphenol Corporation</t>
  </si>
  <si>
    <t>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t>
  </si>
  <si>
    <t>https://financialmodelingprep.com/image-stock/APO.png</t>
  </si>
  <si>
    <t>Apollo Global Management, Inc.</t>
  </si>
  <si>
    <t>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t>
  </si>
  <si>
    <t>https://financialmodelingprep.com/image-stock/APPS.png</t>
  </si>
  <si>
    <t>Digital Turbine, Inc.</t>
  </si>
  <si>
    <t>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t>
  </si>
  <si>
    <t>https://financialmodelingprep.com/image-stock/APTV.png</t>
  </si>
  <si>
    <t>Aptiv PLC</t>
  </si>
  <si>
    <t>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t>
  </si>
  <si>
    <t>https://financialmodelingprep.com/image-stock/ARE.png</t>
  </si>
  <si>
    <t>Alexandria Real Estate Equities, Inc.</t>
  </si>
  <si>
    <t>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t>
  </si>
  <si>
    <t>https://financialmodelingprep.com/image-stock/ASAN.png</t>
  </si>
  <si>
    <t>Asana, Inc.</t>
  </si>
  <si>
    <t>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t>
  </si>
  <si>
    <t>https://financialmodelingprep.com/image-stock/ASHR.jpg</t>
  </si>
  <si>
    <t>Xtrackers Harvest CSI 300 China A-Shares ETF</t>
  </si>
  <si>
    <t>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t>
  </si>
  <si>
    <t>https://financialmodelingprep.com/image-stock/ASML.png</t>
  </si>
  <si>
    <t>ASML Holding N.V.</t>
  </si>
  <si>
    <t>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t>
  </si>
  <si>
    <t>https://financialmodelingprep.com/image-stock/ATO.png</t>
  </si>
  <si>
    <t>Atmos Energy Corporation</t>
  </si>
  <si>
    <t>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t>
  </si>
  <si>
    <t>https://financialmodelingprep.com/image-stock/ATUS.png</t>
  </si>
  <si>
    <t>Altice USA, Inc.</t>
  </si>
  <si>
    <t>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t>
  </si>
  <si>
    <t>https://financialmodelingprep.com/image-stock/ATVI.png</t>
  </si>
  <si>
    <t>Activision Blizzard, Inc.</t>
  </si>
  <si>
    <t>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t>
  </si>
  <si>
    <t>https://financialmodelingprep.com/image-stock/AVB.png</t>
  </si>
  <si>
    <t>AvalonBay Communities, Inc.</t>
  </si>
  <si>
    <t>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t>
  </si>
  <si>
    <t>https://financialmodelingprep.com/image-stock/AVGO.png</t>
  </si>
  <si>
    <t>Broadcom Inc.</t>
  </si>
  <si>
    <t>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t>
  </si>
  <si>
    <t>https://financialmodelingprep.com/image-stock/AVTR.png</t>
  </si>
  <si>
    <t>Avantor, Inc.</t>
  </si>
  <si>
    <t>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t>
  </si>
  <si>
    <t>https://financialmodelingprep.com/image-stock/AVY.png</t>
  </si>
  <si>
    <t>Avery Dennison Corporation</t>
  </si>
  <si>
    <t>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t>
  </si>
  <si>
    <t>https://financialmodelingprep.com/image-stock/AWK.png</t>
  </si>
  <si>
    <t>American Water Works Company, Inc.</t>
  </si>
  <si>
    <t>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t>
  </si>
  <si>
    <t>https://financialmodelingprep.com/image-stock/AXP.png</t>
  </si>
  <si>
    <t>American Express Company</t>
  </si>
  <si>
    <t>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t>
  </si>
  <si>
    <t>https://financialmodelingprep.com/image-stock/AXTA.png</t>
  </si>
  <si>
    <t>Axalta Coating Systems Ltd.</t>
  </si>
  <si>
    <t>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t>
  </si>
  <si>
    <t>https://financialmodelingprep.com/image-stock/AZO.png</t>
  </si>
  <si>
    <t>AutoZone, Inc.</t>
  </si>
  <si>
    <t>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t>
  </si>
  <si>
    <t>https://financialmodelingprep.com/image-stock/BA.png</t>
  </si>
  <si>
    <t>The Boeing Company</t>
  </si>
  <si>
    <t>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t>
  </si>
  <si>
    <t>https://financialmodelingprep.com/image-stock/BAC.png</t>
  </si>
  <si>
    <t>Bank of America Corporation</t>
  </si>
  <si>
    <t>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t>
  </si>
  <si>
    <t>https://financialmodelingprep.com/image-stock/BAX.png</t>
  </si>
  <si>
    <t>Baxter International Inc.</t>
  </si>
  <si>
    <t>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t>
  </si>
  <si>
    <t>https://financialmodelingprep.com/image-stock/BBBY.png</t>
  </si>
  <si>
    <t>Bed Bath &amp; Beyond Inc.</t>
  </si>
  <si>
    <t>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t>
  </si>
  <si>
    <t>https://financialmodelingprep.com/image-stock/BBY.png</t>
  </si>
  <si>
    <t>Best Buy Co., Inc.</t>
  </si>
  <si>
    <t>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t>
  </si>
  <si>
    <t>https://financialmodelingprep.com/image-stock/BDX.png</t>
  </si>
  <si>
    <t>Becton, Dickinson and Company</t>
  </si>
  <si>
    <t>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t>
  </si>
  <si>
    <t>https://financialmodelingprep.com/image-stock/BEN.png</t>
  </si>
  <si>
    <t>Franklin Resources, Inc.</t>
  </si>
  <si>
    <t>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t>
  </si>
  <si>
    <t>https://financialmodelingprep.com/image-stock/BIDU.png</t>
  </si>
  <si>
    <t>Baidu, Inc.</t>
  </si>
  <si>
    <t>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t>
  </si>
  <si>
    <t>https://financialmodelingprep.com/image-stock/BIIB.png</t>
  </si>
  <si>
    <t>Biogen Inc.</t>
  </si>
  <si>
    <t>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t>
  </si>
  <si>
    <t>https://financialmodelingprep.com/image-stock/BIO.png</t>
  </si>
  <si>
    <t>Bio-Rad Laboratories, Inc.</t>
  </si>
  <si>
    <t>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t>
  </si>
  <si>
    <t>https://financialmodelingprep.com/image-stock/BK.png</t>
  </si>
  <si>
    <t>The Bank of New York Mellon Corporation</t>
  </si>
  <si>
    <t>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t>
  </si>
  <si>
    <t>https://financialmodelingprep.com/image-stock/BKNG.png</t>
  </si>
  <si>
    <t>Booking Holdings Inc.</t>
  </si>
  <si>
    <t>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t>
  </si>
  <si>
    <t>https://financialmodelingprep.com/image-stock/BKR.jpg</t>
  </si>
  <si>
    <t>Baker Hughes Company</t>
  </si>
  <si>
    <t>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t>
  </si>
  <si>
    <t>https://financialmodelingprep.com/image-stock/BLDR.png</t>
  </si>
  <si>
    <t>Builders FirstSource, Inc.</t>
  </si>
  <si>
    <t>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t>
  </si>
  <si>
    <t>https://financialmodelingprep.com/image-stock/BLK.png</t>
  </si>
  <si>
    <t>BlackRock, Inc.</t>
  </si>
  <si>
    <t>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t>
  </si>
  <si>
    <t>https://financialmodelingprep.com/image-stock/BLL.png</t>
  </si>
  <si>
    <t>Ball Corporation</t>
  </si>
  <si>
    <t>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t>
  </si>
  <si>
    <t>https://financialmodelingprep.com/image-stock/BMY.png</t>
  </si>
  <si>
    <t>Bristol-Myers Squibb Company</t>
  </si>
  <si>
    <t>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t>
  </si>
  <si>
    <t>https://financialmodelingprep.com/image-stock/BND.png</t>
  </si>
  <si>
    <t>Vanguard Total Bond Market Index Fund ETF Shares</t>
  </si>
  <si>
    <t>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t>
  </si>
  <si>
    <t>https://financialmodelingprep.com/image-stock/BNDX.png</t>
  </si>
  <si>
    <t>Vanguard Total International Bond Index Fund ETF Shares</t>
  </si>
  <si>
    <t>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t>
  </si>
  <si>
    <t>https://financialmodelingprep.com/image-stock/BR.png</t>
  </si>
  <si>
    <t>Broadridge Financial Solutions, Inc.</t>
  </si>
  <si>
    <t>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t>
  </si>
  <si>
    <t>https://financialmodelingprep.com/image-stock/BSV.png</t>
  </si>
  <si>
    <t>Vanguard Short-Term Bond Index Fund ETF Shares</t>
  </si>
  <si>
    <t>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t>
  </si>
  <si>
    <t>https://financialmodelingprep.com/image-stock/BSX.png</t>
  </si>
  <si>
    <t>Boston Scientific Corporation</t>
  </si>
  <si>
    <t>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t>
  </si>
  <si>
    <t>https://financialmodelingprep.com/image-stock/BWA.png</t>
  </si>
  <si>
    <t>BorgWarner Inc.</t>
  </si>
  <si>
    <t>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t>
  </si>
  <si>
    <t>https://financialmodelingprep.com/image-stock/BX.png</t>
  </si>
  <si>
    <t>The Blackstone Group Inc.</t>
  </si>
  <si>
    <t>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t>
  </si>
  <si>
    <t>https://financialmodelingprep.com/image-stock/BXP.png</t>
  </si>
  <si>
    <t>Boston Properties, Inc.</t>
  </si>
  <si>
    <t>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t>
  </si>
  <si>
    <t>https://financialmodelingprep.com/image-stock/BYND.png</t>
  </si>
  <si>
    <t>Beyond Meat, Inc.</t>
  </si>
  <si>
    <t>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t>
  </si>
  <si>
    <t>https://financialmodelingprep.com/image-stock/C.png</t>
  </si>
  <si>
    <t>Citigroup Inc.</t>
  </si>
  <si>
    <t>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t>
  </si>
  <si>
    <t>https://financialmodelingprep.com/image-stock/CAG.png</t>
  </si>
  <si>
    <t>Conagra Brands, Inc.</t>
  </si>
  <si>
    <t>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t>
  </si>
  <si>
    <t>https://financialmodelingprep.com/image-stock/CAH.png</t>
  </si>
  <si>
    <t>Cardinal Health, Inc.</t>
  </si>
  <si>
    <t>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t>
  </si>
  <si>
    <t>https://financialmodelingprep.com/image-stock/CAT.png</t>
  </si>
  <si>
    <t>Caterpillar Inc.</t>
  </si>
  <si>
    <t>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t>
  </si>
  <si>
    <t>https://financialmodelingprep.com/image-stock/CB.png</t>
  </si>
  <si>
    <t>Chubb Limited</t>
  </si>
  <si>
    <t>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t>
  </si>
  <si>
    <t>https://financialmodelingprep.com/image-stock/CBOE.png</t>
  </si>
  <si>
    <t>Cboe Global Markets, Inc.</t>
  </si>
  <si>
    <t>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t>
  </si>
  <si>
    <t>https://financialmodelingprep.com/image-stock/CBRE.png</t>
  </si>
  <si>
    <t>CBRE Group, Inc.</t>
  </si>
  <si>
    <t>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t>
  </si>
  <si>
    <t>https://financialmodelingprep.com/image-stock/CCI.png</t>
  </si>
  <si>
    <t>Crown Castle International Corp. (REIT)</t>
  </si>
  <si>
    <t>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t>
  </si>
  <si>
    <t>https://financialmodelingprep.com/image-stock/CCL.png</t>
  </si>
  <si>
    <t>Carnival Corporation &amp; plc</t>
  </si>
  <si>
    <t>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t>
  </si>
  <si>
    <t>https://financialmodelingprep.com/image-stock/CDNS.png</t>
  </si>
  <si>
    <t>Cadence Design Systems, Inc.</t>
  </si>
  <si>
    <t>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t>
  </si>
  <si>
    <t>https://financialmodelingprep.com/image-stock/CDW.png</t>
  </si>
  <si>
    <t>CDW Corporation</t>
  </si>
  <si>
    <t>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t>
  </si>
  <si>
    <t>https://financialmodelingprep.com/image-stock/CE.png</t>
  </si>
  <si>
    <t>Celanese Corporation</t>
  </si>
  <si>
    <t>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t>
  </si>
  <si>
    <t>https://financialmodelingprep.com/image-stock/CERN.png</t>
  </si>
  <si>
    <t>Cerner Corporation</t>
  </si>
  <si>
    <t>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t>
  </si>
  <si>
    <t>https://financialmodelingprep.com/image-stock/CF.png</t>
  </si>
  <si>
    <t>CF Industries Holdings, Inc.</t>
  </si>
  <si>
    <t>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t>
  </si>
  <si>
    <t>https://financialmodelingprep.com/image-stock/CFG.png</t>
  </si>
  <si>
    <t>Citizens Financial Group, Inc.</t>
  </si>
  <si>
    <t>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t>
  </si>
  <si>
    <t>https://financialmodelingprep.com/image-stock/CHD.png</t>
  </si>
  <si>
    <t>Church &amp; Dwight Co., Inc.</t>
  </si>
  <si>
    <t>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t>
  </si>
  <si>
    <t>https://financialmodelingprep.com/image-stock/CHKP.png</t>
  </si>
  <si>
    <t>Check Point Software Technologies Ltd.</t>
  </si>
  <si>
    <t>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t>
  </si>
  <si>
    <t>https://financialmodelingprep.com/image-stock/CHRW.png</t>
  </si>
  <si>
    <t>C.H. Robinson Worldwide, Inc.</t>
  </si>
  <si>
    <t>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t>
  </si>
  <si>
    <t>https://financialmodelingprep.com/image-stock/CHTR.png</t>
  </si>
  <si>
    <t>Charter Communications, Inc.</t>
  </si>
  <si>
    <t>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t>
  </si>
  <si>
    <t>https://financialmodelingprep.com/image-stock/CHWY.png</t>
  </si>
  <si>
    <t>Chewy, Inc.</t>
  </si>
  <si>
    <t>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t>
  </si>
  <si>
    <t>https://financialmodelingprep.com/image-stock/CI.png</t>
  </si>
  <si>
    <t>Cigna Corporation</t>
  </si>
  <si>
    <t>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t>
  </si>
  <si>
    <t>https://financialmodelingprep.com/image-stock/CINF.png</t>
  </si>
  <si>
    <t>Cincinnati Financial Corporation</t>
  </si>
  <si>
    <t>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t>
  </si>
  <si>
    <t>https://financialmodelingprep.com/image-stock/CL.png</t>
  </si>
  <si>
    <t>Colgate-Palmolive Company</t>
  </si>
  <si>
    <t>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t>
  </si>
  <si>
    <t>https://financialmodelingprep.com/image-stock/CLX.png</t>
  </si>
  <si>
    <t>The Clorox Company</t>
  </si>
  <si>
    <t>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t>
  </si>
  <si>
    <t>https://financialmodelingprep.com/image-stock/CMA.png</t>
  </si>
  <si>
    <t>Comerica Incorporated</t>
  </si>
  <si>
    <t>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t>
  </si>
  <si>
    <t>https://financialmodelingprep.com/image-stock/CMCSA.png</t>
  </si>
  <si>
    <t>Comcast Corporation</t>
  </si>
  <si>
    <t>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t>
  </si>
  <si>
    <t>https://financialmodelingprep.com/image-stock/CME.png</t>
  </si>
  <si>
    <t>CME Group Inc.</t>
  </si>
  <si>
    <t>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t>
  </si>
  <si>
    <t>https://financialmodelingprep.com/image-stock/CMG.png</t>
  </si>
  <si>
    <t>Chipotle Mexican Grill, Inc.</t>
  </si>
  <si>
    <t>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t>
  </si>
  <si>
    <t>https://financialmodelingprep.com/image-stock/CMI.png</t>
  </si>
  <si>
    <t>Cummins Inc.</t>
  </si>
  <si>
    <t>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t>
  </si>
  <si>
    <t>https://financialmodelingprep.com/image-stock/CMS.png</t>
  </si>
  <si>
    <t>CMS Energy Corporation</t>
  </si>
  <si>
    <t>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t>
  </si>
  <si>
    <t>https://financialmodelingprep.com/image-stock/CNC.png</t>
  </si>
  <si>
    <t>Centene Corporation</t>
  </si>
  <si>
    <t>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t>
  </si>
  <si>
    <t>https://financialmodelingprep.com/image-stock/CNP.png</t>
  </si>
  <si>
    <t>CenterPoint Energy, Inc.</t>
  </si>
  <si>
    <t>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t>
  </si>
  <si>
    <t>https://financialmodelingprep.com/image-stock/COF.png</t>
  </si>
  <si>
    <t>Capital One Financial Corporation</t>
  </si>
  <si>
    <t>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t>
  </si>
  <si>
    <t>https://financialmodelingprep.com/image-stock/COG.png</t>
  </si>
  <si>
    <t>Cabot Oil &amp; Gas Corporation</t>
  </si>
  <si>
    <t>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t>
  </si>
  <si>
    <t>https://financialmodelingprep.com/image-stock/COO.png</t>
  </si>
  <si>
    <t>The Cooper Companies, Inc.</t>
  </si>
  <si>
    <t>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t>
  </si>
  <si>
    <t>https://financialmodelingprep.com/image-stock/COP.png</t>
  </si>
  <si>
    <t>ConocoPhillips</t>
  </si>
  <si>
    <t>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t>
  </si>
  <si>
    <t>https://financialmodelingprep.com/image-stock/COST.png</t>
  </si>
  <si>
    <t>Costco Wholesale Corporation</t>
  </si>
  <si>
    <t>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t>
  </si>
  <si>
    <t>https://financialmodelingprep.com/image-stock/CPB.png</t>
  </si>
  <si>
    <t>Campbell Soup Company</t>
  </si>
  <si>
    <t>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t>
  </si>
  <si>
    <t>https://financialmodelingprep.com/image-stock/CPRT.png</t>
  </si>
  <si>
    <t>Copart, Inc.</t>
  </si>
  <si>
    <t>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t>
  </si>
  <si>
    <t>https://financialmodelingprep.com/image-stock/CRL.png</t>
  </si>
  <si>
    <t>Charles River Laboratories International, Inc.</t>
  </si>
  <si>
    <t>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t>
  </si>
  <si>
    <t>https://financialmodelingprep.com/image-stock/CRM.png</t>
  </si>
  <si>
    <t>salesforce.com, inc.</t>
  </si>
  <si>
    <t>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t>
  </si>
  <si>
    <t>https://financialmodelingprep.com/image-stock/CRSR.png</t>
  </si>
  <si>
    <t>Corsair Gaming, Inc.</t>
  </si>
  <si>
    <t>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t>
  </si>
  <si>
    <t>https://financialmodelingprep.com/image-stock/CRWD.png</t>
  </si>
  <si>
    <t>CrowdStrike Holdings, Inc.</t>
  </si>
  <si>
    <t>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t>
  </si>
  <si>
    <t>https://financialmodelingprep.com/image-stock/CSCO.png</t>
  </si>
  <si>
    <t>Cisco Systems, Inc.</t>
  </si>
  <si>
    <t>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t>
  </si>
  <si>
    <t>https://financialmodelingprep.com/image-stock/CSGP.png</t>
  </si>
  <si>
    <t>CoStar Group, Inc.</t>
  </si>
  <si>
    <t>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t>
  </si>
  <si>
    <t>https://financialmodelingprep.com/image-stock/CSX.png</t>
  </si>
  <si>
    <t>CSX Corporation</t>
  </si>
  <si>
    <t>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t>
  </si>
  <si>
    <t>https://financialmodelingprep.com/image-stock/CTAS.png</t>
  </si>
  <si>
    <t>Cintas Corporation</t>
  </si>
  <si>
    <t>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t>
  </si>
  <si>
    <t>https://financialmodelingprep.com/image-stock/CTLT.png</t>
  </si>
  <si>
    <t>Catalent, Inc.</t>
  </si>
  <si>
    <t>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t>
  </si>
  <si>
    <t>https://financialmodelingprep.com/image-stock/CTSH.png</t>
  </si>
  <si>
    <t>Cognizant Technology Solutions Corporation</t>
  </si>
  <si>
    <t>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t>
  </si>
  <si>
    <t>https://financialmodelingprep.com/image-stock/CTVA.png</t>
  </si>
  <si>
    <t>Corteva, Inc.</t>
  </si>
  <si>
    <t>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t>
  </si>
  <si>
    <t>https://financialmodelingprep.com/image-stock/CTXS.png</t>
  </si>
  <si>
    <t>Citrix Systems, Inc.</t>
  </si>
  <si>
    <t>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t>
  </si>
  <si>
    <t>https://financialmodelingprep.com/image-stock/CVS.png</t>
  </si>
  <si>
    <t>CVS Health Corporation</t>
  </si>
  <si>
    <t>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t>
  </si>
  <si>
    <t>https://financialmodelingprep.com/image-stock/CVX.png</t>
  </si>
  <si>
    <t>Chevron Corporation</t>
  </si>
  <si>
    <t>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t>
  </si>
  <si>
    <t>https://financialmodelingprep.com/image-stock/CZR.png</t>
  </si>
  <si>
    <t>Caesars Entertainment, Inc.</t>
  </si>
  <si>
    <t>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t>
  </si>
  <si>
    <t>https://financialmodelingprep.com/image-stock/D.png</t>
  </si>
  <si>
    <t>Dominion Energy, Inc.</t>
  </si>
  <si>
    <t>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t>
  </si>
  <si>
    <t>https://financialmodelingprep.com/image-stock/DAL.png</t>
  </si>
  <si>
    <t>Delta Air Lines, Inc.</t>
  </si>
  <si>
    <t>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t>
  </si>
  <si>
    <t>https://financialmodelingprep.com/image-stock/DAR.png</t>
  </si>
  <si>
    <t>Darling Ingredients Inc.</t>
  </si>
  <si>
    <t>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t>
  </si>
  <si>
    <t>https://financialmodelingprep.com/image-stock/DBX.png</t>
  </si>
  <si>
    <t>Dropbox, Inc.</t>
  </si>
  <si>
    <t>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t>
  </si>
  <si>
    <t>https://financialmodelingprep.com/image-stock/DD.png</t>
  </si>
  <si>
    <t>DuPont de Nemours, Inc.</t>
  </si>
  <si>
    <t>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t>
  </si>
  <si>
    <t>https://financialmodelingprep.com/image-stock/DDD.png</t>
  </si>
  <si>
    <t>3D Systems Corporation</t>
  </si>
  <si>
    <t>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t>
  </si>
  <si>
    <t>https://financialmodelingprep.com/image-stock/DDOG.png</t>
  </si>
  <si>
    <t>Datadog, Inc.</t>
  </si>
  <si>
    <t>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t>
  </si>
  <si>
    <t>https://financialmodelingprep.com/image-stock/DE.png</t>
  </si>
  <si>
    <t>Deere &amp; Company</t>
  </si>
  <si>
    <t>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t>
  </si>
  <si>
    <t>https://financialmodelingprep.com/image-stock/DELL.png</t>
  </si>
  <si>
    <t>Dell Technologies Inc.</t>
  </si>
  <si>
    <t>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t>
  </si>
  <si>
    <t>https://financialmodelingprep.com/image-stock/DFS.png</t>
  </si>
  <si>
    <t>Discover Financial Services</t>
  </si>
  <si>
    <t>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t>
  </si>
  <si>
    <t>https://financialmodelingprep.com/image-stock/DG.png</t>
  </si>
  <si>
    <t>Dollar General Corporation</t>
  </si>
  <si>
    <t>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t>
  </si>
  <si>
    <t>https://financialmodelingprep.com/image-stock/DGX.png</t>
  </si>
  <si>
    <t>Quest Diagnostics Incorporated</t>
  </si>
  <si>
    <t>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t>
  </si>
  <si>
    <t>https://financialmodelingprep.com/image-stock/DHI.png</t>
  </si>
  <si>
    <t>D.R. Horton, Inc.</t>
  </si>
  <si>
    <t>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t>
  </si>
  <si>
    <t>https://financialmodelingprep.com/image-stock/DHR.png</t>
  </si>
  <si>
    <t>Danaher Corporation</t>
  </si>
  <si>
    <t>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t>
  </si>
  <si>
    <t>https://financialmodelingprep.com/image-stock/DIA.png</t>
  </si>
  <si>
    <t>SPDR Dow Jones Industrial Average ETF Trust</t>
  </si>
  <si>
    <t>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t>
  </si>
  <si>
    <t>https://financialmodelingprep.com/image-stock/DIS.png</t>
  </si>
  <si>
    <t>The Walt Disney Company</t>
  </si>
  <si>
    <t>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t>
  </si>
  <si>
    <t>https://financialmodelingprep.com/image-stock/DISCA.png</t>
  </si>
  <si>
    <t>Discovery, Inc.</t>
  </si>
  <si>
    <t>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t>
  </si>
  <si>
    <t>https://financialmodelingprep.com/image-stock/DISH.png</t>
  </si>
  <si>
    <t>DISH Network Corporation</t>
  </si>
  <si>
    <t>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t>
  </si>
  <si>
    <t>https://financialmodelingprep.com/image-stock/DKNG.png</t>
  </si>
  <si>
    <t>DraftKings Inc.</t>
  </si>
  <si>
    <t>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t>
  </si>
  <si>
    <t>https://financialmodelingprep.com/image-stock/DLR.png</t>
  </si>
  <si>
    <t>Digital Realty Trust, Inc.</t>
  </si>
  <si>
    <t>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t>
  </si>
  <si>
    <t>https://financialmodelingprep.com/image-stock/DLTR.png</t>
  </si>
  <si>
    <t>Dollar Tree, Inc.</t>
  </si>
  <si>
    <t>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t>
  </si>
  <si>
    <t>https://financialmodelingprep.com/image-stock/DOCU.png</t>
  </si>
  <si>
    <t>DocuSign, Inc.</t>
  </si>
  <si>
    <t>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t>
  </si>
  <si>
    <t>https://financialmodelingprep.com/image-stock/DOV.png</t>
  </si>
  <si>
    <t>Dover Corporation</t>
  </si>
  <si>
    <t>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t>
  </si>
  <si>
    <t>https://financialmodelingprep.com/image-stock/DOW.png</t>
  </si>
  <si>
    <t>Dow Inc.</t>
  </si>
  <si>
    <t>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t>
  </si>
  <si>
    <t>https://financialmodelingprep.com/image-stock/DPZ.png</t>
  </si>
  <si>
    <t>Domino's Pizza, Inc.</t>
  </si>
  <si>
    <t>Duke Realty Corporation owns and operates approximately 156 million rentable square feet of industrial assets in 20 major logistics markets. Duke Realty Corporation is publicly traded on the NYSE under the symbol DRE and is a member of the S&amp;P 500 Index.</t>
  </si>
  <si>
    <t>https://financialmodelingprep.com/image-stock/DRE.png</t>
  </si>
  <si>
    <t>Duke Realty Corporation</t>
  </si>
  <si>
    <t>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t>
  </si>
  <si>
    <t>https://financialmodelingprep.com/image-stock/DRI.png</t>
  </si>
  <si>
    <t>Darden Restaurants, Inc.</t>
  </si>
  <si>
    <t>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t>
  </si>
  <si>
    <t>https://financialmodelingprep.com/image-stock/DTE.png</t>
  </si>
  <si>
    <t>DTE Energy Company</t>
  </si>
  <si>
    <t>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t>
  </si>
  <si>
    <t>https://financialmodelingprep.com/image-stock/DUK.png</t>
  </si>
  <si>
    <t>Duke Energy Corporation</t>
  </si>
  <si>
    <t>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t>
  </si>
  <si>
    <t>https://financialmodelingprep.com/image-stock/DVA.png</t>
  </si>
  <si>
    <t>DaVita Inc.</t>
  </si>
  <si>
    <t>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t>
  </si>
  <si>
    <t>https://financialmodelingprep.com/image-stock/DVN.png</t>
  </si>
  <si>
    <t>Devon Energy Corporation</t>
  </si>
  <si>
    <t>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t>
  </si>
  <si>
    <t>https://financialmodelingprep.com/image-stock/DXC.png</t>
  </si>
  <si>
    <t>DXC Technology Company</t>
  </si>
  <si>
    <t>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t>
  </si>
  <si>
    <t>https://financialmodelingprep.com/image-stock/DXCM.png</t>
  </si>
  <si>
    <t>DexCom, Inc.</t>
  </si>
  <si>
    <t>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t>
  </si>
  <si>
    <t>https://financialmodelingprep.com/image-stock/EA.png</t>
  </si>
  <si>
    <t>Electronic Arts Inc.</t>
  </si>
  <si>
    <t>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t>
  </si>
  <si>
    <t>https://financialmodelingprep.com/image-stock/EBAY.png</t>
  </si>
  <si>
    <t>eBay Inc.</t>
  </si>
  <si>
    <t>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t>
  </si>
  <si>
    <t>https://financialmodelingprep.com/image-stock/ECL.png</t>
  </si>
  <si>
    <t>Ecolab Inc.</t>
  </si>
  <si>
    <t>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t>
  </si>
  <si>
    <t>https://financialmodelingprep.com/image-stock/ED.png</t>
  </si>
  <si>
    <t>Consolidated Edison, Inc.</t>
  </si>
  <si>
    <t>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t>
  </si>
  <si>
    <t>https://financialmodelingprep.com/image-stock/EEM.png</t>
  </si>
  <si>
    <t>iShares MSCI Emerging Markets ETF</t>
  </si>
  <si>
    <t>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t>
  </si>
  <si>
    <t>https://financialmodelingprep.com/image-stock/EFA.png</t>
  </si>
  <si>
    <t>iShares MSCI EAFE ETF</t>
  </si>
  <si>
    <t>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t>
  </si>
  <si>
    <t>https://financialmodelingprep.com/image-stock/EFX.png</t>
  </si>
  <si>
    <t>Equifax Inc.</t>
  </si>
  <si>
    <t>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t>
  </si>
  <si>
    <t>https://financialmodelingprep.com/image-stock/EIX.png</t>
  </si>
  <si>
    <t>Edison International</t>
  </si>
  <si>
    <t>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t>
  </si>
  <si>
    <t>https://financialmodelingprep.com/image-stock/EL.png</t>
  </si>
  <si>
    <t>The Estée Lauder Companies Inc.</t>
  </si>
  <si>
    <t>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t>
  </si>
  <si>
    <t>https://financialmodelingprep.com/image-stock/ELAN.png</t>
  </si>
  <si>
    <t>Elanco Animal Health Incorporated</t>
  </si>
  <si>
    <t>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t>
  </si>
  <si>
    <t>https://financialmodelingprep.com/image-stock/ELY.png</t>
  </si>
  <si>
    <t>Callaway Golf Company</t>
  </si>
  <si>
    <t>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t>
  </si>
  <si>
    <t>https://financialmodelingprep.com/image-stock/EMB.jpg</t>
  </si>
  <si>
    <t>iShares J.P. Morgan USD Emerging Markets Bond ETF</t>
  </si>
  <si>
    <t>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t>
  </si>
  <si>
    <t>https://financialmodelingprep.com/image-stock/EMN.png</t>
  </si>
  <si>
    <t>Eastman Chemical Company</t>
  </si>
  <si>
    <t>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t>
  </si>
  <si>
    <t>https://financialmodelingprep.com/image-stock/EMR.png</t>
  </si>
  <si>
    <t>Emerson Electric Co.</t>
  </si>
  <si>
    <t>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t>
  </si>
  <si>
    <t>https://financialmodelingprep.com/image-stock/ENPH.png</t>
  </si>
  <si>
    <t>Enphase Energy, Inc.</t>
  </si>
  <si>
    <t>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t>
  </si>
  <si>
    <t>https://financialmodelingprep.com/image-stock/EOG.png</t>
  </si>
  <si>
    <t>EOG Resources, Inc.</t>
  </si>
  <si>
    <t>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t>
  </si>
  <si>
    <t>https://financialmodelingprep.com/image-stock/EQH.png</t>
  </si>
  <si>
    <t>Equitable Holdings, Inc.</t>
  </si>
  <si>
    <t>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t>
  </si>
  <si>
    <t>https://financialmodelingprep.com/image-stock/EQIX.png</t>
  </si>
  <si>
    <t>Equinix, Inc. (REIT)</t>
  </si>
  <si>
    <t>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t>
  </si>
  <si>
    <t>https://financialmodelingprep.com/image-stock/EQR.png</t>
  </si>
  <si>
    <t>Equity Residential</t>
  </si>
  <si>
    <t>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t>
  </si>
  <si>
    <t>https://financialmodelingprep.com/image-stock/ES.png</t>
  </si>
  <si>
    <t>Eversource Energy</t>
  </si>
  <si>
    <t>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t>
  </si>
  <si>
    <t>https://financialmodelingprep.com/image-stock/ESS.png</t>
  </si>
  <si>
    <t>Essex Property Trust, Inc.</t>
  </si>
  <si>
    <t>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t>
  </si>
  <si>
    <t>https://financialmodelingprep.com/image-stock/ETN.png</t>
  </si>
  <si>
    <t>Eaton Corporation plc</t>
  </si>
  <si>
    <t>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t>
  </si>
  <si>
    <t>https://financialmodelingprep.com/image-stock/ETR.png</t>
  </si>
  <si>
    <t>Entergy Corporation</t>
  </si>
  <si>
    <t>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t>
  </si>
  <si>
    <t>https://financialmodelingprep.com/image-stock/ETSY.png</t>
  </si>
  <si>
    <t>Etsy, Inc.</t>
  </si>
  <si>
    <t>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t>
  </si>
  <si>
    <t>https://financialmodelingprep.com/image-stock/EVRG.png</t>
  </si>
  <si>
    <t>Evergy, Inc.</t>
  </si>
  <si>
    <t>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t>
  </si>
  <si>
    <t>https://financialmodelingprep.com/image-stock/EW.png</t>
  </si>
  <si>
    <t>Edwards Lifesciences Corporation</t>
  </si>
  <si>
    <t>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t>
  </si>
  <si>
    <t>https://financialmodelingprep.com/image-stock/EWC.jpg</t>
  </si>
  <si>
    <t>iShares MSCI Canada ETF</t>
  </si>
  <si>
    <t>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t>
  </si>
  <si>
    <t>https://financialmodelingprep.com/image-stock/EWG.jpg</t>
  </si>
  <si>
    <t>iShares MSCI Germany ETF</t>
  </si>
  <si>
    <t>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t>
  </si>
  <si>
    <t>https://financialmodelingprep.com/image-stock/EWH.jpg</t>
  </si>
  <si>
    <t>iShares MSCI Hong Kong ETF</t>
  </si>
  <si>
    <t>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t>
  </si>
  <si>
    <t>https://financialmodelingprep.com/image-stock/EWJ.png</t>
  </si>
  <si>
    <t>iShares MSCI Japan ETF</t>
  </si>
  <si>
    <t>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t>
  </si>
  <si>
    <t>https://financialmodelingprep.com/image-stock/EWT.jpg</t>
  </si>
  <si>
    <t>iShares MSCI Taiwan ETF</t>
  </si>
  <si>
    <t>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t>
  </si>
  <si>
    <t>https://financialmodelingprep.com/image-stock/EWU.jpg</t>
  </si>
  <si>
    <t>iShares MSCI United Kingdom ETF</t>
  </si>
  <si>
    <t>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</si>
  <si>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https://financialmodelingprep.com/image-stock/EWY.jpg</t>
  </si>
  <si>
    <t>iShares MSCI South Korea ETF</t>
  </si>
  <si>
    <t>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</si>
  <si>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https://financialmodelingprep.com/image-stock/EWZ.png</t>
  </si>
  <si>
    <t>iShares MSCI Brazil ETF</t>
  </si>
  <si>
    <t>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t>
  </si>
  <si>
    <t>https://financialmodelingprep.com/image-stock/EXC.png</t>
  </si>
  <si>
    <t>Exelon Corporation</t>
  </si>
  <si>
    <t>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t>
  </si>
  <si>
    <t>https://financialmodelingprep.com/image-stock/EXPD.png</t>
  </si>
  <si>
    <t>Expeditors International of Washington, Inc.</t>
  </si>
  <si>
    <t>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t>
  </si>
  <si>
    <t>https://financialmodelingprep.com/image-stock/EXPE.png</t>
  </si>
  <si>
    <t>Expedia Group, Inc.</t>
  </si>
  <si>
    <t>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t>
  </si>
  <si>
    <t>https://financialmodelingprep.com/image-stock/EXR.png</t>
  </si>
  <si>
    <t>Extra Space Storage Inc.</t>
  </si>
  <si>
    <t>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t>
  </si>
  <si>
    <t>https://financialmodelingprep.com/image-stock/EZU.jpg</t>
  </si>
  <si>
    <t>iShares MSCI Eurozone ETF</t>
  </si>
  <si>
    <t>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t>
  </si>
  <si>
    <t>https://financialmodelingprep.com/image-stock/F.png</t>
  </si>
  <si>
    <t>Ford Motor Company</t>
  </si>
  <si>
    <t>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t>
  </si>
  <si>
    <t>https://financialmodelingprep.com/image-stock/FANG.png</t>
  </si>
  <si>
    <t>Diamondback Energy, Inc.</t>
  </si>
  <si>
    <t>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t>
  </si>
  <si>
    <t>https://financialmodelingprep.com/image-stock/FAST.png</t>
  </si>
  <si>
    <t>Fastenal Company</t>
  </si>
  <si>
    <t>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t>
  </si>
  <si>
    <t>https://financialmodelingprep.com/image-stock/FB.png</t>
  </si>
  <si>
    <t>Facebook, Inc.</t>
  </si>
  <si>
    <t>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t>
  </si>
  <si>
    <t>https://financialmodelingprep.com/image-stock/FBHS.png</t>
  </si>
  <si>
    <t>Fortune Brands Home &amp; Security, Inc.</t>
  </si>
  <si>
    <t>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t>
  </si>
  <si>
    <t>https://financialmodelingprep.com/image-stock/FCX.png</t>
  </si>
  <si>
    <t>Freeport-McMoRan Inc.</t>
  </si>
  <si>
    <t>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t>
  </si>
  <si>
    <t>https://financialmodelingprep.com/image-stock/FDX.png</t>
  </si>
  <si>
    <t>FedEx Corporation</t>
  </si>
  <si>
    <t>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t>
  </si>
  <si>
    <t>https://financialmodelingprep.com/image-stock/FE.png</t>
  </si>
  <si>
    <t>FirstEnergy Corp.</t>
  </si>
  <si>
    <t>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t>
  </si>
  <si>
    <t>https://financialmodelingprep.com/image-stock/FFIV.png</t>
  </si>
  <si>
    <t>F5 Networks, Inc.</t>
  </si>
  <si>
    <t>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t>
  </si>
  <si>
    <t>https://financialmodelingprep.com/image-stock/FIS.png</t>
  </si>
  <si>
    <t>Fidelity National Information Services, Inc.</t>
  </si>
  <si>
    <t>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t>
  </si>
  <si>
    <t>https://financialmodelingprep.com/image-stock/FISV.png</t>
  </si>
  <si>
    <t>Fiserv, Inc.</t>
  </si>
  <si>
    <t>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t>
  </si>
  <si>
    <t>https://financialmodelingprep.com/image-stock/FITB.png</t>
  </si>
  <si>
    <t>Fifth Third Bancorp</t>
  </si>
  <si>
    <t>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t>
  </si>
  <si>
    <t>https://financialmodelingprep.com/image-stock/FLT.png</t>
  </si>
  <si>
    <t>FLEETCOR Technologies, Inc.</t>
  </si>
  <si>
    <t>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t>
  </si>
  <si>
    <t>https://financialmodelingprep.com/image-stock/FMC.png</t>
  </si>
  <si>
    <t>FMC Corporation</t>
  </si>
  <si>
    <t>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t>
  </si>
  <si>
    <t>https://financialmodelingprep.com/image-stock/FOX.png</t>
  </si>
  <si>
    <t>Fox Corporation</t>
  </si>
  <si>
    <t>https://financialmodelingprep.com/image-stock/FOXA.png</t>
  </si>
  <si>
    <t>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t>
  </si>
  <si>
    <t>https://financialmodelingprep.com/image-stock/FRC.png</t>
  </si>
  <si>
    <t>First Republic Bank</t>
  </si>
  <si>
    <t>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t>
  </si>
  <si>
    <t>https://financialmodelingprep.com/image-stock/FRT.png</t>
  </si>
  <si>
    <t>Federal Realty Investment Trust</t>
  </si>
  <si>
    <t>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t>
  </si>
  <si>
    <t>https://financialmodelingprep.com/image-stock/FSLR.png</t>
  </si>
  <si>
    <t>First Solar, Inc.</t>
  </si>
  <si>
    <t>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t>
  </si>
  <si>
    <t>https://financialmodelingprep.com/image-stock/FSLY.png</t>
  </si>
  <si>
    <t>Fastly, Inc.</t>
  </si>
  <si>
    <t>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t>
  </si>
  <si>
    <t>https://financialmodelingprep.com/image-stock/FTNT.png</t>
  </si>
  <si>
    <t>Fortinet, Inc.</t>
  </si>
  <si>
    <t>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t>
  </si>
  <si>
    <t>https://financialmodelingprep.com/image-stock/FTV.png</t>
  </si>
  <si>
    <t>Fortive Corporation</t>
  </si>
  <si>
    <t>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t>
  </si>
  <si>
    <t>https://financialmodelingprep.com/image-stock/FUBO.png</t>
  </si>
  <si>
    <t>fuboTV Inc.</t>
  </si>
  <si>
    <t>FXI was created on 10/05/04 by Blackrock. The ETF tracks an index of the 50 largest and most liquid Chinese stocks traded on the Hong Kong Stock Exchange.</t>
  </si>
  <si>
    <t>https://financialmodelingprep.com/image-stock/FXI.png</t>
  </si>
  <si>
    <t>iShares China Large-Cap ETF</t>
  </si>
  <si>
    <t>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t>
  </si>
  <si>
    <t>https://financialmodelingprep.com/image-stock/GBTC.png</t>
  </si>
  <si>
    <t>Grayscale Bitcoin Trust (BTC)</t>
  </si>
  <si>
    <t>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t>
  </si>
  <si>
    <t>https://financialmodelingprep.com/image-stock/GD.png</t>
  </si>
  <si>
    <t>General Dynamics Corporation</t>
  </si>
  <si>
    <t>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t>
  </si>
  <si>
    <t>https://financialmodelingprep.com/image-stock/GDX.png</t>
  </si>
  <si>
    <t>VanEck Vectors Gold Miners ETF</t>
  </si>
  <si>
    <t>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t>
  </si>
  <si>
    <t>https://financialmodelingprep.com/image-stock/GE.png</t>
  </si>
  <si>
    <t>General Electric Company</t>
  </si>
  <si>
    <t>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t>
  </si>
  <si>
    <t>https://financialmodelingprep.com/image-stock/GILD.png</t>
  </si>
  <si>
    <t>Gilead Sciences, Inc.</t>
  </si>
  <si>
    <t>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t>
  </si>
  <si>
    <t>https://financialmodelingprep.com/image-stock/GIS.png</t>
  </si>
  <si>
    <t>General Mills, Inc.</t>
  </si>
  <si>
    <t>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t>
  </si>
  <si>
    <t>https://financialmodelingprep.com/image-stock/GL.png</t>
  </si>
  <si>
    <t>Globe Life Inc.</t>
  </si>
  <si>
    <t>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t>
  </si>
  <si>
    <t>https://financialmodelingprep.com/image-stock/GLD.png</t>
  </si>
  <si>
    <t>SPDR Gold Shares</t>
  </si>
  <si>
    <t>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t>
  </si>
  <si>
    <t>https://financialmodelingprep.com/image-stock/GLW.png</t>
  </si>
  <si>
    <t>Corning Incorporated</t>
  </si>
  <si>
    <t>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t>
  </si>
  <si>
    <t>https://financialmodelingprep.com/image-stock/GM.png</t>
  </si>
  <si>
    <t>General Motors Company</t>
  </si>
  <si>
    <t>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t>
  </si>
  <si>
    <t>https://financialmodelingprep.com/image-stock/GME.png</t>
  </si>
  <si>
    <t>GameStop Corp.</t>
  </si>
  <si>
    <t>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t>
  </si>
  <si>
    <t>https://financialmodelingprep.com/image-stock/GNRC.png</t>
  </si>
  <si>
    <t>Generac Holdings Inc.</t>
  </si>
  <si>
    <t>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t>
  </si>
  <si>
    <t>https://financialmodelingprep.com/image-stock/GOOG.png</t>
  </si>
  <si>
    <t>Alphabet Inc.</t>
  </si>
  <si>
    <t>https://financialmodelingprep.com/image-stock/GOOGL.png</t>
  </si>
  <si>
    <t>GOVT was created on 02/14/12 by Blackrock. The ETF tracks a market-weighted index of fixed-rate nonconvertible U.S. Treasury securities with a remaining maturity of one year or more.</t>
  </si>
  <si>
    <t>https://financialmodelingprep.com/image-stock/GOVT.jpg</t>
  </si>
  <si>
    <t>iShares U.S. Treasury Bond ETF</t>
  </si>
  <si>
    <t>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t>
  </si>
  <si>
    <t>https://financialmodelingprep.com/image-stock/GPC.png</t>
  </si>
  <si>
    <t>Genuine Parts Company</t>
  </si>
  <si>
    <t>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t>
  </si>
  <si>
    <t>https://financialmodelingprep.com/image-stock/GPN.png</t>
  </si>
  <si>
    <t>Global Payments Inc.</t>
  </si>
  <si>
    <t>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t>
  </si>
  <si>
    <t>https://financialmodelingprep.com/image-stock/GPS.png</t>
  </si>
  <si>
    <t>The Gap, Inc.</t>
  </si>
  <si>
    <t>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t>
  </si>
  <si>
    <t>https://financialmodelingprep.com/image-stock/GRMN.png</t>
  </si>
  <si>
    <t>Garmin Ltd.</t>
  </si>
  <si>
    <t>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t>
  </si>
  <si>
    <t>https://financialmodelingprep.com/image-stock/GS.png</t>
  </si>
  <si>
    <t>The Goldman Sachs Group, Inc.</t>
  </si>
  <si>
    <t>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t>
  </si>
  <si>
    <t>https://financialmodelingprep.com/image-stock/GWW.png</t>
  </si>
  <si>
    <t>W.W. Grainger, Inc.</t>
  </si>
  <si>
    <t>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t>
  </si>
  <si>
    <t>https://financialmodelingprep.com/image-stock/HAL.png</t>
  </si>
  <si>
    <t>Halliburton Company</t>
  </si>
  <si>
    <t>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t>
  </si>
  <si>
    <t>https://financialmodelingprep.com/image-stock/HAS.png</t>
  </si>
  <si>
    <t>Hasbro, Inc.</t>
  </si>
  <si>
    <t>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t>
  </si>
  <si>
    <t>https://financialmodelingprep.com/image-stock/HBAN.png</t>
  </si>
  <si>
    <t>Huntington Bancshares Incorporated</t>
  </si>
  <si>
    <t>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t>
  </si>
  <si>
    <t>https://financialmodelingprep.com/image-stock/HBI.png</t>
  </si>
  <si>
    <t>Hanesbrands Inc.</t>
  </si>
  <si>
    <t>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t>
  </si>
  <si>
    <t>https://financialmodelingprep.com/image-stock/HCA.png</t>
  </si>
  <si>
    <t>HCA Healthcare, Inc.</t>
  </si>
  <si>
    <t>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t>
  </si>
  <si>
    <t>https://financialmodelingprep.com/image-stock/HD.png</t>
  </si>
  <si>
    <t>The Home Depot, Inc.</t>
  </si>
  <si>
    <t>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t>
  </si>
  <si>
    <t>https://financialmodelingprep.com/image-stock/HES.png</t>
  </si>
  <si>
    <t>Hess Corporation</t>
  </si>
  <si>
    <t>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t>
  </si>
  <si>
    <t>https://financialmodelingprep.com/image-stock/HFC.png</t>
  </si>
  <si>
    <t>HollyFrontier Corporation</t>
  </si>
  <si>
    <t>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t>
  </si>
  <si>
    <t>https://financialmodelingprep.com/image-stock/HIG.png</t>
  </si>
  <si>
    <t>The Hartford Financial Services Group, Inc.</t>
  </si>
  <si>
    <t>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t>
  </si>
  <si>
    <t>https://financialmodelingprep.com/image-stock/HII.png</t>
  </si>
  <si>
    <t>Huntington Ingalls Industries, Inc.</t>
  </si>
  <si>
    <t>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t>
  </si>
  <si>
    <t>https://financialmodelingprep.com/image-stock/HLT.png</t>
  </si>
  <si>
    <t>Hilton Worldwide Holdings Inc.</t>
  </si>
  <si>
    <t>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t>
  </si>
  <si>
    <t>https://financialmodelingprep.com/image-stock/HOG.png</t>
  </si>
  <si>
    <t>Harley-Davidson, Inc.</t>
  </si>
  <si>
    <t>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t>
  </si>
  <si>
    <t>https://financialmodelingprep.com/image-stock/HOLX.png</t>
  </si>
  <si>
    <t>Hologic, Inc.</t>
  </si>
  <si>
    <t>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t>
  </si>
  <si>
    <t>https://financialmodelingprep.com/image-stock/HOME.png</t>
  </si>
  <si>
    <t>At Home Group Inc.</t>
  </si>
  <si>
    <t>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t>
  </si>
  <si>
    <t>https://financialmodelingprep.com/image-stock/HON.png</t>
  </si>
  <si>
    <t>Honeywell International Inc.</t>
  </si>
  <si>
    <t>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t>
  </si>
  <si>
    <t>https://financialmodelingprep.com/image-stock/HPE.png</t>
  </si>
  <si>
    <t>Hewlett Packard Enterprise Company</t>
  </si>
  <si>
    <t>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t>
  </si>
  <si>
    <t>https://financialmodelingprep.com/image-stock/HPQ.png</t>
  </si>
  <si>
    <t>HP Inc.</t>
  </si>
  <si>
    <t>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t>
  </si>
  <si>
    <t>https://financialmodelingprep.com/image-stock/HRL.png</t>
  </si>
  <si>
    <t>Hormel Foods Corporation</t>
  </si>
  <si>
    <t>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t>
  </si>
  <si>
    <t>https://financialmodelingprep.com/image-stock/HSIC.png</t>
  </si>
  <si>
    <t>Henry Schein, Inc.</t>
  </si>
  <si>
    <t>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t>
  </si>
  <si>
    <t>https://financialmodelingprep.com/image-stock/HST.png</t>
  </si>
  <si>
    <t>Host Hotels &amp; Resorts, Inc.</t>
  </si>
  <si>
    <t>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t>
  </si>
  <si>
    <t>https://financialmodelingprep.com/image-stock/HSY.png</t>
  </si>
  <si>
    <t>The Hershey Company</t>
  </si>
  <si>
    <t>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t>
  </si>
  <si>
    <t>https://financialmodelingprep.com/image-stock/HUM.png</t>
  </si>
  <si>
    <t>Humana Inc.</t>
  </si>
  <si>
    <t>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t>
  </si>
  <si>
    <t>https://financialmodelingprep.com/image-stock/HUN.png</t>
  </si>
  <si>
    <t>Huntsman Corporation</t>
  </si>
  <si>
    <t>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t>
  </si>
  <si>
    <t>https://financialmodelingprep.com/image-stock/HWM.jpg</t>
  </si>
  <si>
    <t>Howmet Aerospace Inc.</t>
  </si>
  <si>
    <t>HYG was created on 04/04/07 by Blackrock. The iShares iBoxx $ High Yield Corporate Bond ETF (the “Fund”) seeks to track the investment results of an index composed of U.S. dollar-denominated, high yield corporate bonds.</t>
  </si>
  <si>
    <t>https://financialmodelingprep.com/image-stock/HYG.png</t>
  </si>
  <si>
    <t>iShares iBoxx $ High Yield Corporate Bond ETF</t>
  </si>
  <si>
    <t>HYLB was created on 12/07/16 by Deutsche Bank. The ETF tracks an index of USD-denominated high-yield corporate bonds with 1 to 15 years remaining to maturity.</t>
  </si>
  <si>
    <t>https://financialmodelingprep.com/image-stock/HYLB.jpg</t>
  </si>
  <si>
    <t>Xtrackers USD High Yield Corporate Bond ETF</t>
  </si>
  <si>
    <t>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t>
  </si>
  <si>
    <t>https://financialmodelingprep.com/image-stock/IAU.png</t>
  </si>
  <si>
    <t>iShares Gold Trust</t>
  </si>
  <si>
    <t>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t>
  </si>
  <si>
    <t>https://financialmodelingprep.com/image-stock/IBB.png</t>
  </si>
  <si>
    <t>iShares Nasdaq Biotechnology ETF</t>
  </si>
  <si>
    <t>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t>
  </si>
  <si>
    <t>https://financialmodelingprep.com/image-stock/IBM.png</t>
  </si>
  <si>
    <t>International Business Machines Corporation</t>
  </si>
  <si>
    <t>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t>
  </si>
  <si>
    <t>https://financialmodelingprep.com/image-stock/ICE.png</t>
  </si>
  <si>
    <t>Intercontinental Exchange, Inc.</t>
  </si>
  <si>
    <t>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t>
  </si>
  <si>
    <t>https://financialmodelingprep.com/image-stock/IDXX.png</t>
  </si>
  <si>
    <t>IDEXX Laboratories, Inc.</t>
  </si>
  <si>
    <t>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t>
  </si>
  <si>
    <t>https://financialmodelingprep.com/image-stock/IEF.png</t>
  </si>
  <si>
    <t>iShares 7-10 Year Treasury Bond ETF</t>
  </si>
  <si>
    <t>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t>
  </si>
  <si>
    <t>https://financialmodelingprep.com/image-stock/IEFA.jpg</t>
  </si>
  <si>
    <t>iShares Core MSCI EAFE ETF</t>
  </si>
  <si>
    <t>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t>
  </si>
  <si>
    <t>https://financialmodelingprep.com/image-stock/IEMG.png</t>
  </si>
  <si>
    <t>iShares Core MSCI Emerging Markets ETF</t>
  </si>
  <si>
    <t>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t>
  </si>
  <si>
    <t>https://financialmodelingprep.com/image-stock/IEX.png</t>
  </si>
  <si>
    <t>IDEX Corporation</t>
  </si>
  <si>
    <t>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t>
  </si>
  <si>
    <t>https://financialmodelingprep.com/image-stock/IFF.png</t>
  </si>
  <si>
    <t>International Flavors &amp; Fragrances Inc.</t>
  </si>
  <si>
    <t>IJR was created on 05/22/00 by Blackrock. The iShares Core S&amp;P Small-Cap ETF (the “Fund”) seeks to track the investment results of an index composed of small-capitalization U.S. equities.</t>
  </si>
  <si>
    <t>https://financialmodelingprep.com/image-stock/IJR.jpg</t>
  </si>
  <si>
    <t>iShares Core S&amp;P Small-Cap ETF</t>
  </si>
  <si>
    <t>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t>
  </si>
  <si>
    <t>https://financialmodelingprep.com/image-stock/ILMN.png</t>
  </si>
  <si>
    <t>Illumina, Inc.</t>
  </si>
  <si>
    <t>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t>
  </si>
  <si>
    <t>https://financialmodelingprep.com/image-stock/INCY.png</t>
  </si>
  <si>
    <t>Incyte Corporation</t>
  </si>
  <si>
    <t>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t>
  </si>
  <si>
    <t>https://financialmodelingprep.com/image-stock/INDA.jpg</t>
  </si>
  <si>
    <t>iShares MSCI India ETF</t>
  </si>
  <si>
    <t>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t>
  </si>
  <si>
    <t>https://financialmodelingprep.com/image-stock/INFO.png</t>
  </si>
  <si>
    <t>IHS Markit Ltd.</t>
  </si>
  <si>
    <t>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t>
  </si>
  <si>
    <t>https://financialmodelingprep.com/image-stock/INTC.png</t>
  </si>
  <si>
    <t>Intel Corporation</t>
  </si>
  <si>
    <t>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t>
  </si>
  <si>
    <t>https://financialmodelingprep.com/image-stock/INTU.png</t>
  </si>
  <si>
    <t>Intuit Inc.</t>
  </si>
  <si>
    <t>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t>
  </si>
  <si>
    <t>https://financialmodelingprep.com/image-stock/INVH.png</t>
  </si>
  <si>
    <t>Invitation Homes Inc.</t>
  </si>
  <si>
    <t>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t>
  </si>
  <si>
    <t>https://financialmodelingprep.com/image-stock/IP.png</t>
  </si>
  <si>
    <t>International Paper Company</t>
  </si>
  <si>
    <t>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t>
  </si>
  <si>
    <t>https://financialmodelingprep.com/image-stock/IPG.png</t>
  </si>
  <si>
    <t>The Interpublic Group of Companies, Inc.</t>
  </si>
  <si>
    <t>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t>
  </si>
  <si>
    <t>https://financialmodelingprep.com/image-stock/IPGP.png</t>
  </si>
  <si>
    <t>IPG Photonics Corporation</t>
  </si>
  <si>
    <t>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t>
  </si>
  <si>
    <t>https://financialmodelingprep.com/image-stock/IQV.png</t>
  </si>
  <si>
    <t>IQVIA Holdings Inc.</t>
  </si>
  <si>
    <t>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t>
  </si>
  <si>
    <t>https://financialmodelingprep.com/image-stock/IR.png</t>
  </si>
  <si>
    <t>Ingersoll Rand Inc.</t>
  </si>
  <si>
    <t>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t>
  </si>
  <si>
    <t>https://financialmodelingprep.com/image-stock/IRM.png</t>
  </si>
  <si>
    <t>Iron Mountain Incorporated</t>
  </si>
  <si>
    <t>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t>
  </si>
  <si>
    <t>https://financialmodelingprep.com/image-stock/ISRG.png</t>
  </si>
  <si>
    <t>Intuitive Surgical, Inc.</t>
  </si>
  <si>
    <t>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t>
  </si>
  <si>
    <t>https://financialmodelingprep.com/image-stock/IT.png</t>
  </si>
  <si>
    <t>Gartner, Inc.</t>
  </si>
  <si>
    <t>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t>
  </si>
  <si>
    <t>https://financialmodelingprep.com/image-stock/ITW.png</t>
  </si>
  <si>
    <t>Illinois Tool Works Inc.</t>
  </si>
  <si>
    <t>IVV was created on 05/15/00 by Blackrock. The iShares Core S&amp;P 500 ETF (the “Fund”) seeks to track the investment results of an index composed of large-capitalization U.S. equities.</t>
  </si>
  <si>
    <t>https://financialmodelingprep.com/image-stock/IVV.png</t>
  </si>
  <si>
    <t>iShares Core S&amp;P 500 ETF</t>
  </si>
  <si>
    <t>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t>
  </si>
  <si>
    <t>https://financialmodelingprep.com/image-stock/IVZ.png</t>
  </si>
  <si>
    <t>Invesco Ltd.</t>
  </si>
  <si>
    <t>IWD was created on 05/22/00 by Blackrock. The ETF tracks an index of US large- and midcap value stocks. The index selects from US stocks ranked 1-1,000 by market cap based on 3 style factors.</t>
  </si>
  <si>
    <t>https://financialmodelingprep.com/image-stock/IWD.jpg</t>
  </si>
  <si>
    <t>iShares Russell 1000 Value ETF</t>
  </si>
  <si>
    <t>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t>
  </si>
  <si>
    <t>https://financialmodelingprep.com/image-stock/IWM.png</t>
  </si>
  <si>
    <t>iShares Russell 2000 ETF</t>
  </si>
  <si>
    <t>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t>
  </si>
  <si>
    <t>https://financialmodelingprep.com/image-stock/IYR.png</t>
  </si>
  <si>
    <t>iShares U.S. Real Estate ETF</t>
  </si>
  <si>
    <t>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t>
  </si>
  <si>
    <t>https://financialmodelingprep.com/image-stock/J.jpg</t>
  </si>
  <si>
    <t>Jacobs Engineering Group Inc.</t>
  </si>
  <si>
    <t>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t>
  </si>
  <si>
    <t>https://financialmodelingprep.com/image-stock/JBHT.png</t>
  </si>
  <si>
    <t>J.B. Hunt Transport Services, Inc.</t>
  </si>
  <si>
    <t>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t>
  </si>
  <si>
    <t>https://financialmodelingprep.com/image-stock/JCI.png</t>
  </si>
  <si>
    <t>Johnson Controls International plc</t>
  </si>
  <si>
    <t>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t>
  </si>
  <si>
    <t>https://financialmodelingprep.com/image-stock/JD.png</t>
  </si>
  <si>
    <t>JD.com, Inc.</t>
  </si>
  <si>
    <t>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t>
  </si>
  <si>
    <t>https://financialmodelingprep.com/image-stock/JEF.png</t>
  </si>
  <si>
    <t>Jefferies Financial Group Inc.</t>
  </si>
  <si>
    <t>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t>
  </si>
  <si>
    <t>https://financialmodelingprep.com/image-stock/JKHY.png</t>
  </si>
  <si>
    <t>Jack Henry &amp; Associates, Inc.</t>
  </si>
  <si>
    <t>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t>
  </si>
  <si>
    <t>https://financialmodelingprep.com/image-stock/JNJ.png</t>
  </si>
  <si>
    <t>Johnson &amp; Johnson</t>
  </si>
  <si>
    <t>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t>
  </si>
  <si>
    <t>https://financialmodelingprep.com/image-stock/JNK.jpg</t>
  </si>
  <si>
    <t>SPDR Bloomberg Barclays High Yield Bond ETF</t>
  </si>
  <si>
    <t>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t>
  </si>
  <si>
    <t>https://financialmodelingprep.com/image-stock/JNPR.png</t>
  </si>
  <si>
    <t>Juniper Networks, Inc.</t>
  </si>
  <si>
    <t>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t>
  </si>
  <si>
    <t>https://financialmodelingprep.com/image-stock/JPM.png</t>
  </si>
  <si>
    <t>JPMorgan Chase &amp; Co.</t>
  </si>
  <si>
    <t>JPST was created on 05/17/17 by JPMorgan Chase. The Fund seeks to provide current income while seeking to maintain a low volatility of principal.</t>
  </si>
  <si>
    <t>https://financialmodelingprep.com/image-stock/JPST.png</t>
  </si>
  <si>
    <t>JPMorgan Ultra-Short Income ETF</t>
  </si>
  <si>
    <t>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t>
  </si>
  <si>
    <t>https://financialmodelingprep.com/image-stock/JWN.png</t>
  </si>
  <si>
    <t>Nordstrom, Inc.</t>
  </si>
  <si>
    <t>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t>
  </si>
  <si>
    <t>https://financialmodelingprep.com/image-stock/K.png</t>
  </si>
  <si>
    <t>Kellogg Company</t>
  </si>
  <si>
    <t>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t>
  </si>
  <si>
    <t>https://financialmodelingprep.com/image-stock/KBE.png</t>
  </si>
  <si>
    <t>SPDR S&amp;P Bank ETF</t>
  </si>
  <si>
    <t>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t>
  </si>
  <si>
    <t>https://financialmodelingprep.com/image-stock/KDP.png</t>
  </si>
  <si>
    <t>Keurig Dr Pepper Inc.</t>
  </si>
  <si>
    <t>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t>
  </si>
  <si>
    <t>https://financialmodelingprep.com/image-stock/KEY.png</t>
  </si>
  <si>
    <t>KeyCorp</t>
  </si>
  <si>
    <t>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t>
  </si>
  <si>
    <t>https://financialmodelingprep.com/image-stock/KEYS.png</t>
  </si>
  <si>
    <t>Keysight Technologies, Inc.</t>
  </si>
  <si>
    <t>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t>
  </si>
  <si>
    <t>https://financialmodelingprep.com/image-stock/KHC.png</t>
  </si>
  <si>
    <t>The Kraft Heinz Company</t>
  </si>
  <si>
    <t>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t>
  </si>
  <si>
    <t>https://financialmodelingprep.com/image-stock/KIM.png</t>
  </si>
  <si>
    <t>Kimco Realty Corporation</t>
  </si>
  <si>
    <t>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t>
  </si>
  <si>
    <t>https://financialmodelingprep.com/image-stock/KKR.png</t>
  </si>
  <si>
    <t>KKR &amp; Co. Inc.</t>
  </si>
  <si>
    <t>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t>
  </si>
  <si>
    <t>https://financialmodelingprep.com/image-stock/KLAC.png</t>
  </si>
  <si>
    <t>KLA Corporation</t>
  </si>
  <si>
    <t>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t>
  </si>
  <si>
    <t>https://financialmodelingprep.com/image-stock/KMB.png</t>
  </si>
  <si>
    <t>Kimberly-Clark Corporation</t>
  </si>
  <si>
    <t>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t>
  </si>
  <si>
    <t>https://financialmodelingprep.com/image-stock/KMI.png</t>
  </si>
  <si>
    <t>Kinder Morgan, Inc.</t>
  </si>
  <si>
    <t>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t>
  </si>
  <si>
    <t>https://financialmodelingprep.com/image-stock/KMX.png</t>
  </si>
  <si>
    <t>CarMax, Inc.</t>
  </si>
  <si>
    <t>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t>
  </si>
  <si>
    <t>https://financialmodelingprep.com/image-stock/KO.png</t>
  </si>
  <si>
    <t>The Coca-Cola Company</t>
  </si>
  <si>
    <t>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t>
  </si>
  <si>
    <t>https://financialmodelingprep.com/image-stock/KR.png</t>
  </si>
  <si>
    <t>The Kroger Co.</t>
  </si>
  <si>
    <t>KRE was created on 06/19/06 by State Street Global Advisors. The ETF tracks an equal-weighted index of US regional banking stocks.</t>
  </si>
  <si>
    <t>https://financialmodelingprep.com/image-stock/KRE.png</t>
  </si>
  <si>
    <t>SPDR S&amp;P Regional Banking ETF</t>
  </si>
  <si>
    <t>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t>
  </si>
  <si>
    <t>https://financialmodelingprep.com/image-stock/KSS.png</t>
  </si>
  <si>
    <t>Kohl's Corporation</t>
  </si>
  <si>
    <t>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t>
  </si>
  <si>
    <t>https://financialmodelingprep.com/image-stock/KSU.png</t>
  </si>
  <si>
    <t>Kansas City Southern</t>
  </si>
  <si>
    <t>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t>
  </si>
  <si>
    <t>https://financialmodelingprep.com/image-stock/KWEB.jpg</t>
  </si>
  <si>
    <t>KraneShares CSI China Internet ETF</t>
  </si>
  <si>
    <t>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t>
  </si>
  <si>
    <t>https://financialmodelingprep.com/image-stock/L.png</t>
  </si>
  <si>
    <t>Loews Corporation</t>
  </si>
  <si>
    <t>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t>
  </si>
  <si>
    <t>https://financialmodelingprep.com/image-stock/LB.png</t>
  </si>
  <si>
    <t>L Brands, Inc.</t>
  </si>
  <si>
    <t>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t>
  </si>
  <si>
    <t>https://financialmodelingprep.com/image-stock/LDOS.png</t>
  </si>
  <si>
    <t>Leidos Holdings, Inc.</t>
  </si>
  <si>
    <t>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t>
  </si>
  <si>
    <t>https://financialmodelingprep.com/image-stock/LEG.png</t>
  </si>
  <si>
    <t>Leggett &amp; Platt, Incorporated</t>
  </si>
  <si>
    <t>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t>
  </si>
  <si>
    <t>https://financialmodelingprep.com/image-stock/LEN.png</t>
  </si>
  <si>
    <t>Lennar Corporation</t>
  </si>
  <si>
    <t>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t>
  </si>
  <si>
    <t>https://financialmodelingprep.com/image-stock/LESL.png</t>
  </si>
  <si>
    <t>Leslie's, Inc.</t>
  </si>
  <si>
    <t>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t>
  </si>
  <si>
    <t>https://financialmodelingprep.com/image-stock/LH.png</t>
  </si>
  <si>
    <t>Laboratory Corporation of America Holdings</t>
  </si>
  <si>
    <t>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t>
  </si>
  <si>
    <t>https://financialmodelingprep.com/image-stock/LHX.png</t>
  </si>
  <si>
    <t>L3Harris Technologies, Inc.</t>
  </si>
  <si>
    <t>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t>
  </si>
  <si>
    <t>https://financialmodelingprep.com/image-stock/LIN.png</t>
  </si>
  <si>
    <t>Linde plc</t>
  </si>
  <si>
    <t>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t>
  </si>
  <si>
    <t>https://financialmodelingprep.com/image-stock/LKQ.png</t>
  </si>
  <si>
    <t>LKQ Corporation</t>
  </si>
  <si>
    <t>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t>
  </si>
  <si>
    <t>https://financialmodelingprep.com/image-stock/LLY.png</t>
  </si>
  <si>
    <t>Eli Lilly and Company</t>
  </si>
  <si>
    <t>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t>
  </si>
  <si>
    <t>https://financialmodelingprep.com/image-stock/LMND.png</t>
  </si>
  <si>
    <t>Lemonade, Inc.</t>
  </si>
  <si>
    <t>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t>
  </si>
  <si>
    <t>https://financialmodelingprep.com/image-stock/LMT.png</t>
  </si>
  <si>
    <t>Lockheed Martin Corporation</t>
  </si>
  <si>
    <t>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t>
  </si>
  <si>
    <t>https://financialmodelingprep.com/image-stock/LNC.png</t>
  </si>
  <si>
    <t>Lincoln National Corporation</t>
  </si>
  <si>
    <t>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t>
  </si>
  <si>
    <t>https://financialmodelingprep.com/image-stock/LNT.png</t>
  </si>
  <si>
    <t>Alliant Energy Corporation</t>
  </si>
  <si>
    <t>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t>
  </si>
  <si>
    <t>https://financialmodelingprep.com/image-stock/LOW.png</t>
  </si>
  <si>
    <t>Lowe's Companies, Inc.</t>
  </si>
  <si>
    <t>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t>
  </si>
  <si>
    <t>https://financialmodelingprep.com/image-stock/LPX.png</t>
  </si>
  <si>
    <t>Louisiana-Pacific Corporation</t>
  </si>
  <si>
    <t>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t>
  </si>
  <si>
    <t>https://financialmodelingprep.com/image-stock/LQD.jpg</t>
  </si>
  <si>
    <t>iShares iBoxx $ Investment Grade Corporate Bond ETF</t>
  </si>
  <si>
    <t>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t>
  </si>
  <si>
    <t>https://financialmodelingprep.com/image-stock/LRCX.png</t>
  </si>
  <si>
    <t>Lam Research Corporation</t>
  </si>
  <si>
    <t>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t>
  </si>
  <si>
    <t>https://financialmodelingprep.com/image-stock/LULU.png</t>
  </si>
  <si>
    <t>Lululemon Athletica Inc.</t>
  </si>
  <si>
    <t>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t>
  </si>
  <si>
    <t>https://financialmodelingprep.com/image-stock/LUMN.png</t>
  </si>
  <si>
    <t>Lumen Technologies, Inc.</t>
  </si>
  <si>
    <t>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t>
  </si>
  <si>
    <t>https://financialmodelingprep.com/image-stock/LUV.png</t>
  </si>
  <si>
    <t>Southwest Airlines Co.</t>
  </si>
  <si>
    <t>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t>
  </si>
  <si>
    <t>https://financialmodelingprep.com/image-stock/LVS.png</t>
  </si>
  <si>
    <t>Las Vegas Sands Corp.</t>
  </si>
  <si>
    <t>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t>
  </si>
  <si>
    <t>https://financialmodelingprep.com/image-stock/LW.png</t>
  </si>
  <si>
    <t>Lamb Weston Holdings, Inc.</t>
  </si>
  <si>
    <t>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t>
  </si>
  <si>
    <t>https://financialmodelingprep.com/image-stock/LYB.png</t>
  </si>
  <si>
    <t>LyondellBasell Industries N.V.</t>
  </si>
  <si>
    <t>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t>
  </si>
  <si>
    <t>https://financialmodelingprep.com/image-stock/LYFT.png</t>
  </si>
  <si>
    <t>Lyft, Inc.</t>
  </si>
  <si>
    <t>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t>
  </si>
  <si>
    <t>https://financialmodelingprep.com/image-stock/LYV.png</t>
  </si>
  <si>
    <t>Live Nation Entertainment, Inc.</t>
  </si>
  <si>
    <t>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t>
  </si>
  <si>
    <t>https://financialmodelingprep.com/image-stock/MA.png</t>
  </si>
  <si>
    <t>Mastercard Incorporated</t>
  </si>
  <si>
    <t>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t>
  </si>
  <si>
    <t>https://financialmodelingprep.com/image-stock/MAA.png</t>
  </si>
  <si>
    <t>Mid-America Apartment Communities, Inc.</t>
  </si>
  <si>
    <t>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t>
  </si>
  <si>
    <t>https://financialmodelingprep.com/image-stock/MAR.png</t>
  </si>
  <si>
    <t>Marriott International, Inc.</t>
  </si>
  <si>
    <t>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t>
  </si>
  <si>
    <t>https://financialmodelingprep.com/image-stock/MARA.png</t>
  </si>
  <si>
    <t>Marathon Digital Holdings, Inc.</t>
  </si>
  <si>
    <t>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t>
  </si>
  <si>
    <t>https://financialmodelingprep.com/image-stock/MAS.png</t>
  </si>
  <si>
    <t>Masco Corporation</t>
  </si>
  <si>
    <t>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t>
  </si>
  <si>
    <t>https://financialmodelingprep.com/image-stock/MCD.png</t>
  </si>
  <si>
    <t>McDonald's Corporation</t>
  </si>
  <si>
    <t>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t>
  </si>
  <si>
    <t>https://financialmodelingprep.com/image-stock/MCHI.png</t>
  </si>
  <si>
    <t>iShares MSCI China ETF</t>
  </si>
  <si>
    <t>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t>
  </si>
  <si>
    <t>https://financialmodelingprep.com/image-stock/MCHP.png</t>
  </si>
  <si>
    <t>Microchip Technology Incorporated</t>
  </si>
  <si>
    <t>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t>
  </si>
  <si>
    <t>https://financialmodelingprep.com/image-stock/MCK.png</t>
  </si>
  <si>
    <t>McKesson Corporation</t>
  </si>
  <si>
    <t>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t>
  </si>
  <si>
    <t>https://financialmodelingprep.com/image-stock/MCO.png</t>
  </si>
  <si>
    <t>Moody's Corporation</t>
  </si>
  <si>
    <t>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t>
  </si>
  <si>
    <t>https://financialmodelingprep.com/image-stock/MDLZ.png</t>
  </si>
  <si>
    <t>Mondelez International, Inc.</t>
  </si>
  <si>
    <t>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t>
  </si>
  <si>
    <t>https://financialmodelingprep.com/image-stock/MDT.png</t>
  </si>
  <si>
    <t>Medtronic plc</t>
  </si>
  <si>
    <t>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t>
  </si>
  <si>
    <t>https://financialmodelingprep.com/image-stock/MELI.png</t>
  </si>
  <si>
    <t>MercadoLibre, Inc.</t>
  </si>
  <si>
    <t>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t>
  </si>
  <si>
    <t>https://financialmodelingprep.com/image-stock/MET.png</t>
  </si>
  <si>
    <t>MetLife, Inc.</t>
  </si>
  <si>
    <t>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t>
  </si>
  <si>
    <t>https://financialmodelingprep.com/image-stock/MGM.png</t>
  </si>
  <si>
    <t>MGM Resorts International</t>
  </si>
  <si>
    <t>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t>
  </si>
  <si>
    <t>https://financialmodelingprep.com/image-stock/MGNI.jpg</t>
  </si>
  <si>
    <t>Magnite, Inc.</t>
  </si>
  <si>
    <t>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t>
  </si>
  <si>
    <t>https://financialmodelingprep.com/image-stock/MHK.png</t>
  </si>
  <si>
    <t>Mohawk Industries, Inc.</t>
  </si>
  <si>
    <t>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t>
  </si>
  <si>
    <t>https://financialmodelingprep.com/image-stock/MKC.png</t>
  </si>
  <si>
    <t>McCormick &amp; Company, Incorporated</t>
  </si>
  <si>
    <t>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t>
  </si>
  <si>
    <t>https://financialmodelingprep.com/image-stock/MKTX.png</t>
  </si>
  <si>
    <t>MarketAxess Holdings Inc.</t>
  </si>
  <si>
    <t>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t>
  </si>
  <si>
    <t>https://financialmodelingprep.com/image-stock/MLM.png</t>
  </si>
  <si>
    <t>Martin Marietta Materials, Inc.</t>
  </si>
  <si>
    <t>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t>
  </si>
  <si>
    <t>https://financialmodelingprep.com/image-stock/MMC.png</t>
  </si>
  <si>
    <t>Marsh &amp; McLennan Companies, Inc.</t>
  </si>
  <si>
    <t>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t>
  </si>
  <si>
    <t>https://financialmodelingprep.com/image-stock/MMM.png</t>
  </si>
  <si>
    <t>3M Company</t>
  </si>
  <si>
    <t>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t>
  </si>
  <si>
    <t>https://financialmodelingprep.com/image-stock/MNST.png</t>
  </si>
  <si>
    <t>Monster Beverage Corporation</t>
  </si>
  <si>
    <t>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t>
  </si>
  <si>
    <t>https://financialmodelingprep.com/image-stock/MO.png</t>
  </si>
  <si>
    <t>Altria Group, Inc.</t>
  </si>
  <si>
    <t>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t>
  </si>
  <si>
    <t>https://financialmodelingprep.com/image-stock/MOS.png</t>
  </si>
  <si>
    <t>The Mosaic Company</t>
  </si>
  <si>
    <t>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t>
  </si>
  <si>
    <t>https://financialmodelingprep.com/image-stock/MP.png</t>
  </si>
  <si>
    <t>MP Materials Corp.</t>
  </si>
  <si>
    <t>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t>
  </si>
  <si>
    <t>https://financialmodelingprep.com/image-stock/MPC.png</t>
  </si>
  <si>
    <t>Marathon Petroleum Corporation</t>
  </si>
  <si>
    <t>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t>
  </si>
  <si>
    <t>https://financialmodelingprep.com/image-stock/MPLX.png</t>
  </si>
  <si>
    <t>MPLX LP</t>
  </si>
  <si>
    <t>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t>
  </si>
  <si>
    <t>https://financialmodelingprep.com/image-stock/MPWR.png</t>
  </si>
  <si>
    <t>Monolithic Power Systems, Inc.</t>
  </si>
  <si>
    <t>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t>
  </si>
  <si>
    <t>https://financialmodelingprep.com/image-stock/MRNA.png</t>
  </si>
  <si>
    <t>Moderna, Inc.</t>
  </si>
  <si>
    <t>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t>
  </si>
  <si>
    <t>https://financialmodelingprep.com/image-stock/MRO.png</t>
  </si>
  <si>
    <t>Marathon Oil Corporation</t>
  </si>
  <si>
    <t>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t>
  </si>
  <si>
    <t>https://financialmodelingprep.com/image-stock/MRVL.png</t>
  </si>
  <si>
    <t>Marvell Technology, Inc.</t>
  </si>
  <si>
    <t>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t>
  </si>
  <si>
    <t>https://financialmodelingprep.com/image-stock/MS.png</t>
  </si>
  <si>
    <t>Morgan Stanley</t>
  </si>
  <si>
    <t>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t>
  </si>
  <si>
    <t>https://financialmodelingprep.com/image-stock/MSCI.png</t>
  </si>
  <si>
    <t>MSCI Inc.</t>
  </si>
  <si>
    <t>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t>
  </si>
  <si>
    <t>https://financialmodelingprep.com/image-stock/MSFT.png</t>
  </si>
  <si>
    <t>Microsoft Corporation</t>
  </si>
  <si>
    <t>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t>
  </si>
  <si>
    <t>https://financialmodelingprep.com/image-stock/MSI.png</t>
  </si>
  <si>
    <t>Motorola Solutions, Inc.</t>
  </si>
  <si>
    <t>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t>
  </si>
  <si>
    <t>https://financialmodelingprep.com/image-stock/MTB.png</t>
  </si>
  <si>
    <t>M&amp;T Bank Corporation</t>
  </si>
  <si>
    <t>Match Group, Inc. provides dating products worldwide. Its portfolio of brands include Tinder, Match, Meetic, OkCupid, Hinge, Pairs, PlentyOfFish, and OurTime, as well as a various other brands. The company is based in Dallas, Texas.</t>
  </si>
  <si>
    <t>https://financialmodelingprep.com/image-stock/MTCH.png</t>
  </si>
  <si>
    <t>Match Group, Inc.</t>
  </si>
  <si>
    <t>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t>
  </si>
  <si>
    <t>https://financialmodelingprep.com/image-stock/MTD.png</t>
  </si>
  <si>
    <t>Mettler-Toledo International Inc.</t>
  </si>
  <si>
    <t>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t>
  </si>
  <si>
    <t>https://financialmodelingprep.com/image-stock/MU.png</t>
  </si>
  <si>
    <t>Micron Technology, Inc.</t>
  </si>
  <si>
    <t>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t>
  </si>
  <si>
    <t>https://financialmodelingprep.com/image-stock/MXIM.png</t>
  </si>
  <si>
    <t>Maxim Integrated Products, Inc.</t>
  </si>
  <si>
    <t>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t>
  </si>
  <si>
    <t>https://financialmodelingprep.com/image-stock/NCLH.png</t>
  </si>
  <si>
    <t>Norwegian Cruise Line Holdings Ltd.</t>
  </si>
  <si>
    <t>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t>
  </si>
  <si>
    <t>https://financialmodelingprep.com/image-stock/NDAQ.png</t>
  </si>
  <si>
    <t>Nasdaq, Inc.</t>
  </si>
  <si>
    <t>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t>
  </si>
  <si>
    <t>https://financialmodelingprep.com/image-stock/NEE.png</t>
  </si>
  <si>
    <t>NextEra Energy, Inc.</t>
  </si>
  <si>
    <t>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t>
  </si>
  <si>
    <t>https://financialmodelingprep.com/image-stock/NEM.png</t>
  </si>
  <si>
    <t>Newmont Corporation</t>
  </si>
  <si>
    <t>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t>
  </si>
  <si>
    <t>https://financialmodelingprep.com/image-stock/NET.png</t>
  </si>
  <si>
    <t>Cloudflare, Inc.</t>
  </si>
  <si>
    <t>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t>
  </si>
  <si>
    <t>https://financialmodelingprep.com/image-stock/NFLX.png</t>
  </si>
  <si>
    <t>Netflix, Inc.</t>
  </si>
  <si>
    <t>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t>
  </si>
  <si>
    <t>https://financialmodelingprep.com/image-stock/NI.png</t>
  </si>
  <si>
    <t>NiSource Inc.</t>
  </si>
  <si>
    <t>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t>
  </si>
  <si>
    <t>https://financialmodelingprep.com/image-stock/NKE.png</t>
  </si>
  <si>
    <t>NIKE, Inc.</t>
  </si>
  <si>
    <t>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t>
  </si>
  <si>
    <t>https://financialmodelingprep.com/image-stock/NLOK.png</t>
  </si>
  <si>
    <t>NortonLifeLock Inc.</t>
  </si>
  <si>
    <t>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t>
  </si>
  <si>
    <t>https://financialmodelingprep.com/image-stock/NLSN.png</t>
  </si>
  <si>
    <t>Nielsen Holdings plc</t>
  </si>
  <si>
    <t>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t>
  </si>
  <si>
    <t>https://financialmodelingprep.com/image-stock/NOC.png</t>
  </si>
  <si>
    <t>Northrop Grumman Corporation</t>
  </si>
  <si>
    <t>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t>
  </si>
  <si>
    <t>https://financialmodelingprep.com/image-stock/NOV.png</t>
  </si>
  <si>
    <t>NOV Inc.</t>
  </si>
  <si>
    <t>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t>
  </si>
  <si>
    <t>https://financialmodelingprep.com/image-stock/NOVA.png</t>
  </si>
  <si>
    <t>Sunnova Energy International Inc.</t>
  </si>
  <si>
    <t>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t>
  </si>
  <si>
    <t>https://financialmodelingprep.com/image-stock/NOW.png</t>
  </si>
  <si>
    <t>ServiceNow, Inc.</t>
  </si>
  <si>
    <t>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t>
  </si>
  <si>
    <t>https://financialmodelingprep.com/image-stock/NRG.png</t>
  </si>
  <si>
    <t>NRG Energy, Inc.</t>
  </si>
  <si>
    <t>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t>
  </si>
  <si>
    <t>https://financialmodelingprep.com/image-stock/NSC.png</t>
  </si>
  <si>
    <t>Norfolk Southern Corporation</t>
  </si>
  <si>
    <t>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t>
  </si>
  <si>
    <t>https://financialmodelingprep.com/image-stock/NTAP.png</t>
  </si>
  <si>
    <t>NetApp, Inc.</t>
  </si>
  <si>
    <t>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t>
  </si>
  <si>
    <t>https://financialmodelingprep.com/image-stock/NTES.png</t>
  </si>
  <si>
    <t>NetEase, Inc.</t>
  </si>
  <si>
    <t>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t>
  </si>
  <si>
    <t>https://financialmodelingprep.com/image-stock/NTLA.png</t>
  </si>
  <si>
    <t>Intellia Therapeutics, Inc.</t>
  </si>
  <si>
    <t>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t>
  </si>
  <si>
    <t>https://financialmodelingprep.com/image-stock/NTNX.png</t>
  </si>
  <si>
    <t>Nutanix, Inc.</t>
  </si>
  <si>
    <t>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t>
  </si>
  <si>
    <t>https://financialmodelingprep.com/image-stock/NTRS.png</t>
  </si>
  <si>
    <t>Northern Trust Corporation</t>
  </si>
  <si>
    <t>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t>
  </si>
  <si>
    <t>https://financialmodelingprep.com/image-stock/NUAN.png</t>
  </si>
  <si>
    <t>Nuance Communications, Inc.</t>
  </si>
  <si>
    <t>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t>
  </si>
  <si>
    <t>https://financialmodelingprep.com/image-stock/NUE.png</t>
  </si>
  <si>
    <t>Nucor Corporation</t>
  </si>
  <si>
    <t>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t>
  </si>
  <si>
    <t>https://financialmodelingprep.com/image-stock/NVAX.png</t>
  </si>
  <si>
    <t>Novavax, Inc.</t>
  </si>
  <si>
    <t>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t>
  </si>
  <si>
    <t>https://financialmodelingprep.com/image-stock/NVDA.png</t>
  </si>
  <si>
    <t>NVIDIA Corporation</t>
  </si>
  <si>
    <t>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t>
  </si>
  <si>
    <t>https://financialmodelingprep.com/image-stock/NVR.png</t>
  </si>
  <si>
    <t>NVR, Inc.</t>
  </si>
  <si>
    <t>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t>
  </si>
  <si>
    <t>https://financialmodelingprep.com/image-stock/NVTA.png</t>
  </si>
  <si>
    <t>Invitae Corporation</t>
  </si>
  <si>
    <t>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t>
  </si>
  <si>
    <t>https://financialmodelingprep.com/image-stock/NWL.png</t>
  </si>
  <si>
    <t>Newell Brands Inc.</t>
  </si>
  <si>
    <t>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t>
  </si>
  <si>
    <t>https://financialmodelingprep.com/image-stock/NWS.png</t>
  </si>
  <si>
    <t>News Corporation</t>
  </si>
  <si>
    <t>https://financialmodelingprep.com/image-stock/NWSA.png</t>
  </si>
  <si>
    <t>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t>
  </si>
  <si>
    <t>https://financialmodelingprep.com/image-stock/NXPI.png</t>
  </si>
  <si>
    <t>NXP Semiconductors N.V.</t>
  </si>
  <si>
    <t>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t>
  </si>
  <si>
    <t>https://financialmodelingprep.com/image-stock/O.png</t>
  </si>
  <si>
    <t>Realty Income Corporation</t>
  </si>
  <si>
    <t>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t>
  </si>
  <si>
    <t>https://financialmodelingprep.com/image-stock/ODFL.png</t>
  </si>
  <si>
    <t>Old Dominion Freight Line, Inc.</t>
  </si>
  <si>
    <t>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t>
  </si>
  <si>
    <t>https://financialmodelingprep.com/image-stock/OGE.png</t>
  </si>
  <si>
    <t>OGE Energy Corp.</t>
  </si>
  <si>
    <t>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t>
  </si>
  <si>
    <t>https://financialmodelingprep.com/image-stock/OKE.png</t>
  </si>
  <si>
    <t>ONEOK, Inc.</t>
  </si>
  <si>
    <t>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t>
  </si>
  <si>
    <t>https://financialmodelingprep.com/image-stock/OKTA.png</t>
  </si>
  <si>
    <t>Okta, Inc.</t>
  </si>
  <si>
    <t>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t>
  </si>
  <si>
    <t>https://financialmodelingprep.com/image-stock/OMC.png</t>
  </si>
  <si>
    <t>Omnicom Group Inc.</t>
  </si>
  <si>
    <t>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t>
  </si>
  <si>
    <t>https://financialmodelingprep.com/image-stock/ON.png</t>
  </si>
  <si>
    <t>ON Semiconductor Corporation</t>
  </si>
  <si>
    <t>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t>
  </si>
  <si>
    <t>https://financialmodelingprep.com/image-stock/ORCL.png</t>
  </si>
  <si>
    <t>Oracle Corporation</t>
  </si>
  <si>
    <t>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t>
  </si>
  <si>
    <t>https://financialmodelingprep.com/image-stock/ORLY.png</t>
  </si>
  <si>
    <t>O'Reilly Automotive, Inc.</t>
  </si>
  <si>
    <t>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t>
  </si>
  <si>
    <t>https://financialmodelingprep.com/image-stock/OVV.png</t>
  </si>
  <si>
    <t>Ovintiv Inc.</t>
  </si>
  <si>
    <t>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t>
  </si>
  <si>
    <t>https://financialmodelingprep.com/image-stock/OXY.png</t>
  </si>
  <si>
    <t>Occidental Petroleum Corporation</t>
  </si>
  <si>
    <t>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t>
  </si>
  <si>
    <t>https://financialmodelingprep.com/image-stock/PACB.png</t>
  </si>
  <si>
    <t>Pacific Biosciences of California, Inc.</t>
  </si>
  <si>
    <t>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t>
  </si>
  <si>
    <t>https://financialmodelingprep.com/image-stock/PAYC.png</t>
  </si>
  <si>
    <t>Paycom Software, Inc.</t>
  </si>
  <si>
    <t>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t>
  </si>
  <si>
    <t>https://financialmodelingprep.com/image-stock/PAYX.png</t>
  </si>
  <si>
    <t>Paychex, Inc.</t>
  </si>
  <si>
    <t>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t>
  </si>
  <si>
    <t>https://financialmodelingprep.com/image-stock/PBCT.png</t>
  </si>
  <si>
    <t>People's United Financial, Inc.</t>
  </si>
  <si>
    <t>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t>
  </si>
  <si>
    <t>https://financialmodelingprep.com/image-stock/PCAR.png</t>
  </si>
  <si>
    <t>PACCAR Inc</t>
  </si>
  <si>
    <t>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t>
  </si>
  <si>
    <t>https://financialmodelingprep.com/image-stock/PDD.png</t>
  </si>
  <si>
    <t>Pinduoduo Inc.</t>
  </si>
  <si>
    <t>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t>
  </si>
  <si>
    <t>https://financialmodelingprep.com/image-stock/PEAK.jpg</t>
  </si>
  <si>
    <t>Healthpeak Properties, Inc.</t>
  </si>
  <si>
    <t>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t>
  </si>
  <si>
    <t>https://financialmodelingprep.com/image-stock/PEG.png</t>
  </si>
  <si>
    <t>Public Service Enterprise Group Incorporated</t>
  </si>
  <si>
    <t>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t>
  </si>
  <si>
    <t>https://financialmodelingprep.com/image-stock/PENN.png</t>
  </si>
  <si>
    <t>Penn National Gaming, Inc.</t>
  </si>
  <si>
    <t>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t>
  </si>
  <si>
    <t>https://financialmodelingprep.com/image-stock/PEP.png</t>
  </si>
  <si>
    <t>PepsiCo, Inc.</t>
  </si>
  <si>
    <t>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t>
  </si>
  <si>
    <t>https://financialmodelingprep.com/image-stock/PFE.png</t>
  </si>
  <si>
    <t>Pfizer Inc.</t>
  </si>
  <si>
    <t>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t>
  </si>
  <si>
    <t>https://financialmodelingprep.com/image-stock/PFF.png</t>
  </si>
  <si>
    <t>iShares Preferred and Income Securities ETF</t>
  </si>
  <si>
    <t>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t>
  </si>
  <si>
    <t>https://financialmodelingprep.com/image-stock/PFG.png</t>
  </si>
  <si>
    <t>Principal Financial Group, Inc.</t>
  </si>
  <si>
    <t>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t>
  </si>
  <si>
    <t>https://financialmodelingprep.com/image-stock/PG.png</t>
  </si>
  <si>
    <t>The Procter &amp; Gamble Company</t>
  </si>
  <si>
    <t>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t>
  </si>
  <si>
    <t>https://financialmodelingprep.com/image-stock/PGR.png</t>
  </si>
  <si>
    <t>The Progressive Corporation</t>
  </si>
  <si>
    <t>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t>
  </si>
  <si>
    <t>https://financialmodelingprep.com/image-stock/PH.png</t>
  </si>
  <si>
    <t>Parker-Hannifin Corporation</t>
  </si>
  <si>
    <t>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t>
  </si>
  <si>
    <t>https://financialmodelingprep.com/image-stock/PHM.png</t>
  </si>
  <si>
    <t>PulteGroup, Inc.</t>
  </si>
  <si>
    <t>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t>
  </si>
  <si>
    <t>https://financialmodelingprep.com/image-stock/PINS.png</t>
  </si>
  <si>
    <t>Pinterest, Inc.</t>
  </si>
  <si>
    <t>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t>
  </si>
  <si>
    <t>https://financialmodelingprep.com/image-stock/PKG.png</t>
  </si>
  <si>
    <t>Packaging Corporation of America</t>
  </si>
  <si>
    <t>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t>
  </si>
  <si>
    <t>https://financialmodelingprep.com/image-stock/PKI.png</t>
  </si>
  <si>
    <t>PerkinElmer, Inc.</t>
  </si>
  <si>
    <t>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t>
  </si>
  <si>
    <t>https://financialmodelingprep.com/image-stock/PLAN.png</t>
  </si>
  <si>
    <t>Anaplan, Inc.</t>
  </si>
  <si>
    <t>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t>
  </si>
  <si>
    <t>https://financialmodelingprep.com/image-stock/PLD.png</t>
  </si>
  <si>
    <t>Prologis, Inc.</t>
  </si>
  <si>
    <t>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t>
  </si>
  <si>
    <t>https://financialmodelingprep.com/image-stock/PLUG.png</t>
  </si>
  <si>
    <t>Plug Power Inc.</t>
  </si>
  <si>
    <t>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t>
  </si>
  <si>
    <t>https://financialmodelingprep.com/image-stock/PM.png</t>
  </si>
  <si>
    <t>Philip Morris International Inc.</t>
  </si>
  <si>
    <t>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t>
  </si>
  <si>
    <t>https://financialmodelingprep.com/image-stock/PNC.png</t>
  </si>
  <si>
    <t>The PNC Financial Services Group, Inc.</t>
  </si>
  <si>
    <t>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t>
  </si>
  <si>
    <t>https://financialmodelingprep.com/image-stock/PNR.png</t>
  </si>
  <si>
    <t>Pentair plc</t>
  </si>
  <si>
    <t>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t>
  </si>
  <si>
    <t>https://financialmodelingprep.com/image-stock/PNW.png</t>
  </si>
  <si>
    <t>Pinnacle West Capital Corporation</t>
  </si>
  <si>
    <t>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t>
  </si>
  <si>
    <t>https://financialmodelingprep.com/image-stock/POOL.png</t>
  </si>
  <si>
    <t>Pool Corporation</t>
  </si>
  <si>
    <t>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t>
  </si>
  <si>
    <t>https://financialmodelingprep.com/image-stock/PPG.png</t>
  </si>
  <si>
    <t>PPG Industries, Inc.</t>
  </si>
  <si>
    <t>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t>
  </si>
  <si>
    <t>https://financialmodelingprep.com/image-stock/PPL.png</t>
  </si>
  <si>
    <t>PPL Corporation</t>
  </si>
  <si>
    <t>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t>
  </si>
  <si>
    <t>https://financialmodelingprep.com/image-stock/PRGO.png</t>
  </si>
  <si>
    <t>Perrigo Company plc</t>
  </si>
  <si>
    <t>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t>
  </si>
  <si>
    <t>https://financialmodelingprep.com/image-stock/PRSP.png</t>
  </si>
  <si>
    <t>Perspecta Inc.</t>
  </si>
  <si>
    <t>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t>
  </si>
  <si>
    <t>https://financialmodelingprep.com/image-stock/PRU.png</t>
  </si>
  <si>
    <t>Prudential Financial, Inc.</t>
  </si>
  <si>
    <t>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t>
  </si>
  <si>
    <t>https://financialmodelingprep.com/image-stock/PSA.png</t>
  </si>
  <si>
    <t>Public Storage</t>
  </si>
  <si>
    <t>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t>
  </si>
  <si>
    <t>https://financialmodelingprep.com/image-stock/PSX.png</t>
  </si>
  <si>
    <t>Phillips 66</t>
  </si>
  <si>
    <t>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t>
  </si>
  <si>
    <t>https://financialmodelingprep.com/image-stock/PTC.png</t>
  </si>
  <si>
    <t>PTC Inc.</t>
  </si>
  <si>
    <t>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t>
  </si>
  <si>
    <t>https://financialmodelingprep.com/image-stock/PTON.png</t>
  </si>
  <si>
    <t>Peloton Interactive, Inc.</t>
  </si>
  <si>
    <t>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t>
  </si>
  <si>
    <t>https://financialmodelingprep.com/image-stock/PVH.png</t>
  </si>
  <si>
    <t>PVH Corp.</t>
  </si>
  <si>
    <t>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t>
  </si>
  <si>
    <t>https://financialmodelingprep.com/image-stock/PWR.png</t>
  </si>
  <si>
    <t>Quanta Services, Inc.</t>
  </si>
  <si>
    <t>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t>
  </si>
  <si>
    <t>https://financialmodelingprep.com/image-stock/PXD.png</t>
  </si>
  <si>
    <t>Pioneer Natural Resources Company</t>
  </si>
  <si>
    <t>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t>
  </si>
  <si>
    <t>https://financialmodelingprep.com/image-stock/PYPL.png</t>
  </si>
  <si>
    <t>PayPal Holdings, Inc.</t>
  </si>
  <si>
    <t>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t>
  </si>
  <si>
    <t>https://financialmodelingprep.com/image-stock/QCOM.png</t>
  </si>
  <si>
    <t>QUALCOMM Incorporated</t>
  </si>
  <si>
    <t>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</si>
  <si>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https://financialmodelingprep.com/image-stock/QLD.png</t>
  </si>
  <si>
    <t>ProShares Ultra QQQ</t>
  </si>
  <si>
    <t>QQQ was created on 03/10/99 by Invesco. The ETF tracks a modified-market-cap-weighted index of 100 NASDAQ-listed stocks.</t>
  </si>
  <si>
    <t>https://financialmodelingprep.com/image-stock/QQQ.png</t>
  </si>
  <si>
    <t>Invesco QQQ Trust</t>
  </si>
  <si>
    <t>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t>
  </si>
  <si>
    <t>https://financialmodelingprep.com/image-stock/QRVO.png</t>
  </si>
  <si>
    <t>Qorvo, Inc.</t>
  </si>
  <si>
    <t>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t>
  </si>
  <si>
    <t>https://financialmodelingprep.com/image-stock/RCL.png</t>
  </si>
  <si>
    <t>Royal Caribbean Group</t>
  </si>
  <si>
    <t>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t>
  </si>
  <si>
    <t>https://financialmodelingprep.com/image-stock/RE.png</t>
  </si>
  <si>
    <t>Everest Re Group, Ltd.</t>
  </si>
  <si>
    <t>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t>
  </si>
  <si>
    <t>https://financialmodelingprep.com/image-stock/REG.png</t>
  </si>
  <si>
    <t>Regency Centers Corporation</t>
  </si>
  <si>
    <t>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t>
  </si>
  <si>
    <t>https://financialmodelingprep.com/image-stock/REGN.png</t>
  </si>
  <si>
    <t>Regeneron Pharmaceuticals, Inc.</t>
  </si>
  <si>
    <t>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t>
  </si>
  <si>
    <t>https://financialmodelingprep.com/image-stock/RF.png</t>
  </si>
  <si>
    <t>Regions Financial Corporation</t>
  </si>
  <si>
    <t>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t>
  </si>
  <si>
    <t>https://financialmodelingprep.com/image-stock/RHI.png</t>
  </si>
  <si>
    <t>Robert Half International Inc.</t>
  </si>
  <si>
    <t>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t>
  </si>
  <si>
    <t>https://financialmodelingprep.com/image-stock/RIOT.png</t>
  </si>
  <si>
    <t>Riot Blockchain, Inc.</t>
  </si>
  <si>
    <t>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t>
  </si>
  <si>
    <t>https://financialmodelingprep.com/image-stock/RJF.png</t>
  </si>
  <si>
    <t>Raymond James Financial, Inc.</t>
  </si>
  <si>
    <t>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t>
  </si>
  <si>
    <t>https://financialmodelingprep.com/image-stock/RL.png</t>
  </si>
  <si>
    <t>Ralph Lauren Corporation</t>
  </si>
  <si>
    <t>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t>
  </si>
  <si>
    <t>https://financialmodelingprep.com/image-stock/RMD.png</t>
  </si>
  <si>
    <t>ResMed Inc.</t>
  </si>
  <si>
    <t>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t>
  </si>
  <si>
    <t>https://financialmodelingprep.com/image-stock/ROK.png</t>
  </si>
  <si>
    <t>Rockwell Automation, Inc.</t>
  </si>
  <si>
    <t>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t>
  </si>
  <si>
    <t>https://financialmodelingprep.com/image-stock/ROKU.png</t>
  </si>
  <si>
    <t>Roku, Inc.</t>
  </si>
  <si>
    <t>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t>
  </si>
  <si>
    <t>https://financialmodelingprep.com/image-stock/ROL.png</t>
  </si>
  <si>
    <t>Rollins, Inc.</t>
  </si>
  <si>
    <t>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t>
  </si>
  <si>
    <t>https://financialmodelingprep.com/image-stock/ROP.png</t>
  </si>
  <si>
    <t>Roper Technologies, Inc.</t>
  </si>
  <si>
    <t>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t>
  </si>
  <si>
    <t>https://financialmodelingprep.com/image-stock/ROST.png</t>
  </si>
  <si>
    <t>Ross Stores, Inc.</t>
  </si>
  <si>
    <t>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t>
  </si>
  <si>
    <t>https://financialmodelingprep.com/image-stock/RSG.png</t>
  </si>
  <si>
    <t>Republic Services, Inc.</t>
  </si>
  <si>
    <t>RSP was created on 04/24/03 by Invesco. The ETF tracks an equal-weighted index of S&amp;P 500 companies.</t>
  </si>
  <si>
    <t>https://financialmodelingprep.com/image-stock/RSP.png</t>
  </si>
  <si>
    <t>Invesco S&amp;P 500 Equal Weight ETF</t>
  </si>
  <si>
    <t>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t>
  </si>
  <si>
    <t>https://financialmodelingprep.com/image-stock/RTX.png</t>
  </si>
  <si>
    <t>Raytheon Technologies Corporation</t>
  </si>
  <si>
    <t>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t>
  </si>
  <si>
    <t>https://financialmodelingprep.com/image-stock/RUN.png</t>
  </si>
  <si>
    <t>Sunrun Inc.</t>
  </si>
  <si>
    <t>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t>
  </si>
  <si>
    <t>https://financialmodelingprep.com/image-stock/SAVA.png</t>
  </si>
  <si>
    <t>Cassava Sciences, Inc.</t>
  </si>
  <si>
    <t>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t>
  </si>
  <si>
    <t>https://financialmodelingprep.com/image-stock/SAVE.png</t>
  </si>
  <si>
    <t>Spirit Airlines, Inc.</t>
  </si>
  <si>
    <t>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t>
  </si>
  <si>
    <t>https://financialmodelingprep.com/image-stock/SBAC.png</t>
  </si>
  <si>
    <t>SBA Communications Corporation</t>
  </si>
  <si>
    <t>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t>
  </si>
  <si>
    <t>https://financialmodelingprep.com/image-stock/SBUX.png</t>
  </si>
  <si>
    <t>Starbucks Corporation</t>
  </si>
  <si>
    <t>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t>
  </si>
  <si>
    <t>https://financialmodelingprep.com/image-stock/SCHF.png</t>
  </si>
  <si>
    <t>Schwab International Equity ETF</t>
  </si>
  <si>
    <t>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t>
  </si>
  <si>
    <t>https://financialmodelingprep.com/image-stock/SCHP.jpg</t>
  </si>
  <si>
    <t>Schwab U.S. TIPS ETF</t>
  </si>
  <si>
    <t>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t>
  </si>
  <si>
    <t>https://financialmodelingprep.com/image-stock/SCHW.png</t>
  </si>
  <si>
    <t>The Charles Schwab Corporation</t>
  </si>
  <si>
    <t>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t>
  </si>
  <si>
    <t>https://financialmodelingprep.com/image-stock/SEE.png</t>
  </si>
  <si>
    <t>Sealed Air Corporation</t>
  </si>
  <si>
    <t>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t>
  </si>
  <si>
    <t>https://financialmodelingprep.com/image-stock/SFM.png</t>
  </si>
  <si>
    <t>Sprouts Farmers Market, Inc.</t>
  </si>
  <si>
    <t>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t>
  </si>
  <si>
    <t>https://financialmodelingprep.com/image-stock/SGEN.png</t>
  </si>
  <si>
    <t>Seagen Inc.</t>
  </si>
  <si>
    <t>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t>
  </si>
  <si>
    <t>https://financialmodelingprep.com/image-stock/SHW.png</t>
  </si>
  <si>
    <t>The Sherwin-Williams Company</t>
  </si>
  <si>
    <t>SHY was created on 07/22/02 by Blackrock. The iShares 1-3 Year Treasury Bond ETF (the “Fund”) seeks to track the investment results of an index composed of U.S. Treasury bonds with remaining maturities between one and three years.</t>
  </si>
  <si>
    <t>https://financialmodelingprep.com/image-stock/SHY.png</t>
  </si>
  <si>
    <t>iShares 1-3 Year Treasury Bond ETF</t>
  </si>
  <si>
    <t>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t>
  </si>
  <si>
    <t>https://financialmodelingprep.com/image-stock/SIRI.png</t>
  </si>
  <si>
    <t>Sirius XM Holdings Inc.</t>
  </si>
  <si>
    <t>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t>
  </si>
  <si>
    <t>https://financialmodelingprep.com/image-stock/SIVB.png</t>
  </si>
  <si>
    <t>SVB Financial Group</t>
  </si>
  <si>
    <t>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t>
  </si>
  <si>
    <t>https://financialmodelingprep.com/image-stock/SJM.png</t>
  </si>
  <si>
    <t>The J. M. Smucker Company</t>
  </si>
  <si>
    <t>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t>
  </si>
  <si>
    <t>https://financialmodelingprep.com/image-stock/SJNK.jpg</t>
  </si>
  <si>
    <t>SPDR Bloomberg Barclays Short Term High Yield Bond ETF</t>
  </si>
  <si>
    <t>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t>
  </si>
  <si>
    <t>https://financialmodelingprep.com/image-stock/SLB.png</t>
  </si>
  <si>
    <t>Schlumberger Limited</t>
  </si>
  <si>
    <t>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t>
  </si>
  <si>
    <t>https://financialmodelingprep.com/image-stock/SMH.png</t>
  </si>
  <si>
    <t>VanEck Vectors Semiconductor ETF</t>
  </si>
  <si>
    <t>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t>
  </si>
  <si>
    <t>https://financialmodelingprep.com/image-stock/SNA.png</t>
  </si>
  <si>
    <t>Snap-on Incorporated</t>
  </si>
  <si>
    <t>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t>
  </si>
  <si>
    <t>https://financialmodelingprep.com/image-stock/SNAP.png</t>
  </si>
  <si>
    <t>Snap Inc.</t>
  </si>
  <si>
    <t>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t>
  </si>
  <si>
    <t>https://financialmodelingprep.com/image-stock/SNOW.png</t>
  </si>
  <si>
    <t>Snowflake Inc.</t>
  </si>
  <si>
    <t>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t>
  </si>
  <si>
    <t>https://financialmodelingprep.com/image-stock/SNPS.png</t>
  </si>
  <si>
    <t>Synopsys, Inc.</t>
  </si>
  <si>
    <t>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t>
  </si>
  <si>
    <t>https://financialmodelingprep.com/image-stock/SO.png</t>
  </si>
  <si>
    <t>The Southern Company</t>
  </si>
  <si>
    <t>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t>
  </si>
  <si>
    <t>https://financialmodelingprep.com/image-stock/SONO.png</t>
  </si>
  <si>
    <t>Sonos, Inc.</t>
  </si>
  <si>
    <t>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t>
  </si>
  <si>
    <t>https://financialmodelingprep.com/image-stock/SPCE.png</t>
  </si>
  <si>
    <t>Virgin Galactic Holdings, Inc.</t>
  </si>
  <si>
    <t>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t>
  </si>
  <si>
    <t>https://financialmodelingprep.com/image-stock/SPG.png</t>
  </si>
  <si>
    <t>Simon Property Group, Inc.</t>
  </si>
  <si>
    <t>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t>
  </si>
  <si>
    <t>https://financialmodelingprep.com/image-stock/SPGI.png</t>
  </si>
  <si>
    <t>S&amp;P Global Inc.</t>
  </si>
  <si>
    <t>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t>
  </si>
  <si>
    <t>https://financialmodelingprep.com/image-stock/SPIB.jpg</t>
  </si>
  <si>
    <t>SPDR Portfolio Intermediate Term Corporate Bond ETF</t>
  </si>
  <si>
    <t>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t>
  </si>
  <si>
    <t>https://financialmodelingprep.com/image-stock/SPLK.png</t>
  </si>
  <si>
    <t>Splunk Inc.</t>
  </si>
  <si>
    <t>SPLV was created on 05/05/11 by Invesco. The ETF tracks a volatility-weighted index of the 100 least-volatile stocks in the S&amp;P 500.</t>
  </si>
  <si>
    <t>https://financialmodelingprep.com/image-stock/SPLV.png</t>
  </si>
  <si>
    <t>Invesco S&amp;P 500 Low Volatility ETF</t>
  </si>
  <si>
    <t>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t>
  </si>
  <si>
    <t>https://financialmodelingprep.com/image-stock/SPWR.png</t>
  </si>
  <si>
    <t>SunPower Corporation</t>
  </si>
  <si>
    <t>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t>
  </si>
  <si>
    <t>https://financialmodelingprep.com/image-stock/SPY.png</t>
  </si>
  <si>
    <t>SPDR S&amp;P 500 ETF Trust</t>
  </si>
  <si>
    <t>SPYV was created on 09/25/00 by State Street Global Advisors. The ETF tracks an index of primarily large-cap value-style US stocks. The index uses three factors to select value stocks from the 500 stocks chosen by the S&amp;P committee.</t>
  </si>
  <si>
    <t>https://financialmodelingprep.com/image-stock/SPYV.png</t>
  </si>
  <si>
    <t>SPDR Portfolio S&amp;P 500 Value ETF</t>
  </si>
  <si>
    <t>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t>
  </si>
  <si>
    <t>https://financialmodelingprep.com/image-stock/SQ.png</t>
  </si>
  <si>
    <t>Square, Inc.</t>
  </si>
  <si>
    <t>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t>
  </si>
  <si>
    <t>https://financialmodelingprep.com/image-stock/SRE.png</t>
  </si>
  <si>
    <t>Sempra Energy</t>
  </si>
  <si>
    <t>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t>
  </si>
  <si>
    <t>https://financialmodelingprep.com/image-stock/STE.png</t>
  </si>
  <si>
    <t>STERIS plc</t>
  </si>
  <si>
    <t>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t>
  </si>
  <si>
    <t>https://financialmodelingprep.com/image-stock/STEM.png</t>
  </si>
  <si>
    <t>Stem, Inc.</t>
  </si>
  <si>
    <t>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t>
  </si>
  <si>
    <t>https://financialmodelingprep.com/image-stock/STLD.png</t>
  </si>
  <si>
    <t>Steel Dynamics, Inc.</t>
  </si>
  <si>
    <t>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t>
  </si>
  <si>
    <t>https://financialmodelingprep.com/image-stock/STT.png</t>
  </si>
  <si>
    <t>State Street Corporation</t>
  </si>
  <si>
    <t>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t>
  </si>
  <si>
    <t>https://financialmodelingprep.com/image-stock/STX.png</t>
  </si>
  <si>
    <t>Seagate Technology Holdings plc</t>
  </si>
  <si>
    <t>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t>
  </si>
  <si>
    <t>https://financialmodelingprep.com/image-stock/STZ.png</t>
  </si>
  <si>
    <t>Constellation Brands, Inc.</t>
  </si>
  <si>
    <t>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t>
  </si>
  <si>
    <t>https://financialmodelingprep.com/image-stock/SWK.png</t>
  </si>
  <si>
    <t>Stanley Black &amp; Decker, Inc.</t>
  </si>
  <si>
    <t>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t>
  </si>
  <si>
    <t>https://financialmodelingprep.com/image-stock/SWKS.png</t>
  </si>
  <si>
    <t>Skyworks Solutions, Inc.</t>
  </si>
  <si>
    <t>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t>
  </si>
  <si>
    <t>https://financialmodelingprep.com/image-stock/SYF.png</t>
  </si>
  <si>
    <t>Synchrony Financial</t>
  </si>
  <si>
    <t>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t>
  </si>
  <si>
    <t>https://financialmodelingprep.com/image-stock/SYK.png</t>
  </si>
  <si>
    <t>Stryker Corporation</t>
  </si>
  <si>
    <t>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t>
  </si>
  <si>
    <t>https://financialmodelingprep.com/image-stock/SYY.png</t>
  </si>
  <si>
    <t>Sysco Corporation</t>
  </si>
  <si>
    <t>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t>
  </si>
  <si>
    <t>https://financialmodelingprep.com/image-stock/T.png</t>
  </si>
  <si>
    <t>AT&amp;T Inc.</t>
  </si>
  <si>
    <t>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t>
  </si>
  <si>
    <t>https://financialmodelingprep.com/image-stock/TAP.png</t>
  </si>
  <si>
    <t>Molson Coors Beverage Company</t>
  </si>
  <si>
    <t>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t>
  </si>
  <si>
    <t>https://financialmodelingprep.com/image-stock/TCOM.png</t>
  </si>
  <si>
    <t>Trip.com Group Limited</t>
  </si>
  <si>
    <t>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t>
  </si>
  <si>
    <t>https://financialmodelingprep.com/image-stock/TDG.png</t>
  </si>
  <si>
    <t>TransDigm Group Incorporated</t>
  </si>
  <si>
    <t>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t>
  </si>
  <si>
    <t>https://financialmodelingprep.com/image-stock/TDOC.png</t>
  </si>
  <si>
    <t>Teladoc Health, Inc.</t>
  </si>
  <si>
    <t>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t>
  </si>
  <si>
    <t>https://financialmodelingprep.com/image-stock/TDY.png</t>
  </si>
  <si>
    <t>Teledyne Technologies Incorporated</t>
  </si>
  <si>
    <t>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t>
  </si>
  <si>
    <t>https://financialmodelingprep.com/image-stock/TEAM.png</t>
  </si>
  <si>
    <t>Atlassian Corporation Plc</t>
  </si>
  <si>
    <t>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t>
  </si>
  <si>
    <t>https://financialmodelingprep.com/image-stock/TEL.png</t>
  </si>
  <si>
    <t>TE Connectivity Ltd.</t>
  </si>
  <si>
    <t>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t>
  </si>
  <si>
    <t>https://financialmodelingprep.com/image-stock/TER.png</t>
  </si>
  <si>
    <t>Teradyne, Inc.</t>
  </si>
  <si>
    <t>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t>
  </si>
  <si>
    <t>https://financialmodelingprep.com/image-stock/TFC.png</t>
  </si>
  <si>
    <t>Truist Financial Corporation</t>
  </si>
  <si>
    <t>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t>
  </si>
  <si>
    <t>https://financialmodelingprep.com/image-stock/TFX.png</t>
  </si>
  <si>
    <t>Teleflex Incorporated</t>
  </si>
  <si>
    <t>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t>
  </si>
  <si>
    <t>https://financialmodelingprep.com/image-stock/TGT.png</t>
  </si>
  <si>
    <t>Target Corporation</t>
  </si>
  <si>
    <t>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t>
  </si>
  <si>
    <t>https://financialmodelingprep.com/image-stock/TIP.jpg</t>
  </si>
  <si>
    <t>iShares TIPS Bond ETF</t>
  </si>
  <si>
    <t>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t>
  </si>
  <si>
    <t>https://financialmodelingprep.com/image-stock/TJX.png</t>
  </si>
  <si>
    <t>The TJX Companies, Inc.</t>
  </si>
  <si>
    <t>TLT was created on 07/22/02 by Blackrock. The iShares 20+ Year Treasury Bond ETF (the “Fund”) seeks to track the investmentresults of an index composed of U.S. Treasury bonds with remaining maturities greaterthan twenty years.</t>
  </si>
  <si>
    <t>https://financialmodelingprep.com/image-stock/TLT.png</t>
  </si>
  <si>
    <t>iShares 20+ Year Treasury Bond ETF</t>
  </si>
  <si>
    <t>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t>
  </si>
  <si>
    <t>https://financialmodelingprep.com/image-stock/TMO.png</t>
  </si>
  <si>
    <t>Thermo Fisher Scientific Inc.</t>
  </si>
  <si>
    <t>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t>
  </si>
  <si>
    <t>https://financialmodelingprep.com/image-stock/TMUS.png</t>
  </si>
  <si>
    <t>T-Mobile US, Inc.</t>
  </si>
  <si>
    <t>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t>
  </si>
  <si>
    <t>https://financialmodelingprep.com/image-stock/TPR.png</t>
  </si>
  <si>
    <t>Tapestry, Inc.</t>
  </si>
  <si>
    <t>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</si>
  <si>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https://financialmodelingprep.com/image-stock/TQQQ.png</t>
  </si>
  <si>
    <t>ProShares UltraPro QQQ</t>
  </si>
  <si>
    <t>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t>
  </si>
  <si>
    <t>https://financialmodelingprep.com/image-stock/TRGP.png</t>
  </si>
  <si>
    <t>Targa Resources Corp.</t>
  </si>
  <si>
    <t>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t>
  </si>
  <si>
    <t>https://financialmodelingprep.com/image-stock/TRIP.png</t>
  </si>
  <si>
    <t>TripAdvisor, Inc.</t>
  </si>
  <si>
    <t>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t>
  </si>
  <si>
    <t>https://financialmodelingprep.com/image-stock/TRMB.png</t>
  </si>
  <si>
    <t>Trimble Inc.</t>
  </si>
  <si>
    <t>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t>
  </si>
  <si>
    <t>https://financialmodelingprep.com/image-stock/TROW.png</t>
  </si>
  <si>
    <t>T. Rowe Price Group, Inc.</t>
  </si>
  <si>
    <t>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t>
  </si>
  <si>
    <t>https://financialmodelingprep.com/image-stock/TRV.png</t>
  </si>
  <si>
    <t>The Travelers Companies, Inc.</t>
  </si>
  <si>
    <t>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t>
  </si>
  <si>
    <t>https://financialmodelingprep.com/image-stock/TSCO.png</t>
  </si>
  <si>
    <t>Tractor Supply Company</t>
  </si>
  <si>
    <t>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t>
  </si>
  <si>
    <t>https://financialmodelingprep.com/image-stock/TSLA.png</t>
  </si>
  <si>
    <t>Tesla, Inc.</t>
  </si>
  <si>
    <t>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t>
  </si>
  <si>
    <t>https://financialmodelingprep.com/image-stock/TSN.png</t>
  </si>
  <si>
    <t>Tyson Foods, Inc.</t>
  </si>
  <si>
    <t>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t>
  </si>
  <si>
    <t>https://financialmodelingprep.com/image-stock/TT.jpg</t>
  </si>
  <si>
    <t>Trane Technologies plc</t>
  </si>
  <si>
    <t>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t>
  </si>
  <si>
    <t>https://financialmodelingprep.com/image-stock/TTD.png</t>
  </si>
  <si>
    <t>The Trade Desk, Inc.</t>
  </si>
  <si>
    <t>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t>
  </si>
  <si>
    <t>https://financialmodelingprep.com/image-stock/TTWO.png</t>
  </si>
  <si>
    <t>Take-Two Interactive Software, Inc.</t>
  </si>
  <si>
    <t>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t>
  </si>
  <si>
    <t>https://financialmodelingprep.com/image-stock/TWLO.png</t>
  </si>
  <si>
    <t>Twilio Inc.</t>
  </si>
  <si>
    <t>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t>
  </si>
  <si>
    <t>https://financialmodelingprep.com/image-stock/TWTR.png</t>
  </si>
  <si>
    <t>Twitter, Inc.</t>
  </si>
  <si>
    <t>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t>
  </si>
  <si>
    <t>https://financialmodelingprep.com/image-stock/TXN.png</t>
  </si>
  <si>
    <t>Texas Instruments Incorporated</t>
  </si>
  <si>
    <t>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t>
  </si>
  <si>
    <t>https://financialmodelingprep.com/image-stock/TXT.png</t>
  </si>
  <si>
    <t>Textron Inc.</t>
  </si>
  <si>
    <t>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t>
  </si>
  <si>
    <t>https://financialmodelingprep.com/image-stock/TYL.png</t>
  </si>
  <si>
    <t>Tyler Technologies, Inc.</t>
  </si>
  <si>
    <t>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t>
  </si>
  <si>
    <t>https://financialmodelingprep.com/image-stock/UA.png</t>
  </si>
  <si>
    <t>Under Armour, Inc.</t>
  </si>
  <si>
    <t>https://financialmodelingprep.com/image-stock/UAA.png</t>
  </si>
  <si>
    <t>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t>
  </si>
  <si>
    <t>https://financialmodelingprep.com/image-stock/UAL.png</t>
  </si>
  <si>
    <t>United Airlines Holdings, Inc.</t>
  </si>
  <si>
    <t>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t>
  </si>
  <si>
    <t>https://financialmodelingprep.com/image-stock/UBER.png</t>
  </si>
  <si>
    <t>Uber Technologies, Inc.</t>
  </si>
  <si>
    <t>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t>
  </si>
  <si>
    <t>https://financialmodelingprep.com/image-stock/UDR.png</t>
  </si>
  <si>
    <t>UDR, Inc.</t>
  </si>
  <si>
    <t>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t>
  </si>
  <si>
    <t>https://financialmodelingprep.com/image-stock/UHS.png</t>
  </si>
  <si>
    <t>Universal Health Services, Inc.</t>
  </si>
  <si>
    <t>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t>
  </si>
  <si>
    <t>https://financialmodelingprep.com/image-stock/ULTA.png</t>
  </si>
  <si>
    <t>Ulta Beauty, Inc.</t>
  </si>
  <si>
    <t>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t>
  </si>
  <si>
    <t>https://financialmodelingprep.com/image-stock/UNH.png</t>
  </si>
  <si>
    <t>UnitedHealth Group Incorporated</t>
  </si>
  <si>
    <t>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t>
  </si>
  <si>
    <t>https://financialmodelingprep.com/image-stock/UNM.png</t>
  </si>
  <si>
    <t>Unum Group</t>
  </si>
  <si>
    <t>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t>
  </si>
  <si>
    <t>https://financialmodelingprep.com/image-stock/UNP.png</t>
  </si>
  <si>
    <t>Union Pacific Corporation</t>
  </si>
  <si>
    <t>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t>
  </si>
  <si>
    <t>https://financialmodelingprep.com/image-stock/UPS.png</t>
  </si>
  <si>
    <t>United Parcel Service, Inc.</t>
  </si>
  <si>
    <t>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t>
  </si>
  <si>
    <t>https://financialmodelingprep.com/image-stock/UPST.png</t>
  </si>
  <si>
    <t>Upstart Holdings, Inc.</t>
  </si>
  <si>
    <t>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t>
  </si>
  <si>
    <t>https://financialmodelingprep.com/image-stock/URI.png</t>
  </si>
  <si>
    <t>United Rentals, Inc.</t>
  </si>
  <si>
    <t>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t>
  </si>
  <si>
    <t>https://financialmodelingprep.com/image-stock/USB.png</t>
  </si>
  <si>
    <t>U.S. Bancorp</t>
  </si>
  <si>
    <t>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t>
  </si>
  <si>
    <t>https://financialmodelingprep.com/image-stock/USMV.jpg</t>
  </si>
  <si>
    <t>iShares MSCI USA Min Vol Factor ETF</t>
  </si>
  <si>
    <t>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t>
  </si>
  <si>
    <t>https://financialmodelingprep.com/image-stock/USO.png</t>
  </si>
  <si>
    <t>United States Oil Fund, LP</t>
  </si>
  <si>
    <t>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t>
  </si>
  <si>
    <t>https://financialmodelingprep.com/image-stock/V.png</t>
  </si>
  <si>
    <t>Visa Inc.</t>
  </si>
  <si>
    <t>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t>
  </si>
  <si>
    <t>https://financialmodelingprep.com/image-stock/VCIT.png</t>
  </si>
  <si>
    <t>Vanguard Intermediate-Term Corporate Bond Index Fund ETF Shares</t>
  </si>
  <si>
    <t>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t>
  </si>
  <si>
    <t>https://financialmodelingprep.com/image-stock/VCSH.png</t>
  </si>
  <si>
    <t>Vanguard Short-Term Corporate Bond Index Fund ETF Shares</t>
  </si>
  <si>
    <t>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t>
  </si>
  <si>
    <t>https://financialmodelingprep.com/image-stock/VEA.png</t>
  </si>
  <si>
    <t>Vanguard FTSE Developed Markets Index Fund ETF Shares</t>
  </si>
  <si>
    <t>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t>
  </si>
  <si>
    <t>https://financialmodelingprep.com/image-stock/VER.png</t>
  </si>
  <si>
    <t>VEREIT, Inc.</t>
  </si>
  <si>
    <t>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t>
  </si>
  <si>
    <t>https://financialmodelingprep.com/image-stock/VEU.png</t>
  </si>
  <si>
    <t>Vanguard FTSE All-World ex-US Index Fund ETF Shares</t>
  </si>
  <si>
    <t>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t>
  </si>
  <si>
    <t>https://financialmodelingprep.com/image-stock/VFC.png</t>
  </si>
  <si>
    <t>V.F. Corporation</t>
  </si>
  <si>
    <t>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t>
  </si>
  <si>
    <t>https://financialmodelingprep.com/image-stock/VGK.png</t>
  </si>
  <si>
    <t>Vanguard FTSE Europe Index Fund ETF Shares</t>
  </si>
  <si>
    <t>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t>
  </si>
  <si>
    <t>https://financialmodelingprep.com/image-stock/VIAC.png</t>
  </si>
  <si>
    <t>ViacomCBS Inc.</t>
  </si>
  <si>
    <t>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t>
  </si>
  <si>
    <t>https://financialmodelingprep.com/image-stock/VICI.png</t>
  </si>
  <si>
    <t>VICI Properties Inc.</t>
  </si>
  <si>
    <t>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t>
  </si>
  <si>
    <t>https://financialmodelingprep.com/image-stock/VLO.png</t>
  </si>
  <si>
    <t>Valero Energy Corporation</t>
  </si>
  <si>
    <t>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t>
  </si>
  <si>
    <t>https://financialmodelingprep.com/image-stock/VMC.png</t>
  </si>
  <si>
    <t>Vulcan Materials Company</t>
  </si>
  <si>
    <t>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t>
  </si>
  <si>
    <t>https://financialmodelingprep.com/image-stock/VNO.png</t>
  </si>
  <si>
    <t>Vornado Realty Trust</t>
  </si>
  <si>
    <t>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t>
  </si>
  <si>
    <t>https://financialmodelingprep.com/image-stock/VNQ.png</t>
  </si>
  <si>
    <t>Vanguard Real Estate Index Fund ETF Shares</t>
  </si>
  <si>
    <t>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</si>
  <si>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https://financialmodelingprep.com/image-stock/VOO.png</t>
  </si>
  <si>
    <t>Vanguard S&amp;P 500 ETF</t>
  </si>
  <si>
    <t>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t>
  </si>
  <si>
    <t>https://financialmodelingprep.com/image-stock/VRM.png</t>
  </si>
  <si>
    <t>Vroom, Inc.</t>
  </si>
  <si>
    <t>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t>
  </si>
  <si>
    <t>https://financialmodelingprep.com/image-stock/VRSK.png</t>
  </si>
  <si>
    <t>Verisk Analytics, Inc.</t>
  </si>
  <si>
    <t>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t>
  </si>
  <si>
    <t>https://financialmodelingprep.com/image-stock/VRSN.png</t>
  </si>
  <si>
    <t>VeriSign, Inc.</t>
  </si>
  <si>
    <t>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t>
  </si>
  <si>
    <t>https://financialmodelingprep.com/image-stock/VRT.jpg</t>
  </si>
  <si>
    <t>Vertiv Holdings Co</t>
  </si>
  <si>
    <t>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t>
  </si>
  <si>
    <t>https://financialmodelingprep.com/image-stock/VRTX.png</t>
  </si>
  <si>
    <t>Vertex Pharmaceuticals Incorporated</t>
  </si>
  <si>
    <t>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t>
  </si>
  <si>
    <t>https://financialmodelingprep.com/image-stock/VT.png</t>
  </si>
  <si>
    <t>Vanguard Total World Stock Index Fund ETF Shares</t>
  </si>
  <si>
    <t>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t>
  </si>
  <si>
    <t>https://financialmodelingprep.com/image-stock/VTI.png</t>
  </si>
  <si>
    <t>Vanguard Total Stock Market Index Fund ETF Shares</t>
  </si>
  <si>
    <t>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t>
  </si>
  <si>
    <t>https://financialmodelingprep.com/image-stock/VTIP.png</t>
  </si>
  <si>
    <t>Vanguard Short-Term Inflation-Protected Securities Index Fund ETF Shares</t>
  </si>
  <si>
    <t>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t>
  </si>
  <si>
    <t>https://financialmodelingprep.com/image-stock/VTR.png</t>
  </si>
  <si>
    <t>Ventas, Inc.</t>
  </si>
  <si>
    <t>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t>
  </si>
  <si>
    <t>https://financialmodelingprep.com/image-stock/VTRS.png</t>
  </si>
  <si>
    <t>Viatris Inc.</t>
  </si>
  <si>
    <t>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</si>
  <si>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https://financialmodelingprep.com/image-stock/VTV.png</t>
  </si>
  <si>
    <t>Vanguard Value Index Fund ETF Shares</t>
  </si>
  <si>
    <t>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t>
  </si>
  <si>
    <t>https://financialmodelingprep.com/image-stock/VWO.png</t>
  </si>
  <si>
    <t>Vanguard FTSE Emerging Markets Index Fund ETF Shares</t>
  </si>
  <si>
    <t>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t>
  </si>
  <si>
    <t>https://financialmodelingprep.com/image-stock/VXUS.png</t>
  </si>
  <si>
    <t>Vanguard Total International Stock Index Fund ETF Shares</t>
  </si>
  <si>
    <t>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t>
  </si>
  <si>
    <t>https://financialmodelingprep.com/image-stock/VZ.png</t>
  </si>
  <si>
    <t>Verizon Communications Inc.</t>
  </si>
  <si>
    <t>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t>
  </si>
  <si>
    <t>https://financialmodelingprep.com/image-stock/WAB.png</t>
  </si>
  <si>
    <t>Westinghouse Air Brake Technologies Corporation</t>
  </si>
  <si>
    <t>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t>
  </si>
  <si>
    <t>https://financialmodelingprep.com/image-stock/WAT.png</t>
  </si>
  <si>
    <t>Waters Corporation</t>
  </si>
  <si>
    <t>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t>
  </si>
  <si>
    <t>https://financialmodelingprep.com/image-stock/WBA.png</t>
  </si>
  <si>
    <t>Walgreens Boots Alliance, Inc.</t>
  </si>
  <si>
    <t>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t>
  </si>
  <si>
    <t>https://financialmodelingprep.com/image-stock/WDAY.png</t>
  </si>
  <si>
    <t>Workday, Inc.</t>
  </si>
  <si>
    <t>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t>
  </si>
  <si>
    <t>https://financialmodelingprep.com/image-stock/WDC.png</t>
  </si>
  <si>
    <t>Western Digital Corporation</t>
  </si>
  <si>
    <t>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t>
  </si>
  <si>
    <t>https://financialmodelingprep.com/image-stock/WEC.png</t>
  </si>
  <si>
    <t>WEC Energy Group, Inc.</t>
  </si>
  <si>
    <t>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t>
  </si>
  <si>
    <t>https://financialmodelingprep.com/image-stock/WELL.png</t>
  </si>
  <si>
    <t>Welltower Inc.</t>
  </si>
  <si>
    <t>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t>
  </si>
  <si>
    <t>https://financialmodelingprep.com/image-stock/WFC.png</t>
  </si>
  <si>
    <t>Wells Fargo &amp; Company</t>
  </si>
  <si>
    <t>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t>
  </si>
  <si>
    <t>https://financialmodelingprep.com/image-stock/WHR.png</t>
  </si>
  <si>
    <t>Whirlpool Corporation</t>
  </si>
  <si>
    <t>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t>
  </si>
  <si>
    <t>https://financialmodelingprep.com/image-stock/WLTW.png</t>
  </si>
  <si>
    <t>Willis Towers Watson Public Limited Company</t>
  </si>
  <si>
    <t>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t>
  </si>
  <si>
    <t>https://financialmodelingprep.com/image-stock/WM.png</t>
  </si>
  <si>
    <t>Waste Management, Inc.</t>
  </si>
  <si>
    <t>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t>
  </si>
  <si>
    <t>https://financialmodelingprep.com/image-stock/WMB.png</t>
  </si>
  <si>
    <t>The Williams Companies, Inc.</t>
  </si>
  <si>
    <t>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t>
  </si>
  <si>
    <t>https://financialmodelingprep.com/image-stock/WMT.png</t>
  </si>
  <si>
    <t>Walmart Inc.</t>
  </si>
  <si>
    <t>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t>
  </si>
  <si>
    <t>https://financialmodelingprep.com/image-stock/WORK.png</t>
  </si>
  <si>
    <t>Slack Technologies, Inc.</t>
  </si>
  <si>
    <t>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t>
  </si>
  <si>
    <t>https://financialmodelingprep.com/image-stock/WRB.png</t>
  </si>
  <si>
    <t>W. R. Berkley Corporation</t>
  </si>
  <si>
    <t>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t>
  </si>
  <si>
    <t>https://financialmodelingprep.com/image-stock/WRK.png</t>
  </si>
  <si>
    <t>WestRock Company</t>
  </si>
  <si>
    <t>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t>
  </si>
  <si>
    <t>https://financialmodelingprep.com/image-stock/WSC.png</t>
  </si>
  <si>
    <t>WillScot Mobile Mini Holdings Corp.</t>
  </si>
  <si>
    <t>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t>
  </si>
  <si>
    <t>https://financialmodelingprep.com/image-stock/WST.png</t>
  </si>
  <si>
    <t>West Pharmaceutical Services, Inc.</t>
  </si>
  <si>
    <t>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t>
  </si>
  <si>
    <t>https://financialmodelingprep.com/image-stock/WU.png</t>
  </si>
  <si>
    <t>The Western Union Company</t>
  </si>
  <si>
    <t>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t>
  </si>
  <si>
    <t>https://financialmodelingprep.com/image-stock/WY.png</t>
  </si>
  <si>
    <t>Weyerhaeuser Company</t>
  </si>
  <si>
    <t>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t>
  </si>
  <si>
    <t>https://financialmodelingprep.com/image-stock/WYNN.png</t>
  </si>
  <si>
    <t>Wynn Resorts, Limited</t>
  </si>
  <si>
    <t>XBI was created on 01/31/06 by State Street Global Advisors. The ETF tracks an equal-weighted index of US biotechnology stocks.</t>
  </si>
  <si>
    <t>https://financialmodelingprep.com/image-stock/XBI.png</t>
  </si>
  <si>
    <t>SPDR S&amp;P Biotech ETF</t>
  </si>
  <si>
    <t>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t>
  </si>
  <si>
    <t>https://financialmodelingprep.com/image-stock/XEL.png</t>
  </si>
  <si>
    <t>Xcel Energy Inc.</t>
  </si>
  <si>
    <t>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t>
  </si>
  <si>
    <t>https://financialmodelingprep.com/image-stock/XLB.jpg</t>
  </si>
  <si>
    <t>Materials Select Sector SPDR Fund</t>
  </si>
  <si>
    <t>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t>
  </si>
  <si>
    <t>https://financialmodelingprep.com/image-stock/XLC.jpg</t>
  </si>
  <si>
    <t>Communication Services Select Sector SPDR Fund</t>
  </si>
  <si>
    <t>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t>
  </si>
  <si>
    <t>https://financialmodelingprep.com/image-stock/XLE.png</t>
  </si>
  <si>
    <t>Energy Select Sector SPDR Fund</t>
  </si>
  <si>
    <t>XLF was created on 12/16/98 by State Street Global Advisors. The ETF tracks an index of S&amp;P 500 financial stocks, weighted by market cap.</t>
  </si>
  <si>
    <t>https://financialmodelingprep.com/image-stock/XLF.png</t>
  </si>
  <si>
    <t>Financial Select Sector SPDR Fund</t>
  </si>
  <si>
    <t>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t>
  </si>
  <si>
    <t>https://financialmodelingprep.com/image-stock/XLI.png</t>
  </si>
  <si>
    <t>Industrial Select Sector SPDR Fund</t>
  </si>
  <si>
    <t>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t>
  </si>
  <si>
    <t>https://financialmodelingprep.com/image-stock/XLK.png</t>
  </si>
  <si>
    <t>Technology Select Sector SPDR Fund</t>
  </si>
  <si>
    <t>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t>
  </si>
  <si>
    <t>https://financialmodelingprep.com/image-stock/XLNX.png</t>
  </si>
  <si>
    <t>Xilinx, Inc.</t>
  </si>
  <si>
    <t>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t>
  </si>
  <si>
    <t>https://financialmodelingprep.com/image-stock/XLP.png</t>
  </si>
  <si>
    <t>Consumer Staples Select Sector SPDR Fund</t>
  </si>
  <si>
    <t>XLRE was created on 10/07/15 by State Street Global Advisors. The ETF tracks a market cap-weighted index of REITs and real estate stocks, excluding mortgage REITs, from the S&amp;P 500.</t>
  </si>
  <si>
    <t>https://financialmodelingprep.com/image-stock/XLRE.png</t>
  </si>
  <si>
    <t>The Real Estate Select Sector SPDR Fund</t>
  </si>
  <si>
    <t>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t>
  </si>
  <si>
    <t>https://financialmodelingprep.com/image-stock/XLU.png</t>
  </si>
  <si>
    <t>Utilities Select Sector SPDR Fund</t>
  </si>
  <si>
    <t>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t>
  </si>
  <si>
    <t>https://financialmodelingprep.com/image-stock/XLV.png</t>
  </si>
  <si>
    <t>Health Care Select Sector SPDR Fund</t>
  </si>
  <si>
    <t>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t>
  </si>
  <si>
    <t>https://financialmodelingprep.com/image-stock/XLY.png</t>
  </si>
  <si>
    <t>Consumer Discretionary Select Sector SPDR Fund</t>
  </si>
  <si>
    <t>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t>
  </si>
  <si>
    <t>https://financialmodelingprep.com/image-stock/XOM.png</t>
  </si>
  <si>
    <t>Exxon Mobil Corporation</t>
  </si>
  <si>
    <t>XOP was created on 06/19/06 by State Street Global Advisors. The ETF tracks an equal-weighted index of companies in the US oil &amp; gas exploration &amp; production space.</t>
  </si>
  <si>
    <t>https://financialmodelingprep.com/image-stock/XOP.png</t>
  </si>
  <si>
    <t>SPDR S&amp;P Oil &amp; Gas Exploration &amp; Production ETF</t>
  </si>
  <si>
    <t>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t>
  </si>
  <si>
    <t>https://financialmodelingprep.com/image-stock/XRAY.png</t>
  </si>
  <si>
    <t>DENTSPLY SIRONA Inc.</t>
  </si>
  <si>
    <t>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t>
  </si>
  <si>
    <t>https://financialmodelingprep.com/image-stock/XYL.png</t>
  </si>
  <si>
    <t>Xylem Inc.</t>
  </si>
  <si>
    <t>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t>
  </si>
  <si>
    <t>https://financialmodelingprep.com/image-stock/YUM.png</t>
  </si>
  <si>
    <t>Yum! Brands, Inc.</t>
  </si>
  <si>
    <t>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t>
  </si>
  <si>
    <t>https://financialmodelingprep.com/image-stock/Z.png</t>
  </si>
  <si>
    <t>Zillow Group, Inc.</t>
  </si>
  <si>
    <t>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t>
  </si>
  <si>
    <t>https://financialmodelingprep.com/image-stock/ZBH.png</t>
  </si>
  <si>
    <t>Zimmer Biomet Holdings, Inc.</t>
  </si>
  <si>
    <t>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t>
  </si>
  <si>
    <t>https://financialmodelingprep.com/image-stock/ZBRA.png</t>
  </si>
  <si>
    <t>Zebra Technologies Corporation</t>
  </si>
  <si>
    <t>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t>
  </si>
  <si>
    <t>https://financialmodelingprep.com/image-stock/ZION.png</t>
  </si>
  <si>
    <t>Zions Bancorporation, National Association</t>
  </si>
  <si>
    <t>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t>
  </si>
  <si>
    <t>https://financialmodelingprep.com/image-stock/ZM.png</t>
  </si>
  <si>
    <t>Zoom Video Communications, Inc.</t>
  </si>
  <si>
    <t>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t>
  </si>
  <si>
    <t>https://financialmodelingprep.com/image-stock/ZTS.png</t>
  </si>
  <si>
    <t>Zoetis Inc.</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</si>
</sst>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quot;$&quot;#,##0.00"/>
    <numFmt numFmtId="166" formatCode="yyyy-M-d"/>
    <numFmt numFmtId="167" formatCode="dd/mm/yyyy"/>
  </numFmts>
  <fonts count="19">
    <font>
      <sz val="10.0"/>
      <color rgb="FF000000"/>
      <name val="Arial"/>
    </font>
    <font>
      <color theme="1"/>
      <name val="Arial"/>
    </font>
    <font>
      <u/>
      <color rgb="FF1155CC"/>
      <name val="Arial"/>
    </font>
    <font>
      <u/>
      <color rgb="FF0000FF"/>
    </font>
    <font>
      <b/>
      <color rgb="FF000000"/>
      <name val="Arial"/>
    </font>
    <font>
      <color rgb="FFFF0000"/>
      <name val="Arial"/>
    </font>
    <font>
      <b/>
      <color rgb="FFFF0000"/>
      <name val="Arial"/>
    </font>
    <font>
      <u/>
      <color rgb="FF0000FF"/>
      <name val="Arial"/>
    </font>
    <font>
      <u/>
      <color rgb="FF1155CC"/>
      <name val="Arial"/>
    </font>
    <font>
      <color rgb="FF000000"/>
      <name val="Arial"/>
    </font>
    <font>
      <u/>
      <color rgb="FF0000FF"/>
      <name val="Arial"/>
    </font>
    <font>
      <sz val="11.0"/>
      <color rgb="FF000000"/>
      <name val="Inconsolata"/>
    </font>
    <font>
      <b/>
      <u/>
      <color rgb="FF000000"/>
      <name val="Arial"/>
    </font>
    <font>
      <u/>
      <color rgb="FF0000FF"/>
      <name val="Arial"/>
    </font>
    <font>
      <color rgb="FF000000"/>
      <name val="Roboto"/>
    </font>
    <font/>
    <font>
      <b/>
      <u/>
      <color rgb="FFFF0000"/>
      <name val="Arial"/>
    </font>
    <font>
      <u/>
      <color rgb="FF000000"/>
      <name val="Arial"/>
    </font>
    <font>
      <u/>
      <color rgb="FF000000"/>
      <name val="Arial"/>
    </font>
  </fonts>
  <fills count="3">
    <fill>
      <patternFill patternType="none"/>
    </fill>
    <fill>
      <patternFill patternType="lightGray"/>
    </fill>
    <fill>
      <patternFill patternType="solid">
        <fgColor rgb="FFFFFFFF"/>
        <bgColor rgb="FFFFFFFF"/>
      </patternFill>
    </fill>
  </fills>
  <borders count="1">
    <border/>
  </borders>
  <cellStyleXfs count="1">
    <xf borderId="0" fillId="0" fontId="0" numFmtId="0" applyAlignment="1" applyFont="1"/>
  </cellStyleXfs>
  <cellXfs count="72">
    <xf borderId="0" fillId="0" fontId="0" numFmtId="0" xfId="0" applyAlignment="1" applyFont="1">
      <alignment readingOrder="0" shrinkToFit="0" vertical="bottom" wrapText="0"/>
    </xf>
    <xf borderId="0" fillId="0" fontId="1" numFmtId="0" xfId="0" applyAlignment="1" applyFont="1">
      <alignment readingOrder="0"/>
    </xf>
    <xf borderId="0" fillId="0" fontId="1" numFmtId="0" xfId="0" applyAlignment="1" applyFont="1">
      <alignment readingOrder="0" vertical="bottom"/>
    </xf>
    <xf borderId="0" fillId="0" fontId="1" numFmtId="49" xfId="0" applyAlignment="1" applyFont="1" applyNumberFormat="1">
      <alignment horizontal="center" readingOrder="0" vertical="bottom"/>
    </xf>
    <xf borderId="0" fillId="0" fontId="1" numFmtId="49" xfId="0" applyAlignment="1" applyFont="1" applyNumberFormat="1">
      <alignment readingOrder="0" vertical="bottom"/>
    </xf>
    <xf borderId="0" fillId="0" fontId="1" numFmtId="10" xfId="0" applyAlignment="1" applyFont="1" applyNumberFormat="1">
      <alignment horizontal="center" readingOrder="0" vertical="bottom"/>
    </xf>
    <xf borderId="0" fillId="0" fontId="1" numFmtId="4" xfId="0" applyAlignment="1" applyFont="1" applyNumberFormat="1">
      <alignment readingOrder="0" vertical="bottom"/>
    </xf>
    <xf borderId="0" fillId="0" fontId="1" numFmtId="10" xfId="0" applyAlignment="1" applyFont="1" applyNumberFormat="1">
      <alignment readingOrder="0" vertical="bottom"/>
    </xf>
    <xf borderId="0" fillId="0" fontId="1" numFmtId="0" xfId="0" applyAlignment="1" applyFont="1">
      <alignment vertical="bottom"/>
    </xf>
    <xf borderId="0" fillId="0" fontId="1" numFmtId="10" xfId="0" applyAlignment="1" applyFont="1" applyNumberFormat="1">
      <alignment horizontal="center" vertical="bottom"/>
    </xf>
    <xf borderId="0" fillId="0" fontId="1" numFmtId="4" xfId="0" applyAlignment="1" applyFont="1" applyNumberFormat="1">
      <alignment vertical="bottom"/>
    </xf>
    <xf borderId="0" fillId="0" fontId="1" numFmtId="10" xfId="0" applyAlignment="1" applyFont="1" applyNumberFormat="1">
      <alignment vertical="bottom"/>
    </xf>
    <xf borderId="0" fillId="0" fontId="2" numFmtId="164" xfId="0" applyAlignment="1" applyFont="1" applyNumberFormat="1">
      <alignment readingOrder="0" vertical="bottom"/>
    </xf>
    <xf borderId="0" fillId="0" fontId="1" numFmtId="164" xfId="0" applyAlignment="1" applyFont="1" applyNumberFormat="1">
      <alignment readingOrder="0" vertical="bottom"/>
    </xf>
    <xf borderId="0" fillId="0" fontId="1" numFmtId="164" xfId="0" applyAlignment="1" applyFont="1" applyNumberFormat="1">
      <alignment readingOrder="0"/>
    </xf>
    <xf borderId="0" fillId="0" fontId="3" numFmtId="0" xfId="0" applyAlignment="1" applyFont="1">
      <alignment readingOrder="0"/>
    </xf>
    <xf borderId="0" fillId="0" fontId="4" numFmtId="4" xfId="0" applyAlignment="1" applyFont="1" applyNumberFormat="1">
      <alignment horizontal="center" readingOrder="0" shrinkToFit="0" vertical="bottom" wrapText="1"/>
    </xf>
    <xf borderId="0" fillId="0" fontId="5" numFmtId="0" xfId="0" applyAlignment="1" applyFont="1">
      <alignment horizontal="center" readingOrder="0" vertical="bottom"/>
    </xf>
    <xf borderId="0" fillId="0" fontId="6" numFmtId="4" xfId="0" applyAlignment="1" applyFont="1" applyNumberFormat="1">
      <alignment horizontal="center" readingOrder="0" shrinkToFit="0" vertical="bottom" wrapText="1"/>
    </xf>
    <xf borderId="0" fillId="0" fontId="7" numFmtId="0" xfId="0" applyAlignment="1" applyFont="1">
      <alignment horizontal="left" readingOrder="0" vertical="bottom"/>
    </xf>
    <xf borderId="0" fillId="0" fontId="8" numFmtId="0" xfId="0" applyAlignment="1" applyFont="1">
      <alignment readingOrder="0" vertical="bottom"/>
    </xf>
    <xf borderId="0" fillId="0" fontId="9" numFmtId="4" xfId="0" applyAlignment="1" applyFont="1" applyNumberFormat="1">
      <alignment horizontal="center" readingOrder="0" shrinkToFit="0" vertical="bottom" wrapText="1"/>
    </xf>
    <xf borderId="0" fillId="0" fontId="9" numFmtId="4" xfId="0" applyAlignment="1" applyFont="1" applyNumberFormat="1">
      <alignment horizontal="center" readingOrder="0" vertical="bottom"/>
    </xf>
    <xf borderId="0" fillId="0" fontId="1" numFmtId="4" xfId="0" applyAlignment="1" applyFont="1" applyNumberFormat="1">
      <alignment horizontal="center" readingOrder="0" vertical="bottom"/>
    </xf>
    <xf borderId="0" fillId="0" fontId="1" numFmtId="4" xfId="0" applyAlignment="1" applyFont="1" applyNumberFormat="1">
      <alignment horizontal="center" vertical="bottom"/>
    </xf>
    <xf borderId="0" fillId="0" fontId="1" numFmtId="0" xfId="0" applyAlignment="1" applyFont="1">
      <alignment horizontal="left" vertical="bottom"/>
    </xf>
    <xf borderId="0" fillId="0" fontId="10" numFmtId="0" xfId="0" applyAlignment="1" applyFont="1">
      <alignment readingOrder="0" vertical="bottom"/>
    </xf>
    <xf borderId="0" fillId="0" fontId="4" numFmtId="49" xfId="0" applyAlignment="1" applyFont="1" applyNumberFormat="1">
      <alignment readingOrder="0" shrinkToFit="0" vertical="bottom" wrapText="1"/>
    </xf>
    <xf borderId="0" fillId="0" fontId="9" numFmtId="165" xfId="0" applyAlignment="1" applyFont="1" applyNumberFormat="1">
      <alignment readingOrder="0" shrinkToFit="0" vertical="bottom" wrapText="1"/>
    </xf>
    <xf borderId="0" fillId="0" fontId="9" numFmtId="0" xfId="0" applyAlignment="1" applyFont="1">
      <alignment readingOrder="0" shrinkToFit="0" vertical="bottom" wrapText="1"/>
    </xf>
    <xf borderId="0" fillId="0" fontId="6" numFmtId="49" xfId="0" applyAlignment="1" applyFont="1" applyNumberFormat="1">
      <alignment horizontal="left" readingOrder="0" shrinkToFit="0" vertical="bottom" wrapText="1"/>
    </xf>
    <xf borderId="0" fillId="0" fontId="9" numFmtId="165" xfId="0" applyAlignment="1" applyFont="1" applyNumberFormat="1">
      <alignment horizontal="right" shrinkToFit="0" vertical="bottom" wrapText="1"/>
    </xf>
    <xf borderId="0" fillId="0" fontId="1" numFmtId="10" xfId="0" applyAlignment="1" applyFont="1" applyNumberFormat="1">
      <alignment horizontal="right" vertical="bottom"/>
    </xf>
    <xf borderId="0" fillId="0" fontId="1" numFmtId="0" xfId="0" applyFont="1"/>
    <xf borderId="0" fillId="0" fontId="11" numFmtId="0" xfId="0" applyAlignment="1" applyFont="1">
      <alignment readingOrder="0"/>
    </xf>
    <xf borderId="0" fillId="0" fontId="4" numFmtId="4" xfId="0" applyAlignment="1" applyFont="1" applyNumberFormat="1">
      <alignment horizontal="center" shrinkToFit="0" vertical="center" wrapText="1"/>
    </xf>
    <xf borderId="0" fillId="0" fontId="4" numFmtId="48" xfId="0" applyAlignment="1" applyFont="1" applyNumberFormat="1">
      <alignment horizontal="center" shrinkToFit="0" vertical="center" wrapText="1"/>
    </xf>
    <xf borderId="0" fillId="0" fontId="4" numFmtId="11" xfId="0" applyAlignment="1" applyFont="1" applyNumberFormat="1">
      <alignment horizontal="center" shrinkToFit="0" vertical="center" wrapText="1"/>
    </xf>
    <xf borderId="0" fillId="0" fontId="4" numFmtId="166" xfId="0" applyAlignment="1" applyFont="1" applyNumberFormat="1">
      <alignment horizontal="center" shrinkToFit="0" vertical="center" wrapText="1"/>
    </xf>
    <xf borderId="0" fillId="0" fontId="4" numFmtId="4" xfId="0" applyAlignment="1" applyFont="1" applyNumberFormat="1">
      <alignment horizontal="center" readingOrder="0" shrinkToFit="0" vertical="center" wrapText="1"/>
    </xf>
    <xf borderId="0" fillId="0" fontId="4" numFmtId="0" xfId="0" applyAlignment="1" applyFont="1">
      <alignment horizontal="center" readingOrder="0" shrinkToFit="0" vertical="center" wrapText="1"/>
    </xf>
    <xf borderId="0" fillId="0" fontId="1" numFmtId="4" xfId="0" applyAlignment="1" applyFont="1" applyNumberFormat="1">
      <alignment horizontal="center" vertical="center"/>
    </xf>
    <xf borderId="0" fillId="0" fontId="4" numFmtId="10" xfId="0" applyAlignment="1" applyFont="1" applyNumberFormat="1">
      <alignment horizontal="center" shrinkToFit="0" vertical="center" wrapText="1"/>
    </xf>
    <xf borderId="0" fillId="0" fontId="4" numFmtId="49" xfId="0" applyAlignment="1" applyFont="1" applyNumberFormat="1">
      <alignment horizontal="center" shrinkToFit="0" vertical="center" wrapText="1"/>
    </xf>
    <xf borderId="0" fillId="0" fontId="12" numFmtId="4" xfId="0" applyAlignment="1" applyFont="1" applyNumberFormat="1">
      <alignment horizontal="center" shrinkToFit="0" vertical="center" wrapText="1"/>
    </xf>
    <xf borderId="0" fillId="0" fontId="4" numFmtId="166" xfId="0" applyAlignment="1" applyFont="1" applyNumberFormat="1">
      <alignment horizontal="center" readingOrder="0" shrinkToFit="0" vertical="center" wrapText="1"/>
    </xf>
    <xf borderId="0" fillId="0" fontId="13" numFmtId="4" xfId="0" applyAlignment="1" applyFont="1" applyNumberFormat="1">
      <alignment horizontal="center" vertical="center"/>
    </xf>
    <xf borderId="0" fillId="0" fontId="1" numFmtId="0" xfId="0" applyAlignment="1" applyFont="1">
      <alignment horizontal="center"/>
    </xf>
    <xf borderId="0" fillId="0" fontId="1" numFmtId="0" xfId="0" applyAlignment="1" applyFont="1">
      <alignment horizontal="center" vertical="bottom"/>
    </xf>
    <xf borderId="0" fillId="0" fontId="1" numFmtId="166" xfId="0" applyAlignment="1" applyFont="1" applyNumberFormat="1">
      <alignment horizontal="center" vertical="bottom"/>
    </xf>
    <xf borderId="0" fillId="0" fontId="1" numFmtId="10" xfId="0" applyAlignment="1" applyFont="1" applyNumberFormat="1">
      <alignment horizontal="center"/>
    </xf>
    <xf borderId="0" fillId="0" fontId="1" numFmtId="4" xfId="0" applyAlignment="1" applyFont="1" applyNumberFormat="1">
      <alignment horizontal="center"/>
    </xf>
    <xf borderId="0" fillId="0" fontId="1" numFmtId="48" xfId="0" applyAlignment="1" applyFont="1" applyNumberFormat="1">
      <alignment horizontal="center" vertical="bottom"/>
    </xf>
    <xf borderId="0" fillId="0" fontId="1" numFmtId="11" xfId="0" applyAlignment="1" applyFont="1" applyNumberFormat="1">
      <alignment horizontal="center" vertical="bottom"/>
    </xf>
    <xf borderId="0" fillId="0" fontId="1" numFmtId="167" xfId="0" applyAlignment="1" applyFont="1" applyNumberFormat="1">
      <alignment readingOrder="0"/>
    </xf>
    <xf borderId="0" fillId="2" fontId="14" numFmtId="0" xfId="0" applyAlignment="1" applyFill="1" applyFont="1">
      <alignment readingOrder="0"/>
    </xf>
    <xf borderId="0" fillId="0" fontId="15" numFmtId="0" xfId="0" applyAlignment="1" applyFont="1">
      <alignment readingOrder="0"/>
    </xf>
    <xf borderId="0" fillId="0" fontId="1" numFmtId="4" xfId="0" applyAlignment="1" applyFont="1" applyNumberFormat="1">
      <alignment readingOrder="0"/>
    </xf>
    <xf borderId="0" fillId="0" fontId="15" numFmtId="167" xfId="0" applyAlignment="1" applyFont="1" applyNumberFormat="1">
      <alignment readingOrder="0"/>
    </xf>
    <xf borderId="0" fillId="0" fontId="15" numFmtId="164" xfId="0" applyAlignment="1" applyFont="1" applyNumberFormat="1">
      <alignment readingOrder="0"/>
    </xf>
    <xf borderId="0" fillId="0" fontId="1" numFmtId="4" xfId="0" applyFont="1" applyNumberFormat="1"/>
    <xf borderId="0" fillId="0" fontId="4" numFmtId="48" xfId="0" applyAlignment="1" applyFont="1" applyNumberFormat="1">
      <alignment readingOrder="0" shrinkToFit="0" vertical="bottom" wrapText="1"/>
    </xf>
    <xf borderId="0" fillId="0" fontId="16" numFmtId="49" xfId="0" applyAlignment="1" applyFont="1" applyNumberFormat="1">
      <alignment horizontal="left" readingOrder="0" shrinkToFit="0" vertical="bottom" wrapText="1"/>
    </xf>
    <xf borderId="0" fillId="0" fontId="6" numFmtId="48" xfId="0" applyAlignment="1" applyFont="1" applyNumberFormat="1">
      <alignment horizontal="left" readingOrder="0" shrinkToFit="0" vertical="bottom" wrapText="1"/>
    </xf>
    <xf borderId="0" fillId="0" fontId="9" numFmtId="49" xfId="0" applyAlignment="1" applyFont="1" applyNumberFormat="1">
      <alignment readingOrder="0" shrinkToFit="0" vertical="bottom" wrapText="1"/>
    </xf>
    <xf borderId="0" fillId="0" fontId="17" numFmtId="49" xfId="0" applyAlignment="1" applyFont="1" applyNumberFormat="1">
      <alignment readingOrder="0" shrinkToFit="0" vertical="bottom" wrapText="1"/>
    </xf>
    <xf borderId="0" fillId="0" fontId="9" numFmtId="48" xfId="0" applyAlignment="1" applyFont="1" applyNumberFormat="1">
      <alignment readingOrder="0" shrinkToFit="0" vertical="bottom" wrapText="1"/>
    </xf>
    <xf borderId="0" fillId="0" fontId="9" numFmtId="0" xfId="0" applyAlignment="1" applyFont="1">
      <alignment readingOrder="0" vertical="bottom"/>
    </xf>
    <xf borderId="0" fillId="0" fontId="18" numFmtId="0" xfId="0" applyAlignment="1" applyFont="1">
      <alignment readingOrder="0" vertical="bottom"/>
    </xf>
    <xf borderId="0" fillId="0" fontId="9" numFmtId="48" xfId="0" applyAlignment="1" applyFont="1" applyNumberFormat="1">
      <alignment readingOrder="0" vertical="bottom"/>
    </xf>
    <xf borderId="0" fillId="0" fontId="1" numFmtId="48" xfId="0" applyAlignment="1" applyFont="1" applyNumberFormat="1">
      <alignment readingOrder="0" vertical="bottom"/>
    </xf>
    <xf borderId="0" fillId="0" fontId="1" numFmtId="48" xfId="0" applyAlignment="1" applyFont="1" applyNumberForma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90" Type="http://schemas.openxmlformats.org/officeDocument/2006/relationships/hyperlink" Target="https://3arbzfbsh-cname-us.ngrok.io/Desktop/seabridge%20fintech/greenline_pa_icon/EIX_pa_greenline_signal.jpg" TargetMode="External"/><Relationship Id="rId194" Type="http://schemas.openxmlformats.org/officeDocument/2006/relationships/hyperlink" Target="https://3arbzfbsh-cname-us.ngrok.io/Desktop/seabridge%20fintech/greenline_pa_icon/EMB_pa_greenline_signal.jpg" TargetMode="External"/><Relationship Id="rId193" Type="http://schemas.openxmlformats.org/officeDocument/2006/relationships/hyperlink" Target="https://3arbzfbsh-cname-us.ngrok.io/Desktop/seabridge%20fintech/greenline_pa_icon/ELY_pa_greenline_signal.jpg" TargetMode="External"/><Relationship Id="rId192" Type="http://schemas.openxmlformats.org/officeDocument/2006/relationships/hyperlink" Target="https://3arbzfbsh-cname-us.ngrok.io/Desktop/seabridge%20fintech/greenline_pa_icon/ELAN_pa_greenline_signal.jpg" TargetMode="External"/><Relationship Id="rId191" Type="http://schemas.openxmlformats.org/officeDocument/2006/relationships/hyperlink" Target="https://3arbzfbsh-cname-us.ngrok.io/Desktop/seabridge%20fintech/greenline_pa_icon/EL_pa_greenline_signal.jpg" TargetMode="External"/><Relationship Id="rId187" Type="http://schemas.openxmlformats.org/officeDocument/2006/relationships/hyperlink" Target="https://3arbzfbsh-cname-us.ngrok.io/Desktop/seabridge%20fintech/greenline_pa_icon/EEM_pa_greenline_signal.jpg" TargetMode="External"/><Relationship Id="rId186" Type="http://schemas.openxmlformats.org/officeDocument/2006/relationships/hyperlink" Target="https://3arbzfbsh-cname-us.ngrok.io/Desktop/seabridge%20fintech/greenline_pa_icon/ED_pa_greenline_signal.jpg" TargetMode="External"/><Relationship Id="rId185" Type="http://schemas.openxmlformats.org/officeDocument/2006/relationships/hyperlink" Target="https://3arbzfbsh-cname-us.ngrok.io/Desktop/seabridge%20fintech/greenline_pa_icon/ECL_pa_greenline_signal.jpg" TargetMode="External"/><Relationship Id="rId184" Type="http://schemas.openxmlformats.org/officeDocument/2006/relationships/hyperlink" Target="https://3arbzfbsh-cname-us.ngrok.io/Desktop/seabridge%20fintech/greenline_pa_icon/EBAY_pa_greenline_signal.jpg" TargetMode="External"/><Relationship Id="rId189" Type="http://schemas.openxmlformats.org/officeDocument/2006/relationships/hyperlink" Target="https://3arbzfbsh-cname-us.ngrok.io/Desktop/seabridge%20fintech/greenline_pa_icon/EFX_pa_greenline_signal.jpg" TargetMode="External"/><Relationship Id="rId188" Type="http://schemas.openxmlformats.org/officeDocument/2006/relationships/hyperlink" Target="https://3arbzfbsh-cname-us.ngrok.io/Desktop/seabridge%20fintech/greenline_pa_icon/EFA_pa_greenline_signal.jpg" TargetMode="External"/><Relationship Id="rId183" Type="http://schemas.openxmlformats.org/officeDocument/2006/relationships/hyperlink" Target="https://3arbzfbsh-cname-us.ngrok.io/Desktop/seabridge%20fintech/greenline_pa_icon/EA_pa_greenline_signal.jpg" TargetMode="External"/><Relationship Id="rId182" Type="http://schemas.openxmlformats.org/officeDocument/2006/relationships/hyperlink" Target="https://3arbzfbsh-cname-us.ngrok.io/Desktop/seabridge%20fintech/greenline_pa_icon/DXCM_pa_greenline_signal.jpg" TargetMode="External"/><Relationship Id="rId181" Type="http://schemas.openxmlformats.org/officeDocument/2006/relationships/hyperlink" Target="https://3arbzfbsh-cname-us.ngrok.io/Desktop/seabridge%20fintech/greenline_pa_icon/DXC_pa_greenline_signal.jpg" TargetMode="External"/><Relationship Id="rId180" Type="http://schemas.openxmlformats.org/officeDocument/2006/relationships/hyperlink" Target="https://3arbzfbsh-cname-us.ngrok.io/Desktop/seabridge%20fintech/greenline_pa_icon/DVN_pa_greenline_signal.jpg" TargetMode="External"/><Relationship Id="rId176" Type="http://schemas.openxmlformats.org/officeDocument/2006/relationships/hyperlink" Target="https://3arbzfbsh-cname-us.ngrok.io/Desktop/seabridge%20fintech/greenline_pa_icon/DRI_pa_greenline_signal.jpg" TargetMode="External"/><Relationship Id="rId175" Type="http://schemas.openxmlformats.org/officeDocument/2006/relationships/hyperlink" Target="https://3arbzfbsh-cname-us.ngrok.io/Desktop/seabridge%20fintech/greenline_pa_icon/DRE_pa_greenline_signal.jpg" TargetMode="External"/><Relationship Id="rId174" Type="http://schemas.openxmlformats.org/officeDocument/2006/relationships/hyperlink" Target="https://3arbzfbsh-cname-us.ngrok.io/Desktop/seabridge%20fintech/greenline_pa_icon/DPZ_pa_greenline_signal.jpg" TargetMode="External"/><Relationship Id="rId173" Type="http://schemas.openxmlformats.org/officeDocument/2006/relationships/hyperlink" Target="https://3arbzfbsh-cname-us.ngrok.io/Desktop/seabridge%20fintech/greenline_pa_icon/DOW_pa_greenline_signal.jpg" TargetMode="External"/><Relationship Id="rId179" Type="http://schemas.openxmlformats.org/officeDocument/2006/relationships/hyperlink" Target="https://3arbzfbsh-cname-us.ngrok.io/Desktop/seabridge%20fintech/greenline_pa_icon/DVA_pa_greenline_signal.jpg" TargetMode="External"/><Relationship Id="rId178" Type="http://schemas.openxmlformats.org/officeDocument/2006/relationships/hyperlink" Target="https://3arbzfbsh-cname-us.ngrok.io/Desktop/seabridge%20fintech/greenline_pa_icon/DUK_pa_greenline_signal.jpg" TargetMode="External"/><Relationship Id="rId177" Type="http://schemas.openxmlformats.org/officeDocument/2006/relationships/hyperlink" Target="https://3arbzfbsh-cname-us.ngrok.io/Desktop/seabridge%20fintech/greenline_pa_icon/DTE_pa_greenline_signal.jpg" TargetMode="External"/><Relationship Id="rId198" Type="http://schemas.openxmlformats.org/officeDocument/2006/relationships/hyperlink" Target="https://3arbzfbsh-cname-us.ngrok.io/Desktop/seabridge%20fintech/greenline_pa_icon/EOG_pa_greenline_signal.jpg" TargetMode="External"/><Relationship Id="rId197" Type="http://schemas.openxmlformats.org/officeDocument/2006/relationships/hyperlink" Target="https://3arbzfbsh-cname-us.ngrok.io/Desktop/seabridge%20fintech/greenline_pa_icon/ENPH_pa_greenline_signal.jpg" TargetMode="External"/><Relationship Id="rId196" Type="http://schemas.openxmlformats.org/officeDocument/2006/relationships/hyperlink" Target="https://3arbzfbsh-cname-us.ngrok.io/Desktop/seabridge%20fintech/greenline_pa_icon/EMR_pa_greenline_signal.jpg" TargetMode="External"/><Relationship Id="rId195" Type="http://schemas.openxmlformats.org/officeDocument/2006/relationships/hyperlink" Target="https://3arbzfbsh-cname-us.ngrok.io/Desktop/seabridge%20fintech/greenline_pa_icon/EMN_pa_greenline_signal.jpg" TargetMode="External"/><Relationship Id="rId199" Type="http://schemas.openxmlformats.org/officeDocument/2006/relationships/hyperlink" Target="https://3arbzfbsh-cname-us.ngrok.io/Desktop/seabridge%20fintech/greenline_pa_icon/EQH_pa_greenline_signal.jpg" TargetMode="External"/><Relationship Id="rId150" Type="http://schemas.openxmlformats.org/officeDocument/2006/relationships/hyperlink" Target="https://3arbzfbsh-cname-us.ngrok.io/Desktop/seabridge%20fintech/greenline_pa_icon/D_pa_greenline_signal.jpg" TargetMode="External"/><Relationship Id="rId392" Type="http://schemas.openxmlformats.org/officeDocument/2006/relationships/hyperlink" Target="https://3arbzfbsh-cname-us.ngrok.io/Desktop/seabridge%20fintech/greenline_pa_icon/MDLZ_pa_greenline_signal.jpg" TargetMode="External"/><Relationship Id="rId391" Type="http://schemas.openxmlformats.org/officeDocument/2006/relationships/hyperlink" Target="https://3arbzfbsh-cname-us.ngrok.io/Desktop/seabridge%20fintech/greenline_pa_icon/MCO_pa_greenline_signal.jpg" TargetMode="External"/><Relationship Id="rId390" Type="http://schemas.openxmlformats.org/officeDocument/2006/relationships/hyperlink" Target="https://3arbzfbsh-cname-us.ngrok.io/Desktop/seabridge%20fintech/greenline_pa_icon/MCK_pa_greenline_signal.jpg" TargetMode="External"/><Relationship Id="rId1" Type="http://schemas.openxmlformats.org/officeDocument/2006/relationships/hyperlink" Target="https://3arbzfbsh-cname-us.ngrok.io/Desktop/seabridge%20fintech/greenline_pa_icon/A_pa_greenline_signal.jpg" TargetMode="External"/><Relationship Id="rId2" Type="http://schemas.openxmlformats.org/officeDocument/2006/relationships/hyperlink" Target="https://3arbzfbsh-cname-us.ngrok.io/Desktop/seabridge%20fintech/greenline_pa_icon/AA_pa_greenline_signal.jpg" TargetMode="External"/><Relationship Id="rId3" Type="http://schemas.openxmlformats.org/officeDocument/2006/relationships/hyperlink" Target="https://3arbzfbsh-cname-us.ngrok.io/Desktop/seabridge%20fintech/greenline_pa_icon/AAL_pa_greenline_signal.jpg" TargetMode="External"/><Relationship Id="rId149" Type="http://schemas.openxmlformats.org/officeDocument/2006/relationships/hyperlink" Target="https://3arbzfbsh-cname-us.ngrok.io/Desktop/seabridge%20fintech/greenline_pa_icon/CZR_pa_greenline_signal.jpg" TargetMode="External"/><Relationship Id="rId4" Type="http://schemas.openxmlformats.org/officeDocument/2006/relationships/hyperlink" Target="https://3arbzfbsh-cname-us.ngrok.io/Desktop/seabridge%20fintech/greenline_pa_icon/AAP_pa_greenline_signal.jpg" TargetMode="External"/><Relationship Id="rId148" Type="http://schemas.openxmlformats.org/officeDocument/2006/relationships/hyperlink" Target="https://3arbzfbsh-cname-us.ngrok.io/Desktop/seabridge%20fintech/greenline_pa_icon/CVX_pa_greenline_signal.jpg" TargetMode="External"/><Relationship Id="rId9" Type="http://schemas.openxmlformats.org/officeDocument/2006/relationships/hyperlink" Target="https://3arbzfbsh-cname-us.ngrok.io/Desktop/seabridge%20fintech/greenline_pa_icon/ABT_pa_greenline_signal.jpg" TargetMode="External"/><Relationship Id="rId143" Type="http://schemas.openxmlformats.org/officeDocument/2006/relationships/hyperlink" Target="https://3arbzfbsh-cname-us.ngrok.io/Desktop/seabridge%20fintech/greenline_pa_icon/CTLT_pa_greenline_signal.jpg" TargetMode="External"/><Relationship Id="rId385" Type="http://schemas.openxmlformats.org/officeDocument/2006/relationships/hyperlink" Target="https://3arbzfbsh-cname-us.ngrok.io/Desktop/seabridge%20fintech/greenline_pa_icon/MARA_pa_greenline_signal.jpg" TargetMode="External"/><Relationship Id="rId142" Type="http://schemas.openxmlformats.org/officeDocument/2006/relationships/hyperlink" Target="https://3arbzfbsh-cname-us.ngrok.io/Desktop/seabridge%20fintech/greenline_pa_icon/CTAS_pa_greenline_signal.jpg" TargetMode="External"/><Relationship Id="rId384" Type="http://schemas.openxmlformats.org/officeDocument/2006/relationships/hyperlink" Target="https://3arbzfbsh-cname-us.ngrok.io/Desktop/seabridge%20fintech/greenline_pa_icon/MAR_pa_greenline_signal.jpg" TargetMode="External"/><Relationship Id="rId141" Type="http://schemas.openxmlformats.org/officeDocument/2006/relationships/hyperlink" Target="https://3arbzfbsh-cname-us.ngrok.io/Desktop/seabridge%20fintech/greenline_pa_icon/CSX_pa_greenline_signal.jpg" TargetMode="External"/><Relationship Id="rId383" Type="http://schemas.openxmlformats.org/officeDocument/2006/relationships/hyperlink" Target="https://3arbzfbsh-cname-us.ngrok.io/Desktop/seabridge%20fintech/greenline_pa_icon/MAA_pa_greenline_signal.jpg" TargetMode="External"/><Relationship Id="rId140" Type="http://schemas.openxmlformats.org/officeDocument/2006/relationships/hyperlink" Target="https://3arbzfbsh-cname-us.ngrok.io/Desktop/seabridge%20fintech/greenline_pa_icon/CSGP_pa_greenline_signal.jpg" TargetMode="External"/><Relationship Id="rId382" Type="http://schemas.openxmlformats.org/officeDocument/2006/relationships/hyperlink" Target="https://3arbzfbsh-cname-us.ngrok.io/Desktop/seabridge%20fintech/greenline_pa_icon/MA_pa_greenline_signal.jpg" TargetMode="External"/><Relationship Id="rId5" Type="http://schemas.openxmlformats.org/officeDocument/2006/relationships/hyperlink" Target="https://3arbzfbsh-cname-us.ngrok.io/Desktop/seabridge%20fintech/greenline_pa_icon/AAPL_pa_greenline_signal.jpg" TargetMode="External"/><Relationship Id="rId147" Type="http://schemas.openxmlformats.org/officeDocument/2006/relationships/hyperlink" Target="https://3arbzfbsh-cname-us.ngrok.io/Desktop/seabridge%20fintech/greenline_pa_icon/CVS_pa_greenline_signal.jpg" TargetMode="External"/><Relationship Id="rId389" Type="http://schemas.openxmlformats.org/officeDocument/2006/relationships/hyperlink" Target="https://3arbzfbsh-cname-us.ngrok.io/Desktop/seabridge%20fintech/greenline_pa_icon/MCHP_pa_greenline_signal.jpg" TargetMode="External"/><Relationship Id="rId6" Type="http://schemas.openxmlformats.org/officeDocument/2006/relationships/hyperlink" Target="https://3arbzfbsh-cname-us.ngrok.io/Desktop/seabridge%20fintech/greenline_pa_icon/ABBV_pa_greenline_signal.jpg" TargetMode="External"/><Relationship Id="rId146" Type="http://schemas.openxmlformats.org/officeDocument/2006/relationships/hyperlink" Target="https://3arbzfbsh-cname-us.ngrok.io/Desktop/seabridge%20fintech/greenline_pa_icon/CTXS_pa_greenline_signal.jpg" TargetMode="External"/><Relationship Id="rId388" Type="http://schemas.openxmlformats.org/officeDocument/2006/relationships/hyperlink" Target="https://3arbzfbsh-cname-us.ngrok.io/Desktop/seabridge%20fintech/greenline_pa_icon/MCHI_pa_greenline_signal.jpg" TargetMode="External"/><Relationship Id="rId7" Type="http://schemas.openxmlformats.org/officeDocument/2006/relationships/hyperlink" Target="https://3arbzfbsh-cname-us.ngrok.io/Desktop/seabridge%20fintech/greenline_pa_icon/ABC_pa_greenline_signal.jpg" TargetMode="External"/><Relationship Id="rId145" Type="http://schemas.openxmlformats.org/officeDocument/2006/relationships/hyperlink" Target="https://3arbzfbsh-cname-us.ngrok.io/Desktop/seabridge%20fintech/greenline_pa_icon/CTVA_pa_greenline_signal.jpg" TargetMode="External"/><Relationship Id="rId387" Type="http://schemas.openxmlformats.org/officeDocument/2006/relationships/hyperlink" Target="https://3arbzfbsh-cname-us.ngrok.io/Desktop/seabridge%20fintech/greenline_pa_icon/MCD_pa_greenline_signal.jpg" TargetMode="External"/><Relationship Id="rId8" Type="http://schemas.openxmlformats.org/officeDocument/2006/relationships/hyperlink" Target="https://3arbzfbsh-cname-us.ngrok.io/Desktop/seabridge%20fintech/greenline_pa_icon/ABMD_pa_greenline_signal.jpg" TargetMode="External"/><Relationship Id="rId144" Type="http://schemas.openxmlformats.org/officeDocument/2006/relationships/hyperlink" Target="https://3arbzfbsh-cname-us.ngrok.io/Desktop/seabridge%20fintech/greenline_pa_icon/CTSH_pa_greenline_signal.jpg" TargetMode="External"/><Relationship Id="rId386" Type="http://schemas.openxmlformats.org/officeDocument/2006/relationships/hyperlink" Target="https://3arbzfbsh-cname-us.ngrok.io/Desktop/seabridge%20fintech/greenline_pa_icon/MAS_pa_greenline_signal.jpg" TargetMode="External"/><Relationship Id="rId381" Type="http://schemas.openxmlformats.org/officeDocument/2006/relationships/hyperlink" Target="https://3arbzfbsh-cname-us.ngrok.io/Desktop/seabridge%20fintech/greenline_pa_icon/LYV_pa_greenline_signal.jpg" TargetMode="External"/><Relationship Id="rId380" Type="http://schemas.openxmlformats.org/officeDocument/2006/relationships/hyperlink" Target="https://3arbzfbsh-cname-us.ngrok.io/Desktop/seabridge%20fintech/greenline_pa_icon/LYFT_pa_greenline_signal.jpg" TargetMode="External"/><Relationship Id="rId139" Type="http://schemas.openxmlformats.org/officeDocument/2006/relationships/hyperlink" Target="https://3arbzfbsh-cname-us.ngrok.io/Desktop/seabridge%20fintech/greenline_pa_icon/CSCO_pa_greenline_signal.jpg" TargetMode="External"/><Relationship Id="rId138" Type="http://schemas.openxmlformats.org/officeDocument/2006/relationships/hyperlink" Target="https://3arbzfbsh-cname-us.ngrok.io/Desktop/seabridge%20fintech/greenline_pa_icon/CRWD_pa_greenline_signal.jpg" TargetMode="External"/><Relationship Id="rId137" Type="http://schemas.openxmlformats.org/officeDocument/2006/relationships/hyperlink" Target="https://3arbzfbsh-cname-us.ngrok.io/Desktop/seabridge%20fintech/greenline_pa_icon/CRSR_pa_greenline_signal.jpg" TargetMode="External"/><Relationship Id="rId379" Type="http://schemas.openxmlformats.org/officeDocument/2006/relationships/hyperlink" Target="https://3arbzfbsh-cname-us.ngrok.io/Desktop/seabridge%20fintech/greenline_pa_icon/LYB_pa_greenline_signal.jpg" TargetMode="External"/><Relationship Id="rId132" Type="http://schemas.openxmlformats.org/officeDocument/2006/relationships/hyperlink" Target="https://3arbzfbsh-cname-us.ngrok.io/Desktop/seabridge%20fintech/greenline_pa_icon/COST_pa_greenline_signal.jpg" TargetMode="External"/><Relationship Id="rId374" Type="http://schemas.openxmlformats.org/officeDocument/2006/relationships/hyperlink" Target="https://3arbzfbsh-cname-us.ngrok.io/Desktop/seabridge%20fintech/greenline_pa_icon/LULU_pa_greenline_signal.jpg" TargetMode="External"/><Relationship Id="rId131" Type="http://schemas.openxmlformats.org/officeDocument/2006/relationships/hyperlink" Target="https://3arbzfbsh-cname-us.ngrok.io/Desktop/seabridge%20fintech/greenline_pa_icon/COP_pa_greenline_signal.jpg" TargetMode="External"/><Relationship Id="rId373" Type="http://schemas.openxmlformats.org/officeDocument/2006/relationships/hyperlink" Target="https://3arbzfbsh-cname-us.ngrok.io/Desktop/seabridge%20fintech/greenline_pa_icon/LRCX_pa_greenline_signal.jpg" TargetMode="External"/><Relationship Id="rId130" Type="http://schemas.openxmlformats.org/officeDocument/2006/relationships/hyperlink" Target="https://3arbzfbsh-cname-us.ngrok.io/Desktop/seabridge%20fintech/greenline_pa_icon/COO_pa_greenline_signal.jpg" TargetMode="External"/><Relationship Id="rId372" Type="http://schemas.openxmlformats.org/officeDocument/2006/relationships/hyperlink" Target="https://3arbzfbsh-cname-us.ngrok.io/Desktop/seabridge%20fintech/greenline_pa_icon/LQD_pa_greenline_signal.jpg" TargetMode="External"/><Relationship Id="rId371" Type="http://schemas.openxmlformats.org/officeDocument/2006/relationships/hyperlink" Target="https://3arbzfbsh-cname-us.ngrok.io/Desktop/seabridge%20fintech/greenline_pa_icon/LPX_pa_greenline_signal.jpg" TargetMode="External"/><Relationship Id="rId136" Type="http://schemas.openxmlformats.org/officeDocument/2006/relationships/hyperlink" Target="https://3arbzfbsh-cname-us.ngrok.io/Desktop/seabridge%20fintech/greenline_pa_icon/CRM_pa_greenline_signal.jpg" TargetMode="External"/><Relationship Id="rId378" Type="http://schemas.openxmlformats.org/officeDocument/2006/relationships/hyperlink" Target="https://3arbzfbsh-cname-us.ngrok.io/Desktop/seabridge%20fintech/greenline_pa_icon/LW_pa_greenline_signal.jpg" TargetMode="External"/><Relationship Id="rId135" Type="http://schemas.openxmlformats.org/officeDocument/2006/relationships/hyperlink" Target="https://3arbzfbsh-cname-us.ngrok.io/Desktop/seabridge%20fintech/greenline_pa_icon/CRL_pa_greenline_signal.jpg" TargetMode="External"/><Relationship Id="rId377" Type="http://schemas.openxmlformats.org/officeDocument/2006/relationships/hyperlink" Target="https://3arbzfbsh-cname-us.ngrok.io/Desktop/seabridge%20fintech/greenline_pa_icon/LVS_pa_greenline_signal.jpg" TargetMode="External"/><Relationship Id="rId134" Type="http://schemas.openxmlformats.org/officeDocument/2006/relationships/hyperlink" Target="https://3arbzfbsh-cname-us.ngrok.io/Desktop/seabridge%20fintech/greenline_pa_icon/CPRT_pa_greenline_signal.jpg" TargetMode="External"/><Relationship Id="rId376" Type="http://schemas.openxmlformats.org/officeDocument/2006/relationships/hyperlink" Target="https://3arbzfbsh-cname-us.ngrok.io/Desktop/seabridge%20fintech/greenline_pa_icon/LUV_pa_greenline_signal.jpg" TargetMode="External"/><Relationship Id="rId133" Type="http://schemas.openxmlformats.org/officeDocument/2006/relationships/hyperlink" Target="https://3arbzfbsh-cname-us.ngrok.io/Desktop/seabridge%20fintech/greenline_pa_icon/CPB_pa_greenline_signal.jpg" TargetMode="External"/><Relationship Id="rId375" Type="http://schemas.openxmlformats.org/officeDocument/2006/relationships/hyperlink" Target="https://3arbzfbsh-cname-us.ngrok.io/Desktop/seabridge%20fintech/greenline_pa_icon/LUMN_pa_greenline_signal.jpg" TargetMode="External"/><Relationship Id="rId172" Type="http://schemas.openxmlformats.org/officeDocument/2006/relationships/hyperlink" Target="https://3arbzfbsh-cname-us.ngrok.io/Desktop/seabridge%20fintech/greenline_pa_icon/DOV_pa_greenline_signal.jpg" TargetMode="External"/><Relationship Id="rId171" Type="http://schemas.openxmlformats.org/officeDocument/2006/relationships/hyperlink" Target="https://3arbzfbsh-cname-us.ngrok.io/Desktop/seabridge%20fintech/greenline_pa_icon/DOCU_pa_greenline_signal.jpg" TargetMode="External"/><Relationship Id="rId170" Type="http://schemas.openxmlformats.org/officeDocument/2006/relationships/hyperlink" Target="https://3arbzfbsh-cname-us.ngrok.io/Desktop/seabridge%20fintech/greenline_pa_icon/DLTR_pa_greenline_signal.jpg" TargetMode="External"/><Relationship Id="rId165" Type="http://schemas.openxmlformats.org/officeDocument/2006/relationships/hyperlink" Target="https://3arbzfbsh-cname-us.ngrok.io/Desktop/seabridge%20fintech/greenline_pa_icon/DIS_pa_greenline_signal.jpg" TargetMode="External"/><Relationship Id="rId164" Type="http://schemas.openxmlformats.org/officeDocument/2006/relationships/hyperlink" Target="https://3arbzfbsh-cname-us.ngrok.io/Desktop/seabridge%20fintech/greenline_pa_icon/DIA_pa_greenline_signal.jpg" TargetMode="External"/><Relationship Id="rId163" Type="http://schemas.openxmlformats.org/officeDocument/2006/relationships/hyperlink" Target="https://3arbzfbsh-cname-us.ngrok.io/Desktop/seabridge%20fintech/greenline_pa_icon/DHR_pa_greenline_signal.jpg" TargetMode="External"/><Relationship Id="rId162" Type="http://schemas.openxmlformats.org/officeDocument/2006/relationships/hyperlink" Target="https://3arbzfbsh-cname-us.ngrok.io/Desktop/seabridge%20fintech/greenline_pa_icon/DHI_pa_greenline_signal.jpg" TargetMode="External"/><Relationship Id="rId169" Type="http://schemas.openxmlformats.org/officeDocument/2006/relationships/hyperlink" Target="https://3arbzfbsh-cname-us.ngrok.io/Desktop/seabridge%20fintech/greenline_pa_icon/DLR_pa_greenline_signal.jpg" TargetMode="External"/><Relationship Id="rId168" Type="http://schemas.openxmlformats.org/officeDocument/2006/relationships/hyperlink" Target="https://3arbzfbsh-cname-us.ngrok.io/Desktop/seabridge%20fintech/greenline_pa_icon/DKNG_pa_greenline_signal.jpg" TargetMode="External"/><Relationship Id="rId167" Type="http://schemas.openxmlformats.org/officeDocument/2006/relationships/hyperlink" Target="https://3arbzfbsh-cname-us.ngrok.io/Desktop/seabridge%20fintech/greenline_pa_icon/DISH_pa_greenline_signal.jpg" TargetMode="External"/><Relationship Id="rId166" Type="http://schemas.openxmlformats.org/officeDocument/2006/relationships/hyperlink" Target="https://3arbzfbsh-cname-us.ngrok.io/Desktop/seabridge%20fintech/greenline_pa_icon/DISCA_pa_greenline_signal.jpg" TargetMode="External"/><Relationship Id="rId161" Type="http://schemas.openxmlformats.org/officeDocument/2006/relationships/hyperlink" Target="https://3arbzfbsh-cname-us.ngrok.io/Desktop/seabridge%20fintech/greenline_pa_icon/DGX_pa_greenline_signal.jpg" TargetMode="External"/><Relationship Id="rId160" Type="http://schemas.openxmlformats.org/officeDocument/2006/relationships/hyperlink" Target="https://3arbzfbsh-cname-us.ngrok.io/Desktop/seabridge%20fintech/greenline_pa_icon/DG_pa_greenline_signal.jpg" TargetMode="External"/><Relationship Id="rId159" Type="http://schemas.openxmlformats.org/officeDocument/2006/relationships/hyperlink" Target="https://3arbzfbsh-cname-us.ngrok.io/Desktop/seabridge%20fintech/greenline_pa_icon/DFS_pa_greenline_signal.jpg" TargetMode="External"/><Relationship Id="rId154" Type="http://schemas.openxmlformats.org/officeDocument/2006/relationships/hyperlink" Target="https://3arbzfbsh-cname-us.ngrok.io/Desktop/seabridge%20fintech/greenline_pa_icon/DD_pa_greenline_signal.jpg" TargetMode="External"/><Relationship Id="rId396" Type="http://schemas.openxmlformats.org/officeDocument/2006/relationships/hyperlink" Target="https://3arbzfbsh-cname-us.ngrok.io/Desktop/seabridge%20fintech/greenline_pa_icon/MGM_pa_greenline_signal.jpg" TargetMode="External"/><Relationship Id="rId153" Type="http://schemas.openxmlformats.org/officeDocument/2006/relationships/hyperlink" Target="https://3arbzfbsh-cname-us.ngrok.io/Desktop/seabridge%20fintech/greenline_pa_icon/DBX_pa_greenline_signal.jpg" TargetMode="External"/><Relationship Id="rId395" Type="http://schemas.openxmlformats.org/officeDocument/2006/relationships/hyperlink" Target="https://3arbzfbsh-cname-us.ngrok.io/Desktop/seabridge%20fintech/greenline_pa_icon/MET_pa_greenline_signal.jpg" TargetMode="External"/><Relationship Id="rId152" Type="http://schemas.openxmlformats.org/officeDocument/2006/relationships/hyperlink" Target="https://3arbzfbsh-cname-us.ngrok.io/Desktop/seabridge%20fintech/greenline_pa_icon/DAR_pa_greenline_signal.jpg" TargetMode="External"/><Relationship Id="rId394" Type="http://schemas.openxmlformats.org/officeDocument/2006/relationships/hyperlink" Target="https://3arbzfbsh-cname-us.ngrok.io/Desktop/seabridge%20fintech/greenline_pa_icon/MELI_pa_greenline_signal.jpg" TargetMode="External"/><Relationship Id="rId151" Type="http://schemas.openxmlformats.org/officeDocument/2006/relationships/hyperlink" Target="https://3arbzfbsh-cname-us.ngrok.io/Desktop/seabridge%20fintech/greenline_pa_icon/DAL_pa_greenline_signal.jpg" TargetMode="External"/><Relationship Id="rId393" Type="http://schemas.openxmlformats.org/officeDocument/2006/relationships/hyperlink" Target="https://3arbzfbsh-cname-us.ngrok.io/Desktop/seabridge%20fintech/greenline_pa_icon/MDT_pa_greenline_signal.jpg" TargetMode="External"/><Relationship Id="rId158" Type="http://schemas.openxmlformats.org/officeDocument/2006/relationships/hyperlink" Target="https://3arbzfbsh-cname-us.ngrok.io/Desktop/seabridge%20fintech/greenline_pa_icon/DELL_pa_greenline_signal.jpg" TargetMode="External"/><Relationship Id="rId157" Type="http://schemas.openxmlformats.org/officeDocument/2006/relationships/hyperlink" Target="https://3arbzfbsh-cname-us.ngrok.io/Desktop/seabridge%20fintech/greenline_pa_icon/DE_pa_greenline_signal.jpg" TargetMode="External"/><Relationship Id="rId399" Type="http://schemas.openxmlformats.org/officeDocument/2006/relationships/hyperlink" Target="https://3arbzfbsh-cname-us.ngrok.io/Desktop/seabridge%20fintech/greenline_pa_icon/MKC_pa_greenline_signal.jpg" TargetMode="External"/><Relationship Id="rId156" Type="http://schemas.openxmlformats.org/officeDocument/2006/relationships/hyperlink" Target="https://3arbzfbsh-cname-us.ngrok.io/Desktop/seabridge%20fintech/greenline_pa_icon/DDOG_pa_greenline_signal.jpg" TargetMode="External"/><Relationship Id="rId398" Type="http://schemas.openxmlformats.org/officeDocument/2006/relationships/hyperlink" Target="https://3arbzfbsh-cname-us.ngrok.io/Desktop/seabridge%20fintech/greenline_pa_icon/MHK_pa_greenline_signal.jpg" TargetMode="External"/><Relationship Id="rId155" Type="http://schemas.openxmlformats.org/officeDocument/2006/relationships/hyperlink" Target="https://3arbzfbsh-cname-us.ngrok.io/Desktop/seabridge%20fintech/greenline_pa_icon/DDD_pa_greenline_signal.jpg" TargetMode="External"/><Relationship Id="rId397" Type="http://schemas.openxmlformats.org/officeDocument/2006/relationships/hyperlink" Target="https://3arbzfbsh-cname-us.ngrok.io/Desktop/seabridge%20fintech/greenline_pa_icon/MGNI_pa_greenline_signal.jpg" TargetMode="External"/><Relationship Id="rId40" Type="http://schemas.openxmlformats.org/officeDocument/2006/relationships/hyperlink" Target="https://3arbzfbsh-cname-us.ngrok.io/Desktop/seabridge%20fintech/greenline_pa_icon/AMLP_pa_greenline_signal.jpg" TargetMode="External"/><Relationship Id="rId42" Type="http://schemas.openxmlformats.org/officeDocument/2006/relationships/hyperlink" Target="https://3arbzfbsh-cname-us.ngrok.io/Desktop/seabridge%20fintech/greenline_pa_icon/AMT_pa_greenline_signal.jpg" TargetMode="External"/><Relationship Id="rId41" Type="http://schemas.openxmlformats.org/officeDocument/2006/relationships/hyperlink" Target="https://3arbzfbsh-cname-us.ngrok.io/Desktop/seabridge%20fintech/greenline_pa_icon/AMP_pa_greenline_signal.jpg" TargetMode="External"/><Relationship Id="rId44" Type="http://schemas.openxmlformats.org/officeDocument/2006/relationships/hyperlink" Target="https://3arbzfbsh-cname-us.ngrok.io/Desktop/seabridge%20fintech/greenline_pa_icon/ANET_pa_greenline_signal.jpg" TargetMode="External"/><Relationship Id="rId43" Type="http://schemas.openxmlformats.org/officeDocument/2006/relationships/hyperlink" Target="https://3arbzfbsh-cname-us.ngrok.io/Desktop/seabridge%20fintech/greenline_pa_icon/AMZN_pa_greenline_signal.jpg" TargetMode="External"/><Relationship Id="rId46" Type="http://schemas.openxmlformats.org/officeDocument/2006/relationships/hyperlink" Target="https://3arbzfbsh-cname-us.ngrok.io/Desktop/seabridge%20fintech/greenline_pa_icon/ANTM_pa_greenline_signal.jpg" TargetMode="External"/><Relationship Id="rId45" Type="http://schemas.openxmlformats.org/officeDocument/2006/relationships/hyperlink" Target="https://3arbzfbsh-cname-us.ngrok.io/Desktop/seabridge%20fintech/greenline_pa_icon/ANSS_pa_greenline_signal.jpg" TargetMode="External"/><Relationship Id="rId509" Type="http://schemas.openxmlformats.org/officeDocument/2006/relationships/hyperlink" Target="https://3arbzfbsh-cname-us.ngrok.io/Desktop/seabridge%20fintech/greenline_pa_icon/QRVO_pa_greenline_signal.jpg" TargetMode="External"/><Relationship Id="rId508" Type="http://schemas.openxmlformats.org/officeDocument/2006/relationships/hyperlink" Target="https://3arbzfbsh-cname-us.ngrok.io/Desktop/seabridge%20fintech/greenline_pa_icon/QQQ_pa_greenline_signal.jpg" TargetMode="External"/><Relationship Id="rId503" Type="http://schemas.openxmlformats.org/officeDocument/2006/relationships/hyperlink" Target="https://3arbzfbsh-cname-us.ngrok.io/Desktop/seabridge%20fintech/greenline_pa_icon/PWR_pa_greenline_signal.jpg" TargetMode="External"/><Relationship Id="rId502" Type="http://schemas.openxmlformats.org/officeDocument/2006/relationships/hyperlink" Target="https://3arbzfbsh-cname-us.ngrok.io/Desktop/seabridge%20fintech/greenline_pa_icon/PVH_pa_greenline_signal.jpg" TargetMode="External"/><Relationship Id="rId501" Type="http://schemas.openxmlformats.org/officeDocument/2006/relationships/hyperlink" Target="https://3arbzfbsh-cname-us.ngrok.io/Desktop/seabridge%20fintech/greenline_pa_icon/PTON_pa_greenline_signal.jpg" TargetMode="External"/><Relationship Id="rId500" Type="http://schemas.openxmlformats.org/officeDocument/2006/relationships/hyperlink" Target="https://3arbzfbsh-cname-us.ngrok.io/Desktop/seabridge%20fintech/greenline_pa_icon/PTC_pa_greenline_signal.jpg" TargetMode="External"/><Relationship Id="rId507" Type="http://schemas.openxmlformats.org/officeDocument/2006/relationships/hyperlink" Target="https://3arbzfbsh-cname-us.ngrok.io/Desktop/seabridge%20fintech/greenline_pa_icon/QLD_pa_greenline_signal.jpg" TargetMode="External"/><Relationship Id="rId506" Type="http://schemas.openxmlformats.org/officeDocument/2006/relationships/hyperlink" Target="https://3arbzfbsh-cname-us.ngrok.io/Desktop/seabridge%20fintech/greenline_pa_icon/QCOM_pa_greenline_signal.jpg" TargetMode="External"/><Relationship Id="rId505" Type="http://schemas.openxmlformats.org/officeDocument/2006/relationships/hyperlink" Target="https://3arbzfbsh-cname-us.ngrok.io/Desktop/seabridge%20fintech/greenline_pa_icon/PYPL_pa_greenline_signal.jpg" TargetMode="External"/><Relationship Id="rId504" Type="http://schemas.openxmlformats.org/officeDocument/2006/relationships/hyperlink" Target="https://3arbzfbsh-cname-us.ngrok.io/Desktop/seabridge%20fintech/greenline_pa_icon/PXD_pa_greenline_signal.jpg" TargetMode="External"/><Relationship Id="rId48" Type="http://schemas.openxmlformats.org/officeDocument/2006/relationships/hyperlink" Target="https://3arbzfbsh-cname-us.ngrok.io/Desktop/seabridge%20fintech/greenline_pa_icon/AOS_pa_greenline_signal.jpg" TargetMode="External"/><Relationship Id="rId47" Type="http://schemas.openxmlformats.org/officeDocument/2006/relationships/hyperlink" Target="https://3arbzfbsh-cname-us.ngrok.io/Desktop/seabridge%20fintech/greenline_pa_icon/AON_pa_greenline_signal.jpg" TargetMode="External"/><Relationship Id="rId49" Type="http://schemas.openxmlformats.org/officeDocument/2006/relationships/hyperlink" Target="https://3arbzfbsh-cname-us.ngrok.io/Desktop/seabridge%20fintech/greenline_pa_icon/APA_pa_greenline_signal.jpg" TargetMode="External"/><Relationship Id="rId31" Type="http://schemas.openxmlformats.org/officeDocument/2006/relationships/hyperlink" Target="https://3arbzfbsh-cname-us.ngrok.io/Desktop/seabridge%20fintech/greenline_pa_icon/ALLE_pa_greenline_signal.jpg" TargetMode="External"/><Relationship Id="rId30" Type="http://schemas.openxmlformats.org/officeDocument/2006/relationships/hyperlink" Target="https://3arbzfbsh-cname-us.ngrok.io/Desktop/seabridge%20fintech/greenline_pa_icon/ALL_pa_greenline_signal.jpg" TargetMode="External"/><Relationship Id="rId33" Type="http://schemas.openxmlformats.org/officeDocument/2006/relationships/hyperlink" Target="https://3arbzfbsh-cname-us.ngrok.io/Desktop/seabridge%20fintech/greenline_pa_icon/ALXN_pa_greenline_signal.jpg" TargetMode="External"/><Relationship Id="rId32" Type="http://schemas.openxmlformats.org/officeDocument/2006/relationships/hyperlink" Target="https://3arbzfbsh-cname-us.ngrok.io/Desktop/seabridge%20fintech/greenline_pa_icon/ALLY_pa_greenline_signal.jpg" TargetMode="External"/><Relationship Id="rId35" Type="http://schemas.openxmlformats.org/officeDocument/2006/relationships/hyperlink" Target="https://3arbzfbsh-cname-us.ngrok.io/Desktop/seabridge%20fintech/greenline_pa_icon/AMC_pa_greenline_signal.jpg" TargetMode="External"/><Relationship Id="rId34" Type="http://schemas.openxmlformats.org/officeDocument/2006/relationships/hyperlink" Target="https://3arbzfbsh-cname-us.ngrok.io/Desktop/seabridge%20fintech/greenline_pa_icon/AMAT_pa_greenline_signal.jpg" TargetMode="External"/><Relationship Id="rId37" Type="http://schemas.openxmlformats.org/officeDocument/2006/relationships/hyperlink" Target="https://3arbzfbsh-cname-us.ngrok.io/Desktop/seabridge%20fintech/greenline_pa_icon/AMD_pa_greenline_signal.jpg" TargetMode="External"/><Relationship Id="rId36" Type="http://schemas.openxmlformats.org/officeDocument/2006/relationships/hyperlink" Target="https://3arbzfbsh-cname-us.ngrok.io/Desktop/seabridge%20fintech/greenline_pa_icon/AMCR_pa_greenline_signal.jpg" TargetMode="External"/><Relationship Id="rId39" Type="http://schemas.openxmlformats.org/officeDocument/2006/relationships/hyperlink" Target="https://3arbzfbsh-cname-us.ngrok.io/Desktop/seabridge%20fintech/greenline_pa_icon/AMGN_pa_greenline_signal.jpg" TargetMode="External"/><Relationship Id="rId38" Type="http://schemas.openxmlformats.org/officeDocument/2006/relationships/hyperlink" Target="https://3arbzfbsh-cname-us.ngrok.io/Desktop/seabridge%20fintech/greenline_pa_icon/AME_pa_greenline_signal.jpg" TargetMode="External"/><Relationship Id="rId20" Type="http://schemas.openxmlformats.org/officeDocument/2006/relationships/hyperlink" Target="https://3arbzfbsh-cname-us.ngrok.io/Desktop/seabridge%20fintech/greenline_pa_icon/AFL_pa_greenline_signal.jpg" TargetMode="External"/><Relationship Id="rId22" Type="http://schemas.openxmlformats.org/officeDocument/2006/relationships/hyperlink" Target="https://3arbzfbsh-cname-us.ngrok.io/Desktop/seabridge%20fintech/greenline_pa_icon/AI_pa_greenline_signal.jpg" TargetMode="External"/><Relationship Id="rId21" Type="http://schemas.openxmlformats.org/officeDocument/2006/relationships/hyperlink" Target="https://3arbzfbsh-cname-us.ngrok.io/Desktop/seabridge%20fintech/greenline_pa_icon/AGG_pa_greenline_signal.jpg" TargetMode="External"/><Relationship Id="rId24" Type="http://schemas.openxmlformats.org/officeDocument/2006/relationships/hyperlink" Target="https://3arbzfbsh-cname-us.ngrok.io/Desktop/seabridge%20fintech/greenline_pa_icon/AIZ_pa_greenline_signal.jpg" TargetMode="External"/><Relationship Id="rId23" Type="http://schemas.openxmlformats.org/officeDocument/2006/relationships/hyperlink" Target="https://3arbzfbsh-cname-us.ngrok.io/Desktop/seabridge%20fintech/greenline_pa_icon/AIG_pa_greenline_signal.jpg" TargetMode="External"/><Relationship Id="rId525" Type="http://schemas.openxmlformats.org/officeDocument/2006/relationships/hyperlink" Target="https://3arbzfbsh-cname-us.ngrok.io/Desktop/seabridge%20fintech/greenline_pa_icon/RSG_pa_greenline_signal.jpg" TargetMode="External"/><Relationship Id="rId524" Type="http://schemas.openxmlformats.org/officeDocument/2006/relationships/hyperlink" Target="https://3arbzfbsh-cname-us.ngrok.io/Desktop/seabridge%20fintech/greenline_pa_icon/ROST_pa_greenline_signal.jpg" TargetMode="External"/><Relationship Id="rId523" Type="http://schemas.openxmlformats.org/officeDocument/2006/relationships/hyperlink" Target="https://3arbzfbsh-cname-us.ngrok.io/Desktop/seabridge%20fintech/greenline_pa_icon/ROP_pa_greenline_signal.jpg" TargetMode="External"/><Relationship Id="rId522" Type="http://schemas.openxmlformats.org/officeDocument/2006/relationships/hyperlink" Target="https://3arbzfbsh-cname-us.ngrok.io/Desktop/seabridge%20fintech/greenline_pa_icon/ROL_pa_greenline_signal.jpg" TargetMode="External"/><Relationship Id="rId529" Type="http://schemas.openxmlformats.org/officeDocument/2006/relationships/hyperlink" Target="https://3arbzfbsh-cname-us.ngrok.io/Desktop/seabridge%20fintech/greenline_pa_icon/SAVA_pa_greenline_signal.jpg" TargetMode="External"/><Relationship Id="rId528" Type="http://schemas.openxmlformats.org/officeDocument/2006/relationships/hyperlink" Target="https://3arbzfbsh-cname-us.ngrok.io/Desktop/seabridge%20fintech/greenline_pa_icon/RUN_pa_greenline_signal.jpg" TargetMode="External"/><Relationship Id="rId527" Type="http://schemas.openxmlformats.org/officeDocument/2006/relationships/hyperlink" Target="https://3arbzfbsh-cname-us.ngrok.io/Desktop/seabridge%20fintech/greenline_pa_icon/RTX_pa_greenline_signal.jpg" TargetMode="External"/><Relationship Id="rId526" Type="http://schemas.openxmlformats.org/officeDocument/2006/relationships/hyperlink" Target="https://3arbzfbsh-cname-us.ngrok.io/Desktop/seabridge%20fintech/greenline_pa_icon/RSP_pa_greenline_signal.jpg" TargetMode="External"/><Relationship Id="rId26" Type="http://schemas.openxmlformats.org/officeDocument/2006/relationships/hyperlink" Target="https://3arbzfbsh-cname-us.ngrok.io/Desktop/seabridge%20fintech/greenline_pa_icon/AKAM_pa_greenline_signal.jpg" TargetMode="External"/><Relationship Id="rId25" Type="http://schemas.openxmlformats.org/officeDocument/2006/relationships/hyperlink" Target="https://3arbzfbsh-cname-us.ngrok.io/Desktop/seabridge%20fintech/greenline_pa_icon/AJG_pa_greenline_signal.jpg" TargetMode="External"/><Relationship Id="rId28" Type="http://schemas.openxmlformats.org/officeDocument/2006/relationships/hyperlink" Target="https://3arbzfbsh-cname-us.ngrok.io/Desktop/seabridge%20fintech/greenline_pa_icon/ALGN_pa_greenline_signal.jpg" TargetMode="External"/><Relationship Id="rId27" Type="http://schemas.openxmlformats.org/officeDocument/2006/relationships/hyperlink" Target="https://3arbzfbsh-cname-us.ngrok.io/Desktop/seabridge%20fintech/greenline_pa_icon/ALB_pa_greenline_signal.jpg" TargetMode="External"/><Relationship Id="rId521" Type="http://schemas.openxmlformats.org/officeDocument/2006/relationships/hyperlink" Target="https://3arbzfbsh-cname-us.ngrok.io/Desktop/seabridge%20fintech/greenline_pa_icon/ROKU_pa_greenline_signal.jpg" TargetMode="External"/><Relationship Id="rId29" Type="http://schemas.openxmlformats.org/officeDocument/2006/relationships/hyperlink" Target="https://3arbzfbsh-cname-us.ngrok.io/Desktop/seabridge%20fintech/greenline_pa_icon/ALK_pa_greenline_signal.jpg" TargetMode="External"/><Relationship Id="rId520" Type="http://schemas.openxmlformats.org/officeDocument/2006/relationships/hyperlink" Target="https://3arbzfbsh-cname-us.ngrok.io/Desktop/seabridge%20fintech/greenline_pa_icon/ROK_pa_greenline_signal.jpg" TargetMode="External"/><Relationship Id="rId11" Type="http://schemas.openxmlformats.org/officeDocument/2006/relationships/hyperlink" Target="https://3arbzfbsh-cname-us.ngrok.io/Desktop/seabridge%20fintech/greenline_pa_icon/ADBE_pa_greenline_signal.jpg" TargetMode="External"/><Relationship Id="rId10" Type="http://schemas.openxmlformats.org/officeDocument/2006/relationships/hyperlink" Target="https://3arbzfbsh-cname-us.ngrok.io/Desktop/seabridge%20fintech/greenline_pa_icon/ACN_pa_greenline_signal.jpg" TargetMode="External"/><Relationship Id="rId13" Type="http://schemas.openxmlformats.org/officeDocument/2006/relationships/hyperlink" Target="https://3arbzfbsh-cname-us.ngrok.io/Desktop/seabridge%20fintech/greenline_pa_icon/ADM_pa_greenline_signal.jpg" TargetMode="External"/><Relationship Id="rId12" Type="http://schemas.openxmlformats.org/officeDocument/2006/relationships/hyperlink" Target="https://3arbzfbsh-cname-us.ngrok.io/Desktop/seabridge%20fintech/greenline_pa_icon/ADI_pa_greenline_signal.jpg" TargetMode="External"/><Relationship Id="rId519" Type="http://schemas.openxmlformats.org/officeDocument/2006/relationships/hyperlink" Target="https://3arbzfbsh-cname-us.ngrok.io/Desktop/seabridge%20fintech/greenline_pa_icon/RMD_pa_greenline_signal.jpg" TargetMode="External"/><Relationship Id="rId514" Type="http://schemas.openxmlformats.org/officeDocument/2006/relationships/hyperlink" Target="https://3arbzfbsh-cname-us.ngrok.io/Desktop/seabridge%20fintech/greenline_pa_icon/RF_pa_greenline_signal.jpg" TargetMode="External"/><Relationship Id="rId513" Type="http://schemas.openxmlformats.org/officeDocument/2006/relationships/hyperlink" Target="https://3arbzfbsh-cname-us.ngrok.io/Desktop/seabridge%20fintech/greenline_pa_icon/REGN_pa_greenline_signal.jpg" TargetMode="External"/><Relationship Id="rId512" Type="http://schemas.openxmlformats.org/officeDocument/2006/relationships/hyperlink" Target="https://3arbzfbsh-cname-us.ngrok.io/Desktop/seabridge%20fintech/greenline_pa_icon/REG_pa_greenline_signal.jpg" TargetMode="External"/><Relationship Id="rId511" Type="http://schemas.openxmlformats.org/officeDocument/2006/relationships/hyperlink" Target="https://3arbzfbsh-cname-us.ngrok.io/Desktop/seabridge%20fintech/greenline_pa_icon/RE_pa_greenline_signal.jpg" TargetMode="External"/><Relationship Id="rId518" Type="http://schemas.openxmlformats.org/officeDocument/2006/relationships/hyperlink" Target="https://3arbzfbsh-cname-us.ngrok.io/Desktop/seabridge%20fintech/greenline_pa_icon/RL_pa_greenline_signal.jpg" TargetMode="External"/><Relationship Id="rId517" Type="http://schemas.openxmlformats.org/officeDocument/2006/relationships/hyperlink" Target="https://3arbzfbsh-cname-us.ngrok.io/Desktop/seabridge%20fintech/greenline_pa_icon/RJF_pa_greenline_signal.jpg" TargetMode="External"/><Relationship Id="rId516" Type="http://schemas.openxmlformats.org/officeDocument/2006/relationships/hyperlink" Target="https://3arbzfbsh-cname-us.ngrok.io/Desktop/seabridge%20fintech/greenline_pa_icon/RIOT_pa_greenline_signal.jpg" TargetMode="External"/><Relationship Id="rId515" Type="http://schemas.openxmlformats.org/officeDocument/2006/relationships/hyperlink" Target="https://3arbzfbsh-cname-us.ngrok.io/Desktop/seabridge%20fintech/greenline_pa_icon/RHI_pa_greenline_signal.jpg" TargetMode="External"/><Relationship Id="rId15" Type="http://schemas.openxmlformats.org/officeDocument/2006/relationships/hyperlink" Target="https://3arbzfbsh-cname-us.ngrok.io/Desktop/seabridge%20fintech/greenline_pa_icon/ADSK_pa_greenline_signal.jpg" TargetMode="External"/><Relationship Id="rId14" Type="http://schemas.openxmlformats.org/officeDocument/2006/relationships/hyperlink" Target="https://3arbzfbsh-cname-us.ngrok.io/Desktop/seabridge%20fintech/greenline_pa_icon/ADP_pa_greenline_signal.jpg" TargetMode="External"/><Relationship Id="rId17" Type="http://schemas.openxmlformats.org/officeDocument/2006/relationships/hyperlink" Target="https://3arbzfbsh-cname-us.ngrok.io/Desktop/seabridge%20fintech/greenline_pa_icon/AEO_pa_greenline_signal.jpg" TargetMode="External"/><Relationship Id="rId16" Type="http://schemas.openxmlformats.org/officeDocument/2006/relationships/hyperlink" Target="https://3arbzfbsh-cname-us.ngrok.io/Desktop/seabridge%20fintech/greenline_pa_icon/AEE_pa_greenline_signal.jpg" TargetMode="External"/><Relationship Id="rId19" Type="http://schemas.openxmlformats.org/officeDocument/2006/relationships/hyperlink" Target="https://3arbzfbsh-cname-us.ngrok.io/Desktop/seabridge%20fintech/greenline_pa_icon/AES_pa_greenline_signal.jpg" TargetMode="External"/><Relationship Id="rId510" Type="http://schemas.openxmlformats.org/officeDocument/2006/relationships/hyperlink" Target="https://3arbzfbsh-cname-us.ngrok.io/Desktop/seabridge%20fintech/greenline_pa_icon/RCL_pa_greenline_signal.jpg" TargetMode="External"/><Relationship Id="rId18" Type="http://schemas.openxmlformats.org/officeDocument/2006/relationships/hyperlink" Target="https://3arbzfbsh-cname-us.ngrok.io/Desktop/seabridge%20fintech/greenline_pa_icon/AEP_pa_greenline_signal.jpg" TargetMode="External"/><Relationship Id="rId84" Type="http://schemas.openxmlformats.org/officeDocument/2006/relationships/hyperlink" Target="https://3arbzfbsh-cname-us.ngrok.io/Desktop/seabridge%20fintech/greenline_pa_icon/BLK_pa_greenline_signal.jpg" TargetMode="External"/><Relationship Id="rId83" Type="http://schemas.openxmlformats.org/officeDocument/2006/relationships/hyperlink" Target="https://3arbzfbsh-cname-us.ngrok.io/Desktop/seabridge%20fintech/greenline_pa_icon/BLDR_pa_greenline_signal.jpg" TargetMode="External"/><Relationship Id="rId86" Type="http://schemas.openxmlformats.org/officeDocument/2006/relationships/hyperlink" Target="https://3arbzfbsh-cname-us.ngrok.io/Desktop/seabridge%20fintech/greenline_pa_icon/BMY_pa_greenline_signal.jpg" TargetMode="External"/><Relationship Id="rId85" Type="http://schemas.openxmlformats.org/officeDocument/2006/relationships/hyperlink" Target="https://3arbzfbsh-cname-us.ngrok.io/Desktop/seabridge%20fintech/greenline_pa_icon/BLL_pa_greenline_signal.jpg" TargetMode="External"/><Relationship Id="rId88" Type="http://schemas.openxmlformats.org/officeDocument/2006/relationships/hyperlink" Target="https://3arbzfbsh-cname-us.ngrok.io/Desktop/seabridge%20fintech/greenline_pa_icon/BNDX_pa_greenline_signal.jpg" TargetMode="External"/><Relationship Id="rId87" Type="http://schemas.openxmlformats.org/officeDocument/2006/relationships/hyperlink" Target="https://3arbzfbsh-cname-us.ngrok.io/Desktop/seabridge%20fintech/greenline_pa_icon/BND_pa_greenline_signal.jpg" TargetMode="External"/><Relationship Id="rId89" Type="http://schemas.openxmlformats.org/officeDocument/2006/relationships/hyperlink" Target="https://3arbzfbsh-cname-us.ngrok.io/Desktop/seabridge%20fintech/greenline_pa_icon/BR_pa_greenline_signal.jpg" TargetMode="External"/><Relationship Id="rId80" Type="http://schemas.openxmlformats.org/officeDocument/2006/relationships/hyperlink" Target="https://3arbzfbsh-cname-us.ngrok.io/Desktop/seabridge%20fintech/greenline_pa_icon/BK_pa_greenline_signal.jpg" TargetMode="External"/><Relationship Id="rId82" Type="http://schemas.openxmlformats.org/officeDocument/2006/relationships/hyperlink" Target="https://3arbzfbsh-cname-us.ngrok.io/Desktop/seabridge%20fintech/greenline_pa_icon/BKR_pa_greenline_signal.jpg" TargetMode="External"/><Relationship Id="rId81" Type="http://schemas.openxmlformats.org/officeDocument/2006/relationships/hyperlink" Target="https://3arbzfbsh-cname-us.ngrok.io/Desktop/seabridge%20fintech/greenline_pa_icon/BKNG_pa_greenline_signal.jpg" TargetMode="External"/><Relationship Id="rId701" Type="http://schemas.openxmlformats.org/officeDocument/2006/relationships/drawing" Target="../drawings/drawing10.xml"/><Relationship Id="rId700" Type="http://schemas.openxmlformats.org/officeDocument/2006/relationships/hyperlink" Target="https://3arbzfbsh-cname-us.ngrok.io/Desktop/seabridge%20fintech/greenline_pa_icon/ZTS_pa_greenline_signal.jpg" TargetMode="External"/><Relationship Id="rId73" Type="http://schemas.openxmlformats.org/officeDocument/2006/relationships/hyperlink" Target="https://3arbzfbsh-cname-us.ngrok.io/Desktop/seabridge%20fintech/greenline_pa_icon/BBBY_pa_greenline_signal.jpg" TargetMode="External"/><Relationship Id="rId72" Type="http://schemas.openxmlformats.org/officeDocument/2006/relationships/hyperlink" Target="https://3arbzfbsh-cname-us.ngrok.io/Desktop/seabridge%20fintech/greenline_pa_icon/BAX_pa_greenline_signal.jpg" TargetMode="External"/><Relationship Id="rId75" Type="http://schemas.openxmlformats.org/officeDocument/2006/relationships/hyperlink" Target="https://3arbzfbsh-cname-us.ngrok.io/Desktop/seabridge%20fintech/greenline_pa_icon/BDX_pa_greenline_signal.jpg" TargetMode="External"/><Relationship Id="rId74" Type="http://schemas.openxmlformats.org/officeDocument/2006/relationships/hyperlink" Target="https://3arbzfbsh-cname-us.ngrok.io/Desktop/seabridge%20fintech/greenline_pa_icon/BBY_pa_greenline_signal.jpg" TargetMode="External"/><Relationship Id="rId77" Type="http://schemas.openxmlformats.org/officeDocument/2006/relationships/hyperlink" Target="https://3arbzfbsh-cname-us.ngrok.io/Desktop/seabridge%20fintech/greenline_pa_icon/BIDU_pa_greenline_signal.jpg" TargetMode="External"/><Relationship Id="rId76" Type="http://schemas.openxmlformats.org/officeDocument/2006/relationships/hyperlink" Target="https://3arbzfbsh-cname-us.ngrok.io/Desktop/seabridge%20fintech/greenline_pa_icon/BEN_pa_greenline_signal.jpg" TargetMode="External"/><Relationship Id="rId79" Type="http://schemas.openxmlformats.org/officeDocument/2006/relationships/hyperlink" Target="https://3arbzfbsh-cname-us.ngrok.io/Desktop/seabridge%20fintech/greenline_pa_icon/BIO_pa_greenline_signal.jpg" TargetMode="External"/><Relationship Id="rId78" Type="http://schemas.openxmlformats.org/officeDocument/2006/relationships/hyperlink" Target="https://3arbzfbsh-cname-us.ngrok.io/Desktop/seabridge%20fintech/greenline_pa_icon/BIIB_pa_greenline_signal.jpg" TargetMode="External"/><Relationship Id="rId71" Type="http://schemas.openxmlformats.org/officeDocument/2006/relationships/hyperlink" Target="https://3arbzfbsh-cname-us.ngrok.io/Desktop/seabridge%20fintech/greenline_pa_icon/BAC_pa_greenline_signal.jpg" TargetMode="External"/><Relationship Id="rId70" Type="http://schemas.openxmlformats.org/officeDocument/2006/relationships/hyperlink" Target="https://3arbzfbsh-cname-us.ngrok.io/Desktop/seabridge%20fintech/greenline_pa_icon/BA_pa_greenline_signal.jpg" TargetMode="External"/><Relationship Id="rId62" Type="http://schemas.openxmlformats.org/officeDocument/2006/relationships/hyperlink" Target="https://3arbzfbsh-cname-us.ngrok.io/Desktop/seabridge%20fintech/greenline_pa_icon/AVB_pa_greenline_signal.jpg" TargetMode="External"/><Relationship Id="rId61" Type="http://schemas.openxmlformats.org/officeDocument/2006/relationships/hyperlink" Target="https://3arbzfbsh-cname-us.ngrok.io/Desktop/seabridge%20fintech/greenline_pa_icon/ATVI_pa_greenline_signal.jpg" TargetMode="External"/><Relationship Id="rId64" Type="http://schemas.openxmlformats.org/officeDocument/2006/relationships/hyperlink" Target="https://3arbzfbsh-cname-us.ngrok.io/Desktop/seabridge%20fintech/greenline_pa_icon/AVTR_pa_greenline_signal.jpg" TargetMode="External"/><Relationship Id="rId63" Type="http://schemas.openxmlformats.org/officeDocument/2006/relationships/hyperlink" Target="https://3arbzfbsh-cname-us.ngrok.io/Desktop/seabridge%20fintech/greenline_pa_icon/AVGO_pa_greenline_signal.jpg" TargetMode="External"/><Relationship Id="rId66" Type="http://schemas.openxmlformats.org/officeDocument/2006/relationships/hyperlink" Target="https://3arbzfbsh-cname-us.ngrok.io/Desktop/seabridge%20fintech/greenline_pa_icon/AWK_pa_greenline_signal.jpg" TargetMode="External"/><Relationship Id="rId65" Type="http://schemas.openxmlformats.org/officeDocument/2006/relationships/hyperlink" Target="https://3arbzfbsh-cname-us.ngrok.io/Desktop/seabridge%20fintech/greenline_pa_icon/AVY_pa_greenline_signal.jpg" TargetMode="External"/><Relationship Id="rId68" Type="http://schemas.openxmlformats.org/officeDocument/2006/relationships/hyperlink" Target="https://3arbzfbsh-cname-us.ngrok.io/Desktop/seabridge%20fintech/greenline_pa_icon/AXTA_pa_greenline_signal.jpg" TargetMode="External"/><Relationship Id="rId67" Type="http://schemas.openxmlformats.org/officeDocument/2006/relationships/hyperlink" Target="https://3arbzfbsh-cname-us.ngrok.io/Desktop/seabridge%20fintech/greenline_pa_icon/AXP_pa_greenline_signal.jpg" TargetMode="External"/><Relationship Id="rId60" Type="http://schemas.openxmlformats.org/officeDocument/2006/relationships/hyperlink" Target="https://3arbzfbsh-cname-us.ngrok.io/Desktop/seabridge%20fintech/greenline_pa_icon/ATUS_pa_greenline_signal.jpg" TargetMode="External"/><Relationship Id="rId69" Type="http://schemas.openxmlformats.org/officeDocument/2006/relationships/hyperlink" Target="https://3arbzfbsh-cname-us.ngrok.io/Desktop/seabridge%20fintech/greenline_pa_icon/AZO_pa_greenline_signal.jpg" TargetMode="External"/><Relationship Id="rId51" Type="http://schemas.openxmlformats.org/officeDocument/2006/relationships/hyperlink" Target="https://3arbzfbsh-cname-us.ngrok.io/Desktop/seabridge%20fintech/greenline_pa_icon/APH_pa_greenline_signal.jpg" TargetMode="External"/><Relationship Id="rId50" Type="http://schemas.openxmlformats.org/officeDocument/2006/relationships/hyperlink" Target="https://3arbzfbsh-cname-us.ngrok.io/Desktop/seabridge%20fintech/greenline_pa_icon/APD_pa_greenline_signal.jpg" TargetMode="External"/><Relationship Id="rId53" Type="http://schemas.openxmlformats.org/officeDocument/2006/relationships/hyperlink" Target="https://3arbzfbsh-cname-us.ngrok.io/Desktop/seabridge%20fintech/greenline_pa_icon/APPS_pa_greenline_signal.jpg" TargetMode="External"/><Relationship Id="rId52" Type="http://schemas.openxmlformats.org/officeDocument/2006/relationships/hyperlink" Target="https://3arbzfbsh-cname-us.ngrok.io/Desktop/seabridge%20fintech/greenline_pa_icon/APO_pa_greenline_signal.jpg" TargetMode="External"/><Relationship Id="rId55" Type="http://schemas.openxmlformats.org/officeDocument/2006/relationships/hyperlink" Target="https://3arbzfbsh-cname-us.ngrok.io/Desktop/seabridge%20fintech/greenline_pa_icon/ARE_pa_greenline_signal.jpg" TargetMode="External"/><Relationship Id="rId54" Type="http://schemas.openxmlformats.org/officeDocument/2006/relationships/hyperlink" Target="https://3arbzfbsh-cname-us.ngrok.io/Desktop/seabridge%20fintech/greenline_pa_icon/APTV_pa_greenline_signal.jpg" TargetMode="External"/><Relationship Id="rId57" Type="http://schemas.openxmlformats.org/officeDocument/2006/relationships/hyperlink" Target="https://3arbzfbsh-cname-us.ngrok.io/Desktop/seabridge%20fintech/greenline_pa_icon/ASHR_pa_greenline_signal.jpg" TargetMode="External"/><Relationship Id="rId56" Type="http://schemas.openxmlformats.org/officeDocument/2006/relationships/hyperlink" Target="https://3arbzfbsh-cname-us.ngrok.io/Desktop/seabridge%20fintech/greenline_pa_icon/ASAN_pa_greenline_signal.jpg" TargetMode="External"/><Relationship Id="rId59" Type="http://schemas.openxmlformats.org/officeDocument/2006/relationships/hyperlink" Target="https://3arbzfbsh-cname-us.ngrok.io/Desktop/seabridge%20fintech/greenline_pa_icon/ATO_pa_greenline_signal.jpg" TargetMode="External"/><Relationship Id="rId58" Type="http://schemas.openxmlformats.org/officeDocument/2006/relationships/hyperlink" Target="https://3arbzfbsh-cname-us.ngrok.io/Desktop/seabridge%20fintech/greenline_pa_icon/ASML_pa_greenline_signal.jpg" TargetMode="External"/><Relationship Id="rId590" Type="http://schemas.openxmlformats.org/officeDocument/2006/relationships/hyperlink" Target="https://3arbzfbsh-cname-us.ngrok.io/Desktop/seabridge%20fintech/greenline_pa_icon/TMO_pa_greenline_signal.jpg" TargetMode="External"/><Relationship Id="rId107" Type="http://schemas.openxmlformats.org/officeDocument/2006/relationships/hyperlink" Target="https://3arbzfbsh-cname-us.ngrok.io/Desktop/seabridge%20fintech/greenline_pa_icon/CE_pa_greenline_signal.jpg" TargetMode="External"/><Relationship Id="rId349" Type="http://schemas.openxmlformats.org/officeDocument/2006/relationships/hyperlink" Target="https://3arbzfbsh-cname-us.ngrok.io/Desktop/seabridge%20fintech/greenline_pa_icon/KO_pa_greenline_signal.jpg" TargetMode="External"/><Relationship Id="rId106" Type="http://schemas.openxmlformats.org/officeDocument/2006/relationships/hyperlink" Target="https://3arbzfbsh-cname-us.ngrok.io/Desktop/seabridge%20fintech/greenline_pa_icon/CDW_pa_greenline_signal.jpg" TargetMode="External"/><Relationship Id="rId348" Type="http://schemas.openxmlformats.org/officeDocument/2006/relationships/hyperlink" Target="https://3arbzfbsh-cname-us.ngrok.io/Desktop/seabridge%20fintech/greenline_pa_icon/KMX_pa_greenline_signal.jpg" TargetMode="External"/><Relationship Id="rId105" Type="http://schemas.openxmlformats.org/officeDocument/2006/relationships/hyperlink" Target="https://3arbzfbsh-cname-us.ngrok.io/Desktop/seabridge%20fintech/greenline_pa_icon/CDNS_pa_greenline_signal.jpg" TargetMode="External"/><Relationship Id="rId347" Type="http://schemas.openxmlformats.org/officeDocument/2006/relationships/hyperlink" Target="https://3arbzfbsh-cname-us.ngrok.io/Desktop/seabridge%20fintech/greenline_pa_icon/KMI_pa_greenline_signal.jpg" TargetMode="External"/><Relationship Id="rId589" Type="http://schemas.openxmlformats.org/officeDocument/2006/relationships/hyperlink" Target="https://3arbzfbsh-cname-us.ngrok.io/Desktop/seabridge%20fintech/greenline_pa_icon/TLT_pa_greenline_signal.jpg" TargetMode="External"/><Relationship Id="rId104" Type="http://schemas.openxmlformats.org/officeDocument/2006/relationships/hyperlink" Target="https://3arbzfbsh-cname-us.ngrok.io/Desktop/seabridge%20fintech/greenline_pa_icon/CCL_pa_greenline_signal.jpg" TargetMode="External"/><Relationship Id="rId346" Type="http://schemas.openxmlformats.org/officeDocument/2006/relationships/hyperlink" Target="https://3arbzfbsh-cname-us.ngrok.io/Desktop/seabridge%20fintech/greenline_pa_icon/KMB_pa_greenline_signal.jpg" TargetMode="External"/><Relationship Id="rId588" Type="http://schemas.openxmlformats.org/officeDocument/2006/relationships/hyperlink" Target="https://3arbzfbsh-cname-us.ngrok.io/Desktop/seabridge%20fintech/greenline_pa_icon/TJX_pa_greenline_signal.jpg" TargetMode="External"/><Relationship Id="rId109" Type="http://schemas.openxmlformats.org/officeDocument/2006/relationships/hyperlink" Target="https://3arbzfbsh-cname-us.ngrok.io/Desktop/seabridge%20fintech/greenline_pa_icon/CF_pa_greenline_signal.jpg" TargetMode="External"/><Relationship Id="rId108" Type="http://schemas.openxmlformats.org/officeDocument/2006/relationships/hyperlink" Target="https://3arbzfbsh-cname-us.ngrok.io/Desktop/seabridge%20fintech/greenline_pa_icon/CERN_pa_greenline_signal.jpg" TargetMode="External"/><Relationship Id="rId341" Type="http://schemas.openxmlformats.org/officeDocument/2006/relationships/hyperlink" Target="https://3arbzfbsh-cname-us.ngrok.io/Desktop/seabridge%20fintech/greenline_pa_icon/KEYS_pa_greenline_signal.jpg" TargetMode="External"/><Relationship Id="rId583" Type="http://schemas.openxmlformats.org/officeDocument/2006/relationships/hyperlink" Target="https://3arbzfbsh-cname-us.ngrok.io/Desktop/seabridge%20fintech/greenline_pa_icon/TER_pa_greenline_signal.jpg" TargetMode="External"/><Relationship Id="rId340" Type="http://schemas.openxmlformats.org/officeDocument/2006/relationships/hyperlink" Target="https://3arbzfbsh-cname-us.ngrok.io/Desktop/seabridge%20fintech/greenline_pa_icon/KEY_pa_greenline_signal.jpg" TargetMode="External"/><Relationship Id="rId582" Type="http://schemas.openxmlformats.org/officeDocument/2006/relationships/hyperlink" Target="https://3arbzfbsh-cname-us.ngrok.io/Desktop/seabridge%20fintech/greenline_pa_icon/TEL_pa_greenline_signal.jpg" TargetMode="External"/><Relationship Id="rId581" Type="http://schemas.openxmlformats.org/officeDocument/2006/relationships/hyperlink" Target="https://3arbzfbsh-cname-us.ngrok.io/Desktop/seabridge%20fintech/greenline_pa_icon/TEAM_pa_greenline_signal.jpg" TargetMode="External"/><Relationship Id="rId580" Type="http://schemas.openxmlformats.org/officeDocument/2006/relationships/hyperlink" Target="https://3arbzfbsh-cname-us.ngrok.io/Desktop/seabridge%20fintech/greenline_pa_icon/TDY_pa_greenline_signal.jpg" TargetMode="External"/><Relationship Id="rId103" Type="http://schemas.openxmlformats.org/officeDocument/2006/relationships/hyperlink" Target="https://3arbzfbsh-cname-us.ngrok.io/Desktop/seabridge%20fintech/greenline_pa_icon/CCI_pa_greenline_signal.jpg" TargetMode="External"/><Relationship Id="rId345" Type="http://schemas.openxmlformats.org/officeDocument/2006/relationships/hyperlink" Target="https://3arbzfbsh-cname-us.ngrok.io/Desktop/seabridge%20fintech/greenline_pa_icon/KLAC_pa_greenline_signal.jpg" TargetMode="External"/><Relationship Id="rId587" Type="http://schemas.openxmlformats.org/officeDocument/2006/relationships/hyperlink" Target="https://3arbzfbsh-cname-us.ngrok.io/Desktop/seabridge%20fintech/greenline_pa_icon/TIP_pa_greenline_signal.jpg" TargetMode="External"/><Relationship Id="rId102" Type="http://schemas.openxmlformats.org/officeDocument/2006/relationships/hyperlink" Target="https://3arbzfbsh-cname-us.ngrok.io/Desktop/seabridge%20fintech/greenline_pa_icon/CBRE_pa_greenline_signal.jpg" TargetMode="External"/><Relationship Id="rId344" Type="http://schemas.openxmlformats.org/officeDocument/2006/relationships/hyperlink" Target="https://3arbzfbsh-cname-us.ngrok.io/Desktop/seabridge%20fintech/greenline_pa_icon/KKR_pa_greenline_signal.jpg" TargetMode="External"/><Relationship Id="rId586" Type="http://schemas.openxmlformats.org/officeDocument/2006/relationships/hyperlink" Target="https://3arbzfbsh-cname-us.ngrok.io/Desktop/seabridge%20fintech/greenline_pa_icon/TGT_pa_greenline_signal.jpg" TargetMode="External"/><Relationship Id="rId101" Type="http://schemas.openxmlformats.org/officeDocument/2006/relationships/hyperlink" Target="https://3arbzfbsh-cname-us.ngrok.io/Desktop/seabridge%20fintech/greenline_pa_icon/CBOE_pa_greenline_signal.jpg" TargetMode="External"/><Relationship Id="rId343" Type="http://schemas.openxmlformats.org/officeDocument/2006/relationships/hyperlink" Target="https://3arbzfbsh-cname-us.ngrok.io/Desktop/seabridge%20fintech/greenline_pa_icon/KIM_pa_greenline_signal.jpg" TargetMode="External"/><Relationship Id="rId585" Type="http://schemas.openxmlformats.org/officeDocument/2006/relationships/hyperlink" Target="https://3arbzfbsh-cname-us.ngrok.io/Desktop/seabridge%20fintech/greenline_pa_icon/TFX_pa_greenline_signal.jpg" TargetMode="External"/><Relationship Id="rId100" Type="http://schemas.openxmlformats.org/officeDocument/2006/relationships/hyperlink" Target="https://3arbzfbsh-cname-us.ngrok.io/Desktop/seabridge%20fintech/greenline_pa_icon/CB_pa_greenline_signal.jpg" TargetMode="External"/><Relationship Id="rId342" Type="http://schemas.openxmlformats.org/officeDocument/2006/relationships/hyperlink" Target="https://3arbzfbsh-cname-us.ngrok.io/Desktop/seabridge%20fintech/greenline_pa_icon/KHC_pa_greenline_signal.jpg" TargetMode="External"/><Relationship Id="rId584" Type="http://schemas.openxmlformats.org/officeDocument/2006/relationships/hyperlink" Target="https://3arbzfbsh-cname-us.ngrok.io/Desktop/seabridge%20fintech/greenline_pa_icon/TFC_pa_greenline_signal.jpg" TargetMode="External"/><Relationship Id="rId338" Type="http://schemas.openxmlformats.org/officeDocument/2006/relationships/hyperlink" Target="https://3arbzfbsh-cname-us.ngrok.io/Desktop/seabridge%20fintech/greenline_pa_icon/KBE_pa_greenline_signal.jpg" TargetMode="External"/><Relationship Id="rId337" Type="http://schemas.openxmlformats.org/officeDocument/2006/relationships/hyperlink" Target="https://3arbzfbsh-cname-us.ngrok.io/Desktop/seabridge%20fintech/greenline_pa_icon/K_pa_greenline_signal.jpg" TargetMode="External"/><Relationship Id="rId579" Type="http://schemas.openxmlformats.org/officeDocument/2006/relationships/hyperlink" Target="https://3arbzfbsh-cname-us.ngrok.io/Desktop/seabridge%20fintech/greenline_pa_icon/TDOC_pa_greenline_signal.jpg" TargetMode="External"/><Relationship Id="rId336" Type="http://schemas.openxmlformats.org/officeDocument/2006/relationships/hyperlink" Target="https://3arbzfbsh-cname-us.ngrok.io/Desktop/seabridge%20fintech/greenline_pa_icon/JWN_pa_greenline_signal.jpg" TargetMode="External"/><Relationship Id="rId578" Type="http://schemas.openxmlformats.org/officeDocument/2006/relationships/hyperlink" Target="https://3arbzfbsh-cname-us.ngrok.io/Desktop/seabridge%20fintech/greenline_pa_icon/TDG_pa_greenline_signal.jpg" TargetMode="External"/><Relationship Id="rId335" Type="http://schemas.openxmlformats.org/officeDocument/2006/relationships/hyperlink" Target="https://3arbzfbsh-cname-us.ngrok.io/Desktop/seabridge%20fintech/greenline_pa_icon/JPST_pa_greenline_signal.jpg" TargetMode="External"/><Relationship Id="rId577" Type="http://schemas.openxmlformats.org/officeDocument/2006/relationships/hyperlink" Target="https://3arbzfbsh-cname-us.ngrok.io/Desktop/seabridge%20fintech/greenline_pa_icon/TCOM_pa_greenline_signal.jpg" TargetMode="External"/><Relationship Id="rId339" Type="http://schemas.openxmlformats.org/officeDocument/2006/relationships/hyperlink" Target="https://3arbzfbsh-cname-us.ngrok.io/Desktop/seabridge%20fintech/greenline_pa_icon/KDP_pa_greenline_signal.jpg" TargetMode="External"/><Relationship Id="rId330" Type="http://schemas.openxmlformats.org/officeDocument/2006/relationships/hyperlink" Target="https://3arbzfbsh-cname-us.ngrok.io/Desktop/seabridge%20fintech/greenline_pa_icon/JKHY_pa_greenline_signal.jpg" TargetMode="External"/><Relationship Id="rId572" Type="http://schemas.openxmlformats.org/officeDocument/2006/relationships/hyperlink" Target="https://3arbzfbsh-cname-us.ngrok.io/Desktop/seabridge%20fintech/greenline_pa_icon/SYF_pa_greenline_signal.jpg" TargetMode="External"/><Relationship Id="rId571" Type="http://schemas.openxmlformats.org/officeDocument/2006/relationships/hyperlink" Target="https://3arbzfbsh-cname-us.ngrok.io/Desktop/seabridge%20fintech/greenline_pa_icon/SWKS_pa_greenline_signal.jpg" TargetMode="External"/><Relationship Id="rId570" Type="http://schemas.openxmlformats.org/officeDocument/2006/relationships/hyperlink" Target="https://3arbzfbsh-cname-us.ngrok.io/Desktop/seabridge%20fintech/greenline_pa_icon/SWK_pa_greenline_signal.jpg" TargetMode="External"/><Relationship Id="rId334" Type="http://schemas.openxmlformats.org/officeDocument/2006/relationships/hyperlink" Target="https://3arbzfbsh-cname-us.ngrok.io/Desktop/seabridge%20fintech/greenline_pa_icon/JPM_pa_greenline_signal.jpg" TargetMode="External"/><Relationship Id="rId576" Type="http://schemas.openxmlformats.org/officeDocument/2006/relationships/hyperlink" Target="https://3arbzfbsh-cname-us.ngrok.io/Desktop/seabridge%20fintech/greenline_pa_icon/TAP_pa_greenline_signal.jpg" TargetMode="External"/><Relationship Id="rId333" Type="http://schemas.openxmlformats.org/officeDocument/2006/relationships/hyperlink" Target="https://3arbzfbsh-cname-us.ngrok.io/Desktop/seabridge%20fintech/greenline_pa_icon/JNPR_pa_greenline_signal.jpg" TargetMode="External"/><Relationship Id="rId575" Type="http://schemas.openxmlformats.org/officeDocument/2006/relationships/hyperlink" Target="https://3arbzfbsh-cname-us.ngrok.io/Desktop/seabridge%20fintech/greenline_pa_icon/T_pa_greenline_signal.jpg" TargetMode="External"/><Relationship Id="rId332" Type="http://schemas.openxmlformats.org/officeDocument/2006/relationships/hyperlink" Target="https://3arbzfbsh-cname-us.ngrok.io/Desktop/seabridge%20fintech/greenline_pa_icon/JNK_pa_greenline_signal.jpg" TargetMode="External"/><Relationship Id="rId574" Type="http://schemas.openxmlformats.org/officeDocument/2006/relationships/hyperlink" Target="https://3arbzfbsh-cname-us.ngrok.io/Desktop/seabridge%20fintech/greenline_pa_icon/SYY_pa_greenline_signal.jpg" TargetMode="External"/><Relationship Id="rId331" Type="http://schemas.openxmlformats.org/officeDocument/2006/relationships/hyperlink" Target="https://3arbzfbsh-cname-us.ngrok.io/Desktop/seabridge%20fintech/greenline_pa_icon/JNJ_pa_greenline_signal.jpg" TargetMode="External"/><Relationship Id="rId573" Type="http://schemas.openxmlformats.org/officeDocument/2006/relationships/hyperlink" Target="https://3arbzfbsh-cname-us.ngrok.io/Desktop/seabridge%20fintech/greenline_pa_icon/SYK_pa_greenline_signal.jpg" TargetMode="External"/><Relationship Id="rId370" Type="http://schemas.openxmlformats.org/officeDocument/2006/relationships/hyperlink" Target="https://3arbzfbsh-cname-us.ngrok.io/Desktop/seabridge%20fintech/greenline_pa_icon/LOW_pa_greenline_signal.jpg" TargetMode="External"/><Relationship Id="rId129" Type="http://schemas.openxmlformats.org/officeDocument/2006/relationships/hyperlink" Target="https://3arbzfbsh-cname-us.ngrok.io/Desktop/seabridge%20fintech/greenline_pa_icon/COG_pa_greenline_signal.jpg" TargetMode="External"/><Relationship Id="rId128" Type="http://schemas.openxmlformats.org/officeDocument/2006/relationships/hyperlink" Target="https://3arbzfbsh-cname-us.ngrok.io/Desktop/seabridge%20fintech/greenline_pa_icon/COF_pa_greenline_signal.jpg" TargetMode="External"/><Relationship Id="rId127" Type="http://schemas.openxmlformats.org/officeDocument/2006/relationships/hyperlink" Target="https://3arbzfbsh-cname-us.ngrok.io/Desktop/seabridge%20fintech/greenline_pa_icon/CNP_pa_greenline_signal.jpg" TargetMode="External"/><Relationship Id="rId369" Type="http://schemas.openxmlformats.org/officeDocument/2006/relationships/hyperlink" Target="https://3arbzfbsh-cname-us.ngrok.io/Desktop/seabridge%20fintech/greenline_pa_icon/LNT_pa_greenline_signal.jpg" TargetMode="External"/><Relationship Id="rId126" Type="http://schemas.openxmlformats.org/officeDocument/2006/relationships/hyperlink" Target="https://3arbzfbsh-cname-us.ngrok.io/Desktop/seabridge%20fintech/greenline_pa_icon/CNC_pa_greenline_signal.jpg" TargetMode="External"/><Relationship Id="rId368" Type="http://schemas.openxmlformats.org/officeDocument/2006/relationships/hyperlink" Target="https://3arbzfbsh-cname-us.ngrok.io/Desktop/seabridge%20fintech/greenline_pa_icon/LNC_pa_greenline_signal.jpg" TargetMode="External"/><Relationship Id="rId121" Type="http://schemas.openxmlformats.org/officeDocument/2006/relationships/hyperlink" Target="https://3arbzfbsh-cname-us.ngrok.io/Desktop/seabridge%20fintech/greenline_pa_icon/CMCSA_pa_greenline_signal.jpg" TargetMode="External"/><Relationship Id="rId363" Type="http://schemas.openxmlformats.org/officeDocument/2006/relationships/hyperlink" Target="https://3arbzfbsh-cname-us.ngrok.io/Desktop/seabridge%20fintech/greenline_pa_icon/LIN_pa_greenline_signal.jpg" TargetMode="External"/><Relationship Id="rId120" Type="http://schemas.openxmlformats.org/officeDocument/2006/relationships/hyperlink" Target="https://3arbzfbsh-cname-us.ngrok.io/Desktop/seabridge%20fintech/greenline_pa_icon/CMA_pa_greenline_signal.jpg" TargetMode="External"/><Relationship Id="rId362" Type="http://schemas.openxmlformats.org/officeDocument/2006/relationships/hyperlink" Target="https://3arbzfbsh-cname-us.ngrok.io/Desktop/seabridge%20fintech/greenline_pa_icon/LHX_pa_greenline_signal.jpg" TargetMode="External"/><Relationship Id="rId361" Type="http://schemas.openxmlformats.org/officeDocument/2006/relationships/hyperlink" Target="https://3arbzfbsh-cname-us.ngrok.io/Desktop/seabridge%20fintech/greenline_pa_icon/LH_pa_greenline_signal.jpg" TargetMode="External"/><Relationship Id="rId360" Type="http://schemas.openxmlformats.org/officeDocument/2006/relationships/hyperlink" Target="https://3arbzfbsh-cname-us.ngrok.io/Desktop/seabridge%20fintech/greenline_pa_icon/LESL_pa_greenline_signal.jpg" TargetMode="External"/><Relationship Id="rId125" Type="http://schemas.openxmlformats.org/officeDocument/2006/relationships/hyperlink" Target="https://3arbzfbsh-cname-us.ngrok.io/Desktop/seabridge%20fintech/greenline_pa_icon/CMS_pa_greenline_signal.jpg" TargetMode="External"/><Relationship Id="rId367" Type="http://schemas.openxmlformats.org/officeDocument/2006/relationships/hyperlink" Target="https://3arbzfbsh-cname-us.ngrok.io/Desktop/seabridge%20fintech/greenline_pa_icon/LMT_pa_greenline_signal.jpg" TargetMode="External"/><Relationship Id="rId124" Type="http://schemas.openxmlformats.org/officeDocument/2006/relationships/hyperlink" Target="https://3arbzfbsh-cname-us.ngrok.io/Desktop/seabridge%20fintech/greenline_pa_icon/CMI_pa_greenline_signal.jpg" TargetMode="External"/><Relationship Id="rId366" Type="http://schemas.openxmlformats.org/officeDocument/2006/relationships/hyperlink" Target="https://3arbzfbsh-cname-us.ngrok.io/Desktop/seabridge%20fintech/greenline_pa_icon/LMND_pa_greenline_signal.jpg" TargetMode="External"/><Relationship Id="rId123" Type="http://schemas.openxmlformats.org/officeDocument/2006/relationships/hyperlink" Target="https://3arbzfbsh-cname-us.ngrok.io/Desktop/seabridge%20fintech/greenline_pa_icon/CMG_pa_greenline_signal.jpg" TargetMode="External"/><Relationship Id="rId365" Type="http://schemas.openxmlformats.org/officeDocument/2006/relationships/hyperlink" Target="https://3arbzfbsh-cname-us.ngrok.io/Desktop/seabridge%20fintech/greenline_pa_icon/LLY_pa_greenline_signal.jpg" TargetMode="External"/><Relationship Id="rId122" Type="http://schemas.openxmlformats.org/officeDocument/2006/relationships/hyperlink" Target="https://3arbzfbsh-cname-us.ngrok.io/Desktop/seabridge%20fintech/greenline_pa_icon/CME_pa_greenline_signal.jpg" TargetMode="External"/><Relationship Id="rId364" Type="http://schemas.openxmlformats.org/officeDocument/2006/relationships/hyperlink" Target="https://3arbzfbsh-cname-us.ngrok.io/Desktop/seabridge%20fintech/greenline_pa_icon/LKQ_pa_greenline_signal.jpg" TargetMode="External"/><Relationship Id="rId95" Type="http://schemas.openxmlformats.org/officeDocument/2006/relationships/hyperlink" Target="https://3arbzfbsh-cname-us.ngrok.io/Desktop/seabridge%20fintech/greenline_pa_icon/BYND_pa_greenline_signal.jpg" TargetMode="External"/><Relationship Id="rId94" Type="http://schemas.openxmlformats.org/officeDocument/2006/relationships/hyperlink" Target="https://3arbzfbsh-cname-us.ngrok.io/Desktop/seabridge%20fintech/greenline_pa_icon/BXP_pa_greenline_signal.jpg" TargetMode="External"/><Relationship Id="rId97" Type="http://schemas.openxmlformats.org/officeDocument/2006/relationships/hyperlink" Target="https://3arbzfbsh-cname-us.ngrok.io/Desktop/seabridge%20fintech/greenline_pa_icon/CAG_pa_greenline_signal.jpg" TargetMode="External"/><Relationship Id="rId96" Type="http://schemas.openxmlformats.org/officeDocument/2006/relationships/hyperlink" Target="https://3arbzfbsh-cname-us.ngrok.io/Desktop/seabridge%20fintech/greenline_pa_icon/C_pa_greenline_signal.jpg" TargetMode="External"/><Relationship Id="rId99" Type="http://schemas.openxmlformats.org/officeDocument/2006/relationships/hyperlink" Target="https://3arbzfbsh-cname-us.ngrok.io/Desktop/seabridge%20fintech/greenline_pa_icon/CAT_pa_greenline_signal.jpg" TargetMode="External"/><Relationship Id="rId98" Type="http://schemas.openxmlformats.org/officeDocument/2006/relationships/hyperlink" Target="https://3arbzfbsh-cname-us.ngrok.io/Desktop/seabridge%20fintech/greenline_pa_icon/CAH_pa_greenline_signal.jpg" TargetMode="External"/><Relationship Id="rId91" Type="http://schemas.openxmlformats.org/officeDocument/2006/relationships/hyperlink" Target="https://3arbzfbsh-cname-us.ngrok.io/Desktop/seabridge%20fintech/greenline_pa_icon/BSX_pa_greenline_signal.jpg" TargetMode="External"/><Relationship Id="rId90" Type="http://schemas.openxmlformats.org/officeDocument/2006/relationships/hyperlink" Target="https://3arbzfbsh-cname-us.ngrok.io/Desktop/seabridge%20fintech/greenline_pa_icon/BSV_pa_greenline_signal.jpg" TargetMode="External"/><Relationship Id="rId93" Type="http://schemas.openxmlformats.org/officeDocument/2006/relationships/hyperlink" Target="https://3arbzfbsh-cname-us.ngrok.io/Desktop/seabridge%20fintech/greenline_pa_icon/BX_pa_greenline_signal.jpg" TargetMode="External"/><Relationship Id="rId92" Type="http://schemas.openxmlformats.org/officeDocument/2006/relationships/hyperlink" Target="https://3arbzfbsh-cname-us.ngrok.io/Desktop/seabridge%20fintech/greenline_pa_icon/BWA_pa_greenline_signal.jpg" TargetMode="External"/><Relationship Id="rId118" Type="http://schemas.openxmlformats.org/officeDocument/2006/relationships/hyperlink" Target="https://3arbzfbsh-cname-us.ngrok.io/Desktop/seabridge%20fintech/greenline_pa_icon/CL_pa_greenline_signal.jpg" TargetMode="External"/><Relationship Id="rId117" Type="http://schemas.openxmlformats.org/officeDocument/2006/relationships/hyperlink" Target="https://3arbzfbsh-cname-us.ngrok.io/Desktop/seabridge%20fintech/greenline_pa_icon/CINF_pa_greenline_signal.jpg" TargetMode="External"/><Relationship Id="rId359" Type="http://schemas.openxmlformats.org/officeDocument/2006/relationships/hyperlink" Target="https://3arbzfbsh-cname-us.ngrok.io/Desktop/seabridge%20fintech/greenline_pa_icon/LEN_pa_greenline_signal.jpg" TargetMode="External"/><Relationship Id="rId116" Type="http://schemas.openxmlformats.org/officeDocument/2006/relationships/hyperlink" Target="https://3arbzfbsh-cname-us.ngrok.io/Desktop/seabridge%20fintech/greenline_pa_icon/CI_pa_greenline_signal.jpg" TargetMode="External"/><Relationship Id="rId358" Type="http://schemas.openxmlformats.org/officeDocument/2006/relationships/hyperlink" Target="https://3arbzfbsh-cname-us.ngrok.io/Desktop/seabridge%20fintech/greenline_pa_icon/LEG_pa_greenline_signal.jpg" TargetMode="External"/><Relationship Id="rId115" Type="http://schemas.openxmlformats.org/officeDocument/2006/relationships/hyperlink" Target="https://3arbzfbsh-cname-us.ngrok.io/Desktop/seabridge%20fintech/greenline_pa_icon/CHWY_pa_greenline_signal.jpg" TargetMode="External"/><Relationship Id="rId357" Type="http://schemas.openxmlformats.org/officeDocument/2006/relationships/hyperlink" Target="https://3arbzfbsh-cname-us.ngrok.io/Desktop/seabridge%20fintech/greenline_pa_icon/LDOS_pa_greenline_signal.jpg" TargetMode="External"/><Relationship Id="rId599" Type="http://schemas.openxmlformats.org/officeDocument/2006/relationships/hyperlink" Target="https://3arbzfbsh-cname-us.ngrok.io/Desktop/seabridge%20fintech/greenline_pa_icon/TSCO_pa_greenline_signal.jpg" TargetMode="External"/><Relationship Id="rId119" Type="http://schemas.openxmlformats.org/officeDocument/2006/relationships/hyperlink" Target="https://3arbzfbsh-cname-us.ngrok.io/Desktop/seabridge%20fintech/greenline_pa_icon/CLX_pa_greenline_signal.jpg" TargetMode="External"/><Relationship Id="rId110" Type="http://schemas.openxmlformats.org/officeDocument/2006/relationships/hyperlink" Target="https://3arbzfbsh-cname-us.ngrok.io/Desktop/seabridge%20fintech/greenline_pa_icon/CFG_pa_greenline_signal.jpg" TargetMode="External"/><Relationship Id="rId352" Type="http://schemas.openxmlformats.org/officeDocument/2006/relationships/hyperlink" Target="https://3arbzfbsh-cname-us.ngrok.io/Desktop/seabridge%20fintech/greenline_pa_icon/KSS_pa_greenline_signal.jpg" TargetMode="External"/><Relationship Id="rId594" Type="http://schemas.openxmlformats.org/officeDocument/2006/relationships/hyperlink" Target="https://3arbzfbsh-cname-us.ngrok.io/Desktop/seabridge%20fintech/greenline_pa_icon/TRGP_pa_greenline_signal.jpg" TargetMode="External"/><Relationship Id="rId351" Type="http://schemas.openxmlformats.org/officeDocument/2006/relationships/hyperlink" Target="https://3arbzfbsh-cname-us.ngrok.io/Desktop/seabridge%20fintech/greenline_pa_icon/KRE_pa_greenline_signal.jpg" TargetMode="External"/><Relationship Id="rId593" Type="http://schemas.openxmlformats.org/officeDocument/2006/relationships/hyperlink" Target="https://3arbzfbsh-cname-us.ngrok.io/Desktop/seabridge%20fintech/greenline_pa_icon/TQQQ_pa_greenline_signal.jpg" TargetMode="External"/><Relationship Id="rId350" Type="http://schemas.openxmlformats.org/officeDocument/2006/relationships/hyperlink" Target="https://3arbzfbsh-cname-us.ngrok.io/Desktop/seabridge%20fintech/greenline_pa_icon/KR_pa_greenline_signal.jpg" TargetMode="External"/><Relationship Id="rId592" Type="http://schemas.openxmlformats.org/officeDocument/2006/relationships/hyperlink" Target="https://3arbzfbsh-cname-us.ngrok.io/Desktop/seabridge%20fintech/greenline_pa_icon/TPR_pa_greenline_signal.jpg" TargetMode="External"/><Relationship Id="rId591" Type="http://schemas.openxmlformats.org/officeDocument/2006/relationships/hyperlink" Target="https://3arbzfbsh-cname-us.ngrok.io/Desktop/seabridge%20fintech/greenline_pa_icon/TMUS_pa_greenline_signal.jpg" TargetMode="External"/><Relationship Id="rId114" Type="http://schemas.openxmlformats.org/officeDocument/2006/relationships/hyperlink" Target="https://3arbzfbsh-cname-us.ngrok.io/Desktop/seabridge%20fintech/greenline_pa_icon/CHTR_pa_greenline_signal.jpg" TargetMode="External"/><Relationship Id="rId356" Type="http://schemas.openxmlformats.org/officeDocument/2006/relationships/hyperlink" Target="https://3arbzfbsh-cname-us.ngrok.io/Desktop/seabridge%20fintech/greenline_pa_icon/LB_pa_greenline_signal.jpg" TargetMode="External"/><Relationship Id="rId598" Type="http://schemas.openxmlformats.org/officeDocument/2006/relationships/hyperlink" Target="https://3arbzfbsh-cname-us.ngrok.io/Desktop/seabridge%20fintech/greenline_pa_icon/TRV_pa_greenline_signal.jpg" TargetMode="External"/><Relationship Id="rId113" Type="http://schemas.openxmlformats.org/officeDocument/2006/relationships/hyperlink" Target="https://3arbzfbsh-cname-us.ngrok.io/Desktop/seabridge%20fintech/greenline_pa_icon/CHRW_pa_greenline_signal.jpg" TargetMode="External"/><Relationship Id="rId355" Type="http://schemas.openxmlformats.org/officeDocument/2006/relationships/hyperlink" Target="https://3arbzfbsh-cname-us.ngrok.io/Desktop/seabridge%20fintech/greenline_pa_icon/L_pa_greenline_signal.jpg" TargetMode="External"/><Relationship Id="rId597" Type="http://schemas.openxmlformats.org/officeDocument/2006/relationships/hyperlink" Target="https://3arbzfbsh-cname-us.ngrok.io/Desktop/seabridge%20fintech/greenline_pa_icon/TROW_pa_greenline_signal.jpg" TargetMode="External"/><Relationship Id="rId112" Type="http://schemas.openxmlformats.org/officeDocument/2006/relationships/hyperlink" Target="https://3arbzfbsh-cname-us.ngrok.io/Desktop/seabridge%20fintech/greenline_pa_icon/CHKP_pa_greenline_signal.jpg" TargetMode="External"/><Relationship Id="rId354" Type="http://schemas.openxmlformats.org/officeDocument/2006/relationships/hyperlink" Target="https://3arbzfbsh-cname-us.ngrok.io/Desktop/seabridge%20fintech/greenline_pa_icon/KWEB_pa_greenline_signal.jpg" TargetMode="External"/><Relationship Id="rId596" Type="http://schemas.openxmlformats.org/officeDocument/2006/relationships/hyperlink" Target="https://3arbzfbsh-cname-us.ngrok.io/Desktop/seabridge%20fintech/greenline_pa_icon/TRMB_pa_greenline_signal.jpg" TargetMode="External"/><Relationship Id="rId111" Type="http://schemas.openxmlformats.org/officeDocument/2006/relationships/hyperlink" Target="https://3arbzfbsh-cname-us.ngrok.io/Desktop/seabridge%20fintech/greenline_pa_icon/CHD_pa_greenline_signal.jpg" TargetMode="External"/><Relationship Id="rId353" Type="http://schemas.openxmlformats.org/officeDocument/2006/relationships/hyperlink" Target="https://3arbzfbsh-cname-us.ngrok.io/Desktop/seabridge%20fintech/greenline_pa_icon/KSU_pa_greenline_signal.jpg" TargetMode="External"/><Relationship Id="rId595" Type="http://schemas.openxmlformats.org/officeDocument/2006/relationships/hyperlink" Target="https://3arbzfbsh-cname-us.ngrok.io/Desktop/seabridge%20fintech/greenline_pa_icon/TRIP_pa_greenline_signal.jpg" TargetMode="External"/><Relationship Id="rId305" Type="http://schemas.openxmlformats.org/officeDocument/2006/relationships/hyperlink" Target="https://3arbzfbsh-cname-us.ngrok.io/Desktop/seabridge%20fintech/greenline_pa_icon/INCY_pa_greenline_signal.jpg" TargetMode="External"/><Relationship Id="rId547" Type="http://schemas.openxmlformats.org/officeDocument/2006/relationships/hyperlink" Target="https://3arbzfbsh-cname-us.ngrok.io/Desktop/seabridge%20fintech/greenline_pa_icon/SNA_pa_greenline_signal.jpg" TargetMode="External"/><Relationship Id="rId304" Type="http://schemas.openxmlformats.org/officeDocument/2006/relationships/hyperlink" Target="https://3arbzfbsh-cname-us.ngrok.io/Desktop/seabridge%20fintech/greenline_pa_icon/ILMN_pa_greenline_signal.jpg" TargetMode="External"/><Relationship Id="rId546" Type="http://schemas.openxmlformats.org/officeDocument/2006/relationships/hyperlink" Target="https://3arbzfbsh-cname-us.ngrok.io/Desktop/seabridge%20fintech/greenline_pa_icon/SMH_pa_greenline_signal.jpg" TargetMode="External"/><Relationship Id="rId303" Type="http://schemas.openxmlformats.org/officeDocument/2006/relationships/hyperlink" Target="https://3arbzfbsh-cname-us.ngrok.io/Desktop/seabridge%20fintech/greenline_pa_icon/IJR_pa_greenline_signal.jpg" TargetMode="External"/><Relationship Id="rId545" Type="http://schemas.openxmlformats.org/officeDocument/2006/relationships/hyperlink" Target="https://3arbzfbsh-cname-us.ngrok.io/Desktop/seabridge%20fintech/greenline_pa_icon/SLB_pa_greenline_signal.jpg" TargetMode="External"/><Relationship Id="rId302" Type="http://schemas.openxmlformats.org/officeDocument/2006/relationships/hyperlink" Target="https://3arbzfbsh-cname-us.ngrok.io/Desktop/seabridge%20fintech/greenline_pa_icon/IFF_pa_greenline_signal.jpg" TargetMode="External"/><Relationship Id="rId544" Type="http://schemas.openxmlformats.org/officeDocument/2006/relationships/hyperlink" Target="https://3arbzfbsh-cname-us.ngrok.io/Desktop/seabridge%20fintech/greenline_pa_icon/SJNK_pa_greenline_signal.jpg" TargetMode="External"/><Relationship Id="rId309" Type="http://schemas.openxmlformats.org/officeDocument/2006/relationships/hyperlink" Target="https://3arbzfbsh-cname-us.ngrok.io/Desktop/seabridge%20fintech/greenline_pa_icon/INTU_pa_greenline_signal.jpg" TargetMode="External"/><Relationship Id="rId308" Type="http://schemas.openxmlformats.org/officeDocument/2006/relationships/hyperlink" Target="https://3arbzfbsh-cname-us.ngrok.io/Desktop/seabridge%20fintech/greenline_pa_icon/INTC_pa_greenline_signal.jpg" TargetMode="External"/><Relationship Id="rId307" Type="http://schemas.openxmlformats.org/officeDocument/2006/relationships/hyperlink" Target="https://3arbzfbsh-cname-us.ngrok.io/Desktop/seabridge%20fintech/greenline_pa_icon/INFO_pa_greenline_signal.jpg" TargetMode="External"/><Relationship Id="rId549" Type="http://schemas.openxmlformats.org/officeDocument/2006/relationships/hyperlink" Target="https://3arbzfbsh-cname-us.ngrok.io/Desktop/seabridge%20fintech/greenline_pa_icon/SNOW_pa_greenline_signal.jpg" TargetMode="External"/><Relationship Id="rId306" Type="http://schemas.openxmlformats.org/officeDocument/2006/relationships/hyperlink" Target="https://3arbzfbsh-cname-us.ngrok.io/Desktop/seabridge%20fintech/greenline_pa_icon/INDA_pa_greenline_signal.jpg" TargetMode="External"/><Relationship Id="rId548" Type="http://schemas.openxmlformats.org/officeDocument/2006/relationships/hyperlink" Target="https://3arbzfbsh-cname-us.ngrok.io/Desktop/seabridge%20fintech/greenline_pa_icon/SNAP_pa_greenline_signal.jpg" TargetMode="External"/><Relationship Id="rId301" Type="http://schemas.openxmlformats.org/officeDocument/2006/relationships/hyperlink" Target="https://3arbzfbsh-cname-us.ngrok.io/Desktop/seabridge%20fintech/greenline_pa_icon/IEX_pa_greenline_signal.jpg" TargetMode="External"/><Relationship Id="rId543" Type="http://schemas.openxmlformats.org/officeDocument/2006/relationships/hyperlink" Target="https://3arbzfbsh-cname-us.ngrok.io/Desktop/seabridge%20fintech/greenline_pa_icon/SJM_pa_greenline_signal.jpg" TargetMode="External"/><Relationship Id="rId300" Type="http://schemas.openxmlformats.org/officeDocument/2006/relationships/hyperlink" Target="https://3arbzfbsh-cname-us.ngrok.io/Desktop/seabridge%20fintech/greenline_pa_icon/IEMG_pa_greenline_signal.jpg" TargetMode="External"/><Relationship Id="rId542" Type="http://schemas.openxmlformats.org/officeDocument/2006/relationships/hyperlink" Target="https://3arbzfbsh-cname-us.ngrok.io/Desktop/seabridge%20fintech/greenline_pa_icon/SIVB_pa_greenline_signal.jpg" TargetMode="External"/><Relationship Id="rId541" Type="http://schemas.openxmlformats.org/officeDocument/2006/relationships/hyperlink" Target="https://3arbzfbsh-cname-us.ngrok.io/Desktop/seabridge%20fintech/greenline_pa_icon/SIRI_pa_greenline_signal.jpg" TargetMode="External"/><Relationship Id="rId540" Type="http://schemas.openxmlformats.org/officeDocument/2006/relationships/hyperlink" Target="https://3arbzfbsh-cname-us.ngrok.io/Desktop/seabridge%20fintech/greenline_pa_icon/SHY_pa_greenline_signal.jpg" TargetMode="External"/><Relationship Id="rId536" Type="http://schemas.openxmlformats.org/officeDocument/2006/relationships/hyperlink" Target="https://3arbzfbsh-cname-us.ngrok.io/Desktop/seabridge%20fintech/greenline_pa_icon/SEE_pa_greenline_signal.jpg" TargetMode="External"/><Relationship Id="rId535" Type="http://schemas.openxmlformats.org/officeDocument/2006/relationships/hyperlink" Target="https://3arbzfbsh-cname-us.ngrok.io/Desktop/seabridge%20fintech/greenline_pa_icon/SCHW_pa_greenline_signal.jpg" TargetMode="External"/><Relationship Id="rId534" Type="http://schemas.openxmlformats.org/officeDocument/2006/relationships/hyperlink" Target="https://3arbzfbsh-cname-us.ngrok.io/Desktop/seabridge%20fintech/greenline_pa_icon/SCHP_pa_greenline_signal.jpg" TargetMode="External"/><Relationship Id="rId533" Type="http://schemas.openxmlformats.org/officeDocument/2006/relationships/hyperlink" Target="https://3arbzfbsh-cname-us.ngrok.io/Desktop/seabridge%20fintech/greenline_pa_icon/SCHF_pa_greenline_signal.jpg" TargetMode="External"/><Relationship Id="rId539" Type="http://schemas.openxmlformats.org/officeDocument/2006/relationships/hyperlink" Target="https://3arbzfbsh-cname-us.ngrok.io/Desktop/seabridge%20fintech/greenline_pa_icon/SHW_pa_greenline_signal.jpg" TargetMode="External"/><Relationship Id="rId538" Type="http://schemas.openxmlformats.org/officeDocument/2006/relationships/hyperlink" Target="https://3arbzfbsh-cname-us.ngrok.io/Desktop/seabridge%20fintech/greenline_pa_icon/SGEN_pa_greenline_signal.jpg" TargetMode="External"/><Relationship Id="rId537" Type="http://schemas.openxmlformats.org/officeDocument/2006/relationships/hyperlink" Target="https://3arbzfbsh-cname-us.ngrok.io/Desktop/seabridge%20fintech/greenline_pa_icon/SFM_pa_greenline_signal.jpg" TargetMode="External"/><Relationship Id="rId532" Type="http://schemas.openxmlformats.org/officeDocument/2006/relationships/hyperlink" Target="https://3arbzfbsh-cname-us.ngrok.io/Desktop/seabridge%20fintech/greenline_pa_icon/SBUX_pa_greenline_signal.jpg" TargetMode="External"/><Relationship Id="rId531" Type="http://schemas.openxmlformats.org/officeDocument/2006/relationships/hyperlink" Target="https://3arbzfbsh-cname-us.ngrok.io/Desktop/seabridge%20fintech/greenline_pa_icon/SBAC_pa_greenline_signal.jpg" TargetMode="External"/><Relationship Id="rId530" Type="http://schemas.openxmlformats.org/officeDocument/2006/relationships/hyperlink" Target="https://3arbzfbsh-cname-us.ngrok.io/Desktop/seabridge%20fintech/greenline_pa_icon/SAVE_pa_greenline_signal.jpg" TargetMode="External"/><Relationship Id="rId327" Type="http://schemas.openxmlformats.org/officeDocument/2006/relationships/hyperlink" Target="https://3arbzfbsh-cname-us.ngrok.io/Desktop/seabridge%20fintech/greenline_pa_icon/JCI_pa_greenline_signal.jpg" TargetMode="External"/><Relationship Id="rId569" Type="http://schemas.openxmlformats.org/officeDocument/2006/relationships/hyperlink" Target="https://3arbzfbsh-cname-us.ngrok.io/Desktop/seabridge%20fintech/greenline_pa_icon/STZ_pa_greenline_signal.jpg" TargetMode="External"/><Relationship Id="rId326" Type="http://schemas.openxmlformats.org/officeDocument/2006/relationships/hyperlink" Target="https://3arbzfbsh-cname-us.ngrok.io/Desktop/seabridge%20fintech/greenline_pa_icon/JBHT_pa_greenline_signal.jpg" TargetMode="External"/><Relationship Id="rId568" Type="http://schemas.openxmlformats.org/officeDocument/2006/relationships/hyperlink" Target="https://3arbzfbsh-cname-us.ngrok.io/Desktop/seabridge%20fintech/greenline_pa_icon/STX_pa_greenline_signal.jpg" TargetMode="External"/><Relationship Id="rId325" Type="http://schemas.openxmlformats.org/officeDocument/2006/relationships/hyperlink" Target="https://3arbzfbsh-cname-us.ngrok.io/Desktop/seabridge%20fintech/greenline_pa_icon/J_pa_greenline_signal.jpg" TargetMode="External"/><Relationship Id="rId567" Type="http://schemas.openxmlformats.org/officeDocument/2006/relationships/hyperlink" Target="https://3arbzfbsh-cname-us.ngrok.io/Desktop/seabridge%20fintech/greenline_pa_icon/STT_pa_greenline_signal.jpg" TargetMode="External"/><Relationship Id="rId324" Type="http://schemas.openxmlformats.org/officeDocument/2006/relationships/hyperlink" Target="https://3arbzfbsh-cname-us.ngrok.io/Desktop/seabridge%20fintech/greenline_pa_icon/IYR_pa_greenline_signal.jpg" TargetMode="External"/><Relationship Id="rId566" Type="http://schemas.openxmlformats.org/officeDocument/2006/relationships/hyperlink" Target="https://3arbzfbsh-cname-us.ngrok.io/Desktop/seabridge%20fintech/greenline_pa_icon/STLD_pa_greenline_signal.jpg" TargetMode="External"/><Relationship Id="rId329" Type="http://schemas.openxmlformats.org/officeDocument/2006/relationships/hyperlink" Target="https://3arbzfbsh-cname-us.ngrok.io/Desktop/seabridge%20fintech/greenline_pa_icon/JEF_pa_greenline_signal.jpg" TargetMode="External"/><Relationship Id="rId328" Type="http://schemas.openxmlformats.org/officeDocument/2006/relationships/hyperlink" Target="https://3arbzfbsh-cname-us.ngrok.io/Desktop/seabridge%20fintech/greenline_pa_icon/JD_pa_greenline_signal.jpg" TargetMode="External"/><Relationship Id="rId561" Type="http://schemas.openxmlformats.org/officeDocument/2006/relationships/hyperlink" Target="https://3arbzfbsh-cname-us.ngrok.io/Desktop/seabridge%20fintech/greenline_pa_icon/SPYV_pa_greenline_signal.jpg" TargetMode="External"/><Relationship Id="rId560" Type="http://schemas.openxmlformats.org/officeDocument/2006/relationships/hyperlink" Target="https://3arbzfbsh-cname-us.ngrok.io/Desktop/seabridge%20fintech/greenline_pa_icon/SPY_pa_greenline_signal.jpg" TargetMode="External"/><Relationship Id="rId323" Type="http://schemas.openxmlformats.org/officeDocument/2006/relationships/hyperlink" Target="https://3arbzfbsh-cname-us.ngrok.io/Desktop/seabridge%20fintech/greenline_pa_icon/IWM_pa_greenline_signal.jpg" TargetMode="External"/><Relationship Id="rId565" Type="http://schemas.openxmlformats.org/officeDocument/2006/relationships/hyperlink" Target="https://3arbzfbsh-cname-us.ngrok.io/Desktop/seabridge%20fintech/greenline_pa_icon/STEM_pa_greenline_signal.jpg" TargetMode="External"/><Relationship Id="rId322" Type="http://schemas.openxmlformats.org/officeDocument/2006/relationships/hyperlink" Target="https://3arbzfbsh-cname-us.ngrok.io/Desktop/seabridge%20fintech/greenline_pa_icon/IWD_pa_greenline_signal.jpg" TargetMode="External"/><Relationship Id="rId564" Type="http://schemas.openxmlformats.org/officeDocument/2006/relationships/hyperlink" Target="https://3arbzfbsh-cname-us.ngrok.io/Desktop/seabridge%20fintech/greenline_pa_icon/STE_pa_greenline_signal.jpg" TargetMode="External"/><Relationship Id="rId321" Type="http://schemas.openxmlformats.org/officeDocument/2006/relationships/hyperlink" Target="https://3arbzfbsh-cname-us.ngrok.io/Desktop/seabridge%20fintech/greenline_pa_icon/IVZ_pa_greenline_signal.jpg" TargetMode="External"/><Relationship Id="rId563" Type="http://schemas.openxmlformats.org/officeDocument/2006/relationships/hyperlink" Target="https://3arbzfbsh-cname-us.ngrok.io/Desktop/seabridge%20fintech/greenline_pa_icon/SRE_pa_greenline_signal.jpg" TargetMode="External"/><Relationship Id="rId320" Type="http://schemas.openxmlformats.org/officeDocument/2006/relationships/hyperlink" Target="https://3arbzfbsh-cname-us.ngrok.io/Desktop/seabridge%20fintech/greenline_pa_icon/IVV_pa_greenline_signal.jpg" TargetMode="External"/><Relationship Id="rId562" Type="http://schemas.openxmlformats.org/officeDocument/2006/relationships/hyperlink" Target="https://3arbzfbsh-cname-us.ngrok.io/Desktop/seabridge%20fintech/greenline_pa_icon/SQ_pa_greenline_signal.jpg" TargetMode="External"/><Relationship Id="rId316" Type="http://schemas.openxmlformats.org/officeDocument/2006/relationships/hyperlink" Target="https://3arbzfbsh-cname-us.ngrok.io/Desktop/seabridge%20fintech/greenline_pa_icon/IRM_pa_greenline_signal.jpg" TargetMode="External"/><Relationship Id="rId558" Type="http://schemas.openxmlformats.org/officeDocument/2006/relationships/hyperlink" Target="https://3arbzfbsh-cname-us.ngrok.io/Desktop/seabridge%20fintech/greenline_pa_icon/SPLV_pa_greenline_signal.jpg" TargetMode="External"/><Relationship Id="rId315" Type="http://schemas.openxmlformats.org/officeDocument/2006/relationships/hyperlink" Target="https://3arbzfbsh-cname-us.ngrok.io/Desktop/seabridge%20fintech/greenline_pa_icon/IR_pa_greenline_signal.jpg" TargetMode="External"/><Relationship Id="rId557" Type="http://schemas.openxmlformats.org/officeDocument/2006/relationships/hyperlink" Target="https://3arbzfbsh-cname-us.ngrok.io/Desktop/seabridge%20fintech/greenline_pa_icon/SPLK_pa_greenline_signal.jpg" TargetMode="External"/><Relationship Id="rId314" Type="http://schemas.openxmlformats.org/officeDocument/2006/relationships/hyperlink" Target="https://3arbzfbsh-cname-us.ngrok.io/Desktop/seabridge%20fintech/greenline_pa_icon/IQV_pa_greenline_signal.jpg" TargetMode="External"/><Relationship Id="rId556" Type="http://schemas.openxmlformats.org/officeDocument/2006/relationships/hyperlink" Target="https://3arbzfbsh-cname-us.ngrok.io/Desktop/seabridge%20fintech/greenline_pa_icon/SPIB_pa_greenline_signal.jpg" TargetMode="External"/><Relationship Id="rId313" Type="http://schemas.openxmlformats.org/officeDocument/2006/relationships/hyperlink" Target="https://3arbzfbsh-cname-us.ngrok.io/Desktop/seabridge%20fintech/greenline_pa_icon/IPGP_pa_greenline_signal.jpg" TargetMode="External"/><Relationship Id="rId555" Type="http://schemas.openxmlformats.org/officeDocument/2006/relationships/hyperlink" Target="https://3arbzfbsh-cname-us.ngrok.io/Desktop/seabridge%20fintech/greenline_pa_icon/SPGI_pa_greenline_signal.jpg" TargetMode="External"/><Relationship Id="rId319" Type="http://schemas.openxmlformats.org/officeDocument/2006/relationships/hyperlink" Target="https://3arbzfbsh-cname-us.ngrok.io/Desktop/seabridge%20fintech/greenline_pa_icon/ITW_pa_greenline_signal.jpg" TargetMode="External"/><Relationship Id="rId318" Type="http://schemas.openxmlformats.org/officeDocument/2006/relationships/hyperlink" Target="https://3arbzfbsh-cname-us.ngrok.io/Desktop/seabridge%20fintech/greenline_pa_icon/IT_pa_greenline_signal.jpg" TargetMode="External"/><Relationship Id="rId317" Type="http://schemas.openxmlformats.org/officeDocument/2006/relationships/hyperlink" Target="https://3arbzfbsh-cname-us.ngrok.io/Desktop/seabridge%20fintech/greenline_pa_icon/ISRG_pa_greenline_signal.jpg" TargetMode="External"/><Relationship Id="rId559" Type="http://schemas.openxmlformats.org/officeDocument/2006/relationships/hyperlink" Target="https://3arbzfbsh-cname-us.ngrok.io/Desktop/seabridge%20fintech/greenline_pa_icon/SPWR_pa_greenline_signal.jpg" TargetMode="External"/><Relationship Id="rId550" Type="http://schemas.openxmlformats.org/officeDocument/2006/relationships/hyperlink" Target="https://3arbzfbsh-cname-us.ngrok.io/Desktop/seabridge%20fintech/greenline_pa_icon/SNPS_pa_greenline_signal.jpg" TargetMode="External"/><Relationship Id="rId312" Type="http://schemas.openxmlformats.org/officeDocument/2006/relationships/hyperlink" Target="https://3arbzfbsh-cname-us.ngrok.io/Desktop/seabridge%20fintech/greenline_pa_icon/IPG_pa_greenline_signal.jpg" TargetMode="External"/><Relationship Id="rId554" Type="http://schemas.openxmlformats.org/officeDocument/2006/relationships/hyperlink" Target="https://3arbzfbsh-cname-us.ngrok.io/Desktop/seabridge%20fintech/greenline_pa_icon/SPG_pa_greenline_signal.jpg" TargetMode="External"/><Relationship Id="rId311" Type="http://schemas.openxmlformats.org/officeDocument/2006/relationships/hyperlink" Target="https://3arbzfbsh-cname-us.ngrok.io/Desktop/seabridge%20fintech/greenline_pa_icon/IP_pa_greenline_signal.jpg" TargetMode="External"/><Relationship Id="rId553" Type="http://schemas.openxmlformats.org/officeDocument/2006/relationships/hyperlink" Target="https://3arbzfbsh-cname-us.ngrok.io/Desktop/seabridge%20fintech/greenline_pa_icon/SPCE_pa_greenline_signal.jpg" TargetMode="External"/><Relationship Id="rId310" Type="http://schemas.openxmlformats.org/officeDocument/2006/relationships/hyperlink" Target="https://3arbzfbsh-cname-us.ngrok.io/Desktop/seabridge%20fintech/greenline_pa_icon/INVH_pa_greenline_signal.jpg" TargetMode="External"/><Relationship Id="rId552" Type="http://schemas.openxmlformats.org/officeDocument/2006/relationships/hyperlink" Target="https://3arbzfbsh-cname-us.ngrok.io/Desktop/seabridge%20fintech/greenline_pa_icon/SONO_pa_greenline_signal.jpg" TargetMode="External"/><Relationship Id="rId551" Type="http://schemas.openxmlformats.org/officeDocument/2006/relationships/hyperlink" Target="https://3arbzfbsh-cname-us.ngrok.io/Desktop/seabridge%20fintech/greenline_pa_icon/SO_pa_greenline_signal.jpg" TargetMode="External"/><Relationship Id="rId297" Type="http://schemas.openxmlformats.org/officeDocument/2006/relationships/hyperlink" Target="https://3arbzfbsh-cname-us.ngrok.io/Desktop/seabridge%20fintech/greenline_pa_icon/IDXX_pa_greenline_signal.jpg" TargetMode="External"/><Relationship Id="rId296" Type="http://schemas.openxmlformats.org/officeDocument/2006/relationships/hyperlink" Target="https://3arbzfbsh-cname-us.ngrok.io/Desktop/seabridge%20fintech/greenline_pa_icon/ICE_pa_greenline_signal.jpg" TargetMode="External"/><Relationship Id="rId295" Type="http://schemas.openxmlformats.org/officeDocument/2006/relationships/hyperlink" Target="https://3arbzfbsh-cname-us.ngrok.io/Desktop/seabridge%20fintech/greenline_pa_icon/IBM_pa_greenline_signal.jpg" TargetMode="External"/><Relationship Id="rId294" Type="http://schemas.openxmlformats.org/officeDocument/2006/relationships/hyperlink" Target="https://3arbzfbsh-cname-us.ngrok.io/Desktop/seabridge%20fintech/greenline_pa_icon/IBB_pa_greenline_signal.jpg" TargetMode="External"/><Relationship Id="rId299" Type="http://schemas.openxmlformats.org/officeDocument/2006/relationships/hyperlink" Target="https://3arbzfbsh-cname-us.ngrok.io/Desktop/seabridge%20fintech/greenline_pa_icon/IEFA_pa_greenline_signal.jpg" TargetMode="External"/><Relationship Id="rId298" Type="http://schemas.openxmlformats.org/officeDocument/2006/relationships/hyperlink" Target="https://3arbzfbsh-cname-us.ngrok.io/Desktop/seabridge%20fintech/greenline_pa_icon/IEF_pa_greenline_signal.jpg" TargetMode="External"/><Relationship Id="rId271" Type="http://schemas.openxmlformats.org/officeDocument/2006/relationships/hyperlink" Target="https://3arbzfbsh-cname-us.ngrok.io/Desktop/seabridge%20fintech/greenline_pa_icon/HCA_pa_greenline_signal.jpg" TargetMode="External"/><Relationship Id="rId270" Type="http://schemas.openxmlformats.org/officeDocument/2006/relationships/hyperlink" Target="https://3arbzfbsh-cname-us.ngrok.io/Desktop/seabridge%20fintech/greenline_pa_icon/HBI_pa_greenline_signal.jpg" TargetMode="External"/><Relationship Id="rId269" Type="http://schemas.openxmlformats.org/officeDocument/2006/relationships/hyperlink" Target="https://3arbzfbsh-cname-us.ngrok.io/Desktop/seabridge%20fintech/greenline_pa_icon/HBAN_pa_greenline_signal.jpg" TargetMode="External"/><Relationship Id="rId264" Type="http://schemas.openxmlformats.org/officeDocument/2006/relationships/hyperlink" Target="https://3arbzfbsh-cname-us.ngrok.io/Desktop/seabridge%20fintech/greenline_pa_icon/GRMN_pa_greenline_signal.jpg" TargetMode="External"/><Relationship Id="rId263" Type="http://schemas.openxmlformats.org/officeDocument/2006/relationships/hyperlink" Target="https://3arbzfbsh-cname-us.ngrok.io/Desktop/seabridge%20fintech/greenline_pa_icon/GPS_pa_greenline_signal.jpg" TargetMode="External"/><Relationship Id="rId262" Type="http://schemas.openxmlformats.org/officeDocument/2006/relationships/hyperlink" Target="https://3arbzfbsh-cname-us.ngrok.io/Desktop/seabridge%20fintech/greenline_pa_icon/GPN_pa_greenline_signal.jpg" TargetMode="External"/><Relationship Id="rId261" Type="http://schemas.openxmlformats.org/officeDocument/2006/relationships/hyperlink" Target="https://3arbzfbsh-cname-us.ngrok.io/Desktop/seabridge%20fintech/greenline_pa_icon/GPC_pa_greenline_signal.jpg" TargetMode="External"/><Relationship Id="rId268" Type="http://schemas.openxmlformats.org/officeDocument/2006/relationships/hyperlink" Target="https://3arbzfbsh-cname-us.ngrok.io/Desktop/seabridge%20fintech/greenline_pa_icon/HAS_pa_greenline_signal.jpg" TargetMode="External"/><Relationship Id="rId267" Type="http://schemas.openxmlformats.org/officeDocument/2006/relationships/hyperlink" Target="https://3arbzfbsh-cname-us.ngrok.io/Desktop/seabridge%20fintech/greenline_pa_icon/HAL_pa_greenline_signal.jpg" TargetMode="External"/><Relationship Id="rId266" Type="http://schemas.openxmlformats.org/officeDocument/2006/relationships/hyperlink" Target="https://3arbzfbsh-cname-us.ngrok.io/Desktop/seabridge%20fintech/greenline_pa_icon/GWW_pa_greenline_signal.jpg" TargetMode="External"/><Relationship Id="rId265" Type="http://schemas.openxmlformats.org/officeDocument/2006/relationships/hyperlink" Target="https://3arbzfbsh-cname-us.ngrok.io/Desktop/seabridge%20fintech/greenline_pa_icon/GS_pa_greenline_signal.jpg" TargetMode="External"/><Relationship Id="rId260" Type="http://schemas.openxmlformats.org/officeDocument/2006/relationships/hyperlink" Target="https://3arbzfbsh-cname-us.ngrok.io/Desktop/seabridge%20fintech/greenline_pa_icon/GOVT_pa_greenline_signal.jpg" TargetMode="External"/><Relationship Id="rId259" Type="http://schemas.openxmlformats.org/officeDocument/2006/relationships/hyperlink" Target="https://3arbzfbsh-cname-us.ngrok.io/Desktop/seabridge%20fintech/greenline_pa_icon/GOOGL_pa_greenline_signal.jpg" TargetMode="External"/><Relationship Id="rId258" Type="http://schemas.openxmlformats.org/officeDocument/2006/relationships/hyperlink" Target="https://3arbzfbsh-cname-us.ngrok.io/Desktop/seabridge%20fintech/greenline_pa_icon/GOOG_pa_greenline_signal.jpg" TargetMode="External"/><Relationship Id="rId253" Type="http://schemas.openxmlformats.org/officeDocument/2006/relationships/hyperlink" Target="https://3arbzfbsh-cname-us.ngrok.io/Desktop/seabridge%20fintech/greenline_pa_icon/GLD_pa_greenline_signal.jpg" TargetMode="External"/><Relationship Id="rId495" Type="http://schemas.openxmlformats.org/officeDocument/2006/relationships/hyperlink" Target="https://3arbzfbsh-cname-us.ngrok.io/Desktop/seabridge%20fintech/greenline_pa_icon/PRGO_pa_greenline_signal.jpg" TargetMode="External"/><Relationship Id="rId252" Type="http://schemas.openxmlformats.org/officeDocument/2006/relationships/hyperlink" Target="https://3arbzfbsh-cname-us.ngrok.io/Desktop/seabridge%20fintech/greenline_pa_icon/GL_pa_greenline_signal.jpg" TargetMode="External"/><Relationship Id="rId494" Type="http://schemas.openxmlformats.org/officeDocument/2006/relationships/hyperlink" Target="https://3arbzfbsh-cname-us.ngrok.io/Desktop/seabridge%20fintech/greenline_pa_icon/PPL_pa_greenline_signal.jpg" TargetMode="External"/><Relationship Id="rId251" Type="http://schemas.openxmlformats.org/officeDocument/2006/relationships/hyperlink" Target="https://3arbzfbsh-cname-us.ngrok.io/Desktop/seabridge%20fintech/greenline_pa_icon/GIS_pa_greenline_signal.jpg" TargetMode="External"/><Relationship Id="rId493" Type="http://schemas.openxmlformats.org/officeDocument/2006/relationships/hyperlink" Target="https://3arbzfbsh-cname-us.ngrok.io/Desktop/seabridge%20fintech/greenline_pa_icon/PPG_pa_greenline_signal.jpg" TargetMode="External"/><Relationship Id="rId250" Type="http://schemas.openxmlformats.org/officeDocument/2006/relationships/hyperlink" Target="https://3arbzfbsh-cname-us.ngrok.io/Desktop/seabridge%20fintech/greenline_pa_icon/GILD_pa_greenline_signal.jpg" TargetMode="External"/><Relationship Id="rId492" Type="http://schemas.openxmlformats.org/officeDocument/2006/relationships/hyperlink" Target="https://3arbzfbsh-cname-us.ngrok.io/Desktop/seabridge%20fintech/greenline_pa_icon/POOL_pa_greenline_signal.jpg" TargetMode="External"/><Relationship Id="rId257" Type="http://schemas.openxmlformats.org/officeDocument/2006/relationships/hyperlink" Target="https://3arbzfbsh-cname-us.ngrok.io/Desktop/seabridge%20fintech/greenline_pa_icon/GNRC_pa_greenline_signal.jpg" TargetMode="External"/><Relationship Id="rId499" Type="http://schemas.openxmlformats.org/officeDocument/2006/relationships/hyperlink" Target="https://3arbzfbsh-cname-us.ngrok.io/Desktop/seabridge%20fintech/greenline_pa_icon/PSX_pa_greenline_signal.jpg" TargetMode="External"/><Relationship Id="rId256" Type="http://schemas.openxmlformats.org/officeDocument/2006/relationships/hyperlink" Target="https://3arbzfbsh-cname-us.ngrok.io/Desktop/seabridge%20fintech/greenline_pa_icon/GME_pa_greenline_signal.jpg" TargetMode="External"/><Relationship Id="rId498" Type="http://schemas.openxmlformats.org/officeDocument/2006/relationships/hyperlink" Target="https://3arbzfbsh-cname-us.ngrok.io/Desktop/seabridge%20fintech/greenline_pa_icon/PSA_pa_greenline_signal.jpg" TargetMode="External"/><Relationship Id="rId255" Type="http://schemas.openxmlformats.org/officeDocument/2006/relationships/hyperlink" Target="https://3arbzfbsh-cname-us.ngrok.io/Desktop/seabridge%20fintech/greenline_pa_icon/GM_pa_greenline_signal.jpg" TargetMode="External"/><Relationship Id="rId497" Type="http://schemas.openxmlformats.org/officeDocument/2006/relationships/hyperlink" Target="https://3arbzfbsh-cname-us.ngrok.io/Desktop/seabridge%20fintech/greenline_pa_icon/PRU_pa_greenline_signal.jpg" TargetMode="External"/><Relationship Id="rId254" Type="http://schemas.openxmlformats.org/officeDocument/2006/relationships/hyperlink" Target="https://3arbzfbsh-cname-us.ngrok.io/Desktop/seabridge%20fintech/greenline_pa_icon/GLW_pa_greenline_signal.jpg" TargetMode="External"/><Relationship Id="rId496" Type="http://schemas.openxmlformats.org/officeDocument/2006/relationships/hyperlink" Target="https://3arbzfbsh-cname-us.ngrok.io/Desktop/seabridge%20fintech/greenline_pa_icon/PRSP_pa_greenline_signal.jpg" TargetMode="External"/><Relationship Id="rId293" Type="http://schemas.openxmlformats.org/officeDocument/2006/relationships/hyperlink" Target="https://3arbzfbsh-cname-us.ngrok.io/Desktop/seabridge%20fintech/greenline_pa_icon/IAU_pa_greenline_signal.jpg" TargetMode="External"/><Relationship Id="rId292" Type="http://schemas.openxmlformats.org/officeDocument/2006/relationships/hyperlink" Target="https://3arbzfbsh-cname-us.ngrok.io/Desktop/seabridge%20fintech/greenline_pa_icon/HYLB_pa_greenline_signal.jpg" TargetMode="External"/><Relationship Id="rId291" Type="http://schemas.openxmlformats.org/officeDocument/2006/relationships/hyperlink" Target="https://3arbzfbsh-cname-us.ngrok.io/Desktop/seabridge%20fintech/greenline_pa_icon/HYG_pa_greenline_signal.jpg" TargetMode="External"/><Relationship Id="rId290" Type="http://schemas.openxmlformats.org/officeDocument/2006/relationships/hyperlink" Target="https://3arbzfbsh-cname-us.ngrok.io/Desktop/seabridge%20fintech/greenline_pa_icon/HWM_pa_greenline_signal.jpg" TargetMode="External"/><Relationship Id="rId286" Type="http://schemas.openxmlformats.org/officeDocument/2006/relationships/hyperlink" Target="https://3arbzfbsh-cname-us.ngrok.io/Desktop/seabridge%20fintech/greenline_pa_icon/HST_pa_greenline_signal.jpg" TargetMode="External"/><Relationship Id="rId285" Type="http://schemas.openxmlformats.org/officeDocument/2006/relationships/hyperlink" Target="https://3arbzfbsh-cname-us.ngrok.io/Desktop/seabridge%20fintech/greenline_pa_icon/HSIC_pa_greenline_signal.jpg" TargetMode="External"/><Relationship Id="rId284" Type="http://schemas.openxmlformats.org/officeDocument/2006/relationships/hyperlink" Target="https://3arbzfbsh-cname-us.ngrok.io/Desktop/seabridge%20fintech/greenline_pa_icon/HRL_pa_greenline_signal.jpg" TargetMode="External"/><Relationship Id="rId283" Type="http://schemas.openxmlformats.org/officeDocument/2006/relationships/hyperlink" Target="https://3arbzfbsh-cname-us.ngrok.io/Desktop/seabridge%20fintech/greenline_pa_icon/HPQ_pa_greenline_signal.jpg" TargetMode="External"/><Relationship Id="rId289" Type="http://schemas.openxmlformats.org/officeDocument/2006/relationships/hyperlink" Target="https://3arbzfbsh-cname-us.ngrok.io/Desktop/seabridge%20fintech/greenline_pa_icon/HUN_pa_greenline_signal.jpg" TargetMode="External"/><Relationship Id="rId288" Type="http://schemas.openxmlformats.org/officeDocument/2006/relationships/hyperlink" Target="https://3arbzfbsh-cname-us.ngrok.io/Desktop/seabridge%20fintech/greenline_pa_icon/HUM_pa_greenline_signal.jpg" TargetMode="External"/><Relationship Id="rId287" Type="http://schemas.openxmlformats.org/officeDocument/2006/relationships/hyperlink" Target="https://3arbzfbsh-cname-us.ngrok.io/Desktop/seabridge%20fintech/greenline_pa_icon/HSY_pa_greenline_signal.jpg" TargetMode="External"/><Relationship Id="rId282" Type="http://schemas.openxmlformats.org/officeDocument/2006/relationships/hyperlink" Target="https://3arbzfbsh-cname-us.ngrok.io/Desktop/seabridge%20fintech/greenline_pa_icon/HPE_pa_greenline_signal.jpg" TargetMode="External"/><Relationship Id="rId281" Type="http://schemas.openxmlformats.org/officeDocument/2006/relationships/hyperlink" Target="https://3arbzfbsh-cname-us.ngrok.io/Desktop/seabridge%20fintech/greenline_pa_icon/HON_pa_greenline_signal.jpg" TargetMode="External"/><Relationship Id="rId280" Type="http://schemas.openxmlformats.org/officeDocument/2006/relationships/hyperlink" Target="https://3arbzfbsh-cname-us.ngrok.io/Desktop/seabridge%20fintech/greenline_pa_icon/HOME_pa_greenline_signal.jpg" TargetMode="External"/><Relationship Id="rId275" Type="http://schemas.openxmlformats.org/officeDocument/2006/relationships/hyperlink" Target="https://3arbzfbsh-cname-us.ngrok.io/Desktop/seabridge%20fintech/greenline_pa_icon/HIG_pa_greenline_signal.jpg" TargetMode="External"/><Relationship Id="rId274" Type="http://schemas.openxmlformats.org/officeDocument/2006/relationships/hyperlink" Target="https://3arbzfbsh-cname-us.ngrok.io/Desktop/seabridge%20fintech/greenline_pa_icon/HFC_pa_greenline_signal.jpg" TargetMode="External"/><Relationship Id="rId273" Type="http://schemas.openxmlformats.org/officeDocument/2006/relationships/hyperlink" Target="https://3arbzfbsh-cname-us.ngrok.io/Desktop/seabridge%20fintech/greenline_pa_icon/HES_pa_greenline_signal.jpg" TargetMode="External"/><Relationship Id="rId272" Type="http://schemas.openxmlformats.org/officeDocument/2006/relationships/hyperlink" Target="https://3arbzfbsh-cname-us.ngrok.io/Desktop/seabridge%20fintech/greenline_pa_icon/HD_pa_greenline_signal.jpg" TargetMode="External"/><Relationship Id="rId279" Type="http://schemas.openxmlformats.org/officeDocument/2006/relationships/hyperlink" Target="https://3arbzfbsh-cname-us.ngrok.io/Desktop/seabridge%20fintech/greenline_pa_icon/HOLX_pa_greenline_signal.jpg" TargetMode="External"/><Relationship Id="rId278" Type="http://schemas.openxmlformats.org/officeDocument/2006/relationships/hyperlink" Target="https://3arbzfbsh-cname-us.ngrok.io/Desktop/seabridge%20fintech/greenline_pa_icon/HOG_pa_greenline_signal.jpg" TargetMode="External"/><Relationship Id="rId277" Type="http://schemas.openxmlformats.org/officeDocument/2006/relationships/hyperlink" Target="https://3arbzfbsh-cname-us.ngrok.io/Desktop/seabridge%20fintech/greenline_pa_icon/HLT_pa_greenline_signal.jpg" TargetMode="External"/><Relationship Id="rId276" Type="http://schemas.openxmlformats.org/officeDocument/2006/relationships/hyperlink" Target="https://3arbzfbsh-cname-us.ngrok.io/Desktop/seabridge%20fintech/greenline_pa_icon/HII_pa_greenline_signal.jpg" TargetMode="External"/><Relationship Id="rId629" Type="http://schemas.openxmlformats.org/officeDocument/2006/relationships/hyperlink" Target="https://3arbzfbsh-cname-us.ngrok.io/Desktop/seabridge%20fintech/greenline_pa_icon/VEA_pa_greenline_signal.jpg" TargetMode="External"/><Relationship Id="rId624" Type="http://schemas.openxmlformats.org/officeDocument/2006/relationships/hyperlink" Target="https://3arbzfbsh-cname-us.ngrok.io/Desktop/seabridge%20fintech/greenline_pa_icon/USMV_pa_greenline_signal.jpg" TargetMode="External"/><Relationship Id="rId623" Type="http://schemas.openxmlformats.org/officeDocument/2006/relationships/hyperlink" Target="https://3arbzfbsh-cname-us.ngrok.io/Desktop/seabridge%20fintech/greenline_pa_icon/USB_pa_greenline_signal.jpg" TargetMode="External"/><Relationship Id="rId622" Type="http://schemas.openxmlformats.org/officeDocument/2006/relationships/hyperlink" Target="https://3arbzfbsh-cname-us.ngrok.io/Desktop/seabridge%20fintech/greenline_pa_icon/URI_pa_greenline_signal.jpg" TargetMode="External"/><Relationship Id="rId621" Type="http://schemas.openxmlformats.org/officeDocument/2006/relationships/hyperlink" Target="https://3arbzfbsh-cname-us.ngrok.io/Desktop/seabridge%20fintech/greenline_pa_icon/UPST_pa_greenline_signal.jpg" TargetMode="External"/><Relationship Id="rId628" Type="http://schemas.openxmlformats.org/officeDocument/2006/relationships/hyperlink" Target="https://3arbzfbsh-cname-us.ngrok.io/Desktop/seabridge%20fintech/greenline_pa_icon/VCSH_pa_greenline_signal.jpg" TargetMode="External"/><Relationship Id="rId627" Type="http://schemas.openxmlformats.org/officeDocument/2006/relationships/hyperlink" Target="https://3arbzfbsh-cname-us.ngrok.io/Desktop/seabridge%20fintech/greenline_pa_icon/VCIT_pa_greenline_signal.jpg" TargetMode="External"/><Relationship Id="rId626" Type="http://schemas.openxmlformats.org/officeDocument/2006/relationships/hyperlink" Target="https://3arbzfbsh-cname-us.ngrok.io/Desktop/seabridge%20fintech/greenline_pa_icon/V_pa_greenline_signal.jpg" TargetMode="External"/><Relationship Id="rId625" Type="http://schemas.openxmlformats.org/officeDocument/2006/relationships/hyperlink" Target="https://3arbzfbsh-cname-us.ngrok.io/Desktop/seabridge%20fintech/greenline_pa_icon/USO_pa_greenline_signal.jpg" TargetMode="External"/><Relationship Id="rId620" Type="http://schemas.openxmlformats.org/officeDocument/2006/relationships/hyperlink" Target="https://3arbzfbsh-cname-us.ngrok.io/Desktop/seabridge%20fintech/greenline_pa_icon/UPS_pa_greenline_signal.jpg" TargetMode="External"/><Relationship Id="rId619" Type="http://schemas.openxmlformats.org/officeDocument/2006/relationships/hyperlink" Target="https://3arbzfbsh-cname-us.ngrok.io/Desktop/seabridge%20fintech/greenline_pa_icon/UNP_pa_greenline_signal.jpg" TargetMode="External"/><Relationship Id="rId618" Type="http://schemas.openxmlformats.org/officeDocument/2006/relationships/hyperlink" Target="https://3arbzfbsh-cname-us.ngrok.io/Desktop/seabridge%20fintech/greenline_pa_icon/UNM_pa_greenline_signal.jpg" TargetMode="External"/><Relationship Id="rId613" Type="http://schemas.openxmlformats.org/officeDocument/2006/relationships/hyperlink" Target="https://3arbzfbsh-cname-us.ngrok.io/Desktop/seabridge%20fintech/greenline_pa_icon/UBER_pa_greenline_signal.jpg" TargetMode="External"/><Relationship Id="rId612" Type="http://schemas.openxmlformats.org/officeDocument/2006/relationships/hyperlink" Target="https://3arbzfbsh-cname-us.ngrok.io/Desktop/seabridge%20fintech/greenline_pa_icon/UAL_pa_greenline_signal.jpg" TargetMode="External"/><Relationship Id="rId611" Type="http://schemas.openxmlformats.org/officeDocument/2006/relationships/hyperlink" Target="https://3arbzfbsh-cname-us.ngrok.io/Desktop/seabridge%20fintech/greenline_pa_icon/UAA_pa_greenline_signal.jpg" TargetMode="External"/><Relationship Id="rId610" Type="http://schemas.openxmlformats.org/officeDocument/2006/relationships/hyperlink" Target="https://3arbzfbsh-cname-us.ngrok.io/Desktop/seabridge%20fintech/greenline_pa_icon/UA_pa_greenline_signal.jpg" TargetMode="External"/><Relationship Id="rId617" Type="http://schemas.openxmlformats.org/officeDocument/2006/relationships/hyperlink" Target="https://3arbzfbsh-cname-us.ngrok.io/Desktop/seabridge%20fintech/greenline_pa_icon/UNH_pa_greenline_signal.jpg" TargetMode="External"/><Relationship Id="rId616" Type="http://schemas.openxmlformats.org/officeDocument/2006/relationships/hyperlink" Target="https://3arbzfbsh-cname-us.ngrok.io/Desktop/seabridge%20fintech/greenline_pa_icon/ULTA_pa_greenline_signal.jpg" TargetMode="External"/><Relationship Id="rId615" Type="http://schemas.openxmlformats.org/officeDocument/2006/relationships/hyperlink" Target="https://3arbzfbsh-cname-us.ngrok.io/Desktop/seabridge%20fintech/greenline_pa_icon/UHS_pa_greenline_signal.jpg" TargetMode="External"/><Relationship Id="rId614" Type="http://schemas.openxmlformats.org/officeDocument/2006/relationships/hyperlink" Target="https://3arbzfbsh-cname-us.ngrok.io/Desktop/seabridge%20fintech/greenline_pa_icon/UDR_pa_greenline_signal.jpg" TargetMode="External"/><Relationship Id="rId409" Type="http://schemas.openxmlformats.org/officeDocument/2006/relationships/hyperlink" Target="https://3arbzfbsh-cname-us.ngrok.io/Desktop/seabridge%20fintech/greenline_pa_icon/MPLX_pa_greenline_signal.jpg" TargetMode="External"/><Relationship Id="rId404" Type="http://schemas.openxmlformats.org/officeDocument/2006/relationships/hyperlink" Target="https://3arbzfbsh-cname-us.ngrok.io/Desktop/seabridge%20fintech/greenline_pa_icon/MNST_pa_greenline_signal.jpg" TargetMode="External"/><Relationship Id="rId646" Type="http://schemas.openxmlformats.org/officeDocument/2006/relationships/hyperlink" Target="https://3arbzfbsh-cname-us.ngrok.io/Desktop/seabridge%20fintech/greenline_pa_icon/VT_pa_greenline_signal.jpg" TargetMode="External"/><Relationship Id="rId403" Type="http://schemas.openxmlformats.org/officeDocument/2006/relationships/hyperlink" Target="https://3arbzfbsh-cname-us.ngrok.io/Desktop/seabridge%20fintech/greenline_pa_icon/MMM_pa_greenline_signal.jpg" TargetMode="External"/><Relationship Id="rId645" Type="http://schemas.openxmlformats.org/officeDocument/2006/relationships/hyperlink" Target="https://3arbzfbsh-cname-us.ngrok.io/Desktop/seabridge%20fintech/greenline_pa_icon/VRTX_pa_greenline_signal.jpg" TargetMode="External"/><Relationship Id="rId402" Type="http://schemas.openxmlformats.org/officeDocument/2006/relationships/hyperlink" Target="https://3arbzfbsh-cname-us.ngrok.io/Desktop/seabridge%20fintech/greenline_pa_icon/MMC_pa_greenline_signal.jpg" TargetMode="External"/><Relationship Id="rId644" Type="http://schemas.openxmlformats.org/officeDocument/2006/relationships/hyperlink" Target="https://3arbzfbsh-cname-us.ngrok.io/Desktop/seabridge%20fintech/greenline_pa_icon/VRT_pa_greenline_signal.jpg" TargetMode="External"/><Relationship Id="rId401" Type="http://schemas.openxmlformats.org/officeDocument/2006/relationships/hyperlink" Target="https://3arbzfbsh-cname-us.ngrok.io/Desktop/seabridge%20fintech/greenline_pa_icon/MLM_pa_greenline_signal.jpg" TargetMode="External"/><Relationship Id="rId643" Type="http://schemas.openxmlformats.org/officeDocument/2006/relationships/hyperlink" Target="https://3arbzfbsh-cname-us.ngrok.io/Desktop/seabridge%20fintech/greenline_pa_icon/VRSN_pa_greenline_signal.jpg" TargetMode="External"/><Relationship Id="rId408" Type="http://schemas.openxmlformats.org/officeDocument/2006/relationships/hyperlink" Target="https://3arbzfbsh-cname-us.ngrok.io/Desktop/seabridge%20fintech/greenline_pa_icon/MPC_pa_greenline_signal.jpg" TargetMode="External"/><Relationship Id="rId407" Type="http://schemas.openxmlformats.org/officeDocument/2006/relationships/hyperlink" Target="https://3arbzfbsh-cname-us.ngrok.io/Desktop/seabridge%20fintech/greenline_pa_icon/MP_pa_greenline_signal.jpg" TargetMode="External"/><Relationship Id="rId649" Type="http://schemas.openxmlformats.org/officeDocument/2006/relationships/hyperlink" Target="https://3arbzfbsh-cname-us.ngrok.io/Desktop/seabridge%20fintech/greenline_pa_icon/VTR_pa_greenline_signal.jpg" TargetMode="External"/><Relationship Id="rId406" Type="http://schemas.openxmlformats.org/officeDocument/2006/relationships/hyperlink" Target="https://3arbzfbsh-cname-us.ngrok.io/Desktop/seabridge%20fintech/greenline_pa_icon/MOS_pa_greenline_signal.jpg" TargetMode="External"/><Relationship Id="rId648" Type="http://schemas.openxmlformats.org/officeDocument/2006/relationships/hyperlink" Target="https://3arbzfbsh-cname-us.ngrok.io/Desktop/seabridge%20fintech/greenline_pa_icon/VTIP_pa_greenline_signal.jpg" TargetMode="External"/><Relationship Id="rId405" Type="http://schemas.openxmlformats.org/officeDocument/2006/relationships/hyperlink" Target="https://3arbzfbsh-cname-us.ngrok.io/Desktop/seabridge%20fintech/greenline_pa_icon/MO_pa_greenline_signal.jpg" TargetMode="External"/><Relationship Id="rId647" Type="http://schemas.openxmlformats.org/officeDocument/2006/relationships/hyperlink" Target="https://3arbzfbsh-cname-us.ngrok.io/Desktop/seabridge%20fintech/greenline_pa_icon/VTI_pa_greenline_signal.jpg" TargetMode="External"/><Relationship Id="rId400" Type="http://schemas.openxmlformats.org/officeDocument/2006/relationships/hyperlink" Target="https://3arbzfbsh-cname-us.ngrok.io/Desktop/seabridge%20fintech/greenline_pa_icon/MKTX_pa_greenline_signal.jpg" TargetMode="External"/><Relationship Id="rId642" Type="http://schemas.openxmlformats.org/officeDocument/2006/relationships/hyperlink" Target="https://3arbzfbsh-cname-us.ngrok.io/Desktop/seabridge%20fintech/greenline_pa_icon/VRSK_pa_greenline_signal.jpg" TargetMode="External"/><Relationship Id="rId641" Type="http://schemas.openxmlformats.org/officeDocument/2006/relationships/hyperlink" Target="https://3arbzfbsh-cname-us.ngrok.io/Desktop/seabridge%20fintech/greenline_pa_icon/VRM_pa_greenline_signal.jpg" TargetMode="External"/><Relationship Id="rId640" Type="http://schemas.openxmlformats.org/officeDocument/2006/relationships/hyperlink" Target="https://3arbzfbsh-cname-us.ngrok.io/Desktop/seabridge%20fintech/greenline_pa_icon/VOO_pa_greenline_signal.jpg" TargetMode="External"/><Relationship Id="rId635" Type="http://schemas.openxmlformats.org/officeDocument/2006/relationships/hyperlink" Target="https://3arbzfbsh-cname-us.ngrok.io/Desktop/seabridge%20fintech/greenline_pa_icon/VICI_pa_greenline_signal.jpg" TargetMode="External"/><Relationship Id="rId634" Type="http://schemas.openxmlformats.org/officeDocument/2006/relationships/hyperlink" Target="https://3arbzfbsh-cname-us.ngrok.io/Desktop/seabridge%20fintech/greenline_pa_icon/VIAC_pa_greenline_signal.jpg" TargetMode="External"/><Relationship Id="rId633" Type="http://schemas.openxmlformats.org/officeDocument/2006/relationships/hyperlink" Target="https://3arbzfbsh-cname-us.ngrok.io/Desktop/seabridge%20fintech/greenline_pa_icon/VGK_pa_greenline_signal.jpg" TargetMode="External"/><Relationship Id="rId632" Type="http://schemas.openxmlformats.org/officeDocument/2006/relationships/hyperlink" Target="https://3arbzfbsh-cname-us.ngrok.io/Desktop/seabridge%20fintech/greenline_pa_icon/VFC_pa_greenline_signal.jpg" TargetMode="External"/><Relationship Id="rId639" Type="http://schemas.openxmlformats.org/officeDocument/2006/relationships/hyperlink" Target="https://3arbzfbsh-cname-us.ngrok.io/Desktop/seabridge%20fintech/greenline_pa_icon/VNQ_pa_greenline_signal.jpg" TargetMode="External"/><Relationship Id="rId638" Type="http://schemas.openxmlformats.org/officeDocument/2006/relationships/hyperlink" Target="https://3arbzfbsh-cname-us.ngrok.io/Desktop/seabridge%20fintech/greenline_pa_icon/VNO_pa_greenline_signal.jpg" TargetMode="External"/><Relationship Id="rId637" Type="http://schemas.openxmlformats.org/officeDocument/2006/relationships/hyperlink" Target="https://3arbzfbsh-cname-us.ngrok.io/Desktop/seabridge%20fintech/greenline_pa_icon/VMC_pa_greenline_signal.jpg" TargetMode="External"/><Relationship Id="rId636" Type="http://schemas.openxmlformats.org/officeDocument/2006/relationships/hyperlink" Target="https://3arbzfbsh-cname-us.ngrok.io/Desktop/seabridge%20fintech/greenline_pa_icon/VLO_pa_greenline_signal.jpg" TargetMode="External"/><Relationship Id="rId631" Type="http://schemas.openxmlformats.org/officeDocument/2006/relationships/hyperlink" Target="https://3arbzfbsh-cname-us.ngrok.io/Desktop/seabridge%20fintech/greenline_pa_icon/VEU_pa_greenline_signal.jpg" TargetMode="External"/><Relationship Id="rId630" Type="http://schemas.openxmlformats.org/officeDocument/2006/relationships/hyperlink" Target="https://3arbzfbsh-cname-us.ngrok.io/Desktop/seabridge%20fintech/greenline_pa_icon/VER_pa_greenline_signal.jpg" TargetMode="External"/><Relationship Id="rId609" Type="http://schemas.openxmlformats.org/officeDocument/2006/relationships/hyperlink" Target="https://3arbzfbsh-cname-us.ngrok.io/Desktop/seabridge%20fintech/greenline_pa_icon/TYL_pa_greenline_signal.jpg" TargetMode="External"/><Relationship Id="rId608" Type="http://schemas.openxmlformats.org/officeDocument/2006/relationships/hyperlink" Target="https://3arbzfbsh-cname-us.ngrok.io/Desktop/seabridge%20fintech/greenline_pa_icon/TXT_pa_greenline_signal.jpg" TargetMode="External"/><Relationship Id="rId607" Type="http://schemas.openxmlformats.org/officeDocument/2006/relationships/hyperlink" Target="https://3arbzfbsh-cname-us.ngrok.io/Desktop/seabridge%20fintech/greenline_pa_icon/TXN_pa_greenline_signal.jpg" TargetMode="External"/><Relationship Id="rId602" Type="http://schemas.openxmlformats.org/officeDocument/2006/relationships/hyperlink" Target="https://3arbzfbsh-cname-us.ngrok.io/Desktop/seabridge%20fintech/greenline_pa_icon/TT_pa_greenline_signal.jpg" TargetMode="External"/><Relationship Id="rId601" Type="http://schemas.openxmlformats.org/officeDocument/2006/relationships/hyperlink" Target="https://3arbzfbsh-cname-us.ngrok.io/Desktop/seabridge%20fintech/greenline_pa_icon/TSN_pa_greenline_signal.jpg" TargetMode="External"/><Relationship Id="rId600" Type="http://schemas.openxmlformats.org/officeDocument/2006/relationships/hyperlink" Target="https://3arbzfbsh-cname-us.ngrok.io/Desktop/seabridge%20fintech/greenline_pa_icon/TSLA_pa_greenline_signal.jpg" TargetMode="External"/><Relationship Id="rId606" Type="http://schemas.openxmlformats.org/officeDocument/2006/relationships/hyperlink" Target="https://3arbzfbsh-cname-us.ngrok.io/Desktop/seabridge%20fintech/greenline_pa_icon/TWTR_pa_greenline_signal.jpg" TargetMode="External"/><Relationship Id="rId605" Type="http://schemas.openxmlformats.org/officeDocument/2006/relationships/hyperlink" Target="https://3arbzfbsh-cname-us.ngrok.io/Desktop/seabridge%20fintech/greenline_pa_icon/TWLO_pa_greenline_signal.jpg" TargetMode="External"/><Relationship Id="rId604" Type="http://schemas.openxmlformats.org/officeDocument/2006/relationships/hyperlink" Target="https://3arbzfbsh-cname-us.ngrok.io/Desktop/seabridge%20fintech/greenline_pa_icon/TTWO_pa_greenline_signal.jpg" TargetMode="External"/><Relationship Id="rId603" Type="http://schemas.openxmlformats.org/officeDocument/2006/relationships/hyperlink" Target="https://3arbzfbsh-cname-us.ngrok.io/Desktop/seabridge%20fintech/greenline_pa_icon/TTD_pa_greenline_signal.jpg" TargetMode="External"/><Relationship Id="rId228" Type="http://schemas.openxmlformats.org/officeDocument/2006/relationships/hyperlink" Target="https://3arbzfbsh-cname-us.ngrok.io/Desktop/seabridge%20fintech/greenline_pa_icon/FDX_pa_greenline_signal.jpg" TargetMode="External"/><Relationship Id="rId227" Type="http://schemas.openxmlformats.org/officeDocument/2006/relationships/hyperlink" Target="https://3arbzfbsh-cname-us.ngrok.io/Desktop/seabridge%20fintech/greenline_pa_icon/FCX_pa_greenline_signal.jpg" TargetMode="External"/><Relationship Id="rId469" Type="http://schemas.openxmlformats.org/officeDocument/2006/relationships/hyperlink" Target="https://3arbzfbsh-cname-us.ngrok.io/Desktop/seabridge%20fintech/greenline_pa_icon/PCAR_pa_greenline_signal.jpg" TargetMode="External"/><Relationship Id="rId226" Type="http://schemas.openxmlformats.org/officeDocument/2006/relationships/hyperlink" Target="https://3arbzfbsh-cname-us.ngrok.io/Desktop/seabridge%20fintech/greenline_pa_icon/FBHS_pa_greenline_signal.jpg" TargetMode="External"/><Relationship Id="rId468" Type="http://schemas.openxmlformats.org/officeDocument/2006/relationships/hyperlink" Target="https://3arbzfbsh-cname-us.ngrok.io/Desktop/seabridge%20fintech/greenline_pa_icon/PBCT_pa_greenline_signal.jpg" TargetMode="External"/><Relationship Id="rId225" Type="http://schemas.openxmlformats.org/officeDocument/2006/relationships/hyperlink" Target="https://3arbzfbsh-cname-us.ngrok.io/Desktop/seabridge%20fintech/greenline_pa_icon/FB_pa_greenline_signal.jpg" TargetMode="External"/><Relationship Id="rId467" Type="http://schemas.openxmlformats.org/officeDocument/2006/relationships/hyperlink" Target="https://3arbzfbsh-cname-us.ngrok.io/Desktop/seabridge%20fintech/greenline_pa_icon/PAYX_pa_greenline_signal.jpg" TargetMode="External"/><Relationship Id="rId229" Type="http://schemas.openxmlformats.org/officeDocument/2006/relationships/hyperlink" Target="https://3arbzfbsh-cname-us.ngrok.io/Desktop/seabridge%20fintech/greenline_pa_icon/FE_pa_greenline_signal.jpg" TargetMode="External"/><Relationship Id="rId220" Type="http://schemas.openxmlformats.org/officeDocument/2006/relationships/hyperlink" Target="https://3arbzfbsh-cname-us.ngrok.io/Desktop/seabridge%20fintech/greenline_pa_icon/EXR_pa_greenline_signal.jpg" TargetMode="External"/><Relationship Id="rId462" Type="http://schemas.openxmlformats.org/officeDocument/2006/relationships/hyperlink" Target="https://3arbzfbsh-cname-us.ngrok.io/Desktop/seabridge%20fintech/greenline_pa_icon/ORLY_pa_greenline_signal.jpg" TargetMode="External"/><Relationship Id="rId461" Type="http://schemas.openxmlformats.org/officeDocument/2006/relationships/hyperlink" Target="https://3arbzfbsh-cname-us.ngrok.io/Desktop/seabridge%20fintech/greenline_pa_icon/ORCL_pa_greenline_signal.jpg" TargetMode="External"/><Relationship Id="rId460" Type="http://schemas.openxmlformats.org/officeDocument/2006/relationships/hyperlink" Target="https://3arbzfbsh-cname-us.ngrok.io/Desktop/seabridge%20fintech/greenline_pa_icon/ON_pa_greenline_signal.jpg" TargetMode="External"/><Relationship Id="rId224" Type="http://schemas.openxmlformats.org/officeDocument/2006/relationships/hyperlink" Target="https://3arbzfbsh-cname-us.ngrok.io/Desktop/seabridge%20fintech/greenline_pa_icon/FAST_pa_greenline_signal.jpg" TargetMode="External"/><Relationship Id="rId466" Type="http://schemas.openxmlformats.org/officeDocument/2006/relationships/hyperlink" Target="https://3arbzfbsh-cname-us.ngrok.io/Desktop/seabridge%20fintech/greenline_pa_icon/PAYC_pa_greenline_signal.jpg" TargetMode="External"/><Relationship Id="rId223" Type="http://schemas.openxmlformats.org/officeDocument/2006/relationships/hyperlink" Target="https://3arbzfbsh-cname-us.ngrok.io/Desktop/seabridge%20fintech/greenline_pa_icon/FANG_pa_greenline_signal.jpg" TargetMode="External"/><Relationship Id="rId465" Type="http://schemas.openxmlformats.org/officeDocument/2006/relationships/hyperlink" Target="https://3arbzfbsh-cname-us.ngrok.io/Desktop/seabridge%20fintech/greenline_pa_icon/PACB_pa_greenline_signal.jpg" TargetMode="External"/><Relationship Id="rId222" Type="http://schemas.openxmlformats.org/officeDocument/2006/relationships/hyperlink" Target="https://3arbzfbsh-cname-us.ngrok.io/Desktop/seabridge%20fintech/greenline_pa_icon/F_pa_greenline_signal.jpg" TargetMode="External"/><Relationship Id="rId464" Type="http://schemas.openxmlformats.org/officeDocument/2006/relationships/hyperlink" Target="https://3arbzfbsh-cname-us.ngrok.io/Desktop/seabridge%20fintech/greenline_pa_icon/OXY_pa_greenline_signal.jpg" TargetMode="External"/><Relationship Id="rId221" Type="http://schemas.openxmlformats.org/officeDocument/2006/relationships/hyperlink" Target="https://3arbzfbsh-cname-us.ngrok.io/Desktop/seabridge%20fintech/greenline_pa_icon/EZU_pa_greenline_signal.jpg" TargetMode="External"/><Relationship Id="rId463" Type="http://schemas.openxmlformats.org/officeDocument/2006/relationships/hyperlink" Target="https://3arbzfbsh-cname-us.ngrok.io/Desktop/seabridge%20fintech/greenline_pa_icon/OVV_pa_greenline_signal.jpg" TargetMode="External"/><Relationship Id="rId217" Type="http://schemas.openxmlformats.org/officeDocument/2006/relationships/hyperlink" Target="https://3arbzfbsh-cname-us.ngrok.io/Desktop/seabridge%20fintech/greenline_pa_icon/EXC_pa_greenline_signal.jpg" TargetMode="External"/><Relationship Id="rId459" Type="http://schemas.openxmlformats.org/officeDocument/2006/relationships/hyperlink" Target="https://3arbzfbsh-cname-us.ngrok.io/Desktop/seabridge%20fintech/greenline_pa_icon/OMC_pa_greenline_signal.jpg" TargetMode="External"/><Relationship Id="rId216" Type="http://schemas.openxmlformats.org/officeDocument/2006/relationships/hyperlink" Target="https://3arbzfbsh-cname-us.ngrok.io/Desktop/seabridge%20fintech/greenline_pa_icon/EWZ_pa_greenline_signal.jpg" TargetMode="External"/><Relationship Id="rId458" Type="http://schemas.openxmlformats.org/officeDocument/2006/relationships/hyperlink" Target="https://3arbzfbsh-cname-us.ngrok.io/Desktop/seabridge%20fintech/greenline_pa_icon/OKTA_pa_greenline_signal.jpg" TargetMode="External"/><Relationship Id="rId215" Type="http://schemas.openxmlformats.org/officeDocument/2006/relationships/hyperlink" Target="https://3arbzfbsh-cname-us.ngrok.io/Desktop/seabridge%20fintech/greenline_pa_icon/EWY_pa_greenline_signal.jpg" TargetMode="External"/><Relationship Id="rId457" Type="http://schemas.openxmlformats.org/officeDocument/2006/relationships/hyperlink" Target="https://3arbzfbsh-cname-us.ngrok.io/Desktop/seabridge%20fintech/greenline_pa_icon/OKE_pa_greenline_signal.jpg" TargetMode="External"/><Relationship Id="rId699" Type="http://schemas.openxmlformats.org/officeDocument/2006/relationships/hyperlink" Target="https://3arbzfbsh-cname-us.ngrok.io/Desktop/seabridge%20fintech/greenline_pa_icon/ZM_pa_greenline_signal.jpg" TargetMode="External"/><Relationship Id="rId214" Type="http://schemas.openxmlformats.org/officeDocument/2006/relationships/hyperlink" Target="https://3arbzfbsh-cname-us.ngrok.io/Desktop/seabridge%20fintech/greenline_pa_icon/EWU_pa_greenline_signal.jpg" TargetMode="External"/><Relationship Id="rId456" Type="http://schemas.openxmlformats.org/officeDocument/2006/relationships/hyperlink" Target="https://3arbzfbsh-cname-us.ngrok.io/Desktop/seabridge%20fintech/greenline_pa_icon/OGE_pa_greenline_signal.jpg" TargetMode="External"/><Relationship Id="rId698" Type="http://schemas.openxmlformats.org/officeDocument/2006/relationships/hyperlink" Target="https://3arbzfbsh-cname-us.ngrok.io/Desktop/seabridge%20fintech/greenline_pa_icon/ZION_pa_greenline_signal.jpg" TargetMode="External"/><Relationship Id="rId219" Type="http://schemas.openxmlformats.org/officeDocument/2006/relationships/hyperlink" Target="https://3arbzfbsh-cname-us.ngrok.io/Desktop/seabridge%20fintech/greenline_pa_icon/EXPE_pa_greenline_signal.jpg" TargetMode="External"/><Relationship Id="rId218" Type="http://schemas.openxmlformats.org/officeDocument/2006/relationships/hyperlink" Target="https://3arbzfbsh-cname-us.ngrok.io/Desktop/seabridge%20fintech/greenline_pa_icon/EXPD_pa_greenline_signal.jpg" TargetMode="External"/><Relationship Id="rId451" Type="http://schemas.openxmlformats.org/officeDocument/2006/relationships/hyperlink" Target="https://3arbzfbsh-cname-us.ngrok.io/Desktop/seabridge%20fintech/greenline_pa_icon/NWS_pa_greenline_signal.jpg" TargetMode="External"/><Relationship Id="rId693" Type="http://schemas.openxmlformats.org/officeDocument/2006/relationships/hyperlink" Target="https://3arbzfbsh-cname-us.ngrok.io/Desktop/seabridge%20fintech/greenline_pa_icon/XYL_pa_greenline_signal.jpg" TargetMode="External"/><Relationship Id="rId450" Type="http://schemas.openxmlformats.org/officeDocument/2006/relationships/hyperlink" Target="https://3arbzfbsh-cname-us.ngrok.io/Desktop/seabridge%20fintech/greenline_pa_icon/NWL_pa_greenline_signal.jpg" TargetMode="External"/><Relationship Id="rId692" Type="http://schemas.openxmlformats.org/officeDocument/2006/relationships/hyperlink" Target="https://3arbzfbsh-cname-us.ngrok.io/Desktop/seabridge%20fintech/greenline_pa_icon/XRAY_pa_greenline_signal.jpg" TargetMode="External"/><Relationship Id="rId691" Type="http://schemas.openxmlformats.org/officeDocument/2006/relationships/hyperlink" Target="https://3arbzfbsh-cname-us.ngrok.io/Desktop/seabridge%20fintech/greenline_pa_icon/XOP_pa_greenline_signal.jpg" TargetMode="External"/><Relationship Id="rId690" Type="http://schemas.openxmlformats.org/officeDocument/2006/relationships/hyperlink" Target="https://3arbzfbsh-cname-us.ngrok.io/Desktop/seabridge%20fintech/greenline_pa_icon/XOM_pa_greenline_signal.jpg" TargetMode="External"/><Relationship Id="rId213" Type="http://schemas.openxmlformats.org/officeDocument/2006/relationships/hyperlink" Target="https://3arbzfbsh-cname-us.ngrok.io/Desktop/seabridge%20fintech/greenline_pa_icon/EWT_pa_greenline_signal.jpg" TargetMode="External"/><Relationship Id="rId455" Type="http://schemas.openxmlformats.org/officeDocument/2006/relationships/hyperlink" Target="https://3arbzfbsh-cname-us.ngrok.io/Desktop/seabridge%20fintech/greenline_pa_icon/ODFL_pa_greenline_signal.jpg" TargetMode="External"/><Relationship Id="rId697" Type="http://schemas.openxmlformats.org/officeDocument/2006/relationships/hyperlink" Target="https://3arbzfbsh-cname-us.ngrok.io/Desktop/seabridge%20fintech/greenline_pa_icon/ZBRA_pa_greenline_signal.jpg" TargetMode="External"/><Relationship Id="rId212" Type="http://schemas.openxmlformats.org/officeDocument/2006/relationships/hyperlink" Target="https://3arbzfbsh-cname-us.ngrok.io/Desktop/seabridge%20fintech/greenline_pa_icon/EWJ_pa_greenline_signal.jpg" TargetMode="External"/><Relationship Id="rId454" Type="http://schemas.openxmlformats.org/officeDocument/2006/relationships/hyperlink" Target="https://3arbzfbsh-cname-us.ngrok.io/Desktop/seabridge%20fintech/greenline_pa_icon/O_pa_greenline_signal.jpg" TargetMode="External"/><Relationship Id="rId696" Type="http://schemas.openxmlformats.org/officeDocument/2006/relationships/hyperlink" Target="https://3arbzfbsh-cname-us.ngrok.io/Desktop/seabridge%20fintech/greenline_pa_icon/ZBH_pa_greenline_signal.jpg" TargetMode="External"/><Relationship Id="rId211" Type="http://schemas.openxmlformats.org/officeDocument/2006/relationships/hyperlink" Target="https://3arbzfbsh-cname-us.ngrok.io/Desktop/seabridge%20fintech/greenline_pa_icon/EWH_pa_greenline_signal.jpg" TargetMode="External"/><Relationship Id="rId453" Type="http://schemas.openxmlformats.org/officeDocument/2006/relationships/hyperlink" Target="https://3arbzfbsh-cname-us.ngrok.io/Desktop/seabridge%20fintech/greenline_pa_icon/NXPI_pa_greenline_signal.jpg" TargetMode="External"/><Relationship Id="rId695" Type="http://schemas.openxmlformats.org/officeDocument/2006/relationships/hyperlink" Target="https://3arbzfbsh-cname-us.ngrok.io/Desktop/seabridge%20fintech/greenline_pa_icon/Z_pa_greenline_signal.jpg" TargetMode="External"/><Relationship Id="rId210" Type="http://schemas.openxmlformats.org/officeDocument/2006/relationships/hyperlink" Target="https://3arbzfbsh-cname-us.ngrok.io/Desktop/seabridge%20fintech/greenline_pa_icon/EWG_pa_greenline_signal.jpg" TargetMode="External"/><Relationship Id="rId452" Type="http://schemas.openxmlformats.org/officeDocument/2006/relationships/hyperlink" Target="https://3arbzfbsh-cname-us.ngrok.io/Desktop/seabridge%20fintech/greenline_pa_icon/NWSA_pa_greenline_signal.jpg" TargetMode="External"/><Relationship Id="rId694" Type="http://schemas.openxmlformats.org/officeDocument/2006/relationships/hyperlink" Target="https://3arbzfbsh-cname-us.ngrok.io/Desktop/seabridge%20fintech/greenline_pa_icon/YUM_pa_greenline_signal.jpg" TargetMode="External"/><Relationship Id="rId491" Type="http://schemas.openxmlformats.org/officeDocument/2006/relationships/hyperlink" Target="https://3arbzfbsh-cname-us.ngrok.io/Desktop/seabridge%20fintech/greenline_pa_icon/PNW_pa_greenline_signal.jpg" TargetMode="External"/><Relationship Id="rId490" Type="http://schemas.openxmlformats.org/officeDocument/2006/relationships/hyperlink" Target="https://3arbzfbsh-cname-us.ngrok.io/Desktop/seabridge%20fintech/greenline_pa_icon/PNR_pa_greenline_signal.jpg" TargetMode="External"/><Relationship Id="rId249" Type="http://schemas.openxmlformats.org/officeDocument/2006/relationships/hyperlink" Target="https://3arbzfbsh-cname-us.ngrok.io/Desktop/seabridge%20fintech/greenline_pa_icon/GE_pa_greenline_signal.jpg" TargetMode="External"/><Relationship Id="rId248" Type="http://schemas.openxmlformats.org/officeDocument/2006/relationships/hyperlink" Target="https://3arbzfbsh-cname-us.ngrok.io/Desktop/seabridge%20fintech/greenline_pa_icon/GDX_pa_greenline_signal.jpg" TargetMode="External"/><Relationship Id="rId247" Type="http://schemas.openxmlformats.org/officeDocument/2006/relationships/hyperlink" Target="https://3arbzfbsh-cname-us.ngrok.io/Desktop/seabridge%20fintech/greenline_pa_icon/GD_pa_greenline_signal.jpg" TargetMode="External"/><Relationship Id="rId489" Type="http://schemas.openxmlformats.org/officeDocument/2006/relationships/hyperlink" Target="https://3arbzfbsh-cname-us.ngrok.io/Desktop/seabridge%20fintech/greenline_pa_icon/PNC_pa_greenline_signal.jpg" TargetMode="External"/><Relationship Id="rId242" Type="http://schemas.openxmlformats.org/officeDocument/2006/relationships/hyperlink" Target="https://3arbzfbsh-cname-us.ngrok.io/Desktop/seabridge%20fintech/greenline_pa_icon/FTNT_pa_greenline_signal.jpg" TargetMode="External"/><Relationship Id="rId484" Type="http://schemas.openxmlformats.org/officeDocument/2006/relationships/hyperlink" Target="https://3arbzfbsh-cname-us.ngrok.io/Desktop/seabridge%20fintech/greenline_pa_icon/PKI_pa_greenline_signal.jpg" TargetMode="External"/><Relationship Id="rId241" Type="http://schemas.openxmlformats.org/officeDocument/2006/relationships/hyperlink" Target="https://3arbzfbsh-cname-us.ngrok.io/Desktop/seabridge%20fintech/greenline_pa_icon/FSLY_pa_greenline_signal.jpg" TargetMode="External"/><Relationship Id="rId483" Type="http://schemas.openxmlformats.org/officeDocument/2006/relationships/hyperlink" Target="https://3arbzfbsh-cname-us.ngrok.io/Desktop/seabridge%20fintech/greenline_pa_icon/PKG_pa_greenline_signal.jpg" TargetMode="External"/><Relationship Id="rId240" Type="http://schemas.openxmlformats.org/officeDocument/2006/relationships/hyperlink" Target="https://3arbzfbsh-cname-us.ngrok.io/Desktop/seabridge%20fintech/greenline_pa_icon/FSLR_pa_greenline_signal.jpg" TargetMode="External"/><Relationship Id="rId482" Type="http://schemas.openxmlformats.org/officeDocument/2006/relationships/hyperlink" Target="https://3arbzfbsh-cname-us.ngrok.io/Desktop/seabridge%20fintech/greenline_pa_icon/PINS_pa_greenline_signal.jpg" TargetMode="External"/><Relationship Id="rId481" Type="http://schemas.openxmlformats.org/officeDocument/2006/relationships/hyperlink" Target="https://3arbzfbsh-cname-us.ngrok.io/Desktop/seabridge%20fintech/greenline_pa_icon/PHM_pa_greenline_signal.jpg" TargetMode="External"/><Relationship Id="rId246" Type="http://schemas.openxmlformats.org/officeDocument/2006/relationships/hyperlink" Target="https://3arbzfbsh-cname-us.ngrok.io/Desktop/seabridge%20fintech/greenline_pa_icon/GBTC_pa_greenline_signal.jpg" TargetMode="External"/><Relationship Id="rId488" Type="http://schemas.openxmlformats.org/officeDocument/2006/relationships/hyperlink" Target="https://3arbzfbsh-cname-us.ngrok.io/Desktop/seabridge%20fintech/greenline_pa_icon/PM_pa_greenline_signal.jpg" TargetMode="External"/><Relationship Id="rId245" Type="http://schemas.openxmlformats.org/officeDocument/2006/relationships/hyperlink" Target="https://3arbzfbsh-cname-us.ngrok.io/Desktop/seabridge%20fintech/greenline_pa_icon/FXI_pa_greenline_signal.jpg" TargetMode="External"/><Relationship Id="rId487" Type="http://schemas.openxmlformats.org/officeDocument/2006/relationships/hyperlink" Target="https://3arbzfbsh-cname-us.ngrok.io/Desktop/seabridge%20fintech/greenline_pa_icon/PLUG_pa_greenline_signal.jpg" TargetMode="External"/><Relationship Id="rId244" Type="http://schemas.openxmlformats.org/officeDocument/2006/relationships/hyperlink" Target="https://3arbzfbsh-cname-us.ngrok.io/Desktop/seabridge%20fintech/greenline_pa_icon/FUBO_pa_greenline_signal.jpg" TargetMode="External"/><Relationship Id="rId486" Type="http://schemas.openxmlformats.org/officeDocument/2006/relationships/hyperlink" Target="https://3arbzfbsh-cname-us.ngrok.io/Desktop/seabridge%20fintech/greenline_pa_icon/PLD_pa_greenline_signal.jpg" TargetMode="External"/><Relationship Id="rId243" Type="http://schemas.openxmlformats.org/officeDocument/2006/relationships/hyperlink" Target="https://3arbzfbsh-cname-us.ngrok.io/Desktop/seabridge%20fintech/greenline_pa_icon/FTV_pa_greenline_signal.jpg" TargetMode="External"/><Relationship Id="rId485" Type="http://schemas.openxmlformats.org/officeDocument/2006/relationships/hyperlink" Target="https://3arbzfbsh-cname-us.ngrok.io/Desktop/seabridge%20fintech/greenline_pa_icon/PLAN_pa_greenline_signal.jpg" TargetMode="External"/><Relationship Id="rId480" Type="http://schemas.openxmlformats.org/officeDocument/2006/relationships/hyperlink" Target="https://3arbzfbsh-cname-us.ngrok.io/Desktop/seabridge%20fintech/greenline_pa_icon/PH_pa_greenline_signal.jpg" TargetMode="External"/><Relationship Id="rId239" Type="http://schemas.openxmlformats.org/officeDocument/2006/relationships/hyperlink" Target="https://3arbzfbsh-cname-us.ngrok.io/Desktop/seabridge%20fintech/greenline_pa_icon/FRT_pa_greenline_signal.jpg" TargetMode="External"/><Relationship Id="rId238" Type="http://schemas.openxmlformats.org/officeDocument/2006/relationships/hyperlink" Target="https://3arbzfbsh-cname-us.ngrok.io/Desktop/seabridge%20fintech/greenline_pa_icon/FRC_pa_greenline_signal.jpg" TargetMode="External"/><Relationship Id="rId237" Type="http://schemas.openxmlformats.org/officeDocument/2006/relationships/hyperlink" Target="https://3arbzfbsh-cname-us.ngrok.io/Desktop/seabridge%20fintech/greenline_pa_icon/FOXA_pa_greenline_signal.jpg" TargetMode="External"/><Relationship Id="rId479" Type="http://schemas.openxmlformats.org/officeDocument/2006/relationships/hyperlink" Target="https://3arbzfbsh-cname-us.ngrok.io/Desktop/seabridge%20fintech/greenline_pa_icon/PGR_pa_greenline_signal.jpg" TargetMode="External"/><Relationship Id="rId236" Type="http://schemas.openxmlformats.org/officeDocument/2006/relationships/hyperlink" Target="https://3arbzfbsh-cname-us.ngrok.io/Desktop/seabridge%20fintech/greenline_pa_icon/FOX_pa_greenline_signal.jpg" TargetMode="External"/><Relationship Id="rId478" Type="http://schemas.openxmlformats.org/officeDocument/2006/relationships/hyperlink" Target="https://3arbzfbsh-cname-us.ngrok.io/Desktop/seabridge%20fintech/greenline_pa_icon/PG_pa_greenline_signal.jpg" TargetMode="External"/><Relationship Id="rId231" Type="http://schemas.openxmlformats.org/officeDocument/2006/relationships/hyperlink" Target="https://3arbzfbsh-cname-us.ngrok.io/Desktop/seabridge%20fintech/greenline_pa_icon/FIS_pa_greenline_signal.jpg" TargetMode="External"/><Relationship Id="rId473" Type="http://schemas.openxmlformats.org/officeDocument/2006/relationships/hyperlink" Target="https://3arbzfbsh-cname-us.ngrok.io/Desktop/seabridge%20fintech/greenline_pa_icon/PENN_pa_greenline_signal.jpg" TargetMode="External"/><Relationship Id="rId230" Type="http://schemas.openxmlformats.org/officeDocument/2006/relationships/hyperlink" Target="https://3arbzfbsh-cname-us.ngrok.io/Desktop/seabridge%20fintech/greenline_pa_icon/FFIV_pa_greenline_signal.jpg" TargetMode="External"/><Relationship Id="rId472" Type="http://schemas.openxmlformats.org/officeDocument/2006/relationships/hyperlink" Target="https://3arbzfbsh-cname-us.ngrok.io/Desktop/seabridge%20fintech/greenline_pa_icon/PEG_pa_greenline_signal.jpg" TargetMode="External"/><Relationship Id="rId471" Type="http://schemas.openxmlformats.org/officeDocument/2006/relationships/hyperlink" Target="https://3arbzfbsh-cname-us.ngrok.io/Desktop/seabridge%20fintech/greenline_pa_icon/PEAK_pa_greenline_signal.jpg" TargetMode="External"/><Relationship Id="rId470" Type="http://schemas.openxmlformats.org/officeDocument/2006/relationships/hyperlink" Target="https://3arbzfbsh-cname-us.ngrok.io/Desktop/seabridge%20fintech/greenline_pa_icon/PDD_pa_greenline_signal.jpg" TargetMode="External"/><Relationship Id="rId235" Type="http://schemas.openxmlformats.org/officeDocument/2006/relationships/hyperlink" Target="https://3arbzfbsh-cname-us.ngrok.io/Desktop/seabridge%20fintech/greenline_pa_icon/FMC_pa_greenline_signal.jpg" TargetMode="External"/><Relationship Id="rId477" Type="http://schemas.openxmlformats.org/officeDocument/2006/relationships/hyperlink" Target="https://3arbzfbsh-cname-us.ngrok.io/Desktop/seabridge%20fintech/greenline_pa_icon/PFG_pa_greenline_signal.jpg" TargetMode="External"/><Relationship Id="rId234" Type="http://schemas.openxmlformats.org/officeDocument/2006/relationships/hyperlink" Target="https://3arbzfbsh-cname-us.ngrok.io/Desktop/seabridge%20fintech/greenline_pa_icon/FLT_pa_greenline_signal.jpg" TargetMode="External"/><Relationship Id="rId476" Type="http://schemas.openxmlformats.org/officeDocument/2006/relationships/hyperlink" Target="https://3arbzfbsh-cname-us.ngrok.io/Desktop/seabridge%20fintech/greenline_pa_icon/PFF_pa_greenline_signal.jpg" TargetMode="External"/><Relationship Id="rId233" Type="http://schemas.openxmlformats.org/officeDocument/2006/relationships/hyperlink" Target="https://3arbzfbsh-cname-us.ngrok.io/Desktop/seabridge%20fintech/greenline_pa_icon/FITB_pa_greenline_signal.jpg" TargetMode="External"/><Relationship Id="rId475" Type="http://schemas.openxmlformats.org/officeDocument/2006/relationships/hyperlink" Target="https://3arbzfbsh-cname-us.ngrok.io/Desktop/seabridge%20fintech/greenline_pa_icon/PFE_pa_greenline_signal.jpg" TargetMode="External"/><Relationship Id="rId232" Type="http://schemas.openxmlformats.org/officeDocument/2006/relationships/hyperlink" Target="https://3arbzfbsh-cname-us.ngrok.io/Desktop/seabridge%20fintech/greenline_pa_icon/FISV_pa_greenline_signal.jpg" TargetMode="External"/><Relationship Id="rId474" Type="http://schemas.openxmlformats.org/officeDocument/2006/relationships/hyperlink" Target="https://3arbzfbsh-cname-us.ngrok.io/Desktop/seabridge%20fintech/greenline_pa_icon/PEP_pa_greenline_signal.jpg" TargetMode="External"/><Relationship Id="rId426" Type="http://schemas.openxmlformats.org/officeDocument/2006/relationships/hyperlink" Target="https://3arbzfbsh-cname-us.ngrok.io/Desktop/seabridge%20fintech/greenline_pa_icon/NEM_pa_greenline_signal.jpg" TargetMode="External"/><Relationship Id="rId668" Type="http://schemas.openxmlformats.org/officeDocument/2006/relationships/hyperlink" Target="https://3arbzfbsh-cname-us.ngrok.io/Desktop/seabridge%20fintech/greenline_pa_icon/WORK_pa_greenline_signal.jpg" TargetMode="External"/><Relationship Id="rId425" Type="http://schemas.openxmlformats.org/officeDocument/2006/relationships/hyperlink" Target="https://3arbzfbsh-cname-us.ngrok.io/Desktop/seabridge%20fintech/greenline_pa_icon/NEE_pa_greenline_signal.jpg" TargetMode="External"/><Relationship Id="rId667" Type="http://schemas.openxmlformats.org/officeDocument/2006/relationships/hyperlink" Target="https://3arbzfbsh-cname-us.ngrok.io/Desktop/seabridge%20fintech/greenline_pa_icon/WMT_pa_greenline_signal.jpg" TargetMode="External"/><Relationship Id="rId424" Type="http://schemas.openxmlformats.org/officeDocument/2006/relationships/hyperlink" Target="https://3arbzfbsh-cname-us.ngrok.io/Desktop/seabridge%20fintech/greenline_pa_icon/NDAQ_pa_greenline_signal.jpg" TargetMode="External"/><Relationship Id="rId666" Type="http://schemas.openxmlformats.org/officeDocument/2006/relationships/hyperlink" Target="https://3arbzfbsh-cname-us.ngrok.io/Desktop/seabridge%20fintech/greenline_pa_icon/WMB_pa_greenline_signal.jpg" TargetMode="External"/><Relationship Id="rId423" Type="http://schemas.openxmlformats.org/officeDocument/2006/relationships/hyperlink" Target="https://3arbzfbsh-cname-us.ngrok.io/Desktop/seabridge%20fintech/greenline_pa_icon/NCLH_pa_greenline_signal.jpg" TargetMode="External"/><Relationship Id="rId665" Type="http://schemas.openxmlformats.org/officeDocument/2006/relationships/hyperlink" Target="https://3arbzfbsh-cname-us.ngrok.io/Desktop/seabridge%20fintech/greenline_pa_icon/WM_pa_greenline_signal.jpg" TargetMode="External"/><Relationship Id="rId429" Type="http://schemas.openxmlformats.org/officeDocument/2006/relationships/hyperlink" Target="https://3arbzfbsh-cname-us.ngrok.io/Desktop/seabridge%20fintech/greenline_pa_icon/NI_pa_greenline_signal.jpg" TargetMode="External"/><Relationship Id="rId428" Type="http://schemas.openxmlformats.org/officeDocument/2006/relationships/hyperlink" Target="https://3arbzfbsh-cname-us.ngrok.io/Desktop/seabridge%20fintech/greenline_pa_icon/NFLX_pa_greenline_signal.jpg" TargetMode="External"/><Relationship Id="rId427" Type="http://schemas.openxmlformats.org/officeDocument/2006/relationships/hyperlink" Target="https://3arbzfbsh-cname-us.ngrok.io/Desktop/seabridge%20fintech/greenline_pa_icon/NET_pa_greenline_signal.jpg" TargetMode="External"/><Relationship Id="rId669" Type="http://schemas.openxmlformats.org/officeDocument/2006/relationships/hyperlink" Target="https://3arbzfbsh-cname-us.ngrok.io/Desktop/seabridge%20fintech/greenline_pa_icon/WRB_pa_greenline_signal.jpg" TargetMode="External"/><Relationship Id="rId660" Type="http://schemas.openxmlformats.org/officeDocument/2006/relationships/hyperlink" Target="https://3arbzfbsh-cname-us.ngrok.io/Desktop/seabridge%20fintech/greenline_pa_icon/WEC_pa_greenline_signal.jpg" TargetMode="External"/><Relationship Id="rId422" Type="http://schemas.openxmlformats.org/officeDocument/2006/relationships/hyperlink" Target="https://3arbzfbsh-cname-us.ngrok.io/Desktop/seabridge%20fintech/greenline_pa_icon/MXIM_pa_greenline_signal.jpg" TargetMode="External"/><Relationship Id="rId664" Type="http://schemas.openxmlformats.org/officeDocument/2006/relationships/hyperlink" Target="https://3arbzfbsh-cname-us.ngrok.io/Desktop/seabridge%20fintech/greenline_pa_icon/WLTW_pa_greenline_signal.jpg" TargetMode="External"/><Relationship Id="rId421" Type="http://schemas.openxmlformats.org/officeDocument/2006/relationships/hyperlink" Target="https://3arbzfbsh-cname-us.ngrok.io/Desktop/seabridge%20fintech/greenline_pa_icon/MU_pa_greenline_signal.jpg" TargetMode="External"/><Relationship Id="rId663" Type="http://schemas.openxmlformats.org/officeDocument/2006/relationships/hyperlink" Target="https://3arbzfbsh-cname-us.ngrok.io/Desktop/seabridge%20fintech/greenline_pa_icon/WHR_pa_greenline_signal.jpg" TargetMode="External"/><Relationship Id="rId420" Type="http://schemas.openxmlformats.org/officeDocument/2006/relationships/hyperlink" Target="https://3arbzfbsh-cname-us.ngrok.io/Desktop/seabridge%20fintech/greenline_pa_icon/MTD_pa_greenline_signal.jpg" TargetMode="External"/><Relationship Id="rId662" Type="http://schemas.openxmlformats.org/officeDocument/2006/relationships/hyperlink" Target="https://3arbzfbsh-cname-us.ngrok.io/Desktop/seabridge%20fintech/greenline_pa_icon/WFC_pa_greenline_signal.jpg" TargetMode="External"/><Relationship Id="rId661" Type="http://schemas.openxmlformats.org/officeDocument/2006/relationships/hyperlink" Target="https://3arbzfbsh-cname-us.ngrok.io/Desktop/seabridge%20fintech/greenline_pa_icon/WELL_pa_greenline_signal.jpg" TargetMode="External"/><Relationship Id="rId415" Type="http://schemas.openxmlformats.org/officeDocument/2006/relationships/hyperlink" Target="https://3arbzfbsh-cname-us.ngrok.io/Desktop/seabridge%20fintech/greenline_pa_icon/MSCI_pa_greenline_signal.jpg" TargetMode="External"/><Relationship Id="rId657" Type="http://schemas.openxmlformats.org/officeDocument/2006/relationships/hyperlink" Target="https://3arbzfbsh-cname-us.ngrok.io/Desktop/seabridge%20fintech/greenline_pa_icon/WBA_pa_greenline_signal.jpg" TargetMode="External"/><Relationship Id="rId414" Type="http://schemas.openxmlformats.org/officeDocument/2006/relationships/hyperlink" Target="https://3arbzfbsh-cname-us.ngrok.io/Desktop/seabridge%20fintech/greenline_pa_icon/MS_pa_greenline_signal.jpg" TargetMode="External"/><Relationship Id="rId656" Type="http://schemas.openxmlformats.org/officeDocument/2006/relationships/hyperlink" Target="https://3arbzfbsh-cname-us.ngrok.io/Desktop/seabridge%20fintech/greenline_pa_icon/WAT_pa_greenline_signal.jpg" TargetMode="External"/><Relationship Id="rId413" Type="http://schemas.openxmlformats.org/officeDocument/2006/relationships/hyperlink" Target="https://3arbzfbsh-cname-us.ngrok.io/Desktop/seabridge%20fintech/greenline_pa_icon/MRVL_pa_greenline_signal.jpg" TargetMode="External"/><Relationship Id="rId655" Type="http://schemas.openxmlformats.org/officeDocument/2006/relationships/hyperlink" Target="https://3arbzfbsh-cname-us.ngrok.io/Desktop/seabridge%20fintech/greenline_pa_icon/WAB_pa_greenline_signal.jpg" TargetMode="External"/><Relationship Id="rId412" Type="http://schemas.openxmlformats.org/officeDocument/2006/relationships/hyperlink" Target="https://3arbzfbsh-cname-us.ngrok.io/Desktop/seabridge%20fintech/greenline_pa_icon/MRO_pa_greenline_signal.jpg" TargetMode="External"/><Relationship Id="rId654" Type="http://schemas.openxmlformats.org/officeDocument/2006/relationships/hyperlink" Target="https://3arbzfbsh-cname-us.ngrok.io/Desktop/seabridge%20fintech/greenline_pa_icon/VZ_pa_greenline_signal.jpg" TargetMode="External"/><Relationship Id="rId419" Type="http://schemas.openxmlformats.org/officeDocument/2006/relationships/hyperlink" Target="https://3arbzfbsh-cname-us.ngrok.io/Desktop/seabridge%20fintech/greenline_pa_icon/MTCH_pa_greenline_signal.jpg" TargetMode="External"/><Relationship Id="rId418" Type="http://schemas.openxmlformats.org/officeDocument/2006/relationships/hyperlink" Target="https://3arbzfbsh-cname-us.ngrok.io/Desktop/seabridge%20fintech/greenline_pa_icon/MTB_pa_greenline_signal.jpg" TargetMode="External"/><Relationship Id="rId417" Type="http://schemas.openxmlformats.org/officeDocument/2006/relationships/hyperlink" Target="https://3arbzfbsh-cname-us.ngrok.io/Desktop/seabridge%20fintech/greenline_pa_icon/MSI_pa_greenline_signal.jpg" TargetMode="External"/><Relationship Id="rId659" Type="http://schemas.openxmlformats.org/officeDocument/2006/relationships/hyperlink" Target="https://3arbzfbsh-cname-us.ngrok.io/Desktop/seabridge%20fintech/greenline_pa_icon/WDC_pa_greenline_signal.jpg" TargetMode="External"/><Relationship Id="rId416" Type="http://schemas.openxmlformats.org/officeDocument/2006/relationships/hyperlink" Target="https://3arbzfbsh-cname-us.ngrok.io/Desktop/seabridge%20fintech/greenline_pa_icon/MSFT_pa_greenline_signal.jpg" TargetMode="External"/><Relationship Id="rId658" Type="http://schemas.openxmlformats.org/officeDocument/2006/relationships/hyperlink" Target="https://3arbzfbsh-cname-us.ngrok.io/Desktop/seabridge%20fintech/greenline_pa_icon/WDAY_pa_greenline_signal.jpg" TargetMode="External"/><Relationship Id="rId411" Type="http://schemas.openxmlformats.org/officeDocument/2006/relationships/hyperlink" Target="https://3arbzfbsh-cname-us.ngrok.io/Desktop/seabridge%20fintech/greenline_pa_icon/MRNA_pa_greenline_signal.jpg" TargetMode="External"/><Relationship Id="rId653" Type="http://schemas.openxmlformats.org/officeDocument/2006/relationships/hyperlink" Target="https://3arbzfbsh-cname-us.ngrok.io/Desktop/seabridge%20fintech/greenline_pa_icon/VXUS_pa_greenline_signal.jpg" TargetMode="External"/><Relationship Id="rId410" Type="http://schemas.openxmlformats.org/officeDocument/2006/relationships/hyperlink" Target="https://3arbzfbsh-cname-us.ngrok.io/Desktop/seabridge%20fintech/greenline_pa_icon/MPWR_pa_greenline_signal.jpg" TargetMode="External"/><Relationship Id="rId652" Type="http://schemas.openxmlformats.org/officeDocument/2006/relationships/hyperlink" Target="https://3arbzfbsh-cname-us.ngrok.io/Desktop/seabridge%20fintech/greenline_pa_icon/VWO_pa_greenline_signal.jpg" TargetMode="External"/><Relationship Id="rId651" Type="http://schemas.openxmlformats.org/officeDocument/2006/relationships/hyperlink" Target="https://3arbzfbsh-cname-us.ngrok.io/Desktop/seabridge%20fintech/greenline_pa_icon/VTV_pa_greenline_signal.jpg" TargetMode="External"/><Relationship Id="rId650" Type="http://schemas.openxmlformats.org/officeDocument/2006/relationships/hyperlink" Target="https://3arbzfbsh-cname-us.ngrok.io/Desktop/seabridge%20fintech/greenline_pa_icon/VTRS_pa_greenline_signal.jpg" TargetMode="External"/><Relationship Id="rId206" Type="http://schemas.openxmlformats.org/officeDocument/2006/relationships/hyperlink" Target="https://3arbzfbsh-cname-us.ngrok.io/Desktop/seabridge%20fintech/greenline_pa_icon/ETSY_pa_greenline_signal.jpg" TargetMode="External"/><Relationship Id="rId448" Type="http://schemas.openxmlformats.org/officeDocument/2006/relationships/hyperlink" Target="https://3arbzfbsh-cname-us.ngrok.io/Desktop/seabridge%20fintech/greenline_pa_icon/NVR_pa_greenline_signal.jpg" TargetMode="External"/><Relationship Id="rId205" Type="http://schemas.openxmlformats.org/officeDocument/2006/relationships/hyperlink" Target="https://3arbzfbsh-cname-us.ngrok.io/Desktop/seabridge%20fintech/greenline_pa_icon/ETR_pa_greenline_signal.jpg" TargetMode="External"/><Relationship Id="rId447" Type="http://schemas.openxmlformats.org/officeDocument/2006/relationships/hyperlink" Target="https://3arbzfbsh-cname-us.ngrok.io/Desktop/seabridge%20fintech/greenline_pa_icon/NVDA_pa_greenline_signal.jpg" TargetMode="External"/><Relationship Id="rId689" Type="http://schemas.openxmlformats.org/officeDocument/2006/relationships/hyperlink" Target="https://3arbzfbsh-cname-us.ngrok.io/Desktop/seabridge%20fintech/greenline_pa_icon/XLY_pa_greenline_signal.jpg" TargetMode="External"/><Relationship Id="rId204" Type="http://schemas.openxmlformats.org/officeDocument/2006/relationships/hyperlink" Target="https://3arbzfbsh-cname-us.ngrok.io/Desktop/seabridge%20fintech/greenline_pa_icon/ETN_pa_greenline_signal.jpg" TargetMode="External"/><Relationship Id="rId446" Type="http://schemas.openxmlformats.org/officeDocument/2006/relationships/hyperlink" Target="https://3arbzfbsh-cname-us.ngrok.io/Desktop/seabridge%20fintech/greenline_pa_icon/NVAX_pa_greenline_signal.jpg" TargetMode="External"/><Relationship Id="rId688" Type="http://schemas.openxmlformats.org/officeDocument/2006/relationships/hyperlink" Target="https://3arbzfbsh-cname-us.ngrok.io/Desktop/seabridge%20fintech/greenline_pa_icon/XLV_pa_greenline_signal.jpg" TargetMode="External"/><Relationship Id="rId203" Type="http://schemas.openxmlformats.org/officeDocument/2006/relationships/hyperlink" Target="https://3arbzfbsh-cname-us.ngrok.io/Desktop/seabridge%20fintech/greenline_pa_icon/ESS_pa_greenline_signal.jpg" TargetMode="External"/><Relationship Id="rId445" Type="http://schemas.openxmlformats.org/officeDocument/2006/relationships/hyperlink" Target="https://3arbzfbsh-cname-us.ngrok.io/Desktop/seabridge%20fintech/greenline_pa_icon/NUE_pa_greenline_signal.jpg" TargetMode="External"/><Relationship Id="rId687" Type="http://schemas.openxmlformats.org/officeDocument/2006/relationships/hyperlink" Target="https://3arbzfbsh-cname-us.ngrok.io/Desktop/seabridge%20fintech/greenline_pa_icon/XLU_pa_greenline_signal.jpg" TargetMode="External"/><Relationship Id="rId209" Type="http://schemas.openxmlformats.org/officeDocument/2006/relationships/hyperlink" Target="https://3arbzfbsh-cname-us.ngrok.io/Desktop/seabridge%20fintech/greenline_pa_icon/EWC_pa_greenline_signal.jpg" TargetMode="External"/><Relationship Id="rId208" Type="http://schemas.openxmlformats.org/officeDocument/2006/relationships/hyperlink" Target="https://3arbzfbsh-cname-us.ngrok.io/Desktop/seabridge%20fintech/greenline_pa_icon/EW_pa_greenline_signal.jpg" TargetMode="External"/><Relationship Id="rId207" Type="http://schemas.openxmlformats.org/officeDocument/2006/relationships/hyperlink" Target="https://3arbzfbsh-cname-us.ngrok.io/Desktop/seabridge%20fintech/greenline_pa_icon/EVRG_pa_greenline_signal.jpg" TargetMode="External"/><Relationship Id="rId449" Type="http://schemas.openxmlformats.org/officeDocument/2006/relationships/hyperlink" Target="https://3arbzfbsh-cname-us.ngrok.io/Desktop/seabridge%20fintech/greenline_pa_icon/NVTA_pa_greenline_signal.jpg" TargetMode="External"/><Relationship Id="rId440" Type="http://schemas.openxmlformats.org/officeDocument/2006/relationships/hyperlink" Target="https://3arbzfbsh-cname-us.ngrok.io/Desktop/seabridge%20fintech/greenline_pa_icon/NTES_pa_greenline_signal.jpg" TargetMode="External"/><Relationship Id="rId682" Type="http://schemas.openxmlformats.org/officeDocument/2006/relationships/hyperlink" Target="https://3arbzfbsh-cname-us.ngrok.io/Desktop/seabridge%20fintech/greenline_pa_icon/XLI_pa_greenline_signal.jpg" TargetMode="External"/><Relationship Id="rId681" Type="http://schemas.openxmlformats.org/officeDocument/2006/relationships/hyperlink" Target="https://3arbzfbsh-cname-us.ngrok.io/Desktop/seabridge%20fintech/greenline_pa_icon/XLF_pa_greenline_signal.jpg" TargetMode="External"/><Relationship Id="rId680" Type="http://schemas.openxmlformats.org/officeDocument/2006/relationships/hyperlink" Target="https://3arbzfbsh-cname-us.ngrok.io/Desktop/seabridge%20fintech/greenline_pa_icon/XLE_pa_greenline_signal.jpg" TargetMode="External"/><Relationship Id="rId202" Type="http://schemas.openxmlformats.org/officeDocument/2006/relationships/hyperlink" Target="https://3arbzfbsh-cname-us.ngrok.io/Desktop/seabridge%20fintech/greenline_pa_icon/ES_pa_greenline_signal.jpg" TargetMode="External"/><Relationship Id="rId444" Type="http://schemas.openxmlformats.org/officeDocument/2006/relationships/hyperlink" Target="https://3arbzfbsh-cname-us.ngrok.io/Desktop/seabridge%20fintech/greenline_pa_icon/NUAN_pa_greenline_signal.jpg" TargetMode="External"/><Relationship Id="rId686" Type="http://schemas.openxmlformats.org/officeDocument/2006/relationships/hyperlink" Target="https://3arbzfbsh-cname-us.ngrok.io/Desktop/seabridge%20fintech/greenline_pa_icon/XLRE_pa_greenline_signal.jpg" TargetMode="External"/><Relationship Id="rId201" Type="http://schemas.openxmlformats.org/officeDocument/2006/relationships/hyperlink" Target="https://3arbzfbsh-cname-us.ngrok.io/Desktop/seabridge%20fintech/greenline_pa_icon/EQR_pa_greenline_signal.jpg" TargetMode="External"/><Relationship Id="rId443" Type="http://schemas.openxmlformats.org/officeDocument/2006/relationships/hyperlink" Target="https://3arbzfbsh-cname-us.ngrok.io/Desktop/seabridge%20fintech/greenline_pa_icon/NTRS_pa_greenline_signal.jpg" TargetMode="External"/><Relationship Id="rId685" Type="http://schemas.openxmlformats.org/officeDocument/2006/relationships/hyperlink" Target="https://3arbzfbsh-cname-us.ngrok.io/Desktop/seabridge%20fintech/greenline_pa_icon/XLP_pa_greenline_signal.jpg" TargetMode="External"/><Relationship Id="rId200" Type="http://schemas.openxmlformats.org/officeDocument/2006/relationships/hyperlink" Target="https://3arbzfbsh-cname-us.ngrok.io/Desktop/seabridge%20fintech/greenline_pa_icon/EQIX_pa_greenline_signal.jpg" TargetMode="External"/><Relationship Id="rId442" Type="http://schemas.openxmlformats.org/officeDocument/2006/relationships/hyperlink" Target="https://3arbzfbsh-cname-us.ngrok.io/Desktop/seabridge%20fintech/greenline_pa_icon/NTNX_pa_greenline_signal.jpg" TargetMode="External"/><Relationship Id="rId684" Type="http://schemas.openxmlformats.org/officeDocument/2006/relationships/hyperlink" Target="https://3arbzfbsh-cname-us.ngrok.io/Desktop/seabridge%20fintech/greenline_pa_icon/XLNX_pa_greenline_signal.jpg" TargetMode="External"/><Relationship Id="rId441" Type="http://schemas.openxmlformats.org/officeDocument/2006/relationships/hyperlink" Target="https://3arbzfbsh-cname-us.ngrok.io/Desktop/seabridge%20fintech/greenline_pa_icon/NTLA_pa_greenline_signal.jpg" TargetMode="External"/><Relationship Id="rId683" Type="http://schemas.openxmlformats.org/officeDocument/2006/relationships/hyperlink" Target="https://3arbzfbsh-cname-us.ngrok.io/Desktop/seabridge%20fintech/greenline_pa_icon/XLK_pa_greenline_signal.jpg" TargetMode="External"/><Relationship Id="rId437" Type="http://schemas.openxmlformats.org/officeDocument/2006/relationships/hyperlink" Target="https://3arbzfbsh-cname-us.ngrok.io/Desktop/seabridge%20fintech/greenline_pa_icon/NRG_pa_greenline_signal.jpg" TargetMode="External"/><Relationship Id="rId679" Type="http://schemas.openxmlformats.org/officeDocument/2006/relationships/hyperlink" Target="https://3arbzfbsh-cname-us.ngrok.io/Desktop/seabridge%20fintech/greenline_pa_icon/XLC_pa_greenline_signal.jpg" TargetMode="External"/><Relationship Id="rId436" Type="http://schemas.openxmlformats.org/officeDocument/2006/relationships/hyperlink" Target="https://3arbzfbsh-cname-us.ngrok.io/Desktop/seabridge%20fintech/greenline_pa_icon/NOW_pa_greenline_signal.jpg" TargetMode="External"/><Relationship Id="rId678" Type="http://schemas.openxmlformats.org/officeDocument/2006/relationships/hyperlink" Target="https://3arbzfbsh-cname-us.ngrok.io/Desktop/seabridge%20fintech/greenline_pa_icon/XLB_pa_greenline_signal.jpg" TargetMode="External"/><Relationship Id="rId435" Type="http://schemas.openxmlformats.org/officeDocument/2006/relationships/hyperlink" Target="https://3arbzfbsh-cname-us.ngrok.io/Desktop/seabridge%20fintech/greenline_pa_icon/NOVA_pa_greenline_signal.jpg" TargetMode="External"/><Relationship Id="rId677" Type="http://schemas.openxmlformats.org/officeDocument/2006/relationships/hyperlink" Target="https://3arbzfbsh-cname-us.ngrok.io/Desktop/seabridge%20fintech/greenline_pa_icon/XEL_pa_greenline_signal.jpg" TargetMode="External"/><Relationship Id="rId434" Type="http://schemas.openxmlformats.org/officeDocument/2006/relationships/hyperlink" Target="https://3arbzfbsh-cname-us.ngrok.io/Desktop/seabridge%20fintech/greenline_pa_icon/NOV_pa_greenline_signal.jpg" TargetMode="External"/><Relationship Id="rId676" Type="http://schemas.openxmlformats.org/officeDocument/2006/relationships/hyperlink" Target="https://3arbzfbsh-cname-us.ngrok.io/Desktop/seabridge%20fintech/greenline_pa_icon/XBI_pa_greenline_signal.jpg" TargetMode="External"/><Relationship Id="rId439" Type="http://schemas.openxmlformats.org/officeDocument/2006/relationships/hyperlink" Target="https://3arbzfbsh-cname-us.ngrok.io/Desktop/seabridge%20fintech/greenline_pa_icon/NTAP_pa_greenline_signal.jpg" TargetMode="External"/><Relationship Id="rId438" Type="http://schemas.openxmlformats.org/officeDocument/2006/relationships/hyperlink" Target="https://3arbzfbsh-cname-us.ngrok.io/Desktop/seabridge%20fintech/greenline_pa_icon/NSC_pa_greenline_signal.jpg" TargetMode="External"/><Relationship Id="rId671" Type="http://schemas.openxmlformats.org/officeDocument/2006/relationships/hyperlink" Target="https://3arbzfbsh-cname-us.ngrok.io/Desktop/seabridge%20fintech/greenline_pa_icon/WSC_pa_greenline_signal.jpg" TargetMode="External"/><Relationship Id="rId670" Type="http://schemas.openxmlformats.org/officeDocument/2006/relationships/hyperlink" Target="https://3arbzfbsh-cname-us.ngrok.io/Desktop/seabridge%20fintech/greenline_pa_icon/WRK_pa_greenline_signal.jpg" TargetMode="External"/><Relationship Id="rId433" Type="http://schemas.openxmlformats.org/officeDocument/2006/relationships/hyperlink" Target="https://3arbzfbsh-cname-us.ngrok.io/Desktop/seabridge%20fintech/greenline_pa_icon/NOC_pa_greenline_signal.jpg" TargetMode="External"/><Relationship Id="rId675" Type="http://schemas.openxmlformats.org/officeDocument/2006/relationships/hyperlink" Target="https://3arbzfbsh-cname-us.ngrok.io/Desktop/seabridge%20fintech/greenline_pa_icon/WYNN_pa_greenline_signal.jpg" TargetMode="External"/><Relationship Id="rId432" Type="http://schemas.openxmlformats.org/officeDocument/2006/relationships/hyperlink" Target="https://3arbzfbsh-cname-us.ngrok.io/Desktop/seabridge%20fintech/greenline_pa_icon/NLSN_pa_greenline_signal.jpg" TargetMode="External"/><Relationship Id="rId674" Type="http://schemas.openxmlformats.org/officeDocument/2006/relationships/hyperlink" Target="https://3arbzfbsh-cname-us.ngrok.io/Desktop/seabridge%20fintech/greenline_pa_icon/WY_pa_greenline_signal.jpg" TargetMode="External"/><Relationship Id="rId431" Type="http://schemas.openxmlformats.org/officeDocument/2006/relationships/hyperlink" Target="https://3arbzfbsh-cname-us.ngrok.io/Desktop/seabridge%20fintech/greenline_pa_icon/NLOK_pa_greenline_signal.jpg" TargetMode="External"/><Relationship Id="rId673" Type="http://schemas.openxmlformats.org/officeDocument/2006/relationships/hyperlink" Target="https://3arbzfbsh-cname-us.ngrok.io/Desktop/seabridge%20fintech/greenline_pa_icon/WU_pa_greenline_signal.jpg" TargetMode="External"/><Relationship Id="rId430" Type="http://schemas.openxmlformats.org/officeDocument/2006/relationships/hyperlink" Target="https://3arbzfbsh-cname-us.ngrok.io/Desktop/seabridge%20fintech/greenline_pa_icon/NKE_pa_greenline_signal.jpg" TargetMode="External"/><Relationship Id="rId672" Type="http://schemas.openxmlformats.org/officeDocument/2006/relationships/hyperlink" Target="https://3arbzfbsh-cname-us.ngrok.io/Desktop/seabridge%20fintech/greenline_pa_icon/WST_pa_greenline_signal.jpg" TargetMode="External"/></Relationships>
</file>

<file path=xl/worksheets/_rels/sheet11.xml.rels><?xml version="1.0" encoding="UTF-8" standalone="yes"?><Relationships xmlns="http://schemas.openxmlformats.org/package/2006/relationships"><Relationship Id="rId190" Type="http://schemas.openxmlformats.org/officeDocument/2006/relationships/hyperlink" Target="https://3arbzfbsh-cname-us.ngrok.io/Desktop/seabridge%20fintech/purpleline_pa_icon/EIX_pa_purpleline_signal.jpg" TargetMode="External"/><Relationship Id="rId194" Type="http://schemas.openxmlformats.org/officeDocument/2006/relationships/hyperlink" Target="https://3arbzfbsh-cname-us.ngrok.io/Desktop/seabridge%20fintech/purpleline_pa_icon/EMB_pa_purpleline_signal.jpg" TargetMode="External"/><Relationship Id="rId193" Type="http://schemas.openxmlformats.org/officeDocument/2006/relationships/hyperlink" Target="https://3arbzfbsh-cname-us.ngrok.io/Desktop/seabridge%20fintech/purpleline_pa_icon/ELY_pa_purpleline_signal.jpg" TargetMode="External"/><Relationship Id="rId192" Type="http://schemas.openxmlformats.org/officeDocument/2006/relationships/hyperlink" Target="https://3arbzfbsh-cname-us.ngrok.io/Desktop/seabridge%20fintech/purpleline_pa_icon/ELAN_pa_purpleline_signal.jpg" TargetMode="External"/><Relationship Id="rId191" Type="http://schemas.openxmlformats.org/officeDocument/2006/relationships/hyperlink" Target="https://3arbzfbsh-cname-us.ngrok.io/Desktop/seabridge%20fintech/purpleline_pa_icon/EL_pa_purpleline_signal.jpg" TargetMode="External"/><Relationship Id="rId187" Type="http://schemas.openxmlformats.org/officeDocument/2006/relationships/hyperlink" Target="https://3arbzfbsh-cname-us.ngrok.io/Desktop/seabridge%20fintech/purpleline_pa_icon/EEM_pa_purpleline_signal.jpg" TargetMode="External"/><Relationship Id="rId186" Type="http://schemas.openxmlformats.org/officeDocument/2006/relationships/hyperlink" Target="https://3arbzfbsh-cname-us.ngrok.io/Desktop/seabridge%20fintech/purpleline_pa_icon/ED_pa_purpleline_signal.jpg" TargetMode="External"/><Relationship Id="rId185" Type="http://schemas.openxmlformats.org/officeDocument/2006/relationships/hyperlink" Target="https://3arbzfbsh-cname-us.ngrok.io/Desktop/seabridge%20fintech/purpleline_pa_icon/ECL_pa_purpleline_signal.jpg" TargetMode="External"/><Relationship Id="rId184" Type="http://schemas.openxmlformats.org/officeDocument/2006/relationships/hyperlink" Target="https://3arbzfbsh-cname-us.ngrok.io/Desktop/seabridge%20fintech/purpleline_pa_icon/EBAY_pa_purpleline_signal.jpg" TargetMode="External"/><Relationship Id="rId189" Type="http://schemas.openxmlformats.org/officeDocument/2006/relationships/hyperlink" Target="https://3arbzfbsh-cname-us.ngrok.io/Desktop/seabridge%20fintech/purpleline_pa_icon/EFX_pa_purpleline_signal.jpg" TargetMode="External"/><Relationship Id="rId188" Type="http://schemas.openxmlformats.org/officeDocument/2006/relationships/hyperlink" Target="https://3arbzfbsh-cname-us.ngrok.io/Desktop/seabridge%20fintech/purpleline_pa_icon/EFA_pa_purpleline_signal.jpg" TargetMode="External"/><Relationship Id="rId183" Type="http://schemas.openxmlformats.org/officeDocument/2006/relationships/hyperlink" Target="https://3arbzfbsh-cname-us.ngrok.io/Desktop/seabridge%20fintech/purpleline_pa_icon/EA_pa_purpleline_signal.jpg" TargetMode="External"/><Relationship Id="rId182" Type="http://schemas.openxmlformats.org/officeDocument/2006/relationships/hyperlink" Target="https://3arbzfbsh-cname-us.ngrok.io/Desktop/seabridge%20fintech/purpleline_pa_icon/DXCM_pa_purpleline_signal.jpg" TargetMode="External"/><Relationship Id="rId181" Type="http://schemas.openxmlformats.org/officeDocument/2006/relationships/hyperlink" Target="https://3arbzfbsh-cname-us.ngrok.io/Desktop/seabridge%20fintech/purpleline_pa_icon/DXC_pa_purpleline_signal.jpg" TargetMode="External"/><Relationship Id="rId180" Type="http://schemas.openxmlformats.org/officeDocument/2006/relationships/hyperlink" Target="https://3arbzfbsh-cname-us.ngrok.io/Desktop/seabridge%20fintech/purpleline_pa_icon/DVN_pa_purpleline_signal.jpg" TargetMode="External"/><Relationship Id="rId176" Type="http://schemas.openxmlformats.org/officeDocument/2006/relationships/hyperlink" Target="https://3arbzfbsh-cname-us.ngrok.io/Desktop/seabridge%20fintech/purpleline_pa_icon/DRI_pa_purpleline_signal.jpg" TargetMode="External"/><Relationship Id="rId175" Type="http://schemas.openxmlformats.org/officeDocument/2006/relationships/hyperlink" Target="https://3arbzfbsh-cname-us.ngrok.io/Desktop/seabridge%20fintech/purpleline_pa_icon/DRE_pa_purpleline_signal.jpg" TargetMode="External"/><Relationship Id="rId174" Type="http://schemas.openxmlformats.org/officeDocument/2006/relationships/hyperlink" Target="https://3arbzfbsh-cname-us.ngrok.io/Desktop/seabridge%20fintech/purpleline_pa_icon/DPZ_pa_purpleline_signal.jpg" TargetMode="External"/><Relationship Id="rId173" Type="http://schemas.openxmlformats.org/officeDocument/2006/relationships/hyperlink" Target="https://3arbzfbsh-cname-us.ngrok.io/Desktop/seabridge%20fintech/purpleline_pa_icon/DOW_pa_purpleline_signal.jpg" TargetMode="External"/><Relationship Id="rId179" Type="http://schemas.openxmlformats.org/officeDocument/2006/relationships/hyperlink" Target="https://3arbzfbsh-cname-us.ngrok.io/Desktop/seabridge%20fintech/purpleline_pa_icon/DVA_pa_purpleline_signal.jpg" TargetMode="External"/><Relationship Id="rId178" Type="http://schemas.openxmlformats.org/officeDocument/2006/relationships/hyperlink" Target="https://3arbzfbsh-cname-us.ngrok.io/Desktop/seabridge%20fintech/purpleline_pa_icon/DUK_pa_purpleline_signal.jpg" TargetMode="External"/><Relationship Id="rId177" Type="http://schemas.openxmlformats.org/officeDocument/2006/relationships/hyperlink" Target="https://3arbzfbsh-cname-us.ngrok.io/Desktop/seabridge%20fintech/purpleline_pa_icon/DTE_pa_purpleline_signal.jpg" TargetMode="External"/><Relationship Id="rId198" Type="http://schemas.openxmlformats.org/officeDocument/2006/relationships/hyperlink" Target="https://3arbzfbsh-cname-us.ngrok.io/Desktop/seabridge%20fintech/purpleline_pa_icon/EOG_pa_purpleline_signal.jpg" TargetMode="External"/><Relationship Id="rId197" Type="http://schemas.openxmlformats.org/officeDocument/2006/relationships/hyperlink" Target="https://3arbzfbsh-cname-us.ngrok.io/Desktop/seabridge%20fintech/purpleline_pa_icon/ENPH_pa_purpleline_signal.jpg" TargetMode="External"/><Relationship Id="rId196" Type="http://schemas.openxmlformats.org/officeDocument/2006/relationships/hyperlink" Target="https://3arbzfbsh-cname-us.ngrok.io/Desktop/seabridge%20fintech/purpleline_pa_icon/EMR_pa_purpleline_signal.jpg" TargetMode="External"/><Relationship Id="rId195" Type="http://schemas.openxmlformats.org/officeDocument/2006/relationships/hyperlink" Target="https://3arbzfbsh-cname-us.ngrok.io/Desktop/seabridge%20fintech/purpleline_pa_icon/EMN_pa_purpleline_signal.jpg" TargetMode="External"/><Relationship Id="rId199" Type="http://schemas.openxmlformats.org/officeDocument/2006/relationships/hyperlink" Target="https://3arbzfbsh-cname-us.ngrok.io/Desktop/seabridge%20fintech/purpleline_pa_icon/EQH_pa_purpleline_signal.jpg" TargetMode="External"/><Relationship Id="rId150" Type="http://schemas.openxmlformats.org/officeDocument/2006/relationships/hyperlink" Target="https://3arbzfbsh-cname-us.ngrok.io/Desktop/seabridge%20fintech/purpleline_pa_icon/D_pa_purpleline_signal.jpg" TargetMode="External"/><Relationship Id="rId392" Type="http://schemas.openxmlformats.org/officeDocument/2006/relationships/hyperlink" Target="https://3arbzfbsh-cname-us.ngrok.io/Desktop/seabridge%20fintech/purpleline_pa_icon/MDLZ_pa_purpleline_signal.jpg" TargetMode="External"/><Relationship Id="rId391" Type="http://schemas.openxmlformats.org/officeDocument/2006/relationships/hyperlink" Target="https://3arbzfbsh-cname-us.ngrok.io/Desktop/seabridge%20fintech/purpleline_pa_icon/MCO_pa_purpleline_signal.jpg" TargetMode="External"/><Relationship Id="rId390" Type="http://schemas.openxmlformats.org/officeDocument/2006/relationships/hyperlink" Target="https://3arbzfbsh-cname-us.ngrok.io/Desktop/seabridge%20fintech/purpleline_pa_icon/MCK_pa_purpleline_signal.jpg" TargetMode="External"/><Relationship Id="rId1" Type="http://schemas.openxmlformats.org/officeDocument/2006/relationships/hyperlink" Target="https://3arbzfbsh-cname-us.ngrok.io/Desktop/seabridge%20fintech/purpleline_pa_icon/A_pa_purpleline_signal.jpg" TargetMode="External"/><Relationship Id="rId2" Type="http://schemas.openxmlformats.org/officeDocument/2006/relationships/hyperlink" Target="https://3arbzfbsh-cname-us.ngrok.io/Desktop/seabridge%20fintech/purpleline_pa_icon/AA_pa_purpleline_signal.jpg" TargetMode="External"/><Relationship Id="rId3" Type="http://schemas.openxmlformats.org/officeDocument/2006/relationships/hyperlink" Target="https://3arbzfbsh-cname-us.ngrok.io/Desktop/seabridge%20fintech/purpleline_pa_icon/AAL_pa_purpleline_signal.jpg" TargetMode="External"/><Relationship Id="rId149" Type="http://schemas.openxmlformats.org/officeDocument/2006/relationships/hyperlink" Target="https://3arbzfbsh-cname-us.ngrok.io/Desktop/seabridge%20fintech/purpleline_pa_icon/CZR_pa_purpleline_signal.jpg" TargetMode="External"/><Relationship Id="rId4" Type="http://schemas.openxmlformats.org/officeDocument/2006/relationships/hyperlink" Target="https://3arbzfbsh-cname-us.ngrok.io/Desktop/seabridge%20fintech/purpleline_pa_icon/AAP_pa_purpleline_signal.jpg" TargetMode="External"/><Relationship Id="rId148" Type="http://schemas.openxmlformats.org/officeDocument/2006/relationships/hyperlink" Target="https://3arbzfbsh-cname-us.ngrok.io/Desktop/seabridge%20fintech/purpleline_pa_icon/CVX_pa_purpleline_signal.jpg" TargetMode="External"/><Relationship Id="rId9" Type="http://schemas.openxmlformats.org/officeDocument/2006/relationships/hyperlink" Target="https://3arbzfbsh-cname-us.ngrok.io/Desktop/seabridge%20fintech/purpleline_pa_icon/ABT_pa_purpleline_signal.jpg" TargetMode="External"/><Relationship Id="rId143" Type="http://schemas.openxmlformats.org/officeDocument/2006/relationships/hyperlink" Target="https://3arbzfbsh-cname-us.ngrok.io/Desktop/seabridge%20fintech/purpleline_pa_icon/CTLT_pa_purpleline_signal.jpg" TargetMode="External"/><Relationship Id="rId385" Type="http://schemas.openxmlformats.org/officeDocument/2006/relationships/hyperlink" Target="https://3arbzfbsh-cname-us.ngrok.io/Desktop/seabridge%20fintech/purpleline_pa_icon/MARA_pa_purpleline_signal.jpg" TargetMode="External"/><Relationship Id="rId142" Type="http://schemas.openxmlformats.org/officeDocument/2006/relationships/hyperlink" Target="https://3arbzfbsh-cname-us.ngrok.io/Desktop/seabridge%20fintech/purpleline_pa_icon/CTAS_pa_purpleline_signal.jpg" TargetMode="External"/><Relationship Id="rId384" Type="http://schemas.openxmlformats.org/officeDocument/2006/relationships/hyperlink" Target="https://3arbzfbsh-cname-us.ngrok.io/Desktop/seabridge%20fintech/purpleline_pa_icon/MAR_pa_purpleline_signal.jpg" TargetMode="External"/><Relationship Id="rId141" Type="http://schemas.openxmlformats.org/officeDocument/2006/relationships/hyperlink" Target="https://3arbzfbsh-cname-us.ngrok.io/Desktop/seabridge%20fintech/purpleline_pa_icon/CSX_pa_purpleline_signal.jpg" TargetMode="External"/><Relationship Id="rId383" Type="http://schemas.openxmlformats.org/officeDocument/2006/relationships/hyperlink" Target="https://3arbzfbsh-cname-us.ngrok.io/Desktop/seabridge%20fintech/purpleline_pa_icon/MAA_pa_purpleline_signal.jpg" TargetMode="External"/><Relationship Id="rId140" Type="http://schemas.openxmlformats.org/officeDocument/2006/relationships/hyperlink" Target="https://3arbzfbsh-cname-us.ngrok.io/Desktop/seabridge%20fintech/purpleline_pa_icon/CSGP_pa_purpleline_signal.jpg" TargetMode="External"/><Relationship Id="rId382" Type="http://schemas.openxmlformats.org/officeDocument/2006/relationships/hyperlink" Target="https://3arbzfbsh-cname-us.ngrok.io/Desktop/seabridge%20fintech/purpleline_pa_icon/MA_pa_purpleline_signal.jpg" TargetMode="External"/><Relationship Id="rId5" Type="http://schemas.openxmlformats.org/officeDocument/2006/relationships/hyperlink" Target="https://3arbzfbsh-cname-us.ngrok.io/Desktop/seabridge%20fintech/purpleline_pa_icon/AAPL_pa_purpleline_signal.jpg" TargetMode="External"/><Relationship Id="rId147" Type="http://schemas.openxmlformats.org/officeDocument/2006/relationships/hyperlink" Target="https://3arbzfbsh-cname-us.ngrok.io/Desktop/seabridge%20fintech/purpleline_pa_icon/CVS_pa_purpleline_signal.jpg" TargetMode="External"/><Relationship Id="rId389" Type="http://schemas.openxmlformats.org/officeDocument/2006/relationships/hyperlink" Target="https://3arbzfbsh-cname-us.ngrok.io/Desktop/seabridge%20fintech/purpleline_pa_icon/MCHP_pa_purpleline_signal.jpg" TargetMode="External"/><Relationship Id="rId6" Type="http://schemas.openxmlformats.org/officeDocument/2006/relationships/hyperlink" Target="https://3arbzfbsh-cname-us.ngrok.io/Desktop/seabridge%20fintech/purpleline_pa_icon/ABBV_pa_purpleline_signal.jpg" TargetMode="External"/><Relationship Id="rId146" Type="http://schemas.openxmlformats.org/officeDocument/2006/relationships/hyperlink" Target="https://3arbzfbsh-cname-us.ngrok.io/Desktop/seabridge%20fintech/purpleline_pa_icon/CTXS_pa_purpleline_signal.jpg" TargetMode="External"/><Relationship Id="rId388" Type="http://schemas.openxmlformats.org/officeDocument/2006/relationships/hyperlink" Target="https://3arbzfbsh-cname-us.ngrok.io/Desktop/seabridge%20fintech/purpleline_pa_icon/MCHI_pa_purpleline_signal.jpg" TargetMode="External"/><Relationship Id="rId7" Type="http://schemas.openxmlformats.org/officeDocument/2006/relationships/hyperlink" Target="https://3arbzfbsh-cname-us.ngrok.io/Desktop/seabridge%20fintech/purpleline_pa_icon/ABC_pa_purpleline_signal.jpg" TargetMode="External"/><Relationship Id="rId145" Type="http://schemas.openxmlformats.org/officeDocument/2006/relationships/hyperlink" Target="https://3arbzfbsh-cname-us.ngrok.io/Desktop/seabridge%20fintech/purpleline_pa_icon/CTVA_pa_purpleline_signal.jpg" TargetMode="External"/><Relationship Id="rId387" Type="http://schemas.openxmlformats.org/officeDocument/2006/relationships/hyperlink" Target="https://3arbzfbsh-cname-us.ngrok.io/Desktop/seabridge%20fintech/purpleline_pa_icon/MCD_pa_purpleline_signal.jpg" TargetMode="External"/><Relationship Id="rId8" Type="http://schemas.openxmlformats.org/officeDocument/2006/relationships/hyperlink" Target="https://3arbzfbsh-cname-us.ngrok.io/Desktop/seabridge%20fintech/purpleline_pa_icon/ABMD_pa_purpleline_signal.jpg" TargetMode="External"/><Relationship Id="rId144" Type="http://schemas.openxmlformats.org/officeDocument/2006/relationships/hyperlink" Target="https://3arbzfbsh-cname-us.ngrok.io/Desktop/seabridge%20fintech/purpleline_pa_icon/CTSH_pa_purpleline_signal.jpg" TargetMode="External"/><Relationship Id="rId386" Type="http://schemas.openxmlformats.org/officeDocument/2006/relationships/hyperlink" Target="https://3arbzfbsh-cname-us.ngrok.io/Desktop/seabridge%20fintech/purpleline_pa_icon/MAS_pa_purpleline_signal.jpg" TargetMode="External"/><Relationship Id="rId381" Type="http://schemas.openxmlformats.org/officeDocument/2006/relationships/hyperlink" Target="https://3arbzfbsh-cname-us.ngrok.io/Desktop/seabridge%20fintech/purpleline_pa_icon/LYV_pa_purpleline_signal.jpg" TargetMode="External"/><Relationship Id="rId380" Type="http://schemas.openxmlformats.org/officeDocument/2006/relationships/hyperlink" Target="https://3arbzfbsh-cname-us.ngrok.io/Desktop/seabridge%20fintech/purpleline_pa_icon/LYFT_pa_purpleline_signal.jpg" TargetMode="External"/><Relationship Id="rId139" Type="http://schemas.openxmlformats.org/officeDocument/2006/relationships/hyperlink" Target="https://3arbzfbsh-cname-us.ngrok.io/Desktop/seabridge%20fintech/purpleline_pa_icon/CSCO_pa_purpleline_signal.jpg" TargetMode="External"/><Relationship Id="rId138" Type="http://schemas.openxmlformats.org/officeDocument/2006/relationships/hyperlink" Target="https://3arbzfbsh-cname-us.ngrok.io/Desktop/seabridge%20fintech/purpleline_pa_icon/CRWD_pa_purpleline_signal.jpg" TargetMode="External"/><Relationship Id="rId137" Type="http://schemas.openxmlformats.org/officeDocument/2006/relationships/hyperlink" Target="https://3arbzfbsh-cname-us.ngrok.io/Desktop/seabridge%20fintech/purpleline_pa_icon/CRSR_pa_purpleline_signal.jpg" TargetMode="External"/><Relationship Id="rId379" Type="http://schemas.openxmlformats.org/officeDocument/2006/relationships/hyperlink" Target="https://3arbzfbsh-cname-us.ngrok.io/Desktop/seabridge%20fintech/purpleline_pa_icon/LYB_pa_purpleline_signal.jpg" TargetMode="External"/><Relationship Id="rId132" Type="http://schemas.openxmlformats.org/officeDocument/2006/relationships/hyperlink" Target="https://3arbzfbsh-cname-us.ngrok.io/Desktop/seabridge%20fintech/purpleline_pa_icon/COST_pa_purpleline_signal.jpg" TargetMode="External"/><Relationship Id="rId374" Type="http://schemas.openxmlformats.org/officeDocument/2006/relationships/hyperlink" Target="https://3arbzfbsh-cname-us.ngrok.io/Desktop/seabridge%20fintech/purpleline_pa_icon/LULU_pa_purpleline_signal.jpg" TargetMode="External"/><Relationship Id="rId131" Type="http://schemas.openxmlformats.org/officeDocument/2006/relationships/hyperlink" Target="https://3arbzfbsh-cname-us.ngrok.io/Desktop/seabridge%20fintech/purpleline_pa_icon/COP_pa_purpleline_signal.jpg" TargetMode="External"/><Relationship Id="rId373" Type="http://schemas.openxmlformats.org/officeDocument/2006/relationships/hyperlink" Target="https://3arbzfbsh-cname-us.ngrok.io/Desktop/seabridge%20fintech/purpleline_pa_icon/LRCX_pa_purpleline_signal.jpg" TargetMode="External"/><Relationship Id="rId130" Type="http://schemas.openxmlformats.org/officeDocument/2006/relationships/hyperlink" Target="https://3arbzfbsh-cname-us.ngrok.io/Desktop/seabridge%20fintech/purpleline_pa_icon/COO_pa_purpleline_signal.jpg" TargetMode="External"/><Relationship Id="rId372" Type="http://schemas.openxmlformats.org/officeDocument/2006/relationships/hyperlink" Target="https://3arbzfbsh-cname-us.ngrok.io/Desktop/seabridge%20fintech/purpleline_pa_icon/LQD_pa_purpleline_signal.jpg" TargetMode="External"/><Relationship Id="rId371" Type="http://schemas.openxmlformats.org/officeDocument/2006/relationships/hyperlink" Target="https://3arbzfbsh-cname-us.ngrok.io/Desktop/seabridge%20fintech/purpleline_pa_icon/LPX_pa_purpleline_signal.jpg" TargetMode="External"/><Relationship Id="rId136" Type="http://schemas.openxmlformats.org/officeDocument/2006/relationships/hyperlink" Target="https://3arbzfbsh-cname-us.ngrok.io/Desktop/seabridge%20fintech/purpleline_pa_icon/CRM_pa_purpleline_signal.jpg" TargetMode="External"/><Relationship Id="rId378" Type="http://schemas.openxmlformats.org/officeDocument/2006/relationships/hyperlink" Target="https://3arbzfbsh-cname-us.ngrok.io/Desktop/seabridge%20fintech/purpleline_pa_icon/LW_pa_purpleline_signal.jpg" TargetMode="External"/><Relationship Id="rId135" Type="http://schemas.openxmlformats.org/officeDocument/2006/relationships/hyperlink" Target="https://3arbzfbsh-cname-us.ngrok.io/Desktop/seabridge%20fintech/purpleline_pa_icon/CRL_pa_purpleline_signal.jpg" TargetMode="External"/><Relationship Id="rId377" Type="http://schemas.openxmlformats.org/officeDocument/2006/relationships/hyperlink" Target="https://3arbzfbsh-cname-us.ngrok.io/Desktop/seabridge%20fintech/purpleline_pa_icon/LVS_pa_purpleline_signal.jpg" TargetMode="External"/><Relationship Id="rId134" Type="http://schemas.openxmlformats.org/officeDocument/2006/relationships/hyperlink" Target="https://3arbzfbsh-cname-us.ngrok.io/Desktop/seabridge%20fintech/purpleline_pa_icon/CPRT_pa_purpleline_signal.jpg" TargetMode="External"/><Relationship Id="rId376" Type="http://schemas.openxmlformats.org/officeDocument/2006/relationships/hyperlink" Target="https://3arbzfbsh-cname-us.ngrok.io/Desktop/seabridge%20fintech/purpleline_pa_icon/LUV_pa_purpleline_signal.jpg" TargetMode="External"/><Relationship Id="rId133" Type="http://schemas.openxmlformats.org/officeDocument/2006/relationships/hyperlink" Target="https://3arbzfbsh-cname-us.ngrok.io/Desktop/seabridge%20fintech/purpleline_pa_icon/CPB_pa_purpleline_signal.jpg" TargetMode="External"/><Relationship Id="rId375" Type="http://schemas.openxmlformats.org/officeDocument/2006/relationships/hyperlink" Target="https://3arbzfbsh-cname-us.ngrok.io/Desktop/seabridge%20fintech/purpleline_pa_icon/LUMN_pa_purpleline_signal.jpg" TargetMode="External"/><Relationship Id="rId172" Type="http://schemas.openxmlformats.org/officeDocument/2006/relationships/hyperlink" Target="https://3arbzfbsh-cname-us.ngrok.io/Desktop/seabridge%20fintech/purpleline_pa_icon/DOV_pa_purpleline_signal.jpg" TargetMode="External"/><Relationship Id="rId171" Type="http://schemas.openxmlformats.org/officeDocument/2006/relationships/hyperlink" Target="https://3arbzfbsh-cname-us.ngrok.io/Desktop/seabridge%20fintech/purpleline_pa_icon/DOCU_pa_purpleline_signal.jpg" TargetMode="External"/><Relationship Id="rId170" Type="http://schemas.openxmlformats.org/officeDocument/2006/relationships/hyperlink" Target="https://3arbzfbsh-cname-us.ngrok.io/Desktop/seabridge%20fintech/purpleline_pa_icon/DLTR_pa_purpleline_signal.jpg" TargetMode="External"/><Relationship Id="rId165" Type="http://schemas.openxmlformats.org/officeDocument/2006/relationships/hyperlink" Target="https://3arbzfbsh-cname-us.ngrok.io/Desktop/seabridge%20fintech/purpleline_pa_icon/DIS_pa_purpleline_signal.jpg" TargetMode="External"/><Relationship Id="rId164" Type="http://schemas.openxmlformats.org/officeDocument/2006/relationships/hyperlink" Target="https://3arbzfbsh-cname-us.ngrok.io/Desktop/seabridge%20fintech/purpleline_pa_icon/DIA_pa_purpleline_signal.jpg" TargetMode="External"/><Relationship Id="rId163" Type="http://schemas.openxmlformats.org/officeDocument/2006/relationships/hyperlink" Target="https://3arbzfbsh-cname-us.ngrok.io/Desktop/seabridge%20fintech/purpleline_pa_icon/DHR_pa_purpleline_signal.jpg" TargetMode="External"/><Relationship Id="rId162" Type="http://schemas.openxmlformats.org/officeDocument/2006/relationships/hyperlink" Target="https://3arbzfbsh-cname-us.ngrok.io/Desktop/seabridge%20fintech/purpleline_pa_icon/DHI_pa_purpleline_signal.jpg" TargetMode="External"/><Relationship Id="rId169" Type="http://schemas.openxmlformats.org/officeDocument/2006/relationships/hyperlink" Target="https://3arbzfbsh-cname-us.ngrok.io/Desktop/seabridge%20fintech/purpleline_pa_icon/DLR_pa_purpleline_signal.jpg" TargetMode="External"/><Relationship Id="rId168" Type="http://schemas.openxmlformats.org/officeDocument/2006/relationships/hyperlink" Target="https://3arbzfbsh-cname-us.ngrok.io/Desktop/seabridge%20fintech/purpleline_pa_icon/DKNG_pa_purpleline_signal.jpg" TargetMode="External"/><Relationship Id="rId167" Type="http://schemas.openxmlformats.org/officeDocument/2006/relationships/hyperlink" Target="https://3arbzfbsh-cname-us.ngrok.io/Desktop/seabridge%20fintech/purpleline_pa_icon/DISH_pa_purpleline_signal.jpg" TargetMode="External"/><Relationship Id="rId166" Type="http://schemas.openxmlformats.org/officeDocument/2006/relationships/hyperlink" Target="https://3arbzfbsh-cname-us.ngrok.io/Desktop/seabridge%20fintech/purpleline_pa_icon/DISCA_pa_purpleline_signal.jpg" TargetMode="External"/><Relationship Id="rId161" Type="http://schemas.openxmlformats.org/officeDocument/2006/relationships/hyperlink" Target="https://3arbzfbsh-cname-us.ngrok.io/Desktop/seabridge%20fintech/purpleline_pa_icon/DGX_pa_purpleline_signal.jpg" TargetMode="External"/><Relationship Id="rId160" Type="http://schemas.openxmlformats.org/officeDocument/2006/relationships/hyperlink" Target="https://3arbzfbsh-cname-us.ngrok.io/Desktop/seabridge%20fintech/purpleline_pa_icon/DG_pa_purpleline_signal.jpg" TargetMode="External"/><Relationship Id="rId159" Type="http://schemas.openxmlformats.org/officeDocument/2006/relationships/hyperlink" Target="https://3arbzfbsh-cname-us.ngrok.io/Desktop/seabridge%20fintech/purpleline_pa_icon/DFS_pa_purpleline_signal.jpg" TargetMode="External"/><Relationship Id="rId154" Type="http://schemas.openxmlformats.org/officeDocument/2006/relationships/hyperlink" Target="https://3arbzfbsh-cname-us.ngrok.io/Desktop/seabridge%20fintech/purpleline_pa_icon/DD_pa_purpleline_signal.jpg" TargetMode="External"/><Relationship Id="rId396" Type="http://schemas.openxmlformats.org/officeDocument/2006/relationships/hyperlink" Target="https://3arbzfbsh-cname-us.ngrok.io/Desktop/seabridge%20fintech/purpleline_pa_icon/MGM_pa_purpleline_signal.jpg" TargetMode="External"/><Relationship Id="rId153" Type="http://schemas.openxmlformats.org/officeDocument/2006/relationships/hyperlink" Target="https://3arbzfbsh-cname-us.ngrok.io/Desktop/seabridge%20fintech/purpleline_pa_icon/DBX_pa_purpleline_signal.jpg" TargetMode="External"/><Relationship Id="rId395" Type="http://schemas.openxmlformats.org/officeDocument/2006/relationships/hyperlink" Target="https://3arbzfbsh-cname-us.ngrok.io/Desktop/seabridge%20fintech/purpleline_pa_icon/MET_pa_purpleline_signal.jpg" TargetMode="External"/><Relationship Id="rId152" Type="http://schemas.openxmlformats.org/officeDocument/2006/relationships/hyperlink" Target="https://3arbzfbsh-cname-us.ngrok.io/Desktop/seabridge%20fintech/purpleline_pa_icon/DAR_pa_purpleline_signal.jpg" TargetMode="External"/><Relationship Id="rId394" Type="http://schemas.openxmlformats.org/officeDocument/2006/relationships/hyperlink" Target="https://3arbzfbsh-cname-us.ngrok.io/Desktop/seabridge%20fintech/purpleline_pa_icon/MELI_pa_purpleline_signal.jpg" TargetMode="External"/><Relationship Id="rId151" Type="http://schemas.openxmlformats.org/officeDocument/2006/relationships/hyperlink" Target="https://3arbzfbsh-cname-us.ngrok.io/Desktop/seabridge%20fintech/purpleline_pa_icon/DAL_pa_purpleline_signal.jpg" TargetMode="External"/><Relationship Id="rId393" Type="http://schemas.openxmlformats.org/officeDocument/2006/relationships/hyperlink" Target="https://3arbzfbsh-cname-us.ngrok.io/Desktop/seabridge%20fintech/purpleline_pa_icon/MDT_pa_purpleline_signal.jpg" TargetMode="External"/><Relationship Id="rId158" Type="http://schemas.openxmlformats.org/officeDocument/2006/relationships/hyperlink" Target="https://3arbzfbsh-cname-us.ngrok.io/Desktop/seabridge%20fintech/purpleline_pa_icon/DELL_pa_purpleline_signal.jpg" TargetMode="External"/><Relationship Id="rId157" Type="http://schemas.openxmlformats.org/officeDocument/2006/relationships/hyperlink" Target="https://3arbzfbsh-cname-us.ngrok.io/Desktop/seabridge%20fintech/purpleline_pa_icon/DE_pa_purpleline_signal.jpg" TargetMode="External"/><Relationship Id="rId399" Type="http://schemas.openxmlformats.org/officeDocument/2006/relationships/hyperlink" Target="https://3arbzfbsh-cname-us.ngrok.io/Desktop/seabridge%20fintech/purpleline_pa_icon/MKC_pa_purpleline_signal.jpg" TargetMode="External"/><Relationship Id="rId156" Type="http://schemas.openxmlformats.org/officeDocument/2006/relationships/hyperlink" Target="https://3arbzfbsh-cname-us.ngrok.io/Desktop/seabridge%20fintech/purpleline_pa_icon/DDOG_pa_purpleline_signal.jpg" TargetMode="External"/><Relationship Id="rId398" Type="http://schemas.openxmlformats.org/officeDocument/2006/relationships/hyperlink" Target="https://3arbzfbsh-cname-us.ngrok.io/Desktop/seabridge%20fintech/purpleline_pa_icon/MHK_pa_purpleline_signal.jpg" TargetMode="External"/><Relationship Id="rId155" Type="http://schemas.openxmlformats.org/officeDocument/2006/relationships/hyperlink" Target="https://3arbzfbsh-cname-us.ngrok.io/Desktop/seabridge%20fintech/purpleline_pa_icon/DDD_pa_purpleline_signal.jpg" TargetMode="External"/><Relationship Id="rId397" Type="http://schemas.openxmlformats.org/officeDocument/2006/relationships/hyperlink" Target="https://3arbzfbsh-cname-us.ngrok.io/Desktop/seabridge%20fintech/purpleline_pa_icon/MGNI_pa_purpleline_signal.jpg" TargetMode="External"/><Relationship Id="rId40" Type="http://schemas.openxmlformats.org/officeDocument/2006/relationships/hyperlink" Target="https://3arbzfbsh-cname-us.ngrok.io/Desktop/seabridge%20fintech/purpleline_pa_icon/AMLP_pa_purpleline_signal.jpg" TargetMode="External"/><Relationship Id="rId42" Type="http://schemas.openxmlformats.org/officeDocument/2006/relationships/hyperlink" Target="https://3arbzfbsh-cname-us.ngrok.io/Desktop/seabridge%20fintech/purpleline_pa_icon/AMT_pa_purpleline_signal.jpg" TargetMode="External"/><Relationship Id="rId41" Type="http://schemas.openxmlformats.org/officeDocument/2006/relationships/hyperlink" Target="https://3arbzfbsh-cname-us.ngrok.io/Desktop/seabridge%20fintech/purpleline_pa_icon/AMP_pa_purpleline_signal.jpg" TargetMode="External"/><Relationship Id="rId44" Type="http://schemas.openxmlformats.org/officeDocument/2006/relationships/hyperlink" Target="https://3arbzfbsh-cname-us.ngrok.io/Desktop/seabridge%20fintech/purpleline_pa_icon/ANET_pa_purpleline_signal.jpg" TargetMode="External"/><Relationship Id="rId43" Type="http://schemas.openxmlformats.org/officeDocument/2006/relationships/hyperlink" Target="https://3arbzfbsh-cname-us.ngrok.io/Desktop/seabridge%20fintech/purpleline_pa_icon/AMZN_pa_purpleline_signal.jpg" TargetMode="External"/><Relationship Id="rId46" Type="http://schemas.openxmlformats.org/officeDocument/2006/relationships/hyperlink" Target="https://3arbzfbsh-cname-us.ngrok.io/Desktop/seabridge%20fintech/purpleline_pa_icon/ANTM_pa_purpleline_signal.jpg" TargetMode="External"/><Relationship Id="rId45" Type="http://schemas.openxmlformats.org/officeDocument/2006/relationships/hyperlink" Target="https://3arbzfbsh-cname-us.ngrok.io/Desktop/seabridge%20fintech/purpleline_pa_icon/ANSS_pa_purpleline_signal.jpg" TargetMode="External"/><Relationship Id="rId509" Type="http://schemas.openxmlformats.org/officeDocument/2006/relationships/hyperlink" Target="https://3arbzfbsh-cname-us.ngrok.io/Desktop/seabridge%20fintech/purpleline_pa_icon/QRVO_pa_purpleline_signal.jpg" TargetMode="External"/><Relationship Id="rId508" Type="http://schemas.openxmlformats.org/officeDocument/2006/relationships/hyperlink" Target="https://3arbzfbsh-cname-us.ngrok.io/Desktop/seabridge%20fintech/purpleline_pa_icon/QQQ_pa_purpleline_signal.jpg" TargetMode="External"/><Relationship Id="rId503" Type="http://schemas.openxmlformats.org/officeDocument/2006/relationships/hyperlink" Target="https://3arbzfbsh-cname-us.ngrok.io/Desktop/seabridge%20fintech/purpleline_pa_icon/PWR_pa_purpleline_signal.jpg" TargetMode="External"/><Relationship Id="rId502" Type="http://schemas.openxmlformats.org/officeDocument/2006/relationships/hyperlink" Target="https://3arbzfbsh-cname-us.ngrok.io/Desktop/seabridge%20fintech/purpleline_pa_icon/PVH_pa_purpleline_signal.jpg" TargetMode="External"/><Relationship Id="rId501" Type="http://schemas.openxmlformats.org/officeDocument/2006/relationships/hyperlink" Target="https://3arbzfbsh-cname-us.ngrok.io/Desktop/seabridge%20fintech/purpleline_pa_icon/PTON_pa_purpleline_signal.jpg" TargetMode="External"/><Relationship Id="rId500" Type="http://schemas.openxmlformats.org/officeDocument/2006/relationships/hyperlink" Target="https://3arbzfbsh-cname-us.ngrok.io/Desktop/seabridge%20fintech/purpleline_pa_icon/PTC_pa_purpleline_signal.jpg" TargetMode="External"/><Relationship Id="rId507" Type="http://schemas.openxmlformats.org/officeDocument/2006/relationships/hyperlink" Target="https://3arbzfbsh-cname-us.ngrok.io/Desktop/seabridge%20fintech/purpleline_pa_icon/QLD_pa_purpleline_signal.jpg" TargetMode="External"/><Relationship Id="rId506" Type="http://schemas.openxmlformats.org/officeDocument/2006/relationships/hyperlink" Target="https://3arbzfbsh-cname-us.ngrok.io/Desktop/seabridge%20fintech/purpleline_pa_icon/QCOM_pa_purpleline_signal.jpg" TargetMode="External"/><Relationship Id="rId505" Type="http://schemas.openxmlformats.org/officeDocument/2006/relationships/hyperlink" Target="https://3arbzfbsh-cname-us.ngrok.io/Desktop/seabridge%20fintech/purpleline_pa_icon/PYPL_pa_purpleline_signal.jpg" TargetMode="External"/><Relationship Id="rId504" Type="http://schemas.openxmlformats.org/officeDocument/2006/relationships/hyperlink" Target="https://3arbzfbsh-cname-us.ngrok.io/Desktop/seabridge%20fintech/purpleline_pa_icon/PXD_pa_purpleline_signal.jpg" TargetMode="External"/><Relationship Id="rId48" Type="http://schemas.openxmlformats.org/officeDocument/2006/relationships/hyperlink" Target="https://3arbzfbsh-cname-us.ngrok.io/Desktop/seabridge%20fintech/purpleline_pa_icon/AOS_pa_purpleline_signal.jpg" TargetMode="External"/><Relationship Id="rId47" Type="http://schemas.openxmlformats.org/officeDocument/2006/relationships/hyperlink" Target="https://3arbzfbsh-cname-us.ngrok.io/Desktop/seabridge%20fintech/purpleline_pa_icon/AON_pa_purpleline_signal.jpg" TargetMode="External"/><Relationship Id="rId49" Type="http://schemas.openxmlformats.org/officeDocument/2006/relationships/hyperlink" Target="https://3arbzfbsh-cname-us.ngrok.io/Desktop/seabridge%20fintech/purpleline_pa_icon/APA_pa_purpleline_signal.jpg" TargetMode="External"/><Relationship Id="rId31" Type="http://schemas.openxmlformats.org/officeDocument/2006/relationships/hyperlink" Target="https://3arbzfbsh-cname-us.ngrok.io/Desktop/seabridge%20fintech/purpleline_pa_icon/ALLE_pa_purpleline_signal.jpg" TargetMode="External"/><Relationship Id="rId30" Type="http://schemas.openxmlformats.org/officeDocument/2006/relationships/hyperlink" Target="https://3arbzfbsh-cname-us.ngrok.io/Desktop/seabridge%20fintech/purpleline_pa_icon/ALL_pa_purpleline_signal.jpg" TargetMode="External"/><Relationship Id="rId33" Type="http://schemas.openxmlformats.org/officeDocument/2006/relationships/hyperlink" Target="https://3arbzfbsh-cname-us.ngrok.io/Desktop/seabridge%20fintech/purpleline_pa_icon/ALXN_pa_purpleline_signal.jpg" TargetMode="External"/><Relationship Id="rId32" Type="http://schemas.openxmlformats.org/officeDocument/2006/relationships/hyperlink" Target="https://3arbzfbsh-cname-us.ngrok.io/Desktop/seabridge%20fintech/purpleline_pa_icon/ALLY_pa_purpleline_signal.jpg" TargetMode="External"/><Relationship Id="rId35" Type="http://schemas.openxmlformats.org/officeDocument/2006/relationships/hyperlink" Target="https://3arbzfbsh-cname-us.ngrok.io/Desktop/seabridge%20fintech/purpleline_pa_icon/AMC_pa_purpleline_signal.jpg" TargetMode="External"/><Relationship Id="rId34" Type="http://schemas.openxmlformats.org/officeDocument/2006/relationships/hyperlink" Target="https://3arbzfbsh-cname-us.ngrok.io/Desktop/seabridge%20fintech/purpleline_pa_icon/AMAT_pa_purpleline_signal.jpg" TargetMode="External"/><Relationship Id="rId37" Type="http://schemas.openxmlformats.org/officeDocument/2006/relationships/hyperlink" Target="https://3arbzfbsh-cname-us.ngrok.io/Desktop/seabridge%20fintech/purpleline_pa_icon/AMD_pa_purpleline_signal.jpg" TargetMode="External"/><Relationship Id="rId36" Type="http://schemas.openxmlformats.org/officeDocument/2006/relationships/hyperlink" Target="https://3arbzfbsh-cname-us.ngrok.io/Desktop/seabridge%20fintech/purpleline_pa_icon/AMCR_pa_purpleline_signal.jpg" TargetMode="External"/><Relationship Id="rId39" Type="http://schemas.openxmlformats.org/officeDocument/2006/relationships/hyperlink" Target="https://3arbzfbsh-cname-us.ngrok.io/Desktop/seabridge%20fintech/purpleline_pa_icon/AMGN_pa_purpleline_signal.jpg" TargetMode="External"/><Relationship Id="rId38" Type="http://schemas.openxmlformats.org/officeDocument/2006/relationships/hyperlink" Target="https://3arbzfbsh-cname-us.ngrok.io/Desktop/seabridge%20fintech/purpleline_pa_icon/AME_pa_purpleline_signal.jpg" TargetMode="External"/><Relationship Id="rId20" Type="http://schemas.openxmlformats.org/officeDocument/2006/relationships/hyperlink" Target="https://3arbzfbsh-cname-us.ngrok.io/Desktop/seabridge%20fintech/purpleline_pa_icon/AFL_pa_purpleline_signal.jpg" TargetMode="External"/><Relationship Id="rId22" Type="http://schemas.openxmlformats.org/officeDocument/2006/relationships/hyperlink" Target="https://3arbzfbsh-cname-us.ngrok.io/Desktop/seabridge%20fintech/purpleline_pa_icon/AI_pa_purpleline_signal.jpg" TargetMode="External"/><Relationship Id="rId21" Type="http://schemas.openxmlformats.org/officeDocument/2006/relationships/hyperlink" Target="https://3arbzfbsh-cname-us.ngrok.io/Desktop/seabridge%20fintech/purpleline_pa_icon/AGG_pa_purpleline_signal.jpg" TargetMode="External"/><Relationship Id="rId24" Type="http://schemas.openxmlformats.org/officeDocument/2006/relationships/hyperlink" Target="https://3arbzfbsh-cname-us.ngrok.io/Desktop/seabridge%20fintech/purpleline_pa_icon/AIZ_pa_purpleline_signal.jpg" TargetMode="External"/><Relationship Id="rId23" Type="http://schemas.openxmlformats.org/officeDocument/2006/relationships/hyperlink" Target="https://3arbzfbsh-cname-us.ngrok.io/Desktop/seabridge%20fintech/purpleline_pa_icon/AIG_pa_purpleline_signal.jpg" TargetMode="External"/><Relationship Id="rId525" Type="http://schemas.openxmlformats.org/officeDocument/2006/relationships/hyperlink" Target="https://3arbzfbsh-cname-us.ngrok.io/Desktop/seabridge%20fintech/purpleline_pa_icon/RSG_pa_purpleline_signal.jpg" TargetMode="External"/><Relationship Id="rId524" Type="http://schemas.openxmlformats.org/officeDocument/2006/relationships/hyperlink" Target="https://3arbzfbsh-cname-us.ngrok.io/Desktop/seabridge%20fintech/purpleline_pa_icon/ROST_pa_purpleline_signal.jpg" TargetMode="External"/><Relationship Id="rId523" Type="http://schemas.openxmlformats.org/officeDocument/2006/relationships/hyperlink" Target="https://3arbzfbsh-cname-us.ngrok.io/Desktop/seabridge%20fintech/purpleline_pa_icon/ROP_pa_purpleline_signal.jpg" TargetMode="External"/><Relationship Id="rId522" Type="http://schemas.openxmlformats.org/officeDocument/2006/relationships/hyperlink" Target="https://3arbzfbsh-cname-us.ngrok.io/Desktop/seabridge%20fintech/purpleline_pa_icon/ROL_pa_purpleline_signal.jpg" TargetMode="External"/><Relationship Id="rId529" Type="http://schemas.openxmlformats.org/officeDocument/2006/relationships/hyperlink" Target="https://3arbzfbsh-cname-us.ngrok.io/Desktop/seabridge%20fintech/purpleline_pa_icon/SAVA_pa_purpleline_signal.jpg" TargetMode="External"/><Relationship Id="rId528" Type="http://schemas.openxmlformats.org/officeDocument/2006/relationships/hyperlink" Target="https://3arbzfbsh-cname-us.ngrok.io/Desktop/seabridge%20fintech/purpleline_pa_icon/RUN_pa_purpleline_signal.jpg" TargetMode="External"/><Relationship Id="rId527" Type="http://schemas.openxmlformats.org/officeDocument/2006/relationships/hyperlink" Target="https://3arbzfbsh-cname-us.ngrok.io/Desktop/seabridge%20fintech/purpleline_pa_icon/RTX_pa_purpleline_signal.jpg" TargetMode="External"/><Relationship Id="rId526" Type="http://schemas.openxmlformats.org/officeDocument/2006/relationships/hyperlink" Target="https://3arbzfbsh-cname-us.ngrok.io/Desktop/seabridge%20fintech/purpleline_pa_icon/RSP_pa_purpleline_signal.jpg" TargetMode="External"/><Relationship Id="rId26" Type="http://schemas.openxmlformats.org/officeDocument/2006/relationships/hyperlink" Target="https://3arbzfbsh-cname-us.ngrok.io/Desktop/seabridge%20fintech/purpleline_pa_icon/AKAM_pa_purpleline_signal.jpg" TargetMode="External"/><Relationship Id="rId25" Type="http://schemas.openxmlformats.org/officeDocument/2006/relationships/hyperlink" Target="https://3arbzfbsh-cname-us.ngrok.io/Desktop/seabridge%20fintech/purpleline_pa_icon/AJG_pa_purpleline_signal.jpg" TargetMode="External"/><Relationship Id="rId28" Type="http://schemas.openxmlformats.org/officeDocument/2006/relationships/hyperlink" Target="https://3arbzfbsh-cname-us.ngrok.io/Desktop/seabridge%20fintech/purpleline_pa_icon/ALGN_pa_purpleline_signal.jpg" TargetMode="External"/><Relationship Id="rId27" Type="http://schemas.openxmlformats.org/officeDocument/2006/relationships/hyperlink" Target="https://3arbzfbsh-cname-us.ngrok.io/Desktop/seabridge%20fintech/purpleline_pa_icon/ALB_pa_purpleline_signal.jpg" TargetMode="External"/><Relationship Id="rId521" Type="http://schemas.openxmlformats.org/officeDocument/2006/relationships/hyperlink" Target="https://3arbzfbsh-cname-us.ngrok.io/Desktop/seabridge%20fintech/purpleline_pa_icon/ROKU_pa_purpleline_signal.jpg" TargetMode="External"/><Relationship Id="rId29" Type="http://schemas.openxmlformats.org/officeDocument/2006/relationships/hyperlink" Target="https://3arbzfbsh-cname-us.ngrok.io/Desktop/seabridge%20fintech/purpleline_pa_icon/ALK_pa_purpleline_signal.jpg" TargetMode="External"/><Relationship Id="rId520" Type="http://schemas.openxmlformats.org/officeDocument/2006/relationships/hyperlink" Target="https://3arbzfbsh-cname-us.ngrok.io/Desktop/seabridge%20fintech/purpleline_pa_icon/ROK_pa_purpleline_signal.jpg" TargetMode="External"/><Relationship Id="rId11" Type="http://schemas.openxmlformats.org/officeDocument/2006/relationships/hyperlink" Target="https://3arbzfbsh-cname-us.ngrok.io/Desktop/seabridge%20fintech/purpleline_pa_icon/ADBE_pa_purpleline_signal.jpg" TargetMode="External"/><Relationship Id="rId10" Type="http://schemas.openxmlformats.org/officeDocument/2006/relationships/hyperlink" Target="https://3arbzfbsh-cname-us.ngrok.io/Desktop/seabridge%20fintech/purpleline_pa_icon/ACN_pa_purpleline_signal.jpg" TargetMode="External"/><Relationship Id="rId13" Type="http://schemas.openxmlformats.org/officeDocument/2006/relationships/hyperlink" Target="https://3arbzfbsh-cname-us.ngrok.io/Desktop/seabridge%20fintech/purpleline_pa_icon/ADM_pa_purpleline_signal.jpg" TargetMode="External"/><Relationship Id="rId12" Type="http://schemas.openxmlformats.org/officeDocument/2006/relationships/hyperlink" Target="https://3arbzfbsh-cname-us.ngrok.io/Desktop/seabridge%20fintech/purpleline_pa_icon/ADI_pa_purpleline_signal.jpg" TargetMode="External"/><Relationship Id="rId519" Type="http://schemas.openxmlformats.org/officeDocument/2006/relationships/hyperlink" Target="https://3arbzfbsh-cname-us.ngrok.io/Desktop/seabridge%20fintech/purpleline_pa_icon/RMD_pa_purpleline_signal.jpg" TargetMode="External"/><Relationship Id="rId514" Type="http://schemas.openxmlformats.org/officeDocument/2006/relationships/hyperlink" Target="https://3arbzfbsh-cname-us.ngrok.io/Desktop/seabridge%20fintech/purpleline_pa_icon/RF_pa_purpleline_signal.jpg" TargetMode="External"/><Relationship Id="rId513" Type="http://schemas.openxmlformats.org/officeDocument/2006/relationships/hyperlink" Target="https://3arbzfbsh-cname-us.ngrok.io/Desktop/seabridge%20fintech/purpleline_pa_icon/REGN_pa_purpleline_signal.jpg" TargetMode="External"/><Relationship Id="rId512" Type="http://schemas.openxmlformats.org/officeDocument/2006/relationships/hyperlink" Target="https://3arbzfbsh-cname-us.ngrok.io/Desktop/seabridge%20fintech/purpleline_pa_icon/REG_pa_purpleline_signal.jpg" TargetMode="External"/><Relationship Id="rId511" Type="http://schemas.openxmlformats.org/officeDocument/2006/relationships/hyperlink" Target="https://3arbzfbsh-cname-us.ngrok.io/Desktop/seabridge%20fintech/purpleline_pa_icon/RE_pa_purpleline_signal.jpg" TargetMode="External"/><Relationship Id="rId518" Type="http://schemas.openxmlformats.org/officeDocument/2006/relationships/hyperlink" Target="https://3arbzfbsh-cname-us.ngrok.io/Desktop/seabridge%20fintech/purpleline_pa_icon/RL_pa_purpleline_signal.jpg" TargetMode="External"/><Relationship Id="rId517" Type="http://schemas.openxmlformats.org/officeDocument/2006/relationships/hyperlink" Target="https://3arbzfbsh-cname-us.ngrok.io/Desktop/seabridge%20fintech/purpleline_pa_icon/RJF_pa_purpleline_signal.jpg" TargetMode="External"/><Relationship Id="rId516" Type="http://schemas.openxmlformats.org/officeDocument/2006/relationships/hyperlink" Target="https://3arbzfbsh-cname-us.ngrok.io/Desktop/seabridge%20fintech/purpleline_pa_icon/RIOT_pa_purpleline_signal.jpg" TargetMode="External"/><Relationship Id="rId515" Type="http://schemas.openxmlformats.org/officeDocument/2006/relationships/hyperlink" Target="https://3arbzfbsh-cname-us.ngrok.io/Desktop/seabridge%20fintech/purpleline_pa_icon/RHI_pa_purpleline_signal.jpg" TargetMode="External"/><Relationship Id="rId15" Type="http://schemas.openxmlformats.org/officeDocument/2006/relationships/hyperlink" Target="https://3arbzfbsh-cname-us.ngrok.io/Desktop/seabridge%20fintech/purpleline_pa_icon/ADSK_pa_purpleline_signal.jpg" TargetMode="External"/><Relationship Id="rId14" Type="http://schemas.openxmlformats.org/officeDocument/2006/relationships/hyperlink" Target="https://3arbzfbsh-cname-us.ngrok.io/Desktop/seabridge%20fintech/purpleline_pa_icon/ADP_pa_purpleline_signal.jpg" TargetMode="External"/><Relationship Id="rId17" Type="http://schemas.openxmlformats.org/officeDocument/2006/relationships/hyperlink" Target="https://3arbzfbsh-cname-us.ngrok.io/Desktop/seabridge%20fintech/purpleline_pa_icon/AEO_pa_purpleline_signal.jpg" TargetMode="External"/><Relationship Id="rId16" Type="http://schemas.openxmlformats.org/officeDocument/2006/relationships/hyperlink" Target="https://3arbzfbsh-cname-us.ngrok.io/Desktop/seabridge%20fintech/purpleline_pa_icon/AEE_pa_purpleline_signal.jpg" TargetMode="External"/><Relationship Id="rId19" Type="http://schemas.openxmlformats.org/officeDocument/2006/relationships/hyperlink" Target="https://3arbzfbsh-cname-us.ngrok.io/Desktop/seabridge%20fintech/purpleline_pa_icon/AES_pa_purpleline_signal.jpg" TargetMode="External"/><Relationship Id="rId510" Type="http://schemas.openxmlformats.org/officeDocument/2006/relationships/hyperlink" Target="https://3arbzfbsh-cname-us.ngrok.io/Desktop/seabridge%20fintech/purpleline_pa_icon/RCL_pa_purpleline_signal.jpg" TargetMode="External"/><Relationship Id="rId18" Type="http://schemas.openxmlformats.org/officeDocument/2006/relationships/hyperlink" Target="https://3arbzfbsh-cname-us.ngrok.io/Desktop/seabridge%20fintech/purpleline_pa_icon/AEP_pa_purpleline_signal.jpg" TargetMode="External"/><Relationship Id="rId84" Type="http://schemas.openxmlformats.org/officeDocument/2006/relationships/hyperlink" Target="https://3arbzfbsh-cname-us.ngrok.io/Desktop/seabridge%20fintech/purpleline_pa_icon/BLK_pa_purpleline_signal.jpg" TargetMode="External"/><Relationship Id="rId83" Type="http://schemas.openxmlformats.org/officeDocument/2006/relationships/hyperlink" Target="https://3arbzfbsh-cname-us.ngrok.io/Desktop/seabridge%20fintech/purpleline_pa_icon/BLDR_pa_purpleline_signal.jpg" TargetMode="External"/><Relationship Id="rId86" Type="http://schemas.openxmlformats.org/officeDocument/2006/relationships/hyperlink" Target="https://3arbzfbsh-cname-us.ngrok.io/Desktop/seabridge%20fintech/purpleline_pa_icon/BMY_pa_purpleline_signal.jpg" TargetMode="External"/><Relationship Id="rId85" Type="http://schemas.openxmlformats.org/officeDocument/2006/relationships/hyperlink" Target="https://3arbzfbsh-cname-us.ngrok.io/Desktop/seabridge%20fintech/purpleline_pa_icon/BLL_pa_purpleline_signal.jpg" TargetMode="External"/><Relationship Id="rId88" Type="http://schemas.openxmlformats.org/officeDocument/2006/relationships/hyperlink" Target="https://3arbzfbsh-cname-us.ngrok.io/Desktop/seabridge%20fintech/purpleline_pa_icon/BNDX_pa_purpleline_signal.jpg" TargetMode="External"/><Relationship Id="rId87" Type="http://schemas.openxmlformats.org/officeDocument/2006/relationships/hyperlink" Target="https://3arbzfbsh-cname-us.ngrok.io/Desktop/seabridge%20fintech/purpleline_pa_icon/BND_pa_purpleline_signal.jpg" TargetMode="External"/><Relationship Id="rId89" Type="http://schemas.openxmlformats.org/officeDocument/2006/relationships/hyperlink" Target="https://3arbzfbsh-cname-us.ngrok.io/Desktop/seabridge%20fintech/purpleline_pa_icon/BR_pa_purpleline_signal.jpg" TargetMode="External"/><Relationship Id="rId80" Type="http://schemas.openxmlformats.org/officeDocument/2006/relationships/hyperlink" Target="https://3arbzfbsh-cname-us.ngrok.io/Desktop/seabridge%20fintech/purpleline_pa_icon/BK_pa_purpleline_signal.jpg" TargetMode="External"/><Relationship Id="rId82" Type="http://schemas.openxmlformats.org/officeDocument/2006/relationships/hyperlink" Target="https://3arbzfbsh-cname-us.ngrok.io/Desktop/seabridge%20fintech/purpleline_pa_icon/BKR_pa_purpleline_signal.jpg" TargetMode="External"/><Relationship Id="rId81" Type="http://schemas.openxmlformats.org/officeDocument/2006/relationships/hyperlink" Target="https://3arbzfbsh-cname-us.ngrok.io/Desktop/seabridge%20fintech/purpleline_pa_icon/BKNG_pa_purpleline_signal.jpg" TargetMode="External"/><Relationship Id="rId701" Type="http://schemas.openxmlformats.org/officeDocument/2006/relationships/drawing" Target="../drawings/drawing11.xml"/><Relationship Id="rId700" Type="http://schemas.openxmlformats.org/officeDocument/2006/relationships/hyperlink" Target="https://3arbzfbsh-cname-us.ngrok.io/Desktop/seabridge%20fintech/purpleline_pa_icon/ZTS_pa_purpleline_signal.jpg" TargetMode="External"/><Relationship Id="rId73" Type="http://schemas.openxmlformats.org/officeDocument/2006/relationships/hyperlink" Target="https://3arbzfbsh-cname-us.ngrok.io/Desktop/seabridge%20fintech/purpleline_pa_icon/BBBY_pa_purpleline_signal.jpg" TargetMode="External"/><Relationship Id="rId72" Type="http://schemas.openxmlformats.org/officeDocument/2006/relationships/hyperlink" Target="https://3arbzfbsh-cname-us.ngrok.io/Desktop/seabridge%20fintech/purpleline_pa_icon/BAX_pa_purpleline_signal.jpg" TargetMode="External"/><Relationship Id="rId75" Type="http://schemas.openxmlformats.org/officeDocument/2006/relationships/hyperlink" Target="https://3arbzfbsh-cname-us.ngrok.io/Desktop/seabridge%20fintech/purpleline_pa_icon/BDX_pa_purpleline_signal.jpg" TargetMode="External"/><Relationship Id="rId74" Type="http://schemas.openxmlformats.org/officeDocument/2006/relationships/hyperlink" Target="https://3arbzfbsh-cname-us.ngrok.io/Desktop/seabridge%20fintech/purpleline_pa_icon/BBY_pa_purpleline_signal.jpg" TargetMode="External"/><Relationship Id="rId77" Type="http://schemas.openxmlformats.org/officeDocument/2006/relationships/hyperlink" Target="https://3arbzfbsh-cname-us.ngrok.io/Desktop/seabridge%20fintech/purpleline_pa_icon/BIDU_pa_purpleline_signal.jpg" TargetMode="External"/><Relationship Id="rId76" Type="http://schemas.openxmlformats.org/officeDocument/2006/relationships/hyperlink" Target="https://3arbzfbsh-cname-us.ngrok.io/Desktop/seabridge%20fintech/purpleline_pa_icon/BEN_pa_purpleline_signal.jpg" TargetMode="External"/><Relationship Id="rId79" Type="http://schemas.openxmlformats.org/officeDocument/2006/relationships/hyperlink" Target="https://3arbzfbsh-cname-us.ngrok.io/Desktop/seabridge%20fintech/purpleline_pa_icon/BIO_pa_purpleline_signal.jpg" TargetMode="External"/><Relationship Id="rId78" Type="http://schemas.openxmlformats.org/officeDocument/2006/relationships/hyperlink" Target="https://3arbzfbsh-cname-us.ngrok.io/Desktop/seabridge%20fintech/purpleline_pa_icon/BIIB_pa_purpleline_signal.jpg" TargetMode="External"/><Relationship Id="rId71" Type="http://schemas.openxmlformats.org/officeDocument/2006/relationships/hyperlink" Target="https://3arbzfbsh-cname-us.ngrok.io/Desktop/seabridge%20fintech/purpleline_pa_icon/BAC_pa_purpleline_signal.jpg" TargetMode="External"/><Relationship Id="rId70" Type="http://schemas.openxmlformats.org/officeDocument/2006/relationships/hyperlink" Target="https://3arbzfbsh-cname-us.ngrok.io/Desktop/seabridge%20fintech/purpleline_pa_icon/BA_pa_purpleline_signal.jpg" TargetMode="External"/><Relationship Id="rId62" Type="http://schemas.openxmlformats.org/officeDocument/2006/relationships/hyperlink" Target="https://3arbzfbsh-cname-us.ngrok.io/Desktop/seabridge%20fintech/purpleline_pa_icon/AVB_pa_purpleline_signal.jpg" TargetMode="External"/><Relationship Id="rId61" Type="http://schemas.openxmlformats.org/officeDocument/2006/relationships/hyperlink" Target="https://3arbzfbsh-cname-us.ngrok.io/Desktop/seabridge%20fintech/purpleline_pa_icon/ATVI_pa_purpleline_signal.jpg" TargetMode="External"/><Relationship Id="rId64" Type="http://schemas.openxmlformats.org/officeDocument/2006/relationships/hyperlink" Target="https://3arbzfbsh-cname-us.ngrok.io/Desktop/seabridge%20fintech/purpleline_pa_icon/AVTR_pa_purpleline_signal.jpg" TargetMode="External"/><Relationship Id="rId63" Type="http://schemas.openxmlformats.org/officeDocument/2006/relationships/hyperlink" Target="https://3arbzfbsh-cname-us.ngrok.io/Desktop/seabridge%20fintech/purpleline_pa_icon/AVGO_pa_purpleline_signal.jpg" TargetMode="External"/><Relationship Id="rId66" Type="http://schemas.openxmlformats.org/officeDocument/2006/relationships/hyperlink" Target="https://3arbzfbsh-cname-us.ngrok.io/Desktop/seabridge%20fintech/purpleline_pa_icon/AWK_pa_purpleline_signal.jpg" TargetMode="External"/><Relationship Id="rId65" Type="http://schemas.openxmlformats.org/officeDocument/2006/relationships/hyperlink" Target="https://3arbzfbsh-cname-us.ngrok.io/Desktop/seabridge%20fintech/purpleline_pa_icon/AVY_pa_purpleline_signal.jpg" TargetMode="External"/><Relationship Id="rId68" Type="http://schemas.openxmlformats.org/officeDocument/2006/relationships/hyperlink" Target="https://3arbzfbsh-cname-us.ngrok.io/Desktop/seabridge%20fintech/purpleline_pa_icon/AXTA_pa_purpleline_signal.jpg" TargetMode="External"/><Relationship Id="rId67" Type="http://schemas.openxmlformats.org/officeDocument/2006/relationships/hyperlink" Target="https://3arbzfbsh-cname-us.ngrok.io/Desktop/seabridge%20fintech/purpleline_pa_icon/AXP_pa_purpleline_signal.jpg" TargetMode="External"/><Relationship Id="rId60" Type="http://schemas.openxmlformats.org/officeDocument/2006/relationships/hyperlink" Target="https://3arbzfbsh-cname-us.ngrok.io/Desktop/seabridge%20fintech/purpleline_pa_icon/ATUS_pa_purpleline_signal.jpg" TargetMode="External"/><Relationship Id="rId69" Type="http://schemas.openxmlformats.org/officeDocument/2006/relationships/hyperlink" Target="https://3arbzfbsh-cname-us.ngrok.io/Desktop/seabridge%20fintech/purpleline_pa_icon/AZO_pa_purpleline_signal.jpg" TargetMode="External"/><Relationship Id="rId51" Type="http://schemas.openxmlformats.org/officeDocument/2006/relationships/hyperlink" Target="https://3arbzfbsh-cname-us.ngrok.io/Desktop/seabridge%20fintech/purpleline_pa_icon/APH_pa_purpleline_signal.jpg" TargetMode="External"/><Relationship Id="rId50" Type="http://schemas.openxmlformats.org/officeDocument/2006/relationships/hyperlink" Target="https://3arbzfbsh-cname-us.ngrok.io/Desktop/seabridge%20fintech/purpleline_pa_icon/APD_pa_purpleline_signal.jpg" TargetMode="External"/><Relationship Id="rId53" Type="http://schemas.openxmlformats.org/officeDocument/2006/relationships/hyperlink" Target="https://3arbzfbsh-cname-us.ngrok.io/Desktop/seabridge%20fintech/purpleline_pa_icon/APPS_pa_purpleline_signal.jpg" TargetMode="External"/><Relationship Id="rId52" Type="http://schemas.openxmlformats.org/officeDocument/2006/relationships/hyperlink" Target="https://3arbzfbsh-cname-us.ngrok.io/Desktop/seabridge%20fintech/purpleline_pa_icon/APO_pa_purpleline_signal.jpg" TargetMode="External"/><Relationship Id="rId55" Type="http://schemas.openxmlformats.org/officeDocument/2006/relationships/hyperlink" Target="https://3arbzfbsh-cname-us.ngrok.io/Desktop/seabridge%20fintech/purpleline_pa_icon/ARE_pa_purpleline_signal.jpg" TargetMode="External"/><Relationship Id="rId54" Type="http://schemas.openxmlformats.org/officeDocument/2006/relationships/hyperlink" Target="https://3arbzfbsh-cname-us.ngrok.io/Desktop/seabridge%20fintech/purpleline_pa_icon/APTV_pa_purpleline_signal.jpg" TargetMode="External"/><Relationship Id="rId57" Type="http://schemas.openxmlformats.org/officeDocument/2006/relationships/hyperlink" Target="https://3arbzfbsh-cname-us.ngrok.io/Desktop/seabridge%20fintech/purpleline_pa_icon/ASHR_pa_purpleline_signal.jpg" TargetMode="External"/><Relationship Id="rId56" Type="http://schemas.openxmlformats.org/officeDocument/2006/relationships/hyperlink" Target="https://3arbzfbsh-cname-us.ngrok.io/Desktop/seabridge%20fintech/purpleline_pa_icon/ASAN_pa_purpleline_signal.jpg" TargetMode="External"/><Relationship Id="rId59" Type="http://schemas.openxmlformats.org/officeDocument/2006/relationships/hyperlink" Target="https://3arbzfbsh-cname-us.ngrok.io/Desktop/seabridge%20fintech/purpleline_pa_icon/ATO_pa_purpleline_signal.jpg" TargetMode="External"/><Relationship Id="rId58" Type="http://schemas.openxmlformats.org/officeDocument/2006/relationships/hyperlink" Target="https://3arbzfbsh-cname-us.ngrok.io/Desktop/seabridge%20fintech/purpleline_pa_icon/ASML_pa_purpleline_signal.jpg" TargetMode="External"/><Relationship Id="rId590" Type="http://schemas.openxmlformats.org/officeDocument/2006/relationships/hyperlink" Target="https://3arbzfbsh-cname-us.ngrok.io/Desktop/seabridge%20fintech/purpleline_pa_icon/TMO_pa_purpleline_signal.jpg" TargetMode="External"/><Relationship Id="rId107" Type="http://schemas.openxmlformats.org/officeDocument/2006/relationships/hyperlink" Target="https://3arbzfbsh-cname-us.ngrok.io/Desktop/seabridge%20fintech/purpleline_pa_icon/CE_pa_purpleline_signal.jpg" TargetMode="External"/><Relationship Id="rId349" Type="http://schemas.openxmlformats.org/officeDocument/2006/relationships/hyperlink" Target="https://3arbzfbsh-cname-us.ngrok.io/Desktop/seabridge%20fintech/purpleline_pa_icon/KO_pa_purpleline_signal.jpg" TargetMode="External"/><Relationship Id="rId106" Type="http://schemas.openxmlformats.org/officeDocument/2006/relationships/hyperlink" Target="https://3arbzfbsh-cname-us.ngrok.io/Desktop/seabridge%20fintech/purpleline_pa_icon/CDW_pa_purpleline_signal.jpg" TargetMode="External"/><Relationship Id="rId348" Type="http://schemas.openxmlformats.org/officeDocument/2006/relationships/hyperlink" Target="https://3arbzfbsh-cname-us.ngrok.io/Desktop/seabridge%20fintech/purpleline_pa_icon/KMX_pa_purpleline_signal.jpg" TargetMode="External"/><Relationship Id="rId105" Type="http://schemas.openxmlformats.org/officeDocument/2006/relationships/hyperlink" Target="https://3arbzfbsh-cname-us.ngrok.io/Desktop/seabridge%20fintech/purpleline_pa_icon/CDNS_pa_purpleline_signal.jpg" TargetMode="External"/><Relationship Id="rId347" Type="http://schemas.openxmlformats.org/officeDocument/2006/relationships/hyperlink" Target="https://3arbzfbsh-cname-us.ngrok.io/Desktop/seabridge%20fintech/purpleline_pa_icon/KMI_pa_purpleline_signal.jpg" TargetMode="External"/><Relationship Id="rId589" Type="http://schemas.openxmlformats.org/officeDocument/2006/relationships/hyperlink" Target="https://3arbzfbsh-cname-us.ngrok.io/Desktop/seabridge%20fintech/purpleline_pa_icon/TLT_pa_purpleline_signal.jpg" TargetMode="External"/><Relationship Id="rId104" Type="http://schemas.openxmlformats.org/officeDocument/2006/relationships/hyperlink" Target="https://3arbzfbsh-cname-us.ngrok.io/Desktop/seabridge%20fintech/purpleline_pa_icon/CCL_pa_purpleline_signal.jpg" TargetMode="External"/><Relationship Id="rId346" Type="http://schemas.openxmlformats.org/officeDocument/2006/relationships/hyperlink" Target="https://3arbzfbsh-cname-us.ngrok.io/Desktop/seabridge%20fintech/purpleline_pa_icon/KMB_pa_purpleline_signal.jpg" TargetMode="External"/><Relationship Id="rId588" Type="http://schemas.openxmlformats.org/officeDocument/2006/relationships/hyperlink" Target="https://3arbzfbsh-cname-us.ngrok.io/Desktop/seabridge%20fintech/purpleline_pa_icon/TJX_pa_purpleline_signal.jpg" TargetMode="External"/><Relationship Id="rId109" Type="http://schemas.openxmlformats.org/officeDocument/2006/relationships/hyperlink" Target="https://3arbzfbsh-cname-us.ngrok.io/Desktop/seabridge%20fintech/purpleline_pa_icon/CF_pa_purpleline_signal.jpg" TargetMode="External"/><Relationship Id="rId108" Type="http://schemas.openxmlformats.org/officeDocument/2006/relationships/hyperlink" Target="https://3arbzfbsh-cname-us.ngrok.io/Desktop/seabridge%20fintech/purpleline_pa_icon/CERN_pa_purpleline_signal.jpg" TargetMode="External"/><Relationship Id="rId341" Type="http://schemas.openxmlformats.org/officeDocument/2006/relationships/hyperlink" Target="https://3arbzfbsh-cname-us.ngrok.io/Desktop/seabridge%20fintech/purpleline_pa_icon/KEYS_pa_purpleline_signal.jpg" TargetMode="External"/><Relationship Id="rId583" Type="http://schemas.openxmlformats.org/officeDocument/2006/relationships/hyperlink" Target="https://3arbzfbsh-cname-us.ngrok.io/Desktop/seabridge%20fintech/purpleline_pa_icon/TER_pa_purpleline_signal.jpg" TargetMode="External"/><Relationship Id="rId340" Type="http://schemas.openxmlformats.org/officeDocument/2006/relationships/hyperlink" Target="https://3arbzfbsh-cname-us.ngrok.io/Desktop/seabridge%20fintech/purpleline_pa_icon/KEY_pa_purpleline_signal.jpg" TargetMode="External"/><Relationship Id="rId582" Type="http://schemas.openxmlformats.org/officeDocument/2006/relationships/hyperlink" Target="https://3arbzfbsh-cname-us.ngrok.io/Desktop/seabridge%20fintech/purpleline_pa_icon/TEL_pa_purpleline_signal.jpg" TargetMode="External"/><Relationship Id="rId581" Type="http://schemas.openxmlformats.org/officeDocument/2006/relationships/hyperlink" Target="https://3arbzfbsh-cname-us.ngrok.io/Desktop/seabridge%20fintech/purpleline_pa_icon/TEAM_pa_purpleline_signal.jpg" TargetMode="External"/><Relationship Id="rId580" Type="http://schemas.openxmlformats.org/officeDocument/2006/relationships/hyperlink" Target="https://3arbzfbsh-cname-us.ngrok.io/Desktop/seabridge%20fintech/purpleline_pa_icon/TDY_pa_purpleline_signal.jpg" TargetMode="External"/><Relationship Id="rId103" Type="http://schemas.openxmlformats.org/officeDocument/2006/relationships/hyperlink" Target="https://3arbzfbsh-cname-us.ngrok.io/Desktop/seabridge%20fintech/purpleline_pa_icon/CCI_pa_purpleline_signal.jpg" TargetMode="External"/><Relationship Id="rId345" Type="http://schemas.openxmlformats.org/officeDocument/2006/relationships/hyperlink" Target="https://3arbzfbsh-cname-us.ngrok.io/Desktop/seabridge%20fintech/purpleline_pa_icon/KLAC_pa_purpleline_signal.jpg" TargetMode="External"/><Relationship Id="rId587" Type="http://schemas.openxmlformats.org/officeDocument/2006/relationships/hyperlink" Target="https://3arbzfbsh-cname-us.ngrok.io/Desktop/seabridge%20fintech/purpleline_pa_icon/TIP_pa_purpleline_signal.jpg" TargetMode="External"/><Relationship Id="rId102" Type="http://schemas.openxmlformats.org/officeDocument/2006/relationships/hyperlink" Target="https://3arbzfbsh-cname-us.ngrok.io/Desktop/seabridge%20fintech/purpleline_pa_icon/CBRE_pa_purpleline_signal.jpg" TargetMode="External"/><Relationship Id="rId344" Type="http://schemas.openxmlformats.org/officeDocument/2006/relationships/hyperlink" Target="https://3arbzfbsh-cname-us.ngrok.io/Desktop/seabridge%20fintech/purpleline_pa_icon/KKR_pa_purpleline_signal.jpg" TargetMode="External"/><Relationship Id="rId586" Type="http://schemas.openxmlformats.org/officeDocument/2006/relationships/hyperlink" Target="https://3arbzfbsh-cname-us.ngrok.io/Desktop/seabridge%20fintech/purpleline_pa_icon/TGT_pa_purpleline_signal.jpg" TargetMode="External"/><Relationship Id="rId101" Type="http://schemas.openxmlformats.org/officeDocument/2006/relationships/hyperlink" Target="https://3arbzfbsh-cname-us.ngrok.io/Desktop/seabridge%20fintech/purpleline_pa_icon/CBOE_pa_purpleline_signal.jpg" TargetMode="External"/><Relationship Id="rId343" Type="http://schemas.openxmlformats.org/officeDocument/2006/relationships/hyperlink" Target="https://3arbzfbsh-cname-us.ngrok.io/Desktop/seabridge%20fintech/purpleline_pa_icon/KIM_pa_purpleline_signal.jpg" TargetMode="External"/><Relationship Id="rId585" Type="http://schemas.openxmlformats.org/officeDocument/2006/relationships/hyperlink" Target="https://3arbzfbsh-cname-us.ngrok.io/Desktop/seabridge%20fintech/purpleline_pa_icon/TFX_pa_purpleline_signal.jpg" TargetMode="External"/><Relationship Id="rId100" Type="http://schemas.openxmlformats.org/officeDocument/2006/relationships/hyperlink" Target="https://3arbzfbsh-cname-us.ngrok.io/Desktop/seabridge%20fintech/purpleline_pa_icon/CB_pa_purpleline_signal.jpg" TargetMode="External"/><Relationship Id="rId342" Type="http://schemas.openxmlformats.org/officeDocument/2006/relationships/hyperlink" Target="https://3arbzfbsh-cname-us.ngrok.io/Desktop/seabridge%20fintech/purpleline_pa_icon/KHC_pa_purpleline_signal.jpg" TargetMode="External"/><Relationship Id="rId584" Type="http://schemas.openxmlformats.org/officeDocument/2006/relationships/hyperlink" Target="https://3arbzfbsh-cname-us.ngrok.io/Desktop/seabridge%20fintech/purpleline_pa_icon/TFC_pa_purpleline_signal.jpg" TargetMode="External"/><Relationship Id="rId338" Type="http://schemas.openxmlformats.org/officeDocument/2006/relationships/hyperlink" Target="https://3arbzfbsh-cname-us.ngrok.io/Desktop/seabridge%20fintech/purpleline_pa_icon/KBE_pa_purpleline_signal.jpg" TargetMode="External"/><Relationship Id="rId337" Type="http://schemas.openxmlformats.org/officeDocument/2006/relationships/hyperlink" Target="https://3arbzfbsh-cname-us.ngrok.io/Desktop/seabridge%20fintech/purpleline_pa_icon/K_pa_purpleline_signal.jpg" TargetMode="External"/><Relationship Id="rId579" Type="http://schemas.openxmlformats.org/officeDocument/2006/relationships/hyperlink" Target="https://3arbzfbsh-cname-us.ngrok.io/Desktop/seabridge%20fintech/purpleline_pa_icon/TDOC_pa_purpleline_signal.jpg" TargetMode="External"/><Relationship Id="rId336" Type="http://schemas.openxmlformats.org/officeDocument/2006/relationships/hyperlink" Target="https://3arbzfbsh-cname-us.ngrok.io/Desktop/seabridge%20fintech/purpleline_pa_icon/JWN_pa_purpleline_signal.jpg" TargetMode="External"/><Relationship Id="rId578" Type="http://schemas.openxmlformats.org/officeDocument/2006/relationships/hyperlink" Target="https://3arbzfbsh-cname-us.ngrok.io/Desktop/seabridge%20fintech/purpleline_pa_icon/TDG_pa_purpleline_signal.jpg" TargetMode="External"/><Relationship Id="rId335" Type="http://schemas.openxmlformats.org/officeDocument/2006/relationships/hyperlink" Target="https://3arbzfbsh-cname-us.ngrok.io/Desktop/seabridge%20fintech/purpleline_pa_icon/JPST_pa_purpleline_signal.jpg" TargetMode="External"/><Relationship Id="rId577" Type="http://schemas.openxmlformats.org/officeDocument/2006/relationships/hyperlink" Target="https://3arbzfbsh-cname-us.ngrok.io/Desktop/seabridge%20fintech/purpleline_pa_icon/TCOM_pa_purpleline_signal.jpg" TargetMode="External"/><Relationship Id="rId339" Type="http://schemas.openxmlformats.org/officeDocument/2006/relationships/hyperlink" Target="https://3arbzfbsh-cname-us.ngrok.io/Desktop/seabridge%20fintech/purpleline_pa_icon/KDP_pa_purpleline_signal.jpg" TargetMode="External"/><Relationship Id="rId330" Type="http://schemas.openxmlformats.org/officeDocument/2006/relationships/hyperlink" Target="https://3arbzfbsh-cname-us.ngrok.io/Desktop/seabridge%20fintech/purpleline_pa_icon/JKHY_pa_purpleline_signal.jpg" TargetMode="External"/><Relationship Id="rId572" Type="http://schemas.openxmlformats.org/officeDocument/2006/relationships/hyperlink" Target="https://3arbzfbsh-cname-us.ngrok.io/Desktop/seabridge%20fintech/purpleline_pa_icon/SYF_pa_purpleline_signal.jpg" TargetMode="External"/><Relationship Id="rId571" Type="http://schemas.openxmlformats.org/officeDocument/2006/relationships/hyperlink" Target="https://3arbzfbsh-cname-us.ngrok.io/Desktop/seabridge%20fintech/purpleline_pa_icon/SWKS_pa_purpleline_signal.jpg" TargetMode="External"/><Relationship Id="rId570" Type="http://schemas.openxmlformats.org/officeDocument/2006/relationships/hyperlink" Target="https://3arbzfbsh-cname-us.ngrok.io/Desktop/seabridge%20fintech/purpleline_pa_icon/SWK_pa_purpleline_signal.jpg" TargetMode="External"/><Relationship Id="rId334" Type="http://schemas.openxmlformats.org/officeDocument/2006/relationships/hyperlink" Target="https://3arbzfbsh-cname-us.ngrok.io/Desktop/seabridge%20fintech/purpleline_pa_icon/JPM_pa_purpleline_signal.jpg" TargetMode="External"/><Relationship Id="rId576" Type="http://schemas.openxmlformats.org/officeDocument/2006/relationships/hyperlink" Target="https://3arbzfbsh-cname-us.ngrok.io/Desktop/seabridge%20fintech/purpleline_pa_icon/TAP_pa_purpleline_signal.jpg" TargetMode="External"/><Relationship Id="rId333" Type="http://schemas.openxmlformats.org/officeDocument/2006/relationships/hyperlink" Target="https://3arbzfbsh-cname-us.ngrok.io/Desktop/seabridge%20fintech/purpleline_pa_icon/JNPR_pa_purpleline_signal.jpg" TargetMode="External"/><Relationship Id="rId575" Type="http://schemas.openxmlformats.org/officeDocument/2006/relationships/hyperlink" Target="https://3arbzfbsh-cname-us.ngrok.io/Desktop/seabridge%20fintech/purpleline_pa_icon/T_pa_purpleline_signal.jpg" TargetMode="External"/><Relationship Id="rId332" Type="http://schemas.openxmlformats.org/officeDocument/2006/relationships/hyperlink" Target="https://3arbzfbsh-cname-us.ngrok.io/Desktop/seabridge%20fintech/purpleline_pa_icon/JNK_pa_purpleline_signal.jpg" TargetMode="External"/><Relationship Id="rId574" Type="http://schemas.openxmlformats.org/officeDocument/2006/relationships/hyperlink" Target="https://3arbzfbsh-cname-us.ngrok.io/Desktop/seabridge%20fintech/purpleline_pa_icon/SYY_pa_purpleline_signal.jpg" TargetMode="External"/><Relationship Id="rId331" Type="http://schemas.openxmlformats.org/officeDocument/2006/relationships/hyperlink" Target="https://3arbzfbsh-cname-us.ngrok.io/Desktop/seabridge%20fintech/purpleline_pa_icon/JNJ_pa_purpleline_signal.jpg" TargetMode="External"/><Relationship Id="rId573" Type="http://schemas.openxmlformats.org/officeDocument/2006/relationships/hyperlink" Target="https://3arbzfbsh-cname-us.ngrok.io/Desktop/seabridge%20fintech/purpleline_pa_icon/SYK_pa_purpleline_signal.jpg" TargetMode="External"/><Relationship Id="rId370" Type="http://schemas.openxmlformats.org/officeDocument/2006/relationships/hyperlink" Target="https://3arbzfbsh-cname-us.ngrok.io/Desktop/seabridge%20fintech/purpleline_pa_icon/LOW_pa_purpleline_signal.jpg" TargetMode="External"/><Relationship Id="rId129" Type="http://schemas.openxmlformats.org/officeDocument/2006/relationships/hyperlink" Target="https://3arbzfbsh-cname-us.ngrok.io/Desktop/seabridge%20fintech/purpleline_pa_icon/COG_pa_purpleline_signal.jpg" TargetMode="External"/><Relationship Id="rId128" Type="http://schemas.openxmlformats.org/officeDocument/2006/relationships/hyperlink" Target="https://3arbzfbsh-cname-us.ngrok.io/Desktop/seabridge%20fintech/purpleline_pa_icon/COF_pa_purpleline_signal.jpg" TargetMode="External"/><Relationship Id="rId127" Type="http://schemas.openxmlformats.org/officeDocument/2006/relationships/hyperlink" Target="https://3arbzfbsh-cname-us.ngrok.io/Desktop/seabridge%20fintech/purpleline_pa_icon/CNP_pa_purpleline_signal.jpg" TargetMode="External"/><Relationship Id="rId369" Type="http://schemas.openxmlformats.org/officeDocument/2006/relationships/hyperlink" Target="https://3arbzfbsh-cname-us.ngrok.io/Desktop/seabridge%20fintech/purpleline_pa_icon/LNT_pa_purpleline_signal.jpg" TargetMode="External"/><Relationship Id="rId126" Type="http://schemas.openxmlformats.org/officeDocument/2006/relationships/hyperlink" Target="https://3arbzfbsh-cname-us.ngrok.io/Desktop/seabridge%20fintech/purpleline_pa_icon/CNC_pa_purpleline_signal.jpg" TargetMode="External"/><Relationship Id="rId368" Type="http://schemas.openxmlformats.org/officeDocument/2006/relationships/hyperlink" Target="https://3arbzfbsh-cname-us.ngrok.io/Desktop/seabridge%20fintech/purpleline_pa_icon/LNC_pa_purpleline_signal.jpg" TargetMode="External"/><Relationship Id="rId121" Type="http://schemas.openxmlformats.org/officeDocument/2006/relationships/hyperlink" Target="https://3arbzfbsh-cname-us.ngrok.io/Desktop/seabridge%20fintech/purpleline_pa_icon/CMCSA_pa_purpleline_signal.jpg" TargetMode="External"/><Relationship Id="rId363" Type="http://schemas.openxmlformats.org/officeDocument/2006/relationships/hyperlink" Target="https://3arbzfbsh-cname-us.ngrok.io/Desktop/seabridge%20fintech/purpleline_pa_icon/LIN_pa_purpleline_signal.jpg" TargetMode="External"/><Relationship Id="rId120" Type="http://schemas.openxmlformats.org/officeDocument/2006/relationships/hyperlink" Target="https://3arbzfbsh-cname-us.ngrok.io/Desktop/seabridge%20fintech/purpleline_pa_icon/CMA_pa_purpleline_signal.jpg" TargetMode="External"/><Relationship Id="rId362" Type="http://schemas.openxmlformats.org/officeDocument/2006/relationships/hyperlink" Target="https://3arbzfbsh-cname-us.ngrok.io/Desktop/seabridge%20fintech/purpleline_pa_icon/LHX_pa_purpleline_signal.jpg" TargetMode="External"/><Relationship Id="rId361" Type="http://schemas.openxmlformats.org/officeDocument/2006/relationships/hyperlink" Target="https://3arbzfbsh-cname-us.ngrok.io/Desktop/seabridge%20fintech/purpleline_pa_icon/LH_pa_purpleline_signal.jpg" TargetMode="External"/><Relationship Id="rId360" Type="http://schemas.openxmlformats.org/officeDocument/2006/relationships/hyperlink" Target="https://3arbzfbsh-cname-us.ngrok.io/Desktop/seabridge%20fintech/purpleline_pa_icon/LESL_pa_purpleline_signal.jpg" TargetMode="External"/><Relationship Id="rId125" Type="http://schemas.openxmlformats.org/officeDocument/2006/relationships/hyperlink" Target="https://3arbzfbsh-cname-us.ngrok.io/Desktop/seabridge%20fintech/purpleline_pa_icon/CMS_pa_purpleline_signal.jpg" TargetMode="External"/><Relationship Id="rId367" Type="http://schemas.openxmlformats.org/officeDocument/2006/relationships/hyperlink" Target="https://3arbzfbsh-cname-us.ngrok.io/Desktop/seabridge%20fintech/purpleline_pa_icon/LMT_pa_purpleline_signal.jpg" TargetMode="External"/><Relationship Id="rId124" Type="http://schemas.openxmlformats.org/officeDocument/2006/relationships/hyperlink" Target="https://3arbzfbsh-cname-us.ngrok.io/Desktop/seabridge%20fintech/purpleline_pa_icon/CMI_pa_purpleline_signal.jpg" TargetMode="External"/><Relationship Id="rId366" Type="http://schemas.openxmlformats.org/officeDocument/2006/relationships/hyperlink" Target="https://3arbzfbsh-cname-us.ngrok.io/Desktop/seabridge%20fintech/purpleline_pa_icon/LMND_pa_purpleline_signal.jpg" TargetMode="External"/><Relationship Id="rId123" Type="http://schemas.openxmlformats.org/officeDocument/2006/relationships/hyperlink" Target="https://3arbzfbsh-cname-us.ngrok.io/Desktop/seabridge%20fintech/purpleline_pa_icon/CMG_pa_purpleline_signal.jpg" TargetMode="External"/><Relationship Id="rId365" Type="http://schemas.openxmlformats.org/officeDocument/2006/relationships/hyperlink" Target="https://3arbzfbsh-cname-us.ngrok.io/Desktop/seabridge%20fintech/purpleline_pa_icon/LLY_pa_purpleline_signal.jpg" TargetMode="External"/><Relationship Id="rId122" Type="http://schemas.openxmlformats.org/officeDocument/2006/relationships/hyperlink" Target="https://3arbzfbsh-cname-us.ngrok.io/Desktop/seabridge%20fintech/purpleline_pa_icon/CME_pa_purpleline_signal.jpg" TargetMode="External"/><Relationship Id="rId364" Type="http://schemas.openxmlformats.org/officeDocument/2006/relationships/hyperlink" Target="https://3arbzfbsh-cname-us.ngrok.io/Desktop/seabridge%20fintech/purpleline_pa_icon/LKQ_pa_purpleline_signal.jpg" TargetMode="External"/><Relationship Id="rId95" Type="http://schemas.openxmlformats.org/officeDocument/2006/relationships/hyperlink" Target="https://3arbzfbsh-cname-us.ngrok.io/Desktop/seabridge%20fintech/purpleline_pa_icon/BYND_pa_purpleline_signal.jpg" TargetMode="External"/><Relationship Id="rId94" Type="http://schemas.openxmlformats.org/officeDocument/2006/relationships/hyperlink" Target="https://3arbzfbsh-cname-us.ngrok.io/Desktop/seabridge%20fintech/purpleline_pa_icon/BXP_pa_purpleline_signal.jpg" TargetMode="External"/><Relationship Id="rId97" Type="http://schemas.openxmlformats.org/officeDocument/2006/relationships/hyperlink" Target="https://3arbzfbsh-cname-us.ngrok.io/Desktop/seabridge%20fintech/purpleline_pa_icon/CAG_pa_purpleline_signal.jpg" TargetMode="External"/><Relationship Id="rId96" Type="http://schemas.openxmlformats.org/officeDocument/2006/relationships/hyperlink" Target="https://3arbzfbsh-cname-us.ngrok.io/Desktop/seabridge%20fintech/purpleline_pa_icon/C_pa_purpleline_signal.jpg" TargetMode="External"/><Relationship Id="rId99" Type="http://schemas.openxmlformats.org/officeDocument/2006/relationships/hyperlink" Target="https://3arbzfbsh-cname-us.ngrok.io/Desktop/seabridge%20fintech/purpleline_pa_icon/CAT_pa_purpleline_signal.jpg" TargetMode="External"/><Relationship Id="rId98" Type="http://schemas.openxmlformats.org/officeDocument/2006/relationships/hyperlink" Target="https://3arbzfbsh-cname-us.ngrok.io/Desktop/seabridge%20fintech/purpleline_pa_icon/CAH_pa_purpleline_signal.jpg" TargetMode="External"/><Relationship Id="rId91" Type="http://schemas.openxmlformats.org/officeDocument/2006/relationships/hyperlink" Target="https://3arbzfbsh-cname-us.ngrok.io/Desktop/seabridge%20fintech/purpleline_pa_icon/BSX_pa_purpleline_signal.jpg" TargetMode="External"/><Relationship Id="rId90" Type="http://schemas.openxmlformats.org/officeDocument/2006/relationships/hyperlink" Target="https://3arbzfbsh-cname-us.ngrok.io/Desktop/seabridge%20fintech/purpleline_pa_icon/BSV_pa_purpleline_signal.jpg" TargetMode="External"/><Relationship Id="rId93" Type="http://schemas.openxmlformats.org/officeDocument/2006/relationships/hyperlink" Target="https://3arbzfbsh-cname-us.ngrok.io/Desktop/seabridge%20fintech/purpleline_pa_icon/BX_pa_purpleline_signal.jpg" TargetMode="External"/><Relationship Id="rId92" Type="http://schemas.openxmlformats.org/officeDocument/2006/relationships/hyperlink" Target="https://3arbzfbsh-cname-us.ngrok.io/Desktop/seabridge%20fintech/purpleline_pa_icon/BWA_pa_purpleline_signal.jpg" TargetMode="External"/><Relationship Id="rId118" Type="http://schemas.openxmlformats.org/officeDocument/2006/relationships/hyperlink" Target="https://3arbzfbsh-cname-us.ngrok.io/Desktop/seabridge%20fintech/purpleline_pa_icon/CL_pa_purpleline_signal.jpg" TargetMode="External"/><Relationship Id="rId117" Type="http://schemas.openxmlformats.org/officeDocument/2006/relationships/hyperlink" Target="https://3arbzfbsh-cname-us.ngrok.io/Desktop/seabridge%20fintech/purpleline_pa_icon/CINF_pa_purpleline_signal.jpg" TargetMode="External"/><Relationship Id="rId359" Type="http://schemas.openxmlformats.org/officeDocument/2006/relationships/hyperlink" Target="https://3arbzfbsh-cname-us.ngrok.io/Desktop/seabridge%20fintech/purpleline_pa_icon/LEN_pa_purpleline_signal.jpg" TargetMode="External"/><Relationship Id="rId116" Type="http://schemas.openxmlformats.org/officeDocument/2006/relationships/hyperlink" Target="https://3arbzfbsh-cname-us.ngrok.io/Desktop/seabridge%20fintech/purpleline_pa_icon/CI_pa_purpleline_signal.jpg" TargetMode="External"/><Relationship Id="rId358" Type="http://schemas.openxmlformats.org/officeDocument/2006/relationships/hyperlink" Target="https://3arbzfbsh-cname-us.ngrok.io/Desktop/seabridge%20fintech/purpleline_pa_icon/LEG_pa_purpleline_signal.jpg" TargetMode="External"/><Relationship Id="rId115" Type="http://schemas.openxmlformats.org/officeDocument/2006/relationships/hyperlink" Target="https://3arbzfbsh-cname-us.ngrok.io/Desktop/seabridge%20fintech/purpleline_pa_icon/CHWY_pa_purpleline_signal.jpg" TargetMode="External"/><Relationship Id="rId357" Type="http://schemas.openxmlformats.org/officeDocument/2006/relationships/hyperlink" Target="https://3arbzfbsh-cname-us.ngrok.io/Desktop/seabridge%20fintech/purpleline_pa_icon/LDOS_pa_purpleline_signal.jpg" TargetMode="External"/><Relationship Id="rId599" Type="http://schemas.openxmlformats.org/officeDocument/2006/relationships/hyperlink" Target="https://3arbzfbsh-cname-us.ngrok.io/Desktop/seabridge%20fintech/purpleline_pa_icon/TSCO_pa_purpleline_signal.jpg" TargetMode="External"/><Relationship Id="rId119" Type="http://schemas.openxmlformats.org/officeDocument/2006/relationships/hyperlink" Target="https://3arbzfbsh-cname-us.ngrok.io/Desktop/seabridge%20fintech/purpleline_pa_icon/CLX_pa_purpleline_signal.jpg" TargetMode="External"/><Relationship Id="rId110" Type="http://schemas.openxmlformats.org/officeDocument/2006/relationships/hyperlink" Target="https://3arbzfbsh-cname-us.ngrok.io/Desktop/seabridge%20fintech/purpleline_pa_icon/CFG_pa_purpleline_signal.jpg" TargetMode="External"/><Relationship Id="rId352" Type="http://schemas.openxmlformats.org/officeDocument/2006/relationships/hyperlink" Target="https://3arbzfbsh-cname-us.ngrok.io/Desktop/seabridge%20fintech/purpleline_pa_icon/KSS_pa_purpleline_signal.jpg" TargetMode="External"/><Relationship Id="rId594" Type="http://schemas.openxmlformats.org/officeDocument/2006/relationships/hyperlink" Target="https://3arbzfbsh-cname-us.ngrok.io/Desktop/seabridge%20fintech/purpleline_pa_icon/TRGP_pa_purpleline_signal.jpg" TargetMode="External"/><Relationship Id="rId351" Type="http://schemas.openxmlformats.org/officeDocument/2006/relationships/hyperlink" Target="https://3arbzfbsh-cname-us.ngrok.io/Desktop/seabridge%20fintech/purpleline_pa_icon/KRE_pa_purpleline_signal.jpg" TargetMode="External"/><Relationship Id="rId593" Type="http://schemas.openxmlformats.org/officeDocument/2006/relationships/hyperlink" Target="https://3arbzfbsh-cname-us.ngrok.io/Desktop/seabridge%20fintech/purpleline_pa_icon/TQQQ_pa_purpleline_signal.jpg" TargetMode="External"/><Relationship Id="rId350" Type="http://schemas.openxmlformats.org/officeDocument/2006/relationships/hyperlink" Target="https://3arbzfbsh-cname-us.ngrok.io/Desktop/seabridge%20fintech/purpleline_pa_icon/KR_pa_purpleline_signal.jpg" TargetMode="External"/><Relationship Id="rId592" Type="http://schemas.openxmlformats.org/officeDocument/2006/relationships/hyperlink" Target="https://3arbzfbsh-cname-us.ngrok.io/Desktop/seabridge%20fintech/purpleline_pa_icon/TPR_pa_purpleline_signal.jpg" TargetMode="External"/><Relationship Id="rId591" Type="http://schemas.openxmlformats.org/officeDocument/2006/relationships/hyperlink" Target="https://3arbzfbsh-cname-us.ngrok.io/Desktop/seabridge%20fintech/purpleline_pa_icon/TMUS_pa_purpleline_signal.jpg" TargetMode="External"/><Relationship Id="rId114" Type="http://schemas.openxmlformats.org/officeDocument/2006/relationships/hyperlink" Target="https://3arbzfbsh-cname-us.ngrok.io/Desktop/seabridge%20fintech/purpleline_pa_icon/CHTR_pa_purpleline_signal.jpg" TargetMode="External"/><Relationship Id="rId356" Type="http://schemas.openxmlformats.org/officeDocument/2006/relationships/hyperlink" Target="https://3arbzfbsh-cname-us.ngrok.io/Desktop/seabridge%20fintech/purpleline_pa_icon/LB_pa_purpleline_signal.jpg" TargetMode="External"/><Relationship Id="rId598" Type="http://schemas.openxmlformats.org/officeDocument/2006/relationships/hyperlink" Target="https://3arbzfbsh-cname-us.ngrok.io/Desktop/seabridge%20fintech/purpleline_pa_icon/TRV_pa_purpleline_signal.jpg" TargetMode="External"/><Relationship Id="rId113" Type="http://schemas.openxmlformats.org/officeDocument/2006/relationships/hyperlink" Target="https://3arbzfbsh-cname-us.ngrok.io/Desktop/seabridge%20fintech/purpleline_pa_icon/CHRW_pa_purpleline_signal.jpg" TargetMode="External"/><Relationship Id="rId355" Type="http://schemas.openxmlformats.org/officeDocument/2006/relationships/hyperlink" Target="https://3arbzfbsh-cname-us.ngrok.io/Desktop/seabridge%20fintech/purpleline_pa_icon/L_pa_purpleline_signal.jpg" TargetMode="External"/><Relationship Id="rId597" Type="http://schemas.openxmlformats.org/officeDocument/2006/relationships/hyperlink" Target="https://3arbzfbsh-cname-us.ngrok.io/Desktop/seabridge%20fintech/purpleline_pa_icon/TROW_pa_purpleline_signal.jpg" TargetMode="External"/><Relationship Id="rId112" Type="http://schemas.openxmlformats.org/officeDocument/2006/relationships/hyperlink" Target="https://3arbzfbsh-cname-us.ngrok.io/Desktop/seabridge%20fintech/purpleline_pa_icon/CHKP_pa_purpleline_signal.jpg" TargetMode="External"/><Relationship Id="rId354" Type="http://schemas.openxmlformats.org/officeDocument/2006/relationships/hyperlink" Target="https://3arbzfbsh-cname-us.ngrok.io/Desktop/seabridge%20fintech/purpleline_pa_icon/KWEB_pa_purpleline_signal.jpg" TargetMode="External"/><Relationship Id="rId596" Type="http://schemas.openxmlformats.org/officeDocument/2006/relationships/hyperlink" Target="https://3arbzfbsh-cname-us.ngrok.io/Desktop/seabridge%20fintech/purpleline_pa_icon/TRMB_pa_purpleline_signal.jpg" TargetMode="External"/><Relationship Id="rId111" Type="http://schemas.openxmlformats.org/officeDocument/2006/relationships/hyperlink" Target="https://3arbzfbsh-cname-us.ngrok.io/Desktop/seabridge%20fintech/purpleline_pa_icon/CHD_pa_purpleline_signal.jpg" TargetMode="External"/><Relationship Id="rId353" Type="http://schemas.openxmlformats.org/officeDocument/2006/relationships/hyperlink" Target="https://3arbzfbsh-cname-us.ngrok.io/Desktop/seabridge%20fintech/purpleline_pa_icon/KSU_pa_purpleline_signal.jpg" TargetMode="External"/><Relationship Id="rId595" Type="http://schemas.openxmlformats.org/officeDocument/2006/relationships/hyperlink" Target="https://3arbzfbsh-cname-us.ngrok.io/Desktop/seabridge%20fintech/purpleline_pa_icon/TRIP_pa_purpleline_signal.jpg" TargetMode="External"/><Relationship Id="rId305" Type="http://schemas.openxmlformats.org/officeDocument/2006/relationships/hyperlink" Target="https://3arbzfbsh-cname-us.ngrok.io/Desktop/seabridge%20fintech/purpleline_pa_icon/INCY_pa_purpleline_signal.jpg" TargetMode="External"/><Relationship Id="rId547" Type="http://schemas.openxmlformats.org/officeDocument/2006/relationships/hyperlink" Target="https://3arbzfbsh-cname-us.ngrok.io/Desktop/seabridge%20fintech/purpleline_pa_icon/SNA_pa_purpleline_signal.jpg" TargetMode="External"/><Relationship Id="rId304" Type="http://schemas.openxmlformats.org/officeDocument/2006/relationships/hyperlink" Target="https://3arbzfbsh-cname-us.ngrok.io/Desktop/seabridge%20fintech/purpleline_pa_icon/ILMN_pa_purpleline_signal.jpg" TargetMode="External"/><Relationship Id="rId546" Type="http://schemas.openxmlformats.org/officeDocument/2006/relationships/hyperlink" Target="https://3arbzfbsh-cname-us.ngrok.io/Desktop/seabridge%20fintech/purpleline_pa_icon/SMH_pa_purpleline_signal.jpg" TargetMode="External"/><Relationship Id="rId303" Type="http://schemas.openxmlformats.org/officeDocument/2006/relationships/hyperlink" Target="https://3arbzfbsh-cname-us.ngrok.io/Desktop/seabridge%20fintech/purpleline_pa_icon/IJR_pa_purpleline_signal.jpg" TargetMode="External"/><Relationship Id="rId545" Type="http://schemas.openxmlformats.org/officeDocument/2006/relationships/hyperlink" Target="https://3arbzfbsh-cname-us.ngrok.io/Desktop/seabridge%20fintech/purpleline_pa_icon/SLB_pa_purpleline_signal.jpg" TargetMode="External"/><Relationship Id="rId302" Type="http://schemas.openxmlformats.org/officeDocument/2006/relationships/hyperlink" Target="https://3arbzfbsh-cname-us.ngrok.io/Desktop/seabridge%20fintech/purpleline_pa_icon/IFF_pa_purpleline_signal.jpg" TargetMode="External"/><Relationship Id="rId544" Type="http://schemas.openxmlformats.org/officeDocument/2006/relationships/hyperlink" Target="https://3arbzfbsh-cname-us.ngrok.io/Desktop/seabridge%20fintech/purpleline_pa_icon/SJNK_pa_purpleline_signal.jpg" TargetMode="External"/><Relationship Id="rId309" Type="http://schemas.openxmlformats.org/officeDocument/2006/relationships/hyperlink" Target="https://3arbzfbsh-cname-us.ngrok.io/Desktop/seabridge%20fintech/purpleline_pa_icon/INTU_pa_purpleline_signal.jpg" TargetMode="External"/><Relationship Id="rId308" Type="http://schemas.openxmlformats.org/officeDocument/2006/relationships/hyperlink" Target="https://3arbzfbsh-cname-us.ngrok.io/Desktop/seabridge%20fintech/purpleline_pa_icon/INTC_pa_purpleline_signal.jpg" TargetMode="External"/><Relationship Id="rId307" Type="http://schemas.openxmlformats.org/officeDocument/2006/relationships/hyperlink" Target="https://3arbzfbsh-cname-us.ngrok.io/Desktop/seabridge%20fintech/purpleline_pa_icon/INFO_pa_purpleline_signal.jpg" TargetMode="External"/><Relationship Id="rId549" Type="http://schemas.openxmlformats.org/officeDocument/2006/relationships/hyperlink" Target="https://3arbzfbsh-cname-us.ngrok.io/Desktop/seabridge%20fintech/purpleline_pa_icon/SNOW_pa_purpleline_signal.jpg" TargetMode="External"/><Relationship Id="rId306" Type="http://schemas.openxmlformats.org/officeDocument/2006/relationships/hyperlink" Target="https://3arbzfbsh-cname-us.ngrok.io/Desktop/seabridge%20fintech/purpleline_pa_icon/INDA_pa_purpleline_signal.jpg" TargetMode="External"/><Relationship Id="rId548" Type="http://schemas.openxmlformats.org/officeDocument/2006/relationships/hyperlink" Target="https://3arbzfbsh-cname-us.ngrok.io/Desktop/seabridge%20fintech/purpleline_pa_icon/SNAP_pa_purpleline_signal.jpg" TargetMode="External"/><Relationship Id="rId301" Type="http://schemas.openxmlformats.org/officeDocument/2006/relationships/hyperlink" Target="https://3arbzfbsh-cname-us.ngrok.io/Desktop/seabridge%20fintech/purpleline_pa_icon/IEX_pa_purpleline_signal.jpg" TargetMode="External"/><Relationship Id="rId543" Type="http://schemas.openxmlformats.org/officeDocument/2006/relationships/hyperlink" Target="https://3arbzfbsh-cname-us.ngrok.io/Desktop/seabridge%20fintech/purpleline_pa_icon/SJM_pa_purpleline_signal.jpg" TargetMode="External"/><Relationship Id="rId300" Type="http://schemas.openxmlformats.org/officeDocument/2006/relationships/hyperlink" Target="https://3arbzfbsh-cname-us.ngrok.io/Desktop/seabridge%20fintech/purpleline_pa_icon/IEMG_pa_purpleline_signal.jpg" TargetMode="External"/><Relationship Id="rId542" Type="http://schemas.openxmlformats.org/officeDocument/2006/relationships/hyperlink" Target="https://3arbzfbsh-cname-us.ngrok.io/Desktop/seabridge%20fintech/purpleline_pa_icon/SIVB_pa_purpleline_signal.jpg" TargetMode="External"/><Relationship Id="rId541" Type="http://schemas.openxmlformats.org/officeDocument/2006/relationships/hyperlink" Target="https://3arbzfbsh-cname-us.ngrok.io/Desktop/seabridge%20fintech/purpleline_pa_icon/SIRI_pa_purpleline_signal.jpg" TargetMode="External"/><Relationship Id="rId540" Type="http://schemas.openxmlformats.org/officeDocument/2006/relationships/hyperlink" Target="https://3arbzfbsh-cname-us.ngrok.io/Desktop/seabridge%20fintech/purpleline_pa_icon/SHY_pa_purpleline_signal.jpg" TargetMode="External"/><Relationship Id="rId536" Type="http://schemas.openxmlformats.org/officeDocument/2006/relationships/hyperlink" Target="https://3arbzfbsh-cname-us.ngrok.io/Desktop/seabridge%20fintech/purpleline_pa_icon/SEE_pa_purpleline_signal.jpg" TargetMode="External"/><Relationship Id="rId535" Type="http://schemas.openxmlformats.org/officeDocument/2006/relationships/hyperlink" Target="https://3arbzfbsh-cname-us.ngrok.io/Desktop/seabridge%20fintech/purpleline_pa_icon/SCHW_pa_purpleline_signal.jpg" TargetMode="External"/><Relationship Id="rId534" Type="http://schemas.openxmlformats.org/officeDocument/2006/relationships/hyperlink" Target="https://3arbzfbsh-cname-us.ngrok.io/Desktop/seabridge%20fintech/purpleline_pa_icon/SCHP_pa_purpleline_signal.jpg" TargetMode="External"/><Relationship Id="rId533" Type="http://schemas.openxmlformats.org/officeDocument/2006/relationships/hyperlink" Target="https://3arbzfbsh-cname-us.ngrok.io/Desktop/seabridge%20fintech/purpleline_pa_icon/SCHF_pa_purpleline_signal.jpg" TargetMode="External"/><Relationship Id="rId539" Type="http://schemas.openxmlformats.org/officeDocument/2006/relationships/hyperlink" Target="https://3arbzfbsh-cname-us.ngrok.io/Desktop/seabridge%20fintech/purpleline_pa_icon/SHW_pa_purpleline_signal.jpg" TargetMode="External"/><Relationship Id="rId538" Type="http://schemas.openxmlformats.org/officeDocument/2006/relationships/hyperlink" Target="https://3arbzfbsh-cname-us.ngrok.io/Desktop/seabridge%20fintech/purpleline_pa_icon/SGEN_pa_purpleline_signal.jpg" TargetMode="External"/><Relationship Id="rId537" Type="http://schemas.openxmlformats.org/officeDocument/2006/relationships/hyperlink" Target="https://3arbzfbsh-cname-us.ngrok.io/Desktop/seabridge%20fintech/purpleline_pa_icon/SFM_pa_purpleline_signal.jpg" TargetMode="External"/><Relationship Id="rId532" Type="http://schemas.openxmlformats.org/officeDocument/2006/relationships/hyperlink" Target="https://3arbzfbsh-cname-us.ngrok.io/Desktop/seabridge%20fintech/purpleline_pa_icon/SBUX_pa_purpleline_signal.jpg" TargetMode="External"/><Relationship Id="rId531" Type="http://schemas.openxmlformats.org/officeDocument/2006/relationships/hyperlink" Target="https://3arbzfbsh-cname-us.ngrok.io/Desktop/seabridge%20fintech/purpleline_pa_icon/SBAC_pa_purpleline_signal.jpg" TargetMode="External"/><Relationship Id="rId530" Type="http://schemas.openxmlformats.org/officeDocument/2006/relationships/hyperlink" Target="https://3arbzfbsh-cname-us.ngrok.io/Desktop/seabridge%20fintech/purpleline_pa_icon/SAVE_pa_purpleline_signal.jpg" TargetMode="External"/><Relationship Id="rId327" Type="http://schemas.openxmlformats.org/officeDocument/2006/relationships/hyperlink" Target="https://3arbzfbsh-cname-us.ngrok.io/Desktop/seabridge%20fintech/purpleline_pa_icon/JCI_pa_purpleline_signal.jpg" TargetMode="External"/><Relationship Id="rId569" Type="http://schemas.openxmlformats.org/officeDocument/2006/relationships/hyperlink" Target="https://3arbzfbsh-cname-us.ngrok.io/Desktop/seabridge%20fintech/purpleline_pa_icon/STZ_pa_purpleline_signal.jpg" TargetMode="External"/><Relationship Id="rId326" Type="http://schemas.openxmlformats.org/officeDocument/2006/relationships/hyperlink" Target="https://3arbzfbsh-cname-us.ngrok.io/Desktop/seabridge%20fintech/purpleline_pa_icon/JBHT_pa_purpleline_signal.jpg" TargetMode="External"/><Relationship Id="rId568" Type="http://schemas.openxmlformats.org/officeDocument/2006/relationships/hyperlink" Target="https://3arbzfbsh-cname-us.ngrok.io/Desktop/seabridge%20fintech/purpleline_pa_icon/STX_pa_purpleline_signal.jpg" TargetMode="External"/><Relationship Id="rId325" Type="http://schemas.openxmlformats.org/officeDocument/2006/relationships/hyperlink" Target="https://3arbzfbsh-cname-us.ngrok.io/Desktop/seabridge%20fintech/purpleline_pa_icon/J_pa_purpleline_signal.jpg" TargetMode="External"/><Relationship Id="rId567" Type="http://schemas.openxmlformats.org/officeDocument/2006/relationships/hyperlink" Target="https://3arbzfbsh-cname-us.ngrok.io/Desktop/seabridge%20fintech/purpleline_pa_icon/STT_pa_purpleline_signal.jpg" TargetMode="External"/><Relationship Id="rId324" Type="http://schemas.openxmlformats.org/officeDocument/2006/relationships/hyperlink" Target="https://3arbzfbsh-cname-us.ngrok.io/Desktop/seabridge%20fintech/purpleline_pa_icon/IYR_pa_purpleline_signal.jpg" TargetMode="External"/><Relationship Id="rId566" Type="http://schemas.openxmlformats.org/officeDocument/2006/relationships/hyperlink" Target="https://3arbzfbsh-cname-us.ngrok.io/Desktop/seabridge%20fintech/purpleline_pa_icon/STLD_pa_purpleline_signal.jpg" TargetMode="External"/><Relationship Id="rId329" Type="http://schemas.openxmlformats.org/officeDocument/2006/relationships/hyperlink" Target="https://3arbzfbsh-cname-us.ngrok.io/Desktop/seabridge%20fintech/purpleline_pa_icon/JEF_pa_purpleline_signal.jpg" TargetMode="External"/><Relationship Id="rId328" Type="http://schemas.openxmlformats.org/officeDocument/2006/relationships/hyperlink" Target="https://3arbzfbsh-cname-us.ngrok.io/Desktop/seabridge%20fintech/purpleline_pa_icon/JD_pa_purpleline_signal.jpg" TargetMode="External"/><Relationship Id="rId561" Type="http://schemas.openxmlformats.org/officeDocument/2006/relationships/hyperlink" Target="https://3arbzfbsh-cname-us.ngrok.io/Desktop/seabridge%20fintech/purpleline_pa_icon/SPYV_pa_purpleline_signal.jpg" TargetMode="External"/><Relationship Id="rId560" Type="http://schemas.openxmlformats.org/officeDocument/2006/relationships/hyperlink" Target="https://3arbzfbsh-cname-us.ngrok.io/Desktop/seabridge%20fintech/purpleline_pa_icon/SPY_pa_purpleline_signal.jpg" TargetMode="External"/><Relationship Id="rId323" Type="http://schemas.openxmlformats.org/officeDocument/2006/relationships/hyperlink" Target="https://3arbzfbsh-cname-us.ngrok.io/Desktop/seabridge%20fintech/purpleline_pa_icon/IWM_pa_purpleline_signal.jpg" TargetMode="External"/><Relationship Id="rId565" Type="http://schemas.openxmlformats.org/officeDocument/2006/relationships/hyperlink" Target="https://3arbzfbsh-cname-us.ngrok.io/Desktop/seabridge%20fintech/purpleline_pa_icon/STEM_pa_purpleline_signal.jpg" TargetMode="External"/><Relationship Id="rId322" Type="http://schemas.openxmlformats.org/officeDocument/2006/relationships/hyperlink" Target="https://3arbzfbsh-cname-us.ngrok.io/Desktop/seabridge%20fintech/purpleline_pa_icon/IWD_pa_purpleline_signal.jpg" TargetMode="External"/><Relationship Id="rId564" Type="http://schemas.openxmlformats.org/officeDocument/2006/relationships/hyperlink" Target="https://3arbzfbsh-cname-us.ngrok.io/Desktop/seabridge%20fintech/purpleline_pa_icon/STE_pa_purpleline_signal.jpg" TargetMode="External"/><Relationship Id="rId321" Type="http://schemas.openxmlformats.org/officeDocument/2006/relationships/hyperlink" Target="https://3arbzfbsh-cname-us.ngrok.io/Desktop/seabridge%20fintech/purpleline_pa_icon/IVZ_pa_purpleline_signal.jpg" TargetMode="External"/><Relationship Id="rId563" Type="http://schemas.openxmlformats.org/officeDocument/2006/relationships/hyperlink" Target="https://3arbzfbsh-cname-us.ngrok.io/Desktop/seabridge%20fintech/purpleline_pa_icon/SRE_pa_purpleline_signal.jpg" TargetMode="External"/><Relationship Id="rId320" Type="http://schemas.openxmlformats.org/officeDocument/2006/relationships/hyperlink" Target="https://3arbzfbsh-cname-us.ngrok.io/Desktop/seabridge%20fintech/purpleline_pa_icon/IVV_pa_purpleline_signal.jpg" TargetMode="External"/><Relationship Id="rId562" Type="http://schemas.openxmlformats.org/officeDocument/2006/relationships/hyperlink" Target="https://3arbzfbsh-cname-us.ngrok.io/Desktop/seabridge%20fintech/purpleline_pa_icon/SQ_pa_purpleline_signal.jpg" TargetMode="External"/><Relationship Id="rId316" Type="http://schemas.openxmlformats.org/officeDocument/2006/relationships/hyperlink" Target="https://3arbzfbsh-cname-us.ngrok.io/Desktop/seabridge%20fintech/purpleline_pa_icon/IRM_pa_purpleline_signal.jpg" TargetMode="External"/><Relationship Id="rId558" Type="http://schemas.openxmlformats.org/officeDocument/2006/relationships/hyperlink" Target="https://3arbzfbsh-cname-us.ngrok.io/Desktop/seabridge%20fintech/purpleline_pa_icon/SPLV_pa_purpleline_signal.jpg" TargetMode="External"/><Relationship Id="rId315" Type="http://schemas.openxmlformats.org/officeDocument/2006/relationships/hyperlink" Target="https://3arbzfbsh-cname-us.ngrok.io/Desktop/seabridge%20fintech/purpleline_pa_icon/IR_pa_purpleline_signal.jpg" TargetMode="External"/><Relationship Id="rId557" Type="http://schemas.openxmlformats.org/officeDocument/2006/relationships/hyperlink" Target="https://3arbzfbsh-cname-us.ngrok.io/Desktop/seabridge%20fintech/purpleline_pa_icon/SPLK_pa_purpleline_signal.jpg" TargetMode="External"/><Relationship Id="rId314" Type="http://schemas.openxmlformats.org/officeDocument/2006/relationships/hyperlink" Target="https://3arbzfbsh-cname-us.ngrok.io/Desktop/seabridge%20fintech/purpleline_pa_icon/IQV_pa_purpleline_signal.jpg" TargetMode="External"/><Relationship Id="rId556" Type="http://schemas.openxmlformats.org/officeDocument/2006/relationships/hyperlink" Target="https://3arbzfbsh-cname-us.ngrok.io/Desktop/seabridge%20fintech/purpleline_pa_icon/SPIB_pa_purpleline_signal.jpg" TargetMode="External"/><Relationship Id="rId313" Type="http://schemas.openxmlformats.org/officeDocument/2006/relationships/hyperlink" Target="https://3arbzfbsh-cname-us.ngrok.io/Desktop/seabridge%20fintech/purpleline_pa_icon/IPGP_pa_purpleline_signal.jpg" TargetMode="External"/><Relationship Id="rId555" Type="http://schemas.openxmlformats.org/officeDocument/2006/relationships/hyperlink" Target="https://3arbzfbsh-cname-us.ngrok.io/Desktop/seabridge%20fintech/purpleline_pa_icon/SPGI_pa_purpleline_signal.jpg" TargetMode="External"/><Relationship Id="rId319" Type="http://schemas.openxmlformats.org/officeDocument/2006/relationships/hyperlink" Target="https://3arbzfbsh-cname-us.ngrok.io/Desktop/seabridge%20fintech/purpleline_pa_icon/ITW_pa_purpleline_signal.jpg" TargetMode="External"/><Relationship Id="rId318" Type="http://schemas.openxmlformats.org/officeDocument/2006/relationships/hyperlink" Target="https://3arbzfbsh-cname-us.ngrok.io/Desktop/seabridge%20fintech/purpleline_pa_icon/IT_pa_purpleline_signal.jpg" TargetMode="External"/><Relationship Id="rId317" Type="http://schemas.openxmlformats.org/officeDocument/2006/relationships/hyperlink" Target="https://3arbzfbsh-cname-us.ngrok.io/Desktop/seabridge%20fintech/purpleline_pa_icon/ISRG_pa_purpleline_signal.jpg" TargetMode="External"/><Relationship Id="rId559" Type="http://schemas.openxmlformats.org/officeDocument/2006/relationships/hyperlink" Target="https://3arbzfbsh-cname-us.ngrok.io/Desktop/seabridge%20fintech/purpleline_pa_icon/SPWR_pa_purpleline_signal.jpg" TargetMode="External"/><Relationship Id="rId550" Type="http://schemas.openxmlformats.org/officeDocument/2006/relationships/hyperlink" Target="https://3arbzfbsh-cname-us.ngrok.io/Desktop/seabridge%20fintech/purpleline_pa_icon/SNPS_pa_purpleline_signal.jpg" TargetMode="External"/><Relationship Id="rId312" Type="http://schemas.openxmlformats.org/officeDocument/2006/relationships/hyperlink" Target="https://3arbzfbsh-cname-us.ngrok.io/Desktop/seabridge%20fintech/purpleline_pa_icon/IPG_pa_purpleline_signal.jpg" TargetMode="External"/><Relationship Id="rId554" Type="http://schemas.openxmlformats.org/officeDocument/2006/relationships/hyperlink" Target="https://3arbzfbsh-cname-us.ngrok.io/Desktop/seabridge%20fintech/purpleline_pa_icon/SPG_pa_purpleline_signal.jpg" TargetMode="External"/><Relationship Id="rId311" Type="http://schemas.openxmlformats.org/officeDocument/2006/relationships/hyperlink" Target="https://3arbzfbsh-cname-us.ngrok.io/Desktop/seabridge%20fintech/purpleline_pa_icon/IP_pa_purpleline_signal.jpg" TargetMode="External"/><Relationship Id="rId553" Type="http://schemas.openxmlformats.org/officeDocument/2006/relationships/hyperlink" Target="https://3arbzfbsh-cname-us.ngrok.io/Desktop/seabridge%20fintech/purpleline_pa_icon/SPCE_pa_purpleline_signal.jpg" TargetMode="External"/><Relationship Id="rId310" Type="http://schemas.openxmlformats.org/officeDocument/2006/relationships/hyperlink" Target="https://3arbzfbsh-cname-us.ngrok.io/Desktop/seabridge%20fintech/purpleline_pa_icon/INVH_pa_purpleline_signal.jpg" TargetMode="External"/><Relationship Id="rId552" Type="http://schemas.openxmlformats.org/officeDocument/2006/relationships/hyperlink" Target="https://3arbzfbsh-cname-us.ngrok.io/Desktop/seabridge%20fintech/purpleline_pa_icon/SONO_pa_purpleline_signal.jpg" TargetMode="External"/><Relationship Id="rId551" Type="http://schemas.openxmlformats.org/officeDocument/2006/relationships/hyperlink" Target="https://3arbzfbsh-cname-us.ngrok.io/Desktop/seabridge%20fintech/purpleline_pa_icon/SO_pa_purpleline_signal.jpg" TargetMode="External"/><Relationship Id="rId297" Type="http://schemas.openxmlformats.org/officeDocument/2006/relationships/hyperlink" Target="https://3arbzfbsh-cname-us.ngrok.io/Desktop/seabridge%20fintech/purpleline_pa_icon/IDXX_pa_purpleline_signal.jpg" TargetMode="External"/><Relationship Id="rId296" Type="http://schemas.openxmlformats.org/officeDocument/2006/relationships/hyperlink" Target="https://3arbzfbsh-cname-us.ngrok.io/Desktop/seabridge%20fintech/purpleline_pa_icon/ICE_pa_purpleline_signal.jpg" TargetMode="External"/><Relationship Id="rId295" Type="http://schemas.openxmlformats.org/officeDocument/2006/relationships/hyperlink" Target="https://3arbzfbsh-cname-us.ngrok.io/Desktop/seabridge%20fintech/purpleline_pa_icon/IBM_pa_purpleline_signal.jpg" TargetMode="External"/><Relationship Id="rId294" Type="http://schemas.openxmlformats.org/officeDocument/2006/relationships/hyperlink" Target="https://3arbzfbsh-cname-us.ngrok.io/Desktop/seabridge%20fintech/purpleline_pa_icon/IBB_pa_purpleline_signal.jpg" TargetMode="External"/><Relationship Id="rId299" Type="http://schemas.openxmlformats.org/officeDocument/2006/relationships/hyperlink" Target="https://3arbzfbsh-cname-us.ngrok.io/Desktop/seabridge%20fintech/purpleline_pa_icon/IEFA_pa_purpleline_signal.jpg" TargetMode="External"/><Relationship Id="rId298" Type="http://schemas.openxmlformats.org/officeDocument/2006/relationships/hyperlink" Target="https://3arbzfbsh-cname-us.ngrok.io/Desktop/seabridge%20fintech/purpleline_pa_icon/IEF_pa_purpleline_signal.jpg" TargetMode="External"/><Relationship Id="rId271" Type="http://schemas.openxmlformats.org/officeDocument/2006/relationships/hyperlink" Target="https://3arbzfbsh-cname-us.ngrok.io/Desktop/seabridge%20fintech/purpleline_pa_icon/HCA_pa_purpleline_signal.jpg" TargetMode="External"/><Relationship Id="rId270" Type="http://schemas.openxmlformats.org/officeDocument/2006/relationships/hyperlink" Target="https://3arbzfbsh-cname-us.ngrok.io/Desktop/seabridge%20fintech/purpleline_pa_icon/HBI_pa_purpleline_signal.jpg" TargetMode="External"/><Relationship Id="rId269" Type="http://schemas.openxmlformats.org/officeDocument/2006/relationships/hyperlink" Target="https://3arbzfbsh-cname-us.ngrok.io/Desktop/seabridge%20fintech/purpleline_pa_icon/HBAN_pa_purpleline_signal.jpg" TargetMode="External"/><Relationship Id="rId264" Type="http://schemas.openxmlformats.org/officeDocument/2006/relationships/hyperlink" Target="https://3arbzfbsh-cname-us.ngrok.io/Desktop/seabridge%20fintech/purpleline_pa_icon/GRMN_pa_purpleline_signal.jpg" TargetMode="External"/><Relationship Id="rId263" Type="http://schemas.openxmlformats.org/officeDocument/2006/relationships/hyperlink" Target="https://3arbzfbsh-cname-us.ngrok.io/Desktop/seabridge%20fintech/purpleline_pa_icon/GPS_pa_purpleline_signal.jpg" TargetMode="External"/><Relationship Id="rId262" Type="http://schemas.openxmlformats.org/officeDocument/2006/relationships/hyperlink" Target="https://3arbzfbsh-cname-us.ngrok.io/Desktop/seabridge%20fintech/purpleline_pa_icon/GPN_pa_purpleline_signal.jpg" TargetMode="External"/><Relationship Id="rId261" Type="http://schemas.openxmlformats.org/officeDocument/2006/relationships/hyperlink" Target="https://3arbzfbsh-cname-us.ngrok.io/Desktop/seabridge%20fintech/purpleline_pa_icon/GPC_pa_purpleline_signal.jpg" TargetMode="External"/><Relationship Id="rId268" Type="http://schemas.openxmlformats.org/officeDocument/2006/relationships/hyperlink" Target="https://3arbzfbsh-cname-us.ngrok.io/Desktop/seabridge%20fintech/purpleline_pa_icon/HAS_pa_purpleline_signal.jpg" TargetMode="External"/><Relationship Id="rId267" Type="http://schemas.openxmlformats.org/officeDocument/2006/relationships/hyperlink" Target="https://3arbzfbsh-cname-us.ngrok.io/Desktop/seabridge%20fintech/purpleline_pa_icon/HAL_pa_purpleline_signal.jpg" TargetMode="External"/><Relationship Id="rId266" Type="http://schemas.openxmlformats.org/officeDocument/2006/relationships/hyperlink" Target="https://3arbzfbsh-cname-us.ngrok.io/Desktop/seabridge%20fintech/purpleline_pa_icon/GWW_pa_purpleline_signal.jpg" TargetMode="External"/><Relationship Id="rId265" Type="http://schemas.openxmlformats.org/officeDocument/2006/relationships/hyperlink" Target="https://3arbzfbsh-cname-us.ngrok.io/Desktop/seabridge%20fintech/purpleline_pa_icon/GS_pa_purpleline_signal.jpg" TargetMode="External"/><Relationship Id="rId260" Type="http://schemas.openxmlformats.org/officeDocument/2006/relationships/hyperlink" Target="https://3arbzfbsh-cname-us.ngrok.io/Desktop/seabridge%20fintech/purpleline_pa_icon/GOVT_pa_purpleline_signal.jpg" TargetMode="External"/><Relationship Id="rId259" Type="http://schemas.openxmlformats.org/officeDocument/2006/relationships/hyperlink" Target="https://3arbzfbsh-cname-us.ngrok.io/Desktop/seabridge%20fintech/purpleline_pa_icon/GOOGL_pa_purpleline_signal.jpg" TargetMode="External"/><Relationship Id="rId258" Type="http://schemas.openxmlformats.org/officeDocument/2006/relationships/hyperlink" Target="https://3arbzfbsh-cname-us.ngrok.io/Desktop/seabridge%20fintech/purpleline_pa_icon/GOOG_pa_purpleline_signal.jpg" TargetMode="External"/><Relationship Id="rId253" Type="http://schemas.openxmlformats.org/officeDocument/2006/relationships/hyperlink" Target="https://3arbzfbsh-cname-us.ngrok.io/Desktop/seabridge%20fintech/purpleline_pa_icon/GLD_pa_purpleline_signal.jpg" TargetMode="External"/><Relationship Id="rId495" Type="http://schemas.openxmlformats.org/officeDocument/2006/relationships/hyperlink" Target="https://3arbzfbsh-cname-us.ngrok.io/Desktop/seabridge%20fintech/purpleline_pa_icon/PRGO_pa_purpleline_signal.jpg" TargetMode="External"/><Relationship Id="rId252" Type="http://schemas.openxmlformats.org/officeDocument/2006/relationships/hyperlink" Target="https://3arbzfbsh-cname-us.ngrok.io/Desktop/seabridge%20fintech/purpleline_pa_icon/GL_pa_purpleline_signal.jpg" TargetMode="External"/><Relationship Id="rId494" Type="http://schemas.openxmlformats.org/officeDocument/2006/relationships/hyperlink" Target="https://3arbzfbsh-cname-us.ngrok.io/Desktop/seabridge%20fintech/purpleline_pa_icon/PPL_pa_purpleline_signal.jpg" TargetMode="External"/><Relationship Id="rId251" Type="http://schemas.openxmlformats.org/officeDocument/2006/relationships/hyperlink" Target="https://3arbzfbsh-cname-us.ngrok.io/Desktop/seabridge%20fintech/purpleline_pa_icon/GIS_pa_purpleline_signal.jpg" TargetMode="External"/><Relationship Id="rId493" Type="http://schemas.openxmlformats.org/officeDocument/2006/relationships/hyperlink" Target="https://3arbzfbsh-cname-us.ngrok.io/Desktop/seabridge%20fintech/purpleline_pa_icon/PPG_pa_purpleline_signal.jpg" TargetMode="External"/><Relationship Id="rId250" Type="http://schemas.openxmlformats.org/officeDocument/2006/relationships/hyperlink" Target="https://3arbzfbsh-cname-us.ngrok.io/Desktop/seabridge%20fintech/purpleline_pa_icon/GILD_pa_purpleline_signal.jpg" TargetMode="External"/><Relationship Id="rId492" Type="http://schemas.openxmlformats.org/officeDocument/2006/relationships/hyperlink" Target="https://3arbzfbsh-cname-us.ngrok.io/Desktop/seabridge%20fintech/purpleline_pa_icon/POOL_pa_purpleline_signal.jpg" TargetMode="External"/><Relationship Id="rId257" Type="http://schemas.openxmlformats.org/officeDocument/2006/relationships/hyperlink" Target="https://3arbzfbsh-cname-us.ngrok.io/Desktop/seabridge%20fintech/purpleline_pa_icon/GNRC_pa_purpleline_signal.jpg" TargetMode="External"/><Relationship Id="rId499" Type="http://schemas.openxmlformats.org/officeDocument/2006/relationships/hyperlink" Target="https://3arbzfbsh-cname-us.ngrok.io/Desktop/seabridge%20fintech/purpleline_pa_icon/PSX_pa_purpleline_signal.jpg" TargetMode="External"/><Relationship Id="rId256" Type="http://schemas.openxmlformats.org/officeDocument/2006/relationships/hyperlink" Target="https://3arbzfbsh-cname-us.ngrok.io/Desktop/seabridge%20fintech/purpleline_pa_icon/GME_pa_purpleline_signal.jpg" TargetMode="External"/><Relationship Id="rId498" Type="http://schemas.openxmlformats.org/officeDocument/2006/relationships/hyperlink" Target="https://3arbzfbsh-cname-us.ngrok.io/Desktop/seabridge%20fintech/purpleline_pa_icon/PSA_pa_purpleline_signal.jpg" TargetMode="External"/><Relationship Id="rId255" Type="http://schemas.openxmlformats.org/officeDocument/2006/relationships/hyperlink" Target="https://3arbzfbsh-cname-us.ngrok.io/Desktop/seabridge%20fintech/purpleline_pa_icon/GM_pa_purpleline_signal.jpg" TargetMode="External"/><Relationship Id="rId497" Type="http://schemas.openxmlformats.org/officeDocument/2006/relationships/hyperlink" Target="https://3arbzfbsh-cname-us.ngrok.io/Desktop/seabridge%20fintech/purpleline_pa_icon/PRU_pa_purpleline_signal.jpg" TargetMode="External"/><Relationship Id="rId254" Type="http://schemas.openxmlformats.org/officeDocument/2006/relationships/hyperlink" Target="https://3arbzfbsh-cname-us.ngrok.io/Desktop/seabridge%20fintech/purpleline_pa_icon/GLW_pa_purpleline_signal.jpg" TargetMode="External"/><Relationship Id="rId496" Type="http://schemas.openxmlformats.org/officeDocument/2006/relationships/hyperlink" Target="https://3arbzfbsh-cname-us.ngrok.io/Desktop/seabridge%20fintech/purpleline_pa_icon/PRSP_pa_purpleline_signal.jpg" TargetMode="External"/><Relationship Id="rId293" Type="http://schemas.openxmlformats.org/officeDocument/2006/relationships/hyperlink" Target="https://3arbzfbsh-cname-us.ngrok.io/Desktop/seabridge%20fintech/purpleline_pa_icon/IAU_pa_purpleline_signal.jpg" TargetMode="External"/><Relationship Id="rId292" Type="http://schemas.openxmlformats.org/officeDocument/2006/relationships/hyperlink" Target="https://3arbzfbsh-cname-us.ngrok.io/Desktop/seabridge%20fintech/purpleline_pa_icon/HYLB_pa_purpleline_signal.jpg" TargetMode="External"/><Relationship Id="rId291" Type="http://schemas.openxmlformats.org/officeDocument/2006/relationships/hyperlink" Target="https://3arbzfbsh-cname-us.ngrok.io/Desktop/seabridge%20fintech/purpleline_pa_icon/HYG_pa_purpleline_signal.jpg" TargetMode="External"/><Relationship Id="rId290" Type="http://schemas.openxmlformats.org/officeDocument/2006/relationships/hyperlink" Target="https://3arbzfbsh-cname-us.ngrok.io/Desktop/seabridge%20fintech/purpleline_pa_icon/HWM_pa_purpleline_signal.jpg" TargetMode="External"/><Relationship Id="rId286" Type="http://schemas.openxmlformats.org/officeDocument/2006/relationships/hyperlink" Target="https://3arbzfbsh-cname-us.ngrok.io/Desktop/seabridge%20fintech/purpleline_pa_icon/HST_pa_purpleline_signal.jpg" TargetMode="External"/><Relationship Id="rId285" Type="http://schemas.openxmlformats.org/officeDocument/2006/relationships/hyperlink" Target="https://3arbzfbsh-cname-us.ngrok.io/Desktop/seabridge%20fintech/purpleline_pa_icon/HSIC_pa_purpleline_signal.jpg" TargetMode="External"/><Relationship Id="rId284" Type="http://schemas.openxmlformats.org/officeDocument/2006/relationships/hyperlink" Target="https://3arbzfbsh-cname-us.ngrok.io/Desktop/seabridge%20fintech/purpleline_pa_icon/HRL_pa_purpleline_signal.jpg" TargetMode="External"/><Relationship Id="rId283" Type="http://schemas.openxmlformats.org/officeDocument/2006/relationships/hyperlink" Target="https://3arbzfbsh-cname-us.ngrok.io/Desktop/seabridge%20fintech/purpleline_pa_icon/HPQ_pa_purpleline_signal.jpg" TargetMode="External"/><Relationship Id="rId289" Type="http://schemas.openxmlformats.org/officeDocument/2006/relationships/hyperlink" Target="https://3arbzfbsh-cname-us.ngrok.io/Desktop/seabridge%20fintech/purpleline_pa_icon/HUN_pa_purpleline_signal.jpg" TargetMode="External"/><Relationship Id="rId288" Type="http://schemas.openxmlformats.org/officeDocument/2006/relationships/hyperlink" Target="https://3arbzfbsh-cname-us.ngrok.io/Desktop/seabridge%20fintech/purpleline_pa_icon/HUM_pa_purpleline_signal.jpg" TargetMode="External"/><Relationship Id="rId287" Type="http://schemas.openxmlformats.org/officeDocument/2006/relationships/hyperlink" Target="https://3arbzfbsh-cname-us.ngrok.io/Desktop/seabridge%20fintech/purpleline_pa_icon/HSY_pa_purpleline_signal.jpg" TargetMode="External"/><Relationship Id="rId282" Type="http://schemas.openxmlformats.org/officeDocument/2006/relationships/hyperlink" Target="https://3arbzfbsh-cname-us.ngrok.io/Desktop/seabridge%20fintech/purpleline_pa_icon/HPE_pa_purpleline_signal.jpg" TargetMode="External"/><Relationship Id="rId281" Type="http://schemas.openxmlformats.org/officeDocument/2006/relationships/hyperlink" Target="https://3arbzfbsh-cname-us.ngrok.io/Desktop/seabridge%20fintech/purpleline_pa_icon/HON_pa_purpleline_signal.jpg" TargetMode="External"/><Relationship Id="rId280" Type="http://schemas.openxmlformats.org/officeDocument/2006/relationships/hyperlink" Target="https://3arbzfbsh-cname-us.ngrok.io/Desktop/seabridge%20fintech/purpleline_pa_icon/HOME_pa_purpleline_signal.jpg" TargetMode="External"/><Relationship Id="rId275" Type="http://schemas.openxmlformats.org/officeDocument/2006/relationships/hyperlink" Target="https://3arbzfbsh-cname-us.ngrok.io/Desktop/seabridge%20fintech/purpleline_pa_icon/HIG_pa_purpleline_signal.jpg" TargetMode="External"/><Relationship Id="rId274" Type="http://schemas.openxmlformats.org/officeDocument/2006/relationships/hyperlink" Target="https://3arbzfbsh-cname-us.ngrok.io/Desktop/seabridge%20fintech/purpleline_pa_icon/HFC_pa_purpleline_signal.jpg" TargetMode="External"/><Relationship Id="rId273" Type="http://schemas.openxmlformats.org/officeDocument/2006/relationships/hyperlink" Target="https://3arbzfbsh-cname-us.ngrok.io/Desktop/seabridge%20fintech/purpleline_pa_icon/HES_pa_purpleline_signal.jpg" TargetMode="External"/><Relationship Id="rId272" Type="http://schemas.openxmlformats.org/officeDocument/2006/relationships/hyperlink" Target="https://3arbzfbsh-cname-us.ngrok.io/Desktop/seabridge%20fintech/purpleline_pa_icon/HD_pa_purpleline_signal.jpg" TargetMode="External"/><Relationship Id="rId279" Type="http://schemas.openxmlformats.org/officeDocument/2006/relationships/hyperlink" Target="https://3arbzfbsh-cname-us.ngrok.io/Desktop/seabridge%20fintech/purpleline_pa_icon/HOLX_pa_purpleline_signal.jpg" TargetMode="External"/><Relationship Id="rId278" Type="http://schemas.openxmlformats.org/officeDocument/2006/relationships/hyperlink" Target="https://3arbzfbsh-cname-us.ngrok.io/Desktop/seabridge%20fintech/purpleline_pa_icon/HOG_pa_purpleline_signal.jpg" TargetMode="External"/><Relationship Id="rId277" Type="http://schemas.openxmlformats.org/officeDocument/2006/relationships/hyperlink" Target="https://3arbzfbsh-cname-us.ngrok.io/Desktop/seabridge%20fintech/purpleline_pa_icon/HLT_pa_purpleline_signal.jpg" TargetMode="External"/><Relationship Id="rId276" Type="http://schemas.openxmlformats.org/officeDocument/2006/relationships/hyperlink" Target="https://3arbzfbsh-cname-us.ngrok.io/Desktop/seabridge%20fintech/purpleline_pa_icon/HII_pa_purpleline_signal.jpg" TargetMode="External"/><Relationship Id="rId629" Type="http://schemas.openxmlformats.org/officeDocument/2006/relationships/hyperlink" Target="https://3arbzfbsh-cname-us.ngrok.io/Desktop/seabridge%20fintech/purpleline_pa_icon/VEA_pa_purpleline_signal.jpg" TargetMode="External"/><Relationship Id="rId624" Type="http://schemas.openxmlformats.org/officeDocument/2006/relationships/hyperlink" Target="https://3arbzfbsh-cname-us.ngrok.io/Desktop/seabridge%20fintech/purpleline_pa_icon/USMV_pa_purpleline_signal.jpg" TargetMode="External"/><Relationship Id="rId623" Type="http://schemas.openxmlformats.org/officeDocument/2006/relationships/hyperlink" Target="https://3arbzfbsh-cname-us.ngrok.io/Desktop/seabridge%20fintech/purpleline_pa_icon/USB_pa_purpleline_signal.jpg" TargetMode="External"/><Relationship Id="rId622" Type="http://schemas.openxmlformats.org/officeDocument/2006/relationships/hyperlink" Target="https://3arbzfbsh-cname-us.ngrok.io/Desktop/seabridge%20fintech/purpleline_pa_icon/URI_pa_purpleline_signal.jpg" TargetMode="External"/><Relationship Id="rId621" Type="http://schemas.openxmlformats.org/officeDocument/2006/relationships/hyperlink" Target="https://3arbzfbsh-cname-us.ngrok.io/Desktop/seabridge%20fintech/purpleline_pa_icon/UPST_pa_purpleline_signal.jpg" TargetMode="External"/><Relationship Id="rId628" Type="http://schemas.openxmlformats.org/officeDocument/2006/relationships/hyperlink" Target="https://3arbzfbsh-cname-us.ngrok.io/Desktop/seabridge%20fintech/purpleline_pa_icon/VCSH_pa_purpleline_signal.jpg" TargetMode="External"/><Relationship Id="rId627" Type="http://schemas.openxmlformats.org/officeDocument/2006/relationships/hyperlink" Target="https://3arbzfbsh-cname-us.ngrok.io/Desktop/seabridge%20fintech/purpleline_pa_icon/VCIT_pa_purpleline_signal.jpg" TargetMode="External"/><Relationship Id="rId626" Type="http://schemas.openxmlformats.org/officeDocument/2006/relationships/hyperlink" Target="https://3arbzfbsh-cname-us.ngrok.io/Desktop/seabridge%20fintech/purpleline_pa_icon/V_pa_purpleline_signal.jpg" TargetMode="External"/><Relationship Id="rId625" Type="http://schemas.openxmlformats.org/officeDocument/2006/relationships/hyperlink" Target="https://3arbzfbsh-cname-us.ngrok.io/Desktop/seabridge%20fintech/purpleline_pa_icon/USO_pa_purpleline_signal.jpg" TargetMode="External"/><Relationship Id="rId620" Type="http://schemas.openxmlformats.org/officeDocument/2006/relationships/hyperlink" Target="https://3arbzfbsh-cname-us.ngrok.io/Desktop/seabridge%20fintech/purpleline_pa_icon/UPS_pa_purpleline_signal.jpg" TargetMode="External"/><Relationship Id="rId619" Type="http://schemas.openxmlformats.org/officeDocument/2006/relationships/hyperlink" Target="https://3arbzfbsh-cname-us.ngrok.io/Desktop/seabridge%20fintech/purpleline_pa_icon/UNP_pa_purpleline_signal.jpg" TargetMode="External"/><Relationship Id="rId618" Type="http://schemas.openxmlformats.org/officeDocument/2006/relationships/hyperlink" Target="https://3arbzfbsh-cname-us.ngrok.io/Desktop/seabridge%20fintech/purpleline_pa_icon/UNM_pa_purpleline_signal.jpg" TargetMode="External"/><Relationship Id="rId613" Type="http://schemas.openxmlformats.org/officeDocument/2006/relationships/hyperlink" Target="https://3arbzfbsh-cname-us.ngrok.io/Desktop/seabridge%20fintech/purpleline_pa_icon/UBER_pa_purpleline_signal.jpg" TargetMode="External"/><Relationship Id="rId612" Type="http://schemas.openxmlformats.org/officeDocument/2006/relationships/hyperlink" Target="https://3arbzfbsh-cname-us.ngrok.io/Desktop/seabridge%20fintech/purpleline_pa_icon/UAL_pa_purpleline_signal.jpg" TargetMode="External"/><Relationship Id="rId611" Type="http://schemas.openxmlformats.org/officeDocument/2006/relationships/hyperlink" Target="https://3arbzfbsh-cname-us.ngrok.io/Desktop/seabridge%20fintech/purpleline_pa_icon/UAA_pa_purpleline_signal.jpg" TargetMode="External"/><Relationship Id="rId610" Type="http://schemas.openxmlformats.org/officeDocument/2006/relationships/hyperlink" Target="https://3arbzfbsh-cname-us.ngrok.io/Desktop/seabridge%20fintech/purpleline_pa_icon/UA_pa_purpleline_signal.jpg" TargetMode="External"/><Relationship Id="rId617" Type="http://schemas.openxmlformats.org/officeDocument/2006/relationships/hyperlink" Target="https://3arbzfbsh-cname-us.ngrok.io/Desktop/seabridge%20fintech/purpleline_pa_icon/UNH_pa_purpleline_signal.jpg" TargetMode="External"/><Relationship Id="rId616" Type="http://schemas.openxmlformats.org/officeDocument/2006/relationships/hyperlink" Target="https://3arbzfbsh-cname-us.ngrok.io/Desktop/seabridge%20fintech/purpleline_pa_icon/ULTA_pa_purpleline_signal.jpg" TargetMode="External"/><Relationship Id="rId615" Type="http://schemas.openxmlformats.org/officeDocument/2006/relationships/hyperlink" Target="https://3arbzfbsh-cname-us.ngrok.io/Desktop/seabridge%20fintech/purpleline_pa_icon/UHS_pa_purpleline_signal.jpg" TargetMode="External"/><Relationship Id="rId614" Type="http://schemas.openxmlformats.org/officeDocument/2006/relationships/hyperlink" Target="https://3arbzfbsh-cname-us.ngrok.io/Desktop/seabridge%20fintech/purpleline_pa_icon/UDR_pa_purpleline_signal.jpg" TargetMode="External"/><Relationship Id="rId409" Type="http://schemas.openxmlformats.org/officeDocument/2006/relationships/hyperlink" Target="https://3arbzfbsh-cname-us.ngrok.io/Desktop/seabridge%20fintech/purpleline_pa_icon/MPLX_pa_purpleline_signal.jpg" TargetMode="External"/><Relationship Id="rId404" Type="http://schemas.openxmlformats.org/officeDocument/2006/relationships/hyperlink" Target="https://3arbzfbsh-cname-us.ngrok.io/Desktop/seabridge%20fintech/purpleline_pa_icon/MNST_pa_purpleline_signal.jpg" TargetMode="External"/><Relationship Id="rId646" Type="http://schemas.openxmlformats.org/officeDocument/2006/relationships/hyperlink" Target="https://3arbzfbsh-cname-us.ngrok.io/Desktop/seabridge%20fintech/purpleline_pa_icon/VT_pa_purpleline_signal.jpg" TargetMode="External"/><Relationship Id="rId403" Type="http://schemas.openxmlformats.org/officeDocument/2006/relationships/hyperlink" Target="https://3arbzfbsh-cname-us.ngrok.io/Desktop/seabridge%20fintech/purpleline_pa_icon/MMM_pa_purpleline_signal.jpg" TargetMode="External"/><Relationship Id="rId645" Type="http://schemas.openxmlformats.org/officeDocument/2006/relationships/hyperlink" Target="https://3arbzfbsh-cname-us.ngrok.io/Desktop/seabridge%20fintech/purpleline_pa_icon/VRTX_pa_purpleline_signal.jpg" TargetMode="External"/><Relationship Id="rId402" Type="http://schemas.openxmlformats.org/officeDocument/2006/relationships/hyperlink" Target="https://3arbzfbsh-cname-us.ngrok.io/Desktop/seabridge%20fintech/purpleline_pa_icon/MMC_pa_purpleline_signal.jpg" TargetMode="External"/><Relationship Id="rId644" Type="http://schemas.openxmlformats.org/officeDocument/2006/relationships/hyperlink" Target="https://3arbzfbsh-cname-us.ngrok.io/Desktop/seabridge%20fintech/purpleline_pa_icon/VRT_pa_purpleline_signal.jpg" TargetMode="External"/><Relationship Id="rId401" Type="http://schemas.openxmlformats.org/officeDocument/2006/relationships/hyperlink" Target="https://3arbzfbsh-cname-us.ngrok.io/Desktop/seabridge%20fintech/purpleline_pa_icon/MLM_pa_purpleline_signal.jpg" TargetMode="External"/><Relationship Id="rId643" Type="http://schemas.openxmlformats.org/officeDocument/2006/relationships/hyperlink" Target="https://3arbzfbsh-cname-us.ngrok.io/Desktop/seabridge%20fintech/purpleline_pa_icon/VRSN_pa_purpleline_signal.jpg" TargetMode="External"/><Relationship Id="rId408" Type="http://schemas.openxmlformats.org/officeDocument/2006/relationships/hyperlink" Target="https://3arbzfbsh-cname-us.ngrok.io/Desktop/seabridge%20fintech/purpleline_pa_icon/MPC_pa_purpleline_signal.jpg" TargetMode="External"/><Relationship Id="rId407" Type="http://schemas.openxmlformats.org/officeDocument/2006/relationships/hyperlink" Target="https://3arbzfbsh-cname-us.ngrok.io/Desktop/seabridge%20fintech/purpleline_pa_icon/MP_pa_purpleline_signal.jpg" TargetMode="External"/><Relationship Id="rId649" Type="http://schemas.openxmlformats.org/officeDocument/2006/relationships/hyperlink" Target="https://3arbzfbsh-cname-us.ngrok.io/Desktop/seabridge%20fintech/purpleline_pa_icon/VTR_pa_purpleline_signal.jpg" TargetMode="External"/><Relationship Id="rId406" Type="http://schemas.openxmlformats.org/officeDocument/2006/relationships/hyperlink" Target="https://3arbzfbsh-cname-us.ngrok.io/Desktop/seabridge%20fintech/purpleline_pa_icon/MOS_pa_purpleline_signal.jpg" TargetMode="External"/><Relationship Id="rId648" Type="http://schemas.openxmlformats.org/officeDocument/2006/relationships/hyperlink" Target="https://3arbzfbsh-cname-us.ngrok.io/Desktop/seabridge%20fintech/purpleline_pa_icon/VTIP_pa_purpleline_signal.jpg" TargetMode="External"/><Relationship Id="rId405" Type="http://schemas.openxmlformats.org/officeDocument/2006/relationships/hyperlink" Target="https://3arbzfbsh-cname-us.ngrok.io/Desktop/seabridge%20fintech/purpleline_pa_icon/MO_pa_purpleline_signal.jpg" TargetMode="External"/><Relationship Id="rId647" Type="http://schemas.openxmlformats.org/officeDocument/2006/relationships/hyperlink" Target="https://3arbzfbsh-cname-us.ngrok.io/Desktop/seabridge%20fintech/purpleline_pa_icon/VTI_pa_purpleline_signal.jpg" TargetMode="External"/><Relationship Id="rId400" Type="http://schemas.openxmlformats.org/officeDocument/2006/relationships/hyperlink" Target="https://3arbzfbsh-cname-us.ngrok.io/Desktop/seabridge%20fintech/purpleline_pa_icon/MKTX_pa_purpleline_signal.jpg" TargetMode="External"/><Relationship Id="rId642" Type="http://schemas.openxmlformats.org/officeDocument/2006/relationships/hyperlink" Target="https://3arbzfbsh-cname-us.ngrok.io/Desktop/seabridge%20fintech/purpleline_pa_icon/VRSK_pa_purpleline_signal.jpg" TargetMode="External"/><Relationship Id="rId641" Type="http://schemas.openxmlformats.org/officeDocument/2006/relationships/hyperlink" Target="https://3arbzfbsh-cname-us.ngrok.io/Desktop/seabridge%20fintech/purpleline_pa_icon/VRM_pa_purpleline_signal.jpg" TargetMode="External"/><Relationship Id="rId640" Type="http://schemas.openxmlformats.org/officeDocument/2006/relationships/hyperlink" Target="https://3arbzfbsh-cname-us.ngrok.io/Desktop/seabridge%20fintech/purpleline_pa_icon/VOO_pa_purpleline_signal.jpg" TargetMode="External"/><Relationship Id="rId635" Type="http://schemas.openxmlformats.org/officeDocument/2006/relationships/hyperlink" Target="https://3arbzfbsh-cname-us.ngrok.io/Desktop/seabridge%20fintech/purpleline_pa_icon/VICI_pa_purpleline_signal.jpg" TargetMode="External"/><Relationship Id="rId634" Type="http://schemas.openxmlformats.org/officeDocument/2006/relationships/hyperlink" Target="https://3arbzfbsh-cname-us.ngrok.io/Desktop/seabridge%20fintech/purpleline_pa_icon/VIAC_pa_purpleline_signal.jpg" TargetMode="External"/><Relationship Id="rId633" Type="http://schemas.openxmlformats.org/officeDocument/2006/relationships/hyperlink" Target="https://3arbzfbsh-cname-us.ngrok.io/Desktop/seabridge%20fintech/purpleline_pa_icon/VGK_pa_purpleline_signal.jpg" TargetMode="External"/><Relationship Id="rId632" Type="http://schemas.openxmlformats.org/officeDocument/2006/relationships/hyperlink" Target="https://3arbzfbsh-cname-us.ngrok.io/Desktop/seabridge%20fintech/purpleline_pa_icon/VFC_pa_purpleline_signal.jpg" TargetMode="External"/><Relationship Id="rId639" Type="http://schemas.openxmlformats.org/officeDocument/2006/relationships/hyperlink" Target="https://3arbzfbsh-cname-us.ngrok.io/Desktop/seabridge%20fintech/purpleline_pa_icon/VNQ_pa_purpleline_signal.jpg" TargetMode="External"/><Relationship Id="rId638" Type="http://schemas.openxmlformats.org/officeDocument/2006/relationships/hyperlink" Target="https://3arbzfbsh-cname-us.ngrok.io/Desktop/seabridge%20fintech/purpleline_pa_icon/VNO_pa_purpleline_signal.jpg" TargetMode="External"/><Relationship Id="rId637" Type="http://schemas.openxmlformats.org/officeDocument/2006/relationships/hyperlink" Target="https://3arbzfbsh-cname-us.ngrok.io/Desktop/seabridge%20fintech/purpleline_pa_icon/VMC_pa_purpleline_signal.jpg" TargetMode="External"/><Relationship Id="rId636" Type="http://schemas.openxmlformats.org/officeDocument/2006/relationships/hyperlink" Target="https://3arbzfbsh-cname-us.ngrok.io/Desktop/seabridge%20fintech/purpleline_pa_icon/VLO_pa_purpleline_signal.jpg" TargetMode="External"/><Relationship Id="rId631" Type="http://schemas.openxmlformats.org/officeDocument/2006/relationships/hyperlink" Target="https://3arbzfbsh-cname-us.ngrok.io/Desktop/seabridge%20fintech/purpleline_pa_icon/VEU_pa_purpleline_signal.jpg" TargetMode="External"/><Relationship Id="rId630" Type="http://schemas.openxmlformats.org/officeDocument/2006/relationships/hyperlink" Target="https://3arbzfbsh-cname-us.ngrok.io/Desktop/seabridge%20fintech/purpleline_pa_icon/VER_pa_purpleline_signal.jpg" TargetMode="External"/><Relationship Id="rId609" Type="http://schemas.openxmlformats.org/officeDocument/2006/relationships/hyperlink" Target="https://3arbzfbsh-cname-us.ngrok.io/Desktop/seabridge%20fintech/purpleline_pa_icon/TYL_pa_purpleline_signal.jpg" TargetMode="External"/><Relationship Id="rId608" Type="http://schemas.openxmlformats.org/officeDocument/2006/relationships/hyperlink" Target="https://3arbzfbsh-cname-us.ngrok.io/Desktop/seabridge%20fintech/purpleline_pa_icon/TXT_pa_purpleline_signal.jpg" TargetMode="External"/><Relationship Id="rId607" Type="http://schemas.openxmlformats.org/officeDocument/2006/relationships/hyperlink" Target="https://3arbzfbsh-cname-us.ngrok.io/Desktop/seabridge%20fintech/purpleline_pa_icon/TXN_pa_purpleline_signal.jpg" TargetMode="External"/><Relationship Id="rId602" Type="http://schemas.openxmlformats.org/officeDocument/2006/relationships/hyperlink" Target="https://3arbzfbsh-cname-us.ngrok.io/Desktop/seabridge%20fintech/purpleline_pa_icon/TT_pa_purpleline_signal.jpg" TargetMode="External"/><Relationship Id="rId601" Type="http://schemas.openxmlformats.org/officeDocument/2006/relationships/hyperlink" Target="https://3arbzfbsh-cname-us.ngrok.io/Desktop/seabridge%20fintech/purpleline_pa_icon/TSN_pa_purpleline_signal.jpg" TargetMode="External"/><Relationship Id="rId600" Type="http://schemas.openxmlformats.org/officeDocument/2006/relationships/hyperlink" Target="https://3arbzfbsh-cname-us.ngrok.io/Desktop/seabridge%20fintech/purpleline_pa_icon/TSLA_pa_purpleline_signal.jpg" TargetMode="External"/><Relationship Id="rId606" Type="http://schemas.openxmlformats.org/officeDocument/2006/relationships/hyperlink" Target="https://3arbzfbsh-cname-us.ngrok.io/Desktop/seabridge%20fintech/purpleline_pa_icon/TWTR_pa_purpleline_signal.jpg" TargetMode="External"/><Relationship Id="rId605" Type="http://schemas.openxmlformats.org/officeDocument/2006/relationships/hyperlink" Target="https://3arbzfbsh-cname-us.ngrok.io/Desktop/seabridge%20fintech/purpleline_pa_icon/TWLO_pa_purpleline_signal.jpg" TargetMode="External"/><Relationship Id="rId604" Type="http://schemas.openxmlformats.org/officeDocument/2006/relationships/hyperlink" Target="https://3arbzfbsh-cname-us.ngrok.io/Desktop/seabridge%20fintech/purpleline_pa_icon/TTWO_pa_purpleline_signal.jpg" TargetMode="External"/><Relationship Id="rId603" Type="http://schemas.openxmlformats.org/officeDocument/2006/relationships/hyperlink" Target="https://3arbzfbsh-cname-us.ngrok.io/Desktop/seabridge%20fintech/purpleline_pa_icon/TTD_pa_purpleline_signal.jpg" TargetMode="External"/><Relationship Id="rId228" Type="http://schemas.openxmlformats.org/officeDocument/2006/relationships/hyperlink" Target="https://3arbzfbsh-cname-us.ngrok.io/Desktop/seabridge%20fintech/purpleline_pa_icon/FDX_pa_purpleline_signal.jpg" TargetMode="External"/><Relationship Id="rId227" Type="http://schemas.openxmlformats.org/officeDocument/2006/relationships/hyperlink" Target="https://3arbzfbsh-cname-us.ngrok.io/Desktop/seabridge%20fintech/purpleline_pa_icon/FCX_pa_purpleline_signal.jpg" TargetMode="External"/><Relationship Id="rId469" Type="http://schemas.openxmlformats.org/officeDocument/2006/relationships/hyperlink" Target="https://3arbzfbsh-cname-us.ngrok.io/Desktop/seabridge%20fintech/purpleline_pa_icon/PCAR_pa_purpleline_signal.jpg" TargetMode="External"/><Relationship Id="rId226" Type="http://schemas.openxmlformats.org/officeDocument/2006/relationships/hyperlink" Target="https://3arbzfbsh-cname-us.ngrok.io/Desktop/seabridge%20fintech/purpleline_pa_icon/FBHS_pa_purpleline_signal.jpg" TargetMode="External"/><Relationship Id="rId468" Type="http://schemas.openxmlformats.org/officeDocument/2006/relationships/hyperlink" Target="https://3arbzfbsh-cname-us.ngrok.io/Desktop/seabridge%20fintech/purpleline_pa_icon/PBCT_pa_purpleline_signal.jpg" TargetMode="External"/><Relationship Id="rId225" Type="http://schemas.openxmlformats.org/officeDocument/2006/relationships/hyperlink" Target="https://3arbzfbsh-cname-us.ngrok.io/Desktop/seabridge%20fintech/purpleline_pa_icon/FB_pa_purpleline_signal.jpg" TargetMode="External"/><Relationship Id="rId467" Type="http://schemas.openxmlformats.org/officeDocument/2006/relationships/hyperlink" Target="https://3arbzfbsh-cname-us.ngrok.io/Desktop/seabridge%20fintech/purpleline_pa_icon/PAYX_pa_purpleline_signal.jpg" TargetMode="External"/><Relationship Id="rId229" Type="http://schemas.openxmlformats.org/officeDocument/2006/relationships/hyperlink" Target="https://3arbzfbsh-cname-us.ngrok.io/Desktop/seabridge%20fintech/purpleline_pa_icon/FE_pa_purpleline_signal.jpg" TargetMode="External"/><Relationship Id="rId220" Type="http://schemas.openxmlformats.org/officeDocument/2006/relationships/hyperlink" Target="https://3arbzfbsh-cname-us.ngrok.io/Desktop/seabridge%20fintech/purpleline_pa_icon/EXR_pa_purpleline_signal.jpg" TargetMode="External"/><Relationship Id="rId462" Type="http://schemas.openxmlformats.org/officeDocument/2006/relationships/hyperlink" Target="https://3arbzfbsh-cname-us.ngrok.io/Desktop/seabridge%20fintech/purpleline_pa_icon/ORLY_pa_purpleline_signal.jpg" TargetMode="External"/><Relationship Id="rId461" Type="http://schemas.openxmlformats.org/officeDocument/2006/relationships/hyperlink" Target="https://3arbzfbsh-cname-us.ngrok.io/Desktop/seabridge%20fintech/purpleline_pa_icon/ORCL_pa_purpleline_signal.jpg" TargetMode="External"/><Relationship Id="rId460" Type="http://schemas.openxmlformats.org/officeDocument/2006/relationships/hyperlink" Target="https://3arbzfbsh-cname-us.ngrok.io/Desktop/seabridge%20fintech/purpleline_pa_icon/ON_pa_purpleline_signal.jpg" TargetMode="External"/><Relationship Id="rId224" Type="http://schemas.openxmlformats.org/officeDocument/2006/relationships/hyperlink" Target="https://3arbzfbsh-cname-us.ngrok.io/Desktop/seabridge%20fintech/purpleline_pa_icon/FAST_pa_purpleline_signal.jpg" TargetMode="External"/><Relationship Id="rId466" Type="http://schemas.openxmlformats.org/officeDocument/2006/relationships/hyperlink" Target="https://3arbzfbsh-cname-us.ngrok.io/Desktop/seabridge%20fintech/purpleline_pa_icon/PAYC_pa_purpleline_signal.jpg" TargetMode="External"/><Relationship Id="rId223" Type="http://schemas.openxmlformats.org/officeDocument/2006/relationships/hyperlink" Target="https://3arbzfbsh-cname-us.ngrok.io/Desktop/seabridge%20fintech/purpleline_pa_icon/FANG_pa_purpleline_signal.jpg" TargetMode="External"/><Relationship Id="rId465" Type="http://schemas.openxmlformats.org/officeDocument/2006/relationships/hyperlink" Target="https://3arbzfbsh-cname-us.ngrok.io/Desktop/seabridge%20fintech/purpleline_pa_icon/PACB_pa_purpleline_signal.jpg" TargetMode="External"/><Relationship Id="rId222" Type="http://schemas.openxmlformats.org/officeDocument/2006/relationships/hyperlink" Target="https://3arbzfbsh-cname-us.ngrok.io/Desktop/seabridge%20fintech/purpleline_pa_icon/F_pa_purpleline_signal.jpg" TargetMode="External"/><Relationship Id="rId464" Type="http://schemas.openxmlformats.org/officeDocument/2006/relationships/hyperlink" Target="https://3arbzfbsh-cname-us.ngrok.io/Desktop/seabridge%20fintech/purpleline_pa_icon/OXY_pa_purpleline_signal.jpg" TargetMode="External"/><Relationship Id="rId221" Type="http://schemas.openxmlformats.org/officeDocument/2006/relationships/hyperlink" Target="https://3arbzfbsh-cname-us.ngrok.io/Desktop/seabridge%20fintech/purpleline_pa_icon/EZU_pa_purpleline_signal.jpg" TargetMode="External"/><Relationship Id="rId463" Type="http://schemas.openxmlformats.org/officeDocument/2006/relationships/hyperlink" Target="https://3arbzfbsh-cname-us.ngrok.io/Desktop/seabridge%20fintech/purpleline_pa_icon/OVV_pa_purpleline_signal.jpg" TargetMode="External"/><Relationship Id="rId217" Type="http://schemas.openxmlformats.org/officeDocument/2006/relationships/hyperlink" Target="https://3arbzfbsh-cname-us.ngrok.io/Desktop/seabridge%20fintech/purpleline_pa_icon/EXC_pa_purpleline_signal.jpg" TargetMode="External"/><Relationship Id="rId459" Type="http://schemas.openxmlformats.org/officeDocument/2006/relationships/hyperlink" Target="https://3arbzfbsh-cname-us.ngrok.io/Desktop/seabridge%20fintech/purpleline_pa_icon/OMC_pa_purpleline_signal.jpg" TargetMode="External"/><Relationship Id="rId216" Type="http://schemas.openxmlformats.org/officeDocument/2006/relationships/hyperlink" Target="https://3arbzfbsh-cname-us.ngrok.io/Desktop/seabridge%20fintech/purpleline_pa_icon/EWZ_pa_purpleline_signal.jpg" TargetMode="External"/><Relationship Id="rId458" Type="http://schemas.openxmlformats.org/officeDocument/2006/relationships/hyperlink" Target="https://3arbzfbsh-cname-us.ngrok.io/Desktop/seabridge%20fintech/purpleline_pa_icon/OKTA_pa_purpleline_signal.jpg" TargetMode="External"/><Relationship Id="rId215" Type="http://schemas.openxmlformats.org/officeDocument/2006/relationships/hyperlink" Target="https://3arbzfbsh-cname-us.ngrok.io/Desktop/seabridge%20fintech/purpleline_pa_icon/EWY_pa_purpleline_signal.jpg" TargetMode="External"/><Relationship Id="rId457" Type="http://schemas.openxmlformats.org/officeDocument/2006/relationships/hyperlink" Target="https://3arbzfbsh-cname-us.ngrok.io/Desktop/seabridge%20fintech/purpleline_pa_icon/OKE_pa_purpleline_signal.jpg" TargetMode="External"/><Relationship Id="rId699" Type="http://schemas.openxmlformats.org/officeDocument/2006/relationships/hyperlink" Target="https://3arbzfbsh-cname-us.ngrok.io/Desktop/seabridge%20fintech/purpleline_pa_icon/ZM_pa_purpleline_signal.jpg" TargetMode="External"/><Relationship Id="rId214" Type="http://schemas.openxmlformats.org/officeDocument/2006/relationships/hyperlink" Target="https://3arbzfbsh-cname-us.ngrok.io/Desktop/seabridge%20fintech/purpleline_pa_icon/EWU_pa_purpleline_signal.jpg" TargetMode="External"/><Relationship Id="rId456" Type="http://schemas.openxmlformats.org/officeDocument/2006/relationships/hyperlink" Target="https://3arbzfbsh-cname-us.ngrok.io/Desktop/seabridge%20fintech/purpleline_pa_icon/OGE_pa_purpleline_signal.jpg" TargetMode="External"/><Relationship Id="rId698" Type="http://schemas.openxmlformats.org/officeDocument/2006/relationships/hyperlink" Target="https://3arbzfbsh-cname-us.ngrok.io/Desktop/seabridge%20fintech/purpleline_pa_icon/ZION_pa_purpleline_signal.jpg" TargetMode="External"/><Relationship Id="rId219" Type="http://schemas.openxmlformats.org/officeDocument/2006/relationships/hyperlink" Target="https://3arbzfbsh-cname-us.ngrok.io/Desktop/seabridge%20fintech/purpleline_pa_icon/EXPE_pa_purpleline_signal.jpg" TargetMode="External"/><Relationship Id="rId218" Type="http://schemas.openxmlformats.org/officeDocument/2006/relationships/hyperlink" Target="https://3arbzfbsh-cname-us.ngrok.io/Desktop/seabridge%20fintech/purpleline_pa_icon/EXPD_pa_purpleline_signal.jpg" TargetMode="External"/><Relationship Id="rId451" Type="http://schemas.openxmlformats.org/officeDocument/2006/relationships/hyperlink" Target="https://3arbzfbsh-cname-us.ngrok.io/Desktop/seabridge%20fintech/purpleline_pa_icon/NWS_pa_purpleline_signal.jpg" TargetMode="External"/><Relationship Id="rId693" Type="http://schemas.openxmlformats.org/officeDocument/2006/relationships/hyperlink" Target="https://3arbzfbsh-cname-us.ngrok.io/Desktop/seabridge%20fintech/purpleline_pa_icon/XYL_pa_purpleline_signal.jpg" TargetMode="External"/><Relationship Id="rId450" Type="http://schemas.openxmlformats.org/officeDocument/2006/relationships/hyperlink" Target="https://3arbzfbsh-cname-us.ngrok.io/Desktop/seabridge%20fintech/purpleline_pa_icon/NWL_pa_purpleline_signal.jpg" TargetMode="External"/><Relationship Id="rId692" Type="http://schemas.openxmlformats.org/officeDocument/2006/relationships/hyperlink" Target="https://3arbzfbsh-cname-us.ngrok.io/Desktop/seabridge%20fintech/purpleline_pa_icon/XRAY_pa_purpleline_signal.jpg" TargetMode="External"/><Relationship Id="rId691" Type="http://schemas.openxmlformats.org/officeDocument/2006/relationships/hyperlink" Target="https://3arbzfbsh-cname-us.ngrok.io/Desktop/seabridge%20fintech/purpleline_pa_icon/XOP_pa_purpleline_signal.jpg" TargetMode="External"/><Relationship Id="rId690" Type="http://schemas.openxmlformats.org/officeDocument/2006/relationships/hyperlink" Target="https://3arbzfbsh-cname-us.ngrok.io/Desktop/seabridge%20fintech/purpleline_pa_icon/XOM_pa_purpleline_signal.jpg" TargetMode="External"/><Relationship Id="rId213" Type="http://schemas.openxmlformats.org/officeDocument/2006/relationships/hyperlink" Target="https://3arbzfbsh-cname-us.ngrok.io/Desktop/seabridge%20fintech/purpleline_pa_icon/EWT_pa_purpleline_signal.jpg" TargetMode="External"/><Relationship Id="rId455" Type="http://schemas.openxmlformats.org/officeDocument/2006/relationships/hyperlink" Target="https://3arbzfbsh-cname-us.ngrok.io/Desktop/seabridge%20fintech/purpleline_pa_icon/ODFL_pa_purpleline_signal.jpg" TargetMode="External"/><Relationship Id="rId697" Type="http://schemas.openxmlformats.org/officeDocument/2006/relationships/hyperlink" Target="https://3arbzfbsh-cname-us.ngrok.io/Desktop/seabridge%20fintech/purpleline_pa_icon/ZBRA_pa_purpleline_signal.jpg" TargetMode="External"/><Relationship Id="rId212" Type="http://schemas.openxmlformats.org/officeDocument/2006/relationships/hyperlink" Target="https://3arbzfbsh-cname-us.ngrok.io/Desktop/seabridge%20fintech/purpleline_pa_icon/EWJ_pa_purpleline_signal.jpg" TargetMode="External"/><Relationship Id="rId454" Type="http://schemas.openxmlformats.org/officeDocument/2006/relationships/hyperlink" Target="https://3arbzfbsh-cname-us.ngrok.io/Desktop/seabridge%20fintech/purpleline_pa_icon/O_pa_purpleline_signal.jpg" TargetMode="External"/><Relationship Id="rId696" Type="http://schemas.openxmlformats.org/officeDocument/2006/relationships/hyperlink" Target="https://3arbzfbsh-cname-us.ngrok.io/Desktop/seabridge%20fintech/purpleline_pa_icon/ZBH_pa_purpleline_signal.jpg" TargetMode="External"/><Relationship Id="rId211" Type="http://schemas.openxmlformats.org/officeDocument/2006/relationships/hyperlink" Target="https://3arbzfbsh-cname-us.ngrok.io/Desktop/seabridge%20fintech/purpleline_pa_icon/EWH_pa_purpleline_signal.jpg" TargetMode="External"/><Relationship Id="rId453" Type="http://schemas.openxmlformats.org/officeDocument/2006/relationships/hyperlink" Target="https://3arbzfbsh-cname-us.ngrok.io/Desktop/seabridge%20fintech/purpleline_pa_icon/NXPI_pa_purpleline_signal.jpg" TargetMode="External"/><Relationship Id="rId695" Type="http://schemas.openxmlformats.org/officeDocument/2006/relationships/hyperlink" Target="https://3arbzfbsh-cname-us.ngrok.io/Desktop/seabridge%20fintech/purpleline_pa_icon/Z_pa_purpleline_signal.jpg" TargetMode="External"/><Relationship Id="rId210" Type="http://schemas.openxmlformats.org/officeDocument/2006/relationships/hyperlink" Target="https://3arbzfbsh-cname-us.ngrok.io/Desktop/seabridge%20fintech/purpleline_pa_icon/EWG_pa_purpleline_signal.jpg" TargetMode="External"/><Relationship Id="rId452" Type="http://schemas.openxmlformats.org/officeDocument/2006/relationships/hyperlink" Target="https://3arbzfbsh-cname-us.ngrok.io/Desktop/seabridge%20fintech/purpleline_pa_icon/NWSA_pa_purpleline_signal.jpg" TargetMode="External"/><Relationship Id="rId694" Type="http://schemas.openxmlformats.org/officeDocument/2006/relationships/hyperlink" Target="https://3arbzfbsh-cname-us.ngrok.io/Desktop/seabridge%20fintech/purpleline_pa_icon/YUM_pa_purpleline_signal.jpg" TargetMode="External"/><Relationship Id="rId491" Type="http://schemas.openxmlformats.org/officeDocument/2006/relationships/hyperlink" Target="https://3arbzfbsh-cname-us.ngrok.io/Desktop/seabridge%20fintech/purpleline_pa_icon/PNW_pa_purpleline_signal.jpg" TargetMode="External"/><Relationship Id="rId490" Type="http://schemas.openxmlformats.org/officeDocument/2006/relationships/hyperlink" Target="https://3arbzfbsh-cname-us.ngrok.io/Desktop/seabridge%20fintech/purpleline_pa_icon/PNR_pa_purpleline_signal.jpg" TargetMode="External"/><Relationship Id="rId249" Type="http://schemas.openxmlformats.org/officeDocument/2006/relationships/hyperlink" Target="https://3arbzfbsh-cname-us.ngrok.io/Desktop/seabridge%20fintech/purpleline_pa_icon/GE_pa_purpleline_signal.jpg" TargetMode="External"/><Relationship Id="rId248" Type="http://schemas.openxmlformats.org/officeDocument/2006/relationships/hyperlink" Target="https://3arbzfbsh-cname-us.ngrok.io/Desktop/seabridge%20fintech/purpleline_pa_icon/GDX_pa_purpleline_signal.jpg" TargetMode="External"/><Relationship Id="rId247" Type="http://schemas.openxmlformats.org/officeDocument/2006/relationships/hyperlink" Target="https://3arbzfbsh-cname-us.ngrok.io/Desktop/seabridge%20fintech/purpleline_pa_icon/GD_pa_purpleline_signal.jpg" TargetMode="External"/><Relationship Id="rId489" Type="http://schemas.openxmlformats.org/officeDocument/2006/relationships/hyperlink" Target="https://3arbzfbsh-cname-us.ngrok.io/Desktop/seabridge%20fintech/purpleline_pa_icon/PNC_pa_purpleline_signal.jpg" TargetMode="External"/><Relationship Id="rId242" Type="http://schemas.openxmlformats.org/officeDocument/2006/relationships/hyperlink" Target="https://3arbzfbsh-cname-us.ngrok.io/Desktop/seabridge%20fintech/purpleline_pa_icon/FTNT_pa_purpleline_signal.jpg" TargetMode="External"/><Relationship Id="rId484" Type="http://schemas.openxmlformats.org/officeDocument/2006/relationships/hyperlink" Target="https://3arbzfbsh-cname-us.ngrok.io/Desktop/seabridge%20fintech/purpleline_pa_icon/PKI_pa_purpleline_signal.jpg" TargetMode="External"/><Relationship Id="rId241" Type="http://schemas.openxmlformats.org/officeDocument/2006/relationships/hyperlink" Target="https://3arbzfbsh-cname-us.ngrok.io/Desktop/seabridge%20fintech/purpleline_pa_icon/FSLY_pa_purpleline_signal.jpg" TargetMode="External"/><Relationship Id="rId483" Type="http://schemas.openxmlformats.org/officeDocument/2006/relationships/hyperlink" Target="https://3arbzfbsh-cname-us.ngrok.io/Desktop/seabridge%20fintech/purpleline_pa_icon/PKG_pa_purpleline_signal.jpg" TargetMode="External"/><Relationship Id="rId240" Type="http://schemas.openxmlformats.org/officeDocument/2006/relationships/hyperlink" Target="https://3arbzfbsh-cname-us.ngrok.io/Desktop/seabridge%20fintech/purpleline_pa_icon/FSLR_pa_purpleline_signal.jpg" TargetMode="External"/><Relationship Id="rId482" Type="http://schemas.openxmlformats.org/officeDocument/2006/relationships/hyperlink" Target="https://3arbzfbsh-cname-us.ngrok.io/Desktop/seabridge%20fintech/purpleline_pa_icon/PINS_pa_purpleline_signal.jpg" TargetMode="External"/><Relationship Id="rId481" Type="http://schemas.openxmlformats.org/officeDocument/2006/relationships/hyperlink" Target="https://3arbzfbsh-cname-us.ngrok.io/Desktop/seabridge%20fintech/purpleline_pa_icon/PHM_pa_purpleline_signal.jpg" TargetMode="External"/><Relationship Id="rId246" Type="http://schemas.openxmlformats.org/officeDocument/2006/relationships/hyperlink" Target="https://3arbzfbsh-cname-us.ngrok.io/Desktop/seabridge%20fintech/purpleline_pa_icon/GBTC_pa_purpleline_signal.jpg" TargetMode="External"/><Relationship Id="rId488" Type="http://schemas.openxmlformats.org/officeDocument/2006/relationships/hyperlink" Target="https://3arbzfbsh-cname-us.ngrok.io/Desktop/seabridge%20fintech/purpleline_pa_icon/PM_pa_purpleline_signal.jpg" TargetMode="External"/><Relationship Id="rId245" Type="http://schemas.openxmlformats.org/officeDocument/2006/relationships/hyperlink" Target="https://3arbzfbsh-cname-us.ngrok.io/Desktop/seabridge%20fintech/purpleline_pa_icon/FXI_pa_purpleline_signal.jpg" TargetMode="External"/><Relationship Id="rId487" Type="http://schemas.openxmlformats.org/officeDocument/2006/relationships/hyperlink" Target="https://3arbzfbsh-cname-us.ngrok.io/Desktop/seabridge%20fintech/purpleline_pa_icon/PLUG_pa_purpleline_signal.jpg" TargetMode="External"/><Relationship Id="rId244" Type="http://schemas.openxmlformats.org/officeDocument/2006/relationships/hyperlink" Target="https://3arbzfbsh-cname-us.ngrok.io/Desktop/seabridge%20fintech/purpleline_pa_icon/FUBO_pa_purpleline_signal.jpg" TargetMode="External"/><Relationship Id="rId486" Type="http://schemas.openxmlformats.org/officeDocument/2006/relationships/hyperlink" Target="https://3arbzfbsh-cname-us.ngrok.io/Desktop/seabridge%20fintech/purpleline_pa_icon/PLD_pa_purpleline_signal.jpg" TargetMode="External"/><Relationship Id="rId243" Type="http://schemas.openxmlformats.org/officeDocument/2006/relationships/hyperlink" Target="https://3arbzfbsh-cname-us.ngrok.io/Desktop/seabridge%20fintech/purpleline_pa_icon/FTV_pa_purpleline_signal.jpg" TargetMode="External"/><Relationship Id="rId485" Type="http://schemas.openxmlformats.org/officeDocument/2006/relationships/hyperlink" Target="https://3arbzfbsh-cname-us.ngrok.io/Desktop/seabridge%20fintech/purpleline_pa_icon/PLAN_pa_purpleline_signal.jpg" TargetMode="External"/><Relationship Id="rId480" Type="http://schemas.openxmlformats.org/officeDocument/2006/relationships/hyperlink" Target="https://3arbzfbsh-cname-us.ngrok.io/Desktop/seabridge%20fintech/purpleline_pa_icon/PH_pa_purpleline_signal.jpg" TargetMode="External"/><Relationship Id="rId239" Type="http://schemas.openxmlformats.org/officeDocument/2006/relationships/hyperlink" Target="https://3arbzfbsh-cname-us.ngrok.io/Desktop/seabridge%20fintech/purpleline_pa_icon/FRT_pa_purpleline_signal.jpg" TargetMode="External"/><Relationship Id="rId238" Type="http://schemas.openxmlformats.org/officeDocument/2006/relationships/hyperlink" Target="https://3arbzfbsh-cname-us.ngrok.io/Desktop/seabridge%20fintech/purpleline_pa_icon/FRC_pa_purpleline_signal.jpg" TargetMode="External"/><Relationship Id="rId237" Type="http://schemas.openxmlformats.org/officeDocument/2006/relationships/hyperlink" Target="https://3arbzfbsh-cname-us.ngrok.io/Desktop/seabridge%20fintech/purpleline_pa_icon/FOXA_pa_purpleline_signal.jpg" TargetMode="External"/><Relationship Id="rId479" Type="http://schemas.openxmlformats.org/officeDocument/2006/relationships/hyperlink" Target="https://3arbzfbsh-cname-us.ngrok.io/Desktop/seabridge%20fintech/purpleline_pa_icon/PGR_pa_purpleline_signal.jpg" TargetMode="External"/><Relationship Id="rId236" Type="http://schemas.openxmlformats.org/officeDocument/2006/relationships/hyperlink" Target="https://3arbzfbsh-cname-us.ngrok.io/Desktop/seabridge%20fintech/purpleline_pa_icon/FOX_pa_purpleline_signal.jpg" TargetMode="External"/><Relationship Id="rId478" Type="http://schemas.openxmlformats.org/officeDocument/2006/relationships/hyperlink" Target="https://3arbzfbsh-cname-us.ngrok.io/Desktop/seabridge%20fintech/purpleline_pa_icon/PG_pa_purpleline_signal.jpg" TargetMode="External"/><Relationship Id="rId231" Type="http://schemas.openxmlformats.org/officeDocument/2006/relationships/hyperlink" Target="https://3arbzfbsh-cname-us.ngrok.io/Desktop/seabridge%20fintech/purpleline_pa_icon/FIS_pa_purpleline_signal.jpg" TargetMode="External"/><Relationship Id="rId473" Type="http://schemas.openxmlformats.org/officeDocument/2006/relationships/hyperlink" Target="https://3arbzfbsh-cname-us.ngrok.io/Desktop/seabridge%20fintech/purpleline_pa_icon/PENN_pa_purpleline_signal.jpg" TargetMode="External"/><Relationship Id="rId230" Type="http://schemas.openxmlformats.org/officeDocument/2006/relationships/hyperlink" Target="https://3arbzfbsh-cname-us.ngrok.io/Desktop/seabridge%20fintech/purpleline_pa_icon/FFIV_pa_purpleline_signal.jpg" TargetMode="External"/><Relationship Id="rId472" Type="http://schemas.openxmlformats.org/officeDocument/2006/relationships/hyperlink" Target="https://3arbzfbsh-cname-us.ngrok.io/Desktop/seabridge%20fintech/purpleline_pa_icon/PEG_pa_purpleline_signal.jpg" TargetMode="External"/><Relationship Id="rId471" Type="http://schemas.openxmlformats.org/officeDocument/2006/relationships/hyperlink" Target="https://3arbzfbsh-cname-us.ngrok.io/Desktop/seabridge%20fintech/purpleline_pa_icon/PEAK_pa_purpleline_signal.jpg" TargetMode="External"/><Relationship Id="rId470" Type="http://schemas.openxmlformats.org/officeDocument/2006/relationships/hyperlink" Target="https://3arbzfbsh-cname-us.ngrok.io/Desktop/seabridge%20fintech/purpleline_pa_icon/PDD_pa_purpleline_signal.jpg" TargetMode="External"/><Relationship Id="rId235" Type="http://schemas.openxmlformats.org/officeDocument/2006/relationships/hyperlink" Target="https://3arbzfbsh-cname-us.ngrok.io/Desktop/seabridge%20fintech/purpleline_pa_icon/FMC_pa_purpleline_signal.jpg" TargetMode="External"/><Relationship Id="rId477" Type="http://schemas.openxmlformats.org/officeDocument/2006/relationships/hyperlink" Target="https://3arbzfbsh-cname-us.ngrok.io/Desktop/seabridge%20fintech/purpleline_pa_icon/PFG_pa_purpleline_signal.jpg" TargetMode="External"/><Relationship Id="rId234" Type="http://schemas.openxmlformats.org/officeDocument/2006/relationships/hyperlink" Target="https://3arbzfbsh-cname-us.ngrok.io/Desktop/seabridge%20fintech/purpleline_pa_icon/FLT_pa_purpleline_signal.jpg" TargetMode="External"/><Relationship Id="rId476" Type="http://schemas.openxmlformats.org/officeDocument/2006/relationships/hyperlink" Target="https://3arbzfbsh-cname-us.ngrok.io/Desktop/seabridge%20fintech/purpleline_pa_icon/PFF_pa_purpleline_signal.jpg" TargetMode="External"/><Relationship Id="rId233" Type="http://schemas.openxmlformats.org/officeDocument/2006/relationships/hyperlink" Target="https://3arbzfbsh-cname-us.ngrok.io/Desktop/seabridge%20fintech/purpleline_pa_icon/FITB_pa_purpleline_signal.jpg" TargetMode="External"/><Relationship Id="rId475" Type="http://schemas.openxmlformats.org/officeDocument/2006/relationships/hyperlink" Target="https://3arbzfbsh-cname-us.ngrok.io/Desktop/seabridge%20fintech/purpleline_pa_icon/PFE_pa_purpleline_signal.jpg" TargetMode="External"/><Relationship Id="rId232" Type="http://schemas.openxmlformats.org/officeDocument/2006/relationships/hyperlink" Target="https://3arbzfbsh-cname-us.ngrok.io/Desktop/seabridge%20fintech/purpleline_pa_icon/FISV_pa_purpleline_signal.jpg" TargetMode="External"/><Relationship Id="rId474" Type="http://schemas.openxmlformats.org/officeDocument/2006/relationships/hyperlink" Target="https://3arbzfbsh-cname-us.ngrok.io/Desktop/seabridge%20fintech/purpleline_pa_icon/PEP_pa_purpleline_signal.jpg" TargetMode="External"/><Relationship Id="rId426" Type="http://schemas.openxmlformats.org/officeDocument/2006/relationships/hyperlink" Target="https://3arbzfbsh-cname-us.ngrok.io/Desktop/seabridge%20fintech/purpleline_pa_icon/NEM_pa_purpleline_signal.jpg" TargetMode="External"/><Relationship Id="rId668" Type="http://schemas.openxmlformats.org/officeDocument/2006/relationships/hyperlink" Target="https://3arbzfbsh-cname-us.ngrok.io/Desktop/seabridge%20fintech/purpleline_pa_icon/WORK_pa_purpleline_signal.jpg" TargetMode="External"/><Relationship Id="rId425" Type="http://schemas.openxmlformats.org/officeDocument/2006/relationships/hyperlink" Target="https://3arbzfbsh-cname-us.ngrok.io/Desktop/seabridge%20fintech/purpleline_pa_icon/NEE_pa_purpleline_signal.jpg" TargetMode="External"/><Relationship Id="rId667" Type="http://schemas.openxmlformats.org/officeDocument/2006/relationships/hyperlink" Target="https://3arbzfbsh-cname-us.ngrok.io/Desktop/seabridge%20fintech/purpleline_pa_icon/WMT_pa_purpleline_signal.jpg" TargetMode="External"/><Relationship Id="rId424" Type="http://schemas.openxmlformats.org/officeDocument/2006/relationships/hyperlink" Target="https://3arbzfbsh-cname-us.ngrok.io/Desktop/seabridge%20fintech/purpleline_pa_icon/NDAQ_pa_purpleline_signal.jpg" TargetMode="External"/><Relationship Id="rId666" Type="http://schemas.openxmlformats.org/officeDocument/2006/relationships/hyperlink" Target="https://3arbzfbsh-cname-us.ngrok.io/Desktop/seabridge%20fintech/purpleline_pa_icon/WMB_pa_purpleline_signal.jpg" TargetMode="External"/><Relationship Id="rId423" Type="http://schemas.openxmlformats.org/officeDocument/2006/relationships/hyperlink" Target="https://3arbzfbsh-cname-us.ngrok.io/Desktop/seabridge%20fintech/purpleline_pa_icon/NCLH_pa_purpleline_signal.jpg" TargetMode="External"/><Relationship Id="rId665" Type="http://schemas.openxmlformats.org/officeDocument/2006/relationships/hyperlink" Target="https://3arbzfbsh-cname-us.ngrok.io/Desktop/seabridge%20fintech/purpleline_pa_icon/WM_pa_purpleline_signal.jpg" TargetMode="External"/><Relationship Id="rId429" Type="http://schemas.openxmlformats.org/officeDocument/2006/relationships/hyperlink" Target="https://3arbzfbsh-cname-us.ngrok.io/Desktop/seabridge%20fintech/purpleline_pa_icon/NI_pa_purpleline_signal.jpg" TargetMode="External"/><Relationship Id="rId428" Type="http://schemas.openxmlformats.org/officeDocument/2006/relationships/hyperlink" Target="https://3arbzfbsh-cname-us.ngrok.io/Desktop/seabridge%20fintech/purpleline_pa_icon/NFLX_pa_purpleline_signal.jpg" TargetMode="External"/><Relationship Id="rId427" Type="http://schemas.openxmlformats.org/officeDocument/2006/relationships/hyperlink" Target="https://3arbzfbsh-cname-us.ngrok.io/Desktop/seabridge%20fintech/purpleline_pa_icon/NET_pa_purpleline_signal.jpg" TargetMode="External"/><Relationship Id="rId669" Type="http://schemas.openxmlformats.org/officeDocument/2006/relationships/hyperlink" Target="https://3arbzfbsh-cname-us.ngrok.io/Desktop/seabridge%20fintech/purpleline_pa_icon/WRB_pa_purpleline_signal.jpg" TargetMode="External"/><Relationship Id="rId660" Type="http://schemas.openxmlformats.org/officeDocument/2006/relationships/hyperlink" Target="https://3arbzfbsh-cname-us.ngrok.io/Desktop/seabridge%20fintech/purpleline_pa_icon/WEC_pa_purpleline_signal.jpg" TargetMode="External"/><Relationship Id="rId422" Type="http://schemas.openxmlformats.org/officeDocument/2006/relationships/hyperlink" Target="https://3arbzfbsh-cname-us.ngrok.io/Desktop/seabridge%20fintech/purpleline_pa_icon/MXIM_pa_purpleline_signal.jpg" TargetMode="External"/><Relationship Id="rId664" Type="http://schemas.openxmlformats.org/officeDocument/2006/relationships/hyperlink" Target="https://3arbzfbsh-cname-us.ngrok.io/Desktop/seabridge%20fintech/purpleline_pa_icon/WLTW_pa_purpleline_signal.jpg" TargetMode="External"/><Relationship Id="rId421" Type="http://schemas.openxmlformats.org/officeDocument/2006/relationships/hyperlink" Target="https://3arbzfbsh-cname-us.ngrok.io/Desktop/seabridge%20fintech/purpleline_pa_icon/MU_pa_purpleline_signal.jpg" TargetMode="External"/><Relationship Id="rId663" Type="http://schemas.openxmlformats.org/officeDocument/2006/relationships/hyperlink" Target="https://3arbzfbsh-cname-us.ngrok.io/Desktop/seabridge%20fintech/purpleline_pa_icon/WHR_pa_purpleline_signal.jpg" TargetMode="External"/><Relationship Id="rId420" Type="http://schemas.openxmlformats.org/officeDocument/2006/relationships/hyperlink" Target="https://3arbzfbsh-cname-us.ngrok.io/Desktop/seabridge%20fintech/purpleline_pa_icon/MTD_pa_purpleline_signal.jpg" TargetMode="External"/><Relationship Id="rId662" Type="http://schemas.openxmlformats.org/officeDocument/2006/relationships/hyperlink" Target="https://3arbzfbsh-cname-us.ngrok.io/Desktop/seabridge%20fintech/purpleline_pa_icon/WFC_pa_purpleline_signal.jpg" TargetMode="External"/><Relationship Id="rId661" Type="http://schemas.openxmlformats.org/officeDocument/2006/relationships/hyperlink" Target="https://3arbzfbsh-cname-us.ngrok.io/Desktop/seabridge%20fintech/purpleline_pa_icon/WELL_pa_purpleline_signal.jpg" TargetMode="External"/><Relationship Id="rId415" Type="http://schemas.openxmlformats.org/officeDocument/2006/relationships/hyperlink" Target="https://3arbzfbsh-cname-us.ngrok.io/Desktop/seabridge%20fintech/purpleline_pa_icon/MSCI_pa_purpleline_signal.jpg" TargetMode="External"/><Relationship Id="rId657" Type="http://schemas.openxmlformats.org/officeDocument/2006/relationships/hyperlink" Target="https://3arbzfbsh-cname-us.ngrok.io/Desktop/seabridge%20fintech/purpleline_pa_icon/WBA_pa_purpleline_signal.jpg" TargetMode="External"/><Relationship Id="rId414" Type="http://schemas.openxmlformats.org/officeDocument/2006/relationships/hyperlink" Target="https://3arbzfbsh-cname-us.ngrok.io/Desktop/seabridge%20fintech/purpleline_pa_icon/MS_pa_purpleline_signal.jpg" TargetMode="External"/><Relationship Id="rId656" Type="http://schemas.openxmlformats.org/officeDocument/2006/relationships/hyperlink" Target="https://3arbzfbsh-cname-us.ngrok.io/Desktop/seabridge%20fintech/purpleline_pa_icon/WAT_pa_purpleline_signal.jpg" TargetMode="External"/><Relationship Id="rId413" Type="http://schemas.openxmlformats.org/officeDocument/2006/relationships/hyperlink" Target="https://3arbzfbsh-cname-us.ngrok.io/Desktop/seabridge%20fintech/purpleline_pa_icon/MRVL_pa_purpleline_signal.jpg" TargetMode="External"/><Relationship Id="rId655" Type="http://schemas.openxmlformats.org/officeDocument/2006/relationships/hyperlink" Target="https://3arbzfbsh-cname-us.ngrok.io/Desktop/seabridge%20fintech/purpleline_pa_icon/WAB_pa_purpleline_signal.jpg" TargetMode="External"/><Relationship Id="rId412" Type="http://schemas.openxmlformats.org/officeDocument/2006/relationships/hyperlink" Target="https://3arbzfbsh-cname-us.ngrok.io/Desktop/seabridge%20fintech/purpleline_pa_icon/MRO_pa_purpleline_signal.jpg" TargetMode="External"/><Relationship Id="rId654" Type="http://schemas.openxmlformats.org/officeDocument/2006/relationships/hyperlink" Target="https://3arbzfbsh-cname-us.ngrok.io/Desktop/seabridge%20fintech/purpleline_pa_icon/VZ_pa_purpleline_signal.jpg" TargetMode="External"/><Relationship Id="rId419" Type="http://schemas.openxmlformats.org/officeDocument/2006/relationships/hyperlink" Target="https://3arbzfbsh-cname-us.ngrok.io/Desktop/seabridge%20fintech/purpleline_pa_icon/MTCH_pa_purpleline_signal.jpg" TargetMode="External"/><Relationship Id="rId418" Type="http://schemas.openxmlformats.org/officeDocument/2006/relationships/hyperlink" Target="https://3arbzfbsh-cname-us.ngrok.io/Desktop/seabridge%20fintech/purpleline_pa_icon/MTB_pa_purpleline_signal.jpg" TargetMode="External"/><Relationship Id="rId417" Type="http://schemas.openxmlformats.org/officeDocument/2006/relationships/hyperlink" Target="https://3arbzfbsh-cname-us.ngrok.io/Desktop/seabridge%20fintech/purpleline_pa_icon/MSI_pa_purpleline_signal.jpg" TargetMode="External"/><Relationship Id="rId659" Type="http://schemas.openxmlformats.org/officeDocument/2006/relationships/hyperlink" Target="https://3arbzfbsh-cname-us.ngrok.io/Desktop/seabridge%20fintech/purpleline_pa_icon/WDC_pa_purpleline_signal.jpg" TargetMode="External"/><Relationship Id="rId416" Type="http://schemas.openxmlformats.org/officeDocument/2006/relationships/hyperlink" Target="https://3arbzfbsh-cname-us.ngrok.io/Desktop/seabridge%20fintech/purpleline_pa_icon/MSFT_pa_purpleline_signal.jpg" TargetMode="External"/><Relationship Id="rId658" Type="http://schemas.openxmlformats.org/officeDocument/2006/relationships/hyperlink" Target="https://3arbzfbsh-cname-us.ngrok.io/Desktop/seabridge%20fintech/purpleline_pa_icon/WDAY_pa_purpleline_signal.jpg" TargetMode="External"/><Relationship Id="rId411" Type="http://schemas.openxmlformats.org/officeDocument/2006/relationships/hyperlink" Target="https://3arbzfbsh-cname-us.ngrok.io/Desktop/seabridge%20fintech/purpleline_pa_icon/MRNA_pa_purpleline_signal.jpg" TargetMode="External"/><Relationship Id="rId653" Type="http://schemas.openxmlformats.org/officeDocument/2006/relationships/hyperlink" Target="https://3arbzfbsh-cname-us.ngrok.io/Desktop/seabridge%20fintech/purpleline_pa_icon/VXUS_pa_purpleline_signal.jpg" TargetMode="External"/><Relationship Id="rId410" Type="http://schemas.openxmlformats.org/officeDocument/2006/relationships/hyperlink" Target="https://3arbzfbsh-cname-us.ngrok.io/Desktop/seabridge%20fintech/purpleline_pa_icon/MPWR_pa_purpleline_signal.jpg" TargetMode="External"/><Relationship Id="rId652" Type="http://schemas.openxmlformats.org/officeDocument/2006/relationships/hyperlink" Target="https://3arbzfbsh-cname-us.ngrok.io/Desktop/seabridge%20fintech/purpleline_pa_icon/VWO_pa_purpleline_signal.jpg" TargetMode="External"/><Relationship Id="rId651" Type="http://schemas.openxmlformats.org/officeDocument/2006/relationships/hyperlink" Target="https://3arbzfbsh-cname-us.ngrok.io/Desktop/seabridge%20fintech/purpleline_pa_icon/VTV_pa_purpleline_signal.jpg" TargetMode="External"/><Relationship Id="rId650" Type="http://schemas.openxmlformats.org/officeDocument/2006/relationships/hyperlink" Target="https://3arbzfbsh-cname-us.ngrok.io/Desktop/seabridge%20fintech/purpleline_pa_icon/VTRS_pa_purpleline_signal.jpg" TargetMode="External"/><Relationship Id="rId206" Type="http://schemas.openxmlformats.org/officeDocument/2006/relationships/hyperlink" Target="https://3arbzfbsh-cname-us.ngrok.io/Desktop/seabridge%20fintech/purpleline_pa_icon/ETSY_pa_purpleline_signal.jpg" TargetMode="External"/><Relationship Id="rId448" Type="http://schemas.openxmlformats.org/officeDocument/2006/relationships/hyperlink" Target="https://3arbzfbsh-cname-us.ngrok.io/Desktop/seabridge%20fintech/purpleline_pa_icon/NVR_pa_purpleline_signal.jpg" TargetMode="External"/><Relationship Id="rId205" Type="http://schemas.openxmlformats.org/officeDocument/2006/relationships/hyperlink" Target="https://3arbzfbsh-cname-us.ngrok.io/Desktop/seabridge%20fintech/purpleline_pa_icon/ETR_pa_purpleline_signal.jpg" TargetMode="External"/><Relationship Id="rId447" Type="http://schemas.openxmlformats.org/officeDocument/2006/relationships/hyperlink" Target="https://3arbzfbsh-cname-us.ngrok.io/Desktop/seabridge%20fintech/purpleline_pa_icon/NVDA_pa_purpleline_signal.jpg" TargetMode="External"/><Relationship Id="rId689" Type="http://schemas.openxmlformats.org/officeDocument/2006/relationships/hyperlink" Target="https://3arbzfbsh-cname-us.ngrok.io/Desktop/seabridge%20fintech/purpleline_pa_icon/XLY_pa_purpleline_signal.jpg" TargetMode="External"/><Relationship Id="rId204" Type="http://schemas.openxmlformats.org/officeDocument/2006/relationships/hyperlink" Target="https://3arbzfbsh-cname-us.ngrok.io/Desktop/seabridge%20fintech/purpleline_pa_icon/ETN_pa_purpleline_signal.jpg" TargetMode="External"/><Relationship Id="rId446" Type="http://schemas.openxmlformats.org/officeDocument/2006/relationships/hyperlink" Target="https://3arbzfbsh-cname-us.ngrok.io/Desktop/seabridge%20fintech/purpleline_pa_icon/NVAX_pa_purpleline_signal.jpg" TargetMode="External"/><Relationship Id="rId688" Type="http://schemas.openxmlformats.org/officeDocument/2006/relationships/hyperlink" Target="https://3arbzfbsh-cname-us.ngrok.io/Desktop/seabridge%20fintech/purpleline_pa_icon/XLV_pa_purpleline_signal.jpg" TargetMode="External"/><Relationship Id="rId203" Type="http://schemas.openxmlformats.org/officeDocument/2006/relationships/hyperlink" Target="https://3arbzfbsh-cname-us.ngrok.io/Desktop/seabridge%20fintech/purpleline_pa_icon/ESS_pa_purpleline_signal.jpg" TargetMode="External"/><Relationship Id="rId445" Type="http://schemas.openxmlformats.org/officeDocument/2006/relationships/hyperlink" Target="https://3arbzfbsh-cname-us.ngrok.io/Desktop/seabridge%20fintech/purpleline_pa_icon/NUE_pa_purpleline_signal.jpg" TargetMode="External"/><Relationship Id="rId687" Type="http://schemas.openxmlformats.org/officeDocument/2006/relationships/hyperlink" Target="https://3arbzfbsh-cname-us.ngrok.io/Desktop/seabridge%20fintech/purpleline_pa_icon/XLU_pa_purpleline_signal.jpg" TargetMode="External"/><Relationship Id="rId209" Type="http://schemas.openxmlformats.org/officeDocument/2006/relationships/hyperlink" Target="https://3arbzfbsh-cname-us.ngrok.io/Desktop/seabridge%20fintech/purpleline_pa_icon/EWC_pa_purpleline_signal.jpg" TargetMode="External"/><Relationship Id="rId208" Type="http://schemas.openxmlformats.org/officeDocument/2006/relationships/hyperlink" Target="https://3arbzfbsh-cname-us.ngrok.io/Desktop/seabridge%20fintech/purpleline_pa_icon/EW_pa_purpleline_signal.jpg" TargetMode="External"/><Relationship Id="rId207" Type="http://schemas.openxmlformats.org/officeDocument/2006/relationships/hyperlink" Target="https://3arbzfbsh-cname-us.ngrok.io/Desktop/seabridge%20fintech/purpleline_pa_icon/EVRG_pa_purpleline_signal.jpg" TargetMode="External"/><Relationship Id="rId449" Type="http://schemas.openxmlformats.org/officeDocument/2006/relationships/hyperlink" Target="https://3arbzfbsh-cname-us.ngrok.io/Desktop/seabridge%20fintech/purpleline_pa_icon/NVTA_pa_purpleline_signal.jpg" TargetMode="External"/><Relationship Id="rId440" Type="http://schemas.openxmlformats.org/officeDocument/2006/relationships/hyperlink" Target="https://3arbzfbsh-cname-us.ngrok.io/Desktop/seabridge%20fintech/purpleline_pa_icon/NTES_pa_purpleline_signal.jpg" TargetMode="External"/><Relationship Id="rId682" Type="http://schemas.openxmlformats.org/officeDocument/2006/relationships/hyperlink" Target="https://3arbzfbsh-cname-us.ngrok.io/Desktop/seabridge%20fintech/purpleline_pa_icon/XLI_pa_purpleline_signal.jpg" TargetMode="External"/><Relationship Id="rId681" Type="http://schemas.openxmlformats.org/officeDocument/2006/relationships/hyperlink" Target="https://3arbzfbsh-cname-us.ngrok.io/Desktop/seabridge%20fintech/purpleline_pa_icon/XLF_pa_purpleline_signal.jpg" TargetMode="External"/><Relationship Id="rId680" Type="http://schemas.openxmlformats.org/officeDocument/2006/relationships/hyperlink" Target="https://3arbzfbsh-cname-us.ngrok.io/Desktop/seabridge%20fintech/purpleline_pa_icon/XLE_pa_purpleline_signal.jpg" TargetMode="External"/><Relationship Id="rId202" Type="http://schemas.openxmlformats.org/officeDocument/2006/relationships/hyperlink" Target="https://3arbzfbsh-cname-us.ngrok.io/Desktop/seabridge%20fintech/purpleline_pa_icon/ES_pa_purpleline_signal.jpg" TargetMode="External"/><Relationship Id="rId444" Type="http://schemas.openxmlformats.org/officeDocument/2006/relationships/hyperlink" Target="https://3arbzfbsh-cname-us.ngrok.io/Desktop/seabridge%20fintech/purpleline_pa_icon/NUAN_pa_purpleline_signal.jpg" TargetMode="External"/><Relationship Id="rId686" Type="http://schemas.openxmlformats.org/officeDocument/2006/relationships/hyperlink" Target="https://3arbzfbsh-cname-us.ngrok.io/Desktop/seabridge%20fintech/purpleline_pa_icon/XLRE_pa_purpleline_signal.jpg" TargetMode="External"/><Relationship Id="rId201" Type="http://schemas.openxmlformats.org/officeDocument/2006/relationships/hyperlink" Target="https://3arbzfbsh-cname-us.ngrok.io/Desktop/seabridge%20fintech/purpleline_pa_icon/EQR_pa_purpleline_signal.jpg" TargetMode="External"/><Relationship Id="rId443" Type="http://schemas.openxmlformats.org/officeDocument/2006/relationships/hyperlink" Target="https://3arbzfbsh-cname-us.ngrok.io/Desktop/seabridge%20fintech/purpleline_pa_icon/NTRS_pa_purpleline_signal.jpg" TargetMode="External"/><Relationship Id="rId685" Type="http://schemas.openxmlformats.org/officeDocument/2006/relationships/hyperlink" Target="https://3arbzfbsh-cname-us.ngrok.io/Desktop/seabridge%20fintech/purpleline_pa_icon/XLP_pa_purpleline_signal.jpg" TargetMode="External"/><Relationship Id="rId200" Type="http://schemas.openxmlformats.org/officeDocument/2006/relationships/hyperlink" Target="https://3arbzfbsh-cname-us.ngrok.io/Desktop/seabridge%20fintech/purpleline_pa_icon/EQIX_pa_purpleline_signal.jpg" TargetMode="External"/><Relationship Id="rId442" Type="http://schemas.openxmlformats.org/officeDocument/2006/relationships/hyperlink" Target="https://3arbzfbsh-cname-us.ngrok.io/Desktop/seabridge%20fintech/purpleline_pa_icon/NTNX_pa_purpleline_signal.jpg" TargetMode="External"/><Relationship Id="rId684" Type="http://schemas.openxmlformats.org/officeDocument/2006/relationships/hyperlink" Target="https://3arbzfbsh-cname-us.ngrok.io/Desktop/seabridge%20fintech/purpleline_pa_icon/XLNX_pa_purpleline_signal.jpg" TargetMode="External"/><Relationship Id="rId441" Type="http://schemas.openxmlformats.org/officeDocument/2006/relationships/hyperlink" Target="https://3arbzfbsh-cname-us.ngrok.io/Desktop/seabridge%20fintech/purpleline_pa_icon/NTLA_pa_purpleline_signal.jpg" TargetMode="External"/><Relationship Id="rId683" Type="http://schemas.openxmlformats.org/officeDocument/2006/relationships/hyperlink" Target="https://3arbzfbsh-cname-us.ngrok.io/Desktop/seabridge%20fintech/purpleline_pa_icon/XLK_pa_purpleline_signal.jpg" TargetMode="External"/><Relationship Id="rId437" Type="http://schemas.openxmlformats.org/officeDocument/2006/relationships/hyperlink" Target="https://3arbzfbsh-cname-us.ngrok.io/Desktop/seabridge%20fintech/purpleline_pa_icon/NRG_pa_purpleline_signal.jpg" TargetMode="External"/><Relationship Id="rId679" Type="http://schemas.openxmlformats.org/officeDocument/2006/relationships/hyperlink" Target="https://3arbzfbsh-cname-us.ngrok.io/Desktop/seabridge%20fintech/purpleline_pa_icon/XLC_pa_purpleline_signal.jpg" TargetMode="External"/><Relationship Id="rId436" Type="http://schemas.openxmlformats.org/officeDocument/2006/relationships/hyperlink" Target="https://3arbzfbsh-cname-us.ngrok.io/Desktop/seabridge%20fintech/purpleline_pa_icon/NOW_pa_purpleline_signal.jpg" TargetMode="External"/><Relationship Id="rId678" Type="http://schemas.openxmlformats.org/officeDocument/2006/relationships/hyperlink" Target="https://3arbzfbsh-cname-us.ngrok.io/Desktop/seabridge%20fintech/purpleline_pa_icon/XLB_pa_purpleline_signal.jpg" TargetMode="External"/><Relationship Id="rId435" Type="http://schemas.openxmlformats.org/officeDocument/2006/relationships/hyperlink" Target="https://3arbzfbsh-cname-us.ngrok.io/Desktop/seabridge%20fintech/purpleline_pa_icon/NOVA_pa_purpleline_signal.jpg" TargetMode="External"/><Relationship Id="rId677" Type="http://schemas.openxmlformats.org/officeDocument/2006/relationships/hyperlink" Target="https://3arbzfbsh-cname-us.ngrok.io/Desktop/seabridge%20fintech/purpleline_pa_icon/XEL_pa_purpleline_signal.jpg" TargetMode="External"/><Relationship Id="rId434" Type="http://schemas.openxmlformats.org/officeDocument/2006/relationships/hyperlink" Target="https://3arbzfbsh-cname-us.ngrok.io/Desktop/seabridge%20fintech/purpleline_pa_icon/NOV_pa_purpleline_signal.jpg" TargetMode="External"/><Relationship Id="rId676" Type="http://schemas.openxmlformats.org/officeDocument/2006/relationships/hyperlink" Target="https://3arbzfbsh-cname-us.ngrok.io/Desktop/seabridge%20fintech/purpleline_pa_icon/XBI_pa_purpleline_signal.jpg" TargetMode="External"/><Relationship Id="rId439" Type="http://schemas.openxmlformats.org/officeDocument/2006/relationships/hyperlink" Target="https://3arbzfbsh-cname-us.ngrok.io/Desktop/seabridge%20fintech/purpleline_pa_icon/NTAP_pa_purpleline_signal.jpg" TargetMode="External"/><Relationship Id="rId438" Type="http://schemas.openxmlformats.org/officeDocument/2006/relationships/hyperlink" Target="https://3arbzfbsh-cname-us.ngrok.io/Desktop/seabridge%20fintech/purpleline_pa_icon/NSC_pa_purpleline_signal.jpg" TargetMode="External"/><Relationship Id="rId671" Type="http://schemas.openxmlformats.org/officeDocument/2006/relationships/hyperlink" Target="https://3arbzfbsh-cname-us.ngrok.io/Desktop/seabridge%20fintech/purpleline_pa_icon/WSC_pa_purpleline_signal.jpg" TargetMode="External"/><Relationship Id="rId670" Type="http://schemas.openxmlformats.org/officeDocument/2006/relationships/hyperlink" Target="https://3arbzfbsh-cname-us.ngrok.io/Desktop/seabridge%20fintech/purpleline_pa_icon/WRK_pa_purpleline_signal.jpg" TargetMode="External"/><Relationship Id="rId433" Type="http://schemas.openxmlformats.org/officeDocument/2006/relationships/hyperlink" Target="https://3arbzfbsh-cname-us.ngrok.io/Desktop/seabridge%20fintech/purpleline_pa_icon/NOC_pa_purpleline_signal.jpg" TargetMode="External"/><Relationship Id="rId675" Type="http://schemas.openxmlformats.org/officeDocument/2006/relationships/hyperlink" Target="https://3arbzfbsh-cname-us.ngrok.io/Desktop/seabridge%20fintech/purpleline_pa_icon/WYNN_pa_purpleline_signal.jpg" TargetMode="External"/><Relationship Id="rId432" Type="http://schemas.openxmlformats.org/officeDocument/2006/relationships/hyperlink" Target="https://3arbzfbsh-cname-us.ngrok.io/Desktop/seabridge%20fintech/purpleline_pa_icon/NLSN_pa_purpleline_signal.jpg" TargetMode="External"/><Relationship Id="rId674" Type="http://schemas.openxmlformats.org/officeDocument/2006/relationships/hyperlink" Target="https://3arbzfbsh-cname-us.ngrok.io/Desktop/seabridge%20fintech/purpleline_pa_icon/WY_pa_purpleline_signal.jpg" TargetMode="External"/><Relationship Id="rId431" Type="http://schemas.openxmlformats.org/officeDocument/2006/relationships/hyperlink" Target="https://3arbzfbsh-cname-us.ngrok.io/Desktop/seabridge%20fintech/purpleline_pa_icon/NLOK_pa_purpleline_signal.jpg" TargetMode="External"/><Relationship Id="rId673" Type="http://schemas.openxmlformats.org/officeDocument/2006/relationships/hyperlink" Target="https://3arbzfbsh-cname-us.ngrok.io/Desktop/seabridge%20fintech/purpleline_pa_icon/WU_pa_purpleline_signal.jpg" TargetMode="External"/><Relationship Id="rId430" Type="http://schemas.openxmlformats.org/officeDocument/2006/relationships/hyperlink" Target="https://3arbzfbsh-cname-us.ngrok.io/Desktop/seabridge%20fintech/purpleline_pa_icon/NKE_pa_purpleline_signal.jpg" TargetMode="External"/><Relationship Id="rId672" Type="http://schemas.openxmlformats.org/officeDocument/2006/relationships/hyperlink" Target="https://3arbzfbsh-cname-us.ngrok.io/Desktop/seabridge%20fintech/purpleline_pa_icon/WST_pa_purpleline_signal.jpg" TargetMode="External"/></Relationships>
</file>

<file path=xl/worksheets/_rels/sheet12.xml.rels><?xml version="1.0" encoding="UTF-8" standalone="yes"?><Relationships xmlns="http://schemas.openxmlformats.org/package/2006/relationships"><Relationship Id="rId190" Type="http://schemas.openxmlformats.org/officeDocument/2006/relationships/hyperlink" Target="https://financialmodelingprep.com/image-stock/EIX.png" TargetMode="External"/><Relationship Id="rId194" Type="http://schemas.openxmlformats.org/officeDocument/2006/relationships/hyperlink" Target="https://financialmodelingprep.com/image-stock/EMB.jpg" TargetMode="External"/><Relationship Id="rId193" Type="http://schemas.openxmlformats.org/officeDocument/2006/relationships/hyperlink" Target="https://financialmodelingprep.com/image-stock/ELY.png" TargetMode="External"/><Relationship Id="rId192" Type="http://schemas.openxmlformats.org/officeDocument/2006/relationships/hyperlink" Target="https://financialmodelingprep.com/image-stock/ELAN.png" TargetMode="External"/><Relationship Id="rId191" Type="http://schemas.openxmlformats.org/officeDocument/2006/relationships/hyperlink" Target="https://financialmodelingprep.com/image-stock/EL.png" TargetMode="External"/><Relationship Id="rId187" Type="http://schemas.openxmlformats.org/officeDocument/2006/relationships/hyperlink" Target="https://financialmodelingprep.com/image-stock/EEM.png" TargetMode="External"/><Relationship Id="rId186" Type="http://schemas.openxmlformats.org/officeDocument/2006/relationships/hyperlink" Target="https://financialmodelingprep.com/image-stock/ED.png" TargetMode="External"/><Relationship Id="rId185" Type="http://schemas.openxmlformats.org/officeDocument/2006/relationships/hyperlink" Target="https://financialmodelingprep.com/image-stock/ECL.png" TargetMode="External"/><Relationship Id="rId184" Type="http://schemas.openxmlformats.org/officeDocument/2006/relationships/hyperlink" Target="https://financialmodelingprep.com/image-stock/EBAY.png" TargetMode="External"/><Relationship Id="rId189" Type="http://schemas.openxmlformats.org/officeDocument/2006/relationships/hyperlink" Target="https://financialmodelingprep.com/image-stock/EFX.png" TargetMode="External"/><Relationship Id="rId188" Type="http://schemas.openxmlformats.org/officeDocument/2006/relationships/hyperlink" Target="https://financialmodelingprep.com/image-stock/EFA.png" TargetMode="External"/><Relationship Id="rId183" Type="http://schemas.openxmlformats.org/officeDocument/2006/relationships/hyperlink" Target="https://financialmodelingprep.com/image-stock/EA.png" TargetMode="External"/><Relationship Id="rId182" Type="http://schemas.openxmlformats.org/officeDocument/2006/relationships/hyperlink" Target="https://financialmodelingprep.com/image-stock/DXCM.png" TargetMode="External"/><Relationship Id="rId181" Type="http://schemas.openxmlformats.org/officeDocument/2006/relationships/hyperlink" Target="https://financialmodelingprep.com/image-stock/DXC.png" TargetMode="External"/><Relationship Id="rId180" Type="http://schemas.openxmlformats.org/officeDocument/2006/relationships/hyperlink" Target="https://financialmodelingprep.com/image-stock/DVN.png" TargetMode="External"/><Relationship Id="rId176" Type="http://schemas.openxmlformats.org/officeDocument/2006/relationships/hyperlink" Target="https://financialmodelingprep.com/image-stock/DRI.png" TargetMode="External"/><Relationship Id="rId175" Type="http://schemas.openxmlformats.org/officeDocument/2006/relationships/hyperlink" Target="https://financialmodelingprep.com/image-stock/DRE.png" TargetMode="External"/><Relationship Id="rId174" Type="http://schemas.openxmlformats.org/officeDocument/2006/relationships/hyperlink" Target="https://financialmodelingprep.com/image-stock/DPZ.png" TargetMode="External"/><Relationship Id="rId173" Type="http://schemas.openxmlformats.org/officeDocument/2006/relationships/hyperlink" Target="https://financialmodelingprep.com/image-stock/DOW.png" TargetMode="External"/><Relationship Id="rId179" Type="http://schemas.openxmlformats.org/officeDocument/2006/relationships/hyperlink" Target="https://financialmodelingprep.com/image-stock/DVA.png" TargetMode="External"/><Relationship Id="rId178" Type="http://schemas.openxmlformats.org/officeDocument/2006/relationships/hyperlink" Target="https://financialmodelingprep.com/image-stock/DUK.png" TargetMode="External"/><Relationship Id="rId177" Type="http://schemas.openxmlformats.org/officeDocument/2006/relationships/hyperlink" Target="https://financialmodelingprep.com/image-stock/DTE.png" TargetMode="External"/><Relationship Id="rId198" Type="http://schemas.openxmlformats.org/officeDocument/2006/relationships/hyperlink" Target="https://financialmodelingprep.com/image-stock/EOG.png" TargetMode="External"/><Relationship Id="rId197" Type="http://schemas.openxmlformats.org/officeDocument/2006/relationships/hyperlink" Target="https://financialmodelingprep.com/image-stock/ENPH.png" TargetMode="External"/><Relationship Id="rId196" Type="http://schemas.openxmlformats.org/officeDocument/2006/relationships/hyperlink" Target="https://financialmodelingprep.com/image-stock/EMR.png" TargetMode="External"/><Relationship Id="rId195" Type="http://schemas.openxmlformats.org/officeDocument/2006/relationships/hyperlink" Target="https://financialmodelingprep.com/image-stock/EMN.png" TargetMode="External"/><Relationship Id="rId199" Type="http://schemas.openxmlformats.org/officeDocument/2006/relationships/hyperlink" Target="https://financialmodelingprep.com/image-stock/EQH.png" TargetMode="External"/><Relationship Id="rId150" Type="http://schemas.openxmlformats.org/officeDocument/2006/relationships/hyperlink" Target="https://financialmodelingprep.com/image-stock/D.png" TargetMode="External"/><Relationship Id="rId392" Type="http://schemas.openxmlformats.org/officeDocument/2006/relationships/hyperlink" Target="https://financialmodelingprep.com/image-stock/MDLZ.png" TargetMode="External"/><Relationship Id="rId391" Type="http://schemas.openxmlformats.org/officeDocument/2006/relationships/hyperlink" Target="https://financialmodelingprep.com/image-stock/MCO.png" TargetMode="External"/><Relationship Id="rId390" Type="http://schemas.openxmlformats.org/officeDocument/2006/relationships/hyperlink" Target="https://financialmodelingprep.com/image-stock/MCK.png" TargetMode="External"/><Relationship Id="rId1" Type="http://schemas.openxmlformats.org/officeDocument/2006/relationships/hyperlink" Target="https://financialmodelingprep.com/image-stock/A.png" TargetMode="External"/><Relationship Id="rId2" Type="http://schemas.openxmlformats.org/officeDocument/2006/relationships/hyperlink" Target="https://financialmodelingprep.com/image-stock/AA.png" TargetMode="External"/><Relationship Id="rId3" Type="http://schemas.openxmlformats.org/officeDocument/2006/relationships/hyperlink" Target="https://financialmodelingprep.com/image-stock/AAL.png" TargetMode="External"/><Relationship Id="rId149" Type="http://schemas.openxmlformats.org/officeDocument/2006/relationships/hyperlink" Target="https://financialmodelingprep.com/image-stock/CZR.png" TargetMode="External"/><Relationship Id="rId4" Type="http://schemas.openxmlformats.org/officeDocument/2006/relationships/hyperlink" Target="https://financialmodelingprep.com/image-stock/AAP.png" TargetMode="External"/><Relationship Id="rId148" Type="http://schemas.openxmlformats.org/officeDocument/2006/relationships/hyperlink" Target="https://financialmodelingprep.com/image-stock/CVX.png" TargetMode="External"/><Relationship Id="rId9" Type="http://schemas.openxmlformats.org/officeDocument/2006/relationships/hyperlink" Target="https://financialmodelingprep.com/image-stock/ABT.png" TargetMode="External"/><Relationship Id="rId143" Type="http://schemas.openxmlformats.org/officeDocument/2006/relationships/hyperlink" Target="https://financialmodelingprep.com/image-stock/CTLT.png" TargetMode="External"/><Relationship Id="rId385" Type="http://schemas.openxmlformats.org/officeDocument/2006/relationships/hyperlink" Target="https://financialmodelingprep.com/image-stock/MARA.png" TargetMode="External"/><Relationship Id="rId142" Type="http://schemas.openxmlformats.org/officeDocument/2006/relationships/hyperlink" Target="https://financialmodelingprep.com/image-stock/CTAS.png" TargetMode="External"/><Relationship Id="rId384" Type="http://schemas.openxmlformats.org/officeDocument/2006/relationships/hyperlink" Target="https://financialmodelingprep.com/image-stock/MAR.png" TargetMode="External"/><Relationship Id="rId141" Type="http://schemas.openxmlformats.org/officeDocument/2006/relationships/hyperlink" Target="https://financialmodelingprep.com/image-stock/CSX.png" TargetMode="External"/><Relationship Id="rId383" Type="http://schemas.openxmlformats.org/officeDocument/2006/relationships/hyperlink" Target="https://financialmodelingprep.com/image-stock/MAA.png" TargetMode="External"/><Relationship Id="rId140" Type="http://schemas.openxmlformats.org/officeDocument/2006/relationships/hyperlink" Target="https://financialmodelingprep.com/image-stock/CSGP.png" TargetMode="External"/><Relationship Id="rId382" Type="http://schemas.openxmlformats.org/officeDocument/2006/relationships/hyperlink" Target="https://financialmodelingprep.com/image-stock/MA.png" TargetMode="External"/><Relationship Id="rId5" Type="http://schemas.openxmlformats.org/officeDocument/2006/relationships/hyperlink" Target="https://financialmodelingprep.com/image-stock/AAPL.png" TargetMode="External"/><Relationship Id="rId147" Type="http://schemas.openxmlformats.org/officeDocument/2006/relationships/hyperlink" Target="https://financialmodelingprep.com/image-stock/CVS.png" TargetMode="External"/><Relationship Id="rId389" Type="http://schemas.openxmlformats.org/officeDocument/2006/relationships/hyperlink" Target="https://financialmodelingprep.com/image-stock/MCHP.png" TargetMode="External"/><Relationship Id="rId6" Type="http://schemas.openxmlformats.org/officeDocument/2006/relationships/hyperlink" Target="https://financialmodelingprep.com/image-stock/ABBV.png" TargetMode="External"/><Relationship Id="rId146" Type="http://schemas.openxmlformats.org/officeDocument/2006/relationships/hyperlink" Target="https://financialmodelingprep.com/image-stock/CTXS.png" TargetMode="External"/><Relationship Id="rId388" Type="http://schemas.openxmlformats.org/officeDocument/2006/relationships/hyperlink" Target="https://financialmodelingprep.com/image-stock/MCHI.png" TargetMode="External"/><Relationship Id="rId7" Type="http://schemas.openxmlformats.org/officeDocument/2006/relationships/hyperlink" Target="https://financialmodelingprep.com/image-stock/ABC.png" TargetMode="External"/><Relationship Id="rId145" Type="http://schemas.openxmlformats.org/officeDocument/2006/relationships/hyperlink" Target="https://financialmodelingprep.com/image-stock/CTVA.png" TargetMode="External"/><Relationship Id="rId387" Type="http://schemas.openxmlformats.org/officeDocument/2006/relationships/hyperlink" Target="https://financialmodelingprep.com/image-stock/MCD.png" TargetMode="External"/><Relationship Id="rId8" Type="http://schemas.openxmlformats.org/officeDocument/2006/relationships/hyperlink" Target="https://financialmodelingprep.com/image-stock/ABMD.png" TargetMode="External"/><Relationship Id="rId144" Type="http://schemas.openxmlformats.org/officeDocument/2006/relationships/hyperlink" Target="https://financialmodelingprep.com/image-stock/CTSH.png" TargetMode="External"/><Relationship Id="rId386" Type="http://schemas.openxmlformats.org/officeDocument/2006/relationships/hyperlink" Target="https://financialmodelingprep.com/image-stock/MAS.png" TargetMode="External"/><Relationship Id="rId381" Type="http://schemas.openxmlformats.org/officeDocument/2006/relationships/hyperlink" Target="https://financialmodelingprep.com/image-stock/LYV.png" TargetMode="External"/><Relationship Id="rId380" Type="http://schemas.openxmlformats.org/officeDocument/2006/relationships/hyperlink" Target="https://financialmodelingprep.com/image-stock/LYFT.png" TargetMode="External"/><Relationship Id="rId139" Type="http://schemas.openxmlformats.org/officeDocument/2006/relationships/hyperlink" Target="https://financialmodelingprep.com/image-stock/CSCO.png" TargetMode="External"/><Relationship Id="rId138" Type="http://schemas.openxmlformats.org/officeDocument/2006/relationships/hyperlink" Target="https://financialmodelingprep.com/image-stock/CRWD.png" TargetMode="External"/><Relationship Id="rId137" Type="http://schemas.openxmlformats.org/officeDocument/2006/relationships/hyperlink" Target="https://financialmodelingprep.com/image-stock/CRSR.png" TargetMode="External"/><Relationship Id="rId379" Type="http://schemas.openxmlformats.org/officeDocument/2006/relationships/hyperlink" Target="https://financialmodelingprep.com/image-stock/LYB.png" TargetMode="External"/><Relationship Id="rId132" Type="http://schemas.openxmlformats.org/officeDocument/2006/relationships/hyperlink" Target="https://financialmodelingprep.com/image-stock/COST.png" TargetMode="External"/><Relationship Id="rId374" Type="http://schemas.openxmlformats.org/officeDocument/2006/relationships/hyperlink" Target="https://financialmodelingprep.com/image-stock/LULU.png" TargetMode="External"/><Relationship Id="rId131" Type="http://schemas.openxmlformats.org/officeDocument/2006/relationships/hyperlink" Target="https://financialmodelingprep.com/image-stock/COP.png" TargetMode="External"/><Relationship Id="rId373" Type="http://schemas.openxmlformats.org/officeDocument/2006/relationships/hyperlink" Target="https://financialmodelingprep.com/image-stock/LRCX.png" TargetMode="External"/><Relationship Id="rId130" Type="http://schemas.openxmlformats.org/officeDocument/2006/relationships/hyperlink" Target="https://financialmodelingprep.com/image-stock/COO.png" TargetMode="External"/><Relationship Id="rId372" Type="http://schemas.openxmlformats.org/officeDocument/2006/relationships/hyperlink" Target="https://financialmodelingprep.com/image-stock/LQD.jpg" TargetMode="External"/><Relationship Id="rId371" Type="http://schemas.openxmlformats.org/officeDocument/2006/relationships/hyperlink" Target="https://financialmodelingprep.com/image-stock/LPX.png" TargetMode="External"/><Relationship Id="rId136" Type="http://schemas.openxmlformats.org/officeDocument/2006/relationships/hyperlink" Target="https://financialmodelingprep.com/image-stock/CRM.png" TargetMode="External"/><Relationship Id="rId378" Type="http://schemas.openxmlformats.org/officeDocument/2006/relationships/hyperlink" Target="https://financialmodelingprep.com/image-stock/LW.png" TargetMode="External"/><Relationship Id="rId135" Type="http://schemas.openxmlformats.org/officeDocument/2006/relationships/hyperlink" Target="https://financialmodelingprep.com/image-stock/CRL.png" TargetMode="External"/><Relationship Id="rId377" Type="http://schemas.openxmlformats.org/officeDocument/2006/relationships/hyperlink" Target="https://financialmodelingprep.com/image-stock/LVS.png" TargetMode="External"/><Relationship Id="rId134" Type="http://schemas.openxmlformats.org/officeDocument/2006/relationships/hyperlink" Target="https://financialmodelingprep.com/image-stock/CPRT.png" TargetMode="External"/><Relationship Id="rId376" Type="http://schemas.openxmlformats.org/officeDocument/2006/relationships/hyperlink" Target="https://financialmodelingprep.com/image-stock/LUV.png" TargetMode="External"/><Relationship Id="rId133" Type="http://schemas.openxmlformats.org/officeDocument/2006/relationships/hyperlink" Target="https://financialmodelingprep.com/image-stock/CPB.png" TargetMode="External"/><Relationship Id="rId375" Type="http://schemas.openxmlformats.org/officeDocument/2006/relationships/hyperlink" Target="https://financialmodelingprep.com/image-stock/LUMN.png" TargetMode="External"/><Relationship Id="rId172" Type="http://schemas.openxmlformats.org/officeDocument/2006/relationships/hyperlink" Target="https://financialmodelingprep.com/image-stock/DOV.png" TargetMode="External"/><Relationship Id="rId171" Type="http://schemas.openxmlformats.org/officeDocument/2006/relationships/hyperlink" Target="https://financialmodelingprep.com/image-stock/DOCU.png" TargetMode="External"/><Relationship Id="rId170" Type="http://schemas.openxmlformats.org/officeDocument/2006/relationships/hyperlink" Target="https://financialmodelingprep.com/image-stock/DLTR.png" TargetMode="External"/><Relationship Id="rId165" Type="http://schemas.openxmlformats.org/officeDocument/2006/relationships/hyperlink" Target="https://financialmodelingprep.com/image-stock/DIS.png" TargetMode="External"/><Relationship Id="rId164" Type="http://schemas.openxmlformats.org/officeDocument/2006/relationships/hyperlink" Target="https://financialmodelingprep.com/image-stock/DIA.png" TargetMode="External"/><Relationship Id="rId163" Type="http://schemas.openxmlformats.org/officeDocument/2006/relationships/hyperlink" Target="https://financialmodelingprep.com/image-stock/DHR.png" TargetMode="External"/><Relationship Id="rId162" Type="http://schemas.openxmlformats.org/officeDocument/2006/relationships/hyperlink" Target="https://financialmodelingprep.com/image-stock/DHI.png" TargetMode="External"/><Relationship Id="rId169" Type="http://schemas.openxmlformats.org/officeDocument/2006/relationships/hyperlink" Target="https://financialmodelingprep.com/image-stock/DLR.png" TargetMode="External"/><Relationship Id="rId168" Type="http://schemas.openxmlformats.org/officeDocument/2006/relationships/hyperlink" Target="https://financialmodelingprep.com/image-stock/DKNG.png" TargetMode="External"/><Relationship Id="rId167" Type="http://schemas.openxmlformats.org/officeDocument/2006/relationships/hyperlink" Target="https://financialmodelingprep.com/image-stock/DISH.png" TargetMode="External"/><Relationship Id="rId166" Type="http://schemas.openxmlformats.org/officeDocument/2006/relationships/hyperlink" Target="https://financialmodelingprep.com/image-stock/DISCA.png" TargetMode="External"/><Relationship Id="rId161" Type="http://schemas.openxmlformats.org/officeDocument/2006/relationships/hyperlink" Target="https://financialmodelingprep.com/image-stock/DGX.png" TargetMode="External"/><Relationship Id="rId160" Type="http://schemas.openxmlformats.org/officeDocument/2006/relationships/hyperlink" Target="https://financialmodelingprep.com/image-stock/DG.png" TargetMode="External"/><Relationship Id="rId159" Type="http://schemas.openxmlformats.org/officeDocument/2006/relationships/hyperlink" Target="https://financialmodelingprep.com/image-stock/DFS.png" TargetMode="External"/><Relationship Id="rId154" Type="http://schemas.openxmlformats.org/officeDocument/2006/relationships/hyperlink" Target="https://financialmodelingprep.com/image-stock/DD.png" TargetMode="External"/><Relationship Id="rId396" Type="http://schemas.openxmlformats.org/officeDocument/2006/relationships/hyperlink" Target="https://financialmodelingprep.com/image-stock/MGM.png" TargetMode="External"/><Relationship Id="rId153" Type="http://schemas.openxmlformats.org/officeDocument/2006/relationships/hyperlink" Target="https://financialmodelingprep.com/image-stock/DBX.png" TargetMode="External"/><Relationship Id="rId395" Type="http://schemas.openxmlformats.org/officeDocument/2006/relationships/hyperlink" Target="https://financialmodelingprep.com/image-stock/MET.png" TargetMode="External"/><Relationship Id="rId152" Type="http://schemas.openxmlformats.org/officeDocument/2006/relationships/hyperlink" Target="https://financialmodelingprep.com/image-stock/DAR.png" TargetMode="External"/><Relationship Id="rId394" Type="http://schemas.openxmlformats.org/officeDocument/2006/relationships/hyperlink" Target="https://financialmodelingprep.com/image-stock/MELI.png" TargetMode="External"/><Relationship Id="rId151" Type="http://schemas.openxmlformats.org/officeDocument/2006/relationships/hyperlink" Target="https://financialmodelingprep.com/image-stock/DAL.png" TargetMode="External"/><Relationship Id="rId393" Type="http://schemas.openxmlformats.org/officeDocument/2006/relationships/hyperlink" Target="https://financialmodelingprep.com/image-stock/MDT.png" TargetMode="External"/><Relationship Id="rId158" Type="http://schemas.openxmlformats.org/officeDocument/2006/relationships/hyperlink" Target="https://financialmodelingprep.com/image-stock/DELL.png" TargetMode="External"/><Relationship Id="rId157" Type="http://schemas.openxmlformats.org/officeDocument/2006/relationships/hyperlink" Target="https://financialmodelingprep.com/image-stock/DE.png" TargetMode="External"/><Relationship Id="rId399" Type="http://schemas.openxmlformats.org/officeDocument/2006/relationships/hyperlink" Target="https://financialmodelingprep.com/image-stock/MKC.png" TargetMode="External"/><Relationship Id="rId156" Type="http://schemas.openxmlformats.org/officeDocument/2006/relationships/hyperlink" Target="https://financialmodelingprep.com/image-stock/DDOG.png" TargetMode="External"/><Relationship Id="rId398" Type="http://schemas.openxmlformats.org/officeDocument/2006/relationships/hyperlink" Target="https://financialmodelingprep.com/image-stock/MHK.png" TargetMode="External"/><Relationship Id="rId155" Type="http://schemas.openxmlformats.org/officeDocument/2006/relationships/hyperlink" Target="https://financialmodelingprep.com/image-stock/DDD.png" TargetMode="External"/><Relationship Id="rId397" Type="http://schemas.openxmlformats.org/officeDocument/2006/relationships/hyperlink" Target="https://financialmodelingprep.com/image-stock/MGNI.jpg" TargetMode="External"/><Relationship Id="rId40" Type="http://schemas.openxmlformats.org/officeDocument/2006/relationships/hyperlink" Target="https://financialmodelingprep.com/image-stock/AMLP.jpg" TargetMode="External"/><Relationship Id="rId42" Type="http://schemas.openxmlformats.org/officeDocument/2006/relationships/hyperlink" Target="https://financialmodelingprep.com/image-stock/AMT.png" TargetMode="External"/><Relationship Id="rId41" Type="http://schemas.openxmlformats.org/officeDocument/2006/relationships/hyperlink" Target="https://financialmodelingprep.com/image-stock/AMP.png" TargetMode="External"/><Relationship Id="rId44" Type="http://schemas.openxmlformats.org/officeDocument/2006/relationships/hyperlink" Target="https://financialmodelingprep.com/image-stock/ANET.png" TargetMode="External"/><Relationship Id="rId43" Type="http://schemas.openxmlformats.org/officeDocument/2006/relationships/hyperlink" Target="https://financialmodelingprep.com/image-stock/AMZN.png" TargetMode="External"/><Relationship Id="rId46" Type="http://schemas.openxmlformats.org/officeDocument/2006/relationships/hyperlink" Target="https://financialmodelingprep.com/image-stock/ANTM.png" TargetMode="External"/><Relationship Id="rId45" Type="http://schemas.openxmlformats.org/officeDocument/2006/relationships/hyperlink" Target="https://financialmodelingprep.com/image-stock/ANSS.png" TargetMode="External"/><Relationship Id="rId509" Type="http://schemas.openxmlformats.org/officeDocument/2006/relationships/hyperlink" Target="https://financialmodelingprep.com/image-stock/QRVO.png" TargetMode="External"/><Relationship Id="rId508" Type="http://schemas.openxmlformats.org/officeDocument/2006/relationships/hyperlink" Target="https://financialmodelingprep.com/image-stock/QQQ.png" TargetMode="External"/><Relationship Id="rId503" Type="http://schemas.openxmlformats.org/officeDocument/2006/relationships/hyperlink" Target="https://financialmodelingprep.com/image-stock/PWR.png" TargetMode="External"/><Relationship Id="rId502" Type="http://schemas.openxmlformats.org/officeDocument/2006/relationships/hyperlink" Target="https://financialmodelingprep.com/image-stock/PVH.png" TargetMode="External"/><Relationship Id="rId501" Type="http://schemas.openxmlformats.org/officeDocument/2006/relationships/hyperlink" Target="https://financialmodelingprep.com/image-stock/PTON.png" TargetMode="External"/><Relationship Id="rId500" Type="http://schemas.openxmlformats.org/officeDocument/2006/relationships/hyperlink" Target="https://financialmodelingprep.com/image-stock/PTC.png" TargetMode="External"/><Relationship Id="rId507" Type="http://schemas.openxmlformats.org/officeDocument/2006/relationships/hyperlink" Target="https://financialmodelingprep.com/image-stock/QLD.png" TargetMode="External"/><Relationship Id="rId506" Type="http://schemas.openxmlformats.org/officeDocument/2006/relationships/hyperlink" Target="https://financialmodelingprep.com/image-stock/QCOM.png" TargetMode="External"/><Relationship Id="rId505" Type="http://schemas.openxmlformats.org/officeDocument/2006/relationships/hyperlink" Target="https://financialmodelingprep.com/image-stock/PYPL.png" TargetMode="External"/><Relationship Id="rId504" Type="http://schemas.openxmlformats.org/officeDocument/2006/relationships/hyperlink" Target="https://financialmodelingprep.com/image-stock/PXD.png" TargetMode="External"/><Relationship Id="rId48" Type="http://schemas.openxmlformats.org/officeDocument/2006/relationships/hyperlink" Target="https://financialmodelingprep.com/image-stock/AOS.png" TargetMode="External"/><Relationship Id="rId47" Type="http://schemas.openxmlformats.org/officeDocument/2006/relationships/hyperlink" Target="https://financialmodelingprep.com/image-stock/AON.png" TargetMode="External"/><Relationship Id="rId49" Type="http://schemas.openxmlformats.org/officeDocument/2006/relationships/hyperlink" Target="https://financialmodelingprep.com/image-stock/APA.png" TargetMode="External"/><Relationship Id="rId31" Type="http://schemas.openxmlformats.org/officeDocument/2006/relationships/hyperlink" Target="https://financialmodelingprep.com/image-stock/ALLE.png" TargetMode="External"/><Relationship Id="rId30" Type="http://schemas.openxmlformats.org/officeDocument/2006/relationships/hyperlink" Target="https://financialmodelingprep.com/image-stock/ALL.png" TargetMode="External"/><Relationship Id="rId33" Type="http://schemas.openxmlformats.org/officeDocument/2006/relationships/hyperlink" Target="https://financialmodelingprep.com/image-stock/ALXN.png" TargetMode="External"/><Relationship Id="rId32" Type="http://schemas.openxmlformats.org/officeDocument/2006/relationships/hyperlink" Target="https://financialmodelingprep.com/image-stock/ALLY.png" TargetMode="External"/><Relationship Id="rId35" Type="http://schemas.openxmlformats.org/officeDocument/2006/relationships/hyperlink" Target="https://financialmodelingprep.com/image-stock/AMC.png" TargetMode="External"/><Relationship Id="rId34" Type="http://schemas.openxmlformats.org/officeDocument/2006/relationships/hyperlink" Target="https://financialmodelingprep.com/image-stock/AMAT.png" TargetMode="External"/><Relationship Id="rId37" Type="http://schemas.openxmlformats.org/officeDocument/2006/relationships/hyperlink" Target="https://financialmodelingprep.com/image-stock/AMD.png" TargetMode="External"/><Relationship Id="rId36" Type="http://schemas.openxmlformats.org/officeDocument/2006/relationships/hyperlink" Target="https://financialmodelingprep.com/image-stock/AMCR.png" TargetMode="External"/><Relationship Id="rId39" Type="http://schemas.openxmlformats.org/officeDocument/2006/relationships/hyperlink" Target="https://financialmodelingprep.com/image-stock/AMGN.png" TargetMode="External"/><Relationship Id="rId38" Type="http://schemas.openxmlformats.org/officeDocument/2006/relationships/hyperlink" Target="https://financialmodelingprep.com/image-stock/AME.png" TargetMode="External"/><Relationship Id="rId20" Type="http://schemas.openxmlformats.org/officeDocument/2006/relationships/hyperlink" Target="https://financialmodelingprep.com/image-stock/AFL.png" TargetMode="External"/><Relationship Id="rId22" Type="http://schemas.openxmlformats.org/officeDocument/2006/relationships/hyperlink" Target="https://financialmodelingprep.com/image-stock/AI.png" TargetMode="External"/><Relationship Id="rId21" Type="http://schemas.openxmlformats.org/officeDocument/2006/relationships/hyperlink" Target="https://financialmodelingprep.com/image-stock/AGG.png" TargetMode="External"/><Relationship Id="rId24" Type="http://schemas.openxmlformats.org/officeDocument/2006/relationships/hyperlink" Target="https://financialmodelingprep.com/image-stock/AIZ.png" TargetMode="External"/><Relationship Id="rId23" Type="http://schemas.openxmlformats.org/officeDocument/2006/relationships/hyperlink" Target="https://financialmodelingprep.com/image-stock/AIG.png" TargetMode="External"/><Relationship Id="rId525" Type="http://schemas.openxmlformats.org/officeDocument/2006/relationships/hyperlink" Target="https://financialmodelingprep.com/image-stock/RSG.png" TargetMode="External"/><Relationship Id="rId524" Type="http://schemas.openxmlformats.org/officeDocument/2006/relationships/hyperlink" Target="https://financialmodelingprep.com/image-stock/ROST.png" TargetMode="External"/><Relationship Id="rId523" Type="http://schemas.openxmlformats.org/officeDocument/2006/relationships/hyperlink" Target="https://financialmodelingprep.com/image-stock/ROP.png" TargetMode="External"/><Relationship Id="rId522" Type="http://schemas.openxmlformats.org/officeDocument/2006/relationships/hyperlink" Target="https://financialmodelingprep.com/image-stock/ROL.png" TargetMode="External"/><Relationship Id="rId529" Type="http://schemas.openxmlformats.org/officeDocument/2006/relationships/hyperlink" Target="https://financialmodelingprep.com/image-stock/SAVA.png" TargetMode="External"/><Relationship Id="rId528" Type="http://schemas.openxmlformats.org/officeDocument/2006/relationships/hyperlink" Target="https://financialmodelingprep.com/image-stock/RUN.png" TargetMode="External"/><Relationship Id="rId527" Type="http://schemas.openxmlformats.org/officeDocument/2006/relationships/hyperlink" Target="https://financialmodelingprep.com/image-stock/RTX.png" TargetMode="External"/><Relationship Id="rId526" Type="http://schemas.openxmlformats.org/officeDocument/2006/relationships/hyperlink" Target="https://financialmodelingprep.com/image-stock/RSP.png" TargetMode="External"/><Relationship Id="rId26" Type="http://schemas.openxmlformats.org/officeDocument/2006/relationships/hyperlink" Target="https://financialmodelingprep.com/image-stock/AKAM.png" TargetMode="External"/><Relationship Id="rId25" Type="http://schemas.openxmlformats.org/officeDocument/2006/relationships/hyperlink" Target="https://financialmodelingprep.com/image-stock/AJG.png" TargetMode="External"/><Relationship Id="rId28" Type="http://schemas.openxmlformats.org/officeDocument/2006/relationships/hyperlink" Target="https://financialmodelingprep.com/image-stock/ALGN.png" TargetMode="External"/><Relationship Id="rId27" Type="http://schemas.openxmlformats.org/officeDocument/2006/relationships/hyperlink" Target="https://financialmodelingprep.com/image-stock/ALB.png" TargetMode="External"/><Relationship Id="rId521" Type="http://schemas.openxmlformats.org/officeDocument/2006/relationships/hyperlink" Target="https://financialmodelingprep.com/image-stock/ROKU.png" TargetMode="External"/><Relationship Id="rId29" Type="http://schemas.openxmlformats.org/officeDocument/2006/relationships/hyperlink" Target="https://financialmodelingprep.com/image-stock/ALK.png" TargetMode="External"/><Relationship Id="rId520" Type="http://schemas.openxmlformats.org/officeDocument/2006/relationships/hyperlink" Target="https://financialmodelingprep.com/image-stock/ROK.png" TargetMode="External"/><Relationship Id="rId11" Type="http://schemas.openxmlformats.org/officeDocument/2006/relationships/hyperlink" Target="https://financialmodelingprep.com/image-stock/ADBE.png" TargetMode="External"/><Relationship Id="rId10" Type="http://schemas.openxmlformats.org/officeDocument/2006/relationships/hyperlink" Target="https://financialmodelingprep.com/image-stock/ACN.png" TargetMode="External"/><Relationship Id="rId13" Type="http://schemas.openxmlformats.org/officeDocument/2006/relationships/hyperlink" Target="https://financialmodelingprep.com/image-stock/ADM.png" TargetMode="External"/><Relationship Id="rId12" Type="http://schemas.openxmlformats.org/officeDocument/2006/relationships/hyperlink" Target="https://financialmodelingprep.com/image-stock/ADI.png" TargetMode="External"/><Relationship Id="rId519" Type="http://schemas.openxmlformats.org/officeDocument/2006/relationships/hyperlink" Target="https://financialmodelingprep.com/image-stock/RMD.png" TargetMode="External"/><Relationship Id="rId514" Type="http://schemas.openxmlformats.org/officeDocument/2006/relationships/hyperlink" Target="https://financialmodelingprep.com/image-stock/RF.png" TargetMode="External"/><Relationship Id="rId513" Type="http://schemas.openxmlformats.org/officeDocument/2006/relationships/hyperlink" Target="https://financialmodelingprep.com/image-stock/REGN.png" TargetMode="External"/><Relationship Id="rId512" Type="http://schemas.openxmlformats.org/officeDocument/2006/relationships/hyperlink" Target="https://financialmodelingprep.com/image-stock/REG.png" TargetMode="External"/><Relationship Id="rId511" Type="http://schemas.openxmlformats.org/officeDocument/2006/relationships/hyperlink" Target="https://financialmodelingprep.com/image-stock/RE.png" TargetMode="External"/><Relationship Id="rId518" Type="http://schemas.openxmlformats.org/officeDocument/2006/relationships/hyperlink" Target="https://financialmodelingprep.com/image-stock/RL.png" TargetMode="External"/><Relationship Id="rId517" Type="http://schemas.openxmlformats.org/officeDocument/2006/relationships/hyperlink" Target="https://financialmodelingprep.com/image-stock/RJF.png" TargetMode="External"/><Relationship Id="rId516" Type="http://schemas.openxmlformats.org/officeDocument/2006/relationships/hyperlink" Target="https://financialmodelingprep.com/image-stock/RIOT.png" TargetMode="External"/><Relationship Id="rId515" Type="http://schemas.openxmlformats.org/officeDocument/2006/relationships/hyperlink" Target="https://financialmodelingprep.com/image-stock/RHI.png" TargetMode="External"/><Relationship Id="rId15" Type="http://schemas.openxmlformats.org/officeDocument/2006/relationships/hyperlink" Target="https://financialmodelingprep.com/image-stock/ADSK.png" TargetMode="External"/><Relationship Id="rId14" Type="http://schemas.openxmlformats.org/officeDocument/2006/relationships/hyperlink" Target="https://financialmodelingprep.com/image-stock/ADP.png" TargetMode="External"/><Relationship Id="rId17" Type="http://schemas.openxmlformats.org/officeDocument/2006/relationships/hyperlink" Target="https://financialmodelingprep.com/image-stock/AEO.png" TargetMode="External"/><Relationship Id="rId16" Type="http://schemas.openxmlformats.org/officeDocument/2006/relationships/hyperlink" Target="https://financialmodelingprep.com/image-stock/AEE.png" TargetMode="External"/><Relationship Id="rId19" Type="http://schemas.openxmlformats.org/officeDocument/2006/relationships/hyperlink" Target="https://financialmodelingprep.com/image-stock/AES.png" TargetMode="External"/><Relationship Id="rId510" Type="http://schemas.openxmlformats.org/officeDocument/2006/relationships/hyperlink" Target="https://financialmodelingprep.com/image-stock/RCL.png" TargetMode="External"/><Relationship Id="rId18" Type="http://schemas.openxmlformats.org/officeDocument/2006/relationships/hyperlink" Target="https://financialmodelingprep.com/image-stock/AEP.png" TargetMode="External"/><Relationship Id="rId84" Type="http://schemas.openxmlformats.org/officeDocument/2006/relationships/hyperlink" Target="https://financialmodelingprep.com/image-stock/BLK.png" TargetMode="External"/><Relationship Id="rId83" Type="http://schemas.openxmlformats.org/officeDocument/2006/relationships/hyperlink" Target="https://financialmodelingprep.com/image-stock/BLDR.png" TargetMode="External"/><Relationship Id="rId86" Type="http://schemas.openxmlformats.org/officeDocument/2006/relationships/hyperlink" Target="https://financialmodelingprep.com/image-stock/BMY.png" TargetMode="External"/><Relationship Id="rId85" Type="http://schemas.openxmlformats.org/officeDocument/2006/relationships/hyperlink" Target="https://financialmodelingprep.com/image-stock/BLL.png" TargetMode="External"/><Relationship Id="rId88" Type="http://schemas.openxmlformats.org/officeDocument/2006/relationships/hyperlink" Target="https://financialmodelingprep.com/image-stock/BNDX.png" TargetMode="External"/><Relationship Id="rId87" Type="http://schemas.openxmlformats.org/officeDocument/2006/relationships/hyperlink" Target="https://financialmodelingprep.com/image-stock/BND.png" TargetMode="External"/><Relationship Id="rId89" Type="http://schemas.openxmlformats.org/officeDocument/2006/relationships/hyperlink" Target="https://financialmodelingprep.com/image-stock/BR.png" TargetMode="External"/><Relationship Id="rId80" Type="http://schemas.openxmlformats.org/officeDocument/2006/relationships/hyperlink" Target="https://financialmodelingprep.com/image-stock/BK.png" TargetMode="External"/><Relationship Id="rId82" Type="http://schemas.openxmlformats.org/officeDocument/2006/relationships/hyperlink" Target="https://financialmodelingprep.com/image-stock/BKR.jpg" TargetMode="External"/><Relationship Id="rId81" Type="http://schemas.openxmlformats.org/officeDocument/2006/relationships/hyperlink" Target="https://financialmodelingprep.com/image-stock/BKNG.png" TargetMode="External"/><Relationship Id="rId701" Type="http://schemas.openxmlformats.org/officeDocument/2006/relationships/drawing" Target="../drawings/drawing12.xml"/><Relationship Id="rId700" Type="http://schemas.openxmlformats.org/officeDocument/2006/relationships/hyperlink" Target="https://financialmodelingprep.com/image-stock/ZTS.png" TargetMode="External"/><Relationship Id="rId73" Type="http://schemas.openxmlformats.org/officeDocument/2006/relationships/hyperlink" Target="https://financialmodelingprep.com/image-stock/BBBY.png" TargetMode="External"/><Relationship Id="rId72" Type="http://schemas.openxmlformats.org/officeDocument/2006/relationships/hyperlink" Target="https://financialmodelingprep.com/image-stock/BAX.png" TargetMode="External"/><Relationship Id="rId75" Type="http://schemas.openxmlformats.org/officeDocument/2006/relationships/hyperlink" Target="https://financialmodelingprep.com/image-stock/BDX.png" TargetMode="External"/><Relationship Id="rId74" Type="http://schemas.openxmlformats.org/officeDocument/2006/relationships/hyperlink" Target="https://financialmodelingprep.com/image-stock/BBY.png" TargetMode="External"/><Relationship Id="rId77" Type="http://schemas.openxmlformats.org/officeDocument/2006/relationships/hyperlink" Target="https://financialmodelingprep.com/image-stock/BIDU.png" TargetMode="External"/><Relationship Id="rId76" Type="http://schemas.openxmlformats.org/officeDocument/2006/relationships/hyperlink" Target="https://financialmodelingprep.com/image-stock/BEN.png" TargetMode="External"/><Relationship Id="rId79" Type="http://schemas.openxmlformats.org/officeDocument/2006/relationships/hyperlink" Target="https://financialmodelingprep.com/image-stock/BIO.png" TargetMode="External"/><Relationship Id="rId78" Type="http://schemas.openxmlformats.org/officeDocument/2006/relationships/hyperlink" Target="https://financialmodelingprep.com/image-stock/BIIB.png" TargetMode="External"/><Relationship Id="rId71" Type="http://schemas.openxmlformats.org/officeDocument/2006/relationships/hyperlink" Target="https://financialmodelingprep.com/image-stock/BAC.png" TargetMode="External"/><Relationship Id="rId70" Type="http://schemas.openxmlformats.org/officeDocument/2006/relationships/hyperlink" Target="https://financialmodelingprep.com/image-stock/BA.png" TargetMode="External"/><Relationship Id="rId62" Type="http://schemas.openxmlformats.org/officeDocument/2006/relationships/hyperlink" Target="https://financialmodelingprep.com/image-stock/AVB.png" TargetMode="External"/><Relationship Id="rId61" Type="http://schemas.openxmlformats.org/officeDocument/2006/relationships/hyperlink" Target="https://financialmodelingprep.com/image-stock/ATVI.png" TargetMode="External"/><Relationship Id="rId64" Type="http://schemas.openxmlformats.org/officeDocument/2006/relationships/hyperlink" Target="https://financialmodelingprep.com/image-stock/AVTR.png" TargetMode="External"/><Relationship Id="rId63" Type="http://schemas.openxmlformats.org/officeDocument/2006/relationships/hyperlink" Target="https://financialmodelingprep.com/image-stock/AVGO.png" TargetMode="External"/><Relationship Id="rId66" Type="http://schemas.openxmlformats.org/officeDocument/2006/relationships/hyperlink" Target="https://financialmodelingprep.com/image-stock/AWK.png" TargetMode="External"/><Relationship Id="rId65" Type="http://schemas.openxmlformats.org/officeDocument/2006/relationships/hyperlink" Target="https://financialmodelingprep.com/image-stock/AVY.png" TargetMode="External"/><Relationship Id="rId68" Type="http://schemas.openxmlformats.org/officeDocument/2006/relationships/hyperlink" Target="https://financialmodelingprep.com/image-stock/AXTA.png" TargetMode="External"/><Relationship Id="rId67" Type="http://schemas.openxmlformats.org/officeDocument/2006/relationships/hyperlink" Target="https://financialmodelingprep.com/image-stock/AXP.png" TargetMode="External"/><Relationship Id="rId60" Type="http://schemas.openxmlformats.org/officeDocument/2006/relationships/hyperlink" Target="https://financialmodelingprep.com/image-stock/ATUS.png" TargetMode="External"/><Relationship Id="rId69" Type="http://schemas.openxmlformats.org/officeDocument/2006/relationships/hyperlink" Target="https://financialmodelingprep.com/image-stock/AZO.png" TargetMode="External"/><Relationship Id="rId51" Type="http://schemas.openxmlformats.org/officeDocument/2006/relationships/hyperlink" Target="https://financialmodelingprep.com/image-stock/APH.png" TargetMode="External"/><Relationship Id="rId50" Type="http://schemas.openxmlformats.org/officeDocument/2006/relationships/hyperlink" Target="https://financialmodelingprep.com/image-stock/APD.png" TargetMode="External"/><Relationship Id="rId53" Type="http://schemas.openxmlformats.org/officeDocument/2006/relationships/hyperlink" Target="https://financialmodelingprep.com/image-stock/APPS.png" TargetMode="External"/><Relationship Id="rId52" Type="http://schemas.openxmlformats.org/officeDocument/2006/relationships/hyperlink" Target="https://financialmodelingprep.com/image-stock/APO.png" TargetMode="External"/><Relationship Id="rId55" Type="http://schemas.openxmlformats.org/officeDocument/2006/relationships/hyperlink" Target="https://financialmodelingprep.com/image-stock/ARE.png" TargetMode="External"/><Relationship Id="rId54" Type="http://schemas.openxmlformats.org/officeDocument/2006/relationships/hyperlink" Target="https://financialmodelingprep.com/image-stock/APTV.png" TargetMode="External"/><Relationship Id="rId57" Type="http://schemas.openxmlformats.org/officeDocument/2006/relationships/hyperlink" Target="https://financialmodelingprep.com/image-stock/ASHR.jpg" TargetMode="External"/><Relationship Id="rId56" Type="http://schemas.openxmlformats.org/officeDocument/2006/relationships/hyperlink" Target="https://financialmodelingprep.com/image-stock/ASAN.png" TargetMode="External"/><Relationship Id="rId59" Type="http://schemas.openxmlformats.org/officeDocument/2006/relationships/hyperlink" Target="https://financialmodelingprep.com/image-stock/ATO.png" TargetMode="External"/><Relationship Id="rId58" Type="http://schemas.openxmlformats.org/officeDocument/2006/relationships/hyperlink" Target="https://financialmodelingprep.com/image-stock/ASML.png" TargetMode="External"/><Relationship Id="rId590" Type="http://schemas.openxmlformats.org/officeDocument/2006/relationships/hyperlink" Target="https://financialmodelingprep.com/image-stock/TMO.png" TargetMode="External"/><Relationship Id="rId107" Type="http://schemas.openxmlformats.org/officeDocument/2006/relationships/hyperlink" Target="https://financialmodelingprep.com/image-stock/CE.png" TargetMode="External"/><Relationship Id="rId349" Type="http://schemas.openxmlformats.org/officeDocument/2006/relationships/hyperlink" Target="https://financialmodelingprep.com/image-stock/KO.png" TargetMode="External"/><Relationship Id="rId106" Type="http://schemas.openxmlformats.org/officeDocument/2006/relationships/hyperlink" Target="https://financialmodelingprep.com/image-stock/CDW.png" TargetMode="External"/><Relationship Id="rId348" Type="http://schemas.openxmlformats.org/officeDocument/2006/relationships/hyperlink" Target="https://financialmodelingprep.com/image-stock/KMX.png" TargetMode="External"/><Relationship Id="rId105" Type="http://schemas.openxmlformats.org/officeDocument/2006/relationships/hyperlink" Target="https://financialmodelingprep.com/image-stock/CDNS.png" TargetMode="External"/><Relationship Id="rId347" Type="http://schemas.openxmlformats.org/officeDocument/2006/relationships/hyperlink" Target="https://financialmodelingprep.com/image-stock/KMI.png" TargetMode="External"/><Relationship Id="rId589" Type="http://schemas.openxmlformats.org/officeDocument/2006/relationships/hyperlink" Target="https://financialmodelingprep.com/image-stock/TLT.png" TargetMode="External"/><Relationship Id="rId104" Type="http://schemas.openxmlformats.org/officeDocument/2006/relationships/hyperlink" Target="https://financialmodelingprep.com/image-stock/CCL.png" TargetMode="External"/><Relationship Id="rId346" Type="http://schemas.openxmlformats.org/officeDocument/2006/relationships/hyperlink" Target="https://financialmodelingprep.com/image-stock/KMB.png" TargetMode="External"/><Relationship Id="rId588" Type="http://schemas.openxmlformats.org/officeDocument/2006/relationships/hyperlink" Target="https://financialmodelingprep.com/image-stock/TJX.png" TargetMode="External"/><Relationship Id="rId109" Type="http://schemas.openxmlformats.org/officeDocument/2006/relationships/hyperlink" Target="https://financialmodelingprep.com/image-stock/CF.png" TargetMode="External"/><Relationship Id="rId108" Type="http://schemas.openxmlformats.org/officeDocument/2006/relationships/hyperlink" Target="https://financialmodelingprep.com/image-stock/CERN.png" TargetMode="External"/><Relationship Id="rId341" Type="http://schemas.openxmlformats.org/officeDocument/2006/relationships/hyperlink" Target="https://financialmodelingprep.com/image-stock/KEYS.png" TargetMode="External"/><Relationship Id="rId583" Type="http://schemas.openxmlformats.org/officeDocument/2006/relationships/hyperlink" Target="https://financialmodelingprep.com/image-stock/TER.png" TargetMode="External"/><Relationship Id="rId340" Type="http://schemas.openxmlformats.org/officeDocument/2006/relationships/hyperlink" Target="https://financialmodelingprep.com/image-stock/KEY.png" TargetMode="External"/><Relationship Id="rId582" Type="http://schemas.openxmlformats.org/officeDocument/2006/relationships/hyperlink" Target="https://financialmodelingprep.com/image-stock/TEL.png" TargetMode="External"/><Relationship Id="rId581" Type="http://schemas.openxmlformats.org/officeDocument/2006/relationships/hyperlink" Target="https://financialmodelingprep.com/image-stock/TEAM.png" TargetMode="External"/><Relationship Id="rId580" Type="http://schemas.openxmlformats.org/officeDocument/2006/relationships/hyperlink" Target="https://financialmodelingprep.com/image-stock/TDY.png" TargetMode="External"/><Relationship Id="rId103" Type="http://schemas.openxmlformats.org/officeDocument/2006/relationships/hyperlink" Target="https://financialmodelingprep.com/image-stock/CCI.png" TargetMode="External"/><Relationship Id="rId345" Type="http://schemas.openxmlformats.org/officeDocument/2006/relationships/hyperlink" Target="https://financialmodelingprep.com/image-stock/KLAC.png" TargetMode="External"/><Relationship Id="rId587" Type="http://schemas.openxmlformats.org/officeDocument/2006/relationships/hyperlink" Target="https://financialmodelingprep.com/image-stock/TIP.jpg" TargetMode="External"/><Relationship Id="rId102" Type="http://schemas.openxmlformats.org/officeDocument/2006/relationships/hyperlink" Target="https://financialmodelingprep.com/image-stock/CBRE.png" TargetMode="External"/><Relationship Id="rId344" Type="http://schemas.openxmlformats.org/officeDocument/2006/relationships/hyperlink" Target="https://financialmodelingprep.com/image-stock/KKR.png" TargetMode="External"/><Relationship Id="rId586" Type="http://schemas.openxmlformats.org/officeDocument/2006/relationships/hyperlink" Target="https://financialmodelingprep.com/image-stock/TGT.png" TargetMode="External"/><Relationship Id="rId101" Type="http://schemas.openxmlformats.org/officeDocument/2006/relationships/hyperlink" Target="https://financialmodelingprep.com/image-stock/CBOE.png" TargetMode="External"/><Relationship Id="rId343" Type="http://schemas.openxmlformats.org/officeDocument/2006/relationships/hyperlink" Target="https://financialmodelingprep.com/image-stock/KIM.png" TargetMode="External"/><Relationship Id="rId585" Type="http://schemas.openxmlformats.org/officeDocument/2006/relationships/hyperlink" Target="https://financialmodelingprep.com/image-stock/TFX.png" TargetMode="External"/><Relationship Id="rId100" Type="http://schemas.openxmlformats.org/officeDocument/2006/relationships/hyperlink" Target="https://financialmodelingprep.com/image-stock/CB.png" TargetMode="External"/><Relationship Id="rId342" Type="http://schemas.openxmlformats.org/officeDocument/2006/relationships/hyperlink" Target="https://financialmodelingprep.com/image-stock/KHC.png" TargetMode="External"/><Relationship Id="rId584" Type="http://schemas.openxmlformats.org/officeDocument/2006/relationships/hyperlink" Target="https://financialmodelingprep.com/image-stock/TFC.png" TargetMode="External"/><Relationship Id="rId338" Type="http://schemas.openxmlformats.org/officeDocument/2006/relationships/hyperlink" Target="https://financialmodelingprep.com/image-stock/KBE.png" TargetMode="External"/><Relationship Id="rId337" Type="http://schemas.openxmlformats.org/officeDocument/2006/relationships/hyperlink" Target="https://financialmodelingprep.com/image-stock/K.png" TargetMode="External"/><Relationship Id="rId579" Type="http://schemas.openxmlformats.org/officeDocument/2006/relationships/hyperlink" Target="https://financialmodelingprep.com/image-stock/TDOC.png" TargetMode="External"/><Relationship Id="rId336" Type="http://schemas.openxmlformats.org/officeDocument/2006/relationships/hyperlink" Target="https://financialmodelingprep.com/image-stock/JWN.png" TargetMode="External"/><Relationship Id="rId578" Type="http://schemas.openxmlformats.org/officeDocument/2006/relationships/hyperlink" Target="https://financialmodelingprep.com/image-stock/TDG.png" TargetMode="External"/><Relationship Id="rId335" Type="http://schemas.openxmlformats.org/officeDocument/2006/relationships/hyperlink" Target="https://financialmodelingprep.com/image-stock/JPST.png" TargetMode="External"/><Relationship Id="rId577" Type="http://schemas.openxmlformats.org/officeDocument/2006/relationships/hyperlink" Target="https://financialmodelingprep.com/image-stock/TCOM.png" TargetMode="External"/><Relationship Id="rId339" Type="http://schemas.openxmlformats.org/officeDocument/2006/relationships/hyperlink" Target="https://financialmodelingprep.com/image-stock/KDP.png" TargetMode="External"/><Relationship Id="rId330" Type="http://schemas.openxmlformats.org/officeDocument/2006/relationships/hyperlink" Target="https://financialmodelingprep.com/image-stock/JKHY.png" TargetMode="External"/><Relationship Id="rId572" Type="http://schemas.openxmlformats.org/officeDocument/2006/relationships/hyperlink" Target="https://financialmodelingprep.com/image-stock/SYF.png" TargetMode="External"/><Relationship Id="rId571" Type="http://schemas.openxmlformats.org/officeDocument/2006/relationships/hyperlink" Target="https://financialmodelingprep.com/image-stock/SWKS.png" TargetMode="External"/><Relationship Id="rId570" Type="http://schemas.openxmlformats.org/officeDocument/2006/relationships/hyperlink" Target="https://financialmodelingprep.com/image-stock/SWK.png" TargetMode="External"/><Relationship Id="rId334" Type="http://schemas.openxmlformats.org/officeDocument/2006/relationships/hyperlink" Target="https://financialmodelingprep.com/image-stock/JPM.png" TargetMode="External"/><Relationship Id="rId576" Type="http://schemas.openxmlformats.org/officeDocument/2006/relationships/hyperlink" Target="https://financialmodelingprep.com/image-stock/TAP.png" TargetMode="External"/><Relationship Id="rId333" Type="http://schemas.openxmlformats.org/officeDocument/2006/relationships/hyperlink" Target="https://financialmodelingprep.com/image-stock/JNPR.png" TargetMode="External"/><Relationship Id="rId575" Type="http://schemas.openxmlformats.org/officeDocument/2006/relationships/hyperlink" Target="https://financialmodelingprep.com/image-stock/T.png" TargetMode="External"/><Relationship Id="rId332" Type="http://schemas.openxmlformats.org/officeDocument/2006/relationships/hyperlink" Target="https://financialmodelingprep.com/image-stock/JNK.jpg" TargetMode="External"/><Relationship Id="rId574" Type="http://schemas.openxmlformats.org/officeDocument/2006/relationships/hyperlink" Target="https://financialmodelingprep.com/image-stock/SYY.png" TargetMode="External"/><Relationship Id="rId331" Type="http://schemas.openxmlformats.org/officeDocument/2006/relationships/hyperlink" Target="https://financialmodelingprep.com/image-stock/JNJ.png" TargetMode="External"/><Relationship Id="rId573" Type="http://schemas.openxmlformats.org/officeDocument/2006/relationships/hyperlink" Target="https://financialmodelingprep.com/image-stock/SYK.png" TargetMode="External"/><Relationship Id="rId370" Type="http://schemas.openxmlformats.org/officeDocument/2006/relationships/hyperlink" Target="https://financialmodelingprep.com/image-stock/LOW.png" TargetMode="External"/><Relationship Id="rId129" Type="http://schemas.openxmlformats.org/officeDocument/2006/relationships/hyperlink" Target="https://financialmodelingprep.com/image-stock/COG.png" TargetMode="External"/><Relationship Id="rId128" Type="http://schemas.openxmlformats.org/officeDocument/2006/relationships/hyperlink" Target="https://financialmodelingprep.com/image-stock/COF.png" TargetMode="External"/><Relationship Id="rId127" Type="http://schemas.openxmlformats.org/officeDocument/2006/relationships/hyperlink" Target="https://financialmodelingprep.com/image-stock/CNP.png" TargetMode="External"/><Relationship Id="rId369" Type="http://schemas.openxmlformats.org/officeDocument/2006/relationships/hyperlink" Target="https://financialmodelingprep.com/image-stock/LNT.png" TargetMode="External"/><Relationship Id="rId126" Type="http://schemas.openxmlformats.org/officeDocument/2006/relationships/hyperlink" Target="https://financialmodelingprep.com/image-stock/CNC.png" TargetMode="External"/><Relationship Id="rId368" Type="http://schemas.openxmlformats.org/officeDocument/2006/relationships/hyperlink" Target="https://financialmodelingprep.com/image-stock/LNC.png" TargetMode="External"/><Relationship Id="rId121" Type="http://schemas.openxmlformats.org/officeDocument/2006/relationships/hyperlink" Target="https://financialmodelingprep.com/image-stock/CMCSA.png" TargetMode="External"/><Relationship Id="rId363" Type="http://schemas.openxmlformats.org/officeDocument/2006/relationships/hyperlink" Target="https://financialmodelingprep.com/image-stock/LIN.png" TargetMode="External"/><Relationship Id="rId120" Type="http://schemas.openxmlformats.org/officeDocument/2006/relationships/hyperlink" Target="https://financialmodelingprep.com/image-stock/CMA.png" TargetMode="External"/><Relationship Id="rId362" Type="http://schemas.openxmlformats.org/officeDocument/2006/relationships/hyperlink" Target="https://financialmodelingprep.com/image-stock/LHX.png" TargetMode="External"/><Relationship Id="rId361" Type="http://schemas.openxmlformats.org/officeDocument/2006/relationships/hyperlink" Target="https://financialmodelingprep.com/image-stock/LH.png" TargetMode="External"/><Relationship Id="rId360" Type="http://schemas.openxmlformats.org/officeDocument/2006/relationships/hyperlink" Target="https://financialmodelingprep.com/image-stock/LESL.png" TargetMode="External"/><Relationship Id="rId125" Type="http://schemas.openxmlformats.org/officeDocument/2006/relationships/hyperlink" Target="https://financialmodelingprep.com/image-stock/CMS.png" TargetMode="External"/><Relationship Id="rId367" Type="http://schemas.openxmlformats.org/officeDocument/2006/relationships/hyperlink" Target="https://financialmodelingprep.com/image-stock/LMT.png" TargetMode="External"/><Relationship Id="rId124" Type="http://schemas.openxmlformats.org/officeDocument/2006/relationships/hyperlink" Target="https://financialmodelingprep.com/image-stock/CMI.png" TargetMode="External"/><Relationship Id="rId366" Type="http://schemas.openxmlformats.org/officeDocument/2006/relationships/hyperlink" Target="https://financialmodelingprep.com/image-stock/LMND.png" TargetMode="External"/><Relationship Id="rId123" Type="http://schemas.openxmlformats.org/officeDocument/2006/relationships/hyperlink" Target="https://financialmodelingprep.com/image-stock/CMG.png" TargetMode="External"/><Relationship Id="rId365" Type="http://schemas.openxmlformats.org/officeDocument/2006/relationships/hyperlink" Target="https://financialmodelingprep.com/image-stock/LLY.png" TargetMode="External"/><Relationship Id="rId122" Type="http://schemas.openxmlformats.org/officeDocument/2006/relationships/hyperlink" Target="https://financialmodelingprep.com/image-stock/CME.png" TargetMode="External"/><Relationship Id="rId364" Type="http://schemas.openxmlformats.org/officeDocument/2006/relationships/hyperlink" Target="https://financialmodelingprep.com/image-stock/LKQ.png" TargetMode="External"/><Relationship Id="rId95" Type="http://schemas.openxmlformats.org/officeDocument/2006/relationships/hyperlink" Target="https://financialmodelingprep.com/image-stock/BYND.png" TargetMode="External"/><Relationship Id="rId94" Type="http://schemas.openxmlformats.org/officeDocument/2006/relationships/hyperlink" Target="https://financialmodelingprep.com/image-stock/BXP.png" TargetMode="External"/><Relationship Id="rId97" Type="http://schemas.openxmlformats.org/officeDocument/2006/relationships/hyperlink" Target="https://financialmodelingprep.com/image-stock/CAG.png" TargetMode="External"/><Relationship Id="rId96" Type="http://schemas.openxmlformats.org/officeDocument/2006/relationships/hyperlink" Target="https://financialmodelingprep.com/image-stock/C.png" TargetMode="External"/><Relationship Id="rId99" Type="http://schemas.openxmlformats.org/officeDocument/2006/relationships/hyperlink" Target="https://financialmodelingprep.com/image-stock/CAT.png" TargetMode="External"/><Relationship Id="rId98" Type="http://schemas.openxmlformats.org/officeDocument/2006/relationships/hyperlink" Target="https://financialmodelingprep.com/image-stock/CAH.png" TargetMode="External"/><Relationship Id="rId91" Type="http://schemas.openxmlformats.org/officeDocument/2006/relationships/hyperlink" Target="https://financialmodelingprep.com/image-stock/BSX.png" TargetMode="External"/><Relationship Id="rId90" Type="http://schemas.openxmlformats.org/officeDocument/2006/relationships/hyperlink" Target="https://financialmodelingprep.com/image-stock/BSV.png" TargetMode="External"/><Relationship Id="rId93" Type="http://schemas.openxmlformats.org/officeDocument/2006/relationships/hyperlink" Target="https://financialmodelingprep.com/image-stock/BX.png" TargetMode="External"/><Relationship Id="rId92" Type="http://schemas.openxmlformats.org/officeDocument/2006/relationships/hyperlink" Target="https://financialmodelingprep.com/image-stock/BWA.png" TargetMode="External"/><Relationship Id="rId118" Type="http://schemas.openxmlformats.org/officeDocument/2006/relationships/hyperlink" Target="https://financialmodelingprep.com/image-stock/CL.png" TargetMode="External"/><Relationship Id="rId117" Type="http://schemas.openxmlformats.org/officeDocument/2006/relationships/hyperlink" Target="https://financialmodelingprep.com/image-stock/CINF.png" TargetMode="External"/><Relationship Id="rId359" Type="http://schemas.openxmlformats.org/officeDocument/2006/relationships/hyperlink" Target="https://financialmodelingprep.com/image-stock/LEN.png" TargetMode="External"/><Relationship Id="rId116" Type="http://schemas.openxmlformats.org/officeDocument/2006/relationships/hyperlink" Target="https://financialmodelingprep.com/image-stock/CI.png" TargetMode="External"/><Relationship Id="rId358" Type="http://schemas.openxmlformats.org/officeDocument/2006/relationships/hyperlink" Target="https://financialmodelingprep.com/image-stock/LEG.png" TargetMode="External"/><Relationship Id="rId115" Type="http://schemas.openxmlformats.org/officeDocument/2006/relationships/hyperlink" Target="https://financialmodelingprep.com/image-stock/CHWY.png" TargetMode="External"/><Relationship Id="rId357" Type="http://schemas.openxmlformats.org/officeDocument/2006/relationships/hyperlink" Target="https://financialmodelingprep.com/image-stock/LDOS.png" TargetMode="External"/><Relationship Id="rId599" Type="http://schemas.openxmlformats.org/officeDocument/2006/relationships/hyperlink" Target="https://financialmodelingprep.com/image-stock/TSCO.png" TargetMode="External"/><Relationship Id="rId119" Type="http://schemas.openxmlformats.org/officeDocument/2006/relationships/hyperlink" Target="https://financialmodelingprep.com/image-stock/CLX.png" TargetMode="External"/><Relationship Id="rId110" Type="http://schemas.openxmlformats.org/officeDocument/2006/relationships/hyperlink" Target="https://financialmodelingprep.com/image-stock/CFG.png" TargetMode="External"/><Relationship Id="rId352" Type="http://schemas.openxmlformats.org/officeDocument/2006/relationships/hyperlink" Target="https://financialmodelingprep.com/image-stock/KSS.png" TargetMode="External"/><Relationship Id="rId594" Type="http://schemas.openxmlformats.org/officeDocument/2006/relationships/hyperlink" Target="https://financialmodelingprep.com/image-stock/TRGP.png" TargetMode="External"/><Relationship Id="rId351" Type="http://schemas.openxmlformats.org/officeDocument/2006/relationships/hyperlink" Target="https://financialmodelingprep.com/image-stock/KRE.png" TargetMode="External"/><Relationship Id="rId593" Type="http://schemas.openxmlformats.org/officeDocument/2006/relationships/hyperlink" Target="https://financialmodelingprep.com/image-stock/TQQQ.png" TargetMode="External"/><Relationship Id="rId350" Type="http://schemas.openxmlformats.org/officeDocument/2006/relationships/hyperlink" Target="https://financialmodelingprep.com/image-stock/KR.png" TargetMode="External"/><Relationship Id="rId592" Type="http://schemas.openxmlformats.org/officeDocument/2006/relationships/hyperlink" Target="https://financialmodelingprep.com/image-stock/TPR.png" TargetMode="External"/><Relationship Id="rId591" Type="http://schemas.openxmlformats.org/officeDocument/2006/relationships/hyperlink" Target="https://financialmodelingprep.com/image-stock/TMUS.png" TargetMode="External"/><Relationship Id="rId114" Type="http://schemas.openxmlformats.org/officeDocument/2006/relationships/hyperlink" Target="https://financialmodelingprep.com/image-stock/CHTR.png" TargetMode="External"/><Relationship Id="rId356" Type="http://schemas.openxmlformats.org/officeDocument/2006/relationships/hyperlink" Target="https://financialmodelingprep.com/image-stock/LB.png" TargetMode="External"/><Relationship Id="rId598" Type="http://schemas.openxmlformats.org/officeDocument/2006/relationships/hyperlink" Target="https://financialmodelingprep.com/image-stock/TRV.png" TargetMode="External"/><Relationship Id="rId113" Type="http://schemas.openxmlformats.org/officeDocument/2006/relationships/hyperlink" Target="https://financialmodelingprep.com/image-stock/CHRW.png" TargetMode="External"/><Relationship Id="rId355" Type="http://schemas.openxmlformats.org/officeDocument/2006/relationships/hyperlink" Target="https://financialmodelingprep.com/image-stock/L.png" TargetMode="External"/><Relationship Id="rId597" Type="http://schemas.openxmlformats.org/officeDocument/2006/relationships/hyperlink" Target="https://financialmodelingprep.com/image-stock/TROW.png" TargetMode="External"/><Relationship Id="rId112" Type="http://schemas.openxmlformats.org/officeDocument/2006/relationships/hyperlink" Target="https://financialmodelingprep.com/image-stock/CHKP.png" TargetMode="External"/><Relationship Id="rId354" Type="http://schemas.openxmlformats.org/officeDocument/2006/relationships/hyperlink" Target="https://financialmodelingprep.com/image-stock/KWEB.jpg" TargetMode="External"/><Relationship Id="rId596" Type="http://schemas.openxmlformats.org/officeDocument/2006/relationships/hyperlink" Target="https://financialmodelingprep.com/image-stock/TRMB.png" TargetMode="External"/><Relationship Id="rId111" Type="http://schemas.openxmlformats.org/officeDocument/2006/relationships/hyperlink" Target="https://financialmodelingprep.com/image-stock/CHD.png" TargetMode="External"/><Relationship Id="rId353" Type="http://schemas.openxmlformats.org/officeDocument/2006/relationships/hyperlink" Target="https://financialmodelingprep.com/image-stock/KSU.png" TargetMode="External"/><Relationship Id="rId595" Type="http://schemas.openxmlformats.org/officeDocument/2006/relationships/hyperlink" Target="https://financialmodelingprep.com/image-stock/TRIP.png" TargetMode="External"/><Relationship Id="rId305" Type="http://schemas.openxmlformats.org/officeDocument/2006/relationships/hyperlink" Target="https://financialmodelingprep.com/image-stock/INCY.png" TargetMode="External"/><Relationship Id="rId547" Type="http://schemas.openxmlformats.org/officeDocument/2006/relationships/hyperlink" Target="https://financialmodelingprep.com/image-stock/SNA.png" TargetMode="External"/><Relationship Id="rId304" Type="http://schemas.openxmlformats.org/officeDocument/2006/relationships/hyperlink" Target="https://financialmodelingprep.com/image-stock/ILMN.png" TargetMode="External"/><Relationship Id="rId546" Type="http://schemas.openxmlformats.org/officeDocument/2006/relationships/hyperlink" Target="https://financialmodelingprep.com/image-stock/SMH.png" TargetMode="External"/><Relationship Id="rId303" Type="http://schemas.openxmlformats.org/officeDocument/2006/relationships/hyperlink" Target="https://financialmodelingprep.com/image-stock/IJR.jpg" TargetMode="External"/><Relationship Id="rId545" Type="http://schemas.openxmlformats.org/officeDocument/2006/relationships/hyperlink" Target="https://financialmodelingprep.com/image-stock/SLB.png" TargetMode="External"/><Relationship Id="rId302" Type="http://schemas.openxmlformats.org/officeDocument/2006/relationships/hyperlink" Target="https://financialmodelingprep.com/image-stock/IFF.png" TargetMode="External"/><Relationship Id="rId544" Type="http://schemas.openxmlformats.org/officeDocument/2006/relationships/hyperlink" Target="https://financialmodelingprep.com/image-stock/SJNK.jpg" TargetMode="External"/><Relationship Id="rId309" Type="http://schemas.openxmlformats.org/officeDocument/2006/relationships/hyperlink" Target="https://financialmodelingprep.com/image-stock/INTU.png" TargetMode="External"/><Relationship Id="rId308" Type="http://schemas.openxmlformats.org/officeDocument/2006/relationships/hyperlink" Target="https://financialmodelingprep.com/image-stock/INTC.png" TargetMode="External"/><Relationship Id="rId307" Type="http://schemas.openxmlformats.org/officeDocument/2006/relationships/hyperlink" Target="https://financialmodelingprep.com/image-stock/INFO.png" TargetMode="External"/><Relationship Id="rId549" Type="http://schemas.openxmlformats.org/officeDocument/2006/relationships/hyperlink" Target="https://financialmodelingprep.com/image-stock/SNOW.png" TargetMode="External"/><Relationship Id="rId306" Type="http://schemas.openxmlformats.org/officeDocument/2006/relationships/hyperlink" Target="https://financialmodelingprep.com/image-stock/INDA.jpg" TargetMode="External"/><Relationship Id="rId548" Type="http://schemas.openxmlformats.org/officeDocument/2006/relationships/hyperlink" Target="https://financialmodelingprep.com/image-stock/SNAP.png" TargetMode="External"/><Relationship Id="rId301" Type="http://schemas.openxmlformats.org/officeDocument/2006/relationships/hyperlink" Target="https://financialmodelingprep.com/image-stock/IEX.png" TargetMode="External"/><Relationship Id="rId543" Type="http://schemas.openxmlformats.org/officeDocument/2006/relationships/hyperlink" Target="https://financialmodelingprep.com/image-stock/SJM.png" TargetMode="External"/><Relationship Id="rId300" Type="http://schemas.openxmlformats.org/officeDocument/2006/relationships/hyperlink" Target="https://financialmodelingprep.com/image-stock/IEMG.png" TargetMode="External"/><Relationship Id="rId542" Type="http://schemas.openxmlformats.org/officeDocument/2006/relationships/hyperlink" Target="https://financialmodelingprep.com/image-stock/SIVB.png" TargetMode="External"/><Relationship Id="rId541" Type="http://schemas.openxmlformats.org/officeDocument/2006/relationships/hyperlink" Target="https://financialmodelingprep.com/image-stock/SIRI.png" TargetMode="External"/><Relationship Id="rId540" Type="http://schemas.openxmlformats.org/officeDocument/2006/relationships/hyperlink" Target="https://financialmodelingprep.com/image-stock/SHY.png" TargetMode="External"/><Relationship Id="rId536" Type="http://schemas.openxmlformats.org/officeDocument/2006/relationships/hyperlink" Target="https://financialmodelingprep.com/image-stock/SEE.png" TargetMode="External"/><Relationship Id="rId535" Type="http://schemas.openxmlformats.org/officeDocument/2006/relationships/hyperlink" Target="https://financialmodelingprep.com/image-stock/SCHW.png" TargetMode="External"/><Relationship Id="rId534" Type="http://schemas.openxmlformats.org/officeDocument/2006/relationships/hyperlink" Target="https://financialmodelingprep.com/image-stock/SCHP.jpg" TargetMode="External"/><Relationship Id="rId533" Type="http://schemas.openxmlformats.org/officeDocument/2006/relationships/hyperlink" Target="https://financialmodelingprep.com/image-stock/SCHF.png" TargetMode="External"/><Relationship Id="rId539" Type="http://schemas.openxmlformats.org/officeDocument/2006/relationships/hyperlink" Target="https://financialmodelingprep.com/image-stock/SHW.png" TargetMode="External"/><Relationship Id="rId538" Type="http://schemas.openxmlformats.org/officeDocument/2006/relationships/hyperlink" Target="https://financialmodelingprep.com/image-stock/SGEN.png" TargetMode="External"/><Relationship Id="rId537" Type="http://schemas.openxmlformats.org/officeDocument/2006/relationships/hyperlink" Target="https://financialmodelingprep.com/image-stock/SFM.png" TargetMode="External"/><Relationship Id="rId532" Type="http://schemas.openxmlformats.org/officeDocument/2006/relationships/hyperlink" Target="https://financialmodelingprep.com/image-stock/SBUX.png" TargetMode="External"/><Relationship Id="rId531" Type="http://schemas.openxmlformats.org/officeDocument/2006/relationships/hyperlink" Target="https://financialmodelingprep.com/image-stock/SBAC.png" TargetMode="External"/><Relationship Id="rId530" Type="http://schemas.openxmlformats.org/officeDocument/2006/relationships/hyperlink" Target="https://financialmodelingprep.com/image-stock/SAVE.png" TargetMode="External"/><Relationship Id="rId327" Type="http://schemas.openxmlformats.org/officeDocument/2006/relationships/hyperlink" Target="https://financialmodelingprep.com/image-stock/JCI.png" TargetMode="External"/><Relationship Id="rId569" Type="http://schemas.openxmlformats.org/officeDocument/2006/relationships/hyperlink" Target="https://financialmodelingprep.com/image-stock/STZ.png" TargetMode="External"/><Relationship Id="rId326" Type="http://schemas.openxmlformats.org/officeDocument/2006/relationships/hyperlink" Target="https://financialmodelingprep.com/image-stock/JBHT.png" TargetMode="External"/><Relationship Id="rId568" Type="http://schemas.openxmlformats.org/officeDocument/2006/relationships/hyperlink" Target="https://financialmodelingprep.com/image-stock/STX.png" TargetMode="External"/><Relationship Id="rId325" Type="http://schemas.openxmlformats.org/officeDocument/2006/relationships/hyperlink" Target="https://financialmodelingprep.com/image-stock/J.jpg" TargetMode="External"/><Relationship Id="rId567" Type="http://schemas.openxmlformats.org/officeDocument/2006/relationships/hyperlink" Target="https://financialmodelingprep.com/image-stock/STT.png" TargetMode="External"/><Relationship Id="rId324" Type="http://schemas.openxmlformats.org/officeDocument/2006/relationships/hyperlink" Target="https://financialmodelingprep.com/image-stock/IYR.png" TargetMode="External"/><Relationship Id="rId566" Type="http://schemas.openxmlformats.org/officeDocument/2006/relationships/hyperlink" Target="https://financialmodelingprep.com/image-stock/STLD.png" TargetMode="External"/><Relationship Id="rId329" Type="http://schemas.openxmlformats.org/officeDocument/2006/relationships/hyperlink" Target="https://financialmodelingprep.com/image-stock/JEF.png" TargetMode="External"/><Relationship Id="rId328" Type="http://schemas.openxmlformats.org/officeDocument/2006/relationships/hyperlink" Target="https://financialmodelingprep.com/image-stock/JD.png" TargetMode="External"/><Relationship Id="rId561" Type="http://schemas.openxmlformats.org/officeDocument/2006/relationships/hyperlink" Target="https://financialmodelingprep.com/image-stock/SPYV.png" TargetMode="External"/><Relationship Id="rId560" Type="http://schemas.openxmlformats.org/officeDocument/2006/relationships/hyperlink" Target="https://financialmodelingprep.com/image-stock/SPY.png" TargetMode="External"/><Relationship Id="rId323" Type="http://schemas.openxmlformats.org/officeDocument/2006/relationships/hyperlink" Target="https://financialmodelingprep.com/image-stock/IWM.png" TargetMode="External"/><Relationship Id="rId565" Type="http://schemas.openxmlformats.org/officeDocument/2006/relationships/hyperlink" Target="https://financialmodelingprep.com/image-stock/STEM.png" TargetMode="External"/><Relationship Id="rId322" Type="http://schemas.openxmlformats.org/officeDocument/2006/relationships/hyperlink" Target="https://financialmodelingprep.com/image-stock/IWD.jpg" TargetMode="External"/><Relationship Id="rId564" Type="http://schemas.openxmlformats.org/officeDocument/2006/relationships/hyperlink" Target="https://financialmodelingprep.com/image-stock/STE.png" TargetMode="External"/><Relationship Id="rId321" Type="http://schemas.openxmlformats.org/officeDocument/2006/relationships/hyperlink" Target="https://financialmodelingprep.com/image-stock/IVZ.png" TargetMode="External"/><Relationship Id="rId563" Type="http://schemas.openxmlformats.org/officeDocument/2006/relationships/hyperlink" Target="https://financialmodelingprep.com/image-stock/SRE.png" TargetMode="External"/><Relationship Id="rId320" Type="http://schemas.openxmlformats.org/officeDocument/2006/relationships/hyperlink" Target="https://financialmodelingprep.com/image-stock/IVV.png" TargetMode="External"/><Relationship Id="rId562" Type="http://schemas.openxmlformats.org/officeDocument/2006/relationships/hyperlink" Target="https://financialmodelingprep.com/image-stock/SQ.png" TargetMode="External"/><Relationship Id="rId316" Type="http://schemas.openxmlformats.org/officeDocument/2006/relationships/hyperlink" Target="https://financialmodelingprep.com/image-stock/IRM.png" TargetMode="External"/><Relationship Id="rId558" Type="http://schemas.openxmlformats.org/officeDocument/2006/relationships/hyperlink" Target="https://financialmodelingprep.com/image-stock/SPLV.png" TargetMode="External"/><Relationship Id="rId315" Type="http://schemas.openxmlformats.org/officeDocument/2006/relationships/hyperlink" Target="https://financialmodelingprep.com/image-stock/IR.png" TargetMode="External"/><Relationship Id="rId557" Type="http://schemas.openxmlformats.org/officeDocument/2006/relationships/hyperlink" Target="https://financialmodelingprep.com/image-stock/SPLK.png" TargetMode="External"/><Relationship Id="rId314" Type="http://schemas.openxmlformats.org/officeDocument/2006/relationships/hyperlink" Target="https://financialmodelingprep.com/image-stock/IQV.png" TargetMode="External"/><Relationship Id="rId556" Type="http://schemas.openxmlformats.org/officeDocument/2006/relationships/hyperlink" Target="https://financialmodelingprep.com/image-stock/SPIB.jpg" TargetMode="External"/><Relationship Id="rId313" Type="http://schemas.openxmlformats.org/officeDocument/2006/relationships/hyperlink" Target="https://financialmodelingprep.com/image-stock/IPGP.png" TargetMode="External"/><Relationship Id="rId555" Type="http://schemas.openxmlformats.org/officeDocument/2006/relationships/hyperlink" Target="https://financialmodelingprep.com/image-stock/SPGI.png" TargetMode="External"/><Relationship Id="rId319" Type="http://schemas.openxmlformats.org/officeDocument/2006/relationships/hyperlink" Target="https://financialmodelingprep.com/image-stock/ITW.png" TargetMode="External"/><Relationship Id="rId318" Type="http://schemas.openxmlformats.org/officeDocument/2006/relationships/hyperlink" Target="https://financialmodelingprep.com/image-stock/IT.png" TargetMode="External"/><Relationship Id="rId317" Type="http://schemas.openxmlformats.org/officeDocument/2006/relationships/hyperlink" Target="https://financialmodelingprep.com/image-stock/ISRG.png" TargetMode="External"/><Relationship Id="rId559" Type="http://schemas.openxmlformats.org/officeDocument/2006/relationships/hyperlink" Target="https://financialmodelingprep.com/image-stock/SPWR.png" TargetMode="External"/><Relationship Id="rId550" Type="http://schemas.openxmlformats.org/officeDocument/2006/relationships/hyperlink" Target="https://financialmodelingprep.com/image-stock/SNPS.png" TargetMode="External"/><Relationship Id="rId312" Type="http://schemas.openxmlformats.org/officeDocument/2006/relationships/hyperlink" Target="https://financialmodelingprep.com/image-stock/IPG.png" TargetMode="External"/><Relationship Id="rId554" Type="http://schemas.openxmlformats.org/officeDocument/2006/relationships/hyperlink" Target="https://financialmodelingprep.com/image-stock/SPG.png" TargetMode="External"/><Relationship Id="rId311" Type="http://schemas.openxmlformats.org/officeDocument/2006/relationships/hyperlink" Target="https://financialmodelingprep.com/image-stock/IP.png" TargetMode="External"/><Relationship Id="rId553" Type="http://schemas.openxmlformats.org/officeDocument/2006/relationships/hyperlink" Target="https://financialmodelingprep.com/image-stock/SPCE.png" TargetMode="External"/><Relationship Id="rId310" Type="http://schemas.openxmlformats.org/officeDocument/2006/relationships/hyperlink" Target="https://financialmodelingprep.com/image-stock/INVH.png" TargetMode="External"/><Relationship Id="rId552" Type="http://schemas.openxmlformats.org/officeDocument/2006/relationships/hyperlink" Target="https://financialmodelingprep.com/image-stock/SONO.png" TargetMode="External"/><Relationship Id="rId551" Type="http://schemas.openxmlformats.org/officeDocument/2006/relationships/hyperlink" Target="https://financialmodelingprep.com/image-stock/SO.png" TargetMode="External"/><Relationship Id="rId297" Type="http://schemas.openxmlformats.org/officeDocument/2006/relationships/hyperlink" Target="https://financialmodelingprep.com/image-stock/IDXX.png" TargetMode="External"/><Relationship Id="rId296" Type="http://schemas.openxmlformats.org/officeDocument/2006/relationships/hyperlink" Target="https://financialmodelingprep.com/image-stock/ICE.png" TargetMode="External"/><Relationship Id="rId295" Type="http://schemas.openxmlformats.org/officeDocument/2006/relationships/hyperlink" Target="https://financialmodelingprep.com/image-stock/IBM.png" TargetMode="External"/><Relationship Id="rId294" Type="http://schemas.openxmlformats.org/officeDocument/2006/relationships/hyperlink" Target="https://financialmodelingprep.com/image-stock/IBB.png" TargetMode="External"/><Relationship Id="rId299" Type="http://schemas.openxmlformats.org/officeDocument/2006/relationships/hyperlink" Target="https://financialmodelingprep.com/image-stock/IEFA.jpg" TargetMode="External"/><Relationship Id="rId298" Type="http://schemas.openxmlformats.org/officeDocument/2006/relationships/hyperlink" Target="https://financialmodelingprep.com/image-stock/IEF.png" TargetMode="External"/><Relationship Id="rId271" Type="http://schemas.openxmlformats.org/officeDocument/2006/relationships/hyperlink" Target="https://financialmodelingprep.com/image-stock/HCA.png" TargetMode="External"/><Relationship Id="rId270" Type="http://schemas.openxmlformats.org/officeDocument/2006/relationships/hyperlink" Target="https://financialmodelingprep.com/image-stock/HBI.png" TargetMode="External"/><Relationship Id="rId269" Type="http://schemas.openxmlformats.org/officeDocument/2006/relationships/hyperlink" Target="https://financialmodelingprep.com/image-stock/HBAN.png" TargetMode="External"/><Relationship Id="rId264" Type="http://schemas.openxmlformats.org/officeDocument/2006/relationships/hyperlink" Target="https://financialmodelingprep.com/image-stock/GRMN.png" TargetMode="External"/><Relationship Id="rId263" Type="http://schemas.openxmlformats.org/officeDocument/2006/relationships/hyperlink" Target="https://financialmodelingprep.com/image-stock/GPS.png" TargetMode="External"/><Relationship Id="rId262" Type="http://schemas.openxmlformats.org/officeDocument/2006/relationships/hyperlink" Target="https://financialmodelingprep.com/image-stock/GPN.png" TargetMode="External"/><Relationship Id="rId261" Type="http://schemas.openxmlformats.org/officeDocument/2006/relationships/hyperlink" Target="https://financialmodelingprep.com/image-stock/GPC.png" TargetMode="External"/><Relationship Id="rId268" Type="http://schemas.openxmlformats.org/officeDocument/2006/relationships/hyperlink" Target="https://financialmodelingprep.com/image-stock/HAS.png" TargetMode="External"/><Relationship Id="rId267" Type="http://schemas.openxmlformats.org/officeDocument/2006/relationships/hyperlink" Target="https://financialmodelingprep.com/image-stock/HAL.png" TargetMode="External"/><Relationship Id="rId266" Type="http://schemas.openxmlformats.org/officeDocument/2006/relationships/hyperlink" Target="https://financialmodelingprep.com/image-stock/GWW.png" TargetMode="External"/><Relationship Id="rId265" Type="http://schemas.openxmlformats.org/officeDocument/2006/relationships/hyperlink" Target="https://financialmodelingprep.com/image-stock/GS.png" TargetMode="External"/><Relationship Id="rId260" Type="http://schemas.openxmlformats.org/officeDocument/2006/relationships/hyperlink" Target="https://financialmodelingprep.com/image-stock/GOVT.jpg" TargetMode="External"/><Relationship Id="rId259" Type="http://schemas.openxmlformats.org/officeDocument/2006/relationships/hyperlink" Target="https://financialmodelingprep.com/image-stock/GOOGL.png" TargetMode="External"/><Relationship Id="rId258" Type="http://schemas.openxmlformats.org/officeDocument/2006/relationships/hyperlink" Target="https://financialmodelingprep.com/image-stock/GOOG.png" TargetMode="External"/><Relationship Id="rId253" Type="http://schemas.openxmlformats.org/officeDocument/2006/relationships/hyperlink" Target="https://financialmodelingprep.com/image-stock/GLD.png" TargetMode="External"/><Relationship Id="rId495" Type="http://schemas.openxmlformats.org/officeDocument/2006/relationships/hyperlink" Target="https://financialmodelingprep.com/image-stock/PRGO.png" TargetMode="External"/><Relationship Id="rId252" Type="http://schemas.openxmlformats.org/officeDocument/2006/relationships/hyperlink" Target="https://financialmodelingprep.com/image-stock/GL.png" TargetMode="External"/><Relationship Id="rId494" Type="http://schemas.openxmlformats.org/officeDocument/2006/relationships/hyperlink" Target="https://financialmodelingprep.com/image-stock/PPL.png" TargetMode="External"/><Relationship Id="rId251" Type="http://schemas.openxmlformats.org/officeDocument/2006/relationships/hyperlink" Target="https://financialmodelingprep.com/image-stock/GIS.png" TargetMode="External"/><Relationship Id="rId493" Type="http://schemas.openxmlformats.org/officeDocument/2006/relationships/hyperlink" Target="https://financialmodelingprep.com/image-stock/PPG.png" TargetMode="External"/><Relationship Id="rId250" Type="http://schemas.openxmlformats.org/officeDocument/2006/relationships/hyperlink" Target="https://financialmodelingprep.com/image-stock/GILD.png" TargetMode="External"/><Relationship Id="rId492" Type="http://schemas.openxmlformats.org/officeDocument/2006/relationships/hyperlink" Target="https://financialmodelingprep.com/image-stock/POOL.png" TargetMode="External"/><Relationship Id="rId257" Type="http://schemas.openxmlformats.org/officeDocument/2006/relationships/hyperlink" Target="https://financialmodelingprep.com/image-stock/GNRC.png" TargetMode="External"/><Relationship Id="rId499" Type="http://schemas.openxmlformats.org/officeDocument/2006/relationships/hyperlink" Target="https://financialmodelingprep.com/image-stock/PSX.png" TargetMode="External"/><Relationship Id="rId256" Type="http://schemas.openxmlformats.org/officeDocument/2006/relationships/hyperlink" Target="https://financialmodelingprep.com/image-stock/GME.png" TargetMode="External"/><Relationship Id="rId498" Type="http://schemas.openxmlformats.org/officeDocument/2006/relationships/hyperlink" Target="https://financialmodelingprep.com/image-stock/PSA.png" TargetMode="External"/><Relationship Id="rId255" Type="http://schemas.openxmlformats.org/officeDocument/2006/relationships/hyperlink" Target="https://financialmodelingprep.com/image-stock/GM.png" TargetMode="External"/><Relationship Id="rId497" Type="http://schemas.openxmlformats.org/officeDocument/2006/relationships/hyperlink" Target="https://financialmodelingprep.com/image-stock/PRU.png" TargetMode="External"/><Relationship Id="rId254" Type="http://schemas.openxmlformats.org/officeDocument/2006/relationships/hyperlink" Target="https://financialmodelingprep.com/image-stock/GLW.png" TargetMode="External"/><Relationship Id="rId496" Type="http://schemas.openxmlformats.org/officeDocument/2006/relationships/hyperlink" Target="https://financialmodelingprep.com/image-stock/PRSP.png" TargetMode="External"/><Relationship Id="rId293" Type="http://schemas.openxmlformats.org/officeDocument/2006/relationships/hyperlink" Target="https://financialmodelingprep.com/image-stock/IAU.png" TargetMode="External"/><Relationship Id="rId292" Type="http://schemas.openxmlformats.org/officeDocument/2006/relationships/hyperlink" Target="https://financialmodelingprep.com/image-stock/HYLB.jpg" TargetMode="External"/><Relationship Id="rId291" Type="http://schemas.openxmlformats.org/officeDocument/2006/relationships/hyperlink" Target="https://financialmodelingprep.com/image-stock/HYG.png" TargetMode="External"/><Relationship Id="rId290" Type="http://schemas.openxmlformats.org/officeDocument/2006/relationships/hyperlink" Target="https://financialmodelingprep.com/image-stock/HWM.jpg" TargetMode="External"/><Relationship Id="rId286" Type="http://schemas.openxmlformats.org/officeDocument/2006/relationships/hyperlink" Target="https://financialmodelingprep.com/image-stock/HST.png" TargetMode="External"/><Relationship Id="rId285" Type="http://schemas.openxmlformats.org/officeDocument/2006/relationships/hyperlink" Target="https://financialmodelingprep.com/image-stock/HSIC.png" TargetMode="External"/><Relationship Id="rId284" Type="http://schemas.openxmlformats.org/officeDocument/2006/relationships/hyperlink" Target="https://financialmodelingprep.com/image-stock/HRL.png" TargetMode="External"/><Relationship Id="rId283" Type="http://schemas.openxmlformats.org/officeDocument/2006/relationships/hyperlink" Target="https://financialmodelingprep.com/image-stock/HPQ.png" TargetMode="External"/><Relationship Id="rId289" Type="http://schemas.openxmlformats.org/officeDocument/2006/relationships/hyperlink" Target="https://financialmodelingprep.com/image-stock/HUN.png" TargetMode="External"/><Relationship Id="rId288" Type="http://schemas.openxmlformats.org/officeDocument/2006/relationships/hyperlink" Target="https://financialmodelingprep.com/image-stock/HUM.png" TargetMode="External"/><Relationship Id="rId287" Type="http://schemas.openxmlformats.org/officeDocument/2006/relationships/hyperlink" Target="https://financialmodelingprep.com/image-stock/HSY.png" TargetMode="External"/><Relationship Id="rId282" Type="http://schemas.openxmlformats.org/officeDocument/2006/relationships/hyperlink" Target="https://financialmodelingprep.com/image-stock/HPE.png" TargetMode="External"/><Relationship Id="rId281" Type="http://schemas.openxmlformats.org/officeDocument/2006/relationships/hyperlink" Target="https://financialmodelingprep.com/image-stock/HON.png" TargetMode="External"/><Relationship Id="rId280" Type="http://schemas.openxmlformats.org/officeDocument/2006/relationships/hyperlink" Target="https://financialmodelingprep.com/image-stock/HOME.png" TargetMode="External"/><Relationship Id="rId275" Type="http://schemas.openxmlformats.org/officeDocument/2006/relationships/hyperlink" Target="https://financialmodelingprep.com/image-stock/HIG.png" TargetMode="External"/><Relationship Id="rId274" Type="http://schemas.openxmlformats.org/officeDocument/2006/relationships/hyperlink" Target="https://financialmodelingprep.com/image-stock/HFC.png" TargetMode="External"/><Relationship Id="rId273" Type="http://schemas.openxmlformats.org/officeDocument/2006/relationships/hyperlink" Target="https://financialmodelingprep.com/image-stock/HES.png" TargetMode="External"/><Relationship Id="rId272" Type="http://schemas.openxmlformats.org/officeDocument/2006/relationships/hyperlink" Target="https://financialmodelingprep.com/image-stock/HD.png" TargetMode="External"/><Relationship Id="rId279" Type="http://schemas.openxmlformats.org/officeDocument/2006/relationships/hyperlink" Target="https://financialmodelingprep.com/image-stock/HOLX.png" TargetMode="External"/><Relationship Id="rId278" Type="http://schemas.openxmlformats.org/officeDocument/2006/relationships/hyperlink" Target="https://financialmodelingprep.com/image-stock/HOG.png" TargetMode="External"/><Relationship Id="rId277" Type="http://schemas.openxmlformats.org/officeDocument/2006/relationships/hyperlink" Target="https://financialmodelingprep.com/image-stock/HLT.png" TargetMode="External"/><Relationship Id="rId276" Type="http://schemas.openxmlformats.org/officeDocument/2006/relationships/hyperlink" Target="https://financialmodelingprep.com/image-stock/HII.png" TargetMode="External"/><Relationship Id="rId629" Type="http://schemas.openxmlformats.org/officeDocument/2006/relationships/hyperlink" Target="https://financialmodelingprep.com/image-stock/VEA.png" TargetMode="External"/><Relationship Id="rId624" Type="http://schemas.openxmlformats.org/officeDocument/2006/relationships/hyperlink" Target="https://financialmodelingprep.com/image-stock/USMV.jpg" TargetMode="External"/><Relationship Id="rId623" Type="http://schemas.openxmlformats.org/officeDocument/2006/relationships/hyperlink" Target="https://financialmodelingprep.com/image-stock/USB.png" TargetMode="External"/><Relationship Id="rId622" Type="http://schemas.openxmlformats.org/officeDocument/2006/relationships/hyperlink" Target="https://financialmodelingprep.com/image-stock/URI.png" TargetMode="External"/><Relationship Id="rId621" Type="http://schemas.openxmlformats.org/officeDocument/2006/relationships/hyperlink" Target="https://financialmodelingprep.com/image-stock/UPST.png" TargetMode="External"/><Relationship Id="rId628" Type="http://schemas.openxmlformats.org/officeDocument/2006/relationships/hyperlink" Target="https://financialmodelingprep.com/image-stock/VCSH.png" TargetMode="External"/><Relationship Id="rId627" Type="http://schemas.openxmlformats.org/officeDocument/2006/relationships/hyperlink" Target="https://financialmodelingprep.com/image-stock/VCIT.png" TargetMode="External"/><Relationship Id="rId626" Type="http://schemas.openxmlformats.org/officeDocument/2006/relationships/hyperlink" Target="https://financialmodelingprep.com/image-stock/V.png" TargetMode="External"/><Relationship Id="rId625" Type="http://schemas.openxmlformats.org/officeDocument/2006/relationships/hyperlink" Target="https://financialmodelingprep.com/image-stock/USO.png" TargetMode="External"/><Relationship Id="rId620" Type="http://schemas.openxmlformats.org/officeDocument/2006/relationships/hyperlink" Target="https://financialmodelingprep.com/image-stock/UPS.png" TargetMode="External"/><Relationship Id="rId619" Type="http://schemas.openxmlformats.org/officeDocument/2006/relationships/hyperlink" Target="https://financialmodelingprep.com/image-stock/UNP.png" TargetMode="External"/><Relationship Id="rId618" Type="http://schemas.openxmlformats.org/officeDocument/2006/relationships/hyperlink" Target="https://financialmodelingprep.com/image-stock/UNM.png" TargetMode="External"/><Relationship Id="rId613" Type="http://schemas.openxmlformats.org/officeDocument/2006/relationships/hyperlink" Target="https://financialmodelingprep.com/image-stock/UBER.png" TargetMode="External"/><Relationship Id="rId612" Type="http://schemas.openxmlformats.org/officeDocument/2006/relationships/hyperlink" Target="https://financialmodelingprep.com/image-stock/UAL.png" TargetMode="External"/><Relationship Id="rId611" Type="http://schemas.openxmlformats.org/officeDocument/2006/relationships/hyperlink" Target="https://financialmodelingprep.com/image-stock/UAA.png" TargetMode="External"/><Relationship Id="rId610" Type="http://schemas.openxmlformats.org/officeDocument/2006/relationships/hyperlink" Target="https://financialmodelingprep.com/image-stock/UA.png" TargetMode="External"/><Relationship Id="rId617" Type="http://schemas.openxmlformats.org/officeDocument/2006/relationships/hyperlink" Target="https://financialmodelingprep.com/image-stock/UNH.png" TargetMode="External"/><Relationship Id="rId616" Type="http://schemas.openxmlformats.org/officeDocument/2006/relationships/hyperlink" Target="https://financialmodelingprep.com/image-stock/ULTA.png" TargetMode="External"/><Relationship Id="rId615" Type="http://schemas.openxmlformats.org/officeDocument/2006/relationships/hyperlink" Target="https://financialmodelingprep.com/image-stock/UHS.png" TargetMode="External"/><Relationship Id="rId614" Type="http://schemas.openxmlformats.org/officeDocument/2006/relationships/hyperlink" Target="https://financialmodelingprep.com/image-stock/UDR.png" TargetMode="External"/><Relationship Id="rId409" Type="http://schemas.openxmlformats.org/officeDocument/2006/relationships/hyperlink" Target="https://financialmodelingprep.com/image-stock/MPLX.png" TargetMode="External"/><Relationship Id="rId404" Type="http://schemas.openxmlformats.org/officeDocument/2006/relationships/hyperlink" Target="https://financialmodelingprep.com/image-stock/MNST.png" TargetMode="External"/><Relationship Id="rId646" Type="http://schemas.openxmlformats.org/officeDocument/2006/relationships/hyperlink" Target="https://financialmodelingprep.com/image-stock/VT.png" TargetMode="External"/><Relationship Id="rId403" Type="http://schemas.openxmlformats.org/officeDocument/2006/relationships/hyperlink" Target="https://financialmodelingprep.com/image-stock/MMM.png" TargetMode="External"/><Relationship Id="rId645" Type="http://schemas.openxmlformats.org/officeDocument/2006/relationships/hyperlink" Target="https://financialmodelingprep.com/image-stock/VRTX.png" TargetMode="External"/><Relationship Id="rId402" Type="http://schemas.openxmlformats.org/officeDocument/2006/relationships/hyperlink" Target="https://financialmodelingprep.com/image-stock/MMC.png" TargetMode="External"/><Relationship Id="rId644" Type="http://schemas.openxmlformats.org/officeDocument/2006/relationships/hyperlink" Target="https://financialmodelingprep.com/image-stock/VRT.jpg" TargetMode="External"/><Relationship Id="rId401" Type="http://schemas.openxmlformats.org/officeDocument/2006/relationships/hyperlink" Target="https://financialmodelingprep.com/image-stock/MLM.png" TargetMode="External"/><Relationship Id="rId643" Type="http://schemas.openxmlformats.org/officeDocument/2006/relationships/hyperlink" Target="https://financialmodelingprep.com/image-stock/VRSN.png" TargetMode="External"/><Relationship Id="rId408" Type="http://schemas.openxmlformats.org/officeDocument/2006/relationships/hyperlink" Target="https://financialmodelingprep.com/image-stock/MPC.png" TargetMode="External"/><Relationship Id="rId407" Type="http://schemas.openxmlformats.org/officeDocument/2006/relationships/hyperlink" Target="https://financialmodelingprep.com/image-stock/MP.png" TargetMode="External"/><Relationship Id="rId649" Type="http://schemas.openxmlformats.org/officeDocument/2006/relationships/hyperlink" Target="https://financialmodelingprep.com/image-stock/VTR.png" TargetMode="External"/><Relationship Id="rId406" Type="http://schemas.openxmlformats.org/officeDocument/2006/relationships/hyperlink" Target="https://financialmodelingprep.com/image-stock/MOS.png" TargetMode="External"/><Relationship Id="rId648" Type="http://schemas.openxmlformats.org/officeDocument/2006/relationships/hyperlink" Target="https://financialmodelingprep.com/image-stock/VTIP.png" TargetMode="External"/><Relationship Id="rId405" Type="http://schemas.openxmlformats.org/officeDocument/2006/relationships/hyperlink" Target="https://financialmodelingprep.com/image-stock/MO.png" TargetMode="External"/><Relationship Id="rId647" Type="http://schemas.openxmlformats.org/officeDocument/2006/relationships/hyperlink" Target="https://financialmodelingprep.com/image-stock/VTI.png" TargetMode="External"/><Relationship Id="rId400" Type="http://schemas.openxmlformats.org/officeDocument/2006/relationships/hyperlink" Target="https://financialmodelingprep.com/image-stock/MKTX.png" TargetMode="External"/><Relationship Id="rId642" Type="http://schemas.openxmlformats.org/officeDocument/2006/relationships/hyperlink" Target="https://financialmodelingprep.com/image-stock/VRSK.png" TargetMode="External"/><Relationship Id="rId641" Type="http://schemas.openxmlformats.org/officeDocument/2006/relationships/hyperlink" Target="https://financialmodelingprep.com/image-stock/VRM.png" TargetMode="External"/><Relationship Id="rId640" Type="http://schemas.openxmlformats.org/officeDocument/2006/relationships/hyperlink" Target="https://financialmodelingprep.com/image-stock/VOO.png" TargetMode="External"/><Relationship Id="rId635" Type="http://schemas.openxmlformats.org/officeDocument/2006/relationships/hyperlink" Target="https://financialmodelingprep.com/image-stock/VICI.png" TargetMode="External"/><Relationship Id="rId634" Type="http://schemas.openxmlformats.org/officeDocument/2006/relationships/hyperlink" Target="https://financialmodelingprep.com/image-stock/VIAC.png" TargetMode="External"/><Relationship Id="rId633" Type="http://schemas.openxmlformats.org/officeDocument/2006/relationships/hyperlink" Target="https://financialmodelingprep.com/image-stock/VGK.png" TargetMode="External"/><Relationship Id="rId632" Type="http://schemas.openxmlformats.org/officeDocument/2006/relationships/hyperlink" Target="https://financialmodelingprep.com/image-stock/VFC.png" TargetMode="External"/><Relationship Id="rId639" Type="http://schemas.openxmlformats.org/officeDocument/2006/relationships/hyperlink" Target="https://financialmodelingprep.com/image-stock/VNQ.png" TargetMode="External"/><Relationship Id="rId638" Type="http://schemas.openxmlformats.org/officeDocument/2006/relationships/hyperlink" Target="https://financialmodelingprep.com/image-stock/VNO.png" TargetMode="External"/><Relationship Id="rId637" Type="http://schemas.openxmlformats.org/officeDocument/2006/relationships/hyperlink" Target="https://financialmodelingprep.com/image-stock/VMC.png" TargetMode="External"/><Relationship Id="rId636" Type="http://schemas.openxmlformats.org/officeDocument/2006/relationships/hyperlink" Target="https://financialmodelingprep.com/image-stock/VLO.png" TargetMode="External"/><Relationship Id="rId631" Type="http://schemas.openxmlformats.org/officeDocument/2006/relationships/hyperlink" Target="https://financialmodelingprep.com/image-stock/VEU.png" TargetMode="External"/><Relationship Id="rId630" Type="http://schemas.openxmlformats.org/officeDocument/2006/relationships/hyperlink" Target="https://financialmodelingprep.com/image-stock/VER.png" TargetMode="External"/><Relationship Id="rId609" Type="http://schemas.openxmlformats.org/officeDocument/2006/relationships/hyperlink" Target="https://financialmodelingprep.com/image-stock/TYL.png" TargetMode="External"/><Relationship Id="rId608" Type="http://schemas.openxmlformats.org/officeDocument/2006/relationships/hyperlink" Target="https://financialmodelingprep.com/image-stock/TXT.png" TargetMode="External"/><Relationship Id="rId607" Type="http://schemas.openxmlformats.org/officeDocument/2006/relationships/hyperlink" Target="https://financialmodelingprep.com/image-stock/TXN.png" TargetMode="External"/><Relationship Id="rId602" Type="http://schemas.openxmlformats.org/officeDocument/2006/relationships/hyperlink" Target="https://financialmodelingprep.com/image-stock/TT.jpg" TargetMode="External"/><Relationship Id="rId601" Type="http://schemas.openxmlformats.org/officeDocument/2006/relationships/hyperlink" Target="https://financialmodelingprep.com/image-stock/TSN.png" TargetMode="External"/><Relationship Id="rId600" Type="http://schemas.openxmlformats.org/officeDocument/2006/relationships/hyperlink" Target="https://financialmodelingprep.com/image-stock/TSLA.png" TargetMode="External"/><Relationship Id="rId606" Type="http://schemas.openxmlformats.org/officeDocument/2006/relationships/hyperlink" Target="https://financialmodelingprep.com/image-stock/TWTR.png" TargetMode="External"/><Relationship Id="rId605" Type="http://schemas.openxmlformats.org/officeDocument/2006/relationships/hyperlink" Target="https://financialmodelingprep.com/image-stock/TWLO.png" TargetMode="External"/><Relationship Id="rId604" Type="http://schemas.openxmlformats.org/officeDocument/2006/relationships/hyperlink" Target="https://financialmodelingprep.com/image-stock/TTWO.png" TargetMode="External"/><Relationship Id="rId603" Type="http://schemas.openxmlformats.org/officeDocument/2006/relationships/hyperlink" Target="https://financialmodelingprep.com/image-stock/TTD.png" TargetMode="External"/><Relationship Id="rId228" Type="http://schemas.openxmlformats.org/officeDocument/2006/relationships/hyperlink" Target="https://financialmodelingprep.com/image-stock/FDX.png" TargetMode="External"/><Relationship Id="rId227" Type="http://schemas.openxmlformats.org/officeDocument/2006/relationships/hyperlink" Target="https://financialmodelingprep.com/image-stock/FCX.png" TargetMode="External"/><Relationship Id="rId469" Type="http://schemas.openxmlformats.org/officeDocument/2006/relationships/hyperlink" Target="https://financialmodelingprep.com/image-stock/PCAR.png" TargetMode="External"/><Relationship Id="rId226" Type="http://schemas.openxmlformats.org/officeDocument/2006/relationships/hyperlink" Target="https://financialmodelingprep.com/image-stock/FBHS.png" TargetMode="External"/><Relationship Id="rId468" Type="http://schemas.openxmlformats.org/officeDocument/2006/relationships/hyperlink" Target="https://financialmodelingprep.com/image-stock/PBCT.png" TargetMode="External"/><Relationship Id="rId225" Type="http://schemas.openxmlformats.org/officeDocument/2006/relationships/hyperlink" Target="https://financialmodelingprep.com/image-stock/FB.png" TargetMode="External"/><Relationship Id="rId467" Type="http://schemas.openxmlformats.org/officeDocument/2006/relationships/hyperlink" Target="https://financialmodelingprep.com/image-stock/PAYX.png" TargetMode="External"/><Relationship Id="rId229" Type="http://schemas.openxmlformats.org/officeDocument/2006/relationships/hyperlink" Target="https://financialmodelingprep.com/image-stock/FE.png" TargetMode="External"/><Relationship Id="rId220" Type="http://schemas.openxmlformats.org/officeDocument/2006/relationships/hyperlink" Target="https://financialmodelingprep.com/image-stock/EXR.png" TargetMode="External"/><Relationship Id="rId462" Type="http://schemas.openxmlformats.org/officeDocument/2006/relationships/hyperlink" Target="https://financialmodelingprep.com/image-stock/ORLY.png" TargetMode="External"/><Relationship Id="rId461" Type="http://schemas.openxmlformats.org/officeDocument/2006/relationships/hyperlink" Target="https://financialmodelingprep.com/image-stock/ORCL.png" TargetMode="External"/><Relationship Id="rId460" Type="http://schemas.openxmlformats.org/officeDocument/2006/relationships/hyperlink" Target="https://financialmodelingprep.com/image-stock/ON.png" TargetMode="External"/><Relationship Id="rId224" Type="http://schemas.openxmlformats.org/officeDocument/2006/relationships/hyperlink" Target="https://financialmodelingprep.com/image-stock/FAST.png" TargetMode="External"/><Relationship Id="rId466" Type="http://schemas.openxmlformats.org/officeDocument/2006/relationships/hyperlink" Target="https://financialmodelingprep.com/image-stock/PAYC.png" TargetMode="External"/><Relationship Id="rId223" Type="http://schemas.openxmlformats.org/officeDocument/2006/relationships/hyperlink" Target="https://financialmodelingprep.com/image-stock/FANG.png" TargetMode="External"/><Relationship Id="rId465" Type="http://schemas.openxmlformats.org/officeDocument/2006/relationships/hyperlink" Target="https://financialmodelingprep.com/image-stock/PACB.png" TargetMode="External"/><Relationship Id="rId222" Type="http://schemas.openxmlformats.org/officeDocument/2006/relationships/hyperlink" Target="https://financialmodelingprep.com/image-stock/F.png" TargetMode="External"/><Relationship Id="rId464" Type="http://schemas.openxmlformats.org/officeDocument/2006/relationships/hyperlink" Target="https://financialmodelingprep.com/image-stock/OXY.png" TargetMode="External"/><Relationship Id="rId221" Type="http://schemas.openxmlformats.org/officeDocument/2006/relationships/hyperlink" Target="https://financialmodelingprep.com/image-stock/EZU.jpg" TargetMode="External"/><Relationship Id="rId463" Type="http://schemas.openxmlformats.org/officeDocument/2006/relationships/hyperlink" Target="https://financialmodelingprep.com/image-stock/OVV.png" TargetMode="External"/><Relationship Id="rId217" Type="http://schemas.openxmlformats.org/officeDocument/2006/relationships/hyperlink" Target="https://financialmodelingprep.com/image-stock/EXC.png" TargetMode="External"/><Relationship Id="rId459" Type="http://schemas.openxmlformats.org/officeDocument/2006/relationships/hyperlink" Target="https://financialmodelingprep.com/image-stock/OMC.png" TargetMode="External"/><Relationship Id="rId216" Type="http://schemas.openxmlformats.org/officeDocument/2006/relationships/hyperlink" Target="https://financialmodelingprep.com/image-stock/EWZ.png" TargetMode="External"/><Relationship Id="rId458" Type="http://schemas.openxmlformats.org/officeDocument/2006/relationships/hyperlink" Target="https://financialmodelingprep.com/image-stock/OKTA.png" TargetMode="External"/><Relationship Id="rId215" Type="http://schemas.openxmlformats.org/officeDocument/2006/relationships/hyperlink" Target="https://financialmodelingprep.com/image-stock/EWY.jpg" TargetMode="External"/><Relationship Id="rId457" Type="http://schemas.openxmlformats.org/officeDocument/2006/relationships/hyperlink" Target="https://financialmodelingprep.com/image-stock/OKE.png" TargetMode="External"/><Relationship Id="rId699" Type="http://schemas.openxmlformats.org/officeDocument/2006/relationships/hyperlink" Target="https://financialmodelingprep.com/image-stock/ZM.png" TargetMode="External"/><Relationship Id="rId214" Type="http://schemas.openxmlformats.org/officeDocument/2006/relationships/hyperlink" Target="https://financialmodelingprep.com/image-stock/EWU.jpg" TargetMode="External"/><Relationship Id="rId456" Type="http://schemas.openxmlformats.org/officeDocument/2006/relationships/hyperlink" Target="https://financialmodelingprep.com/image-stock/OGE.png" TargetMode="External"/><Relationship Id="rId698" Type="http://schemas.openxmlformats.org/officeDocument/2006/relationships/hyperlink" Target="https://financialmodelingprep.com/image-stock/ZION.png" TargetMode="External"/><Relationship Id="rId219" Type="http://schemas.openxmlformats.org/officeDocument/2006/relationships/hyperlink" Target="https://financialmodelingprep.com/image-stock/EXPE.png" TargetMode="External"/><Relationship Id="rId218" Type="http://schemas.openxmlformats.org/officeDocument/2006/relationships/hyperlink" Target="https://financialmodelingprep.com/image-stock/EXPD.png" TargetMode="External"/><Relationship Id="rId451" Type="http://schemas.openxmlformats.org/officeDocument/2006/relationships/hyperlink" Target="https://financialmodelingprep.com/image-stock/NWS.png" TargetMode="External"/><Relationship Id="rId693" Type="http://schemas.openxmlformats.org/officeDocument/2006/relationships/hyperlink" Target="https://financialmodelingprep.com/image-stock/XYL.png" TargetMode="External"/><Relationship Id="rId450" Type="http://schemas.openxmlformats.org/officeDocument/2006/relationships/hyperlink" Target="https://financialmodelingprep.com/image-stock/NWL.png" TargetMode="External"/><Relationship Id="rId692" Type="http://schemas.openxmlformats.org/officeDocument/2006/relationships/hyperlink" Target="https://financialmodelingprep.com/image-stock/XRAY.png" TargetMode="External"/><Relationship Id="rId691" Type="http://schemas.openxmlformats.org/officeDocument/2006/relationships/hyperlink" Target="https://financialmodelingprep.com/image-stock/XOP.png" TargetMode="External"/><Relationship Id="rId690" Type="http://schemas.openxmlformats.org/officeDocument/2006/relationships/hyperlink" Target="https://financialmodelingprep.com/image-stock/XOM.png" TargetMode="External"/><Relationship Id="rId213" Type="http://schemas.openxmlformats.org/officeDocument/2006/relationships/hyperlink" Target="https://financialmodelingprep.com/image-stock/EWT.jpg" TargetMode="External"/><Relationship Id="rId455" Type="http://schemas.openxmlformats.org/officeDocument/2006/relationships/hyperlink" Target="https://financialmodelingprep.com/image-stock/ODFL.png" TargetMode="External"/><Relationship Id="rId697" Type="http://schemas.openxmlformats.org/officeDocument/2006/relationships/hyperlink" Target="https://financialmodelingprep.com/image-stock/ZBRA.png" TargetMode="External"/><Relationship Id="rId212" Type="http://schemas.openxmlformats.org/officeDocument/2006/relationships/hyperlink" Target="https://financialmodelingprep.com/image-stock/EWJ.png" TargetMode="External"/><Relationship Id="rId454" Type="http://schemas.openxmlformats.org/officeDocument/2006/relationships/hyperlink" Target="https://financialmodelingprep.com/image-stock/O.png" TargetMode="External"/><Relationship Id="rId696" Type="http://schemas.openxmlformats.org/officeDocument/2006/relationships/hyperlink" Target="https://financialmodelingprep.com/image-stock/ZBH.png" TargetMode="External"/><Relationship Id="rId211" Type="http://schemas.openxmlformats.org/officeDocument/2006/relationships/hyperlink" Target="https://financialmodelingprep.com/image-stock/EWH.jpg" TargetMode="External"/><Relationship Id="rId453" Type="http://schemas.openxmlformats.org/officeDocument/2006/relationships/hyperlink" Target="https://financialmodelingprep.com/image-stock/NXPI.png" TargetMode="External"/><Relationship Id="rId695" Type="http://schemas.openxmlformats.org/officeDocument/2006/relationships/hyperlink" Target="https://financialmodelingprep.com/image-stock/Z.png" TargetMode="External"/><Relationship Id="rId210" Type="http://schemas.openxmlformats.org/officeDocument/2006/relationships/hyperlink" Target="https://financialmodelingprep.com/image-stock/EWG.jpg" TargetMode="External"/><Relationship Id="rId452" Type="http://schemas.openxmlformats.org/officeDocument/2006/relationships/hyperlink" Target="https://financialmodelingprep.com/image-stock/NWSA.png" TargetMode="External"/><Relationship Id="rId694" Type="http://schemas.openxmlformats.org/officeDocument/2006/relationships/hyperlink" Target="https://financialmodelingprep.com/image-stock/YUM.png" TargetMode="External"/><Relationship Id="rId491" Type="http://schemas.openxmlformats.org/officeDocument/2006/relationships/hyperlink" Target="https://financialmodelingprep.com/image-stock/PNW.png" TargetMode="External"/><Relationship Id="rId490" Type="http://schemas.openxmlformats.org/officeDocument/2006/relationships/hyperlink" Target="https://financialmodelingprep.com/image-stock/PNR.png" TargetMode="External"/><Relationship Id="rId249" Type="http://schemas.openxmlformats.org/officeDocument/2006/relationships/hyperlink" Target="https://financialmodelingprep.com/image-stock/GE.png" TargetMode="External"/><Relationship Id="rId248" Type="http://schemas.openxmlformats.org/officeDocument/2006/relationships/hyperlink" Target="https://financialmodelingprep.com/image-stock/GDX.png" TargetMode="External"/><Relationship Id="rId247" Type="http://schemas.openxmlformats.org/officeDocument/2006/relationships/hyperlink" Target="https://financialmodelingprep.com/image-stock/GD.png" TargetMode="External"/><Relationship Id="rId489" Type="http://schemas.openxmlformats.org/officeDocument/2006/relationships/hyperlink" Target="https://financialmodelingprep.com/image-stock/PNC.png" TargetMode="External"/><Relationship Id="rId242" Type="http://schemas.openxmlformats.org/officeDocument/2006/relationships/hyperlink" Target="https://financialmodelingprep.com/image-stock/FTNT.png" TargetMode="External"/><Relationship Id="rId484" Type="http://schemas.openxmlformats.org/officeDocument/2006/relationships/hyperlink" Target="https://financialmodelingprep.com/image-stock/PKI.png" TargetMode="External"/><Relationship Id="rId241" Type="http://schemas.openxmlformats.org/officeDocument/2006/relationships/hyperlink" Target="https://financialmodelingprep.com/image-stock/FSLY.png" TargetMode="External"/><Relationship Id="rId483" Type="http://schemas.openxmlformats.org/officeDocument/2006/relationships/hyperlink" Target="https://financialmodelingprep.com/image-stock/PKG.png" TargetMode="External"/><Relationship Id="rId240" Type="http://schemas.openxmlformats.org/officeDocument/2006/relationships/hyperlink" Target="https://financialmodelingprep.com/image-stock/FSLR.png" TargetMode="External"/><Relationship Id="rId482" Type="http://schemas.openxmlformats.org/officeDocument/2006/relationships/hyperlink" Target="https://financialmodelingprep.com/image-stock/PINS.png" TargetMode="External"/><Relationship Id="rId481" Type="http://schemas.openxmlformats.org/officeDocument/2006/relationships/hyperlink" Target="https://financialmodelingprep.com/image-stock/PHM.png" TargetMode="External"/><Relationship Id="rId246" Type="http://schemas.openxmlformats.org/officeDocument/2006/relationships/hyperlink" Target="https://financialmodelingprep.com/image-stock/GBTC.png" TargetMode="External"/><Relationship Id="rId488" Type="http://schemas.openxmlformats.org/officeDocument/2006/relationships/hyperlink" Target="https://financialmodelingprep.com/image-stock/PM.png" TargetMode="External"/><Relationship Id="rId245" Type="http://schemas.openxmlformats.org/officeDocument/2006/relationships/hyperlink" Target="https://financialmodelingprep.com/image-stock/FXI.png" TargetMode="External"/><Relationship Id="rId487" Type="http://schemas.openxmlformats.org/officeDocument/2006/relationships/hyperlink" Target="https://financialmodelingprep.com/image-stock/PLUG.png" TargetMode="External"/><Relationship Id="rId244" Type="http://schemas.openxmlformats.org/officeDocument/2006/relationships/hyperlink" Target="https://financialmodelingprep.com/image-stock/FUBO.png" TargetMode="External"/><Relationship Id="rId486" Type="http://schemas.openxmlformats.org/officeDocument/2006/relationships/hyperlink" Target="https://financialmodelingprep.com/image-stock/PLD.png" TargetMode="External"/><Relationship Id="rId243" Type="http://schemas.openxmlformats.org/officeDocument/2006/relationships/hyperlink" Target="https://financialmodelingprep.com/image-stock/FTV.png" TargetMode="External"/><Relationship Id="rId485" Type="http://schemas.openxmlformats.org/officeDocument/2006/relationships/hyperlink" Target="https://financialmodelingprep.com/image-stock/PLAN.png" TargetMode="External"/><Relationship Id="rId480" Type="http://schemas.openxmlformats.org/officeDocument/2006/relationships/hyperlink" Target="https://financialmodelingprep.com/image-stock/PH.png" TargetMode="External"/><Relationship Id="rId239" Type="http://schemas.openxmlformats.org/officeDocument/2006/relationships/hyperlink" Target="https://financialmodelingprep.com/image-stock/FRT.png" TargetMode="External"/><Relationship Id="rId238" Type="http://schemas.openxmlformats.org/officeDocument/2006/relationships/hyperlink" Target="https://financialmodelingprep.com/image-stock/FRC.png" TargetMode="External"/><Relationship Id="rId237" Type="http://schemas.openxmlformats.org/officeDocument/2006/relationships/hyperlink" Target="https://financialmodelingprep.com/image-stock/FOXA.png" TargetMode="External"/><Relationship Id="rId479" Type="http://schemas.openxmlformats.org/officeDocument/2006/relationships/hyperlink" Target="https://financialmodelingprep.com/image-stock/PGR.png" TargetMode="External"/><Relationship Id="rId236" Type="http://schemas.openxmlformats.org/officeDocument/2006/relationships/hyperlink" Target="https://financialmodelingprep.com/image-stock/FOX.png" TargetMode="External"/><Relationship Id="rId478" Type="http://schemas.openxmlformats.org/officeDocument/2006/relationships/hyperlink" Target="https://financialmodelingprep.com/image-stock/PG.png" TargetMode="External"/><Relationship Id="rId231" Type="http://schemas.openxmlformats.org/officeDocument/2006/relationships/hyperlink" Target="https://financialmodelingprep.com/image-stock/FIS.png" TargetMode="External"/><Relationship Id="rId473" Type="http://schemas.openxmlformats.org/officeDocument/2006/relationships/hyperlink" Target="https://financialmodelingprep.com/image-stock/PENN.png" TargetMode="External"/><Relationship Id="rId230" Type="http://schemas.openxmlformats.org/officeDocument/2006/relationships/hyperlink" Target="https://financialmodelingprep.com/image-stock/FFIV.png" TargetMode="External"/><Relationship Id="rId472" Type="http://schemas.openxmlformats.org/officeDocument/2006/relationships/hyperlink" Target="https://financialmodelingprep.com/image-stock/PEG.png" TargetMode="External"/><Relationship Id="rId471" Type="http://schemas.openxmlformats.org/officeDocument/2006/relationships/hyperlink" Target="https://financialmodelingprep.com/image-stock/PEAK.jpg" TargetMode="External"/><Relationship Id="rId470" Type="http://schemas.openxmlformats.org/officeDocument/2006/relationships/hyperlink" Target="https://financialmodelingprep.com/image-stock/PDD.png" TargetMode="External"/><Relationship Id="rId235" Type="http://schemas.openxmlformats.org/officeDocument/2006/relationships/hyperlink" Target="https://financialmodelingprep.com/image-stock/FMC.png" TargetMode="External"/><Relationship Id="rId477" Type="http://schemas.openxmlformats.org/officeDocument/2006/relationships/hyperlink" Target="https://financialmodelingprep.com/image-stock/PFG.png" TargetMode="External"/><Relationship Id="rId234" Type="http://schemas.openxmlformats.org/officeDocument/2006/relationships/hyperlink" Target="https://financialmodelingprep.com/image-stock/FLT.png" TargetMode="External"/><Relationship Id="rId476" Type="http://schemas.openxmlformats.org/officeDocument/2006/relationships/hyperlink" Target="https://financialmodelingprep.com/image-stock/PFF.png" TargetMode="External"/><Relationship Id="rId233" Type="http://schemas.openxmlformats.org/officeDocument/2006/relationships/hyperlink" Target="https://financialmodelingprep.com/image-stock/FITB.png" TargetMode="External"/><Relationship Id="rId475" Type="http://schemas.openxmlformats.org/officeDocument/2006/relationships/hyperlink" Target="https://financialmodelingprep.com/image-stock/PFE.png" TargetMode="External"/><Relationship Id="rId232" Type="http://schemas.openxmlformats.org/officeDocument/2006/relationships/hyperlink" Target="https://financialmodelingprep.com/image-stock/FISV.png" TargetMode="External"/><Relationship Id="rId474" Type="http://schemas.openxmlformats.org/officeDocument/2006/relationships/hyperlink" Target="https://financialmodelingprep.com/image-stock/PEP.png" TargetMode="External"/><Relationship Id="rId426" Type="http://schemas.openxmlformats.org/officeDocument/2006/relationships/hyperlink" Target="https://financialmodelingprep.com/image-stock/NEM.png" TargetMode="External"/><Relationship Id="rId668" Type="http://schemas.openxmlformats.org/officeDocument/2006/relationships/hyperlink" Target="https://financialmodelingprep.com/image-stock/WORK.png" TargetMode="External"/><Relationship Id="rId425" Type="http://schemas.openxmlformats.org/officeDocument/2006/relationships/hyperlink" Target="https://financialmodelingprep.com/image-stock/NEE.png" TargetMode="External"/><Relationship Id="rId667" Type="http://schemas.openxmlformats.org/officeDocument/2006/relationships/hyperlink" Target="https://financialmodelingprep.com/image-stock/WMT.png" TargetMode="External"/><Relationship Id="rId424" Type="http://schemas.openxmlformats.org/officeDocument/2006/relationships/hyperlink" Target="https://financialmodelingprep.com/image-stock/NDAQ.png" TargetMode="External"/><Relationship Id="rId666" Type="http://schemas.openxmlformats.org/officeDocument/2006/relationships/hyperlink" Target="https://financialmodelingprep.com/image-stock/WMB.png" TargetMode="External"/><Relationship Id="rId423" Type="http://schemas.openxmlformats.org/officeDocument/2006/relationships/hyperlink" Target="https://financialmodelingprep.com/image-stock/NCLH.png" TargetMode="External"/><Relationship Id="rId665" Type="http://schemas.openxmlformats.org/officeDocument/2006/relationships/hyperlink" Target="https://financialmodelingprep.com/image-stock/WM.png" TargetMode="External"/><Relationship Id="rId429" Type="http://schemas.openxmlformats.org/officeDocument/2006/relationships/hyperlink" Target="https://financialmodelingprep.com/image-stock/NI.png" TargetMode="External"/><Relationship Id="rId428" Type="http://schemas.openxmlformats.org/officeDocument/2006/relationships/hyperlink" Target="https://financialmodelingprep.com/image-stock/NFLX.png" TargetMode="External"/><Relationship Id="rId427" Type="http://schemas.openxmlformats.org/officeDocument/2006/relationships/hyperlink" Target="https://financialmodelingprep.com/image-stock/NET.png" TargetMode="External"/><Relationship Id="rId669" Type="http://schemas.openxmlformats.org/officeDocument/2006/relationships/hyperlink" Target="https://financialmodelingprep.com/image-stock/WRB.png" TargetMode="External"/><Relationship Id="rId660" Type="http://schemas.openxmlformats.org/officeDocument/2006/relationships/hyperlink" Target="https://financialmodelingprep.com/image-stock/WEC.png" TargetMode="External"/><Relationship Id="rId422" Type="http://schemas.openxmlformats.org/officeDocument/2006/relationships/hyperlink" Target="https://financialmodelingprep.com/image-stock/MXIM.png" TargetMode="External"/><Relationship Id="rId664" Type="http://schemas.openxmlformats.org/officeDocument/2006/relationships/hyperlink" Target="https://financialmodelingprep.com/image-stock/WLTW.png" TargetMode="External"/><Relationship Id="rId421" Type="http://schemas.openxmlformats.org/officeDocument/2006/relationships/hyperlink" Target="https://financialmodelingprep.com/image-stock/MU.png" TargetMode="External"/><Relationship Id="rId663" Type="http://schemas.openxmlformats.org/officeDocument/2006/relationships/hyperlink" Target="https://financialmodelingprep.com/image-stock/WHR.png" TargetMode="External"/><Relationship Id="rId420" Type="http://schemas.openxmlformats.org/officeDocument/2006/relationships/hyperlink" Target="https://financialmodelingprep.com/image-stock/MTD.png" TargetMode="External"/><Relationship Id="rId662" Type="http://schemas.openxmlformats.org/officeDocument/2006/relationships/hyperlink" Target="https://financialmodelingprep.com/image-stock/WFC.png" TargetMode="External"/><Relationship Id="rId661" Type="http://schemas.openxmlformats.org/officeDocument/2006/relationships/hyperlink" Target="https://financialmodelingprep.com/image-stock/WELL.png" TargetMode="External"/><Relationship Id="rId415" Type="http://schemas.openxmlformats.org/officeDocument/2006/relationships/hyperlink" Target="https://financialmodelingprep.com/image-stock/MSCI.png" TargetMode="External"/><Relationship Id="rId657" Type="http://schemas.openxmlformats.org/officeDocument/2006/relationships/hyperlink" Target="https://financialmodelingprep.com/image-stock/WBA.png" TargetMode="External"/><Relationship Id="rId414" Type="http://schemas.openxmlformats.org/officeDocument/2006/relationships/hyperlink" Target="https://financialmodelingprep.com/image-stock/MS.png" TargetMode="External"/><Relationship Id="rId656" Type="http://schemas.openxmlformats.org/officeDocument/2006/relationships/hyperlink" Target="https://financialmodelingprep.com/image-stock/WAT.png" TargetMode="External"/><Relationship Id="rId413" Type="http://schemas.openxmlformats.org/officeDocument/2006/relationships/hyperlink" Target="https://financialmodelingprep.com/image-stock/MRVL.png" TargetMode="External"/><Relationship Id="rId655" Type="http://schemas.openxmlformats.org/officeDocument/2006/relationships/hyperlink" Target="https://financialmodelingprep.com/image-stock/WAB.png" TargetMode="External"/><Relationship Id="rId412" Type="http://schemas.openxmlformats.org/officeDocument/2006/relationships/hyperlink" Target="https://financialmodelingprep.com/image-stock/MRO.png" TargetMode="External"/><Relationship Id="rId654" Type="http://schemas.openxmlformats.org/officeDocument/2006/relationships/hyperlink" Target="https://financialmodelingprep.com/image-stock/VZ.png" TargetMode="External"/><Relationship Id="rId419" Type="http://schemas.openxmlformats.org/officeDocument/2006/relationships/hyperlink" Target="https://financialmodelingprep.com/image-stock/MTCH.png" TargetMode="External"/><Relationship Id="rId418" Type="http://schemas.openxmlformats.org/officeDocument/2006/relationships/hyperlink" Target="https://financialmodelingprep.com/image-stock/MTB.png" TargetMode="External"/><Relationship Id="rId417" Type="http://schemas.openxmlformats.org/officeDocument/2006/relationships/hyperlink" Target="https://financialmodelingprep.com/image-stock/MSI.png" TargetMode="External"/><Relationship Id="rId659" Type="http://schemas.openxmlformats.org/officeDocument/2006/relationships/hyperlink" Target="https://financialmodelingprep.com/image-stock/WDC.png" TargetMode="External"/><Relationship Id="rId416" Type="http://schemas.openxmlformats.org/officeDocument/2006/relationships/hyperlink" Target="https://financialmodelingprep.com/image-stock/MSFT.png" TargetMode="External"/><Relationship Id="rId658" Type="http://schemas.openxmlformats.org/officeDocument/2006/relationships/hyperlink" Target="https://financialmodelingprep.com/image-stock/WDAY.png" TargetMode="External"/><Relationship Id="rId411" Type="http://schemas.openxmlformats.org/officeDocument/2006/relationships/hyperlink" Target="https://financialmodelingprep.com/image-stock/MRNA.png" TargetMode="External"/><Relationship Id="rId653" Type="http://schemas.openxmlformats.org/officeDocument/2006/relationships/hyperlink" Target="https://financialmodelingprep.com/image-stock/VXUS.png" TargetMode="External"/><Relationship Id="rId410" Type="http://schemas.openxmlformats.org/officeDocument/2006/relationships/hyperlink" Target="https://financialmodelingprep.com/image-stock/MPWR.png" TargetMode="External"/><Relationship Id="rId652" Type="http://schemas.openxmlformats.org/officeDocument/2006/relationships/hyperlink" Target="https://financialmodelingprep.com/image-stock/VWO.png" TargetMode="External"/><Relationship Id="rId651" Type="http://schemas.openxmlformats.org/officeDocument/2006/relationships/hyperlink" Target="https://financialmodelingprep.com/image-stock/VTV.png" TargetMode="External"/><Relationship Id="rId650" Type="http://schemas.openxmlformats.org/officeDocument/2006/relationships/hyperlink" Target="https://financialmodelingprep.com/image-stock/VTRS.png" TargetMode="External"/><Relationship Id="rId206" Type="http://schemas.openxmlformats.org/officeDocument/2006/relationships/hyperlink" Target="https://financialmodelingprep.com/image-stock/ETSY.png" TargetMode="External"/><Relationship Id="rId448" Type="http://schemas.openxmlformats.org/officeDocument/2006/relationships/hyperlink" Target="https://financialmodelingprep.com/image-stock/NVR.png" TargetMode="External"/><Relationship Id="rId205" Type="http://schemas.openxmlformats.org/officeDocument/2006/relationships/hyperlink" Target="https://financialmodelingprep.com/image-stock/ETR.png" TargetMode="External"/><Relationship Id="rId447" Type="http://schemas.openxmlformats.org/officeDocument/2006/relationships/hyperlink" Target="https://financialmodelingprep.com/image-stock/NVDA.png" TargetMode="External"/><Relationship Id="rId689" Type="http://schemas.openxmlformats.org/officeDocument/2006/relationships/hyperlink" Target="https://financialmodelingprep.com/image-stock/XLY.png" TargetMode="External"/><Relationship Id="rId204" Type="http://schemas.openxmlformats.org/officeDocument/2006/relationships/hyperlink" Target="https://financialmodelingprep.com/image-stock/ETN.png" TargetMode="External"/><Relationship Id="rId446" Type="http://schemas.openxmlformats.org/officeDocument/2006/relationships/hyperlink" Target="https://financialmodelingprep.com/image-stock/NVAX.png" TargetMode="External"/><Relationship Id="rId688" Type="http://schemas.openxmlformats.org/officeDocument/2006/relationships/hyperlink" Target="https://financialmodelingprep.com/image-stock/XLV.png" TargetMode="External"/><Relationship Id="rId203" Type="http://schemas.openxmlformats.org/officeDocument/2006/relationships/hyperlink" Target="https://financialmodelingprep.com/image-stock/ESS.png" TargetMode="External"/><Relationship Id="rId445" Type="http://schemas.openxmlformats.org/officeDocument/2006/relationships/hyperlink" Target="https://financialmodelingprep.com/image-stock/NUE.png" TargetMode="External"/><Relationship Id="rId687" Type="http://schemas.openxmlformats.org/officeDocument/2006/relationships/hyperlink" Target="https://financialmodelingprep.com/image-stock/XLU.png" TargetMode="External"/><Relationship Id="rId209" Type="http://schemas.openxmlformats.org/officeDocument/2006/relationships/hyperlink" Target="https://financialmodelingprep.com/image-stock/EWC.jpg" TargetMode="External"/><Relationship Id="rId208" Type="http://schemas.openxmlformats.org/officeDocument/2006/relationships/hyperlink" Target="https://financialmodelingprep.com/image-stock/EW.png" TargetMode="External"/><Relationship Id="rId207" Type="http://schemas.openxmlformats.org/officeDocument/2006/relationships/hyperlink" Target="https://financialmodelingprep.com/image-stock/EVRG.png" TargetMode="External"/><Relationship Id="rId449" Type="http://schemas.openxmlformats.org/officeDocument/2006/relationships/hyperlink" Target="https://financialmodelingprep.com/image-stock/NVTA.png" TargetMode="External"/><Relationship Id="rId440" Type="http://schemas.openxmlformats.org/officeDocument/2006/relationships/hyperlink" Target="https://financialmodelingprep.com/image-stock/NTES.png" TargetMode="External"/><Relationship Id="rId682" Type="http://schemas.openxmlformats.org/officeDocument/2006/relationships/hyperlink" Target="https://financialmodelingprep.com/image-stock/XLI.png" TargetMode="External"/><Relationship Id="rId681" Type="http://schemas.openxmlformats.org/officeDocument/2006/relationships/hyperlink" Target="https://financialmodelingprep.com/image-stock/XLF.png" TargetMode="External"/><Relationship Id="rId680" Type="http://schemas.openxmlformats.org/officeDocument/2006/relationships/hyperlink" Target="https://financialmodelingprep.com/image-stock/XLE.png" TargetMode="External"/><Relationship Id="rId202" Type="http://schemas.openxmlformats.org/officeDocument/2006/relationships/hyperlink" Target="https://financialmodelingprep.com/image-stock/ES.png" TargetMode="External"/><Relationship Id="rId444" Type="http://schemas.openxmlformats.org/officeDocument/2006/relationships/hyperlink" Target="https://financialmodelingprep.com/image-stock/NUAN.png" TargetMode="External"/><Relationship Id="rId686" Type="http://schemas.openxmlformats.org/officeDocument/2006/relationships/hyperlink" Target="https://financialmodelingprep.com/image-stock/XLRE.png" TargetMode="External"/><Relationship Id="rId201" Type="http://schemas.openxmlformats.org/officeDocument/2006/relationships/hyperlink" Target="https://financialmodelingprep.com/image-stock/EQR.png" TargetMode="External"/><Relationship Id="rId443" Type="http://schemas.openxmlformats.org/officeDocument/2006/relationships/hyperlink" Target="https://financialmodelingprep.com/image-stock/NTRS.png" TargetMode="External"/><Relationship Id="rId685" Type="http://schemas.openxmlformats.org/officeDocument/2006/relationships/hyperlink" Target="https://financialmodelingprep.com/image-stock/XLP.png" TargetMode="External"/><Relationship Id="rId200" Type="http://schemas.openxmlformats.org/officeDocument/2006/relationships/hyperlink" Target="https://financialmodelingprep.com/image-stock/EQIX.png" TargetMode="External"/><Relationship Id="rId442" Type="http://schemas.openxmlformats.org/officeDocument/2006/relationships/hyperlink" Target="https://financialmodelingprep.com/image-stock/NTNX.png" TargetMode="External"/><Relationship Id="rId684" Type="http://schemas.openxmlformats.org/officeDocument/2006/relationships/hyperlink" Target="https://financialmodelingprep.com/image-stock/XLNX.png" TargetMode="External"/><Relationship Id="rId441" Type="http://schemas.openxmlformats.org/officeDocument/2006/relationships/hyperlink" Target="https://financialmodelingprep.com/image-stock/NTLA.png" TargetMode="External"/><Relationship Id="rId683" Type="http://schemas.openxmlformats.org/officeDocument/2006/relationships/hyperlink" Target="https://financialmodelingprep.com/image-stock/XLK.png" TargetMode="External"/><Relationship Id="rId437" Type="http://schemas.openxmlformats.org/officeDocument/2006/relationships/hyperlink" Target="https://financialmodelingprep.com/image-stock/NRG.png" TargetMode="External"/><Relationship Id="rId679" Type="http://schemas.openxmlformats.org/officeDocument/2006/relationships/hyperlink" Target="https://financialmodelingprep.com/image-stock/XLC.jpg" TargetMode="External"/><Relationship Id="rId436" Type="http://schemas.openxmlformats.org/officeDocument/2006/relationships/hyperlink" Target="https://financialmodelingprep.com/image-stock/NOW.png" TargetMode="External"/><Relationship Id="rId678" Type="http://schemas.openxmlformats.org/officeDocument/2006/relationships/hyperlink" Target="https://financialmodelingprep.com/image-stock/XLB.jpg" TargetMode="External"/><Relationship Id="rId435" Type="http://schemas.openxmlformats.org/officeDocument/2006/relationships/hyperlink" Target="https://financialmodelingprep.com/image-stock/NOVA.png" TargetMode="External"/><Relationship Id="rId677" Type="http://schemas.openxmlformats.org/officeDocument/2006/relationships/hyperlink" Target="https://financialmodelingprep.com/image-stock/XEL.png" TargetMode="External"/><Relationship Id="rId434" Type="http://schemas.openxmlformats.org/officeDocument/2006/relationships/hyperlink" Target="https://financialmodelingprep.com/image-stock/NOV.png" TargetMode="External"/><Relationship Id="rId676" Type="http://schemas.openxmlformats.org/officeDocument/2006/relationships/hyperlink" Target="https://financialmodelingprep.com/image-stock/XBI.png" TargetMode="External"/><Relationship Id="rId439" Type="http://schemas.openxmlformats.org/officeDocument/2006/relationships/hyperlink" Target="https://financialmodelingprep.com/image-stock/NTAP.png" TargetMode="External"/><Relationship Id="rId438" Type="http://schemas.openxmlformats.org/officeDocument/2006/relationships/hyperlink" Target="https://financialmodelingprep.com/image-stock/NSC.png" TargetMode="External"/><Relationship Id="rId671" Type="http://schemas.openxmlformats.org/officeDocument/2006/relationships/hyperlink" Target="https://financialmodelingprep.com/image-stock/WSC.png" TargetMode="External"/><Relationship Id="rId670" Type="http://schemas.openxmlformats.org/officeDocument/2006/relationships/hyperlink" Target="https://financialmodelingprep.com/image-stock/WRK.png" TargetMode="External"/><Relationship Id="rId433" Type="http://schemas.openxmlformats.org/officeDocument/2006/relationships/hyperlink" Target="https://financialmodelingprep.com/image-stock/NOC.png" TargetMode="External"/><Relationship Id="rId675" Type="http://schemas.openxmlformats.org/officeDocument/2006/relationships/hyperlink" Target="https://financialmodelingprep.com/image-stock/WYNN.png" TargetMode="External"/><Relationship Id="rId432" Type="http://schemas.openxmlformats.org/officeDocument/2006/relationships/hyperlink" Target="https://financialmodelingprep.com/image-stock/NLSN.png" TargetMode="External"/><Relationship Id="rId674" Type="http://schemas.openxmlformats.org/officeDocument/2006/relationships/hyperlink" Target="https://financialmodelingprep.com/image-stock/WY.png" TargetMode="External"/><Relationship Id="rId431" Type="http://schemas.openxmlformats.org/officeDocument/2006/relationships/hyperlink" Target="https://financialmodelingprep.com/image-stock/NLOK.png" TargetMode="External"/><Relationship Id="rId673" Type="http://schemas.openxmlformats.org/officeDocument/2006/relationships/hyperlink" Target="https://financialmodelingprep.com/image-stock/WU.png" TargetMode="External"/><Relationship Id="rId430" Type="http://schemas.openxmlformats.org/officeDocument/2006/relationships/hyperlink" Target="https://financialmodelingprep.com/image-stock/NKE.png" TargetMode="External"/><Relationship Id="rId672" Type="http://schemas.openxmlformats.org/officeDocument/2006/relationships/hyperlink" Target="https://financialmodelingprep.com/image-stock/WST.p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3arbzfbsh-cname-us.ngrok.io/Desktop/seabridge%20fintech/icon/market_trend_up.jp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3arbzfbsh-cname-us.ngrok.io/Desktop/seabridge%20fintech/icon/EIX_pa_trend_signal" TargetMode="External"/><Relationship Id="rId194" Type="http://schemas.openxmlformats.org/officeDocument/2006/relationships/hyperlink" Target="https://3arbzfbsh-cname-us.ngrok.io/Desktop/seabridge%20fintech/icon/EMB_pa_trend_signal" TargetMode="External"/><Relationship Id="rId193" Type="http://schemas.openxmlformats.org/officeDocument/2006/relationships/hyperlink" Target="https://3arbzfbsh-cname-us.ngrok.io/Desktop/seabridge%20fintech/icon/ELY_pa_trend_signal" TargetMode="External"/><Relationship Id="rId192" Type="http://schemas.openxmlformats.org/officeDocument/2006/relationships/hyperlink" Target="https://3arbzfbsh-cname-us.ngrok.io/Desktop/seabridge%20fintech/icon/ELAN_pa_trend_signal" TargetMode="External"/><Relationship Id="rId191" Type="http://schemas.openxmlformats.org/officeDocument/2006/relationships/hyperlink" Target="https://3arbzfbsh-cname-us.ngrok.io/Desktop/seabridge%20fintech/icon/EL_pa_trend_signal" TargetMode="External"/><Relationship Id="rId187" Type="http://schemas.openxmlformats.org/officeDocument/2006/relationships/hyperlink" Target="https://3arbzfbsh-cname-us.ngrok.io/Desktop/seabridge%20fintech/icon/EEM_pa_trend_signal" TargetMode="External"/><Relationship Id="rId186" Type="http://schemas.openxmlformats.org/officeDocument/2006/relationships/hyperlink" Target="https://3arbzfbsh-cname-us.ngrok.io/Desktop/seabridge%20fintech/icon/ED_pa_trend_signal" TargetMode="External"/><Relationship Id="rId185" Type="http://schemas.openxmlformats.org/officeDocument/2006/relationships/hyperlink" Target="https://3arbzfbsh-cname-us.ngrok.io/Desktop/seabridge%20fintech/icon/ECL_pa_trend_signal" TargetMode="External"/><Relationship Id="rId184" Type="http://schemas.openxmlformats.org/officeDocument/2006/relationships/hyperlink" Target="https://3arbzfbsh-cname-us.ngrok.io/Desktop/seabridge%20fintech/icon/EBAY_pa_trend_signal" TargetMode="External"/><Relationship Id="rId189" Type="http://schemas.openxmlformats.org/officeDocument/2006/relationships/hyperlink" Target="https://3arbzfbsh-cname-us.ngrok.io/Desktop/seabridge%20fintech/icon/EFX_pa_trend_signal" TargetMode="External"/><Relationship Id="rId188" Type="http://schemas.openxmlformats.org/officeDocument/2006/relationships/hyperlink" Target="https://3arbzfbsh-cname-us.ngrok.io/Desktop/seabridge%20fintech/icon/EFA_pa_trend_signal" TargetMode="External"/><Relationship Id="rId183" Type="http://schemas.openxmlformats.org/officeDocument/2006/relationships/hyperlink" Target="https://3arbzfbsh-cname-us.ngrok.io/Desktop/seabridge%20fintech/icon/EA_pa_trend_signal" TargetMode="External"/><Relationship Id="rId182" Type="http://schemas.openxmlformats.org/officeDocument/2006/relationships/hyperlink" Target="https://3arbzfbsh-cname-us.ngrok.io/Desktop/seabridge%20fintech/icon/DXCM_pa_trend_signal" TargetMode="External"/><Relationship Id="rId181" Type="http://schemas.openxmlformats.org/officeDocument/2006/relationships/hyperlink" Target="https://3arbzfbsh-cname-us.ngrok.io/Desktop/seabridge%20fintech/icon/DXC_pa_trend_signal" TargetMode="External"/><Relationship Id="rId180" Type="http://schemas.openxmlformats.org/officeDocument/2006/relationships/hyperlink" Target="https://3arbzfbsh-cname-us.ngrok.io/Desktop/seabridge%20fintech/icon/DVN_pa_trend_signal" TargetMode="External"/><Relationship Id="rId176" Type="http://schemas.openxmlformats.org/officeDocument/2006/relationships/hyperlink" Target="https://3arbzfbsh-cname-us.ngrok.io/Desktop/seabridge%20fintech/icon/DRI_pa_trend_signal" TargetMode="External"/><Relationship Id="rId297" Type="http://schemas.openxmlformats.org/officeDocument/2006/relationships/hyperlink" Target="https://3arbzfbsh-cname-us.ngrok.io/Desktop/seabridge%20fintech/icon/IDXX_pa_trend_signal" TargetMode="External"/><Relationship Id="rId175" Type="http://schemas.openxmlformats.org/officeDocument/2006/relationships/hyperlink" Target="https://3arbzfbsh-cname-us.ngrok.io/Desktop/seabridge%20fintech/icon/DRE_pa_trend_signal" TargetMode="External"/><Relationship Id="rId296" Type="http://schemas.openxmlformats.org/officeDocument/2006/relationships/hyperlink" Target="https://3arbzfbsh-cname-us.ngrok.io/Desktop/seabridge%20fintech/icon/ICE_pa_trend_signal" TargetMode="External"/><Relationship Id="rId174" Type="http://schemas.openxmlformats.org/officeDocument/2006/relationships/hyperlink" Target="https://3arbzfbsh-cname-us.ngrok.io/Desktop/seabridge%20fintech/icon/DPZ_pa_trend_signal" TargetMode="External"/><Relationship Id="rId295" Type="http://schemas.openxmlformats.org/officeDocument/2006/relationships/hyperlink" Target="https://3arbzfbsh-cname-us.ngrok.io/Desktop/seabridge%20fintech/icon/IBM_pa_trend_signal" TargetMode="External"/><Relationship Id="rId173" Type="http://schemas.openxmlformats.org/officeDocument/2006/relationships/hyperlink" Target="https://3arbzfbsh-cname-us.ngrok.io/Desktop/seabridge%20fintech/icon/DOW_pa_trend_signal" TargetMode="External"/><Relationship Id="rId294" Type="http://schemas.openxmlformats.org/officeDocument/2006/relationships/hyperlink" Target="https://3arbzfbsh-cname-us.ngrok.io/Desktop/seabridge%20fintech/icon/IBB_pa_trend_signal" TargetMode="External"/><Relationship Id="rId179" Type="http://schemas.openxmlformats.org/officeDocument/2006/relationships/hyperlink" Target="https://3arbzfbsh-cname-us.ngrok.io/Desktop/seabridge%20fintech/icon/DVA_pa_trend_signal" TargetMode="External"/><Relationship Id="rId178" Type="http://schemas.openxmlformats.org/officeDocument/2006/relationships/hyperlink" Target="https://3arbzfbsh-cname-us.ngrok.io/Desktop/seabridge%20fintech/icon/DUK_pa_trend_signal" TargetMode="External"/><Relationship Id="rId299" Type="http://schemas.openxmlformats.org/officeDocument/2006/relationships/hyperlink" Target="https://3arbzfbsh-cname-us.ngrok.io/Desktop/seabridge%20fintech/icon/IEFA_pa_trend_signal" TargetMode="External"/><Relationship Id="rId177" Type="http://schemas.openxmlformats.org/officeDocument/2006/relationships/hyperlink" Target="https://3arbzfbsh-cname-us.ngrok.io/Desktop/seabridge%20fintech/icon/DTE_pa_trend_signal" TargetMode="External"/><Relationship Id="rId298" Type="http://schemas.openxmlformats.org/officeDocument/2006/relationships/hyperlink" Target="https://3arbzfbsh-cname-us.ngrok.io/Desktop/seabridge%20fintech/icon/IEF_pa_trend_signal" TargetMode="External"/><Relationship Id="rId198" Type="http://schemas.openxmlformats.org/officeDocument/2006/relationships/hyperlink" Target="https://3arbzfbsh-cname-us.ngrok.io/Desktop/seabridge%20fintech/icon/EOG_pa_trend_signal" TargetMode="External"/><Relationship Id="rId197" Type="http://schemas.openxmlformats.org/officeDocument/2006/relationships/hyperlink" Target="https://3arbzfbsh-cname-us.ngrok.io/Desktop/seabridge%20fintech/icon/ENPH_pa_trend_signal" TargetMode="External"/><Relationship Id="rId196" Type="http://schemas.openxmlformats.org/officeDocument/2006/relationships/hyperlink" Target="https://3arbzfbsh-cname-us.ngrok.io/Desktop/seabridge%20fintech/icon/EMR_pa_trend_signal" TargetMode="External"/><Relationship Id="rId195" Type="http://schemas.openxmlformats.org/officeDocument/2006/relationships/hyperlink" Target="https://3arbzfbsh-cname-us.ngrok.io/Desktop/seabridge%20fintech/icon/EMN_pa_trend_signal" TargetMode="External"/><Relationship Id="rId199" Type="http://schemas.openxmlformats.org/officeDocument/2006/relationships/hyperlink" Target="https://3arbzfbsh-cname-us.ngrok.io/Desktop/seabridge%20fintech/icon/EQH_pa_trend_signal" TargetMode="External"/><Relationship Id="rId150" Type="http://schemas.openxmlformats.org/officeDocument/2006/relationships/hyperlink" Target="https://3arbzfbsh-cname-us.ngrok.io/Desktop/seabridge%20fintech/icon/D_pa_trend_signal" TargetMode="External"/><Relationship Id="rId271" Type="http://schemas.openxmlformats.org/officeDocument/2006/relationships/hyperlink" Target="https://3arbzfbsh-cname-us.ngrok.io/Desktop/seabridge%20fintech/icon/HCA_pa_trend_signal" TargetMode="External"/><Relationship Id="rId392" Type="http://schemas.openxmlformats.org/officeDocument/2006/relationships/hyperlink" Target="https://3arbzfbsh-cname-us.ngrok.io/Desktop/seabridge%20fintech/icon/MDLZ_pa_trend_signal" TargetMode="External"/><Relationship Id="rId270" Type="http://schemas.openxmlformats.org/officeDocument/2006/relationships/hyperlink" Target="https://3arbzfbsh-cname-us.ngrok.io/Desktop/seabridge%20fintech/icon/HBI_pa_trend_signal" TargetMode="External"/><Relationship Id="rId391" Type="http://schemas.openxmlformats.org/officeDocument/2006/relationships/hyperlink" Target="https://3arbzfbsh-cname-us.ngrok.io/Desktop/seabridge%20fintech/icon/MCO_pa_trend_signal" TargetMode="External"/><Relationship Id="rId390" Type="http://schemas.openxmlformats.org/officeDocument/2006/relationships/hyperlink" Target="https://3arbzfbsh-cname-us.ngrok.io/Desktop/seabridge%20fintech/icon/MCK_pa_trend_signal" TargetMode="External"/><Relationship Id="rId1" Type="http://schemas.openxmlformats.org/officeDocument/2006/relationships/hyperlink" Target="https://3arbzfbsh-cname-us.ngrok.io/Desktop/seabridge%20fintech/icon/A_pa_trend_signal" TargetMode="External"/><Relationship Id="rId2" Type="http://schemas.openxmlformats.org/officeDocument/2006/relationships/hyperlink" Target="https://3arbzfbsh-cname-us.ngrok.io/Desktop/seabridge%20fintech/icon/AA_pa_trend_signal" TargetMode="External"/><Relationship Id="rId3" Type="http://schemas.openxmlformats.org/officeDocument/2006/relationships/hyperlink" Target="https://3arbzfbsh-cname-us.ngrok.io/Desktop/seabridge%20fintech/icon/AAL_pa_trend_signal" TargetMode="External"/><Relationship Id="rId149" Type="http://schemas.openxmlformats.org/officeDocument/2006/relationships/hyperlink" Target="https://3arbzfbsh-cname-us.ngrok.io/Desktop/seabridge%20fintech/icon/CZR_pa_trend_signal" TargetMode="External"/><Relationship Id="rId4" Type="http://schemas.openxmlformats.org/officeDocument/2006/relationships/hyperlink" Target="https://3arbzfbsh-cname-us.ngrok.io/Desktop/seabridge%20fintech/icon/AAP_pa_trend_signal" TargetMode="External"/><Relationship Id="rId148" Type="http://schemas.openxmlformats.org/officeDocument/2006/relationships/hyperlink" Target="https://3arbzfbsh-cname-us.ngrok.io/Desktop/seabridge%20fintech/icon/CVX_pa_trend_signal" TargetMode="External"/><Relationship Id="rId269" Type="http://schemas.openxmlformats.org/officeDocument/2006/relationships/hyperlink" Target="https://3arbzfbsh-cname-us.ngrok.io/Desktop/seabridge%20fintech/icon/HBAN_pa_trend_signal" TargetMode="External"/><Relationship Id="rId9" Type="http://schemas.openxmlformats.org/officeDocument/2006/relationships/hyperlink" Target="https://3arbzfbsh-cname-us.ngrok.io/Desktop/seabridge%20fintech/icon/ABT_pa_trend_signal" TargetMode="External"/><Relationship Id="rId143" Type="http://schemas.openxmlformats.org/officeDocument/2006/relationships/hyperlink" Target="https://3arbzfbsh-cname-us.ngrok.io/Desktop/seabridge%20fintech/icon/CTLT_pa_trend_signal" TargetMode="External"/><Relationship Id="rId264" Type="http://schemas.openxmlformats.org/officeDocument/2006/relationships/hyperlink" Target="https://3arbzfbsh-cname-us.ngrok.io/Desktop/seabridge%20fintech/icon/GRMN_pa_trend_signal" TargetMode="External"/><Relationship Id="rId385" Type="http://schemas.openxmlformats.org/officeDocument/2006/relationships/hyperlink" Target="https://3arbzfbsh-cname-us.ngrok.io/Desktop/seabridge%20fintech/icon/MARA_pa_trend_signal" TargetMode="External"/><Relationship Id="rId142" Type="http://schemas.openxmlformats.org/officeDocument/2006/relationships/hyperlink" Target="https://3arbzfbsh-cname-us.ngrok.io/Desktop/seabridge%20fintech/icon/CTAS_pa_trend_signal" TargetMode="External"/><Relationship Id="rId263" Type="http://schemas.openxmlformats.org/officeDocument/2006/relationships/hyperlink" Target="https://3arbzfbsh-cname-us.ngrok.io/Desktop/seabridge%20fintech/icon/GPS_pa_trend_signal" TargetMode="External"/><Relationship Id="rId384" Type="http://schemas.openxmlformats.org/officeDocument/2006/relationships/hyperlink" Target="https://3arbzfbsh-cname-us.ngrok.io/Desktop/seabridge%20fintech/icon/MAR_pa_trend_signal" TargetMode="External"/><Relationship Id="rId141" Type="http://schemas.openxmlformats.org/officeDocument/2006/relationships/hyperlink" Target="https://3arbzfbsh-cname-us.ngrok.io/Desktop/seabridge%20fintech/icon/CSX_pa_trend_signal" TargetMode="External"/><Relationship Id="rId262" Type="http://schemas.openxmlformats.org/officeDocument/2006/relationships/hyperlink" Target="https://3arbzfbsh-cname-us.ngrok.io/Desktop/seabridge%20fintech/icon/GPN_pa_trend_signal" TargetMode="External"/><Relationship Id="rId383" Type="http://schemas.openxmlformats.org/officeDocument/2006/relationships/hyperlink" Target="https://3arbzfbsh-cname-us.ngrok.io/Desktop/seabridge%20fintech/icon/MAA_pa_trend_signal" TargetMode="External"/><Relationship Id="rId140" Type="http://schemas.openxmlformats.org/officeDocument/2006/relationships/hyperlink" Target="https://3arbzfbsh-cname-us.ngrok.io/Desktop/seabridge%20fintech/icon/CSGP_pa_trend_signal" TargetMode="External"/><Relationship Id="rId261" Type="http://schemas.openxmlformats.org/officeDocument/2006/relationships/hyperlink" Target="https://3arbzfbsh-cname-us.ngrok.io/Desktop/seabridge%20fintech/icon/GPC_pa_trend_signal" TargetMode="External"/><Relationship Id="rId382" Type="http://schemas.openxmlformats.org/officeDocument/2006/relationships/hyperlink" Target="https://3arbzfbsh-cname-us.ngrok.io/Desktop/seabridge%20fintech/icon/MA_pa_trend_signal" TargetMode="External"/><Relationship Id="rId5" Type="http://schemas.openxmlformats.org/officeDocument/2006/relationships/hyperlink" Target="https://3arbzfbsh-cname-us.ngrok.io/Desktop/seabridge%20fintech/icon/AAPL_pa_trend_signal" TargetMode="External"/><Relationship Id="rId147" Type="http://schemas.openxmlformats.org/officeDocument/2006/relationships/hyperlink" Target="https://3arbzfbsh-cname-us.ngrok.io/Desktop/seabridge%20fintech/icon/CVS_pa_trend_signal" TargetMode="External"/><Relationship Id="rId268" Type="http://schemas.openxmlformats.org/officeDocument/2006/relationships/hyperlink" Target="https://3arbzfbsh-cname-us.ngrok.io/Desktop/seabridge%20fintech/icon/HAS_pa_trend_signal" TargetMode="External"/><Relationship Id="rId389" Type="http://schemas.openxmlformats.org/officeDocument/2006/relationships/hyperlink" Target="https://3arbzfbsh-cname-us.ngrok.io/Desktop/seabridge%20fintech/icon/MCHP_pa_trend_signal" TargetMode="External"/><Relationship Id="rId6" Type="http://schemas.openxmlformats.org/officeDocument/2006/relationships/hyperlink" Target="https://3arbzfbsh-cname-us.ngrok.io/Desktop/seabridge%20fintech/icon/ABBV_pa_trend_signal" TargetMode="External"/><Relationship Id="rId146" Type="http://schemas.openxmlformats.org/officeDocument/2006/relationships/hyperlink" Target="https://3arbzfbsh-cname-us.ngrok.io/Desktop/seabridge%20fintech/icon/CTXS_pa_trend_signal" TargetMode="External"/><Relationship Id="rId267" Type="http://schemas.openxmlformats.org/officeDocument/2006/relationships/hyperlink" Target="https://3arbzfbsh-cname-us.ngrok.io/Desktop/seabridge%20fintech/icon/HAL_pa_trend_signal" TargetMode="External"/><Relationship Id="rId388" Type="http://schemas.openxmlformats.org/officeDocument/2006/relationships/hyperlink" Target="https://3arbzfbsh-cname-us.ngrok.io/Desktop/seabridge%20fintech/icon/MCHI_pa_trend_signal" TargetMode="External"/><Relationship Id="rId7" Type="http://schemas.openxmlformats.org/officeDocument/2006/relationships/hyperlink" Target="https://3arbzfbsh-cname-us.ngrok.io/Desktop/seabridge%20fintech/icon/ABC_pa_trend_signal" TargetMode="External"/><Relationship Id="rId145" Type="http://schemas.openxmlformats.org/officeDocument/2006/relationships/hyperlink" Target="https://3arbzfbsh-cname-us.ngrok.io/Desktop/seabridge%20fintech/icon/CTVA_pa_trend_signal" TargetMode="External"/><Relationship Id="rId266" Type="http://schemas.openxmlformats.org/officeDocument/2006/relationships/hyperlink" Target="https://3arbzfbsh-cname-us.ngrok.io/Desktop/seabridge%20fintech/icon/GWW_pa_trend_signal" TargetMode="External"/><Relationship Id="rId387" Type="http://schemas.openxmlformats.org/officeDocument/2006/relationships/hyperlink" Target="https://3arbzfbsh-cname-us.ngrok.io/Desktop/seabridge%20fintech/icon/MCD_pa_trend_signal" TargetMode="External"/><Relationship Id="rId8" Type="http://schemas.openxmlformats.org/officeDocument/2006/relationships/hyperlink" Target="https://3arbzfbsh-cname-us.ngrok.io/Desktop/seabridge%20fintech/icon/ABMD_pa_trend_signal" TargetMode="External"/><Relationship Id="rId144" Type="http://schemas.openxmlformats.org/officeDocument/2006/relationships/hyperlink" Target="https://3arbzfbsh-cname-us.ngrok.io/Desktop/seabridge%20fintech/icon/CTSH_pa_trend_signal" TargetMode="External"/><Relationship Id="rId265" Type="http://schemas.openxmlformats.org/officeDocument/2006/relationships/hyperlink" Target="https://3arbzfbsh-cname-us.ngrok.io/Desktop/seabridge%20fintech/icon/GS_pa_trend_signal" TargetMode="External"/><Relationship Id="rId386" Type="http://schemas.openxmlformats.org/officeDocument/2006/relationships/hyperlink" Target="https://3arbzfbsh-cname-us.ngrok.io/Desktop/seabridge%20fintech/icon/MAS_pa_trend_signal" TargetMode="External"/><Relationship Id="rId260" Type="http://schemas.openxmlformats.org/officeDocument/2006/relationships/hyperlink" Target="https://3arbzfbsh-cname-us.ngrok.io/Desktop/seabridge%20fintech/icon/GOVT_pa_trend_signal" TargetMode="External"/><Relationship Id="rId381" Type="http://schemas.openxmlformats.org/officeDocument/2006/relationships/hyperlink" Target="https://3arbzfbsh-cname-us.ngrok.io/Desktop/seabridge%20fintech/icon/LYV_pa_trend_signal" TargetMode="External"/><Relationship Id="rId380" Type="http://schemas.openxmlformats.org/officeDocument/2006/relationships/hyperlink" Target="https://3arbzfbsh-cname-us.ngrok.io/Desktop/seabridge%20fintech/icon/LYFT_pa_trend_signal" TargetMode="External"/><Relationship Id="rId139" Type="http://schemas.openxmlformats.org/officeDocument/2006/relationships/hyperlink" Target="https://3arbzfbsh-cname-us.ngrok.io/Desktop/seabridge%20fintech/icon/CSCO_pa_trend_signal" TargetMode="External"/><Relationship Id="rId138" Type="http://schemas.openxmlformats.org/officeDocument/2006/relationships/hyperlink" Target="https://3arbzfbsh-cname-us.ngrok.io/Desktop/seabridge%20fintech/icon/CRWD_pa_trend_signal" TargetMode="External"/><Relationship Id="rId259" Type="http://schemas.openxmlformats.org/officeDocument/2006/relationships/hyperlink" Target="https://3arbzfbsh-cname-us.ngrok.io/Desktop/seabridge%20fintech/icon/GOOGL_pa_trend_signal" TargetMode="External"/><Relationship Id="rId137" Type="http://schemas.openxmlformats.org/officeDocument/2006/relationships/hyperlink" Target="https://3arbzfbsh-cname-us.ngrok.io/Desktop/seabridge%20fintech/icon/CRSR_pa_trend_signal" TargetMode="External"/><Relationship Id="rId258" Type="http://schemas.openxmlformats.org/officeDocument/2006/relationships/hyperlink" Target="https://3arbzfbsh-cname-us.ngrok.io/Desktop/seabridge%20fintech/icon/GOOG_pa_trend_signal" TargetMode="External"/><Relationship Id="rId379" Type="http://schemas.openxmlformats.org/officeDocument/2006/relationships/hyperlink" Target="https://3arbzfbsh-cname-us.ngrok.io/Desktop/seabridge%20fintech/icon/LYB_pa_trend_signal" TargetMode="External"/><Relationship Id="rId132" Type="http://schemas.openxmlformats.org/officeDocument/2006/relationships/hyperlink" Target="https://3arbzfbsh-cname-us.ngrok.io/Desktop/seabridge%20fintech/icon/COST_pa_trend_signal" TargetMode="External"/><Relationship Id="rId253" Type="http://schemas.openxmlformats.org/officeDocument/2006/relationships/hyperlink" Target="https://3arbzfbsh-cname-us.ngrok.io/Desktop/seabridge%20fintech/icon/GLD_pa_trend_signal" TargetMode="External"/><Relationship Id="rId374" Type="http://schemas.openxmlformats.org/officeDocument/2006/relationships/hyperlink" Target="https://3arbzfbsh-cname-us.ngrok.io/Desktop/seabridge%20fintech/icon/LULU_pa_trend_signal" TargetMode="External"/><Relationship Id="rId495" Type="http://schemas.openxmlformats.org/officeDocument/2006/relationships/hyperlink" Target="https://3arbzfbsh-cname-us.ngrok.io/Desktop/seabridge%20fintech/icon/PRGO_pa_trend_signal" TargetMode="External"/><Relationship Id="rId131" Type="http://schemas.openxmlformats.org/officeDocument/2006/relationships/hyperlink" Target="https://3arbzfbsh-cname-us.ngrok.io/Desktop/seabridge%20fintech/icon/COP_pa_trend_signal" TargetMode="External"/><Relationship Id="rId252" Type="http://schemas.openxmlformats.org/officeDocument/2006/relationships/hyperlink" Target="https://3arbzfbsh-cname-us.ngrok.io/Desktop/seabridge%20fintech/icon/GL_pa_trend_signal" TargetMode="External"/><Relationship Id="rId373" Type="http://schemas.openxmlformats.org/officeDocument/2006/relationships/hyperlink" Target="https://3arbzfbsh-cname-us.ngrok.io/Desktop/seabridge%20fintech/icon/LRCX_pa_trend_signal" TargetMode="External"/><Relationship Id="rId494" Type="http://schemas.openxmlformats.org/officeDocument/2006/relationships/hyperlink" Target="https://3arbzfbsh-cname-us.ngrok.io/Desktop/seabridge%20fintech/icon/PPL_pa_trend_signal" TargetMode="External"/><Relationship Id="rId130" Type="http://schemas.openxmlformats.org/officeDocument/2006/relationships/hyperlink" Target="https://3arbzfbsh-cname-us.ngrok.io/Desktop/seabridge%20fintech/icon/COO_pa_trend_signal" TargetMode="External"/><Relationship Id="rId251" Type="http://schemas.openxmlformats.org/officeDocument/2006/relationships/hyperlink" Target="https://3arbzfbsh-cname-us.ngrok.io/Desktop/seabridge%20fintech/icon/GIS_pa_trend_signal" TargetMode="External"/><Relationship Id="rId372" Type="http://schemas.openxmlformats.org/officeDocument/2006/relationships/hyperlink" Target="https://3arbzfbsh-cname-us.ngrok.io/Desktop/seabridge%20fintech/icon/LQD_pa_trend_signal" TargetMode="External"/><Relationship Id="rId493" Type="http://schemas.openxmlformats.org/officeDocument/2006/relationships/hyperlink" Target="https://3arbzfbsh-cname-us.ngrok.io/Desktop/seabridge%20fintech/icon/PPG_pa_trend_signal" TargetMode="External"/><Relationship Id="rId250" Type="http://schemas.openxmlformats.org/officeDocument/2006/relationships/hyperlink" Target="https://3arbzfbsh-cname-us.ngrok.io/Desktop/seabridge%20fintech/icon/GILD_pa_trend_signal" TargetMode="External"/><Relationship Id="rId371" Type="http://schemas.openxmlformats.org/officeDocument/2006/relationships/hyperlink" Target="https://3arbzfbsh-cname-us.ngrok.io/Desktop/seabridge%20fintech/icon/LPX_pa_trend_signal" TargetMode="External"/><Relationship Id="rId492" Type="http://schemas.openxmlformats.org/officeDocument/2006/relationships/hyperlink" Target="https://3arbzfbsh-cname-us.ngrok.io/Desktop/seabridge%20fintech/icon/POOL_pa_trend_signal" TargetMode="External"/><Relationship Id="rId136" Type="http://schemas.openxmlformats.org/officeDocument/2006/relationships/hyperlink" Target="https://3arbzfbsh-cname-us.ngrok.io/Desktop/seabridge%20fintech/icon/CRM_pa_trend_signal" TargetMode="External"/><Relationship Id="rId257" Type="http://schemas.openxmlformats.org/officeDocument/2006/relationships/hyperlink" Target="https://3arbzfbsh-cname-us.ngrok.io/Desktop/seabridge%20fintech/icon/GNRC_pa_trend_signal" TargetMode="External"/><Relationship Id="rId378" Type="http://schemas.openxmlformats.org/officeDocument/2006/relationships/hyperlink" Target="https://3arbzfbsh-cname-us.ngrok.io/Desktop/seabridge%20fintech/icon/LW_pa_trend_signal" TargetMode="External"/><Relationship Id="rId499" Type="http://schemas.openxmlformats.org/officeDocument/2006/relationships/hyperlink" Target="https://3arbzfbsh-cname-us.ngrok.io/Desktop/seabridge%20fintech/icon/PSX_pa_trend_signal" TargetMode="External"/><Relationship Id="rId135" Type="http://schemas.openxmlformats.org/officeDocument/2006/relationships/hyperlink" Target="https://3arbzfbsh-cname-us.ngrok.io/Desktop/seabridge%20fintech/icon/CRL_pa_trend_signal" TargetMode="External"/><Relationship Id="rId256" Type="http://schemas.openxmlformats.org/officeDocument/2006/relationships/hyperlink" Target="https://3arbzfbsh-cname-us.ngrok.io/Desktop/seabridge%20fintech/icon/GME_pa_trend_signal" TargetMode="External"/><Relationship Id="rId377" Type="http://schemas.openxmlformats.org/officeDocument/2006/relationships/hyperlink" Target="https://3arbzfbsh-cname-us.ngrok.io/Desktop/seabridge%20fintech/icon/LVS_pa_trend_signal" TargetMode="External"/><Relationship Id="rId498" Type="http://schemas.openxmlformats.org/officeDocument/2006/relationships/hyperlink" Target="https://3arbzfbsh-cname-us.ngrok.io/Desktop/seabridge%20fintech/icon/PSA_pa_trend_signal" TargetMode="External"/><Relationship Id="rId134" Type="http://schemas.openxmlformats.org/officeDocument/2006/relationships/hyperlink" Target="https://3arbzfbsh-cname-us.ngrok.io/Desktop/seabridge%20fintech/icon/CPRT_pa_trend_signal" TargetMode="External"/><Relationship Id="rId255" Type="http://schemas.openxmlformats.org/officeDocument/2006/relationships/hyperlink" Target="https://3arbzfbsh-cname-us.ngrok.io/Desktop/seabridge%20fintech/icon/GM_pa_trend_signal" TargetMode="External"/><Relationship Id="rId376" Type="http://schemas.openxmlformats.org/officeDocument/2006/relationships/hyperlink" Target="https://3arbzfbsh-cname-us.ngrok.io/Desktop/seabridge%20fintech/icon/LUV_pa_trend_signal" TargetMode="External"/><Relationship Id="rId497" Type="http://schemas.openxmlformats.org/officeDocument/2006/relationships/hyperlink" Target="https://3arbzfbsh-cname-us.ngrok.io/Desktop/seabridge%20fintech/icon/PRU_pa_trend_signal" TargetMode="External"/><Relationship Id="rId133" Type="http://schemas.openxmlformats.org/officeDocument/2006/relationships/hyperlink" Target="https://3arbzfbsh-cname-us.ngrok.io/Desktop/seabridge%20fintech/icon/CPB_pa_trend_signal" TargetMode="External"/><Relationship Id="rId254" Type="http://schemas.openxmlformats.org/officeDocument/2006/relationships/hyperlink" Target="https://3arbzfbsh-cname-us.ngrok.io/Desktop/seabridge%20fintech/icon/GLW_pa_trend_signal" TargetMode="External"/><Relationship Id="rId375" Type="http://schemas.openxmlformats.org/officeDocument/2006/relationships/hyperlink" Target="https://3arbzfbsh-cname-us.ngrok.io/Desktop/seabridge%20fintech/icon/LUMN_pa_trend_signal" TargetMode="External"/><Relationship Id="rId496" Type="http://schemas.openxmlformats.org/officeDocument/2006/relationships/hyperlink" Target="https://3arbzfbsh-cname-us.ngrok.io/Desktop/seabridge%20fintech/icon/PRSP_pa_trend_signal" TargetMode="External"/><Relationship Id="rId172" Type="http://schemas.openxmlformats.org/officeDocument/2006/relationships/hyperlink" Target="https://3arbzfbsh-cname-us.ngrok.io/Desktop/seabridge%20fintech/icon/DOV_pa_trend_signal" TargetMode="External"/><Relationship Id="rId293" Type="http://schemas.openxmlformats.org/officeDocument/2006/relationships/hyperlink" Target="https://3arbzfbsh-cname-us.ngrok.io/Desktop/seabridge%20fintech/icon/IAU_pa_trend_signal" TargetMode="External"/><Relationship Id="rId171" Type="http://schemas.openxmlformats.org/officeDocument/2006/relationships/hyperlink" Target="https://3arbzfbsh-cname-us.ngrok.io/Desktop/seabridge%20fintech/icon/DOCU_pa_trend_signal" TargetMode="External"/><Relationship Id="rId292" Type="http://schemas.openxmlformats.org/officeDocument/2006/relationships/hyperlink" Target="https://3arbzfbsh-cname-us.ngrok.io/Desktop/seabridge%20fintech/icon/HYLB_pa_trend_signal" TargetMode="External"/><Relationship Id="rId170" Type="http://schemas.openxmlformats.org/officeDocument/2006/relationships/hyperlink" Target="https://3arbzfbsh-cname-us.ngrok.io/Desktop/seabridge%20fintech/icon/DLTR_pa_trend_signal" TargetMode="External"/><Relationship Id="rId291" Type="http://schemas.openxmlformats.org/officeDocument/2006/relationships/hyperlink" Target="https://3arbzfbsh-cname-us.ngrok.io/Desktop/seabridge%20fintech/icon/HYG_pa_trend_signal" TargetMode="External"/><Relationship Id="rId290" Type="http://schemas.openxmlformats.org/officeDocument/2006/relationships/hyperlink" Target="https://3arbzfbsh-cname-us.ngrok.io/Desktop/seabridge%20fintech/icon/HWM_pa_trend_signal" TargetMode="External"/><Relationship Id="rId165" Type="http://schemas.openxmlformats.org/officeDocument/2006/relationships/hyperlink" Target="https://3arbzfbsh-cname-us.ngrok.io/Desktop/seabridge%20fintech/icon/DIS_pa_trend_signal" TargetMode="External"/><Relationship Id="rId286" Type="http://schemas.openxmlformats.org/officeDocument/2006/relationships/hyperlink" Target="https://3arbzfbsh-cname-us.ngrok.io/Desktop/seabridge%20fintech/icon/HST_pa_trend_signal" TargetMode="External"/><Relationship Id="rId164" Type="http://schemas.openxmlformats.org/officeDocument/2006/relationships/hyperlink" Target="https://3arbzfbsh-cname-us.ngrok.io/Desktop/seabridge%20fintech/icon/DIA_pa_trend_signal" TargetMode="External"/><Relationship Id="rId285" Type="http://schemas.openxmlformats.org/officeDocument/2006/relationships/hyperlink" Target="https://3arbzfbsh-cname-us.ngrok.io/Desktop/seabridge%20fintech/icon/HSIC_pa_trend_signal" TargetMode="External"/><Relationship Id="rId163" Type="http://schemas.openxmlformats.org/officeDocument/2006/relationships/hyperlink" Target="https://3arbzfbsh-cname-us.ngrok.io/Desktop/seabridge%20fintech/icon/DHR_pa_trend_signal" TargetMode="External"/><Relationship Id="rId284" Type="http://schemas.openxmlformats.org/officeDocument/2006/relationships/hyperlink" Target="https://3arbzfbsh-cname-us.ngrok.io/Desktop/seabridge%20fintech/icon/HRL_pa_trend_signal" TargetMode="External"/><Relationship Id="rId162" Type="http://schemas.openxmlformats.org/officeDocument/2006/relationships/hyperlink" Target="https://3arbzfbsh-cname-us.ngrok.io/Desktop/seabridge%20fintech/icon/DHI_pa_trend_signal" TargetMode="External"/><Relationship Id="rId283" Type="http://schemas.openxmlformats.org/officeDocument/2006/relationships/hyperlink" Target="https://3arbzfbsh-cname-us.ngrok.io/Desktop/seabridge%20fintech/icon/HPQ_pa_trend_signal" TargetMode="External"/><Relationship Id="rId169" Type="http://schemas.openxmlformats.org/officeDocument/2006/relationships/hyperlink" Target="https://3arbzfbsh-cname-us.ngrok.io/Desktop/seabridge%20fintech/icon/DLR_pa_trend_signal" TargetMode="External"/><Relationship Id="rId168" Type="http://schemas.openxmlformats.org/officeDocument/2006/relationships/hyperlink" Target="https://3arbzfbsh-cname-us.ngrok.io/Desktop/seabridge%20fintech/icon/DKNG_pa_trend_signal" TargetMode="External"/><Relationship Id="rId289" Type="http://schemas.openxmlformats.org/officeDocument/2006/relationships/hyperlink" Target="https://3arbzfbsh-cname-us.ngrok.io/Desktop/seabridge%20fintech/icon/HUN_pa_trend_signal" TargetMode="External"/><Relationship Id="rId167" Type="http://schemas.openxmlformats.org/officeDocument/2006/relationships/hyperlink" Target="https://3arbzfbsh-cname-us.ngrok.io/Desktop/seabridge%20fintech/icon/DISH_pa_trend_signal" TargetMode="External"/><Relationship Id="rId288" Type="http://schemas.openxmlformats.org/officeDocument/2006/relationships/hyperlink" Target="https://3arbzfbsh-cname-us.ngrok.io/Desktop/seabridge%20fintech/icon/HUM_pa_trend_signal" TargetMode="External"/><Relationship Id="rId166" Type="http://schemas.openxmlformats.org/officeDocument/2006/relationships/hyperlink" Target="https://3arbzfbsh-cname-us.ngrok.io/Desktop/seabridge%20fintech/icon/DISCA_pa_trend_signal" TargetMode="External"/><Relationship Id="rId287" Type="http://schemas.openxmlformats.org/officeDocument/2006/relationships/hyperlink" Target="https://3arbzfbsh-cname-us.ngrok.io/Desktop/seabridge%20fintech/icon/HSY_pa_trend_signal" TargetMode="External"/><Relationship Id="rId161" Type="http://schemas.openxmlformats.org/officeDocument/2006/relationships/hyperlink" Target="https://3arbzfbsh-cname-us.ngrok.io/Desktop/seabridge%20fintech/icon/DGX_pa_trend_signal" TargetMode="External"/><Relationship Id="rId282" Type="http://schemas.openxmlformats.org/officeDocument/2006/relationships/hyperlink" Target="https://3arbzfbsh-cname-us.ngrok.io/Desktop/seabridge%20fintech/icon/HPE_pa_trend_signal" TargetMode="External"/><Relationship Id="rId160" Type="http://schemas.openxmlformats.org/officeDocument/2006/relationships/hyperlink" Target="https://3arbzfbsh-cname-us.ngrok.io/Desktop/seabridge%20fintech/icon/DG_pa_trend_signal" TargetMode="External"/><Relationship Id="rId281" Type="http://schemas.openxmlformats.org/officeDocument/2006/relationships/hyperlink" Target="https://3arbzfbsh-cname-us.ngrok.io/Desktop/seabridge%20fintech/icon/HON_pa_trend_signal" TargetMode="External"/><Relationship Id="rId280" Type="http://schemas.openxmlformats.org/officeDocument/2006/relationships/hyperlink" Target="https://3arbzfbsh-cname-us.ngrok.io/Desktop/seabridge%20fintech/icon/HOME_pa_trend_signal" TargetMode="External"/><Relationship Id="rId159" Type="http://schemas.openxmlformats.org/officeDocument/2006/relationships/hyperlink" Target="https://3arbzfbsh-cname-us.ngrok.io/Desktop/seabridge%20fintech/icon/DFS_pa_trend_signal" TargetMode="External"/><Relationship Id="rId154" Type="http://schemas.openxmlformats.org/officeDocument/2006/relationships/hyperlink" Target="https://3arbzfbsh-cname-us.ngrok.io/Desktop/seabridge%20fintech/icon/DD_pa_trend_signal" TargetMode="External"/><Relationship Id="rId275" Type="http://schemas.openxmlformats.org/officeDocument/2006/relationships/hyperlink" Target="https://3arbzfbsh-cname-us.ngrok.io/Desktop/seabridge%20fintech/icon/HIG_pa_trend_signal" TargetMode="External"/><Relationship Id="rId396" Type="http://schemas.openxmlformats.org/officeDocument/2006/relationships/hyperlink" Target="https://3arbzfbsh-cname-us.ngrok.io/Desktop/seabridge%20fintech/icon/MGM_pa_trend_signal" TargetMode="External"/><Relationship Id="rId153" Type="http://schemas.openxmlformats.org/officeDocument/2006/relationships/hyperlink" Target="https://3arbzfbsh-cname-us.ngrok.io/Desktop/seabridge%20fintech/icon/DBX_pa_trend_signal" TargetMode="External"/><Relationship Id="rId274" Type="http://schemas.openxmlformats.org/officeDocument/2006/relationships/hyperlink" Target="https://3arbzfbsh-cname-us.ngrok.io/Desktop/seabridge%20fintech/icon/HFC_pa_trend_signal" TargetMode="External"/><Relationship Id="rId395" Type="http://schemas.openxmlformats.org/officeDocument/2006/relationships/hyperlink" Target="https://3arbzfbsh-cname-us.ngrok.io/Desktop/seabridge%20fintech/icon/MET_pa_trend_signal" TargetMode="External"/><Relationship Id="rId152" Type="http://schemas.openxmlformats.org/officeDocument/2006/relationships/hyperlink" Target="https://3arbzfbsh-cname-us.ngrok.io/Desktop/seabridge%20fintech/icon/DAR_pa_trend_signal" TargetMode="External"/><Relationship Id="rId273" Type="http://schemas.openxmlformats.org/officeDocument/2006/relationships/hyperlink" Target="https://3arbzfbsh-cname-us.ngrok.io/Desktop/seabridge%20fintech/icon/HES_pa_trend_signal" TargetMode="External"/><Relationship Id="rId394" Type="http://schemas.openxmlformats.org/officeDocument/2006/relationships/hyperlink" Target="https://3arbzfbsh-cname-us.ngrok.io/Desktop/seabridge%20fintech/icon/MELI_pa_trend_signal" TargetMode="External"/><Relationship Id="rId151" Type="http://schemas.openxmlformats.org/officeDocument/2006/relationships/hyperlink" Target="https://3arbzfbsh-cname-us.ngrok.io/Desktop/seabridge%20fintech/icon/DAL_pa_trend_signal" TargetMode="External"/><Relationship Id="rId272" Type="http://schemas.openxmlformats.org/officeDocument/2006/relationships/hyperlink" Target="https://3arbzfbsh-cname-us.ngrok.io/Desktop/seabridge%20fintech/icon/HD_pa_trend_signal" TargetMode="External"/><Relationship Id="rId393" Type="http://schemas.openxmlformats.org/officeDocument/2006/relationships/hyperlink" Target="https://3arbzfbsh-cname-us.ngrok.io/Desktop/seabridge%20fintech/icon/MDT_pa_trend_signal" TargetMode="External"/><Relationship Id="rId158" Type="http://schemas.openxmlformats.org/officeDocument/2006/relationships/hyperlink" Target="https://3arbzfbsh-cname-us.ngrok.io/Desktop/seabridge%20fintech/icon/DELL_pa_trend_signal" TargetMode="External"/><Relationship Id="rId279" Type="http://schemas.openxmlformats.org/officeDocument/2006/relationships/hyperlink" Target="https://3arbzfbsh-cname-us.ngrok.io/Desktop/seabridge%20fintech/icon/HOLX_pa_trend_signal" TargetMode="External"/><Relationship Id="rId157" Type="http://schemas.openxmlformats.org/officeDocument/2006/relationships/hyperlink" Target="https://3arbzfbsh-cname-us.ngrok.io/Desktop/seabridge%20fintech/icon/DE_pa_trend_signal" TargetMode="External"/><Relationship Id="rId278" Type="http://schemas.openxmlformats.org/officeDocument/2006/relationships/hyperlink" Target="https://3arbzfbsh-cname-us.ngrok.io/Desktop/seabridge%20fintech/icon/HOG_pa_trend_signal" TargetMode="External"/><Relationship Id="rId399" Type="http://schemas.openxmlformats.org/officeDocument/2006/relationships/hyperlink" Target="https://3arbzfbsh-cname-us.ngrok.io/Desktop/seabridge%20fintech/icon/MKC_pa_trend_signal" TargetMode="External"/><Relationship Id="rId156" Type="http://schemas.openxmlformats.org/officeDocument/2006/relationships/hyperlink" Target="https://3arbzfbsh-cname-us.ngrok.io/Desktop/seabridge%20fintech/icon/DDOG_pa_trend_signal" TargetMode="External"/><Relationship Id="rId277" Type="http://schemas.openxmlformats.org/officeDocument/2006/relationships/hyperlink" Target="https://3arbzfbsh-cname-us.ngrok.io/Desktop/seabridge%20fintech/icon/HLT_pa_trend_signal" TargetMode="External"/><Relationship Id="rId398" Type="http://schemas.openxmlformats.org/officeDocument/2006/relationships/hyperlink" Target="https://3arbzfbsh-cname-us.ngrok.io/Desktop/seabridge%20fintech/icon/MHK_pa_trend_signal" TargetMode="External"/><Relationship Id="rId155" Type="http://schemas.openxmlformats.org/officeDocument/2006/relationships/hyperlink" Target="https://3arbzfbsh-cname-us.ngrok.io/Desktop/seabridge%20fintech/icon/DDD_pa_trend_signal" TargetMode="External"/><Relationship Id="rId276" Type="http://schemas.openxmlformats.org/officeDocument/2006/relationships/hyperlink" Target="https://3arbzfbsh-cname-us.ngrok.io/Desktop/seabridge%20fintech/icon/HII_pa_trend_signal" TargetMode="External"/><Relationship Id="rId397" Type="http://schemas.openxmlformats.org/officeDocument/2006/relationships/hyperlink" Target="https://3arbzfbsh-cname-us.ngrok.io/Desktop/seabridge%20fintech/icon/MGNI_pa_trend_signal" TargetMode="External"/><Relationship Id="rId40" Type="http://schemas.openxmlformats.org/officeDocument/2006/relationships/hyperlink" Target="https://3arbzfbsh-cname-us.ngrok.io/Desktop/seabridge%20fintech/icon/AMLP_pa_trend_signal" TargetMode="External"/><Relationship Id="rId42" Type="http://schemas.openxmlformats.org/officeDocument/2006/relationships/hyperlink" Target="https://3arbzfbsh-cname-us.ngrok.io/Desktop/seabridge%20fintech/icon/AMT_pa_trend_signal" TargetMode="External"/><Relationship Id="rId41" Type="http://schemas.openxmlformats.org/officeDocument/2006/relationships/hyperlink" Target="https://3arbzfbsh-cname-us.ngrok.io/Desktop/seabridge%20fintech/icon/AMP_pa_trend_signal" TargetMode="External"/><Relationship Id="rId44" Type="http://schemas.openxmlformats.org/officeDocument/2006/relationships/hyperlink" Target="https://3arbzfbsh-cname-us.ngrok.io/Desktop/seabridge%20fintech/icon/ANET_pa_trend_signal" TargetMode="External"/><Relationship Id="rId43" Type="http://schemas.openxmlformats.org/officeDocument/2006/relationships/hyperlink" Target="https://3arbzfbsh-cname-us.ngrok.io/Desktop/seabridge%20fintech/icon/AMZN_pa_trend_signal" TargetMode="External"/><Relationship Id="rId46" Type="http://schemas.openxmlformats.org/officeDocument/2006/relationships/hyperlink" Target="https://3arbzfbsh-cname-us.ngrok.io/Desktop/seabridge%20fintech/icon/ANTM_pa_trend_signal" TargetMode="External"/><Relationship Id="rId45" Type="http://schemas.openxmlformats.org/officeDocument/2006/relationships/hyperlink" Target="https://3arbzfbsh-cname-us.ngrok.io/Desktop/seabridge%20fintech/icon/ANSS_pa_trend_signal" TargetMode="External"/><Relationship Id="rId509" Type="http://schemas.openxmlformats.org/officeDocument/2006/relationships/hyperlink" Target="https://3arbzfbsh-cname-us.ngrok.io/Desktop/seabridge%20fintech/icon/QRVO_pa_trend_signal" TargetMode="External"/><Relationship Id="rId508" Type="http://schemas.openxmlformats.org/officeDocument/2006/relationships/hyperlink" Target="https://3arbzfbsh-cname-us.ngrok.io/Desktop/seabridge%20fintech/icon/QQQ_pa_trend_signal" TargetMode="External"/><Relationship Id="rId629" Type="http://schemas.openxmlformats.org/officeDocument/2006/relationships/hyperlink" Target="https://3arbzfbsh-cname-us.ngrok.io/Desktop/seabridge%20fintech/icon/VEA_pa_trend_signal" TargetMode="External"/><Relationship Id="rId503" Type="http://schemas.openxmlformats.org/officeDocument/2006/relationships/hyperlink" Target="https://3arbzfbsh-cname-us.ngrok.io/Desktop/seabridge%20fintech/icon/PWR_pa_trend_signal" TargetMode="External"/><Relationship Id="rId624" Type="http://schemas.openxmlformats.org/officeDocument/2006/relationships/hyperlink" Target="https://3arbzfbsh-cname-us.ngrok.io/Desktop/seabridge%20fintech/icon/USMV_pa_trend_signal" TargetMode="External"/><Relationship Id="rId502" Type="http://schemas.openxmlformats.org/officeDocument/2006/relationships/hyperlink" Target="https://3arbzfbsh-cname-us.ngrok.io/Desktop/seabridge%20fintech/icon/PVH_pa_trend_signal" TargetMode="External"/><Relationship Id="rId623" Type="http://schemas.openxmlformats.org/officeDocument/2006/relationships/hyperlink" Target="https://3arbzfbsh-cname-us.ngrok.io/Desktop/seabridge%20fintech/icon/USB_pa_trend_signal" TargetMode="External"/><Relationship Id="rId501" Type="http://schemas.openxmlformats.org/officeDocument/2006/relationships/hyperlink" Target="https://3arbzfbsh-cname-us.ngrok.io/Desktop/seabridge%20fintech/icon/PTON_pa_trend_signal" TargetMode="External"/><Relationship Id="rId622" Type="http://schemas.openxmlformats.org/officeDocument/2006/relationships/hyperlink" Target="https://3arbzfbsh-cname-us.ngrok.io/Desktop/seabridge%20fintech/icon/URI_pa_trend_signal" TargetMode="External"/><Relationship Id="rId500" Type="http://schemas.openxmlformats.org/officeDocument/2006/relationships/hyperlink" Target="https://3arbzfbsh-cname-us.ngrok.io/Desktop/seabridge%20fintech/icon/PTC_pa_trend_signal" TargetMode="External"/><Relationship Id="rId621" Type="http://schemas.openxmlformats.org/officeDocument/2006/relationships/hyperlink" Target="https://3arbzfbsh-cname-us.ngrok.io/Desktop/seabridge%20fintech/icon/UPST_pa_trend_signal" TargetMode="External"/><Relationship Id="rId507" Type="http://schemas.openxmlformats.org/officeDocument/2006/relationships/hyperlink" Target="https://3arbzfbsh-cname-us.ngrok.io/Desktop/seabridge%20fintech/icon/QLD_pa_trend_signal" TargetMode="External"/><Relationship Id="rId628" Type="http://schemas.openxmlformats.org/officeDocument/2006/relationships/hyperlink" Target="https://3arbzfbsh-cname-us.ngrok.io/Desktop/seabridge%20fintech/icon/VCSH_pa_trend_signal" TargetMode="External"/><Relationship Id="rId506" Type="http://schemas.openxmlformats.org/officeDocument/2006/relationships/hyperlink" Target="https://3arbzfbsh-cname-us.ngrok.io/Desktop/seabridge%20fintech/icon/QCOM_pa_trend_signal" TargetMode="External"/><Relationship Id="rId627" Type="http://schemas.openxmlformats.org/officeDocument/2006/relationships/hyperlink" Target="https://3arbzfbsh-cname-us.ngrok.io/Desktop/seabridge%20fintech/icon/VCIT_pa_trend_signal" TargetMode="External"/><Relationship Id="rId505" Type="http://schemas.openxmlformats.org/officeDocument/2006/relationships/hyperlink" Target="https://3arbzfbsh-cname-us.ngrok.io/Desktop/seabridge%20fintech/icon/PYPL_pa_trend_signal" TargetMode="External"/><Relationship Id="rId626" Type="http://schemas.openxmlformats.org/officeDocument/2006/relationships/hyperlink" Target="https://3arbzfbsh-cname-us.ngrok.io/Desktop/seabridge%20fintech/icon/V_pa_trend_signal" TargetMode="External"/><Relationship Id="rId504" Type="http://schemas.openxmlformats.org/officeDocument/2006/relationships/hyperlink" Target="https://3arbzfbsh-cname-us.ngrok.io/Desktop/seabridge%20fintech/icon/PXD_pa_trend_signal" TargetMode="External"/><Relationship Id="rId625" Type="http://schemas.openxmlformats.org/officeDocument/2006/relationships/hyperlink" Target="https://3arbzfbsh-cname-us.ngrok.io/Desktop/seabridge%20fintech/icon/USO_pa_trend_signal" TargetMode="External"/><Relationship Id="rId48" Type="http://schemas.openxmlformats.org/officeDocument/2006/relationships/hyperlink" Target="https://3arbzfbsh-cname-us.ngrok.io/Desktop/seabridge%20fintech/icon/AOS_pa_trend_signal" TargetMode="External"/><Relationship Id="rId47" Type="http://schemas.openxmlformats.org/officeDocument/2006/relationships/hyperlink" Target="https://3arbzfbsh-cname-us.ngrok.io/Desktop/seabridge%20fintech/icon/AON_pa_trend_signal" TargetMode="External"/><Relationship Id="rId49" Type="http://schemas.openxmlformats.org/officeDocument/2006/relationships/hyperlink" Target="https://3arbzfbsh-cname-us.ngrok.io/Desktop/seabridge%20fintech/icon/APA_pa_trend_signal" TargetMode="External"/><Relationship Id="rId620" Type="http://schemas.openxmlformats.org/officeDocument/2006/relationships/hyperlink" Target="https://3arbzfbsh-cname-us.ngrok.io/Desktop/seabridge%20fintech/icon/UPS_pa_trend_signal" TargetMode="External"/><Relationship Id="rId31" Type="http://schemas.openxmlformats.org/officeDocument/2006/relationships/hyperlink" Target="https://3arbzfbsh-cname-us.ngrok.io/Desktop/seabridge%20fintech/icon/ALLE_pa_trend_signal" TargetMode="External"/><Relationship Id="rId30" Type="http://schemas.openxmlformats.org/officeDocument/2006/relationships/hyperlink" Target="https://3arbzfbsh-cname-us.ngrok.io/Desktop/seabridge%20fintech/icon/ALL_pa_trend_signal" TargetMode="External"/><Relationship Id="rId33" Type="http://schemas.openxmlformats.org/officeDocument/2006/relationships/hyperlink" Target="https://3arbzfbsh-cname-us.ngrok.io/Desktop/seabridge%20fintech/icon/ALXN_pa_trend_signal" TargetMode="External"/><Relationship Id="rId32" Type="http://schemas.openxmlformats.org/officeDocument/2006/relationships/hyperlink" Target="https://3arbzfbsh-cname-us.ngrok.io/Desktop/seabridge%20fintech/icon/ALLY_pa_trend_signal" TargetMode="External"/><Relationship Id="rId35" Type="http://schemas.openxmlformats.org/officeDocument/2006/relationships/hyperlink" Target="https://3arbzfbsh-cname-us.ngrok.io/Desktop/seabridge%20fintech/icon/AMC_pa_trend_signal" TargetMode="External"/><Relationship Id="rId34" Type="http://schemas.openxmlformats.org/officeDocument/2006/relationships/hyperlink" Target="https://3arbzfbsh-cname-us.ngrok.io/Desktop/seabridge%20fintech/icon/AMAT_pa_trend_signal" TargetMode="External"/><Relationship Id="rId619" Type="http://schemas.openxmlformats.org/officeDocument/2006/relationships/hyperlink" Target="https://3arbzfbsh-cname-us.ngrok.io/Desktop/seabridge%20fintech/icon/UNP_pa_trend_signal" TargetMode="External"/><Relationship Id="rId618" Type="http://schemas.openxmlformats.org/officeDocument/2006/relationships/hyperlink" Target="https://3arbzfbsh-cname-us.ngrok.io/Desktop/seabridge%20fintech/icon/UNM_pa_trend_signal" TargetMode="External"/><Relationship Id="rId613" Type="http://schemas.openxmlformats.org/officeDocument/2006/relationships/hyperlink" Target="https://3arbzfbsh-cname-us.ngrok.io/Desktop/seabridge%20fintech/icon/UBER_pa_trend_signal" TargetMode="External"/><Relationship Id="rId612" Type="http://schemas.openxmlformats.org/officeDocument/2006/relationships/hyperlink" Target="https://3arbzfbsh-cname-us.ngrok.io/Desktop/seabridge%20fintech/icon/UAL_pa_trend_signal" TargetMode="External"/><Relationship Id="rId611" Type="http://schemas.openxmlformats.org/officeDocument/2006/relationships/hyperlink" Target="https://3arbzfbsh-cname-us.ngrok.io/Desktop/seabridge%20fintech/icon/UAA_pa_trend_signal" TargetMode="External"/><Relationship Id="rId610" Type="http://schemas.openxmlformats.org/officeDocument/2006/relationships/hyperlink" Target="https://3arbzfbsh-cname-us.ngrok.io/Desktop/seabridge%20fintech/icon/UA_pa_trend_signal" TargetMode="External"/><Relationship Id="rId617" Type="http://schemas.openxmlformats.org/officeDocument/2006/relationships/hyperlink" Target="https://3arbzfbsh-cname-us.ngrok.io/Desktop/seabridge%20fintech/icon/UNH_pa_trend_signal" TargetMode="External"/><Relationship Id="rId616" Type="http://schemas.openxmlformats.org/officeDocument/2006/relationships/hyperlink" Target="https://3arbzfbsh-cname-us.ngrok.io/Desktop/seabridge%20fintech/icon/ULTA_pa_trend_signal" TargetMode="External"/><Relationship Id="rId615" Type="http://schemas.openxmlformats.org/officeDocument/2006/relationships/hyperlink" Target="https://3arbzfbsh-cname-us.ngrok.io/Desktop/seabridge%20fintech/icon/UHS_pa_trend_signal" TargetMode="External"/><Relationship Id="rId614" Type="http://schemas.openxmlformats.org/officeDocument/2006/relationships/hyperlink" Target="https://3arbzfbsh-cname-us.ngrok.io/Desktop/seabridge%20fintech/icon/UDR_pa_trend_signal" TargetMode="External"/><Relationship Id="rId37" Type="http://schemas.openxmlformats.org/officeDocument/2006/relationships/hyperlink" Target="https://3arbzfbsh-cname-us.ngrok.io/Desktop/seabridge%20fintech/icon/AMD_pa_trend_signal" TargetMode="External"/><Relationship Id="rId36" Type="http://schemas.openxmlformats.org/officeDocument/2006/relationships/hyperlink" Target="https://3arbzfbsh-cname-us.ngrok.io/Desktop/seabridge%20fintech/icon/AMCR_pa_trend_signal" TargetMode="External"/><Relationship Id="rId39" Type="http://schemas.openxmlformats.org/officeDocument/2006/relationships/hyperlink" Target="https://3arbzfbsh-cname-us.ngrok.io/Desktop/seabridge%20fintech/icon/AMGN_pa_trend_signal" TargetMode="External"/><Relationship Id="rId38" Type="http://schemas.openxmlformats.org/officeDocument/2006/relationships/hyperlink" Target="https://3arbzfbsh-cname-us.ngrok.io/Desktop/seabridge%20fintech/icon/AME_pa_trend_signal" TargetMode="External"/><Relationship Id="rId20" Type="http://schemas.openxmlformats.org/officeDocument/2006/relationships/hyperlink" Target="https://3arbzfbsh-cname-us.ngrok.io/Desktop/seabridge%20fintech/icon/AFL_pa_trend_signal" TargetMode="External"/><Relationship Id="rId22" Type="http://schemas.openxmlformats.org/officeDocument/2006/relationships/hyperlink" Target="https://3arbzfbsh-cname-us.ngrok.io/Desktop/seabridge%20fintech/icon/AI_pa_trend_signal" TargetMode="External"/><Relationship Id="rId21" Type="http://schemas.openxmlformats.org/officeDocument/2006/relationships/hyperlink" Target="https://3arbzfbsh-cname-us.ngrok.io/Desktop/seabridge%20fintech/icon/AGG_pa_trend_signal" TargetMode="External"/><Relationship Id="rId24" Type="http://schemas.openxmlformats.org/officeDocument/2006/relationships/hyperlink" Target="https://3arbzfbsh-cname-us.ngrok.io/Desktop/seabridge%20fintech/icon/AIZ_pa_trend_signal" TargetMode="External"/><Relationship Id="rId23" Type="http://schemas.openxmlformats.org/officeDocument/2006/relationships/hyperlink" Target="https://3arbzfbsh-cname-us.ngrok.io/Desktop/seabridge%20fintech/icon/AIG_pa_trend_signal" TargetMode="External"/><Relationship Id="rId409" Type="http://schemas.openxmlformats.org/officeDocument/2006/relationships/hyperlink" Target="https://3arbzfbsh-cname-us.ngrok.io/Desktop/seabridge%20fintech/icon/MPLX_pa_trend_signal" TargetMode="External"/><Relationship Id="rId404" Type="http://schemas.openxmlformats.org/officeDocument/2006/relationships/hyperlink" Target="https://3arbzfbsh-cname-us.ngrok.io/Desktop/seabridge%20fintech/icon/MNST_pa_trend_signal" TargetMode="External"/><Relationship Id="rId525" Type="http://schemas.openxmlformats.org/officeDocument/2006/relationships/hyperlink" Target="https://3arbzfbsh-cname-us.ngrok.io/Desktop/seabridge%20fintech/icon/RSG_pa_trend_signal" TargetMode="External"/><Relationship Id="rId646" Type="http://schemas.openxmlformats.org/officeDocument/2006/relationships/hyperlink" Target="https://3arbzfbsh-cname-us.ngrok.io/Desktop/seabridge%20fintech/icon/VT_pa_trend_signal" TargetMode="External"/><Relationship Id="rId403" Type="http://schemas.openxmlformats.org/officeDocument/2006/relationships/hyperlink" Target="https://3arbzfbsh-cname-us.ngrok.io/Desktop/seabridge%20fintech/icon/MMM_pa_trend_signal" TargetMode="External"/><Relationship Id="rId524" Type="http://schemas.openxmlformats.org/officeDocument/2006/relationships/hyperlink" Target="https://3arbzfbsh-cname-us.ngrok.io/Desktop/seabridge%20fintech/icon/ROST_pa_trend_signal" TargetMode="External"/><Relationship Id="rId645" Type="http://schemas.openxmlformats.org/officeDocument/2006/relationships/hyperlink" Target="https://3arbzfbsh-cname-us.ngrok.io/Desktop/seabridge%20fintech/icon/VRTX_pa_trend_signal" TargetMode="External"/><Relationship Id="rId402" Type="http://schemas.openxmlformats.org/officeDocument/2006/relationships/hyperlink" Target="https://3arbzfbsh-cname-us.ngrok.io/Desktop/seabridge%20fintech/icon/MMC_pa_trend_signal" TargetMode="External"/><Relationship Id="rId523" Type="http://schemas.openxmlformats.org/officeDocument/2006/relationships/hyperlink" Target="https://3arbzfbsh-cname-us.ngrok.io/Desktop/seabridge%20fintech/icon/ROP_pa_trend_signal" TargetMode="External"/><Relationship Id="rId644" Type="http://schemas.openxmlformats.org/officeDocument/2006/relationships/hyperlink" Target="https://3arbzfbsh-cname-us.ngrok.io/Desktop/seabridge%20fintech/icon/VRT_pa_trend_signal" TargetMode="External"/><Relationship Id="rId401" Type="http://schemas.openxmlformats.org/officeDocument/2006/relationships/hyperlink" Target="https://3arbzfbsh-cname-us.ngrok.io/Desktop/seabridge%20fintech/icon/MLM_pa_trend_signal" TargetMode="External"/><Relationship Id="rId522" Type="http://schemas.openxmlformats.org/officeDocument/2006/relationships/hyperlink" Target="https://3arbzfbsh-cname-us.ngrok.io/Desktop/seabridge%20fintech/icon/ROL_pa_trend_signal" TargetMode="External"/><Relationship Id="rId643" Type="http://schemas.openxmlformats.org/officeDocument/2006/relationships/hyperlink" Target="https://3arbzfbsh-cname-us.ngrok.io/Desktop/seabridge%20fintech/icon/VRSN_pa_trend_signal" TargetMode="External"/><Relationship Id="rId408" Type="http://schemas.openxmlformats.org/officeDocument/2006/relationships/hyperlink" Target="https://3arbzfbsh-cname-us.ngrok.io/Desktop/seabridge%20fintech/icon/MPC_pa_trend_signal" TargetMode="External"/><Relationship Id="rId529" Type="http://schemas.openxmlformats.org/officeDocument/2006/relationships/hyperlink" Target="https://3arbzfbsh-cname-us.ngrok.io/Desktop/seabridge%20fintech/icon/SAVA_pa_trend_signal" TargetMode="External"/><Relationship Id="rId407" Type="http://schemas.openxmlformats.org/officeDocument/2006/relationships/hyperlink" Target="https://3arbzfbsh-cname-us.ngrok.io/Desktop/seabridge%20fintech/icon/MP_pa_trend_signal" TargetMode="External"/><Relationship Id="rId528" Type="http://schemas.openxmlformats.org/officeDocument/2006/relationships/hyperlink" Target="https://3arbzfbsh-cname-us.ngrok.io/Desktop/seabridge%20fintech/icon/RUN_pa_trend_signal" TargetMode="External"/><Relationship Id="rId649" Type="http://schemas.openxmlformats.org/officeDocument/2006/relationships/hyperlink" Target="https://3arbzfbsh-cname-us.ngrok.io/Desktop/seabridge%20fintech/icon/VTR_pa_trend_signal" TargetMode="External"/><Relationship Id="rId406" Type="http://schemas.openxmlformats.org/officeDocument/2006/relationships/hyperlink" Target="https://3arbzfbsh-cname-us.ngrok.io/Desktop/seabridge%20fintech/icon/MOS_pa_trend_signal" TargetMode="External"/><Relationship Id="rId527" Type="http://schemas.openxmlformats.org/officeDocument/2006/relationships/hyperlink" Target="https://3arbzfbsh-cname-us.ngrok.io/Desktop/seabridge%20fintech/icon/RTX_pa_trend_signal" TargetMode="External"/><Relationship Id="rId648" Type="http://schemas.openxmlformats.org/officeDocument/2006/relationships/hyperlink" Target="https://3arbzfbsh-cname-us.ngrok.io/Desktop/seabridge%20fintech/icon/VTIP_pa_trend_signal" TargetMode="External"/><Relationship Id="rId405" Type="http://schemas.openxmlformats.org/officeDocument/2006/relationships/hyperlink" Target="https://3arbzfbsh-cname-us.ngrok.io/Desktop/seabridge%20fintech/icon/MO_pa_trend_signal" TargetMode="External"/><Relationship Id="rId526" Type="http://schemas.openxmlformats.org/officeDocument/2006/relationships/hyperlink" Target="https://3arbzfbsh-cname-us.ngrok.io/Desktop/seabridge%20fintech/icon/RSP_pa_trend_signal" TargetMode="External"/><Relationship Id="rId647" Type="http://schemas.openxmlformats.org/officeDocument/2006/relationships/hyperlink" Target="https://3arbzfbsh-cname-us.ngrok.io/Desktop/seabridge%20fintech/icon/VTI_pa_trend_signal" TargetMode="External"/><Relationship Id="rId26" Type="http://schemas.openxmlformats.org/officeDocument/2006/relationships/hyperlink" Target="https://3arbzfbsh-cname-us.ngrok.io/Desktop/seabridge%20fintech/icon/AKAM_pa_trend_signal" TargetMode="External"/><Relationship Id="rId25" Type="http://schemas.openxmlformats.org/officeDocument/2006/relationships/hyperlink" Target="https://3arbzfbsh-cname-us.ngrok.io/Desktop/seabridge%20fintech/icon/AJG_pa_trend_signal" TargetMode="External"/><Relationship Id="rId28" Type="http://schemas.openxmlformats.org/officeDocument/2006/relationships/hyperlink" Target="https://3arbzfbsh-cname-us.ngrok.io/Desktop/seabridge%20fintech/icon/ALGN_pa_trend_signal" TargetMode="External"/><Relationship Id="rId27" Type="http://schemas.openxmlformats.org/officeDocument/2006/relationships/hyperlink" Target="https://3arbzfbsh-cname-us.ngrok.io/Desktop/seabridge%20fintech/icon/ALB_pa_trend_signal" TargetMode="External"/><Relationship Id="rId400" Type="http://schemas.openxmlformats.org/officeDocument/2006/relationships/hyperlink" Target="https://3arbzfbsh-cname-us.ngrok.io/Desktop/seabridge%20fintech/icon/MKTX_pa_trend_signal" TargetMode="External"/><Relationship Id="rId521" Type="http://schemas.openxmlformats.org/officeDocument/2006/relationships/hyperlink" Target="https://3arbzfbsh-cname-us.ngrok.io/Desktop/seabridge%20fintech/icon/ROKU_pa_trend_signal" TargetMode="External"/><Relationship Id="rId642" Type="http://schemas.openxmlformats.org/officeDocument/2006/relationships/hyperlink" Target="https://3arbzfbsh-cname-us.ngrok.io/Desktop/seabridge%20fintech/icon/VRSK_pa_trend_signal" TargetMode="External"/><Relationship Id="rId29" Type="http://schemas.openxmlformats.org/officeDocument/2006/relationships/hyperlink" Target="https://3arbzfbsh-cname-us.ngrok.io/Desktop/seabridge%20fintech/icon/ALK_pa_trend_signal" TargetMode="External"/><Relationship Id="rId520" Type="http://schemas.openxmlformats.org/officeDocument/2006/relationships/hyperlink" Target="https://3arbzfbsh-cname-us.ngrok.io/Desktop/seabridge%20fintech/icon/ROK_pa_trend_signal" TargetMode="External"/><Relationship Id="rId641" Type="http://schemas.openxmlformats.org/officeDocument/2006/relationships/hyperlink" Target="https://3arbzfbsh-cname-us.ngrok.io/Desktop/seabridge%20fintech/icon/VRM_pa_trend_signal" TargetMode="External"/><Relationship Id="rId640" Type="http://schemas.openxmlformats.org/officeDocument/2006/relationships/hyperlink" Target="https://3arbzfbsh-cname-us.ngrok.io/Desktop/seabridge%20fintech/icon/VOO_pa_trend_signal" TargetMode="External"/><Relationship Id="rId11" Type="http://schemas.openxmlformats.org/officeDocument/2006/relationships/hyperlink" Target="https://3arbzfbsh-cname-us.ngrok.io/Desktop/seabridge%20fintech/icon/ADBE_pa_trend_signal" TargetMode="External"/><Relationship Id="rId10" Type="http://schemas.openxmlformats.org/officeDocument/2006/relationships/hyperlink" Target="https://3arbzfbsh-cname-us.ngrok.io/Desktop/seabridge%20fintech/icon/ACN_pa_trend_signal" TargetMode="External"/><Relationship Id="rId13" Type="http://schemas.openxmlformats.org/officeDocument/2006/relationships/hyperlink" Target="https://3arbzfbsh-cname-us.ngrok.io/Desktop/seabridge%20fintech/icon/ADM_pa_trend_signal" TargetMode="External"/><Relationship Id="rId12" Type="http://schemas.openxmlformats.org/officeDocument/2006/relationships/hyperlink" Target="https://3arbzfbsh-cname-us.ngrok.io/Desktop/seabridge%20fintech/icon/ADI_pa_trend_signal" TargetMode="External"/><Relationship Id="rId519" Type="http://schemas.openxmlformats.org/officeDocument/2006/relationships/hyperlink" Target="https://3arbzfbsh-cname-us.ngrok.io/Desktop/seabridge%20fintech/icon/RMD_pa_trend_signal" TargetMode="External"/><Relationship Id="rId514" Type="http://schemas.openxmlformats.org/officeDocument/2006/relationships/hyperlink" Target="https://3arbzfbsh-cname-us.ngrok.io/Desktop/seabridge%20fintech/icon/RF_pa_trend_signal" TargetMode="External"/><Relationship Id="rId635" Type="http://schemas.openxmlformats.org/officeDocument/2006/relationships/hyperlink" Target="https://3arbzfbsh-cname-us.ngrok.io/Desktop/seabridge%20fintech/icon/VICI_pa_trend_signal" TargetMode="External"/><Relationship Id="rId513" Type="http://schemas.openxmlformats.org/officeDocument/2006/relationships/hyperlink" Target="https://3arbzfbsh-cname-us.ngrok.io/Desktop/seabridge%20fintech/icon/REGN_pa_trend_signal" TargetMode="External"/><Relationship Id="rId634" Type="http://schemas.openxmlformats.org/officeDocument/2006/relationships/hyperlink" Target="https://3arbzfbsh-cname-us.ngrok.io/Desktop/seabridge%20fintech/icon/VIAC_pa_trend_signal" TargetMode="External"/><Relationship Id="rId512" Type="http://schemas.openxmlformats.org/officeDocument/2006/relationships/hyperlink" Target="https://3arbzfbsh-cname-us.ngrok.io/Desktop/seabridge%20fintech/icon/REG_pa_trend_signal" TargetMode="External"/><Relationship Id="rId633" Type="http://schemas.openxmlformats.org/officeDocument/2006/relationships/hyperlink" Target="https://3arbzfbsh-cname-us.ngrok.io/Desktop/seabridge%20fintech/icon/VGK_pa_trend_signal" TargetMode="External"/><Relationship Id="rId511" Type="http://schemas.openxmlformats.org/officeDocument/2006/relationships/hyperlink" Target="https://3arbzfbsh-cname-us.ngrok.io/Desktop/seabridge%20fintech/icon/RE_pa_trend_signal" TargetMode="External"/><Relationship Id="rId632" Type="http://schemas.openxmlformats.org/officeDocument/2006/relationships/hyperlink" Target="https://3arbzfbsh-cname-us.ngrok.io/Desktop/seabridge%20fintech/icon/VFC_pa_trend_signal" TargetMode="External"/><Relationship Id="rId518" Type="http://schemas.openxmlformats.org/officeDocument/2006/relationships/hyperlink" Target="https://3arbzfbsh-cname-us.ngrok.io/Desktop/seabridge%20fintech/icon/RL_pa_trend_signal" TargetMode="External"/><Relationship Id="rId639" Type="http://schemas.openxmlformats.org/officeDocument/2006/relationships/hyperlink" Target="https://3arbzfbsh-cname-us.ngrok.io/Desktop/seabridge%20fintech/icon/VNQ_pa_trend_signal" TargetMode="External"/><Relationship Id="rId517" Type="http://schemas.openxmlformats.org/officeDocument/2006/relationships/hyperlink" Target="https://3arbzfbsh-cname-us.ngrok.io/Desktop/seabridge%20fintech/icon/RJF_pa_trend_signal" TargetMode="External"/><Relationship Id="rId638" Type="http://schemas.openxmlformats.org/officeDocument/2006/relationships/hyperlink" Target="https://3arbzfbsh-cname-us.ngrok.io/Desktop/seabridge%20fintech/icon/VNO_pa_trend_signal" TargetMode="External"/><Relationship Id="rId516" Type="http://schemas.openxmlformats.org/officeDocument/2006/relationships/hyperlink" Target="https://3arbzfbsh-cname-us.ngrok.io/Desktop/seabridge%20fintech/icon/RIOT_pa_trend_signal" TargetMode="External"/><Relationship Id="rId637" Type="http://schemas.openxmlformats.org/officeDocument/2006/relationships/hyperlink" Target="https://3arbzfbsh-cname-us.ngrok.io/Desktop/seabridge%20fintech/icon/VMC_pa_trend_signal" TargetMode="External"/><Relationship Id="rId515" Type="http://schemas.openxmlformats.org/officeDocument/2006/relationships/hyperlink" Target="https://3arbzfbsh-cname-us.ngrok.io/Desktop/seabridge%20fintech/icon/RHI_pa_trend_signal" TargetMode="External"/><Relationship Id="rId636" Type="http://schemas.openxmlformats.org/officeDocument/2006/relationships/hyperlink" Target="https://3arbzfbsh-cname-us.ngrok.io/Desktop/seabridge%20fintech/icon/VLO_pa_trend_signal" TargetMode="External"/><Relationship Id="rId15" Type="http://schemas.openxmlformats.org/officeDocument/2006/relationships/hyperlink" Target="https://3arbzfbsh-cname-us.ngrok.io/Desktop/seabridge%20fintech/icon/ADSK_pa_trend_signal" TargetMode="External"/><Relationship Id="rId14" Type="http://schemas.openxmlformats.org/officeDocument/2006/relationships/hyperlink" Target="https://3arbzfbsh-cname-us.ngrok.io/Desktop/seabridge%20fintech/icon/ADP_pa_trend_signal" TargetMode="External"/><Relationship Id="rId17" Type="http://schemas.openxmlformats.org/officeDocument/2006/relationships/hyperlink" Target="https://3arbzfbsh-cname-us.ngrok.io/Desktop/seabridge%20fintech/icon/AEO_pa_trend_signal" TargetMode="External"/><Relationship Id="rId16" Type="http://schemas.openxmlformats.org/officeDocument/2006/relationships/hyperlink" Target="https://3arbzfbsh-cname-us.ngrok.io/Desktop/seabridge%20fintech/icon/AEE_pa_trend_signal" TargetMode="External"/><Relationship Id="rId19" Type="http://schemas.openxmlformats.org/officeDocument/2006/relationships/hyperlink" Target="https://3arbzfbsh-cname-us.ngrok.io/Desktop/seabridge%20fintech/icon/AES_pa_trend_signal" TargetMode="External"/><Relationship Id="rId510" Type="http://schemas.openxmlformats.org/officeDocument/2006/relationships/hyperlink" Target="https://3arbzfbsh-cname-us.ngrok.io/Desktop/seabridge%20fintech/icon/RCL_pa_trend_signal" TargetMode="External"/><Relationship Id="rId631" Type="http://schemas.openxmlformats.org/officeDocument/2006/relationships/hyperlink" Target="https://3arbzfbsh-cname-us.ngrok.io/Desktop/seabridge%20fintech/icon/VEU_pa_trend_signal" TargetMode="External"/><Relationship Id="rId18" Type="http://schemas.openxmlformats.org/officeDocument/2006/relationships/hyperlink" Target="https://3arbzfbsh-cname-us.ngrok.io/Desktop/seabridge%20fintech/icon/AEP_pa_trend_signal" TargetMode="External"/><Relationship Id="rId630" Type="http://schemas.openxmlformats.org/officeDocument/2006/relationships/hyperlink" Target="https://3arbzfbsh-cname-us.ngrok.io/Desktop/seabridge%20fintech/icon/VER_pa_trend_signal" TargetMode="External"/><Relationship Id="rId84" Type="http://schemas.openxmlformats.org/officeDocument/2006/relationships/hyperlink" Target="https://3arbzfbsh-cname-us.ngrok.io/Desktop/seabridge%20fintech/icon/BLK_pa_trend_signal" TargetMode="External"/><Relationship Id="rId83" Type="http://schemas.openxmlformats.org/officeDocument/2006/relationships/hyperlink" Target="https://3arbzfbsh-cname-us.ngrok.io/Desktop/seabridge%20fintech/icon/BLDR_pa_trend_signal" TargetMode="External"/><Relationship Id="rId86" Type="http://schemas.openxmlformats.org/officeDocument/2006/relationships/hyperlink" Target="https://3arbzfbsh-cname-us.ngrok.io/Desktop/seabridge%20fintech/icon/BMY_pa_trend_signal" TargetMode="External"/><Relationship Id="rId85" Type="http://schemas.openxmlformats.org/officeDocument/2006/relationships/hyperlink" Target="https://3arbzfbsh-cname-us.ngrok.io/Desktop/seabridge%20fintech/icon/BLL_pa_trend_signal" TargetMode="External"/><Relationship Id="rId88" Type="http://schemas.openxmlformats.org/officeDocument/2006/relationships/hyperlink" Target="https://3arbzfbsh-cname-us.ngrok.io/Desktop/seabridge%20fintech/icon/BNDX_pa_trend_signal" TargetMode="External"/><Relationship Id="rId87" Type="http://schemas.openxmlformats.org/officeDocument/2006/relationships/hyperlink" Target="https://3arbzfbsh-cname-us.ngrok.io/Desktop/seabridge%20fintech/icon/BND_pa_trend_signal" TargetMode="External"/><Relationship Id="rId89" Type="http://schemas.openxmlformats.org/officeDocument/2006/relationships/hyperlink" Target="https://3arbzfbsh-cname-us.ngrok.io/Desktop/seabridge%20fintech/icon/BR_pa_trend_signal" TargetMode="External"/><Relationship Id="rId80" Type="http://schemas.openxmlformats.org/officeDocument/2006/relationships/hyperlink" Target="https://3arbzfbsh-cname-us.ngrok.io/Desktop/seabridge%20fintech/icon/BK_pa_trend_signal" TargetMode="External"/><Relationship Id="rId82" Type="http://schemas.openxmlformats.org/officeDocument/2006/relationships/hyperlink" Target="https://3arbzfbsh-cname-us.ngrok.io/Desktop/seabridge%20fintech/icon/BKR_pa_trend_signal" TargetMode="External"/><Relationship Id="rId81" Type="http://schemas.openxmlformats.org/officeDocument/2006/relationships/hyperlink" Target="https://3arbzfbsh-cname-us.ngrok.io/Desktop/seabridge%20fintech/icon/BKNG_pa_trend_signal" TargetMode="External"/><Relationship Id="rId701" Type="http://schemas.openxmlformats.org/officeDocument/2006/relationships/drawing" Target="../drawings/drawing5.xml"/><Relationship Id="rId700" Type="http://schemas.openxmlformats.org/officeDocument/2006/relationships/hyperlink" Target="https://3arbzfbsh-cname-us.ngrok.io/Desktop/seabridge%20fintech/icon/ZTS_pa_trend_signal" TargetMode="External"/><Relationship Id="rId73" Type="http://schemas.openxmlformats.org/officeDocument/2006/relationships/hyperlink" Target="https://3arbzfbsh-cname-us.ngrok.io/Desktop/seabridge%20fintech/icon/BBBY_pa_trend_signal" TargetMode="External"/><Relationship Id="rId72" Type="http://schemas.openxmlformats.org/officeDocument/2006/relationships/hyperlink" Target="https://3arbzfbsh-cname-us.ngrok.io/Desktop/seabridge%20fintech/icon/BAX_pa_trend_signal" TargetMode="External"/><Relationship Id="rId75" Type="http://schemas.openxmlformats.org/officeDocument/2006/relationships/hyperlink" Target="https://3arbzfbsh-cname-us.ngrok.io/Desktop/seabridge%20fintech/icon/BDX_pa_trend_signal" TargetMode="External"/><Relationship Id="rId74" Type="http://schemas.openxmlformats.org/officeDocument/2006/relationships/hyperlink" Target="https://3arbzfbsh-cname-us.ngrok.io/Desktop/seabridge%20fintech/icon/BBY_pa_trend_signal" TargetMode="External"/><Relationship Id="rId77" Type="http://schemas.openxmlformats.org/officeDocument/2006/relationships/hyperlink" Target="https://3arbzfbsh-cname-us.ngrok.io/Desktop/seabridge%20fintech/icon/BIDU_pa_trend_signal" TargetMode="External"/><Relationship Id="rId76" Type="http://schemas.openxmlformats.org/officeDocument/2006/relationships/hyperlink" Target="https://3arbzfbsh-cname-us.ngrok.io/Desktop/seabridge%20fintech/icon/BEN_pa_trend_signal" TargetMode="External"/><Relationship Id="rId79" Type="http://schemas.openxmlformats.org/officeDocument/2006/relationships/hyperlink" Target="https://3arbzfbsh-cname-us.ngrok.io/Desktop/seabridge%20fintech/icon/BIO_pa_trend_signal" TargetMode="External"/><Relationship Id="rId78" Type="http://schemas.openxmlformats.org/officeDocument/2006/relationships/hyperlink" Target="https://3arbzfbsh-cname-us.ngrok.io/Desktop/seabridge%20fintech/icon/BIIB_pa_trend_signal" TargetMode="External"/><Relationship Id="rId71" Type="http://schemas.openxmlformats.org/officeDocument/2006/relationships/hyperlink" Target="https://3arbzfbsh-cname-us.ngrok.io/Desktop/seabridge%20fintech/icon/BAC_pa_trend_signal" TargetMode="External"/><Relationship Id="rId70" Type="http://schemas.openxmlformats.org/officeDocument/2006/relationships/hyperlink" Target="https://3arbzfbsh-cname-us.ngrok.io/Desktop/seabridge%20fintech/icon/BA_pa_trend_signal" TargetMode="External"/><Relationship Id="rId62" Type="http://schemas.openxmlformats.org/officeDocument/2006/relationships/hyperlink" Target="https://3arbzfbsh-cname-us.ngrok.io/Desktop/seabridge%20fintech/icon/AVB_pa_trend_signal" TargetMode="External"/><Relationship Id="rId61" Type="http://schemas.openxmlformats.org/officeDocument/2006/relationships/hyperlink" Target="https://3arbzfbsh-cname-us.ngrok.io/Desktop/seabridge%20fintech/icon/ATVI_pa_trend_signal" TargetMode="External"/><Relationship Id="rId64" Type="http://schemas.openxmlformats.org/officeDocument/2006/relationships/hyperlink" Target="https://3arbzfbsh-cname-us.ngrok.io/Desktop/seabridge%20fintech/icon/AVTR_pa_trend_signal" TargetMode="External"/><Relationship Id="rId63" Type="http://schemas.openxmlformats.org/officeDocument/2006/relationships/hyperlink" Target="https://3arbzfbsh-cname-us.ngrok.io/Desktop/seabridge%20fintech/icon/AVGO_pa_trend_signal" TargetMode="External"/><Relationship Id="rId66" Type="http://schemas.openxmlformats.org/officeDocument/2006/relationships/hyperlink" Target="https://3arbzfbsh-cname-us.ngrok.io/Desktop/seabridge%20fintech/icon/AWK_pa_trend_signal" TargetMode="External"/><Relationship Id="rId65" Type="http://schemas.openxmlformats.org/officeDocument/2006/relationships/hyperlink" Target="https://3arbzfbsh-cname-us.ngrok.io/Desktop/seabridge%20fintech/icon/AVY_pa_trend_signal" TargetMode="External"/><Relationship Id="rId68" Type="http://schemas.openxmlformats.org/officeDocument/2006/relationships/hyperlink" Target="https://3arbzfbsh-cname-us.ngrok.io/Desktop/seabridge%20fintech/icon/AXTA_pa_trend_signal" TargetMode="External"/><Relationship Id="rId67" Type="http://schemas.openxmlformats.org/officeDocument/2006/relationships/hyperlink" Target="https://3arbzfbsh-cname-us.ngrok.io/Desktop/seabridge%20fintech/icon/AXP_pa_trend_signal" TargetMode="External"/><Relationship Id="rId609" Type="http://schemas.openxmlformats.org/officeDocument/2006/relationships/hyperlink" Target="https://3arbzfbsh-cname-us.ngrok.io/Desktop/seabridge%20fintech/icon/TYL_pa_trend_signal" TargetMode="External"/><Relationship Id="rId608" Type="http://schemas.openxmlformats.org/officeDocument/2006/relationships/hyperlink" Target="https://3arbzfbsh-cname-us.ngrok.io/Desktop/seabridge%20fintech/icon/TXT_pa_trend_signal" TargetMode="External"/><Relationship Id="rId607" Type="http://schemas.openxmlformats.org/officeDocument/2006/relationships/hyperlink" Target="https://3arbzfbsh-cname-us.ngrok.io/Desktop/seabridge%20fintech/icon/TXN_pa_trend_signal" TargetMode="External"/><Relationship Id="rId60" Type="http://schemas.openxmlformats.org/officeDocument/2006/relationships/hyperlink" Target="https://3arbzfbsh-cname-us.ngrok.io/Desktop/seabridge%20fintech/icon/ATUS_pa_trend_signal" TargetMode="External"/><Relationship Id="rId602" Type="http://schemas.openxmlformats.org/officeDocument/2006/relationships/hyperlink" Target="https://3arbzfbsh-cname-us.ngrok.io/Desktop/seabridge%20fintech/icon/TT_pa_trend_signal" TargetMode="External"/><Relationship Id="rId601" Type="http://schemas.openxmlformats.org/officeDocument/2006/relationships/hyperlink" Target="https://3arbzfbsh-cname-us.ngrok.io/Desktop/seabridge%20fintech/icon/TSN_pa_trend_signal" TargetMode="External"/><Relationship Id="rId600" Type="http://schemas.openxmlformats.org/officeDocument/2006/relationships/hyperlink" Target="https://3arbzfbsh-cname-us.ngrok.io/Desktop/seabridge%20fintech/icon/TSLA_pa_trend_signal" TargetMode="External"/><Relationship Id="rId606" Type="http://schemas.openxmlformats.org/officeDocument/2006/relationships/hyperlink" Target="https://3arbzfbsh-cname-us.ngrok.io/Desktop/seabridge%20fintech/icon/TWTR_pa_trend_signal" TargetMode="External"/><Relationship Id="rId605" Type="http://schemas.openxmlformats.org/officeDocument/2006/relationships/hyperlink" Target="https://3arbzfbsh-cname-us.ngrok.io/Desktop/seabridge%20fintech/icon/TWLO_pa_trend_signal" TargetMode="External"/><Relationship Id="rId604" Type="http://schemas.openxmlformats.org/officeDocument/2006/relationships/hyperlink" Target="https://3arbzfbsh-cname-us.ngrok.io/Desktop/seabridge%20fintech/icon/TTWO_pa_trend_signal" TargetMode="External"/><Relationship Id="rId603" Type="http://schemas.openxmlformats.org/officeDocument/2006/relationships/hyperlink" Target="https://3arbzfbsh-cname-us.ngrok.io/Desktop/seabridge%20fintech/icon/TTD_pa_trend_signal" TargetMode="External"/><Relationship Id="rId69" Type="http://schemas.openxmlformats.org/officeDocument/2006/relationships/hyperlink" Target="https://3arbzfbsh-cname-us.ngrok.io/Desktop/seabridge%20fintech/icon/AZO_pa_trend_signal" TargetMode="External"/><Relationship Id="rId51" Type="http://schemas.openxmlformats.org/officeDocument/2006/relationships/hyperlink" Target="https://3arbzfbsh-cname-us.ngrok.io/Desktop/seabridge%20fintech/icon/APH_pa_trend_signal" TargetMode="External"/><Relationship Id="rId50" Type="http://schemas.openxmlformats.org/officeDocument/2006/relationships/hyperlink" Target="https://3arbzfbsh-cname-us.ngrok.io/Desktop/seabridge%20fintech/icon/APD_pa_trend_signal" TargetMode="External"/><Relationship Id="rId53" Type="http://schemas.openxmlformats.org/officeDocument/2006/relationships/hyperlink" Target="https://3arbzfbsh-cname-us.ngrok.io/Desktop/seabridge%20fintech/icon/APPS_pa_trend_signal" TargetMode="External"/><Relationship Id="rId52" Type="http://schemas.openxmlformats.org/officeDocument/2006/relationships/hyperlink" Target="https://3arbzfbsh-cname-us.ngrok.io/Desktop/seabridge%20fintech/icon/APO_pa_trend_signal" TargetMode="External"/><Relationship Id="rId55" Type="http://schemas.openxmlformats.org/officeDocument/2006/relationships/hyperlink" Target="https://3arbzfbsh-cname-us.ngrok.io/Desktop/seabridge%20fintech/icon/ARE_pa_trend_signal" TargetMode="External"/><Relationship Id="rId54" Type="http://schemas.openxmlformats.org/officeDocument/2006/relationships/hyperlink" Target="https://3arbzfbsh-cname-us.ngrok.io/Desktop/seabridge%20fintech/icon/APTV_pa_trend_signal" TargetMode="External"/><Relationship Id="rId57" Type="http://schemas.openxmlformats.org/officeDocument/2006/relationships/hyperlink" Target="https://3arbzfbsh-cname-us.ngrok.io/Desktop/seabridge%20fintech/icon/ASHR_pa_trend_signal" TargetMode="External"/><Relationship Id="rId56" Type="http://schemas.openxmlformats.org/officeDocument/2006/relationships/hyperlink" Target="https://3arbzfbsh-cname-us.ngrok.io/Desktop/seabridge%20fintech/icon/ASAN_pa_trend_signal" TargetMode="External"/><Relationship Id="rId59" Type="http://schemas.openxmlformats.org/officeDocument/2006/relationships/hyperlink" Target="https://3arbzfbsh-cname-us.ngrok.io/Desktop/seabridge%20fintech/icon/ATO_pa_trend_signal" TargetMode="External"/><Relationship Id="rId58" Type="http://schemas.openxmlformats.org/officeDocument/2006/relationships/hyperlink" Target="https://3arbzfbsh-cname-us.ngrok.io/Desktop/seabridge%20fintech/icon/ASML_pa_trend_signal" TargetMode="External"/><Relationship Id="rId590" Type="http://schemas.openxmlformats.org/officeDocument/2006/relationships/hyperlink" Target="https://3arbzfbsh-cname-us.ngrok.io/Desktop/seabridge%20fintech/icon/TMO_pa_trend_signal" TargetMode="External"/><Relationship Id="rId107" Type="http://schemas.openxmlformats.org/officeDocument/2006/relationships/hyperlink" Target="https://3arbzfbsh-cname-us.ngrok.io/Desktop/seabridge%20fintech/icon/CE_pa_trend_signal" TargetMode="External"/><Relationship Id="rId228" Type="http://schemas.openxmlformats.org/officeDocument/2006/relationships/hyperlink" Target="https://3arbzfbsh-cname-us.ngrok.io/Desktop/seabridge%20fintech/icon/FDX_pa_trend_signal" TargetMode="External"/><Relationship Id="rId349" Type="http://schemas.openxmlformats.org/officeDocument/2006/relationships/hyperlink" Target="https://3arbzfbsh-cname-us.ngrok.io/Desktop/seabridge%20fintech/icon/KO_pa_trend_signal" TargetMode="External"/><Relationship Id="rId106" Type="http://schemas.openxmlformats.org/officeDocument/2006/relationships/hyperlink" Target="https://3arbzfbsh-cname-us.ngrok.io/Desktop/seabridge%20fintech/icon/CDW_pa_trend_signal" TargetMode="External"/><Relationship Id="rId227" Type="http://schemas.openxmlformats.org/officeDocument/2006/relationships/hyperlink" Target="https://3arbzfbsh-cname-us.ngrok.io/Desktop/seabridge%20fintech/icon/FCX_pa_trend_signal" TargetMode="External"/><Relationship Id="rId348" Type="http://schemas.openxmlformats.org/officeDocument/2006/relationships/hyperlink" Target="https://3arbzfbsh-cname-us.ngrok.io/Desktop/seabridge%20fintech/icon/KMX_pa_trend_signal" TargetMode="External"/><Relationship Id="rId469" Type="http://schemas.openxmlformats.org/officeDocument/2006/relationships/hyperlink" Target="https://3arbzfbsh-cname-us.ngrok.io/Desktop/seabridge%20fintech/icon/PCAR_pa_trend_signal" TargetMode="External"/><Relationship Id="rId105" Type="http://schemas.openxmlformats.org/officeDocument/2006/relationships/hyperlink" Target="https://3arbzfbsh-cname-us.ngrok.io/Desktop/seabridge%20fintech/icon/CDNS_pa_trend_signal" TargetMode="External"/><Relationship Id="rId226" Type="http://schemas.openxmlformats.org/officeDocument/2006/relationships/hyperlink" Target="https://3arbzfbsh-cname-us.ngrok.io/Desktop/seabridge%20fintech/icon/FBHS_pa_trend_signal" TargetMode="External"/><Relationship Id="rId347" Type="http://schemas.openxmlformats.org/officeDocument/2006/relationships/hyperlink" Target="https://3arbzfbsh-cname-us.ngrok.io/Desktop/seabridge%20fintech/icon/KMI_pa_trend_signal" TargetMode="External"/><Relationship Id="rId468" Type="http://schemas.openxmlformats.org/officeDocument/2006/relationships/hyperlink" Target="https://3arbzfbsh-cname-us.ngrok.io/Desktop/seabridge%20fintech/icon/PBCT_pa_trend_signal" TargetMode="External"/><Relationship Id="rId589" Type="http://schemas.openxmlformats.org/officeDocument/2006/relationships/hyperlink" Target="https://3arbzfbsh-cname-us.ngrok.io/Desktop/seabridge%20fintech/icon/TLT_pa_trend_signal" TargetMode="External"/><Relationship Id="rId104" Type="http://schemas.openxmlformats.org/officeDocument/2006/relationships/hyperlink" Target="https://3arbzfbsh-cname-us.ngrok.io/Desktop/seabridge%20fintech/icon/CCL_pa_trend_signal" TargetMode="External"/><Relationship Id="rId225" Type="http://schemas.openxmlformats.org/officeDocument/2006/relationships/hyperlink" Target="https://3arbzfbsh-cname-us.ngrok.io/Desktop/seabridge%20fintech/icon/FB_pa_trend_signal" TargetMode="External"/><Relationship Id="rId346" Type="http://schemas.openxmlformats.org/officeDocument/2006/relationships/hyperlink" Target="https://3arbzfbsh-cname-us.ngrok.io/Desktop/seabridge%20fintech/icon/KMB_pa_trend_signal" TargetMode="External"/><Relationship Id="rId467" Type="http://schemas.openxmlformats.org/officeDocument/2006/relationships/hyperlink" Target="https://3arbzfbsh-cname-us.ngrok.io/Desktop/seabridge%20fintech/icon/PAYX_pa_trend_signal" TargetMode="External"/><Relationship Id="rId588" Type="http://schemas.openxmlformats.org/officeDocument/2006/relationships/hyperlink" Target="https://3arbzfbsh-cname-us.ngrok.io/Desktop/seabridge%20fintech/icon/TJX_pa_trend_signal" TargetMode="External"/><Relationship Id="rId109" Type="http://schemas.openxmlformats.org/officeDocument/2006/relationships/hyperlink" Target="https://3arbzfbsh-cname-us.ngrok.io/Desktop/seabridge%20fintech/icon/CF_pa_trend_signal" TargetMode="External"/><Relationship Id="rId108" Type="http://schemas.openxmlformats.org/officeDocument/2006/relationships/hyperlink" Target="https://3arbzfbsh-cname-us.ngrok.io/Desktop/seabridge%20fintech/icon/CERN_pa_trend_signal" TargetMode="External"/><Relationship Id="rId229" Type="http://schemas.openxmlformats.org/officeDocument/2006/relationships/hyperlink" Target="https://3arbzfbsh-cname-us.ngrok.io/Desktop/seabridge%20fintech/icon/FE_pa_trend_signal" TargetMode="External"/><Relationship Id="rId220" Type="http://schemas.openxmlformats.org/officeDocument/2006/relationships/hyperlink" Target="https://3arbzfbsh-cname-us.ngrok.io/Desktop/seabridge%20fintech/icon/EXR_pa_trend_signal" TargetMode="External"/><Relationship Id="rId341" Type="http://schemas.openxmlformats.org/officeDocument/2006/relationships/hyperlink" Target="https://3arbzfbsh-cname-us.ngrok.io/Desktop/seabridge%20fintech/icon/KEYS_pa_trend_signal" TargetMode="External"/><Relationship Id="rId462" Type="http://schemas.openxmlformats.org/officeDocument/2006/relationships/hyperlink" Target="https://3arbzfbsh-cname-us.ngrok.io/Desktop/seabridge%20fintech/icon/ORLY_pa_trend_signal" TargetMode="External"/><Relationship Id="rId583" Type="http://schemas.openxmlformats.org/officeDocument/2006/relationships/hyperlink" Target="https://3arbzfbsh-cname-us.ngrok.io/Desktop/seabridge%20fintech/icon/TER_pa_trend_signal" TargetMode="External"/><Relationship Id="rId340" Type="http://schemas.openxmlformats.org/officeDocument/2006/relationships/hyperlink" Target="https://3arbzfbsh-cname-us.ngrok.io/Desktop/seabridge%20fintech/icon/KEY_pa_trend_signal" TargetMode="External"/><Relationship Id="rId461" Type="http://schemas.openxmlformats.org/officeDocument/2006/relationships/hyperlink" Target="https://3arbzfbsh-cname-us.ngrok.io/Desktop/seabridge%20fintech/icon/ORCL_pa_trend_signal" TargetMode="External"/><Relationship Id="rId582" Type="http://schemas.openxmlformats.org/officeDocument/2006/relationships/hyperlink" Target="https://3arbzfbsh-cname-us.ngrok.io/Desktop/seabridge%20fintech/icon/TEL_pa_trend_signal" TargetMode="External"/><Relationship Id="rId460" Type="http://schemas.openxmlformats.org/officeDocument/2006/relationships/hyperlink" Target="https://3arbzfbsh-cname-us.ngrok.io/Desktop/seabridge%20fintech/icon/ON_pa_trend_signal" TargetMode="External"/><Relationship Id="rId581" Type="http://schemas.openxmlformats.org/officeDocument/2006/relationships/hyperlink" Target="https://3arbzfbsh-cname-us.ngrok.io/Desktop/seabridge%20fintech/icon/TEAM_pa_trend_signal" TargetMode="External"/><Relationship Id="rId580" Type="http://schemas.openxmlformats.org/officeDocument/2006/relationships/hyperlink" Target="https://3arbzfbsh-cname-us.ngrok.io/Desktop/seabridge%20fintech/icon/TDY_pa_trend_signal" TargetMode="External"/><Relationship Id="rId103" Type="http://schemas.openxmlformats.org/officeDocument/2006/relationships/hyperlink" Target="https://3arbzfbsh-cname-us.ngrok.io/Desktop/seabridge%20fintech/icon/CCI_pa_trend_signal" TargetMode="External"/><Relationship Id="rId224" Type="http://schemas.openxmlformats.org/officeDocument/2006/relationships/hyperlink" Target="https://3arbzfbsh-cname-us.ngrok.io/Desktop/seabridge%20fintech/icon/FAST_pa_trend_signal" TargetMode="External"/><Relationship Id="rId345" Type="http://schemas.openxmlformats.org/officeDocument/2006/relationships/hyperlink" Target="https://3arbzfbsh-cname-us.ngrok.io/Desktop/seabridge%20fintech/icon/KLAC_pa_trend_signal" TargetMode="External"/><Relationship Id="rId466" Type="http://schemas.openxmlformats.org/officeDocument/2006/relationships/hyperlink" Target="https://3arbzfbsh-cname-us.ngrok.io/Desktop/seabridge%20fintech/icon/PAYC_pa_trend_signal" TargetMode="External"/><Relationship Id="rId587" Type="http://schemas.openxmlformats.org/officeDocument/2006/relationships/hyperlink" Target="https://3arbzfbsh-cname-us.ngrok.io/Desktop/seabridge%20fintech/icon/TIP_pa_trend_signal" TargetMode="External"/><Relationship Id="rId102" Type="http://schemas.openxmlformats.org/officeDocument/2006/relationships/hyperlink" Target="https://3arbzfbsh-cname-us.ngrok.io/Desktop/seabridge%20fintech/icon/CBRE_pa_trend_signal" TargetMode="External"/><Relationship Id="rId223" Type="http://schemas.openxmlformats.org/officeDocument/2006/relationships/hyperlink" Target="https://3arbzfbsh-cname-us.ngrok.io/Desktop/seabridge%20fintech/icon/FANG_pa_trend_signal" TargetMode="External"/><Relationship Id="rId344" Type="http://schemas.openxmlformats.org/officeDocument/2006/relationships/hyperlink" Target="https://3arbzfbsh-cname-us.ngrok.io/Desktop/seabridge%20fintech/icon/KKR_pa_trend_signal" TargetMode="External"/><Relationship Id="rId465" Type="http://schemas.openxmlformats.org/officeDocument/2006/relationships/hyperlink" Target="https://3arbzfbsh-cname-us.ngrok.io/Desktop/seabridge%20fintech/icon/PACB_pa_trend_signal" TargetMode="External"/><Relationship Id="rId586" Type="http://schemas.openxmlformats.org/officeDocument/2006/relationships/hyperlink" Target="https://3arbzfbsh-cname-us.ngrok.io/Desktop/seabridge%20fintech/icon/TGT_pa_trend_signal" TargetMode="External"/><Relationship Id="rId101" Type="http://schemas.openxmlformats.org/officeDocument/2006/relationships/hyperlink" Target="https://3arbzfbsh-cname-us.ngrok.io/Desktop/seabridge%20fintech/icon/CBOE_pa_trend_signal" TargetMode="External"/><Relationship Id="rId222" Type="http://schemas.openxmlformats.org/officeDocument/2006/relationships/hyperlink" Target="https://3arbzfbsh-cname-us.ngrok.io/Desktop/seabridge%20fintech/icon/F_pa_trend_signal" TargetMode="External"/><Relationship Id="rId343" Type="http://schemas.openxmlformats.org/officeDocument/2006/relationships/hyperlink" Target="https://3arbzfbsh-cname-us.ngrok.io/Desktop/seabridge%20fintech/icon/KIM_pa_trend_signal" TargetMode="External"/><Relationship Id="rId464" Type="http://schemas.openxmlformats.org/officeDocument/2006/relationships/hyperlink" Target="https://3arbzfbsh-cname-us.ngrok.io/Desktop/seabridge%20fintech/icon/OXY_pa_trend_signal" TargetMode="External"/><Relationship Id="rId585" Type="http://schemas.openxmlformats.org/officeDocument/2006/relationships/hyperlink" Target="https://3arbzfbsh-cname-us.ngrok.io/Desktop/seabridge%20fintech/icon/TFX_pa_trend_signal" TargetMode="External"/><Relationship Id="rId100" Type="http://schemas.openxmlformats.org/officeDocument/2006/relationships/hyperlink" Target="https://3arbzfbsh-cname-us.ngrok.io/Desktop/seabridge%20fintech/icon/CB_pa_trend_signal" TargetMode="External"/><Relationship Id="rId221" Type="http://schemas.openxmlformats.org/officeDocument/2006/relationships/hyperlink" Target="https://3arbzfbsh-cname-us.ngrok.io/Desktop/seabridge%20fintech/icon/EZU_pa_trend_signal" TargetMode="External"/><Relationship Id="rId342" Type="http://schemas.openxmlformats.org/officeDocument/2006/relationships/hyperlink" Target="https://3arbzfbsh-cname-us.ngrok.io/Desktop/seabridge%20fintech/icon/KHC_pa_trend_signal" TargetMode="External"/><Relationship Id="rId463" Type="http://schemas.openxmlformats.org/officeDocument/2006/relationships/hyperlink" Target="https://3arbzfbsh-cname-us.ngrok.io/Desktop/seabridge%20fintech/icon/OVV_pa_trend_signal" TargetMode="External"/><Relationship Id="rId584" Type="http://schemas.openxmlformats.org/officeDocument/2006/relationships/hyperlink" Target="https://3arbzfbsh-cname-us.ngrok.io/Desktop/seabridge%20fintech/icon/TFC_pa_trend_signal" TargetMode="External"/><Relationship Id="rId217" Type="http://schemas.openxmlformats.org/officeDocument/2006/relationships/hyperlink" Target="https://3arbzfbsh-cname-us.ngrok.io/Desktop/seabridge%20fintech/icon/EXC_pa_trend_signal" TargetMode="External"/><Relationship Id="rId338" Type="http://schemas.openxmlformats.org/officeDocument/2006/relationships/hyperlink" Target="https://3arbzfbsh-cname-us.ngrok.io/Desktop/seabridge%20fintech/icon/KBE_pa_trend_signal" TargetMode="External"/><Relationship Id="rId459" Type="http://schemas.openxmlformats.org/officeDocument/2006/relationships/hyperlink" Target="https://3arbzfbsh-cname-us.ngrok.io/Desktop/seabridge%20fintech/icon/OMC_pa_trend_signal" TargetMode="External"/><Relationship Id="rId216" Type="http://schemas.openxmlformats.org/officeDocument/2006/relationships/hyperlink" Target="https://3arbzfbsh-cname-us.ngrok.io/Desktop/seabridge%20fintech/icon/EWZ_pa_trend_signal" TargetMode="External"/><Relationship Id="rId337" Type="http://schemas.openxmlformats.org/officeDocument/2006/relationships/hyperlink" Target="https://3arbzfbsh-cname-us.ngrok.io/Desktop/seabridge%20fintech/icon/K_pa_trend_signal" TargetMode="External"/><Relationship Id="rId458" Type="http://schemas.openxmlformats.org/officeDocument/2006/relationships/hyperlink" Target="https://3arbzfbsh-cname-us.ngrok.io/Desktop/seabridge%20fintech/icon/OKTA_pa_trend_signal" TargetMode="External"/><Relationship Id="rId579" Type="http://schemas.openxmlformats.org/officeDocument/2006/relationships/hyperlink" Target="https://3arbzfbsh-cname-us.ngrok.io/Desktop/seabridge%20fintech/icon/TDOC_pa_trend_signal" TargetMode="External"/><Relationship Id="rId215" Type="http://schemas.openxmlformats.org/officeDocument/2006/relationships/hyperlink" Target="https://3arbzfbsh-cname-us.ngrok.io/Desktop/seabridge%20fintech/icon/EWY_pa_trend_signal" TargetMode="External"/><Relationship Id="rId336" Type="http://schemas.openxmlformats.org/officeDocument/2006/relationships/hyperlink" Target="https://3arbzfbsh-cname-us.ngrok.io/Desktop/seabridge%20fintech/icon/JWN_pa_trend_signal" TargetMode="External"/><Relationship Id="rId457" Type="http://schemas.openxmlformats.org/officeDocument/2006/relationships/hyperlink" Target="https://3arbzfbsh-cname-us.ngrok.io/Desktop/seabridge%20fintech/icon/OKE_pa_trend_signal" TargetMode="External"/><Relationship Id="rId578" Type="http://schemas.openxmlformats.org/officeDocument/2006/relationships/hyperlink" Target="https://3arbzfbsh-cname-us.ngrok.io/Desktop/seabridge%20fintech/icon/TDG_pa_trend_signal" TargetMode="External"/><Relationship Id="rId699" Type="http://schemas.openxmlformats.org/officeDocument/2006/relationships/hyperlink" Target="https://3arbzfbsh-cname-us.ngrok.io/Desktop/seabridge%20fintech/icon/ZM_pa_trend_signal" TargetMode="External"/><Relationship Id="rId214" Type="http://schemas.openxmlformats.org/officeDocument/2006/relationships/hyperlink" Target="https://3arbzfbsh-cname-us.ngrok.io/Desktop/seabridge%20fintech/icon/EWU_pa_trend_signal" TargetMode="External"/><Relationship Id="rId335" Type="http://schemas.openxmlformats.org/officeDocument/2006/relationships/hyperlink" Target="https://3arbzfbsh-cname-us.ngrok.io/Desktop/seabridge%20fintech/icon/JPST_pa_trend_signal" TargetMode="External"/><Relationship Id="rId456" Type="http://schemas.openxmlformats.org/officeDocument/2006/relationships/hyperlink" Target="https://3arbzfbsh-cname-us.ngrok.io/Desktop/seabridge%20fintech/icon/OGE_pa_trend_signal" TargetMode="External"/><Relationship Id="rId577" Type="http://schemas.openxmlformats.org/officeDocument/2006/relationships/hyperlink" Target="https://3arbzfbsh-cname-us.ngrok.io/Desktop/seabridge%20fintech/icon/TCOM_pa_trend_signal" TargetMode="External"/><Relationship Id="rId698" Type="http://schemas.openxmlformats.org/officeDocument/2006/relationships/hyperlink" Target="https://3arbzfbsh-cname-us.ngrok.io/Desktop/seabridge%20fintech/icon/ZION_pa_trend_signal" TargetMode="External"/><Relationship Id="rId219" Type="http://schemas.openxmlformats.org/officeDocument/2006/relationships/hyperlink" Target="https://3arbzfbsh-cname-us.ngrok.io/Desktop/seabridge%20fintech/icon/EXPE_pa_trend_signal" TargetMode="External"/><Relationship Id="rId218" Type="http://schemas.openxmlformats.org/officeDocument/2006/relationships/hyperlink" Target="https://3arbzfbsh-cname-us.ngrok.io/Desktop/seabridge%20fintech/icon/EXPD_pa_trend_signal" TargetMode="External"/><Relationship Id="rId339" Type="http://schemas.openxmlformats.org/officeDocument/2006/relationships/hyperlink" Target="https://3arbzfbsh-cname-us.ngrok.io/Desktop/seabridge%20fintech/icon/KDP_pa_trend_signal" TargetMode="External"/><Relationship Id="rId330" Type="http://schemas.openxmlformats.org/officeDocument/2006/relationships/hyperlink" Target="https://3arbzfbsh-cname-us.ngrok.io/Desktop/seabridge%20fintech/icon/JKHY_pa_trend_signal" TargetMode="External"/><Relationship Id="rId451" Type="http://schemas.openxmlformats.org/officeDocument/2006/relationships/hyperlink" Target="https://3arbzfbsh-cname-us.ngrok.io/Desktop/seabridge%20fintech/icon/NWS_pa_trend_signal" TargetMode="External"/><Relationship Id="rId572" Type="http://schemas.openxmlformats.org/officeDocument/2006/relationships/hyperlink" Target="https://3arbzfbsh-cname-us.ngrok.io/Desktop/seabridge%20fintech/icon/SYF_pa_trend_signal" TargetMode="External"/><Relationship Id="rId693" Type="http://schemas.openxmlformats.org/officeDocument/2006/relationships/hyperlink" Target="https://3arbzfbsh-cname-us.ngrok.io/Desktop/seabridge%20fintech/icon/XYL_pa_trend_signal" TargetMode="External"/><Relationship Id="rId450" Type="http://schemas.openxmlformats.org/officeDocument/2006/relationships/hyperlink" Target="https://3arbzfbsh-cname-us.ngrok.io/Desktop/seabridge%20fintech/icon/NWL_pa_trend_signal" TargetMode="External"/><Relationship Id="rId571" Type="http://schemas.openxmlformats.org/officeDocument/2006/relationships/hyperlink" Target="https://3arbzfbsh-cname-us.ngrok.io/Desktop/seabridge%20fintech/icon/SWKS_pa_trend_signal" TargetMode="External"/><Relationship Id="rId692" Type="http://schemas.openxmlformats.org/officeDocument/2006/relationships/hyperlink" Target="https://3arbzfbsh-cname-us.ngrok.io/Desktop/seabridge%20fintech/icon/XRAY_pa_trend_signal" TargetMode="External"/><Relationship Id="rId570" Type="http://schemas.openxmlformats.org/officeDocument/2006/relationships/hyperlink" Target="https://3arbzfbsh-cname-us.ngrok.io/Desktop/seabridge%20fintech/icon/SWK_pa_trend_signal" TargetMode="External"/><Relationship Id="rId691" Type="http://schemas.openxmlformats.org/officeDocument/2006/relationships/hyperlink" Target="https://3arbzfbsh-cname-us.ngrok.io/Desktop/seabridge%20fintech/icon/XOP_pa_trend_signal" TargetMode="External"/><Relationship Id="rId690" Type="http://schemas.openxmlformats.org/officeDocument/2006/relationships/hyperlink" Target="https://3arbzfbsh-cname-us.ngrok.io/Desktop/seabridge%20fintech/icon/XOM_pa_trend_signal" TargetMode="External"/><Relationship Id="rId213" Type="http://schemas.openxmlformats.org/officeDocument/2006/relationships/hyperlink" Target="https://3arbzfbsh-cname-us.ngrok.io/Desktop/seabridge%20fintech/icon/EWT_pa_trend_signal" TargetMode="External"/><Relationship Id="rId334" Type="http://schemas.openxmlformats.org/officeDocument/2006/relationships/hyperlink" Target="https://3arbzfbsh-cname-us.ngrok.io/Desktop/seabridge%20fintech/icon/JPM_pa_trend_signal" TargetMode="External"/><Relationship Id="rId455" Type="http://schemas.openxmlformats.org/officeDocument/2006/relationships/hyperlink" Target="https://3arbzfbsh-cname-us.ngrok.io/Desktop/seabridge%20fintech/icon/ODFL_pa_trend_signal" TargetMode="External"/><Relationship Id="rId576" Type="http://schemas.openxmlformats.org/officeDocument/2006/relationships/hyperlink" Target="https://3arbzfbsh-cname-us.ngrok.io/Desktop/seabridge%20fintech/icon/TAP_pa_trend_signal" TargetMode="External"/><Relationship Id="rId697" Type="http://schemas.openxmlformats.org/officeDocument/2006/relationships/hyperlink" Target="https://3arbzfbsh-cname-us.ngrok.io/Desktop/seabridge%20fintech/icon/ZBRA_pa_trend_signal" TargetMode="External"/><Relationship Id="rId212" Type="http://schemas.openxmlformats.org/officeDocument/2006/relationships/hyperlink" Target="https://3arbzfbsh-cname-us.ngrok.io/Desktop/seabridge%20fintech/icon/EWJ_pa_trend_signal" TargetMode="External"/><Relationship Id="rId333" Type="http://schemas.openxmlformats.org/officeDocument/2006/relationships/hyperlink" Target="https://3arbzfbsh-cname-us.ngrok.io/Desktop/seabridge%20fintech/icon/JNPR_pa_trend_signal" TargetMode="External"/><Relationship Id="rId454" Type="http://schemas.openxmlformats.org/officeDocument/2006/relationships/hyperlink" Target="https://3arbzfbsh-cname-us.ngrok.io/Desktop/seabridge%20fintech/icon/O_pa_trend_signal" TargetMode="External"/><Relationship Id="rId575" Type="http://schemas.openxmlformats.org/officeDocument/2006/relationships/hyperlink" Target="https://3arbzfbsh-cname-us.ngrok.io/Desktop/seabridge%20fintech/icon/T_pa_trend_signal" TargetMode="External"/><Relationship Id="rId696" Type="http://schemas.openxmlformats.org/officeDocument/2006/relationships/hyperlink" Target="https://3arbzfbsh-cname-us.ngrok.io/Desktop/seabridge%20fintech/icon/ZBH_pa_trend_signal" TargetMode="External"/><Relationship Id="rId211" Type="http://schemas.openxmlformats.org/officeDocument/2006/relationships/hyperlink" Target="https://3arbzfbsh-cname-us.ngrok.io/Desktop/seabridge%20fintech/icon/EWH_pa_trend_signal" TargetMode="External"/><Relationship Id="rId332" Type="http://schemas.openxmlformats.org/officeDocument/2006/relationships/hyperlink" Target="https://3arbzfbsh-cname-us.ngrok.io/Desktop/seabridge%20fintech/icon/JNK_pa_trend_signal" TargetMode="External"/><Relationship Id="rId453" Type="http://schemas.openxmlformats.org/officeDocument/2006/relationships/hyperlink" Target="https://3arbzfbsh-cname-us.ngrok.io/Desktop/seabridge%20fintech/icon/NXPI_pa_trend_signal" TargetMode="External"/><Relationship Id="rId574" Type="http://schemas.openxmlformats.org/officeDocument/2006/relationships/hyperlink" Target="https://3arbzfbsh-cname-us.ngrok.io/Desktop/seabridge%20fintech/icon/SYY_pa_trend_signal" TargetMode="External"/><Relationship Id="rId695" Type="http://schemas.openxmlformats.org/officeDocument/2006/relationships/hyperlink" Target="https://3arbzfbsh-cname-us.ngrok.io/Desktop/seabridge%20fintech/icon/Z_pa_trend_signal" TargetMode="External"/><Relationship Id="rId210" Type="http://schemas.openxmlformats.org/officeDocument/2006/relationships/hyperlink" Target="https://3arbzfbsh-cname-us.ngrok.io/Desktop/seabridge%20fintech/icon/EWG_pa_trend_signal" TargetMode="External"/><Relationship Id="rId331" Type="http://schemas.openxmlformats.org/officeDocument/2006/relationships/hyperlink" Target="https://3arbzfbsh-cname-us.ngrok.io/Desktop/seabridge%20fintech/icon/JNJ_pa_trend_signal" TargetMode="External"/><Relationship Id="rId452" Type="http://schemas.openxmlformats.org/officeDocument/2006/relationships/hyperlink" Target="https://3arbzfbsh-cname-us.ngrok.io/Desktop/seabridge%20fintech/icon/NWSA_pa_trend_signal" TargetMode="External"/><Relationship Id="rId573" Type="http://schemas.openxmlformats.org/officeDocument/2006/relationships/hyperlink" Target="https://3arbzfbsh-cname-us.ngrok.io/Desktop/seabridge%20fintech/icon/SYK_pa_trend_signal" TargetMode="External"/><Relationship Id="rId694" Type="http://schemas.openxmlformats.org/officeDocument/2006/relationships/hyperlink" Target="https://3arbzfbsh-cname-us.ngrok.io/Desktop/seabridge%20fintech/icon/YUM_pa_trend_signal" TargetMode="External"/><Relationship Id="rId370" Type="http://schemas.openxmlformats.org/officeDocument/2006/relationships/hyperlink" Target="https://3arbzfbsh-cname-us.ngrok.io/Desktop/seabridge%20fintech/icon/LOW_pa_trend_signal" TargetMode="External"/><Relationship Id="rId491" Type="http://schemas.openxmlformats.org/officeDocument/2006/relationships/hyperlink" Target="https://3arbzfbsh-cname-us.ngrok.io/Desktop/seabridge%20fintech/icon/PNW_pa_trend_signal" TargetMode="External"/><Relationship Id="rId490" Type="http://schemas.openxmlformats.org/officeDocument/2006/relationships/hyperlink" Target="https://3arbzfbsh-cname-us.ngrok.io/Desktop/seabridge%20fintech/icon/PNR_pa_trend_signal" TargetMode="External"/><Relationship Id="rId129" Type="http://schemas.openxmlformats.org/officeDocument/2006/relationships/hyperlink" Target="https://3arbzfbsh-cname-us.ngrok.io/Desktop/seabridge%20fintech/icon/COG_pa_trend_signal" TargetMode="External"/><Relationship Id="rId128" Type="http://schemas.openxmlformats.org/officeDocument/2006/relationships/hyperlink" Target="https://3arbzfbsh-cname-us.ngrok.io/Desktop/seabridge%20fintech/icon/COF_pa_trend_signal" TargetMode="External"/><Relationship Id="rId249" Type="http://schemas.openxmlformats.org/officeDocument/2006/relationships/hyperlink" Target="https://3arbzfbsh-cname-us.ngrok.io/Desktop/seabridge%20fintech/icon/GE_pa_trend_signal" TargetMode="External"/><Relationship Id="rId127" Type="http://schemas.openxmlformats.org/officeDocument/2006/relationships/hyperlink" Target="https://3arbzfbsh-cname-us.ngrok.io/Desktop/seabridge%20fintech/icon/CNP_pa_trend_signal" TargetMode="External"/><Relationship Id="rId248" Type="http://schemas.openxmlformats.org/officeDocument/2006/relationships/hyperlink" Target="https://3arbzfbsh-cname-us.ngrok.io/Desktop/seabridge%20fintech/icon/GDX_pa_trend_signal" TargetMode="External"/><Relationship Id="rId369" Type="http://schemas.openxmlformats.org/officeDocument/2006/relationships/hyperlink" Target="https://3arbzfbsh-cname-us.ngrok.io/Desktop/seabridge%20fintech/icon/LNT_pa_trend_signal" TargetMode="External"/><Relationship Id="rId126" Type="http://schemas.openxmlformats.org/officeDocument/2006/relationships/hyperlink" Target="https://3arbzfbsh-cname-us.ngrok.io/Desktop/seabridge%20fintech/icon/CNC_pa_trend_signal" TargetMode="External"/><Relationship Id="rId247" Type="http://schemas.openxmlformats.org/officeDocument/2006/relationships/hyperlink" Target="https://3arbzfbsh-cname-us.ngrok.io/Desktop/seabridge%20fintech/icon/GD_pa_trend_signal" TargetMode="External"/><Relationship Id="rId368" Type="http://schemas.openxmlformats.org/officeDocument/2006/relationships/hyperlink" Target="https://3arbzfbsh-cname-us.ngrok.io/Desktop/seabridge%20fintech/icon/LNC_pa_trend_signal" TargetMode="External"/><Relationship Id="rId489" Type="http://schemas.openxmlformats.org/officeDocument/2006/relationships/hyperlink" Target="https://3arbzfbsh-cname-us.ngrok.io/Desktop/seabridge%20fintech/icon/PNC_pa_trend_signal" TargetMode="External"/><Relationship Id="rId121" Type="http://schemas.openxmlformats.org/officeDocument/2006/relationships/hyperlink" Target="https://3arbzfbsh-cname-us.ngrok.io/Desktop/seabridge%20fintech/icon/CMCSA_pa_trend_signal" TargetMode="External"/><Relationship Id="rId242" Type="http://schemas.openxmlformats.org/officeDocument/2006/relationships/hyperlink" Target="https://3arbzfbsh-cname-us.ngrok.io/Desktop/seabridge%20fintech/icon/FTNT_pa_trend_signal" TargetMode="External"/><Relationship Id="rId363" Type="http://schemas.openxmlformats.org/officeDocument/2006/relationships/hyperlink" Target="https://3arbzfbsh-cname-us.ngrok.io/Desktop/seabridge%20fintech/icon/LIN_pa_trend_signal" TargetMode="External"/><Relationship Id="rId484" Type="http://schemas.openxmlformats.org/officeDocument/2006/relationships/hyperlink" Target="https://3arbzfbsh-cname-us.ngrok.io/Desktop/seabridge%20fintech/icon/PKI_pa_trend_signal" TargetMode="External"/><Relationship Id="rId120" Type="http://schemas.openxmlformats.org/officeDocument/2006/relationships/hyperlink" Target="https://3arbzfbsh-cname-us.ngrok.io/Desktop/seabridge%20fintech/icon/CMA_pa_trend_signal" TargetMode="External"/><Relationship Id="rId241" Type="http://schemas.openxmlformats.org/officeDocument/2006/relationships/hyperlink" Target="https://3arbzfbsh-cname-us.ngrok.io/Desktop/seabridge%20fintech/icon/FSLY_pa_trend_signal" TargetMode="External"/><Relationship Id="rId362" Type="http://schemas.openxmlformats.org/officeDocument/2006/relationships/hyperlink" Target="https://3arbzfbsh-cname-us.ngrok.io/Desktop/seabridge%20fintech/icon/LHX_pa_trend_signal" TargetMode="External"/><Relationship Id="rId483" Type="http://schemas.openxmlformats.org/officeDocument/2006/relationships/hyperlink" Target="https://3arbzfbsh-cname-us.ngrok.io/Desktop/seabridge%20fintech/icon/PKG_pa_trend_signal" TargetMode="External"/><Relationship Id="rId240" Type="http://schemas.openxmlformats.org/officeDocument/2006/relationships/hyperlink" Target="https://3arbzfbsh-cname-us.ngrok.io/Desktop/seabridge%20fintech/icon/FSLR_pa_trend_signal" TargetMode="External"/><Relationship Id="rId361" Type="http://schemas.openxmlformats.org/officeDocument/2006/relationships/hyperlink" Target="https://3arbzfbsh-cname-us.ngrok.io/Desktop/seabridge%20fintech/icon/LH_pa_trend_signal" TargetMode="External"/><Relationship Id="rId482" Type="http://schemas.openxmlformats.org/officeDocument/2006/relationships/hyperlink" Target="https://3arbzfbsh-cname-us.ngrok.io/Desktop/seabridge%20fintech/icon/PINS_pa_trend_signal" TargetMode="External"/><Relationship Id="rId360" Type="http://schemas.openxmlformats.org/officeDocument/2006/relationships/hyperlink" Target="https://3arbzfbsh-cname-us.ngrok.io/Desktop/seabridge%20fintech/icon/LESL_pa_trend_signal" TargetMode="External"/><Relationship Id="rId481" Type="http://schemas.openxmlformats.org/officeDocument/2006/relationships/hyperlink" Target="https://3arbzfbsh-cname-us.ngrok.io/Desktop/seabridge%20fintech/icon/PHM_pa_trend_signal" TargetMode="External"/><Relationship Id="rId125" Type="http://schemas.openxmlformats.org/officeDocument/2006/relationships/hyperlink" Target="https://3arbzfbsh-cname-us.ngrok.io/Desktop/seabridge%20fintech/icon/CMS_pa_trend_signal" TargetMode="External"/><Relationship Id="rId246" Type="http://schemas.openxmlformats.org/officeDocument/2006/relationships/hyperlink" Target="https://3arbzfbsh-cname-us.ngrok.io/Desktop/seabridge%20fintech/icon/GBTC_pa_trend_signal" TargetMode="External"/><Relationship Id="rId367" Type="http://schemas.openxmlformats.org/officeDocument/2006/relationships/hyperlink" Target="https://3arbzfbsh-cname-us.ngrok.io/Desktop/seabridge%20fintech/icon/LMT_pa_trend_signal" TargetMode="External"/><Relationship Id="rId488" Type="http://schemas.openxmlformats.org/officeDocument/2006/relationships/hyperlink" Target="https://3arbzfbsh-cname-us.ngrok.io/Desktop/seabridge%20fintech/icon/PM_pa_trend_signal" TargetMode="External"/><Relationship Id="rId124" Type="http://schemas.openxmlformats.org/officeDocument/2006/relationships/hyperlink" Target="https://3arbzfbsh-cname-us.ngrok.io/Desktop/seabridge%20fintech/icon/CMI_pa_trend_signal" TargetMode="External"/><Relationship Id="rId245" Type="http://schemas.openxmlformats.org/officeDocument/2006/relationships/hyperlink" Target="https://3arbzfbsh-cname-us.ngrok.io/Desktop/seabridge%20fintech/icon/FXI_pa_trend_signal" TargetMode="External"/><Relationship Id="rId366" Type="http://schemas.openxmlformats.org/officeDocument/2006/relationships/hyperlink" Target="https://3arbzfbsh-cname-us.ngrok.io/Desktop/seabridge%20fintech/icon/LMND_pa_trend_signal" TargetMode="External"/><Relationship Id="rId487" Type="http://schemas.openxmlformats.org/officeDocument/2006/relationships/hyperlink" Target="https://3arbzfbsh-cname-us.ngrok.io/Desktop/seabridge%20fintech/icon/PLUG_pa_trend_signal" TargetMode="External"/><Relationship Id="rId123" Type="http://schemas.openxmlformats.org/officeDocument/2006/relationships/hyperlink" Target="https://3arbzfbsh-cname-us.ngrok.io/Desktop/seabridge%20fintech/icon/CMG_pa_trend_signal" TargetMode="External"/><Relationship Id="rId244" Type="http://schemas.openxmlformats.org/officeDocument/2006/relationships/hyperlink" Target="https://3arbzfbsh-cname-us.ngrok.io/Desktop/seabridge%20fintech/icon/FUBO_pa_trend_signal" TargetMode="External"/><Relationship Id="rId365" Type="http://schemas.openxmlformats.org/officeDocument/2006/relationships/hyperlink" Target="https://3arbzfbsh-cname-us.ngrok.io/Desktop/seabridge%20fintech/icon/LLY_pa_trend_signal" TargetMode="External"/><Relationship Id="rId486" Type="http://schemas.openxmlformats.org/officeDocument/2006/relationships/hyperlink" Target="https://3arbzfbsh-cname-us.ngrok.io/Desktop/seabridge%20fintech/icon/PLD_pa_trend_signal" TargetMode="External"/><Relationship Id="rId122" Type="http://schemas.openxmlformats.org/officeDocument/2006/relationships/hyperlink" Target="https://3arbzfbsh-cname-us.ngrok.io/Desktop/seabridge%20fintech/icon/CME_pa_trend_signal" TargetMode="External"/><Relationship Id="rId243" Type="http://schemas.openxmlformats.org/officeDocument/2006/relationships/hyperlink" Target="https://3arbzfbsh-cname-us.ngrok.io/Desktop/seabridge%20fintech/icon/FTV_pa_trend_signal" TargetMode="External"/><Relationship Id="rId364" Type="http://schemas.openxmlformats.org/officeDocument/2006/relationships/hyperlink" Target="https://3arbzfbsh-cname-us.ngrok.io/Desktop/seabridge%20fintech/icon/LKQ_pa_trend_signal" TargetMode="External"/><Relationship Id="rId485" Type="http://schemas.openxmlformats.org/officeDocument/2006/relationships/hyperlink" Target="https://3arbzfbsh-cname-us.ngrok.io/Desktop/seabridge%20fintech/icon/PLAN_pa_trend_signal" TargetMode="External"/><Relationship Id="rId95" Type="http://schemas.openxmlformats.org/officeDocument/2006/relationships/hyperlink" Target="https://3arbzfbsh-cname-us.ngrok.io/Desktop/seabridge%20fintech/icon/BYND_pa_trend_signal" TargetMode="External"/><Relationship Id="rId94" Type="http://schemas.openxmlformats.org/officeDocument/2006/relationships/hyperlink" Target="https://3arbzfbsh-cname-us.ngrok.io/Desktop/seabridge%20fintech/icon/BXP_pa_trend_signal" TargetMode="External"/><Relationship Id="rId97" Type="http://schemas.openxmlformats.org/officeDocument/2006/relationships/hyperlink" Target="https://3arbzfbsh-cname-us.ngrok.io/Desktop/seabridge%20fintech/icon/CAG_pa_trend_signal" TargetMode="External"/><Relationship Id="rId96" Type="http://schemas.openxmlformats.org/officeDocument/2006/relationships/hyperlink" Target="https://3arbzfbsh-cname-us.ngrok.io/Desktop/seabridge%20fintech/icon/C_pa_trend_signal" TargetMode="External"/><Relationship Id="rId99" Type="http://schemas.openxmlformats.org/officeDocument/2006/relationships/hyperlink" Target="https://3arbzfbsh-cname-us.ngrok.io/Desktop/seabridge%20fintech/icon/CAT_pa_trend_signal" TargetMode="External"/><Relationship Id="rId480" Type="http://schemas.openxmlformats.org/officeDocument/2006/relationships/hyperlink" Target="https://3arbzfbsh-cname-us.ngrok.io/Desktop/seabridge%20fintech/icon/PH_pa_trend_signal" TargetMode="External"/><Relationship Id="rId98" Type="http://schemas.openxmlformats.org/officeDocument/2006/relationships/hyperlink" Target="https://3arbzfbsh-cname-us.ngrok.io/Desktop/seabridge%20fintech/icon/CAH_pa_trend_signal" TargetMode="External"/><Relationship Id="rId91" Type="http://schemas.openxmlformats.org/officeDocument/2006/relationships/hyperlink" Target="https://3arbzfbsh-cname-us.ngrok.io/Desktop/seabridge%20fintech/icon/BSX_pa_trend_signal" TargetMode="External"/><Relationship Id="rId90" Type="http://schemas.openxmlformats.org/officeDocument/2006/relationships/hyperlink" Target="https://3arbzfbsh-cname-us.ngrok.io/Desktop/seabridge%20fintech/icon/BSV_pa_trend_signal" TargetMode="External"/><Relationship Id="rId93" Type="http://schemas.openxmlformats.org/officeDocument/2006/relationships/hyperlink" Target="https://3arbzfbsh-cname-us.ngrok.io/Desktop/seabridge%20fintech/icon/BX_pa_trend_signal" TargetMode="External"/><Relationship Id="rId92" Type="http://schemas.openxmlformats.org/officeDocument/2006/relationships/hyperlink" Target="https://3arbzfbsh-cname-us.ngrok.io/Desktop/seabridge%20fintech/icon/BWA_pa_trend_signal" TargetMode="External"/><Relationship Id="rId118" Type="http://schemas.openxmlformats.org/officeDocument/2006/relationships/hyperlink" Target="https://3arbzfbsh-cname-us.ngrok.io/Desktop/seabridge%20fintech/icon/CL_pa_trend_signal" TargetMode="External"/><Relationship Id="rId239" Type="http://schemas.openxmlformats.org/officeDocument/2006/relationships/hyperlink" Target="https://3arbzfbsh-cname-us.ngrok.io/Desktop/seabridge%20fintech/icon/FRT_pa_trend_signal" TargetMode="External"/><Relationship Id="rId117" Type="http://schemas.openxmlformats.org/officeDocument/2006/relationships/hyperlink" Target="https://3arbzfbsh-cname-us.ngrok.io/Desktop/seabridge%20fintech/icon/CINF_pa_trend_signal" TargetMode="External"/><Relationship Id="rId238" Type="http://schemas.openxmlformats.org/officeDocument/2006/relationships/hyperlink" Target="https://3arbzfbsh-cname-us.ngrok.io/Desktop/seabridge%20fintech/icon/FRC_pa_trend_signal" TargetMode="External"/><Relationship Id="rId359" Type="http://schemas.openxmlformats.org/officeDocument/2006/relationships/hyperlink" Target="https://3arbzfbsh-cname-us.ngrok.io/Desktop/seabridge%20fintech/icon/LEN_pa_trend_signal" TargetMode="External"/><Relationship Id="rId116" Type="http://schemas.openxmlformats.org/officeDocument/2006/relationships/hyperlink" Target="https://3arbzfbsh-cname-us.ngrok.io/Desktop/seabridge%20fintech/icon/CI_pa_trend_signal" TargetMode="External"/><Relationship Id="rId237" Type="http://schemas.openxmlformats.org/officeDocument/2006/relationships/hyperlink" Target="https://3arbzfbsh-cname-us.ngrok.io/Desktop/seabridge%20fintech/icon/FOXA_pa_trend_signal" TargetMode="External"/><Relationship Id="rId358" Type="http://schemas.openxmlformats.org/officeDocument/2006/relationships/hyperlink" Target="https://3arbzfbsh-cname-us.ngrok.io/Desktop/seabridge%20fintech/icon/LEG_pa_trend_signal" TargetMode="External"/><Relationship Id="rId479" Type="http://schemas.openxmlformats.org/officeDocument/2006/relationships/hyperlink" Target="https://3arbzfbsh-cname-us.ngrok.io/Desktop/seabridge%20fintech/icon/PGR_pa_trend_signal" TargetMode="External"/><Relationship Id="rId115" Type="http://schemas.openxmlformats.org/officeDocument/2006/relationships/hyperlink" Target="https://3arbzfbsh-cname-us.ngrok.io/Desktop/seabridge%20fintech/icon/CHWY_pa_trend_signal" TargetMode="External"/><Relationship Id="rId236" Type="http://schemas.openxmlformats.org/officeDocument/2006/relationships/hyperlink" Target="https://3arbzfbsh-cname-us.ngrok.io/Desktop/seabridge%20fintech/icon/FOX_pa_trend_signal" TargetMode="External"/><Relationship Id="rId357" Type="http://schemas.openxmlformats.org/officeDocument/2006/relationships/hyperlink" Target="https://3arbzfbsh-cname-us.ngrok.io/Desktop/seabridge%20fintech/icon/LDOS_pa_trend_signal" TargetMode="External"/><Relationship Id="rId478" Type="http://schemas.openxmlformats.org/officeDocument/2006/relationships/hyperlink" Target="https://3arbzfbsh-cname-us.ngrok.io/Desktop/seabridge%20fintech/icon/PG_pa_trend_signal" TargetMode="External"/><Relationship Id="rId599" Type="http://schemas.openxmlformats.org/officeDocument/2006/relationships/hyperlink" Target="https://3arbzfbsh-cname-us.ngrok.io/Desktop/seabridge%20fintech/icon/TSCO_pa_trend_signal" TargetMode="External"/><Relationship Id="rId119" Type="http://schemas.openxmlformats.org/officeDocument/2006/relationships/hyperlink" Target="https://3arbzfbsh-cname-us.ngrok.io/Desktop/seabridge%20fintech/icon/CLX_pa_trend_signal" TargetMode="External"/><Relationship Id="rId110" Type="http://schemas.openxmlformats.org/officeDocument/2006/relationships/hyperlink" Target="https://3arbzfbsh-cname-us.ngrok.io/Desktop/seabridge%20fintech/icon/CFG_pa_trend_signal" TargetMode="External"/><Relationship Id="rId231" Type="http://schemas.openxmlformats.org/officeDocument/2006/relationships/hyperlink" Target="https://3arbzfbsh-cname-us.ngrok.io/Desktop/seabridge%20fintech/icon/FIS_pa_trend_signal" TargetMode="External"/><Relationship Id="rId352" Type="http://schemas.openxmlformats.org/officeDocument/2006/relationships/hyperlink" Target="https://3arbzfbsh-cname-us.ngrok.io/Desktop/seabridge%20fintech/icon/KSS_pa_trend_signal" TargetMode="External"/><Relationship Id="rId473" Type="http://schemas.openxmlformats.org/officeDocument/2006/relationships/hyperlink" Target="https://3arbzfbsh-cname-us.ngrok.io/Desktop/seabridge%20fintech/icon/PENN_pa_trend_signal" TargetMode="External"/><Relationship Id="rId594" Type="http://schemas.openxmlformats.org/officeDocument/2006/relationships/hyperlink" Target="https://3arbzfbsh-cname-us.ngrok.io/Desktop/seabridge%20fintech/icon/TRGP_pa_trend_signal" TargetMode="External"/><Relationship Id="rId230" Type="http://schemas.openxmlformats.org/officeDocument/2006/relationships/hyperlink" Target="https://3arbzfbsh-cname-us.ngrok.io/Desktop/seabridge%20fintech/icon/FFIV_pa_trend_signal" TargetMode="External"/><Relationship Id="rId351" Type="http://schemas.openxmlformats.org/officeDocument/2006/relationships/hyperlink" Target="https://3arbzfbsh-cname-us.ngrok.io/Desktop/seabridge%20fintech/icon/KRE_pa_trend_signal" TargetMode="External"/><Relationship Id="rId472" Type="http://schemas.openxmlformats.org/officeDocument/2006/relationships/hyperlink" Target="https://3arbzfbsh-cname-us.ngrok.io/Desktop/seabridge%20fintech/icon/PEG_pa_trend_signal" TargetMode="External"/><Relationship Id="rId593" Type="http://schemas.openxmlformats.org/officeDocument/2006/relationships/hyperlink" Target="https://3arbzfbsh-cname-us.ngrok.io/Desktop/seabridge%20fintech/icon/TQQQ_pa_trend_signal" TargetMode="External"/><Relationship Id="rId350" Type="http://schemas.openxmlformats.org/officeDocument/2006/relationships/hyperlink" Target="https://3arbzfbsh-cname-us.ngrok.io/Desktop/seabridge%20fintech/icon/KR_pa_trend_signal" TargetMode="External"/><Relationship Id="rId471" Type="http://schemas.openxmlformats.org/officeDocument/2006/relationships/hyperlink" Target="https://3arbzfbsh-cname-us.ngrok.io/Desktop/seabridge%20fintech/icon/PEAK_pa_trend_signal" TargetMode="External"/><Relationship Id="rId592" Type="http://schemas.openxmlformats.org/officeDocument/2006/relationships/hyperlink" Target="https://3arbzfbsh-cname-us.ngrok.io/Desktop/seabridge%20fintech/icon/TPR_pa_trend_signal" TargetMode="External"/><Relationship Id="rId470" Type="http://schemas.openxmlformats.org/officeDocument/2006/relationships/hyperlink" Target="https://3arbzfbsh-cname-us.ngrok.io/Desktop/seabridge%20fintech/icon/PDD_pa_trend_signal" TargetMode="External"/><Relationship Id="rId591" Type="http://schemas.openxmlformats.org/officeDocument/2006/relationships/hyperlink" Target="https://3arbzfbsh-cname-us.ngrok.io/Desktop/seabridge%20fintech/icon/TMUS_pa_trend_signal" TargetMode="External"/><Relationship Id="rId114" Type="http://schemas.openxmlformats.org/officeDocument/2006/relationships/hyperlink" Target="https://3arbzfbsh-cname-us.ngrok.io/Desktop/seabridge%20fintech/icon/CHTR_pa_trend_signal" TargetMode="External"/><Relationship Id="rId235" Type="http://schemas.openxmlformats.org/officeDocument/2006/relationships/hyperlink" Target="https://3arbzfbsh-cname-us.ngrok.io/Desktop/seabridge%20fintech/icon/FMC_pa_trend_signal" TargetMode="External"/><Relationship Id="rId356" Type="http://schemas.openxmlformats.org/officeDocument/2006/relationships/hyperlink" Target="https://3arbzfbsh-cname-us.ngrok.io/Desktop/seabridge%20fintech/icon/LB_pa_trend_signal" TargetMode="External"/><Relationship Id="rId477" Type="http://schemas.openxmlformats.org/officeDocument/2006/relationships/hyperlink" Target="https://3arbzfbsh-cname-us.ngrok.io/Desktop/seabridge%20fintech/icon/PFG_pa_trend_signal" TargetMode="External"/><Relationship Id="rId598" Type="http://schemas.openxmlformats.org/officeDocument/2006/relationships/hyperlink" Target="https://3arbzfbsh-cname-us.ngrok.io/Desktop/seabridge%20fintech/icon/TRV_pa_trend_signal" TargetMode="External"/><Relationship Id="rId113" Type="http://schemas.openxmlformats.org/officeDocument/2006/relationships/hyperlink" Target="https://3arbzfbsh-cname-us.ngrok.io/Desktop/seabridge%20fintech/icon/CHRW_pa_trend_signal" TargetMode="External"/><Relationship Id="rId234" Type="http://schemas.openxmlformats.org/officeDocument/2006/relationships/hyperlink" Target="https://3arbzfbsh-cname-us.ngrok.io/Desktop/seabridge%20fintech/icon/FLT_pa_trend_signal" TargetMode="External"/><Relationship Id="rId355" Type="http://schemas.openxmlformats.org/officeDocument/2006/relationships/hyperlink" Target="https://3arbzfbsh-cname-us.ngrok.io/Desktop/seabridge%20fintech/icon/L_pa_trend_signal" TargetMode="External"/><Relationship Id="rId476" Type="http://schemas.openxmlformats.org/officeDocument/2006/relationships/hyperlink" Target="https://3arbzfbsh-cname-us.ngrok.io/Desktop/seabridge%20fintech/icon/PFF_pa_trend_signal" TargetMode="External"/><Relationship Id="rId597" Type="http://schemas.openxmlformats.org/officeDocument/2006/relationships/hyperlink" Target="https://3arbzfbsh-cname-us.ngrok.io/Desktop/seabridge%20fintech/icon/TROW_pa_trend_signal" TargetMode="External"/><Relationship Id="rId112" Type="http://schemas.openxmlformats.org/officeDocument/2006/relationships/hyperlink" Target="https://3arbzfbsh-cname-us.ngrok.io/Desktop/seabridge%20fintech/icon/CHKP_pa_trend_signal" TargetMode="External"/><Relationship Id="rId233" Type="http://schemas.openxmlformats.org/officeDocument/2006/relationships/hyperlink" Target="https://3arbzfbsh-cname-us.ngrok.io/Desktop/seabridge%20fintech/icon/FITB_pa_trend_signal" TargetMode="External"/><Relationship Id="rId354" Type="http://schemas.openxmlformats.org/officeDocument/2006/relationships/hyperlink" Target="https://3arbzfbsh-cname-us.ngrok.io/Desktop/seabridge%20fintech/icon/KWEB_pa_trend_signal" TargetMode="External"/><Relationship Id="rId475" Type="http://schemas.openxmlformats.org/officeDocument/2006/relationships/hyperlink" Target="https://3arbzfbsh-cname-us.ngrok.io/Desktop/seabridge%20fintech/icon/PFE_pa_trend_signal" TargetMode="External"/><Relationship Id="rId596" Type="http://schemas.openxmlformats.org/officeDocument/2006/relationships/hyperlink" Target="https://3arbzfbsh-cname-us.ngrok.io/Desktop/seabridge%20fintech/icon/TRMB_pa_trend_signal" TargetMode="External"/><Relationship Id="rId111" Type="http://schemas.openxmlformats.org/officeDocument/2006/relationships/hyperlink" Target="https://3arbzfbsh-cname-us.ngrok.io/Desktop/seabridge%20fintech/icon/CHD_pa_trend_signal" TargetMode="External"/><Relationship Id="rId232" Type="http://schemas.openxmlformats.org/officeDocument/2006/relationships/hyperlink" Target="https://3arbzfbsh-cname-us.ngrok.io/Desktop/seabridge%20fintech/icon/FISV_pa_trend_signal" TargetMode="External"/><Relationship Id="rId353" Type="http://schemas.openxmlformats.org/officeDocument/2006/relationships/hyperlink" Target="https://3arbzfbsh-cname-us.ngrok.io/Desktop/seabridge%20fintech/icon/KSU_pa_trend_signal" TargetMode="External"/><Relationship Id="rId474" Type="http://schemas.openxmlformats.org/officeDocument/2006/relationships/hyperlink" Target="https://3arbzfbsh-cname-us.ngrok.io/Desktop/seabridge%20fintech/icon/PEP_pa_trend_signal" TargetMode="External"/><Relationship Id="rId595" Type="http://schemas.openxmlformats.org/officeDocument/2006/relationships/hyperlink" Target="https://3arbzfbsh-cname-us.ngrok.io/Desktop/seabridge%20fintech/icon/TRIP_pa_trend_signal" TargetMode="External"/><Relationship Id="rId305" Type="http://schemas.openxmlformats.org/officeDocument/2006/relationships/hyperlink" Target="https://3arbzfbsh-cname-us.ngrok.io/Desktop/seabridge%20fintech/icon/INCY_pa_trend_signal" TargetMode="External"/><Relationship Id="rId426" Type="http://schemas.openxmlformats.org/officeDocument/2006/relationships/hyperlink" Target="https://3arbzfbsh-cname-us.ngrok.io/Desktop/seabridge%20fintech/icon/NEM_pa_trend_signal" TargetMode="External"/><Relationship Id="rId547" Type="http://schemas.openxmlformats.org/officeDocument/2006/relationships/hyperlink" Target="https://3arbzfbsh-cname-us.ngrok.io/Desktop/seabridge%20fintech/icon/SNA_pa_trend_signal" TargetMode="External"/><Relationship Id="rId668" Type="http://schemas.openxmlformats.org/officeDocument/2006/relationships/hyperlink" Target="https://3arbzfbsh-cname-us.ngrok.io/Desktop/seabridge%20fintech/icon/WORK_pa_trend_signal" TargetMode="External"/><Relationship Id="rId304" Type="http://schemas.openxmlformats.org/officeDocument/2006/relationships/hyperlink" Target="https://3arbzfbsh-cname-us.ngrok.io/Desktop/seabridge%20fintech/icon/ILMN_pa_trend_signal" TargetMode="External"/><Relationship Id="rId425" Type="http://schemas.openxmlformats.org/officeDocument/2006/relationships/hyperlink" Target="https://3arbzfbsh-cname-us.ngrok.io/Desktop/seabridge%20fintech/icon/NEE_pa_trend_signal" TargetMode="External"/><Relationship Id="rId546" Type="http://schemas.openxmlformats.org/officeDocument/2006/relationships/hyperlink" Target="https://3arbzfbsh-cname-us.ngrok.io/Desktop/seabridge%20fintech/icon/SMH_pa_trend_signal" TargetMode="External"/><Relationship Id="rId667" Type="http://schemas.openxmlformats.org/officeDocument/2006/relationships/hyperlink" Target="https://3arbzfbsh-cname-us.ngrok.io/Desktop/seabridge%20fintech/icon/WMT_pa_trend_signal" TargetMode="External"/><Relationship Id="rId303" Type="http://schemas.openxmlformats.org/officeDocument/2006/relationships/hyperlink" Target="https://3arbzfbsh-cname-us.ngrok.io/Desktop/seabridge%20fintech/icon/IJR_pa_trend_signal" TargetMode="External"/><Relationship Id="rId424" Type="http://schemas.openxmlformats.org/officeDocument/2006/relationships/hyperlink" Target="https://3arbzfbsh-cname-us.ngrok.io/Desktop/seabridge%20fintech/icon/NDAQ_pa_trend_signal" TargetMode="External"/><Relationship Id="rId545" Type="http://schemas.openxmlformats.org/officeDocument/2006/relationships/hyperlink" Target="https://3arbzfbsh-cname-us.ngrok.io/Desktop/seabridge%20fintech/icon/SLB_pa_trend_signal" TargetMode="External"/><Relationship Id="rId666" Type="http://schemas.openxmlformats.org/officeDocument/2006/relationships/hyperlink" Target="https://3arbzfbsh-cname-us.ngrok.io/Desktop/seabridge%20fintech/icon/WMB_pa_trend_signal" TargetMode="External"/><Relationship Id="rId302" Type="http://schemas.openxmlformats.org/officeDocument/2006/relationships/hyperlink" Target="https://3arbzfbsh-cname-us.ngrok.io/Desktop/seabridge%20fintech/icon/IFF_pa_trend_signal" TargetMode="External"/><Relationship Id="rId423" Type="http://schemas.openxmlformats.org/officeDocument/2006/relationships/hyperlink" Target="https://3arbzfbsh-cname-us.ngrok.io/Desktop/seabridge%20fintech/icon/NCLH_pa_trend_signal" TargetMode="External"/><Relationship Id="rId544" Type="http://schemas.openxmlformats.org/officeDocument/2006/relationships/hyperlink" Target="https://3arbzfbsh-cname-us.ngrok.io/Desktop/seabridge%20fintech/icon/SJNK_pa_trend_signal" TargetMode="External"/><Relationship Id="rId665" Type="http://schemas.openxmlformats.org/officeDocument/2006/relationships/hyperlink" Target="https://3arbzfbsh-cname-us.ngrok.io/Desktop/seabridge%20fintech/icon/WM_pa_trend_signal" TargetMode="External"/><Relationship Id="rId309" Type="http://schemas.openxmlformats.org/officeDocument/2006/relationships/hyperlink" Target="https://3arbzfbsh-cname-us.ngrok.io/Desktop/seabridge%20fintech/icon/INTU_pa_trend_signal" TargetMode="External"/><Relationship Id="rId308" Type="http://schemas.openxmlformats.org/officeDocument/2006/relationships/hyperlink" Target="https://3arbzfbsh-cname-us.ngrok.io/Desktop/seabridge%20fintech/icon/INTC_pa_trend_signal" TargetMode="External"/><Relationship Id="rId429" Type="http://schemas.openxmlformats.org/officeDocument/2006/relationships/hyperlink" Target="https://3arbzfbsh-cname-us.ngrok.io/Desktop/seabridge%20fintech/icon/NI_pa_trend_signal" TargetMode="External"/><Relationship Id="rId307" Type="http://schemas.openxmlformats.org/officeDocument/2006/relationships/hyperlink" Target="https://3arbzfbsh-cname-us.ngrok.io/Desktop/seabridge%20fintech/icon/INFO_pa_trend_signal" TargetMode="External"/><Relationship Id="rId428" Type="http://schemas.openxmlformats.org/officeDocument/2006/relationships/hyperlink" Target="https://3arbzfbsh-cname-us.ngrok.io/Desktop/seabridge%20fintech/icon/NFLX_pa_trend_signal" TargetMode="External"/><Relationship Id="rId549" Type="http://schemas.openxmlformats.org/officeDocument/2006/relationships/hyperlink" Target="https://3arbzfbsh-cname-us.ngrok.io/Desktop/seabridge%20fintech/icon/SNOW_pa_trend_signal" TargetMode="External"/><Relationship Id="rId306" Type="http://schemas.openxmlformats.org/officeDocument/2006/relationships/hyperlink" Target="https://3arbzfbsh-cname-us.ngrok.io/Desktop/seabridge%20fintech/icon/INDA_pa_trend_signal" TargetMode="External"/><Relationship Id="rId427" Type="http://schemas.openxmlformats.org/officeDocument/2006/relationships/hyperlink" Target="https://3arbzfbsh-cname-us.ngrok.io/Desktop/seabridge%20fintech/icon/NET_pa_trend_signal" TargetMode="External"/><Relationship Id="rId548" Type="http://schemas.openxmlformats.org/officeDocument/2006/relationships/hyperlink" Target="https://3arbzfbsh-cname-us.ngrok.io/Desktop/seabridge%20fintech/icon/SNAP_pa_trend_signal" TargetMode="External"/><Relationship Id="rId669" Type="http://schemas.openxmlformats.org/officeDocument/2006/relationships/hyperlink" Target="https://3arbzfbsh-cname-us.ngrok.io/Desktop/seabridge%20fintech/icon/WRB_pa_trend_signal" TargetMode="External"/><Relationship Id="rId660" Type="http://schemas.openxmlformats.org/officeDocument/2006/relationships/hyperlink" Target="https://3arbzfbsh-cname-us.ngrok.io/Desktop/seabridge%20fintech/icon/WEC_pa_trend_signal" TargetMode="External"/><Relationship Id="rId301" Type="http://schemas.openxmlformats.org/officeDocument/2006/relationships/hyperlink" Target="https://3arbzfbsh-cname-us.ngrok.io/Desktop/seabridge%20fintech/icon/IEX_pa_trend_signal" TargetMode="External"/><Relationship Id="rId422" Type="http://schemas.openxmlformats.org/officeDocument/2006/relationships/hyperlink" Target="https://3arbzfbsh-cname-us.ngrok.io/Desktop/seabridge%20fintech/icon/MXIM_pa_trend_signal" TargetMode="External"/><Relationship Id="rId543" Type="http://schemas.openxmlformats.org/officeDocument/2006/relationships/hyperlink" Target="https://3arbzfbsh-cname-us.ngrok.io/Desktop/seabridge%20fintech/icon/SJM_pa_trend_signal" TargetMode="External"/><Relationship Id="rId664" Type="http://schemas.openxmlformats.org/officeDocument/2006/relationships/hyperlink" Target="https://3arbzfbsh-cname-us.ngrok.io/Desktop/seabridge%20fintech/icon/WLTW_pa_trend_signal" TargetMode="External"/><Relationship Id="rId300" Type="http://schemas.openxmlformats.org/officeDocument/2006/relationships/hyperlink" Target="https://3arbzfbsh-cname-us.ngrok.io/Desktop/seabridge%20fintech/icon/IEMG_pa_trend_signal" TargetMode="External"/><Relationship Id="rId421" Type="http://schemas.openxmlformats.org/officeDocument/2006/relationships/hyperlink" Target="https://3arbzfbsh-cname-us.ngrok.io/Desktop/seabridge%20fintech/icon/MU_pa_trend_signal" TargetMode="External"/><Relationship Id="rId542" Type="http://schemas.openxmlformats.org/officeDocument/2006/relationships/hyperlink" Target="https://3arbzfbsh-cname-us.ngrok.io/Desktop/seabridge%20fintech/icon/SIVB_pa_trend_signal" TargetMode="External"/><Relationship Id="rId663" Type="http://schemas.openxmlformats.org/officeDocument/2006/relationships/hyperlink" Target="https://3arbzfbsh-cname-us.ngrok.io/Desktop/seabridge%20fintech/icon/WHR_pa_trend_signal" TargetMode="External"/><Relationship Id="rId420" Type="http://schemas.openxmlformats.org/officeDocument/2006/relationships/hyperlink" Target="https://3arbzfbsh-cname-us.ngrok.io/Desktop/seabridge%20fintech/icon/MTD_pa_trend_signal" TargetMode="External"/><Relationship Id="rId541" Type="http://schemas.openxmlformats.org/officeDocument/2006/relationships/hyperlink" Target="https://3arbzfbsh-cname-us.ngrok.io/Desktop/seabridge%20fintech/icon/SIRI_pa_trend_signal" TargetMode="External"/><Relationship Id="rId662" Type="http://schemas.openxmlformats.org/officeDocument/2006/relationships/hyperlink" Target="https://3arbzfbsh-cname-us.ngrok.io/Desktop/seabridge%20fintech/icon/WFC_pa_trend_signal" TargetMode="External"/><Relationship Id="rId540" Type="http://schemas.openxmlformats.org/officeDocument/2006/relationships/hyperlink" Target="https://3arbzfbsh-cname-us.ngrok.io/Desktop/seabridge%20fintech/icon/SHY_pa_trend_signal" TargetMode="External"/><Relationship Id="rId661" Type="http://schemas.openxmlformats.org/officeDocument/2006/relationships/hyperlink" Target="https://3arbzfbsh-cname-us.ngrok.io/Desktop/seabridge%20fintech/icon/WELL_pa_trend_signal" TargetMode="External"/><Relationship Id="rId415" Type="http://schemas.openxmlformats.org/officeDocument/2006/relationships/hyperlink" Target="https://3arbzfbsh-cname-us.ngrok.io/Desktop/seabridge%20fintech/icon/MSCI_pa_trend_signal" TargetMode="External"/><Relationship Id="rId536" Type="http://schemas.openxmlformats.org/officeDocument/2006/relationships/hyperlink" Target="https://3arbzfbsh-cname-us.ngrok.io/Desktop/seabridge%20fintech/icon/SEE_pa_trend_signal" TargetMode="External"/><Relationship Id="rId657" Type="http://schemas.openxmlformats.org/officeDocument/2006/relationships/hyperlink" Target="https://3arbzfbsh-cname-us.ngrok.io/Desktop/seabridge%20fintech/icon/WBA_pa_trend_signal" TargetMode="External"/><Relationship Id="rId414" Type="http://schemas.openxmlformats.org/officeDocument/2006/relationships/hyperlink" Target="https://3arbzfbsh-cname-us.ngrok.io/Desktop/seabridge%20fintech/icon/MS_pa_trend_signal" TargetMode="External"/><Relationship Id="rId535" Type="http://schemas.openxmlformats.org/officeDocument/2006/relationships/hyperlink" Target="https://3arbzfbsh-cname-us.ngrok.io/Desktop/seabridge%20fintech/icon/SCHW_pa_trend_signal" TargetMode="External"/><Relationship Id="rId656" Type="http://schemas.openxmlformats.org/officeDocument/2006/relationships/hyperlink" Target="https://3arbzfbsh-cname-us.ngrok.io/Desktop/seabridge%20fintech/icon/WAT_pa_trend_signal" TargetMode="External"/><Relationship Id="rId413" Type="http://schemas.openxmlformats.org/officeDocument/2006/relationships/hyperlink" Target="https://3arbzfbsh-cname-us.ngrok.io/Desktop/seabridge%20fintech/icon/MRVL_pa_trend_signal" TargetMode="External"/><Relationship Id="rId534" Type="http://schemas.openxmlformats.org/officeDocument/2006/relationships/hyperlink" Target="https://3arbzfbsh-cname-us.ngrok.io/Desktop/seabridge%20fintech/icon/SCHP_pa_trend_signal" TargetMode="External"/><Relationship Id="rId655" Type="http://schemas.openxmlformats.org/officeDocument/2006/relationships/hyperlink" Target="https://3arbzfbsh-cname-us.ngrok.io/Desktop/seabridge%20fintech/icon/WAB_pa_trend_signal" TargetMode="External"/><Relationship Id="rId412" Type="http://schemas.openxmlformats.org/officeDocument/2006/relationships/hyperlink" Target="https://3arbzfbsh-cname-us.ngrok.io/Desktop/seabridge%20fintech/icon/MRO_pa_trend_signal" TargetMode="External"/><Relationship Id="rId533" Type="http://schemas.openxmlformats.org/officeDocument/2006/relationships/hyperlink" Target="https://3arbzfbsh-cname-us.ngrok.io/Desktop/seabridge%20fintech/icon/SCHF_pa_trend_signal" TargetMode="External"/><Relationship Id="rId654" Type="http://schemas.openxmlformats.org/officeDocument/2006/relationships/hyperlink" Target="https://3arbzfbsh-cname-us.ngrok.io/Desktop/seabridge%20fintech/icon/VZ_pa_trend_signal" TargetMode="External"/><Relationship Id="rId419" Type="http://schemas.openxmlformats.org/officeDocument/2006/relationships/hyperlink" Target="https://3arbzfbsh-cname-us.ngrok.io/Desktop/seabridge%20fintech/icon/MTCH_pa_trend_signal" TargetMode="External"/><Relationship Id="rId418" Type="http://schemas.openxmlformats.org/officeDocument/2006/relationships/hyperlink" Target="https://3arbzfbsh-cname-us.ngrok.io/Desktop/seabridge%20fintech/icon/MTB_pa_trend_signal" TargetMode="External"/><Relationship Id="rId539" Type="http://schemas.openxmlformats.org/officeDocument/2006/relationships/hyperlink" Target="https://3arbzfbsh-cname-us.ngrok.io/Desktop/seabridge%20fintech/icon/SHW_pa_trend_signal" TargetMode="External"/><Relationship Id="rId417" Type="http://schemas.openxmlformats.org/officeDocument/2006/relationships/hyperlink" Target="https://3arbzfbsh-cname-us.ngrok.io/Desktop/seabridge%20fintech/icon/MSI_pa_trend_signal" TargetMode="External"/><Relationship Id="rId538" Type="http://schemas.openxmlformats.org/officeDocument/2006/relationships/hyperlink" Target="https://3arbzfbsh-cname-us.ngrok.io/Desktop/seabridge%20fintech/icon/SGEN_pa_trend_signal" TargetMode="External"/><Relationship Id="rId659" Type="http://schemas.openxmlformats.org/officeDocument/2006/relationships/hyperlink" Target="https://3arbzfbsh-cname-us.ngrok.io/Desktop/seabridge%20fintech/icon/WDC_pa_trend_signal" TargetMode="External"/><Relationship Id="rId416" Type="http://schemas.openxmlformats.org/officeDocument/2006/relationships/hyperlink" Target="https://3arbzfbsh-cname-us.ngrok.io/Desktop/seabridge%20fintech/icon/MSFT_pa_trend_signal" TargetMode="External"/><Relationship Id="rId537" Type="http://schemas.openxmlformats.org/officeDocument/2006/relationships/hyperlink" Target="https://3arbzfbsh-cname-us.ngrok.io/Desktop/seabridge%20fintech/icon/SFM_pa_trend_signal" TargetMode="External"/><Relationship Id="rId658" Type="http://schemas.openxmlformats.org/officeDocument/2006/relationships/hyperlink" Target="https://3arbzfbsh-cname-us.ngrok.io/Desktop/seabridge%20fintech/icon/WDAY_pa_trend_signal" TargetMode="External"/><Relationship Id="rId411" Type="http://schemas.openxmlformats.org/officeDocument/2006/relationships/hyperlink" Target="https://3arbzfbsh-cname-us.ngrok.io/Desktop/seabridge%20fintech/icon/MRNA_pa_trend_signal" TargetMode="External"/><Relationship Id="rId532" Type="http://schemas.openxmlformats.org/officeDocument/2006/relationships/hyperlink" Target="https://3arbzfbsh-cname-us.ngrok.io/Desktop/seabridge%20fintech/icon/SBUX_pa_trend_signal" TargetMode="External"/><Relationship Id="rId653" Type="http://schemas.openxmlformats.org/officeDocument/2006/relationships/hyperlink" Target="https://3arbzfbsh-cname-us.ngrok.io/Desktop/seabridge%20fintech/icon/VXUS_pa_trend_signal" TargetMode="External"/><Relationship Id="rId410" Type="http://schemas.openxmlformats.org/officeDocument/2006/relationships/hyperlink" Target="https://3arbzfbsh-cname-us.ngrok.io/Desktop/seabridge%20fintech/icon/MPWR_pa_trend_signal" TargetMode="External"/><Relationship Id="rId531" Type="http://schemas.openxmlformats.org/officeDocument/2006/relationships/hyperlink" Target="https://3arbzfbsh-cname-us.ngrok.io/Desktop/seabridge%20fintech/icon/SBAC_pa_trend_signal" TargetMode="External"/><Relationship Id="rId652" Type="http://schemas.openxmlformats.org/officeDocument/2006/relationships/hyperlink" Target="https://3arbzfbsh-cname-us.ngrok.io/Desktop/seabridge%20fintech/icon/VWO_pa_trend_signal" TargetMode="External"/><Relationship Id="rId530" Type="http://schemas.openxmlformats.org/officeDocument/2006/relationships/hyperlink" Target="https://3arbzfbsh-cname-us.ngrok.io/Desktop/seabridge%20fintech/icon/SAVE_pa_trend_signal" TargetMode="External"/><Relationship Id="rId651" Type="http://schemas.openxmlformats.org/officeDocument/2006/relationships/hyperlink" Target="https://3arbzfbsh-cname-us.ngrok.io/Desktop/seabridge%20fintech/icon/VTV_pa_trend_signal" TargetMode="External"/><Relationship Id="rId650" Type="http://schemas.openxmlformats.org/officeDocument/2006/relationships/hyperlink" Target="https://3arbzfbsh-cname-us.ngrok.io/Desktop/seabridge%20fintech/icon/VTRS_pa_trend_signal" TargetMode="External"/><Relationship Id="rId206" Type="http://schemas.openxmlformats.org/officeDocument/2006/relationships/hyperlink" Target="https://3arbzfbsh-cname-us.ngrok.io/Desktop/seabridge%20fintech/icon/ETSY_pa_trend_signal" TargetMode="External"/><Relationship Id="rId327" Type="http://schemas.openxmlformats.org/officeDocument/2006/relationships/hyperlink" Target="https://3arbzfbsh-cname-us.ngrok.io/Desktop/seabridge%20fintech/icon/JCI_pa_trend_signal" TargetMode="External"/><Relationship Id="rId448" Type="http://schemas.openxmlformats.org/officeDocument/2006/relationships/hyperlink" Target="https://3arbzfbsh-cname-us.ngrok.io/Desktop/seabridge%20fintech/icon/NVR_pa_trend_signal" TargetMode="External"/><Relationship Id="rId569" Type="http://schemas.openxmlformats.org/officeDocument/2006/relationships/hyperlink" Target="https://3arbzfbsh-cname-us.ngrok.io/Desktop/seabridge%20fintech/icon/STZ_pa_trend_signal" TargetMode="External"/><Relationship Id="rId205" Type="http://schemas.openxmlformats.org/officeDocument/2006/relationships/hyperlink" Target="https://3arbzfbsh-cname-us.ngrok.io/Desktop/seabridge%20fintech/icon/ETR_pa_trend_signal" TargetMode="External"/><Relationship Id="rId326" Type="http://schemas.openxmlformats.org/officeDocument/2006/relationships/hyperlink" Target="https://3arbzfbsh-cname-us.ngrok.io/Desktop/seabridge%20fintech/icon/JBHT_pa_trend_signal" TargetMode="External"/><Relationship Id="rId447" Type="http://schemas.openxmlformats.org/officeDocument/2006/relationships/hyperlink" Target="https://3arbzfbsh-cname-us.ngrok.io/Desktop/seabridge%20fintech/icon/NVDA_pa_trend_signal" TargetMode="External"/><Relationship Id="rId568" Type="http://schemas.openxmlformats.org/officeDocument/2006/relationships/hyperlink" Target="https://3arbzfbsh-cname-us.ngrok.io/Desktop/seabridge%20fintech/icon/STX_pa_trend_signal" TargetMode="External"/><Relationship Id="rId689" Type="http://schemas.openxmlformats.org/officeDocument/2006/relationships/hyperlink" Target="https://3arbzfbsh-cname-us.ngrok.io/Desktop/seabridge%20fintech/icon/XLY_pa_trend_signal" TargetMode="External"/><Relationship Id="rId204" Type="http://schemas.openxmlformats.org/officeDocument/2006/relationships/hyperlink" Target="https://3arbzfbsh-cname-us.ngrok.io/Desktop/seabridge%20fintech/icon/ETN_pa_trend_signal" TargetMode="External"/><Relationship Id="rId325" Type="http://schemas.openxmlformats.org/officeDocument/2006/relationships/hyperlink" Target="https://3arbzfbsh-cname-us.ngrok.io/Desktop/seabridge%20fintech/icon/J_pa_trend_signal" TargetMode="External"/><Relationship Id="rId446" Type="http://schemas.openxmlformats.org/officeDocument/2006/relationships/hyperlink" Target="https://3arbzfbsh-cname-us.ngrok.io/Desktop/seabridge%20fintech/icon/NVAX_pa_trend_signal" TargetMode="External"/><Relationship Id="rId567" Type="http://schemas.openxmlformats.org/officeDocument/2006/relationships/hyperlink" Target="https://3arbzfbsh-cname-us.ngrok.io/Desktop/seabridge%20fintech/icon/STT_pa_trend_signal" TargetMode="External"/><Relationship Id="rId688" Type="http://schemas.openxmlformats.org/officeDocument/2006/relationships/hyperlink" Target="https://3arbzfbsh-cname-us.ngrok.io/Desktop/seabridge%20fintech/icon/XLV_pa_trend_signal" TargetMode="External"/><Relationship Id="rId203" Type="http://schemas.openxmlformats.org/officeDocument/2006/relationships/hyperlink" Target="https://3arbzfbsh-cname-us.ngrok.io/Desktop/seabridge%20fintech/icon/ESS_pa_trend_signal" TargetMode="External"/><Relationship Id="rId324" Type="http://schemas.openxmlformats.org/officeDocument/2006/relationships/hyperlink" Target="https://3arbzfbsh-cname-us.ngrok.io/Desktop/seabridge%20fintech/icon/IYR_pa_trend_signal" TargetMode="External"/><Relationship Id="rId445" Type="http://schemas.openxmlformats.org/officeDocument/2006/relationships/hyperlink" Target="https://3arbzfbsh-cname-us.ngrok.io/Desktop/seabridge%20fintech/icon/NUE_pa_trend_signal" TargetMode="External"/><Relationship Id="rId566" Type="http://schemas.openxmlformats.org/officeDocument/2006/relationships/hyperlink" Target="https://3arbzfbsh-cname-us.ngrok.io/Desktop/seabridge%20fintech/icon/STLD_pa_trend_signal" TargetMode="External"/><Relationship Id="rId687" Type="http://schemas.openxmlformats.org/officeDocument/2006/relationships/hyperlink" Target="https://3arbzfbsh-cname-us.ngrok.io/Desktop/seabridge%20fintech/icon/XLU_pa_trend_signal" TargetMode="External"/><Relationship Id="rId209" Type="http://schemas.openxmlformats.org/officeDocument/2006/relationships/hyperlink" Target="https://3arbzfbsh-cname-us.ngrok.io/Desktop/seabridge%20fintech/icon/EWC_pa_trend_signal" TargetMode="External"/><Relationship Id="rId208" Type="http://schemas.openxmlformats.org/officeDocument/2006/relationships/hyperlink" Target="https://3arbzfbsh-cname-us.ngrok.io/Desktop/seabridge%20fintech/icon/EW_pa_trend_signal" TargetMode="External"/><Relationship Id="rId329" Type="http://schemas.openxmlformats.org/officeDocument/2006/relationships/hyperlink" Target="https://3arbzfbsh-cname-us.ngrok.io/Desktop/seabridge%20fintech/icon/JEF_pa_trend_signal" TargetMode="External"/><Relationship Id="rId207" Type="http://schemas.openxmlformats.org/officeDocument/2006/relationships/hyperlink" Target="https://3arbzfbsh-cname-us.ngrok.io/Desktop/seabridge%20fintech/icon/EVRG_pa_trend_signal" TargetMode="External"/><Relationship Id="rId328" Type="http://schemas.openxmlformats.org/officeDocument/2006/relationships/hyperlink" Target="https://3arbzfbsh-cname-us.ngrok.io/Desktop/seabridge%20fintech/icon/JD_pa_trend_signal" TargetMode="External"/><Relationship Id="rId449" Type="http://schemas.openxmlformats.org/officeDocument/2006/relationships/hyperlink" Target="https://3arbzfbsh-cname-us.ngrok.io/Desktop/seabridge%20fintech/icon/NVTA_pa_trend_signal" TargetMode="External"/><Relationship Id="rId440" Type="http://schemas.openxmlformats.org/officeDocument/2006/relationships/hyperlink" Target="https://3arbzfbsh-cname-us.ngrok.io/Desktop/seabridge%20fintech/icon/NTES_pa_trend_signal" TargetMode="External"/><Relationship Id="rId561" Type="http://schemas.openxmlformats.org/officeDocument/2006/relationships/hyperlink" Target="https://3arbzfbsh-cname-us.ngrok.io/Desktop/seabridge%20fintech/icon/SPYV_pa_trend_signal" TargetMode="External"/><Relationship Id="rId682" Type="http://schemas.openxmlformats.org/officeDocument/2006/relationships/hyperlink" Target="https://3arbzfbsh-cname-us.ngrok.io/Desktop/seabridge%20fintech/icon/XLI_pa_trend_signal" TargetMode="External"/><Relationship Id="rId560" Type="http://schemas.openxmlformats.org/officeDocument/2006/relationships/hyperlink" Target="https://3arbzfbsh-cname-us.ngrok.io/Desktop/seabridge%20fintech/icon/SPY_pa_trend_signal" TargetMode="External"/><Relationship Id="rId681" Type="http://schemas.openxmlformats.org/officeDocument/2006/relationships/hyperlink" Target="https://3arbzfbsh-cname-us.ngrok.io/Desktop/seabridge%20fintech/icon/XLF_pa_trend_signal" TargetMode="External"/><Relationship Id="rId680" Type="http://schemas.openxmlformats.org/officeDocument/2006/relationships/hyperlink" Target="https://3arbzfbsh-cname-us.ngrok.io/Desktop/seabridge%20fintech/icon/XLE_pa_trend_signal" TargetMode="External"/><Relationship Id="rId202" Type="http://schemas.openxmlformats.org/officeDocument/2006/relationships/hyperlink" Target="https://3arbzfbsh-cname-us.ngrok.io/Desktop/seabridge%20fintech/icon/ES_pa_trend_signal" TargetMode="External"/><Relationship Id="rId323" Type="http://schemas.openxmlformats.org/officeDocument/2006/relationships/hyperlink" Target="https://3arbzfbsh-cname-us.ngrok.io/Desktop/seabridge%20fintech/icon/IWM_pa_trend_signal" TargetMode="External"/><Relationship Id="rId444" Type="http://schemas.openxmlformats.org/officeDocument/2006/relationships/hyperlink" Target="https://3arbzfbsh-cname-us.ngrok.io/Desktop/seabridge%20fintech/icon/NUAN_pa_trend_signal" TargetMode="External"/><Relationship Id="rId565" Type="http://schemas.openxmlformats.org/officeDocument/2006/relationships/hyperlink" Target="https://3arbzfbsh-cname-us.ngrok.io/Desktop/seabridge%20fintech/icon/STEM_pa_trend_signal" TargetMode="External"/><Relationship Id="rId686" Type="http://schemas.openxmlformats.org/officeDocument/2006/relationships/hyperlink" Target="https://3arbzfbsh-cname-us.ngrok.io/Desktop/seabridge%20fintech/icon/XLRE_pa_trend_signal" TargetMode="External"/><Relationship Id="rId201" Type="http://schemas.openxmlformats.org/officeDocument/2006/relationships/hyperlink" Target="https://3arbzfbsh-cname-us.ngrok.io/Desktop/seabridge%20fintech/icon/EQR_pa_trend_signal" TargetMode="External"/><Relationship Id="rId322" Type="http://schemas.openxmlformats.org/officeDocument/2006/relationships/hyperlink" Target="https://3arbzfbsh-cname-us.ngrok.io/Desktop/seabridge%20fintech/icon/IWD_pa_trend_signal" TargetMode="External"/><Relationship Id="rId443" Type="http://schemas.openxmlformats.org/officeDocument/2006/relationships/hyperlink" Target="https://3arbzfbsh-cname-us.ngrok.io/Desktop/seabridge%20fintech/icon/NTRS_pa_trend_signal" TargetMode="External"/><Relationship Id="rId564" Type="http://schemas.openxmlformats.org/officeDocument/2006/relationships/hyperlink" Target="https://3arbzfbsh-cname-us.ngrok.io/Desktop/seabridge%20fintech/icon/STE_pa_trend_signal" TargetMode="External"/><Relationship Id="rId685" Type="http://schemas.openxmlformats.org/officeDocument/2006/relationships/hyperlink" Target="https://3arbzfbsh-cname-us.ngrok.io/Desktop/seabridge%20fintech/icon/XLP_pa_trend_signal" TargetMode="External"/><Relationship Id="rId200" Type="http://schemas.openxmlformats.org/officeDocument/2006/relationships/hyperlink" Target="https://3arbzfbsh-cname-us.ngrok.io/Desktop/seabridge%20fintech/icon/EQIX_pa_trend_signal" TargetMode="External"/><Relationship Id="rId321" Type="http://schemas.openxmlformats.org/officeDocument/2006/relationships/hyperlink" Target="https://3arbzfbsh-cname-us.ngrok.io/Desktop/seabridge%20fintech/icon/IVZ_pa_trend_signal" TargetMode="External"/><Relationship Id="rId442" Type="http://schemas.openxmlformats.org/officeDocument/2006/relationships/hyperlink" Target="https://3arbzfbsh-cname-us.ngrok.io/Desktop/seabridge%20fintech/icon/NTNX_pa_trend_signal" TargetMode="External"/><Relationship Id="rId563" Type="http://schemas.openxmlformats.org/officeDocument/2006/relationships/hyperlink" Target="https://3arbzfbsh-cname-us.ngrok.io/Desktop/seabridge%20fintech/icon/SRE_pa_trend_signal" TargetMode="External"/><Relationship Id="rId684" Type="http://schemas.openxmlformats.org/officeDocument/2006/relationships/hyperlink" Target="https://3arbzfbsh-cname-us.ngrok.io/Desktop/seabridge%20fintech/icon/XLNX_pa_trend_signal" TargetMode="External"/><Relationship Id="rId320" Type="http://schemas.openxmlformats.org/officeDocument/2006/relationships/hyperlink" Target="https://3arbzfbsh-cname-us.ngrok.io/Desktop/seabridge%20fintech/icon/IVV_pa_trend_signal" TargetMode="External"/><Relationship Id="rId441" Type="http://schemas.openxmlformats.org/officeDocument/2006/relationships/hyperlink" Target="https://3arbzfbsh-cname-us.ngrok.io/Desktop/seabridge%20fintech/icon/NTLA_pa_trend_signal" TargetMode="External"/><Relationship Id="rId562" Type="http://schemas.openxmlformats.org/officeDocument/2006/relationships/hyperlink" Target="https://3arbzfbsh-cname-us.ngrok.io/Desktop/seabridge%20fintech/icon/SQ_pa_trend_signal" TargetMode="External"/><Relationship Id="rId683" Type="http://schemas.openxmlformats.org/officeDocument/2006/relationships/hyperlink" Target="https://3arbzfbsh-cname-us.ngrok.io/Desktop/seabridge%20fintech/icon/XLK_pa_trend_signal" TargetMode="External"/><Relationship Id="rId316" Type="http://schemas.openxmlformats.org/officeDocument/2006/relationships/hyperlink" Target="https://3arbzfbsh-cname-us.ngrok.io/Desktop/seabridge%20fintech/icon/IRM_pa_trend_signal" TargetMode="External"/><Relationship Id="rId437" Type="http://schemas.openxmlformats.org/officeDocument/2006/relationships/hyperlink" Target="https://3arbzfbsh-cname-us.ngrok.io/Desktop/seabridge%20fintech/icon/NRG_pa_trend_signal" TargetMode="External"/><Relationship Id="rId558" Type="http://schemas.openxmlformats.org/officeDocument/2006/relationships/hyperlink" Target="https://3arbzfbsh-cname-us.ngrok.io/Desktop/seabridge%20fintech/icon/SPLV_pa_trend_signal" TargetMode="External"/><Relationship Id="rId679" Type="http://schemas.openxmlformats.org/officeDocument/2006/relationships/hyperlink" Target="https://3arbzfbsh-cname-us.ngrok.io/Desktop/seabridge%20fintech/icon/XLC_pa_trend_signal" TargetMode="External"/><Relationship Id="rId315" Type="http://schemas.openxmlformats.org/officeDocument/2006/relationships/hyperlink" Target="https://3arbzfbsh-cname-us.ngrok.io/Desktop/seabridge%20fintech/icon/IR_pa_trend_signal" TargetMode="External"/><Relationship Id="rId436" Type="http://schemas.openxmlformats.org/officeDocument/2006/relationships/hyperlink" Target="https://3arbzfbsh-cname-us.ngrok.io/Desktop/seabridge%20fintech/icon/NOW_pa_trend_signal" TargetMode="External"/><Relationship Id="rId557" Type="http://schemas.openxmlformats.org/officeDocument/2006/relationships/hyperlink" Target="https://3arbzfbsh-cname-us.ngrok.io/Desktop/seabridge%20fintech/icon/SPLK_pa_trend_signal" TargetMode="External"/><Relationship Id="rId678" Type="http://schemas.openxmlformats.org/officeDocument/2006/relationships/hyperlink" Target="https://3arbzfbsh-cname-us.ngrok.io/Desktop/seabridge%20fintech/icon/XLB_pa_trend_signal" TargetMode="External"/><Relationship Id="rId314" Type="http://schemas.openxmlformats.org/officeDocument/2006/relationships/hyperlink" Target="https://3arbzfbsh-cname-us.ngrok.io/Desktop/seabridge%20fintech/icon/IQV_pa_trend_signal" TargetMode="External"/><Relationship Id="rId435" Type="http://schemas.openxmlformats.org/officeDocument/2006/relationships/hyperlink" Target="https://3arbzfbsh-cname-us.ngrok.io/Desktop/seabridge%20fintech/icon/NOVA_pa_trend_signal" TargetMode="External"/><Relationship Id="rId556" Type="http://schemas.openxmlformats.org/officeDocument/2006/relationships/hyperlink" Target="https://3arbzfbsh-cname-us.ngrok.io/Desktop/seabridge%20fintech/icon/SPIB_pa_trend_signal" TargetMode="External"/><Relationship Id="rId677" Type="http://schemas.openxmlformats.org/officeDocument/2006/relationships/hyperlink" Target="https://3arbzfbsh-cname-us.ngrok.io/Desktop/seabridge%20fintech/icon/XEL_pa_trend_signal" TargetMode="External"/><Relationship Id="rId313" Type="http://schemas.openxmlformats.org/officeDocument/2006/relationships/hyperlink" Target="https://3arbzfbsh-cname-us.ngrok.io/Desktop/seabridge%20fintech/icon/IPGP_pa_trend_signal" TargetMode="External"/><Relationship Id="rId434" Type="http://schemas.openxmlformats.org/officeDocument/2006/relationships/hyperlink" Target="https://3arbzfbsh-cname-us.ngrok.io/Desktop/seabridge%20fintech/icon/NOV_pa_trend_signal" TargetMode="External"/><Relationship Id="rId555" Type="http://schemas.openxmlformats.org/officeDocument/2006/relationships/hyperlink" Target="https://3arbzfbsh-cname-us.ngrok.io/Desktop/seabridge%20fintech/icon/SPGI_pa_trend_signal" TargetMode="External"/><Relationship Id="rId676" Type="http://schemas.openxmlformats.org/officeDocument/2006/relationships/hyperlink" Target="https://3arbzfbsh-cname-us.ngrok.io/Desktop/seabridge%20fintech/icon/XBI_pa_trend_signal" TargetMode="External"/><Relationship Id="rId319" Type="http://schemas.openxmlformats.org/officeDocument/2006/relationships/hyperlink" Target="https://3arbzfbsh-cname-us.ngrok.io/Desktop/seabridge%20fintech/icon/ITW_pa_trend_signal" TargetMode="External"/><Relationship Id="rId318" Type="http://schemas.openxmlformats.org/officeDocument/2006/relationships/hyperlink" Target="https://3arbzfbsh-cname-us.ngrok.io/Desktop/seabridge%20fintech/icon/IT_pa_trend_signal" TargetMode="External"/><Relationship Id="rId439" Type="http://schemas.openxmlformats.org/officeDocument/2006/relationships/hyperlink" Target="https://3arbzfbsh-cname-us.ngrok.io/Desktop/seabridge%20fintech/icon/NTAP_pa_trend_signal" TargetMode="External"/><Relationship Id="rId317" Type="http://schemas.openxmlformats.org/officeDocument/2006/relationships/hyperlink" Target="https://3arbzfbsh-cname-us.ngrok.io/Desktop/seabridge%20fintech/icon/ISRG_pa_trend_signal" TargetMode="External"/><Relationship Id="rId438" Type="http://schemas.openxmlformats.org/officeDocument/2006/relationships/hyperlink" Target="https://3arbzfbsh-cname-us.ngrok.io/Desktop/seabridge%20fintech/icon/NSC_pa_trend_signal" TargetMode="External"/><Relationship Id="rId559" Type="http://schemas.openxmlformats.org/officeDocument/2006/relationships/hyperlink" Target="https://3arbzfbsh-cname-us.ngrok.io/Desktop/seabridge%20fintech/icon/SPWR_pa_trend_signal" TargetMode="External"/><Relationship Id="rId550" Type="http://schemas.openxmlformats.org/officeDocument/2006/relationships/hyperlink" Target="https://3arbzfbsh-cname-us.ngrok.io/Desktop/seabridge%20fintech/icon/SNPS_pa_trend_signal" TargetMode="External"/><Relationship Id="rId671" Type="http://schemas.openxmlformats.org/officeDocument/2006/relationships/hyperlink" Target="https://3arbzfbsh-cname-us.ngrok.io/Desktop/seabridge%20fintech/icon/WSC_pa_trend_signal" TargetMode="External"/><Relationship Id="rId670" Type="http://schemas.openxmlformats.org/officeDocument/2006/relationships/hyperlink" Target="https://3arbzfbsh-cname-us.ngrok.io/Desktop/seabridge%20fintech/icon/WRK_pa_trend_signal" TargetMode="External"/><Relationship Id="rId312" Type="http://schemas.openxmlformats.org/officeDocument/2006/relationships/hyperlink" Target="https://3arbzfbsh-cname-us.ngrok.io/Desktop/seabridge%20fintech/icon/IPG_pa_trend_signal" TargetMode="External"/><Relationship Id="rId433" Type="http://schemas.openxmlformats.org/officeDocument/2006/relationships/hyperlink" Target="https://3arbzfbsh-cname-us.ngrok.io/Desktop/seabridge%20fintech/icon/NOC_pa_trend_signal" TargetMode="External"/><Relationship Id="rId554" Type="http://schemas.openxmlformats.org/officeDocument/2006/relationships/hyperlink" Target="https://3arbzfbsh-cname-us.ngrok.io/Desktop/seabridge%20fintech/icon/SPG_pa_trend_signal" TargetMode="External"/><Relationship Id="rId675" Type="http://schemas.openxmlformats.org/officeDocument/2006/relationships/hyperlink" Target="https://3arbzfbsh-cname-us.ngrok.io/Desktop/seabridge%20fintech/icon/WYNN_pa_trend_signal" TargetMode="External"/><Relationship Id="rId311" Type="http://schemas.openxmlformats.org/officeDocument/2006/relationships/hyperlink" Target="https://3arbzfbsh-cname-us.ngrok.io/Desktop/seabridge%20fintech/icon/IP_pa_trend_signal" TargetMode="External"/><Relationship Id="rId432" Type="http://schemas.openxmlformats.org/officeDocument/2006/relationships/hyperlink" Target="https://3arbzfbsh-cname-us.ngrok.io/Desktop/seabridge%20fintech/icon/NLSN_pa_trend_signal" TargetMode="External"/><Relationship Id="rId553" Type="http://schemas.openxmlformats.org/officeDocument/2006/relationships/hyperlink" Target="https://3arbzfbsh-cname-us.ngrok.io/Desktop/seabridge%20fintech/icon/SPCE_pa_trend_signal" TargetMode="External"/><Relationship Id="rId674" Type="http://schemas.openxmlformats.org/officeDocument/2006/relationships/hyperlink" Target="https://3arbzfbsh-cname-us.ngrok.io/Desktop/seabridge%20fintech/icon/WY_pa_trend_signal" TargetMode="External"/><Relationship Id="rId310" Type="http://schemas.openxmlformats.org/officeDocument/2006/relationships/hyperlink" Target="https://3arbzfbsh-cname-us.ngrok.io/Desktop/seabridge%20fintech/icon/INVH_pa_trend_signal" TargetMode="External"/><Relationship Id="rId431" Type="http://schemas.openxmlformats.org/officeDocument/2006/relationships/hyperlink" Target="https://3arbzfbsh-cname-us.ngrok.io/Desktop/seabridge%20fintech/icon/NLOK_pa_trend_signal" TargetMode="External"/><Relationship Id="rId552" Type="http://schemas.openxmlformats.org/officeDocument/2006/relationships/hyperlink" Target="https://3arbzfbsh-cname-us.ngrok.io/Desktop/seabridge%20fintech/icon/SONO_pa_trend_signal" TargetMode="External"/><Relationship Id="rId673" Type="http://schemas.openxmlformats.org/officeDocument/2006/relationships/hyperlink" Target="https://3arbzfbsh-cname-us.ngrok.io/Desktop/seabridge%20fintech/icon/WU_pa_trend_signal" TargetMode="External"/><Relationship Id="rId430" Type="http://schemas.openxmlformats.org/officeDocument/2006/relationships/hyperlink" Target="https://3arbzfbsh-cname-us.ngrok.io/Desktop/seabridge%20fintech/icon/NKE_pa_trend_signal" TargetMode="External"/><Relationship Id="rId551" Type="http://schemas.openxmlformats.org/officeDocument/2006/relationships/hyperlink" Target="https://3arbzfbsh-cname-us.ngrok.io/Desktop/seabridge%20fintech/icon/SO_pa_trend_signal" TargetMode="External"/><Relationship Id="rId672" Type="http://schemas.openxmlformats.org/officeDocument/2006/relationships/hyperlink" Target="https://3arbzfbsh-cname-us.ngrok.io/Desktop/seabridge%20fintech/icon/WST_pa_trend_signal" TargetMode="External"/></Relationships>
</file>

<file path=xl/worksheets/_rels/sheet6.xml.rels><?xml version="1.0" encoding="UTF-8" standalone="yes"?><Relationships xmlns="http://schemas.openxmlformats.org/package/2006/relationships"><Relationship Id="rId190" Type="http://schemas.openxmlformats.org/officeDocument/2006/relationships/hyperlink" Target="https://3arbzfbsh-cname-us.ngrok.io/Desktop/seabridge%20fintech/profit_graph_app/BYND_Return.jpg" TargetMode="External"/><Relationship Id="rId194" Type="http://schemas.openxmlformats.org/officeDocument/2006/relationships/hyperlink" Target="https://3arbzfbsh-cname-us.ngrok.io/Desktop/seabridge%20fintech/profit_graph_app/CAG_Return.jpg" TargetMode="External"/><Relationship Id="rId193" Type="http://schemas.openxmlformats.org/officeDocument/2006/relationships/hyperlink" Target="https://3arbzfbsh-cname-us.ngrok.io/Desktop/seabridge%20fintech/image_app/CAG_resistance_support.jpg" TargetMode="External"/><Relationship Id="rId192" Type="http://schemas.openxmlformats.org/officeDocument/2006/relationships/hyperlink" Target="https://3arbzfbsh-cname-us.ngrok.io/Desktop/seabridge%20fintech/profit_graph_app/C_Return.jpg" TargetMode="External"/><Relationship Id="rId191" Type="http://schemas.openxmlformats.org/officeDocument/2006/relationships/hyperlink" Target="https://3arbzfbsh-cname-us.ngrok.io/Desktop/seabridge%20fintech/image_app/C_resistance_support.jpg" TargetMode="External"/><Relationship Id="rId187" Type="http://schemas.openxmlformats.org/officeDocument/2006/relationships/hyperlink" Target="https://3arbzfbsh-cname-us.ngrok.io/Desktop/seabridge%20fintech/image_app/BXP_resistance_support.jpg" TargetMode="External"/><Relationship Id="rId186" Type="http://schemas.openxmlformats.org/officeDocument/2006/relationships/hyperlink" Target="https://3arbzfbsh-cname-us.ngrok.io/Desktop/seabridge%20fintech/profit_graph_app/BX_Return.jpg" TargetMode="External"/><Relationship Id="rId185" Type="http://schemas.openxmlformats.org/officeDocument/2006/relationships/hyperlink" Target="https://3arbzfbsh-cname-us.ngrok.io/Desktop/seabridge%20fintech/image_app/BX_resistance_support.jpg" TargetMode="External"/><Relationship Id="rId184" Type="http://schemas.openxmlformats.org/officeDocument/2006/relationships/hyperlink" Target="https://3arbzfbsh-cname-us.ngrok.io/Desktop/seabridge%20fintech/profit_graph_app/BWA_Return.jpg" TargetMode="External"/><Relationship Id="rId189" Type="http://schemas.openxmlformats.org/officeDocument/2006/relationships/hyperlink" Target="https://3arbzfbsh-cname-us.ngrok.io/Desktop/seabridge%20fintech/image_app/BYND_resistance_support.jpg" TargetMode="External"/><Relationship Id="rId188" Type="http://schemas.openxmlformats.org/officeDocument/2006/relationships/hyperlink" Target="https://3arbzfbsh-cname-us.ngrok.io/Desktop/seabridge%20fintech/profit_graph_app/BXP_Return.jpg" TargetMode="External"/><Relationship Id="rId183" Type="http://schemas.openxmlformats.org/officeDocument/2006/relationships/hyperlink" Target="https://3arbzfbsh-cname-us.ngrok.io/Desktop/seabridge%20fintech/image_app/BWA_resistance_support.jpg" TargetMode="External"/><Relationship Id="rId182" Type="http://schemas.openxmlformats.org/officeDocument/2006/relationships/hyperlink" Target="https://3arbzfbsh-cname-us.ngrok.io/Desktop/seabridge%20fintech/profit_graph_app/BSX_Return.jpg" TargetMode="External"/><Relationship Id="rId181" Type="http://schemas.openxmlformats.org/officeDocument/2006/relationships/hyperlink" Target="https://3arbzfbsh-cname-us.ngrok.io/Desktop/seabridge%20fintech/image_app/BSX_resistance_support.jpg" TargetMode="External"/><Relationship Id="rId180" Type="http://schemas.openxmlformats.org/officeDocument/2006/relationships/hyperlink" Target="https://3arbzfbsh-cname-us.ngrok.io/Desktop/seabridge%20fintech/profit_graph_app/BSV_Return.jpg" TargetMode="External"/><Relationship Id="rId176" Type="http://schemas.openxmlformats.org/officeDocument/2006/relationships/hyperlink" Target="https://3arbzfbsh-cname-us.ngrok.io/Desktop/seabridge%20fintech/profit_graph_app/BNDX_Return.jpg" TargetMode="External"/><Relationship Id="rId175" Type="http://schemas.openxmlformats.org/officeDocument/2006/relationships/hyperlink" Target="https://3arbzfbsh-cname-us.ngrok.io/Desktop/seabridge%20fintech/image_app/BNDX_resistance_support.jpg" TargetMode="External"/><Relationship Id="rId174" Type="http://schemas.openxmlformats.org/officeDocument/2006/relationships/hyperlink" Target="https://3arbzfbsh-cname-us.ngrok.io/Desktop/seabridge%20fintech/profit_graph_app/BND_Return.jpg" TargetMode="External"/><Relationship Id="rId173" Type="http://schemas.openxmlformats.org/officeDocument/2006/relationships/hyperlink" Target="https://3arbzfbsh-cname-us.ngrok.io/Desktop/seabridge%20fintech/image_app/BND_resistance_support.jpg" TargetMode="External"/><Relationship Id="rId179" Type="http://schemas.openxmlformats.org/officeDocument/2006/relationships/hyperlink" Target="https://3arbzfbsh-cname-us.ngrok.io/Desktop/seabridge%20fintech/image_app/BSV_resistance_support.jpg" TargetMode="External"/><Relationship Id="rId178" Type="http://schemas.openxmlformats.org/officeDocument/2006/relationships/hyperlink" Target="https://3arbzfbsh-cname-us.ngrok.io/Desktop/seabridge%20fintech/profit_graph_app/BR_Return.jpg" TargetMode="External"/><Relationship Id="rId177" Type="http://schemas.openxmlformats.org/officeDocument/2006/relationships/hyperlink" Target="https://3arbzfbsh-cname-us.ngrok.io/Desktop/seabridge%20fintech/image_app/BR_resistance_support.jpg" TargetMode="External"/><Relationship Id="rId198" Type="http://schemas.openxmlformats.org/officeDocument/2006/relationships/hyperlink" Target="https://3arbzfbsh-cname-us.ngrok.io/Desktop/seabridge%20fintech/profit_graph_app/CAT_Return.jpg" TargetMode="External"/><Relationship Id="rId197" Type="http://schemas.openxmlformats.org/officeDocument/2006/relationships/hyperlink" Target="https://3arbzfbsh-cname-us.ngrok.io/Desktop/seabridge%20fintech/image_app/CAT_resistance_support.jpg" TargetMode="External"/><Relationship Id="rId196" Type="http://schemas.openxmlformats.org/officeDocument/2006/relationships/hyperlink" Target="https://3arbzfbsh-cname-us.ngrok.io/Desktop/seabridge%20fintech/profit_graph_app/CAH_Return.jpg" TargetMode="External"/><Relationship Id="rId195" Type="http://schemas.openxmlformats.org/officeDocument/2006/relationships/hyperlink" Target="https://3arbzfbsh-cname-us.ngrok.io/Desktop/seabridge%20fintech/image_app/CAH_resistance_support.jpg" TargetMode="External"/><Relationship Id="rId199" Type="http://schemas.openxmlformats.org/officeDocument/2006/relationships/hyperlink" Target="https://3arbzfbsh-cname-us.ngrok.io/Desktop/seabridge%20fintech/image_app/CB_resistance_support.jpg" TargetMode="External"/><Relationship Id="rId150" Type="http://schemas.openxmlformats.org/officeDocument/2006/relationships/hyperlink" Target="https://3arbzfbsh-cname-us.ngrok.io/Desktop/seabridge%20fintech/profit_graph_app/BDX_Return.jpg" TargetMode="External"/><Relationship Id="rId392" Type="http://schemas.openxmlformats.org/officeDocument/2006/relationships/hyperlink" Target="https://3arbzfbsh-cname-us.ngrok.io/Desktop/seabridge%20fintech/profit_graph_app/EMR_Return.jpg" TargetMode="External"/><Relationship Id="rId391" Type="http://schemas.openxmlformats.org/officeDocument/2006/relationships/hyperlink" Target="https://3arbzfbsh-cname-us.ngrok.io/Desktop/seabridge%20fintech/image_app/EMR_resistance_support.jpg" TargetMode="External"/><Relationship Id="rId390" Type="http://schemas.openxmlformats.org/officeDocument/2006/relationships/hyperlink" Target="https://3arbzfbsh-cname-us.ngrok.io/Desktop/seabridge%20fintech/profit_graph_app/EMN_Return.jpg" TargetMode="External"/><Relationship Id="rId1" Type="http://schemas.openxmlformats.org/officeDocument/2006/relationships/hyperlink" Target="https://3arbzfbsh-cname-us.ngrok.io/Desktop/seabridge%20fintech/image_app/A_resistance_support.jpg" TargetMode="External"/><Relationship Id="rId2" Type="http://schemas.openxmlformats.org/officeDocument/2006/relationships/hyperlink" Target="https://3arbzfbsh-cname-us.ngrok.io/Desktop/seabridge%20fintech/profit_graph_app/A_Return.jpg" TargetMode="External"/><Relationship Id="rId3" Type="http://schemas.openxmlformats.org/officeDocument/2006/relationships/hyperlink" Target="https://3arbzfbsh-cname-us.ngrok.io/Desktop/seabridge%20fintech/image_app/AA_resistance_support.jpg" TargetMode="External"/><Relationship Id="rId149" Type="http://schemas.openxmlformats.org/officeDocument/2006/relationships/hyperlink" Target="https://3arbzfbsh-cname-us.ngrok.io/Desktop/seabridge%20fintech/image_app/BDX_resistance_support.jpg" TargetMode="External"/><Relationship Id="rId4" Type="http://schemas.openxmlformats.org/officeDocument/2006/relationships/hyperlink" Target="https://3arbzfbsh-cname-us.ngrok.io/Desktop/seabridge%20fintech/profit_graph_app/AA_Return.jpg" TargetMode="External"/><Relationship Id="rId148" Type="http://schemas.openxmlformats.org/officeDocument/2006/relationships/hyperlink" Target="https://3arbzfbsh-cname-us.ngrok.io/Desktop/seabridge%20fintech/profit_graph_app/BBY_Return.jpg" TargetMode="External"/><Relationship Id="rId1090" Type="http://schemas.openxmlformats.org/officeDocument/2006/relationships/hyperlink" Target="https://3arbzfbsh-cname-us.ngrok.io/Desktop/seabridge%20fintech/profit_graph_app/SLB_Return.jpg" TargetMode="External"/><Relationship Id="rId1091" Type="http://schemas.openxmlformats.org/officeDocument/2006/relationships/hyperlink" Target="https://3arbzfbsh-cname-us.ngrok.io/Desktop/seabridge%20fintech/image_app/SMH_resistance_support.jpg" TargetMode="External"/><Relationship Id="rId1092" Type="http://schemas.openxmlformats.org/officeDocument/2006/relationships/hyperlink" Target="https://3arbzfbsh-cname-us.ngrok.io/Desktop/seabridge%20fintech/profit_graph_app/SMH_Return.jpg" TargetMode="External"/><Relationship Id="rId1093" Type="http://schemas.openxmlformats.org/officeDocument/2006/relationships/hyperlink" Target="https://3arbzfbsh-cname-us.ngrok.io/Desktop/seabridge%20fintech/image_app/SNA_resistance_support.jpg" TargetMode="External"/><Relationship Id="rId1094" Type="http://schemas.openxmlformats.org/officeDocument/2006/relationships/hyperlink" Target="https://3arbzfbsh-cname-us.ngrok.io/Desktop/seabridge%20fintech/profit_graph_app/SNA_Return.jpg" TargetMode="External"/><Relationship Id="rId9" Type="http://schemas.openxmlformats.org/officeDocument/2006/relationships/hyperlink" Target="https://3arbzfbsh-cname-us.ngrok.io/Desktop/seabridge%20fintech/image_app/AAPL_resistance_support.jpg" TargetMode="External"/><Relationship Id="rId143" Type="http://schemas.openxmlformats.org/officeDocument/2006/relationships/hyperlink" Target="https://3arbzfbsh-cname-us.ngrok.io/Desktop/seabridge%20fintech/image_app/BAX_resistance_support.jpg" TargetMode="External"/><Relationship Id="rId385" Type="http://schemas.openxmlformats.org/officeDocument/2006/relationships/hyperlink" Target="https://3arbzfbsh-cname-us.ngrok.io/Desktop/seabridge%20fintech/image_app/ELY_resistance_support.jpg" TargetMode="External"/><Relationship Id="rId1095" Type="http://schemas.openxmlformats.org/officeDocument/2006/relationships/hyperlink" Target="https://3arbzfbsh-cname-us.ngrok.io/Desktop/seabridge%20fintech/image_app/SNAP_resistance_support.jpg" TargetMode="External"/><Relationship Id="rId142" Type="http://schemas.openxmlformats.org/officeDocument/2006/relationships/hyperlink" Target="https://3arbzfbsh-cname-us.ngrok.io/Desktop/seabridge%20fintech/profit_graph_app/BAC_Return.jpg" TargetMode="External"/><Relationship Id="rId384" Type="http://schemas.openxmlformats.org/officeDocument/2006/relationships/hyperlink" Target="https://3arbzfbsh-cname-us.ngrok.io/Desktop/seabridge%20fintech/profit_graph_app/ELAN_Return.jpg" TargetMode="External"/><Relationship Id="rId1096" Type="http://schemas.openxmlformats.org/officeDocument/2006/relationships/hyperlink" Target="https://3arbzfbsh-cname-us.ngrok.io/Desktop/seabridge%20fintech/profit_graph_app/SNAP_Return.jpg" TargetMode="External"/><Relationship Id="rId141" Type="http://schemas.openxmlformats.org/officeDocument/2006/relationships/hyperlink" Target="https://3arbzfbsh-cname-us.ngrok.io/Desktop/seabridge%20fintech/image_app/BAC_resistance_support.jpg" TargetMode="External"/><Relationship Id="rId383" Type="http://schemas.openxmlformats.org/officeDocument/2006/relationships/hyperlink" Target="https://3arbzfbsh-cname-us.ngrok.io/Desktop/seabridge%20fintech/image_app/ELAN_resistance_support.jpg" TargetMode="External"/><Relationship Id="rId1097" Type="http://schemas.openxmlformats.org/officeDocument/2006/relationships/hyperlink" Target="https://3arbzfbsh-cname-us.ngrok.io/Desktop/seabridge%20fintech/image_app/SNOW_resistance_support.jpg" TargetMode="External"/><Relationship Id="rId140" Type="http://schemas.openxmlformats.org/officeDocument/2006/relationships/hyperlink" Target="https://3arbzfbsh-cname-us.ngrok.io/Desktop/seabridge%20fintech/profit_graph_app/BA_Return.jpg" TargetMode="External"/><Relationship Id="rId382" Type="http://schemas.openxmlformats.org/officeDocument/2006/relationships/hyperlink" Target="https://3arbzfbsh-cname-us.ngrok.io/Desktop/seabridge%20fintech/profit_graph_app/EL_Return.jpg" TargetMode="External"/><Relationship Id="rId1098" Type="http://schemas.openxmlformats.org/officeDocument/2006/relationships/hyperlink" Target="https://3arbzfbsh-cname-us.ngrok.io/Desktop/seabridge%20fintech/profit_graph_app/SNOW_Return.jpg" TargetMode="External"/><Relationship Id="rId5" Type="http://schemas.openxmlformats.org/officeDocument/2006/relationships/hyperlink" Target="https://3arbzfbsh-cname-us.ngrok.io/Desktop/seabridge%20fintech/image_app/AAL_resistance_support.jpg" TargetMode="External"/><Relationship Id="rId147" Type="http://schemas.openxmlformats.org/officeDocument/2006/relationships/hyperlink" Target="https://3arbzfbsh-cname-us.ngrok.io/Desktop/seabridge%20fintech/image_app/BBY_resistance_support.jpg" TargetMode="External"/><Relationship Id="rId389" Type="http://schemas.openxmlformats.org/officeDocument/2006/relationships/hyperlink" Target="https://3arbzfbsh-cname-us.ngrok.io/Desktop/seabridge%20fintech/image_app/EMN_resistance_support.jpg" TargetMode="External"/><Relationship Id="rId1099" Type="http://schemas.openxmlformats.org/officeDocument/2006/relationships/hyperlink" Target="https://3arbzfbsh-cname-us.ngrok.io/Desktop/seabridge%20fintech/image_app/SNPS_resistance_support.jpg" TargetMode="External"/><Relationship Id="rId6" Type="http://schemas.openxmlformats.org/officeDocument/2006/relationships/hyperlink" Target="https://3arbzfbsh-cname-us.ngrok.io/Desktop/seabridge%20fintech/profit_graph_app/AAL_Return.jpg" TargetMode="External"/><Relationship Id="rId146" Type="http://schemas.openxmlformats.org/officeDocument/2006/relationships/hyperlink" Target="https://3arbzfbsh-cname-us.ngrok.io/Desktop/seabridge%20fintech/profit_graph_app/BBBY_Return.jpg" TargetMode="External"/><Relationship Id="rId388" Type="http://schemas.openxmlformats.org/officeDocument/2006/relationships/hyperlink" Target="https://3arbzfbsh-cname-us.ngrok.io/Desktop/seabridge%20fintech/profit_graph_app/EMB_Return.jpg" TargetMode="External"/><Relationship Id="rId7" Type="http://schemas.openxmlformats.org/officeDocument/2006/relationships/hyperlink" Target="https://3arbzfbsh-cname-us.ngrok.io/Desktop/seabridge%20fintech/image_app/AAP_resistance_support.jpg" TargetMode="External"/><Relationship Id="rId145" Type="http://schemas.openxmlformats.org/officeDocument/2006/relationships/hyperlink" Target="https://3arbzfbsh-cname-us.ngrok.io/Desktop/seabridge%20fintech/image_app/BBBY_resistance_support.jpg" TargetMode="External"/><Relationship Id="rId387" Type="http://schemas.openxmlformats.org/officeDocument/2006/relationships/hyperlink" Target="https://3arbzfbsh-cname-us.ngrok.io/Desktop/seabridge%20fintech/image_app/EMB_resistance_support.jpg" TargetMode="External"/><Relationship Id="rId8" Type="http://schemas.openxmlformats.org/officeDocument/2006/relationships/hyperlink" Target="https://3arbzfbsh-cname-us.ngrok.io/Desktop/seabridge%20fintech/profit_graph_app/AAP_Return.jpg" TargetMode="External"/><Relationship Id="rId144" Type="http://schemas.openxmlformats.org/officeDocument/2006/relationships/hyperlink" Target="https://3arbzfbsh-cname-us.ngrok.io/Desktop/seabridge%20fintech/profit_graph_app/BAX_Return.jpg" TargetMode="External"/><Relationship Id="rId386" Type="http://schemas.openxmlformats.org/officeDocument/2006/relationships/hyperlink" Target="https://3arbzfbsh-cname-us.ngrok.io/Desktop/seabridge%20fintech/profit_graph_app/ELY_Return.jpg" TargetMode="External"/><Relationship Id="rId381" Type="http://schemas.openxmlformats.org/officeDocument/2006/relationships/hyperlink" Target="https://3arbzfbsh-cname-us.ngrok.io/Desktop/seabridge%20fintech/image_app/EL_resistance_support.jpg" TargetMode="External"/><Relationship Id="rId380" Type="http://schemas.openxmlformats.org/officeDocument/2006/relationships/hyperlink" Target="https://3arbzfbsh-cname-us.ngrok.io/Desktop/seabridge%20fintech/profit_graph_app/EIX_Return.jpg" TargetMode="External"/><Relationship Id="rId139" Type="http://schemas.openxmlformats.org/officeDocument/2006/relationships/hyperlink" Target="https://3arbzfbsh-cname-us.ngrok.io/Desktop/seabridge%20fintech/image_app/BA_resistance_support.jpg" TargetMode="External"/><Relationship Id="rId138" Type="http://schemas.openxmlformats.org/officeDocument/2006/relationships/hyperlink" Target="https://3arbzfbsh-cname-us.ngrok.io/Desktop/seabridge%20fintech/profit_graph_app/AZO_Return.jpg" TargetMode="External"/><Relationship Id="rId137" Type="http://schemas.openxmlformats.org/officeDocument/2006/relationships/hyperlink" Target="https://3arbzfbsh-cname-us.ngrok.io/Desktop/seabridge%20fintech/image_app/AZO_resistance_support.jpg" TargetMode="External"/><Relationship Id="rId379" Type="http://schemas.openxmlformats.org/officeDocument/2006/relationships/hyperlink" Target="https://3arbzfbsh-cname-us.ngrok.io/Desktop/seabridge%20fintech/image_app/EIX_resistance_support.jpg" TargetMode="External"/><Relationship Id="rId1080" Type="http://schemas.openxmlformats.org/officeDocument/2006/relationships/hyperlink" Target="https://3arbzfbsh-cname-us.ngrok.io/Desktop/seabridge%20fintech/profit_graph_app/SHY_Return.jpg" TargetMode="External"/><Relationship Id="rId1081" Type="http://schemas.openxmlformats.org/officeDocument/2006/relationships/hyperlink" Target="https://3arbzfbsh-cname-us.ngrok.io/Desktop/seabridge%20fintech/image_app/SIRI_resistance_support.jpg" TargetMode="External"/><Relationship Id="rId1082" Type="http://schemas.openxmlformats.org/officeDocument/2006/relationships/hyperlink" Target="https://3arbzfbsh-cname-us.ngrok.io/Desktop/seabridge%20fintech/profit_graph_app/SIRI_Return.jpg" TargetMode="External"/><Relationship Id="rId1083" Type="http://schemas.openxmlformats.org/officeDocument/2006/relationships/hyperlink" Target="https://3arbzfbsh-cname-us.ngrok.io/Desktop/seabridge%20fintech/image_app/SIVB_resistance_support.jpg" TargetMode="External"/><Relationship Id="rId132" Type="http://schemas.openxmlformats.org/officeDocument/2006/relationships/hyperlink" Target="https://3arbzfbsh-cname-us.ngrok.io/Desktop/seabridge%20fintech/profit_graph_app/AWK_Return.jpg" TargetMode="External"/><Relationship Id="rId374" Type="http://schemas.openxmlformats.org/officeDocument/2006/relationships/hyperlink" Target="https://3arbzfbsh-cname-us.ngrok.io/Desktop/seabridge%20fintech/profit_graph_app/EEM_Return.jpg" TargetMode="External"/><Relationship Id="rId1084" Type="http://schemas.openxmlformats.org/officeDocument/2006/relationships/hyperlink" Target="https://3arbzfbsh-cname-us.ngrok.io/Desktop/seabridge%20fintech/profit_graph_app/SIVB_Return.jpg" TargetMode="External"/><Relationship Id="rId131" Type="http://schemas.openxmlformats.org/officeDocument/2006/relationships/hyperlink" Target="https://3arbzfbsh-cname-us.ngrok.io/Desktop/seabridge%20fintech/image_app/AWK_resistance_support.jpg" TargetMode="External"/><Relationship Id="rId373" Type="http://schemas.openxmlformats.org/officeDocument/2006/relationships/hyperlink" Target="https://3arbzfbsh-cname-us.ngrok.io/Desktop/seabridge%20fintech/image_app/EEM_resistance_support.jpg" TargetMode="External"/><Relationship Id="rId1085" Type="http://schemas.openxmlformats.org/officeDocument/2006/relationships/hyperlink" Target="https://3arbzfbsh-cname-us.ngrok.io/Desktop/seabridge%20fintech/image_app/SJM_resistance_support.jpg" TargetMode="External"/><Relationship Id="rId130" Type="http://schemas.openxmlformats.org/officeDocument/2006/relationships/hyperlink" Target="https://3arbzfbsh-cname-us.ngrok.io/Desktop/seabridge%20fintech/profit_graph_app/AVY_Return.jpg" TargetMode="External"/><Relationship Id="rId372" Type="http://schemas.openxmlformats.org/officeDocument/2006/relationships/hyperlink" Target="https://3arbzfbsh-cname-us.ngrok.io/Desktop/seabridge%20fintech/profit_graph_app/ED_Return.jpg" TargetMode="External"/><Relationship Id="rId1086" Type="http://schemas.openxmlformats.org/officeDocument/2006/relationships/hyperlink" Target="https://3arbzfbsh-cname-us.ngrok.io/Desktop/seabridge%20fintech/profit_graph_app/SJM_Return.jpg" TargetMode="External"/><Relationship Id="rId371" Type="http://schemas.openxmlformats.org/officeDocument/2006/relationships/hyperlink" Target="https://3arbzfbsh-cname-us.ngrok.io/Desktop/seabridge%20fintech/image_app/ED_resistance_support.jpg" TargetMode="External"/><Relationship Id="rId1087" Type="http://schemas.openxmlformats.org/officeDocument/2006/relationships/hyperlink" Target="https://3arbzfbsh-cname-us.ngrok.io/Desktop/seabridge%20fintech/image_app/SJNK_resistance_support.jpg" TargetMode="External"/><Relationship Id="rId136" Type="http://schemas.openxmlformats.org/officeDocument/2006/relationships/hyperlink" Target="https://3arbzfbsh-cname-us.ngrok.io/Desktop/seabridge%20fintech/profit_graph_app/AXTA_Return.jpg" TargetMode="External"/><Relationship Id="rId378" Type="http://schemas.openxmlformats.org/officeDocument/2006/relationships/hyperlink" Target="https://3arbzfbsh-cname-us.ngrok.io/Desktop/seabridge%20fintech/profit_graph_app/EFX_Return.jpg" TargetMode="External"/><Relationship Id="rId1088" Type="http://schemas.openxmlformats.org/officeDocument/2006/relationships/hyperlink" Target="https://3arbzfbsh-cname-us.ngrok.io/Desktop/seabridge%20fintech/profit_graph_app/SJNK_Return.jpg" TargetMode="External"/><Relationship Id="rId135" Type="http://schemas.openxmlformats.org/officeDocument/2006/relationships/hyperlink" Target="https://3arbzfbsh-cname-us.ngrok.io/Desktop/seabridge%20fintech/image_app/AXTA_resistance_support.jpg" TargetMode="External"/><Relationship Id="rId377" Type="http://schemas.openxmlformats.org/officeDocument/2006/relationships/hyperlink" Target="https://3arbzfbsh-cname-us.ngrok.io/Desktop/seabridge%20fintech/image_app/EFX_resistance_support.jpg" TargetMode="External"/><Relationship Id="rId1089" Type="http://schemas.openxmlformats.org/officeDocument/2006/relationships/hyperlink" Target="https://3arbzfbsh-cname-us.ngrok.io/Desktop/seabridge%20fintech/image_app/SLB_resistance_support.jpg" TargetMode="External"/><Relationship Id="rId134" Type="http://schemas.openxmlformats.org/officeDocument/2006/relationships/hyperlink" Target="https://3arbzfbsh-cname-us.ngrok.io/Desktop/seabridge%20fintech/profit_graph_app/AXP_Return.jpg" TargetMode="External"/><Relationship Id="rId376" Type="http://schemas.openxmlformats.org/officeDocument/2006/relationships/hyperlink" Target="https://3arbzfbsh-cname-us.ngrok.io/Desktop/seabridge%20fintech/profit_graph_app/EFA_Return.jpg" TargetMode="External"/><Relationship Id="rId133" Type="http://schemas.openxmlformats.org/officeDocument/2006/relationships/hyperlink" Target="https://3arbzfbsh-cname-us.ngrok.io/Desktop/seabridge%20fintech/image_app/AXP_resistance_support.jpg" TargetMode="External"/><Relationship Id="rId375" Type="http://schemas.openxmlformats.org/officeDocument/2006/relationships/hyperlink" Target="https://3arbzfbsh-cname-us.ngrok.io/Desktop/seabridge%20fintech/image_app/EFA_resistance_support.jpg" TargetMode="External"/><Relationship Id="rId172" Type="http://schemas.openxmlformats.org/officeDocument/2006/relationships/hyperlink" Target="https://3arbzfbsh-cname-us.ngrok.io/Desktop/seabridge%20fintech/profit_graph_app/BMY_Return.jpg" TargetMode="External"/><Relationship Id="rId171" Type="http://schemas.openxmlformats.org/officeDocument/2006/relationships/hyperlink" Target="https://3arbzfbsh-cname-us.ngrok.io/Desktop/seabridge%20fintech/image_app/BMY_resistance_support.jpg" TargetMode="External"/><Relationship Id="rId170" Type="http://schemas.openxmlformats.org/officeDocument/2006/relationships/hyperlink" Target="https://3arbzfbsh-cname-us.ngrok.io/Desktop/seabridge%20fintech/profit_graph_app/BLL_Return.jpg" TargetMode="External"/><Relationship Id="rId165" Type="http://schemas.openxmlformats.org/officeDocument/2006/relationships/hyperlink" Target="https://3arbzfbsh-cname-us.ngrok.io/Desktop/seabridge%20fintech/image_app/BLDR_resistance_support.jpg" TargetMode="External"/><Relationship Id="rId164" Type="http://schemas.openxmlformats.org/officeDocument/2006/relationships/hyperlink" Target="https://3arbzfbsh-cname-us.ngrok.io/Desktop/seabridge%20fintech/profit_graph_app/BKR_Return.jpg" TargetMode="External"/><Relationship Id="rId163" Type="http://schemas.openxmlformats.org/officeDocument/2006/relationships/hyperlink" Target="https://3arbzfbsh-cname-us.ngrok.io/Desktop/seabridge%20fintech/image_app/BKR_resistance_support.jpg" TargetMode="External"/><Relationship Id="rId162" Type="http://schemas.openxmlformats.org/officeDocument/2006/relationships/hyperlink" Target="https://3arbzfbsh-cname-us.ngrok.io/Desktop/seabridge%20fintech/profit_graph_app/BKNG_Return.jpg" TargetMode="External"/><Relationship Id="rId169" Type="http://schemas.openxmlformats.org/officeDocument/2006/relationships/hyperlink" Target="https://3arbzfbsh-cname-us.ngrok.io/Desktop/seabridge%20fintech/image_app/BLL_resistance_support.jpg" TargetMode="External"/><Relationship Id="rId168" Type="http://schemas.openxmlformats.org/officeDocument/2006/relationships/hyperlink" Target="https://3arbzfbsh-cname-us.ngrok.io/Desktop/seabridge%20fintech/profit_graph_app/BLK_Return.jpg" TargetMode="External"/><Relationship Id="rId167" Type="http://schemas.openxmlformats.org/officeDocument/2006/relationships/hyperlink" Target="https://3arbzfbsh-cname-us.ngrok.io/Desktop/seabridge%20fintech/image_app/BLK_resistance_support.jpg" TargetMode="External"/><Relationship Id="rId166" Type="http://schemas.openxmlformats.org/officeDocument/2006/relationships/hyperlink" Target="https://3arbzfbsh-cname-us.ngrok.io/Desktop/seabridge%20fintech/profit_graph_app/BLDR_Return.jpg" TargetMode="External"/><Relationship Id="rId161" Type="http://schemas.openxmlformats.org/officeDocument/2006/relationships/hyperlink" Target="https://3arbzfbsh-cname-us.ngrok.io/Desktop/seabridge%20fintech/image_app/BKNG_resistance_support.jpg" TargetMode="External"/><Relationship Id="rId160" Type="http://schemas.openxmlformats.org/officeDocument/2006/relationships/hyperlink" Target="https://3arbzfbsh-cname-us.ngrok.io/Desktop/seabridge%20fintech/profit_graph_app/BK_Return.jpg" TargetMode="External"/><Relationship Id="rId159" Type="http://schemas.openxmlformats.org/officeDocument/2006/relationships/hyperlink" Target="https://3arbzfbsh-cname-us.ngrok.io/Desktop/seabridge%20fintech/image_app/BK_resistance_support.jpg" TargetMode="External"/><Relationship Id="rId154" Type="http://schemas.openxmlformats.org/officeDocument/2006/relationships/hyperlink" Target="https://3arbzfbsh-cname-us.ngrok.io/Desktop/seabridge%20fintech/profit_graph_app/BIDU_Return.jpg" TargetMode="External"/><Relationship Id="rId396" Type="http://schemas.openxmlformats.org/officeDocument/2006/relationships/hyperlink" Target="https://3arbzfbsh-cname-us.ngrok.io/Desktop/seabridge%20fintech/profit_graph_app/EOG_Return.jpg" TargetMode="External"/><Relationship Id="rId153" Type="http://schemas.openxmlformats.org/officeDocument/2006/relationships/hyperlink" Target="https://3arbzfbsh-cname-us.ngrok.io/Desktop/seabridge%20fintech/image_app/BIDU_resistance_support.jpg" TargetMode="External"/><Relationship Id="rId395" Type="http://schemas.openxmlformats.org/officeDocument/2006/relationships/hyperlink" Target="https://3arbzfbsh-cname-us.ngrok.io/Desktop/seabridge%20fintech/image_app/EOG_resistance_support.jpg" TargetMode="External"/><Relationship Id="rId152" Type="http://schemas.openxmlformats.org/officeDocument/2006/relationships/hyperlink" Target="https://3arbzfbsh-cname-us.ngrok.io/Desktop/seabridge%20fintech/profit_graph_app/BEN_Return.jpg" TargetMode="External"/><Relationship Id="rId394" Type="http://schemas.openxmlformats.org/officeDocument/2006/relationships/hyperlink" Target="https://3arbzfbsh-cname-us.ngrok.io/Desktop/seabridge%20fintech/profit_graph_app/ENPH_Return.jpg" TargetMode="External"/><Relationship Id="rId151" Type="http://schemas.openxmlformats.org/officeDocument/2006/relationships/hyperlink" Target="https://3arbzfbsh-cname-us.ngrok.io/Desktop/seabridge%20fintech/image_app/BEN_resistance_support.jpg" TargetMode="External"/><Relationship Id="rId393" Type="http://schemas.openxmlformats.org/officeDocument/2006/relationships/hyperlink" Target="https://3arbzfbsh-cname-us.ngrok.io/Desktop/seabridge%20fintech/image_app/ENPH_resistance_support.jpg" TargetMode="External"/><Relationship Id="rId158" Type="http://schemas.openxmlformats.org/officeDocument/2006/relationships/hyperlink" Target="https://3arbzfbsh-cname-us.ngrok.io/Desktop/seabridge%20fintech/profit_graph_app/BIO_Return.jpg" TargetMode="External"/><Relationship Id="rId157" Type="http://schemas.openxmlformats.org/officeDocument/2006/relationships/hyperlink" Target="https://3arbzfbsh-cname-us.ngrok.io/Desktop/seabridge%20fintech/image_app/BIO_resistance_support.jpg" TargetMode="External"/><Relationship Id="rId399" Type="http://schemas.openxmlformats.org/officeDocument/2006/relationships/hyperlink" Target="https://3arbzfbsh-cname-us.ngrok.io/Desktop/seabridge%20fintech/image_app/EQIX_resistance_support.jpg" TargetMode="External"/><Relationship Id="rId156" Type="http://schemas.openxmlformats.org/officeDocument/2006/relationships/hyperlink" Target="https://3arbzfbsh-cname-us.ngrok.io/Desktop/seabridge%20fintech/profit_graph_app/BIIB_Return.jpg" TargetMode="External"/><Relationship Id="rId398" Type="http://schemas.openxmlformats.org/officeDocument/2006/relationships/hyperlink" Target="https://3arbzfbsh-cname-us.ngrok.io/Desktop/seabridge%20fintech/profit_graph_app/EQH_Return.jpg" TargetMode="External"/><Relationship Id="rId155" Type="http://schemas.openxmlformats.org/officeDocument/2006/relationships/hyperlink" Target="https://3arbzfbsh-cname-us.ngrok.io/Desktop/seabridge%20fintech/image_app/BIIB_resistance_support.jpg" TargetMode="External"/><Relationship Id="rId397" Type="http://schemas.openxmlformats.org/officeDocument/2006/relationships/hyperlink" Target="https://3arbzfbsh-cname-us.ngrok.io/Desktop/seabridge%20fintech/image_app/EQH_resistance_support.jpg" TargetMode="External"/><Relationship Id="rId808" Type="http://schemas.openxmlformats.org/officeDocument/2006/relationships/hyperlink" Target="https://3arbzfbsh-cname-us.ngrok.io/Desktop/seabridge%20fintech/profit_graph_app/MNST_Return.jpg" TargetMode="External"/><Relationship Id="rId807" Type="http://schemas.openxmlformats.org/officeDocument/2006/relationships/hyperlink" Target="https://3arbzfbsh-cname-us.ngrok.io/Desktop/seabridge%20fintech/image_app/MNST_resistance_support.jpg" TargetMode="External"/><Relationship Id="rId806" Type="http://schemas.openxmlformats.org/officeDocument/2006/relationships/hyperlink" Target="https://3arbzfbsh-cname-us.ngrok.io/Desktop/seabridge%20fintech/profit_graph_app/MMM_Return.jpg" TargetMode="External"/><Relationship Id="rId805" Type="http://schemas.openxmlformats.org/officeDocument/2006/relationships/hyperlink" Target="https://3arbzfbsh-cname-us.ngrok.io/Desktop/seabridge%20fintech/image_app/MMM_resistance_support.jpg" TargetMode="External"/><Relationship Id="rId809" Type="http://schemas.openxmlformats.org/officeDocument/2006/relationships/hyperlink" Target="https://3arbzfbsh-cname-us.ngrok.io/Desktop/seabridge%20fintech/image_app/MO_resistance_support.jpg" TargetMode="External"/><Relationship Id="rId800" Type="http://schemas.openxmlformats.org/officeDocument/2006/relationships/hyperlink" Target="https://3arbzfbsh-cname-us.ngrok.io/Desktop/seabridge%20fintech/profit_graph_app/MKTX_Return.jpg" TargetMode="External"/><Relationship Id="rId804" Type="http://schemas.openxmlformats.org/officeDocument/2006/relationships/hyperlink" Target="https://3arbzfbsh-cname-us.ngrok.io/Desktop/seabridge%20fintech/profit_graph_app/MMC_Return.jpg" TargetMode="External"/><Relationship Id="rId803" Type="http://schemas.openxmlformats.org/officeDocument/2006/relationships/hyperlink" Target="https://3arbzfbsh-cname-us.ngrok.io/Desktop/seabridge%20fintech/image_app/MMC_resistance_support.jpg" TargetMode="External"/><Relationship Id="rId802" Type="http://schemas.openxmlformats.org/officeDocument/2006/relationships/hyperlink" Target="https://3arbzfbsh-cname-us.ngrok.io/Desktop/seabridge%20fintech/profit_graph_app/MLM_Return.jpg" TargetMode="External"/><Relationship Id="rId801" Type="http://schemas.openxmlformats.org/officeDocument/2006/relationships/hyperlink" Target="https://3arbzfbsh-cname-us.ngrok.io/Desktop/seabridge%20fintech/image_app/MLM_resistance_support.jpg" TargetMode="External"/><Relationship Id="rId40" Type="http://schemas.openxmlformats.org/officeDocument/2006/relationships/hyperlink" Target="https://3arbzfbsh-cname-us.ngrok.io/Desktop/seabridge%20fintech/profit_graph_app/AFL_Return.jpg" TargetMode="External"/><Relationship Id="rId1334" Type="http://schemas.openxmlformats.org/officeDocument/2006/relationships/hyperlink" Target="https://3arbzfbsh-cname-us.ngrok.io/Desktop/seabridge%20fintech/profit_graph_app/WMT_Return.jpg" TargetMode="External"/><Relationship Id="rId1335" Type="http://schemas.openxmlformats.org/officeDocument/2006/relationships/hyperlink" Target="https://3arbzfbsh-cname-us.ngrok.io/Desktop/seabridge%20fintech/image_app/WORK_resistance_support.jpg" TargetMode="External"/><Relationship Id="rId42" Type="http://schemas.openxmlformats.org/officeDocument/2006/relationships/hyperlink" Target="https://3arbzfbsh-cname-us.ngrok.io/Desktop/seabridge%20fintech/profit_graph_app/AGG_Return.jpg" TargetMode="External"/><Relationship Id="rId1336" Type="http://schemas.openxmlformats.org/officeDocument/2006/relationships/hyperlink" Target="https://3arbzfbsh-cname-us.ngrok.io/Desktop/seabridge%20fintech/profit_graph_app/WORK_Return.jpg" TargetMode="External"/><Relationship Id="rId41" Type="http://schemas.openxmlformats.org/officeDocument/2006/relationships/hyperlink" Target="https://3arbzfbsh-cname-us.ngrok.io/Desktop/seabridge%20fintech/image_app/AGG_resistance_support.jpg" TargetMode="External"/><Relationship Id="rId1337" Type="http://schemas.openxmlformats.org/officeDocument/2006/relationships/hyperlink" Target="https://3arbzfbsh-cname-us.ngrok.io/Desktop/seabridge%20fintech/image_app/WRB_resistance_support.jpg" TargetMode="External"/><Relationship Id="rId44" Type="http://schemas.openxmlformats.org/officeDocument/2006/relationships/hyperlink" Target="https://3arbzfbsh-cname-us.ngrok.io/Desktop/seabridge%20fintech/profit_graph_app/AI_Return.jpg" TargetMode="External"/><Relationship Id="rId1338" Type="http://schemas.openxmlformats.org/officeDocument/2006/relationships/hyperlink" Target="https://3arbzfbsh-cname-us.ngrok.io/Desktop/seabridge%20fintech/profit_graph_app/WRB_Return.jpg" TargetMode="External"/><Relationship Id="rId43" Type="http://schemas.openxmlformats.org/officeDocument/2006/relationships/hyperlink" Target="https://3arbzfbsh-cname-us.ngrok.io/Desktop/seabridge%20fintech/image_app/AI_resistance_support.jpg" TargetMode="External"/><Relationship Id="rId1339" Type="http://schemas.openxmlformats.org/officeDocument/2006/relationships/hyperlink" Target="https://3arbzfbsh-cname-us.ngrok.io/Desktop/seabridge%20fintech/image_app/WRK_resistance_support.jpg" TargetMode="External"/><Relationship Id="rId46" Type="http://schemas.openxmlformats.org/officeDocument/2006/relationships/hyperlink" Target="https://3arbzfbsh-cname-us.ngrok.io/Desktop/seabridge%20fintech/profit_graph_app/AIG_Return.jpg" TargetMode="External"/><Relationship Id="rId45" Type="http://schemas.openxmlformats.org/officeDocument/2006/relationships/hyperlink" Target="https://3arbzfbsh-cname-us.ngrok.io/Desktop/seabridge%20fintech/image_app/AIG_resistance_support.jpg" TargetMode="External"/><Relationship Id="rId509" Type="http://schemas.openxmlformats.org/officeDocument/2006/relationships/hyperlink" Target="https://3arbzfbsh-cname-us.ngrok.io/Desktop/seabridge%20fintech/image_app/GM_resistance_support.jpg" TargetMode="External"/><Relationship Id="rId508" Type="http://schemas.openxmlformats.org/officeDocument/2006/relationships/hyperlink" Target="https://3arbzfbsh-cname-us.ngrok.io/Desktop/seabridge%20fintech/profit_graph_app/GLW_Return.jpg" TargetMode="External"/><Relationship Id="rId503" Type="http://schemas.openxmlformats.org/officeDocument/2006/relationships/hyperlink" Target="https://3arbzfbsh-cname-us.ngrok.io/Desktop/seabridge%20fintech/image_app/GL_resistance_support.jpg" TargetMode="External"/><Relationship Id="rId745" Type="http://schemas.openxmlformats.org/officeDocument/2006/relationships/hyperlink" Target="https://3arbzfbsh-cname-us.ngrok.io/Desktop/seabridge%20fintech/image_app/LRCX_resistance_support.jpg" TargetMode="External"/><Relationship Id="rId987" Type="http://schemas.openxmlformats.org/officeDocument/2006/relationships/hyperlink" Target="https://3arbzfbsh-cname-us.ngrok.io/Desktop/seabridge%20fintech/image_app/PPL_resistance_support.jpg" TargetMode="External"/><Relationship Id="rId502" Type="http://schemas.openxmlformats.org/officeDocument/2006/relationships/hyperlink" Target="https://3arbzfbsh-cname-us.ngrok.io/Desktop/seabridge%20fintech/profit_graph_app/GIS_Return.jpg" TargetMode="External"/><Relationship Id="rId744" Type="http://schemas.openxmlformats.org/officeDocument/2006/relationships/hyperlink" Target="https://3arbzfbsh-cname-us.ngrok.io/Desktop/seabridge%20fintech/profit_graph_app/LQD_Return.jpg" TargetMode="External"/><Relationship Id="rId986" Type="http://schemas.openxmlformats.org/officeDocument/2006/relationships/hyperlink" Target="https://3arbzfbsh-cname-us.ngrok.io/Desktop/seabridge%20fintech/profit_graph_app/PPG_Return.jpg" TargetMode="External"/><Relationship Id="rId501" Type="http://schemas.openxmlformats.org/officeDocument/2006/relationships/hyperlink" Target="https://3arbzfbsh-cname-us.ngrok.io/Desktop/seabridge%20fintech/image_app/GIS_resistance_support.jpg" TargetMode="External"/><Relationship Id="rId743" Type="http://schemas.openxmlformats.org/officeDocument/2006/relationships/hyperlink" Target="https://3arbzfbsh-cname-us.ngrok.io/Desktop/seabridge%20fintech/image_app/LQD_resistance_support.jpg" TargetMode="External"/><Relationship Id="rId985" Type="http://schemas.openxmlformats.org/officeDocument/2006/relationships/hyperlink" Target="https://3arbzfbsh-cname-us.ngrok.io/Desktop/seabridge%20fintech/image_app/PPG_resistance_support.jpg" TargetMode="External"/><Relationship Id="rId500" Type="http://schemas.openxmlformats.org/officeDocument/2006/relationships/hyperlink" Target="https://3arbzfbsh-cname-us.ngrok.io/Desktop/seabridge%20fintech/profit_graph_app/GILD_Return.jpg" TargetMode="External"/><Relationship Id="rId742" Type="http://schemas.openxmlformats.org/officeDocument/2006/relationships/hyperlink" Target="https://3arbzfbsh-cname-us.ngrok.io/Desktop/seabridge%20fintech/profit_graph_app/LPX_Return.jpg" TargetMode="External"/><Relationship Id="rId984" Type="http://schemas.openxmlformats.org/officeDocument/2006/relationships/hyperlink" Target="https://3arbzfbsh-cname-us.ngrok.io/Desktop/seabridge%20fintech/profit_graph_app/POOL_Return.jpg" TargetMode="External"/><Relationship Id="rId507" Type="http://schemas.openxmlformats.org/officeDocument/2006/relationships/hyperlink" Target="https://3arbzfbsh-cname-us.ngrok.io/Desktop/seabridge%20fintech/image_app/GLW_resistance_support.jpg" TargetMode="External"/><Relationship Id="rId749" Type="http://schemas.openxmlformats.org/officeDocument/2006/relationships/hyperlink" Target="https://3arbzfbsh-cname-us.ngrok.io/Desktop/seabridge%20fintech/image_app/LUMN_resistance_support.jpg" TargetMode="External"/><Relationship Id="rId506" Type="http://schemas.openxmlformats.org/officeDocument/2006/relationships/hyperlink" Target="https://3arbzfbsh-cname-us.ngrok.io/Desktop/seabridge%20fintech/profit_graph_app/GLD_Return.jpg" TargetMode="External"/><Relationship Id="rId748" Type="http://schemas.openxmlformats.org/officeDocument/2006/relationships/hyperlink" Target="https://3arbzfbsh-cname-us.ngrok.io/Desktop/seabridge%20fintech/profit_graph_app/LULU_Return.jpg" TargetMode="External"/><Relationship Id="rId505" Type="http://schemas.openxmlformats.org/officeDocument/2006/relationships/hyperlink" Target="https://3arbzfbsh-cname-us.ngrok.io/Desktop/seabridge%20fintech/image_app/GLD_resistance_support.jpg" TargetMode="External"/><Relationship Id="rId747" Type="http://schemas.openxmlformats.org/officeDocument/2006/relationships/hyperlink" Target="https://3arbzfbsh-cname-us.ngrok.io/Desktop/seabridge%20fintech/image_app/LULU_resistance_support.jpg" TargetMode="External"/><Relationship Id="rId989" Type="http://schemas.openxmlformats.org/officeDocument/2006/relationships/hyperlink" Target="https://3arbzfbsh-cname-us.ngrok.io/Desktop/seabridge%20fintech/image_app/PRGO_resistance_support.jpg" TargetMode="External"/><Relationship Id="rId504" Type="http://schemas.openxmlformats.org/officeDocument/2006/relationships/hyperlink" Target="https://3arbzfbsh-cname-us.ngrok.io/Desktop/seabridge%20fintech/profit_graph_app/GL_Return.jpg" TargetMode="External"/><Relationship Id="rId746" Type="http://schemas.openxmlformats.org/officeDocument/2006/relationships/hyperlink" Target="https://3arbzfbsh-cname-us.ngrok.io/Desktop/seabridge%20fintech/profit_graph_app/LRCX_Return.jpg" TargetMode="External"/><Relationship Id="rId988" Type="http://schemas.openxmlformats.org/officeDocument/2006/relationships/hyperlink" Target="https://3arbzfbsh-cname-us.ngrok.io/Desktop/seabridge%20fintech/profit_graph_app/PPL_Return.jpg" TargetMode="External"/><Relationship Id="rId48" Type="http://schemas.openxmlformats.org/officeDocument/2006/relationships/hyperlink" Target="https://3arbzfbsh-cname-us.ngrok.io/Desktop/seabridge%20fintech/profit_graph_app/AIZ_Return.jpg" TargetMode="External"/><Relationship Id="rId47" Type="http://schemas.openxmlformats.org/officeDocument/2006/relationships/hyperlink" Target="https://3arbzfbsh-cname-us.ngrok.io/Desktop/seabridge%20fintech/image_app/AIZ_resistance_support.jpg" TargetMode="External"/><Relationship Id="rId49" Type="http://schemas.openxmlformats.org/officeDocument/2006/relationships/hyperlink" Target="https://3arbzfbsh-cname-us.ngrok.io/Desktop/seabridge%20fintech/image_app/AJG_resistance_support.jpg" TargetMode="External"/><Relationship Id="rId741" Type="http://schemas.openxmlformats.org/officeDocument/2006/relationships/hyperlink" Target="https://3arbzfbsh-cname-us.ngrok.io/Desktop/seabridge%20fintech/image_app/LPX_resistance_support.jpg" TargetMode="External"/><Relationship Id="rId983" Type="http://schemas.openxmlformats.org/officeDocument/2006/relationships/hyperlink" Target="https://3arbzfbsh-cname-us.ngrok.io/Desktop/seabridge%20fintech/image_app/POOL_resistance_support.jpg" TargetMode="External"/><Relationship Id="rId1330" Type="http://schemas.openxmlformats.org/officeDocument/2006/relationships/hyperlink" Target="https://3arbzfbsh-cname-us.ngrok.io/Desktop/seabridge%20fintech/profit_graph_app/WM_Return.jpg" TargetMode="External"/><Relationship Id="rId740" Type="http://schemas.openxmlformats.org/officeDocument/2006/relationships/hyperlink" Target="https://3arbzfbsh-cname-us.ngrok.io/Desktop/seabridge%20fintech/profit_graph_app/LOW_Return.jpg" TargetMode="External"/><Relationship Id="rId982" Type="http://schemas.openxmlformats.org/officeDocument/2006/relationships/hyperlink" Target="https://3arbzfbsh-cname-us.ngrok.io/Desktop/seabridge%20fintech/profit_graph_app/PNW_Return.jpg" TargetMode="External"/><Relationship Id="rId1331" Type="http://schemas.openxmlformats.org/officeDocument/2006/relationships/hyperlink" Target="https://3arbzfbsh-cname-us.ngrok.io/Desktop/seabridge%20fintech/image_app/WMB_resistance_support.jpg" TargetMode="External"/><Relationship Id="rId981" Type="http://schemas.openxmlformats.org/officeDocument/2006/relationships/hyperlink" Target="https://3arbzfbsh-cname-us.ngrok.io/Desktop/seabridge%20fintech/image_app/PNW_resistance_support.jpg" TargetMode="External"/><Relationship Id="rId1332" Type="http://schemas.openxmlformats.org/officeDocument/2006/relationships/hyperlink" Target="https://3arbzfbsh-cname-us.ngrok.io/Desktop/seabridge%20fintech/profit_graph_app/WMB_Return.jpg" TargetMode="External"/><Relationship Id="rId980" Type="http://schemas.openxmlformats.org/officeDocument/2006/relationships/hyperlink" Target="https://3arbzfbsh-cname-us.ngrok.io/Desktop/seabridge%20fintech/profit_graph_app/PNR_Return.jpg" TargetMode="External"/><Relationship Id="rId1333" Type="http://schemas.openxmlformats.org/officeDocument/2006/relationships/hyperlink" Target="https://3arbzfbsh-cname-us.ngrok.io/Desktop/seabridge%20fintech/image_app/WMT_resistance_support.jpg" TargetMode="External"/><Relationship Id="rId1323" Type="http://schemas.openxmlformats.org/officeDocument/2006/relationships/hyperlink" Target="https://3arbzfbsh-cname-us.ngrok.io/Desktop/seabridge%20fintech/image_app/WFC_resistance_support.jpg" TargetMode="External"/><Relationship Id="rId1324" Type="http://schemas.openxmlformats.org/officeDocument/2006/relationships/hyperlink" Target="https://3arbzfbsh-cname-us.ngrok.io/Desktop/seabridge%20fintech/profit_graph_app/WFC_Return.jpg" TargetMode="External"/><Relationship Id="rId31" Type="http://schemas.openxmlformats.org/officeDocument/2006/relationships/hyperlink" Target="https://3arbzfbsh-cname-us.ngrok.io/Desktop/seabridge%20fintech/image_app/AEE_resistance_support.jpg" TargetMode="External"/><Relationship Id="rId1325" Type="http://schemas.openxmlformats.org/officeDocument/2006/relationships/hyperlink" Target="https://3arbzfbsh-cname-us.ngrok.io/Desktop/seabridge%20fintech/image_app/WHR_resistance_support.jpg" TargetMode="External"/><Relationship Id="rId30" Type="http://schemas.openxmlformats.org/officeDocument/2006/relationships/hyperlink" Target="https://3arbzfbsh-cname-us.ngrok.io/Desktop/seabridge%20fintech/profit_graph_app/ADSK_Return.jpg" TargetMode="External"/><Relationship Id="rId1326" Type="http://schemas.openxmlformats.org/officeDocument/2006/relationships/hyperlink" Target="https://3arbzfbsh-cname-us.ngrok.io/Desktop/seabridge%20fintech/profit_graph_app/WHR_Return.jpg" TargetMode="External"/><Relationship Id="rId33" Type="http://schemas.openxmlformats.org/officeDocument/2006/relationships/hyperlink" Target="https://3arbzfbsh-cname-us.ngrok.io/Desktop/seabridge%20fintech/image_app/AEO_resistance_support.jpg" TargetMode="External"/><Relationship Id="rId1327" Type="http://schemas.openxmlformats.org/officeDocument/2006/relationships/hyperlink" Target="https://3arbzfbsh-cname-us.ngrok.io/Desktop/seabridge%20fintech/image_app/WLTW_resistance_support.jpg" TargetMode="External"/><Relationship Id="rId32" Type="http://schemas.openxmlformats.org/officeDocument/2006/relationships/hyperlink" Target="https://3arbzfbsh-cname-us.ngrok.io/Desktop/seabridge%20fintech/profit_graph_app/AEE_Return.jpg" TargetMode="External"/><Relationship Id="rId1328" Type="http://schemas.openxmlformats.org/officeDocument/2006/relationships/hyperlink" Target="https://3arbzfbsh-cname-us.ngrok.io/Desktop/seabridge%20fintech/profit_graph_app/WLTW_Return.jpg" TargetMode="External"/><Relationship Id="rId35" Type="http://schemas.openxmlformats.org/officeDocument/2006/relationships/hyperlink" Target="https://3arbzfbsh-cname-us.ngrok.io/Desktop/seabridge%20fintech/image_app/AEP_resistance_support.jpg" TargetMode="External"/><Relationship Id="rId1329" Type="http://schemas.openxmlformats.org/officeDocument/2006/relationships/hyperlink" Target="https://3arbzfbsh-cname-us.ngrok.io/Desktop/seabridge%20fintech/image_app/WM_resistance_support.jpg" TargetMode="External"/><Relationship Id="rId34" Type="http://schemas.openxmlformats.org/officeDocument/2006/relationships/hyperlink" Target="https://3arbzfbsh-cname-us.ngrok.io/Desktop/seabridge%20fintech/profit_graph_app/AEO_Return.jpg" TargetMode="External"/><Relationship Id="rId739" Type="http://schemas.openxmlformats.org/officeDocument/2006/relationships/hyperlink" Target="https://3arbzfbsh-cname-us.ngrok.io/Desktop/seabridge%20fintech/image_app/LOW_resistance_support.jpg" TargetMode="External"/><Relationship Id="rId734" Type="http://schemas.openxmlformats.org/officeDocument/2006/relationships/hyperlink" Target="https://3arbzfbsh-cname-us.ngrok.io/Desktop/seabridge%20fintech/profit_graph_app/LMT_Return.jpg" TargetMode="External"/><Relationship Id="rId976" Type="http://schemas.openxmlformats.org/officeDocument/2006/relationships/hyperlink" Target="https://3arbzfbsh-cname-us.ngrok.io/Desktop/seabridge%20fintech/profit_graph_app/PM_Return.jpg" TargetMode="External"/><Relationship Id="rId733" Type="http://schemas.openxmlformats.org/officeDocument/2006/relationships/hyperlink" Target="https://3arbzfbsh-cname-us.ngrok.io/Desktop/seabridge%20fintech/image_app/LMT_resistance_support.jpg" TargetMode="External"/><Relationship Id="rId975" Type="http://schemas.openxmlformats.org/officeDocument/2006/relationships/hyperlink" Target="https://3arbzfbsh-cname-us.ngrok.io/Desktop/seabridge%20fintech/image_app/PM_resistance_support.jpg" TargetMode="External"/><Relationship Id="rId732" Type="http://schemas.openxmlformats.org/officeDocument/2006/relationships/hyperlink" Target="https://3arbzfbsh-cname-us.ngrok.io/Desktop/seabridge%20fintech/profit_graph_app/LMND_Return.jpg" TargetMode="External"/><Relationship Id="rId974" Type="http://schemas.openxmlformats.org/officeDocument/2006/relationships/hyperlink" Target="https://3arbzfbsh-cname-us.ngrok.io/Desktop/seabridge%20fintech/profit_graph_app/PLUG_Return.jpg" TargetMode="External"/><Relationship Id="rId731" Type="http://schemas.openxmlformats.org/officeDocument/2006/relationships/hyperlink" Target="https://3arbzfbsh-cname-us.ngrok.io/Desktop/seabridge%20fintech/image_app/LMND_resistance_support.jpg" TargetMode="External"/><Relationship Id="rId973" Type="http://schemas.openxmlformats.org/officeDocument/2006/relationships/hyperlink" Target="https://3arbzfbsh-cname-us.ngrok.io/Desktop/seabridge%20fintech/image_app/PLUG_resistance_support.jpg" TargetMode="External"/><Relationship Id="rId738" Type="http://schemas.openxmlformats.org/officeDocument/2006/relationships/hyperlink" Target="https://3arbzfbsh-cname-us.ngrok.io/Desktop/seabridge%20fintech/profit_graph_app/LNT_Return.jpg" TargetMode="External"/><Relationship Id="rId737" Type="http://schemas.openxmlformats.org/officeDocument/2006/relationships/hyperlink" Target="https://3arbzfbsh-cname-us.ngrok.io/Desktop/seabridge%20fintech/image_app/LNT_resistance_support.jpg" TargetMode="External"/><Relationship Id="rId979" Type="http://schemas.openxmlformats.org/officeDocument/2006/relationships/hyperlink" Target="https://3arbzfbsh-cname-us.ngrok.io/Desktop/seabridge%20fintech/image_app/PNR_resistance_support.jpg" TargetMode="External"/><Relationship Id="rId736" Type="http://schemas.openxmlformats.org/officeDocument/2006/relationships/hyperlink" Target="https://3arbzfbsh-cname-us.ngrok.io/Desktop/seabridge%20fintech/profit_graph_app/LNC_Return.jpg" TargetMode="External"/><Relationship Id="rId978" Type="http://schemas.openxmlformats.org/officeDocument/2006/relationships/hyperlink" Target="https://3arbzfbsh-cname-us.ngrok.io/Desktop/seabridge%20fintech/profit_graph_app/PNC_Return.jpg" TargetMode="External"/><Relationship Id="rId735" Type="http://schemas.openxmlformats.org/officeDocument/2006/relationships/hyperlink" Target="https://3arbzfbsh-cname-us.ngrok.io/Desktop/seabridge%20fintech/image_app/LNC_resistance_support.jpg" TargetMode="External"/><Relationship Id="rId977" Type="http://schemas.openxmlformats.org/officeDocument/2006/relationships/hyperlink" Target="https://3arbzfbsh-cname-us.ngrok.io/Desktop/seabridge%20fintech/image_app/PNC_resistance_support.jpg" TargetMode="External"/><Relationship Id="rId37" Type="http://schemas.openxmlformats.org/officeDocument/2006/relationships/hyperlink" Target="https://3arbzfbsh-cname-us.ngrok.io/Desktop/seabridge%20fintech/image_app/AES_resistance_support.jpg" TargetMode="External"/><Relationship Id="rId36" Type="http://schemas.openxmlformats.org/officeDocument/2006/relationships/hyperlink" Target="https://3arbzfbsh-cname-us.ngrok.io/Desktop/seabridge%20fintech/profit_graph_app/AEP_Return.jpg" TargetMode="External"/><Relationship Id="rId39" Type="http://schemas.openxmlformats.org/officeDocument/2006/relationships/hyperlink" Target="https://3arbzfbsh-cname-us.ngrok.io/Desktop/seabridge%20fintech/image_app/AFL_resistance_support.jpg" TargetMode="External"/><Relationship Id="rId38" Type="http://schemas.openxmlformats.org/officeDocument/2006/relationships/hyperlink" Target="https://3arbzfbsh-cname-us.ngrok.io/Desktop/seabridge%20fintech/profit_graph_app/AES_Return.jpg" TargetMode="External"/><Relationship Id="rId730" Type="http://schemas.openxmlformats.org/officeDocument/2006/relationships/hyperlink" Target="https://3arbzfbsh-cname-us.ngrok.io/Desktop/seabridge%20fintech/profit_graph_app/LLY_Return.jpg" TargetMode="External"/><Relationship Id="rId972" Type="http://schemas.openxmlformats.org/officeDocument/2006/relationships/hyperlink" Target="https://3arbzfbsh-cname-us.ngrok.io/Desktop/seabridge%20fintech/profit_graph_app/PLD_Return.jpg" TargetMode="External"/><Relationship Id="rId971" Type="http://schemas.openxmlformats.org/officeDocument/2006/relationships/hyperlink" Target="https://3arbzfbsh-cname-us.ngrok.io/Desktop/seabridge%20fintech/image_app/PLD_resistance_support.jpg" TargetMode="External"/><Relationship Id="rId1320" Type="http://schemas.openxmlformats.org/officeDocument/2006/relationships/hyperlink" Target="https://3arbzfbsh-cname-us.ngrok.io/Desktop/seabridge%20fintech/profit_graph_app/WEC_Return.jpg" TargetMode="External"/><Relationship Id="rId970" Type="http://schemas.openxmlformats.org/officeDocument/2006/relationships/hyperlink" Target="https://3arbzfbsh-cname-us.ngrok.io/Desktop/seabridge%20fintech/profit_graph_app/PLAN_Return.jpg" TargetMode="External"/><Relationship Id="rId1321" Type="http://schemas.openxmlformats.org/officeDocument/2006/relationships/hyperlink" Target="https://3arbzfbsh-cname-us.ngrok.io/Desktop/seabridge%20fintech/image_app/WELL_resistance_support.jpg" TargetMode="External"/><Relationship Id="rId1322" Type="http://schemas.openxmlformats.org/officeDocument/2006/relationships/hyperlink" Target="https://3arbzfbsh-cname-us.ngrok.io/Desktop/seabridge%20fintech/profit_graph_app/WELL_Return.jpg" TargetMode="External"/><Relationship Id="rId1114" Type="http://schemas.openxmlformats.org/officeDocument/2006/relationships/hyperlink" Target="https://3arbzfbsh-cname-us.ngrok.io/Desktop/seabridge%20fintech/profit_graph_app/SPLK_Return.jpg" TargetMode="External"/><Relationship Id="rId1356" Type="http://schemas.openxmlformats.org/officeDocument/2006/relationships/hyperlink" Target="https://3arbzfbsh-cname-us.ngrok.io/Desktop/seabridge%20fintech/profit_graph_app/XLB_Return.jpg" TargetMode="External"/><Relationship Id="rId1115" Type="http://schemas.openxmlformats.org/officeDocument/2006/relationships/hyperlink" Target="https://3arbzfbsh-cname-us.ngrok.io/Desktop/seabridge%20fintech/image_app/SPLV_resistance_support.jpg" TargetMode="External"/><Relationship Id="rId1357" Type="http://schemas.openxmlformats.org/officeDocument/2006/relationships/hyperlink" Target="https://3arbzfbsh-cname-us.ngrok.io/Desktop/seabridge%20fintech/image_app/XLC_resistance_support.jpg" TargetMode="External"/><Relationship Id="rId20" Type="http://schemas.openxmlformats.org/officeDocument/2006/relationships/hyperlink" Target="https://3arbzfbsh-cname-us.ngrok.io/Desktop/seabridge%20fintech/profit_graph_app/ACN_Return.jpg" TargetMode="External"/><Relationship Id="rId1116" Type="http://schemas.openxmlformats.org/officeDocument/2006/relationships/hyperlink" Target="https://3arbzfbsh-cname-us.ngrok.io/Desktop/seabridge%20fintech/profit_graph_app/SPLV_Return.jpg" TargetMode="External"/><Relationship Id="rId1358" Type="http://schemas.openxmlformats.org/officeDocument/2006/relationships/hyperlink" Target="https://3arbzfbsh-cname-us.ngrok.io/Desktop/seabridge%20fintech/profit_graph_app/XLC_Return.jpg" TargetMode="External"/><Relationship Id="rId1117" Type="http://schemas.openxmlformats.org/officeDocument/2006/relationships/hyperlink" Target="https://3arbzfbsh-cname-us.ngrok.io/Desktop/seabridge%20fintech/image_app/SPWR_resistance_support.jpg" TargetMode="External"/><Relationship Id="rId1359" Type="http://schemas.openxmlformats.org/officeDocument/2006/relationships/hyperlink" Target="https://3arbzfbsh-cname-us.ngrok.io/Desktop/seabridge%20fintech/image_app/XLE_resistance_support.jpg" TargetMode="External"/><Relationship Id="rId22" Type="http://schemas.openxmlformats.org/officeDocument/2006/relationships/hyperlink" Target="https://3arbzfbsh-cname-us.ngrok.io/Desktop/seabridge%20fintech/profit_graph_app/ADBE_Return.jpg" TargetMode="External"/><Relationship Id="rId1118" Type="http://schemas.openxmlformats.org/officeDocument/2006/relationships/hyperlink" Target="https://3arbzfbsh-cname-us.ngrok.io/Desktop/seabridge%20fintech/profit_graph_app/SPWR_Return.jpg" TargetMode="External"/><Relationship Id="rId21" Type="http://schemas.openxmlformats.org/officeDocument/2006/relationships/hyperlink" Target="https://3arbzfbsh-cname-us.ngrok.io/Desktop/seabridge%20fintech/image_app/ADBE_resistance_support.jpg" TargetMode="External"/><Relationship Id="rId1119" Type="http://schemas.openxmlformats.org/officeDocument/2006/relationships/hyperlink" Target="https://3arbzfbsh-cname-us.ngrok.io/Desktop/seabridge%20fintech/image_app/SPY_resistance_support.jpg" TargetMode="External"/><Relationship Id="rId24" Type="http://schemas.openxmlformats.org/officeDocument/2006/relationships/hyperlink" Target="https://3arbzfbsh-cname-us.ngrok.io/Desktop/seabridge%20fintech/profit_graph_app/ADI_Return.jpg" TargetMode="External"/><Relationship Id="rId23" Type="http://schemas.openxmlformats.org/officeDocument/2006/relationships/hyperlink" Target="https://3arbzfbsh-cname-us.ngrok.io/Desktop/seabridge%20fintech/image_app/ADI_resistance_support.jpg" TargetMode="External"/><Relationship Id="rId525" Type="http://schemas.openxmlformats.org/officeDocument/2006/relationships/hyperlink" Target="https://3arbzfbsh-cname-us.ngrok.io/Desktop/seabridge%20fintech/image_app/GPS_resistance_support.jpg" TargetMode="External"/><Relationship Id="rId767" Type="http://schemas.openxmlformats.org/officeDocument/2006/relationships/hyperlink" Target="https://3arbzfbsh-cname-us.ngrok.io/Desktop/seabridge%20fintech/image_app/MAR_resistance_support.jpg" TargetMode="External"/><Relationship Id="rId524" Type="http://schemas.openxmlformats.org/officeDocument/2006/relationships/hyperlink" Target="https://3arbzfbsh-cname-us.ngrok.io/Desktop/seabridge%20fintech/profit_graph_app/GPN_Return.jpg" TargetMode="External"/><Relationship Id="rId766" Type="http://schemas.openxmlformats.org/officeDocument/2006/relationships/hyperlink" Target="https://3arbzfbsh-cname-us.ngrok.io/Desktop/seabridge%20fintech/profit_graph_app/MAA_Return.jpg" TargetMode="External"/><Relationship Id="rId523" Type="http://schemas.openxmlformats.org/officeDocument/2006/relationships/hyperlink" Target="https://3arbzfbsh-cname-us.ngrok.io/Desktop/seabridge%20fintech/image_app/GPN_resistance_support.jpg" TargetMode="External"/><Relationship Id="rId765" Type="http://schemas.openxmlformats.org/officeDocument/2006/relationships/hyperlink" Target="https://3arbzfbsh-cname-us.ngrok.io/Desktop/seabridge%20fintech/image_app/MAA_resistance_support.jpg" TargetMode="External"/><Relationship Id="rId522" Type="http://schemas.openxmlformats.org/officeDocument/2006/relationships/hyperlink" Target="https://3arbzfbsh-cname-us.ngrok.io/Desktop/seabridge%20fintech/profit_graph_app/GPC_Return.jpg" TargetMode="External"/><Relationship Id="rId764" Type="http://schemas.openxmlformats.org/officeDocument/2006/relationships/hyperlink" Target="https://3arbzfbsh-cname-us.ngrok.io/Desktop/seabridge%20fintech/profit_graph_app/MA_Return.jpg" TargetMode="External"/><Relationship Id="rId529" Type="http://schemas.openxmlformats.org/officeDocument/2006/relationships/hyperlink" Target="https://3arbzfbsh-cname-us.ngrok.io/Desktop/seabridge%20fintech/image_app/GS_resistance_support.jpg" TargetMode="External"/><Relationship Id="rId528" Type="http://schemas.openxmlformats.org/officeDocument/2006/relationships/hyperlink" Target="https://3arbzfbsh-cname-us.ngrok.io/Desktop/seabridge%20fintech/profit_graph_app/GRMN_Return.jpg" TargetMode="External"/><Relationship Id="rId527" Type="http://schemas.openxmlformats.org/officeDocument/2006/relationships/hyperlink" Target="https://3arbzfbsh-cname-us.ngrok.io/Desktop/seabridge%20fintech/image_app/GRMN_resistance_support.jpg" TargetMode="External"/><Relationship Id="rId769" Type="http://schemas.openxmlformats.org/officeDocument/2006/relationships/hyperlink" Target="https://3arbzfbsh-cname-us.ngrok.io/Desktop/seabridge%20fintech/image_app/MARA_resistance_support.jpg" TargetMode="External"/><Relationship Id="rId526" Type="http://schemas.openxmlformats.org/officeDocument/2006/relationships/hyperlink" Target="https://3arbzfbsh-cname-us.ngrok.io/Desktop/seabridge%20fintech/profit_graph_app/GPS_Return.jpg" TargetMode="External"/><Relationship Id="rId768" Type="http://schemas.openxmlformats.org/officeDocument/2006/relationships/hyperlink" Target="https://3arbzfbsh-cname-us.ngrok.io/Desktop/seabridge%20fintech/profit_graph_app/MAR_Return.jpg" TargetMode="External"/><Relationship Id="rId26" Type="http://schemas.openxmlformats.org/officeDocument/2006/relationships/hyperlink" Target="https://3arbzfbsh-cname-us.ngrok.io/Desktop/seabridge%20fintech/profit_graph_app/ADM_Return.jpg" TargetMode="External"/><Relationship Id="rId25" Type="http://schemas.openxmlformats.org/officeDocument/2006/relationships/hyperlink" Target="https://3arbzfbsh-cname-us.ngrok.io/Desktop/seabridge%20fintech/image_app/ADM_resistance_support.jpg" TargetMode="External"/><Relationship Id="rId28" Type="http://schemas.openxmlformats.org/officeDocument/2006/relationships/hyperlink" Target="https://3arbzfbsh-cname-us.ngrok.io/Desktop/seabridge%20fintech/profit_graph_app/ADP_Return.jpg" TargetMode="External"/><Relationship Id="rId1350" Type="http://schemas.openxmlformats.org/officeDocument/2006/relationships/hyperlink" Target="https://3arbzfbsh-cname-us.ngrok.io/Desktop/seabridge%20fintech/profit_graph_app/WYNN_Return.jpg" TargetMode="External"/><Relationship Id="rId27" Type="http://schemas.openxmlformats.org/officeDocument/2006/relationships/hyperlink" Target="https://3arbzfbsh-cname-us.ngrok.io/Desktop/seabridge%20fintech/image_app/ADP_resistance_support.jpg" TargetMode="External"/><Relationship Id="rId1351" Type="http://schemas.openxmlformats.org/officeDocument/2006/relationships/hyperlink" Target="https://3arbzfbsh-cname-us.ngrok.io/Desktop/seabridge%20fintech/image_app/XBI_resistance_support.jpg" TargetMode="External"/><Relationship Id="rId521" Type="http://schemas.openxmlformats.org/officeDocument/2006/relationships/hyperlink" Target="https://3arbzfbsh-cname-us.ngrok.io/Desktop/seabridge%20fintech/image_app/GPC_resistance_support.jpg" TargetMode="External"/><Relationship Id="rId763" Type="http://schemas.openxmlformats.org/officeDocument/2006/relationships/hyperlink" Target="https://3arbzfbsh-cname-us.ngrok.io/Desktop/seabridge%20fintech/image_app/MA_resistance_support.jpg" TargetMode="External"/><Relationship Id="rId1110" Type="http://schemas.openxmlformats.org/officeDocument/2006/relationships/hyperlink" Target="https://3arbzfbsh-cname-us.ngrok.io/Desktop/seabridge%20fintech/profit_graph_app/SPGI_Return.jpg" TargetMode="External"/><Relationship Id="rId1352" Type="http://schemas.openxmlformats.org/officeDocument/2006/relationships/hyperlink" Target="https://3arbzfbsh-cname-us.ngrok.io/Desktop/seabridge%20fintech/profit_graph_app/XBI_Return.jpg" TargetMode="External"/><Relationship Id="rId29" Type="http://schemas.openxmlformats.org/officeDocument/2006/relationships/hyperlink" Target="https://3arbzfbsh-cname-us.ngrok.io/Desktop/seabridge%20fintech/image_app/ADSK_resistance_support.jpg" TargetMode="External"/><Relationship Id="rId520" Type="http://schemas.openxmlformats.org/officeDocument/2006/relationships/hyperlink" Target="https://3arbzfbsh-cname-us.ngrok.io/Desktop/seabridge%20fintech/profit_graph_app/GOVT_Return.jpg" TargetMode="External"/><Relationship Id="rId762" Type="http://schemas.openxmlformats.org/officeDocument/2006/relationships/hyperlink" Target="https://3arbzfbsh-cname-us.ngrok.io/Desktop/seabridge%20fintech/profit_graph_app/LYV_Return.jpg" TargetMode="External"/><Relationship Id="rId1111" Type="http://schemas.openxmlformats.org/officeDocument/2006/relationships/hyperlink" Target="https://3arbzfbsh-cname-us.ngrok.io/Desktop/seabridge%20fintech/image_app/SPIB_resistance_support.jpg" TargetMode="External"/><Relationship Id="rId1353" Type="http://schemas.openxmlformats.org/officeDocument/2006/relationships/hyperlink" Target="https://3arbzfbsh-cname-us.ngrok.io/Desktop/seabridge%20fintech/image_app/XEL_resistance_support.jpg" TargetMode="External"/><Relationship Id="rId761" Type="http://schemas.openxmlformats.org/officeDocument/2006/relationships/hyperlink" Target="https://3arbzfbsh-cname-us.ngrok.io/Desktop/seabridge%20fintech/image_app/LYV_resistance_support.jpg" TargetMode="External"/><Relationship Id="rId1112" Type="http://schemas.openxmlformats.org/officeDocument/2006/relationships/hyperlink" Target="https://3arbzfbsh-cname-us.ngrok.io/Desktop/seabridge%20fintech/profit_graph_app/SPIB_Return.jpg" TargetMode="External"/><Relationship Id="rId1354" Type="http://schemas.openxmlformats.org/officeDocument/2006/relationships/hyperlink" Target="https://3arbzfbsh-cname-us.ngrok.io/Desktop/seabridge%20fintech/profit_graph_app/XEL_Return.jpg" TargetMode="External"/><Relationship Id="rId760" Type="http://schemas.openxmlformats.org/officeDocument/2006/relationships/hyperlink" Target="https://3arbzfbsh-cname-us.ngrok.io/Desktop/seabridge%20fintech/profit_graph_app/LYFT_Return.jpg" TargetMode="External"/><Relationship Id="rId1113" Type="http://schemas.openxmlformats.org/officeDocument/2006/relationships/hyperlink" Target="https://3arbzfbsh-cname-us.ngrok.io/Desktop/seabridge%20fintech/image_app/SPLK_resistance_support.jpg" TargetMode="External"/><Relationship Id="rId1355" Type="http://schemas.openxmlformats.org/officeDocument/2006/relationships/hyperlink" Target="https://3arbzfbsh-cname-us.ngrok.io/Desktop/seabridge%20fintech/image_app/XLB_resistance_support.jpg" TargetMode="External"/><Relationship Id="rId1103" Type="http://schemas.openxmlformats.org/officeDocument/2006/relationships/hyperlink" Target="https://3arbzfbsh-cname-us.ngrok.io/Desktop/seabridge%20fintech/image_app/SONO_resistance_support.jpg" TargetMode="External"/><Relationship Id="rId1345" Type="http://schemas.openxmlformats.org/officeDocument/2006/relationships/hyperlink" Target="https://3arbzfbsh-cname-us.ngrok.io/Desktop/seabridge%20fintech/image_app/WU_resistance_support.jpg" TargetMode="External"/><Relationship Id="rId1104" Type="http://schemas.openxmlformats.org/officeDocument/2006/relationships/hyperlink" Target="https://3arbzfbsh-cname-us.ngrok.io/Desktop/seabridge%20fintech/profit_graph_app/SONO_Return.jpg" TargetMode="External"/><Relationship Id="rId1346" Type="http://schemas.openxmlformats.org/officeDocument/2006/relationships/hyperlink" Target="https://3arbzfbsh-cname-us.ngrok.io/Desktop/seabridge%20fintech/profit_graph_app/WU_Return.jpg" TargetMode="External"/><Relationship Id="rId1105" Type="http://schemas.openxmlformats.org/officeDocument/2006/relationships/hyperlink" Target="https://3arbzfbsh-cname-us.ngrok.io/Desktop/seabridge%20fintech/image_app/SPCE_resistance_support.jpg" TargetMode="External"/><Relationship Id="rId1347" Type="http://schemas.openxmlformats.org/officeDocument/2006/relationships/hyperlink" Target="https://3arbzfbsh-cname-us.ngrok.io/Desktop/seabridge%20fintech/image_app/WY_resistance_support.jpg" TargetMode="External"/><Relationship Id="rId1106" Type="http://schemas.openxmlformats.org/officeDocument/2006/relationships/hyperlink" Target="https://3arbzfbsh-cname-us.ngrok.io/Desktop/seabridge%20fintech/profit_graph_app/SPCE_Return.jpg" TargetMode="External"/><Relationship Id="rId1348" Type="http://schemas.openxmlformats.org/officeDocument/2006/relationships/hyperlink" Target="https://3arbzfbsh-cname-us.ngrok.io/Desktop/seabridge%20fintech/profit_graph_app/WY_Return.jpg" TargetMode="External"/><Relationship Id="rId11" Type="http://schemas.openxmlformats.org/officeDocument/2006/relationships/hyperlink" Target="https://3arbzfbsh-cname-us.ngrok.io/Desktop/seabridge%20fintech/image_app/ABBV_resistance_support.jpg" TargetMode="External"/><Relationship Id="rId1107" Type="http://schemas.openxmlformats.org/officeDocument/2006/relationships/hyperlink" Target="https://3arbzfbsh-cname-us.ngrok.io/Desktop/seabridge%20fintech/image_app/SPG_resistance_support.jpg" TargetMode="External"/><Relationship Id="rId1349" Type="http://schemas.openxmlformats.org/officeDocument/2006/relationships/hyperlink" Target="https://3arbzfbsh-cname-us.ngrok.io/Desktop/seabridge%20fintech/image_app/WYNN_resistance_support.jpg" TargetMode="External"/><Relationship Id="rId10" Type="http://schemas.openxmlformats.org/officeDocument/2006/relationships/hyperlink" Target="https://3arbzfbsh-cname-us.ngrok.io/Desktop/seabridge%20fintech/profit_graph_app/AAPL_Return.jpg" TargetMode="External"/><Relationship Id="rId1108" Type="http://schemas.openxmlformats.org/officeDocument/2006/relationships/hyperlink" Target="https://3arbzfbsh-cname-us.ngrok.io/Desktop/seabridge%20fintech/profit_graph_app/SPG_Return.jpg" TargetMode="External"/><Relationship Id="rId13" Type="http://schemas.openxmlformats.org/officeDocument/2006/relationships/hyperlink" Target="https://3arbzfbsh-cname-us.ngrok.io/Desktop/seabridge%20fintech/image_app/ABC_resistance_support.jpg" TargetMode="External"/><Relationship Id="rId1109" Type="http://schemas.openxmlformats.org/officeDocument/2006/relationships/hyperlink" Target="https://3arbzfbsh-cname-us.ngrok.io/Desktop/seabridge%20fintech/image_app/SPGI_resistance_support.jpg" TargetMode="External"/><Relationship Id="rId12" Type="http://schemas.openxmlformats.org/officeDocument/2006/relationships/hyperlink" Target="https://3arbzfbsh-cname-us.ngrok.io/Desktop/seabridge%20fintech/profit_graph_app/ABBV_Return.jpg" TargetMode="External"/><Relationship Id="rId519" Type="http://schemas.openxmlformats.org/officeDocument/2006/relationships/hyperlink" Target="https://3arbzfbsh-cname-us.ngrok.io/Desktop/seabridge%20fintech/image_app/GOVT_resistance_support.jpg" TargetMode="External"/><Relationship Id="rId514" Type="http://schemas.openxmlformats.org/officeDocument/2006/relationships/hyperlink" Target="https://3arbzfbsh-cname-us.ngrok.io/Desktop/seabridge%20fintech/profit_graph_app/GNRC_Return.jpg" TargetMode="External"/><Relationship Id="rId756" Type="http://schemas.openxmlformats.org/officeDocument/2006/relationships/hyperlink" Target="https://3arbzfbsh-cname-us.ngrok.io/Desktop/seabridge%20fintech/profit_graph_app/LW_Return.jpg" TargetMode="External"/><Relationship Id="rId998" Type="http://schemas.openxmlformats.org/officeDocument/2006/relationships/hyperlink" Target="https://3arbzfbsh-cname-us.ngrok.io/Desktop/seabridge%20fintech/profit_graph_app/PSX_Return.jpg" TargetMode="External"/><Relationship Id="rId513" Type="http://schemas.openxmlformats.org/officeDocument/2006/relationships/hyperlink" Target="https://3arbzfbsh-cname-us.ngrok.io/Desktop/seabridge%20fintech/image_app/GNRC_resistance_support.jpg" TargetMode="External"/><Relationship Id="rId755" Type="http://schemas.openxmlformats.org/officeDocument/2006/relationships/hyperlink" Target="https://3arbzfbsh-cname-us.ngrok.io/Desktop/seabridge%20fintech/image_app/LW_resistance_support.jpg" TargetMode="External"/><Relationship Id="rId997" Type="http://schemas.openxmlformats.org/officeDocument/2006/relationships/hyperlink" Target="https://3arbzfbsh-cname-us.ngrok.io/Desktop/seabridge%20fintech/image_app/PSX_resistance_support.jpg" TargetMode="External"/><Relationship Id="rId512" Type="http://schemas.openxmlformats.org/officeDocument/2006/relationships/hyperlink" Target="https://3arbzfbsh-cname-us.ngrok.io/Desktop/seabridge%20fintech/profit_graph_app/GME_Return.jpg" TargetMode="External"/><Relationship Id="rId754" Type="http://schemas.openxmlformats.org/officeDocument/2006/relationships/hyperlink" Target="https://3arbzfbsh-cname-us.ngrok.io/Desktop/seabridge%20fintech/profit_graph_app/LVS_Return.jpg" TargetMode="External"/><Relationship Id="rId996" Type="http://schemas.openxmlformats.org/officeDocument/2006/relationships/hyperlink" Target="https://3arbzfbsh-cname-us.ngrok.io/Desktop/seabridge%20fintech/profit_graph_app/PSA_Return.jpg" TargetMode="External"/><Relationship Id="rId511" Type="http://schemas.openxmlformats.org/officeDocument/2006/relationships/hyperlink" Target="https://3arbzfbsh-cname-us.ngrok.io/Desktop/seabridge%20fintech/image_app/GME_resistance_support.jpg" TargetMode="External"/><Relationship Id="rId753" Type="http://schemas.openxmlformats.org/officeDocument/2006/relationships/hyperlink" Target="https://3arbzfbsh-cname-us.ngrok.io/Desktop/seabridge%20fintech/image_app/LVS_resistance_support.jpg" TargetMode="External"/><Relationship Id="rId995" Type="http://schemas.openxmlformats.org/officeDocument/2006/relationships/hyperlink" Target="https://3arbzfbsh-cname-us.ngrok.io/Desktop/seabridge%20fintech/image_app/PSA_resistance_support.jpg" TargetMode="External"/><Relationship Id="rId518" Type="http://schemas.openxmlformats.org/officeDocument/2006/relationships/hyperlink" Target="https://3arbzfbsh-cname-us.ngrok.io/Desktop/seabridge%20fintech/profit_graph_app/GOOGL_Return.jpg" TargetMode="External"/><Relationship Id="rId517" Type="http://schemas.openxmlformats.org/officeDocument/2006/relationships/hyperlink" Target="https://3arbzfbsh-cname-us.ngrok.io/Desktop/seabridge%20fintech/image_app/GOOGL_resistance_support.jpg" TargetMode="External"/><Relationship Id="rId759" Type="http://schemas.openxmlformats.org/officeDocument/2006/relationships/hyperlink" Target="https://3arbzfbsh-cname-us.ngrok.io/Desktop/seabridge%20fintech/image_app/LYFT_resistance_support.jpg" TargetMode="External"/><Relationship Id="rId516" Type="http://schemas.openxmlformats.org/officeDocument/2006/relationships/hyperlink" Target="https://3arbzfbsh-cname-us.ngrok.io/Desktop/seabridge%20fintech/profit_graph_app/GOOG_Return.jpg" TargetMode="External"/><Relationship Id="rId758" Type="http://schemas.openxmlformats.org/officeDocument/2006/relationships/hyperlink" Target="https://3arbzfbsh-cname-us.ngrok.io/Desktop/seabridge%20fintech/profit_graph_app/LYB_Return.jpg" TargetMode="External"/><Relationship Id="rId515" Type="http://schemas.openxmlformats.org/officeDocument/2006/relationships/hyperlink" Target="https://3arbzfbsh-cname-us.ngrok.io/Desktop/seabridge%20fintech/image_app/GOOG_resistance_support.jpg" TargetMode="External"/><Relationship Id="rId757" Type="http://schemas.openxmlformats.org/officeDocument/2006/relationships/hyperlink" Target="https://3arbzfbsh-cname-us.ngrok.io/Desktop/seabridge%20fintech/image_app/LYB_resistance_support.jpg" TargetMode="External"/><Relationship Id="rId999" Type="http://schemas.openxmlformats.org/officeDocument/2006/relationships/hyperlink" Target="https://3arbzfbsh-cname-us.ngrok.io/Desktop/seabridge%20fintech/image_app/PTC_resistance_support.jpg" TargetMode="External"/><Relationship Id="rId15" Type="http://schemas.openxmlformats.org/officeDocument/2006/relationships/hyperlink" Target="https://3arbzfbsh-cname-us.ngrok.io/Desktop/seabridge%20fintech/image_app/ABMD_resistance_support.jpg" TargetMode="External"/><Relationship Id="rId990" Type="http://schemas.openxmlformats.org/officeDocument/2006/relationships/hyperlink" Target="https://3arbzfbsh-cname-us.ngrok.io/Desktop/seabridge%20fintech/profit_graph_app/PRGO_Return.jpg" TargetMode="External"/><Relationship Id="rId14" Type="http://schemas.openxmlformats.org/officeDocument/2006/relationships/hyperlink" Target="https://3arbzfbsh-cname-us.ngrok.io/Desktop/seabridge%20fintech/profit_graph_app/ABC_Return.jpg" TargetMode="External"/><Relationship Id="rId17" Type="http://schemas.openxmlformats.org/officeDocument/2006/relationships/hyperlink" Target="https://3arbzfbsh-cname-us.ngrok.io/Desktop/seabridge%20fintech/image_app/ABT_resistance_support.jpg" TargetMode="External"/><Relationship Id="rId16" Type="http://schemas.openxmlformats.org/officeDocument/2006/relationships/hyperlink" Target="https://3arbzfbsh-cname-us.ngrok.io/Desktop/seabridge%20fintech/profit_graph_app/ABMD_Return.jpg" TargetMode="External"/><Relationship Id="rId1340" Type="http://schemas.openxmlformats.org/officeDocument/2006/relationships/hyperlink" Target="https://3arbzfbsh-cname-us.ngrok.io/Desktop/seabridge%20fintech/profit_graph_app/WRK_Return.jpg" TargetMode="External"/><Relationship Id="rId19" Type="http://schemas.openxmlformats.org/officeDocument/2006/relationships/hyperlink" Target="https://3arbzfbsh-cname-us.ngrok.io/Desktop/seabridge%20fintech/image_app/ACN_resistance_support.jpg" TargetMode="External"/><Relationship Id="rId510" Type="http://schemas.openxmlformats.org/officeDocument/2006/relationships/hyperlink" Target="https://3arbzfbsh-cname-us.ngrok.io/Desktop/seabridge%20fintech/profit_graph_app/GM_Return.jpg" TargetMode="External"/><Relationship Id="rId752" Type="http://schemas.openxmlformats.org/officeDocument/2006/relationships/hyperlink" Target="https://3arbzfbsh-cname-us.ngrok.io/Desktop/seabridge%20fintech/profit_graph_app/LUV_Return.jpg" TargetMode="External"/><Relationship Id="rId994" Type="http://schemas.openxmlformats.org/officeDocument/2006/relationships/hyperlink" Target="https://3arbzfbsh-cname-us.ngrok.io/Desktop/seabridge%20fintech/profit_graph_app/PRU_Return.jpg" TargetMode="External"/><Relationship Id="rId1341" Type="http://schemas.openxmlformats.org/officeDocument/2006/relationships/hyperlink" Target="https://3arbzfbsh-cname-us.ngrok.io/Desktop/seabridge%20fintech/image_app/WSC_resistance_support.jpg" TargetMode="External"/><Relationship Id="rId18" Type="http://schemas.openxmlformats.org/officeDocument/2006/relationships/hyperlink" Target="https://3arbzfbsh-cname-us.ngrok.io/Desktop/seabridge%20fintech/profit_graph_app/ABT_Return.jpg" TargetMode="External"/><Relationship Id="rId751" Type="http://schemas.openxmlformats.org/officeDocument/2006/relationships/hyperlink" Target="https://3arbzfbsh-cname-us.ngrok.io/Desktop/seabridge%20fintech/image_app/LUV_resistance_support.jpg" TargetMode="External"/><Relationship Id="rId993" Type="http://schemas.openxmlformats.org/officeDocument/2006/relationships/hyperlink" Target="https://3arbzfbsh-cname-us.ngrok.io/Desktop/seabridge%20fintech/image_app/PRU_resistance_support.jpg" TargetMode="External"/><Relationship Id="rId1100" Type="http://schemas.openxmlformats.org/officeDocument/2006/relationships/hyperlink" Target="https://3arbzfbsh-cname-us.ngrok.io/Desktop/seabridge%20fintech/profit_graph_app/SNPS_Return.jpg" TargetMode="External"/><Relationship Id="rId1342" Type="http://schemas.openxmlformats.org/officeDocument/2006/relationships/hyperlink" Target="https://3arbzfbsh-cname-us.ngrok.io/Desktop/seabridge%20fintech/profit_graph_app/WSC_Return.jpg" TargetMode="External"/><Relationship Id="rId750" Type="http://schemas.openxmlformats.org/officeDocument/2006/relationships/hyperlink" Target="https://3arbzfbsh-cname-us.ngrok.io/Desktop/seabridge%20fintech/profit_graph_app/LUMN_Return.jpg" TargetMode="External"/><Relationship Id="rId992" Type="http://schemas.openxmlformats.org/officeDocument/2006/relationships/hyperlink" Target="https://3arbzfbsh-cname-us.ngrok.io/Desktop/seabridge%20fintech/profit_graph_app/PRSP_Return.jpg" TargetMode="External"/><Relationship Id="rId1101" Type="http://schemas.openxmlformats.org/officeDocument/2006/relationships/hyperlink" Target="https://3arbzfbsh-cname-us.ngrok.io/Desktop/seabridge%20fintech/image_app/SO_resistance_support.jpg" TargetMode="External"/><Relationship Id="rId1343" Type="http://schemas.openxmlformats.org/officeDocument/2006/relationships/hyperlink" Target="https://3arbzfbsh-cname-us.ngrok.io/Desktop/seabridge%20fintech/image_app/WST_resistance_support.jpg" TargetMode="External"/><Relationship Id="rId991" Type="http://schemas.openxmlformats.org/officeDocument/2006/relationships/hyperlink" Target="https://3arbzfbsh-cname-us.ngrok.io/Desktop/seabridge%20fintech/image_app/PRSP_resistance_support.jpg" TargetMode="External"/><Relationship Id="rId1102" Type="http://schemas.openxmlformats.org/officeDocument/2006/relationships/hyperlink" Target="https://3arbzfbsh-cname-us.ngrok.io/Desktop/seabridge%20fintech/profit_graph_app/SO_Return.jpg" TargetMode="External"/><Relationship Id="rId1344" Type="http://schemas.openxmlformats.org/officeDocument/2006/relationships/hyperlink" Target="https://3arbzfbsh-cname-us.ngrok.io/Desktop/seabridge%20fintech/profit_graph_app/WST_Return.jpg" TargetMode="External"/><Relationship Id="rId84" Type="http://schemas.openxmlformats.org/officeDocument/2006/relationships/hyperlink" Target="https://3arbzfbsh-cname-us.ngrok.io/Desktop/seabridge%20fintech/profit_graph_app/AMT_Return.jpg" TargetMode="External"/><Relationship Id="rId83" Type="http://schemas.openxmlformats.org/officeDocument/2006/relationships/hyperlink" Target="https://3arbzfbsh-cname-us.ngrok.io/Desktop/seabridge%20fintech/image_app/AMT_resistance_support.jpg" TargetMode="External"/><Relationship Id="rId86" Type="http://schemas.openxmlformats.org/officeDocument/2006/relationships/hyperlink" Target="https://3arbzfbsh-cname-us.ngrok.io/Desktop/seabridge%20fintech/profit_graph_app/AMZN_Return.jpg" TargetMode="External"/><Relationship Id="rId85" Type="http://schemas.openxmlformats.org/officeDocument/2006/relationships/hyperlink" Target="https://3arbzfbsh-cname-us.ngrok.io/Desktop/seabridge%20fintech/image_app/AMZN_resistance_support.jpg" TargetMode="External"/><Relationship Id="rId88" Type="http://schemas.openxmlformats.org/officeDocument/2006/relationships/hyperlink" Target="https://3arbzfbsh-cname-us.ngrok.io/Desktop/seabridge%20fintech/profit_graph_app/ANET_Return.jpg" TargetMode="External"/><Relationship Id="rId87" Type="http://schemas.openxmlformats.org/officeDocument/2006/relationships/hyperlink" Target="https://3arbzfbsh-cname-us.ngrok.io/Desktop/seabridge%20fintech/image_app/ANET_resistance_support.jpg" TargetMode="External"/><Relationship Id="rId89" Type="http://schemas.openxmlformats.org/officeDocument/2006/relationships/hyperlink" Target="https://3arbzfbsh-cname-us.ngrok.io/Desktop/seabridge%20fintech/image_app/ANSS_resistance_support.jpg" TargetMode="External"/><Relationship Id="rId709" Type="http://schemas.openxmlformats.org/officeDocument/2006/relationships/hyperlink" Target="https://3arbzfbsh-cname-us.ngrok.io/Desktop/seabridge%20fintech/image_app/L_resistance_support.jpg" TargetMode="External"/><Relationship Id="rId708" Type="http://schemas.openxmlformats.org/officeDocument/2006/relationships/hyperlink" Target="https://3arbzfbsh-cname-us.ngrok.io/Desktop/seabridge%20fintech/profit_graph_app/KWEB_Return.jpg" TargetMode="External"/><Relationship Id="rId707" Type="http://schemas.openxmlformats.org/officeDocument/2006/relationships/hyperlink" Target="https://3arbzfbsh-cname-us.ngrok.io/Desktop/seabridge%20fintech/image_app/KWEB_resistance_support.jpg" TargetMode="External"/><Relationship Id="rId949" Type="http://schemas.openxmlformats.org/officeDocument/2006/relationships/hyperlink" Target="https://3arbzfbsh-cname-us.ngrok.io/Desktop/seabridge%20fintech/image_app/PFE_resistance_support.jpg" TargetMode="External"/><Relationship Id="rId706" Type="http://schemas.openxmlformats.org/officeDocument/2006/relationships/hyperlink" Target="https://3arbzfbsh-cname-us.ngrok.io/Desktop/seabridge%20fintech/profit_graph_app/KSU_Return.jpg" TargetMode="External"/><Relationship Id="rId948" Type="http://schemas.openxmlformats.org/officeDocument/2006/relationships/hyperlink" Target="https://3arbzfbsh-cname-us.ngrok.io/Desktop/seabridge%20fintech/profit_graph_app/PEP_Return.jpg" TargetMode="External"/><Relationship Id="rId80" Type="http://schemas.openxmlformats.org/officeDocument/2006/relationships/hyperlink" Target="https://3arbzfbsh-cname-us.ngrok.io/Desktop/seabridge%20fintech/profit_graph_app/AMLP_Return.jpg" TargetMode="External"/><Relationship Id="rId82" Type="http://schemas.openxmlformats.org/officeDocument/2006/relationships/hyperlink" Target="https://3arbzfbsh-cname-us.ngrok.io/Desktop/seabridge%20fintech/profit_graph_app/AMP_Return.jpg" TargetMode="External"/><Relationship Id="rId81" Type="http://schemas.openxmlformats.org/officeDocument/2006/relationships/hyperlink" Target="https://3arbzfbsh-cname-us.ngrok.io/Desktop/seabridge%20fintech/image_app/AMP_resistance_support.jpg" TargetMode="External"/><Relationship Id="rId701" Type="http://schemas.openxmlformats.org/officeDocument/2006/relationships/hyperlink" Target="https://3arbzfbsh-cname-us.ngrok.io/Desktop/seabridge%20fintech/image_app/KRE_resistance_support.jpg" TargetMode="External"/><Relationship Id="rId943" Type="http://schemas.openxmlformats.org/officeDocument/2006/relationships/hyperlink" Target="https://3arbzfbsh-cname-us.ngrok.io/Desktop/seabridge%20fintech/image_app/PEG_resistance_support.jpg" TargetMode="External"/><Relationship Id="rId700" Type="http://schemas.openxmlformats.org/officeDocument/2006/relationships/hyperlink" Target="https://3arbzfbsh-cname-us.ngrok.io/Desktop/seabridge%20fintech/profit_graph_app/KR_Return.jpg" TargetMode="External"/><Relationship Id="rId942" Type="http://schemas.openxmlformats.org/officeDocument/2006/relationships/hyperlink" Target="https://3arbzfbsh-cname-us.ngrok.io/Desktop/seabridge%20fintech/profit_graph_app/PEAK_Return.jpg" TargetMode="External"/><Relationship Id="rId941" Type="http://schemas.openxmlformats.org/officeDocument/2006/relationships/hyperlink" Target="https://3arbzfbsh-cname-us.ngrok.io/Desktop/seabridge%20fintech/image_app/PEAK_resistance_support.jpg" TargetMode="External"/><Relationship Id="rId940" Type="http://schemas.openxmlformats.org/officeDocument/2006/relationships/hyperlink" Target="https://3arbzfbsh-cname-us.ngrok.io/Desktop/seabridge%20fintech/profit_graph_app/PDD_Return.jpg" TargetMode="External"/><Relationship Id="rId705" Type="http://schemas.openxmlformats.org/officeDocument/2006/relationships/hyperlink" Target="https://3arbzfbsh-cname-us.ngrok.io/Desktop/seabridge%20fintech/image_app/KSU_resistance_support.jpg" TargetMode="External"/><Relationship Id="rId947" Type="http://schemas.openxmlformats.org/officeDocument/2006/relationships/hyperlink" Target="https://3arbzfbsh-cname-us.ngrok.io/Desktop/seabridge%20fintech/image_app/PEP_resistance_support.jpg" TargetMode="External"/><Relationship Id="rId704" Type="http://schemas.openxmlformats.org/officeDocument/2006/relationships/hyperlink" Target="https://3arbzfbsh-cname-us.ngrok.io/Desktop/seabridge%20fintech/profit_graph_app/KSS_Return.jpg" TargetMode="External"/><Relationship Id="rId946" Type="http://schemas.openxmlformats.org/officeDocument/2006/relationships/hyperlink" Target="https://3arbzfbsh-cname-us.ngrok.io/Desktop/seabridge%20fintech/profit_graph_app/PENN_Return.jpg" TargetMode="External"/><Relationship Id="rId703" Type="http://schemas.openxmlformats.org/officeDocument/2006/relationships/hyperlink" Target="https://3arbzfbsh-cname-us.ngrok.io/Desktop/seabridge%20fintech/image_app/KSS_resistance_support.jpg" TargetMode="External"/><Relationship Id="rId945" Type="http://schemas.openxmlformats.org/officeDocument/2006/relationships/hyperlink" Target="https://3arbzfbsh-cname-us.ngrok.io/Desktop/seabridge%20fintech/image_app/PENN_resistance_support.jpg" TargetMode="External"/><Relationship Id="rId702" Type="http://schemas.openxmlformats.org/officeDocument/2006/relationships/hyperlink" Target="https://3arbzfbsh-cname-us.ngrok.io/Desktop/seabridge%20fintech/profit_graph_app/KRE_Return.jpg" TargetMode="External"/><Relationship Id="rId944" Type="http://schemas.openxmlformats.org/officeDocument/2006/relationships/hyperlink" Target="https://3arbzfbsh-cname-us.ngrok.io/Desktop/seabridge%20fintech/profit_graph_app/PEG_Return.jpg" TargetMode="External"/><Relationship Id="rId73" Type="http://schemas.openxmlformats.org/officeDocument/2006/relationships/hyperlink" Target="https://3arbzfbsh-cname-us.ngrok.io/Desktop/seabridge%20fintech/image_app/AMD_resistance_support.jpg" TargetMode="External"/><Relationship Id="rId72" Type="http://schemas.openxmlformats.org/officeDocument/2006/relationships/hyperlink" Target="https://3arbzfbsh-cname-us.ngrok.io/Desktop/seabridge%20fintech/profit_graph_app/AMCR_Return.jpg" TargetMode="External"/><Relationship Id="rId75" Type="http://schemas.openxmlformats.org/officeDocument/2006/relationships/hyperlink" Target="https://3arbzfbsh-cname-us.ngrok.io/Desktop/seabridge%20fintech/image_app/AME_resistance_support.jpg" TargetMode="External"/><Relationship Id="rId74" Type="http://schemas.openxmlformats.org/officeDocument/2006/relationships/hyperlink" Target="https://3arbzfbsh-cname-us.ngrok.io/Desktop/seabridge%20fintech/profit_graph_app/AMD_Return.jpg" TargetMode="External"/><Relationship Id="rId77" Type="http://schemas.openxmlformats.org/officeDocument/2006/relationships/hyperlink" Target="https://3arbzfbsh-cname-us.ngrok.io/Desktop/seabridge%20fintech/image_app/AMGN_resistance_support.jpg" TargetMode="External"/><Relationship Id="rId76" Type="http://schemas.openxmlformats.org/officeDocument/2006/relationships/hyperlink" Target="https://3arbzfbsh-cname-us.ngrok.io/Desktop/seabridge%20fintech/profit_graph_app/AME_Return.jpg" TargetMode="External"/><Relationship Id="rId79" Type="http://schemas.openxmlformats.org/officeDocument/2006/relationships/hyperlink" Target="https://3arbzfbsh-cname-us.ngrok.io/Desktop/seabridge%20fintech/image_app/AMLP_resistance_support.jpg" TargetMode="External"/><Relationship Id="rId78" Type="http://schemas.openxmlformats.org/officeDocument/2006/relationships/hyperlink" Target="https://3arbzfbsh-cname-us.ngrok.io/Desktop/seabridge%20fintech/profit_graph_app/AMGN_Return.jpg" TargetMode="External"/><Relationship Id="rId939" Type="http://schemas.openxmlformats.org/officeDocument/2006/relationships/hyperlink" Target="https://3arbzfbsh-cname-us.ngrok.io/Desktop/seabridge%20fintech/image_app/PDD_resistance_support.jpg" TargetMode="External"/><Relationship Id="rId938" Type="http://schemas.openxmlformats.org/officeDocument/2006/relationships/hyperlink" Target="https://3arbzfbsh-cname-us.ngrok.io/Desktop/seabridge%20fintech/profit_graph_app/PCAR_Return.jpg" TargetMode="External"/><Relationship Id="rId937" Type="http://schemas.openxmlformats.org/officeDocument/2006/relationships/hyperlink" Target="https://3arbzfbsh-cname-us.ngrok.io/Desktop/seabridge%20fintech/image_app/PCAR_resistance_support.jpg" TargetMode="External"/><Relationship Id="rId71" Type="http://schemas.openxmlformats.org/officeDocument/2006/relationships/hyperlink" Target="https://3arbzfbsh-cname-us.ngrok.io/Desktop/seabridge%20fintech/image_app/AMCR_resistance_support.jpg" TargetMode="External"/><Relationship Id="rId70" Type="http://schemas.openxmlformats.org/officeDocument/2006/relationships/hyperlink" Target="https://3arbzfbsh-cname-us.ngrok.io/Desktop/seabridge%20fintech/profit_graph_app/AMC_Return.jpg" TargetMode="External"/><Relationship Id="rId932" Type="http://schemas.openxmlformats.org/officeDocument/2006/relationships/hyperlink" Target="https://3arbzfbsh-cname-us.ngrok.io/Desktop/seabridge%20fintech/profit_graph_app/PAYC_Return.jpg" TargetMode="External"/><Relationship Id="rId931" Type="http://schemas.openxmlformats.org/officeDocument/2006/relationships/hyperlink" Target="https://3arbzfbsh-cname-us.ngrok.io/Desktop/seabridge%20fintech/image_app/PAYC_resistance_support.jpg" TargetMode="External"/><Relationship Id="rId930" Type="http://schemas.openxmlformats.org/officeDocument/2006/relationships/hyperlink" Target="https://3arbzfbsh-cname-us.ngrok.io/Desktop/seabridge%20fintech/profit_graph_app/PACB_Return.jpg" TargetMode="External"/><Relationship Id="rId936" Type="http://schemas.openxmlformats.org/officeDocument/2006/relationships/hyperlink" Target="https://3arbzfbsh-cname-us.ngrok.io/Desktop/seabridge%20fintech/profit_graph_app/PBCT_Return.jpg" TargetMode="External"/><Relationship Id="rId935" Type="http://schemas.openxmlformats.org/officeDocument/2006/relationships/hyperlink" Target="https://3arbzfbsh-cname-us.ngrok.io/Desktop/seabridge%20fintech/image_app/PBCT_resistance_support.jpg" TargetMode="External"/><Relationship Id="rId934" Type="http://schemas.openxmlformats.org/officeDocument/2006/relationships/hyperlink" Target="https://3arbzfbsh-cname-us.ngrok.io/Desktop/seabridge%20fintech/profit_graph_app/PAYX_Return.jpg" TargetMode="External"/><Relationship Id="rId933" Type="http://schemas.openxmlformats.org/officeDocument/2006/relationships/hyperlink" Target="https://3arbzfbsh-cname-us.ngrok.io/Desktop/seabridge%20fintech/image_app/PAYX_resistance_support.jpg" TargetMode="External"/><Relationship Id="rId62" Type="http://schemas.openxmlformats.org/officeDocument/2006/relationships/hyperlink" Target="https://3arbzfbsh-cname-us.ngrok.io/Desktop/seabridge%20fintech/profit_graph_app/ALLE_Return.jpg" TargetMode="External"/><Relationship Id="rId1312" Type="http://schemas.openxmlformats.org/officeDocument/2006/relationships/hyperlink" Target="https://3arbzfbsh-cname-us.ngrok.io/Desktop/seabridge%20fintech/profit_graph_app/WAT_Return.jpg" TargetMode="External"/><Relationship Id="rId61" Type="http://schemas.openxmlformats.org/officeDocument/2006/relationships/hyperlink" Target="https://3arbzfbsh-cname-us.ngrok.io/Desktop/seabridge%20fintech/image_app/ALLE_resistance_support.jpg" TargetMode="External"/><Relationship Id="rId1313" Type="http://schemas.openxmlformats.org/officeDocument/2006/relationships/hyperlink" Target="https://3arbzfbsh-cname-us.ngrok.io/Desktop/seabridge%20fintech/image_app/WBA_resistance_support.jpg" TargetMode="External"/><Relationship Id="rId64" Type="http://schemas.openxmlformats.org/officeDocument/2006/relationships/hyperlink" Target="https://3arbzfbsh-cname-us.ngrok.io/Desktop/seabridge%20fintech/profit_graph_app/ALLY_Return.jpg" TargetMode="External"/><Relationship Id="rId1314" Type="http://schemas.openxmlformats.org/officeDocument/2006/relationships/hyperlink" Target="https://3arbzfbsh-cname-us.ngrok.io/Desktop/seabridge%20fintech/profit_graph_app/WBA_Return.jpg" TargetMode="External"/><Relationship Id="rId63" Type="http://schemas.openxmlformats.org/officeDocument/2006/relationships/hyperlink" Target="https://3arbzfbsh-cname-us.ngrok.io/Desktop/seabridge%20fintech/image_app/ALLY_resistance_support.jpg" TargetMode="External"/><Relationship Id="rId1315" Type="http://schemas.openxmlformats.org/officeDocument/2006/relationships/hyperlink" Target="https://3arbzfbsh-cname-us.ngrok.io/Desktop/seabridge%20fintech/image_app/WDAY_resistance_support.jpg" TargetMode="External"/><Relationship Id="rId66" Type="http://schemas.openxmlformats.org/officeDocument/2006/relationships/hyperlink" Target="https://3arbzfbsh-cname-us.ngrok.io/Desktop/seabridge%20fintech/profit_graph_app/ALXN_Return.jpg" TargetMode="External"/><Relationship Id="rId1316" Type="http://schemas.openxmlformats.org/officeDocument/2006/relationships/hyperlink" Target="https://3arbzfbsh-cname-us.ngrok.io/Desktop/seabridge%20fintech/profit_graph_app/WDAY_Return.jpg" TargetMode="External"/><Relationship Id="rId65" Type="http://schemas.openxmlformats.org/officeDocument/2006/relationships/hyperlink" Target="https://3arbzfbsh-cname-us.ngrok.io/Desktop/seabridge%20fintech/image_app/ALXN_resistance_support.jpg" TargetMode="External"/><Relationship Id="rId1317" Type="http://schemas.openxmlformats.org/officeDocument/2006/relationships/hyperlink" Target="https://3arbzfbsh-cname-us.ngrok.io/Desktop/seabridge%20fintech/image_app/WDC_resistance_support.jpg" TargetMode="External"/><Relationship Id="rId68" Type="http://schemas.openxmlformats.org/officeDocument/2006/relationships/hyperlink" Target="https://3arbzfbsh-cname-us.ngrok.io/Desktop/seabridge%20fintech/profit_graph_app/AMAT_Return.jpg" TargetMode="External"/><Relationship Id="rId1318" Type="http://schemas.openxmlformats.org/officeDocument/2006/relationships/hyperlink" Target="https://3arbzfbsh-cname-us.ngrok.io/Desktop/seabridge%20fintech/profit_graph_app/WDC_Return.jpg" TargetMode="External"/><Relationship Id="rId67" Type="http://schemas.openxmlformats.org/officeDocument/2006/relationships/hyperlink" Target="https://3arbzfbsh-cname-us.ngrok.io/Desktop/seabridge%20fintech/image_app/AMAT_resistance_support.jpg" TargetMode="External"/><Relationship Id="rId1319" Type="http://schemas.openxmlformats.org/officeDocument/2006/relationships/hyperlink" Target="https://3arbzfbsh-cname-us.ngrok.io/Desktop/seabridge%20fintech/image_app/WEC_resistance_support.jpg" TargetMode="External"/><Relationship Id="rId729" Type="http://schemas.openxmlformats.org/officeDocument/2006/relationships/hyperlink" Target="https://3arbzfbsh-cname-us.ngrok.io/Desktop/seabridge%20fintech/image_app/LLY_resistance_support.jpg" TargetMode="External"/><Relationship Id="rId728" Type="http://schemas.openxmlformats.org/officeDocument/2006/relationships/hyperlink" Target="https://3arbzfbsh-cname-us.ngrok.io/Desktop/seabridge%20fintech/profit_graph_app/LKQ_Return.jpg" TargetMode="External"/><Relationship Id="rId60" Type="http://schemas.openxmlformats.org/officeDocument/2006/relationships/hyperlink" Target="https://3arbzfbsh-cname-us.ngrok.io/Desktop/seabridge%20fintech/profit_graph_app/ALL_Return.jpg" TargetMode="External"/><Relationship Id="rId723" Type="http://schemas.openxmlformats.org/officeDocument/2006/relationships/hyperlink" Target="https://3arbzfbsh-cname-us.ngrok.io/Desktop/seabridge%20fintech/image_app/LHX_resistance_support.jpg" TargetMode="External"/><Relationship Id="rId965" Type="http://schemas.openxmlformats.org/officeDocument/2006/relationships/hyperlink" Target="https://3arbzfbsh-cname-us.ngrok.io/Desktop/seabridge%20fintech/image_app/PKG_resistance_support.jpg" TargetMode="External"/><Relationship Id="rId722" Type="http://schemas.openxmlformats.org/officeDocument/2006/relationships/hyperlink" Target="https://3arbzfbsh-cname-us.ngrok.io/Desktop/seabridge%20fintech/profit_graph_app/LH_Return.jpg" TargetMode="External"/><Relationship Id="rId964" Type="http://schemas.openxmlformats.org/officeDocument/2006/relationships/hyperlink" Target="https://3arbzfbsh-cname-us.ngrok.io/Desktop/seabridge%20fintech/profit_graph_app/PINS_Return.jpg" TargetMode="External"/><Relationship Id="rId721" Type="http://schemas.openxmlformats.org/officeDocument/2006/relationships/hyperlink" Target="https://3arbzfbsh-cname-us.ngrok.io/Desktop/seabridge%20fintech/image_app/LH_resistance_support.jpg" TargetMode="External"/><Relationship Id="rId963" Type="http://schemas.openxmlformats.org/officeDocument/2006/relationships/hyperlink" Target="https://3arbzfbsh-cname-us.ngrok.io/Desktop/seabridge%20fintech/image_app/PINS_resistance_support.jpg" TargetMode="External"/><Relationship Id="rId720" Type="http://schemas.openxmlformats.org/officeDocument/2006/relationships/hyperlink" Target="https://3arbzfbsh-cname-us.ngrok.io/Desktop/seabridge%20fintech/profit_graph_app/LESL_Return.jpg" TargetMode="External"/><Relationship Id="rId962" Type="http://schemas.openxmlformats.org/officeDocument/2006/relationships/hyperlink" Target="https://3arbzfbsh-cname-us.ngrok.io/Desktop/seabridge%20fintech/profit_graph_app/PHM_Return.jpg" TargetMode="External"/><Relationship Id="rId727" Type="http://schemas.openxmlformats.org/officeDocument/2006/relationships/hyperlink" Target="https://3arbzfbsh-cname-us.ngrok.io/Desktop/seabridge%20fintech/image_app/LKQ_resistance_support.jpg" TargetMode="External"/><Relationship Id="rId969" Type="http://schemas.openxmlformats.org/officeDocument/2006/relationships/hyperlink" Target="https://3arbzfbsh-cname-us.ngrok.io/Desktop/seabridge%20fintech/image_app/PLAN_resistance_support.jpg" TargetMode="External"/><Relationship Id="rId726" Type="http://schemas.openxmlformats.org/officeDocument/2006/relationships/hyperlink" Target="https://3arbzfbsh-cname-us.ngrok.io/Desktop/seabridge%20fintech/profit_graph_app/LIN_Return.jpg" TargetMode="External"/><Relationship Id="rId968" Type="http://schemas.openxmlformats.org/officeDocument/2006/relationships/hyperlink" Target="https://3arbzfbsh-cname-us.ngrok.io/Desktop/seabridge%20fintech/profit_graph_app/PKI_Return.jpg" TargetMode="External"/><Relationship Id="rId725" Type="http://schemas.openxmlformats.org/officeDocument/2006/relationships/hyperlink" Target="https://3arbzfbsh-cname-us.ngrok.io/Desktop/seabridge%20fintech/image_app/LIN_resistance_support.jpg" TargetMode="External"/><Relationship Id="rId967" Type="http://schemas.openxmlformats.org/officeDocument/2006/relationships/hyperlink" Target="https://3arbzfbsh-cname-us.ngrok.io/Desktop/seabridge%20fintech/image_app/PKI_resistance_support.jpg" TargetMode="External"/><Relationship Id="rId724" Type="http://schemas.openxmlformats.org/officeDocument/2006/relationships/hyperlink" Target="https://3arbzfbsh-cname-us.ngrok.io/Desktop/seabridge%20fintech/profit_graph_app/LHX_Return.jpg" TargetMode="External"/><Relationship Id="rId966" Type="http://schemas.openxmlformats.org/officeDocument/2006/relationships/hyperlink" Target="https://3arbzfbsh-cname-us.ngrok.io/Desktop/seabridge%20fintech/profit_graph_app/PKG_Return.jpg" TargetMode="External"/><Relationship Id="rId69" Type="http://schemas.openxmlformats.org/officeDocument/2006/relationships/hyperlink" Target="https://3arbzfbsh-cname-us.ngrok.io/Desktop/seabridge%20fintech/image_app/AMC_resistance_support.jpg" TargetMode="External"/><Relationship Id="rId961" Type="http://schemas.openxmlformats.org/officeDocument/2006/relationships/hyperlink" Target="https://3arbzfbsh-cname-us.ngrok.io/Desktop/seabridge%20fintech/image_app/PHM_resistance_support.jpg" TargetMode="External"/><Relationship Id="rId960" Type="http://schemas.openxmlformats.org/officeDocument/2006/relationships/hyperlink" Target="https://3arbzfbsh-cname-us.ngrok.io/Desktop/seabridge%20fintech/profit_graph_app/PH_Return.jpg" TargetMode="External"/><Relationship Id="rId1310" Type="http://schemas.openxmlformats.org/officeDocument/2006/relationships/hyperlink" Target="https://3arbzfbsh-cname-us.ngrok.io/Desktop/seabridge%20fintech/profit_graph_app/WAB_Return.jpg" TargetMode="External"/><Relationship Id="rId1311" Type="http://schemas.openxmlformats.org/officeDocument/2006/relationships/hyperlink" Target="https://3arbzfbsh-cname-us.ngrok.io/Desktop/seabridge%20fintech/image_app/WAT_resistance_support.jpg" TargetMode="External"/><Relationship Id="rId51" Type="http://schemas.openxmlformats.org/officeDocument/2006/relationships/hyperlink" Target="https://3arbzfbsh-cname-us.ngrok.io/Desktop/seabridge%20fintech/image_app/AKAM_resistance_support.jpg" TargetMode="External"/><Relationship Id="rId1301" Type="http://schemas.openxmlformats.org/officeDocument/2006/relationships/hyperlink" Target="https://3arbzfbsh-cname-us.ngrok.io/Desktop/seabridge%20fintech/image_app/VTV_resistance_support.jpg" TargetMode="External"/><Relationship Id="rId50" Type="http://schemas.openxmlformats.org/officeDocument/2006/relationships/hyperlink" Target="https://3arbzfbsh-cname-us.ngrok.io/Desktop/seabridge%20fintech/profit_graph_app/AJG_Return.jpg" TargetMode="External"/><Relationship Id="rId1302" Type="http://schemas.openxmlformats.org/officeDocument/2006/relationships/hyperlink" Target="https://3arbzfbsh-cname-us.ngrok.io/Desktop/seabridge%20fintech/profit_graph_app/VTV_Return.jpg" TargetMode="External"/><Relationship Id="rId53" Type="http://schemas.openxmlformats.org/officeDocument/2006/relationships/hyperlink" Target="https://3arbzfbsh-cname-us.ngrok.io/Desktop/seabridge%20fintech/image_app/ALB_resistance_support.jpg" TargetMode="External"/><Relationship Id="rId1303" Type="http://schemas.openxmlformats.org/officeDocument/2006/relationships/hyperlink" Target="https://3arbzfbsh-cname-us.ngrok.io/Desktop/seabridge%20fintech/image_app/VWO_resistance_support.jpg" TargetMode="External"/><Relationship Id="rId52" Type="http://schemas.openxmlformats.org/officeDocument/2006/relationships/hyperlink" Target="https://3arbzfbsh-cname-us.ngrok.io/Desktop/seabridge%20fintech/profit_graph_app/AKAM_Return.jpg" TargetMode="External"/><Relationship Id="rId1304" Type="http://schemas.openxmlformats.org/officeDocument/2006/relationships/hyperlink" Target="https://3arbzfbsh-cname-us.ngrok.io/Desktop/seabridge%20fintech/profit_graph_app/VWO_Return.jpg" TargetMode="External"/><Relationship Id="rId55" Type="http://schemas.openxmlformats.org/officeDocument/2006/relationships/hyperlink" Target="https://3arbzfbsh-cname-us.ngrok.io/Desktop/seabridge%20fintech/image_app/ALGN_resistance_support.jpg" TargetMode="External"/><Relationship Id="rId1305" Type="http://schemas.openxmlformats.org/officeDocument/2006/relationships/hyperlink" Target="https://3arbzfbsh-cname-us.ngrok.io/Desktop/seabridge%20fintech/image_app/VXUS_resistance_support.jpg" TargetMode="External"/><Relationship Id="rId54" Type="http://schemas.openxmlformats.org/officeDocument/2006/relationships/hyperlink" Target="https://3arbzfbsh-cname-us.ngrok.io/Desktop/seabridge%20fintech/profit_graph_app/ALB_Return.jpg" TargetMode="External"/><Relationship Id="rId1306" Type="http://schemas.openxmlformats.org/officeDocument/2006/relationships/hyperlink" Target="https://3arbzfbsh-cname-us.ngrok.io/Desktop/seabridge%20fintech/profit_graph_app/VXUS_Return.jpg" TargetMode="External"/><Relationship Id="rId57" Type="http://schemas.openxmlformats.org/officeDocument/2006/relationships/hyperlink" Target="https://3arbzfbsh-cname-us.ngrok.io/Desktop/seabridge%20fintech/image_app/ALK_resistance_support.jpg" TargetMode="External"/><Relationship Id="rId1307" Type="http://schemas.openxmlformats.org/officeDocument/2006/relationships/hyperlink" Target="https://3arbzfbsh-cname-us.ngrok.io/Desktop/seabridge%20fintech/image_app/VZ_resistance_support.jpg" TargetMode="External"/><Relationship Id="rId56" Type="http://schemas.openxmlformats.org/officeDocument/2006/relationships/hyperlink" Target="https://3arbzfbsh-cname-us.ngrok.io/Desktop/seabridge%20fintech/profit_graph_app/ALGN_Return.jpg" TargetMode="External"/><Relationship Id="rId1308" Type="http://schemas.openxmlformats.org/officeDocument/2006/relationships/hyperlink" Target="https://3arbzfbsh-cname-us.ngrok.io/Desktop/seabridge%20fintech/profit_graph_app/VZ_Return.jpg" TargetMode="External"/><Relationship Id="rId1309" Type="http://schemas.openxmlformats.org/officeDocument/2006/relationships/hyperlink" Target="https://3arbzfbsh-cname-us.ngrok.io/Desktop/seabridge%20fintech/image_app/WAB_resistance_support.jpg" TargetMode="External"/><Relationship Id="rId719" Type="http://schemas.openxmlformats.org/officeDocument/2006/relationships/hyperlink" Target="https://3arbzfbsh-cname-us.ngrok.io/Desktop/seabridge%20fintech/image_app/LESL_resistance_support.jpg" TargetMode="External"/><Relationship Id="rId718" Type="http://schemas.openxmlformats.org/officeDocument/2006/relationships/hyperlink" Target="https://3arbzfbsh-cname-us.ngrok.io/Desktop/seabridge%20fintech/profit_graph_app/LEN_Return.jpg" TargetMode="External"/><Relationship Id="rId717" Type="http://schemas.openxmlformats.org/officeDocument/2006/relationships/hyperlink" Target="https://3arbzfbsh-cname-us.ngrok.io/Desktop/seabridge%20fintech/image_app/LEN_resistance_support.jpg" TargetMode="External"/><Relationship Id="rId959" Type="http://schemas.openxmlformats.org/officeDocument/2006/relationships/hyperlink" Target="https://3arbzfbsh-cname-us.ngrok.io/Desktop/seabridge%20fintech/image_app/PH_resistance_support.jpg" TargetMode="External"/><Relationship Id="rId712" Type="http://schemas.openxmlformats.org/officeDocument/2006/relationships/hyperlink" Target="https://3arbzfbsh-cname-us.ngrok.io/Desktop/seabridge%20fintech/profit_graph_app/LB_Return.jpg" TargetMode="External"/><Relationship Id="rId954" Type="http://schemas.openxmlformats.org/officeDocument/2006/relationships/hyperlink" Target="https://3arbzfbsh-cname-us.ngrok.io/Desktop/seabridge%20fintech/profit_graph_app/PFG_Return.jpg" TargetMode="External"/><Relationship Id="rId711" Type="http://schemas.openxmlformats.org/officeDocument/2006/relationships/hyperlink" Target="https://3arbzfbsh-cname-us.ngrok.io/Desktop/seabridge%20fintech/image_app/LB_resistance_support.jpg" TargetMode="External"/><Relationship Id="rId953" Type="http://schemas.openxmlformats.org/officeDocument/2006/relationships/hyperlink" Target="https://3arbzfbsh-cname-us.ngrok.io/Desktop/seabridge%20fintech/image_app/PFG_resistance_support.jpg" TargetMode="External"/><Relationship Id="rId710" Type="http://schemas.openxmlformats.org/officeDocument/2006/relationships/hyperlink" Target="https://3arbzfbsh-cname-us.ngrok.io/Desktop/seabridge%20fintech/profit_graph_app/L_Return.jpg" TargetMode="External"/><Relationship Id="rId952" Type="http://schemas.openxmlformats.org/officeDocument/2006/relationships/hyperlink" Target="https://3arbzfbsh-cname-us.ngrok.io/Desktop/seabridge%20fintech/profit_graph_app/PFF_Return.jpg" TargetMode="External"/><Relationship Id="rId951" Type="http://schemas.openxmlformats.org/officeDocument/2006/relationships/hyperlink" Target="https://3arbzfbsh-cname-us.ngrok.io/Desktop/seabridge%20fintech/image_app/PFF_resistance_support.jpg" TargetMode="External"/><Relationship Id="rId716" Type="http://schemas.openxmlformats.org/officeDocument/2006/relationships/hyperlink" Target="https://3arbzfbsh-cname-us.ngrok.io/Desktop/seabridge%20fintech/profit_graph_app/LEG_Return.jpg" TargetMode="External"/><Relationship Id="rId958" Type="http://schemas.openxmlformats.org/officeDocument/2006/relationships/hyperlink" Target="https://3arbzfbsh-cname-us.ngrok.io/Desktop/seabridge%20fintech/profit_graph_app/PGR_Return.jpg" TargetMode="External"/><Relationship Id="rId715" Type="http://schemas.openxmlformats.org/officeDocument/2006/relationships/hyperlink" Target="https://3arbzfbsh-cname-us.ngrok.io/Desktop/seabridge%20fintech/image_app/LEG_resistance_support.jpg" TargetMode="External"/><Relationship Id="rId957" Type="http://schemas.openxmlformats.org/officeDocument/2006/relationships/hyperlink" Target="https://3arbzfbsh-cname-us.ngrok.io/Desktop/seabridge%20fintech/image_app/PGR_resistance_support.jpg" TargetMode="External"/><Relationship Id="rId714" Type="http://schemas.openxmlformats.org/officeDocument/2006/relationships/hyperlink" Target="https://3arbzfbsh-cname-us.ngrok.io/Desktop/seabridge%20fintech/profit_graph_app/LDOS_Return.jpg" TargetMode="External"/><Relationship Id="rId956" Type="http://schemas.openxmlformats.org/officeDocument/2006/relationships/hyperlink" Target="https://3arbzfbsh-cname-us.ngrok.io/Desktop/seabridge%20fintech/profit_graph_app/PG_Return.jpg" TargetMode="External"/><Relationship Id="rId713" Type="http://schemas.openxmlformats.org/officeDocument/2006/relationships/hyperlink" Target="https://3arbzfbsh-cname-us.ngrok.io/Desktop/seabridge%20fintech/image_app/LDOS_resistance_support.jpg" TargetMode="External"/><Relationship Id="rId955" Type="http://schemas.openxmlformats.org/officeDocument/2006/relationships/hyperlink" Target="https://3arbzfbsh-cname-us.ngrok.io/Desktop/seabridge%20fintech/image_app/PG_resistance_support.jpg" TargetMode="External"/><Relationship Id="rId59" Type="http://schemas.openxmlformats.org/officeDocument/2006/relationships/hyperlink" Target="https://3arbzfbsh-cname-us.ngrok.io/Desktop/seabridge%20fintech/image_app/ALL_resistance_support.jpg" TargetMode="External"/><Relationship Id="rId58" Type="http://schemas.openxmlformats.org/officeDocument/2006/relationships/hyperlink" Target="https://3arbzfbsh-cname-us.ngrok.io/Desktop/seabridge%20fintech/profit_graph_app/ALK_Return.jpg" TargetMode="External"/><Relationship Id="rId950" Type="http://schemas.openxmlformats.org/officeDocument/2006/relationships/hyperlink" Target="https://3arbzfbsh-cname-us.ngrok.io/Desktop/seabridge%20fintech/profit_graph_app/PFE_Return.jpg" TargetMode="External"/><Relationship Id="rId1300" Type="http://schemas.openxmlformats.org/officeDocument/2006/relationships/hyperlink" Target="https://3arbzfbsh-cname-us.ngrok.io/Desktop/seabridge%20fintech/profit_graph_app/VTRS_Return.jpg" TargetMode="External"/><Relationship Id="rId590" Type="http://schemas.openxmlformats.org/officeDocument/2006/relationships/hyperlink" Target="https://3arbzfbsh-cname-us.ngrok.io/Desktop/seabridge%20fintech/profit_graph_app/IBM_Return.jpg" TargetMode="External"/><Relationship Id="rId107" Type="http://schemas.openxmlformats.org/officeDocument/2006/relationships/hyperlink" Target="https://3arbzfbsh-cname-us.ngrok.io/Desktop/seabridge%20fintech/image_app/APTV_resistance_support.jpg" TargetMode="External"/><Relationship Id="rId349" Type="http://schemas.openxmlformats.org/officeDocument/2006/relationships/hyperlink" Target="https://3arbzfbsh-cname-us.ngrok.io/Desktop/seabridge%20fintech/image_app/DRE_resistance_support.jpg" TargetMode="External"/><Relationship Id="rId106" Type="http://schemas.openxmlformats.org/officeDocument/2006/relationships/hyperlink" Target="https://3arbzfbsh-cname-us.ngrok.io/Desktop/seabridge%20fintech/profit_graph_app/APPS_Return.jpg" TargetMode="External"/><Relationship Id="rId348" Type="http://schemas.openxmlformats.org/officeDocument/2006/relationships/hyperlink" Target="https://3arbzfbsh-cname-us.ngrok.io/Desktop/seabridge%20fintech/profit_graph_app/DPZ_Return.jpg" TargetMode="External"/><Relationship Id="rId105" Type="http://schemas.openxmlformats.org/officeDocument/2006/relationships/hyperlink" Target="https://3arbzfbsh-cname-us.ngrok.io/Desktop/seabridge%20fintech/image_app/APPS_resistance_support.jpg" TargetMode="External"/><Relationship Id="rId347" Type="http://schemas.openxmlformats.org/officeDocument/2006/relationships/hyperlink" Target="https://3arbzfbsh-cname-us.ngrok.io/Desktop/seabridge%20fintech/image_app/DPZ_resistance_support.jpg" TargetMode="External"/><Relationship Id="rId589" Type="http://schemas.openxmlformats.org/officeDocument/2006/relationships/hyperlink" Target="https://3arbzfbsh-cname-us.ngrok.io/Desktop/seabridge%20fintech/image_app/IBM_resistance_support.jpg" TargetMode="External"/><Relationship Id="rId104" Type="http://schemas.openxmlformats.org/officeDocument/2006/relationships/hyperlink" Target="https://3arbzfbsh-cname-us.ngrok.io/Desktop/seabridge%20fintech/profit_graph_app/APO_Return.jpg" TargetMode="External"/><Relationship Id="rId346" Type="http://schemas.openxmlformats.org/officeDocument/2006/relationships/hyperlink" Target="https://3arbzfbsh-cname-us.ngrok.io/Desktop/seabridge%20fintech/profit_graph_app/DOW_Return.jpg" TargetMode="External"/><Relationship Id="rId588" Type="http://schemas.openxmlformats.org/officeDocument/2006/relationships/hyperlink" Target="https://3arbzfbsh-cname-us.ngrok.io/Desktop/seabridge%20fintech/profit_graph_app/IBB_Return.jpg" TargetMode="External"/><Relationship Id="rId109" Type="http://schemas.openxmlformats.org/officeDocument/2006/relationships/hyperlink" Target="https://3arbzfbsh-cname-us.ngrok.io/Desktop/seabridge%20fintech/image_app/ARE_resistance_support.jpg" TargetMode="External"/><Relationship Id="rId1170" Type="http://schemas.openxmlformats.org/officeDocument/2006/relationships/hyperlink" Target="https://3arbzfbsh-cname-us.ngrok.io/Desktop/seabridge%20fintech/profit_graph_app/TFX_Return.jpg" TargetMode="External"/><Relationship Id="rId108" Type="http://schemas.openxmlformats.org/officeDocument/2006/relationships/hyperlink" Target="https://3arbzfbsh-cname-us.ngrok.io/Desktop/seabridge%20fintech/profit_graph_app/APTV_Return.jpg" TargetMode="External"/><Relationship Id="rId1171" Type="http://schemas.openxmlformats.org/officeDocument/2006/relationships/hyperlink" Target="https://3arbzfbsh-cname-us.ngrok.io/Desktop/seabridge%20fintech/image_app/TGT_resistance_support.jpg" TargetMode="External"/><Relationship Id="rId341" Type="http://schemas.openxmlformats.org/officeDocument/2006/relationships/hyperlink" Target="https://3arbzfbsh-cname-us.ngrok.io/Desktop/seabridge%20fintech/image_app/DOCU_resistance_support.jpg" TargetMode="External"/><Relationship Id="rId583" Type="http://schemas.openxmlformats.org/officeDocument/2006/relationships/hyperlink" Target="https://3arbzfbsh-cname-us.ngrok.io/Desktop/seabridge%20fintech/image_app/HYLB_resistance_support.jpg" TargetMode="External"/><Relationship Id="rId1172" Type="http://schemas.openxmlformats.org/officeDocument/2006/relationships/hyperlink" Target="https://3arbzfbsh-cname-us.ngrok.io/Desktop/seabridge%20fintech/profit_graph_app/TGT_Return.jpg" TargetMode="External"/><Relationship Id="rId340" Type="http://schemas.openxmlformats.org/officeDocument/2006/relationships/hyperlink" Target="https://3arbzfbsh-cname-us.ngrok.io/Desktop/seabridge%20fintech/profit_graph_app/DLTR_Return.jpg" TargetMode="External"/><Relationship Id="rId582" Type="http://schemas.openxmlformats.org/officeDocument/2006/relationships/hyperlink" Target="https://3arbzfbsh-cname-us.ngrok.io/Desktop/seabridge%20fintech/profit_graph_app/HYG_Return.jpg" TargetMode="External"/><Relationship Id="rId1173" Type="http://schemas.openxmlformats.org/officeDocument/2006/relationships/hyperlink" Target="https://3arbzfbsh-cname-us.ngrok.io/Desktop/seabridge%20fintech/image_app/TIP_resistance_support.jpg" TargetMode="External"/><Relationship Id="rId581" Type="http://schemas.openxmlformats.org/officeDocument/2006/relationships/hyperlink" Target="https://3arbzfbsh-cname-us.ngrok.io/Desktop/seabridge%20fintech/image_app/HYG_resistance_support.jpg" TargetMode="External"/><Relationship Id="rId1174" Type="http://schemas.openxmlformats.org/officeDocument/2006/relationships/hyperlink" Target="https://3arbzfbsh-cname-us.ngrok.io/Desktop/seabridge%20fintech/profit_graph_app/TIP_Return.jpg" TargetMode="External"/><Relationship Id="rId580" Type="http://schemas.openxmlformats.org/officeDocument/2006/relationships/hyperlink" Target="https://3arbzfbsh-cname-us.ngrok.io/Desktop/seabridge%20fintech/profit_graph_app/HWM_Return.jpg" TargetMode="External"/><Relationship Id="rId1175" Type="http://schemas.openxmlformats.org/officeDocument/2006/relationships/hyperlink" Target="https://3arbzfbsh-cname-us.ngrok.io/Desktop/seabridge%20fintech/image_app/TJX_resistance_support.jpg" TargetMode="External"/><Relationship Id="rId103" Type="http://schemas.openxmlformats.org/officeDocument/2006/relationships/hyperlink" Target="https://3arbzfbsh-cname-us.ngrok.io/Desktop/seabridge%20fintech/image_app/APO_resistance_support.jpg" TargetMode="External"/><Relationship Id="rId345" Type="http://schemas.openxmlformats.org/officeDocument/2006/relationships/hyperlink" Target="https://3arbzfbsh-cname-us.ngrok.io/Desktop/seabridge%20fintech/image_app/DOW_resistance_support.jpg" TargetMode="External"/><Relationship Id="rId587" Type="http://schemas.openxmlformats.org/officeDocument/2006/relationships/hyperlink" Target="https://3arbzfbsh-cname-us.ngrok.io/Desktop/seabridge%20fintech/image_app/IBB_resistance_support.jpg" TargetMode="External"/><Relationship Id="rId1176" Type="http://schemas.openxmlformats.org/officeDocument/2006/relationships/hyperlink" Target="https://3arbzfbsh-cname-us.ngrok.io/Desktop/seabridge%20fintech/profit_graph_app/TJX_Return.jpg" TargetMode="External"/><Relationship Id="rId102" Type="http://schemas.openxmlformats.org/officeDocument/2006/relationships/hyperlink" Target="https://3arbzfbsh-cname-us.ngrok.io/Desktop/seabridge%20fintech/profit_graph_app/APH_Return.jpg" TargetMode="External"/><Relationship Id="rId344" Type="http://schemas.openxmlformats.org/officeDocument/2006/relationships/hyperlink" Target="https://3arbzfbsh-cname-us.ngrok.io/Desktop/seabridge%20fintech/profit_graph_app/DOV_Return.jpg" TargetMode="External"/><Relationship Id="rId586" Type="http://schemas.openxmlformats.org/officeDocument/2006/relationships/hyperlink" Target="https://3arbzfbsh-cname-us.ngrok.io/Desktop/seabridge%20fintech/profit_graph_app/IAU_Return.jpg" TargetMode="External"/><Relationship Id="rId1177" Type="http://schemas.openxmlformats.org/officeDocument/2006/relationships/hyperlink" Target="https://3arbzfbsh-cname-us.ngrok.io/Desktop/seabridge%20fintech/image_app/TLT_resistance_support.jpg" TargetMode="External"/><Relationship Id="rId101" Type="http://schemas.openxmlformats.org/officeDocument/2006/relationships/hyperlink" Target="https://3arbzfbsh-cname-us.ngrok.io/Desktop/seabridge%20fintech/image_app/APH_resistance_support.jpg" TargetMode="External"/><Relationship Id="rId343" Type="http://schemas.openxmlformats.org/officeDocument/2006/relationships/hyperlink" Target="https://3arbzfbsh-cname-us.ngrok.io/Desktop/seabridge%20fintech/image_app/DOV_resistance_support.jpg" TargetMode="External"/><Relationship Id="rId585" Type="http://schemas.openxmlformats.org/officeDocument/2006/relationships/hyperlink" Target="https://3arbzfbsh-cname-us.ngrok.io/Desktop/seabridge%20fintech/image_app/IAU_resistance_support.jpg" TargetMode="External"/><Relationship Id="rId1178" Type="http://schemas.openxmlformats.org/officeDocument/2006/relationships/hyperlink" Target="https://3arbzfbsh-cname-us.ngrok.io/Desktop/seabridge%20fintech/profit_graph_app/TLT_Return.jpg" TargetMode="External"/><Relationship Id="rId100" Type="http://schemas.openxmlformats.org/officeDocument/2006/relationships/hyperlink" Target="https://3arbzfbsh-cname-us.ngrok.io/Desktop/seabridge%20fintech/profit_graph_app/APD_Return.jpg" TargetMode="External"/><Relationship Id="rId342" Type="http://schemas.openxmlformats.org/officeDocument/2006/relationships/hyperlink" Target="https://3arbzfbsh-cname-us.ngrok.io/Desktop/seabridge%20fintech/profit_graph_app/DOCU_Return.jpg" TargetMode="External"/><Relationship Id="rId584" Type="http://schemas.openxmlformats.org/officeDocument/2006/relationships/hyperlink" Target="https://3arbzfbsh-cname-us.ngrok.io/Desktop/seabridge%20fintech/profit_graph_app/HYLB_Return.jpg" TargetMode="External"/><Relationship Id="rId1179" Type="http://schemas.openxmlformats.org/officeDocument/2006/relationships/hyperlink" Target="https://3arbzfbsh-cname-us.ngrok.io/Desktop/seabridge%20fintech/image_app/TMO_resistance_support.jpg" TargetMode="External"/><Relationship Id="rId1169" Type="http://schemas.openxmlformats.org/officeDocument/2006/relationships/hyperlink" Target="https://3arbzfbsh-cname-us.ngrok.io/Desktop/seabridge%20fintech/image_app/TFX_resistance_support.jpg" TargetMode="External"/><Relationship Id="rId338" Type="http://schemas.openxmlformats.org/officeDocument/2006/relationships/hyperlink" Target="https://3arbzfbsh-cname-us.ngrok.io/Desktop/seabridge%20fintech/profit_graph_app/DLR_Return.jpg" TargetMode="External"/><Relationship Id="rId337" Type="http://schemas.openxmlformats.org/officeDocument/2006/relationships/hyperlink" Target="https://3arbzfbsh-cname-us.ngrok.io/Desktop/seabridge%20fintech/image_app/DLR_resistance_support.jpg" TargetMode="External"/><Relationship Id="rId579" Type="http://schemas.openxmlformats.org/officeDocument/2006/relationships/hyperlink" Target="https://3arbzfbsh-cname-us.ngrok.io/Desktop/seabridge%20fintech/image_app/HWM_resistance_support.jpg" TargetMode="External"/><Relationship Id="rId336" Type="http://schemas.openxmlformats.org/officeDocument/2006/relationships/hyperlink" Target="https://3arbzfbsh-cname-us.ngrok.io/Desktop/seabridge%20fintech/profit_graph_app/DKNG_Return.jpg" TargetMode="External"/><Relationship Id="rId578" Type="http://schemas.openxmlformats.org/officeDocument/2006/relationships/hyperlink" Target="https://3arbzfbsh-cname-us.ngrok.io/Desktop/seabridge%20fintech/profit_graph_app/HUN_Return.jpg" TargetMode="External"/><Relationship Id="rId335" Type="http://schemas.openxmlformats.org/officeDocument/2006/relationships/hyperlink" Target="https://3arbzfbsh-cname-us.ngrok.io/Desktop/seabridge%20fintech/image_app/DKNG_resistance_support.jpg" TargetMode="External"/><Relationship Id="rId577" Type="http://schemas.openxmlformats.org/officeDocument/2006/relationships/hyperlink" Target="https://3arbzfbsh-cname-us.ngrok.io/Desktop/seabridge%20fintech/image_app/HUN_resistance_support.jpg" TargetMode="External"/><Relationship Id="rId339" Type="http://schemas.openxmlformats.org/officeDocument/2006/relationships/hyperlink" Target="https://3arbzfbsh-cname-us.ngrok.io/Desktop/seabridge%20fintech/image_app/DLTR_resistance_support.jpg" TargetMode="External"/><Relationship Id="rId1160" Type="http://schemas.openxmlformats.org/officeDocument/2006/relationships/hyperlink" Target="https://3arbzfbsh-cname-us.ngrok.io/Desktop/seabridge%20fintech/profit_graph_app/TDY_Return.jpg" TargetMode="External"/><Relationship Id="rId330" Type="http://schemas.openxmlformats.org/officeDocument/2006/relationships/hyperlink" Target="https://3arbzfbsh-cname-us.ngrok.io/Desktop/seabridge%20fintech/profit_graph_app/DIS_Return.jpg" TargetMode="External"/><Relationship Id="rId572" Type="http://schemas.openxmlformats.org/officeDocument/2006/relationships/hyperlink" Target="https://3arbzfbsh-cname-us.ngrok.io/Desktop/seabridge%20fintech/profit_graph_app/HST_Return.jpg" TargetMode="External"/><Relationship Id="rId1161" Type="http://schemas.openxmlformats.org/officeDocument/2006/relationships/hyperlink" Target="https://3arbzfbsh-cname-us.ngrok.io/Desktop/seabridge%20fintech/image_app/TEAM_resistance_support.jpg" TargetMode="External"/><Relationship Id="rId571" Type="http://schemas.openxmlformats.org/officeDocument/2006/relationships/hyperlink" Target="https://3arbzfbsh-cname-us.ngrok.io/Desktop/seabridge%20fintech/image_app/HST_resistance_support.jpg" TargetMode="External"/><Relationship Id="rId1162" Type="http://schemas.openxmlformats.org/officeDocument/2006/relationships/hyperlink" Target="https://3arbzfbsh-cname-us.ngrok.io/Desktop/seabridge%20fintech/profit_graph_app/TEAM_Return.jpg" TargetMode="External"/><Relationship Id="rId570" Type="http://schemas.openxmlformats.org/officeDocument/2006/relationships/hyperlink" Target="https://3arbzfbsh-cname-us.ngrok.io/Desktop/seabridge%20fintech/profit_graph_app/HSIC_Return.jpg" TargetMode="External"/><Relationship Id="rId1163" Type="http://schemas.openxmlformats.org/officeDocument/2006/relationships/hyperlink" Target="https://3arbzfbsh-cname-us.ngrok.io/Desktop/seabridge%20fintech/image_app/TEL_resistance_support.jpg" TargetMode="External"/><Relationship Id="rId1164" Type="http://schemas.openxmlformats.org/officeDocument/2006/relationships/hyperlink" Target="https://3arbzfbsh-cname-us.ngrok.io/Desktop/seabridge%20fintech/profit_graph_app/TEL_Return.jpg" TargetMode="External"/><Relationship Id="rId334" Type="http://schemas.openxmlformats.org/officeDocument/2006/relationships/hyperlink" Target="https://3arbzfbsh-cname-us.ngrok.io/Desktop/seabridge%20fintech/profit_graph_app/DISH_Return.jpg" TargetMode="External"/><Relationship Id="rId576" Type="http://schemas.openxmlformats.org/officeDocument/2006/relationships/hyperlink" Target="https://3arbzfbsh-cname-us.ngrok.io/Desktop/seabridge%20fintech/profit_graph_app/HUM_Return.jpg" TargetMode="External"/><Relationship Id="rId1165" Type="http://schemas.openxmlformats.org/officeDocument/2006/relationships/hyperlink" Target="https://3arbzfbsh-cname-us.ngrok.io/Desktop/seabridge%20fintech/image_app/TER_resistance_support.jpg" TargetMode="External"/><Relationship Id="rId333" Type="http://schemas.openxmlformats.org/officeDocument/2006/relationships/hyperlink" Target="https://3arbzfbsh-cname-us.ngrok.io/Desktop/seabridge%20fintech/image_app/DISH_resistance_support.jpg" TargetMode="External"/><Relationship Id="rId575" Type="http://schemas.openxmlformats.org/officeDocument/2006/relationships/hyperlink" Target="https://3arbzfbsh-cname-us.ngrok.io/Desktop/seabridge%20fintech/image_app/HUM_resistance_support.jpg" TargetMode="External"/><Relationship Id="rId1166" Type="http://schemas.openxmlformats.org/officeDocument/2006/relationships/hyperlink" Target="https://3arbzfbsh-cname-us.ngrok.io/Desktop/seabridge%20fintech/profit_graph_app/TER_Return.jpg" TargetMode="External"/><Relationship Id="rId332" Type="http://schemas.openxmlformats.org/officeDocument/2006/relationships/hyperlink" Target="https://3arbzfbsh-cname-us.ngrok.io/Desktop/seabridge%20fintech/profit_graph_app/DISCA_Return.jpg" TargetMode="External"/><Relationship Id="rId574" Type="http://schemas.openxmlformats.org/officeDocument/2006/relationships/hyperlink" Target="https://3arbzfbsh-cname-us.ngrok.io/Desktop/seabridge%20fintech/profit_graph_app/HSY_Return.jpg" TargetMode="External"/><Relationship Id="rId1167" Type="http://schemas.openxmlformats.org/officeDocument/2006/relationships/hyperlink" Target="https://3arbzfbsh-cname-us.ngrok.io/Desktop/seabridge%20fintech/image_app/TFC_resistance_support.jpg" TargetMode="External"/><Relationship Id="rId331" Type="http://schemas.openxmlformats.org/officeDocument/2006/relationships/hyperlink" Target="https://3arbzfbsh-cname-us.ngrok.io/Desktop/seabridge%20fintech/image_app/DISCA_resistance_support.jpg" TargetMode="External"/><Relationship Id="rId573" Type="http://schemas.openxmlformats.org/officeDocument/2006/relationships/hyperlink" Target="https://3arbzfbsh-cname-us.ngrok.io/Desktop/seabridge%20fintech/image_app/HSY_resistance_support.jpg" TargetMode="External"/><Relationship Id="rId1168" Type="http://schemas.openxmlformats.org/officeDocument/2006/relationships/hyperlink" Target="https://3arbzfbsh-cname-us.ngrok.io/Desktop/seabridge%20fintech/profit_graph_app/TFC_Return.jpg" TargetMode="External"/><Relationship Id="rId370" Type="http://schemas.openxmlformats.org/officeDocument/2006/relationships/hyperlink" Target="https://3arbzfbsh-cname-us.ngrok.io/Desktop/seabridge%20fintech/profit_graph_app/ECL_Return.jpg" TargetMode="External"/><Relationship Id="rId129" Type="http://schemas.openxmlformats.org/officeDocument/2006/relationships/hyperlink" Target="https://3arbzfbsh-cname-us.ngrok.io/Desktop/seabridge%20fintech/image_app/AVY_resistance_support.jpg" TargetMode="External"/><Relationship Id="rId128" Type="http://schemas.openxmlformats.org/officeDocument/2006/relationships/hyperlink" Target="https://3arbzfbsh-cname-us.ngrok.io/Desktop/seabridge%20fintech/profit_graph_app/AVTR_Return.jpg" TargetMode="External"/><Relationship Id="rId127" Type="http://schemas.openxmlformats.org/officeDocument/2006/relationships/hyperlink" Target="https://3arbzfbsh-cname-us.ngrok.io/Desktop/seabridge%20fintech/image_app/AVTR_resistance_support.jpg" TargetMode="External"/><Relationship Id="rId369" Type="http://schemas.openxmlformats.org/officeDocument/2006/relationships/hyperlink" Target="https://3arbzfbsh-cname-us.ngrok.io/Desktop/seabridge%20fintech/image_app/ECL_resistance_support.jpg" TargetMode="External"/><Relationship Id="rId126" Type="http://schemas.openxmlformats.org/officeDocument/2006/relationships/hyperlink" Target="https://3arbzfbsh-cname-us.ngrok.io/Desktop/seabridge%20fintech/profit_graph_app/AVGO_Return.jpg" TargetMode="External"/><Relationship Id="rId368" Type="http://schemas.openxmlformats.org/officeDocument/2006/relationships/hyperlink" Target="https://3arbzfbsh-cname-us.ngrok.io/Desktop/seabridge%20fintech/profit_graph_app/EBAY_Return.jpg" TargetMode="External"/><Relationship Id="rId1190" Type="http://schemas.openxmlformats.org/officeDocument/2006/relationships/hyperlink" Target="https://3arbzfbsh-cname-us.ngrok.io/Desktop/seabridge%20fintech/profit_graph_app/TRIP_Return.jpg" TargetMode="External"/><Relationship Id="rId1191" Type="http://schemas.openxmlformats.org/officeDocument/2006/relationships/hyperlink" Target="https://3arbzfbsh-cname-us.ngrok.io/Desktop/seabridge%20fintech/image_app/TRMB_resistance_support.jpg" TargetMode="External"/><Relationship Id="rId1192" Type="http://schemas.openxmlformats.org/officeDocument/2006/relationships/hyperlink" Target="https://3arbzfbsh-cname-us.ngrok.io/Desktop/seabridge%20fintech/profit_graph_app/TRMB_Return.jpg" TargetMode="External"/><Relationship Id="rId1193" Type="http://schemas.openxmlformats.org/officeDocument/2006/relationships/hyperlink" Target="https://3arbzfbsh-cname-us.ngrok.io/Desktop/seabridge%20fintech/image_app/TROW_resistance_support.jpg" TargetMode="External"/><Relationship Id="rId121" Type="http://schemas.openxmlformats.org/officeDocument/2006/relationships/hyperlink" Target="https://3arbzfbsh-cname-us.ngrok.io/Desktop/seabridge%20fintech/image_app/ATVI_resistance_support.jpg" TargetMode="External"/><Relationship Id="rId363" Type="http://schemas.openxmlformats.org/officeDocument/2006/relationships/hyperlink" Target="https://3arbzfbsh-cname-us.ngrok.io/Desktop/seabridge%20fintech/image_app/DXCM_resistance_support.jpg" TargetMode="External"/><Relationship Id="rId1194" Type="http://schemas.openxmlformats.org/officeDocument/2006/relationships/hyperlink" Target="https://3arbzfbsh-cname-us.ngrok.io/Desktop/seabridge%20fintech/profit_graph_app/TROW_Return.jpg" TargetMode="External"/><Relationship Id="rId120" Type="http://schemas.openxmlformats.org/officeDocument/2006/relationships/hyperlink" Target="https://3arbzfbsh-cname-us.ngrok.io/Desktop/seabridge%20fintech/profit_graph_app/ATUS_Return.jpg" TargetMode="External"/><Relationship Id="rId362" Type="http://schemas.openxmlformats.org/officeDocument/2006/relationships/hyperlink" Target="https://3arbzfbsh-cname-us.ngrok.io/Desktop/seabridge%20fintech/profit_graph_app/DXC_Return.jpg" TargetMode="External"/><Relationship Id="rId1195" Type="http://schemas.openxmlformats.org/officeDocument/2006/relationships/hyperlink" Target="https://3arbzfbsh-cname-us.ngrok.io/Desktop/seabridge%20fintech/image_app/TRV_resistance_support.jpg" TargetMode="External"/><Relationship Id="rId361" Type="http://schemas.openxmlformats.org/officeDocument/2006/relationships/hyperlink" Target="https://3arbzfbsh-cname-us.ngrok.io/Desktop/seabridge%20fintech/image_app/DXC_resistance_support.jpg" TargetMode="External"/><Relationship Id="rId1196" Type="http://schemas.openxmlformats.org/officeDocument/2006/relationships/hyperlink" Target="https://3arbzfbsh-cname-us.ngrok.io/Desktop/seabridge%20fintech/profit_graph_app/TRV_Return.jpg" TargetMode="External"/><Relationship Id="rId360" Type="http://schemas.openxmlformats.org/officeDocument/2006/relationships/hyperlink" Target="https://3arbzfbsh-cname-us.ngrok.io/Desktop/seabridge%20fintech/profit_graph_app/DVN_Return.jpg" TargetMode="External"/><Relationship Id="rId1197" Type="http://schemas.openxmlformats.org/officeDocument/2006/relationships/hyperlink" Target="https://3arbzfbsh-cname-us.ngrok.io/Desktop/seabridge%20fintech/image_app/TSCO_resistance_support.jpg" TargetMode="External"/><Relationship Id="rId125" Type="http://schemas.openxmlformats.org/officeDocument/2006/relationships/hyperlink" Target="https://3arbzfbsh-cname-us.ngrok.io/Desktop/seabridge%20fintech/image_app/AVGO_resistance_support.jpg" TargetMode="External"/><Relationship Id="rId367" Type="http://schemas.openxmlformats.org/officeDocument/2006/relationships/hyperlink" Target="https://3arbzfbsh-cname-us.ngrok.io/Desktop/seabridge%20fintech/image_app/EBAY_resistance_support.jpg" TargetMode="External"/><Relationship Id="rId1198" Type="http://schemas.openxmlformats.org/officeDocument/2006/relationships/hyperlink" Target="https://3arbzfbsh-cname-us.ngrok.io/Desktop/seabridge%20fintech/profit_graph_app/TSCO_Return.jpg" TargetMode="External"/><Relationship Id="rId124" Type="http://schemas.openxmlformats.org/officeDocument/2006/relationships/hyperlink" Target="https://3arbzfbsh-cname-us.ngrok.io/Desktop/seabridge%20fintech/profit_graph_app/AVB_Return.jpg" TargetMode="External"/><Relationship Id="rId366" Type="http://schemas.openxmlformats.org/officeDocument/2006/relationships/hyperlink" Target="https://3arbzfbsh-cname-us.ngrok.io/Desktop/seabridge%20fintech/profit_graph_app/EA_Return.jpg" TargetMode="External"/><Relationship Id="rId1199" Type="http://schemas.openxmlformats.org/officeDocument/2006/relationships/hyperlink" Target="https://3arbzfbsh-cname-us.ngrok.io/Desktop/seabridge%20fintech/image_app/TSLA_resistance_support.jpg" TargetMode="External"/><Relationship Id="rId123" Type="http://schemas.openxmlformats.org/officeDocument/2006/relationships/hyperlink" Target="https://3arbzfbsh-cname-us.ngrok.io/Desktop/seabridge%20fintech/image_app/AVB_resistance_support.jpg" TargetMode="External"/><Relationship Id="rId365" Type="http://schemas.openxmlformats.org/officeDocument/2006/relationships/hyperlink" Target="https://3arbzfbsh-cname-us.ngrok.io/Desktop/seabridge%20fintech/image_app/EA_resistance_support.jpg" TargetMode="External"/><Relationship Id="rId122" Type="http://schemas.openxmlformats.org/officeDocument/2006/relationships/hyperlink" Target="https://3arbzfbsh-cname-us.ngrok.io/Desktop/seabridge%20fintech/profit_graph_app/ATVI_Return.jpg" TargetMode="External"/><Relationship Id="rId364" Type="http://schemas.openxmlformats.org/officeDocument/2006/relationships/hyperlink" Target="https://3arbzfbsh-cname-us.ngrok.io/Desktop/seabridge%20fintech/profit_graph_app/DXCM_Return.jpg" TargetMode="External"/><Relationship Id="rId95" Type="http://schemas.openxmlformats.org/officeDocument/2006/relationships/hyperlink" Target="https://3arbzfbsh-cname-us.ngrok.io/Desktop/seabridge%20fintech/image_app/AOS_resistance_support.jpg" TargetMode="External"/><Relationship Id="rId94" Type="http://schemas.openxmlformats.org/officeDocument/2006/relationships/hyperlink" Target="https://3arbzfbsh-cname-us.ngrok.io/Desktop/seabridge%20fintech/profit_graph_app/AON_Return.jpg" TargetMode="External"/><Relationship Id="rId97" Type="http://schemas.openxmlformats.org/officeDocument/2006/relationships/hyperlink" Target="https://3arbzfbsh-cname-us.ngrok.io/Desktop/seabridge%20fintech/image_app/APA_resistance_support.jpg" TargetMode="External"/><Relationship Id="rId96" Type="http://schemas.openxmlformats.org/officeDocument/2006/relationships/hyperlink" Target="https://3arbzfbsh-cname-us.ngrok.io/Desktop/seabridge%20fintech/profit_graph_app/AOS_Return.jpg" TargetMode="External"/><Relationship Id="rId99" Type="http://schemas.openxmlformats.org/officeDocument/2006/relationships/hyperlink" Target="https://3arbzfbsh-cname-us.ngrok.io/Desktop/seabridge%20fintech/image_app/APD_resistance_support.jpg" TargetMode="External"/><Relationship Id="rId98" Type="http://schemas.openxmlformats.org/officeDocument/2006/relationships/hyperlink" Target="https://3arbzfbsh-cname-us.ngrok.io/Desktop/seabridge%20fintech/profit_graph_app/APA_Return.jpg" TargetMode="External"/><Relationship Id="rId91" Type="http://schemas.openxmlformats.org/officeDocument/2006/relationships/hyperlink" Target="https://3arbzfbsh-cname-us.ngrok.io/Desktop/seabridge%20fintech/image_app/ANTM_resistance_support.jpg" TargetMode="External"/><Relationship Id="rId90" Type="http://schemas.openxmlformats.org/officeDocument/2006/relationships/hyperlink" Target="https://3arbzfbsh-cname-us.ngrok.io/Desktop/seabridge%20fintech/profit_graph_app/ANSS_Return.jpg" TargetMode="External"/><Relationship Id="rId93" Type="http://schemas.openxmlformats.org/officeDocument/2006/relationships/hyperlink" Target="https://3arbzfbsh-cname-us.ngrok.io/Desktop/seabridge%20fintech/image_app/AON_resistance_support.jpg" TargetMode="External"/><Relationship Id="rId92" Type="http://schemas.openxmlformats.org/officeDocument/2006/relationships/hyperlink" Target="https://3arbzfbsh-cname-us.ngrok.io/Desktop/seabridge%20fintech/profit_graph_app/ANTM_Return.jpg" TargetMode="External"/><Relationship Id="rId118" Type="http://schemas.openxmlformats.org/officeDocument/2006/relationships/hyperlink" Target="https://3arbzfbsh-cname-us.ngrok.io/Desktop/seabridge%20fintech/profit_graph_app/ATO_Return.jpg" TargetMode="External"/><Relationship Id="rId117" Type="http://schemas.openxmlformats.org/officeDocument/2006/relationships/hyperlink" Target="https://3arbzfbsh-cname-us.ngrok.io/Desktop/seabridge%20fintech/image_app/ATO_resistance_support.jpg" TargetMode="External"/><Relationship Id="rId359" Type="http://schemas.openxmlformats.org/officeDocument/2006/relationships/hyperlink" Target="https://3arbzfbsh-cname-us.ngrok.io/Desktop/seabridge%20fintech/image_app/DVN_resistance_support.jpg" TargetMode="External"/><Relationship Id="rId116" Type="http://schemas.openxmlformats.org/officeDocument/2006/relationships/hyperlink" Target="https://3arbzfbsh-cname-us.ngrok.io/Desktop/seabridge%20fintech/profit_graph_app/ASML_Return.jpg" TargetMode="External"/><Relationship Id="rId358" Type="http://schemas.openxmlformats.org/officeDocument/2006/relationships/hyperlink" Target="https://3arbzfbsh-cname-us.ngrok.io/Desktop/seabridge%20fintech/profit_graph_app/DVA_Return.jpg" TargetMode="External"/><Relationship Id="rId115" Type="http://schemas.openxmlformats.org/officeDocument/2006/relationships/hyperlink" Target="https://3arbzfbsh-cname-us.ngrok.io/Desktop/seabridge%20fintech/image_app/ASML_resistance_support.jpg" TargetMode="External"/><Relationship Id="rId357" Type="http://schemas.openxmlformats.org/officeDocument/2006/relationships/hyperlink" Target="https://3arbzfbsh-cname-us.ngrok.io/Desktop/seabridge%20fintech/image_app/DVA_resistance_support.jpg" TargetMode="External"/><Relationship Id="rId599" Type="http://schemas.openxmlformats.org/officeDocument/2006/relationships/hyperlink" Target="https://3arbzfbsh-cname-us.ngrok.io/Desktop/seabridge%20fintech/image_app/IEMG_resistance_support.jpg" TargetMode="External"/><Relationship Id="rId1180" Type="http://schemas.openxmlformats.org/officeDocument/2006/relationships/hyperlink" Target="https://3arbzfbsh-cname-us.ngrok.io/Desktop/seabridge%20fintech/profit_graph_app/TMO_Return.jpg" TargetMode="External"/><Relationship Id="rId1181" Type="http://schemas.openxmlformats.org/officeDocument/2006/relationships/hyperlink" Target="https://3arbzfbsh-cname-us.ngrok.io/Desktop/seabridge%20fintech/image_app/TMUS_resistance_support.jpg" TargetMode="External"/><Relationship Id="rId119" Type="http://schemas.openxmlformats.org/officeDocument/2006/relationships/hyperlink" Target="https://3arbzfbsh-cname-us.ngrok.io/Desktop/seabridge%20fintech/image_app/ATUS_resistance_support.jpg" TargetMode="External"/><Relationship Id="rId1182" Type="http://schemas.openxmlformats.org/officeDocument/2006/relationships/hyperlink" Target="https://3arbzfbsh-cname-us.ngrok.io/Desktop/seabridge%20fintech/profit_graph_app/TMUS_Return.jpg" TargetMode="External"/><Relationship Id="rId110" Type="http://schemas.openxmlformats.org/officeDocument/2006/relationships/hyperlink" Target="https://3arbzfbsh-cname-us.ngrok.io/Desktop/seabridge%20fintech/profit_graph_app/ARE_Return.jpg" TargetMode="External"/><Relationship Id="rId352" Type="http://schemas.openxmlformats.org/officeDocument/2006/relationships/hyperlink" Target="https://3arbzfbsh-cname-us.ngrok.io/Desktop/seabridge%20fintech/profit_graph_app/DRI_Return.jpg" TargetMode="External"/><Relationship Id="rId594" Type="http://schemas.openxmlformats.org/officeDocument/2006/relationships/hyperlink" Target="https://3arbzfbsh-cname-us.ngrok.io/Desktop/seabridge%20fintech/profit_graph_app/IDXX_Return.jpg" TargetMode="External"/><Relationship Id="rId1183" Type="http://schemas.openxmlformats.org/officeDocument/2006/relationships/hyperlink" Target="https://3arbzfbsh-cname-us.ngrok.io/Desktop/seabridge%20fintech/image_app/TPR_resistance_support.jpg" TargetMode="External"/><Relationship Id="rId351" Type="http://schemas.openxmlformats.org/officeDocument/2006/relationships/hyperlink" Target="https://3arbzfbsh-cname-us.ngrok.io/Desktop/seabridge%20fintech/image_app/DRI_resistance_support.jpg" TargetMode="External"/><Relationship Id="rId593" Type="http://schemas.openxmlformats.org/officeDocument/2006/relationships/hyperlink" Target="https://3arbzfbsh-cname-us.ngrok.io/Desktop/seabridge%20fintech/image_app/IDXX_resistance_support.jpg" TargetMode="External"/><Relationship Id="rId1184" Type="http://schemas.openxmlformats.org/officeDocument/2006/relationships/hyperlink" Target="https://3arbzfbsh-cname-us.ngrok.io/Desktop/seabridge%20fintech/profit_graph_app/TPR_Return.jpg" TargetMode="External"/><Relationship Id="rId350" Type="http://schemas.openxmlformats.org/officeDocument/2006/relationships/hyperlink" Target="https://3arbzfbsh-cname-us.ngrok.io/Desktop/seabridge%20fintech/profit_graph_app/DRE_Return.jpg" TargetMode="External"/><Relationship Id="rId592" Type="http://schemas.openxmlformats.org/officeDocument/2006/relationships/hyperlink" Target="https://3arbzfbsh-cname-us.ngrok.io/Desktop/seabridge%20fintech/profit_graph_app/ICE_Return.jpg" TargetMode="External"/><Relationship Id="rId1185" Type="http://schemas.openxmlformats.org/officeDocument/2006/relationships/hyperlink" Target="https://3arbzfbsh-cname-us.ngrok.io/Desktop/seabridge%20fintech/image_app/TQQQ_resistance_support.jpg" TargetMode="External"/><Relationship Id="rId591" Type="http://schemas.openxmlformats.org/officeDocument/2006/relationships/hyperlink" Target="https://3arbzfbsh-cname-us.ngrok.io/Desktop/seabridge%20fintech/image_app/ICE_resistance_support.jpg" TargetMode="External"/><Relationship Id="rId1186" Type="http://schemas.openxmlformats.org/officeDocument/2006/relationships/hyperlink" Target="https://3arbzfbsh-cname-us.ngrok.io/Desktop/seabridge%20fintech/profit_graph_app/TQQQ_Return.jpg" TargetMode="External"/><Relationship Id="rId114" Type="http://schemas.openxmlformats.org/officeDocument/2006/relationships/hyperlink" Target="https://3arbzfbsh-cname-us.ngrok.io/Desktop/seabridge%20fintech/profit_graph_app/ASHR_Return.jpg" TargetMode="External"/><Relationship Id="rId356" Type="http://schemas.openxmlformats.org/officeDocument/2006/relationships/hyperlink" Target="https://3arbzfbsh-cname-us.ngrok.io/Desktop/seabridge%20fintech/profit_graph_app/DUK_Return.jpg" TargetMode="External"/><Relationship Id="rId598" Type="http://schemas.openxmlformats.org/officeDocument/2006/relationships/hyperlink" Target="https://3arbzfbsh-cname-us.ngrok.io/Desktop/seabridge%20fintech/profit_graph_app/IEFA_Return.jpg" TargetMode="External"/><Relationship Id="rId1187" Type="http://schemas.openxmlformats.org/officeDocument/2006/relationships/hyperlink" Target="https://3arbzfbsh-cname-us.ngrok.io/Desktop/seabridge%20fintech/image_app/TRGP_resistance_support.jpg" TargetMode="External"/><Relationship Id="rId113" Type="http://schemas.openxmlformats.org/officeDocument/2006/relationships/hyperlink" Target="https://3arbzfbsh-cname-us.ngrok.io/Desktop/seabridge%20fintech/image_app/ASHR_resistance_support.jpg" TargetMode="External"/><Relationship Id="rId355" Type="http://schemas.openxmlformats.org/officeDocument/2006/relationships/hyperlink" Target="https://3arbzfbsh-cname-us.ngrok.io/Desktop/seabridge%20fintech/image_app/DUK_resistance_support.jpg" TargetMode="External"/><Relationship Id="rId597" Type="http://schemas.openxmlformats.org/officeDocument/2006/relationships/hyperlink" Target="https://3arbzfbsh-cname-us.ngrok.io/Desktop/seabridge%20fintech/image_app/IEFA_resistance_support.jpg" TargetMode="External"/><Relationship Id="rId1188" Type="http://schemas.openxmlformats.org/officeDocument/2006/relationships/hyperlink" Target="https://3arbzfbsh-cname-us.ngrok.io/Desktop/seabridge%20fintech/profit_graph_app/TRGP_Return.jpg" TargetMode="External"/><Relationship Id="rId112" Type="http://schemas.openxmlformats.org/officeDocument/2006/relationships/hyperlink" Target="https://3arbzfbsh-cname-us.ngrok.io/Desktop/seabridge%20fintech/profit_graph_app/ASAN_Return.jpg" TargetMode="External"/><Relationship Id="rId354" Type="http://schemas.openxmlformats.org/officeDocument/2006/relationships/hyperlink" Target="https://3arbzfbsh-cname-us.ngrok.io/Desktop/seabridge%20fintech/profit_graph_app/DTE_Return.jpg" TargetMode="External"/><Relationship Id="rId596" Type="http://schemas.openxmlformats.org/officeDocument/2006/relationships/hyperlink" Target="https://3arbzfbsh-cname-us.ngrok.io/Desktop/seabridge%20fintech/profit_graph_app/IEF_Return.jpg" TargetMode="External"/><Relationship Id="rId1189" Type="http://schemas.openxmlformats.org/officeDocument/2006/relationships/hyperlink" Target="https://3arbzfbsh-cname-us.ngrok.io/Desktop/seabridge%20fintech/image_app/TRIP_resistance_support.jpg" TargetMode="External"/><Relationship Id="rId111" Type="http://schemas.openxmlformats.org/officeDocument/2006/relationships/hyperlink" Target="https://3arbzfbsh-cname-us.ngrok.io/Desktop/seabridge%20fintech/image_app/ASAN_resistance_support.jpg" TargetMode="External"/><Relationship Id="rId353" Type="http://schemas.openxmlformats.org/officeDocument/2006/relationships/hyperlink" Target="https://3arbzfbsh-cname-us.ngrok.io/Desktop/seabridge%20fintech/image_app/DTE_resistance_support.jpg" TargetMode="External"/><Relationship Id="rId595" Type="http://schemas.openxmlformats.org/officeDocument/2006/relationships/hyperlink" Target="https://3arbzfbsh-cname-us.ngrok.io/Desktop/seabridge%20fintech/image_app/IEF_resistance_support.jpg" TargetMode="External"/><Relationship Id="rId1136" Type="http://schemas.openxmlformats.org/officeDocument/2006/relationships/hyperlink" Target="https://3arbzfbsh-cname-us.ngrok.io/Desktop/seabridge%20fintech/profit_graph_app/STX_Return.jpg" TargetMode="External"/><Relationship Id="rId1378" Type="http://schemas.openxmlformats.org/officeDocument/2006/relationships/hyperlink" Target="https://3arbzfbsh-cname-us.ngrok.io/Desktop/seabridge%20fintech/profit_graph_app/XLY_Return.jpg" TargetMode="External"/><Relationship Id="rId1137" Type="http://schemas.openxmlformats.org/officeDocument/2006/relationships/hyperlink" Target="https://3arbzfbsh-cname-us.ngrok.io/Desktop/seabridge%20fintech/image_app/STZ_resistance_support.jpg" TargetMode="External"/><Relationship Id="rId1379" Type="http://schemas.openxmlformats.org/officeDocument/2006/relationships/hyperlink" Target="https://3arbzfbsh-cname-us.ngrok.io/Desktop/seabridge%20fintech/image_app/XOM_resistance_support.jpg" TargetMode="External"/><Relationship Id="rId1138" Type="http://schemas.openxmlformats.org/officeDocument/2006/relationships/hyperlink" Target="https://3arbzfbsh-cname-us.ngrok.io/Desktop/seabridge%20fintech/profit_graph_app/STZ_Return.jpg" TargetMode="External"/><Relationship Id="rId1139" Type="http://schemas.openxmlformats.org/officeDocument/2006/relationships/hyperlink" Target="https://3arbzfbsh-cname-us.ngrok.io/Desktop/seabridge%20fintech/image_app/SWK_resistance_support.jpg" TargetMode="External"/><Relationship Id="rId305" Type="http://schemas.openxmlformats.org/officeDocument/2006/relationships/hyperlink" Target="https://3arbzfbsh-cname-us.ngrok.io/Desktop/seabridge%20fintech/image_app/DBX_resistance_support.jpg" TargetMode="External"/><Relationship Id="rId547" Type="http://schemas.openxmlformats.org/officeDocument/2006/relationships/hyperlink" Target="https://3arbzfbsh-cname-us.ngrok.io/Desktop/seabridge%20fintech/image_app/HFC_resistance_support.jpg" TargetMode="External"/><Relationship Id="rId789" Type="http://schemas.openxmlformats.org/officeDocument/2006/relationships/hyperlink" Target="https://3arbzfbsh-cname-us.ngrok.io/Desktop/seabridge%20fintech/image_app/MET_resistance_support.jpg" TargetMode="External"/><Relationship Id="rId304" Type="http://schemas.openxmlformats.org/officeDocument/2006/relationships/hyperlink" Target="https://3arbzfbsh-cname-us.ngrok.io/Desktop/seabridge%20fintech/profit_graph_app/DAR_Return.jpg" TargetMode="External"/><Relationship Id="rId546" Type="http://schemas.openxmlformats.org/officeDocument/2006/relationships/hyperlink" Target="https://3arbzfbsh-cname-us.ngrok.io/Desktop/seabridge%20fintech/profit_graph_app/HES_Return.jpg" TargetMode="External"/><Relationship Id="rId788" Type="http://schemas.openxmlformats.org/officeDocument/2006/relationships/hyperlink" Target="https://3arbzfbsh-cname-us.ngrok.io/Desktop/seabridge%20fintech/profit_graph_app/MELI_Return.jpg" TargetMode="External"/><Relationship Id="rId303" Type="http://schemas.openxmlformats.org/officeDocument/2006/relationships/hyperlink" Target="https://3arbzfbsh-cname-us.ngrok.io/Desktop/seabridge%20fintech/image_app/DAR_resistance_support.jpg" TargetMode="External"/><Relationship Id="rId545" Type="http://schemas.openxmlformats.org/officeDocument/2006/relationships/hyperlink" Target="https://3arbzfbsh-cname-us.ngrok.io/Desktop/seabridge%20fintech/image_app/HES_resistance_support.jpg" TargetMode="External"/><Relationship Id="rId787" Type="http://schemas.openxmlformats.org/officeDocument/2006/relationships/hyperlink" Target="https://3arbzfbsh-cname-us.ngrok.io/Desktop/seabridge%20fintech/image_app/MELI_resistance_support.jpg" TargetMode="External"/><Relationship Id="rId302" Type="http://schemas.openxmlformats.org/officeDocument/2006/relationships/hyperlink" Target="https://3arbzfbsh-cname-us.ngrok.io/Desktop/seabridge%20fintech/profit_graph_app/DAL_Return.jpg" TargetMode="External"/><Relationship Id="rId544" Type="http://schemas.openxmlformats.org/officeDocument/2006/relationships/hyperlink" Target="https://3arbzfbsh-cname-us.ngrok.io/Desktop/seabridge%20fintech/profit_graph_app/HD_Return.jpg" TargetMode="External"/><Relationship Id="rId786" Type="http://schemas.openxmlformats.org/officeDocument/2006/relationships/hyperlink" Target="https://3arbzfbsh-cname-us.ngrok.io/Desktop/seabridge%20fintech/profit_graph_app/MDT_Return.jpg" TargetMode="External"/><Relationship Id="rId309" Type="http://schemas.openxmlformats.org/officeDocument/2006/relationships/hyperlink" Target="https://3arbzfbsh-cname-us.ngrok.io/Desktop/seabridge%20fintech/image_app/DDD_resistance_support.jpg" TargetMode="External"/><Relationship Id="rId308" Type="http://schemas.openxmlformats.org/officeDocument/2006/relationships/hyperlink" Target="https://3arbzfbsh-cname-us.ngrok.io/Desktop/seabridge%20fintech/profit_graph_app/DD_Return.jpg" TargetMode="External"/><Relationship Id="rId307" Type="http://schemas.openxmlformats.org/officeDocument/2006/relationships/hyperlink" Target="https://3arbzfbsh-cname-us.ngrok.io/Desktop/seabridge%20fintech/image_app/DD_resistance_support.jpg" TargetMode="External"/><Relationship Id="rId549" Type="http://schemas.openxmlformats.org/officeDocument/2006/relationships/hyperlink" Target="https://3arbzfbsh-cname-us.ngrok.io/Desktop/seabridge%20fintech/image_app/HIG_resistance_support.jpg" TargetMode="External"/><Relationship Id="rId306" Type="http://schemas.openxmlformats.org/officeDocument/2006/relationships/hyperlink" Target="https://3arbzfbsh-cname-us.ngrok.io/Desktop/seabridge%20fintech/profit_graph_app/DBX_Return.jpg" TargetMode="External"/><Relationship Id="rId548" Type="http://schemas.openxmlformats.org/officeDocument/2006/relationships/hyperlink" Target="https://3arbzfbsh-cname-us.ngrok.io/Desktop/seabridge%20fintech/profit_graph_app/HFC_Return.jpg" TargetMode="External"/><Relationship Id="rId781" Type="http://schemas.openxmlformats.org/officeDocument/2006/relationships/hyperlink" Target="https://3arbzfbsh-cname-us.ngrok.io/Desktop/seabridge%20fintech/image_app/MCO_resistance_support.jpg" TargetMode="External"/><Relationship Id="rId1370" Type="http://schemas.openxmlformats.org/officeDocument/2006/relationships/hyperlink" Target="https://3arbzfbsh-cname-us.ngrok.io/Desktop/seabridge%20fintech/profit_graph_app/XLP_Return.jpg" TargetMode="External"/><Relationship Id="rId780" Type="http://schemas.openxmlformats.org/officeDocument/2006/relationships/hyperlink" Target="https://3arbzfbsh-cname-us.ngrok.io/Desktop/seabridge%20fintech/profit_graph_app/MCK_Return.jpg" TargetMode="External"/><Relationship Id="rId1371" Type="http://schemas.openxmlformats.org/officeDocument/2006/relationships/hyperlink" Target="https://3arbzfbsh-cname-us.ngrok.io/Desktop/seabridge%20fintech/image_app/XLRE_resistance_support.jpg" TargetMode="External"/><Relationship Id="rId1130" Type="http://schemas.openxmlformats.org/officeDocument/2006/relationships/hyperlink" Target="https://3arbzfbsh-cname-us.ngrok.io/Desktop/seabridge%20fintech/profit_graph_app/STEM_Return.jpg" TargetMode="External"/><Relationship Id="rId1372" Type="http://schemas.openxmlformats.org/officeDocument/2006/relationships/hyperlink" Target="https://3arbzfbsh-cname-us.ngrok.io/Desktop/seabridge%20fintech/profit_graph_app/XLRE_Return.jpg" TargetMode="External"/><Relationship Id="rId1131" Type="http://schemas.openxmlformats.org/officeDocument/2006/relationships/hyperlink" Target="https://3arbzfbsh-cname-us.ngrok.io/Desktop/seabridge%20fintech/image_app/STLD_resistance_support.jpg" TargetMode="External"/><Relationship Id="rId1373" Type="http://schemas.openxmlformats.org/officeDocument/2006/relationships/hyperlink" Target="https://3arbzfbsh-cname-us.ngrok.io/Desktop/seabridge%20fintech/image_app/XLU_resistance_support.jpg" TargetMode="External"/><Relationship Id="rId301" Type="http://schemas.openxmlformats.org/officeDocument/2006/relationships/hyperlink" Target="https://3arbzfbsh-cname-us.ngrok.io/Desktop/seabridge%20fintech/image_app/DAL_resistance_support.jpg" TargetMode="External"/><Relationship Id="rId543" Type="http://schemas.openxmlformats.org/officeDocument/2006/relationships/hyperlink" Target="https://3arbzfbsh-cname-us.ngrok.io/Desktop/seabridge%20fintech/image_app/HD_resistance_support.jpg" TargetMode="External"/><Relationship Id="rId785" Type="http://schemas.openxmlformats.org/officeDocument/2006/relationships/hyperlink" Target="https://3arbzfbsh-cname-us.ngrok.io/Desktop/seabridge%20fintech/image_app/MDT_resistance_support.jpg" TargetMode="External"/><Relationship Id="rId1132" Type="http://schemas.openxmlformats.org/officeDocument/2006/relationships/hyperlink" Target="https://3arbzfbsh-cname-us.ngrok.io/Desktop/seabridge%20fintech/profit_graph_app/STLD_Return.jpg" TargetMode="External"/><Relationship Id="rId1374" Type="http://schemas.openxmlformats.org/officeDocument/2006/relationships/hyperlink" Target="https://3arbzfbsh-cname-us.ngrok.io/Desktop/seabridge%20fintech/profit_graph_app/XLU_Return.jpg" TargetMode="External"/><Relationship Id="rId300" Type="http://schemas.openxmlformats.org/officeDocument/2006/relationships/hyperlink" Target="https://3arbzfbsh-cname-us.ngrok.io/Desktop/seabridge%20fintech/profit_graph_app/D_Return.jpg" TargetMode="External"/><Relationship Id="rId542" Type="http://schemas.openxmlformats.org/officeDocument/2006/relationships/hyperlink" Target="https://3arbzfbsh-cname-us.ngrok.io/Desktop/seabridge%20fintech/profit_graph_app/HCA_Return.jpg" TargetMode="External"/><Relationship Id="rId784" Type="http://schemas.openxmlformats.org/officeDocument/2006/relationships/hyperlink" Target="https://3arbzfbsh-cname-us.ngrok.io/Desktop/seabridge%20fintech/profit_graph_app/MDLZ_Return.jpg" TargetMode="External"/><Relationship Id="rId1133" Type="http://schemas.openxmlformats.org/officeDocument/2006/relationships/hyperlink" Target="https://3arbzfbsh-cname-us.ngrok.io/Desktop/seabridge%20fintech/image_app/STT_resistance_support.jpg" TargetMode="External"/><Relationship Id="rId1375" Type="http://schemas.openxmlformats.org/officeDocument/2006/relationships/hyperlink" Target="https://3arbzfbsh-cname-us.ngrok.io/Desktop/seabridge%20fintech/image_app/XLV_resistance_support.jpg" TargetMode="External"/><Relationship Id="rId541" Type="http://schemas.openxmlformats.org/officeDocument/2006/relationships/hyperlink" Target="https://3arbzfbsh-cname-us.ngrok.io/Desktop/seabridge%20fintech/image_app/HCA_resistance_support.jpg" TargetMode="External"/><Relationship Id="rId783" Type="http://schemas.openxmlformats.org/officeDocument/2006/relationships/hyperlink" Target="https://3arbzfbsh-cname-us.ngrok.io/Desktop/seabridge%20fintech/image_app/MDLZ_resistance_support.jpg" TargetMode="External"/><Relationship Id="rId1134" Type="http://schemas.openxmlformats.org/officeDocument/2006/relationships/hyperlink" Target="https://3arbzfbsh-cname-us.ngrok.io/Desktop/seabridge%20fintech/profit_graph_app/STT_Return.jpg" TargetMode="External"/><Relationship Id="rId1376" Type="http://schemas.openxmlformats.org/officeDocument/2006/relationships/hyperlink" Target="https://3arbzfbsh-cname-us.ngrok.io/Desktop/seabridge%20fintech/profit_graph_app/XLV_Return.jpg" TargetMode="External"/><Relationship Id="rId540" Type="http://schemas.openxmlformats.org/officeDocument/2006/relationships/hyperlink" Target="https://3arbzfbsh-cname-us.ngrok.io/Desktop/seabridge%20fintech/profit_graph_app/HBI_Return.jpg" TargetMode="External"/><Relationship Id="rId782" Type="http://schemas.openxmlformats.org/officeDocument/2006/relationships/hyperlink" Target="https://3arbzfbsh-cname-us.ngrok.io/Desktop/seabridge%20fintech/profit_graph_app/MCO_Return.jpg" TargetMode="External"/><Relationship Id="rId1135" Type="http://schemas.openxmlformats.org/officeDocument/2006/relationships/hyperlink" Target="https://3arbzfbsh-cname-us.ngrok.io/Desktop/seabridge%20fintech/image_app/STX_resistance_support.jpg" TargetMode="External"/><Relationship Id="rId1377" Type="http://schemas.openxmlformats.org/officeDocument/2006/relationships/hyperlink" Target="https://3arbzfbsh-cname-us.ngrok.io/Desktop/seabridge%20fintech/image_app/XLY_resistance_support.jpg" TargetMode="External"/><Relationship Id="rId1125" Type="http://schemas.openxmlformats.org/officeDocument/2006/relationships/hyperlink" Target="https://3arbzfbsh-cname-us.ngrok.io/Desktop/seabridge%20fintech/image_app/SRE_resistance_support.jpg" TargetMode="External"/><Relationship Id="rId1367" Type="http://schemas.openxmlformats.org/officeDocument/2006/relationships/hyperlink" Target="https://3arbzfbsh-cname-us.ngrok.io/Desktop/seabridge%20fintech/image_app/XLNX_resistance_support.jpg" TargetMode="External"/><Relationship Id="rId1126" Type="http://schemas.openxmlformats.org/officeDocument/2006/relationships/hyperlink" Target="https://3arbzfbsh-cname-us.ngrok.io/Desktop/seabridge%20fintech/profit_graph_app/SRE_Return.jpg" TargetMode="External"/><Relationship Id="rId1368" Type="http://schemas.openxmlformats.org/officeDocument/2006/relationships/hyperlink" Target="https://3arbzfbsh-cname-us.ngrok.io/Desktop/seabridge%20fintech/profit_graph_app/XLNX_Return.jpg" TargetMode="External"/><Relationship Id="rId1127" Type="http://schemas.openxmlformats.org/officeDocument/2006/relationships/hyperlink" Target="https://3arbzfbsh-cname-us.ngrok.io/Desktop/seabridge%20fintech/image_app/STE_resistance_support.jpg" TargetMode="External"/><Relationship Id="rId1369" Type="http://schemas.openxmlformats.org/officeDocument/2006/relationships/hyperlink" Target="https://3arbzfbsh-cname-us.ngrok.io/Desktop/seabridge%20fintech/image_app/XLP_resistance_support.jpg" TargetMode="External"/><Relationship Id="rId1128" Type="http://schemas.openxmlformats.org/officeDocument/2006/relationships/hyperlink" Target="https://3arbzfbsh-cname-us.ngrok.io/Desktop/seabridge%20fintech/profit_graph_app/STE_Return.jpg" TargetMode="External"/><Relationship Id="rId1129" Type="http://schemas.openxmlformats.org/officeDocument/2006/relationships/hyperlink" Target="https://3arbzfbsh-cname-us.ngrok.io/Desktop/seabridge%20fintech/image_app/STEM_resistance_support.jpg" TargetMode="External"/><Relationship Id="rId536" Type="http://schemas.openxmlformats.org/officeDocument/2006/relationships/hyperlink" Target="https://3arbzfbsh-cname-us.ngrok.io/Desktop/seabridge%20fintech/profit_graph_app/HAS_Return.jpg" TargetMode="External"/><Relationship Id="rId778" Type="http://schemas.openxmlformats.org/officeDocument/2006/relationships/hyperlink" Target="https://3arbzfbsh-cname-us.ngrok.io/Desktop/seabridge%20fintech/profit_graph_app/MCHP_Return.jpg" TargetMode="External"/><Relationship Id="rId535" Type="http://schemas.openxmlformats.org/officeDocument/2006/relationships/hyperlink" Target="https://3arbzfbsh-cname-us.ngrok.io/Desktop/seabridge%20fintech/image_app/HAS_resistance_support.jpg" TargetMode="External"/><Relationship Id="rId777" Type="http://schemas.openxmlformats.org/officeDocument/2006/relationships/hyperlink" Target="https://3arbzfbsh-cname-us.ngrok.io/Desktop/seabridge%20fintech/image_app/MCHP_resistance_support.jpg" TargetMode="External"/><Relationship Id="rId534" Type="http://schemas.openxmlformats.org/officeDocument/2006/relationships/hyperlink" Target="https://3arbzfbsh-cname-us.ngrok.io/Desktop/seabridge%20fintech/profit_graph_app/HAL_Return.jpg" TargetMode="External"/><Relationship Id="rId776" Type="http://schemas.openxmlformats.org/officeDocument/2006/relationships/hyperlink" Target="https://3arbzfbsh-cname-us.ngrok.io/Desktop/seabridge%20fintech/profit_graph_app/MCHI_Return.jpg" TargetMode="External"/><Relationship Id="rId533" Type="http://schemas.openxmlformats.org/officeDocument/2006/relationships/hyperlink" Target="https://3arbzfbsh-cname-us.ngrok.io/Desktop/seabridge%20fintech/image_app/HAL_resistance_support.jpg" TargetMode="External"/><Relationship Id="rId775" Type="http://schemas.openxmlformats.org/officeDocument/2006/relationships/hyperlink" Target="https://3arbzfbsh-cname-us.ngrok.io/Desktop/seabridge%20fintech/image_app/MCHI_resistance_support.jpg" TargetMode="External"/><Relationship Id="rId539" Type="http://schemas.openxmlformats.org/officeDocument/2006/relationships/hyperlink" Target="https://3arbzfbsh-cname-us.ngrok.io/Desktop/seabridge%20fintech/image_app/HBI_resistance_support.jpg" TargetMode="External"/><Relationship Id="rId538" Type="http://schemas.openxmlformats.org/officeDocument/2006/relationships/hyperlink" Target="https://3arbzfbsh-cname-us.ngrok.io/Desktop/seabridge%20fintech/profit_graph_app/HBAN_Return.jpg" TargetMode="External"/><Relationship Id="rId537" Type="http://schemas.openxmlformats.org/officeDocument/2006/relationships/hyperlink" Target="https://3arbzfbsh-cname-us.ngrok.io/Desktop/seabridge%20fintech/image_app/HBAN_resistance_support.jpg" TargetMode="External"/><Relationship Id="rId779" Type="http://schemas.openxmlformats.org/officeDocument/2006/relationships/hyperlink" Target="https://3arbzfbsh-cname-us.ngrok.io/Desktop/seabridge%20fintech/image_app/MCK_resistance_support.jpg" TargetMode="External"/><Relationship Id="rId770" Type="http://schemas.openxmlformats.org/officeDocument/2006/relationships/hyperlink" Target="https://3arbzfbsh-cname-us.ngrok.io/Desktop/seabridge%20fintech/profit_graph_app/MARA_Return.jpg" TargetMode="External"/><Relationship Id="rId1360" Type="http://schemas.openxmlformats.org/officeDocument/2006/relationships/hyperlink" Target="https://3arbzfbsh-cname-us.ngrok.io/Desktop/seabridge%20fintech/profit_graph_app/XLE_Return.jpg" TargetMode="External"/><Relationship Id="rId1361" Type="http://schemas.openxmlformats.org/officeDocument/2006/relationships/hyperlink" Target="https://3arbzfbsh-cname-us.ngrok.io/Desktop/seabridge%20fintech/image_app/XLF_resistance_support.jpg" TargetMode="External"/><Relationship Id="rId1120" Type="http://schemas.openxmlformats.org/officeDocument/2006/relationships/hyperlink" Target="https://3arbzfbsh-cname-us.ngrok.io/Desktop/seabridge%20fintech/profit_graph_app/SPY_Return.jpg" TargetMode="External"/><Relationship Id="rId1362" Type="http://schemas.openxmlformats.org/officeDocument/2006/relationships/hyperlink" Target="https://3arbzfbsh-cname-us.ngrok.io/Desktop/seabridge%20fintech/profit_graph_app/XLF_Return.jpg" TargetMode="External"/><Relationship Id="rId532" Type="http://schemas.openxmlformats.org/officeDocument/2006/relationships/hyperlink" Target="https://3arbzfbsh-cname-us.ngrok.io/Desktop/seabridge%20fintech/profit_graph_app/GWW_Return.jpg" TargetMode="External"/><Relationship Id="rId774" Type="http://schemas.openxmlformats.org/officeDocument/2006/relationships/hyperlink" Target="https://3arbzfbsh-cname-us.ngrok.io/Desktop/seabridge%20fintech/profit_graph_app/MCD_Return.jpg" TargetMode="External"/><Relationship Id="rId1121" Type="http://schemas.openxmlformats.org/officeDocument/2006/relationships/hyperlink" Target="https://3arbzfbsh-cname-us.ngrok.io/Desktop/seabridge%20fintech/image_app/SPYV_resistance_support.jpg" TargetMode="External"/><Relationship Id="rId1363" Type="http://schemas.openxmlformats.org/officeDocument/2006/relationships/hyperlink" Target="https://3arbzfbsh-cname-us.ngrok.io/Desktop/seabridge%20fintech/image_app/XLI_resistance_support.jpg" TargetMode="External"/><Relationship Id="rId531" Type="http://schemas.openxmlformats.org/officeDocument/2006/relationships/hyperlink" Target="https://3arbzfbsh-cname-us.ngrok.io/Desktop/seabridge%20fintech/image_app/GWW_resistance_support.jpg" TargetMode="External"/><Relationship Id="rId773" Type="http://schemas.openxmlformats.org/officeDocument/2006/relationships/hyperlink" Target="https://3arbzfbsh-cname-us.ngrok.io/Desktop/seabridge%20fintech/image_app/MCD_resistance_support.jpg" TargetMode="External"/><Relationship Id="rId1122" Type="http://schemas.openxmlformats.org/officeDocument/2006/relationships/hyperlink" Target="https://3arbzfbsh-cname-us.ngrok.io/Desktop/seabridge%20fintech/profit_graph_app/SPYV_Return.jpg" TargetMode="External"/><Relationship Id="rId1364" Type="http://schemas.openxmlformats.org/officeDocument/2006/relationships/hyperlink" Target="https://3arbzfbsh-cname-us.ngrok.io/Desktop/seabridge%20fintech/profit_graph_app/XLI_Return.jpg" TargetMode="External"/><Relationship Id="rId530" Type="http://schemas.openxmlformats.org/officeDocument/2006/relationships/hyperlink" Target="https://3arbzfbsh-cname-us.ngrok.io/Desktop/seabridge%20fintech/profit_graph_app/GS_Return.jpg" TargetMode="External"/><Relationship Id="rId772" Type="http://schemas.openxmlformats.org/officeDocument/2006/relationships/hyperlink" Target="https://3arbzfbsh-cname-us.ngrok.io/Desktop/seabridge%20fintech/profit_graph_app/MAS_Return.jpg" TargetMode="External"/><Relationship Id="rId1123" Type="http://schemas.openxmlformats.org/officeDocument/2006/relationships/hyperlink" Target="https://3arbzfbsh-cname-us.ngrok.io/Desktop/seabridge%20fintech/image_app/SQ_resistance_support.jpg" TargetMode="External"/><Relationship Id="rId1365" Type="http://schemas.openxmlformats.org/officeDocument/2006/relationships/hyperlink" Target="https://3arbzfbsh-cname-us.ngrok.io/Desktop/seabridge%20fintech/image_app/XLK_resistance_support.jpg" TargetMode="External"/><Relationship Id="rId771" Type="http://schemas.openxmlformats.org/officeDocument/2006/relationships/hyperlink" Target="https://3arbzfbsh-cname-us.ngrok.io/Desktop/seabridge%20fintech/image_app/MAS_resistance_support.jpg" TargetMode="External"/><Relationship Id="rId1124" Type="http://schemas.openxmlformats.org/officeDocument/2006/relationships/hyperlink" Target="https://3arbzfbsh-cname-us.ngrok.io/Desktop/seabridge%20fintech/profit_graph_app/SQ_Return.jpg" TargetMode="External"/><Relationship Id="rId1366" Type="http://schemas.openxmlformats.org/officeDocument/2006/relationships/hyperlink" Target="https://3arbzfbsh-cname-us.ngrok.io/Desktop/seabridge%20fintech/profit_graph_app/XLK_Return.jpg" TargetMode="External"/><Relationship Id="rId1158" Type="http://schemas.openxmlformats.org/officeDocument/2006/relationships/hyperlink" Target="https://3arbzfbsh-cname-us.ngrok.io/Desktop/seabridge%20fintech/profit_graph_app/TDOC_Return.jpg" TargetMode="External"/><Relationship Id="rId1159" Type="http://schemas.openxmlformats.org/officeDocument/2006/relationships/hyperlink" Target="https://3arbzfbsh-cname-us.ngrok.io/Desktop/seabridge%20fintech/image_app/TDY_resistance_support.jpg" TargetMode="External"/><Relationship Id="rId327" Type="http://schemas.openxmlformats.org/officeDocument/2006/relationships/hyperlink" Target="https://3arbzfbsh-cname-us.ngrok.io/Desktop/seabridge%20fintech/image_app/DIA_resistance_support.jpg" TargetMode="External"/><Relationship Id="rId569" Type="http://schemas.openxmlformats.org/officeDocument/2006/relationships/hyperlink" Target="https://3arbzfbsh-cname-us.ngrok.io/Desktop/seabridge%20fintech/image_app/HSIC_resistance_support.jpg" TargetMode="External"/><Relationship Id="rId326" Type="http://schemas.openxmlformats.org/officeDocument/2006/relationships/hyperlink" Target="https://3arbzfbsh-cname-us.ngrok.io/Desktop/seabridge%20fintech/profit_graph_app/DHR_Return.jpg" TargetMode="External"/><Relationship Id="rId568" Type="http://schemas.openxmlformats.org/officeDocument/2006/relationships/hyperlink" Target="https://3arbzfbsh-cname-us.ngrok.io/Desktop/seabridge%20fintech/profit_graph_app/HRL_Return.jpg" TargetMode="External"/><Relationship Id="rId325" Type="http://schemas.openxmlformats.org/officeDocument/2006/relationships/hyperlink" Target="https://3arbzfbsh-cname-us.ngrok.io/Desktop/seabridge%20fintech/image_app/DHR_resistance_support.jpg" TargetMode="External"/><Relationship Id="rId567" Type="http://schemas.openxmlformats.org/officeDocument/2006/relationships/hyperlink" Target="https://3arbzfbsh-cname-us.ngrok.io/Desktop/seabridge%20fintech/image_app/HRL_resistance_support.jpg" TargetMode="External"/><Relationship Id="rId324" Type="http://schemas.openxmlformats.org/officeDocument/2006/relationships/hyperlink" Target="https://3arbzfbsh-cname-us.ngrok.io/Desktop/seabridge%20fintech/profit_graph_app/DHI_Return.jpg" TargetMode="External"/><Relationship Id="rId566" Type="http://schemas.openxmlformats.org/officeDocument/2006/relationships/hyperlink" Target="https://3arbzfbsh-cname-us.ngrok.io/Desktop/seabridge%20fintech/profit_graph_app/HPQ_Return.jpg" TargetMode="External"/><Relationship Id="rId329" Type="http://schemas.openxmlformats.org/officeDocument/2006/relationships/hyperlink" Target="https://3arbzfbsh-cname-us.ngrok.io/Desktop/seabridge%20fintech/image_app/DIS_resistance_support.jpg" TargetMode="External"/><Relationship Id="rId1390" Type="http://schemas.openxmlformats.org/officeDocument/2006/relationships/hyperlink" Target="https://3arbzfbsh-cname-us.ngrok.io/Desktop/seabridge%20fintech/profit_graph_app/Z_Return.jpg" TargetMode="External"/><Relationship Id="rId328" Type="http://schemas.openxmlformats.org/officeDocument/2006/relationships/hyperlink" Target="https://3arbzfbsh-cname-us.ngrok.io/Desktop/seabridge%20fintech/profit_graph_app/DIA_Return.jpg" TargetMode="External"/><Relationship Id="rId1391" Type="http://schemas.openxmlformats.org/officeDocument/2006/relationships/hyperlink" Target="https://3arbzfbsh-cname-us.ngrok.io/Desktop/seabridge%20fintech/image_app/ZBH_resistance_support.jpg" TargetMode="External"/><Relationship Id="rId561" Type="http://schemas.openxmlformats.org/officeDocument/2006/relationships/hyperlink" Target="https://3arbzfbsh-cname-us.ngrok.io/Desktop/seabridge%20fintech/image_app/HON_resistance_support.jpg" TargetMode="External"/><Relationship Id="rId1150" Type="http://schemas.openxmlformats.org/officeDocument/2006/relationships/hyperlink" Target="https://3arbzfbsh-cname-us.ngrok.io/Desktop/seabridge%20fintech/profit_graph_app/T_Return.jpg" TargetMode="External"/><Relationship Id="rId1392" Type="http://schemas.openxmlformats.org/officeDocument/2006/relationships/hyperlink" Target="https://3arbzfbsh-cname-us.ngrok.io/Desktop/seabridge%20fintech/profit_graph_app/ZBH_Return.jpg" TargetMode="External"/><Relationship Id="rId560" Type="http://schemas.openxmlformats.org/officeDocument/2006/relationships/hyperlink" Target="https://3arbzfbsh-cname-us.ngrok.io/Desktop/seabridge%20fintech/profit_graph_app/HOME_Return.jpg" TargetMode="External"/><Relationship Id="rId1151" Type="http://schemas.openxmlformats.org/officeDocument/2006/relationships/hyperlink" Target="https://3arbzfbsh-cname-us.ngrok.io/Desktop/seabridge%20fintech/image_app/TAP_resistance_support.jpg" TargetMode="External"/><Relationship Id="rId1393" Type="http://schemas.openxmlformats.org/officeDocument/2006/relationships/hyperlink" Target="https://3arbzfbsh-cname-us.ngrok.io/Desktop/seabridge%20fintech/image_app/ZBRA_resistance_support.jpg" TargetMode="External"/><Relationship Id="rId1152" Type="http://schemas.openxmlformats.org/officeDocument/2006/relationships/hyperlink" Target="https://3arbzfbsh-cname-us.ngrok.io/Desktop/seabridge%20fintech/profit_graph_app/TAP_Return.jpg" TargetMode="External"/><Relationship Id="rId1394" Type="http://schemas.openxmlformats.org/officeDocument/2006/relationships/hyperlink" Target="https://3arbzfbsh-cname-us.ngrok.io/Desktop/seabridge%20fintech/profit_graph_app/ZBRA_Return.jpg" TargetMode="External"/><Relationship Id="rId1153" Type="http://schemas.openxmlformats.org/officeDocument/2006/relationships/hyperlink" Target="https://3arbzfbsh-cname-us.ngrok.io/Desktop/seabridge%20fintech/image_app/TCOM_resistance_support.jpg" TargetMode="External"/><Relationship Id="rId1395" Type="http://schemas.openxmlformats.org/officeDocument/2006/relationships/hyperlink" Target="https://3arbzfbsh-cname-us.ngrok.io/Desktop/seabridge%20fintech/image_app/ZION_resistance_support.jpg" TargetMode="External"/><Relationship Id="rId323" Type="http://schemas.openxmlformats.org/officeDocument/2006/relationships/hyperlink" Target="https://3arbzfbsh-cname-us.ngrok.io/Desktop/seabridge%20fintech/image_app/DHI_resistance_support.jpg" TargetMode="External"/><Relationship Id="rId565" Type="http://schemas.openxmlformats.org/officeDocument/2006/relationships/hyperlink" Target="https://3arbzfbsh-cname-us.ngrok.io/Desktop/seabridge%20fintech/image_app/HPQ_resistance_support.jpg" TargetMode="External"/><Relationship Id="rId1154" Type="http://schemas.openxmlformats.org/officeDocument/2006/relationships/hyperlink" Target="https://3arbzfbsh-cname-us.ngrok.io/Desktop/seabridge%20fintech/profit_graph_app/TCOM_Return.jpg" TargetMode="External"/><Relationship Id="rId1396" Type="http://schemas.openxmlformats.org/officeDocument/2006/relationships/hyperlink" Target="https://3arbzfbsh-cname-us.ngrok.io/Desktop/seabridge%20fintech/profit_graph_app/ZION_Return.jpg" TargetMode="External"/><Relationship Id="rId322" Type="http://schemas.openxmlformats.org/officeDocument/2006/relationships/hyperlink" Target="https://3arbzfbsh-cname-us.ngrok.io/Desktop/seabridge%20fintech/profit_graph_app/DGX_Return.jpg" TargetMode="External"/><Relationship Id="rId564" Type="http://schemas.openxmlformats.org/officeDocument/2006/relationships/hyperlink" Target="https://3arbzfbsh-cname-us.ngrok.io/Desktop/seabridge%20fintech/profit_graph_app/HPE_Return.jpg" TargetMode="External"/><Relationship Id="rId1155" Type="http://schemas.openxmlformats.org/officeDocument/2006/relationships/hyperlink" Target="https://3arbzfbsh-cname-us.ngrok.io/Desktop/seabridge%20fintech/image_app/TDG_resistance_support.jpg" TargetMode="External"/><Relationship Id="rId1397" Type="http://schemas.openxmlformats.org/officeDocument/2006/relationships/hyperlink" Target="https://3arbzfbsh-cname-us.ngrok.io/Desktop/seabridge%20fintech/image_app/ZM_resistance_support.jpg" TargetMode="External"/><Relationship Id="rId321" Type="http://schemas.openxmlformats.org/officeDocument/2006/relationships/hyperlink" Target="https://3arbzfbsh-cname-us.ngrok.io/Desktop/seabridge%20fintech/image_app/DGX_resistance_support.jpg" TargetMode="External"/><Relationship Id="rId563" Type="http://schemas.openxmlformats.org/officeDocument/2006/relationships/hyperlink" Target="https://3arbzfbsh-cname-us.ngrok.io/Desktop/seabridge%20fintech/image_app/HPE_resistance_support.jpg" TargetMode="External"/><Relationship Id="rId1156" Type="http://schemas.openxmlformats.org/officeDocument/2006/relationships/hyperlink" Target="https://3arbzfbsh-cname-us.ngrok.io/Desktop/seabridge%20fintech/profit_graph_app/TDG_Return.jpg" TargetMode="External"/><Relationship Id="rId1398" Type="http://schemas.openxmlformats.org/officeDocument/2006/relationships/hyperlink" Target="https://3arbzfbsh-cname-us.ngrok.io/Desktop/seabridge%20fintech/profit_graph_app/ZM_Return.jpg" TargetMode="External"/><Relationship Id="rId320" Type="http://schemas.openxmlformats.org/officeDocument/2006/relationships/hyperlink" Target="https://3arbzfbsh-cname-us.ngrok.io/Desktop/seabridge%20fintech/profit_graph_app/DG_Return.jpg" TargetMode="External"/><Relationship Id="rId562" Type="http://schemas.openxmlformats.org/officeDocument/2006/relationships/hyperlink" Target="https://3arbzfbsh-cname-us.ngrok.io/Desktop/seabridge%20fintech/profit_graph_app/HON_Return.jpg" TargetMode="External"/><Relationship Id="rId1157" Type="http://schemas.openxmlformats.org/officeDocument/2006/relationships/hyperlink" Target="https://3arbzfbsh-cname-us.ngrok.io/Desktop/seabridge%20fintech/image_app/TDOC_resistance_support.jpg" TargetMode="External"/><Relationship Id="rId1399" Type="http://schemas.openxmlformats.org/officeDocument/2006/relationships/hyperlink" Target="https://3arbzfbsh-cname-us.ngrok.io/Desktop/seabridge%20fintech/image_app/ZTS_resistance_support.jpg" TargetMode="External"/><Relationship Id="rId1147" Type="http://schemas.openxmlformats.org/officeDocument/2006/relationships/hyperlink" Target="https://3arbzfbsh-cname-us.ngrok.io/Desktop/seabridge%20fintech/image_app/SYY_resistance_support.jpg" TargetMode="External"/><Relationship Id="rId1389" Type="http://schemas.openxmlformats.org/officeDocument/2006/relationships/hyperlink" Target="https://3arbzfbsh-cname-us.ngrok.io/Desktop/seabridge%20fintech/image_app/Z_resistance_support.jpg" TargetMode="External"/><Relationship Id="rId1148" Type="http://schemas.openxmlformats.org/officeDocument/2006/relationships/hyperlink" Target="https://3arbzfbsh-cname-us.ngrok.io/Desktop/seabridge%20fintech/profit_graph_app/SYY_Return.jpg" TargetMode="External"/><Relationship Id="rId1149" Type="http://schemas.openxmlformats.org/officeDocument/2006/relationships/hyperlink" Target="https://3arbzfbsh-cname-us.ngrok.io/Desktop/seabridge%20fintech/image_app/T_resistance_support.jpg" TargetMode="External"/><Relationship Id="rId316" Type="http://schemas.openxmlformats.org/officeDocument/2006/relationships/hyperlink" Target="https://3arbzfbsh-cname-us.ngrok.io/Desktop/seabridge%20fintech/profit_graph_app/DELL_Return.jpg" TargetMode="External"/><Relationship Id="rId558" Type="http://schemas.openxmlformats.org/officeDocument/2006/relationships/hyperlink" Target="https://3arbzfbsh-cname-us.ngrok.io/Desktop/seabridge%20fintech/profit_graph_app/HOLX_Return.jpg" TargetMode="External"/><Relationship Id="rId315" Type="http://schemas.openxmlformats.org/officeDocument/2006/relationships/hyperlink" Target="https://3arbzfbsh-cname-us.ngrok.io/Desktop/seabridge%20fintech/image_app/DELL_resistance_support.jpg" TargetMode="External"/><Relationship Id="rId557" Type="http://schemas.openxmlformats.org/officeDocument/2006/relationships/hyperlink" Target="https://3arbzfbsh-cname-us.ngrok.io/Desktop/seabridge%20fintech/image_app/HOLX_resistance_support.jpg" TargetMode="External"/><Relationship Id="rId799" Type="http://schemas.openxmlformats.org/officeDocument/2006/relationships/hyperlink" Target="https://3arbzfbsh-cname-us.ngrok.io/Desktop/seabridge%20fintech/image_app/MKTX_resistance_support.jpg" TargetMode="External"/><Relationship Id="rId314" Type="http://schemas.openxmlformats.org/officeDocument/2006/relationships/hyperlink" Target="https://3arbzfbsh-cname-us.ngrok.io/Desktop/seabridge%20fintech/profit_graph_app/DE_Return.jpg" TargetMode="External"/><Relationship Id="rId556" Type="http://schemas.openxmlformats.org/officeDocument/2006/relationships/hyperlink" Target="https://3arbzfbsh-cname-us.ngrok.io/Desktop/seabridge%20fintech/profit_graph_app/HOG_Return.jpg" TargetMode="External"/><Relationship Id="rId798" Type="http://schemas.openxmlformats.org/officeDocument/2006/relationships/hyperlink" Target="https://3arbzfbsh-cname-us.ngrok.io/Desktop/seabridge%20fintech/profit_graph_app/MKC_Return.jpg" TargetMode="External"/><Relationship Id="rId313" Type="http://schemas.openxmlformats.org/officeDocument/2006/relationships/hyperlink" Target="https://3arbzfbsh-cname-us.ngrok.io/Desktop/seabridge%20fintech/image_app/DE_resistance_support.jpg" TargetMode="External"/><Relationship Id="rId555" Type="http://schemas.openxmlformats.org/officeDocument/2006/relationships/hyperlink" Target="https://3arbzfbsh-cname-us.ngrok.io/Desktop/seabridge%20fintech/image_app/HOG_resistance_support.jpg" TargetMode="External"/><Relationship Id="rId797" Type="http://schemas.openxmlformats.org/officeDocument/2006/relationships/hyperlink" Target="https://3arbzfbsh-cname-us.ngrok.io/Desktop/seabridge%20fintech/image_app/MKC_resistance_support.jpg" TargetMode="External"/><Relationship Id="rId319" Type="http://schemas.openxmlformats.org/officeDocument/2006/relationships/hyperlink" Target="https://3arbzfbsh-cname-us.ngrok.io/Desktop/seabridge%20fintech/image_app/DG_resistance_support.jpg" TargetMode="External"/><Relationship Id="rId318" Type="http://schemas.openxmlformats.org/officeDocument/2006/relationships/hyperlink" Target="https://3arbzfbsh-cname-us.ngrok.io/Desktop/seabridge%20fintech/profit_graph_app/DFS_Return.jpg" TargetMode="External"/><Relationship Id="rId317" Type="http://schemas.openxmlformats.org/officeDocument/2006/relationships/hyperlink" Target="https://3arbzfbsh-cname-us.ngrok.io/Desktop/seabridge%20fintech/image_app/DFS_resistance_support.jpg" TargetMode="External"/><Relationship Id="rId559" Type="http://schemas.openxmlformats.org/officeDocument/2006/relationships/hyperlink" Target="https://3arbzfbsh-cname-us.ngrok.io/Desktop/seabridge%20fintech/image_app/HOME_resistance_support.jpg" TargetMode="External"/><Relationship Id="rId1380" Type="http://schemas.openxmlformats.org/officeDocument/2006/relationships/hyperlink" Target="https://3arbzfbsh-cname-us.ngrok.io/Desktop/seabridge%20fintech/profit_graph_app/XOM_Return.jpg" TargetMode="External"/><Relationship Id="rId550" Type="http://schemas.openxmlformats.org/officeDocument/2006/relationships/hyperlink" Target="https://3arbzfbsh-cname-us.ngrok.io/Desktop/seabridge%20fintech/profit_graph_app/HIG_Return.jpg" TargetMode="External"/><Relationship Id="rId792" Type="http://schemas.openxmlformats.org/officeDocument/2006/relationships/hyperlink" Target="https://3arbzfbsh-cname-us.ngrok.io/Desktop/seabridge%20fintech/profit_graph_app/MGM_Return.jpg" TargetMode="External"/><Relationship Id="rId1381" Type="http://schemas.openxmlformats.org/officeDocument/2006/relationships/hyperlink" Target="https://3arbzfbsh-cname-us.ngrok.io/Desktop/seabridge%20fintech/image_app/XOP_resistance_support.jpg" TargetMode="External"/><Relationship Id="rId791" Type="http://schemas.openxmlformats.org/officeDocument/2006/relationships/hyperlink" Target="https://3arbzfbsh-cname-us.ngrok.io/Desktop/seabridge%20fintech/image_app/MGM_resistance_support.jpg" TargetMode="External"/><Relationship Id="rId1140" Type="http://schemas.openxmlformats.org/officeDocument/2006/relationships/hyperlink" Target="https://3arbzfbsh-cname-us.ngrok.io/Desktop/seabridge%20fintech/profit_graph_app/SWK_Return.jpg" TargetMode="External"/><Relationship Id="rId1382" Type="http://schemas.openxmlformats.org/officeDocument/2006/relationships/hyperlink" Target="https://3arbzfbsh-cname-us.ngrok.io/Desktop/seabridge%20fintech/profit_graph_app/XOP_Return.jpg" TargetMode="External"/><Relationship Id="rId790" Type="http://schemas.openxmlformats.org/officeDocument/2006/relationships/hyperlink" Target="https://3arbzfbsh-cname-us.ngrok.io/Desktop/seabridge%20fintech/profit_graph_app/MET_Return.jpg" TargetMode="External"/><Relationship Id="rId1141" Type="http://schemas.openxmlformats.org/officeDocument/2006/relationships/hyperlink" Target="https://3arbzfbsh-cname-us.ngrok.io/Desktop/seabridge%20fintech/image_app/SWKS_resistance_support.jpg" TargetMode="External"/><Relationship Id="rId1383" Type="http://schemas.openxmlformats.org/officeDocument/2006/relationships/hyperlink" Target="https://3arbzfbsh-cname-us.ngrok.io/Desktop/seabridge%20fintech/image_app/XRAY_resistance_support.jpg" TargetMode="External"/><Relationship Id="rId1142" Type="http://schemas.openxmlformats.org/officeDocument/2006/relationships/hyperlink" Target="https://3arbzfbsh-cname-us.ngrok.io/Desktop/seabridge%20fintech/profit_graph_app/SWKS_Return.jpg" TargetMode="External"/><Relationship Id="rId1384" Type="http://schemas.openxmlformats.org/officeDocument/2006/relationships/hyperlink" Target="https://3arbzfbsh-cname-us.ngrok.io/Desktop/seabridge%20fintech/profit_graph_app/XRAY_Return.jpg" TargetMode="External"/><Relationship Id="rId312" Type="http://schemas.openxmlformats.org/officeDocument/2006/relationships/hyperlink" Target="https://3arbzfbsh-cname-us.ngrok.io/Desktop/seabridge%20fintech/profit_graph_app/DDOG_Return.jpg" TargetMode="External"/><Relationship Id="rId554" Type="http://schemas.openxmlformats.org/officeDocument/2006/relationships/hyperlink" Target="https://3arbzfbsh-cname-us.ngrok.io/Desktop/seabridge%20fintech/profit_graph_app/HLT_Return.jpg" TargetMode="External"/><Relationship Id="rId796" Type="http://schemas.openxmlformats.org/officeDocument/2006/relationships/hyperlink" Target="https://3arbzfbsh-cname-us.ngrok.io/Desktop/seabridge%20fintech/profit_graph_app/MHK_Return.jpg" TargetMode="External"/><Relationship Id="rId1143" Type="http://schemas.openxmlformats.org/officeDocument/2006/relationships/hyperlink" Target="https://3arbzfbsh-cname-us.ngrok.io/Desktop/seabridge%20fintech/image_app/SYF_resistance_support.jpg" TargetMode="External"/><Relationship Id="rId1385" Type="http://schemas.openxmlformats.org/officeDocument/2006/relationships/hyperlink" Target="https://3arbzfbsh-cname-us.ngrok.io/Desktop/seabridge%20fintech/image_app/XYL_resistance_support.jpg" TargetMode="External"/><Relationship Id="rId311" Type="http://schemas.openxmlformats.org/officeDocument/2006/relationships/hyperlink" Target="https://3arbzfbsh-cname-us.ngrok.io/Desktop/seabridge%20fintech/image_app/DDOG_resistance_support.jpg" TargetMode="External"/><Relationship Id="rId553" Type="http://schemas.openxmlformats.org/officeDocument/2006/relationships/hyperlink" Target="https://3arbzfbsh-cname-us.ngrok.io/Desktop/seabridge%20fintech/image_app/HLT_resistance_support.jpg" TargetMode="External"/><Relationship Id="rId795" Type="http://schemas.openxmlformats.org/officeDocument/2006/relationships/hyperlink" Target="https://3arbzfbsh-cname-us.ngrok.io/Desktop/seabridge%20fintech/image_app/MHK_resistance_support.jpg" TargetMode="External"/><Relationship Id="rId1144" Type="http://schemas.openxmlformats.org/officeDocument/2006/relationships/hyperlink" Target="https://3arbzfbsh-cname-us.ngrok.io/Desktop/seabridge%20fintech/profit_graph_app/SYF_Return.jpg" TargetMode="External"/><Relationship Id="rId1386" Type="http://schemas.openxmlformats.org/officeDocument/2006/relationships/hyperlink" Target="https://3arbzfbsh-cname-us.ngrok.io/Desktop/seabridge%20fintech/profit_graph_app/XYL_Return.jpg" TargetMode="External"/><Relationship Id="rId310" Type="http://schemas.openxmlformats.org/officeDocument/2006/relationships/hyperlink" Target="https://3arbzfbsh-cname-us.ngrok.io/Desktop/seabridge%20fintech/profit_graph_app/DDD_Return.jpg" TargetMode="External"/><Relationship Id="rId552" Type="http://schemas.openxmlformats.org/officeDocument/2006/relationships/hyperlink" Target="https://3arbzfbsh-cname-us.ngrok.io/Desktop/seabridge%20fintech/profit_graph_app/HII_Return.jpg" TargetMode="External"/><Relationship Id="rId794" Type="http://schemas.openxmlformats.org/officeDocument/2006/relationships/hyperlink" Target="https://3arbzfbsh-cname-us.ngrok.io/Desktop/seabridge%20fintech/profit_graph_app/MGNI_Return.jpg" TargetMode="External"/><Relationship Id="rId1145" Type="http://schemas.openxmlformats.org/officeDocument/2006/relationships/hyperlink" Target="https://3arbzfbsh-cname-us.ngrok.io/Desktop/seabridge%20fintech/image_app/SYK_resistance_support.jpg" TargetMode="External"/><Relationship Id="rId1387" Type="http://schemas.openxmlformats.org/officeDocument/2006/relationships/hyperlink" Target="https://3arbzfbsh-cname-us.ngrok.io/Desktop/seabridge%20fintech/image_app/YUM_resistance_support.jpg" TargetMode="External"/><Relationship Id="rId551" Type="http://schemas.openxmlformats.org/officeDocument/2006/relationships/hyperlink" Target="https://3arbzfbsh-cname-us.ngrok.io/Desktop/seabridge%20fintech/image_app/HII_resistance_support.jpg" TargetMode="External"/><Relationship Id="rId793" Type="http://schemas.openxmlformats.org/officeDocument/2006/relationships/hyperlink" Target="https://3arbzfbsh-cname-us.ngrok.io/Desktop/seabridge%20fintech/image_app/MGNI_resistance_support.jpg" TargetMode="External"/><Relationship Id="rId1146" Type="http://schemas.openxmlformats.org/officeDocument/2006/relationships/hyperlink" Target="https://3arbzfbsh-cname-us.ngrok.io/Desktop/seabridge%20fintech/profit_graph_app/SYK_Return.jpg" TargetMode="External"/><Relationship Id="rId1388" Type="http://schemas.openxmlformats.org/officeDocument/2006/relationships/hyperlink" Target="https://3arbzfbsh-cname-us.ngrok.io/Desktop/seabridge%20fintech/profit_graph_app/YUM_Return.jpg" TargetMode="External"/><Relationship Id="rId297" Type="http://schemas.openxmlformats.org/officeDocument/2006/relationships/hyperlink" Target="https://3arbzfbsh-cname-us.ngrok.io/Desktop/seabridge%20fintech/image_app/CZR_resistance_support.jpg" TargetMode="External"/><Relationship Id="rId296" Type="http://schemas.openxmlformats.org/officeDocument/2006/relationships/hyperlink" Target="https://3arbzfbsh-cname-us.ngrok.io/Desktop/seabridge%20fintech/profit_graph_app/CVX_Return.jpg" TargetMode="External"/><Relationship Id="rId295" Type="http://schemas.openxmlformats.org/officeDocument/2006/relationships/hyperlink" Target="https://3arbzfbsh-cname-us.ngrok.io/Desktop/seabridge%20fintech/image_app/CVX_resistance_support.jpg" TargetMode="External"/><Relationship Id="rId294" Type="http://schemas.openxmlformats.org/officeDocument/2006/relationships/hyperlink" Target="https://3arbzfbsh-cname-us.ngrok.io/Desktop/seabridge%20fintech/profit_graph_app/CVS_Return.jpg" TargetMode="External"/><Relationship Id="rId299" Type="http://schemas.openxmlformats.org/officeDocument/2006/relationships/hyperlink" Target="https://3arbzfbsh-cname-us.ngrok.io/Desktop/seabridge%20fintech/image_app/D_resistance_support.jpg" TargetMode="External"/><Relationship Id="rId298" Type="http://schemas.openxmlformats.org/officeDocument/2006/relationships/hyperlink" Target="https://3arbzfbsh-cname-us.ngrok.io/Desktop/seabridge%20fintech/profit_graph_app/CZR_Return.jpg" TargetMode="External"/><Relationship Id="rId271" Type="http://schemas.openxmlformats.org/officeDocument/2006/relationships/hyperlink" Target="https://3arbzfbsh-cname-us.ngrok.io/Desktop/seabridge%20fintech/image_app/CRM_resistance_support.jpg" TargetMode="External"/><Relationship Id="rId270" Type="http://schemas.openxmlformats.org/officeDocument/2006/relationships/hyperlink" Target="https://3arbzfbsh-cname-us.ngrok.io/Desktop/seabridge%20fintech/profit_graph_app/CRL_Return.jpg" TargetMode="External"/><Relationship Id="rId269" Type="http://schemas.openxmlformats.org/officeDocument/2006/relationships/hyperlink" Target="https://3arbzfbsh-cname-us.ngrok.io/Desktop/seabridge%20fintech/image_app/CRL_resistance_support.jpg" TargetMode="External"/><Relationship Id="rId264" Type="http://schemas.openxmlformats.org/officeDocument/2006/relationships/hyperlink" Target="https://3arbzfbsh-cname-us.ngrok.io/Desktop/seabridge%20fintech/profit_graph_app/COST_Return.jpg" TargetMode="External"/><Relationship Id="rId263" Type="http://schemas.openxmlformats.org/officeDocument/2006/relationships/hyperlink" Target="https://3arbzfbsh-cname-us.ngrok.io/Desktop/seabridge%20fintech/image_app/COST_resistance_support.jpg" TargetMode="External"/><Relationship Id="rId262" Type="http://schemas.openxmlformats.org/officeDocument/2006/relationships/hyperlink" Target="https://3arbzfbsh-cname-us.ngrok.io/Desktop/seabridge%20fintech/profit_graph_app/COP_Return.jpg" TargetMode="External"/><Relationship Id="rId261" Type="http://schemas.openxmlformats.org/officeDocument/2006/relationships/hyperlink" Target="https://3arbzfbsh-cname-us.ngrok.io/Desktop/seabridge%20fintech/image_app/COP_resistance_support.jpg" TargetMode="External"/><Relationship Id="rId268" Type="http://schemas.openxmlformats.org/officeDocument/2006/relationships/hyperlink" Target="https://3arbzfbsh-cname-us.ngrok.io/Desktop/seabridge%20fintech/profit_graph_app/CPRT_Return.jpg" TargetMode="External"/><Relationship Id="rId267" Type="http://schemas.openxmlformats.org/officeDocument/2006/relationships/hyperlink" Target="https://3arbzfbsh-cname-us.ngrok.io/Desktop/seabridge%20fintech/image_app/CPRT_resistance_support.jpg" TargetMode="External"/><Relationship Id="rId266" Type="http://schemas.openxmlformats.org/officeDocument/2006/relationships/hyperlink" Target="https://3arbzfbsh-cname-us.ngrok.io/Desktop/seabridge%20fintech/profit_graph_app/CPB_Return.jpg" TargetMode="External"/><Relationship Id="rId265" Type="http://schemas.openxmlformats.org/officeDocument/2006/relationships/hyperlink" Target="https://3arbzfbsh-cname-us.ngrok.io/Desktop/seabridge%20fintech/image_app/CPB_resistance_support.jpg" TargetMode="External"/><Relationship Id="rId260" Type="http://schemas.openxmlformats.org/officeDocument/2006/relationships/hyperlink" Target="https://3arbzfbsh-cname-us.ngrok.io/Desktop/seabridge%20fintech/profit_graph_app/COO_Return.jpg" TargetMode="External"/><Relationship Id="rId259" Type="http://schemas.openxmlformats.org/officeDocument/2006/relationships/hyperlink" Target="https://3arbzfbsh-cname-us.ngrok.io/Desktop/seabridge%20fintech/image_app/COO_resistance_support.jpg" TargetMode="External"/><Relationship Id="rId258" Type="http://schemas.openxmlformats.org/officeDocument/2006/relationships/hyperlink" Target="https://3arbzfbsh-cname-us.ngrok.io/Desktop/seabridge%20fintech/profit_graph_app/COG_Return.jpg" TargetMode="External"/><Relationship Id="rId253" Type="http://schemas.openxmlformats.org/officeDocument/2006/relationships/hyperlink" Target="https://3arbzfbsh-cname-us.ngrok.io/Desktop/seabridge%20fintech/image_app/CNP_resistance_support.jpg" TargetMode="External"/><Relationship Id="rId495" Type="http://schemas.openxmlformats.org/officeDocument/2006/relationships/hyperlink" Target="https://3arbzfbsh-cname-us.ngrok.io/Desktop/seabridge%20fintech/image_app/GDX_resistance_support.jpg" TargetMode="External"/><Relationship Id="rId252" Type="http://schemas.openxmlformats.org/officeDocument/2006/relationships/hyperlink" Target="https://3arbzfbsh-cname-us.ngrok.io/Desktop/seabridge%20fintech/profit_graph_app/CNC_Return.jpg" TargetMode="External"/><Relationship Id="rId494" Type="http://schemas.openxmlformats.org/officeDocument/2006/relationships/hyperlink" Target="https://3arbzfbsh-cname-us.ngrok.io/Desktop/seabridge%20fintech/profit_graph_app/GD_Return.jpg" TargetMode="External"/><Relationship Id="rId251" Type="http://schemas.openxmlformats.org/officeDocument/2006/relationships/hyperlink" Target="https://3arbzfbsh-cname-us.ngrok.io/Desktop/seabridge%20fintech/image_app/CNC_resistance_support.jpg" TargetMode="External"/><Relationship Id="rId493" Type="http://schemas.openxmlformats.org/officeDocument/2006/relationships/hyperlink" Target="https://3arbzfbsh-cname-us.ngrok.io/Desktop/seabridge%20fintech/image_app/GD_resistance_support.jpg" TargetMode="External"/><Relationship Id="rId250" Type="http://schemas.openxmlformats.org/officeDocument/2006/relationships/hyperlink" Target="https://3arbzfbsh-cname-us.ngrok.io/Desktop/seabridge%20fintech/profit_graph_app/CMS_Return.jpg" TargetMode="External"/><Relationship Id="rId492" Type="http://schemas.openxmlformats.org/officeDocument/2006/relationships/hyperlink" Target="https://3arbzfbsh-cname-us.ngrok.io/Desktop/seabridge%20fintech/profit_graph_app/GBTC_Return.jpg" TargetMode="External"/><Relationship Id="rId257" Type="http://schemas.openxmlformats.org/officeDocument/2006/relationships/hyperlink" Target="https://3arbzfbsh-cname-us.ngrok.io/Desktop/seabridge%20fintech/image_app/COG_resistance_support.jpg" TargetMode="External"/><Relationship Id="rId499" Type="http://schemas.openxmlformats.org/officeDocument/2006/relationships/hyperlink" Target="https://3arbzfbsh-cname-us.ngrok.io/Desktop/seabridge%20fintech/image_app/GILD_resistance_support.jpg" TargetMode="External"/><Relationship Id="rId256" Type="http://schemas.openxmlformats.org/officeDocument/2006/relationships/hyperlink" Target="https://3arbzfbsh-cname-us.ngrok.io/Desktop/seabridge%20fintech/profit_graph_app/COF_Return.jpg" TargetMode="External"/><Relationship Id="rId498" Type="http://schemas.openxmlformats.org/officeDocument/2006/relationships/hyperlink" Target="https://3arbzfbsh-cname-us.ngrok.io/Desktop/seabridge%20fintech/profit_graph_app/GE_Return.jpg" TargetMode="External"/><Relationship Id="rId255" Type="http://schemas.openxmlformats.org/officeDocument/2006/relationships/hyperlink" Target="https://3arbzfbsh-cname-us.ngrok.io/Desktop/seabridge%20fintech/image_app/COF_resistance_support.jpg" TargetMode="External"/><Relationship Id="rId497" Type="http://schemas.openxmlformats.org/officeDocument/2006/relationships/hyperlink" Target="https://3arbzfbsh-cname-us.ngrok.io/Desktop/seabridge%20fintech/image_app/GE_resistance_support.jpg" TargetMode="External"/><Relationship Id="rId254" Type="http://schemas.openxmlformats.org/officeDocument/2006/relationships/hyperlink" Target="https://3arbzfbsh-cname-us.ngrok.io/Desktop/seabridge%20fintech/profit_graph_app/CNP_Return.jpg" TargetMode="External"/><Relationship Id="rId496" Type="http://schemas.openxmlformats.org/officeDocument/2006/relationships/hyperlink" Target="https://3arbzfbsh-cname-us.ngrok.io/Desktop/seabridge%20fintech/profit_graph_app/GDX_Return.jpg" TargetMode="External"/><Relationship Id="rId293" Type="http://schemas.openxmlformats.org/officeDocument/2006/relationships/hyperlink" Target="https://3arbzfbsh-cname-us.ngrok.io/Desktop/seabridge%20fintech/image_app/CVS_resistance_support.jpg" TargetMode="External"/><Relationship Id="rId292" Type="http://schemas.openxmlformats.org/officeDocument/2006/relationships/hyperlink" Target="https://3arbzfbsh-cname-us.ngrok.io/Desktop/seabridge%20fintech/profit_graph_app/CTXS_Return.jpg" TargetMode="External"/><Relationship Id="rId291" Type="http://schemas.openxmlformats.org/officeDocument/2006/relationships/hyperlink" Target="https://3arbzfbsh-cname-us.ngrok.io/Desktop/seabridge%20fintech/image_app/CTXS_resistance_support.jpg" TargetMode="External"/><Relationship Id="rId290" Type="http://schemas.openxmlformats.org/officeDocument/2006/relationships/hyperlink" Target="https://3arbzfbsh-cname-us.ngrok.io/Desktop/seabridge%20fintech/profit_graph_app/CTVA_Return.jpg" TargetMode="External"/><Relationship Id="rId286" Type="http://schemas.openxmlformats.org/officeDocument/2006/relationships/hyperlink" Target="https://3arbzfbsh-cname-us.ngrok.io/Desktop/seabridge%20fintech/profit_graph_app/CTLT_Return.jpg" TargetMode="External"/><Relationship Id="rId285" Type="http://schemas.openxmlformats.org/officeDocument/2006/relationships/hyperlink" Target="https://3arbzfbsh-cname-us.ngrok.io/Desktop/seabridge%20fintech/image_app/CTLT_resistance_support.jpg" TargetMode="External"/><Relationship Id="rId284" Type="http://schemas.openxmlformats.org/officeDocument/2006/relationships/hyperlink" Target="https://3arbzfbsh-cname-us.ngrok.io/Desktop/seabridge%20fintech/profit_graph_app/CTAS_Return.jpg" TargetMode="External"/><Relationship Id="rId283" Type="http://schemas.openxmlformats.org/officeDocument/2006/relationships/hyperlink" Target="https://3arbzfbsh-cname-us.ngrok.io/Desktop/seabridge%20fintech/image_app/CTAS_resistance_support.jpg" TargetMode="External"/><Relationship Id="rId289" Type="http://schemas.openxmlformats.org/officeDocument/2006/relationships/hyperlink" Target="https://3arbzfbsh-cname-us.ngrok.io/Desktop/seabridge%20fintech/image_app/CTVA_resistance_support.jpg" TargetMode="External"/><Relationship Id="rId288" Type="http://schemas.openxmlformats.org/officeDocument/2006/relationships/hyperlink" Target="https://3arbzfbsh-cname-us.ngrok.io/Desktop/seabridge%20fintech/profit_graph_app/CTSH_Return.jpg" TargetMode="External"/><Relationship Id="rId287" Type="http://schemas.openxmlformats.org/officeDocument/2006/relationships/hyperlink" Target="https://3arbzfbsh-cname-us.ngrok.io/Desktop/seabridge%20fintech/image_app/CTSH_resistance_support.jpg" TargetMode="External"/><Relationship Id="rId282" Type="http://schemas.openxmlformats.org/officeDocument/2006/relationships/hyperlink" Target="https://3arbzfbsh-cname-us.ngrok.io/Desktop/seabridge%20fintech/profit_graph_app/CSX_Return.jpg" TargetMode="External"/><Relationship Id="rId281" Type="http://schemas.openxmlformats.org/officeDocument/2006/relationships/hyperlink" Target="https://3arbzfbsh-cname-us.ngrok.io/Desktop/seabridge%20fintech/image_app/CSX_resistance_support.jpg" TargetMode="External"/><Relationship Id="rId280" Type="http://schemas.openxmlformats.org/officeDocument/2006/relationships/hyperlink" Target="https://3arbzfbsh-cname-us.ngrok.io/Desktop/seabridge%20fintech/profit_graph_app/CSGP_Return.jpg" TargetMode="External"/><Relationship Id="rId275" Type="http://schemas.openxmlformats.org/officeDocument/2006/relationships/hyperlink" Target="https://3arbzfbsh-cname-us.ngrok.io/Desktop/seabridge%20fintech/image_app/CRWD_resistance_support.jpg" TargetMode="External"/><Relationship Id="rId274" Type="http://schemas.openxmlformats.org/officeDocument/2006/relationships/hyperlink" Target="https://3arbzfbsh-cname-us.ngrok.io/Desktop/seabridge%20fintech/profit_graph_app/CRSR_Return.jpg" TargetMode="External"/><Relationship Id="rId273" Type="http://schemas.openxmlformats.org/officeDocument/2006/relationships/hyperlink" Target="https://3arbzfbsh-cname-us.ngrok.io/Desktop/seabridge%20fintech/image_app/CRSR_resistance_support.jpg" TargetMode="External"/><Relationship Id="rId272" Type="http://schemas.openxmlformats.org/officeDocument/2006/relationships/hyperlink" Target="https://3arbzfbsh-cname-us.ngrok.io/Desktop/seabridge%20fintech/profit_graph_app/CRM_Return.jpg" TargetMode="External"/><Relationship Id="rId279" Type="http://schemas.openxmlformats.org/officeDocument/2006/relationships/hyperlink" Target="https://3arbzfbsh-cname-us.ngrok.io/Desktop/seabridge%20fintech/image_app/CSGP_resistance_support.jpg" TargetMode="External"/><Relationship Id="rId278" Type="http://schemas.openxmlformats.org/officeDocument/2006/relationships/hyperlink" Target="https://3arbzfbsh-cname-us.ngrok.io/Desktop/seabridge%20fintech/profit_graph_app/CSCO_Return.jpg" TargetMode="External"/><Relationship Id="rId277" Type="http://schemas.openxmlformats.org/officeDocument/2006/relationships/hyperlink" Target="https://3arbzfbsh-cname-us.ngrok.io/Desktop/seabridge%20fintech/image_app/CSCO_resistance_support.jpg" TargetMode="External"/><Relationship Id="rId276" Type="http://schemas.openxmlformats.org/officeDocument/2006/relationships/hyperlink" Target="https://3arbzfbsh-cname-us.ngrok.io/Desktop/seabridge%20fintech/profit_graph_app/CRWD_Return.jpg" TargetMode="External"/><Relationship Id="rId907" Type="http://schemas.openxmlformats.org/officeDocument/2006/relationships/hyperlink" Target="https://3arbzfbsh-cname-us.ngrok.io/Desktop/seabridge%20fintech/image_app/O_resistance_support.jpg" TargetMode="External"/><Relationship Id="rId906" Type="http://schemas.openxmlformats.org/officeDocument/2006/relationships/hyperlink" Target="https://3arbzfbsh-cname-us.ngrok.io/Desktop/seabridge%20fintech/profit_graph_app/NXPI_Return.jpg" TargetMode="External"/><Relationship Id="rId905" Type="http://schemas.openxmlformats.org/officeDocument/2006/relationships/hyperlink" Target="https://3arbzfbsh-cname-us.ngrok.io/Desktop/seabridge%20fintech/image_app/NXPI_resistance_support.jpg" TargetMode="External"/><Relationship Id="rId904" Type="http://schemas.openxmlformats.org/officeDocument/2006/relationships/hyperlink" Target="https://3arbzfbsh-cname-us.ngrok.io/Desktop/seabridge%20fintech/profit_graph_app/NWSA_Return.jpg" TargetMode="External"/><Relationship Id="rId909" Type="http://schemas.openxmlformats.org/officeDocument/2006/relationships/hyperlink" Target="https://3arbzfbsh-cname-us.ngrok.io/Desktop/seabridge%20fintech/image_app/ODFL_resistance_support.jpg" TargetMode="External"/><Relationship Id="rId908" Type="http://schemas.openxmlformats.org/officeDocument/2006/relationships/hyperlink" Target="https://3arbzfbsh-cname-us.ngrok.io/Desktop/seabridge%20fintech/profit_graph_app/O_Return.jpg" TargetMode="External"/><Relationship Id="rId903" Type="http://schemas.openxmlformats.org/officeDocument/2006/relationships/hyperlink" Target="https://3arbzfbsh-cname-us.ngrok.io/Desktop/seabridge%20fintech/image_app/NWSA_resistance_support.jpg" TargetMode="External"/><Relationship Id="rId902" Type="http://schemas.openxmlformats.org/officeDocument/2006/relationships/hyperlink" Target="https://3arbzfbsh-cname-us.ngrok.io/Desktop/seabridge%20fintech/profit_graph_app/NWS_Return.jpg" TargetMode="External"/><Relationship Id="rId901" Type="http://schemas.openxmlformats.org/officeDocument/2006/relationships/hyperlink" Target="https://3arbzfbsh-cname-us.ngrok.io/Desktop/seabridge%20fintech/image_app/NWS_resistance_support.jpg" TargetMode="External"/><Relationship Id="rId900" Type="http://schemas.openxmlformats.org/officeDocument/2006/relationships/hyperlink" Target="https://3arbzfbsh-cname-us.ngrok.io/Desktop/seabridge%20fintech/profit_graph_app/NWL_Return.jpg" TargetMode="External"/><Relationship Id="rId929" Type="http://schemas.openxmlformats.org/officeDocument/2006/relationships/hyperlink" Target="https://3arbzfbsh-cname-us.ngrok.io/Desktop/seabridge%20fintech/image_app/PACB_resistance_support.jpg" TargetMode="External"/><Relationship Id="rId928" Type="http://schemas.openxmlformats.org/officeDocument/2006/relationships/hyperlink" Target="https://3arbzfbsh-cname-us.ngrok.io/Desktop/seabridge%20fintech/profit_graph_app/OXY_Return.jpg" TargetMode="External"/><Relationship Id="rId927" Type="http://schemas.openxmlformats.org/officeDocument/2006/relationships/hyperlink" Target="https://3arbzfbsh-cname-us.ngrok.io/Desktop/seabridge%20fintech/image_app/OXY_resistance_support.jpg" TargetMode="External"/><Relationship Id="rId926" Type="http://schemas.openxmlformats.org/officeDocument/2006/relationships/hyperlink" Target="https://3arbzfbsh-cname-us.ngrok.io/Desktop/seabridge%20fintech/profit_graph_app/OVV_Return.jpg" TargetMode="External"/><Relationship Id="rId921" Type="http://schemas.openxmlformats.org/officeDocument/2006/relationships/hyperlink" Target="https://3arbzfbsh-cname-us.ngrok.io/Desktop/seabridge%20fintech/image_app/ORCL_resistance_support.jpg" TargetMode="External"/><Relationship Id="rId920" Type="http://schemas.openxmlformats.org/officeDocument/2006/relationships/hyperlink" Target="https://3arbzfbsh-cname-us.ngrok.io/Desktop/seabridge%20fintech/profit_graph_app/ON_Return.jpg" TargetMode="External"/><Relationship Id="rId925" Type="http://schemas.openxmlformats.org/officeDocument/2006/relationships/hyperlink" Target="https://3arbzfbsh-cname-us.ngrok.io/Desktop/seabridge%20fintech/image_app/OVV_resistance_support.jpg" TargetMode="External"/><Relationship Id="rId924" Type="http://schemas.openxmlformats.org/officeDocument/2006/relationships/hyperlink" Target="https://3arbzfbsh-cname-us.ngrok.io/Desktop/seabridge%20fintech/profit_graph_app/ORLY_Return.jpg" TargetMode="External"/><Relationship Id="rId923" Type="http://schemas.openxmlformats.org/officeDocument/2006/relationships/hyperlink" Target="https://3arbzfbsh-cname-us.ngrok.io/Desktop/seabridge%20fintech/image_app/ORLY_resistance_support.jpg" TargetMode="External"/><Relationship Id="rId922" Type="http://schemas.openxmlformats.org/officeDocument/2006/relationships/hyperlink" Target="https://3arbzfbsh-cname-us.ngrok.io/Desktop/seabridge%20fintech/profit_graph_app/ORCL_Return.jpg" TargetMode="External"/><Relationship Id="rId918" Type="http://schemas.openxmlformats.org/officeDocument/2006/relationships/hyperlink" Target="https://3arbzfbsh-cname-us.ngrok.io/Desktop/seabridge%20fintech/profit_graph_app/OMC_Return.jpg" TargetMode="External"/><Relationship Id="rId917" Type="http://schemas.openxmlformats.org/officeDocument/2006/relationships/hyperlink" Target="https://3arbzfbsh-cname-us.ngrok.io/Desktop/seabridge%20fintech/image_app/OMC_resistance_support.jpg" TargetMode="External"/><Relationship Id="rId916" Type="http://schemas.openxmlformats.org/officeDocument/2006/relationships/hyperlink" Target="https://3arbzfbsh-cname-us.ngrok.io/Desktop/seabridge%20fintech/profit_graph_app/OKTA_Return.jpg" TargetMode="External"/><Relationship Id="rId915" Type="http://schemas.openxmlformats.org/officeDocument/2006/relationships/hyperlink" Target="https://3arbzfbsh-cname-us.ngrok.io/Desktop/seabridge%20fintech/image_app/OKTA_resistance_support.jpg" TargetMode="External"/><Relationship Id="rId919" Type="http://schemas.openxmlformats.org/officeDocument/2006/relationships/hyperlink" Target="https://3arbzfbsh-cname-us.ngrok.io/Desktop/seabridge%20fintech/image_app/ON_resistance_support.jpg" TargetMode="External"/><Relationship Id="rId910" Type="http://schemas.openxmlformats.org/officeDocument/2006/relationships/hyperlink" Target="https://3arbzfbsh-cname-us.ngrok.io/Desktop/seabridge%20fintech/profit_graph_app/ODFL_Return.jpg" TargetMode="External"/><Relationship Id="rId914" Type="http://schemas.openxmlformats.org/officeDocument/2006/relationships/hyperlink" Target="https://3arbzfbsh-cname-us.ngrok.io/Desktop/seabridge%20fintech/profit_graph_app/OKE_Return.jpg" TargetMode="External"/><Relationship Id="rId913" Type="http://schemas.openxmlformats.org/officeDocument/2006/relationships/hyperlink" Target="https://3arbzfbsh-cname-us.ngrok.io/Desktop/seabridge%20fintech/image_app/OKE_resistance_support.jpg" TargetMode="External"/><Relationship Id="rId912" Type="http://schemas.openxmlformats.org/officeDocument/2006/relationships/hyperlink" Target="https://3arbzfbsh-cname-us.ngrok.io/Desktop/seabridge%20fintech/profit_graph_app/OGE_Return.jpg" TargetMode="External"/><Relationship Id="rId911" Type="http://schemas.openxmlformats.org/officeDocument/2006/relationships/hyperlink" Target="https://3arbzfbsh-cname-us.ngrok.io/Desktop/seabridge%20fintech/image_app/OGE_resistance_support.jpg" TargetMode="External"/><Relationship Id="rId1213" Type="http://schemas.openxmlformats.org/officeDocument/2006/relationships/hyperlink" Target="https://3arbzfbsh-cname-us.ngrok.io/Desktop/seabridge%20fintech/image_app/TXN_resistance_support.jpg" TargetMode="External"/><Relationship Id="rId1214" Type="http://schemas.openxmlformats.org/officeDocument/2006/relationships/hyperlink" Target="https://3arbzfbsh-cname-us.ngrok.io/Desktop/seabridge%20fintech/profit_graph_app/TXN_Return.jpg" TargetMode="External"/><Relationship Id="rId1215" Type="http://schemas.openxmlformats.org/officeDocument/2006/relationships/hyperlink" Target="https://3arbzfbsh-cname-us.ngrok.io/Desktop/seabridge%20fintech/image_app/TXT_resistance_support.jpg" TargetMode="External"/><Relationship Id="rId1216" Type="http://schemas.openxmlformats.org/officeDocument/2006/relationships/hyperlink" Target="https://3arbzfbsh-cname-us.ngrok.io/Desktop/seabridge%20fintech/profit_graph_app/TXT_Return.jpg" TargetMode="External"/><Relationship Id="rId1217" Type="http://schemas.openxmlformats.org/officeDocument/2006/relationships/hyperlink" Target="https://3arbzfbsh-cname-us.ngrok.io/Desktop/seabridge%20fintech/image_app/TYL_resistance_support.jpg" TargetMode="External"/><Relationship Id="rId1218" Type="http://schemas.openxmlformats.org/officeDocument/2006/relationships/hyperlink" Target="https://3arbzfbsh-cname-us.ngrok.io/Desktop/seabridge%20fintech/profit_graph_app/TYL_Return.jpg" TargetMode="External"/><Relationship Id="rId1219" Type="http://schemas.openxmlformats.org/officeDocument/2006/relationships/hyperlink" Target="https://3arbzfbsh-cname-us.ngrok.io/Desktop/seabridge%20fintech/image_app/UA_resistance_support.jpg" TargetMode="External"/><Relationship Id="rId629" Type="http://schemas.openxmlformats.org/officeDocument/2006/relationships/hyperlink" Target="https://3arbzfbsh-cname-us.ngrok.io/Desktop/seabridge%20fintech/image_app/IR_resistance_support.jpg" TargetMode="External"/><Relationship Id="rId624" Type="http://schemas.openxmlformats.org/officeDocument/2006/relationships/hyperlink" Target="https://3arbzfbsh-cname-us.ngrok.io/Desktop/seabridge%20fintech/profit_graph_app/IPG_Return.jpg" TargetMode="External"/><Relationship Id="rId866" Type="http://schemas.openxmlformats.org/officeDocument/2006/relationships/hyperlink" Target="https://3arbzfbsh-cname-us.ngrok.io/Desktop/seabridge%20fintech/profit_graph_app/NOC_Return.jpg" TargetMode="External"/><Relationship Id="rId623" Type="http://schemas.openxmlformats.org/officeDocument/2006/relationships/hyperlink" Target="https://3arbzfbsh-cname-us.ngrok.io/Desktop/seabridge%20fintech/image_app/IPG_resistance_support.jpg" TargetMode="External"/><Relationship Id="rId865" Type="http://schemas.openxmlformats.org/officeDocument/2006/relationships/hyperlink" Target="https://3arbzfbsh-cname-us.ngrok.io/Desktop/seabridge%20fintech/image_app/NOC_resistance_support.jpg" TargetMode="External"/><Relationship Id="rId622" Type="http://schemas.openxmlformats.org/officeDocument/2006/relationships/hyperlink" Target="https://3arbzfbsh-cname-us.ngrok.io/Desktop/seabridge%20fintech/profit_graph_app/IP_Return.jpg" TargetMode="External"/><Relationship Id="rId864" Type="http://schemas.openxmlformats.org/officeDocument/2006/relationships/hyperlink" Target="https://3arbzfbsh-cname-us.ngrok.io/Desktop/seabridge%20fintech/profit_graph_app/NLSN_Return.jpg" TargetMode="External"/><Relationship Id="rId621" Type="http://schemas.openxmlformats.org/officeDocument/2006/relationships/hyperlink" Target="https://3arbzfbsh-cname-us.ngrok.io/Desktop/seabridge%20fintech/image_app/IP_resistance_support.jpg" TargetMode="External"/><Relationship Id="rId863" Type="http://schemas.openxmlformats.org/officeDocument/2006/relationships/hyperlink" Target="https://3arbzfbsh-cname-us.ngrok.io/Desktop/seabridge%20fintech/image_app/NLSN_resistance_support.jpg" TargetMode="External"/><Relationship Id="rId628" Type="http://schemas.openxmlformats.org/officeDocument/2006/relationships/hyperlink" Target="https://3arbzfbsh-cname-us.ngrok.io/Desktop/seabridge%20fintech/profit_graph_app/IQV_Return.jpg" TargetMode="External"/><Relationship Id="rId627" Type="http://schemas.openxmlformats.org/officeDocument/2006/relationships/hyperlink" Target="https://3arbzfbsh-cname-us.ngrok.io/Desktop/seabridge%20fintech/image_app/IQV_resistance_support.jpg" TargetMode="External"/><Relationship Id="rId869" Type="http://schemas.openxmlformats.org/officeDocument/2006/relationships/hyperlink" Target="https://3arbzfbsh-cname-us.ngrok.io/Desktop/seabridge%20fintech/image_app/NOVA_resistance_support.jpg" TargetMode="External"/><Relationship Id="rId626" Type="http://schemas.openxmlformats.org/officeDocument/2006/relationships/hyperlink" Target="https://3arbzfbsh-cname-us.ngrok.io/Desktop/seabridge%20fintech/profit_graph_app/IPGP_Return.jpg" TargetMode="External"/><Relationship Id="rId868" Type="http://schemas.openxmlformats.org/officeDocument/2006/relationships/hyperlink" Target="https://3arbzfbsh-cname-us.ngrok.io/Desktop/seabridge%20fintech/profit_graph_app/NOV_Return.jpg" TargetMode="External"/><Relationship Id="rId625" Type="http://schemas.openxmlformats.org/officeDocument/2006/relationships/hyperlink" Target="https://3arbzfbsh-cname-us.ngrok.io/Desktop/seabridge%20fintech/image_app/IPGP_resistance_support.jpg" TargetMode="External"/><Relationship Id="rId867" Type="http://schemas.openxmlformats.org/officeDocument/2006/relationships/hyperlink" Target="https://3arbzfbsh-cname-us.ngrok.io/Desktop/seabridge%20fintech/image_app/NOV_resistance_support.jpg" TargetMode="External"/><Relationship Id="rId620" Type="http://schemas.openxmlformats.org/officeDocument/2006/relationships/hyperlink" Target="https://3arbzfbsh-cname-us.ngrok.io/Desktop/seabridge%20fintech/profit_graph_app/INVH_Return.jpg" TargetMode="External"/><Relationship Id="rId862" Type="http://schemas.openxmlformats.org/officeDocument/2006/relationships/hyperlink" Target="https://3arbzfbsh-cname-us.ngrok.io/Desktop/seabridge%20fintech/profit_graph_app/NLOK_Return.jpg" TargetMode="External"/><Relationship Id="rId861" Type="http://schemas.openxmlformats.org/officeDocument/2006/relationships/hyperlink" Target="https://3arbzfbsh-cname-us.ngrok.io/Desktop/seabridge%20fintech/image_app/NLOK_resistance_support.jpg" TargetMode="External"/><Relationship Id="rId1210" Type="http://schemas.openxmlformats.org/officeDocument/2006/relationships/hyperlink" Target="https://3arbzfbsh-cname-us.ngrok.io/Desktop/seabridge%20fintech/profit_graph_app/TWLO_Return.jpg" TargetMode="External"/><Relationship Id="rId860" Type="http://schemas.openxmlformats.org/officeDocument/2006/relationships/hyperlink" Target="https://3arbzfbsh-cname-us.ngrok.io/Desktop/seabridge%20fintech/profit_graph_app/NKE_Return.jpg" TargetMode="External"/><Relationship Id="rId1211" Type="http://schemas.openxmlformats.org/officeDocument/2006/relationships/hyperlink" Target="https://3arbzfbsh-cname-us.ngrok.io/Desktop/seabridge%20fintech/image_app/TWTR_resistance_support.jpg" TargetMode="External"/><Relationship Id="rId1212" Type="http://schemas.openxmlformats.org/officeDocument/2006/relationships/hyperlink" Target="https://3arbzfbsh-cname-us.ngrok.io/Desktop/seabridge%20fintech/profit_graph_app/TWTR_Return.jpg" TargetMode="External"/><Relationship Id="rId1202" Type="http://schemas.openxmlformats.org/officeDocument/2006/relationships/hyperlink" Target="https://3arbzfbsh-cname-us.ngrok.io/Desktop/seabridge%20fintech/profit_graph_app/TSN_Return.jpg" TargetMode="External"/><Relationship Id="rId1203" Type="http://schemas.openxmlformats.org/officeDocument/2006/relationships/hyperlink" Target="https://3arbzfbsh-cname-us.ngrok.io/Desktop/seabridge%20fintech/image_app/TT_resistance_support.jpg" TargetMode="External"/><Relationship Id="rId1204" Type="http://schemas.openxmlformats.org/officeDocument/2006/relationships/hyperlink" Target="https://3arbzfbsh-cname-us.ngrok.io/Desktop/seabridge%20fintech/profit_graph_app/TT_Return.jpg" TargetMode="External"/><Relationship Id="rId1205" Type="http://schemas.openxmlformats.org/officeDocument/2006/relationships/hyperlink" Target="https://3arbzfbsh-cname-us.ngrok.io/Desktop/seabridge%20fintech/image_app/TTD_resistance_support.jpg" TargetMode="External"/><Relationship Id="rId1206" Type="http://schemas.openxmlformats.org/officeDocument/2006/relationships/hyperlink" Target="https://3arbzfbsh-cname-us.ngrok.io/Desktop/seabridge%20fintech/profit_graph_app/TTD_Return.jpg" TargetMode="External"/><Relationship Id="rId1207" Type="http://schemas.openxmlformats.org/officeDocument/2006/relationships/hyperlink" Target="https://3arbzfbsh-cname-us.ngrok.io/Desktop/seabridge%20fintech/image_app/TTWO_resistance_support.jpg" TargetMode="External"/><Relationship Id="rId1208" Type="http://schemas.openxmlformats.org/officeDocument/2006/relationships/hyperlink" Target="https://3arbzfbsh-cname-us.ngrok.io/Desktop/seabridge%20fintech/profit_graph_app/TTWO_Return.jpg" TargetMode="External"/><Relationship Id="rId1209" Type="http://schemas.openxmlformats.org/officeDocument/2006/relationships/hyperlink" Target="https://3arbzfbsh-cname-us.ngrok.io/Desktop/seabridge%20fintech/image_app/TWLO_resistance_support.jpg" TargetMode="External"/><Relationship Id="rId619" Type="http://schemas.openxmlformats.org/officeDocument/2006/relationships/hyperlink" Target="https://3arbzfbsh-cname-us.ngrok.io/Desktop/seabridge%20fintech/image_app/INVH_resistance_support.jpg" TargetMode="External"/><Relationship Id="rId618" Type="http://schemas.openxmlformats.org/officeDocument/2006/relationships/hyperlink" Target="https://3arbzfbsh-cname-us.ngrok.io/Desktop/seabridge%20fintech/profit_graph_app/INTU_Return.jpg" TargetMode="External"/><Relationship Id="rId613" Type="http://schemas.openxmlformats.org/officeDocument/2006/relationships/hyperlink" Target="https://3arbzfbsh-cname-us.ngrok.io/Desktop/seabridge%20fintech/image_app/INFO_resistance_support.jpg" TargetMode="External"/><Relationship Id="rId855" Type="http://schemas.openxmlformats.org/officeDocument/2006/relationships/hyperlink" Target="https://3arbzfbsh-cname-us.ngrok.io/Desktop/seabridge%20fintech/image_app/NFLX_resistance_support.jpg" TargetMode="External"/><Relationship Id="rId612" Type="http://schemas.openxmlformats.org/officeDocument/2006/relationships/hyperlink" Target="https://3arbzfbsh-cname-us.ngrok.io/Desktop/seabridge%20fintech/profit_graph_app/INDA_Return.jpg" TargetMode="External"/><Relationship Id="rId854" Type="http://schemas.openxmlformats.org/officeDocument/2006/relationships/hyperlink" Target="https://3arbzfbsh-cname-us.ngrok.io/Desktop/seabridge%20fintech/profit_graph_app/NET_Return.jpg" TargetMode="External"/><Relationship Id="rId611" Type="http://schemas.openxmlformats.org/officeDocument/2006/relationships/hyperlink" Target="https://3arbzfbsh-cname-us.ngrok.io/Desktop/seabridge%20fintech/image_app/INDA_resistance_support.jpg" TargetMode="External"/><Relationship Id="rId853" Type="http://schemas.openxmlformats.org/officeDocument/2006/relationships/hyperlink" Target="https://3arbzfbsh-cname-us.ngrok.io/Desktop/seabridge%20fintech/image_app/NET_resistance_support.jpg" TargetMode="External"/><Relationship Id="rId610" Type="http://schemas.openxmlformats.org/officeDocument/2006/relationships/hyperlink" Target="https://3arbzfbsh-cname-us.ngrok.io/Desktop/seabridge%20fintech/profit_graph_app/INCY_Return.jpg" TargetMode="External"/><Relationship Id="rId852" Type="http://schemas.openxmlformats.org/officeDocument/2006/relationships/hyperlink" Target="https://3arbzfbsh-cname-us.ngrok.io/Desktop/seabridge%20fintech/profit_graph_app/NEM_Return.jpg" TargetMode="External"/><Relationship Id="rId617" Type="http://schemas.openxmlformats.org/officeDocument/2006/relationships/hyperlink" Target="https://3arbzfbsh-cname-us.ngrok.io/Desktop/seabridge%20fintech/image_app/INTU_resistance_support.jpg" TargetMode="External"/><Relationship Id="rId859" Type="http://schemas.openxmlformats.org/officeDocument/2006/relationships/hyperlink" Target="https://3arbzfbsh-cname-us.ngrok.io/Desktop/seabridge%20fintech/image_app/NKE_resistance_support.jpg" TargetMode="External"/><Relationship Id="rId616" Type="http://schemas.openxmlformats.org/officeDocument/2006/relationships/hyperlink" Target="https://3arbzfbsh-cname-us.ngrok.io/Desktop/seabridge%20fintech/profit_graph_app/INTC_Return.jpg" TargetMode="External"/><Relationship Id="rId858" Type="http://schemas.openxmlformats.org/officeDocument/2006/relationships/hyperlink" Target="https://3arbzfbsh-cname-us.ngrok.io/Desktop/seabridge%20fintech/profit_graph_app/NI_Return.jpg" TargetMode="External"/><Relationship Id="rId615" Type="http://schemas.openxmlformats.org/officeDocument/2006/relationships/hyperlink" Target="https://3arbzfbsh-cname-us.ngrok.io/Desktop/seabridge%20fintech/image_app/INTC_resistance_support.jpg" TargetMode="External"/><Relationship Id="rId857" Type="http://schemas.openxmlformats.org/officeDocument/2006/relationships/hyperlink" Target="https://3arbzfbsh-cname-us.ngrok.io/Desktop/seabridge%20fintech/image_app/NI_resistance_support.jpg" TargetMode="External"/><Relationship Id="rId614" Type="http://schemas.openxmlformats.org/officeDocument/2006/relationships/hyperlink" Target="https://3arbzfbsh-cname-us.ngrok.io/Desktop/seabridge%20fintech/profit_graph_app/INFO_Return.jpg" TargetMode="External"/><Relationship Id="rId856" Type="http://schemas.openxmlformats.org/officeDocument/2006/relationships/hyperlink" Target="https://3arbzfbsh-cname-us.ngrok.io/Desktop/seabridge%20fintech/profit_graph_app/NFLX_Return.jpg" TargetMode="External"/><Relationship Id="rId851" Type="http://schemas.openxmlformats.org/officeDocument/2006/relationships/hyperlink" Target="https://3arbzfbsh-cname-us.ngrok.io/Desktop/seabridge%20fintech/image_app/NEM_resistance_support.jpg" TargetMode="External"/><Relationship Id="rId850" Type="http://schemas.openxmlformats.org/officeDocument/2006/relationships/hyperlink" Target="https://3arbzfbsh-cname-us.ngrok.io/Desktop/seabridge%20fintech/profit_graph_app/NEE_Return.jpg" TargetMode="External"/><Relationship Id="rId1200" Type="http://schemas.openxmlformats.org/officeDocument/2006/relationships/hyperlink" Target="https://3arbzfbsh-cname-us.ngrok.io/Desktop/seabridge%20fintech/profit_graph_app/TSLA_Return.jpg" TargetMode="External"/><Relationship Id="rId1201" Type="http://schemas.openxmlformats.org/officeDocument/2006/relationships/hyperlink" Target="https://3arbzfbsh-cname-us.ngrok.io/Desktop/seabridge%20fintech/image_app/TSN_resistance_support.jpg" TargetMode="External"/><Relationship Id="rId1235" Type="http://schemas.openxmlformats.org/officeDocument/2006/relationships/hyperlink" Target="https://3arbzfbsh-cname-us.ngrok.io/Desktop/seabridge%20fintech/image_app/UNM_resistance_support.jpg" TargetMode="External"/><Relationship Id="rId1236" Type="http://schemas.openxmlformats.org/officeDocument/2006/relationships/hyperlink" Target="https://3arbzfbsh-cname-us.ngrok.io/Desktop/seabridge%20fintech/profit_graph_app/UNM_Return.jpg" TargetMode="External"/><Relationship Id="rId1237" Type="http://schemas.openxmlformats.org/officeDocument/2006/relationships/hyperlink" Target="https://3arbzfbsh-cname-us.ngrok.io/Desktop/seabridge%20fintech/image_app/UNP_resistance_support.jpg" TargetMode="External"/><Relationship Id="rId1238" Type="http://schemas.openxmlformats.org/officeDocument/2006/relationships/hyperlink" Target="https://3arbzfbsh-cname-us.ngrok.io/Desktop/seabridge%20fintech/profit_graph_app/UNP_Return.jpg" TargetMode="External"/><Relationship Id="rId1239" Type="http://schemas.openxmlformats.org/officeDocument/2006/relationships/hyperlink" Target="https://3arbzfbsh-cname-us.ngrok.io/Desktop/seabridge%20fintech/image_app/UPS_resistance_support.jpg" TargetMode="External"/><Relationship Id="rId409" Type="http://schemas.openxmlformats.org/officeDocument/2006/relationships/hyperlink" Target="https://3arbzfbsh-cname-us.ngrok.io/Desktop/seabridge%20fintech/image_app/ETR_resistance_support.jpg" TargetMode="External"/><Relationship Id="rId404" Type="http://schemas.openxmlformats.org/officeDocument/2006/relationships/hyperlink" Target="https://3arbzfbsh-cname-us.ngrok.io/Desktop/seabridge%20fintech/profit_graph_app/ES_Return.jpg" TargetMode="External"/><Relationship Id="rId646" Type="http://schemas.openxmlformats.org/officeDocument/2006/relationships/hyperlink" Target="https://3arbzfbsh-cname-us.ngrok.io/Desktop/seabridge%20fintech/profit_graph_app/IWM_Return.jpg" TargetMode="External"/><Relationship Id="rId888" Type="http://schemas.openxmlformats.org/officeDocument/2006/relationships/hyperlink" Target="https://3arbzfbsh-cname-us.ngrok.io/Desktop/seabridge%20fintech/profit_graph_app/NUAN_Return.jpg" TargetMode="External"/><Relationship Id="rId403" Type="http://schemas.openxmlformats.org/officeDocument/2006/relationships/hyperlink" Target="https://3arbzfbsh-cname-us.ngrok.io/Desktop/seabridge%20fintech/image_app/ES_resistance_support.jpg" TargetMode="External"/><Relationship Id="rId645" Type="http://schemas.openxmlformats.org/officeDocument/2006/relationships/hyperlink" Target="https://3arbzfbsh-cname-us.ngrok.io/Desktop/seabridge%20fintech/image_app/IWM_resistance_support.jpg" TargetMode="External"/><Relationship Id="rId887" Type="http://schemas.openxmlformats.org/officeDocument/2006/relationships/hyperlink" Target="https://3arbzfbsh-cname-us.ngrok.io/Desktop/seabridge%20fintech/image_app/NUAN_resistance_support.jpg" TargetMode="External"/><Relationship Id="rId402" Type="http://schemas.openxmlformats.org/officeDocument/2006/relationships/hyperlink" Target="https://3arbzfbsh-cname-us.ngrok.io/Desktop/seabridge%20fintech/profit_graph_app/EQR_Return.jpg" TargetMode="External"/><Relationship Id="rId644" Type="http://schemas.openxmlformats.org/officeDocument/2006/relationships/hyperlink" Target="https://3arbzfbsh-cname-us.ngrok.io/Desktop/seabridge%20fintech/profit_graph_app/IWD_Return.jpg" TargetMode="External"/><Relationship Id="rId886" Type="http://schemas.openxmlformats.org/officeDocument/2006/relationships/hyperlink" Target="https://3arbzfbsh-cname-us.ngrok.io/Desktop/seabridge%20fintech/profit_graph_app/NTRS_Return.jpg" TargetMode="External"/><Relationship Id="rId401" Type="http://schemas.openxmlformats.org/officeDocument/2006/relationships/hyperlink" Target="https://3arbzfbsh-cname-us.ngrok.io/Desktop/seabridge%20fintech/image_app/EQR_resistance_support.jpg" TargetMode="External"/><Relationship Id="rId643" Type="http://schemas.openxmlformats.org/officeDocument/2006/relationships/hyperlink" Target="https://3arbzfbsh-cname-us.ngrok.io/Desktop/seabridge%20fintech/image_app/IWD_resistance_support.jpg" TargetMode="External"/><Relationship Id="rId885" Type="http://schemas.openxmlformats.org/officeDocument/2006/relationships/hyperlink" Target="https://3arbzfbsh-cname-us.ngrok.io/Desktop/seabridge%20fintech/image_app/NTRS_resistance_support.jpg" TargetMode="External"/><Relationship Id="rId408" Type="http://schemas.openxmlformats.org/officeDocument/2006/relationships/hyperlink" Target="https://3arbzfbsh-cname-us.ngrok.io/Desktop/seabridge%20fintech/profit_graph_app/ETN_Return.jpg" TargetMode="External"/><Relationship Id="rId407" Type="http://schemas.openxmlformats.org/officeDocument/2006/relationships/hyperlink" Target="https://3arbzfbsh-cname-us.ngrok.io/Desktop/seabridge%20fintech/image_app/ETN_resistance_support.jpg" TargetMode="External"/><Relationship Id="rId649" Type="http://schemas.openxmlformats.org/officeDocument/2006/relationships/hyperlink" Target="https://3arbzfbsh-cname-us.ngrok.io/Desktop/seabridge%20fintech/image_app/J_resistance_support.jpg" TargetMode="External"/><Relationship Id="rId406" Type="http://schemas.openxmlformats.org/officeDocument/2006/relationships/hyperlink" Target="https://3arbzfbsh-cname-us.ngrok.io/Desktop/seabridge%20fintech/profit_graph_app/ESS_Return.jpg" TargetMode="External"/><Relationship Id="rId648" Type="http://schemas.openxmlformats.org/officeDocument/2006/relationships/hyperlink" Target="https://3arbzfbsh-cname-us.ngrok.io/Desktop/seabridge%20fintech/profit_graph_app/IYR_Return.jpg" TargetMode="External"/><Relationship Id="rId405" Type="http://schemas.openxmlformats.org/officeDocument/2006/relationships/hyperlink" Target="https://3arbzfbsh-cname-us.ngrok.io/Desktop/seabridge%20fintech/image_app/ESS_resistance_support.jpg" TargetMode="External"/><Relationship Id="rId647" Type="http://schemas.openxmlformats.org/officeDocument/2006/relationships/hyperlink" Target="https://3arbzfbsh-cname-us.ngrok.io/Desktop/seabridge%20fintech/image_app/IYR_resistance_support.jpg" TargetMode="External"/><Relationship Id="rId889" Type="http://schemas.openxmlformats.org/officeDocument/2006/relationships/hyperlink" Target="https://3arbzfbsh-cname-us.ngrok.io/Desktop/seabridge%20fintech/image_app/NUE_resistance_support.jpg" TargetMode="External"/><Relationship Id="rId880" Type="http://schemas.openxmlformats.org/officeDocument/2006/relationships/hyperlink" Target="https://3arbzfbsh-cname-us.ngrok.io/Desktop/seabridge%20fintech/profit_graph_app/NTES_Return.jpg" TargetMode="External"/><Relationship Id="rId1230" Type="http://schemas.openxmlformats.org/officeDocument/2006/relationships/hyperlink" Target="https://3arbzfbsh-cname-us.ngrok.io/Desktop/seabridge%20fintech/profit_graph_app/UHS_Return.jpg" TargetMode="External"/><Relationship Id="rId400" Type="http://schemas.openxmlformats.org/officeDocument/2006/relationships/hyperlink" Target="https://3arbzfbsh-cname-us.ngrok.io/Desktop/seabridge%20fintech/profit_graph_app/EQIX_Return.jpg" TargetMode="External"/><Relationship Id="rId642" Type="http://schemas.openxmlformats.org/officeDocument/2006/relationships/hyperlink" Target="https://3arbzfbsh-cname-us.ngrok.io/Desktop/seabridge%20fintech/profit_graph_app/IVZ_Return.jpg" TargetMode="External"/><Relationship Id="rId884" Type="http://schemas.openxmlformats.org/officeDocument/2006/relationships/hyperlink" Target="https://3arbzfbsh-cname-us.ngrok.io/Desktop/seabridge%20fintech/profit_graph_app/NTNX_Return.jpg" TargetMode="External"/><Relationship Id="rId1231" Type="http://schemas.openxmlformats.org/officeDocument/2006/relationships/hyperlink" Target="https://3arbzfbsh-cname-us.ngrok.io/Desktop/seabridge%20fintech/image_app/ULTA_resistance_support.jpg" TargetMode="External"/><Relationship Id="rId641" Type="http://schemas.openxmlformats.org/officeDocument/2006/relationships/hyperlink" Target="https://3arbzfbsh-cname-us.ngrok.io/Desktop/seabridge%20fintech/image_app/IVZ_resistance_support.jpg" TargetMode="External"/><Relationship Id="rId883" Type="http://schemas.openxmlformats.org/officeDocument/2006/relationships/hyperlink" Target="https://3arbzfbsh-cname-us.ngrok.io/Desktop/seabridge%20fintech/image_app/NTNX_resistance_support.jpg" TargetMode="External"/><Relationship Id="rId1232" Type="http://schemas.openxmlformats.org/officeDocument/2006/relationships/hyperlink" Target="https://3arbzfbsh-cname-us.ngrok.io/Desktop/seabridge%20fintech/profit_graph_app/ULTA_Return.jpg" TargetMode="External"/><Relationship Id="rId640" Type="http://schemas.openxmlformats.org/officeDocument/2006/relationships/hyperlink" Target="https://3arbzfbsh-cname-us.ngrok.io/Desktop/seabridge%20fintech/profit_graph_app/IVV_Return.jpg" TargetMode="External"/><Relationship Id="rId882" Type="http://schemas.openxmlformats.org/officeDocument/2006/relationships/hyperlink" Target="https://3arbzfbsh-cname-us.ngrok.io/Desktop/seabridge%20fintech/profit_graph_app/NTLA_Return.jpg" TargetMode="External"/><Relationship Id="rId1233" Type="http://schemas.openxmlformats.org/officeDocument/2006/relationships/hyperlink" Target="https://3arbzfbsh-cname-us.ngrok.io/Desktop/seabridge%20fintech/image_app/UNH_resistance_support.jpg" TargetMode="External"/><Relationship Id="rId881" Type="http://schemas.openxmlformats.org/officeDocument/2006/relationships/hyperlink" Target="https://3arbzfbsh-cname-us.ngrok.io/Desktop/seabridge%20fintech/image_app/NTLA_resistance_support.jpg" TargetMode="External"/><Relationship Id="rId1234" Type="http://schemas.openxmlformats.org/officeDocument/2006/relationships/hyperlink" Target="https://3arbzfbsh-cname-us.ngrok.io/Desktop/seabridge%20fintech/profit_graph_app/UNH_Return.jpg" TargetMode="External"/><Relationship Id="rId1224" Type="http://schemas.openxmlformats.org/officeDocument/2006/relationships/hyperlink" Target="https://3arbzfbsh-cname-us.ngrok.io/Desktop/seabridge%20fintech/profit_graph_app/UAL_Return.jpg" TargetMode="External"/><Relationship Id="rId1225" Type="http://schemas.openxmlformats.org/officeDocument/2006/relationships/hyperlink" Target="https://3arbzfbsh-cname-us.ngrok.io/Desktop/seabridge%20fintech/image_app/UBER_resistance_support.jpg" TargetMode="External"/><Relationship Id="rId1226" Type="http://schemas.openxmlformats.org/officeDocument/2006/relationships/hyperlink" Target="https://3arbzfbsh-cname-us.ngrok.io/Desktop/seabridge%20fintech/profit_graph_app/UBER_Return.jpg" TargetMode="External"/><Relationship Id="rId1227" Type="http://schemas.openxmlformats.org/officeDocument/2006/relationships/hyperlink" Target="https://3arbzfbsh-cname-us.ngrok.io/Desktop/seabridge%20fintech/image_app/UDR_resistance_support.jpg" TargetMode="External"/><Relationship Id="rId1228" Type="http://schemas.openxmlformats.org/officeDocument/2006/relationships/hyperlink" Target="https://3arbzfbsh-cname-us.ngrok.io/Desktop/seabridge%20fintech/profit_graph_app/UDR_Return.jpg" TargetMode="External"/><Relationship Id="rId1229" Type="http://schemas.openxmlformats.org/officeDocument/2006/relationships/hyperlink" Target="https://3arbzfbsh-cname-us.ngrok.io/Desktop/seabridge%20fintech/image_app/UHS_resistance_support.jpg" TargetMode="External"/><Relationship Id="rId635" Type="http://schemas.openxmlformats.org/officeDocument/2006/relationships/hyperlink" Target="https://3arbzfbsh-cname-us.ngrok.io/Desktop/seabridge%20fintech/image_app/IT_resistance_support.jpg" TargetMode="External"/><Relationship Id="rId877" Type="http://schemas.openxmlformats.org/officeDocument/2006/relationships/hyperlink" Target="https://3arbzfbsh-cname-us.ngrok.io/Desktop/seabridge%20fintech/image_app/NTAP_resistance_support.jpg" TargetMode="External"/><Relationship Id="rId634" Type="http://schemas.openxmlformats.org/officeDocument/2006/relationships/hyperlink" Target="https://3arbzfbsh-cname-us.ngrok.io/Desktop/seabridge%20fintech/profit_graph_app/ISRG_Return.jpg" TargetMode="External"/><Relationship Id="rId876" Type="http://schemas.openxmlformats.org/officeDocument/2006/relationships/hyperlink" Target="https://3arbzfbsh-cname-us.ngrok.io/Desktop/seabridge%20fintech/profit_graph_app/NSC_Return.jpg" TargetMode="External"/><Relationship Id="rId633" Type="http://schemas.openxmlformats.org/officeDocument/2006/relationships/hyperlink" Target="https://3arbzfbsh-cname-us.ngrok.io/Desktop/seabridge%20fintech/image_app/ISRG_resistance_support.jpg" TargetMode="External"/><Relationship Id="rId875" Type="http://schemas.openxmlformats.org/officeDocument/2006/relationships/hyperlink" Target="https://3arbzfbsh-cname-us.ngrok.io/Desktop/seabridge%20fintech/image_app/NSC_resistance_support.jpg" TargetMode="External"/><Relationship Id="rId632" Type="http://schemas.openxmlformats.org/officeDocument/2006/relationships/hyperlink" Target="https://3arbzfbsh-cname-us.ngrok.io/Desktop/seabridge%20fintech/profit_graph_app/IRM_Return.jpg" TargetMode="External"/><Relationship Id="rId874" Type="http://schemas.openxmlformats.org/officeDocument/2006/relationships/hyperlink" Target="https://3arbzfbsh-cname-us.ngrok.io/Desktop/seabridge%20fintech/profit_graph_app/NRG_Return.jpg" TargetMode="External"/><Relationship Id="rId639" Type="http://schemas.openxmlformats.org/officeDocument/2006/relationships/hyperlink" Target="https://3arbzfbsh-cname-us.ngrok.io/Desktop/seabridge%20fintech/image_app/IVV_resistance_support.jpg" TargetMode="External"/><Relationship Id="rId638" Type="http://schemas.openxmlformats.org/officeDocument/2006/relationships/hyperlink" Target="https://3arbzfbsh-cname-us.ngrok.io/Desktop/seabridge%20fintech/profit_graph_app/ITW_Return.jpg" TargetMode="External"/><Relationship Id="rId637" Type="http://schemas.openxmlformats.org/officeDocument/2006/relationships/hyperlink" Target="https://3arbzfbsh-cname-us.ngrok.io/Desktop/seabridge%20fintech/image_app/ITW_resistance_support.jpg" TargetMode="External"/><Relationship Id="rId879" Type="http://schemas.openxmlformats.org/officeDocument/2006/relationships/hyperlink" Target="https://3arbzfbsh-cname-us.ngrok.io/Desktop/seabridge%20fintech/image_app/NTES_resistance_support.jpg" TargetMode="External"/><Relationship Id="rId636" Type="http://schemas.openxmlformats.org/officeDocument/2006/relationships/hyperlink" Target="https://3arbzfbsh-cname-us.ngrok.io/Desktop/seabridge%20fintech/profit_graph_app/IT_Return.jpg" TargetMode="External"/><Relationship Id="rId878" Type="http://schemas.openxmlformats.org/officeDocument/2006/relationships/hyperlink" Target="https://3arbzfbsh-cname-us.ngrok.io/Desktop/seabridge%20fintech/profit_graph_app/NTAP_Return.jpg" TargetMode="External"/><Relationship Id="rId631" Type="http://schemas.openxmlformats.org/officeDocument/2006/relationships/hyperlink" Target="https://3arbzfbsh-cname-us.ngrok.io/Desktop/seabridge%20fintech/image_app/IRM_resistance_support.jpg" TargetMode="External"/><Relationship Id="rId873" Type="http://schemas.openxmlformats.org/officeDocument/2006/relationships/hyperlink" Target="https://3arbzfbsh-cname-us.ngrok.io/Desktop/seabridge%20fintech/image_app/NRG_resistance_support.jpg" TargetMode="External"/><Relationship Id="rId1220" Type="http://schemas.openxmlformats.org/officeDocument/2006/relationships/hyperlink" Target="https://3arbzfbsh-cname-us.ngrok.io/Desktop/seabridge%20fintech/profit_graph_app/UA_Return.jpg" TargetMode="External"/><Relationship Id="rId630" Type="http://schemas.openxmlformats.org/officeDocument/2006/relationships/hyperlink" Target="https://3arbzfbsh-cname-us.ngrok.io/Desktop/seabridge%20fintech/profit_graph_app/IR_Return.jpg" TargetMode="External"/><Relationship Id="rId872" Type="http://schemas.openxmlformats.org/officeDocument/2006/relationships/hyperlink" Target="https://3arbzfbsh-cname-us.ngrok.io/Desktop/seabridge%20fintech/profit_graph_app/NOW_Return.jpg" TargetMode="External"/><Relationship Id="rId1221" Type="http://schemas.openxmlformats.org/officeDocument/2006/relationships/hyperlink" Target="https://3arbzfbsh-cname-us.ngrok.io/Desktop/seabridge%20fintech/image_app/UAA_resistance_support.jpg" TargetMode="External"/><Relationship Id="rId871" Type="http://schemas.openxmlformats.org/officeDocument/2006/relationships/hyperlink" Target="https://3arbzfbsh-cname-us.ngrok.io/Desktop/seabridge%20fintech/image_app/NOW_resistance_support.jpg" TargetMode="External"/><Relationship Id="rId1222" Type="http://schemas.openxmlformats.org/officeDocument/2006/relationships/hyperlink" Target="https://3arbzfbsh-cname-us.ngrok.io/Desktop/seabridge%20fintech/profit_graph_app/UAA_Return.jpg" TargetMode="External"/><Relationship Id="rId870" Type="http://schemas.openxmlformats.org/officeDocument/2006/relationships/hyperlink" Target="https://3arbzfbsh-cname-us.ngrok.io/Desktop/seabridge%20fintech/profit_graph_app/NOVA_Return.jpg" TargetMode="External"/><Relationship Id="rId1223" Type="http://schemas.openxmlformats.org/officeDocument/2006/relationships/hyperlink" Target="https://3arbzfbsh-cname-us.ngrok.io/Desktop/seabridge%20fintech/image_app/UAL_resistance_support.jpg" TargetMode="External"/><Relationship Id="rId829" Type="http://schemas.openxmlformats.org/officeDocument/2006/relationships/hyperlink" Target="https://3arbzfbsh-cname-us.ngrok.io/Desktop/seabridge%20fintech/image_app/MSCI_resistance_support.jpg" TargetMode="External"/><Relationship Id="rId828" Type="http://schemas.openxmlformats.org/officeDocument/2006/relationships/hyperlink" Target="https://3arbzfbsh-cname-us.ngrok.io/Desktop/seabridge%20fintech/profit_graph_app/MS_Return.jpg" TargetMode="External"/><Relationship Id="rId827" Type="http://schemas.openxmlformats.org/officeDocument/2006/relationships/hyperlink" Target="https://3arbzfbsh-cname-us.ngrok.io/Desktop/seabridge%20fintech/image_app/MS_resistance_support.jpg" TargetMode="External"/><Relationship Id="rId822" Type="http://schemas.openxmlformats.org/officeDocument/2006/relationships/hyperlink" Target="https://3arbzfbsh-cname-us.ngrok.io/Desktop/seabridge%20fintech/profit_graph_app/MRNA_Return.jpg" TargetMode="External"/><Relationship Id="rId821" Type="http://schemas.openxmlformats.org/officeDocument/2006/relationships/hyperlink" Target="https://3arbzfbsh-cname-us.ngrok.io/Desktop/seabridge%20fintech/image_app/MRNA_resistance_support.jpg" TargetMode="External"/><Relationship Id="rId820" Type="http://schemas.openxmlformats.org/officeDocument/2006/relationships/hyperlink" Target="https://3arbzfbsh-cname-us.ngrok.io/Desktop/seabridge%20fintech/profit_graph_app/MPWR_Return.jpg" TargetMode="External"/><Relationship Id="rId826" Type="http://schemas.openxmlformats.org/officeDocument/2006/relationships/hyperlink" Target="https://3arbzfbsh-cname-us.ngrok.io/Desktop/seabridge%20fintech/profit_graph_app/MRVL_Return.jpg" TargetMode="External"/><Relationship Id="rId825" Type="http://schemas.openxmlformats.org/officeDocument/2006/relationships/hyperlink" Target="https://3arbzfbsh-cname-us.ngrok.io/Desktop/seabridge%20fintech/image_app/MRVL_resistance_support.jpg" TargetMode="External"/><Relationship Id="rId824" Type="http://schemas.openxmlformats.org/officeDocument/2006/relationships/hyperlink" Target="https://3arbzfbsh-cname-us.ngrok.io/Desktop/seabridge%20fintech/profit_graph_app/MRO_Return.jpg" TargetMode="External"/><Relationship Id="rId823" Type="http://schemas.openxmlformats.org/officeDocument/2006/relationships/hyperlink" Target="https://3arbzfbsh-cname-us.ngrok.io/Desktop/seabridge%20fintech/image_app/MRO_resistance_support.jpg" TargetMode="External"/><Relationship Id="rId1400" Type="http://schemas.openxmlformats.org/officeDocument/2006/relationships/hyperlink" Target="https://3arbzfbsh-cname-us.ngrok.io/Desktop/seabridge%20fintech/profit_graph_app/ZTS_Return.jpg" TargetMode="External"/><Relationship Id="rId1401" Type="http://schemas.openxmlformats.org/officeDocument/2006/relationships/drawing" Target="../drawings/drawing6.xml"/><Relationship Id="rId819" Type="http://schemas.openxmlformats.org/officeDocument/2006/relationships/hyperlink" Target="https://3arbzfbsh-cname-us.ngrok.io/Desktop/seabridge%20fintech/image_app/MPWR_resistance_support.jpg" TargetMode="External"/><Relationship Id="rId818" Type="http://schemas.openxmlformats.org/officeDocument/2006/relationships/hyperlink" Target="https://3arbzfbsh-cname-us.ngrok.io/Desktop/seabridge%20fintech/profit_graph_app/MPLX_Return.jpg" TargetMode="External"/><Relationship Id="rId817" Type="http://schemas.openxmlformats.org/officeDocument/2006/relationships/hyperlink" Target="https://3arbzfbsh-cname-us.ngrok.io/Desktop/seabridge%20fintech/image_app/MPLX_resistance_support.jpg" TargetMode="External"/><Relationship Id="rId816" Type="http://schemas.openxmlformats.org/officeDocument/2006/relationships/hyperlink" Target="https://3arbzfbsh-cname-us.ngrok.io/Desktop/seabridge%20fintech/profit_graph_app/MPC_Return.jpg" TargetMode="External"/><Relationship Id="rId811" Type="http://schemas.openxmlformats.org/officeDocument/2006/relationships/hyperlink" Target="https://3arbzfbsh-cname-us.ngrok.io/Desktop/seabridge%20fintech/image_app/MOS_resistance_support.jpg" TargetMode="External"/><Relationship Id="rId810" Type="http://schemas.openxmlformats.org/officeDocument/2006/relationships/hyperlink" Target="https://3arbzfbsh-cname-us.ngrok.io/Desktop/seabridge%20fintech/profit_graph_app/MO_Return.jpg" TargetMode="External"/><Relationship Id="rId815" Type="http://schemas.openxmlformats.org/officeDocument/2006/relationships/hyperlink" Target="https://3arbzfbsh-cname-us.ngrok.io/Desktop/seabridge%20fintech/image_app/MPC_resistance_support.jpg" TargetMode="External"/><Relationship Id="rId814" Type="http://schemas.openxmlformats.org/officeDocument/2006/relationships/hyperlink" Target="https://3arbzfbsh-cname-us.ngrok.io/Desktop/seabridge%20fintech/profit_graph_app/MP_Return.jpg" TargetMode="External"/><Relationship Id="rId813" Type="http://schemas.openxmlformats.org/officeDocument/2006/relationships/hyperlink" Target="https://3arbzfbsh-cname-us.ngrok.io/Desktop/seabridge%20fintech/image_app/MP_resistance_support.jpg" TargetMode="External"/><Relationship Id="rId812" Type="http://schemas.openxmlformats.org/officeDocument/2006/relationships/hyperlink" Target="https://3arbzfbsh-cname-us.ngrok.io/Desktop/seabridge%20fintech/profit_graph_app/MOS_Return.jpg" TargetMode="External"/><Relationship Id="rId609" Type="http://schemas.openxmlformats.org/officeDocument/2006/relationships/hyperlink" Target="https://3arbzfbsh-cname-us.ngrok.io/Desktop/seabridge%20fintech/image_app/INCY_resistance_support.jpg" TargetMode="External"/><Relationship Id="rId608" Type="http://schemas.openxmlformats.org/officeDocument/2006/relationships/hyperlink" Target="https://3arbzfbsh-cname-us.ngrok.io/Desktop/seabridge%20fintech/profit_graph_app/ILMN_Return.jpg" TargetMode="External"/><Relationship Id="rId607" Type="http://schemas.openxmlformats.org/officeDocument/2006/relationships/hyperlink" Target="https://3arbzfbsh-cname-us.ngrok.io/Desktop/seabridge%20fintech/image_app/ILMN_resistance_support.jpg" TargetMode="External"/><Relationship Id="rId849" Type="http://schemas.openxmlformats.org/officeDocument/2006/relationships/hyperlink" Target="https://3arbzfbsh-cname-us.ngrok.io/Desktop/seabridge%20fintech/image_app/NEE_resistance_support.jpg" TargetMode="External"/><Relationship Id="rId602" Type="http://schemas.openxmlformats.org/officeDocument/2006/relationships/hyperlink" Target="https://3arbzfbsh-cname-us.ngrok.io/Desktop/seabridge%20fintech/profit_graph_app/IEX_Return.jpg" TargetMode="External"/><Relationship Id="rId844" Type="http://schemas.openxmlformats.org/officeDocument/2006/relationships/hyperlink" Target="https://3arbzfbsh-cname-us.ngrok.io/Desktop/seabridge%20fintech/profit_graph_app/MXIM_Return.jpg" TargetMode="External"/><Relationship Id="rId601" Type="http://schemas.openxmlformats.org/officeDocument/2006/relationships/hyperlink" Target="https://3arbzfbsh-cname-us.ngrok.io/Desktop/seabridge%20fintech/image_app/IEX_resistance_support.jpg" TargetMode="External"/><Relationship Id="rId843" Type="http://schemas.openxmlformats.org/officeDocument/2006/relationships/hyperlink" Target="https://3arbzfbsh-cname-us.ngrok.io/Desktop/seabridge%20fintech/image_app/MXIM_resistance_support.jpg" TargetMode="External"/><Relationship Id="rId600" Type="http://schemas.openxmlformats.org/officeDocument/2006/relationships/hyperlink" Target="https://3arbzfbsh-cname-us.ngrok.io/Desktop/seabridge%20fintech/profit_graph_app/IEMG_Return.jpg" TargetMode="External"/><Relationship Id="rId842" Type="http://schemas.openxmlformats.org/officeDocument/2006/relationships/hyperlink" Target="https://3arbzfbsh-cname-us.ngrok.io/Desktop/seabridge%20fintech/profit_graph_app/MU_Return.jpg" TargetMode="External"/><Relationship Id="rId841" Type="http://schemas.openxmlformats.org/officeDocument/2006/relationships/hyperlink" Target="https://3arbzfbsh-cname-us.ngrok.io/Desktop/seabridge%20fintech/image_app/MU_resistance_support.jpg" TargetMode="External"/><Relationship Id="rId606" Type="http://schemas.openxmlformats.org/officeDocument/2006/relationships/hyperlink" Target="https://3arbzfbsh-cname-us.ngrok.io/Desktop/seabridge%20fintech/profit_graph_app/IJR_Return.jpg" TargetMode="External"/><Relationship Id="rId848" Type="http://schemas.openxmlformats.org/officeDocument/2006/relationships/hyperlink" Target="https://3arbzfbsh-cname-us.ngrok.io/Desktop/seabridge%20fintech/profit_graph_app/NDAQ_Return.jpg" TargetMode="External"/><Relationship Id="rId605" Type="http://schemas.openxmlformats.org/officeDocument/2006/relationships/hyperlink" Target="https://3arbzfbsh-cname-us.ngrok.io/Desktop/seabridge%20fintech/image_app/IJR_resistance_support.jpg" TargetMode="External"/><Relationship Id="rId847" Type="http://schemas.openxmlformats.org/officeDocument/2006/relationships/hyperlink" Target="https://3arbzfbsh-cname-us.ngrok.io/Desktop/seabridge%20fintech/image_app/NDAQ_resistance_support.jpg" TargetMode="External"/><Relationship Id="rId604" Type="http://schemas.openxmlformats.org/officeDocument/2006/relationships/hyperlink" Target="https://3arbzfbsh-cname-us.ngrok.io/Desktop/seabridge%20fintech/profit_graph_app/IFF_Return.jpg" TargetMode="External"/><Relationship Id="rId846" Type="http://schemas.openxmlformats.org/officeDocument/2006/relationships/hyperlink" Target="https://3arbzfbsh-cname-us.ngrok.io/Desktop/seabridge%20fintech/profit_graph_app/NCLH_Return.jpg" TargetMode="External"/><Relationship Id="rId603" Type="http://schemas.openxmlformats.org/officeDocument/2006/relationships/hyperlink" Target="https://3arbzfbsh-cname-us.ngrok.io/Desktop/seabridge%20fintech/image_app/IFF_resistance_support.jpg" TargetMode="External"/><Relationship Id="rId845" Type="http://schemas.openxmlformats.org/officeDocument/2006/relationships/hyperlink" Target="https://3arbzfbsh-cname-us.ngrok.io/Desktop/seabridge%20fintech/image_app/NCLH_resistance_support.jpg" TargetMode="External"/><Relationship Id="rId840" Type="http://schemas.openxmlformats.org/officeDocument/2006/relationships/hyperlink" Target="https://3arbzfbsh-cname-us.ngrok.io/Desktop/seabridge%20fintech/profit_graph_app/MTD_Return.jpg" TargetMode="External"/><Relationship Id="rId839" Type="http://schemas.openxmlformats.org/officeDocument/2006/relationships/hyperlink" Target="https://3arbzfbsh-cname-us.ngrok.io/Desktop/seabridge%20fintech/image_app/MTD_resistance_support.jpg" TargetMode="External"/><Relationship Id="rId838" Type="http://schemas.openxmlformats.org/officeDocument/2006/relationships/hyperlink" Target="https://3arbzfbsh-cname-us.ngrok.io/Desktop/seabridge%20fintech/profit_graph_app/MTCH_Return.jpg" TargetMode="External"/><Relationship Id="rId833" Type="http://schemas.openxmlformats.org/officeDocument/2006/relationships/hyperlink" Target="https://3arbzfbsh-cname-us.ngrok.io/Desktop/seabridge%20fintech/image_app/MSI_resistance_support.jpg" TargetMode="External"/><Relationship Id="rId832" Type="http://schemas.openxmlformats.org/officeDocument/2006/relationships/hyperlink" Target="https://3arbzfbsh-cname-us.ngrok.io/Desktop/seabridge%20fintech/profit_graph_app/MSFT_Return.jpg" TargetMode="External"/><Relationship Id="rId831" Type="http://schemas.openxmlformats.org/officeDocument/2006/relationships/hyperlink" Target="https://3arbzfbsh-cname-us.ngrok.io/Desktop/seabridge%20fintech/image_app/MSFT_resistance_support.jpg" TargetMode="External"/><Relationship Id="rId830" Type="http://schemas.openxmlformats.org/officeDocument/2006/relationships/hyperlink" Target="https://3arbzfbsh-cname-us.ngrok.io/Desktop/seabridge%20fintech/profit_graph_app/MSCI_Return.jpg" TargetMode="External"/><Relationship Id="rId837" Type="http://schemas.openxmlformats.org/officeDocument/2006/relationships/hyperlink" Target="https://3arbzfbsh-cname-us.ngrok.io/Desktop/seabridge%20fintech/image_app/MTCH_resistance_support.jpg" TargetMode="External"/><Relationship Id="rId836" Type="http://schemas.openxmlformats.org/officeDocument/2006/relationships/hyperlink" Target="https://3arbzfbsh-cname-us.ngrok.io/Desktop/seabridge%20fintech/profit_graph_app/MTB_Return.jpg" TargetMode="External"/><Relationship Id="rId835" Type="http://schemas.openxmlformats.org/officeDocument/2006/relationships/hyperlink" Target="https://3arbzfbsh-cname-us.ngrok.io/Desktop/seabridge%20fintech/image_app/MTB_resistance_support.jpg" TargetMode="External"/><Relationship Id="rId834" Type="http://schemas.openxmlformats.org/officeDocument/2006/relationships/hyperlink" Target="https://3arbzfbsh-cname-us.ngrok.io/Desktop/seabridge%20fintech/profit_graph_app/MSI_Return.jpg" TargetMode="External"/><Relationship Id="rId1059" Type="http://schemas.openxmlformats.org/officeDocument/2006/relationships/hyperlink" Target="https://3arbzfbsh-cname-us.ngrok.io/Desktop/seabridge%20fintech/image_app/SAVE_resistance_support.jpg" TargetMode="External"/><Relationship Id="rId228" Type="http://schemas.openxmlformats.org/officeDocument/2006/relationships/hyperlink" Target="https://3arbzfbsh-cname-us.ngrok.io/Desktop/seabridge%20fintech/profit_graph_app/CHTR_Return.jpg" TargetMode="External"/><Relationship Id="rId227" Type="http://schemas.openxmlformats.org/officeDocument/2006/relationships/hyperlink" Target="https://3arbzfbsh-cname-us.ngrok.io/Desktop/seabridge%20fintech/image_app/CHTR_resistance_support.jpg" TargetMode="External"/><Relationship Id="rId469" Type="http://schemas.openxmlformats.org/officeDocument/2006/relationships/hyperlink" Target="https://3arbzfbsh-cname-us.ngrok.io/Desktop/seabridge%20fintech/image_app/FMC_resistance_support.jpg" TargetMode="External"/><Relationship Id="rId226" Type="http://schemas.openxmlformats.org/officeDocument/2006/relationships/hyperlink" Target="https://3arbzfbsh-cname-us.ngrok.io/Desktop/seabridge%20fintech/profit_graph_app/CHRW_Return.jpg" TargetMode="External"/><Relationship Id="rId468" Type="http://schemas.openxmlformats.org/officeDocument/2006/relationships/hyperlink" Target="https://3arbzfbsh-cname-us.ngrok.io/Desktop/seabridge%20fintech/profit_graph_app/FLT_Return.jpg" TargetMode="External"/><Relationship Id="rId225" Type="http://schemas.openxmlformats.org/officeDocument/2006/relationships/hyperlink" Target="https://3arbzfbsh-cname-us.ngrok.io/Desktop/seabridge%20fintech/image_app/CHRW_resistance_support.jpg" TargetMode="External"/><Relationship Id="rId467" Type="http://schemas.openxmlformats.org/officeDocument/2006/relationships/hyperlink" Target="https://3arbzfbsh-cname-us.ngrok.io/Desktop/seabridge%20fintech/image_app/FLT_resistance_support.jpg" TargetMode="External"/><Relationship Id="rId1290" Type="http://schemas.openxmlformats.org/officeDocument/2006/relationships/hyperlink" Target="https://3arbzfbsh-cname-us.ngrok.io/Desktop/seabridge%20fintech/profit_graph_app/VRTX_Return.jpg" TargetMode="External"/><Relationship Id="rId1291" Type="http://schemas.openxmlformats.org/officeDocument/2006/relationships/hyperlink" Target="https://3arbzfbsh-cname-us.ngrok.io/Desktop/seabridge%20fintech/image_app/VT_resistance_support.jpg" TargetMode="External"/><Relationship Id="rId229" Type="http://schemas.openxmlformats.org/officeDocument/2006/relationships/hyperlink" Target="https://3arbzfbsh-cname-us.ngrok.io/Desktop/seabridge%20fintech/image_app/CHWY_resistance_support.jpg" TargetMode="External"/><Relationship Id="rId1050" Type="http://schemas.openxmlformats.org/officeDocument/2006/relationships/hyperlink" Target="https://3arbzfbsh-cname-us.ngrok.io/Desktop/seabridge%20fintech/profit_graph_app/RSG_Return.jpg" TargetMode="External"/><Relationship Id="rId1292" Type="http://schemas.openxmlformats.org/officeDocument/2006/relationships/hyperlink" Target="https://3arbzfbsh-cname-us.ngrok.io/Desktop/seabridge%20fintech/profit_graph_app/VT_Return.jpg" TargetMode="External"/><Relationship Id="rId220" Type="http://schemas.openxmlformats.org/officeDocument/2006/relationships/hyperlink" Target="https://3arbzfbsh-cname-us.ngrok.io/Desktop/seabridge%20fintech/profit_graph_app/CFG_Return.jpg" TargetMode="External"/><Relationship Id="rId462" Type="http://schemas.openxmlformats.org/officeDocument/2006/relationships/hyperlink" Target="https://3arbzfbsh-cname-us.ngrok.io/Desktop/seabridge%20fintech/profit_graph_app/FIS_Return.jpg" TargetMode="External"/><Relationship Id="rId1051" Type="http://schemas.openxmlformats.org/officeDocument/2006/relationships/hyperlink" Target="https://3arbzfbsh-cname-us.ngrok.io/Desktop/seabridge%20fintech/image_app/RSP_resistance_support.jpg" TargetMode="External"/><Relationship Id="rId1293" Type="http://schemas.openxmlformats.org/officeDocument/2006/relationships/hyperlink" Target="https://3arbzfbsh-cname-us.ngrok.io/Desktop/seabridge%20fintech/image_app/VTI_resistance_support.jpg" TargetMode="External"/><Relationship Id="rId461" Type="http://schemas.openxmlformats.org/officeDocument/2006/relationships/hyperlink" Target="https://3arbzfbsh-cname-us.ngrok.io/Desktop/seabridge%20fintech/image_app/FIS_resistance_support.jpg" TargetMode="External"/><Relationship Id="rId1052" Type="http://schemas.openxmlformats.org/officeDocument/2006/relationships/hyperlink" Target="https://3arbzfbsh-cname-us.ngrok.io/Desktop/seabridge%20fintech/profit_graph_app/RSP_Return.jpg" TargetMode="External"/><Relationship Id="rId1294" Type="http://schemas.openxmlformats.org/officeDocument/2006/relationships/hyperlink" Target="https://3arbzfbsh-cname-us.ngrok.io/Desktop/seabridge%20fintech/profit_graph_app/VTI_Return.jpg" TargetMode="External"/><Relationship Id="rId460" Type="http://schemas.openxmlformats.org/officeDocument/2006/relationships/hyperlink" Target="https://3arbzfbsh-cname-us.ngrok.io/Desktop/seabridge%20fintech/profit_graph_app/FFIV_Return.jpg" TargetMode="External"/><Relationship Id="rId1053" Type="http://schemas.openxmlformats.org/officeDocument/2006/relationships/hyperlink" Target="https://3arbzfbsh-cname-us.ngrok.io/Desktop/seabridge%20fintech/image_app/RTX_resistance_support.jpg" TargetMode="External"/><Relationship Id="rId1295" Type="http://schemas.openxmlformats.org/officeDocument/2006/relationships/hyperlink" Target="https://3arbzfbsh-cname-us.ngrok.io/Desktop/seabridge%20fintech/image_app/VTIP_resistance_support.jpg" TargetMode="External"/><Relationship Id="rId1054" Type="http://schemas.openxmlformats.org/officeDocument/2006/relationships/hyperlink" Target="https://3arbzfbsh-cname-us.ngrok.io/Desktop/seabridge%20fintech/profit_graph_app/RTX_Return.jpg" TargetMode="External"/><Relationship Id="rId1296" Type="http://schemas.openxmlformats.org/officeDocument/2006/relationships/hyperlink" Target="https://3arbzfbsh-cname-us.ngrok.io/Desktop/seabridge%20fintech/profit_graph_app/VTIP_Return.jpg" TargetMode="External"/><Relationship Id="rId224" Type="http://schemas.openxmlformats.org/officeDocument/2006/relationships/hyperlink" Target="https://3arbzfbsh-cname-us.ngrok.io/Desktop/seabridge%20fintech/profit_graph_app/CHKP_Return.jpg" TargetMode="External"/><Relationship Id="rId466" Type="http://schemas.openxmlformats.org/officeDocument/2006/relationships/hyperlink" Target="https://3arbzfbsh-cname-us.ngrok.io/Desktop/seabridge%20fintech/profit_graph_app/FITB_Return.jpg" TargetMode="External"/><Relationship Id="rId1055" Type="http://schemas.openxmlformats.org/officeDocument/2006/relationships/hyperlink" Target="https://3arbzfbsh-cname-us.ngrok.io/Desktop/seabridge%20fintech/image_app/RUN_resistance_support.jpg" TargetMode="External"/><Relationship Id="rId1297" Type="http://schemas.openxmlformats.org/officeDocument/2006/relationships/hyperlink" Target="https://3arbzfbsh-cname-us.ngrok.io/Desktop/seabridge%20fintech/image_app/VTR_resistance_support.jpg" TargetMode="External"/><Relationship Id="rId223" Type="http://schemas.openxmlformats.org/officeDocument/2006/relationships/hyperlink" Target="https://3arbzfbsh-cname-us.ngrok.io/Desktop/seabridge%20fintech/image_app/CHKP_resistance_support.jpg" TargetMode="External"/><Relationship Id="rId465" Type="http://schemas.openxmlformats.org/officeDocument/2006/relationships/hyperlink" Target="https://3arbzfbsh-cname-us.ngrok.io/Desktop/seabridge%20fintech/image_app/FITB_resistance_support.jpg" TargetMode="External"/><Relationship Id="rId1056" Type="http://schemas.openxmlformats.org/officeDocument/2006/relationships/hyperlink" Target="https://3arbzfbsh-cname-us.ngrok.io/Desktop/seabridge%20fintech/profit_graph_app/RUN_Return.jpg" TargetMode="External"/><Relationship Id="rId1298" Type="http://schemas.openxmlformats.org/officeDocument/2006/relationships/hyperlink" Target="https://3arbzfbsh-cname-us.ngrok.io/Desktop/seabridge%20fintech/profit_graph_app/VTR_Return.jpg" TargetMode="External"/><Relationship Id="rId222" Type="http://schemas.openxmlformats.org/officeDocument/2006/relationships/hyperlink" Target="https://3arbzfbsh-cname-us.ngrok.io/Desktop/seabridge%20fintech/profit_graph_app/CHD_Return.jpg" TargetMode="External"/><Relationship Id="rId464" Type="http://schemas.openxmlformats.org/officeDocument/2006/relationships/hyperlink" Target="https://3arbzfbsh-cname-us.ngrok.io/Desktop/seabridge%20fintech/profit_graph_app/FISV_Return.jpg" TargetMode="External"/><Relationship Id="rId1057" Type="http://schemas.openxmlformats.org/officeDocument/2006/relationships/hyperlink" Target="https://3arbzfbsh-cname-us.ngrok.io/Desktop/seabridge%20fintech/image_app/SAVA_resistance_support.jpg" TargetMode="External"/><Relationship Id="rId1299" Type="http://schemas.openxmlformats.org/officeDocument/2006/relationships/hyperlink" Target="https://3arbzfbsh-cname-us.ngrok.io/Desktop/seabridge%20fintech/image_app/VTRS_resistance_support.jpg" TargetMode="External"/><Relationship Id="rId221" Type="http://schemas.openxmlformats.org/officeDocument/2006/relationships/hyperlink" Target="https://3arbzfbsh-cname-us.ngrok.io/Desktop/seabridge%20fintech/image_app/CHD_resistance_support.jpg" TargetMode="External"/><Relationship Id="rId463" Type="http://schemas.openxmlformats.org/officeDocument/2006/relationships/hyperlink" Target="https://3arbzfbsh-cname-us.ngrok.io/Desktop/seabridge%20fintech/image_app/FISV_resistance_support.jpg" TargetMode="External"/><Relationship Id="rId1058" Type="http://schemas.openxmlformats.org/officeDocument/2006/relationships/hyperlink" Target="https://3arbzfbsh-cname-us.ngrok.io/Desktop/seabridge%20fintech/profit_graph_app/SAVA_Return.jpg" TargetMode="External"/><Relationship Id="rId1048" Type="http://schemas.openxmlformats.org/officeDocument/2006/relationships/hyperlink" Target="https://3arbzfbsh-cname-us.ngrok.io/Desktop/seabridge%20fintech/profit_graph_app/ROST_Return.jpg" TargetMode="External"/><Relationship Id="rId1049" Type="http://schemas.openxmlformats.org/officeDocument/2006/relationships/hyperlink" Target="https://3arbzfbsh-cname-us.ngrok.io/Desktop/seabridge%20fintech/image_app/RSG_resistance_support.jpg" TargetMode="External"/><Relationship Id="rId217" Type="http://schemas.openxmlformats.org/officeDocument/2006/relationships/hyperlink" Target="https://3arbzfbsh-cname-us.ngrok.io/Desktop/seabridge%20fintech/image_app/CF_resistance_support.jpg" TargetMode="External"/><Relationship Id="rId459" Type="http://schemas.openxmlformats.org/officeDocument/2006/relationships/hyperlink" Target="https://3arbzfbsh-cname-us.ngrok.io/Desktop/seabridge%20fintech/image_app/FFIV_resistance_support.jpg" TargetMode="External"/><Relationship Id="rId216" Type="http://schemas.openxmlformats.org/officeDocument/2006/relationships/hyperlink" Target="https://3arbzfbsh-cname-us.ngrok.io/Desktop/seabridge%20fintech/profit_graph_app/CERN_Return.jpg" TargetMode="External"/><Relationship Id="rId458" Type="http://schemas.openxmlformats.org/officeDocument/2006/relationships/hyperlink" Target="https://3arbzfbsh-cname-us.ngrok.io/Desktop/seabridge%20fintech/profit_graph_app/FE_Return.jpg" TargetMode="External"/><Relationship Id="rId215" Type="http://schemas.openxmlformats.org/officeDocument/2006/relationships/hyperlink" Target="https://3arbzfbsh-cname-us.ngrok.io/Desktop/seabridge%20fintech/image_app/CERN_resistance_support.jpg" TargetMode="External"/><Relationship Id="rId457" Type="http://schemas.openxmlformats.org/officeDocument/2006/relationships/hyperlink" Target="https://3arbzfbsh-cname-us.ngrok.io/Desktop/seabridge%20fintech/image_app/FE_resistance_support.jpg" TargetMode="External"/><Relationship Id="rId699" Type="http://schemas.openxmlformats.org/officeDocument/2006/relationships/hyperlink" Target="https://3arbzfbsh-cname-us.ngrok.io/Desktop/seabridge%20fintech/image_app/KR_resistance_support.jpg" TargetMode="External"/><Relationship Id="rId214" Type="http://schemas.openxmlformats.org/officeDocument/2006/relationships/hyperlink" Target="https://3arbzfbsh-cname-us.ngrok.io/Desktop/seabridge%20fintech/profit_graph_app/CE_Return.jpg" TargetMode="External"/><Relationship Id="rId456" Type="http://schemas.openxmlformats.org/officeDocument/2006/relationships/hyperlink" Target="https://3arbzfbsh-cname-us.ngrok.io/Desktop/seabridge%20fintech/profit_graph_app/FDX_Return.jpg" TargetMode="External"/><Relationship Id="rId698" Type="http://schemas.openxmlformats.org/officeDocument/2006/relationships/hyperlink" Target="https://3arbzfbsh-cname-us.ngrok.io/Desktop/seabridge%20fintech/profit_graph_app/KO_Return.jpg" TargetMode="External"/><Relationship Id="rId219" Type="http://schemas.openxmlformats.org/officeDocument/2006/relationships/hyperlink" Target="https://3arbzfbsh-cname-us.ngrok.io/Desktop/seabridge%20fintech/image_app/CFG_resistance_support.jpg" TargetMode="External"/><Relationship Id="rId1280" Type="http://schemas.openxmlformats.org/officeDocument/2006/relationships/hyperlink" Target="https://3arbzfbsh-cname-us.ngrok.io/Desktop/seabridge%20fintech/profit_graph_app/VOO_Return.jpg" TargetMode="External"/><Relationship Id="rId218" Type="http://schemas.openxmlformats.org/officeDocument/2006/relationships/hyperlink" Target="https://3arbzfbsh-cname-us.ngrok.io/Desktop/seabridge%20fintech/profit_graph_app/CF_Return.jpg" TargetMode="External"/><Relationship Id="rId1281" Type="http://schemas.openxmlformats.org/officeDocument/2006/relationships/hyperlink" Target="https://3arbzfbsh-cname-us.ngrok.io/Desktop/seabridge%20fintech/image_app/VRM_resistance_support.jpg" TargetMode="External"/><Relationship Id="rId451" Type="http://schemas.openxmlformats.org/officeDocument/2006/relationships/hyperlink" Target="https://3arbzfbsh-cname-us.ngrok.io/Desktop/seabridge%20fintech/image_app/FBHS_resistance_support.jpg" TargetMode="External"/><Relationship Id="rId693" Type="http://schemas.openxmlformats.org/officeDocument/2006/relationships/hyperlink" Target="https://3arbzfbsh-cname-us.ngrok.io/Desktop/seabridge%20fintech/image_app/KMI_resistance_support.jpg" TargetMode="External"/><Relationship Id="rId1040" Type="http://schemas.openxmlformats.org/officeDocument/2006/relationships/hyperlink" Target="https://3arbzfbsh-cname-us.ngrok.io/Desktop/seabridge%20fintech/profit_graph_app/ROK_Return.jpg" TargetMode="External"/><Relationship Id="rId1282" Type="http://schemas.openxmlformats.org/officeDocument/2006/relationships/hyperlink" Target="https://3arbzfbsh-cname-us.ngrok.io/Desktop/seabridge%20fintech/profit_graph_app/VRM_Return.jpg" TargetMode="External"/><Relationship Id="rId450" Type="http://schemas.openxmlformats.org/officeDocument/2006/relationships/hyperlink" Target="https://3arbzfbsh-cname-us.ngrok.io/Desktop/seabridge%20fintech/profit_graph_app/FB_Return.jpg" TargetMode="External"/><Relationship Id="rId692" Type="http://schemas.openxmlformats.org/officeDocument/2006/relationships/hyperlink" Target="https://3arbzfbsh-cname-us.ngrok.io/Desktop/seabridge%20fintech/profit_graph_app/KMB_Return.jpg" TargetMode="External"/><Relationship Id="rId1041" Type="http://schemas.openxmlformats.org/officeDocument/2006/relationships/hyperlink" Target="https://3arbzfbsh-cname-us.ngrok.io/Desktop/seabridge%20fintech/image_app/ROKU_resistance_support.jpg" TargetMode="External"/><Relationship Id="rId1283" Type="http://schemas.openxmlformats.org/officeDocument/2006/relationships/hyperlink" Target="https://3arbzfbsh-cname-us.ngrok.io/Desktop/seabridge%20fintech/image_app/VRSK_resistance_support.jpg" TargetMode="External"/><Relationship Id="rId691" Type="http://schemas.openxmlformats.org/officeDocument/2006/relationships/hyperlink" Target="https://3arbzfbsh-cname-us.ngrok.io/Desktop/seabridge%20fintech/image_app/KMB_resistance_support.jpg" TargetMode="External"/><Relationship Id="rId1042" Type="http://schemas.openxmlformats.org/officeDocument/2006/relationships/hyperlink" Target="https://3arbzfbsh-cname-us.ngrok.io/Desktop/seabridge%20fintech/profit_graph_app/ROKU_Return.jpg" TargetMode="External"/><Relationship Id="rId1284" Type="http://schemas.openxmlformats.org/officeDocument/2006/relationships/hyperlink" Target="https://3arbzfbsh-cname-us.ngrok.io/Desktop/seabridge%20fintech/profit_graph_app/VRSK_Return.jpg" TargetMode="External"/><Relationship Id="rId690" Type="http://schemas.openxmlformats.org/officeDocument/2006/relationships/hyperlink" Target="https://3arbzfbsh-cname-us.ngrok.io/Desktop/seabridge%20fintech/profit_graph_app/KLAC_Return.jpg" TargetMode="External"/><Relationship Id="rId1043" Type="http://schemas.openxmlformats.org/officeDocument/2006/relationships/hyperlink" Target="https://3arbzfbsh-cname-us.ngrok.io/Desktop/seabridge%20fintech/image_app/ROL_resistance_support.jpg" TargetMode="External"/><Relationship Id="rId1285" Type="http://schemas.openxmlformats.org/officeDocument/2006/relationships/hyperlink" Target="https://3arbzfbsh-cname-us.ngrok.io/Desktop/seabridge%20fintech/image_app/VRSN_resistance_support.jpg" TargetMode="External"/><Relationship Id="rId213" Type="http://schemas.openxmlformats.org/officeDocument/2006/relationships/hyperlink" Target="https://3arbzfbsh-cname-us.ngrok.io/Desktop/seabridge%20fintech/image_app/CE_resistance_support.jpg" TargetMode="External"/><Relationship Id="rId455" Type="http://schemas.openxmlformats.org/officeDocument/2006/relationships/hyperlink" Target="https://3arbzfbsh-cname-us.ngrok.io/Desktop/seabridge%20fintech/image_app/FDX_resistance_support.jpg" TargetMode="External"/><Relationship Id="rId697" Type="http://schemas.openxmlformats.org/officeDocument/2006/relationships/hyperlink" Target="https://3arbzfbsh-cname-us.ngrok.io/Desktop/seabridge%20fintech/image_app/KO_resistance_support.jpg" TargetMode="External"/><Relationship Id="rId1044" Type="http://schemas.openxmlformats.org/officeDocument/2006/relationships/hyperlink" Target="https://3arbzfbsh-cname-us.ngrok.io/Desktop/seabridge%20fintech/profit_graph_app/ROL_Return.jpg" TargetMode="External"/><Relationship Id="rId1286" Type="http://schemas.openxmlformats.org/officeDocument/2006/relationships/hyperlink" Target="https://3arbzfbsh-cname-us.ngrok.io/Desktop/seabridge%20fintech/profit_graph_app/VRSN_Return.jpg" TargetMode="External"/><Relationship Id="rId212" Type="http://schemas.openxmlformats.org/officeDocument/2006/relationships/hyperlink" Target="https://3arbzfbsh-cname-us.ngrok.io/Desktop/seabridge%20fintech/profit_graph_app/CDW_Return.jpg" TargetMode="External"/><Relationship Id="rId454" Type="http://schemas.openxmlformats.org/officeDocument/2006/relationships/hyperlink" Target="https://3arbzfbsh-cname-us.ngrok.io/Desktop/seabridge%20fintech/profit_graph_app/FCX_Return.jpg" TargetMode="External"/><Relationship Id="rId696" Type="http://schemas.openxmlformats.org/officeDocument/2006/relationships/hyperlink" Target="https://3arbzfbsh-cname-us.ngrok.io/Desktop/seabridge%20fintech/profit_graph_app/KMX_Return.jpg" TargetMode="External"/><Relationship Id="rId1045" Type="http://schemas.openxmlformats.org/officeDocument/2006/relationships/hyperlink" Target="https://3arbzfbsh-cname-us.ngrok.io/Desktop/seabridge%20fintech/image_app/ROP_resistance_support.jpg" TargetMode="External"/><Relationship Id="rId1287" Type="http://schemas.openxmlformats.org/officeDocument/2006/relationships/hyperlink" Target="https://3arbzfbsh-cname-us.ngrok.io/Desktop/seabridge%20fintech/image_app/VRT_resistance_support.jpg" TargetMode="External"/><Relationship Id="rId211" Type="http://schemas.openxmlformats.org/officeDocument/2006/relationships/hyperlink" Target="https://3arbzfbsh-cname-us.ngrok.io/Desktop/seabridge%20fintech/image_app/CDW_resistance_support.jpg" TargetMode="External"/><Relationship Id="rId453" Type="http://schemas.openxmlformats.org/officeDocument/2006/relationships/hyperlink" Target="https://3arbzfbsh-cname-us.ngrok.io/Desktop/seabridge%20fintech/image_app/FCX_resistance_support.jpg" TargetMode="External"/><Relationship Id="rId695" Type="http://schemas.openxmlformats.org/officeDocument/2006/relationships/hyperlink" Target="https://3arbzfbsh-cname-us.ngrok.io/Desktop/seabridge%20fintech/image_app/KMX_resistance_support.jpg" TargetMode="External"/><Relationship Id="rId1046" Type="http://schemas.openxmlformats.org/officeDocument/2006/relationships/hyperlink" Target="https://3arbzfbsh-cname-us.ngrok.io/Desktop/seabridge%20fintech/profit_graph_app/ROP_Return.jpg" TargetMode="External"/><Relationship Id="rId1288" Type="http://schemas.openxmlformats.org/officeDocument/2006/relationships/hyperlink" Target="https://3arbzfbsh-cname-us.ngrok.io/Desktop/seabridge%20fintech/profit_graph_app/VRT_Return.jpg" TargetMode="External"/><Relationship Id="rId210" Type="http://schemas.openxmlformats.org/officeDocument/2006/relationships/hyperlink" Target="https://3arbzfbsh-cname-us.ngrok.io/Desktop/seabridge%20fintech/profit_graph_app/CDNS_Return.jpg" TargetMode="External"/><Relationship Id="rId452" Type="http://schemas.openxmlformats.org/officeDocument/2006/relationships/hyperlink" Target="https://3arbzfbsh-cname-us.ngrok.io/Desktop/seabridge%20fintech/profit_graph_app/FBHS_Return.jpg" TargetMode="External"/><Relationship Id="rId694" Type="http://schemas.openxmlformats.org/officeDocument/2006/relationships/hyperlink" Target="https://3arbzfbsh-cname-us.ngrok.io/Desktop/seabridge%20fintech/profit_graph_app/KMI_Return.jpg" TargetMode="External"/><Relationship Id="rId1047" Type="http://schemas.openxmlformats.org/officeDocument/2006/relationships/hyperlink" Target="https://3arbzfbsh-cname-us.ngrok.io/Desktop/seabridge%20fintech/image_app/ROST_resistance_support.jpg" TargetMode="External"/><Relationship Id="rId1289" Type="http://schemas.openxmlformats.org/officeDocument/2006/relationships/hyperlink" Target="https://3arbzfbsh-cname-us.ngrok.io/Desktop/seabridge%20fintech/image_app/VRTX_resistance_support.jpg" TargetMode="External"/><Relationship Id="rId491" Type="http://schemas.openxmlformats.org/officeDocument/2006/relationships/hyperlink" Target="https://3arbzfbsh-cname-us.ngrok.io/Desktop/seabridge%20fintech/image_app/GBTC_resistance_support.jpg" TargetMode="External"/><Relationship Id="rId490" Type="http://schemas.openxmlformats.org/officeDocument/2006/relationships/hyperlink" Target="https://3arbzfbsh-cname-us.ngrok.io/Desktop/seabridge%20fintech/profit_graph_app/FXI_Return.jpg" TargetMode="External"/><Relationship Id="rId249" Type="http://schemas.openxmlformats.org/officeDocument/2006/relationships/hyperlink" Target="https://3arbzfbsh-cname-us.ngrok.io/Desktop/seabridge%20fintech/image_app/CMS_resistance_support.jpg" TargetMode="External"/><Relationship Id="rId248" Type="http://schemas.openxmlformats.org/officeDocument/2006/relationships/hyperlink" Target="https://3arbzfbsh-cname-us.ngrok.io/Desktop/seabridge%20fintech/profit_graph_app/CMI_Return.jpg" TargetMode="External"/><Relationship Id="rId247" Type="http://schemas.openxmlformats.org/officeDocument/2006/relationships/hyperlink" Target="https://3arbzfbsh-cname-us.ngrok.io/Desktop/seabridge%20fintech/image_app/CMI_resistance_support.jpg" TargetMode="External"/><Relationship Id="rId489" Type="http://schemas.openxmlformats.org/officeDocument/2006/relationships/hyperlink" Target="https://3arbzfbsh-cname-us.ngrok.io/Desktop/seabridge%20fintech/image_app/FXI_resistance_support.jpg" TargetMode="External"/><Relationship Id="rId1070" Type="http://schemas.openxmlformats.org/officeDocument/2006/relationships/hyperlink" Target="https://3arbzfbsh-cname-us.ngrok.io/Desktop/seabridge%20fintech/profit_graph_app/SCHW_Return.jpg" TargetMode="External"/><Relationship Id="rId1071" Type="http://schemas.openxmlformats.org/officeDocument/2006/relationships/hyperlink" Target="https://3arbzfbsh-cname-us.ngrok.io/Desktop/seabridge%20fintech/image_app/SEE_resistance_support.jpg" TargetMode="External"/><Relationship Id="rId1072" Type="http://schemas.openxmlformats.org/officeDocument/2006/relationships/hyperlink" Target="https://3arbzfbsh-cname-us.ngrok.io/Desktop/seabridge%20fintech/profit_graph_app/SEE_Return.jpg" TargetMode="External"/><Relationship Id="rId242" Type="http://schemas.openxmlformats.org/officeDocument/2006/relationships/hyperlink" Target="https://3arbzfbsh-cname-us.ngrok.io/Desktop/seabridge%20fintech/profit_graph_app/CMCSA_Return.jpg" TargetMode="External"/><Relationship Id="rId484" Type="http://schemas.openxmlformats.org/officeDocument/2006/relationships/hyperlink" Target="https://3arbzfbsh-cname-us.ngrok.io/Desktop/seabridge%20fintech/profit_graph_app/FTNT_Return.jpg" TargetMode="External"/><Relationship Id="rId1073" Type="http://schemas.openxmlformats.org/officeDocument/2006/relationships/hyperlink" Target="https://3arbzfbsh-cname-us.ngrok.io/Desktop/seabridge%20fintech/image_app/SFM_resistance_support.jpg" TargetMode="External"/><Relationship Id="rId241" Type="http://schemas.openxmlformats.org/officeDocument/2006/relationships/hyperlink" Target="https://3arbzfbsh-cname-us.ngrok.io/Desktop/seabridge%20fintech/image_app/CMCSA_resistance_support.jpg" TargetMode="External"/><Relationship Id="rId483" Type="http://schemas.openxmlformats.org/officeDocument/2006/relationships/hyperlink" Target="https://3arbzfbsh-cname-us.ngrok.io/Desktop/seabridge%20fintech/image_app/FTNT_resistance_support.jpg" TargetMode="External"/><Relationship Id="rId1074" Type="http://schemas.openxmlformats.org/officeDocument/2006/relationships/hyperlink" Target="https://3arbzfbsh-cname-us.ngrok.io/Desktop/seabridge%20fintech/profit_graph_app/SFM_Return.jpg" TargetMode="External"/><Relationship Id="rId240" Type="http://schemas.openxmlformats.org/officeDocument/2006/relationships/hyperlink" Target="https://3arbzfbsh-cname-us.ngrok.io/Desktop/seabridge%20fintech/profit_graph_app/CMA_Return.jpg" TargetMode="External"/><Relationship Id="rId482" Type="http://schemas.openxmlformats.org/officeDocument/2006/relationships/hyperlink" Target="https://3arbzfbsh-cname-us.ngrok.io/Desktop/seabridge%20fintech/profit_graph_app/FSLY_Return.jpg" TargetMode="External"/><Relationship Id="rId1075" Type="http://schemas.openxmlformats.org/officeDocument/2006/relationships/hyperlink" Target="https://3arbzfbsh-cname-us.ngrok.io/Desktop/seabridge%20fintech/image_app/SGEN_resistance_support.jpg" TargetMode="External"/><Relationship Id="rId481" Type="http://schemas.openxmlformats.org/officeDocument/2006/relationships/hyperlink" Target="https://3arbzfbsh-cname-us.ngrok.io/Desktop/seabridge%20fintech/image_app/FSLY_resistance_support.jpg" TargetMode="External"/><Relationship Id="rId1076" Type="http://schemas.openxmlformats.org/officeDocument/2006/relationships/hyperlink" Target="https://3arbzfbsh-cname-us.ngrok.io/Desktop/seabridge%20fintech/profit_graph_app/SGEN_Return.jpg" TargetMode="External"/><Relationship Id="rId246" Type="http://schemas.openxmlformats.org/officeDocument/2006/relationships/hyperlink" Target="https://3arbzfbsh-cname-us.ngrok.io/Desktop/seabridge%20fintech/profit_graph_app/CMG_Return.jpg" TargetMode="External"/><Relationship Id="rId488" Type="http://schemas.openxmlformats.org/officeDocument/2006/relationships/hyperlink" Target="https://3arbzfbsh-cname-us.ngrok.io/Desktop/seabridge%20fintech/profit_graph_app/FUBO_Return.jpg" TargetMode="External"/><Relationship Id="rId1077" Type="http://schemas.openxmlformats.org/officeDocument/2006/relationships/hyperlink" Target="https://3arbzfbsh-cname-us.ngrok.io/Desktop/seabridge%20fintech/image_app/SHW_resistance_support.jpg" TargetMode="External"/><Relationship Id="rId245" Type="http://schemas.openxmlformats.org/officeDocument/2006/relationships/hyperlink" Target="https://3arbzfbsh-cname-us.ngrok.io/Desktop/seabridge%20fintech/image_app/CMG_resistance_support.jpg" TargetMode="External"/><Relationship Id="rId487" Type="http://schemas.openxmlformats.org/officeDocument/2006/relationships/hyperlink" Target="https://3arbzfbsh-cname-us.ngrok.io/Desktop/seabridge%20fintech/image_app/FUBO_resistance_support.jpg" TargetMode="External"/><Relationship Id="rId1078" Type="http://schemas.openxmlformats.org/officeDocument/2006/relationships/hyperlink" Target="https://3arbzfbsh-cname-us.ngrok.io/Desktop/seabridge%20fintech/profit_graph_app/SHW_Return.jpg" TargetMode="External"/><Relationship Id="rId244" Type="http://schemas.openxmlformats.org/officeDocument/2006/relationships/hyperlink" Target="https://3arbzfbsh-cname-us.ngrok.io/Desktop/seabridge%20fintech/profit_graph_app/CME_Return.jpg" TargetMode="External"/><Relationship Id="rId486" Type="http://schemas.openxmlformats.org/officeDocument/2006/relationships/hyperlink" Target="https://3arbzfbsh-cname-us.ngrok.io/Desktop/seabridge%20fintech/profit_graph_app/FTV_Return.jpg" TargetMode="External"/><Relationship Id="rId1079" Type="http://schemas.openxmlformats.org/officeDocument/2006/relationships/hyperlink" Target="https://3arbzfbsh-cname-us.ngrok.io/Desktop/seabridge%20fintech/image_app/SHY_resistance_support.jpg" TargetMode="External"/><Relationship Id="rId243" Type="http://schemas.openxmlformats.org/officeDocument/2006/relationships/hyperlink" Target="https://3arbzfbsh-cname-us.ngrok.io/Desktop/seabridge%20fintech/image_app/CME_resistance_support.jpg" TargetMode="External"/><Relationship Id="rId485" Type="http://schemas.openxmlformats.org/officeDocument/2006/relationships/hyperlink" Target="https://3arbzfbsh-cname-us.ngrok.io/Desktop/seabridge%20fintech/image_app/FTV_resistance_support.jpg" TargetMode="External"/><Relationship Id="rId480" Type="http://schemas.openxmlformats.org/officeDocument/2006/relationships/hyperlink" Target="https://3arbzfbsh-cname-us.ngrok.io/Desktop/seabridge%20fintech/profit_graph_app/FSLR_Return.jpg" TargetMode="External"/><Relationship Id="rId239" Type="http://schemas.openxmlformats.org/officeDocument/2006/relationships/hyperlink" Target="https://3arbzfbsh-cname-us.ngrok.io/Desktop/seabridge%20fintech/image_app/CMA_resistance_support.jpg" TargetMode="External"/><Relationship Id="rId238" Type="http://schemas.openxmlformats.org/officeDocument/2006/relationships/hyperlink" Target="https://3arbzfbsh-cname-us.ngrok.io/Desktop/seabridge%20fintech/profit_graph_app/CLX_Return.jpg" TargetMode="External"/><Relationship Id="rId237" Type="http://schemas.openxmlformats.org/officeDocument/2006/relationships/hyperlink" Target="https://3arbzfbsh-cname-us.ngrok.io/Desktop/seabridge%20fintech/image_app/CLX_resistance_support.jpg" TargetMode="External"/><Relationship Id="rId479" Type="http://schemas.openxmlformats.org/officeDocument/2006/relationships/hyperlink" Target="https://3arbzfbsh-cname-us.ngrok.io/Desktop/seabridge%20fintech/image_app/FSLR_resistance_support.jpg" TargetMode="External"/><Relationship Id="rId236" Type="http://schemas.openxmlformats.org/officeDocument/2006/relationships/hyperlink" Target="https://3arbzfbsh-cname-us.ngrok.io/Desktop/seabridge%20fintech/profit_graph_app/CL_Return.jpg" TargetMode="External"/><Relationship Id="rId478" Type="http://schemas.openxmlformats.org/officeDocument/2006/relationships/hyperlink" Target="https://3arbzfbsh-cname-us.ngrok.io/Desktop/seabridge%20fintech/profit_graph_app/FRT_Return.jpg" TargetMode="External"/><Relationship Id="rId1060" Type="http://schemas.openxmlformats.org/officeDocument/2006/relationships/hyperlink" Target="https://3arbzfbsh-cname-us.ngrok.io/Desktop/seabridge%20fintech/profit_graph_app/SAVE_Return.jpg" TargetMode="External"/><Relationship Id="rId1061" Type="http://schemas.openxmlformats.org/officeDocument/2006/relationships/hyperlink" Target="https://3arbzfbsh-cname-us.ngrok.io/Desktop/seabridge%20fintech/image_app/SBAC_resistance_support.jpg" TargetMode="External"/><Relationship Id="rId231" Type="http://schemas.openxmlformats.org/officeDocument/2006/relationships/hyperlink" Target="https://3arbzfbsh-cname-us.ngrok.io/Desktop/seabridge%20fintech/image_app/CI_resistance_support.jpg" TargetMode="External"/><Relationship Id="rId473" Type="http://schemas.openxmlformats.org/officeDocument/2006/relationships/hyperlink" Target="https://3arbzfbsh-cname-us.ngrok.io/Desktop/seabridge%20fintech/image_app/FOXA_resistance_support.jpg" TargetMode="External"/><Relationship Id="rId1062" Type="http://schemas.openxmlformats.org/officeDocument/2006/relationships/hyperlink" Target="https://3arbzfbsh-cname-us.ngrok.io/Desktop/seabridge%20fintech/profit_graph_app/SBAC_Return.jpg" TargetMode="External"/><Relationship Id="rId230" Type="http://schemas.openxmlformats.org/officeDocument/2006/relationships/hyperlink" Target="https://3arbzfbsh-cname-us.ngrok.io/Desktop/seabridge%20fintech/profit_graph_app/CHWY_Return.jpg" TargetMode="External"/><Relationship Id="rId472" Type="http://schemas.openxmlformats.org/officeDocument/2006/relationships/hyperlink" Target="https://3arbzfbsh-cname-us.ngrok.io/Desktop/seabridge%20fintech/profit_graph_app/FOX_Return.jpg" TargetMode="External"/><Relationship Id="rId1063" Type="http://schemas.openxmlformats.org/officeDocument/2006/relationships/hyperlink" Target="https://3arbzfbsh-cname-us.ngrok.io/Desktop/seabridge%20fintech/image_app/SBUX_resistance_support.jpg" TargetMode="External"/><Relationship Id="rId471" Type="http://schemas.openxmlformats.org/officeDocument/2006/relationships/hyperlink" Target="https://3arbzfbsh-cname-us.ngrok.io/Desktop/seabridge%20fintech/image_app/FOX_resistance_support.jpg" TargetMode="External"/><Relationship Id="rId1064" Type="http://schemas.openxmlformats.org/officeDocument/2006/relationships/hyperlink" Target="https://3arbzfbsh-cname-us.ngrok.io/Desktop/seabridge%20fintech/profit_graph_app/SBUX_Return.jpg" TargetMode="External"/><Relationship Id="rId470" Type="http://schemas.openxmlformats.org/officeDocument/2006/relationships/hyperlink" Target="https://3arbzfbsh-cname-us.ngrok.io/Desktop/seabridge%20fintech/profit_graph_app/FMC_Return.jpg" TargetMode="External"/><Relationship Id="rId1065" Type="http://schemas.openxmlformats.org/officeDocument/2006/relationships/hyperlink" Target="https://3arbzfbsh-cname-us.ngrok.io/Desktop/seabridge%20fintech/image_app/SCHF_resistance_support.jpg" TargetMode="External"/><Relationship Id="rId235" Type="http://schemas.openxmlformats.org/officeDocument/2006/relationships/hyperlink" Target="https://3arbzfbsh-cname-us.ngrok.io/Desktop/seabridge%20fintech/image_app/CL_resistance_support.jpg" TargetMode="External"/><Relationship Id="rId477" Type="http://schemas.openxmlformats.org/officeDocument/2006/relationships/hyperlink" Target="https://3arbzfbsh-cname-us.ngrok.io/Desktop/seabridge%20fintech/image_app/FRT_resistance_support.jpg" TargetMode="External"/><Relationship Id="rId1066" Type="http://schemas.openxmlformats.org/officeDocument/2006/relationships/hyperlink" Target="https://3arbzfbsh-cname-us.ngrok.io/Desktop/seabridge%20fintech/profit_graph_app/SCHF_Return.jpg" TargetMode="External"/><Relationship Id="rId234" Type="http://schemas.openxmlformats.org/officeDocument/2006/relationships/hyperlink" Target="https://3arbzfbsh-cname-us.ngrok.io/Desktop/seabridge%20fintech/profit_graph_app/CINF_Return.jpg" TargetMode="External"/><Relationship Id="rId476" Type="http://schemas.openxmlformats.org/officeDocument/2006/relationships/hyperlink" Target="https://3arbzfbsh-cname-us.ngrok.io/Desktop/seabridge%20fintech/profit_graph_app/FRC_Return.jpg" TargetMode="External"/><Relationship Id="rId1067" Type="http://schemas.openxmlformats.org/officeDocument/2006/relationships/hyperlink" Target="https://3arbzfbsh-cname-us.ngrok.io/Desktop/seabridge%20fintech/image_app/SCHP_resistance_support.jpg" TargetMode="External"/><Relationship Id="rId233" Type="http://schemas.openxmlformats.org/officeDocument/2006/relationships/hyperlink" Target="https://3arbzfbsh-cname-us.ngrok.io/Desktop/seabridge%20fintech/image_app/CINF_resistance_support.jpg" TargetMode="External"/><Relationship Id="rId475" Type="http://schemas.openxmlformats.org/officeDocument/2006/relationships/hyperlink" Target="https://3arbzfbsh-cname-us.ngrok.io/Desktop/seabridge%20fintech/image_app/FRC_resistance_support.jpg" TargetMode="External"/><Relationship Id="rId1068" Type="http://schemas.openxmlformats.org/officeDocument/2006/relationships/hyperlink" Target="https://3arbzfbsh-cname-us.ngrok.io/Desktop/seabridge%20fintech/profit_graph_app/SCHP_Return.jpg" TargetMode="External"/><Relationship Id="rId232" Type="http://schemas.openxmlformats.org/officeDocument/2006/relationships/hyperlink" Target="https://3arbzfbsh-cname-us.ngrok.io/Desktop/seabridge%20fintech/profit_graph_app/CI_Return.jpg" TargetMode="External"/><Relationship Id="rId474" Type="http://schemas.openxmlformats.org/officeDocument/2006/relationships/hyperlink" Target="https://3arbzfbsh-cname-us.ngrok.io/Desktop/seabridge%20fintech/profit_graph_app/FOXA_Return.jpg" TargetMode="External"/><Relationship Id="rId1069" Type="http://schemas.openxmlformats.org/officeDocument/2006/relationships/hyperlink" Target="https://3arbzfbsh-cname-us.ngrok.io/Desktop/seabridge%20fintech/image_app/SCHW_resistance_support.jpg" TargetMode="External"/><Relationship Id="rId1015" Type="http://schemas.openxmlformats.org/officeDocument/2006/relationships/hyperlink" Target="https://3arbzfbsh-cname-us.ngrok.io/Desktop/seabridge%20fintech/image_app/QQQ_resistance_support.jpg" TargetMode="External"/><Relationship Id="rId1257" Type="http://schemas.openxmlformats.org/officeDocument/2006/relationships/hyperlink" Target="https://3arbzfbsh-cname-us.ngrok.io/Desktop/seabridge%20fintech/image_app/VEA_resistance_support.jpg" TargetMode="External"/><Relationship Id="rId1016" Type="http://schemas.openxmlformats.org/officeDocument/2006/relationships/hyperlink" Target="https://3arbzfbsh-cname-us.ngrok.io/Desktop/seabridge%20fintech/profit_graph_app/QQQ_Return.jpg" TargetMode="External"/><Relationship Id="rId1258" Type="http://schemas.openxmlformats.org/officeDocument/2006/relationships/hyperlink" Target="https://3arbzfbsh-cname-us.ngrok.io/Desktop/seabridge%20fintech/profit_graph_app/VEA_Return.jpg" TargetMode="External"/><Relationship Id="rId1017" Type="http://schemas.openxmlformats.org/officeDocument/2006/relationships/hyperlink" Target="https://3arbzfbsh-cname-us.ngrok.io/Desktop/seabridge%20fintech/image_app/QRVO_resistance_support.jpg" TargetMode="External"/><Relationship Id="rId1259" Type="http://schemas.openxmlformats.org/officeDocument/2006/relationships/hyperlink" Target="https://3arbzfbsh-cname-us.ngrok.io/Desktop/seabridge%20fintech/image_app/VER_resistance_support.jpg" TargetMode="External"/><Relationship Id="rId1018" Type="http://schemas.openxmlformats.org/officeDocument/2006/relationships/hyperlink" Target="https://3arbzfbsh-cname-us.ngrok.io/Desktop/seabridge%20fintech/profit_graph_app/QRVO_Return.jpg" TargetMode="External"/><Relationship Id="rId1019" Type="http://schemas.openxmlformats.org/officeDocument/2006/relationships/hyperlink" Target="https://3arbzfbsh-cname-us.ngrok.io/Desktop/seabridge%20fintech/image_app/RCL_resistance_support.jpg" TargetMode="External"/><Relationship Id="rId426" Type="http://schemas.openxmlformats.org/officeDocument/2006/relationships/hyperlink" Target="https://3arbzfbsh-cname-us.ngrok.io/Desktop/seabridge%20fintech/profit_graph_app/EWT_Return.jpg" TargetMode="External"/><Relationship Id="rId668" Type="http://schemas.openxmlformats.org/officeDocument/2006/relationships/hyperlink" Target="https://3arbzfbsh-cname-us.ngrok.io/Desktop/seabridge%20fintech/profit_graph_app/JPM_Return.jpg" TargetMode="External"/><Relationship Id="rId425" Type="http://schemas.openxmlformats.org/officeDocument/2006/relationships/hyperlink" Target="https://3arbzfbsh-cname-us.ngrok.io/Desktop/seabridge%20fintech/image_app/EWT_resistance_support.jpg" TargetMode="External"/><Relationship Id="rId667" Type="http://schemas.openxmlformats.org/officeDocument/2006/relationships/hyperlink" Target="https://3arbzfbsh-cname-us.ngrok.io/Desktop/seabridge%20fintech/image_app/JPM_resistance_support.jpg" TargetMode="External"/><Relationship Id="rId424" Type="http://schemas.openxmlformats.org/officeDocument/2006/relationships/hyperlink" Target="https://3arbzfbsh-cname-us.ngrok.io/Desktop/seabridge%20fintech/profit_graph_app/EWJ_Return.jpg" TargetMode="External"/><Relationship Id="rId666" Type="http://schemas.openxmlformats.org/officeDocument/2006/relationships/hyperlink" Target="https://3arbzfbsh-cname-us.ngrok.io/Desktop/seabridge%20fintech/profit_graph_app/JNPR_Return.jpg" TargetMode="External"/><Relationship Id="rId423" Type="http://schemas.openxmlformats.org/officeDocument/2006/relationships/hyperlink" Target="https://3arbzfbsh-cname-us.ngrok.io/Desktop/seabridge%20fintech/image_app/EWJ_resistance_support.jpg" TargetMode="External"/><Relationship Id="rId665" Type="http://schemas.openxmlformats.org/officeDocument/2006/relationships/hyperlink" Target="https://3arbzfbsh-cname-us.ngrok.io/Desktop/seabridge%20fintech/image_app/JNPR_resistance_support.jpg" TargetMode="External"/><Relationship Id="rId429" Type="http://schemas.openxmlformats.org/officeDocument/2006/relationships/hyperlink" Target="https://3arbzfbsh-cname-us.ngrok.io/Desktop/seabridge%20fintech/image_app/EWY_resistance_support.jpg" TargetMode="External"/><Relationship Id="rId428" Type="http://schemas.openxmlformats.org/officeDocument/2006/relationships/hyperlink" Target="https://3arbzfbsh-cname-us.ngrok.io/Desktop/seabridge%20fintech/profit_graph_app/EWU_Return.jpg" TargetMode="External"/><Relationship Id="rId427" Type="http://schemas.openxmlformats.org/officeDocument/2006/relationships/hyperlink" Target="https://3arbzfbsh-cname-us.ngrok.io/Desktop/seabridge%20fintech/image_app/EWU_resistance_support.jpg" TargetMode="External"/><Relationship Id="rId669" Type="http://schemas.openxmlformats.org/officeDocument/2006/relationships/hyperlink" Target="https://3arbzfbsh-cname-us.ngrok.io/Desktop/seabridge%20fintech/image_app/JPST_resistance_support.jpg" TargetMode="External"/><Relationship Id="rId660" Type="http://schemas.openxmlformats.org/officeDocument/2006/relationships/hyperlink" Target="https://3arbzfbsh-cname-us.ngrok.io/Desktop/seabridge%20fintech/profit_graph_app/JKHY_Return.jpg" TargetMode="External"/><Relationship Id="rId1250" Type="http://schemas.openxmlformats.org/officeDocument/2006/relationships/hyperlink" Target="https://3arbzfbsh-cname-us.ngrok.io/Desktop/seabridge%20fintech/profit_graph_app/USO_Return.jpg" TargetMode="External"/><Relationship Id="rId1251" Type="http://schemas.openxmlformats.org/officeDocument/2006/relationships/hyperlink" Target="https://3arbzfbsh-cname-us.ngrok.io/Desktop/seabridge%20fintech/image_app/V_resistance_support.jpg" TargetMode="External"/><Relationship Id="rId1010" Type="http://schemas.openxmlformats.org/officeDocument/2006/relationships/hyperlink" Target="https://3arbzfbsh-cname-us.ngrok.io/Desktop/seabridge%20fintech/profit_graph_app/PYPL_Return.jpg" TargetMode="External"/><Relationship Id="rId1252" Type="http://schemas.openxmlformats.org/officeDocument/2006/relationships/hyperlink" Target="https://3arbzfbsh-cname-us.ngrok.io/Desktop/seabridge%20fintech/profit_graph_app/V_Return.jpg" TargetMode="External"/><Relationship Id="rId422" Type="http://schemas.openxmlformats.org/officeDocument/2006/relationships/hyperlink" Target="https://3arbzfbsh-cname-us.ngrok.io/Desktop/seabridge%20fintech/profit_graph_app/EWH_Return.jpg" TargetMode="External"/><Relationship Id="rId664" Type="http://schemas.openxmlformats.org/officeDocument/2006/relationships/hyperlink" Target="https://3arbzfbsh-cname-us.ngrok.io/Desktop/seabridge%20fintech/profit_graph_app/JNK_Return.jpg" TargetMode="External"/><Relationship Id="rId1011" Type="http://schemas.openxmlformats.org/officeDocument/2006/relationships/hyperlink" Target="https://3arbzfbsh-cname-us.ngrok.io/Desktop/seabridge%20fintech/image_app/QCOM_resistance_support.jpg" TargetMode="External"/><Relationship Id="rId1253" Type="http://schemas.openxmlformats.org/officeDocument/2006/relationships/hyperlink" Target="https://3arbzfbsh-cname-us.ngrok.io/Desktop/seabridge%20fintech/image_app/VCIT_resistance_support.jpg" TargetMode="External"/><Relationship Id="rId421" Type="http://schemas.openxmlformats.org/officeDocument/2006/relationships/hyperlink" Target="https://3arbzfbsh-cname-us.ngrok.io/Desktop/seabridge%20fintech/image_app/EWH_resistance_support.jpg" TargetMode="External"/><Relationship Id="rId663" Type="http://schemas.openxmlformats.org/officeDocument/2006/relationships/hyperlink" Target="https://3arbzfbsh-cname-us.ngrok.io/Desktop/seabridge%20fintech/image_app/JNK_resistance_support.jpg" TargetMode="External"/><Relationship Id="rId1012" Type="http://schemas.openxmlformats.org/officeDocument/2006/relationships/hyperlink" Target="https://3arbzfbsh-cname-us.ngrok.io/Desktop/seabridge%20fintech/profit_graph_app/QCOM_Return.jpg" TargetMode="External"/><Relationship Id="rId1254" Type="http://schemas.openxmlformats.org/officeDocument/2006/relationships/hyperlink" Target="https://3arbzfbsh-cname-us.ngrok.io/Desktop/seabridge%20fintech/profit_graph_app/VCIT_Return.jpg" TargetMode="External"/><Relationship Id="rId420" Type="http://schemas.openxmlformats.org/officeDocument/2006/relationships/hyperlink" Target="https://3arbzfbsh-cname-us.ngrok.io/Desktop/seabridge%20fintech/profit_graph_app/EWG_Return.jpg" TargetMode="External"/><Relationship Id="rId662" Type="http://schemas.openxmlformats.org/officeDocument/2006/relationships/hyperlink" Target="https://3arbzfbsh-cname-us.ngrok.io/Desktop/seabridge%20fintech/profit_graph_app/JNJ_Return.jpg" TargetMode="External"/><Relationship Id="rId1013" Type="http://schemas.openxmlformats.org/officeDocument/2006/relationships/hyperlink" Target="https://3arbzfbsh-cname-us.ngrok.io/Desktop/seabridge%20fintech/image_app/QLD_resistance_support.jpg" TargetMode="External"/><Relationship Id="rId1255" Type="http://schemas.openxmlformats.org/officeDocument/2006/relationships/hyperlink" Target="https://3arbzfbsh-cname-us.ngrok.io/Desktop/seabridge%20fintech/image_app/VCSH_resistance_support.jpg" TargetMode="External"/><Relationship Id="rId661" Type="http://schemas.openxmlformats.org/officeDocument/2006/relationships/hyperlink" Target="https://3arbzfbsh-cname-us.ngrok.io/Desktop/seabridge%20fintech/image_app/JNJ_resistance_support.jpg" TargetMode="External"/><Relationship Id="rId1014" Type="http://schemas.openxmlformats.org/officeDocument/2006/relationships/hyperlink" Target="https://3arbzfbsh-cname-us.ngrok.io/Desktop/seabridge%20fintech/profit_graph_app/QLD_Return.jpg" TargetMode="External"/><Relationship Id="rId1256" Type="http://schemas.openxmlformats.org/officeDocument/2006/relationships/hyperlink" Target="https://3arbzfbsh-cname-us.ngrok.io/Desktop/seabridge%20fintech/profit_graph_app/VCSH_Return.jpg" TargetMode="External"/><Relationship Id="rId1004" Type="http://schemas.openxmlformats.org/officeDocument/2006/relationships/hyperlink" Target="https://3arbzfbsh-cname-us.ngrok.io/Desktop/seabridge%20fintech/profit_graph_app/PVH_Return.jpg" TargetMode="External"/><Relationship Id="rId1246" Type="http://schemas.openxmlformats.org/officeDocument/2006/relationships/hyperlink" Target="https://3arbzfbsh-cname-us.ngrok.io/Desktop/seabridge%20fintech/profit_graph_app/USB_Return.jpg" TargetMode="External"/><Relationship Id="rId1005" Type="http://schemas.openxmlformats.org/officeDocument/2006/relationships/hyperlink" Target="https://3arbzfbsh-cname-us.ngrok.io/Desktop/seabridge%20fintech/image_app/PWR_resistance_support.jpg" TargetMode="External"/><Relationship Id="rId1247" Type="http://schemas.openxmlformats.org/officeDocument/2006/relationships/hyperlink" Target="https://3arbzfbsh-cname-us.ngrok.io/Desktop/seabridge%20fintech/image_app/USMV_resistance_support.jpg" TargetMode="External"/><Relationship Id="rId1006" Type="http://schemas.openxmlformats.org/officeDocument/2006/relationships/hyperlink" Target="https://3arbzfbsh-cname-us.ngrok.io/Desktop/seabridge%20fintech/profit_graph_app/PWR_Return.jpg" TargetMode="External"/><Relationship Id="rId1248" Type="http://schemas.openxmlformats.org/officeDocument/2006/relationships/hyperlink" Target="https://3arbzfbsh-cname-us.ngrok.io/Desktop/seabridge%20fintech/profit_graph_app/USMV_Return.jpg" TargetMode="External"/><Relationship Id="rId1007" Type="http://schemas.openxmlformats.org/officeDocument/2006/relationships/hyperlink" Target="https://3arbzfbsh-cname-us.ngrok.io/Desktop/seabridge%20fintech/image_app/PXD_resistance_support.jpg" TargetMode="External"/><Relationship Id="rId1249" Type="http://schemas.openxmlformats.org/officeDocument/2006/relationships/hyperlink" Target="https://3arbzfbsh-cname-us.ngrok.io/Desktop/seabridge%20fintech/image_app/USO_resistance_support.jpg" TargetMode="External"/><Relationship Id="rId1008" Type="http://schemas.openxmlformats.org/officeDocument/2006/relationships/hyperlink" Target="https://3arbzfbsh-cname-us.ngrok.io/Desktop/seabridge%20fintech/profit_graph_app/PXD_Return.jpg" TargetMode="External"/><Relationship Id="rId1009" Type="http://schemas.openxmlformats.org/officeDocument/2006/relationships/hyperlink" Target="https://3arbzfbsh-cname-us.ngrok.io/Desktop/seabridge%20fintech/image_app/PYPL_resistance_support.jpg" TargetMode="External"/><Relationship Id="rId415" Type="http://schemas.openxmlformats.org/officeDocument/2006/relationships/hyperlink" Target="https://3arbzfbsh-cname-us.ngrok.io/Desktop/seabridge%20fintech/image_app/EW_resistance_support.jpg" TargetMode="External"/><Relationship Id="rId657" Type="http://schemas.openxmlformats.org/officeDocument/2006/relationships/hyperlink" Target="https://3arbzfbsh-cname-us.ngrok.io/Desktop/seabridge%20fintech/image_app/JEF_resistance_support.jpg" TargetMode="External"/><Relationship Id="rId899" Type="http://schemas.openxmlformats.org/officeDocument/2006/relationships/hyperlink" Target="https://3arbzfbsh-cname-us.ngrok.io/Desktop/seabridge%20fintech/image_app/NWL_resistance_support.jpg" TargetMode="External"/><Relationship Id="rId414" Type="http://schemas.openxmlformats.org/officeDocument/2006/relationships/hyperlink" Target="https://3arbzfbsh-cname-us.ngrok.io/Desktop/seabridge%20fintech/profit_graph_app/EVRG_Return.jpg" TargetMode="External"/><Relationship Id="rId656" Type="http://schemas.openxmlformats.org/officeDocument/2006/relationships/hyperlink" Target="https://3arbzfbsh-cname-us.ngrok.io/Desktop/seabridge%20fintech/profit_graph_app/JD_Return.jpg" TargetMode="External"/><Relationship Id="rId898" Type="http://schemas.openxmlformats.org/officeDocument/2006/relationships/hyperlink" Target="https://3arbzfbsh-cname-us.ngrok.io/Desktop/seabridge%20fintech/profit_graph_app/NVTA_Return.jpg" TargetMode="External"/><Relationship Id="rId413" Type="http://schemas.openxmlformats.org/officeDocument/2006/relationships/hyperlink" Target="https://3arbzfbsh-cname-us.ngrok.io/Desktop/seabridge%20fintech/image_app/EVRG_resistance_support.jpg" TargetMode="External"/><Relationship Id="rId655" Type="http://schemas.openxmlformats.org/officeDocument/2006/relationships/hyperlink" Target="https://3arbzfbsh-cname-us.ngrok.io/Desktop/seabridge%20fintech/image_app/JD_resistance_support.jpg" TargetMode="External"/><Relationship Id="rId897" Type="http://schemas.openxmlformats.org/officeDocument/2006/relationships/hyperlink" Target="https://3arbzfbsh-cname-us.ngrok.io/Desktop/seabridge%20fintech/image_app/NVTA_resistance_support.jpg" TargetMode="External"/><Relationship Id="rId412" Type="http://schemas.openxmlformats.org/officeDocument/2006/relationships/hyperlink" Target="https://3arbzfbsh-cname-us.ngrok.io/Desktop/seabridge%20fintech/profit_graph_app/ETSY_Return.jpg" TargetMode="External"/><Relationship Id="rId654" Type="http://schemas.openxmlformats.org/officeDocument/2006/relationships/hyperlink" Target="https://3arbzfbsh-cname-us.ngrok.io/Desktop/seabridge%20fintech/profit_graph_app/JCI_Return.jpg" TargetMode="External"/><Relationship Id="rId896" Type="http://schemas.openxmlformats.org/officeDocument/2006/relationships/hyperlink" Target="https://3arbzfbsh-cname-us.ngrok.io/Desktop/seabridge%20fintech/profit_graph_app/NVR_Return.jpg" TargetMode="External"/><Relationship Id="rId419" Type="http://schemas.openxmlformats.org/officeDocument/2006/relationships/hyperlink" Target="https://3arbzfbsh-cname-us.ngrok.io/Desktop/seabridge%20fintech/image_app/EWG_resistance_support.jpg" TargetMode="External"/><Relationship Id="rId418" Type="http://schemas.openxmlformats.org/officeDocument/2006/relationships/hyperlink" Target="https://3arbzfbsh-cname-us.ngrok.io/Desktop/seabridge%20fintech/profit_graph_app/EWC_Return.jpg" TargetMode="External"/><Relationship Id="rId417" Type="http://schemas.openxmlformats.org/officeDocument/2006/relationships/hyperlink" Target="https://3arbzfbsh-cname-us.ngrok.io/Desktop/seabridge%20fintech/image_app/EWC_resistance_support.jpg" TargetMode="External"/><Relationship Id="rId659" Type="http://schemas.openxmlformats.org/officeDocument/2006/relationships/hyperlink" Target="https://3arbzfbsh-cname-us.ngrok.io/Desktop/seabridge%20fintech/image_app/JKHY_resistance_support.jpg" TargetMode="External"/><Relationship Id="rId416" Type="http://schemas.openxmlformats.org/officeDocument/2006/relationships/hyperlink" Target="https://3arbzfbsh-cname-us.ngrok.io/Desktop/seabridge%20fintech/profit_graph_app/EW_Return.jpg" TargetMode="External"/><Relationship Id="rId658" Type="http://schemas.openxmlformats.org/officeDocument/2006/relationships/hyperlink" Target="https://3arbzfbsh-cname-us.ngrok.io/Desktop/seabridge%20fintech/profit_graph_app/JEF_Return.jpg" TargetMode="External"/><Relationship Id="rId891" Type="http://schemas.openxmlformats.org/officeDocument/2006/relationships/hyperlink" Target="https://3arbzfbsh-cname-us.ngrok.io/Desktop/seabridge%20fintech/image_app/NVAX_resistance_support.jpg" TargetMode="External"/><Relationship Id="rId890" Type="http://schemas.openxmlformats.org/officeDocument/2006/relationships/hyperlink" Target="https://3arbzfbsh-cname-us.ngrok.io/Desktop/seabridge%20fintech/profit_graph_app/NUE_Return.jpg" TargetMode="External"/><Relationship Id="rId1240" Type="http://schemas.openxmlformats.org/officeDocument/2006/relationships/hyperlink" Target="https://3arbzfbsh-cname-us.ngrok.io/Desktop/seabridge%20fintech/profit_graph_app/UPS_Return.jpg" TargetMode="External"/><Relationship Id="rId1241" Type="http://schemas.openxmlformats.org/officeDocument/2006/relationships/hyperlink" Target="https://3arbzfbsh-cname-us.ngrok.io/Desktop/seabridge%20fintech/image_app/UPST_resistance_support.jpg" TargetMode="External"/><Relationship Id="rId411" Type="http://schemas.openxmlformats.org/officeDocument/2006/relationships/hyperlink" Target="https://3arbzfbsh-cname-us.ngrok.io/Desktop/seabridge%20fintech/image_app/ETSY_resistance_support.jpg" TargetMode="External"/><Relationship Id="rId653" Type="http://schemas.openxmlformats.org/officeDocument/2006/relationships/hyperlink" Target="https://3arbzfbsh-cname-us.ngrok.io/Desktop/seabridge%20fintech/image_app/JCI_resistance_support.jpg" TargetMode="External"/><Relationship Id="rId895" Type="http://schemas.openxmlformats.org/officeDocument/2006/relationships/hyperlink" Target="https://3arbzfbsh-cname-us.ngrok.io/Desktop/seabridge%20fintech/image_app/NVR_resistance_support.jpg" TargetMode="External"/><Relationship Id="rId1000" Type="http://schemas.openxmlformats.org/officeDocument/2006/relationships/hyperlink" Target="https://3arbzfbsh-cname-us.ngrok.io/Desktop/seabridge%20fintech/profit_graph_app/PTC_Return.jpg" TargetMode="External"/><Relationship Id="rId1242" Type="http://schemas.openxmlformats.org/officeDocument/2006/relationships/hyperlink" Target="https://3arbzfbsh-cname-us.ngrok.io/Desktop/seabridge%20fintech/profit_graph_app/UPST_Return.jpg" TargetMode="External"/><Relationship Id="rId410" Type="http://schemas.openxmlformats.org/officeDocument/2006/relationships/hyperlink" Target="https://3arbzfbsh-cname-us.ngrok.io/Desktop/seabridge%20fintech/profit_graph_app/ETR_Return.jpg" TargetMode="External"/><Relationship Id="rId652" Type="http://schemas.openxmlformats.org/officeDocument/2006/relationships/hyperlink" Target="https://3arbzfbsh-cname-us.ngrok.io/Desktop/seabridge%20fintech/profit_graph_app/JBHT_Return.jpg" TargetMode="External"/><Relationship Id="rId894" Type="http://schemas.openxmlformats.org/officeDocument/2006/relationships/hyperlink" Target="https://3arbzfbsh-cname-us.ngrok.io/Desktop/seabridge%20fintech/profit_graph_app/NVDA_Return.jpg" TargetMode="External"/><Relationship Id="rId1001" Type="http://schemas.openxmlformats.org/officeDocument/2006/relationships/hyperlink" Target="https://3arbzfbsh-cname-us.ngrok.io/Desktop/seabridge%20fintech/image_app/PTON_resistance_support.jpg" TargetMode="External"/><Relationship Id="rId1243" Type="http://schemas.openxmlformats.org/officeDocument/2006/relationships/hyperlink" Target="https://3arbzfbsh-cname-us.ngrok.io/Desktop/seabridge%20fintech/image_app/URI_resistance_support.jpg" TargetMode="External"/><Relationship Id="rId651" Type="http://schemas.openxmlformats.org/officeDocument/2006/relationships/hyperlink" Target="https://3arbzfbsh-cname-us.ngrok.io/Desktop/seabridge%20fintech/image_app/JBHT_resistance_support.jpg" TargetMode="External"/><Relationship Id="rId893" Type="http://schemas.openxmlformats.org/officeDocument/2006/relationships/hyperlink" Target="https://3arbzfbsh-cname-us.ngrok.io/Desktop/seabridge%20fintech/image_app/NVDA_resistance_support.jpg" TargetMode="External"/><Relationship Id="rId1002" Type="http://schemas.openxmlformats.org/officeDocument/2006/relationships/hyperlink" Target="https://3arbzfbsh-cname-us.ngrok.io/Desktop/seabridge%20fintech/profit_graph_app/PTON_Return.jpg" TargetMode="External"/><Relationship Id="rId1244" Type="http://schemas.openxmlformats.org/officeDocument/2006/relationships/hyperlink" Target="https://3arbzfbsh-cname-us.ngrok.io/Desktop/seabridge%20fintech/profit_graph_app/URI_Return.jpg" TargetMode="External"/><Relationship Id="rId650" Type="http://schemas.openxmlformats.org/officeDocument/2006/relationships/hyperlink" Target="https://3arbzfbsh-cname-us.ngrok.io/Desktop/seabridge%20fintech/profit_graph_app/J_Return.jpg" TargetMode="External"/><Relationship Id="rId892" Type="http://schemas.openxmlformats.org/officeDocument/2006/relationships/hyperlink" Target="https://3arbzfbsh-cname-us.ngrok.io/Desktop/seabridge%20fintech/profit_graph_app/NVAX_Return.jpg" TargetMode="External"/><Relationship Id="rId1003" Type="http://schemas.openxmlformats.org/officeDocument/2006/relationships/hyperlink" Target="https://3arbzfbsh-cname-us.ngrok.io/Desktop/seabridge%20fintech/image_app/PVH_resistance_support.jpg" TargetMode="External"/><Relationship Id="rId1245" Type="http://schemas.openxmlformats.org/officeDocument/2006/relationships/hyperlink" Target="https://3arbzfbsh-cname-us.ngrok.io/Desktop/seabridge%20fintech/image_app/USB_resistance_support.jpg" TargetMode="External"/><Relationship Id="rId1037" Type="http://schemas.openxmlformats.org/officeDocument/2006/relationships/hyperlink" Target="https://3arbzfbsh-cname-us.ngrok.io/Desktop/seabridge%20fintech/image_app/RMD_resistance_support.jpg" TargetMode="External"/><Relationship Id="rId1279" Type="http://schemas.openxmlformats.org/officeDocument/2006/relationships/hyperlink" Target="https://3arbzfbsh-cname-us.ngrok.io/Desktop/seabridge%20fintech/image_app/VOO_resistance_support.jpg" TargetMode="External"/><Relationship Id="rId1038" Type="http://schemas.openxmlformats.org/officeDocument/2006/relationships/hyperlink" Target="https://3arbzfbsh-cname-us.ngrok.io/Desktop/seabridge%20fintech/profit_graph_app/RMD_Return.jpg" TargetMode="External"/><Relationship Id="rId1039" Type="http://schemas.openxmlformats.org/officeDocument/2006/relationships/hyperlink" Target="https://3arbzfbsh-cname-us.ngrok.io/Desktop/seabridge%20fintech/image_app/ROK_resistance_support.jpg" TargetMode="External"/><Relationship Id="rId206" Type="http://schemas.openxmlformats.org/officeDocument/2006/relationships/hyperlink" Target="https://3arbzfbsh-cname-us.ngrok.io/Desktop/seabridge%20fintech/profit_graph_app/CCI_Return.jpg" TargetMode="External"/><Relationship Id="rId448" Type="http://schemas.openxmlformats.org/officeDocument/2006/relationships/hyperlink" Target="https://3arbzfbsh-cname-us.ngrok.io/Desktop/seabridge%20fintech/profit_graph_app/FAST_Return.jpg" TargetMode="External"/><Relationship Id="rId205" Type="http://schemas.openxmlformats.org/officeDocument/2006/relationships/hyperlink" Target="https://3arbzfbsh-cname-us.ngrok.io/Desktop/seabridge%20fintech/image_app/CCI_resistance_support.jpg" TargetMode="External"/><Relationship Id="rId447" Type="http://schemas.openxmlformats.org/officeDocument/2006/relationships/hyperlink" Target="https://3arbzfbsh-cname-us.ngrok.io/Desktop/seabridge%20fintech/image_app/FAST_resistance_support.jpg" TargetMode="External"/><Relationship Id="rId689" Type="http://schemas.openxmlformats.org/officeDocument/2006/relationships/hyperlink" Target="https://3arbzfbsh-cname-us.ngrok.io/Desktop/seabridge%20fintech/image_app/KLAC_resistance_support.jpg" TargetMode="External"/><Relationship Id="rId204" Type="http://schemas.openxmlformats.org/officeDocument/2006/relationships/hyperlink" Target="https://3arbzfbsh-cname-us.ngrok.io/Desktop/seabridge%20fintech/profit_graph_app/CBRE_Return.jpg" TargetMode="External"/><Relationship Id="rId446" Type="http://schemas.openxmlformats.org/officeDocument/2006/relationships/hyperlink" Target="https://3arbzfbsh-cname-us.ngrok.io/Desktop/seabridge%20fintech/profit_graph_app/FANG_Return.jpg" TargetMode="External"/><Relationship Id="rId688" Type="http://schemas.openxmlformats.org/officeDocument/2006/relationships/hyperlink" Target="https://3arbzfbsh-cname-us.ngrok.io/Desktop/seabridge%20fintech/profit_graph_app/KKR_Return.jpg" TargetMode="External"/><Relationship Id="rId203" Type="http://schemas.openxmlformats.org/officeDocument/2006/relationships/hyperlink" Target="https://3arbzfbsh-cname-us.ngrok.io/Desktop/seabridge%20fintech/image_app/CBRE_resistance_support.jpg" TargetMode="External"/><Relationship Id="rId445" Type="http://schemas.openxmlformats.org/officeDocument/2006/relationships/hyperlink" Target="https://3arbzfbsh-cname-us.ngrok.io/Desktop/seabridge%20fintech/image_app/FANG_resistance_support.jpg" TargetMode="External"/><Relationship Id="rId687" Type="http://schemas.openxmlformats.org/officeDocument/2006/relationships/hyperlink" Target="https://3arbzfbsh-cname-us.ngrok.io/Desktop/seabridge%20fintech/image_app/KKR_resistance_support.jpg" TargetMode="External"/><Relationship Id="rId209" Type="http://schemas.openxmlformats.org/officeDocument/2006/relationships/hyperlink" Target="https://3arbzfbsh-cname-us.ngrok.io/Desktop/seabridge%20fintech/image_app/CDNS_resistance_support.jpg" TargetMode="External"/><Relationship Id="rId208" Type="http://schemas.openxmlformats.org/officeDocument/2006/relationships/hyperlink" Target="https://3arbzfbsh-cname-us.ngrok.io/Desktop/seabridge%20fintech/profit_graph_app/CCL_Return.jpg" TargetMode="External"/><Relationship Id="rId207" Type="http://schemas.openxmlformats.org/officeDocument/2006/relationships/hyperlink" Target="https://3arbzfbsh-cname-us.ngrok.io/Desktop/seabridge%20fintech/image_app/CCL_resistance_support.jpg" TargetMode="External"/><Relationship Id="rId449" Type="http://schemas.openxmlformats.org/officeDocument/2006/relationships/hyperlink" Target="https://3arbzfbsh-cname-us.ngrok.io/Desktop/seabridge%20fintech/image_app/FB_resistance_support.jpg" TargetMode="External"/><Relationship Id="rId1270" Type="http://schemas.openxmlformats.org/officeDocument/2006/relationships/hyperlink" Target="https://3arbzfbsh-cname-us.ngrok.io/Desktop/seabridge%20fintech/profit_graph_app/VICI_Return.jpg" TargetMode="External"/><Relationship Id="rId440" Type="http://schemas.openxmlformats.org/officeDocument/2006/relationships/hyperlink" Target="https://3arbzfbsh-cname-us.ngrok.io/Desktop/seabridge%20fintech/profit_graph_app/EXR_Return.jpg" TargetMode="External"/><Relationship Id="rId682" Type="http://schemas.openxmlformats.org/officeDocument/2006/relationships/hyperlink" Target="https://3arbzfbsh-cname-us.ngrok.io/Desktop/seabridge%20fintech/profit_graph_app/KEYS_Return.jpg" TargetMode="External"/><Relationship Id="rId1271" Type="http://schemas.openxmlformats.org/officeDocument/2006/relationships/hyperlink" Target="https://3arbzfbsh-cname-us.ngrok.io/Desktop/seabridge%20fintech/image_app/VLO_resistance_support.jpg" TargetMode="External"/><Relationship Id="rId681" Type="http://schemas.openxmlformats.org/officeDocument/2006/relationships/hyperlink" Target="https://3arbzfbsh-cname-us.ngrok.io/Desktop/seabridge%20fintech/image_app/KEYS_resistance_support.jpg" TargetMode="External"/><Relationship Id="rId1030" Type="http://schemas.openxmlformats.org/officeDocument/2006/relationships/hyperlink" Target="https://3arbzfbsh-cname-us.ngrok.io/Desktop/seabridge%20fintech/profit_graph_app/RHI_Return.jpg" TargetMode="External"/><Relationship Id="rId1272" Type="http://schemas.openxmlformats.org/officeDocument/2006/relationships/hyperlink" Target="https://3arbzfbsh-cname-us.ngrok.io/Desktop/seabridge%20fintech/profit_graph_app/VLO_Return.jpg" TargetMode="External"/><Relationship Id="rId680" Type="http://schemas.openxmlformats.org/officeDocument/2006/relationships/hyperlink" Target="https://3arbzfbsh-cname-us.ngrok.io/Desktop/seabridge%20fintech/profit_graph_app/KEY_Return.jpg" TargetMode="External"/><Relationship Id="rId1031" Type="http://schemas.openxmlformats.org/officeDocument/2006/relationships/hyperlink" Target="https://3arbzfbsh-cname-us.ngrok.io/Desktop/seabridge%20fintech/image_app/RIOT_resistance_support.jpg" TargetMode="External"/><Relationship Id="rId1273" Type="http://schemas.openxmlformats.org/officeDocument/2006/relationships/hyperlink" Target="https://3arbzfbsh-cname-us.ngrok.io/Desktop/seabridge%20fintech/image_app/VMC_resistance_support.jpg" TargetMode="External"/><Relationship Id="rId1032" Type="http://schemas.openxmlformats.org/officeDocument/2006/relationships/hyperlink" Target="https://3arbzfbsh-cname-us.ngrok.io/Desktop/seabridge%20fintech/profit_graph_app/RIOT_Return.jpg" TargetMode="External"/><Relationship Id="rId1274" Type="http://schemas.openxmlformats.org/officeDocument/2006/relationships/hyperlink" Target="https://3arbzfbsh-cname-us.ngrok.io/Desktop/seabridge%20fintech/profit_graph_app/VMC_Return.jpg" TargetMode="External"/><Relationship Id="rId202" Type="http://schemas.openxmlformats.org/officeDocument/2006/relationships/hyperlink" Target="https://3arbzfbsh-cname-us.ngrok.io/Desktop/seabridge%20fintech/profit_graph_app/CBOE_Return.jpg" TargetMode="External"/><Relationship Id="rId444" Type="http://schemas.openxmlformats.org/officeDocument/2006/relationships/hyperlink" Target="https://3arbzfbsh-cname-us.ngrok.io/Desktop/seabridge%20fintech/profit_graph_app/F_Return.jpg" TargetMode="External"/><Relationship Id="rId686" Type="http://schemas.openxmlformats.org/officeDocument/2006/relationships/hyperlink" Target="https://3arbzfbsh-cname-us.ngrok.io/Desktop/seabridge%20fintech/profit_graph_app/KIM_Return.jpg" TargetMode="External"/><Relationship Id="rId1033" Type="http://schemas.openxmlformats.org/officeDocument/2006/relationships/hyperlink" Target="https://3arbzfbsh-cname-us.ngrok.io/Desktop/seabridge%20fintech/image_app/RJF_resistance_support.jpg" TargetMode="External"/><Relationship Id="rId1275" Type="http://schemas.openxmlformats.org/officeDocument/2006/relationships/hyperlink" Target="https://3arbzfbsh-cname-us.ngrok.io/Desktop/seabridge%20fintech/image_app/VNO_resistance_support.jpg" TargetMode="External"/><Relationship Id="rId201" Type="http://schemas.openxmlformats.org/officeDocument/2006/relationships/hyperlink" Target="https://3arbzfbsh-cname-us.ngrok.io/Desktop/seabridge%20fintech/image_app/CBOE_resistance_support.jpg" TargetMode="External"/><Relationship Id="rId443" Type="http://schemas.openxmlformats.org/officeDocument/2006/relationships/hyperlink" Target="https://3arbzfbsh-cname-us.ngrok.io/Desktop/seabridge%20fintech/image_app/F_resistance_support.jpg" TargetMode="External"/><Relationship Id="rId685" Type="http://schemas.openxmlformats.org/officeDocument/2006/relationships/hyperlink" Target="https://3arbzfbsh-cname-us.ngrok.io/Desktop/seabridge%20fintech/image_app/KIM_resistance_support.jpg" TargetMode="External"/><Relationship Id="rId1034" Type="http://schemas.openxmlformats.org/officeDocument/2006/relationships/hyperlink" Target="https://3arbzfbsh-cname-us.ngrok.io/Desktop/seabridge%20fintech/profit_graph_app/RJF_Return.jpg" TargetMode="External"/><Relationship Id="rId1276" Type="http://schemas.openxmlformats.org/officeDocument/2006/relationships/hyperlink" Target="https://3arbzfbsh-cname-us.ngrok.io/Desktop/seabridge%20fintech/profit_graph_app/VNO_Return.jpg" TargetMode="External"/><Relationship Id="rId200" Type="http://schemas.openxmlformats.org/officeDocument/2006/relationships/hyperlink" Target="https://3arbzfbsh-cname-us.ngrok.io/Desktop/seabridge%20fintech/profit_graph_app/CB_Return.jpg" TargetMode="External"/><Relationship Id="rId442" Type="http://schemas.openxmlformats.org/officeDocument/2006/relationships/hyperlink" Target="https://3arbzfbsh-cname-us.ngrok.io/Desktop/seabridge%20fintech/profit_graph_app/EZU_Return.jpg" TargetMode="External"/><Relationship Id="rId684" Type="http://schemas.openxmlformats.org/officeDocument/2006/relationships/hyperlink" Target="https://3arbzfbsh-cname-us.ngrok.io/Desktop/seabridge%20fintech/profit_graph_app/KHC_Return.jpg" TargetMode="External"/><Relationship Id="rId1035" Type="http://schemas.openxmlformats.org/officeDocument/2006/relationships/hyperlink" Target="https://3arbzfbsh-cname-us.ngrok.io/Desktop/seabridge%20fintech/image_app/RL_resistance_support.jpg" TargetMode="External"/><Relationship Id="rId1277" Type="http://schemas.openxmlformats.org/officeDocument/2006/relationships/hyperlink" Target="https://3arbzfbsh-cname-us.ngrok.io/Desktop/seabridge%20fintech/image_app/VNQ_resistance_support.jpg" TargetMode="External"/><Relationship Id="rId441" Type="http://schemas.openxmlformats.org/officeDocument/2006/relationships/hyperlink" Target="https://3arbzfbsh-cname-us.ngrok.io/Desktop/seabridge%20fintech/image_app/EZU_resistance_support.jpg" TargetMode="External"/><Relationship Id="rId683" Type="http://schemas.openxmlformats.org/officeDocument/2006/relationships/hyperlink" Target="https://3arbzfbsh-cname-us.ngrok.io/Desktop/seabridge%20fintech/image_app/KHC_resistance_support.jpg" TargetMode="External"/><Relationship Id="rId1036" Type="http://schemas.openxmlformats.org/officeDocument/2006/relationships/hyperlink" Target="https://3arbzfbsh-cname-us.ngrok.io/Desktop/seabridge%20fintech/profit_graph_app/RL_Return.jpg" TargetMode="External"/><Relationship Id="rId1278" Type="http://schemas.openxmlformats.org/officeDocument/2006/relationships/hyperlink" Target="https://3arbzfbsh-cname-us.ngrok.io/Desktop/seabridge%20fintech/profit_graph_app/VNQ_Return.jpg" TargetMode="External"/><Relationship Id="rId1026" Type="http://schemas.openxmlformats.org/officeDocument/2006/relationships/hyperlink" Target="https://3arbzfbsh-cname-us.ngrok.io/Desktop/seabridge%20fintech/profit_graph_app/REGN_Return.jpg" TargetMode="External"/><Relationship Id="rId1268" Type="http://schemas.openxmlformats.org/officeDocument/2006/relationships/hyperlink" Target="https://3arbzfbsh-cname-us.ngrok.io/Desktop/seabridge%20fintech/profit_graph_app/VIAC_Return.jpg" TargetMode="External"/><Relationship Id="rId1027" Type="http://schemas.openxmlformats.org/officeDocument/2006/relationships/hyperlink" Target="https://3arbzfbsh-cname-us.ngrok.io/Desktop/seabridge%20fintech/image_app/RF_resistance_support.jpg" TargetMode="External"/><Relationship Id="rId1269" Type="http://schemas.openxmlformats.org/officeDocument/2006/relationships/hyperlink" Target="https://3arbzfbsh-cname-us.ngrok.io/Desktop/seabridge%20fintech/image_app/VICI_resistance_support.jpg" TargetMode="External"/><Relationship Id="rId1028" Type="http://schemas.openxmlformats.org/officeDocument/2006/relationships/hyperlink" Target="https://3arbzfbsh-cname-us.ngrok.io/Desktop/seabridge%20fintech/profit_graph_app/RF_Return.jpg" TargetMode="External"/><Relationship Id="rId1029" Type="http://schemas.openxmlformats.org/officeDocument/2006/relationships/hyperlink" Target="https://3arbzfbsh-cname-us.ngrok.io/Desktop/seabridge%20fintech/image_app/RHI_resistance_support.jpg" TargetMode="External"/><Relationship Id="rId437" Type="http://schemas.openxmlformats.org/officeDocument/2006/relationships/hyperlink" Target="https://3arbzfbsh-cname-us.ngrok.io/Desktop/seabridge%20fintech/image_app/EXPE_resistance_support.jpg" TargetMode="External"/><Relationship Id="rId679" Type="http://schemas.openxmlformats.org/officeDocument/2006/relationships/hyperlink" Target="https://3arbzfbsh-cname-us.ngrok.io/Desktop/seabridge%20fintech/image_app/KEY_resistance_support.jpg" TargetMode="External"/><Relationship Id="rId436" Type="http://schemas.openxmlformats.org/officeDocument/2006/relationships/hyperlink" Target="https://3arbzfbsh-cname-us.ngrok.io/Desktop/seabridge%20fintech/profit_graph_app/EXPD_Return.jpg" TargetMode="External"/><Relationship Id="rId678" Type="http://schemas.openxmlformats.org/officeDocument/2006/relationships/hyperlink" Target="https://3arbzfbsh-cname-us.ngrok.io/Desktop/seabridge%20fintech/profit_graph_app/KDP_Return.jpg" TargetMode="External"/><Relationship Id="rId435" Type="http://schemas.openxmlformats.org/officeDocument/2006/relationships/hyperlink" Target="https://3arbzfbsh-cname-us.ngrok.io/Desktop/seabridge%20fintech/image_app/EXPD_resistance_support.jpg" TargetMode="External"/><Relationship Id="rId677" Type="http://schemas.openxmlformats.org/officeDocument/2006/relationships/hyperlink" Target="https://3arbzfbsh-cname-us.ngrok.io/Desktop/seabridge%20fintech/image_app/KDP_resistance_support.jpg" TargetMode="External"/><Relationship Id="rId434" Type="http://schemas.openxmlformats.org/officeDocument/2006/relationships/hyperlink" Target="https://3arbzfbsh-cname-us.ngrok.io/Desktop/seabridge%20fintech/profit_graph_app/EXC_Return.jpg" TargetMode="External"/><Relationship Id="rId676" Type="http://schemas.openxmlformats.org/officeDocument/2006/relationships/hyperlink" Target="https://3arbzfbsh-cname-us.ngrok.io/Desktop/seabridge%20fintech/profit_graph_app/KBE_Return.jpg" TargetMode="External"/><Relationship Id="rId439" Type="http://schemas.openxmlformats.org/officeDocument/2006/relationships/hyperlink" Target="https://3arbzfbsh-cname-us.ngrok.io/Desktop/seabridge%20fintech/image_app/EXR_resistance_support.jpg" TargetMode="External"/><Relationship Id="rId438" Type="http://schemas.openxmlformats.org/officeDocument/2006/relationships/hyperlink" Target="https://3arbzfbsh-cname-us.ngrok.io/Desktop/seabridge%20fintech/profit_graph_app/EXPE_Return.jpg" TargetMode="External"/><Relationship Id="rId671" Type="http://schemas.openxmlformats.org/officeDocument/2006/relationships/hyperlink" Target="https://3arbzfbsh-cname-us.ngrok.io/Desktop/seabridge%20fintech/image_app/JWN_resistance_support.jpg" TargetMode="External"/><Relationship Id="rId1260" Type="http://schemas.openxmlformats.org/officeDocument/2006/relationships/hyperlink" Target="https://3arbzfbsh-cname-us.ngrok.io/Desktop/seabridge%20fintech/profit_graph_app/VER_Return.jpg" TargetMode="External"/><Relationship Id="rId670" Type="http://schemas.openxmlformats.org/officeDocument/2006/relationships/hyperlink" Target="https://3arbzfbsh-cname-us.ngrok.io/Desktop/seabridge%20fintech/profit_graph_app/JPST_Return.jpg" TargetMode="External"/><Relationship Id="rId1261" Type="http://schemas.openxmlformats.org/officeDocument/2006/relationships/hyperlink" Target="https://3arbzfbsh-cname-us.ngrok.io/Desktop/seabridge%20fintech/image_app/VEU_resistance_support.jpg" TargetMode="External"/><Relationship Id="rId1020" Type="http://schemas.openxmlformats.org/officeDocument/2006/relationships/hyperlink" Target="https://3arbzfbsh-cname-us.ngrok.io/Desktop/seabridge%20fintech/profit_graph_app/RCL_Return.jpg" TargetMode="External"/><Relationship Id="rId1262" Type="http://schemas.openxmlformats.org/officeDocument/2006/relationships/hyperlink" Target="https://3arbzfbsh-cname-us.ngrok.io/Desktop/seabridge%20fintech/profit_graph_app/VEU_Return.jpg" TargetMode="External"/><Relationship Id="rId1021" Type="http://schemas.openxmlformats.org/officeDocument/2006/relationships/hyperlink" Target="https://3arbzfbsh-cname-us.ngrok.io/Desktop/seabridge%20fintech/image_app/RE_resistance_support.jpg" TargetMode="External"/><Relationship Id="rId1263" Type="http://schemas.openxmlformats.org/officeDocument/2006/relationships/hyperlink" Target="https://3arbzfbsh-cname-us.ngrok.io/Desktop/seabridge%20fintech/image_app/VFC_resistance_support.jpg" TargetMode="External"/><Relationship Id="rId433" Type="http://schemas.openxmlformats.org/officeDocument/2006/relationships/hyperlink" Target="https://3arbzfbsh-cname-us.ngrok.io/Desktop/seabridge%20fintech/image_app/EXC_resistance_support.jpg" TargetMode="External"/><Relationship Id="rId675" Type="http://schemas.openxmlformats.org/officeDocument/2006/relationships/hyperlink" Target="https://3arbzfbsh-cname-us.ngrok.io/Desktop/seabridge%20fintech/image_app/KBE_resistance_support.jpg" TargetMode="External"/><Relationship Id="rId1022" Type="http://schemas.openxmlformats.org/officeDocument/2006/relationships/hyperlink" Target="https://3arbzfbsh-cname-us.ngrok.io/Desktop/seabridge%20fintech/profit_graph_app/RE_Return.jpg" TargetMode="External"/><Relationship Id="rId1264" Type="http://schemas.openxmlformats.org/officeDocument/2006/relationships/hyperlink" Target="https://3arbzfbsh-cname-us.ngrok.io/Desktop/seabridge%20fintech/profit_graph_app/VFC_Return.jpg" TargetMode="External"/><Relationship Id="rId432" Type="http://schemas.openxmlformats.org/officeDocument/2006/relationships/hyperlink" Target="https://3arbzfbsh-cname-us.ngrok.io/Desktop/seabridge%20fintech/profit_graph_app/EWZ_Return.jpg" TargetMode="External"/><Relationship Id="rId674" Type="http://schemas.openxmlformats.org/officeDocument/2006/relationships/hyperlink" Target="https://3arbzfbsh-cname-us.ngrok.io/Desktop/seabridge%20fintech/profit_graph_app/K_Return.jpg" TargetMode="External"/><Relationship Id="rId1023" Type="http://schemas.openxmlformats.org/officeDocument/2006/relationships/hyperlink" Target="https://3arbzfbsh-cname-us.ngrok.io/Desktop/seabridge%20fintech/image_app/REG_resistance_support.jpg" TargetMode="External"/><Relationship Id="rId1265" Type="http://schemas.openxmlformats.org/officeDocument/2006/relationships/hyperlink" Target="https://3arbzfbsh-cname-us.ngrok.io/Desktop/seabridge%20fintech/image_app/VGK_resistance_support.jpg" TargetMode="External"/><Relationship Id="rId431" Type="http://schemas.openxmlformats.org/officeDocument/2006/relationships/hyperlink" Target="https://3arbzfbsh-cname-us.ngrok.io/Desktop/seabridge%20fintech/image_app/EWZ_resistance_support.jpg" TargetMode="External"/><Relationship Id="rId673" Type="http://schemas.openxmlformats.org/officeDocument/2006/relationships/hyperlink" Target="https://3arbzfbsh-cname-us.ngrok.io/Desktop/seabridge%20fintech/image_app/K_resistance_support.jpg" TargetMode="External"/><Relationship Id="rId1024" Type="http://schemas.openxmlformats.org/officeDocument/2006/relationships/hyperlink" Target="https://3arbzfbsh-cname-us.ngrok.io/Desktop/seabridge%20fintech/profit_graph_app/REG_Return.jpg" TargetMode="External"/><Relationship Id="rId1266" Type="http://schemas.openxmlformats.org/officeDocument/2006/relationships/hyperlink" Target="https://3arbzfbsh-cname-us.ngrok.io/Desktop/seabridge%20fintech/profit_graph_app/VGK_Return.jpg" TargetMode="External"/><Relationship Id="rId430" Type="http://schemas.openxmlformats.org/officeDocument/2006/relationships/hyperlink" Target="https://3arbzfbsh-cname-us.ngrok.io/Desktop/seabridge%20fintech/profit_graph_app/EWY_Return.jpg" TargetMode="External"/><Relationship Id="rId672" Type="http://schemas.openxmlformats.org/officeDocument/2006/relationships/hyperlink" Target="https://3arbzfbsh-cname-us.ngrok.io/Desktop/seabridge%20fintech/profit_graph_app/JWN_Return.jpg" TargetMode="External"/><Relationship Id="rId1025" Type="http://schemas.openxmlformats.org/officeDocument/2006/relationships/hyperlink" Target="https://3arbzfbsh-cname-us.ngrok.io/Desktop/seabridge%20fintech/image_app/REGN_resistance_support.jpg" TargetMode="External"/><Relationship Id="rId1267" Type="http://schemas.openxmlformats.org/officeDocument/2006/relationships/hyperlink" Target="https://3arbzfbsh-cname-us.ngrok.io/Desktop/seabridge%20fintech/image_app/VIAC_resistance_support.jp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90" Type="http://schemas.openxmlformats.org/officeDocument/2006/relationships/hyperlink" Target="https://3arbzfbsh-cname-us.ngrok.io/Desktop/seabridge%20fintech/blueline_pa_icon/EIX_pa_blueline_signal.jpg" TargetMode="External"/><Relationship Id="rId194" Type="http://schemas.openxmlformats.org/officeDocument/2006/relationships/hyperlink" Target="https://3arbzfbsh-cname-us.ngrok.io/Desktop/seabridge%20fintech/blueline_pa_icon/EMB_pa_blueline_signal.jpg" TargetMode="External"/><Relationship Id="rId193" Type="http://schemas.openxmlformats.org/officeDocument/2006/relationships/hyperlink" Target="https://3arbzfbsh-cname-us.ngrok.io/Desktop/seabridge%20fintech/blueline_pa_icon/ELY_pa_blueline_signal.jpg" TargetMode="External"/><Relationship Id="rId192" Type="http://schemas.openxmlformats.org/officeDocument/2006/relationships/hyperlink" Target="https://3arbzfbsh-cname-us.ngrok.io/Desktop/seabridge%20fintech/blueline_pa_icon/ELAN_pa_blueline_signal.jpg" TargetMode="External"/><Relationship Id="rId191" Type="http://schemas.openxmlformats.org/officeDocument/2006/relationships/hyperlink" Target="https://3arbzfbsh-cname-us.ngrok.io/Desktop/seabridge%20fintech/blueline_pa_icon/EL_pa_blueline_signal.jpg" TargetMode="External"/><Relationship Id="rId187" Type="http://schemas.openxmlformats.org/officeDocument/2006/relationships/hyperlink" Target="https://3arbzfbsh-cname-us.ngrok.io/Desktop/seabridge%20fintech/blueline_pa_icon/EEM_pa_blueline_signal.jpg" TargetMode="External"/><Relationship Id="rId186" Type="http://schemas.openxmlformats.org/officeDocument/2006/relationships/hyperlink" Target="https://3arbzfbsh-cname-us.ngrok.io/Desktop/seabridge%20fintech/blueline_pa_icon/ED_pa_blueline_signal.jpg" TargetMode="External"/><Relationship Id="rId185" Type="http://schemas.openxmlformats.org/officeDocument/2006/relationships/hyperlink" Target="https://3arbzfbsh-cname-us.ngrok.io/Desktop/seabridge%20fintech/blueline_pa_icon/ECL_pa_blueline_signal.jpg" TargetMode="External"/><Relationship Id="rId184" Type="http://schemas.openxmlformats.org/officeDocument/2006/relationships/hyperlink" Target="https://3arbzfbsh-cname-us.ngrok.io/Desktop/seabridge%20fintech/blueline_pa_icon/EBAY_pa_blueline_signal.jpg" TargetMode="External"/><Relationship Id="rId189" Type="http://schemas.openxmlformats.org/officeDocument/2006/relationships/hyperlink" Target="https://3arbzfbsh-cname-us.ngrok.io/Desktop/seabridge%20fintech/blueline_pa_icon/EFX_pa_blueline_signal.jpg" TargetMode="External"/><Relationship Id="rId188" Type="http://schemas.openxmlformats.org/officeDocument/2006/relationships/hyperlink" Target="https://3arbzfbsh-cname-us.ngrok.io/Desktop/seabridge%20fintech/blueline_pa_icon/EFA_pa_blueline_signal.jpg" TargetMode="External"/><Relationship Id="rId183" Type="http://schemas.openxmlformats.org/officeDocument/2006/relationships/hyperlink" Target="https://3arbzfbsh-cname-us.ngrok.io/Desktop/seabridge%20fintech/blueline_pa_icon/EA_pa_blueline_signal.jpg" TargetMode="External"/><Relationship Id="rId182" Type="http://schemas.openxmlformats.org/officeDocument/2006/relationships/hyperlink" Target="https://3arbzfbsh-cname-us.ngrok.io/Desktop/seabridge%20fintech/blueline_pa_icon/DXCM_pa_blueline_signal.jpg" TargetMode="External"/><Relationship Id="rId181" Type="http://schemas.openxmlformats.org/officeDocument/2006/relationships/hyperlink" Target="https://3arbzfbsh-cname-us.ngrok.io/Desktop/seabridge%20fintech/blueline_pa_icon/DXC_pa_blueline_signal.jpg" TargetMode="External"/><Relationship Id="rId180" Type="http://schemas.openxmlformats.org/officeDocument/2006/relationships/hyperlink" Target="https://3arbzfbsh-cname-us.ngrok.io/Desktop/seabridge%20fintech/blueline_pa_icon/DVN_pa_blueline_signal.jpg" TargetMode="External"/><Relationship Id="rId176" Type="http://schemas.openxmlformats.org/officeDocument/2006/relationships/hyperlink" Target="https://3arbzfbsh-cname-us.ngrok.io/Desktop/seabridge%20fintech/blueline_pa_icon/DRI_pa_blueline_signal.jpg" TargetMode="External"/><Relationship Id="rId175" Type="http://schemas.openxmlformats.org/officeDocument/2006/relationships/hyperlink" Target="https://3arbzfbsh-cname-us.ngrok.io/Desktop/seabridge%20fintech/blueline_pa_icon/DRE_pa_blueline_signal.jpg" TargetMode="External"/><Relationship Id="rId174" Type="http://schemas.openxmlformats.org/officeDocument/2006/relationships/hyperlink" Target="https://3arbzfbsh-cname-us.ngrok.io/Desktop/seabridge%20fintech/blueline_pa_icon/DPZ_pa_blueline_signal.jpg" TargetMode="External"/><Relationship Id="rId173" Type="http://schemas.openxmlformats.org/officeDocument/2006/relationships/hyperlink" Target="https://3arbzfbsh-cname-us.ngrok.io/Desktop/seabridge%20fintech/blueline_pa_icon/DOW_pa_blueline_signal.jpg" TargetMode="External"/><Relationship Id="rId179" Type="http://schemas.openxmlformats.org/officeDocument/2006/relationships/hyperlink" Target="https://3arbzfbsh-cname-us.ngrok.io/Desktop/seabridge%20fintech/blueline_pa_icon/DVA_pa_blueline_signal.jpg" TargetMode="External"/><Relationship Id="rId178" Type="http://schemas.openxmlformats.org/officeDocument/2006/relationships/hyperlink" Target="https://3arbzfbsh-cname-us.ngrok.io/Desktop/seabridge%20fintech/blueline_pa_icon/DUK_pa_blueline_signal.jpg" TargetMode="External"/><Relationship Id="rId177" Type="http://schemas.openxmlformats.org/officeDocument/2006/relationships/hyperlink" Target="https://3arbzfbsh-cname-us.ngrok.io/Desktop/seabridge%20fintech/blueline_pa_icon/DTE_pa_blueline_signal.jpg" TargetMode="External"/><Relationship Id="rId198" Type="http://schemas.openxmlformats.org/officeDocument/2006/relationships/hyperlink" Target="https://3arbzfbsh-cname-us.ngrok.io/Desktop/seabridge%20fintech/blueline_pa_icon/EOG_pa_blueline_signal.jpg" TargetMode="External"/><Relationship Id="rId197" Type="http://schemas.openxmlformats.org/officeDocument/2006/relationships/hyperlink" Target="https://3arbzfbsh-cname-us.ngrok.io/Desktop/seabridge%20fintech/blueline_pa_icon/ENPH_pa_blueline_signal.jpg" TargetMode="External"/><Relationship Id="rId196" Type="http://schemas.openxmlformats.org/officeDocument/2006/relationships/hyperlink" Target="https://3arbzfbsh-cname-us.ngrok.io/Desktop/seabridge%20fintech/blueline_pa_icon/EMR_pa_blueline_signal.jpg" TargetMode="External"/><Relationship Id="rId195" Type="http://schemas.openxmlformats.org/officeDocument/2006/relationships/hyperlink" Target="https://3arbzfbsh-cname-us.ngrok.io/Desktop/seabridge%20fintech/blueline_pa_icon/EMN_pa_blueline_signal.jpg" TargetMode="External"/><Relationship Id="rId199" Type="http://schemas.openxmlformats.org/officeDocument/2006/relationships/hyperlink" Target="https://3arbzfbsh-cname-us.ngrok.io/Desktop/seabridge%20fintech/blueline_pa_icon/EQH_pa_blueline_signal.jpg" TargetMode="External"/><Relationship Id="rId150" Type="http://schemas.openxmlformats.org/officeDocument/2006/relationships/hyperlink" Target="https://3arbzfbsh-cname-us.ngrok.io/Desktop/seabridge%20fintech/blueline_pa_icon/D_pa_blueline_signal.jpg" TargetMode="External"/><Relationship Id="rId392" Type="http://schemas.openxmlformats.org/officeDocument/2006/relationships/hyperlink" Target="https://3arbzfbsh-cname-us.ngrok.io/Desktop/seabridge%20fintech/blueline_pa_icon/MDLZ_pa_blueline_signal.jpg" TargetMode="External"/><Relationship Id="rId391" Type="http://schemas.openxmlformats.org/officeDocument/2006/relationships/hyperlink" Target="https://3arbzfbsh-cname-us.ngrok.io/Desktop/seabridge%20fintech/blueline_pa_icon/MCO_pa_blueline_signal.jpg" TargetMode="External"/><Relationship Id="rId390" Type="http://schemas.openxmlformats.org/officeDocument/2006/relationships/hyperlink" Target="https://3arbzfbsh-cname-us.ngrok.io/Desktop/seabridge%20fintech/blueline_pa_icon/MCK_pa_blueline_signal.jpg" TargetMode="External"/><Relationship Id="rId1" Type="http://schemas.openxmlformats.org/officeDocument/2006/relationships/hyperlink" Target="https://3arbzfbsh-cname-us.ngrok.io/Desktop/seabridge%20fintech/blueline_pa_icon/A_pa_blueline_signal.jpg" TargetMode="External"/><Relationship Id="rId2" Type="http://schemas.openxmlformats.org/officeDocument/2006/relationships/hyperlink" Target="https://3arbzfbsh-cname-us.ngrok.io/Desktop/seabridge%20fintech/blueline_pa_icon/AA_pa_blueline_signal.jpg" TargetMode="External"/><Relationship Id="rId3" Type="http://schemas.openxmlformats.org/officeDocument/2006/relationships/hyperlink" Target="https://3arbzfbsh-cname-us.ngrok.io/Desktop/seabridge%20fintech/blueline_pa_icon/AAL_pa_blueline_signal.jpg" TargetMode="External"/><Relationship Id="rId149" Type="http://schemas.openxmlformats.org/officeDocument/2006/relationships/hyperlink" Target="https://3arbzfbsh-cname-us.ngrok.io/Desktop/seabridge%20fintech/blueline_pa_icon/CZR_pa_blueline_signal.jpg" TargetMode="External"/><Relationship Id="rId4" Type="http://schemas.openxmlformats.org/officeDocument/2006/relationships/hyperlink" Target="https://3arbzfbsh-cname-us.ngrok.io/Desktop/seabridge%20fintech/blueline_pa_icon/AAP_pa_blueline_signal.jpg" TargetMode="External"/><Relationship Id="rId148" Type="http://schemas.openxmlformats.org/officeDocument/2006/relationships/hyperlink" Target="https://3arbzfbsh-cname-us.ngrok.io/Desktop/seabridge%20fintech/blueline_pa_icon/CVX_pa_blueline_signal.jpg" TargetMode="External"/><Relationship Id="rId9" Type="http://schemas.openxmlformats.org/officeDocument/2006/relationships/hyperlink" Target="https://3arbzfbsh-cname-us.ngrok.io/Desktop/seabridge%20fintech/blueline_pa_icon/ABT_pa_blueline_signal.jpg" TargetMode="External"/><Relationship Id="rId143" Type="http://schemas.openxmlformats.org/officeDocument/2006/relationships/hyperlink" Target="https://3arbzfbsh-cname-us.ngrok.io/Desktop/seabridge%20fintech/blueline_pa_icon/CTLT_pa_blueline_signal.jpg" TargetMode="External"/><Relationship Id="rId385" Type="http://schemas.openxmlformats.org/officeDocument/2006/relationships/hyperlink" Target="https://3arbzfbsh-cname-us.ngrok.io/Desktop/seabridge%20fintech/blueline_pa_icon/MARA_pa_blueline_signal.jpg" TargetMode="External"/><Relationship Id="rId142" Type="http://schemas.openxmlformats.org/officeDocument/2006/relationships/hyperlink" Target="https://3arbzfbsh-cname-us.ngrok.io/Desktop/seabridge%20fintech/blueline_pa_icon/CTAS_pa_blueline_signal.jpg" TargetMode="External"/><Relationship Id="rId384" Type="http://schemas.openxmlformats.org/officeDocument/2006/relationships/hyperlink" Target="https://3arbzfbsh-cname-us.ngrok.io/Desktop/seabridge%20fintech/blueline_pa_icon/MAR_pa_blueline_signal.jpg" TargetMode="External"/><Relationship Id="rId141" Type="http://schemas.openxmlformats.org/officeDocument/2006/relationships/hyperlink" Target="https://3arbzfbsh-cname-us.ngrok.io/Desktop/seabridge%20fintech/blueline_pa_icon/CSX_pa_blueline_signal.jpg" TargetMode="External"/><Relationship Id="rId383" Type="http://schemas.openxmlformats.org/officeDocument/2006/relationships/hyperlink" Target="https://3arbzfbsh-cname-us.ngrok.io/Desktop/seabridge%20fintech/blueline_pa_icon/MAA_pa_blueline_signal.jpg" TargetMode="External"/><Relationship Id="rId140" Type="http://schemas.openxmlformats.org/officeDocument/2006/relationships/hyperlink" Target="https://3arbzfbsh-cname-us.ngrok.io/Desktop/seabridge%20fintech/blueline_pa_icon/CSGP_pa_blueline_signal.jpg" TargetMode="External"/><Relationship Id="rId382" Type="http://schemas.openxmlformats.org/officeDocument/2006/relationships/hyperlink" Target="https://3arbzfbsh-cname-us.ngrok.io/Desktop/seabridge%20fintech/blueline_pa_icon/MA_pa_blueline_signal.jpg" TargetMode="External"/><Relationship Id="rId5" Type="http://schemas.openxmlformats.org/officeDocument/2006/relationships/hyperlink" Target="https://3arbzfbsh-cname-us.ngrok.io/Desktop/seabridge%20fintech/blueline_pa_icon/AAPL_pa_blueline_signal.jpg" TargetMode="External"/><Relationship Id="rId147" Type="http://schemas.openxmlformats.org/officeDocument/2006/relationships/hyperlink" Target="https://3arbzfbsh-cname-us.ngrok.io/Desktop/seabridge%20fintech/blueline_pa_icon/CVS_pa_blueline_signal.jpg" TargetMode="External"/><Relationship Id="rId389" Type="http://schemas.openxmlformats.org/officeDocument/2006/relationships/hyperlink" Target="https://3arbzfbsh-cname-us.ngrok.io/Desktop/seabridge%20fintech/blueline_pa_icon/MCHP_pa_blueline_signal.jpg" TargetMode="External"/><Relationship Id="rId6" Type="http://schemas.openxmlformats.org/officeDocument/2006/relationships/hyperlink" Target="https://3arbzfbsh-cname-us.ngrok.io/Desktop/seabridge%20fintech/blueline_pa_icon/ABBV_pa_blueline_signal.jpg" TargetMode="External"/><Relationship Id="rId146" Type="http://schemas.openxmlformats.org/officeDocument/2006/relationships/hyperlink" Target="https://3arbzfbsh-cname-us.ngrok.io/Desktop/seabridge%20fintech/blueline_pa_icon/CTXS_pa_blueline_signal.jpg" TargetMode="External"/><Relationship Id="rId388" Type="http://schemas.openxmlformats.org/officeDocument/2006/relationships/hyperlink" Target="https://3arbzfbsh-cname-us.ngrok.io/Desktop/seabridge%20fintech/blueline_pa_icon/MCHI_pa_blueline_signal.jpg" TargetMode="External"/><Relationship Id="rId7" Type="http://schemas.openxmlformats.org/officeDocument/2006/relationships/hyperlink" Target="https://3arbzfbsh-cname-us.ngrok.io/Desktop/seabridge%20fintech/blueline_pa_icon/ABC_pa_blueline_signal.jpg" TargetMode="External"/><Relationship Id="rId145" Type="http://schemas.openxmlformats.org/officeDocument/2006/relationships/hyperlink" Target="https://3arbzfbsh-cname-us.ngrok.io/Desktop/seabridge%20fintech/blueline_pa_icon/CTVA_pa_blueline_signal.jpg" TargetMode="External"/><Relationship Id="rId387" Type="http://schemas.openxmlformats.org/officeDocument/2006/relationships/hyperlink" Target="https://3arbzfbsh-cname-us.ngrok.io/Desktop/seabridge%20fintech/blueline_pa_icon/MCD_pa_blueline_signal.jpg" TargetMode="External"/><Relationship Id="rId8" Type="http://schemas.openxmlformats.org/officeDocument/2006/relationships/hyperlink" Target="https://3arbzfbsh-cname-us.ngrok.io/Desktop/seabridge%20fintech/blueline_pa_icon/ABMD_pa_blueline_signal.jpg" TargetMode="External"/><Relationship Id="rId144" Type="http://schemas.openxmlformats.org/officeDocument/2006/relationships/hyperlink" Target="https://3arbzfbsh-cname-us.ngrok.io/Desktop/seabridge%20fintech/blueline_pa_icon/CTSH_pa_blueline_signal.jpg" TargetMode="External"/><Relationship Id="rId386" Type="http://schemas.openxmlformats.org/officeDocument/2006/relationships/hyperlink" Target="https://3arbzfbsh-cname-us.ngrok.io/Desktop/seabridge%20fintech/blueline_pa_icon/MAS_pa_blueline_signal.jpg" TargetMode="External"/><Relationship Id="rId381" Type="http://schemas.openxmlformats.org/officeDocument/2006/relationships/hyperlink" Target="https://3arbzfbsh-cname-us.ngrok.io/Desktop/seabridge%20fintech/blueline_pa_icon/LYV_pa_blueline_signal.jpg" TargetMode="External"/><Relationship Id="rId380" Type="http://schemas.openxmlformats.org/officeDocument/2006/relationships/hyperlink" Target="https://3arbzfbsh-cname-us.ngrok.io/Desktop/seabridge%20fintech/blueline_pa_icon/LYFT_pa_blueline_signal.jpg" TargetMode="External"/><Relationship Id="rId139" Type="http://schemas.openxmlformats.org/officeDocument/2006/relationships/hyperlink" Target="https://3arbzfbsh-cname-us.ngrok.io/Desktop/seabridge%20fintech/blueline_pa_icon/CSCO_pa_blueline_signal.jpg" TargetMode="External"/><Relationship Id="rId138" Type="http://schemas.openxmlformats.org/officeDocument/2006/relationships/hyperlink" Target="https://3arbzfbsh-cname-us.ngrok.io/Desktop/seabridge%20fintech/blueline_pa_icon/CRWD_pa_blueline_signal.jpg" TargetMode="External"/><Relationship Id="rId137" Type="http://schemas.openxmlformats.org/officeDocument/2006/relationships/hyperlink" Target="https://3arbzfbsh-cname-us.ngrok.io/Desktop/seabridge%20fintech/blueline_pa_icon/CRSR_pa_blueline_signal.jpg" TargetMode="External"/><Relationship Id="rId379" Type="http://schemas.openxmlformats.org/officeDocument/2006/relationships/hyperlink" Target="https://3arbzfbsh-cname-us.ngrok.io/Desktop/seabridge%20fintech/blueline_pa_icon/LYB_pa_blueline_signal.jpg" TargetMode="External"/><Relationship Id="rId132" Type="http://schemas.openxmlformats.org/officeDocument/2006/relationships/hyperlink" Target="https://3arbzfbsh-cname-us.ngrok.io/Desktop/seabridge%20fintech/blueline_pa_icon/COST_pa_blueline_signal.jpg" TargetMode="External"/><Relationship Id="rId374" Type="http://schemas.openxmlformats.org/officeDocument/2006/relationships/hyperlink" Target="https://3arbzfbsh-cname-us.ngrok.io/Desktop/seabridge%20fintech/blueline_pa_icon/LULU_pa_blueline_signal.jpg" TargetMode="External"/><Relationship Id="rId131" Type="http://schemas.openxmlformats.org/officeDocument/2006/relationships/hyperlink" Target="https://3arbzfbsh-cname-us.ngrok.io/Desktop/seabridge%20fintech/blueline_pa_icon/COP_pa_blueline_signal.jpg" TargetMode="External"/><Relationship Id="rId373" Type="http://schemas.openxmlformats.org/officeDocument/2006/relationships/hyperlink" Target="https://3arbzfbsh-cname-us.ngrok.io/Desktop/seabridge%20fintech/blueline_pa_icon/LRCX_pa_blueline_signal.jpg" TargetMode="External"/><Relationship Id="rId130" Type="http://schemas.openxmlformats.org/officeDocument/2006/relationships/hyperlink" Target="https://3arbzfbsh-cname-us.ngrok.io/Desktop/seabridge%20fintech/blueline_pa_icon/COO_pa_blueline_signal.jpg" TargetMode="External"/><Relationship Id="rId372" Type="http://schemas.openxmlformats.org/officeDocument/2006/relationships/hyperlink" Target="https://3arbzfbsh-cname-us.ngrok.io/Desktop/seabridge%20fintech/blueline_pa_icon/LQD_pa_blueline_signal.jpg" TargetMode="External"/><Relationship Id="rId371" Type="http://schemas.openxmlformats.org/officeDocument/2006/relationships/hyperlink" Target="https://3arbzfbsh-cname-us.ngrok.io/Desktop/seabridge%20fintech/blueline_pa_icon/LPX_pa_blueline_signal.jpg" TargetMode="External"/><Relationship Id="rId136" Type="http://schemas.openxmlformats.org/officeDocument/2006/relationships/hyperlink" Target="https://3arbzfbsh-cname-us.ngrok.io/Desktop/seabridge%20fintech/blueline_pa_icon/CRM_pa_blueline_signal.jpg" TargetMode="External"/><Relationship Id="rId378" Type="http://schemas.openxmlformats.org/officeDocument/2006/relationships/hyperlink" Target="https://3arbzfbsh-cname-us.ngrok.io/Desktop/seabridge%20fintech/blueline_pa_icon/LW_pa_blueline_signal.jpg" TargetMode="External"/><Relationship Id="rId135" Type="http://schemas.openxmlformats.org/officeDocument/2006/relationships/hyperlink" Target="https://3arbzfbsh-cname-us.ngrok.io/Desktop/seabridge%20fintech/blueline_pa_icon/CRL_pa_blueline_signal.jpg" TargetMode="External"/><Relationship Id="rId377" Type="http://schemas.openxmlformats.org/officeDocument/2006/relationships/hyperlink" Target="https://3arbzfbsh-cname-us.ngrok.io/Desktop/seabridge%20fintech/blueline_pa_icon/LVS_pa_blueline_signal.jpg" TargetMode="External"/><Relationship Id="rId134" Type="http://schemas.openxmlformats.org/officeDocument/2006/relationships/hyperlink" Target="https://3arbzfbsh-cname-us.ngrok.io/Desktop/seabridge%20fintech/blueline_pa_icon/CPRT_pa_blueline_signal.jpg" TargetMode="External"/><Relationship Id="rId376" Type="http://schemas.openxmlformats.org/officeDocument/2006/relationships/hyperlink" Target="https://3arbzfbsh-cname-us.ngrok.io/Desktop/seabridge%20fintech/blueline_pa_icon/LUV_pa_blueline_signal.jpg" TargetMode="External"/><Relationship Id="rId133" Type="http://schemas.openxmlformats.org/officeDocument/2006/relationships/hyperlink" Target="https://3arbzfbsh-cname-us.ngrok.io/Desktop/seabridge%20fintech/blueline_pa_icon/CPB_pa_blueline_signal.jpg" TargetMode="External"/><Relationship Id="rId375" Type="http://schemas.openxmlformats.org/officeDocument/2006/relationships/hyperlink" Target="https://3arbzfbsh-cname-us.ngrok.io/Desktop/seabridge%20fintech/blueline_pa_icon/LUMN_pa_blueline_signal.jpg" TargetMode="External"/><Relationship Id="rId172" Type="http://schemas.openxmlformats.org/officeDocument/2006/relationships/hyperlink" Target="https://3arbzfbsh-cname-us.ngrok.io/Desktop/seabridge%20fintech/blueline_pa_icon/DOV_pa_blueline_signal.jpg" TargetMode="External"/><Relationship Id="rId171" Type="http://schemas.openxmlformats.org/officeDocument/2006/relationships/hyperlink" Target="https://3arbzfbsh-cname-us.ngrok.io/Desktop/seabridge%20fintech/blueline_pa_icon/DOCU_pa_blueline_signal.jpg" TargetMode="External"/><Relationship Id="rId170" Type="http://schemas.openxmlformats.org/officeDocument/2006/relationships/hyperlink" Target="https://3arbzfbsh-cname-us.ngrok.io/Desktop/seabridge%20fintech/blueline_pa_icon/DLTR_pa_blueline_signal.jpg" TargetMode="External"/><Relationship Id="rId165" Type="http://schemas.openxmlformats.org/officeDocument/2006/relationships/hyperlink" Target="https://3arbzfbsh-cname-us.ngrok.io/Desktop/seabridge%20fintech/blueline_pa_icon/DIS_pa_blueline_signal.jpg" TargetMode="External"/><Relationship Id="rId164" Type="http://schemas.openxmlformats.org/officeDocument/2006/relationships/hyperlink" Target="https://3arbzfbsh-cname-us.ngrok.io/Desktop/seabridge%20fintech/blueline_pa_icon/DIA_pa_blueline_signal.jpg" TargetMode="External"/><Relationship Id="rId163" Type="http://schemas.openxmlformats.org/officeDocument/2006/relationships/hyperlink" Target="https://3arbzfbsh-cname-us.ngrok.io/Desktop/seabridge%20fintech/blueline_pa_icon/DHR_pa_blueline_signal.jpg" TargetMode="External"/><Relationship Id="rId162" Type="http://schemas.openxmlformats.org/officeDocument/2006/relationships/hyperlink" Target="https://3arbzfbsh-cname-us.ngrok.io/Desktop/seabridge%20fintech/blueline_pa_icon/DHI_pa_blueline_signal.jpg" TargetMode="External"/><Relationship Id="rId169" Type="http://schemas.openxmlformats.org/officeDocument/2006/relationships/hyperlink" Target="https://3arbzfbsh-cname-us.ngrok.io/Desktop/seabridge%20fintech/blueline_pa_icon/DLR_pa_blueline_signal.jpg" TargetMode="External"/><Relationship Id="rId168" Type="http://schemas.openxmlformats.org/officeDocument/2006/relationships/hyperlink" Target="https://3arbzfbsh-cname-us.ngrok.io/Desktop/seabridge%20fintech/blueline_pa_icon/DKNG_pa_blueline_signal.jpg" TargetMode="External"/><Relationship Id="rId167" Type="http://schemas.openxmlformats.org/officeDocument/2006/relationships/hyperlink" Target="https://3arbzfbsh-cname-us.ngrok.io/Desktop/seabridge%20fintech/blueline_pa_icon/DISH_pa_blueline_signal.jpg" TargetMode="External"/><Relationship Id="rId166" Type="http://schemas.openxmlformats.org/officeDocument/2006/relationships/hyperlink" Target="https://3arbzfbsh-cname-us.ngrok.io/Desktop/seabridge%20fintech/blueline_pa_icon/DISCA_pa_blueline_signal.jpg" TargetMode="External"/><Relationship Id="rId161" Type="http://schemas.openxmlformats.org/officeDocument/2006/relationships/hyperlink" Target="https://3arbzfbsh-cname-us.ngrok.io/Desktop/seabridge%20fintech/blueline_pa_icon/DGX_pa_blueline_signal.jpg" TargetMode="External"/><Relationship Id="rId160" Type="http://schemas.openxmlformats.org/officeDocument/2006/relationships/hyperlink" Target="https://3arbzfbsh-cname-us.ngrok.io/Desktop/seabridge%20fintech/blueline_pa_icon/DG_pa_blueline_signal.jpg" TargetMode="External"/><Relationship Id="rId159" Type="http://schemas.openxmlformats.org/officeDocument/2006/relationships/hyperlink" Target="https://3arbzfbsh-cname-us.ngrok.io/Desktop/seabridge%20fintech/blueline_pa_icon/DFS_pa_blueline_signal.jpg" TargetMode="External"/><Relationship Id="rId154" Type="http://schemas.openxmlformats.org/officeDocument/2006/relationships/hyperlink" Target="https://3arbzfbsh-cname-us.ngrok.io/Desktop/seabridge%20fintech/blueline_pa_icon/DD_pa_blueline_signal.jpg" TargetMode="External"/><Relationship Id="rId396" Type="http://schemas.openxmlformats.org/officeDocument/2006/relationships/hyperlink" Target="https://3arbzfbsh-cname-us.ngrok.io/Desktop/seabridge%20fintech/blueline_pa_icon/MGM_pa_blueline_signal.jpg" TargetMode="External"/><Relationship Id="rId153" Type="http://schemas.openxmlformats.org/officeDocument/2006/relationships/hyperlink" Target="https://3arbzfbsh-cname-us.ngrok.io/Desktop/seabridge%20fintech/blueline_pa_icon/DBX_pa_blueline_signal.jpg" TargetMode="External"/><Relationship Id="rId395" Type="http://schemas.openxmlformats.org/officeDocument/2006/relationships/hyperlink" Target="https://3arbzfbsh-cname-us.ngrok.io/Desktop/seabridge%20fintech/blueline_pa_icon/MET_pa_blueline_signal.jpg" TargetMode="External"/><Relationship Id="rId152" Type="http://schemas.openxmlformats.org/officeDocument/2006/relationships/hyperlink" Target="https://3arbzfbsh-cname-us.ngrok.io/Desktop/seabridge%20fintech/blueline_pa_icon/DAR_pa_blueline_signal.jpg" TargetMode="External"/><Relationship Id="rId394" Type="http://schemas.openxmlformats.org/officeDocument/2006/relationships/hyperlink" Target="https://3arbzfbsh-cname-us.ngrok.io/Desktop/seabridge%20fintech/blueline_pa_icon/MELI_pa_blueline_signal.jpg" TargetMode="External"/><Relationship Id="rId151" Type="http://schemas.openxmlformats.org/officeDocument/2006/relationships/hyperlink" Target="https://3arbzfbsh-cname-us.ngrok.io/Desktop/seabridge%20fintech/blueline_pa_icon/DAL_pa_blueline_signal.jpg" TargetMode="External"/><Relationship Id="rId393" Type="http://schemas.openxmlformats.org/officeDocument/2006/relationships/hyperlink" Target="https://3arbzfbsh-cname-us.ngrok.io/Desktop/seabridge%20fintech/blueline_pa_icon/MDT_pa_blueline_signal.jpg" TargetMode="External"/><Relationship Id="rId158" Type="http://schemas.openxmlformats.org/officeDocument/2006/relationships/hyperlink" Target="https://3arbzfbsh-cname-us.ngrok.io/Desktop/seabridge%20fintech/blueline_pa_icon/DELL_pa_blueline_signal.jpg" TargetMode="External"/><Relationship Id="rId157" Type="http://schemas.openxmlformats.org/officeDocument/2006/relationships/hyperlink" Target="https://3arbzfbsh-cname-us.ngrok.io/Desktop/seabridge%20fintech/blueline_pa_icon/DE_pa_blueline_signal.jpg" TargetMode="External"/><Relationship Id="rId399" Type="http://schemas.openxmlformats.org/officeDocument/2006/relationships/hyperlink" Target="https://3arbzfbsh-cname-us.ngrok.io/Desktop/seabridge%20fintech/blueline_pa_icon/MKC_pa_blueline_signal.jpg" TargetMode="External"/><Relationship Id="rId156" Type="http://schemas.openxmlformats.org/officeDocument/2006/relationships/hyperlink" Target="https://3arbzfbsh-cname-us.ngrok.io/Desktop/seabridge%20fintech/blueline_pa_icon/DDOG_pa_blueline_signal.jpg" TargetMode="External"/><Relationship Id="rId398" Type="http://schemas.openxmlformats.org/officeDocument/2006/relationships/hyperlink" Target="https://3arbzfbsh-cname-us.ngrok.io/Desktop/seabridge%20fintech/blueline_pa_icon/MHK_pa_blueline_signal.jpg" TargetMode="External"/><Relationship Id="rId155" Type="http://schemas.openxmlformats.org/officeDocument/2006/relationships/hyperlink" Target="https://3arbzfbsh-cname-us.ngrok.io/Desktop/seabridge%20fintech/blueline_pa_icon/DDD_pa_blueline_signal.jpg" TargetMode="External"/><Relationship Id="rId397" Type="http://schemas.openxmlformats.org/officeDocument/2006/relationships/hyperlink" Target="https://3arbzfbsh-cname-us.ngrok.io/Desktop/seabridge%20fintech/blueline_pa_icon/MGNI_pa_blueline_signal.jpg" TargetMode="External"/><Relationship Id="rId40" Type="http://schemas.openxmlformats.org/officeDocument/2006/relationships/hyperlink" Target="https://3arbzfbsh-cname-us.ngrok.io/Desktop/seabridge%20fintech/blueline_pa_icon/AMLP_pa_blueline_signal.jpg" TargetMode="External"/><Relationship Id="rId42" Type="http://schemas.openxmlformats.org/officeDocument/2006/relationships/hyperlink" Target="https://3arbzfbsh-cname-us.ngrok.io/Desktop/seabridge%20fintech/blueline_pa_icon/AMT_pa_blueline_signal.jpg" TargetMode="External"/><Relationship Id="rId41" Type="http://schemas.openxmlformats.org/officeDocument/2006/relationships/hyperlink" Target="https://3arbzfbsh-cname-us.ngrok.io/Desktop/seabridge%20fintech/blueline_pa_icon/AMP_pa_blueline_signal.jpg" TargetMode="External"/><Relationship Id="rId44" Type="http://schemas.openxmlformats.org/officeDocument/2006/relationships/hyperlink" Target="https://3arbzfbsh-cname-us.ngrok.io/Desktop/seabridge%20fintech/blueline_pa_icon/ANET_pa_blueline_signal.jpg" TargetMode="External"/><Relationship Id="rId43" Type="http://schemas.openxmlformats.org/officeDocument/2006/relationships/hyperlink" Target="https://3arbzfbsh-cname-us.ngrok.io/Desktop/seabridge%20fintech/blueline_pa_icon/AMZN_pa_blueline_signal.jpg" TargetMode="External"/><Relationship Id="rId46" Type="http://schemas.openxmlformats.org/officeDocument/2006/relationships/hyperlink" Target="https://3arbzfbsh-cname-us.ngrok.io/Desktop/seabridge%20fintech/blueline_pa_icon/ANTM_pa_blueline_signal.jpg" TargetMode="External"/><Relationship Id="rId45" Type="http://schemas.openxmlformats.org/officeDocument/2006/relationships/hyperlink" Target="https://3arbzfbsh-cname-us.ngrok.io/Desktop/seabridge%20fintech/blueline_pa_icon/ANSS_pa_blueline_signal.jpg" TargetMode="External"/><Relationship Id="rId509" Type="http://schemas.openxmlformats.org/officeDocument/2006/relationships/hyperlink" Target="https://3arbzfbsh-cname-us.ngrok.io/Desktop/seabridge%20fintech/blueline_pa_icon/QRVO_pa_blueline_signal.jpg" TargetMode="External"/><Relationship Id="rId508" Type="http://schemas.openxmlformats.org/officeDocument/2006/relationships/hyperlink" Target="https://3arbzfbsh-cname-us.ngrok.io/Desktop/seabridge%20fintech/blueline_pa_icon/QQQ_pa_blueline_signal.jpg" TargetMode="External"/><Relationship Id="rId503" Type="http://schemas.openxmlformats.org/officeDocument/2006/relationships/hyperlink" Target="https://3arbzfbsh-cname-us.ngrok.io/Desktop/seabridge%20fintech/blueline_pa_icon/PWR_pa_blueline_signal.jpg" TargetMode="External"/><Relationship Id="rId502" Type="http://schemas.openxmlformats.org/officeDocument/2006/relationships/hyperlink" Target="https://3arbzfbsh-cname-us.ngrok.io/Desktop/seabridge%20fintech/blueline_pa_icon/PVH_pa_blueline_signal.jpg" TargetMode="External"/><Relationship Id="rId501" Type="http://schemas.openxmlformats.org/officeDocument/2006/relationships/hyperlink" Target="https://3arbzfbsh-cname-us.ngrok.io/Desktop/seabridge%20fintech/blueline_pa_icon/PTON_pa_blueline_signal.jpg" TargetMode="External"/><Relationship Id="rId500" Type="http://schemas.openxmlformats.org/officeDocument/2006/relationships/hyperlink" Target="https://3arbzfbsh-cname-us.ngrok.io/Desktop/seabridge%20fintech/blueline_pa_icon/PTC_pa_blueline_signal.jpg" TargetMode="External"/><Relationship Id="rId507" Type="http://schemas.openxmlformats.org/officeDocument/2006/relationships/hyperlink" Target="https://3arbzfbsh-cname-us.ngrok.io/Desktop/seabridge%20fintech/blueline_pa_icon/QLD_pa_blueline_signal.jpg" TargetMode="External"/><Relationship Id="rId506" Type="http://schemas.openxmlformats.org/officeDocument/2006/relationships/hyperlink" Target="https://3arbzfbsh-cname-us.ngrok.io/Desktop/seabridge%20fintech/blueline_pa_icon/QCOM_pa_blueline_signal.jpg" TargetMode="External"/><Relationship Id="rId505" Type="http://schemas.openxmlformats.org/officeDocument/2006/relationships/hyperlink" Target="https://3arbzfbsh-cname-us.ngrok.io/Desktop/seabridge%20fintech/blueline_pa_icon/PYPL_pa_blueline_signal.jpg" TargetMode="External"/><Relationship Id="rId504" Type="http://schemas.openxmlformats.org/officeDocument/2006/relationships/hyperlink" Target="https://3arbzfbsh-cname-us.ngrok.io/Desktop/seabridge%20fintech/blueline_pa_icon/PXD_pa_blueline_signal.jpg" TargetMode="External"/><Relationship Id="rId48" Type="http://schemas.openxmlformats.org/officeDocument/2006/relationships/hyperlink" Target="https://3arbzfbsh-cname-us.ngrok.io/Desktop/seabridge%20fintech/blueline_pa_icon/AOS_pa_blueline_signal.jpg" TargetMode="External"/><Relationship Id="rId47" Type="http://schemas.openxmlformats.org/officeDocument/2006/relationships/hyperlink" Target="https://3arbzfbsh-cname-us.ngrok.io/Desktop/seabridge%20fintech/blueline_pa_icon/AON_pa_blueline_signal.jpg" TargetMode="External"/><Relationship Id="rId49" Type="http://schemas.openxmlformats.org/officeDocument/2006/relationships/hyperlink" Target="https://3arbzfbsh-cname-us.ngrok.io/Desktop/seabridge%20fintech/blueline_pa_icon/APA_pa_blueline_signal.jpg" TargetMode="External"/><Relationship Id="rId31" Type="http://schemas.openxmlformats.org/officeDocument/2006/relationships/hyperlink" Target="https://3arbzfbsh-cname-us.ngrok.io/Desktop/seabridge%20fintech/blueline_pa_icon/ALLE_pa_blueline_signal.jpg" TargetMode="External"/><Relationship Id="rId30" Type="http://schemas.openxmlformats.org/officeDocument/2006/relationships/hyperlink" Target="https://3arbzfbsh-cname-us.ngrok.io/Desktop/seabridge%20fintech/blueline_pa_icon/ALL_pa_blueline_signal.jpg" TargetMode="External"/><Relationship Id="rId33" Type="http://schemas.openxmlformats.org/officeDocument/2006/relationships/hyperlink" Target="https://3arbzfbsh-cname-us.ngrok.io/Desktop/seabridge%20fintech/blueline_pa_icon/ALXN_pa_blueline_signal.jpg" TargetMode="External"/><Relationship Id="rId32" Type="http://schemas.openxmlformats.org/officeDocument/2006/relationships/hyperlink" Target="https://3arbzfbsh-cname-us.ngrok.io/Desktop/seabridge%20fintech/blueline_pa_icon/ALLY_pa_blueline_signal.jpg" TargetMode="External"/><Relationship Id="rId35" Type="http://schemas.openxmlformats.org/officeDocument/2006/relationships/hyperlink" Target="https://3arbzfbsh-cname-us.ngrok.io/Desktop/seabridge%20fintech/blueline_pa_icon/AMC_pa_blueline_signal.jpg" TargetMode="External"/><Relationship Id="rId34" Type="http://schemas.openxmlformats.org/officeDocument/2006/relationships/hyperlink" Target="https://3arbzfbsh-cname-us.ngrok.io/Desktop/seabridge%20fintech/blueline_pa_icon/AMAT_pa_blueline_signal.jpg" TargetMode="External"/><Relationship Id="rId37" Type="http://schemas.openxmlformats.org/officeDocument/2006/relationships/hyperlink" Target="https://3arbzfbsh-cname-us.ngrok.io/Desktop/seabridge%20fintech/blueline_pa_icon/AMD_pa_blueline_signal.jpg" TargetMode="External"/><Relationship Id="rId36" Type="http://schemas.openxmlformats.org/officeDocument/2006/relationships/hyperlink" Target="https://3arbzfbsh-cname-us.ngrok.io/Desktop/seabridge%20fintech/blueline_pa_icon/AMCR_pa_blueline_signal.jpg" TargetMode="External"/><Relationship Id="rId39" Type="http://schemas.openxmlformats.org/officeDocument/2006/relationships/hyperlink" Target="https://3arbzfbsh-cname-us.ngrok.io/Desktop/seabridge%20fintech/blueline_pa_icon/AMGN_pa_blueline_signal.jpg" TargetMode="External"/><Relationship Id="rId38" Type="http://schemas.openxmlformats.org/officeDocument/2006/relationships/hyperlink" Target="https://3arbzfbsh-cname-us.ngrok.io/Desktop/seabridge%20fintech/blueline_pa_icon/AME_pa_blueline_signal.jpg" TargetMode="External"/><Relationship Id="rId20" Type="http://schemas.openxmlformats.org/officeDocument/2006/relationships/hyperlink" Target="https://3arbzfbsh-cname-us.ngrok.io/Desktop/seabridge%20fintech/blueline_pa_icon/AFL_pa_blueline_signal.jpg" TargetMode="External"/><Relationship Id="rId22" Type="http://schemas.openxmlformats.org/officeDocument/2006/relationships/hyperlink" Target="https://3arbzfbsh-cname-us.ngrok.io/Desktop/seabridge%20fintech/blueline_pa_icon/AI_pa_blueline_signal.jpg" TargetMode="External"/><Relationship Id="rId21" Type="http://schemas.openxmlformats.org/officeDocument/2006/relationships/hyperlink" Target="https://3arbzfbsh-cname-us.ngrok.io/Desktop/seabridge%20fintech/blueline_pa_icon/AGG_pa_blueline_signal.jpg" TargetMode="External"/><Relationship Id="rId24" Type="http://schemas.openxmlformats.org/officeDocument/2006/relationships/hyperlink" Target="https://3arbzfbsh-cname-us.ngrok.io/Desktop/seabridge%20fintech/blueline_pa_icon/AIZ_pa_blueline_signal.jpg" TargetMode="External"/><Relationship Id="rId23" Type="http://schemas.openxmlformats.org/officeDocument/2006/relationships/hyperlink" Target="https://3arbzfbsh-cname-us.ngrok.io/Desktop/seabridge%20fintech/blueline_pa_icon/AIG_pa_blueline_signal.jpg" TargetMode="External"/><Relationship Id="rId525" Type="http://schemas.openxmlformats.org/officeDocument/2006/relationships/hyperlink" Target="https://3arbzfbsh-cname-us.ngrok.io/Desktop/seabridge%20fintech/blueline_pa_icon/RSG_pa_blueline_signal.jpg" TargetMode="External"/><Relationship Id="rId524" Type="http://schemas.openxmlformats.org/officeDocument/2006/relationships/hyperlink" Target="https://3arbzfbsh-cname-us.ngrok.io/Desktop/seabridge%20fintech/blueline_pa_icon/ROST_pa_blueline_signal.jpg" TargetMode="External"/><Relationship Id="rId523" Type="http://schemas.openxmlformats.org/officeDocument/2006/relationships/hyperlink" Target="https://3arbzfbsh-cname-us.ngrok.io/Desktop/seabridge%20fintech/blueline_pa_icon/ROP_pa_blueline_signal.jpg" TargetMode="External"/><Relationship Id="rId522" Type="http://schemas.openxmlformats.org/officeDocument/2006/relationships/hyperlink" Target="https://3arbzfbsh-cname-us.ngrok.io/Desktop/seabridge%20fintech/blueline_pa_icon/ROL_pa_blueline_signal.jpg" TargetMode="External"/><Relationship Id="rId529" Type="http://schemas.openxmlformats.org/officeDocument/2006/relationships/hyperlink" Target="https://3arbzfbsh-cname-us.ngrok.io/Desktop/seabridge%20fintech/blueline_pa_icon/SAVA_pa_blueline_signal.jpg" TargetMode="External"/><Relationship Id="rId528" Type="http://schemas.openxmlformats.org/officeDocument/2006/relationships/hyperlink" Target="https://3arbzfbsh-cname-us.ngrok.io/Desktop/seabridge%20fintech/blueline_pa_icon/RUN_pa_blueline_signal.jpg" TargetMode="External"/><Relationship Id="rId527" Type="http://schemas.openxmlformats.org/officeDocument/2006/relationships/hyperlink" Target="https://3arbzfbsh-cname-us.ngrok.io/Desktop/seabridge%20fintech/blueline_pa_icon/RTX_pa_blueline_signal.jpg" TargetMode="External"/><Relationship Id="rId526" Type="http://schemas.openxmlformats.org/officeDocument/2006/relationships/hyperlink" Target="https://3arbzfbsh-cname-us.ngrok.io/Desktop/seabridge%20fintech/blueline_pa_icon/RSP_pa_blueline_signal.jpg" TargetMode="External"/><Relationship Id="rId26" Type="http://schemas.openxmlformats.org/officeDocument/2006/relationships/hyperlink" Target="https://3arbzfbsh-cname-us.ngrok.io/Desktop/seabridge%20fintech/blueline_pa_icon/AKAM_pa_blueline_signal.jpg" TargetMode="External"/><Relationship Id="rId25" Type="http://schemas.openxmlformats.org/officeDocument/2006/relationships/hyperlink" Target="https://3arbzfbsh-cname-us.ngrok.io/Desktop/seabridge%20fintech/blueline_pa_icon/AJG_pa_blueline_signal.jpg" TargetMode="External"/><Relationship Id="rId28" Type="http://schemas.openxmlformats.org/officeDocument/2006/relationships/hyperlink" Target="https://3arbzfbsh-cname-us.ngrok.io/Desktop/seabridge%20fintech/blueline_pa_icon/ALGN_pa_blueline_signal.jpg" TargetMode="External"/><Relationship Id="rId27" Type="http://schemas.openxmlformats.org/officeDocument/2006/relationships/hyperlink" Target="https://3arbzfbsh-cname-us.ngrok.io/Desktop/seabridge%20fintech/blueline_pa_icon/ALB_pa_blueline_signal.jpg" TargetMode="External"/><Relationship Id="rId521" Type="http://schemas.openxmlformats.org/officeDocument/2006/relationships/hyperlink" Target="https://3arbzfbsh-cname-us.ngrok.io/Desktop/seabridge%20fintech/blueline_pa_icon/ROKU_pa_blueline_signal.jpg" TargetMode="External"/><Relationship Id="rId29" Type="http://schemas.openxmlformats.org/officeDocument/2006/relationships/hyperlink" Target="https://3arbzfbsh-cname-us.ngrok.io/Desktop/seabridge%20fintech/blueline_pa_icon/ALK_pa_blueline_signal.jpg" TargetMode="External"/><Relationship Id="rId520" Type="http://schemas.openxmlformats.org/officeDocument/2006/relationships/hyperlink" Target="https://3arbzfbsh-cname-us.ngrok.io/Desktop/seabridge%20fintech/blueline_pa_icon/ROK_pa_blueline_signal.jpg" TargetMode="External"/><Relationship Id="rId11" Type="http://schemas.openxmlformats.org/officeDocument/2006/relationships/hyperlink" Target="https://3arbzfbsh-cname-us.ngrok.io/Desktop/seabridge%20fintech/blueline_pa_icon/ADBE_pa_blueline_signal.jpg" TargetMode="External"/><Relationship Id="rId10" Type="http://schemas.openxmlformats.org/officeDocument/2006/relationships/hyperlink" Target="https://3arbzfbsh-cname-us.ngrok.io/Desktop/seabridge%20fintech/blueline_pa_icon/ACN_pa_blueline_signal.jpg" TargetMode="External"/><Relationship Id="rId13" Type="http://schemas.openxmlformats.org/officeDocument/2006/relationships/hyperlink" Target="https://3arbzfbsh-cname-us.ngrok.io/Desktop/seabridge%20fintech/blueline_pa_icon/ADM_pa_blueline_signal.jpg" TargetMode="External"/><Relationship Id="rId12" Type="http://schemas.openxmlformats.org/officeDocument/2006/relationships/hyperlink" Target="https://3arbzfbsh-cname-us.ngrok.io/Desktop/seabridge%20fintech/blueline_pa_icon/ADI_pa_blueline_signal.jpg" TargetMode="External"/><Relationship Id="rId519" Type="http://schemas.openxmlformats.org/officeDocument/2006/relationships/hyperlink" Target="https://3arbzfbsh-cname-us.ngrok.io/Desktop/seabridge%20fintech/blueline_pa_icon/RMD_pa_blueline_signal.jpg" TargetMode="External"/><Relationship Id="rId514" Type="http://schemas.openxmlformats.org/officeDocument/2006/relationships/hyperlink" Target="https://3arbzfbsh-cname-us.ngrok.io/Desktop/seabridge%20fintech/blueline_pa_icon/RF_pa_blueline_signal.jpg" TargetMode="External"/><Relationship Id="rId513" Type="http://schemas.openxmlformats.org/officeDocument/2006/relationships/hyperlink" Target="https://3arbzfbsh-cname-us.ngrok.io/Desktop/seabridge%20fintech/blueline_pa_icon/REGN_pa_blueline_signal.jpg" TargetMode="External"/><Relationship Id="rId512" Type="http://schemas.openxmlformats.org/officeDocument/2006/relationships/hyperlink" Target="https://3arbzfbsh-cname-us.ngrok.io/Desktop/seabridge%20fintech/blueline_pa_icon/REG_pa_blueline_signal.jpg" TargetMode="External"/><Relationship Id="rId511" Type="http://schemas.openxmlformats.org/officeDocument/2006/relationships/hyperlink" Target="https://3arbzfbsh-cname-us.ngrok.io/Desktop/seabridge%20fintech/blueline_pa_icon/RE_pa_blueline_signal.jpg" TargetMode="External"/><Relationship Id="rId518" Type="http://schemas.openxmlformats.org/officeDocument/2006/relationships/hyperlink" Target="https://3arbzfbsh-cname-us.ngrok.io/Desktop/seabridge%20fintech/blueline_pa_icon/RL_pa_blueline_signal.jpg" TargetMode="External"/><Relationship Id="rId517" Type="http://schemas.openxmlformats.org/officeDocument/2006/relationships/hyperlink" Target="https://3arbzfbsh-cname-us.ngrok.io/Desktop/seabridge%20fintech/blueline_pa_icon/RJF_pa_blueline_signal.jpg" TargetMode="External"/><Relationship Id="rId516" Type="http://schemas.openxmlformats.org/officeDocument/2006/relationships/hyperlink" Target="https://3arbzfbsh-cname-us.ngrok.io/Desktop/seabridge%20fintech/blueline_pa_icon/RIOT_pa_blueline_signal.jpg" TargetMode="External"/><Relationship Id="rId515" Type="http://schemas.openxmlformats.org/officeDocument/2006/relationships/hyperlink" Target="https://3arbzfbsh-cname-us.ngrok.io/Desktop/seabridge%20fintech/blueline_pa_icon/RHI_pa_blueline_signal.jpg" TargetMode="External"/><Relationship Id="rId15" Type="http://schemas.openxmlformats.org/officeDocument/2006/relationships/hyperlink" Target="https://3arbzfbsh-cname-us.ngrok.io/Desktop/seabridge%20fintech/blueline_pa_icon/ADSK_pa_blueline_signal.jpg" TargetMode="External"/><Relationship Id="rId14" Type="http://schemas.openxmlformats.org/officeDocument/2006/relationships/hyperlink" Target="https://3arbzfbsh-cname-us.ngrok.io/Desktop/seabridge%20fintech/blueline_pa_icon/ADP_pa_blueline_signal.jpg" TargetMode="External"/><Relationship Id="rId17" Type="http://schemas.openxmlformats.org/officeDocument/2006/relationships/hyperlink" Target="https://3arbzfbsh-cname-us.ngrok.io/Desktop/seabridge%20fintech/blueline_pa_icon/AEO_pa_blueline_signal.jpg" TargetMode="External"/><Relationship Id="rId16" Type="http://schemas.openxmlformats.org/officeDocument/2006/relationships/hyperlink" Target="https://3arbzfbsh-cname-us.ngrok.io/Desktop/seabridge%20fintech/blueline_pa_icon/AEE_pa_blueline_signal.jpg" TargetMode="External"/><Relationship Id="rId19" Type="http://schemas.openxmlformats.org/officeDocument/2006/relationships/hyperlink" Target="https://3arbzfbsh-cname-us.ngrok.io/Desktop/seabridge%20fintech/blueline_pa_icon/AES_pa_blueline_signal.jpg" TargetMode="External"/><Relationship Id="rId510" Type="http://schemas.openxmlformats.org/officeDocument/2006/relationships/hyperlink" Target="https://3arbzfbsh-cname-us.ngrok.io/Desktop/seabridge%20fintech/blueline_pa_icon/RCL_pa_blueline_signal.jpg" TargetMode="External"/><Relationship Id="rId18" Type="http://schemas.openxmlformats.org/officeDocument/2006/relationships/hyperlink" Target="https://3arbzfbsh-cname-us.ngrok.io/Desktop/seabridge%20fintech/blueline_pa_icon/AEP_pa_blueline_signal.jpg" TargetMode="External"/><Relationship Id="rId84" Type="http://schemas.openxmlformats.org/officeDocument/2006/relationships/hyperlink" Target="https://3arbzfbsh-cname-us.ngrok.io/Desktop/seabridge%20fintech/blueline_pa_icon/BLK_pa_blueline_signal.jpg" TargetMode="External"/><Relationship Id="rId83" Type="http://schemas.openxmlformats.org/officeDocument/2006/relationships/hyperlink" Target="https://3arbzfbsh-cname-us.ngrok.io/Desktop/seabridge%20fintech/blueline_pa_icon/BLDR_pa_blueline_signal.jpg" TargetMode="External"/><Relationship Id="rId86" Type="http://schemas.openxmlformats.org/officeDocument/2006/relationships/hyperlink" Target="https://3arbzfbsh-cname-us.ngrok.io/Desktop/seabridge%20fintech/blueline_pa_icon/BMY_pa_blueline_signal.jpg" TargetMode="External"/><Relationship Id="rId85" Type="http://schemas.openxmlformats.org/officeDocument/2006/relationships/hyperlink" Target="https://3arbzfbsh-cname-us.ngrok.io/Desktop/seabridge%20fintech/blueline_pa_icon/BLL_pa_blueline_signal.jpg" TargetMode="External"/><Relationship Id="rId88" Type="http://schemas.openxmlformats.org/officeDocument/2006/relationships/hyperlink" Target="https://3arbzfbsh-cname-us.ngrok.io/Desktop/seabridge%20fintech/blueline_pa_icon/BNDX_pa_blueline_signal.jpg" TargetMode="External"/><Relationship Id="rId87" Type="http://schemas.openxmlformats.org/officeDocument/2006/relationships/hyperlink" Target="https://3arbzfbsh-cname-us.ngrok.io/Desktop/seabridge%20fintech/blueline_pa_icon/BND_pa_blueline_signal.jpg" TargetMode="External"/><Relationship Id="rId89" Type="http://schemas.openxmlformats.org/officeDocument/2006/relationships/hyperlink" Target="https://3arbzfbsh-cname-us.ngrok.io/Desktop/seabridge%20fintech/blueline_pa_icon/BR_pa_blueline_signal.jpg" TargetMode="External"/><Relationship Id="rId80" Type="http://schemas.openxmlformats.org/officeDocument/2006/relationships/hyperlink" Target="https://3arbzfbsh-cname-us.ngrok.io/Desktop/seabridge%20fintech/blueline_pa_icon/BK_pa_blueline_signal.jpg" TargetMode="External"/><Relationship Id="rId82" Type="http://schemas.openxmlformats.org/officeDocument/2006/relationships/hyperlink" Target="https://3arbzfbsh-cname-us.ngrok.io/Desktop/seabridge%20fintech/blueline_pa_icon/BKR_pa_blueline_signal.jpg" TargetMode="External"/><Relationship Id="rId81" Type="http://schemas.openxmlformats.org/officeDocument/2006/relationships/hyperlink" Target="https://3arbzfbsh-cname-us.ngrok.io/Desktop/seabridge%20fintech/blueline_pa_icon/BKNG_pa_blueline_signal.jpg" TargetMode="External"/><Relationship Id="rId701" Type="http://schemas.openxmlformats.org/officeDocument/2006/relationships/drawing" Target="../drawings/drawing9.xml"/><Relationship Id="rId700" Type="http://schemas.openxmlformats.org/officeDocument/2006/relationships/hyperlink" Target="https://3arbzfbsh-cname-us.ngrok.io/Desktop/seabridge%20fintech/blueline_pa_icon/ZTS_pa_blueline_signal.jpg" TargetMode="External"/><Relationship Id="rId73" Type="http://schemas.openxmlformats.org/officeDocument/2006/relationships/hyperlink" Target="https://3arbzfbsh-cname-us.ngrok.io/Desktop/seabridge%20fintech/blueline_pa_icon/BBBY_pa_blueline_signal.jpg" TargetMode="External"/><Relationship Id="rId72" Type="http://schemas.openxmlformats.org/officeDocument/2006/relationships/hyperlink" Target="https://3arbzfbsh-cname-us.ngrok.io/Desktop/seabridge%20fintech/blueline_pa_icon/BAX_pa_blueline_signal.jpg" TargetMode="External"/><Relationship Id="rId75" Type="http://schemas.openxmlformats.org/officeDocument/2006/relationships/hyperlink" Target="https://3arbzfbsh-cname-us.ngrok.io/Desktop/seabridge%20fintech/blueline_pa_icon/BDX_pa_blueline_signal.jpg" TargetMode="External"/><Relationship Id="rId74" Type="http://schemas.openxmlformats.org/officeDocument/2006/relationships/hyperlink" Target="https://3arbzfbsh-cname-us.ngrok.io/Desktop/seabridge%20fintech/blueline_pa_icon/BBY_pa_blueline_signal.jpg" TargetMode="External"/><Relationship Id="rId77" Type="http://schemas.openxmlformats.org/officeDocument/2006/relationships/hyperlink" Target="https://3arbzfbsh-cname-us.ngrok.io/Desktop/seabridge%20fintech/blueline_pa_icon/BIDU_pa_blueline_signal.jpg" TargetMode="External"/><Relationship Id="rId76" Type="http://schemas.openxmlformats.org/officeDocument/2006/relationships/hyperlink" Target="https://3arbzfbsh-cname-us.ngrok.io/Desktop/seabridge%20fintech/blueline_pa_icon/BEN_pa_blueline_signal.jpg" TargetMode="External"/><Relationship Id="rId79" Type="http://schemas.openxmlformats.org/officeDocument/2006/relationships/hyperlink" Target="https://3arbzfbsh-cname-us.ngrok.io/Desktop/seabridge%20fintech/blueline_pa_icon/BIO_pa_blueline_signal.jpg" TargetMode="External"/><Relationship Id="rId78" Type="http://schemas.openxmlformats.org/officeDocument/2006/relationships/hyperlink" Target="https://3arbzfbsh-cname-us.ngrok.io/Desktop/seabridge%20fintech/blueline_pa_icon/BIIB_pa_blueline_signal.jpg" TargetMode="External"/><Relationship Id="rId71" Type="http://schemas.openxmlformats.org/officeDocument/2006/relationships/hyperlink" Target="https://3arbzfbsh-cname-us.ngrok.io/Desktop/seabridge%20fintech/blueline_pa_icon/BAC_pa_blueline_signal.jpg" TargetMode="External"/><Relationship Id="rId70" Type="http://schemas.openxmlformats.org/officeDocument/2006/relationships/hyperlink" Target="https://3arbzfbsh-cname-us.ngrok.io/Desktop/seabridge%20fintech/blueline_pa_icon/BA_pa_blueline_signal.jpg" TargetMode="External"/><Relationship Id="rId62" Type="http://schemas.openxmlformats.org/officeDocument/2006/relationships/hyperlink" Target="https://3arbzfbsh-cname-us.ngrok.io/Desktop/seabridge%20fintech/blueline_pa_icon/AVB_pa_blueline_signal.jpg" TargetMode="External"/><Relationship Id="rId61" Type="http://schemas.openxmlformats.org/officeDocument/2006/relationships/hyperlink" Target="https://3arbzfbsh-cname-us.ngrok.io/Desktop/seabridge%20fintech/blueline_pa_icon/ATVI_pa_blueline_signal.jpg" TargetMode="External"/><Relationship Id="rId64" Type="http://schemas.openxmlformats.org/officeDocument/2006/relationships/hyperlink" Target="https://3arbzfbsh-cname-us.ngrok.io/Desktop/seabridge%20fintech/blueline_pa_icon/AVTR_pa_blueline_signal.jpg" TargetMode="External"/><Relationship Id="rId63" Type="http://schemas.openxmlformats.org/officeDocument/2006/relationships/hyperlink" Target="https://3arbzfbsh-cname-us.ngrok.io/Desktop/seabridge%20fintech/blueline_pa_icon/AVGO_pa_blueline_signal.jpg" TargetMode="External"/><Relationship Id="rId66" Type="http://schemas.openxmlformats.org/officeDocument/2006/relationships/hyperlink" Target="https://3arbzfbsh-cname-us.ngrok.io/Desktop/seabridge%20fintech/blueline_pa_icon/AWK_pa_blueline_signal.jpg" TargetMode="External"/><Relationship Id="rId65" Type="http://schemas.openxmlformats.org/officeDocument/2006/relationships/hyperlink" Target="https://3arbzfbsh-cname-us.ngrok.io/Desktop/seabridge%20fintech/blueline_pa_icon/AVY_pa_blueline_signal.jpg" TargetMode="External"/><Relationship Id="rId68" Type="http://schemas.openxmlformats.org/officeDocument/2006/relationships/hyperlink" Target="https://3arbzfbsh-cname-us.ngrok.io/Desktop/seabridge%20fintech/blueline_pa_icon/AXTA_pa_blueline_signal.jpg" TargetMode="External"/><Relationship Id="rId67" Type="http://schemas.openxmlformats.org/officeDocument/2006/relationships/hyperlink" Target="https://3arbzfbsh-cname-us.ngrok.io/Desktop/seabridge%20fintech/blueline_pa_icon/AXP_pa_blueline_signal.jpg" TargetMode="External"/><Relationship Id="rId60" Type="http://schemas.openxmlformats.org/officeDocument/2006/relationships/hyperlink" Target="https://3arbzfbsh-cname-us.ngrok.io/Desktop/seabridge%20fintech/blueline_pa_icon/ATUS_pa_blueline_signal.jpg" TargetMode="External"/><Relationship Id="rId69" Type="http://schemas.openxmlformats.org/officeDocument/2006/relationships/hyperlink" Target="https://3arbzfbsh-cname-us.ngrok.io/Desktop/seabridge%20fintech/blueline_pa_icon/AZO_pa_blueline_signal.jpg" TargetMode="External"/><Relationship Id="rId51" Type="http://schemas.openxmlformats.org/officeDocument/2006/relationships/hyperlink" Target="https://3arbzfbsh-cname-us.ngrok.io/Desktop/seabridge%20fintech/blueline_pa_icon/APH_pa_blueline_signal.jpg" TargetMode="External"/><Relationship Id="rId50" Type="http://schemas.openxmlformats.org/officeDocument/2006/relationships/hyperlink" Target="https://3arbzfbsh-cname-us.ngrok.io/Desktop/seabridge%20fintech/blueline_pa_icon/APD_pa_blueline_signal.jpg" TargetMode="External"/><Relationship Id="rId53" Type="http://schemas.openxmlformats.org/officeDocument/2006/relationships/hyperlink" Target="https://3arbzfbsh-cname-us.ngrok.io/Desktop/seabridge%20fintech/blueline_pa_icon/APPS_pa_blueline_signal.jpg" TargetMode="External"/><Relationship Id="rId52" Type="http://schemas.openxmlformats.org/officeDocument/2006/relationships/hyperlink" Target="https://3arbzfbsh-cname-us.ngrok.io/Desktop/seabridge%20fintech/blueline_pa_icon/APO_pa_blueline_signal.jpg" TargetMode="External"/><Relationship Id="rId55" Type="http://schemas.openxmlformats.org/officeDocument/2006/relationships/hyperlink" Target="https://3arbzfbsh-cname-us.ngrok.io/Desktop/seabridge%20fintech/blueline_pa_icon/ARE_pa_blueline_signal.jpg" TargetMode="External"/><Relationship Id="rId54" Type="http://schemas.openxmlformats.org/officeDocument/2006/relationships/hyperlink" Target="https://3arbzfbsh-cname-us.ngrok.io/Desktop/seabridge%20fintech/blueline_pa_icon/APTV_pa_blueline_signal.jpg" TargetMode="External"/><Relationship Id="rId57" Type="http://schemas.openxmlformats.org/officeDocument/2006/relationships/hyperlink" Target="https://3arbzfbsh-cname-us.ngrok.io/Desktop/seabridge%20fintech/blueline_pa_icon/ASHR_pa_blueline_signal.jpg" TargetMode="External"/><Relationship Id="rId56" Type="http://schemas.openxmlformats.org/officeDocument/2006/relationships/hyperlink" Target="https://3arbzfbsh-cname-us.ngrok.io/Desktop/seabridge%20fintech/blueline_pa_icon/ASAN_pa_blueline_signal.jpg" TargetMode="External"/><Relationship Id="rId59" Type="http://schemas.openxmlformats.org/officeDocument/2006/relationships/hyperlink" Target="https://3arbzfbsh-cname-us.ngrok.io/Desktop/seabridge%20fintech/blueline_pa_icon/ATO_pa_blueline_signal.jpg" TargetMode="External"/><Relationship Id="rId58" Type="http://schemas.openxmlformats.org/officeDocument/2006/relationships/hyperlink" Target="https://3arbzfbsh-cname-us.ngrok.io/Desktop/seabridge%20fintech/blueline_pa_icon/ASML_pa_blueline_signal.jpg" TargetMode="External"/><Relationship Id="rId590" Type="http://schemas.openxmlformats.org/officeDocument/2006/relationships/hyperlink" Target="https://3arbzfbsh-cname-us.ngrok.io/Desktop/seabridge%20fintech/blueline_pa_icon/TMO_pa_blueline_signal.jpg" TargetMode="External"/><Relationship Id="rId107" Type="http://schemas.openxmlformats.org/officeDocument/2006/relationships/hyperlink" Target="https://3arbzfbsh-cname-us.ngrok.io/Desktop/seabridge%20fintech/blueline_pa_icon/CE_pa_blueline_signal.jpg" TargetMode="External"/><Relationship Id="rId349" Type="http://schemas.openxmlformats.org/officeDocument/2006/relationships/hyperlink" Target="https://3arbzfbsh-cname-us.ngrok.io/Desktop/seabridge%20fintech/blueline_pa_icon/KO_pa_blueline_signal.jpg" TargetMode="External"/><Relationship Id="rId106" Type="http://schemas.openxmlformats.org/officeDocument/2006/relationships/hyperlink" Target="https://3arbzfbsh-cname-us.ngrok.io/Desktop/seabridge%20fintech/blueline_pa_icon/CDW_pa_blueline_signal.jpg" TargetMode="External"/><Relationship Id="rId348" Type="http://schemas.openxmlformats.org/officeDocument/2006/relationships/hyperlink" Target="https://3arbzfbsh-cname-us.ngrok.io/Desktop/seabridge%20fintech/blueline_pa_icon/KMX_pa_blueline_signal.jpg" TargetMode="External"/><Relationship Id="rId105" Type="http://schemas.openxmlformats.org/officeDocument/2006/relationships/hyperlink" Target="https://3arbzfbsh-cname-us.ngrok.io/Desktop/seabridge%20fintech/blueline_pa_icon/CDNS_pa_blueline_signal.jpg" TargetMode="External"/><Relationship Id="rId347" Type="http://schemas.openxmlformats.org/officeDocument/2006/relationships/hyperlink" Target="https://3arbzfbsh-cname-us.ngrok.io/Desktop/seabridge%20fintech/blueline_pa_icon/KMI_pa_blueline_signal.jpg" TargetMode="External"/><Relationship Id="rId589" Type="http://schemas.openxmlformats.org/officeDocument/2006/relationships/hyperlink" Target="https://3arbzfbsh-cname-us.ngrok.io/Desktop/seabridge%20fintech/blueline_pa_icon/TLT_pa_blueline_signal.jpg" TargetMode="External"/><Relationship Id="rId104" Type="http://schemas.openxmlformats.org/officeDocument/2006/relationships/hyperlink" Target="https://3arbzfbsh-cname-us.ngrok.io/Desktop/seabridge%20fintech/blueline_pa_icon/CCL_pa_blueline_signal.jpg" TargetMode="External"/><Relationship Id="rId346" Type="http://schemas.openxmlformats.org/officeDocument/2006/relationships/hyperlink" Target="https://3arbzfbsh-cname-us.ngrok.io/Desktop/seabridge%20fintech/blueline_pa_icon/KMB_pa_blueline_signal.jpg" TargetMode="External"/><Relationship Id="rId588" Type="http://schemas.openxmlformats.org/officeDocument/2006/relationships/hyperlink" Target="https://3arbzfbsh-cname-us.ngrok.io/Desktop/seabridge%20fintech/blueline_pa_icon/TJX_pa_blueline_signal.jpg" TargetMode="External"/><Relationship Id="rId109" Type="http://schemas.openxmlformats.org/officeDocument/2006/relationships/hyperlink" Target="https://3arbzfbsh-cname-us.ngrok.io/Desktop/seabridge%20fintech/blueline_pa_icon/CF_pa_blueline_signal.jpg" TargetMode="External"/><Relationship Id="rId108" Type="http://schemas.openxmlformats.org/officeDocument/2006/relationships/hyperlink" Target="https://3arbzfbsh-cname-us.ngrok.io/Desktop/seabridge%20fintech/blueline_pa_icon/CERN_pa_blueline_signal.jpg" TargetMode="External"/><Relationship Id="rId341" Type="http://schemas.openxmlformats.org/officeDocument/2006/relationships/hyperlink" Target="https://3arbzfbsh-cname-us.ngrok.io/Desktop/seabridge%20fintech/blueline_pa_icon/KEYS_pa_blueline_signal.jpg" TargetMode="External"/><Relationship Id="rId583" Type="http://schemas.openxmlformats.org/officeDocument/2006/relationships/hyperlink" Target="https://3arbzfbsh-cname-us.ngrok.io/Desktop/seabridge%20fintech/blueline_pa_icon/TER_pa_blueline_signal.jpg" TargetMode="External"/><Relationship Id="rId340" Type="http://schemas.openxmlformats.org/officeDocument/2006/relationships/hyperlink" Target="https://3arbzfbsh-cname-us.ngrok.io/Desktop/seabridge%20fintech/blueline_pa_icon/KEY_pa_blueline_signal.jpg" TargetMode="External"/><Relationship Id="rId582" Type="http://schemas.openxmlformats.org/officeDocument/2006/relationships/hyperlink" Target="https://3arbzfbsh-cname-us.ngrok.io/Desktop/seabridge%20fintech/blueline_pa_icon/TEL_pa_blueline_signal.jpg" TargetMode="External"/><Relationship Id="rId581" Type="http://schemas.openxmlformats.org/officeDocument/2006/relationships/hyperlink" Target="https://3arbzfbsh-cname-us.ngrok.io/Desktop/seabridge%20fintech/blueline_pa_icon/TEAM_pa_blueline_signal.jpg" TargetMode="External"/><Relationship Id="rId580" Type="http://schemas.openxmlformats.org/officeDocument/2006/relationships/hyperlink" Target="https://3arbzfbsh-cname-us.ngrok.io/Desktop/seabridge%20fintech/blueline_pa_icon/TDY_pa_blueline_signal.jpg" TargetMode="External"/><Relationship Id="rId103" Type="http://schemas.openxmlformats.org/officeDocument/2006/relationships/hyperlink" Target="https://3arbzfbsh-cname-us.ngrok.io/Desktop/seabridge%20fintech/blueline_pa_icon/CCI_pa_blueline_signal.jpg" TargetMode="External"/><Relationship Id="rId345" Type="http://schemas.openxmlformats.org/officeDocument/2006/relationships/hyperlink" Target="https://3arbzfbsh-cname-us.ngrok.io/Desktop/seabridge%20fintech/blueline_pa_icon/KLAC_pa_blueline_signal.jpg" TargetMode="External"/><Relationship Id="rId587" Type="http://schemas.openxmlformats.org/officeDocument/2006/relationships/hyperlink" Target="https://3arbzfbsh-cname-us.ngrok.io/Desktop/seabridge%20fintech/blueline_pa_icon/TIP_pa_blueline_signal.jpg" TargetMode="External"/><Relationship Id="rId102" Type="http://schemas.openxmlformats.org/officeDocument/2006/relationships/hyperlink" Target="https://3arbzfbsh-cname-us.ngrok.io/Desktop/seabridge%20fintech/blueline_pa_icon/CBRE_pa_blueline_signal.jpg" TargetMode="External"/><Relationship Id="rId344" Type="http://schemas.openxmlformats.org/officeDocument/2006/relationships/hyperlink" Target="https://3arbzfbsh-cname-us.ngrok.io/Desktop/seabridge%20fintech/blueline_pa_icon/KKR_pa_blueline_signal.jpg" TargetMode="External"/><Relationship Id="rId586" Type="http://schemas.openxmlformats.org/officeDocument/2006/relationships/hyperlink" Target="https://3arbzfbsh-cname-us.ngrok.io/Desktop/seabridge%20fintech/blueline_pa_icon/TGT_pa_blueline_signal.jpg" TargetMode="External"/><Relationship Id="rId101" Type="http://schemas.openxmlformats.org/officeDocument/2006/relationships/hyperlink" Target="https://3arbzfbsh-cname-us.ngrok.io/Desktop/seabridge%20fintech/blueline_pa_icon/CBOE_pa_blueline_signal.jpg" TargetMode="External"/><Relationship Id="rId343" Type="http://schemas.openxmlformats.org/officeDocument/2006/relationships/hyperlink" Target="https://3arbzfbsh-cname-us.ngrok.io/Desktop/seabridge%20fintech/blueline_pa_icon/KIM_pa_blueline_signal.jpg" TargetMode="External"/><Relationship Id="rId585" Type="http://schemas.openxmlformats.org/officeDocument/2006/relationships/hyperlink" Target="https://3arbzfbsh-cname-us.ngrok.io/Desktop/seabridge%20fintech/blueline_pa_icon/TFX_pa_blueline_signal.jpg" TargetMode="External"/><Relationship Id="rId100" Type="http://schemas.openxmlformats.org/officeDocument/2006/relationships/hyperlink" Target="https://3arbzfbsh-cname-us.ngrok.io/Desktop/seabridge%20fintech/blueline_pa_icon/CB_pa_blueline_signal.jpg" TargetMode="External"/><Relationship Id="rId342" Type="http://schemas.openxmlformats.org/officeDocument/2006/relationships/hyperlink" Target="https://3arbzfbsh-cname-us.ngrok.io/Desktop/seabridge%20fintech/blueline_pa_icon/KHC_pa_blueline_signal.jpg" TargetMode="External"/><Relationship Id="rId584" Type="http://schemas.openxmlformats.org/officeDocument/2006/relationships/hyperlink" Target="https://3arbzfbsh-cname-us.ngrok.io/Desktop/seabridge%20fintech/blueline_pa_icon/TFC_pa_blueline_signal.jpg" TargetMode="External"/><Relationship Id="rId338" Type="http://schemas.openxmlformats.org/officeDocument/2006/relationships/hyperlink" Target="https://3arbzfbsh-cname-us.ngrok.io/Desktop/seabridge%20fintech/blueline_pa_icon/KBE_pa_blueline_signal.jpg" TargetMode="External"/><Relationship Id="rId337" Type="http://schemas.openxmlformats.org/officeDocument/2006/relationships/hyperlink" Target="https://3arbzfbsh-cname-us.ngrok.io/Desktop/seabridge%20fintech/blueline_pa_icon/K_pa_blueline_signal.jpg" TargetMode="External"/><Relationship Id="rId579" Type="http://schemas.openxmlformats.org/officeDocument/2006/relationships/hyperlink" Target="https://3arbzfbsh-cname-us.ngrok.io/Desktop/seabridge%20fintech/blueline_pa_icon/TDOC_pa_blueline_signal.jpg" TargetMode="External"/><Relationship Id="rId336" Type="http://schemas.openxmlformats.org/officeDocument/2006/relationships/hyperlink" Target="https://3arbzfbsh-cname-us.ngrok.io/Desktop/seabridge%20fintech/blueline_pa_icon/JWN_pa_blueline_signal.jpg" TargetMode="External"/><Relationship Id="rId578" Type="http://schemas.openxmlformats.org/officeDocument/2006/relationships/hyperlink" Target="https://3arbzfbsh-cname-us.ngrok.io/Desktop/seabridge%20fintech/blueline_pa_icon/TDG_pa_blueline_signal.jpg" TargetMode="External"/><Relationship Id="rId335" Type="http://schemas.openxmlformats.org/officeDocument/2006/relationships/hyperlink" Target="https://3arbzfbsh-cname-us.ngrok.io/Desktop/seabridge%20fintech/blueline_pa_icon/JPST_pa_blueline_signal.jpg" TargetMode="External"/><Relationship Id="rId577" Type="http://schemas.openxmlformats.org/officeDocument/2006/relationships/hyperlink" Target="https://3arbzfbsh-cname-us.ngrok.io/Desktop/seabridge%20fintech/blueline_pa_icon/TCOM_pa_blueline_signal.jpg" TargetMode="External"/><Relationship Id="rId339" Type="http://schemas.openxmlformats.org/officeDocument/2006/relationships/hyperlink" Target="https://3arbzfbsh-cname-us.ngrok.io/Desktop/seabridge%20fintech/blueline_pa_icon/KDP_pa_blueline_signal.jpg" TargetMode="External"/><Relationship Id="rId330" Type="http://schemas.openxmlformats.org/officeDocument/2006/relationships/hyperlink" Target="https://3arbzfbsh-cname-us.ngrok.io/Desktop/seabridge%20fintech/blueline_pa_icon/JKHY_pa_blueline_signal.jpg" TargetMode="External"/><Relationship Id="rId572" Type="http://schemas.openxmlformats.org/officeDocument/2006/relationships/hyperlink" Target="https://3arbzfbsh-cname-us.ngrok.io/Desktop/seabridge%20fintech/blueline_pa_icon/SYF_pa_blueline_signal.jpg" TargetMode="External"/><Relationship Id="rId571" Type="http://schemas.openxmlformats.org/officeDocument/2006/relationships/hyperlink" Target="https://3arbzfbsh-cname-us.ngrok.io/Desktop/seabridge%20fintech/blueline_pa_icon/SWKS_pa_blueline_signal.jpg" TargetMode="External"/><Relationship Id="rId570" Type="http://schemas.openxmlformats.org/officeDocument/2006/relationships/hyperlink" Target="https://3arbzfbsh-cname-us.ngrok.io/Desktop/seabridge%20fintech/blueline_pa_icon/SWK_pa_blueline_signal.jpg" TargetMode="External"/><Relationship Id="rId334" Type="http://schemas.openxmlformats.org/officeDocument/2006/relationships/hyperlink" Target="https://3arbzfbsh-cname-us.ngrok.io/Desktop/seabridge%20fintech/blueline_pa_icon/JPM_pa_blueline_signal.jpg" TargetMode="External"/><Relationship Id="rId576" Type="http://schemas.openxmlformats.org/officeDocument/2006/relationships/hyperlink" Target="https://3arbzfbsh-cname-us.ngrok.io/Desktop/seabridge%20fintech/blueline_pa_icon/TAP_pa_blueline_signal.jpg" TargetMode="External"/><Relationship Id="rId333" Type="http://schemas.openxmlformats.org/officeDocument/2006/relationships/hyperlink" Target="https://3arbzfbsh-cname-us.ngrok.io/Desktop/seabridge%20fintech/blueline_pa_icon/JNPR_pa_blueline_signal.jpg" TargetMode="External"/><Relationship Id="rId575" Type="http://schemas.openxmlformats.org/officeDocument/2006/relationships/hyperlink" Target="https://3arbzfbsh-cname-us.ngrok.io/Desktop/seabridge%20fintech/blueline_pa_icon/T_pa_blueline_signal.jpg" TargetMode="External"/><Relationship Id="rId332" Type="http://schemas.openxmlformats.org/officeDocument/2006/relationships/hyperlink" Target="https://3arbzfbsh-cname-us.ngrok.io/Desktop/seabridge%20fintech/blueline_pa_icon/JNK_pa_blueline_signal.jpg" TargetMode="External"/><Relationship Id="rId574" Type="http://schemas.openxmlformats.org/officeDocument/2006/relationships/hyperlink" Target="https://3arbzfbsh-cname-us.ngrok.io/Desktop/seabridge%20fintech/blueline_pa_icon/SYY_pa_blueline_signal.jpg" TargetMode="External"/><Relationship Id="rId331" Type="http://schemas.openxmlformats.org/officeDocument/2006/relationships/hyperlink" Target="https://3arbzfbsh-cname-us.ngrok.io/Desktop/seabridge%20fintech/blueline_pa_icon/JNJ_pa_blueline_signal.jpg" TargetMode="External"/><Relationship Id="rId573" Type="http://schemas.openxmlformats.org/officeDocument/2006/relationships/hyperlink" Target="https://3arbzfbsh-cname-us.ngrok.io/Desktop/seabridge%20fintech/blueline_pa_icon/SYK_pa_blueline_signal.jpg" TargetMode="External"/><Relationship Id="rId370" Type="http://schemas.openxmlformats.org/officeDocument/2006/relationships/hyperlink" Target="https://3arbzfbsh-cname-us.ngrok.io/Desktop/seabridge%20fintech/blueline_pa_icon/LOW_pa_blueline_signal.jpg" TargetMode="External"/><Relationship Id="rId129" Type="http://schemas.openxmlformats.org/officeDocument/2006/relationships/hyperlink" Target="https://3arbzfbsh-cname-us.ngrok.io/Desktop/seabridge%20fintech/blueline_pa_icon/COG_pa_blueline_signal.jpg" TargetMode="External"/><Relationship Id="rId128" Type="http://schemas.openxmlformats.org/officeDocument/2006/relationships/hyperlink" Target="https://3arbzfbsh-cname-us.ngrok.io/Desktop/seabridge%20fintech/blueline_pa_icon/COF_pa_blueline_signal.jpg" TargetMode="External"/><Relationship Id="rId127" Type="http://schemas.openxmlformats.org/officeDocument/2006/relationships/hyperlink" Target="https://3arbzfbsh-cname-us.ngrok.io/Desktop/seabridge%20fintech/blueline_pa_icon/CNP_pa_blueline_signal.jpg" TargetMode="External"/><Relationship Id="rId369" Type="http://schemas.openxmlformats.org/officeDocument/2006/relationships/hyperlink" Target="https://3arbzfbsh-cname-us.ngrok.io/Desktop/seabridge%20fintech/blueline_pa_icon/LNT_pa_blueline_signal.jpg" TargetMode="External"/><Relationship Id="rId126" Type="http://schemas.openxmlformats.org/officeDocument/2006/relationships/hyperlink" Target="https://3arbzfbsh-cname-us.ngrok.io/Desktop/seabridge%20fintech/blueline_pa_icon/CNC_pa_blueline_signal.jpg" TargetMode="External"/><Relationship Id="rId368" Type="http://schemas.openxmlformats.org/officeDocument/2006/relationships/hyperlink" Target="https://3arbzfbsh-cname-us.ngrok.io/Desktop/seabridge%20fintech/blueline_pa_icon/LNC_pa_blueline_signal.jpg" TargetMode="External"/><Relationship Id="rId121" Type="http://schemas.openxmlformats.org/officeDocument/2006/relationships/hyperlink" Target="https://3arbzfbsh-cname-us.ngrok.io/Desktop/seabridge%20fintech/blueline_pa_icon/CMCSA_pa_blueline_signal.jpg" TargetMode="External"/><Relationship Id="rId363" Type="http://schemas.openxmlformats.org/officeDocument/2006/relationships/hyperlink" Target="https://3arbzfbsh-cname-us.ngrok.io/Desktop/seabridge%20fintech/blueline_pa_icon/LIN_pa_blueline_signal.jpg" TargetMode="External"/><Relationship Id="rId120" Type="http://schemas.openxmlformats.org/officeDocument/2006/relationships/hyperlink" Target="https://3arbzfbsh-cname-us.ngrok.io/Desktop/seabridge%20fintech/blueline_pa_icon/CMA_pa_blueline_signal.jpg" TargetMode="External"/><Relationship Id="rId362" Type="http://schemas.openxmlformats.org/officeDocument/2006/relationships/hyperlink" Target="https://3arbzfbsh-cname-us.ngrok.io/Desktop/seabridge%20fintech/blueline_pa_icon/LHX_pa_blueline_signal.jpg" TargetMode="External"/><Relationship Id="rId361" Type="http://schemas.openxmlformats.org/officeDocument/2006/relationships/hyperlink" Target="https://3arbzfbsh-cname-us.ngrok.io/Desktop/seabridge%20fintech/blueline_pa_icon/LH_pa_blueline_signal.jpg" TargetMode="External"/><Relationship Id="rId360" Type="http://schemas.openxmlformats.org/officeDocument/2006/relationships/hyperlink" Target="https://3arbzfbsh-cname-us.ngrok.io/Desktop/seabridge%20fintech/blueline_pa_icon/LESL_pa_blueline_signal.jpg" TargetMode="External"/><Relationship Id="rId125" Type="http://schemas.openxmlformats.org/officeDocument/2006/relationships/hyperlink" Target="https://3arbzfbsh-cname-us.ngrok.io/Desktop/seabridge%20fintech/blueline_pa_icon/CMS_pa_blueline_signal.jpg" TargetMode="External"/><Relationship Id="rId367" Type="http://schemas.openxmlformats.org/officeDocument/2006/relationships/hyperlink" Target="https://3arbzfbsh-cname-us.ngrok.io/Desktop/seabridge%20fintech/blueline_pa_icon/LMT_pa_blueline_signal.jpg" TargetMode="External"/><Relationship Id="rId124" Type="http://schemas.openxmlformats.org/officeDocument/2006/relationships/hyperlink" Target="https://3arbzfbsh-cname-us.ngrok.io/Desktop/seabridge%20fintech/blueline_pa_icon/CMI_pa_blueline_signal.jpg" TargetMode="External"/><Relationship Id="rId366" Type="http://schemas.openxmlformats.org/officeDocument/2006/relationships/hyperlink" Target="https://3arbzfbsh-cname-us.ngrok.io/Desktop/seabridge%20fintech/blueline_pa_icon/LMND_pa_blueline_signal.jpg" TargetMode="External"/><Relationship Id="rId123" Type="http://schemas.openxmlformats.org/officeDocument/2006/relationships/hyperlink" Target="https://3arbzfbsh-cname-us.ngrok.io/Desktop/seabridge%20fintech/blueline_pa_icon/CMG_pa_blueline_signal.jpg" TargetMode="External"/><Relationship Id="rId365" Type="http://schemas.openxmlformats.org/officeDocument/2006/relationships/hyperlink" Target="https://3arbzfbsh-cname-us.ngrok.io/Desktop/seabridge%20fintech/blueline_pa_icon/LLY_pa_blueline_signal.jpg" TargetMode="External"/><Relationship Id="rId122" Type="http://schemas.openxmlformats.org/officeDocument/2006/relationships/hyperlink" Target="https://3arbzfbsh-cname-us.ngrok.io/Desktop/seabridge%20fintech/blueline_pa_icon/CME_pa_blueline_signal.jpg" TargetMode="External"/><Relationship Id="rId364" Type="http://schemas.openxmlformats.org/officeDocument/2006/relationships/hyperlink" Target="https://3arbzfbsh-cname-us.ngrok.io/Desktop/seabridge%20fintech/blueline_pa_icon/LKQ_pa_blueline_signal.jpg" TargetMode="External"/><Relationship Id="rId95" Type="http://schemas.openxmlformats.org/officeDocument/2006/relationships/hyperlink" Target="https://3arbzfbsh-cname-us.ngrok.io/Desktop/seabridge%20fintech/blueline_pa_icon/BYND_pa_blueline_signal.jpg" TargetMode="External"/><Relationship Id="rId94" Type="http://schemas.openxmlformats.org/officeDocument/2006/relationships/hyperlink" Target="https://3arbzfbsh-cname-us.ngrok.io/Desktop/seabridge%20fintech/blueline_pa_icon/BXP_pa_blueline_signal.jpg" TargetMode="External"/><Relationship Id="rId97" Type="http://schemas.openxmlformats.org/officeDocument/2006/relationships/hyperlink" Target="https://3arbzfbsh-cname-us.ngrok.io/Desktop/seabridge%20fintech/blueline_pa_icon/CAG_pa_blueline_signal.jpg" TargetMode="External"/><Relationship Id="rId96" Type="http://schemas.openxmlformats.org/officeDocument/2006/relationships/hyperlink" Target="https://3arbzfbsh-cname-us.ngrok.io/Desktop/seabridge%20fintech/blueline_pa_icon/C_pa_blueline_signal.jpg" TargetMode="External"/><Relationship Id="rId99" Type="http://schemas.openxmlformats.org/officeDocument/2006/relationships/hyperlink" Target="https://3arbzfbsh-cname-us.ngrok.io/Desktop/seabridge%20fintech/blueline_pa_icon/CAT_pa_blueline_signal.jpg" TargetMode="External"/><Relationship Id="rId98" Type="http://schemas.openxmlformats.org/officeDocument/2006/relationships/hyperlink" Target="https://3arbzfbsh-cname-us.ngrok.io/Desktop/seabridge%20fintech/blueline_pa_icon/CAH_pa_blueline_signal.jpg" TargetMode="External"/><Relationship Id="rId91" Type="http://schemas.openxmlformats.org/officeDocument/2006/relationships/hyperlink" Target="https://3arbzfbsh-cname-us.ngrok.io/Desktop/seabridge%20fintech/blueline_pa_icon/BSX_pa_blueline_signal.jpg" TargetMode="External"/><Relationship Id="rId90" Type="http://schemas.openxmlformats.org/officeDocument/2006/relationships/hyperlink" Target="https://3arbzfbsh-cname-us.ngrok.io/Desktop/seabridge%20fintech/blueline_pa_icon/BSV_pa_blueline_signal.jpg" TargetMode="External"/><Relationship Id="rId93" Type="http://schemas.openxmlformats.org/officeDocument/2006/relationships/hyperlink" Target="https://3arbzfbsh-cname-us.ngrok.io/Desktop/seabridge%20fintech/blueline_pa_icon/BX_pa_blueline_signal.jpg" TargetMode="External"/><Relationship Id="rId92" Type="http://schemas.openxmlformats.org/officeDocument/2006/relationships/hyperlink" Target="https://3arbzfbsh-cname-us.ngrok.io/Desktop/seabridge%20fintech/blueline_pa_icon/BWA_pa_blueline_signal.jpg" TargetMode="External"/><Relationship Id="rId118" Type="http://schemas.openxmlformats.org/officeDocument/2006/relationships/hyperlink" Target="https://3arbzfbsh-cname-us.ngrok.io/Desktop/seabridge%20fintech/blueline_pa_icon/CL_pa_blueline_signal.jpg" TargetMode="External"/><Relationship Id="rId117" Type="http://schemas.openxmlformats.org/officeDocument/2006/relationships/hyperlink" Target="https://3arbzfbsh-cname-us.ngrok.io/Desktop/seabridge%20fintech/blueline_pa_icon/CINF_pa_blueline_signal.jpg" TargetMode="External"/><Relationship Id="rId359" Type="http://schemas.openxmlformats.org/officeDocument/2006/relationships/hyperlink" Target="https://3arbzfbsh-cname-us.ngrok.io/Desktop/seabridge%20fintech/blueline_pa_icon/LEN_pa_blueline_signal.jpg" TargetMode="External"/><Relationship Id="rId116" Type="http://schemas.openxmlformats.org/officeDocument/2006/relationships/hyperlink" Target="https://3arbzfbsh-cname-us.ngrok.io/Desktop/seabridge%20fintech/blueline_pa_icon/CI_pa_blueline_signal.jpg" TargetMode="External"/><Relationship Id="rId358" Type="http://schemas.openxmlformats.org/officeDocument/2006/relationships/hyperlink" Target="https://3arbzfbsh-cname-us.ngrok.io/Desktop/seabridge%20fintech/blueline_pa_icon/LEG_pa_blueline_signal.jpg" TargetMode="External"/><Relationship Id="rId115" Type="http://schemas.openxmlformats.org/officeDocument/2006/relationships/hyperlink" Target="https://3arbzfbsh-cname-us.ngrok.io/Desktop/seabridge%20fintech/blueline_pa_icon/CHWY_pa_blueline_signal.jpg" TargetMode="External"/><Relationship Id="rId357" Type="http://schemas.openxmlformats.org/officeDocument/2006/relationships/hyperlink" Target="https://3arbzfbsh-cname-us.ngrok.io/Desktop/seabridge%20fintech/blueline_pa_icon/LDOS_pa_blueline_signal.jpg" TargetMode="External"/><Relationship Id="rId599" Type="http://schemas.openxmlformats.org/officeDocument/2006/relationships/hyperlink" Target="https://3arbzfbsh-cname-us.ngrok.io/Desktop/seabridge%20fintech/blueline_pa_icon/TSCO_pa_blueline_signal.jpg" TargetMode="External"/><Relationship Id="rId119" Type="http://schemas.openxmlformats.org/officeDocument/2006/relationships/hyperlink" Target="https://3arbzfbsh-cname-us.ngrok.io/Desktop/seabridge%20fintech/blueline_pa_icon/CLX_pa_blueline_signal.jpg" TargetMode="External"/><Relationship Id="rId110" Type="http://schemas.openxmlformats.org/officeDocument/2006/relationships/hyperlink" Target="https://3arbzfbsh-cname-us.ngrok.io/Desktop/seabridge%20fintech/blueline_pa_icon/CFG_pa_blueline_signal.jpg" TargetMode="External"/><Relationship Id="rId352" Type="http://schemas.openxmlformats.org/officeDocument/2006/relationships/hyperlink" Target="https://3arbzfbsh-cname-us.ngrok.io/Desktop/seabridge%20fintech/blueline_pa_icon/KSS_pa_blueline_signal.jpg" TargetMode="External"/><Relationship Id="rId594" Type="http://schemas.openxmlformats.org/officeDocument/2006/relationships/hyperlink" Target="https://3arbzfbsh-cname-us.ngrok.io/Desktop/seabridge%20fintech/blueline_pa_icon/TRGP_pa_blueline_signal.jpg" TargetMode="External"/><Relationship Id="rId351" Type="http://schemas.openxmlformats.org/officeDocument/2006/relationships/hyperlink" Target="https://3arbzfbsh-cname-us.ngrok.io/Desktop/seabridge%20fintech/blueline_pa_icon/KRE_pa_blueline_signal.jpg" TargetMode="External"/><Relationship Id="rId593" Type="http://schemas.openxmlformats.org/officeDocument/2006/relationships/hyperlink" Target="https://3arbzfbsh-cname-us.ngrok.io/Desktop/seabridge%20fintech/blueline_pa_icon/TQQQ_pa_blueline_signal.jpg" TargetMode="External"/><Relationship Id="rId350" Type="http://schemas.openxmlformats.org/officeDocument/2006/relationships/hyperlink" Target="https://3arbzfbsh-cname-us.ngrok.io/Desktop/seabridge%20fintech/blueline_pa_icon/KR_pa_blueline_signal.jpg" TargetMode="External"/><Relationship Id="rId592" Type="http://schemas.openxmlformats.org/officeDocument/2006/relationships/hyperlink" Target="https://3arbzfbsh-cname-us.ngrok.io/Desktop/seabridge%20fintech/blueline_pa_icon/TPR_pa_blueline_signal.jpg" TargetMode="External"/><Relationship Id="rId591" Type="http://schemas.openxmlformats.org/officeDocument/2006/relationships/hyperlink" Target="https://3arbzfbsh-cname-us.ngrok.io/Desktop/seabridge%20fintech/blueline_pa_icon/TMUS_pa_blueline_signal.jpg" TargetMode="External"/><Relationship Id="rId114" Type="http://schemas.openxmlformats.org/officeDocument/2006/relationships/hyperlink" Target="https://3arbzfbsh-cname-us.ngrok.io/Desktop/seabridge%20fintech/blueline_pa_icon/CHTR_pa_blueline_signal.jpg" TargetMode="External"/><Relationship Id="rId356" Type="http://schemas.openxmlformats.org/officeDocument/2006/relationships/hyperlink" Target="https://3arbzfbsh-cname-us.ngrok.io/Desktop/seabridge%20fintech/blueline_pa_icon/LB_pa_blueline_signal.jpg" TargetMode="External"/><Relationship Id="rId598" Type="http://schemas.openxmlformats.org/officeDocument/2006/relationships/hyperlink" Target="https://3arbzfbsh-cname-us.ngrok.io/Desktop/seabridge%20fintech/blueline_pa_icon/TRV_pa_blueline_signal.jpg" TargetMode="External"/><Relationship Id="rId113" Type="http://schemas.openxmlformats.org/officeDocument/2006/relationships/hyperlink" Target="https://3arbzfbsh-cname-us.ngrok.io/Desktop/seabridge%20fintech/blueline_pa_icon/CHRW_pa_blueline_signal.jpg" TargetMode="External"/><Relationship Id="rId355" Type="http://schemas.openxmlformats.org/officeDocument/2006/relationships/hyperlink" Target="https://3arbzfbsh-cname-us.ngrok.io/Desktop/seabridge%20fintech/blueline_pa_icon/L_pa_blueline_signal.jpg" TargetMode="External"/><Relationship Id="rId597" Type="http://schemas.openxmlformats.org/officeDocument/2006/relationships/hyperlink" Target="https://3arbzfbsh-cname-us.ngrok.io/Desktop/seabridge%20fintech/blueline_pa_icon/TROW_pa_blueline_signal.jpg" TargetMode="External"/><Relationship Id="rId112" Type="http://schemas.openxmlformats.org/officeDocument/2006/relationships/hyperlink" Target="https://3arbzfbsh-cname-us.ngrok.io/Desktop/seabridge%20fintech/blueline_pa_icon/CHKP_pa_blueline_signal.jpg" TargetMode="External"/><Relationship Id="rId354" Type="http://schemas.openxmlformats.org/officeDocument/2006/relationships/hyperlink" Target="https://3arbzfbsh-cname-us.ngrok.io/Desktop/seabridge%20fintech/blueline_pa_icon/KWEB_pa_blueline_signal.jpg" TargetMode="External"/><Relationship Id="rId596" Type="http://schemas.openxmlformats.org/officeDocument/2006/relationships/hyperlink" Target="https://3arbzfbsh-cname-us.ngrok.io/Desktop/seabridge%20fintech/blueline_pa_icon/TRMB_pa_blueline_signal.jpg" TargetMode="External"/><Relationship Id="rId111" Type="http://schemas.openxmlformats.org/officeDocument/2006/relationships/hyperlink" Target="https://3arbzfbsh-cname-us.ngrok.io/Desktop/seabridge%20fintech/blueline_pa_icon/CHD_pa_blueline_signal.jpg" TargetMode="External"/><Relationship Id="rId353" Type="http://schemas.openxmlformats.org/officeDocument/2006/relationships/hyperlink" Target="https://3arbzfbsh-cname-us.ngrok.io/Desktop/seabridge%20fintech/blueline_pa_icon/KSU_pa_blueline_signal.jpg" TargetMode="External"/><Relationship Id="rId595" Type="http://schemas.openxmlformats.org/officeDocument/2006/relationships/hyperlink" Target="https://3arbzfbsh-cname-us.ngrok.io/Desktop/seabridge%20fintech/blueline_pa_icon/TRIP_pa_blueline_signal.jpg" TargetMode="External"/><Relationship Id="rId305" Type="http://schemas.openxmlformats.org/officeDocument/2006/relationships/hyperlink" Target="https://3arbzfbsh-cname-us.ngrok.io/Desktop/seabridge%20fintech/blueline_pa_icon/INCY_pa_blueline_signal.jpg" TargetMode="External"/><Relationship Id="rId547" Type="http://schemas.openxmlformats.org/officeDocument/2006/relationships/hyperlink" Target="https://3arbzfbsh-cname-us.ngrok.io/Desktop/seabridge%20fintech/blueline_pa_icon/SNA_pa_blueline_signal.jpg" TargetMode="External"/><Relationship Id="rId304" Type="http://schemas.openxmlformats.org/officeDocument/2006/relationships/hyperlink" Target="https://3arbzfbsh-cname-us.ngrok.io/Desktop/seabridge%20fintech/blueline_pa_icon/ILMN_pa_blueline_signal.jpg" TargetMode="External"/><Relationship Id="rId546" Type="http://schemas.openxmlformats.org/officeDocument/2006/relationships/hyperlink" Target="https://3arbzfbsh-cname-us.ngrok.io/Desktop/seabridge%20fintech/blueline_pa_icon/SMH_pa_blueline_signal.jpg" TargetMode="External"/><Relationship Id="rId303" Type="http://schemas.openxmlformats.org/officeDocument/2006/relationships/hyperlink" Target="https://3arbzfbsh-cname-us.ngrok.io/Desktop/seabridge%20fintech/blueline_pa_icon/IJR_pa_blueline_signal.jpg" TargetMode="External"/><Relationship Id="rId545" Type="http://schemas.openxmlformats.org/officeDocument/2006/relationships/hyperlink" Target="https://3arbzfbsh-cname-us.ngrok.io/Desktop/seabridge%20fintech/blueline_pa_icon/SLB_pa_blueline_signal.jpg" TargetMode="External"/><Relationship Id="rId302" Type="http://schemas.openxmlformats.org/officeDocument/2006/relationships/hyperlink" Target="https://3arbzfbsh-cname-us.ngrok.io/Desktop/seabridge%20fintech/blueline_pa_icon/IFF_pa_blueline_signal.jpg" TargetMode="External"/><Relationship Id="rId544" Type="http://schemas.openxmlformats.org/officeDocument/2006/relationships/hyperlink" Target="https://3arbzfbsh-cname-us.ngrok.io/Desktop/seabridge%20fintech/blueline_pa_icon/SJNK_pa_blueline_signal.jpg" TargetMode="External"/><Relationship Id="rId309" Type="http://schemas.openxmlformats.org/officeDocument/2006/relationships/hyperlink" Target="https://3arbzfbsh-cname-us.ngrok.io/Desktop/seabridge%20fintech/blueline_pa_icon/INTU_pa_blueline_signal.jpg" TargetMode="External"/><Relationship Id="rId308" Type="http://schemas.openxmlformats.org/officeDocument/2006/relationships/hyperlink" Target="https://3arbzfbsh-cname-us.ngrok.io/Desktop/seabridge%20fintech/blueline_pa_icon/INTC_pa_blueline_signal.jpg" TargetMode="External"/><Relationship Id="rId307" Type="http://schemas.openxmlformats.org/officeDocument/2006/relationships/hyperlink" Target="https://3arbzfbsh-cname-us.ngrok.io/Desktop/seabridge%20fintech/blueline_pa_icon/INFO_pa_blueline_signal.jpg" TargetMode="External"/><Relationship Id="rId549" Type="http://schemas.openxmlformats.org/officeDocument/2006/relationships/hyperlink" Target="https://3arbzfbsh-cname-us.ngrok.io/Desktop/seabridge%20fintech/blueline_pa_icon/SNOW_pa_blueline_signal.jpg" TargetMode="External"/><Relationship Id="rId306" Type="http://schemas.openxmlformats.org/officeDocument/2006/relationships/hyperlink" Target="https://3arbzfbsh-cname-us.ngrok.io/Desktop/seabridge%20fintech/blueline_pa_icon/INDA_pa_blueline_signal.jpg" TargetMode="External"/><Relationship Id="rId548" Type="http://schemas.openxmlformats.org/officeDocument/2006/relationships/hyperlink" Target="https://3arbzfbsh-cname-us.ngrok.io/Desktop/seabridge%20fintech/blueline_pa_icon/SNAP_pa_blueline_signal.jpg" TargetMode="External"/><Relationship Id="rId301" Type="http://schemas.openxmlformats.org/officeDocument/2006/relationships/hyperlink" Target="https://3arbzfbsh-cname-us.ngrok.io/Desktop/seabridge%20fintech/blueline_pa_icon/IEX_pa_blueline_signal.jpg" TargetMode="External"/><Relationship Id="rId543" Type="http://schemas.openxmlformats.org/officeDocument/2006/relationships/hyperlink" Target="https://3arbzfbsh-cname-us.ngrok.io/Desktop/seabridge%20fintech/blueline_pa_icon/SJM_pa_blueline_signal.jpg" TargetMode="External"/><Relationship Id="rId300" Type="http://schemas.openxmlformats.org/officeDocument/2006/relationships/hyperlink" Target="https://3arbzfbsh-cname-us.ngrok.io/Desktop/seabridge%20fintech/blueline_pa_icon/IEMG_pa_blueline_signal.jpg" TargetMode="External"/><Relationship Id="rId542" Type="http://schemas.openxmlformats.org/officeDocument/2006/relationships/hyperlink" Target="https://3arbzfbsh-cname-us.ngrok.io/Desktop/seabridge%20fintech/blueline_pa_icon/SIVB_pa_blueline_signal.jpg" TargetMode="External"/><Relationship Id="rId541" Type="http://schemas.openxmlformats.org/officeDocument/2006/relationships/hyperlink" Target="https://3arbzfbsh-cname-us.ngrok.io/Desktop/seabridge%20fintech/blueline_pa_icon/SIRI_pa_blueline_signal.jpg" TargetMode="External"/><Relationship Id="rId540" Type="http://schemas.openxmlformats.org/officeDocument/2006/relationships/hyperlink" Target="https://3arbzfbsh-cname-us.ngrok.io/Desktop/seabridge%20fintech/blueline_pa_icon/SHY_pa_blueline_signal.jpg" TargetMode="External"/><Relationship Id="rId536" Type="http://schemas.openxmlformats.org/officeDocument/2006/relationships/hyperlink" Target="https://3arbzfbsh-cname-us.ngrok.io/Desktop/seabridge%20fintech/blueline_pa_icon/SEE_pa_blueline_signal.jpg" TargetMode="External"/><Relationship Id="rId535" Type="http://schemas.openxmlformats.org/officeDocument/2006/relationships/hyperlink" Target="https://3arbzfbsh-cname-us.ngrok.io/Desktop/seabridge%20fintech/blueline_pa_icon/SCHW_pa_blueline_signal.jpg" TargetMode="External"/><Relationship Id="rId534" Type="http://schemas.openxmlformats.org/officeDocument/2006/relationships/hyperlink" Target="https://3arbzfbsh-cname-us.ngrok.io/Desktop/seabridge%20fintech/blueline_pa_icon/SCHP_pa_blueline_signal.jpg" TargetMode="External"/><Relationship Id="rId533" Type="http://schemas.openxmlformats.org/officeDocument/2006/relationships/hyperlink" Target="https://3arbzfbsh-cname-us.ngrok.io/Desktop/seabridge%20fintech/blueline_pa_icon/SCHF_pa_blueline_signal.jpg" TargetMode="External"/><Relationship Id="rId539" Type="http://schemas.openxmlformats.org/officeDocument/2006/relationships/hyperlink" Target="https://3arbzfbsh-cname-us.ngrok.io/Desktop/seabridge%20fintech/blueline_pa_icon/SHW_pa_blueline_signal.jpg" TargetMode="External"/><Relationship Id="rId538" Type="http://schemas.openxmlformats.org/officeDocument/2006/relationships/hyperlink" Target="https://3arbzfbsh-cname-us.ngrok.io/Desktop/seabridge%20fintech/blueline_pa_icon/SGEN_pa_blueline_signal.jpg" TargetMode="External"/><Relationship Id="rId537" Type="http://schemas.openxmlformats.org/officeDocument/2006/relationships/hyperlink" Target="https://3arbzfbsh-cname-us.ngrok.io/Desktop/seabridge%20fintech/blueline_pa_icon/SFM_pa_blueline_signal.jpg" TargetMode="External"/><Relationship Id="rId532" Type="http://schemas.openxmlformats.org/officeDocument/2006/relationships/hyperlink" Target="https://3arbzfbsh-cname-us.ngrok.io/Desktop/seabridge%20fintech/blueline_pa_icon/SBUX_pa_blueline_signal.jpg" TargetMode="External"/><Relationship Id="rId531" Type="http://schemas.openxmlformats.org/officeDocument/2006/relationships/hyperlink" Target="https://3arbzfbsh-cname-us.ngrok.io/Desktop/seabridge%20fintech/blueline_pa_icon/SBAC_pa_blueline_signal.jpg" TargetMode="External"/><Relationship Id="rId530" Type="http://schemas.openxmlformats.org/officeDocument/2006/relationships/hyperlink" Target="https://3arbzfbsh-cname-us.ngrok.io/Desktop/seabridge%20fintech/blueline_pa_icon/SAVE_pa_blueline_signal.jpg" TargetMode="External"/><Relationship Id="rId327" Type="http://schemas.openxmlformats.org/officeDocument/2006/relationships/hyperlink" Target="https://3arbzfbsh-cname-us.ngrok.io/Desktop/seabridge%20fintech/blueline_pa_icon/JCI_pa_blueline_signal.jpg" TargetMode="External"/><Relationship Id="rId569" Type="http://schemas.openxmlformats.org/officeDocument/2006/relationships/hyperlink" Target="https://3arbzfbsh-cname-us.ngrok.io/Desktop/seabridge%20fintech/blueline_pa_icon/STZ_pa_blueline_signal.jpg" TargetMode="External"/><Relationship Id="rId326" Type="http://schemas.openxmlformats.org/officeDocument/2006/relationships/hyperlink" Target="https://3arbzfbsh-cname-us.ngrok.io/Desktop/seabridge%20fintech/blueline_pa_icon/JBHT_pa_blueline_signal.jpg" TargetMode="External"/><Relationship Id="rId568" Type="http://schemas.openxmlformats.org/officeDocument/2006/relationships/hyperlink" Target="https://3arbzfbsh-cname-us.ngrok.io/Desktop/seabridge%20fintech/blueline_pa_icon/STX_pa_blueline_signal.jpg" TargetMode="External"/><Relationship Id="rId325" Type="http://schemas.openxmlformats.org/officeDocument/2006/relationships/hyperlink" Target="https://3arbzfbsh-cname-us.ngrok.io/Desktop/seabridge%20fintech/blueline_pa_icon/J_pa_blueline_signal.jpg" TargetMode="External"/><Relationship Id="rId567" Type="http://schemas.openxmlformats.org/officeDocument/2006/relationships/hyperlink" Target="https://3arbzfbsh-cname-us.ngrok.io/Desktop/seabridge%20fintech/blueline_pa_icon/STT_pa_blueline_signal.jpg" TargetMode="External"/><Relationship Id="rId324" Type="http://schemas.openxmlformats.org/officeDocument/2006/relationships/hyperlink" Target="https://3arbzfbsh-cname-us.ngrok.io/Desktop/seabridge%20fintech/blueline_pa_icon/IYR_pa_blueline_signal.jpg" TargetMode="External"/><Relationship Id="rId566" Type="http://schemas.openxmlformats.org/officeDocument/2006/relationships/hyperlink" Target="https://3arbzfbsh-cname-us.ngrok.io/Desktop/seabridge%20fintech/blueline_pa_icon/STLD_pa_blueline_signal.jpg" TargetMode="External"/><Relationship Id="rId329" Type="http://schemas.openxmlformats.org/officeDocument/2006/relationships/hyperlink" Target="https://3arbzfbsh-cname-us.ngrok.io/Desktop/seabridge%20fintech/blueline_pa_icon/JEF_pa_blueline_signal.jpg" TargetMode="External"/><Relationship Id="rId328" Type="http://schemas.openxmlformats.org/officeDocument/2006/relationships/hyperlink" Target="https://3arbzfbsh-cname-us.ngrok.io/Desktop/seabridge%20fintech/blueline_pa_icon/JD_pa_blueline_signal.jpg" TargetMode="External"/><Relationship Id="rId561" Type="http://schemas.openxmlformats.org/officeDocument/2006/relationships/hyperlink" Target="https://3arbzfbsh-cname-us.ngrok.io/Desktop/seabridge%20fintech/blueline_pa_icon/SPYV_pa_blueline_signal.jpg" TargetMode="External"/><Relationship Id="rId560" Type="http://schemas.openxmlformats.org/officeDocument/2006/relationships/hyperlink" Target="https://3arbzfbsh-cname-us.ngrok.io/Desktop/seabridge%20fintech/blueline_pa_icon/SPY_pa_blueline_signal.jpg" TargetMode="External"/><Relationship Id="rId323" Type="http://schemas.openxmlformats.org/officeDocument/2006/relationships/hyperlink" Target="https://3arbzfbsh-cname-us.ngrok.io/Desktop/seabridge%20fintech/blueline_pa_icon/IWM_pa_blueline_signal.jpg" TargetMode="External"/><Relationship Id="rId565" Type="http://schemas.openxmlformats.org/officeDocument/2006/relationships/hyperlink" Target="https://3arbzfbsh-cname-us.ngrok.io/Desktop/seabridge%20fintech/blueline_pa_icon/STEM_pa_blueline_signal.jpg" TargetMode="External"/><Relationship Id="rId322" Type="http://schemas.openxmlformats.org/officeDocument/2006/relationships/hyperlink" Target="https://3arbzfbsh-cname-us.ngrok.io/Desktop/seabridge%20fintech/blueline_pa_icon/IWD_pa_blueline_signal.jpg" TargetMode="External"/><Relationship Id="rId564" Type="http://schemas.openxmlformats.org/officeDocument/2006/relationships/hyperlink" Target="https://3arbzfbsh-cname-us.ngrok.io/Desktop/seabridge%20fintech/blueline_pa_icon/STE_pa_blueline_signal.jpg" TargetMode="External"/><Relationship Id="rId321" Type="http://schemas.openxmlformats.org/officeDocument/2006/relationships/hyperlink" Target="https://3arbzfbsh-cname-us.ngrok.io/Desktop/seabridge%20fintech/blueline_pa_icon/IVZ_pa_blueline_signal.jpg" TargetMode="External"/><Relationship Id="rId563" Type="http://schemas.openxmlformats.org/officeDocument/2006/relationships/hyperlink" Target="https://3arbzfbsh-cname-us.ngrok.io/Desktop/seabridge%20fintech/blueline_pa_icon/SRE_pa_blueline_signal.jpg" TargetMode="External"/><Relationship Id="rId320" Type="http://schemas.openxmlformats.org/officeDocument/2006/relationships/hyperlink" Target="https://3arbzfbsh-cname-us.ngrok.io/Desktop/seabridge%20fintech/blueline_pa_icon/IVV_pa_blueline_signal.jpg" TargetMode="External"/><Relationship Id="rId562" Type="http://schemas.openxmlformats.org/officeDocument/2006/relationships/hyperlink" Target="https://3arbzfbsh-cname-us.ngrok.io/Desktop/seabridge%20fintech/blueline_pa_icon/SQ_pa_blueline_signal.jpg" TargetMode="External"/><Relationship Id="rId316" Type="http://schemas.openxmlformats.org/officeDocument/2006/relationships/hyperlink" Target="https://3arbzfbsh-cname-us.ngrok.io/Desktop/seabridge%20fintech/blueline_pa_icon/IRM_pa_blueline_signal.jpg" TargetMode="External"/><Relationship Id="rId558" Type="http://schemas.openxmlformats.org/officeDocument/2006/relationships/hyperlink" Target="https://3arbzfbsh-cname-us.ngrok.io/Desktop/seabridge%20fintech/blueline_pa_icon/SPLV_pa_blueline_signal.jpg" TargetMode="External"/><Relationship Id="rId315" Type="http://schemas.openxmlformats.org/officeDocument/2006/relationships/hyperlink" Target="https://3arbzfbsh-cname-us.ngrok.io/Desktop/seabridge%20fintech/blueline_pa_icon/IR_pa_blueline_signal.jpg" TargetMode="External"/><Relationship Id="rId557" Type="http://schemas.openxmlformats.org/officeDocument/2006/relationships/hyperlink" Target="https://3arbzfbsh-cname-us.ngrok.io/Desktop/seabridge%20fintech/blueline_pa_icon/SPLK_pa_blueline_signal.jpg" TargetMode="External"/><Relationship Id="rId314" Type="http://schemas.openxmlformats.org/officeDocument/2006/relationships/hyperlink" Target="https://3arbzfbsh-cname-us.ngrok.io/Desktop/seabridge%20fintech/blueline_pa_icon/IQV_pa_blueline_signal.jpg" TargetMode="External"/><Relationship Id="rId556" Type="http://schemas.openxmlformats.org/officeDocument/2006/relationships/hyperlink" Target="https://3arbzfbsh-cname-us.ngrok.io/Desktop/seabridge%20fintech/blueline_pa_icon/SPIB_pa_blueline_signal.jpg" TargetMode="External"/><Relationship Id="rId313" Type="http://schemas.openxmlformats.org/officeDocument/2006/relationships/hyperlink" Target="https://3arbzfbsh-cname-us.ngrok.io/Desktop/seabridge%20fintech/blueline_pa_icon/IPGP_pa_blueline_signal.jpg" TargetMode="External"/><Relationship Id="rId555" Type="http://schemas.openxmlformats.org/officeDocument/2006/relationships/hyperlink" Target="https://3arbzfbsh-cname-us.ngrok.io/Desktop/seabridge%20fintech/blueline_pa_icon/SPGI_pa_blueline_signal.jpg" TargetMode="External"/><Relationship Id="rId319" Type="http://schemas.openxmlformats.org/officeDocument/2006/relationships/hyperlink" Target="https://3arbzfbsh-cname-us.ngrok.io/Desktop/seabridge%20fintech/blueline_pa_icon/ITW_pa_blueline_signal.jpg" TargetMode="External"/><Relationship Id="rId318" Type="http://schemas.openxmlformats.org/officeDocument/2006/relationships/hyperlink" Target="https://3arbzfbsh-cname-us.ngrok.io/Desktop/seabridge%20fintech/blueline_pa_icon/IT_pa_blueline_signal.jpg" TargetMode="External"/><Relationship Id="rId317" Type="http://schemas.openxmlformats.org/officeDocument/2006/relationships/hyperlink" Target="https://3arbzfbsh-cname-us.ngrok.io/Desktop/seabridge%20fintech/blueline_pa_icon/ISRG_pa_blueline_signal.jpg" TargetMode="External"/><Relationship Id="rId559" Type="http://schemas.openxmlformats.org/officeDocument/2006/relationships/hyperlink" Target="https://3arbzfbsh-cname-us.ngrok.io/Desktop/seabridge%20fintech/blueline_pa_icon/SPWR_pa_blueline_signal.jpg" TargetMode="External"/><Relationship Id="rId550" Type="http://schemas.openxmlformats.org/officeDocument/2006/relationships/hyperlink" Target="https://3arbzfbsh-cname-us.ngrok.io/Desktop/seabridge%20fintech/blueline_pa_icon/SNPS_pa_blueline_signal.jpg" TargetMode="External"/><Relationship Id="rId312" Type="http://schemas.openxmlformats.org/officeDocument/2006/relationships/hyperlink" Target="https://3arbzfbsh-cname-us.ngrok.io/Desktop/seabridge%20fintech/blueline_pa_icon/IPG_pa_blueline_signal.jpg" TargetMode="External"/><Relationship Id="rId554" Type="http://schemas.openxmlformats.org/officeDocument/2006/relationships/hyperlink" Target="https://3arbzfbsh-cname-us.ngrok.io/Desktop/seabridge%20fintech/blueline_pa_icon/SPG_pa_blueline_signal.jpg" TargetMode="External"/><Relationship Id="rId311" Type="http://schemas.openxmlformats.org/officeDocument/2006/relationships/hyperlink" Target="https://3arbzfbsh-cname-us.ngrok.io/Desktop/seabridge%20fintech/blueline_pa_icon/IP_pa_blueline_signal.jpg" TargetMode="External"/><Relationship Id="rId553" Type="http://schemas.openxmlformats.org/officeDocument/2006/relationships/hyperlink" Target="https://3arbzfbsh-cname-us.ngrok.io/Desktop/seabridge%20fintech/blueline_pa_icon/SPCE_pa_blueline_signal.jpg" TargetMode="External"/><Relationship Id="rId310" Type="http://schemas.openxmlformats.org/officeDocument/2006/relationships/hyperlink" Target="https://3arbzfbsh-cname-us.ngrok.io/Desktop/seabridge%20fintech/blueline_pa_icon/INVH_pa_blueline_signal.jpg" TargetMode="External"/><Relationship Id="rId552" Type="http://schemas.openxmlformats.org/officeDocument/2006/relationships/hyperlink" Target="https://3arbzfbsh-cname-us.ngrok.io/Desktop/seabridge%20fintech/blueline_pa_icon/SONO_pa_blueline_signal.jpg" TargetMode="External"/><Relationship Id="rId551" Type="http://schemas.openxmlformats.org/officeDocument/2006/relationships/hyperlink" Target="https://3arbzfbsh-cname-us.ngrok.io/Desktop/seabridge%20fintech/blueline_pa_icon/SO_pa_blueline_signal.jpg" TargetMode="External"/><Relationship Id="rId297" Type="http://schemas.openxmlformats.org/officeDocument/2006/relationships/hyperlink" Target="https://3arbzfbsh-cname-us.ngrok.io/Desktop/seabridge%20fintech/blueline_pa_icon/IDXX_pa_blueline_signal.jpg" TargetMode="External"/><Relationship Id="rId296" Type="http://schemas.openxmlformats.org/officeDocument/2006/relationships/hyperlink" Target="https://3arbzfbsh-cname-us.ngrok.io/Desktop/seabridge%20fintech/blueline_pa_icon/ICE_pa_blueline_signal.jpg" TargetMode="External"/><Relationship Id="rId295" Type="http://schemas.openxmlformats.org/officeDocument/2006/relationships/hyperlink" Target="https://3arbzfbsh-cname-us.ngrok.io/Desktop/seabridge%20fintech/blueline_pa_icon/IBM_pa_blueline_signal.jpg" TargetMode="External"/><Relationship Id="rId294" Type="http://schemas.openxmlformats.org/officeDocument/2006/relationships/hyperlink" Target="https://3arbzfbsh-cname-us.ngrok.io/Desktop/seabridge%20fintech/blueline_pa_icon/IBB_pa_blueline_signal.jpg" TargetMode="External"/><Relationship Id="rId299" Type="http://schemas.openxmlformats.org/officeDocument/2006/relationships/hyperlink" Target="https://3arbzfbsh-cname-us.ngrok.io/Desktop/seabridge%20fintech/blueline_pa_icon/IEFA_pa_blueline_signal.jpg" TargetMode="External"/><Relationship Id="rId298" Type="http://schemas.openxmlformats.org/officeDocument/2006/relationships/hyperlink" Target="https://3arbzfbsh-cname-us.ngrok.io/Desktop/seabridge%20fintech/blueline_pa_icon/IEF_pa_blueline_signal.jpg" TargetMode="External"/><Relationship Id="rId271" Type="http://schemas.openxmlformats.org/officeDocument/2006/relationships/hyperlink" Target="https://3arbzfbsh-cname-us.ngrok.io/Desktop/seabridge%20fintech/blueline_pa_icon/HCA_pa_blueline_signal.jpg" TargetMode="External"/><Relationship Id="rId270" Type="http://schemas.openxmlformats.org/officeDocument/2006/relationships/hyperlink" Target="https://3arbzfbsh-cname-us.ngrok.io/Desktop/seabridge%20fintech/blueline_pa_icon/HBI_pa_blueline_signal.jpg" TargetMode="External"/><Relationship Id="rId269" Type="http://schemas.openxmlformats.org/officeDocument/2006/relationships/hyperlink" Target="https://3arbzfbsh-cname-us.ngrok.io/Desktop/seabridge%20fintech/blueline_pa_icon/HBAN_pa_blueline_signal.jpg" TargetMode="External"/><Relationship Id="rId264" Type="http://schemas.openxmlformats.org/officeDocument/2006/relationships/hyperlink" Target="https://3arbzfbsh-cname-us.ngrok.io/Desktop/seabridge%20fintech/blueline_pa_icon/GRMN_pa_blueline_signal.jpg" TargetMode="External"/><Relationship Id="rId263" Type="http://schemas.openxmlformats.org/officeDocument/2006/relationships/hyperlink" Target="https://3arbzfbsh-cname-us.ngrok.io/Desktop/seabridge%20fintech/blueline_pa_icon/GPS_pa_blueline_signal.jpg" TargetMode="External"/><Relationship Id="rId262" Type="http://schemas.openxmlformats.org/officeDocument/2006/relationships/hyperlink" Target="https://3arbzfbsh-cname-us.ngrok.io/Desktop/seabridge%20fintech/blueline_pa_icon/GPN_pa_blueline_signal.jpg" TargetMode="External"/><Relationship Id="rId261" Type="http://schemas.openxmlformats.org/officeDocument/2006/relationships/hyperlink" Target="https://3arbzfbsh-cname-us.ngrok.io/Desktop/seabridge%20fintech/blueline_pa_icon/GPC_pa_blueline_signal.jpg" TargetMode="External"/><Relationship Id="rId268" Type="http://schemas.openxmlformats.org/officeDocument/2006/relationships/hyperlink" Target="https://3arbzfbsh-cname-us.ngrok.io/Desktop/seabridge%20fintech/blueline_pa_icon/HAS_pa_blueline_signal.jpg" TargetMode="External"/><Relationship Id="rId267" Type="http://schemas.openxmlformats.org/officeDocument/2006/relationships/hyperlink" Target="https://3arbzfbsh-cname-us.ngrok.io/Desktop/seabridge%20fintech/blueline_pa_icon/HAL_pa_blueline_signal.jpg" TargetMode="External"/><Relationship Id="rId266" Type="http://schemas.openxmlformats.org/officeDocument/2006/relationships/hyperlink" Target="https://3arbzfbsh-cname-us.ngrok.io/Desktop/seabridge%20fintech/blueline_pa_icon/GWW_pa_blueline_signal.jpg" TargetMode="External"/><Relationship Id="rId265" Type="http://schemas.openxmlformats.org/officeDocument/2006/relationships/hyperlink" Target="https://3arbzfbsh-cname-us.ngrok.io/Desktop/seabridge%20fintech/blueline_pa_icon/GS_pa_blueline_signal.jpg" TargetMode="External"/><Relationship Id="rId260" Type="http://schemas.openxmlformats.org/officeDocument/2006/relationships/hyperlink" Target="https://3arbzfbsh-cname-us.ngrok.io/Desktop/seabridge%20fintech/blueline_pa_icon/GOVT_pa_blueline_signal.jpg" TargetMode="External"/><Relationship Id="rId259" Type="http://schemas.openxmlformats.org/officeDocument/2006/relationships/hyperlink" Target="https://3arbzfbsh-cname-us.ngrok.io/Desktop/seabridge%20fintech/blueline_pa_icon/GOOGL_pa_blueline_signal.jpg" TargetMode="External"/><Relationship Id="rId258" Type="http://schemas.openxmlformats.org/officeDocument/2006/relationships/hyperlink" Target="https://3arbzfbsh-cname-us.ngrok.io/Desktop/seabridge%20fintech/blueline_pa_icon/GOOG_pa_blueline_signal.jpg" TargetMode="External"/><Relationship Id="rId253" Type="http://schemas.openxmlformats.org/officeDocument/2006/relationships/hyperlink" Target="https://3arbzfbsh-cname-us.ngrok.io/Desktop/seabridge%20fintech/blueline_pa_icon/GLD_pa_blueline_signal.jpg" TargetMode="External"/><Relationship Id="rId495" Type="http://schemas.openxmlformats.org/officeDocument/2006/relationships/hyperlink" Target="https://3arbzfbsh-cname-us.ngrok.io/Desktop/seabridge%20fintech/blueline_pa_icon/PRGO_pa_blueline_signal.jpg" TargetMode="External"/><Relationship Id="rId252" Type="http://schemas.openxmlformats.org/officeDocument/2006/relationships/hyperlink" Target="https://3arbzfbsh-cname-us.ngrok.io/Desktop/seabridge%20fintech/blueline_pa_icon/GL_pa_blueline_signal.jpg" TargetMode="External"/><Relationship Id="rId494" Type="http://schemas.openxmlformats.org/officeDocument/2006/relationships/hyperlink" Target="https://3arbzfbsh-cname-us.ngrok.io/Desktop/seabridge%20fintech/blueline_pa_icon/PPL_pa_blueline_signal.jpg" TargetMode="External"/><Relationship Id="rId251" Type="http://schemas.openxmlformats.org/officeDocument/2006/relationships/hyperlink" Target="https://3arbzfbsh-cname-us.ngrok.io/Desktop/seabridge%20fintech/blueline_pa_icon/GIS_pa_blueline_signal.jpg" TargetMode="External"/><Relationship Id="rId493" Type="http://schemas.openxmlformats.org/officeDocument/2006/relationships/hyperlink" Target="https://3arbzfbsh-cname-us.ngrok.io/Desktop/seabridge%20fintech/blueline_pa_icon/PPG_pa_blueline_signal.jpg" TargetMode="External"/><Relationship Id="rId250" Type="http://schemas.openxmlformats.org/officeDocument/2006/relationships/hyperlink" Target="https://3arbzfbsh-cname-us.ngrok.io/Desktop/seabridge%20fintech/blueline_pa_icon/GILD_pa_blueline_signal.jpg" TargetMode="External"/><Relationship Id="rId492" Type="http://schemas.openxmlformats.org/officeDocument/2006/relationships/hyperlink" Target="https://3arbzfbsh-cname-us.ngrok.io/Desktop/seabridge%20fintech/blueline_pa_icon/POOL_pa_blueline_signal.jpg" TargetMode="External"/><Relationship Id="rId257" Type="http://schemas.openxmlformats.org/officeDocument/2006/relationships/hyperlink" Target="https://3arbzfbsh-cname-us.ngrok.io/Desktop/seabridge%20fintech/blueline_pa_icon/GNRC_pa_blueline_signal.jpg" TargetMode="External"/><Relationship Id="rId499" Type="http://schemas.openxmlformats.org/officeDocument/2006/relationships/hyperlink" Target="https://3arbzfbsh-cname-us.ngrok.io/Desktop/seabridge%20fintech/blueline_pa_icon/PSX_pa_blueline_signal.jpg" TargetMode="External"/><Relationship Id="rId256" Type="http://schemas.openxmlformats.org/officeDocument/2006/relationships/hyperlink" Target="https://3arbzfbsh-cname-us.ngrok.io/Desktop/seabridge%20fintech/blueline_pa_icon/GME_pa_blueline_signal.jpg" TargetMode="External"/><Relationship Id="rId498" Type="http://schemas.openxmlformats.org/officeDocument/2006/relationships/hyperlink" Target="https://3arbzfbsh-cname-us.ngrok.io/Desktop/seabridge%20fintech/blueline_pa_icon/PSA_pa_blueline_signal.jpg" TargetMode="External"/><Relationship Id="rId255" Type="http://schemas.openxmlformats.org/officeDocument/2006/relationships/hyperlink" Target="https://3arbzfbsh-cname-us.ngrok.io/Desktop/seabridge%20fintech/blueline_pa_icon/GM_pa_blueline_signal.jpg" TargetMode="External"/><Relationship Id="rId497" Type="http://schemas.openxmlformats.org/officeDocument/2006/relationships/hyperlink" Target="https://3arbzfbsh-cname-us.ngrok.io/Desktop/seabridge%20fintech/blueline_pa_icon/PRU_pa_blueline_signal.jpg" TargetMode="External"/><Relationship Id="rId254" Type="http://schemas.openxmlformats.org/officeDocument/2006/relationships/hyperlink" Target="https://3arbzfbsh-cname-us.ngrok.io/Desktop/seabridge%20fintech/blueline_pa_icon/GLW_pa_blueline_signal.jpg" TargetMode="External"/><Relationship Id="rId496" Type="http://schemas.openxmlformats.org/officeDocument/2006/relationships/hyperlink" Target="https://3arbzfbsh-cname-us.ngrok.io/Desktop/seabridge%20fintech/blueline_pa_icon/PRSP_pa_blueline_signal.jpg" TargetMode="External"/><Relationship Id="rId293" Type="http://schemas.openxmlformats.org/officeDocument/2006/relationships/hyperlink" Target="https://3arbzfbsh-cname-us.ngrok.io/Desktop/seabridge%20fintech/blueline_pa_icon/IAU_pa_blueline_signal.jpg" TargetMode="External"/><Relationship Id="rId292" Type="http://schemas.openxmlformats.org/officeDocument/2006/relationships/hyperlink" Target="https://3arbzfbsh-cname-us.ngrok.io/Desktop/seabridge%20fintech/blueline_pa_icon/HYLB_pa_blueline_signal.jpg" TargetMode="External"/><Relationship Id="rId291" Type="http://schemas.openxmlformats.org/officeDocument/2006/relationships/hyperlink" Target="https://3arbzfbsh-cname-us.ngrok.io/Desktop/seabridge%20fintech/blueline_pa_icon/HYG_pa_blueline_signal.jpg" TargetMode="External"/><Relationship Id="rId290" Type="http://schemas.openxmlformats.org/officeDocument/2006/relationships/hyperlink" Target="https://3arbzfbsh-cname-us.ngrok.io/Desktop/seabridge%20fintech/blueline_pa_icon/HWM_pa_blueline_signal.jpg" TargetMode="External"/><Relationship Id="rId286" Type="http://schemas.openxmlformats.org/officeDocument/2006/relationships/hyperlink" Target="https://3arbzfbsh-cname-us.ngrok.io/Desktop/seabridge%20fintech/blueline_pa_icon/HST_pa_blueline_signal.jpg" TargetMode="External"/><Relationship Id="rId285" Type="http://schemas.openxmlformats.org/officeDocument/2006/relationships/hyperlink" Target="https://3arbzfbsh-cname-us.ngrok.io/Desktop/seabridge%20fintech/blueline_pa_icon/HSIC_pa_blueline_signal.jpg" TargetMode="External"/><Relationship Id="rId284" Type="http://schemas.openxmlformats.org/officeDocument/2006/relationships/hyperlink" Target="https://3arbzfbsh-cname-us.ngrok.io/Desktop/seabridge%20fintech/blueline_pa_icon/HRL_pa_blueline_signal.jpg" TargetMode="External"/><Relationship Id="rId283" Type="http://schemas.openxmlformats.org/officeDocument/2006/relationships/hyperlink" Target="https://3arbzfbsh-cname-us.ngrok.io/Desktop/seabridge%20fintech/blueline_pa_icon/HPQ_pa_blueline_signal.jpg" TargetMode="External"/><Relationship Id="rId289" Type="http://schemas.openxmlformats.org/officeDocument/2006/relationships/hyperlink" Target="https://3arbzfbsh-cname-us.ngrok.io/Desktop/seabridge%20fintech/blueline_pa_icon/HUN_pa_blueline_signal.jpg" TargetMode="External"/><Relationship Id="rId288" Type="http://schemas.openxmlformats.org/officeDocument/2006/relationships/hyperlink" Target="https://3arbzfbsh-cname-us.ngrok.io/Desktop/seabridge%20fintech/blueline_pa_icon/HUM_pa_blueline_signal.jpg" TargetMode="External"/><Relationship Id="rId287" Type="http://schemas.openxmlformats.org/officeDocument/2006/relationships/hyperlink" Target="https://3arbzfbsh-cname-us.ngrok.io/Desktop/seabridge%20fintech/blueline_pa_icon/HSY_pa_blueline_signal.jpg" TargetMode="External"/><Relationship Id="rId282" Type="http://schemas.openxmlformats.org/officeDocument/2006/relationships/hyperlink" Target="https://3arbzfbsh-cname-us.ngrok.io/Desktop/seabridge%20fintech/blueline_pa_icon/HPE_pa_blueline_signal.jpg" TargetMode="External"/><Relationship Id="rId281" Type="http://schemas.openxmlformats.org/officeDocument/2006/relationships/hyperlink" Target="https://3arbzfbsh-cname-us.ngrok.io/Desktop/seabridge%20fintech/blueline_pa_icon/HON_pa_blueline_signal.jpg" TargetMode="External"/><Relationship Id="rId280" Type="http://schemas.openxmlformats.org/officeDocument/2006/relationships/hyperlink" Target="https://3arbzfbsh-cname-us.ngrok.io/Desktop/seabridge%20fintech/blueline_pa_icon/HOME_pa_blueline_signal.jpg" TargetMode="External"/><Relationship Id="rId275" Type="http://schemas.openxmlformats.org/officeDocument/2006/relationships/hyperlink" Target="https://3arbzfbsh-cname-us.ngrok.io/Desktop/seabridge%20fintech/blueline_pa_icon/HIG_pa_blueline_signal.jpg" TargetMode="External"/><Relationship Id="rId274" Type="http://schemas.openxmlformats.org/officeDocument/2006/relationships/hyperlink" Target="https://3arbzfbsh-cname-us.ngrok.io/Desktop/seabridge%20fintech/blueline_pa_icon/HFC_pa_blueline_signal.jpg" TargetMode="External"/><Relationship Id="rId273" Type="http://schemas.openxmlformats.org/officeDocument/2006/relationships/hyperlink" Target="https://3arbzfbsh-cname-us.ngrok.io/Desktop/seabridge%20fintech/blueline_pa_icon/HES_pa_blueline_signal.jpg" TargetMode="External"/><Relationship Id="rId272" Type="http://schemas.openxmlformats.org/officeDocument/2006/relationships/hyperlink" Target="https://3arbzfbsh-cname-us.ngrok.io/Desktop/seabridge%20fintech/blueline_pa_icon/HD_pa_blueline_signal.jpg" TargetMode="External"/><Relationship Id="rId279" Type="http://schemas.openxmlformats.org/officeDocument/2006/relationships/hyperlink" Target="https://3arbzfbsh-cname-us.ngrok.io/Desktop/seabridge%20fintech/blueline_pa_icon/HOLX_pa_blueline_signal.jpg" TargetMode="External"/><Relationship Id="rId278" Type="http://schemas.openxmlformats.org/officeDocument/2006/relationships/hyperlink" Target="https://3arbzfbsh-cname-us.ngrok.io/Desktop/seabridge%20fintech/blueline_pa_icon/HOG_pa_blueline_signal.jpg" TargetMode="External"/><Relationship Id="rId277" Type="http://schemas.openxmlformats.org/officeDocument/2006/relationships/hyperlink" Target="https://3arbzfbsh-cname-us.ngrok.io/Desktop/seabridge%20fintech/blueline_pa_icon/HLT_pa_blueline_signal.jpg" TargetMode="External"/><Relationship Id="rId276" Type="http://schemas.openxmlformats.org/officeDocument/2006/relationships/hyperlink" Target="https://3arbzfbsh-cname-us.ngrok.io/Desktop/seabridge%20fintech/blueline_pa_icon/HII_pa_blueline_signal.jpg" TargetMode="External"/><Relationship Id="rId629" Type="http://schemas.openxmlformats.org/officeDocument/2006/relationships/hyperlink" Target="https://3arbzfbsh-cname-us.ngrok.io/Desktop/seabridge%20fintech/blueline_pa_icon/VEA_pa_blueline_signal.jpg" TargetMode="External"/><Relationship Id="rId624" Type="http://schemas.openxmlformats.org/officeDocument/2006/relationships/hyperlink" Target="https://3arbzfbsh-cname-us.ngrok.io/Desktop/seabridge%20fintech/blueline_pa_icon/USMV_pa_blueline_signal.jpg" TargetMode="External"/><Relationship Id="rId623" Type="http://schemas.openxmlformats.org/officeDocument/2006/relationships/hyperlink" Target="https://3arbzfbsh-cname-us.ngrok.io/Desktop/seabridge%20fintech/blueline_pa_icon/USB_pa_blueline_signal.jpg" TargetMode="External"/><Relationship Id="rId622" Type="http://schemas.openxmlformats.org/officeDocument/2006/relationships/hyperlink" Target="https://3arbzfbsh-cname-us.ngrok.io/Desktop/seabridge%20fintech/blueline_pa_icon/URI_pa_blueline_signal.jpg" TargetMode="External"/><Relationship Id="rId621" Type="http://schemas.openxmlformats.org/officeDocument/2006/relationships/hyperlink" Target="https://3arbzfbsh-cname-us.ngrok.io/Desktop/seabridge%20fintech/blueline_pa_icon/UPST_pa_blueline_signal.jpg" TargetMode="External"/><Relationship Id="rId628" Type="http://schemas.openxmlformats.org/officeDocument/2006/relationships/hyperlink" Target="https://3arbzfbsh-cname-us.ngrok.io/Desktop/seabridge%20fintech/blueline_pa_icon/VCSH_pa_blueline_signal.jpg" TargetMode="External"/><Relationship Id="rId627" Type="http://schemas.openxmlformats.org/officeDocument/2006/relationships/hyperlink" Target="https://3arbzfbsh-cname-us.ngrok.io/Desktop/seabridge%20fintech/blueline_pa_icon/VCIT_pa_blueline_signal.jpg" TargetMode="External"/><Relationship Id="rId626" Type="http://schemas.openxmlformats.org/officeDocument/2006/relationships/hyperlink" Target="https://3arbzfbsh-cname-us.ngrok.io/Desktop/seabridge%20fintech/blueline_pa_icon/V_pa_blueline_signal.jpg" TargetMode="External"/><Relationship Id="rId625" Type="http://schemas.openxmlformats.org/officeDocument/2006/relationships/hyperlink" Target="https://3arbzfbsh-cname-us.ngrok.io/Desktop/seabridge%20fintech/blueline_pa_icon/USO_pa_blueline_signal.jpg" TargetMode="External"/><Relationship Id="rId620" Type="http://schemas.openxmlformats.org/officeDocument/2006/relationships/hyperlink" Target="https://3arbzfbsh-cname-us.ngrok.io/Desktop/seabridge%20fintech/blueline_pa_icon/UPS_pa_blueline_signal.jpg" TargetMode="External"/><Relationship Id="rId619" Type="http://schemas.openxmlformats.org/officeDocument/2006/relationships/hyperlink" Target="https://3arbzfbsh-cname-us.ngrok.io/Desktop/seabridge%20fintech/blueline_pa_icon/UNP_pa_blueline_signal.jpg" TargetMode="External"/><Relationship Id="rId618" Type="http://schemas.openxmlformats.org/officeDocument/2006/relationships/hyperlink" Target="https://3arbzfbsh-cname-us.ngrok.io/Desktop/seabridge%20fintech/blueline_pa_icon/UNM_pa_blueline_signal.jpg" TargetMode="External"/><Relationship Id="rId613" Type="http://schemas.openxmlformats.org/officeDocument/2006/relationships/hyperlink" Target="https://3arbzfbsh-cname-us.ngrok.io/Desktop/seabridge%20fintech/blueline_pa_icon/UBER_pa_blueline_signal.jpg" TargetMode="External"/><Relationship Id="rId612" Type="http://schemas.openxmlformats.org/officeDocument/2006/relationships/hyperlink" Target="https://3arbzfbsh-cname-us.ngrok.io/Desktop/seabridge%20fintech/blueline_pa_icon/UAL_pa_blueline_signal.jpg" TargetMode="External"/><Relationship Id="rId611" Type="http://schemas.openxmlformats.org/officeDocument/2006/relationships/hyperlink" Target="https://3arbzfbsh-cname-us.ngrok.io/Desktop/seabridge%20fintech/blueline_pa_icon/UAA_pa_blueline_signal.jpg" TargetMode="External"/><Relationship Id="rId610" Type="http://schemas.openxmlformats.org/officeDocument/2006/relationships/hyperlink" Target="https://3arbzfbsh-cname-us.ngrok.io/Desktop/seabridge%20fintech/blueline_pa_icon/UA_pa_blueline_signal.jpg" TargetMode="External"/><Relationship Id="rId617" Type="http://schemas.openxmlformats.org/officeDocument/2006/relationships/hyperlink" Target="https://3arbzfbsh-cname-us.ngrok.io/Desktop/seabridge%20fintech/blueline_pa_icon/UNH_pa_blueline_signal.jpg" TargetMode="External"/><Relationship Id="rId616" Type="http://schemas.openxmlformats.org/officeDocument/2006/relationships/hyperlink" Target="https://3arbzfbsh-cname-us.ngrok.io/Desktop/seabridge%20fintech/blueline_pa_icon/ULTA_pa_blueline_signal.jpg" TargetMode="External"/><Relationship Id="rId615" Type="http://schemas.openxmlformats.org/officeDocument/2006/relationships/hyperlink" Target="https://3arbzfbsh-cname-us.ngrok.io/Desktop/seabridge%20fintech/blueline_pa_icon/UHS_pa_blueline_signal.jpg" TargetMode="External"/><Relationship Id="rId614" Type="http://schemas.openxmlformats.org/officeDocument/2006/relationships/hyperlink" Target="https://3arbzfbsh-cname-us.ngrok.io/Desktop/seabridge%20fintech/blueline_pa_icon/UDR_pa_blueline_signal.jpg" TargetMode="External"/><Relationship Id="rId409" Type="http://schemas.openxmlformats.org/officeDocument/2006/relationships/hyperlink" Target="https://3arbzfbsh-cname-us.ngrok.io/Desktop/seabridge%20fintech/blueline_pa_icon/MPLX_pa_blueline_signal.jpg" TargetMode="External"/><Relationship Id="rId404" Type="http://schemas.openxmlformats.org/officeDocument/2006/relationships/hyperlink" Target="https://3arbzfbsh-cname-us.ngrok.io/Desktop/seabridge%20fintech/blueline_pa_icon/MNST_pa_blueline_signal.jpg" TargetMode="External"/><Relationship Id="rId646" Type="http://schemas.openxmlformats.org/officeDocument/2006/relationships/hyperlink" Target="https://3arbzfbsh-cname-us.ngrok.io/Desktop/seabridge%20fintech/blueline_pa_icon/VT_pa_blueline_signal.jpg" TargetMode="External"/><Relationship Id="rId403" Type="http://schemas.openxmlformats.org/officeDocument/2006/relationships/hyperlink" Target="https://3arbzfbsh-cname-us.ngrok.io/Desktop/seabridge%20fintech/blueline_pa_icon/MMM_pa_blueline_signal.jpg" TargetMode="External"/><Relationship Id="rId645" Type="http://schemas.openxmlformats.org/officeDocument/2006/relationships/hyperlink" Target="https://3arbzfbsh-cname-us.ngrok.io/Desktop/seabridge%20fintech/blueline_pa_icon/VRTX_pa_blueline_signal.jpg" TargetMode="External"/><Relationship Id="rId402" Type="http://schemas.openxmlformats.org/officeDocument/2006/relationships/hyperlink" Target="https://3arbzfbsh-cname-us.ngrok.io/Desktop/seabridge%20fintech/blueline_pa_icon/MMC_pa_blueline_signal.jpg" TargetMode="External"/><Relationship Id="rId644" Type="http://schemas.openxmlformats.org/officeDocument/2006/relationships/hyperlink" Target="https://3arbzfbsh-cname-us.ngrok.io/Desktop/seabridge%20fintech/blueline_pa_icon/VRT_pa_blueline_signal.jpg" TargetMode="External"/><Relationship Id="rId401" Type="http://schemas.openxmlformats.org/officeDocument/2006/relationships/hyperlink" Target="https://3arbzfbsh-cname-us.ngrok.io/Desktop/seabridge%20fintech/blueline_pa_icon/MLM_pa_blueline_signal.jpg" TargetMode="External"/><Relationship Id="rId643" Type="http://schemas.openxmlformats.org/officeDocument/2006/relationships/hyperlink" Target="https://3arbzfbsh-cname-us.ngrok.io/Desktop/seabridge%20fintech/blueline_pa_icon/VRSN_pa_blueline_signal.jpg" TargetMode="External"/><Relationship Id="rId408" Type="http://schemas.openxmlformats.org/officeDocument/2006/relationships/hyperlink" Target="https://3arbzfbsh-cname-us.ngrok.io/Desktop/seabridge%20fintech/blueline_pa_icon/MPC_pa_blueline_signal.jpg" TargetMode="External"/><Relationship Id="rId407" Type="http://schemas.openxmlformats.org/officeDocument/2006/relationships/hyperlink" Target="https://3arbzfbsh-cname-us.ngrok.io/Desktop/seabridge%20fintech/blueline_pa_icon/MP_pa_blueline_signal.jpg" TargetMode="External"/><Relationship Id="rId649" Type="http://schemas.openxmlformats.org/officeDocument/2006/relationships/hyperlink" Target="https://3arbzfbsh-cname-us.ngrok.io/Desktop/seabridge%20fintech/blueline_pa_icon/VTR_pa_blueline_signal.jpg" TargetMode="External"/><Relationship Id="rId406" Type="http://schemas.openxmlformats.org/officeDocument/2006/relationships/hyperlink" Target="https://3arbzfbsh-cname-us.ngrok.io/Desktop/seabridge%20fintech/blueline_pa_icon/MOS_pa_blueline_signal.jpg" TargetMode="External"/><Relationship Id="rId648" Type="http://schemas.openxmlformats.org/officeDocument/2006/relationships/hyperlink" Target="https://3arbzfbsh-cname-us.ngrok.io/Desktop/seabridge%20fintech/blueline_pa_icon/VTIP_pa_blueline_signal.jpg" TargetMode="External"/><Relationship Id="rId405" Type="http://schemas.openxmlformats.org/officeDocument/2006/relationships/hyperlink" Target="https://3arbzfbsh-cname-us.ngrok.io/Desktop/seabridge%20fintech/blueline_pa_icon/MO_pa_blueline_signal.jpg" TargetMode="External"/><Relationship Id="rId647" Type="http://schemas.openxmlformats.org/officeDocument/2006/relationships/hyperlink" Target="https://3arbzfbsh-cname-us.ngrok.io/Desktop/seabridge%20fintech/blueline_pa_icon/VTI_pa_blueline_signal.jpg" TargetMode="External"/><Relationship Id="rId400" Type="http://schemas.openxmlformats.org/officeDocument/2006/relationships/hyperlink" Target="https://3arbzfbsh-cname-us.ngrok.io/Desktop/seabridge%20fintech/blueline_pa_icon/MKTX_pa_blueline_signal.jpg" TargetMode="External"/><Relationship Id="rId642" Type="http://schemas.openxmlformats.org/officeDocument/2006/relationships/hyperlink" Target="https://3arbzfbsh-cname-us.ngrok.io/Desktop/seabridge%20fintech/blueline_pa_icon/VRSK_pa_blueline_signal.jpg" TargetMode="External"/><Relationship Id="rId641" Type="http://schemas.openxmlformats.org/officeDocument/2006/relationships/hyperlink" Target="https://3arbzfbsh-cname-us.ngrok.io/Desktop/seabridge%20fintech/blueline_pa_icon/VRM_pa_blueline_signal.jpg" TargetMode="External"/><Relationship Id="rId640" Type="http://schemas.openxmlformats.org/officeDocument/2006/relationships/hyperlink" Target="https://3arbzfbsh-cname-us.ngrok.io/Desktop/seabridge%20fintech/blueline_pa_icon/VOO_pa_blueline_signal.jpg" TargetMode="External"/><Relationship Id="rId635" Type="http://schemas.openxmlformats.org/officeDocument/2006/relationships/hyperlink" Target="https://3arbzfbsh-cname-us.ngrok.io/Desktop/seabridge%20fintech/blueline_pa_icon/VICI_pa_blueline_signal.jpg" TargetMode="External"/><Relationship Id="rId634" Type="http://schemas.openxmlformats.org/officeDocument/2006/relationships/hyperlink" Target="https://3arbzfbsh-cname-us.ngrok.io/Desktop/seabridge%20fintech/blueline_pa_icon/VIAC_pa_blueline_signal.jpg" TargetMode="External"/><Relationship Id="rId633" Type="http://schemas.openxmlformats.org/officeDocument/2006/relationships/hyperlink" Target="https://3arbzfbsh-cname-us.ngrok.io/Desktop/seabridge%20fintech/blueline_pa_icon/VGK_pa_blueline_signal.jpg" TargetMode="External"/><Relationship Id="rId632" Type="http://schemas.openxmlformats.org/officeDocument/2006/relationships/hyperlink" Target="https://3arbzfbsh-cname-us.ngrok.io/Desktop/seabridge%20fintech/blueline_pa_icon/VFC_pa_blueline_signal.jpg" TargetMode="External"/><Relationship Id="rId639" Type="http://schemas.openxmlformats.org/officeDocument/2006/relationships/hyperlink" Target="https://3arbzfbsh-cname-us.ngrok.io/Desktop/seabridge%20fintech/blueline_pa_icon/VNQ_pa_blueline_signal.jpg" TargetMode="External"/><Relationship Id="rId638" Type="http://schemas.openxmlformats.org/officeDocument/2006/relationships/hyperlink" Target="https://3arbzfbsh-cname-us.ngrok.io/Desktop/seabridge%20fintech/blueline_pa_icon/VNO_pa_blueline_signal.jpg" TargetMode="External"/><Relationship Id="rId637" Type="http://schemas.openxmlformats.org/officeDocument/2006/relationships/hyperlink" Target="https://3arbzfbsh-cname-us.ngrok.io/Desktop/seabridge%20fintech/blueline_pa_icon/VMC_pa_blueline_signal.jpg" TargetMode="External"/><Relationship Id="rId636" Type="http://schemas.openxmlformats.org/officeDocument/2006/relationships/hyperlink" Target="https://3arbzfbsh-cname-us.ngrok.io/Desktop/seabridge%20fintech/blueline_pa_icon/VLO_pa_blueline_signal.jpg" TargetMode="External"/><Relationship Id="rId631" Type="http://schemas.openxmlformats.org/officeDocument/2006/relationships/hyperlink" Target="https://3arbzfbsh-cname-us.ngrok.io/Desktop/seabridge%20fintech/blueline_pa_icon/VEU_pa_blueline_signal.jpg" TargetMode="External"/><Relationship Id="rId630" Type="http://schemas.openxmlformats.org/officeDocument/2006/relationships/hyperlink" Target="https://3arbzfbsh-cname-us.ngrok.io/Desktop/seabridge%20fintech/blueline_pa_icon/VER_pa_blueline_signal.jpg" TargetMode="External"/><Relationship Id="rId609" Type="http://schemas.openxmlformats.org/officeDocument/2006/relationships/hyperlink" Target="https://3arbzfbsh-cname-us.ngrok.io/Desktop/seabridge%20fintech/blueline_pa_icon/TYL_pa_blueline_signal.jpg" TargetMode="External"/><Relationship Id="rId608" Type="http://schemas.openxmlformats.org/officeDocument/2006/relationships/hyperlink" Target="https://3arbzfbsh-cname-us.ngrok.io/Desktop/seabridge%20fintech/blueline_pa_icon/TXT_pa_blueline_signal.jpg" TargetMode="External"/><Relationship Id="rId607" Type="http://schemas.openxmlformats.org/officeDocument/2006/relationships/hyperlink" Target="https://3arbzfbsh-cname-us.ngrok.io/Desktop/seabridge%20fintech/blueline_pa_icon/TXN_pa_blueline_signal.jpg" TargetMode="External"/><Relationship Id="rId602" Type="http://schemas.openxmlformats.org/officeDocument/2006/relationships/hyperlink" Target="https://3arbzfbsh-cname-us.ngrok.io/Desktop/seabridge%20fintech/blueline_pa_icon/TT_pa_blueline_signal.jpg" TargetMode="External"/><Relationship Id="rId601" Type="http://schemas.openxmlformats.org/officeDocument/2006/relationships/hyperlink" Target="https://3arbzfbsh-cname-us.ngrok.io/Desktop/seabridge%20fintech/blueline_pa_icon/TSN_pa_blueline_signal.jpg" TargetMode="External"/><Relationship Id="rId600" Type="http://schemas.openxmlformats.org/officeDocument/2006/relationships/hyperlink" Target="https://3arbzfbsh-cname-us.ngrok.io/Desktop/seabridge%20fintech/blueline_pa_icon/TSLA_pa_blueline_signal.jpg" TargetMode="External"/><Relationship Id="rId606" Type="http://schemas.openxmlformats.org/officeDocument/2006/relationships/hyperlink" Target="https://3arbzfbsh-cname-us.ngrok.io/Desktop/seabridge%20fintech/blueline_pa_icon/TWTR_pa_blueline_signal.jpg" TargetMode="External"/><Relationship Id="rId605" Type="http://schemas.openxmlformats.org/officeDocument/2006/relationships/hyperlink" Target="https://3arbzfbsh-cname-us.ngrok.io/Desktop/seabridge%20fintech/blueline_pa_icon/TWLO_pa_blueline_signal.jpg" TargetMode="External"/><Relationship Id="rId604" Type="http://schemas.openxmlformats.org/officeDocument/2006/relationships/hyperlink" Target="https://3arbzfbsh-cname-us.ngrok.io/Desktop/seabridge%20fintech/blueline_pa_icon/TTWO_pa_blueline_signal.jpg" TargetMode="External"/><Relationship Id="rId603" Type="http://schemas.openxmlformats.org/officeDocument/2006/relationships/hyperlink" Target="https://3arbzfbsh-cname-us.ngrok.io/Desktop/seabridge%20fintech/blueline_pa_icon/TTD_pa_blueline_signal.jpg" TargetMode="External"/><Relationship Id="rId228" Type="http://schemas.openxmlformats.org/officeDocument/2006/relationships/hyperlink" Target="https://3arbzfbsh-cname-us.ngrok.io/Desktop/seabridge%20fintech/blueline_pa_icon/FDX_pa_blueline_signal.jpg" TargetMode="External"/><Relationship Id="rId227" Type="http://schemas.openxmlformats.org/officeDocument/2006/relationships/hyperlink" Target="https://3arbzfbsh-cname-us.ngrok.io/Desktop/seabridge%20fintech/blueline_pa_icon/FCX_pa_blueline_signal.jpg" TargetMode="External"/><Relationship Id="rId469" Type="http://schemas.openxmlformats.org/officeDocument/2006/relationships/hyperlink" Target="https://3arbzfbsh-cname-us.ngrok.io/Desktop/seabridge%20fintech/blueline_pa_icon/PCAR_pa_blueline_signal.jpg" TargetMode="External"/><Relationship Id="rId226" Type="http://schemas.openxmlformats.org/officeDocument/2006/relationships/hyperlink" Target="https://3arbzfbsh-cname-us.ngrok.io/Desktop/seabridge%20fintech/blueline_pa_icon/FBHS_pa_blueline_signal.jpg" TargetMode="External"/><Relationship Id="rId468" Type="http://schemas.openxmlformats.org/officeDocument/2006/relationships/hyperlink" Target="https://3arbzfbsh-cname-us.ngrok.io/Desktop/seabridge%20fintech/blueline_pa_icon/PBCT_pa_blueline_signal.jpg" TargetMode="External"/><Relationship Id="rId225" Type="http://schemas.openxmlformats.org/officeDocument/2006/relationships/hyperlink" Target="https://3arbzfbsh-cname-us.ngrok.io/Desktop/seabridge%20fintech/blueline_pa_icon/FB_pa_blueline_signal.jpg" TargetMode="External"/><Relationship Id="rId467" Type="http://schemas.openxmlformats.org/officeDocument/2006/relationships/hyperlink" Target="https://3arbzfbsh-cname-us.ngrok.io/Desktop/seabridge%20fintech/blueline_pa_icon/PAYX_pa_blueline_signal.jpg" TargetMode="External"/><Relationship Id="rId229" Type="http://schemas.openxmlformats.org/officeDocument/2006/relationships/hyperlink" Target="https://3arbzfbsh-cname-us.ngrok.io/Desktop/seabridge%20fintech/blueline_pa_icon/FE_pa_blueline_signal.jpg" TargetMode="External"/><Relationship Id="rId220" Type="http://schemas.openxmlformats.org/officeDocument/2006/relationships/hyperlink" Target="https://3arbzfbsh-cname-us.ngrok.io/Desktop/seabridge%20fintech/blueline_pa_icon/EXR_pa_blueline_signal.jpg" TargetMode="External"/><Relationship Id="rId462" Type="http://schemas.openxmlformats.org/officeDocument/2006/relationships/hyperlink" Target="https://3arbzfbsh-cname-us.ngrok.io/Desktop/seabridge%20fintech/blueline_pa_icon/ORLY_pa_blueline_signal.jpg" TargetMode="External"/><Relationship Id="rId461" Type="http://schemas.openxmlformats.org/officeDocument/2006/relationships/hyperlink" Target="https://3arbzfbsh-cname-us.ngrok.io/Desktop/seabridge%20fintech/blueline_pa_icon/ORCL_pa_blueline_signal.jpg" TargetMode="External"/><Relationship Id="rId460" Type="http://schemas.openxmlformats.org/officeDocument/2006/relationships/hyperlink" Target="https://3arbzfbsh-cname-us.ngrok.io/Desktop/seabridge%20fintech/blueline_pa_icon/ON_pa_blueline_signal.jpg" TargetMode="External"/><Relationship Id="rId224" Type="http://schemas.openxmlformats.org/officeDocument/2006/relationships/hyperlink" Target="https://3arbzfbsh-cname-us.ngrok.io/Desktop/seabridge%20fintech/blueline_pa_icon/FAST_pa_blueline_signal.jpg" TargetMode="External"/><Relationship Id="rId466" Type="http://schemas.openxmlformats.org/officeDocument/2006/relationships/hyperlink" Target="https://3arbzfbsh-cname-us.ngrok.io/Desktop/seabridge%20fintech/blueline_pa_icon/PAYC_pa_blueline_signal.jpg" TargetMode="External"/><Relationship Id="rId223" Type="http://schemas.openxmlformats.org/officeDocument/2006/relationships/hyperlink" Target="https://3arbzfbsh-cname-us.ngrok.io/Desktop/seabridge%20fintech/blueline_pa_icon/FANG_pa_blueline_signal.jpg" TargetMode="External"/><Relationship Id="rId465" Type="http://schemas.openxmlformats.org/officeDocument/2006/relationships/hyperlink" Target="https://3arbzfbsh-cname-us.ngrok.io/Desktop/seabridge%20fintech/blueline_pa_icon/PACB_pa_blueline_signal.jpg" TargetMode="External"/><Relationship Id="rId222" Type="http://schemas.openxmlformats.org/officeDocument/2006/relationships/hyperlink" Target="https://3arbzfbsh-cname-us.ngrok.io/Desktop/seabridge%20fintech/blueline_pa_icon/F_pa_blueline_signal.jpg" TargetMode="External"/><Relationship Id="rId464" Type="http://schemas.openxmlformats.org/officeDocument/2006/relationships/hyperlink" Target="https://3arbzfbsh-cname-us.ngrok.io/Desktop/seabridge%20fintech/blueline_pa_icon/OXY_pa_blueline_signal.jpg" TargetMode="External"/><Relationship Id="rId221" Type="http://schemas.openxmlformats.org/officeDocument/2006/relationships/hyperlink" Target="https://3arbzfbsh-cname-us.ngrok.io/Desktop/seabridge%20fintech/blueline_pa_icon/EZU_pa_blueline_signal.jpg" TargetMode="External"/><Relationship Id="rId463" Type="http://schemas.openxmlformats.org/officeDocument/2006/relationships/hyperlink" Target="https://3arbzfbsh-cname-us.ngrok.io/Desktop/seabridge%20fintech/blueline_pa_icon/OVV_pa_blueline_signal.jpg" TargetMode="External"/><Relationship Id="rId217" Type="http://schemas.openxmlformats.org/officeDocument/2006/relationships/hyperlink" Target="https://3arbzfbsh-cname-us.ngrok.io/Desktop/seabridge%20fintech/blueline_pa_icon/EXC_pa_blueline_signal.jpg" TargetMode="External"/><Relationship Id="rId459" Type="http://schemas.openxmlformats.org/officeDocument/2006/relationships/hyperlink" Target="https://3arbzfbsh-cname-us.ngrok.io/Desktop/seabridge%20fintech/blueline_pa_icon/OMC_pa_blueline_signal.jpg" TargetMode="External"/><Relationship Id="rId216" Type="http://schemas.openxmlformats.org/officeDocument/2006/relationships/hyperlink" Target="https://3arbzfbsh-cname-us.ngrok.io/Desktop/seabridge%20fintech/blueline_pa_icon/EWZ_pa_blueline_signal.jpg" TargetMode="External"/><Relationship Id="rId458" Type="http://schemas.openxmlformats.org/officeDocument/2006/relationships/hyperlink" Target="https://3arbzfbsh-cname-us.ngrok.io/Desktop/seabridge%20fintech/blueline_pa_icon/OKTA_pa_blueline_signal.jpg" TargetMode="External"/><Relationship Id="rId215" Type="http://schemas.openxmlformats.org/officeDocument/2006/relationships/hyperlink" Target="https://3arbzfbsh-cname-us.ngrok.io/Desktop/seabridge%20fintech/blueline_pa_icon/EWY_pa_blueline_signal.jpg" TargetMode="External"/><Relationship Id="rId457" Type="http://schemas.openxmlformats.org/officeDocument/2006/relationships/hyperlink" Target="https://3arbzfbsh-cname-us.ngrok.io/Desktop/seabridge%20fintech/blueline_pa_icon/OKE_pa_blueline_signal.jpg" TargetMode="External"/><Relationship Id="rId699" Type="http://schemas.openxmlformats.org/officeDocument/2006/relationships/hyperlink" Target="https://3arbzfbsh-cname-us.ngrok.io/Desktop/seabridge%20fintech/blueline_pa_icon/ZM_pa_blueline_signal.jpg" TargetMode="External"/><Relationship Id="rId214" Type="http://schemas.openxmlformats.org/officeDocument/2006/relationships/hyperlink" Target="https://3arbzfbsh-cname-us.ngrok.io/Desktop/seabridge%20fintech/blueline_pa_icon/EWU_pa_blueline_signal.jpg" TargetMode="External"/><Relationship Id="rId456" Type="http://schemas.openxmlformats.org/officeDocument/2006/relationships/hyperlink" Target="https://3arbzfbsh-cname-us.ngrok.io/Desktop/seabridge%20fintech/blueline_pa_icon/OGE_pa_blueline_signal.jpg" TargetMode="External"/><Relationship Id="rId698" Type="http://schemas.openxmlformats.org/officeDocument/2006/relationships/hyperlink" Target="https://3arbzfbsh-cname-us.ngrok.io/Desktop/seabridge%20fintech/blueline_pa_icon/ZION_pa_blueline_signal.jpg" TargetMode="External"/><Relationship Id="rId219" Type="http://schemas.openxmlformats.org/officeDocument/2006/relationships/hyperlink" Target="https://3arbzfbsh-cname-us.ngrok.io/Desktop/seabridge%20fintech/blueline_pa_icon/EXPE_pa_blueline_signal.jpg" TargetMode="External"/><Relationship Id="rId218" Type="http://schemas.openxmlformats.org/officeDocument/2006/relationships/hyperlink" Target="https://3arbzfbsh-cname-us.ngrok.io/Desktop/seabridge%20fintech/blueline_pa_icon/EXPD_pa_blueline_signal.jpg" TargetMode="External"/><Relationship Id="rId451" Type="http://schemas.openxmlformats.org/officeDocument/2006/relationships/hyperlink" Target="https://3arbzfbsh-cname-us.ngrok.io/Desktop/seabridge%20fintech/blueline_pa_icon/NWS_pa_blueline_signal.jpg" TargetMode="External"/><Relationship Id="rId693" Type="http://schemas.openxmlformats.org/officeDocument/2006/relationships/hyperlink" Target="https://3arbzfbsh-cname-us.ngrok.io/Desktop/seabridge%20fintech/blueline_pa_icon/XYL_pa_blueline_signal.jpg" TargetMode="External"/><Relationship Id="rId450" Type="http://schemas.openxmlformats.org/officeDocument/2006/relationships/hyperlink" Target="https://3arbzfbsh-cname-us.ngrok.io/Desktop/seabridge%20fintech/blueline_pa_icon/NWL_pa_blueline_signal.jpg" TargetMode="External"/><Relationship Id="rId692" Type="http://schemas.openxmlformats.org/officeDocument/2006/relationships/hyperlink" Target="https://3arbzfbsh-cname-us.ngrok.io/Desktop/seabridge%20fintech/blueline_pa_icon/XRAY_pa_blueline_signal.jpg" TargetMode="External"/><Relationship Id="rId691" Type="http://schemas.openxmlformats.org/officeDocument/2006/relationships/hyperlink" Target="https://3arbzfbsh-cname-us.ngrok.io/Desktop/seabridge%20fintech/blueline_pa_icon/XOP_pa_blueline_signal.jpg" TargetMode="External"/><Relationship Id="rId690" Type="http://schemas.openxmlformats.org/officeDocument/2006/relationships/hyperlink" Target="https://3arbzfbsh-cname-us.ngrok.io/Desktop/seabridge%20fintech/blueline_pa_icon/XOM_pa_blueline_signal.jpg" TargetMode="External"/><Relationship Id="rId213" Type="http://schemas.openxmlformats.org/officeDocument/2006/relationships/hyperlink" Target="https://3arbzfbsh-cname-us.ngrok.io/Desktop/seabridge%20fintech/blueline_pa_icon/EWT_pa_blueline_signal.jpg" TargetMode="External"/><Relationship Id="rId455" Type="http://schemas.openxmlformats.org/officeDocument/2006/relationships/hyperlink" Target="https://3arbzfbsh-cname-us.ngrok.io/Desktop/seabridge%20fintech/blueline_pa_icon/ODFL_pa_blueline_signal.jpg" TargetMode="External"/><Relationship Id="rId697" Type="http://schemas.openxmlformats.org/officeDocument/2006/relationships/hyperlink" Target="https://3arbzfbsh-cname-us.ngrok.io/Desktop/seabridge%20fintech/blueline_pa_icon/ZBRA_pa_blueline_signal.jpg" TargetMode="External"/><Relationship Id="rId212" Type="http://schemas.openxmlformats.org/officeDocument/2006/relationships/hyperlink" Target="https://3arbzfbsh-cname-us.ngrok.io/Desktop/seabridge%20fintech/blueline_pa_icon/EWJ_pa_blueline_signal.jpg" TargetMode="External"/><Relationship Id="rId454" Type="http://schemas.openxmlformats.org/officeDocument/2006/relationships/hyperlink" Target="https://3arbzfbsh-cname-us.ngrok.io/Desktop/seabridge%20fintech/blueline_pa_icon/O_pa_blueline_signal.jpg" TargetMode="External"/><Relationship Id="rId696" Type="http://schemas.openxmlformats.org/officeDocument/2006/relationships/hyperlink" Target="https://3arbzfbsh-cname-us.ngrok.io/Desktop/seabridge%20fintech/blueline_pa_icon/ZBH_pa_blueline_signal.jpg" TargetMode="External"/><Relationship Id="rId211" Type="http://schemas.openxmlformats.org/officeDocument/2006/relationships/hyperlink" Target="https://3arbzfbsh-cname-us.ngrok.io/Desktop/seabridge%20fintech/blueline_pa_icon/EWH_pa_blueline_signal.jpg" TargetMode="External"/><Relationship Id="rId453" Type="http://schemas.openxmlformats.org/officeDocument/2006/relationships/hyperlink" Target="https://3arbzfbsh-cname-us.ngrok.io/Desktop/seabridge%20fintech/blueline_pa_icon/NXPI_pa_blueline_signal.jpg" TargetMode="External"/><Relationship Id="rId695" Type="http://schemas.openxmlformats.org/officeDocument/2006/relationships/hyperlink" Target="https://3arbzfbsh-cname-us.ngrok.io/Desktop/seabridge%20fintech/blueline_pa_icon/Z_pa_blueline_signal.jpg" TargetMode="External"/><Relationship Id="rId210" Type="http://schemas.openxmlformats.org/officeDocument/2006/relationships/hyperlink" Target="https://3arbzfbsh-cname-us.ngrok.io/Desktop/seabridge%20fintech/blueline_pa_icon/EWG_pa_blueline_signal.jpg" TargetMode="External"/><Relationship Id="rId452" Type="http://schemas.openxmlformats.org/officeDocument/2006/relationships/hyperlink" Target="https://3arbzfbsh-cname-us.ngrok.io/Desktop/seabridge%20fintech/blueline_pa_icon/NWSA_pa_blueline_signal.jpg" TargetMode="External"/><Relationship Id="rId694" Type="http://schemas.openxmlformats.org/officeDocument/2006/relationships/hyperlink" Target="https://3arbzfbsh-cname-us.ngrok.io/Desktop/seabridge%20fintech/blueline_pa_icon/YUM_pa_blueline_signal.jpg" TargetMode="External"/><Relationship Id="rId491" Type="http://schemas.openxmlformats.org/officeDocument/2006/relationships/hyperlink" Target="https://3arbzfbsh-cname-us.ngrok.io/Desktop/seabridge%20fintech/blueline_pa_icon/PNW_pa_blueline_signal.jpg" TargetMode="External"/><Relationship Id="rId490" Type="http://schemas.openxmlformats.org/officeDocument/2006/relationships/hyperlink" Target="https://3arbzfbsh-cname-us.ngrok.io/Desktop/seabridge%20fintech/blueline_pa_icon/PNR_pa_blueline_signal.jpg" TargetMode="External"/><Relationship Id="rId249" Type="http://schemas.openxmlformats.org/officeDocument/2006/relationships/hyperlink" Target="https://3arbzfbsh-cname-us.ngrok.io/Desktop/seabridge%20fintech/blueline_pa_icon/GE_pa_blueline_signal.jpg" TargetMode="External"/><Relationship Id="rId248" Type="http://schemas.openxmlformats.org/officeDocument/2006/relationships/hyperlink" Target="https://3arbzfbsh-cname-us.ngrok.io/Desktop/seabridge%20fintech/blueline_pa_icon/GDX_pa_blueline_signal.jpg" TargetMode="External"/><Relationship Id="rId247" Type="http://schemas.openxmlformats.org/officeDocument/2006/relationships/hyperlink" Target="https://3arbzfbsh-cname-us.ngrok.io/Desktop/seabridge%20fintech/blueline_pa_icon/GD_pa_blueline_signal.jpg" TargetMode="External"/><Relationship Id="rId489" Type="http://schemas.openxmlformats.org/officeDocument/2006/relationships/hyperlink" Target="https://3arbzfbsh-cname-us.ngrok.io/Desktop/seabridge%20fintech/blueline_pa_icon/PNC_pa_blueline_signal.jpg" TargetMode="External"/><Relationship Id="rId242" Type="http://schemas.openxmlformats.org/officeDocument/2006/relationships/hyperlink" Target="https://3arbzfbsh-cname-us.ngrok.io/Desktop/seabridge%20fintech/blueline_pa_icon/FTNT_pa_blueline_signal.jpg" TargetMode="External"/><Relationship Id="rId484" Type="http://schemas.openxmlformats.org/officeDocument/2006/relationships/hyperlink" Target="https://3arbzfbsh-cname-us.ngrok.io/Desktop/seabridge%20fintech/blueline_pa_icon/PKI_pa_blueline_signal.jpg" TargetMode="External"/><Relationship Id="rId241" Type="http://schemas.openxmlformats.org/officeDocument/2006/relationships/hyperlink" Target="https://3arbzfbsh-cname-us.ngrok.io/Desktop/seabridge%20fintech/blueline_pa_icon/FSLY_pa_blueline_signal.jpg" TargetMode="External"/><Relationship Id="rId483" Type="http://schemas.openxmlformats.org/officeDocument/2006/relationships/hyperlink" Target="https://3arbzfbsh-cname-us.ngrok.io/Desktop/seabridge%20fintech/blueline_pa_icon/PKG_pa_blueline_signal.jpg" TargetMode="External"/><Relationship Id="rId240" Type="http://schemas.openxmlformats.org/officeDocument/2006/relationships/hyperlink" Target="https://3arbzfbsh-cname-us.ngrok.io/Desktop/seabridge%20fintech/blueline_pa_icon/FSLR_pa_blueline_signal.jpg" TargetMode="External"/><Relationship Id="rId482" Type="http://schemas.openxmlformats.org/officeDocument/2006/relationships/hyperlink" Target="https://3arbzfbsh-cname-us.ngrok.io/Desktop/seabridge%20fintech/blueline_pa_icon/PINS_pa_blueline_signal.jpg" TargetMode="External"/><Relationship Id="rId481" Type="http://schemas.openxmlformats.org/officeDocument/2006/relationships/hyperlink" Target="https://3arbzfbsh-cname-us.ngrok.io/Desktop/seabridge%20fintech/blueline_pa_icon/PHM_pa_blueline_signal.jpg" TargetMode="External"/><Relationship Id="rId246" Type="http://schemas.openxmlformats.org/officeDocument/2006/relationships/hyperlink" Target="https://3arbzfbsh-cname-us.ngrok.io/Desktop/seabridge%20fintech/blueline_pa_icon/GBTC_pa_blueline_signal.jpg" TargetMode="External"/><Relationship Id="rId488" Type="http://schemas.openxmlformats.org/officeDocument/2006/relationships/hyperlink" Target="https://3arbzfbsh-cname-us.ngrok.io/Desktop/seabridge%20fintech/blueline_pa_icon/PM_pa_blueline_signal.jpg" TargetMode="External"/><Relationship Id="rId245" Type="http://schemas.openxmlformats.org/officeDocument/2006/relationships/hyperlink" Target="https://3arbzfbsh-cname-us.ngrok.io/Desktop/seabridge%20fintech/blueline_pa_icon/FXI_pa_blueline_signal.jpg" TargetMode="External"/><Relationship Id="rId487" Type="http://schemas.openxmlformats.org/officeDocument/2006/relationships/hyperlink" Target="https://3arbzfbsh-cname-us.ngrok.io/Desktop/seabridge%20fintech/blueline_pa_icon/PLUG_pa_blueline_signal.jpg" TargetMode="External"/><Relationship Id="rId244" Type="http://schemas.openxmlformats.org/officeDocument/2006/relationships/hyperlink" Target="https://3arbzfbsh-cname-us.ngrok.io/Desktop/seabridge%20fintech/blueline_pa_icon/FUBO_pa_blueline_signal.jpg" TargetMode="External"/><Relationship Id="rId486" Type="http://schemas.openxmlformats.org/officeDocument/2006/relationships/hyperlink" Target="https://3arbzfbsh-cname-us.ngrok.io/Desktop/seabridge%20fintech/blueline_pa_icon/PLD_pa_blueline_signal.jpg" TargetMode="External"/><Relationship Id="rId243" Type="http://schemas.openxmlformats.org/officeDocument/2006/relationships/hyperlink" Target="https://3arbzfbsh-cname-us.ngrok.io/Desktop/seabridge%20fintech/blueline_pa_icon/FTV_pa_blueline_signal.jpg" TargetMode="External"/><Relationship Id="rId485" Type="http://schemas.openxmlformats.org/officeDocument/2006/relationships/hyperlink" Target="https://3arbzfbsh-cname-us.ngrok.io/Desktop/seabridge%20fintech/blueline_pa_icon/PLAN_pa_blueline_signal.jpg" TargetMode="External"/><Relationship Id="rId480" Type="http://schemas.openxmlformats.org/officeDocument/2006/relationships/hyperlink" Target="https://3arbzfbsh-cname-us.ngrok.io/Desktop/seabridge%20fintech/blueline_pa_icon/PH_pa_blueline_signal.jpg" TargetMode="External"/><Relationship Id="rId239" Type="http://schemas.openxmlformats.org/officeDocument/2006/relationships/hyperlink" Target="https://3arbzfbsh-cname-us.ngrok.io/Desktop/seabridge%20fintech/blueline_pa_icon/FRT_pa_blueline_signal.jpg" TargetMode="External"/><Relationship Id="rId238" Type="http://schemas.openxmlformats.org/officeDocument/2006/relationships/hyperlink" Target="https://3arbzfbsh-cname-us.ngrok.io/Desktop/seabridge%20fintech/blueline_pa_icon/FRC_pa_blueline_signal.jpg" TargetMode="External"/><Relationship Id="rId237" Type="http://schemas.openxmlformats.org/officeDocument/2006/relationships/hyperlink" Target="https://3arbzfbsh-cname-us.ngrok.io/Desktop/seabridge%20fintech/blueline_pa_icon/FOXA_pa_blueline_signal.jpg" TargetMode="External"/><Relationship Id="rId479" Type="http://schemas.openxmlformats.org/officeDocument/2006/relationships/hyperlink" Target="https://3arbzfbsh-cname-us.ngrok.io/Desktop/seabridge%20fintech/blueline_pa_icon/PGR_pa_blueline_signal.jpg" TargetMode="External"/><Relationship Id="rId236" Type="http://schemas.openxmlformats.org/officeDocument/2006/relationships/hyperlink" Target="https://3arbzfbsh-cname-us.ngrok.io/Desktop/seabridge%20fintech/blueline_pa_icon/FOX_pa_blueline_signal.jpg" TargetMode="External"/><Relationship Id="rId478" Type="http://schemas.openxmlformats.org/officeDocument/2006/relationships/hyperlink" Target="https://3arbzfbsh-cname-us.ngrok.io/Desktop/seabridge%20fintech/blueline_pa_icon/PG_pa_blueline_signal.jpg" TargetMode="External"/><Relationship Id="rId231" Type="http://schemas.openxmlformats.org/officeDocument/2006/relationships/hyperlink" Target="https://3arbzfbsh-cname-us.ngrok.io/Desktop/seabridge%20fintech/blueline_pa_icon/FIS_pa_blueline_signal.jpg" TargetMode="External"/><Relationship Id="rId473" Type="http://schemas.openxmlformats.org/officeDocument/2006/relationships/hyperlink" Target="https://3arbzfbsh-cname-us.ngrok.io/Desktop/seabridge%20fintech/blueline_pa_icon/PENN_pa_blueline_signal.jpg" TargetMode="External"/><Relationship Id="rId230" Type="http://schemas.openxmlformats.org/officeDocument/2006/relationships/hyperlink" Target="https://3arbzfbsh-cname-us.ngrok.io/Desktop/seabridge%20fintech/blueline_pa_icon/FFIV_pa_blueline_signal.jpg" TargetMode="External"/><Relationship Id="rId472" Type="http://schemas.openxmlformats.org/officeDocument/2006/relationships/hyperlink" Target="https://3arbzfbsh-cname-us.ngrok.io/Desktop/seabridge%20fintech/blueline_pa_icon/PEG_pa_blueline_signal.jpg" TargetMode="External"/><Relationship Id="rId471" Type="http://schemas.openxmlformats.org/officeDocument/2006/relationships/hyperlink" Target="https://3arbzfbsh-cname-us.ngrok.io/Desktop/seabridge%20fintech/blueline_pa_icon/PEAK_pa_blueline_signal.jpg" TargetMode="External"/><Relationship Id="rId470" Type="http://schemas.openxmlformats.org/officeDocument/2006/relationships/hyperlink" Target="https://3arbzfbsh-cname-us.ngrok.io/Desktop/seabridge%20fintech/blueline_pa_icon/PDD_pa_blueline_signal.jpg" TargetMode="External"/><Relationship Id="rId235" Type="http://schemas.openxmlformats.org/officeDocument/2006/relationships/hyperlink" Target="https://3arbzfbsh-cname-us.ngrok.io/Desktop/seabridge%20fintech/blueline_pa_icon/FMC_pa_blueline_signal.jpg" TargetMode="External"/><Relationship Id="rId477" Type="http://schemas.openxmlformats.org/officeDocument/2006/relationships/hyperlink" Target="https://3arbzfbsh-cname-us.ngrok.io/Desktop/seabridge%20fintech/blueline_pa_icon/PFG_pa_blueline_signal.jpg" TargetMode="External"/><Relationship Id="rId234" Type="http://schemas.openxmlformats.org/officeDocument/2006/relationships/hyperlink" Target="https://3arbzfbsh-cname-us.ngrok.io/Desktop/seabridge%20fintech/blueline_pa_icon/FLT_pa_blueline_signal.jpg" TargetMode="External"/><Relationship Id="rId476" Type="http://schemas.openxmlformats.org/officeDocument/2006/relationships/hyperlink" Target="https://3arbzfbsh-cname-us.ngrok.io/Desktop/seabridge%20fintech/blueline_pa_icon/PFF_pa_blueline_signal.jpg" TargetMode="External"/><Relationship Id="rId233" Type="http://schemas.openxmlformats.org/officeDocument/2006/relationships/hyperlink" Target="https://3arbzfbsh-cname-us.ngrok.io/Desktop/seabridge%20fintech/blueline_pa_icon/FITB_pa_blueline_signal.jpg" TargetMode="External"/><Relationship Id="rId475" Type="http://schemas.openxmlformats.org/officeDocument/2006/relationships/hyperlink" Target="https://3arbzfbsh-cname-us.ngrok.io/Desktop/seabridge%20fintech/blueline_pa_icon/PFE_pa_blueline_signal.jpg" TargetMode="External"/><Relationship Id="rId232" Type="http://schemas.openxmlformats.org/officeDocument/2006/relationships/hyperlink" Target="https://3arbzfbsh-cname-us.ngrok.io/Desktop/seabridge%20fintech/blueline_pa_icon/FISV_pa_blueline_signal.jpg" TargetMode="External"/><Relationship Id="rId474" Type="http://schemas.openxmlformats.org/officeDocument/2006/relationships/hyperlink" Target="https://3arbzfbsh-cname-us.ngrok.io/Desktop/seabridge%20fintech/blueline_pa_icon/PEP_pa_blueline_signal.jpg" TargetMode="External"/><Relationship Id="rId426" Type="http://schemas.openxmlformats.org/officeDocument/2006/relationships/hyperlink" Target="https://3arbzfbsh-cname-us.ngrok.io/Desktop/seabridge%20fintech/blueline_pa_icon/NEM_pa_blueline_signal.jpg" TargetMode="External"/><Relationship Id="rId668" Type="http://schemas.openxmlformats.org/officeDocument/2006/relationships/hyperlink" Target="https://3arbzfbsh-cname-us.ngrok.io/Desktop/seabridge%20fintech/blueline_pa_icon/WORK_pa_blueline_signal.jpg" TargetMode="External"/><Relationship Id="rId425" Type="http://schemas.openxmlformats.org/officeDocument/2006/relationships/hyperlink" Target="https://3arbzfbsh-cname-us.ngrok.io/Desktop/seabridge%20fintech/blueline_pa_icon/NEE_pa_blueline_signal.jpg" TargetMode="External"/><Relationship Id="rId667" Type="http://schemas.openxmlformats.org/officeDocument/2006/relationships/hyperlink" Target="https://3arbzfbsh-cname-us.ngrok.io/Desktop/seabridge%20fintech/blueline_pa_icon/WMT_pa_blueline_signal.jpg" TargetMode="External"/><Relationship Id="rId424" Type="http://schemas.openxmlformats.org/officeDocument/2006/relationships/hyperlink" Target="https://3arbzfbsh-cname-us.ngrok.io/Desktop/seabridge%20fintech/blueline_pa_icon/NDAQ_pa_blueline_signal.jpg" TargetMode="External"/><Relationship Id="rId666" Type="http://schemas.openxmlformats.org/officeDocument/2006/relationships/hyperlink" Target="https://3arbzfbsh-cname-us.ngrok.io/Desktop/seabridge%20fintech/blueline_pa_icon/WMB_pa_blueline_signal.jpg" TargetMode="External"/><Relationship Id="rId423" Type="http://schemas.openxmlformats.org/officeDocument/2006/relationships/hyperlink" Target="https://3arbzfbsh-cname-us.ngrok.io/Desktop/seabridge%20fintech/blueline_pa_icon/NCLH_pa_blueline_signal.jpg" TargetMode="External"/><Relationship Id="rId665" Type="http://schemas.openxmlformats.org/officeDocument/2006/relationships/hyperlink" Target="https://3arbzfbsh-cname-us.ngrok.io/Desktop/seabridge%20fintech/blueline_pa_icon/WM_pa_blueline_signal.jpg" TargetMode="External"/><Relationship Id="rId429" Type="http://schemas.openxmlformats.org/officeDocument/2006/relationships/hyperlink" Target="https://3arbzfbsh-cname-us.ngrok.io/Desktop/seabridge%20fintech/blueline_pa_icon/NI_pa_blueline_signal.jpg" TargetMode="External"/><Relationship Id="rId428" Type="http://schemas.openxmlformats.org/officeDocument/2006/relationships/hyperlink" Target="https://3arbzfbsh-cname-us.ngrok.io/Desktop/seabridge%20fintech/blueline_pa_icon/NFLX_pa_blueline_signal.jpg" TargetMode="External"/><Relationship Id="rId427" Type="http://schemas.openxmlformats.org/officeDocument/2006/relationships/hyperlink" Target="https://3arbzfbsh-cname-us.ngrok.io/Desktop/seabridge%20fintech/blueline_pa_icon/NET_pa_blueline_signal.jpg" TargetMode="External"/><Relationship Id="rId669" Type="http://schemas.openxmlformats.org/officeDocument/2006/relationships/hyperlink" Target="https://3arbzfbsh-cname-us.ngrok.io/Desktop/seabridge%20fintech/blueline_pa_icon/WRB_pa_blueline_signal.jpg" TargetMode="External"/><Relationship Id="rId660" Type="http://schemas.openxmlformats.org/officeDocument/2006/relationships/hyperlink" Target="https://3arbzfbsh-cname-us.ngrok.io/Desktop/seabridge%20fintech/blueline_pa_icon/WEC_pa_blueline_signal.jpg" TargetMode="External"/><Relationship Id="rId422" Type="http://schemas.openxmlformats.org/officeDocument/2006/relationships/hyperlink" Target="https://3arbzfbsh-cname-us.ngrok.io/Desktop/seabridge%20fintech/blueline_pa_icon/MXIM_pa_blueline_signal.jpg" TargetMode="External"/><Relationship Id="rId664" Type="http://schemas.openxmlformats.org/officeDocument/2006/relationships/hyperlink" Target="https://3arbzfbsh-cname-us.ngrok.io/Desktop/seabridge%20fintech/blueline_pa_icon/WLTW_pa_blueline_signal.jpg" TargetMode="External"/><Relationship Id="rId421" Type="http://schemas.openxmlformats.org/officeDocument/2006/relationships/hyperlink" Target="https://3arbzfbsh-cname-us.ngrok.io/Desktop/seabridge%20fintech/blueline_pa_icon/MU_pa_blueline_signal.jpg" TargetMode="External"/><Relationship Id="rId663" Type="http://schemas.openxmlformats.org/officeDocument/2006/relationships/hyperlink" Target="https://3arbzfbsh-cname-us.ngrok.io/Desktop/seabridge%20fintech/blueline_pa_icon/WHR_pa_blueline_signal.jpg" TargetMode="External"/><Relationship Id="rId420" Type="http://schemas.openxmlformats.org/officeDocument/2006/relationships/hyperlink" Target="https://3arbzfbsh-cname-us.ngrok.io/Desktop/seabridge%20fintech/blueline_pa_icon/MTD_pa_blueline_signal.jpg" TargetMode="External"/><Relationship Id="rId662" Type="http://schemas.openxmlformats.org/officeDocument/2006/relationships/hyperlink" Target="https://3arbzfbsh-cname-us.ngrok.io/Desktop/seabridge%20fintech/blueline_pa_icon/WFC_pa_blueline_signal.jpg" TargetMode="External"/><Relationship Id="rId661" Type="http://schemas.openxmlformats.org/officeDocument/2006/relationships/hyperlink" Target="https://3arbzfbsh-cname-us.ngrok.io/Desktop/seabridge%20fintech/blueline_pa_icon/WELL_pa_blueline_signal.jpg" TargetMode="External"/><Relationship Id="rId415" Type="http://schemas.openxmlformats.org/officeDocument/2006/relationships/hyperlink" Target="https://3arbzfbsh-cname-us.ngrok.io/Desktop/seabridge%20fintech/blueline_pa_icon/MSCI_pa_blueline_signal.jpg" TargetMode="External"/><Relationship Id="rId657" Type="http://schemas.openxmlformats.org/officeDocument/2006/relationships/hyperlink" Target="https://3arbzfbsh-cname-us.ngrok.io/Desktop/seabridge%20fintech/blueline_pa_icon/WBA_pa_blueline_signal.jpg" TargetMode="External"/><Relationship Id="rId414" Type="http://schemas.openxmlformats.org/officeDocument/2006/relationships/hyperlink" Target="https://3arbzfbsh-cname-us.ngrok.io/Desktop/seabridge%20fintech/blueline_pa_icon/MS_pa_blueline_signal.jpg" TargetMode="External"/><Relationship Id="rId656" Type="http://schemas.openxmlformats.org/officeDocument/2006/relationships/hyperlink" Target="https://3arbzfbsh-cname-us.ngrok.io/Desktop/seabridge%20fintech/blueline_pa_icon/WAT_pa_blueline_signal.jpg" TargetMode="External"/><Relationship Id="rId413" Type="http://schemas.openxmlformats.org/officeDocument/2006/relationships/hyperlink" Target="https://3arbzfbsh-cname-us.ngrok.io/Desktop/seabridge%20fintech/blueline_pa_icon/MRVL_pa_blueline_signal.jpg" TargetMode="External"/><Relationship Id="rId655" Type="http://schemas.openxmlformats.org/officeDocument/2006/relationships/hyperlink" Target="https://3arbzfbsh-cname-us.ngrok.io/Desktop/seabridge%20fintech/blueline_pa_icon/WAB_pa_blueline_signal.jpg" TargetMode="External"/><Relationship Id="rId412" Type="http://schemas.openxmlformats.org/officeDocument/2006/relationships/hyperlink" Target="https://3arbzfbsh-cname-us.ngrok.io/Desktop/seabridge%20fintech/blueline_pa_icon/MRO_pa_blueline_signal.jpg" TargetMode="External"/><Relationship Id="rId654" Type="http://schemas.openxmlformats.org/officeDocument/2006/relationships/hyperlink" Target="https://3arbzfbsh-cname-us.ngrok.io/Desktop/seabridge%20fintech/blueline_pa_icon/VZ_pa_blueline_signal.jpg" TargetMode="External"/><Relationship Id="rId419" Type="http://schemas.openxmlformats.org/officeDocument/2006/relationships/hyperlink" Target="https://3arbzfbsh-cname-us.ngrok.io/Desktop/seabridge%20fintech/blueline_pa_icon/MTCH_pa_blueline_signal.jpg" TargetMode="External"/><Relationship Id="rId418" Type="http://schemas.openxmlformats.org/officeDocument/2006/relationships/hyperlink" Target="https://3arbzfbsh-cname-us.ngrok.io/Desktop/seabridge%20fintech/blueline_pa_icon/MTB_pa_blueline_signal.jpg" TargetMode="External"/><Relationship Id="rId417" Type="http://schemas.openxmlformats.org/officeDocument/2006/relationships/hyperlink" Target="https://3arbzfbsh-cname-us.ngrok.io/Desktop/seabridge%20fintech/blueline_pa_icon/MSI_pa_blueline_signal.jpg" TargetMode="External"/><Relationship Id="rId659" Type="http://schemas.openxmlformats.org/officeDocument/2006/relationships/hyperlink" Target="https://3arbzfbsh-cname-us.ngrok.io/Desktop/seabridge%20fintech/blueline_pa_icon/WDC_pa_blueline_signal.jpg" TargetMode="External"/><Relationship Id="rId416" Type="http://schemas.openxmlformats.org/officeDocument/2006/relationships/hyperlink" Target="https://3arbzfbsh-cname-us.ngrok.io/Desktop/seabridge%20fintech/blueline_pa_icon/MSFT_pa_blueline_signal.jpg" TargetMode="External"/><Relationship Id="rId658" Type="http://schemas.openxmlformats.org/officeDocument/2006/relationships/hyperlink" Target="https://3arbzfbsh-cname-us.ngrok.io/Desktop/seabridge%20fintech/blueline_pa_icon/WDAY_pa_blueline_signal.jpg" TargetMode="External"/><Relationship Id="rId411" Type="http://schemas.openxmlformats.org/officeDocument/2006/relationships/hyperlink" Target="https://3arbzfbsh-cname-us.ngrok.io/Desktop/seabridge%20fintech/blueline_pa_icon/MRNA_pa_blueline_signal.jpg" TargetMode="External"/><Relationship Id="rId653" Type="http://schemas.openxmlformats.org/officeDocument/2006/relationships/hyperlink" Target="https://3arbzfbsh-cname-us.ngrok.io/Desktop/seabridge%20fintech/blueline_pa_icon/VXUS_pa_blueline_signal.jpg" TargetMode="External"/><Relationship Id="rId410" Type="http://schemas.openxmlformats.org/officeDocument/2006/relationships/hyperlink" Target="https://3arbzfbsh-cname-us.ngrok.io/Desktop/seabridge%20fintech/blueline_pa_icon/MPWR_pa_blueline_signal.jpg" TargetMode="External"/><Relationship Id="rId652" Type="http://schemas.openxmlformats.org/officeDocument/2006/relationships/hyperlink" Target="https://3arbzfbsh-cname-us.ngrok.io/Desktop/seabridge%20fintech/blueline_pa_icon/VWO_pa_blueline_signal.jpg" TargetMode="External"/><Relationship Id="rId651" Type="http://schemas.openxmlformats.org/officeDocument/2006/relationships/hyperlink" Target="https://3arbzfbsh-cname-us.ngrok.io/Desktop/seabridge%20fintech/blueline_pa_icon/VTV_pa_blueline_signal.jpg" TargetMode="External"/><Relationship Id="rId650" Type="http://schemas.openxmlformats.org/officeDocument/2006/relationships/hyperlink" Target="https://3arbzfbsh-cname-us.ngrok.io/Desktop/seabridge%20fintech/blueline_pa_icon/VTRS_pa_blueline_signal.jpg" TargetMode="External"/><Relationship Id="rId206" Type="http://schemas.openxmlformats.org/officeDocument/2006/relationships/hyperlink" Target="https://3arbzfbsh-cname-us.ngrok.io/Desktop/seabridge%20fintech/blueline_pa_icon/ETSY_pa_blueline_signal.jpg" TargetMode="External"/><Relationship Id="rId448" Type="http://schemas.openxmlformats.org/officeDocument/2006/relationships/hyperlink" Target="https://3arbzfbsh-cname-us.ngrok.io/Desktop/seabridge%20fintech/blueline_pa_icon/NVR_pa_blueline_signal.jpg" TargetMode="External"/><Relationship Id="rId205" Type="http://schemas.openxmlformats.org/officeDocument/2006/relationships/hyperlink" Target="https://3arbzfbsh-cname-us.ngrok.io/Desktop/seabridge%20fintech/blueline_pa_icon/ETR_pa_blueline_signal.jpg" TargetMode="External"/><Relationship Id="rId447" Type="http://schemas.openxmlformats.org/officeDocument/2006/relationships/hyperlink" Target="https://3arbzfbsh-cname-us.ngrok.io/Desktop/seabridge%20fintech/blueline_pa_icon/NVDA_pa_blueline_signal.jpg" TargetMode="External"/><Relationship Id="rId689" Type="http://schemas.openxmlformats.org/officeDocument/2006/relationships/hyperlink" Target="https://3arbzfbsh-cname-us.ngrok.io/Desktop/seabridge%20fintech/blueline_pa_icon/XLY_pa_blueline_signal.jpg" TargetMode="External"/><Relationship Id="rId204" Type="http://schemas.openxmlformats.org/officeDocument/2006/relationships/hyperlink" Target="https://3arbzfbsh-cname-us.ngrok.io/Desktop/seabridge%20fintech/blueline_pa_icon/ETN_pa_blueline_signal.jpg" TargetMode="External"/><Relationship Id="rId446" Type="http://schemas.openxmlformats.org/officeDocument/2006/relationships/hyperlink" Target="https://3arbzfbsh-cname-us.ngrok.io/Desktop/seabridge%20fintech/blueline_pa_icon/NVAX_pa_blueline_signal.jpg" TargetMode="External"/><Relationship Id="rId688" Type="http://schemas.openxmlformats.org/officeDocument/2006/relationships/hyperlink" Target="https://3arbzfbsh-cname-us.ngrok.io/Desktop/seabridge%20fintech/blueline_pa_icon/XLV_pa_blueline_signal.jpg" TargetMode="External"/><Relationship Id="rId203" Type="http://schemas.openxmlformats.org/officeDocument/2006/relationships/hyperlink" Target="https://3arbzfbsh-cname-us.ngrok.io/Desktop/seabridge%20fintech/blueline_pa_icon/ESS_pa_blueline_signal.jpg" TargetMode="External"/><Relationship Id="rId445" Type="http://schemas.openxmlformats.org/officeDocument/2006/relationships/hyperlink" Target="https://3arbzfbsh-cname-us.ngrok.io/Desktop/seabridge%20fintech/blueline_pa_icon/NUE_pa_blueline_signal.jpg" TargetMode="External"/><Relationship Id="rId687" Type="http://schemas.openxmlformats.org/officeDocument/2006/relationships/hyperlink" Target="https://3arbzfbsh-cname-us.ngrok.io/Desktop/seabridge%20fintech/blueline_pa_icon/XLU_pa_blueline_signal.jpg" TargetMode="External"/><Relationship Id="rId209" Type="http://schemas.openxmlformats.org/officeDocument/2006/relationships/hyperlink" Target="https://3arbzfbsh-cname-us.ngrok.io/Desktop/seabridge%20fintech/blueline_pa_icon/EWC_pa_blueline_signal.jpg" TargetMode="External"/><Relationship Id="rId208" Type="http://schemas.openxmlformats.org/officeDocument/2006/relationships/hyperlink" Target="https://3arbzfbsh-cname-us.ngrok.io/Desktop/seabridge%20fintech/blueline_pa_icon/EW_pa_blueline_signal.jpg" TargetMode="External"/><Relationship Id="rId207" Type="http://schemas.openxmlformats.org/officeDocument/2006/relationships/hyperlink" Target="https://3arbzfbsh-cname-us.ngrok.io/Desktop/seabridge%20fintech/blueline_pa_icon/EVRG_pa_blueline_signal.jpg" TargetMode="External"/><Relationship Id="rId449" Type="http://schemas.openxmlformats.org/officeDocument/2006/relationships/hyperlink" Target="https://3arbzfbsh-cname-us.ngrok.io/Desktop/seabridge%20fintech/blueline_pa_icon/NVTA_pa_blueline_signal.jpg" TargetMode="External"/><Relationship Id="rId440" Type="http://schemas.openxmlformats.org/officeDocument/2006/relationships/hyperlink" Target="https://3arbzfbsh-cname-us.ngrok.io/Desktop/seabridge%20fintech/blueline_pa_icon/NTES_pa_blueline_signal.jpg" TargetMode="External"/><Relationship Id="rId682" Type="http://schemas.openxmlformats.org/officeDocument/2006/relationships/hyperlink" Target="https://3arbzfbsh-cname-us.ngrok.io/Desktop/seabridge%20fintech/blueline_pa_icon/XLI_pa_blueline_signal.jpg" TargetMode="External"/><Relationship Id="rId681" Type="http://schemas.openxmlformats.org/officeDocument/2006/relationships/hyperlink" Target="https://3arbzfbsh-cname-us.ngrok.io/Desktop/seabridge%20fintech/blueline_pa_icon/XLF_pa_blueline_signal.jpg" TargetMode="External"/><Relationship Id="rId680" Type="http://schemas.openxmlformats.org/officeDocument/2006/relationships/hyperlink" Target="https://3arbzfbsh-cname-us.ngrok.io/Desktop/seabridge%20fintech/blueline_pa_icon/XLE_pa_blueline_signal.jpg" TargetMode="External"/><Relationship Id="rId202" Type="http://schemas.openxmlformats.org/officeDocument/2006/relationships/hyperlink" Target="https://3arbzfbsh-cname-us.ngrok.io/Desktop/seabridge%20fintech/blueline_pa_icon/ES_pa_blueline_signal.jpg" TargetMode="External"/><Relationship Id="rId444" Type="http://schemas.openxmlformats.org/officeDocument/2006/relationships/hyperlink" Target="https://3arbzfbsh-cname-us.ngrok.io/Desktop/seabridge%20fintech/blueline_pa_icon/NUAN_pa_blueline_signal.jpg" TargetMode="External"/><Relationship Id="rId686" Type="http://schemas.openxmlformats.org/officeDocument/2006/relationships/hyperlink" Target="https://3arbzfbsh-cname-us.ngrok.io/Desktop/seabridge%20fintech/blueline_pa_icon/XLRE_pa_blueline_signal.jpg" TargetMode="External"/><Relationship Id="rId201" Type="http://schemas.openxmlformats.org/officeDocument/2006/relationships/hyperlink" Target="https://3arbzfbsh-cname-us.ngrok.io/Desktop/seabridge%20fintech/blueline_pa_icon/EQR_pa_blueline_signal.jpg" TargetMode="External"/><Relationship Id="rId443" Type="http://schemas.openxmlformats.org/officeDocument/2006/relationships/hyperlink" Target="https://3arbzfbsh-cname-us.ngrok.io/Desktop/seabridge%20fintech/blueline_pa_icon/NTRS_pa_blueline_signal.jpg" TargetMode="External"/><Relationship Id="rId685" Type="http://schemas.openxmlformats.org/officeDocument/2006/relationships/hyperlink" Target="https://3arbzfbsh-cname-us.ngrok.io/Desktop/seabridge%20fintech/blueline_pa_icon/XLP_pa_blueline_signal.jpg" TargetMode="External"/><Relationship Id="rId200" Type="http://schemas.openxmlformats.org/officeDocument/2006/relationships/hyperlink" Target="https://3arbzfbsh-cname-us.ngrok.io/Desktop/seabridge%20fintech/blueline_pa_icon/EQIX_pa_blueline_signal.jpg" TargetMode="External"/><Relationship Id="rId442" Type="http://schemas.openxmlformats.org/officeDocument/2006/relationships/hyperlink" Target="https://3arbzfbsh-cname-us.ngrok.io/Desktop/seabridge%20fintech/blueline_pa_icon/NTNX_pa_blueline_signal.jpg" TargetMode="External"/><Relationship Id="rId684" Type="http://schemas.openxmlformats.org/officeDocument/2006/relationships/hyperlink" Target="https://3arbzfbsh-cname-us.ngrok.io/Desktop/seabridge%20fintech/blueline_pa_icon/XLNX_pa_blueline_signal.jpg" TargetMode="External"/><Relationship Id="rId441" Type="http://schemas.openxmlformats.org/officeDocument/2006/relationships/hyperlink" Target="https://3arbzfbsh-cname-us.ngrok.io/Desktop/seabridge%20fintech/blueline_pa_icon/NTLA_pa_blueline_signal.jpg" TargetMode="External"/><Relationship Id="rId683" Type="http://schemas.openxmlformats.org/officeDocument/2006/relationships/hyperlink" Target="https://3arbzfbsh-cname-us.ngrok.io/Desktop/seabridge%20fintech/blueline_pa_icon/XLK_pa_blueline_signal.jpg" TargetMode="External"/><Relationship Id="rId437" Type="http://schemas.openxmlformats.org/officeDocument/2006/relationships/hyperlink" Target="https://3arbzfbsh-cname-us.ngrok.io/Desktop/seabridge%20fintech/blueline_pa_icon/NRG_pa_blueline_signal.jpg" TargetMode="External"/><Relationship Id="rId679" Type="http://schemas.openxmlformats.org/officeDocument/2006/relationships/hyperlink" Target="https://3arbzfbsh-cname-us.ngrok.io/Desktop/seabridge%20fintech/blueline_pa_icon/XLC_pa_blueline_signal.jpg" TargetMode="External"/><Relationship Id="rId436" Type="http://schemas.openxmlformats.org/officeDocument/2006/relationships/hyperlink" Target="https://3arbzfbsh-cname-us.ngrok.io/Desktop/seabridge%20fintech/blueline_pa_icon/NOW_pa_blueline_signal.jpg" TargetMode="External"/><Relationship Id="rId678" Type="http://schemas.openxmlformats.org/officeDocument/2006/relationships/hyperlink" Target="https://3arbzfbsh-cname-us.ngrok.io/Desktop/seabridge%20fintech/blueline_pa_icon/XLB_pa_blueline_signal.jpg" TargetMode="External"/><Relationship Id="rId435" Type="http://schemas.openxmlformats.org/officeDocument/2006/relationships/hyperlink" Target="https://3arbzfbsh-cname-us.ngrok.io/Desktop/seabridge%20fintech/blueline_pa_icon/NOVA_pa_blueline_signal.jpg" TargetMode="External"/><Relationship Id="rId677" Type="http://schemas.openxmlformats.org/officeDocument/2006/relationships/hyperlink" Target="https://3arbzfbsh-cname-us.ngrok.io/Desktop/seabridge%20fintech/blueline_pa_icon/XEL_pa_blueline_signal.jpg" TargetMode="External"/><Relationship Id="rId434" Type="http://schemas.openxmlformats.org/officeDocument/2006/relationships/hyperlink" Target="https://3arbzfbsh-cname-us.ngrok.io/Desktop/seabridge%20fintech/blueline_pa_icon/NOV_pa_blueline_signal.jpg" TargetMode="External"/><Relationship Id="rId676" Type="http://schemas.openxmlformats.org/officeDocument/2006/relationships/hyperlink" Target="https://3arbzfbsh-cname-us.ngrok.io/Desktop/seabridge%20fintech/blueline_pa_icon/XBI_pa_blueline_signal.jpg" TargetMode="External"/><Relationship Id="rId439" Type="http://schemas.openxmlformats.org/officeDocument/2006/relationships/hyperlink" Target="https://3arbzfbsh-cname-us.ngrok.io/Desktop/seabridge%20fintech/blueline_pa_icon/NTAP_pa_blueline_signal.jpg" TargetMode="External"/><Relationship Id="rId438" Type="http://schemas.openxmlformats.org/officeDocument/2006/relationships/hyperlink" Target="https://3arbzfbsh-cname-us.ngrok.io/Desktop/seabridge%20fintech/blueline_pa_icon/NSC_pa_blueline_signal.jpg" TargetMode="External"/><Relationship Id="rId671" Type="http://schemas.openxmlformats.org/officeDocument/2006/relationships/hyperlink" Target="https://3arbzfbsh-cname-us.ngrok.io/Desktop/seabridge%20fintech/blueline_pa_icon/WSC_pa_blueline_signal.jpg" TargetMode="External"/><Relationship Id="rId670" Type="http://schemas.openxmlformats.org/officeDocument/2006/relationships/hyperlink" Target="https://3arbzfbsh-cname-us.ngrok.io/Desktop/seabridge%20fintech/blueline_pa_icon/WRK_pa_blueline_signal.jpg" TargetMode="External"/><Relationship Id="rId433" Type="http://schemas.openxmlformats.org/officeDocument/2006/relationships/hyperlink" Target="https://3arbzfbsh-cname-us.ngrok.io/Desktop/seabridge%20fintech/blueline_pa_icon/NOC_pa_blueline_signal.jpg" TargetMode="External"/><Relationship Id="rId675" Type="http://schemas.openxmlformats.org/officeDocument/2006/relationships/hyperlink" Target="https://3arbzfbsh-cname-us.ngrok.io/Desktop/seabridge%20fintech/blueline_pa_icon/WYNN_pa_blueline_signal.jpg" TargetMode="External"/><Relationship Id="rId432" Type="http://schemas.openxmlformats.org/officeDocument/2006/relationships/hyperlink" Target="https://3arbzfbsh-cname-us.ngrok.io/Desktop/seabridge%20fintech/blueline_pa_icon/NLSN_pa_blueline_signal.jpg" TargetMode="External"/><Relationship Id="rId674" Type="http://schemas.openxmlformats.org/officeDocument/2006/relationships/hyperlink" Target="https://3arbzfbsh-cname-us.ngrok.io/Desktop/seabridge%20fintech/blueline_pa_icon/WY_pa_blueline_signal.jpg" TargetMode="External"/><Relationship Id="rId431" Type="http://schemas.openxmlformats.org/officeDocument/2006/relationships/hyperlink" Target="https://3arbzfbsh-cname-us.ngrok.io/Desktop/seabridge%20fintech/blueline_pa_icon/NLOK_pa_blueline_signal.jpg" TargetMode="External"/><Relationship Id="rId673" Type="http://schemas.openxmlformats.org/officeDocument/2006/relationships/hyperlink" Target="https://3arbzfbsh-cname-us.ngrok.io/Desktop/seabridge%20fintech/blueline_pa_icon/WU_pa_blueline_signal.jpg" TargetMode="External"/><Relationship Id="rId430" Type="http://schemas.openxmlformats.org/officeDocument/2006/relationships/hyperlink" Target="https://3arbzfbsh-cname-us.ngrok.io/Desktop/seabridge%20fintech/blueline_pa_icon/NKE_pa_blueline_signal.jpg" TargetMode="External"/><Relationship Id="rId672" Type="http://schemas.openxmlformats.org/officeDocument/2006/relationships/hyperlink" Target="https://3arbzfbsh-cname-us.ngrok.io/Desktop/seabridge%20fintech/blueline_pa_icon/WST_pa_blueline_signal.jpg"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1" t="s">
        <v>1</v>
      </c>
    </row>
    <row r="2">
      <c r="A2" s="1" t="s">
        <v>2</v>
      </c>
      <c r="B2" s="1" t="s">
        <v>3</v>
      </c>
    </row>
    <row r="3">
      <c r="A3" s="1" t="s">
        <v>2</v>
      </c>
      <c r="B3" s="1" t="s">
        <v>4</v>
      </c>
    </row>
    <row r="4">
      <c r="A4" s="1" t="s">
        <v>2</v>
      </c>
      <c r="B4" s="1" t="s">
        <v>5</v>
      </c>
    </row>
    <row r="5">
      <c r="A5" s="1" t="s">
        <v>2</v>
      </c>
      <c r="B5" s="1" t="s">
        <v>6</v>
      </c>
    </row>
    <row r="6">
      <c r="A6" s="1" t="s">
        <v>2</v>
      </c>
      <c r="B6" s="1" t="s">
        <v>7</v>
      </c>
    </row>
    <row r="7">
      <c r="A7" s="1" t="s">
        <v>2</v>
      </c>
      <c r="B7" s="1" t="s">
        <v>8</v>
      </c>
    </row>
    <row r="8">
      <c r="A8" s="1" t="s">
        <v>2</v>
      </c>
      <c r="B8" s="1" t="s">
        <v>9</v>
      </c>
    </row>
    <row r="9">
      <c r="A9" s="1" t="s">
        <v>2</v>
      </c>
      <c r="B9" s="1" t="s">
        <v>10</v>
      </c>
    </row>
    <row r="10">
      <c r="A10" s="1" t="s">
        <v>2</v>
      </c>
      <c r="B10" s="1" t="s">
        <v>11</v>
      </c>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17.86"/>
    <col customWidth="1" min="3" max="3" width="11.57"/>
    <col customWidth="1" min="4" max="4" width="19.0"/>
    <col customWidth="1" min="5" max="5" width="24.14"/>
    <col customWidth="1" min="6" max="6" width="19.14"/>
    <col customWidth="1" min="7" max="7" width="44.71"/>
    <col customWidth="1" min="8" max="8" width="32.14"/>
    <col customWidth="1" min="9" max="9" width="11.57"/>
    <col customWidth="1" min="10" max="10" width="18.0"/>
    <col customWidth="1" min="11" max="11" width="31.57"/>
    <col customWidth="1" min="12" max="14" width="11.57"/>
  </cols>
  <sheetData>
    <row r="1">
      <c r="A1" s="56" t="s">
        <v>1</v>
      </c>
      <c r="B1" s="56" t="s">
        <v>3580</v>
      </c>
      <c r="C1" s="56" t="s">
        <v>3581</v>
      </c>
      <c r="D1" s="56" t="s">
        <v>3582</v>
      </c>
      <c r="E1" s="56" t="s">
        <v>3583</v>
      </c>
      <c r="F1" s="56" t="s">
        <v>3584</v>
      </c>
      <c r="G1" s="56" t="s">
        <v>3585</v>
      </c>
      <c r="H1" s="56" t="s">
        <v>3586</v>
      </c>
      <c r="I1" s="56" t="s">
        <v>3587</v>
      </c>
      <c r="J1" s="56" t="s">
        <v>3588</v>
      </c>
      <c r="K1" s="56" t="s">
        <v>3589</v>
      </c>
      <c r="L1" s="57" t="s">
        <v>3590</v>
      </c>
      <c r="M1" s="57" t="s">
        <v>3591</v>
      </c>
      <c r="N1" s="1" t="s">
        <v>3592</v>
      </c>
      <c r="O1" s="56" t="s">
        <v>3593</v>
      </c>
    </row>
    <row r="2">
      <c r="A2" s="56" t="s">
        <v>32</v>
      </c>
      <c r="B2" s="56">
        <v>0.0</v>
      </c>
      <c r="C2" s="56">
        <v>0.0</v>
      </c>
      <c r="D2" s="56">
        <v>0.0</v>
      </c>
      <c r="E2" s="56">
        <v>149.27</v>
      </c>
      <c r="F2" s="58">
        <v>44390.0</v>
      </c>
      <c r="G2" s="56">
        <v>0.0</v>
      </c>
      <c r="H2" s="56">
        <v>148.93</v>
      </c>
      <c r="I2" s="59">
        <v>44393.0</v>
      </c>
      <c r="J2" s="56" t="s">
        <v>3594</v>
      </c>
      <c r="K2" s="15" t="s">
        <v>3595</v>
      </c>
      <c r="L2" s="60" t="str">
        <f t="shared" ref="L2:L701" si="1">if(B2=0,"Not in buy Zone",B2+B2*0.005)</f>
        <v>Not in buy Zone</v>
      </c>
      <c r="M2" s="60" t="str">
        <f t="shared" ref="M2:M701" si="2">if(B2=0,"Not in buy Zone",B2-B2*0.005)</f>
        <v>Not in buy Zone</v>
      </c>
      <c r="N2" s="33" t="str">
        <f t="shared" ref="N2:N701" si="3">if(L2="Not in buy Zone","No","Yes")</f>
        <v>No</v>
      </c>
    </row>
    <row r="3">
      <c r="A3" s="56" t="s">
        <v>33</v>
      </c>
      <c r="B3" s="56">
        <v>0.0</v>
      </c>
      <c r="C3" s="56">
        <v>0.0</v>
      </c>
      <c r="D3" s="56">
        <v>0.0</v>
      </c>
      <c r="E3" s="56">
        <v>34.54</v>
      </c>
      <c r="F3" s="58">
        <v>44392.0</v>
      </c>
      <c r="G3" s="56">
        <v>0.0</v>
      </c>
      <c r="H3" s="56">
        <v>32.95</v>
      </c>
      <c r="I3" s="59">
        <v>44393.0</v>
      </c>
      <c r="J3" s="56" t="s">
        <v>3594</v>
      </c>
      <c r="K3" s="15" t="s">
        <v>3596</v>
      </c>
      <c r="L3" s="60" t="str">
        <f t="shared" si="1"/>
        <v>Not in buy Zone</v>
      </c>
      <c r="M3" s="60" t="str">
        <f t="shared" si="2"/>
        <v>Not in buy Zone</v>
      </c>
      <c r="N3" s="33" t="str">
        <f t="shared" si="3"/>
        <v>No</v>
      </c>
    </row>
    <row r="4">
      <c r="A4" s="56" t="s">
        <v>34</v>
      </c>
      <c r="B4" s="56">
        <v>0.0</v>
      </c>
      <c r="C4" s="56">
        <v>0.0</v>
      </c>
      <c r="D4" s="56">
        <v>0.0</v>
      </c>
      <c r="E4" s="56">
        <v>23.46</v>
      </c>
      <c r="F4" s="58">
        <v>44357.0</v>
      </c>
      <c r="G4" s="56">
        <v>0.0</v>
      </c>
      <c r="H4" s="56">
        <v>19.79</v>
      </c>
      <c r="I4" s="59">
        <v>44393.0</v>
      </c>
      <c r="J4" s="56" t="s">
        <v>3594</v>
      </c>
      <c r="K4" s="15" t="s">
        <v>3597</v>
      </c>
      <c r="L4" s="60" t="str">
        <f t="shared" si="1"/>
        <v>Not in buy Zone</v>
      </c>
      <c r="M4" s="60" t="str">
        <f t="shared" si="2"/>
        <v>Not in buy Zone</v>
      </c>
      <c r="N4" s="33" t="str">
        <f t="shared" si="3"/>
        <v>No</v>
      </c>
    </row>
    <row r="5">
      <c r="A5" s="56" t="s">
        <v>35</v>
      </c>
      <c r="B5" s="56">
        <v>0.0</v>
      </c>
      <c r="C5" s="56">
        <v>205.85</v>
      </c>
      <c r="D5" s="56">
        <v>0.0</v>
      </c>
      <c r="E5" s="56">
        <v>0.0</v>
      </c>
      <c r="F5" s="58">
        <v>44393.0</v>
      </c>
      <c r="G5" s="56">
        <v>-1.0</v>
      </c>
      <c r="H5" s="56">
        <v>205.85</v>
      </c>
      <c r="I5" s="59">
        <v>44393.0</v>
      </c>
      <c r="J5" s="56" t="s">
        <v>3594</v>
      </c>
      <c r="K5" s="15" t="s">
        <v>3598</v>
      </c>
      <c r="L5" s="60" t="str">
        <f t="shared" si="1"/>
        <v>Not in buy Zone</v>
      </c>
      <c r="M5" s="60" t="str">
        <f t="shared" si="2"/>
        <v>Not in buy Zone</v>
      </c>
      <c r="N5" s="33" t="str">
        <f t="shared" si="3"/>
        <v>No</v>
      </c>
    </row>
    <row r="6">
      <c r="A6" s="56" t="s">
        <v>36</v>
      </c>
      <c r="B6" s="56">
        <v>0.0</v>
      </c>
      <c r="C6" s="56">
        <v>0.0</v>
      </c>
      <c r="D6" s="56">
        <v>126.74</v>
      </c>
      <c r="E6" s="56">
        <v>0.0</v>
      </c>
      <c r="F6" s="58">
        <v>44355.0</v>
      </c>
      <c r="G6" s="56">
        <v>0.0</v>
      </c>
      <c r="H6" s="56">
        <v>146.39</v>
      </c>
      <c r="I6" s="59">
        <v>44393.0</v>
      </c>
      <c r="J6" s="56" t="s">
        <v>3594</v>
      </c>
      <c r="K6" s="15" t="s">
        <v>3599</v>
      </c>
      <c r="L6" s="60" t="str">
        <f t="shared" si="1"/>
        <v>Not in buy Zone</v>
      </c>
      <c r="M6" s="60" t="str">
        <f t="shared" si="2"/>
        <v>Not in buy Zone</v>
      </c>
      <c r="N6" s="33" t="str">
        <f t="shared" si="3"/>
        <v>No</v>
      </c>
    </row>
    <row r="7">
      <c r="A7" s="56" t="s">
        <v>37</v>
      </c>
      <c r="B7" s="56">
        <v>0.0</v>
      </c>
      <c r="C7" s="56">
        <v>0.0</v>
      </c>
      <c r="D7" s="56">
        <v>115.73</v>
      </c>
      <c r="E7" s="56">
        <v>0.0</v>
      </c>
      <c r="F7" s="58">
        <v>44383.0</v>
      </c>
      <c r="G7" s="56">
        <v>0.0</v>
      </c>
      <c r="H7" s="56">
        <v>117.5</v>
      </c>
      <c r="I7" s="59">
        <v>44393.0</v>
      </c>
      <c r="J7" s="56" t="s">
        <v>3594</v>
      </c>
      <c r="K7" s="15" t="s">
        <v>3600</v>
      </c>
      <c r="L7" s="60" t="str">
        <f t="shared" si="1"/>
        <v>Not in buy Zone</v>
      </c>
      <c r="M7" s="60" t="str">
        <f t="shared" si="2"/>
        <v>Not in buy Zone</v>
      </c>
      <c r="N7" s="33" t="str">
        <f t="shared" si="3"/>
        <v>No</v>
      </c>
    </row>
    <row r="8">
      <c r="A8" s="56" t="s">
        <v>38</v>
      </c>
      <c r="B8" s="56">
        <v>0.0</v>
      </c>
      <c r="C8" s="56">
        <v>0.0</v>
      </c>
      <c r="D8" s="56">
        <v>0.0</v>
      </c>
      <c r="E8" s="56">
        <v>114.42</v>
      </c>
      <c r="F8" s="58">
        <v>44365.0</v>
      </c>
      <c r="G8" s="56">
        <v>0.0</v>
      </c>
      <c r="H8" s="56">
        <v>112.88</v>
      </c>
      <c r="I8" s="59">
        <v>44393.0</v>
      </c>
      <c r="J8" s="56" t="s">
        <v>3594</v>
      </c>
      <c r="K8" s="15" t="s">
        <v>3601</v>
      </c>
      <c r="L8" s="60" t="str">
        <f t="shared" si="1"/>
        <v>Not in buy Zone</v>
      </c>
      <c r="M8" s="60" t="str">
        <f t="shared" si="2"/>
        <v>Not in buy Zone</v>
      </c>
      <c r="N8" s="33" t="str">
        <f t="shared" si="3"/>
        <v>No</v>
      </c>
    </row>
    <row r="9">
      <c r="A9" s="56" t="s">
        <v>39</v>
      </c>
      <c r="B9" s="56">
        <v>0.0</v>
      </c>
      <c r="C9" s="56">
        <v>0.0</v>
      </c>
      <c r="D9" s="56">
        <v>0.0</v>
      </c>
      <c r="E9" s="56">
        <v>312.3</v>
      </c>
      <c r="F9" s="58">
        <v>44391.0</v>
      </c>
      <c r="G9" s="56">
        <v>0.0</v>
      </c>
      <c r="H9" s="56">
        <v>317.98</v>
      </c>
      <c r="I9" s="59">
        <v>44393.0</v>
      </c>
      <c r="J9" s="56" t="s">
        <v>3594</v>
      </c>
      <c r="K9" s="15" t="s">
        <v>3602</v>
      </c>
      <c r="L9" s="60" t="str">
        <f t="shared" si="1"/>
        <v>Not in buy Zone</v>
      </c>
      <c r="M9" s="60" t="str">
        <f t="shared" si="2"/>
        <v>Not in buy Zone</v>
      </c>
      <c r="N9" s="33" t="str">
        <f t="shared" si="3"/>
        <v>No</v>
      </c>
    </row>
    <row r="10">
      <c r="A10" s="56" t="s">
        <v>40</v>
      </c>
      <c r="B10" s="56">
        <v>0.0</v>
      </c>
      <c r="C10" s="56">
        <v>0.0</v>
      </c>
      <c r="D10" s="56">
        <v>110.41</v>
      </c>
      <c r="E10" s="56">
        <v>0.0</v>
      </c>
      <c r="F10" s="58">
        <v>44362.0</v>
      </c>
      <c r="G10" s="56">
        <v>0.0</v>
      </c>
      <c r="H10" s="56">
        <v>117.51</v>
      </c>
      <c r="I10" s="59">
        <v>44393.0</v>
      </c>
      <c r="J10" s="56" t="s">
        <v>3594</v>
      </c>
      <c r="K10" s="15" t="s">
        <v>3603</v>
      </c>
      <c r="L10" s="60" t="str">
        <f t="shared" si="1"/>
        <v>Not in buy Zone</v>
      </c>
      <c r="M10" s="60" t="str">
        <f t="shared" si="2"/>
        <v>Not in buy Zone</v>
      </c>
      <c r="N10" s="33" t="str">
        <f t="shared" si="3"/>
        <v>No</v>
      </c>
    </row>
    <row r="11">
      <c r="A11" s="56" t="s">
        <v>41</v>
      </c>
      <c r="B11" s="56">
        <v>0.0</v>
      </c>
      <c r="C11" s="56">
        <v>0.0</v>
      </c>
      <c r="D11" s="56">
        <v>285.71</v>
      </c>
      <c r="E11" s="56">
        <v>0.0</v>
      </c>
      <c r="F11" s="58">
        <v>44361.0</v>
      </c>
      <c r="G11" s="56">
        <v>0.0</v>
      </c>
      <c r="H11" s="56">
        <v>311.91</v>
      </c>
      <c r="I11" s="59">
        <v>44393.0</v>
      </c>
      <c r="J11" s="56" t="s">
        <v>3594</v>
      </c>
      <c r="K11" s="15" t="s">
        <v>3604</v>
      </c>
      <c r="L11" s="60" t="str">
        <f t="shared" si="1"/>
        <v>Not in buy Zone</v>
      </c>
      <c r="M11" s="60" t="str">
        <f t="shared" si="2"/>
        <v>Not in buy Zone</v>
      </c>
      <c r="N11" s="33" t="str">
        <f t="shared" si="3"/>
        <v>No</v>
      </c>
    </row>
    <row r="12">
      <c r="A12" s="56" t="s">
        <v>42</v>
      </c>
      <c r="B12" s="56">
        <v>0.0</v>
      </c>
      <c r="C12" s="56">
        <v>0.0</v>
      </c>
      <c r="D12" s="56">
        <v>505.08</v>
      </c>
      <c r="E12" s="56">
        <v>0.0</v>
      </c>
      <c r="F12" s="58">
        <v>44341.0</v>
      </c>
      <c r="G12" s="56">
        <v>0.0</v>
      </c>
      <c r="H12" s="56">
        <v>606.1</v>
      </c>
      <c r="I12" s="59">
        <v>44393.0</v>
      </c>
      <c r="J12" s="56" t="s">
        <v>3594</v>
      </c>
      <c r="K12" s="15" t="s">
        <v>3605</v>
      </c>
      <c r="L12" s="60" t="str">
        <f t="shared" si="1"/>
        <v>Not in buy Zone</v>
      </c>
      <c r="M12" s="60" t="str">
        <f t="shared" si="2"/>
        <v>Not in buy Zone</v>
      </c>
      <c r="N12" s="33" t="str">
        <f t="shared" si="3"/>
        <v>No</v>
      </c>
    </row>
    <row r="13">
      <c r="A13" s="56" t="s">
        <v>43</v>
      </c>
      <c r="B13" s="56">
        <v>0.0</v>
      </c>
      <c r="C13" s="56">
        <v>0.0</v>
      </c>
      <c r="D13" s="56">
        <v>0.0</v>
      </c>
      <c r="E13" s="56">
        <v>165.43</v>
      </c>
      <c r="F13" s="58">
        <v>44384.0</v>
      </c>
      <c r="G13" s="56">
        <v>0.0</v>
      </c>
      <c r="H13" s="56">
        <v>160.44</v>
      </c>
      <c r="I13" s="59">
        <v>44393.0</v>
      </c>
      <c r="J13" s="56" t="s">
        <v>3594</v>
      </c>
      <c r="K13" s="15" t="s">
        <v>3606</v>
      </c>
      <c r="L13" s="60" t="str">
        <f t="shared" si="1"/>
        <v>Not in buy Zone</v>
      </c>
      <c r="M13" s="60" t="str">
        <f t="shared" si="2"/>
        <v>Not in buy Zone</v>
      </c>
      <c r="N13" s="33" t="str">
        <f t="shared" si="3"/>
        <v>No</v>
      </c>
    </row>
    <row r="14">
      <c r="A14" s="56" t="s">
        <v>44</v>
      </c>
      <c r="B14" s="56">
        <v>0.0</v>
      </c>
      <c r="C14" s="56">
        <v>0.0</v>
      </c>
      <c r="D14" s="56">
        <v>0.0</v>
      </c>
      <c r="E14" s="56">
        <v>68.11</v>
      </c>
      <c r="F14" s="58">
        <v>44356.0</v>
      </c>
      <c r="G14" s="56">
        <v>0.0</v>
      </c>
      <c r="H14" s="56">
        <v>58.21</v>
      </c>
      <c r="I14" s="59">
        <v>44393.0</v>
      </c>
      <c r="J14" s="56" t="s">
        <v>3594</v>
      </c>
      <c r="K14" s="15" t="s">
        <v>3607</v>
      </c>
      <c r="L14" s="60" t="str">
        <f t="shared" si="1"/>
        <v>Not in buy Zone</v>
      </c>
      <c r="M14" s="60" t="str">
        <f t="shared" si="2"/>
        <v>Not in buy Zone</v>
      </c>
      <c r="N14" s="33" t="str">
        <f t="shared" si="3"/>
        <v>No</v>
      </c>
    </row>
    <row r="15">
      <c r="A15" s="56" t="s">
        <v>45</v>
      </c>
      <c r="B15" s="56">
        <v>0.0</v>
      </c>
      <c r="C15" s="56">
        <v>0.0</v>
      </c>
      <c r="D15" s="56">
        <v>199.81</v>
      </c>
      <c r="E15" s="56">
        <v>0.0</v>
      </c>
      <c r="F15" s="58">
        <v>44378.0</v>
      </c>
      <c r="G15" s="56">
        <v>0.0</v>
      </c>
      <c r="H15" s="56">
        <v>205.6</v>
      </c>
      <c r="I15" s="59">
        <v>44393.0</v>
      </c>
      <c r="J15" s="56" t="s">
        <v>3594</v>
      </c>
      <c r="K15" s="15" t="s">
        <v>3608</v>
      </c>
      <c r="L15" s="60" t="str">
        <f t="shared" si="1"/>
        <v>Not in buy Zone</v>
      </c>
      <c r="M15" s="60" t="str">
        <f t="shared" si="2"/>
        <v>Not in buy Zone</v>
      </c>
      <c r="N15" s="33" t="str">
        <f t="shared" si="3"/>
        <v>No</v>
      </c>
    </row>
    <row r="16">
      <c r="A16" s="56" t="s">
        <v>46</v>
      </c>
      <c r="B16" s="56">
        <v>0.0</v>
      </c>
      <c r="C16" s="56">
        <v>0.0</v>
      </c>
      <c r="D16" s="56">
        <v>283.22</v>
      </c>
      <c r="E16" s="56">
        <v>0.0</v>
      </c>
      <c r="F16" s="58">
        <v>44368.0</v>
      </c>
      <c r="G16" s="56">
        <v>0.0</v>
      </c>
      <c r="H16" s="56">
        <v>293.33</v>
      </c>
      <c r="I16" s="59">
        <v>44393.0</v>
      </c>
      <c r="J16" s="56" t="s">
        <v>3594</v>
      </c>
      <c r="K16" s="15" t="s">
        <v>3609</v>
      </c>
      <c r="L16" s="60" t="str">
        <f t="shared" si="1"/>
        <v>Not in buy Zone</v>
      </c>
      <c r="M16" s="60" t="str">
        <f t="shared" si="2"/>
        <v>Not in buy Zone</v>
      </c>
      <c r="N16" s="33" t="str">
        <f t="shared" si="3"/>
        <v>No</v>
      </c>
    </row>
    <row r="17">
      <c r="A17" s="56" t="s">
        <v>47</v>
      </c>
      <c r="B17" s="56">
        <v>0.0</v>
      </c>
      <c r="C17" s="56">
        <v>0.0</v>
      </c>
      <c r="D17" s="56">
        <v>82.88</v>
      </c>
      <c r="E17" s="56">
        <v>0.0</v>
      </c>
      <c r="F17" s="58">
        <v>44389.0</v>
      </c>
      <c r="G17" s="56">
        <v>0.0</v>
      </c>
      <c r="H17" s="56">
        <v>85.06</v>
      </c>
      <c r="I17" s="59">
        <v>44393.0</v>
      </c>
      <c r="J17" s="56" t="s">
        <v>3594</v>
      </c>
      <c r="K17" s="15" t="s">
        <v>3610</v>
      </c>
      <c r="L17" s="60" t="str">
        <f t="shared" si="1"/>
        <v>Not in buy Zone</v>
      </c>
      <c r="M17" s="60" t="str">
        <f t="shared" si="2"/>
        <v>Not in buy Zone</v>
      </c>
      <c r="N17" s="33" t="str">
        <f t="shared" si="3"/>
        <v>No</v>
      </c>
    </row>
    <row r="18">
      <c r="A18" s="56" t="s">
        <v>48</v>
      </c>
      <c r="B18" s="56">
        <v>0.0</v>
      </c>
      <c r="C18" s="56">
        <v>0.0</v>
      </c>
      <c r="D18" s="56">
        <v>0.0</v>
      </c>
      <c r="E18" s="56">
        <v>34.94</v>
      </c>
      <c r="F18" s="58">
        <v>44385.0</v>
      </c>
      <c r="G18" s="56">
        <v>0.0</v>
      </c>
      <c r="H18" s="56">
        <v>33.56</v>
      </c>
      <c r="I18" s="59">
        <v>44393.0</v>
      </c>
      <c r="J18" s="56" t="s">
        <v>3594</v>
      </c>
      <c r="K18" s="15" t="s">
        <v>3611</v>
      </c>
      <c r="L18" s="60" t="str">
        <f t="shared" si="1"/>
        <v>Not in buy Zone</v>
      </c>
      <c r="M18" s="60" t="str">
        <f t="shared" si="2"/>
        <v>Not in buy Zone</v>
      </c>
      <c r="N18" s="33" t="str">
        <f t="shared" si="3"/>
        <v>No</v>
      </c>
    </row>
    <row r="19">
      <c r="A19" s="56" t="s">
        <v>4</v>
      </c>
      <c r="B19" s="56">
        <v>0.0</v>
      </c>
      <c r="C19" s="56">
        <v>0.0</v>
      </c>
      <c r="D19" s="56">
        <v>84.9</v>
      </c>
      <c r="E19" s="56">
        <v>0.0</v>
      </c>
      <c r="F19" s="58">
        <v>44375.0</v>
      </c>
      <c r="G19" s="56">
        <v>0.0</v>
      </c>
      <c r="H19" s="56">
        <v>87.49</v>
      </c>
      <c r="I19" s="59">
        <v>44393.0</v>
      </c>
      <c r="J19" s="56" t="s">
        <v>3594</v>
      </c>
      <c r="K19" s="15" t="s">
        <v>3612</v>
      </c>
      <c r="L19" s="60" t="str">
        <f t="shared" si="1"/>
        <v>Not in buy Zone</v>
      </c>
      <c r="M19" s="60" t="str">
        <f t="shared" si="2"/>
        <v>Not in buy Zone</v>
      </c>
      <c r="N19" s="33" t="str">
        <f t="shared" si="3"/>
        <v>No</v>
      </c>
    </row>
    <row r="20">
      <c r="A20" s="56" t="s">
        <v>49</v>
      </c>
      <c r="B20" s="56">
        <v>0.0</v>
      </c>
      <c r="C20" s="56">
        <v>0.0</v>
      </c>
      <c r="D20" s="56">
        <v>0.0</v>
      </c>
      <c r="E20" s="56">
        <v>25.73</v>
      </c>
      <c r="F20" s="58">
        <v>44386.0</v>
      </c>
      <c r="G20" s="56">
        <v>0.0</v>
      </c>
      <c r="H20" s="56">
        <v>24.36</v>
      </c>
      <c r="I20" s="59">
        <v>44393.0</v>
      </c>
      <c r="J20" s="56" t="s">
        <v>3594</v>
      </c>
      <c r="K20" s="15" t="s">
        <v>3613</v>
      </c>
      <c r="L20" s="60" t="str">
        <f t="shared" si="1"/>
        <v>Not in buy Zone</v>
      </c>
      <c r="M20" s="60" t="str">
        <f t="shared" si="2"/>
        <v>Not in buy Zone</v>
      </c>
      <c r="N20" s="33" t="str">
        <f t="shared" si="3"/>
        <v>No</v>
      </c>
    </row>
    <row r="21">
      <c r="A21" s="56" t="s">
        <v>50</v>
      </c>
      <c r="B21" s="56">
        <v>0.0</v>
      </c>
      <c r="C21" s="56">
        <v>0.0</v>
      </c>
      <c r="D21" s="56">
        <v>53.09</v>
      </c>
      <c r="E21" s="56">
        <v>0.0</v>
      </c>
      <c r="F21" s="58">
        <v>44390.0</v>
      </c>
      <c r="G21" s="56">
        <v>0.0</v>
      </c>
      <c r="H21" s="56">
        <v>53.12</v>
      </c>
      <c r="I21" s="59">
        <v>44393.0</v>
      </c>
      <c r="J21" s="56" t="s">
        <v>3594</v>
      </c>
      <c r="K21" s="15" t="s">
        <v>3614</v>
      </c>
      <c r="L21" s="60" t="str">
        <f t="shared" si="1"/>
        <v>Not in buy Zone</v>
      </c>
      <c r="M21" s="60" t="str">
        <f t="shared" si="2"/>
        <v>Not in buy Zone</v>
      </c>
      <c r="N21" s="33" t="str">
        <f t="shared" si="3"/>
        <v>No</v>
      </c>
    </row>
    <row r="22">
      <c r="A22" s="56" t="s">
        <v>51</v>
      </c>
      <c r="B22" s="56">
        <v>0.0</v>
      </c>
      <c r="C22" s="56">
        <v>0.0</v>
      </c>
      <c r="D22" s="56">
        <v>115.19</v>
      </c>
      <c r="E22" s="56">
        <v>0.0</v>
      </c>
      <c r="F22" s="58">
        <v>44375.0</v>
      </c>
      <c r="G22" s="56">
        <v>0.0</v>
      </c>
      <c r="H22" s="56">
        <v>115.9</v>
      </c>
      <c r="I22" s="59">
        <v>44393.0</v>
      </c>
      <c r="J22" s="56" t="s">
        <v>3594</v>
      </c>
      <c r="K22" s="15" t="s">
        <v>3615</v>
      </c>
      <c r="L22" s="60" t="str">
        <f t="shared" si="1"/>
        <v>Not in buy Zone</v>
      </c>
      <c r="M22" s="60" t="str">
        <f t="shared" si="2"/>
        <v>Not in buy Zone</v>
      </c>
      <c r="N22" s="33" t="str">
        <f t="shared" si="3"/>
        <v>No</v>
      </c>
    </row>
    <row r="23">
      <c r="A23" s="56" t="s">
        <v>52</v>
      </c>
      <c r="B23" s="56">
        <v>0.0</v>
      </c>
      <c r="C23" s="56">
        <v>0.0</v>
      </c>
      <c r="D23" s="56">
        <v>0.0</v>
      </c>
      <c r="E23" s="56">
        <v>58.41</v>
      </c>
      <c r="F23" s="58">
        <v>44384.0</v>
      </c>
      <c r="G23" s="56">
        <v>0.0</v>
      </c>
      <c r="H23" s="56">
        <v>50.64</v>
      </c>
      <c r="I23" s="59">
        <v>44393.0</v>
      </c>
      <c r="J23" s="56" t="s">
        <v>3594</v>
      </c>
      <c r="K23" s="15" t="s">
        <v>3616</v>
      </c>
      <c r="L23" s="60" t="str">
        <f t="shared" si="1"/>
        <v>Not in buy Zone</v>
      </c>
      <c r="M23" s="60" t="str">
        <f t="shared" si="2"/>
        <v>Not in buy Zone</v>
      </c>
      <c r="N23" s="33" t="str">
        <f t="shared" si="3"/>
        <v>No</v>
      </c>
    </row>
    <row r="24">
      <c r="A24" s="56" t="s">
        <v>53</v>
      </c>
      <c r="B24" s="56">
        <v>0.0</v>
      </c>
      <c r="C24" s="56">
        <v>0.0</v>
      </c>
      <c r="D24" s="56">
        <v>48.07</v>
      </c>
      <c r="E24" s="56">
        <v>0.0</v>
      </c>
      <c r="F24" s="58">
        <v>44392.0</v>
      </c>
      <c r="G24" s="56">
        <v>0.0</v>
      </c>
      <c r="H24" s="56">
        <v>46.9</v>
      </c>
      <c r="I24" s="59">
        <v>44393.0</v>
      </c>
      <c r="J24" s="56" t="s">
        <v>3594</v>
      </c>
      <c r="K24" s="15" t="s">
        <v>3617</v>
      </c>
      <c r="L24" s="60" t="str">
        <f t="shared" si="1"/>
        <v>Not in buy Zone</v>
      </c>
      <c r="M24" s="60" t="str">
        <f t="shared" si="2"/>
        <v>Not in buy Zone</v>
      </c>
      <c r="N24" s="33" t="str">
        <f t="shared" si="3"/>
        <v>No</v>
      </c>
    </row>
    <row r="25">
      <c r="A25" s="56" t="s">
        <v>54</v>
      </c>
      <c r="B25" s="56">
        <v>0.0</v>
      </c>
      <c r="C25" s="56">
        <v>0.0</v>
      </c>
      <c r="D25" s="56">
        <v>0.0</v>
      </c>
      <c r="E25" s="56">
        <v>156.17</v>
      </c>
      <c r="F25" s="58">
        <v>44327.0</v>
      </c>
      <c r="G25" s="56">
        <v>0.0</v>
      </c>
      <c r="H25" s="56">
        <v>155.76</v>
      </c>
      <c r="I25" s="59">
        <v>44393.0</v>
      </c>
      <c r="J25" s="56" t="s">
        <v>3594</v>
      </c>
      <c r="K25" s="15" t="s">
        <v>3618</v>
      </c>
      <c r="L25" s="60" t="str">
        <f t="shared" si="1"/>
        <v>Not in buy Zone</v>
      </c>
      <c r="M25" s="60" t="str">
        <f t="shared" si="2"/>
        <v>Not in buy Zone</v>
      </c>
      <c r="N25" s="33" t="str">
        <f t="shared" si="3"/>
        <v>No</v>
      </c>
    </row>
    <row r="26">
      <c r="A26" s="56" t="s">
        <v>55</v>
      </c>
      <c r="B26" s="56">
        <v>0.0</v>
      </c>
      <c r="C26" s="56">
        <v>0.0</v>
      </c>
      <c r="D26" s="56">
        <v>0.0</v>
      </c>
      <c r="E26" s="56">
        <v>145.86</v>
      </c>
      <c r="F26" s="58">
        <v>44329.0</v>
      </c>
      <c r="G26" s="56">
        <v>0.0</v>
      </c>
      <c r="H26" s="56">
        <v>139.92</v>
      </c>
      <c r="I26" s="59">
        <v>44393.0</v>
      </c>
      <c r="J26" s="56" t="s">
        <v>3594</v>
      </c>
      <c r="K26" s="15" t="s">
        <v>3619</v>
      </c>
      <c r="L26" s="60" t="str">
        <f t="shared" si="1"/>
        <v>Not in buy Zone</v>
      </c>
      <c r="M26" s="60" t="str">
        <f t="shared" si="2"/>
        <v>Not in buy Zone</v>
      </c>
      <c r="N26" s="33" t="str">
        <f t="shared" si="3"/>
        <v>No</v>
      </c>
    </row>
    <row r="27">
      <c r="A27" s="56" t="s">
        <v>56</v>
      </c>
      <c r="B27" s="56">
        <v>0.0</v>
      </c>
      <c r="C27" s="56">
        <v>0.0</v>
      </c>
      <c r="D27" s="56">
        <v>0.0</v>
      </c>
      <c r="E27" s="56">
        <v>116.78</v>
      </c>
      <c r="F27" s="58">
        <v>44364.0</v>
      </c>
      <c r="G27" s="56">
        <v>0.0</v>
      </c>
      <c r="H27" s="56">
        <v>117.03</v>
      </c>
      <c r="I27" s="59">
        <v>44393.0</v>
      </c>
      <c r="J27" s="56" t="s">
        <v>3594</v>
      </c>
      <c r="K27" s="15" t="s">
        <v>3620</v>
      </c>
      <c r="L27" s="60" t="str">
        <f t="shared" si="1"/>
        <v>Not in buy Zone</v>
      </c>
      <c r="M27" s="60" t="str">
        <f t="shared" si="2"/>
        <v>Not in buy Zone</v>
      </c>
      <c r="N27" s="33" t="str">
        <f t="shared" si="3"/>
        <v>No</v>
      </c>
    </row>
    <row r="28">
      <c r="A28" s="56" t="s">
        <v>57</v>
      </c>
      <c r="B28" s="56">
        <v>0.0</v>
      </c>
      <c r="C28" s="56">
        <v>0.0</v>
      </c>
      <c r="D28" s="56">
        <v>172.03</v>
      </c>
      <c r="E28" s="56">
        <v>0.0</v>
      </c>
      <c r="F28" s="58">
        <v>44378.0</v>
      </c>
      <c r="G28" s="56">
        <v>0.0</v>
      </c>
      <c r="H28" s="56">
        <v>180.66</v>
      </c>
      <c r="I28" s="59">
        <v>44393.0</v>
      </c>
      <c r="J28" s="56" t="s">
        <v>3594</v>
      </c>
      <c r="K28" s="15" t="s">
        <v>3621</v>
      </c>
      <c r="L28" s="60" t="str">
        <f t="shared" si="1"/>
        <v>Not in buy Zone</v>
      </c>
      <c r="M28" s="60" t="str">
        <f t="shared" si="2"/>
        <v>Not in buy Zone</v>
      </c>
      <c r="N28" s="33" t="str">
        <f t="shared" si="3"/>
        <v>No</v>
      </c>
    </row>
    <row r="29">
      <c r="A29" s="56" t="s">
        <v>58</v>
      </c>
      <c r="B29" s="56">
        <v>0.0</v>
      </c>
      <c r="C29" s="56">
        <v>616.12</v>
      </c>
      <c r="D29" s="56">
        <v>0.0</v>
      </c>
      <c r="E29" s="56">
        <v>0.0</v>
      </c>
      <c r="F29" s="58">
        <v>44393.0</v>
      </c>
      <c r="G29" s="56">
        <v>-1.0</v>
      </c>
      <c r="H29" s="56">
        <v>616.12</v>
      </c>
      <c r="I29" s="59">
        <v>44393.0</v>
      </c>
      <c r="J29" s="56" t="s">
        <v>3594</v>
      </c>
      <c r="K29" s="15" t="s">
        <v>3622</v>
      </c>
      <c r="L29" s="60" t="str">
        <f t="shared" si="1"/>
        <v>Not in buy Zone</v>
      </c>
      <c r="M29" s="60" t="str">
        <f t="shared" si="2"/>
        <v>Not in buy Zone</v>
      </c>
      <c r="N29" s="33" t="str">
        <f t="shared" si="3"/>
        <v>No</v>
      </c>
    </row>
    <row r="30">
      <c r="A30" s="56" t="s">
        <v>59</v>
      </c>
      <c r="B30" s="56">
        <v>0.0</v>
      </c>
      <c r="C30" s="56">
        <v>0.0</v>
      </c>
      <c r="D30" s="56">
        <v>0.0</v>
      </c>
      <c r="E30" s="56">
        <v>65.46</v>
      </c>
      <c r="F30" s="58">
        <v>44350.0</v>
      </c>
      <c r="G30" s="56">
        <v>0.0</v>
      </c>
      <c r="H30" s="56">
        <v>54.62</v>
      </c>
      <c r="I30" s="59">
        <v>44393.0</v>
      </c>
      <c r="J30" s="56" t="s">
        <v>3594</v>
      </c>
      <c r="K30" s="15" t="s">
        <v>3623</v>
      </c>
      <c r="L30" s="60" t="str">
        <f t="shared" si="1"/>
        <v>Not in buy Zone</v>
      </c>
      <c r="M30" s="60" t="str">
        <f t="shared" si="2"/>
        <v>Not in buy Zone</v>
      </c>
      <c r="N30" s="33" t="str">
        <f t="shared" si="3"/>
        <v>No</v>
      </c>
    </row>
    <row r="31">
      <c r="A31" s="56" t="s">
        <v>60</v>
      </c>
      <c r="B31" s="56">
        <v>0.0</v>
      </c>
      <c r="C31" s="56">
        <v>0.0</v>
      </c>
      <c r="D31" s="56">
        <v>133.23</v>
      </c>
      <c r="E31" s="56">
        <v>0.0</v>
      </c>
      <c r="F31" s="58">
        <v>44379.0</v>
      </c>
      <c r="G31" s="56">
        <v>0.0</v>
      </c>
      <c r="H31" s="56">
        <v>130.45</v>
      </c>
      <c r="I31" s="59">
        <v>44393.0</v>
      </c>
      <c r="J31" s="56" t="s">
        <v>3594</v>
      </c>
      <c r="K31" s="15" t="s">
        <v>3624</v>
      </c>
      <c r="L31" s="60" t="str">
        <f t="shared" si="1"/>
        <v>Not in buy Zone</v>
      </c>
      <c r="M31" s="60" t="str">
        <f t="shared" si="2"/>
        <v>Not in buy Zone</v>
      </c>
      <c r="N31" s="33" t="str">
        <f t="shared" si="3"/>
        <v>No</v>
      </c>
    </row>
    <row r="32">
      <c r="A32" s="56" t="s">
        <v>61</v>
      </c>
      <c r="B32" s="56">
        <v>0.0</v>
      </c>
      <c r="C32" s="56">
        <v>0.0</v>
      </c>
      <c r="D32" s="56">
        <v>0.0</v>
      </c>
      <c r="E32" s="56">
        <v>137.52</v>
      </c>
      <c r="F32" s="58">
        <v>44385.0</v>
      </c>
      <c r="G32" s="56">
        <v>0.0</v>
      </c>
      <c r="H32" s="56">
        <v>138.5</v>
      </c>
      <c r="I32" s="59">
        <v>44393.0</v>
      </c>
      <c r="J32" s="56" t="s">
        <v>3594</v>
      </c>
      <c r="K32" s="15" t="s">
        <v>3625</v>
      </c>
      <c r="L32" s="60" t="str">
        <f t="shared" si="1"/>
        <v>Not in buy Zone</v>
      </c>
      <c r="M32" s="60" t="str">
        <f t="shared" si="2"/>
        <v>Not in buy Zone</v>
      </c>
      <c r="N32" s="33" t="str">
        <f t="shared" si="3"/>
        <v>No</v>
      </c>
    </row>
    <row r="33">
      <c r="A33" s="56" t="s">
        <v>62</v>
      </c>
      <c r="B33" s="56">
        <v>0.0</v>
      </c>
      <c r="C33" s="56">
        <v>0.0</v>
      </c>
      <c r="D33" s="56">
        <v>51.86</v>
      </c>
      <c r="E33" s="56">
        <v>0.0</v>
      </c>
      <c r="F33" s="58">
        <v>44389.0</v>
      </c>
      <c r="G33" s="56">
        <v>0.0</v>
      </c>
      <c r="H33" s="56">
        <v>50.09</v>
      </c>
      <c r="I33" s="59">
        <v>44393.0</v>
      </c>
      <c r="J33" s="56" t="s">
        <v>3594</v>
      </c>
      <c r="K33" s="15" t="s">
        <v>3626</v>
      </c>
      <c r="L33" s="60" t="str">
        <f t="shared" si="1"/>
        <v>Not in buy Zone</v>
      </c>
      <c r="M33" s="60" t="str">
        <f t="shared" si="2"/>
        <v>Not in buy Zone</v>
      </c>
      <c r="N33" s="33" t="str">
        <f t="shared" si="3"/>
        <v>No</v>
      </c>
    </row>
    <row r="34">
      <c r="A34" s="56" t="s">
        <v>63</v>
      </c>
      <c r="B34" s="56">
        <v>0.0</v>
      </c>
      <c r="C34" s="56">
        <v>0.0</v>
      </c>
      <c r="D34" s="56">
        <v>0.0</v>
      </c>
      <c r="E34" s="56">
        <v>184.27</v>
      </c>
      <c r="F34" s="58">
        <v>44384.0</v>
      </c>
      <c r="G34" s="56">
        <v>0.0</v>
      </c>
      <c r="H34" s="56">
        <v>180.03</v>
      </c>
      <c r="I34" s="59">
        <v>44393.0</v>
      </c>
      <c r="J34" s="56" t="s">
        <v>3594</v>
      </c>
      <c r="K34" s="15" t="s">
        <v>3627</v>
      </c>
      <c r="L34" s="60" t="str">
        <f t="shared" si="1"/>
        <v>Not in buy Zone</v>
      </c>
      <c r="M34" s="60" t="str">
        <f t="shared" si="2"/>
        <v>Not in buy Zone</v>
      </c>
      <c r="N34" s="33" t="str">
        <f t="shared" si="3"/>
        <v>No</v>
      </c>
    </row>
    <row r="35">
      <c r="A35" s="56" t="s">
        <v>64</v>
      </c>
      <c r="B35" s="56">
        <v>0.0</v>
      </c>
      <c r="C35" s="56">
        <v>0.0</v>
      </c>
      <c r="D35" s="56">
        <v>0.0</v>
      </c>
      <c r="E35" s="56">
        <v>136.78</v>
      </c>
      <c r="F35" s="58">
        <v>44383.0</v>
      </c>
      <c r="G35" s="56">
        <v>0.0</v>
      </c>
      <c r="H35" s="56">
        <v>128.18</v>
      </c>
      <c r="I35" s="59">
        <v>44393.0</v>
      </c>
      <c r="J35" s="56" t="s">
        <v>3594</v>
      </c>
      <c r="K35" s="15" t="s">
        <v>3628</v>
      </c>
      <c r="L35" s="60" t="str">
        <f t="shared" si="1"/>
        <v>Not in buy Zone</v>
      </c>
      <c r="M35" s="60" t="str">
        <f t="shared" si="2"/>
        <v>Not in buy Zone</v>
      </c>
      <c r="N35" s="33" t="str">
        <f t="shared" si="3"/>
        <v>No</v>
      </c>
    </row>
    <row r="36">
      <c r="A36" s="56" t="s">
        <v>65</v>
      </c>
      <c r="B36" s="56">
        <v>0.0</v>
      </c>
      <c r="C36" s="56">
        <v>0.0</v>
      </c>
      <c r="D36" s="56">
        <v>0.0</v>
      </c>
      <c r="E36" s="56">
        <v>42.81</v>
      </c>
      <c r="F36" s="58">
        <v>44357.0</v>
      </c>
      <c r="G36" s="56">
        <v>0.0</v>
      </c>
      <c r="H36" s="56">
        <v>34.96</v>
      </c>
      <c r="I36" s="59">
        <v>44393.0</v>
      </c>
      <c r="J36" s="56" t="s">
        <v>3594</v>
      </c>
      <c r="K36" s="15" t="s">
        <v>3629</v>
      </c>
      <c r="L36" s="60" t="str">
        <f t="shared" si="1"/>
        <v>Not in buy Zone</v>
      </c>
      <c r="M36" s="60" t="str">
        <f t="shared" si="2"/>
        <v>Not in buy Zone</v>
      </c>
      <c r="N36" s="33" t="str">
        <f t="shared" si="3"/>
        <v>No</v>
      </c>
    </row>
    <row r="37">
      <c r="A37" s="56" t="s">
        <v>66</v>
      </c>
      <c r="B37" s="56">
        <v>0.0</v>
      </c>
      <c r="C37" s="56">
        <v>0.0</v>
      </c>
      <c r="D37" s="56">
        <v>11.56</v>
      </c>
      <c r="E37" s="56">
        <v>0.0</v>
      </c>
      <c r="F37" s="58">
        <v>44390.0</v>
      </c>
      <c r="G37" s="56">
        <v>0.0</v>
      </c>
      <c r="H37" s="56">
        <v>11.44</v>
      </c>
      <c r="I37" s="59">
        <v>44393.0</v>
      </c>
      <c r="J37" s="56" t="s">
        <v>3594</v>
      </c>
      <c r="K37" s="15" t="s">
        <v>3630</v>
      </c>
      <c r="L37" s="60" t="str">
        <f t="shared" si="1"/>
        <v>Not in buy Zone</v>
      </c>
      <c r="M37" s="60" t="str">
        <f t="shared" si="2"/>
        <v>Not in buy Zone</v>
      </c>
      <c r="N37" s="33" t="str">
        <f t="shared" si="3"/>
        <v>No</v>
      </c>
    </row>
    <row r="38">
      <c r="A38" s="56" t="s">
        <v>67</v>
      </c>
      <c r="B38" s="56">
        <v>0.0</v>
      </c>
      <c r="C38" s="56">
        <v>0.0</v>
      </c>
      <c r="D38" s="56">
        <v>0.0</v>
      </c>
      <c r="E38" s="56">
        <v>90.26</v>
      </c>
      <c r="F38" s="58">
        <v>44390.0</v>
      </c>
      <c r="G38" s="56">
        <v>0.0</v>
      </c>
      <c r="H38" s="56">
        <v>85.89</v>
      </c>
      <c r="I38" s="59">
        <v>44393.0</v>
      </c>
      <c r="J38" s="56" t="s">
        <v>3594</v>
      </c>
      <c r="K38" s="15" t="s">
        <v>3631</v>
      </c>
      <c r="L38" s="60" t="str">
        <f t="shared" si="1"/>
        <v>Not in buy Zone</v>
      </c>
      <c r="M38" s="60" t="str">
        <f t="shared" si="2"/>
        <v>Not in buy Zone</v>
      </c>
      <c r="N38" s="33" t="str">
        <f t="shared" si="3"/>
        <v>No</v>
      </c>
    </row>
    <row r="39">
      <c r="A39" s="56" t="s">
        <v>68</v>
      </c>
      <c r="B39" s="56">
        <v>0.0</v>
      </c>
      <c r="C39" s="56">
        <v>0.0</v>
      </c>
      <c r="D39" s="56">
        <v>135.47</v>
      </c>
      <c r="E39" s="56">
        <v>0.0</v>
      </c>
      <c r="F39" s="58">
        <v>44386.0</v>
      </c>
      <c r="G39" s="56">
        <v>0.0</v>
      </c>
      <c r="H39" s="56">
        <v>136.23</v>
      </c>
      <c r="I39" s="59">
        <v>44393.0</v>
      </c>
      <c r="J39" s="56" t="s">
        <v>3594</v>
      </c>
      <c r="K39" s="15" t="s">
        <v>3632</v>
      </c>
      <c r="L39" s="60" t="str">
        <f t="shared" si="1"/>
        <v>Not in buy Zone</v>
      </c>
      <c r="M39" s="60" t="str">
        <f t="shared" si="2"/>
        <v>Not in buy Zone</v>
      </c>
      <c r="N39" s="33" t="str">
        <f t="shared" si="3"/>
        <v>No</v>
      </c>
    </row>
    <row r="40">
      <c r="A40" s="56" t="s">
        <v>69</v>
      </c>
      <c r="B40" s="56">
        <v>0.0</v>
      </c>
      <c r="C40" s="56">
        <v>0.0</v>
      </c>
      <c r="D40" s="56">
        <v>242.77</v>
      </c>
      <c r="E40" s="56">
        <v>0.0</v>
      </c>
      <c r="F40" s="58">
        <v>44358.0</v>
      </c>
      <c r="G40" s="56">
        <v>0.0</v>
      </c>
      <c r="H40" s="56">
        <v>247.96</v>
      </c>
      <c r="I40" s="59">
        <v>44393.0</v>
      </c>
      <c r="J40" s="56" t="s">
        <v>3594</v>
      </c>
      <c r="K40" s="15" t="s">
        <v>3633</v>
      </c>
      <c r="L40" s="60" t="str">
        <f t="shared" si="1"/>
        <v>Not in buy Zone</v>
      </c>
      <c r="M40" s="60" t="str">
        <f t="shared" si="2"/>
        <v>Not in buy Zone</v>
      </c>
      <c r="N40" s="33" t="str">
        <f t="shared" si="3"/>
        <v>No</v>
      </c>
    </row>
    <row r="41">
      <c r="A41" s="56" t="s">
        <v>70</v>
      </c>
      <c r="B41" s="56">
        <v>0.0</v>
      </c>
      <c r="C41" s="56">
        <v>0.0</v>
      </c>
      <c r="D41" s="56">
        <v>0.0</v>
      </c>
      <c r="E41" s="56">
        <v>35.82</v>
      </c>
      <c r="F41" s="58">
        <v>44365.0</v>
      </c>
      <c r="G41" s="56">
        <v>0.0</v>
      </c>
      <c r="H41" s="56">
        <v>33.73</v>
      </c>
      <c r="I41" s="59">
        <v>44393.0</v>
      </c>
      <c r="J41" s="56" t="s">
        <v>3594</v>
      </c>
      <c r="K41" s="15" t="s">
        <v>3634</v>
      </c>
      <c r="L41" s="60" t="str">
        <f t="shared" si="1"/>
        <v>Not in buy Zone</v>
      </c>
      <c r="M41" s="60" t="str">
        <f t="shared" si="2"/>
        <v>Not in buy Zone</v>
      </c>
      <c r="N41" s="33" t="str">
        <f t="shared" si="3"/>
        <v>No</v>
      </c>
    </row>
    <row r="42">
      <c r="A42" s="56" t="s">
        <v>71</v>
      </c>
      <c r="B42" s="56">
        <v>0.0</v>
      </c>
      <c r="C42" s="56">
        <v>0.0</v>
      </c>
      <c r="D42" s="56">
        <v>248.95</v>
      </c>
      <c r="E42" s="56">
        <v>0.0</v>
      </c>
      <c r="F42" s="58">
        <v>44386.0</v>
      </c>
      <c r="G42" s="56">
        <v>0.0</v>
      </c>
      <c r="H42" s="56">
        <v>246.78</v>
      </c>
      <c r="I42" s="59">
        <v>44393.0</v>
      </c>
      <c r="J42" s="56" t="s">
        <v>3594</v>
      </c>
      <c r="K42" s="15" t="s">
        <v>3635</v>
      </c>
      <c r="L42" s="60" t="str">
        <f t="shared" si="1"/>
        <v>Not in buy Zone</v>
      </c>
      <c r="M42" s="60" t="str">
        <f t="shared" si="2"/>
        <v>Not in buy Zone</v>
      </c>
      <c r="N42" s="33" t="str">
        <f t="shared" si="3"/>
        <v>No</v>
      </c>
    </row>
    <row r="43">
      <c r="A43" s="56" t="s">
        <v>72</v>
      </c>
      <c r="B43" s="56">
        <v>0.0</v>
      </c>
      <c r="C43" s="56">
        <v>0.0</v>
      </c>
      <c r="D43" s="56">
        <v>278.17</v>
      </c>
      <c r="E43" s="56">
        <v>0.0</v>
      </c>
      <c r="F43" s="58">
        <v>44384.0</v>
      </c>
      <c r="G43" s="56">
        <v>0.0</v>
      </c>
      <c r="H43" s="56">
        <v>282.46</v>
      </c>
      <c r="I43" s="59">
        <v>44393.0</v>
      </c>
      <c r="J43" s="56" t="s">
        <v>3594</v>
      </c>
      <c r="K43" s="15" t="s">
        <v>3636</v>
      </c>
      <c r="L43" s="60" t="str">
        <f t="shared" si="1"/>
        <v>Not in buy Zone</v>
      </c>
      <c r="M43" s="60" t="str">
        <f t="shared" si="2"/>
        <v>Not in buy Zone</v>
      </c>
      <c r="N43" s="33" t="str">
        <f t="shared" si="3"/>
        <v>No</v>
      </c>
    </row>
    <row r="44">
      <c r="A44" s="56" t="s">
        <v>73</v>
      </c>
      <c r="B44" s="56">
        <v>0.0</v>
      </c>
      <c r="C44" s="56">
        <v>0.0</v>
      </c>
      <c r="D44" s="56">
        <v>3281.15</v>
      </c>
      <c r="E44" s="56">
        <v>0.0</v>
      </c>
      <c r="F44" s="58">
        <v>44356.0</v>
      </c>
      <c r="G44" s="56">
        <v>0.0</v>
      </c>
      <c r="H44" s="56">
        <v>3573.63</v>
      </c>
      <c r="I44" s="59">
        <v>44393.0</v>
      </c>
      <c r="J44" s="56" t="s">
        <v>3594</v>
      </c>
      <c r="K44" s="15" t="s">
        <v>3637</v>
      </c>
      <c r="L44" s="60" t="str">
        <f t="shared" si="1"/>
        <v>Not in buy Zone</v>
      </c>
      <c r="M44" s="60" t="str">
        <f t="shared" si="2"/>
        <v>Not in buy Zone</v>
      </c>
      <c r="N44" s="33" t="str">
        <f t="shared" si="3"/>
        <v>No</v>
      </c>
    </row>
    <row r="45">
      <c r="A45" s="56" t="s">
        <v>74</v>
      </c>
      <c r="B45" s="56">
        <v>0.0</v>
      </c>
      <c r="C45" s="56">
        <v>0.0</v>
      </c>
      <c r="D45" s="56">
        <v>0.0</v>
      </c>
      <c r="E45" s="56">
        <v>370.9</v>
      </c>
      <c r="F45" s="58">
        <v>44389.0</v>
      </c>
      <c r="G45" s="56">
        <v>0.0</v>
      </c>
      <c r="H45" s="56">
        <v>363.45</v>
      </c>
      <c r="I45" s="59">
        <v>44393.0</v>
      </c>
      <c r="J45" s="56" t="s">
        <v>3594</v>
      </c>
      <c r="K45" s="15" t="s">
        <v>3638</v>
      </c>
      <c r="L45" s="60" t="str">
        <f t="shared" si="1"/>
        <v>Not in buy Zone</v>
      </c>
      <c r="M45" s="60" t="str">
        <f t="shared" si="2"/>
        <v>Not in buy Zone</v>
      </c>
      <c r="N45" s="33" t="str">
        <f t="shared" si="3"/>
        <v>No</v>
      </c>
    </row>
    <row r="46">
      <c r="A46" s="56" t="s">
        <v>75</v>
      </c>
      <c r="B46" s="56">
        <v>0.0</v>
      </c>
      <c r="C46" s="56">
        <v>0.0</v>
      </c>
      <c r="D46" s="56">
        <v>339.19</v>
      </c>
      <c r="E46" s="56">
        <v>0.0</v>
      </c>
      <c r="F46" s="58">
        <v>44341.0</v>
      </c>
      <c r="G46" s="56">
        <v>0.0</v>
      </c>
      <c r="H46" s="56">
        <v>349.79</v>
      </c>
      <c r="I46" s="59">
        <v>44393.0</v>
      </c>
      <c r="J46" s="56" t="s">
        <v>3594</v>
      </c>
      <c r="K46" s="15" t="s">
        <v>3639</v>
      </c>
      <c r="L46" s="60" t="str">
        <f t="shared" si="1"/>
        <v>Not in buy Zone</v>
      </c>
      <c r="M46" s="60" t="str">
        <f t="shared" si="2"/>
        <v>Not in buy Zone</v>
      </c>
      <c r="N46" s="33" t="str">
        <f t="shared" si="3"/>
        <v>No</v>
      </c>
    </row>
    <row r="47">
      <c r="A47" s="56" t="s">
        <v>76</v>
      </c>
      <c r="B47" s="56">
        <v>0.0</v>
      </c>
      <c r="C47" s="56">
        <v>0.0</v>
      </c>
      <c r="D47" s="56">
        <v>387.2</v>
      </c>
      <c r="E47" s="56">
        <v>0.0</v>
      </c>
      <c r="F47" s="58">
        <v>44379.0</v>
      </c>
      <c r="G47" s="56">
        <v>0.0</v>
      </c>
      <c r="H47" s="56">
        <v>393.59</v>
      </c>
      <c r="I47" s="59">
        <v>44393.0</v>
      </c>
      <c r="J47" s="56" t="s">
        <v>3594</v>
      </c>
      <c r="K47" s="15" t="s">
        <v>3640</v>
      </c>
      <c r="L47" s="60" t="str">
        <f t="shared" si="1"/>
        <v>Not in buy Zone</v>
      </c>
      <c r="M47" s="60" t="str">
        <f t="shared" si="2"/>
        <v>Not in buy Zone</v>
      </c>
      <c r="N47" s="33" t="str">
        <f t="shared" si="3"/>
        <v>No</v>
      </c>
    </row>
    <row r="48">
      <c r="A48" s="56" t="s">
        <v>77</v>
      </c>
      <c r="B48" s="56">
        <v>0.0</v>
      </c>
      <c r="C48" s="56">
        <v>0.0</v>
      </c>
      <c r="D48" s="56">
        <v>0.0</v>
      </c>
      <c r="E48" s="56">
        <v>252.23</v>
      </c>
      <c r="F48" s="58">
        <v>44335.0</v>
      </c>
      <c r="G48" s="56">
        <v>0.0</v>
      </c>
      <c r="H48" s="56">
        <v>231.73</v>
      </c>
      <c r="I48" s="59">
        <v>44393.0</v>
      </c>
      <c r="J48" s="56" t="s">
        <v>3594</v>
      </c>
      <c r="K48" s="15" t="s">
        <v>3641</v>
      </c>
      <c r="L48" s="60" t="str">
        <f t="shared" si="1"/>
        <v>Not in buy Zone</v>
      </c>
      <c r="M48" s="60" t="str">
        <f t="shared" si="2"/>
        <v>Not in buy Zone</v>
      </c>
      <c r="N48" s="33" t="str">
        <f t="shared" si="3"/>
        <v>No</v>
      </c>
    </row>
    <row r="49">
      <c r="A49" s="56" t="s">
        <v>78</v>
      </c>
      <c r="B49" s="56">
        <v>0.0</v>
      </c>
      <c r="C49" s="56">
        <v>0.0</v>
      </c>
      <c r="D49" s="56">
        <v>70.37</v>
      </c>
      <c r="E49" s="56">
        <v>0.0</v>
      </c>
      <c r="F49" s="58">
        <v>44375.0</v>
      </c>
      <c r="G49" s="56">
        <v>0.0</v>
      </c>
      <c r="H49" s="56">
        <v>69.91</v>
      </c>
      <c r="I49" s="59">
        <v>44393.0</v>
      </c>
      <c r="J49" s="56" t="s">
        <v>3594</v>
      </c>
      <c r="K49" s="15" t="s">
        <v>3642</v>
      </c>
      <c r="L49" s="60" t="str">
        <f t="shared" si="1"/>
        <v>Not in buy Zone</v>
      </c>
      <c r="M49" s="60" t="str">
        <f t="shared" si="2"/>
        <v>Not in buy Zone</v>
      </c>
      <c r="N49" s="33" t="str">
        <f t="shared" si="3"/>
        <v>No</v>
      </c>
    </row>
    <row r="50">
      <c r="A50" s="56" t="s">
        <v>79</v>
      </c>
      <c r="B50" s="56">
        <v>0.0</v>
      </c>
      <c r="C50" s="56">
        <v>0.0</v>
      </c>
      <c r="D50" s="56">
        <v>0.0</v>
      </c>
      <c r="E50" s="56">
        <v>22.57</v>
      </c>
      <c r="F50" s="58">
        <v>44363.0</v>
      </c>
      <c r="G50" s="56">
        <v>0.0</v>
      </c>
      <c r="H50" s="56">
        <v>17.98</v>
      </c>
      <c r="I50" s="59">
        <v>44393.0</v>
      </c>
      <c r="J50" s="56" t="s">
        <v>3594</v>
      </c>
      <c r="K50" s="15" t="s">
        <v>3643</v>
      </c>
      <c r="L50" s="60" t="str">
        <f t="shared" si="1"/>
        <v>Not in buy Zone</v>
      </c>
      <c r="M50" s="60" t="str">
        <f t="shared" si="2"/>
        <v>Not in buy Zone</v>
      </c>
      <c r="N50" s="33" t="str">
        <f t="shared" si="3"/>
        <v>No</v>
      </c>
    </row>
    <row r="51">
      <c r="A51" s="56" t="s">
        <v>80</v>
      </c>
      <c r="B51" s="56">
        <v>0.0</v>
      </c>
      <c r="C51" s="56">
        <v>0.0</v>
      </c>
      <c r="D51" s="56">
        <v>0.0</v>
      </c>
      <c r="E51" s="56">
        <v>299.62</v>
      </c>
      <c r="F51" s="58">
        <v>44355.0</v>
      </c>
      <c r="G51" s="56">
        <v>0.0</v>
      </c>
      <c r="H51" s="56">
        <v>285.54</v>
      </c>
      <c r="I51" s="59">
        <v>44393.0</v>
      </c>
      <c r="J51" s="56" t="s">
        <v>3594</v>
      </c>
      <c r="K51" s="15" t="s">
        <v>3644</v>
      </c>
      <c r="L51" s="60" t="str">
        <f t="shared" si="1"/>
        <v>Not in buy Zone</v>
      </c>
      <c r="M51" s="60" t="str">
        <f t="shared" si="2"/>
        <v>Not in buy Zone</v>
      </c>
      <c r="N51" s="33" t="str">
        <f t="shared" si="3"/>
        <v>No</v>
      </c>
    </row>
    <row r="52">
      <c r="A52" s="56" t="s">
        <v>81</v>
      </c>
      <c r="B52" s="56">
        <v>0.0</v>
      </c>
      <c r="C52" s="56">
        <v>68.03</v>
      </c>
      <c r="D52" s="56">
        <v>0.0</v>
      </c>
      <c r="E52" s="56">
        <v>0.0</v>
      </c>
      <c r="F52" s="58">
        <v>44393.0</v>
      </c>
      <c r="G52" s="56">
        <v>-1.0</v>
      </c>
      <c r="H52" s="56">
        <v>68.03</v>
      </c>
      <c r="I52" s="59">
        <v>44393.0</v>
      </c>
      <c r="J52" s="56" t="s">
        <v>3594</v>
      </c>
      <c r="K52" s="15" t="s">
        <v>3645</v>
      </c>
      <c r="L52" s="60" t="str">
        <f t="shared" si="1"/>
        <v>Not in buy Zone</v>
      </c>
      <c r="M52" s="60" t="str">
        <f t="shared" si="2"/>
        <v>Not in buy Zone</v>
      </c>
      <c r="N52" s="33" t="str">
        <f t="shared" si="3"/>
        <v>No</v>
      </c>
    </row>
    <row r="53">
      <c r="A53" s="56" t="s">
        <v>82</v>
      </c>
      <c r="B53" s="56">
        <v>0.0</v>
      </c>
      <c r="C53" s="56">
        <v>0.0</v>
      </c>
      <c r="D53" s="56">
        <v>0.0</v>
      </c>
      <c r="E53" s="56">
        <v>61.17</v>
      </c>
      <c r="F53" s="58">
        <v>44386.0</v>
      </c>
      <c r="G53" s="56">
        <v>0.0</v>
      </c>
      <c r="H53" s="56">
        <v>56.74</v>
      </c>
      <c r="I53" s="59">
        <v>44393.0</v>
      </c>
      <c r="J53" s="56" t="s">
        <v>3594</v>
      </c>
      <c r="K53" s="15" t="s">
        <v>3646</v>
      </c>
      <c r="L53" s="60" t="str">
        <f t="shared" si="1"/>
        <v>Not in buy Zone</v>
      </c>
      <c r="M53" s="60" t="str">
        <f t="shared" si="2"/>
        <v>Not in buy Zone</v>
      </c>
      <c r="N53" s="33" t="str">
        <f t="shared" si="3"/>
        <v>No</v>
      </c>
    </row>
    <row r="54">
      <c r="A54" s="56" t="s">
        <v>83</v>
      </c>
      <c r="B54" s="56">
        <v>0.0</v>
      </c>
      <c r="C54" s="56">
        <v>0.0</v>
      </c>
      <c r="D54" s="56">
        <v>0.0</v>
      </c>
      <c r="E54" s="56">
        <v>69.39</v>
      </c>
      <c r="F54" s="58">
        <v>44383.0</v>
      </c>
      <c r="G54" s="56">
        <v>0.0</v>
      </c>
      <c r="H54" s="56">
        <v>59.6</v>
      </c>
      <c r="I54" s="59">
        <v>44393.0</v>
      </c>
      <c r="J54" s="56" t="s">
        <v>3594</v>
      </c>
      <c r="K54" s="15" t="s">
        <v>3647</v>
      </c>
      <c r="L54" s="60" t="str">
        <f t="shared" si="1"/>
        <v>Not in buy Zone</v>
      </c>
      <c r="M54" s="60" t="str">
        <f t="shared" si="2"/>
        <v>Not in buy Zone</v>
      </c>
      <c r="N54" s="33" t="str">
        <f t="shared" si="3"/>
        <v>No</v>
      </c>
    </row>
    <row r="55">
      <c r="A55" s="56" t="s">
        <v>84</v>
      </c>
      <c r="B55" s="56">
        <v>0.0</v>
      </c>
      <c r="C55" s="56">
        <v>0.0</v>
      </c>
      <c r="D55" s="56">
        <v>0.0</v>
      </c>
      <c r="E55" s="56">
        <v>154.0</v>
      </c>
      <c r="F55" s="58">
        <v>44384.0</v>
      </c>
      <c r="G55" s="56">
        <v>0.0</v>
      </c>
      <c r="H55" s="56">
        <v>149.75</v>
      </c>
      <c r="I55" s="59">
        <v>44393.0</v>
      </c>
      <c r="J55" s="56" t="s">
        <v>3594</v>
      </c>
      <c r="K55" s="15" t="s">
        <v>3648</v>
      </c>
      <c r="L55" s="60" t="str">
        <f t="shared" si="1"/>
        <v>Not in buy Zone</v>
      </c>
      <c r="M55" s="60" t="str">
        <f t="shared" si="2"/>
        <v>Not in buy Zone</v>
      </c>
      <c r="N55" s="33" t="str">
        <f t="shared" si="3"/>
        <v>No</v>
      </c>
    </row>
    <row r="56">
      <c r="A56" s="56" t="s">
        <v>85</v>
      </c>
      <c r="B56" s="56">
        <v>0.0</v>
      </c>
      <c r="C56" s="56">
        <v>0.0</v>
      </c>
      <c r="D56" s="56">
        <v>190.55</v>
      </c>
      <c r="E56" s="56">
        <v>0.0</v>
      </c>
      <c r="F56" s="58">
        <v>44386.0</v>
      </c>
      <c r="G56" s="56">
        <v>0.0</v>
      </c>
      <c r="H56" s="56">
        <v>193.61</v>
      </c>
      <c r="I56" s="59">
        <v>44393.0</v>
      </c>
      <c r="J56" s="56" t="s">
        <v>3594</v>
      </c>
      <c r="K56" s="15" t="s">
        <v>3649</v>
      </c>
      <c r="L56" s="60" t="str">
        <f t="shared" si="1"/>
        <v>Not in buy Zone</v>
      </c>
      <c r="M56" s="60" t="str">
        <f t="shared" si="2"/>
        <v>Not in buy Zone</v>
      </c>
      <c r="N56" s="33" t="str">
        <f t="shared" si="3"/>
        <v>No</v>
      </c>
    </row>
    <row r="57">
      <c r="A57" s="56" t="s">
        <v>86</v>
      </c>
      <c r="B57" s="56">
        <v>0.0</v>
      </c>
      <c r="C57" s="56">
        <v>0.0</v>
      </c>
      <c r="D57" s="56">
        <v>0.0</v>
      </c>
      <c r="E57" s="56">
        <v>61.33</v>
      </c>
      <c r="F57" s="58">
        <v>44378.0</v>
      </c>
      <c r="G57" s="56">
        <v>0.0</v>
      </c>
      <c r="H57" s="56">
        <v>64.98</v>
      </c>
      <c r="I57" s="59">
        <v>44393.0</v>
      </c>
      <c r="J57" s="56" t="s">
        <v>3594</v>
      </c>
      <c r="K57" s="15" t="s">
        <v>3650</v>
      </c>
      <c r="L57" s="60" t="str">
        <f t="shared" si="1"/>
        <v>Not in buy Zone</v>
      </c>
      <c r="M57" s="60" t="str">
        <f t="shared" si="2"/>
        <v>Not in buy Zone</v>
      </c>
      <c r="N57" s="33" t="str">
        <f t="shared" si="3"/>
        <v>No</v>
      </c>
    </row>
    <row r="58">
      <c r="A58" s="56" t="s">
        <v>87</v>
      </c>
      <c r="B58" s="56">
        <v>0.0</v>
      </c>
      <c r="C58" s="56">
        <v>39.73</v>
      </c>
      <c r="D58" s="56">
        <v>0.0</v>
      </c>
      <c r="E58" s="56">
        <v>0.0</v>
      </c>
      <c r="F58" s="58">
        <v>44393.0</v>
      </c>
      <c r="G58" s="56">
        <v>-1.0</v>
      </c>
      <c r="H58" s="56">
        <v>39.73</v>
      </c>
      <c r="I58" s="59">
        <v>44393.0</v>
      </c>
      <c r="J58" s="56" t="s">
        <v>3594</v>
      </c>
      <c r="K58" s="15" t="s">
        <v>3651</v>
      </c>
      <c r="L58" s="60" t="str">
        <f t="shared" si="1"/>
        <v>Not in buy Zone</v>
      </c>
      <c r="M58" s="60" t="str">
        <f t="shared" si="2"/>
        <v>Not in buy Zone</v>
      </c>
      <c r="N58" s="33" t="str">
        <f t="shared" si="3"/>
        <v>No</v>
      </c>
    </row>
    <row r="59">
      <c r="A59" s="56" t="s">
        <v>88</v>
      </c>
      <c r="B59" s="56">
        <v>0.0</v>
      </c>
      <c r="C59" s="56">
        <v>687.42</v>
      </c>
      <c r="D59" s="56">
        <v>0.0</v>
      </c>
      <c r="E59" s="56">
        <v>0.0</v>
      </c>
      <c r="F59" s="58">
        <v>44393.0</v>
      </c>
      <c r="G59" s="56">
        <v>-1.0</v>
      </c>
      <c r="H59" s="56">
        <v>687.42</v>
      </c>
      <c r="I59" s="59">
        <v>44393.0</v>
      </c>
      <c r="J59" s="56" t="s">
        <v>3594</v>
      </c>
      <c r="K59" s="15" t="s">
        <v>3652</v>
      </c>
      <c r="L59" s="60" t="str">
        <f t="shared" si="1"/>
        <v>Not in buy Zone</v>
      </c>
      <c r="M59" s="60" t="str">
        <f t="shared" si="2"/>
        <v>Not in buy Zone</v>
      </c>
      <c r="N59" s="33" t="str">
        <f t="shared" si="3"/>
        <v>No</v>
      </c>
    </row>
    <row r="60">
      <c r="A60" s="56" t="s">
        <v>89</v>
      </c>
      <c r="B60" s="56">
        <v>0.0</v>
      </c>
      <c r="C60" s="56">
        <v>0.0</v>
      </c>
      <c r="D60" s="56">
        <v>99.44</v>
      </c>
      <c r="E60" s="56">
        <v>0.0</v>
      </c>
      <c r="F60" s="58">
        <v>44389.0</v>
      </c>
      <c r="G60" s="56">
        <v>0.0</v>
      </c>
      <c r="H60" s="56">
        <v>101.24</v>
      </c>
      <c r="I60" s="59">
        <v>44393.0</v>
      </c>
      <c r="J60" s="56" t="s">
        <v>3594</v>
      </c>
      <c r="K60" s="15" t="s">
        <v>3653</v>
      </c>
      <c r="L60" s="60" t="str">
        <f t="shared" si="1"/>
        <v>Not in buy Zone</v>
      </c>
      <c r="M60" s="60" t="str">
        <f t="shared" si="2"/>
        <v>Not in buy Zone</v>
      </c>
      <c r="N60" s="33" t="str">
        <f t="shared" si="3"/>
        <v>No</v>
      </c>
    </row>
    <row r="61">
      <c r="A61" s="56" t="s">
        <v>90</v>
      </c>
      <c r="B61" s="56">
        <v>0.0</v>
      </c>
      <c r="C61" s="56">
        <v>33.63</v>
      </c>
      <c r="D61" s="56">
        <v>0.0</v>
      </c>
      <c r="E61" s="56">
        <v>0.0</v>
      </c>
      <c r="F61" s="58">
        <v>44393.0</v>
      </c>
      <c r="G61" s="56">
        <v>-1.0</v>
      </c>
      <c r="H61" s="56">
        <v>33.63</v>
      </c>
      <c r="I61" s="59">
        <v>44393.0</v>
      </c>
      <c r="J61" s="56" t="s">
        <v>3594</v>
      </c>
      <c r="K61" s="15" t="s">
        <v>3654</v>
      </c>
      <c r="L61" s="60" t="str">
        <f t="shared" si="1"/>
        <v>Not in buy Zone</v>
      </c>
      <c r="M61" s="60" t="str">
        <f t="shared" si="2"/>
        <v>Not in buy Zone</v>
      </c>
      <c r="N61" s="33" t="str">
        <f t="shared" si="3"/>
        <v>No</v>
      </c>
    </row>
    <row r="62">
      <c r="A62" s="56" t="s">
        <v>91</v>
      </c>
      <c r="B62" s="56">
        <v>0.0</v>
      </c>
      <c r="C62" s="56">
        <v>0.0</v>
      </c>
      <c r="D62" s="56">
        <v>0.0</v>
      </c>
      <c r="E62" s="56">
        <v>93.31</v>
      </c>
      <c r="F62" s="58">
        <v>44384.0</v>
      </c>
      <c r="G62" s="56">
        <v>0.0</v>
      </c>
      <c r="H62" s="56">
        <v>91.8</v>
      </c>
      <c r="I62" s="59">
        <v>44393.0</v>
      </c>
      <c r="J62" s="56" t="s">
        <v>3594</v>
      </c>
      <c r="K62" s="15" t="s">
        <v>3655</v>
      </c>
      <c r="L62" s="60" t="str">
        <f t="shared" si="1"/>
        <v>Not in buy Zone</v>
      </c>
      <c r="M62" s="60" t="str">
        <f t="shared" si="2"/>
        <v>Not in buy Zone</v>
      </c>
      <c r="N62" s="33" t="str">
        <f t="shared" si="3"/>
        <v>No</v>
      </c>
    </row>
    <row r="63">
      <c r="A63" s="56" t="s">
        <v>9</v>
      </c>
      <c r="B63" s="56">
        <v>0.0</v>
      </c>
      <c r="C63" s="56">
        <v>0.0</v>
      </c>
      <c r="D63" s="56">
        <v>220.83</v>
      </c>
      <c r="E63" s="56">
        <v>0.0</v>
      </c>
      <c r="F63" s="58">
        <v>44386.0</v>
      </c>
      <c r="G63" s="56">
        <v>0.0</v>
      </c>
      <c r="H63" s="56">
        <v>225.87</v>
      </c>
      <c r="I63" s="59">
        <v>44393.0</v>
      </c>
      <c r="J63" s="56" t="s">
        <v>3594</v>
      </c>
      <c r="K63" s="15" t="s">
        <v>3656</v>
      </c>
      <c r="L63" s="60" t="str">
        <f t="shared" si="1"/>
        <v>Not in buy Zone</v>
      </c>
      <c r="M63" s="60" t="str">
        <f t="shared" si="2"/>
        <v>Not in buy Zone</v>
      </c>
      <c r="N63" s="33" t="str">
        <f t="shared" si="3"/>
        <v>No</v>
      </c>
    </row>
    <row r="64">
      <c r="A64" s="56" t="s">
        <v>92</v>
      </c>
      <c r="B64" s="56">
        <v>0.0</v>
      </c>
      <c r="C64" s="56">
        <v>468.07</v>
      </c>
      <c r="D64" s="56">
        <v>0.0</v>
      </c>
      <c r="E64" s="56">
        <v>0.0</v>
      </c>
      <c r="F64" s="58">
        <v>44393.0</v>
      </c>
      <c r="G64" s="56">
        <v>-1.0</v>
      </c>
      <c r="H64" s="56">
        <v>468.07</v>
      </c>
      <c r="I64" s="59">
        <v>44393.0</v>
      </c>
      <c r="J64" s="56" t="s">
        <v>3594</v>
      </c>
      <c r="K64" s="15" t="s">
        <v>3657</v>
      </c>
      <c r="L64" s="60" t="str">
        <f t="shared" si="1"/>
        <v>Not in buy Zone</v>
      </c>
      <c r="M64" s="60" t="str">
        <f t="shared" si="2"/>
        <v>Not in buy Zone</v>
      </c>
      <c r="N64" s="33" t="str">
        <f t="shared" si="3"/>
        <v>No</v>
      </c>
    </row>
    <row r="65">
      <c r="A65" s="56" t="s">
        <v>93</v>
      </c>
      <c r="B65" s="56">
        <v>0.0</v>
      </c>
      <c r="C65" s="56">
        <v>0.0</v>
      </c>
      <c r="D65" s="56">
        <v>0.0</v>
      </c>
      <c r="E65" s="56">
        <v>35.55</v>
      </c>
      <c r="F65" s="58">
        <v>44385.0</v>
      </c>
      <c r="G65" s="56">
        <v>0.0</v>
      </c>
      <c r="H65" s="56">
        <v>36.35</v>
      </c>
      <c r="I65" s="59">
        <v>44393.0</v>
      </c>
      <c r="J65" s="56" t="s">
        <v>3594</v>
      </c>
      <c r="K65" s="15" t="s">
        <v>3658</v>
      </c>
      <c r="L65" s="60" t="str">
        <f t="shared" si="1"/>
        <v>Not in buy Zone</v>
      </c>
      <c r="M65" s="60" t="str">
        <f t="shared" si="2"/>
        <v>Not in buy Zone</v>
      </c>
      <c r="N65" s="33" t="str">
        <f t="shared" si="3"/>
        <v>No</v>
      </c>
    </row>
    <row r="66">
      <c r="A66" s="56" t="s">
        <v>94</v>
      </c>
      <c r="B66" s="56">
        <v>0.0</v>
      </c>
      <c r="C66" s="56">
        <v>0.0</v>
      </c>
      <c r="D66" s="56">
        <v>0.0</v>
      </c>
      <c r="E66" s="56">
        <v>219.06</v>
      </c>
      <c r="F66" s="58">
        <v>44330.0</v>
      </c>
      <c r="G66" s="56">
        <v>0.0</v>
      </c>
      <c r="H66" s="56">
        <v>203.29</v>
      </c>
      <c r="I66" s="59">
        <v>44393.0</v>
      </c>
      <c r="J66" s="56" t="s">
        <v>3594</v>
      </c>
      <c r="K66" s="15" t="s">
        <v>3659</v>
      </c>
      <c r="L66" s="60" t="str">
        <f t="shared" si="1"/>
        <v>Not in buy Zone</v>
      </c>
      <c r="M66" s="60" t="str">
        <f t="shared" si="2"/>
        <v>Not in buy Zone</v>
      </c>
      <c r="N66" s="33" t="str">
        <f t="shared" si="3"/>
        <v>No</v>
      </c>
    </row>
    <row r="67">
      <c r="A67" s="56" t="s">
        <v>95</v>
      </c>
      <c r="B67" s="56">
        <v>0.0</v>
      </c>
      <c r="C67" s="56">
        <v>0.0</v>
      </c>
      <c r="D67" s="56">
        <v>163.38</v>
      </c>
      <c r="E67" s="56">
        <v>0.0</v>
      </c>
      <c r="F67" s="58">
        <v>44384.0</v>
      </c>
      <c r="G67" s="56">
        <v>0.0</v>
      </c>
      <c r="H67" s="56">
        <v>168.31</v>
      </c>
      <c r="I67" s="59">
        <v>44393.0</v>
      </c>
      <c r="J67" s="56" t="s">
        <v>3594</v>
      </c>
      <c r="K67" s="15" t="s">
        <v>3660</v>
      </c>
      <c r="L67" s="60" t="str">
        <f t="shared" si="1"/>
        <v>Not in buy Zone</v>
      </c>
      <c r="M67" s="60" t="str">
        <f t="shared" si="2"/>
        <v>Not in buy Zone</v>
      </c>
      <c r="N67" s="33" t="str">
        <f t="shared" si="3"/>
        <v>No</v>
      </c>
    </row>
    <row r="68">
      <c r="A68" s="56" t="s">
        <v>96</v>
      </c>
      <c r="B68" s="56">
        <v>0.0</v>
      </c>
      <c r="C68" s="56">
        <v>0.0</v>
      </c>
      <c r="D68" s="56">
        <v>171.94</v>
      </c>
      <c r="E68" s="56">
        <v>0.0</v>
      </c>
      <c r="F68" s="58">
        <v>44386.0</v>
      </c>
      <c r="G68" s="56">
        <v>0.0</v>
      </c>
      <c r="H68" s="56">
        <v>170.01</v>
      </c>
      <c r="I68" s="59">
        <v>44393.0</v>
      </c>
      <c r="J68" s="56" t="s">
        <v>3594</v>
      </c>
      <c r="K68" s="15" t="s">
        <v>3661</v>
      </c>
      <c r="L68" s="60" t="str">
        <f t="shared" si="1"/>
        <v>Not in buy Zone</v>
      </c>
      <c r="M68" s="60" t="str">
        <f t="shared" si="2"/>
        <v>Not in buy Zone</v>
      </c>
      <c r="N68" s="33" t="str">
        <f t="shared" si="3"/>
        <v>No</v>
      </c>
    </row>
    <row r="69">
      <c r="A69" s="56" t="s">
        <v>97</v>
      </c>
      <c r="B69" s="56">
        <v>0.0</v>
      </c>
      <c r="C69" s="56">
        <v>0.0</v>
      </c>
      <c r="D69" s="56">
        <v>0.0</v>
      </c>
      <c r="E69" s="56">
        <v>31.69</v>
      </c>
      <c r="F69" s="58">
        <v>44328.0</v>
      </c>
      <c r="G69" s="56">
        <v>0.0</v>
      </c>
      <c r="H69" s="56">
        <v>28.74</v>
      </c>
      <c r="I69" s="59">
        <v>44393.0</v>
      </c>
      <c r="J69" s="56" t="s">
        <v>3594</v>
      </c>
      <c r="K69" s="15" t="s">
        <v>3662</v>
      </c>
      <c r="L69" s="60" t="str">
        <f t="shared" si="1"/>
        <v>Not in buy Zone</v>
      </c>
      <c r="M69" s="60" t="str">
        <f t="shared" si="2"/>
        <v>Not in buy Zone</v>
      </c>
      <c r="N69" s="33" t="str">
        <f t="shared" si="3"/>
        <v>No</v>
      </c>
    </row>
    <row r="70">
      <c r="A70" s="56" t="s">
        <v>98</v>
      </c>
      <c r="B70" s="56">
        <v>0.0</v>
      </c>
      <c r="C70" s="56">
        <v>0.0</v>
      </c>
      <c r="D70" s="56">
        <v>1415.6</v>
      </c>
      <c r="E70" s="56">
        <v>0.0</v>
      </c>
      <c r="F70" s="58">
        <v>44368.0</v>
      </c>
      <c r="G70" s="56">
        <v>0.0</v>
      </c>
      <c r="H70" s="56">
        <v>1605.3</v>
      </c>
      <c r="I70" s="59">
        <v>44393.0</v>
      </c>
      <c r="J70" s="56" t="s">
        <v>3594</v>
      </c>
      <c r="K70" s="15" t="s">
        <v>3663</v>
      </c>
      <c r="L70" s="60" t="str">
        <f t="shared" si="1"/>
        <v>Not in buy Zone</v>
      </c>
      <c r="M70" s="60" t="str">
        <f t="shared" si="2"/>
        <v>Not in buy Zone</v>
      </c>
      <c r="N70" s="33" t="str">
        <f t="shared" si="3"/>
        <v>No</v>
      </c>
    </row>
    <row r="71">
      <c r="A71" s="56" t="s">
        <v>99</v>
      </c>
      <c r="B71" s="56">
        <v>0.0</v>
      </c>
      <c r="C71" s="56">
        <v>0.0</v>
      </c>
      <c r="D71" s="56">
        <v>0.0</v>
      </c>
      <c r="E71" s="56">
        <v>242.27</v>
      </c>
      <c r="F71" s="58">
        <v>44363.0</v>
      </c>
      <c r="G71" s="56">
        <v>0.0</v>
      </c>
      <c r="H71" s="56">
        <v>217.74</v>
      </c>
      <c r="I71" s="59">
        <v>44393.0</v>
      </c>
      <c r="J71" s="56" t="s">
        <v>3594</v>
      </c>
      <c r="K71" s="15" t="s">
        <v>3664</v>
      </c>
      <c r="L71" s="60" t="str">
        <f t="shared" si="1"/>
        <v>Not in buy Zone</v>
      </c>
      <c r="M71" s="60" t="str">
        <f t="shared" si="2"/>
        <v>Not in buy Zone</v>
      </c>
      <c r="N71" s="33" t="str">
        <f t="shared" si="3"/>
        <v>No</v>
      </c>
    </row>
    <row r="72">
      <c r="A72" s="56" t="s">
        <v>100</v>
      </c>
      <c r="B72" s="56">
        <v>0.0</v>
      </c>
      <c r="C72" s="56">
        <v>0.0</v>
      </c>
      <c r="D72" s="56">
        <v>0.0</v>
      </c>
      <c r="E72" s="56">
        <v>40.07</v>
      </c>
      <c r="F72" s="58">
        <v>44383.0</v>
      </c>
      <c r="G72" s="56">
        <v>0.0</v>
      </c>
      <c r="H72" s="56">
        <v>37.92</v>
      </c>
      <c r="I72" s="59">
        <v>44393.0</v>
      </c>
      <c r="J72" s="56" t="s">
        <v>3594</v>
      </c>
      <c r="K72" s="15" t="s">
        <v>3665</v>
      </c>
      <c r="L72" s="60" t="str">
        <f t="shared" si="1"/>
        <v>Not in buy Zone</v>
      </c>
      <c r="M72" s="60" t="str">
        <f t="shared" si="2"/>
        <v>Not in buy Zone</v>
      </c>
      <c r="N72" s="33" t="str">
        <f t="shared" si="3"/>
        <v>No</v>
      </c>
    </row>
    <row r="73">
      <c r="A73" s="56" t="s">
        <v>101</v>
      </c>
      <c r="B73" s="56">
        <v>0.0</v>
      </c>
      <c r="C73" s="56">
        <v>0.0</v>
      </c>
      <c r="D73" s="56">
        <v>84.09</v>
      </c>
      <c r="E73" s="56">
        <v>0.0</v>
      </c>
      <c r="F73" s="58">
        <v>44357.0</v>
      </c>
      <c r="G73" s="56">
        <v>0.0</v>
      </c>
      <c r="H73" s="56">
        <v>81.42</v>
      </c>
      <c r="I73" s="59">
        <v>44393.0</v>
      </c>
      <c r="J73" s="56" t="s">
        <v>3594</v>
      </c>
      <c r="K73" s="15" t="s">
        <v>3666</v>
      </c>
      <c r="L73" s="60" t="str">
        <f t="shared" si="1"/>
        <v>Not in buy Zone</v>
      </c>
      <c r="M73" s="60" t="str">
        <f t="shared" si="2"/>
        <v>Not in buy Zone</v>
      </c>
      <c r="N73" s="33" t="str">
        <f t="shared" si="3"/>
        <v>No</v>
      </c>
    </row>
    <row r="74">
      <c r="A74" s="56" t="s">
        <v>102</v>
      </c>
      <c r="B74" s="56">
        <v>0.0</v>
      </c>
      <c r="C74" s="56">
        <v>0.0</v>
      </c>
      <c r="D74" s="56">
        <v>0.0</v>
      </c>
      <c r="E74" s="56">
        <v>28.85</v>
      </c>
      <c r="F74" s="58">
        <v>44384.0</v>
      </c>
      <c r="G74" s="56">
        <v>0.0</v>
      </c>
      <c r="H74" s="56">
        <v>27.16</v>
      </c>
      <c r="I74" s="59">
        <v>44393.0</v>
      </c>
      <c r="J74" s="56" t="s">
        <v>3594</v>
      </c>
      <c r="K74" s="15" t="s">
        <v>3667</v>
      </c>
      <c r="L74" s="60" t="str">
        <f t="shared" si="1"/>
        <v>Not in buy Zone</v>
      </c>
      <c r="M74" s="60" t="str">
        <f t="shared" si="2"/>
        <v>Not in buy Zone</v>
      </c>
      <c r="N74" s="33" t="str">
        <f t="shared" si="3"/>
        <v>No</v>
      </c>
    </row>
    <row r="75">
      <c r="A75" s="56" t="s">
        <v>103</v>
      </c>
      <c r="B75" s="56">
        <v>0.0</v>
      </c>
      <c r="C75" s="56">
        <v>0.0</v>
      </c>
      <c r="D75" s="56">
        <v>0.0</v>
      </c>
      <c r="E75" s="56">
        <v>108.16</v>
      </c>
      <c r="F75" s="58">
        <v>44385.0</v>
      </c>
      <c r="G75" s="56">
        <v>0.0</v>
      </c>
      <c r="H75" s="56">
        <v>110.59</v>
      </c>
      <c r="I75" s="59">
        <v>44393.0</v>
      </c>
      <c r="J75" s="56" t="s">
        <v>3594</v>
      </c>
      <c r="K75" s="15" t="s">
        <v>3668</v>
      </c>
      <c r="L75" s="60" t="str">
        <f t="shared" si="1"/>
        <v>Not in buy Zone</v>
      </c>
      <c r="M75" s="60" t="str">
        <f t="shared" si="2"/>
        <v>Not in buy Zone</v>
      </c>
      <c r="N75" s="33" t="str">
        <f t="shared" si="3"/>
        <v>No</v>
      </c>
    </row>
    <row r="76">
      <c r="A76" s="56" t="s">
        <v>104</v>
      </c>
      <c r="B76" s="56">
        <v>0.0</v>
      </c>
      <c r="C76" s="56">
        <v>0.0</v>
      </c>
      <c r="D76" s="56">
        <v>241.2</v>
      </c>
      <c r="E76" s="56">
        <v>0.0</v>
      </c>
      <c r="F76" s="58">
        <v>44372.0</v>
      </c>
      <c r="G76" s="56">
        <v>0.0</v>
      </c>
      <c r="H76" s="56">
        <v>248.07</v>
      </c>
      <c r="I76" s="59">
        <v>44393.0</v>
      </c>
      <c r="J76" s="56" t="s">
        <v>3594</v>
      </c>
      <c r="K76" s="15" t="s">
        <v>3669</v>
      </c>
      <c r="L76" s="60" t="str">
        <f t="shared" si="1"/>
        <v>Not in buy Zone</v>
      </c>
      <c r="M76" s="60" t="str">
        <f t="shared" si="2"/>
        <v>Not in buy Zone</v>
      </c>
      <c r="N76" s="33" t="str">
        <f t="shared" si="3"/>
        <v>No</v>
      </c>
    </row>
    <row r="77">
      <c r="A77" s="56" t="s">
        <v>105</v>
      </c>
      <c r="B77" s="56">
        <v>0.0</v>
      </c>
      <c r="C77" s="56">
        <v>0.0</v>
      </c>
      <c r="D77" s="56">
        <v>0.0</v>
      </c>
      <c r="E77" s="56">
        <v>34.44</v>
      </c>
      <c r="F77" s="58">
        <v>44357.0</v>
      </c>
      <c r="G77" s="56">
        <v>0.0</v>
      </c>
      <c r="H77" s="56">
        <v>29.41</v>
      </c>
      <c r="I77" s="59">
        <v>44393.0</v>
      </c>
      <c r="J77" s="56" t="s">
        <v>3594</v>
      </c>
      <c r="K77" s="15" t="s">
        <v>3670</v>
      </c>
      <c r="L77" s="60" t="str">
        <f t="shared" si="1"/>
        <v>Not in buy Zone</v>
      </c>
      <c r="M77" s="60" t="str">
        <f t="shared" si="2"/>
        <v>Not in buy Zone</v>
      </c>
      <c r="N77" s="33" t="str">
        <f t="shared" si="3"/>
        <v>No</v>
      </c>
    </row>
    <row r="78">
      <c r="A78" s="56" t="s">
        <v>106</v>
      </c>
      <c r="B78" s="56">
        <v>0.0</v>
      </c>
      <c r="C78" s="56">
        <v>0.0</v>
      </c>
      <c r="D78" s="56">
        <v>0.0</v>
      </c>
      <c r="E78" s="56">
        <v>175.88</v>
      </c>
      <c r="F78" s="58">
        <v>44385.0</v>
      </c>
      <c r="G78" s="56">
        <v>0.0</v>
      </c>
      <c r="H78" s="56">
        <v>179.58</v>
      </c>
      <c r="I78" s="59">
        <v>44393.0</v>
      </c>
      <c r="J78" s="56" t="s">
        <v>3594</v>
      </c>
      <c r="K78" s="15" t="s">
        <v>3671</v>
      </c>
      <c r="L78" s="60" t="str">
        <f t="shared" si="1"/>
        <v>Not in buy Zone</v>
      </c>
      <c r="M78" s="60" t="str">
        <f t="shared" si="2"/>
        <v>Not in buy Zone</v>
      </c>
      <c r="N78" s="33" t="str">
        <f t="shared" si="3"/>
        <v>No</v>
      </c>
    </row>
    <row r="79">
      <c r="A79" s="56" t="s">
        <v>107</v>
      </c>
      <c r="B79" s="56">
        <v>0.0</v>
      </c>
      <c r="C79" s="56">
        <v>0.0</v>
      </c>
      <c r="D79" s="56">
        <v>0.0</v>
      </c>
      <c r="E79" s="56">
        <v>374.4</v>
      </c>
      <c r="F79" s="58">
        <v>44369.0</v>
      </c>
      <c r="G79" s="56">
        <v>0.0</v>
      </c>
      <c r="H79" s="56">
        <v>324.62</v>
      </c>
      <c r="I79" s="59">
        <v>44393.0</v>
      </c>
      <c r="J79" s="56" t="s">
        <v>3594</v>
      </c>
      <c r="K79" s="15" t="s">
        <v>3672</v>
      </c>
      <c r="L79" s="60" t="str">
        <f t="shared" si="1"/>
        <v>Not in buy Zone</v>
      </c>
      <c r="M79" s="60" t="str">
        <f t="shared" si="2"/>
        <v>Not in buy Zone</v>
      </c>
      <c r="N79" s="33" t="str">
        <f t="shared" si="3"/>
        <v>No</v>
      </c>
    </row>
    <row r="80">
      <c r="A80" s="56" t="s">
        <v>108</v>
      </c>
      <c r="B80" s="56">
        <v>0.0</v>
      </c>
      <c r="C80" s="56">
        <v>0.0</v>
      </c>
      <c r="D80" s="56">
        <v>602.97</v>
      </c>
      <c r="E80" s="56">
        <v>0.0</v>
      </c>
      <c r="F80" s="58">
        <v>44357.0</v>
      </c>
      <c r="G80" s="56">
        <v>0.0</v>
      </c>
      <c r="H80" s="56">
        <v>674.78</v>
      </c>
      <c r="I80" s="59">
        <v>44393.0</v>
      </c>
      <c r="J80" s="56" t="s">
        <v>3594</v>
      </c>
      <c r="K80" s="15" t="s">
        <v>3673</v>
      </c>
      <c r="L80" s="60" t="str">
        <f t="shared" si="1"/>
        <v>Not in buy Zone</v>
      </c>
      <c r="M80" s="60" t="str">
        <f t="shared" si="2"/>
        <v>Not in buy Zone</v>
      </c>
      <c r="N80" s="33" t="str">
        <f t="shared" si="3"/>
        <v>No</v>
      </c>
    </row>
    <row r="81">
      <c r="A81" s="56" t="s">
        <v>109</v>
      </c>
      <c r="B81" s="56">
        <v>0.0</v>
      </c>
      <c r="C81" s="56">
        <v>0.0</v>
      </c>
      <c r="D81" s="56">
        <v>0.0</v>
      </c>
      <c r="E81" s="56">
        <v>49.48</v>
      </c>
      <c r="F81" s="58">
        <v>44384.0</v>
      </c>
      <c r="G81" s="56">
        <v>0.0</v>
      </c>
      <c r="H81" s="56">
        <v>49.38</v>
      </c>
      <c r="I81" s="59">
        <v>44393.0</v>
      </c>
      <c r="J81" s="56" t="s">
        <v>3594</v>
      </c>
      <c r="K81" s="15" t="s">
        <v>3674</v>
      </c>
      <c r="L81" s="60" t="str">
        <f t="shared" si="1"/>
        <v>Not in buy Zone</v>
      </c>
      <c r="M81" s="60" t="str">
        <f t="shared" si="2"/>
        <v>Not in buy Zone</v>
      </c>
      <c r="N81" s="33" t="str">
        <f t="shared" si="3"/>
        <v>No</v>
      </c>
    </row>
    <row r="82">
      <c r="A82" s="56" t="s">
        <v>110</v>
      </c>
      <c r="B82" s="56">
        <v>0.0</v>
      </c>
      <c r="C82" s="56">
        <v>0.0</v>
      </c>
      <c r="D82" s="56">
        <v>0.0</v>
      </c>
      <c r="E82" s="56">
        <v>2294.0</v>
      </c>
      <c r="F82" s="58">
        <v>44364.0</v>
      </c>
      <c r="G82" s="56">
        <v>0.0</v>
      </c>
      <c r="H82" s="56">
        <v>2144.72</v>
      </c>
      <c r="I82" s="59">
        <v>44393.0</v>
      </c>
      <c r="J82" s="56" t="s">
        <v>3594</v>
      </c>
      <c r="K82" s="15" t="s">
        <v>3675</v>
      </c>
      <c r="L82" s="60" t="str">
        <f t="shared" si="1"/>
        <v>Not in buy Zone</v>
      </c>
      <c r="M82" s="60" t="str">
        <f t="shared" si="2"/>
        <v>Not in buy Zone</v>
      </c>
      <c r="N82" s="33" t="str">
        <f t="shared" si="3"/>
        <v>No</v>
      </c>
    </row>
    <row r="83">
      <c r="A83" s="56" t="s">
        <v>111</v>
      </c>
      <c r="B83" s="56">
        <v>0.0</v>
      </c>
      <c r="C83" s="56">
        <v>0.0</v>
      </c>
      <c r="D83" s="56">
        <v>0.0</v>
      </c>
      <c r="E83" s="56">
        <v>25.51</v>
      </c>
      <c r="F83" s="58">
        <v>44357.0</v>
      </c>
      <c r="G83" s="56">
        <v>0.0</v>
      </c>
      <c r="H83" s="56">
        <v>20.6</v>
      </c>
      <c r="I83" s="59">
        <v>44393.0</v>
      </c>
      <c r="J83" s="56" t="s">
        <v>3594</v>
      </c>
      <c r="K83" s="15" t="s">
        <v>3676</v>
      </c>
      <c r="L83" s="60" t="str">
        <f t="shared" si="1"/>
        <v>Not in buy Zone</v>
      </c>
      <c r="M83" s="60" t="str">
        <f t="shared" si="2"/>
        <v>Not in buy Zone</v>
      </c>
      <c r="N83" s="33" t="str">
        <f t="shared" si="3"/>
        <v>No</v>
      </c>
    </row>
    <row r="84">
      <c r="A84" s="56" t="s">
        <v>112</v>
      </c>
      <c r="B84" s="56">
        <v>0.0</v>
      </c>
      <c r="C84" s="56">
        <v>0.0</v>
      </c>
      <c r="D84" s="56">
        <v>0.0</v>
      </c>
      <c r="E84" s="56">
        <v>41.84</v>
      </c>
      <c r="F84" s="58">
        <v>44392.0</v>
      </c>
      <c r="G84" s="56">
        <v>0.0</v>
      </c>
      <c r="H84" s="56">
        <v>40.98</v>
      </c>
      <c r="I84" s="59">
        <v>44393.0</v>
      </c>
      <c r="J84" s="56" t="s">
        <v>3594</v>
      </c>
      <c r="K84" s="15" t="s">
        <v>3677</v>
      </c>
      <c r="L84" s="60" t="str">
        <f t="shared" si="1"/>
        <v>Not in buy Zone</v>
      </c>
      <c r="M84" s="60" t="str">
        <f t="shared" si="2"/>
        <v>Not in buy Zone</v>
      </c>
      <c r="N84" s="33" t="str">
        <f t="shared" si="3"/>
        <v>No</v>
      </c>
    </row>
    <row r="85">
      <c r="A85" s="56" t="s">
        <v>113</v>
      </c>
      <c r="B85" s="56">
        <v>0.0</v>
      </c>
      <c r="C85" s="56">
        <v>0.0</v>
      </c>
      <c r="D85" s="56">
        <v>0.0</v>
      </c>
      <c r="E85" s="56">
        <v>880.0</v>
      </c>
      <c r="F85" s="58">
        <v>44392.0</v>
      </c>
      <c r="G85" s="56">
        <v>0.0</v>
      </c>
      <c r="H85" s="56">
        <v>875.02</v>
      </c>
      <c r="I85" s="59">
        <v>44393.0</v>
      </c>
      <c r="J85" s="56" t="s">
        <v>3594</v>
      </c>
      <c r="K85" s="15" t="s">
        <v>3678</v>
      </c>
      <c r="L85" s="60" t="str">
        <f t="shared" si="1"/>
        <v>Not in buy Zone</v>
      </c>
      <c r="M85" s="60" t="str">
        <f t="shared" si="2"/>
        <v>Not in buy Zone</v>
      </c>
      <c r="N85" s="33" t="str">
        <f t="shared" si="3"/>
        <v>No</v>
      </c>
    </row>
    <row r="86">
      <c r="A86" s="56" t="s">
        <v>114</v>
      </c>
      <c r="B86" s="56">
        <v>0.0</v>
      </c>
      <c r="C86" s="56">
        <v>0.0</v>
      </c>
      <c r="D86" s="56">
        <v>81.68</v>
      </c>
      <c r="E86" s="56">
        <v>0.0</v>
      </c>
      <c r="F86" s="58">
        <v>44369.0</v>
      </c>
      <c r="G86" s="56">
        <v>0.0</v>
      </c>
      <c r="H86" s="56">
        <v>85.75</v>
      </c>
      <c r="I86" s="59">
        <v>44393.0</v>
      </c>
      <c r="J86" s="56" t="s">
        <v>3594</v>
      </c>
      <c r="K86" s="15" t="s">
        <v>3679</v>
      </c>
      <c r="L86" s="60" t="str">
        <f t="shared" si="1"/>
        <v>Not in buy Zone</v>
      </c>
      <c r="M86" s="60" t="str">
        <f t="shared" si="2"/>
        <v>Not in buy Zone</v>
      </c>
      <c r="N86" s="33" t="str">
        <f t="shared" si="3"/>
        <v>No</v>
      </c>
    </row>
    <row r="87">
      <c r="A87" s="56" t="s">
        <v>115</v>
      </c>
      <c r="B87" s="56">
        <v>0.0</v>
      </c>
      <c r="C87" s="56">
        <v>0.0</v>
      </c>
      <c r="D87" s="56">
        <v>67.16</v>
      </c>
      <c r="E87" s="56">
        <v>0.0</v>
      </c>
      <c r="F87" s="58">
        <v>44386.0</v>
      </c>
      <c r="G87" s="56">
        <v>0.0</v>
      </c>
      <c r="H87" s="56">
        <v>67.3</v>
      </c>
      <c r="I87" s="59">
        <v>44393.0</v>
      </c>
      <c r="J87" s="56" t="s">
        <v>3594</v>
      </c>
      <c r="K87" s="15" t="s">
        <v>3680</v>
      </c>
      <c r="L87" s="60" t="str">
        <f t="shared" si="1"/>
        <v>Not in buy Zone</v>
      </c>
      <c r="M87" s="60" t="str">
        <f t="shared" si="2"/>
        <v>Not in buy Zone</v>
      </c>
      <c r="N87" s="33" t="str">
        <f t="shared" si="3"/>
        <v>No</v>
      </c>
    </row>
    <row r="88">
      <c r="A88" s="56" t="s">
        <v>116</v>
      </c>
      <c r="B88" s="56">
        <v>0.0</v>
      </c>
      <c r="C88" s="56">
        <v>0.0</v>
      </c>
      <c r="D88" s="56">
        <v>85.79</v>
      </c>
      <c r="E88" s="56">
        <v>0.0</v>
      </c>
      <c r="F88" s="58">
        <v>44375.0</v>
      </c>
      <c r="G88" s="56">
        <v>0.0</v>
      </c>
      <c r="H88" s="56">
        <v>86.32</v>
      </c>
      <c r="I88" s="59">
        <v>44393.0</v>
      </c>
      <c r="J88" s="56" t="s">
        <v>3594</v>
      </c>
      <c r="K88" s="15" t="s">
        <v>3681</v>
      </c>
      <c r="L88" s="60" t="str">
        <f t="shared" si="1"/>
        <v>Not in buy Zone</v>
      </c>
      <c r="M88" s="60" t="str">
        <f t="shared" si="2"/>
        <v>Not in buy Zone</v>
      </c>
      <c r="N88" s="33" t="str">
        <f t="shared" si="3"/>
        <v>No</v>
      </c>
    </row>
    <row r="89">
      <c r="A89" s="56" t="s">
        <v>117</v>
      </c>
      <c r="B89" s="56">
        <v>0.0</v>
      </c>
      <c r="C89" s="56">
        <v>0.0</v>
      </c>
      <c r="D89" s="56">
        <v>57.1</v>
      </c>
      <c r="E89" s="56">
        <v>0.0</v>
      </c>
      <c r="F89" s="58">
        <v>44378.0</v>
      </c>
      <c r="G89" s="56">
        <v>0.0</v>
      </c>
      <c r="H89" s="56">
        <v>57.62</v>
      </c>
      <c r="I89" s="59">
        <v>44393.0</v>
      </c>
      <c r="J89" s="56" t="s">
        <v>3594</v>
      </c>
      <c r="K89" s="15" t="s">
        <v>3682</v>
      </c>
      <c r="L89" s="60" t="str">
        <f t="shared" si="1"/>
        <v>Not in buy Zone</v>
      </c>
      <c r="M89" s="60" t="str">
        <f t="shared" si="2"/>
        <v>Not in buy Zone</v>
      </c>
      <c r="N89" s="33" t="str">
        <f t="shared" si="3"/>
        <v>No</v>
      </c>
    </row>
    <row r="90">
      <c r="A90" s="56" t="s">
        <v>118</v>
      </c>
      <c r="B90" s="56">
        <v>0.0</v>
      </c>
      <c r="C90" s="56">
        <v>0.0</v>
      </c>
      <c r="D90" s="56">
        <v>160.81</v>
      </c>
      <c r="E90" s="56">
        <v>0.0</v>
      </c>
      <c r="F90" s="58">
        <v>44375.0</v>
      </c>
      <c r="G90" s="56">
        <v>0.0</v>
      </c>
      <c r="H90" s="56">
        <v>169.87</v>
      </c>
      <c r="I90" s="59">
        <v>44393.0</v>
      </c>
      <c r="J90" s="56" t="s">
        <v>3594</v>
      </c>
      <c r="K90" s="15" t="s">
        <v>3683</v>
      </c>
      <c r="L90" s="60" t="str">
        <f t="shared" si="1"/>
        <v>Not in buy Zone</v>
      </c>
      <c r="M90" s="60" t="str">
        <f t="shared" si="2"/>
        <v>Not in buy Zone</v>
      </c>
      <c r="N90" s="33" t="str">
        <f t="shared" si="3"/>
        <v>No</v>
      </c>
    </row>
    <row r="91">
      <c r="A91" s="56" t="s">
        <v>119</v>
      </c>
      <c r="B91" s="56">
        <v>0.0</v>
      </c>
      <c r="C91" s="56">
        <v>0.0</v>
      </c>
      <c r="D91" s="56">
        <v>82.23</v>
      </c>
      <c r="E91" s="56">
        <v>0.0</v>
      </c>
      <c r="F91" s="58">
        <v>44384.0</v>
      </c>
      <c r="G91" s="56">
        <v>0.0</v>
      </c>
      <c r="H91" s="56">
        <v>82.18</v>
      </c>
      <c r="I91" s="59">
        <v>44393.0</v>
      </c>
      <c r="J91" s="56" t="s">
        <v>3594</v>
      </c>
      <c r="K91" s="15" t="s">
        <v>3684</v>
      </c>
      <c r="L91" s="60" t="str">
        <f t="shared" si="1"/>
        <v>Not in buy Zone</v>
      </c>
      <c r="M91" s="60" t="str">
        <f t="shared" si="2"/>
        <v>Not in buy Zone</v>
      </c>
      <c r="N91" s="33" t="str">
        <f t="shared" si="3"/>
        <v>No</v>
      </c>
    </row>
    <row r="92">
      <c r="A92" s="56" t="s">
        <v>120</v>
      </c>
      <c r="B92" s="56">
        <v>0.0</v>
      </c>
      <c r="C92" s="56">
        <v>0.0</v>
      </c>
      <c r="D92" s="56">
        <v>0.0</v>
      </c>
      <c r="E92" s="56">
        <v>43.34</v>
      </c>
      <c r="F92" s="58">
        <v>44385.0</v>
      </c>
      <c r="G92" s="56">
        <v>0.0</v>
      </c>
      <c r="H92" s="56">
        <v>42.1</v>
      </c>
      <c r="I92" s="59">
        <v>44393.0</v>
      </c>
      <c r="J92" s="56" t="s">
        <v>3594</v>
      </c>
      <c r="K92" s="15" t="s">
        <v>3685</v>
      </c>
      <c r="L92" s="60" t="str">
        <f t="shared" si="1"/>
        <v>Not in buy Zone</v>
      </c>
      <c r="M92" s="60" t="str">
        <f t="shared" si="2"/>
        <v>Not in buy Zone</v>
      </c>
      <c r="N92" s="33" t="str">
        <f t="shared" si="3"/>
        <v>No</v>
      </c>
    </row>
    <row r="93">
      <c r="A93" s="56" t="s">
        <v>121</v>
      </c>
      <c r="B93" s="56">
        <v>0.0</v>
      </c>
      <c r="C93" s="56">
        <v>0.0</v>
      </c>
      <c r="D93" s="56">
        <v>0.0</v>
      </c>
      <c r="E93" s="56">
        <v>51.97</v>
      </c>
      <c r="F93" s="58">
        <v>44361.0</v>
      </c>
      <c r="G93" s="56">
        <v>0.0</v>
      </c>
      <c r="H93" s="56">
        <v>45.97</v>
      </c>
      <c r="I93" s="59">
        <v>44393.0</v>
      </c>
      <c r="J93" s="56" t="s">
        <v>3594</v>
      </c>
      <c r="K93" s="15" t="s">
        <v>3686</v>
      </c>
      <c r="L93" s="60" t="str">
        <f t="shared" si="1"/>
        <v>Not in buy Zone</v>
      </c>
      <c r="M93" s="60" t="str">
        <f t="shared" si="2"/>
        <v>Not in buy Zone</v>
      </c>
      <c r="N93" s="33" t="str">
        <f t="shared" si="3"/>
        <v>No</v>
      </c>
    </row>
    <row r="94">
      <c r="A94" s="56" t="s">
        <v>122</v>
      </c>
      <c r="B94" s="56">
        <v>0.0</v>
      </c>
      <c r="C94" s="56">
        <v>0.0</v>
      </c>
      <c r="D94" s="56">
        <v>0.0</v>
      </c>
      <c r="E94" s="56">
        <v>99.25</v>
      </c>
      <c r="F94" s="58">
        <v>44375.0</v>
      </c>
      <c r="G94" s="56">
        <v>0.0</v>
      </c>
      <c r="H94" s="56">
        <v>102.2</v>
      </c>
      <c r="I94" s="59">
        <v>44393.0</v>
      </c>
      <c r="J94" s="56" t="s">
        <v>3594</v>
      </c>
      <c r="K94" s="15" t="s">
        <v>3687</v>
      </c>
      <c r="L94" s="60" t="str">
        <f t="shared" si="1"/>
        <v>Not in buy Zone</v>
      </c>
      <c r="M94" s="60" t="str">
        <f t="shared" si="2"/>
        <v>Not in buy Zone</v>
      </c>
      <c r="N94" s="33" t="str">
        <f t="shared" si="3"/>
        <v>No</v>
      </c>
    </row>
    <row r="95">
      <c r="A95" s="56" t="s">
        <v>123</v>
      </c>
      <c r="B95" s="56">
        <v>0.0</v>
      </c>
      <c r="C95" s="56">
        <v>0.0</v>
      </c>
      <c r="D95" s="56">
        <v>0.0</v>
      </c>
      <c r="E95" s="56">
        <v>119.26</v>
      </c>
      <c r="F95" s="58">
        <v>44364.0</v>
      </c>
      <c r="G95" s="56">
        <v>0.0</v>
      </c>
      <c r="H95" s="56">
        <v>116.14</v>
      </c>
      <c r="I95" s="59">
        <v>44393.0</v>
      </c>
      <c r="J95" s="56" t="s">
        <v>3594</v>
      </c>
      <c r="K95" s="15" t="s">
        <v>3688</v>
      </c>
      <c r="L95" s="60" t="str">
        <f t="shared" si="1"/>
        <v>Not in buy Zone</v>
      </c>
      <c r="M95" s="60" t="str">
        <f t="shared" si="2"/>
        <v>Not in buy Zone</v>
      </c>
      <c r="N95" s="33" t="str">
        <f t="shared" si="3"/>
        <v>No</v>
      </c>
    </row>
    <row r="96">
      <c r="A96" s="56" t="s">
        <v>124</v>
      </c>
      <c r="B96" s="56">
        <v>0.0</v>
      </c>
      <c r="C96" s="56">
        <v>0.0</v>
      </c>
      <c r="D96" s="56">
        <v>0.0</v>
      </c>
      <c r="E96" s="56">
        <v>145.56</v>
      </c>
      <c r="F96" s="58">
        <v>44383.0</v>
      </c>
      <c r="G96" s="56">
        <v>0.0</v>
      </c>
      <c r="H96" s="56">
        <v>124.95</v>
      </c>
      <c r="I96" s="59">
        <v>44393.0</v>
      </c>
      <c r="J96" s="56" t="s">
        <v>3594</v>
      </c>
      <c r="K96" s="15" t="s">
        <v>3689</v>
      </c>
      <c r="L96" s="60" t="str">
        <f t="shared" si="1"/>
        <v>Not in buy Zone</v>
      </c>
      <c r="M96" s="60" t="str">
        <f t="shared" si="2"/>
        <v>Not in buy Zone</v>
      </c>
      <c r="N96" s="33" t="str">
        <f t="shared" si="3"/>
        <v>No</v>
      </c>
    </row>
    <row r="97">
      <c r="A97" s="56" t="s">
        <v>125</v>
      </c>
      <c r="B97" s="56">
        <v>0.0</v>
      </c>
      <c r="C97" s="56">
        <v>66.9</v>
      </c>
      <c r="D97" s="56">
        <v>0.0</v>
      </c>
      <c r="E97" s="56">
        <v>0.0</v>
      </c>
      <c r="F97" s="58">
        <v>44393.0</v>
      </c>
      <c r="G97" s="56">
        <v>-1.0</v>
      </c>
      <c r="H97" s="56">
        <v>66.9</v>
      </c>
      <c r="I97" s="59">
        <v>44393.0</v>
      </c>
      <c r="J97" s="56" t="s">
        <v>3594</v>
      </c>
      <c r="K97" s="15" t="s">
        <v>3690</v>
      </c>
      <c r="L97" s="60" t="str">
        <f t="shared" si="1"/>
        <v>Not in buy Zone</v>
      </c>
      <c r="M97" s="60" t="str">
        <f t="shared" si="2"/>
        <v>Not in buy Zone</v>
      </c>
      <c r="N97" s="33" t="str">
        <f t="shared" si="3"/>
        <v>No</v>
      </c>
    </row>
    <row r="98">
      <c r="A98" s="56" t="s">
        <v>126</v>
      </c>
      <c r="B98" s="56">
        <v>0.0</v>
      </c>
      <c r="C98" s="56">
        <v>0.0</v>
      </c>
      <c r="D98" s="56">
        <v>0.0</v>
      </c>
      <c r="E98" s="56">
        <v>33.98</v>
      </c>
      <c r="F98" s="58">
        <v>44390.0</v>
      </c>
      <c r="G98" s="56">
        <v>0.0</v>
      </c>
      <c r="H98" s="56">
        <v>34.86</v>
      </c>
      <c r="I98" s="59">
        <v>44393.0</v>
      </c>
      <c r="J98" s="56" t="s">
        <v>3594</v>
      </c>
      <c r="K98" s="15" t="s">
        <v>3691</v>
      </c>
      <c r="L98" s="60" t="str">
        <f t="shared" si="1"/>
        <v>Not in buy Zone</v>
      </c>
      <c r="M98" s="60" t="str">
        <f t="shared" si="2"/>
        <v>Not in buy Zone</v>
      </c>
      <c r="N98" s="33" t="str">
        <f t="shared" si="3"/>
        <v>No</v>
      </c>
    </row>
    <row r="99">
      <c r="A99" s="56" t="s">
        <v>127</v>
      </c>
      <c r="B99" s="56">
        <v>0.0</v>
      </c>
      <c r="C99" s="56">
        <v>0.0</v>
      </c>
      <c r="D99" s="56">
        <v>0.0</v>
      </c>
      <c r="E99" s="56">
        <v>56.77</v>
      </c>
      <c r="F99" s="58">
        <v>44392.0</v>
      </c>
      <c r="G99" s="56">
        <v>0.0</v>
      </c>
      <c r="H99" s="56">
        <v>56.82</v>
      </c>
      <c r="I99" s="59">
        <v>44393.0</v>
      </c>
      <c r="J99" s="56" t="s">
        <v>3594</v>
      </c>
      <c r="K99" s="15" t="s">
        <v>3692</v>
      </c>
      <c r="L99" s="60" t="str">
        <f t="shared" si="1"/>
        <v>Not in buy Zone</v>
      </c>
      <c r="M99" s="60" t="str">
        <f t="shared" si="2"/>
        <v>Not in buy Zone</v>
      </c>
      <c r="N99" s="33" t="str">
        <f t="shared" si="3"/>
        <v>No</v>
      </c>
    </row>
    <row r="100">
      <c r="A100" s="56" t="s">
        <v>128</v>
      </c>
      <c r="B100" s="56">
        <v>0.0</v>
      </c>
      <c r="C100" s="56">
        <v>0.0</v>
      </c>
      <c r="D100" s="56">
        <v>217.76</v>
      </c>
      <c r="E100" s="56">
        <v>0.0</v>
      </c>
      <c r="F100" s="58">
        <v>44379.0</v>
      </c>
      <c r="G100" s="56">
        <v>0.0</v>
      </c>
      <c r="H100" s="56">
        <v>207.95</v>
      </c>
      <c r="I100" s="59">
        <v>44393.0</v>
      </c>
      <c r="J100" s="56" t="s">
        <v>3594</v>
      </c>
      <c r="K100" s="15" t="s">
        <v>3693</v>
      </c>
      <c r="L100" s="60" t="str">
        <f t="shared" si="1"/>
        <v>Not in buy Zone</v>
      </c>
      <c r="M100" s="60" t="str">
        <f t="shared" si="2"/>
        <v>Not in buy Zone</v>
      </c>
      <c r="N100" s="33" t="str">
        <f t="shared" si="3"/>
        <v>No</v>
      </c>
    </row>
    <row r="101">
      <c r="A101" s="56" t="s">
        <v>129</v>
      </c>
      <c r="B101" s="56">
        <v>0.0</v>
      </c>
      <c r="C101" s="56">
        <v>0.0</v>
      </c>
      <c r="D101" s="56">
        <v>162.73</v>
      </c>
      <c r="E101" s="56">
        <v>0.0</v>
      </c>
      <c r="F101" s="58">
        <v>44386.0</v>
      </c>
      <c r="G101" s="56">
        <v>0.0</v>
      </c>
      <c r="H101" s="56">
        <v>166.75</v>
      </c>
      <c r="I101" s="59">
        <v>44393.0</v>
      </c>
      <c r="J101" s="56" t="s">
        <v>3594</v>
      </c>
      <c r="K101" s="15" t="s">
        <v>3694</v>
      </c>
      <c r="L101" s="60" t="str">
        <f t="shared" si="1"/>
        <v>Not in buy Zone</v>
      </c>
      <c r="M101" s="60" t="str">
        <f t="shared" si="2"/>
        <v>Not in buy Zone</v>
      </c>
      <c r="N101" s="33" t="str">
        <f t="shared" si="3"/>
        <v>No</v>
      </c>
    </row>
    <row r="102">
      <c r="A102" s="56" t="s">
        <v>130</v>
      </c>
      <c r="B102" s="56">
        <v>0.0</v>
      </c>
      <c r="C102" s="56">
        <v>0.0</v>
      </c>
      <c r="D102" s="56">
        <v>0.0</v>
      </c>
      <c r="E102" s="56">
        <v>118.5</v>
      </c>
      <c r="F102" s="58">
        <v>44378.0</v>
      </c>
      <c r="G102" s="56">
        <v>0.0</v>
      </c>
      <c r="H102" s="56">
        <v>116.63</v>
      </c>
      <c r="I102" s="59">
        <v>44393.0</v>
      </c>
      <c r="J102" s="56" t="s">
        <v>3594</v>
      </c>
      <c r="K102" s="15" t="s">
        <v>3695</v>
      </c>
      <c r="L102" s="60" t="str">
        <f t="shared" si="1"/>
        <v>Not in buy Zone</v>
      </c>
      <c r="M102" s="60" t="str">
        <f t="shared" si="2"/>
        <v>Not in buy Zone</v>
      </c>
      <c r="N102" s="33" t="str">
        <f t="shared" si="3"/>
        <v>No</v>
      </c>
    </row>
    <row r="103">
      <c r="A103" s="56" t="s">
        <v>131</v>
      </c>
      <c r="B103" s="56">
        <v>0.0</v>
      </c>
      <c r="C103" s="56">
        <v>0.0</v>
      </c>
      <c r="D103" s="56">
        <v>0.0</v>
      </c>
      <c r="E103" s="56">
        <v>87.97</v>
      </c>
      <c r="F103" s="58">
        <v>44351.0</v>
      </c>
      <c r="G103" s="56">
        <v>0.0</v>
      </c>
      <c r="H103" s="56">
        <v>82.96</v>
      </c>
      <c r="I103" s="59">
        <v>44393.0</v>
      </c>
      <c r="J103" s="56" t="s">
        <v>3594</v>
      </c>
      <c r="K103" s="15" t="s">
        <v>3696</v>
      </c>
      <c r="L103" s="60" t="str">
        <f t="shared" si="1"/>
        <v>Not in buy Zone</v>
      </c>
      <c r="M103" s="60" t="str">
        <f t="shared" si="2"/>
        <v>Not in buy Zone</v>
      </c>
      <c r="N103" s="33" t="str">
        <f t="shared" si="3"/>
        <v>No</v>
      </c>
    </row>
    <row r="104">
      <c r="A104" s="56" t="s">
        <v>132</v>
      </c>
      <c r="B104" s="56">
        <v>0.0</v>
      </c>
      <c r="C104" s="56">
        <v>0.0</v>
      </c>
      <c r="D104" s="56">
        <v>201.72</v>
      </c>
      <c r="E104" s="56">
        <v>0.0</v>
      </c>
      <c r="F104" s="58">
        <v>44386.0</v>
      </c>
      <c r="G104" s="56">
        <v>0.0</v>
      </c>
      <c r="H104" s="56">
        <v>203.11</v>
      </c>
      <c r="I104" s="59">
        <v>44393.0</v>
      </c>
      <c r="J104" s="56" t="s">
        <v>3594</v>
      </c>
      <c r="K104" s="15" t="s">
        <v>3697</v>
      </c>
      <c r="L104" s="60" t="str">
        <f t="shared" si="1"/>
        <v>Not in buy Zone</v>
      </c>
      <c r="M104" s="60" t="str">
        <f t="shared" si="2"/>
        <v>Not in buy Zone</v>
      </c>
      <c r="N104" s="33" t="str">
        <f t="shared" si="3"/>
        <v>No</v>
      </c>
    </row>
    <row r="105">
      <c r="A105" s="56" t="s">
        <v>133</v>
      </c>
      <c r="B105" s="56">
        <v>0.0</v>
      </c>
      <c r="C105" s="56">
        <v>0.0</v>
      </c>
      <c r="D105" s="56">
        <v>0.0</v>
      </c>
      <c r="E105" s="56">
        <v>28.75</v>
      </c>
      <c r="F105" s="58">
        <v>44361.0</v>
      </c>
      <c r="G105" s="56">
        <v>0.0</v>
      </c>
      <c r="H105" s="56">
        <v>20.92</v>
      </c>
      <c r="I105" s="59">
        <v>44393.0</v>
      </c>
      <c r="J105" s="56" t="s">
        <v>3594</v>
      </c>
      <c r="K105" s="15" t="s">
        <v>3698</v>
      </c>
      <c r="L105" s="60" t="str">
        <f t="shared" si="1"/>
        <v>Not in buy Zone</v>
      </c>
      <c r="M105" s="60" t="str">
        <f t="shared" si="2"/>
        <v>Not in buy Zone</v>
      </c>
      <c r="N105" s="33" t="str">
        <f t="shared" si="3"/>
        <v>No</v>
      </c>
    </row>
    <row r="106">
      <c r="A106" s="56" t="s">
        <v>134</v>
      </c>
      <c r="B106" s="56">
        <v>0.0</v>
      </c>
      <c r="C106" s="56">
        <v>0.0</v>
      </c>
      <c r="D106" s="56">
        <v>127.49</v>
      </c>
      <c r="E106" s="56">
        <v>0.0</v>
      </c>
      <c r="F106" s="58">
        <v>44341.0</v>
      </c>
      <c r="G106" s="56">
        <v>0.0</v>
      </c>
      <c r="H106" s="56">
        <v>137.67</v>
      </c>
      <c r="I106" s="59">
        <v>44393.0</v>
      </c>
      <c r="J106" s="56" t="s">
        <v>3594</v>
      </c>
      <c r="K106" s="15" t="s">
        <v>3699</v>
      </c>
      <c r="L106" s="60" t="str">
        <f t="shared" si="1"/>
        <v>Not in buy Zone</v>
      </c>
      <c r="M106" s="60" t="str">
        <f t="shared" si="2"/>
        <v>Not in buy Zone</v>
      </c>
      <c r="N106" s="33" t="str">
        <f t="shared" si="3"/>
        <v>No</v>
      </c>
    </row>
    <row r="107">
      <c r="A107" s="56" t="s">
        <v>135</v>
      </c>
      <c r="B107" s="56">
        <v>0.0</v>
      </c>
      <c r="C107" s="56">
        <v>174.44</v>
      </c>
      <c r="D107" s="56">
        <v>0.0</v>
      </c>
      <c r="E107" s="56">
        <v>0.0</v>
      </c>
      <c r="F107" s="58">
        <v>44393.0</v>
      </c>
      <c r="G107" s="56">
        <v>-1.0</v>
      </c>
      <c r="H107" s="56">
        <v>174.44</v>
      </c>
      <c r="I107" s="59">
        <v>44393.0</v>
      </c>
      <c r="J107" s="56" t="s">
        <v>3594</v>
      </c>
      <c r="K107" s="15" t="s">
        <v>3700</v>
      </c>
      <c r="L107" s="60" t="str">
        <f t="shared" si="1"/>
        <v>Not in buy Zone</v>
      </c>
      <c r="M107" s="60" t="str">
        <f t="shared" si="2"/>
        <v>Not in buy Zone</v>
      </c>
      <c r="N107" s="33" t="str">
        <f t="shared" si="3"/>
        <v>No</v>
      </c>
    </row>
    <row r="108">
      <c r="A108" s="56" t="s">
        <v>136</v>
      </c>
      <c r="B108" s="56">
        <v>0.0</v>
      </c>
      <c r="C108" s="56">
        <v>0.0</v>
      </c>
      <c r="D108" s="56">
        <v>154.73</v>
      </c>
      <c r="E108" s="56">
        <v>0.0</v>
      </c>
      <c r="F108" s="58">
        <v>44379.0</v>
      </c>
      <c r="G108" s="56">
        <v>0.0</v>
      </c>
      <c r="H108" s="56">
        <v>152.35</v>
      </c>
      <c r="I108" s="59">
        <v>44393.0</v>
      </c>
      <c r="J108" s="56" t="s">
        <v>3594</v>
      </c>
      <c r="K108" s="15" t="s">
        <v>3701</v>
      </c>
      <c r="L108" s="60" t="str">
        <f t="shared" si="1"/>
        <v>Not in buy Zone</v>
      </c>
      <c r="M108" s="60" t="str">
        <f t="shared" si="2"/>
        <v>Not in buy Zone</v>
      </c>
      <c r="N108" s="33" t="str">
        <f t="shared" si="3"/>
        <v>No</v>
      </c>
    </row>
    <row r="109">
      <c r="A109" s="56" t="s">
        <v>137</v>
      </c>
      <c r="B109" s="56">
        <v>0.0</v>
      </c>
      <c r="C109" s="56">
        <v>77.46</v>
      </c>
      <c r="D109" s="56">
        <v>0.0</v>
      </c>
      <c r="E109" s="56">
        <v>0.0</v>
      </c>
      <c r="F109" s="58">
        <v>44393.0</v>
      </c>
      <c r="G109" s="56">
        <v>-1.0</v>
      </c>
      <c r="H109" s="56">
        <v>77.46</v>
      </c>
      <c r="I109" s="59">
        <v>44393.0</v>
      </c>
      <c r="J109" s="56" t="s">
        <v>3594</v>
      </c>
      <c r="K109" s="15" t="s">
        <v>3702</v>
      </c>
      <c r="L109" s="60" t="str">
        <f t="shared" si="1"/>
        <v>Not in buy Zone</v>
      </c>
      <c r="M109" s="60" t="str">
        <f t="shared" si="2"/>
        <v>Not in buy Zone</v>
      </c>
      <c r="N109" s="33" t="str">
        <f t="shared" si="3"/>
        <v>No</v>
      </c>
    </row>
    <row r="110">
      <c r="A110" s="56" t="s">
        <v>138</v>
      </c>
      <c r="B110" s="56">
        <v>0.0</v>
      </c>
      <c r="C110" s="56">
        <v>0.0</v>
      </c>
      <c r="D110" s="56">
        <v>0.0</v>
      </c>
      <c r="E110" s="56">
        <v>53.74</v>
      </c>
      <c r="F110" s="58">
        <v>44357.0</v>
      </c>
      <c r="G110" s="56">
        <v>0.0</v>
      </c>
      <c r="H110" s="56">
        <v>47.16</v>
      </c>
      <c r="I110" s="59">
        <v>44393.0</v>
      </c>
      <c r="J110" s="56" t="s">
        <v>3594</v>
      </c>
      <c r="K110" s="15" t="s">
        <v>3703</v>
      </c>
      <c r="L110" s="60" t="str">
        <f t="shared" si="1"/>
        <v>Not in buy Zone</v>
      </c>
      <c r="M110" s="60" t="str">
        <f t="shared" si="2"/>
        <v>Not in buy Zone</v>
      </c>
      <c r="N110" s="33" t="str">
        <f t="shared" si="3"/>
        <v>No</v>
      </c>
    </row>
    <row r="111">
      <c r="A111" s="56" t="s">
        <v>139</v>
      </c>
      <c r="B111" s="56">
        <v>0.0</v>
      </c>
      <c r="C111" s="56">
        <v>0.0</v>
      </c>
      <c r="D111" s="56">
        <v>0.0</v>
      </c>
      <c r="E111" s="56">
        <v>49.39</v>
      </c>
      <c r="F111" s="58">
        <v>44337.0</v>
      </c>
      <c r="G111" s="56">
        <v>0.0</v>
      </c>
      <c r="H111" s="56">
        <v>43.0</v>
      </c>
      <c r="I111" s="59">
        <v>44393.0</v>
      </c>
      <c r="J111" s="56" t="s">
        <v>3594</v>
      </c>
      <c r="K111" s="15" t="s">
        <v>3704</v>
      </c>
      <c r="L111" s="60" t="str">
        <f t="shared" si="1"/>
        <v>Not in buy Zone</v>
      </c>
      <c r="M111" s="60" t="str">
        <f t="shared" si="2"/>
        <v>Not in buy Zone</v>
      </c>
      <c r="N111" s="33" t="str">
        <f t="shared" si="3"/>
        <v>No</v>
      </c>
    </row>
    <row r="112">
      <c r="A112" s="56" t="s">
        <v>140</v>
      </c>
      <c r="B112" s="56">
        <v>0.0</v>
      </c>
      <c r="C112" s="56">
        <v>0.0</v>
      </c>
      <c r="D112" s="56">
        <v>84.94</v>
      </c>
      <c r="E112" s="56">
        <v>0.0</v>
      </c>
      <c r="F112" s="58">
        <v>44376.0</v>
      </c>
      <c r="G112" s="56">
        <v>0.0</v>
      </c>
      <c r="H112" s="56">
        <v>87.33</v>
      </c>
      <c r="I112" s="59">
        <v>44393.0</v>
      </c>
      <c r="J112" s="56" t="s">
        <v>3594</v>
      </c>
      <c r="K112" s="15" t="s">
        <v>3705</v>
      </c>
      <c r="L112" s="60" t="str">
        <f t="shared" si="1"/>
        <v>Not in buy Zone</v>
      </c>
      <c r="M112" s="60" t="str">
        <f t="shared" si="2"/>
        <v>Not in buy Zone</v>
      </c>
      <c r="N112" s="33" t="str">
        <f t="shared" si="3"/>
        <v>No</v>
      </c>
    </row>
    <row r="113">
      <c r="A113" s="56" t="s">
        <v>141</v>
      </c>
      <c r="B113" s="56">
        <v>0.0</v>
      </c>
      <c r="C113" s="56">
        <v>0.0</v>
      </c>
      <c r="D113" s="56">
        <v>123.8</v>
      </c>
      <c r="E113" s="56">
        <v>0.0</v>
      </c>
      <c r="F113" s="58">
        <v>44386.0</v>
      </c>
      <c r="G113" s="56">
        <v>0.0</v>
      </c>
      <c r="H113" s="56">
        <v>122.19</v>
      </c>
      <c r="I113" s="59">
        <v>44393.0</v>
      </c>
      <c r="J113" s="56" t="s">
        <v>3594</v>
      </c>
      <c r="K113" s="15" t="s">
        <v>3706</v>
      </c>
      <c r="L113" s="60" t="str">
        <f t="shared" si="1"/>
        <v>Not in buy Zone</v>
      </c>
      <c r="M113" s="60" t="str">
        <f t="shared" si="2"/>
        <v>Not in buy Zone</v>
      </c>
      <c r="N113" s="33" t="str">
        <f t="shared" si="3"/>
        <v>No</v>
      </c>
    </row>
    <row r="114">
      <c r="A114" s="56" t="s">
        <v>142</v>
      </c>
      <c r="B114" s="56">
        <v>0.0</v>
      </c>
      <c r="C114" s="56">
        <v>0.0</v>
      </c>
      <c r="D114" s="56">
        <v>93.94</v>
      </c>
      <c r="E114" s="56">
        <v>0.0</v>
      </c>
      <c r="F114" s="58">
        <v>44392.0</v>
      </c>
      <c r="G114" s="56">
        <v>0.0</v>
      </c>
      <c r="H114" s="56">
        <v>93.3</v>
      </c>
      <c r="I114" s="59">
        <v>44393.0</v>
      </c>
      <c r="J114" s="56" t="s">
        <v>3594</v>
      </c>
      <c r="K114" s="15" t="s">
        <v>3707</v>
      </c>
      <c r="L114" s="60" t="str">
        <f t="shared" si="1"/>
        <v>Not in buy Zone</v>
      </c>
      <c r="M114" s="60" t="str">
        <f t="shared" si="2"/>
        <v>Not in buy Zone</v>
      </c>
      <c r="N114" s="33" t="str">
        <f t="shared" si="3"/>
        <v>No</v>
      </c>
    </row>
    <row r="115">
      <c r="A115" s="56" t="s">
        <v>143</v>
      </c>
      <c r="B115" s="56">
        <v>0.0</v>
      </c>
      <c r="C115" s="56">
        <v>0.0</v>
      </c>
      <c r="D115" s="56">
        <v>0.0</v>
      </c>
      <c r="E115" s="56">
        <v>710.7</v>
      </c>
      <c r="F115" s="58">
        <v>44390.0</v>
      </c>
      <c r="G115" s="56">
        <v>0.0</v>
      </c>
      <c r="H115" s="56">
        <v>709.99</v>
      </c>
      <c r="I115" s="59">
        <v>44393.0</v>
      </c>
      <c r="J115" s="56" t="s">
        <v>3594</v>
      </c>
      <c r="K115" s="15" t="s">
        <v>3708</v>
      </c>
      <c r="L115" s="60" t="str">
        <f t="shared" si="1"/>
        <v>Not in buy Zone</v>
      </c>
      <c r="M115" s="60" t="str">
        <f t="shared" si="2"/>
        <v>Not in buy Zone</v>
      </c>
      <c r="N115" s="33" t="str">
        <f t="shared" si="3"/>
        <v>No</v>
      </c>
    </row>
    <row r="116">
      <c r="A116" s="56" t="s">
        <v>144</v>
      </c>
      <c r="B116" s="56">
        <v>0.0</v>
      </c>
      <c r="C116" s="56">
        <v>0.0</v>
      </c>
      <c r="D116" s="56">
        <v>0.0</v>
      </c>
      <c r="E116" s="56">
        <v>78.91</v>
      </c>
      <c r="F116" s="58">
        <v>44391.0</v>
      </c>
      <c r="G116" s="56">
        <v>0.0</v>
      </c>
      <c r="H116" s="56">
        <v>76.98</v>
      </c>
      <c r="I116" s="59">
        <v>44393.0</v>
      </c>
      <c r="J116" s="56" t="s">
        <v>3594</v>
      </c>
      <c r="K116" s="15" t="s">
        <v>3709</v>
      </c>
      <c r="L116" s="60" t="str">
        <f t="shared" si="1"/>
        <v>Not in buy Zone</v>
      </c>
      <c r="M116" s="60" t="str">
        <f t="shared" si="2"/>
        <v>Not in buy Zone</v>
      </c>
      <c r="N116" s="33" t="str">
        <f t="shared" si="3"/>
        <v>No</v>
      </c>
    </row>
    <row r="117">
      <c r="A117" s="56" t="s">
        <v>145</v>
      </c>
      <c r="B117" s="56">
        <v>0.0</v>
      </c>
      <c r="C117" s="56">
        <v>0.0</v>
      </c>
      <c r="D117" s="56">
        <v>237.07</v>
      </c>
      <c r="E117" s="56">
        <v>0.0</v>
      </c>
      <c r="F117" s="58">
        <v>44377.0</v>
      </c>
      <c r="G117" s="56">
        <v>0.0</v>
      </c>
      <c r="H117" s="56">
        <v>233.83</v>
      </c>
      <c r="I117" s="59">
        <v>44393.0</v>
      </c>
      <c r="J117" s="56" t="s">
        <v>3594</v>
      </c>
      <c r="K117" s="15" t="s">
        <v>3710</v>
      </c>
      <c r="L117" s="60" t="str">
        <f t="shared" si="1"/>
        <v>Not in buy Zone</v>
      </c>
      <c r="M117" s="60" t="str">
        <f t="shared" si="2"/>
        <v>Not in buy Zone</v>
      </c>
      <c r="N117" s="33" t="str">
        <f t="shared" si="3"/>
        <v>No</v>
      </c>
    </row>
    <row r="118">
      <c r="A118" s="56" t="s">
        <v>146</v>
      </c>
      <c r="B118" s="56">
        <v>0.0</v>
      </c>
      <c r="C118" s="56">
        <v>0.0</v>
      </c>
      <c r="D118" s="56">
        <v>118.71</v>
      </c>
      <c r="E118" s="56">
        <v>0.0</v>
      </c>
      <c r="F118" s="58">
        <v>44390.0</v>
      </c>
      <c r="G118" s="56">
        <v>0.0</v>
      </c>
      <c r="H118" s="56">
        <v>118.53</v>
      </c>
      <c r="I118" s="59">
        <v>44393.0</v>
      </c>
      <c r="J118" s="56" t="s">
        <v>3594</v>
      </c>
      <c r="K118" s="15" t="s">
        <v>3711</v>
      </c>
      <c r="L118" s="60" t="str">
        <f t="shared" si="1"/>
        <v>Not in buy Zone</v>
      </c>
      <c r="M118" s="60" t="str">
        <f t="shared" si="2"/>
        <v>Not in buy Zone</v>
      </c>
      <c r="N118" s="33" t="str">
        <f t="shared" si="3"/>
        <v>No</v>
      </c>
    </row>
    <row r="119">
      <c r="A119" s="56" t="s">
        <v>147</v>
      </c>
      <c r="B119" s="56">
        <v>0.0</v>
      </c>
      <c r="C119" s="56">
        <v>0.0</v>
      </c>
      <c r="D119" s="56">
        <v>82.66</v>
      </c>
      <c r="E119" s="56">
        <v>0.0</v>
      </c>
      <c r="F119" s="58">
        <v>44384.0</v>
      </c>
      <c r="G119" s="56">
        <v>0.0</v>
      </c>
      <c r="H119" s="56">
        <v>84.39</v>
      </c>
      <c r="I119" s="59">
        <v>44393.0</v>
      </c>
      <c r="J119" s="56" t="s">
        <v>3594</v>
      </c>
      <c r="K119" s="15" t="s">
        <v>3712</v>
      </c>
      <c r="L119" s="60" t="str">
        <f t="shared" si="1"/>
        <v>Not in buy Zone</v>
      </c>
      <c r="M119" s="60" t="str">
        <f t="shared" si="2"/>
        <v>Not in buy Zone</v>
      </c>
      <c r="N119" s="33" t="str">
        <f t="shared" si="3"/>
        <v>No</v>
      </c>
    </row>
    <row r="120">
      <c r="A120" s="56" t="s">
        <v>148</v>
      </c>
      <c r="B120" s="56">
        <v>0.0</v>
      </c>
      <c r="C120" s="56">
        <v>0.0</v>
      </c>
      <c r="D120" s="56">
        <v>176.65</v>
      </c>
      <c r="E120" s="56">
        <v>0.0</v>
      </c>
      <c r="F120" s="58">
        <v>44372.0</v>
      </c>
      <c r="G120" s="56">
        <v>0.0</v>
      </c>
      <c r="H120" s="56">
        <v>186.32</v>
      </c>
      <c r="I120" s="59">
        <v>44393.0</v>
      </c>
      <c r="J120" s="56" t="s">
        <v>3594</v>
      </c>
      <c r="K120" s="15" t="s">
        <v>3713</v>
      </c>
      <c r="L120" s="60" t="str">
        <f t="shared" si="1"/>
        <v>Not in buy Zone</v>
      </c>
      <c r="M120" s="60" t="str">
        <f t="shared" si="2"/>
        <v>Not in buy Zone</v>
      </c>
      <c r="N120" s="33" t="str">
        <f t="shared" si="3"/>
        <v>No</v>
      </c>
    </row>
    <row r="121">
      <c r="A121" s="56" t="s">
        <v>149</v>
      </c>
      <c r="B121" s="56">
        <v>0.0</v>
      </c>
      <c r="C121" s="56">
        <v>0.0</v>
      </c>
      <c r="D121" s="56">
        <v>0.0</v>
      </c>
      <c r="E121" s="56">
        <v>76.59</v>
      </c>
      <c r="F121" s="58">
        <v>44336.0</v>
      </c>
      <c r="G121" s="56">
        <v>0.0</v>
      </c>
      <c r="H121" s="56">
        <v>66.66</v>
      </c>
      <c r="I121" s="59">
        <v>44393.0</v>
      </c>
      <c r="J121" s="56" t="s">
        <v>3594</v>
      </c>
      <c r="K121" s="15" t="s">
        <v>3714</v>
      </c>
      <c r="L121" s="60" t="str">
        <f t="shared" si="1"/>
        <v>Not in buy Zone</v>
      </c>
      <c r="M121" s="60" t="str">
        <f t="shared" si="2"/>
        <v>Not in buy Zone</v>
      </c>
      <c r="N121" s="33" t="str">
        <f t="shared" si="3"/>
        <v>No</v>
      </c>
    </row>
    <row r="122">
      <c r="A122" s="56" t="s">
        <v>150</v>
      </c>
      <c r="B122" s="56">
        <v>0.0</v>
      </c>
      <c r="C122" s="56">
        <v>0.0</v>
      </c>
      <c r="D122" s="56">
        <v>58.42</v>
      </c>
      <c r="E122" s="56">
        <v>0.0</v>
      </c>
      <c r="F122" s="58">
        <v>44379.0</v>
      </c>
      <c r="G122" s="56">
        <v>0.0</v>
      </c>
      <c r="H122" s="56">
        <v>57.55</v>
      </c>
      <c r="I122" s="59">
        <v>44393.0</v>
      </c>
      <c r="J122" s="56" t="s">
        <v>3594</v>
      </c>
      <c r="K122" s="15" t="s">
        <v>3715</v>
      </c>
      <c r="L122" s="60" t="str">
        <f t="shared" si="1"/>
        <v>Not in buy Zone</v>
      </c>
      <c r="M122" s="60" t="str">
        <f t="shared" si="2"/>
        <v>Not in buy Zone</v>
      </c>
      <c r="N122" s="33" t="str">
        <f t="shared" si="3"/>
        <v>No</v>
      </c>
    </row>
    <row r="123">
      <c r="A123" s="56" t="s">
        <v>151</v>
      </c>
      <c r="B123" s="56">
        <v>0.0</v>
      </c>
      <c r="C123" s="56">
        <v>0.0</v>
      </c>
      <c r="D123" s="56">
        <v>0.0</v>
      </c>
      <c r="E123" s="56">
        <v>218.1</v>
      </c>
      <c r="F123" s="58">
        <v>44354.0</v>
      </c>
      <c r="G123" s="56">
        <v>0.0</v>
      </c>
      <c r="H123" s="56">
        <v>209.33</v>
      </c>
      <c r="I123" s="59">
        <v>44393.0</v>
      </c>
      <c r="J123" s="56" t="s">
        <v>3594</v>
      </c>
      <c r="K123" s="15" t="s">
        <v>3716</v>
      </c>
      <c r="L123" s="60" t="str">
        <f t="shared" si="1"/>
        <v>Not in buy Zone</v>
      </c>
      <c r="M123" s="60" t="str">
        <f t="shared" si="2"/>
        <v>Not in buy Zone</v>
      </c>
      <c r="N123" s="33" t="str">
        <f t="shared" si="3"/>
        <v>No</v>
      </c>
    </row>
    <row r="124">
      <c r="A124" s="56" t="s">
        <v>152</v>
      </c>
      <c r="B124" s="56">
        <v>0.0</v>
      </c>
      <c r="C124" s="56">
        <v>0.0</v>
      </c>
      <c r="D124" s="56">
        <v>1371.98</v>
      </c>
      <c r="E124" s="56">
        <v>0.0</v>
      </c>
      <c r="F124" s="58">
        <v>44344.0</v>
      </c>
      <c r="G124" s="56">
        <v>0.0</v>
      </c>
      <c r="H124" s="56">
        <v>1560.49</v>
      </c>
      <c r="I124" s="59">
        <v>44393.0</v>
      </c>
      <c r="J124" s="56" t="s">
        <v>3594</v>
      </c>
      <c r="K124" s="15" t="s">
        <v>3717</v>
      </c>
      <c r="L124" s="60" t="str">
        <f t="shared" si="1"/>
        <v>Not in buy Zone</v>
      </c>
      <c r="M124" s="60" t="str">
        <f t="shared" si="2"/>
        <v>Not in buy Zone</v>
      </c>
      <c r="N124" s="33" t="str">
        <f t="shared" si="3"/>
        <v>No</v>
      </c>
    </row>
    <row r="125">
      <c r="A125" s="56" t="s">
        <v>153</v>
      </c>
      <c r="B125" s="56">
        <v>0.0</v>
      </c>
      <c r="C125" s="56">
        <v>0.0</v>
      </c>
      <c r="D125" s="56">
        <v>238.92</v>
      </c>
      <c r="E125" s="56">
        <v>0.0</v>
      </c>
      <c r="F125" s="58">
        <v>44384.0</v>
      </c>
      <c r="G125" s="56">
        <v>0.0</v>
      </c>
      <c r="H125" s="56">
        <v>238.62</v>
      </c>
      <c r="I125" s="59">
        <v>44393.0</v>
      </c>
      <c r="J125" s="56" t="s">
        <v>3594</v>
      </c>
      <c r="K125" s="15" t="s">
        <v>3718</v>
      </c>
      <c r="L125" s="60" t="str">
        <f t="shared" si="1"/>
        <v>Not in buy Zone</v>
      </c>
      <c r="M125" s="60" t="str">
        <f t="shared" si="2"/>
        <v>Not in buy Zone</v>
      </c>
      <c r="N125" s="33" t="str">
        <f t="shared" si="3"/>
        <v>No</v>
      </c>
    </row>
    <row r="126">
      <c r="A126" s="56" t="s">
        <v>154</v>
      </c>
      <c r="B126" s="56">
        <v>0.0</v>
      </c>
      <c r="C126" s="56">
        <v>0.0</v>
      </c>
      <c r="D126" s="56">
        <v>59.08</v>
      </c>
      <c r="E126" s="56">
        <v>0.0</v>
      </c>
      <c r="F126" s="58">
        <v>44377.0</v>
      </c>
      <c r="G126" s="56">
        <v>0.0</v>
      </c>
      <c r="H126" s="56">
        <v>62.01</v>
      </c>
      <c r="I126" s="59">
        <v>44393.0</v>
      </c>
      <c r="J126" s="56" t="s">
        <v>3594</v>
      </c>
      <c r="K126" s="15" t="s">
        <v>3719</v>
      </c>
      <c r="L126" s="60" t="str">
        <f t="shared" si="1"/>
        <v>Not in buy Zone</v>
      </c>
      <c r="M126" s="60" t="str">
        <f t="shared" si="2"/>
        <v>Not in buy Zone</v>
      </c>
      <c r="N126" s="33" t="str">
        <f t="shared" si="3"/>
        <v>No</v>
      </c>
    </row>
    <row r="127">
      <c r="A127" s="56" t="s">
        <v>155</v>
      </c>
      <c r="B127" s="56">
        <v>0.0</v>
      </c>
      <c r="C127" s="56">
        <v>0.0</v>
      </c>
      <c r="D127" s="56">
        <v>0.0</v>
      </c>
      <c r="E127" s="56">
        <v>71.28</v>
      </c>
      <c r="F127" s="58">
        <v>44354.0</v>
      </c>
      <c r="G127" s="56">
        <v>0.0</v>
      </c>
      <c r="H127" s="56">
        <v>72.66</v>
      </c>
      <c r="I127" s="59">
        <v>44393.0</v>
      </c>
      <c r="J127" s="56" t="s">
        <v>3594</v>
      </c>
      <c r="K127" s="15" t="s">
        <v>3720</v>
      </c>
      <c r="L127" s="60" t="str">
        <f t="shared" si="1"/>
        <v>Not in buy Zone</v>
      </c>
      <c r="M127" s="60" t="str">
        <f t="shared" si="2"/>
        <v>Not in buy Zone</v>
      </c>
      <c r="N127" s="33" t="str">
        <f t="shared" si="3"/>
        <v>No</v>
      </c>
    </row>
    <row r="128">
      <c r="A128" s="56" t="s">
        <v>156</v>
      </c>
      <c r="B128" s="56">
        <v>0.0</v>
      </c>
      <c r="C128" s="56">
        <v>0.0</v>
      </c>
      <c r="D128" s="56">
        <v>25.32</v>
      </c>
      <c r="E128" s="56">
        <v>0.0</v>
      </c>
      <c r="F128" s="58">
        <v>44392.0</v>
      </c>
      <c r="G128" s="56">
        <v>0.0</v>
      </c>
      <c r="H128" s="56">
        <v>25.59</v>
      </c>
      <c r="I128" s="59">
        <v>44393.0</v>
      </c>
      <c r="J128" s="56" t="s">
        <v>3594</v>
      </c>
      <c r="K128" s="15" t="s">
        <v>3721</v>
      </c>
      <c r="L128" s="60" t="str">
        <f t="shared" si="1"/>
        <v>Not in buy Zone</v>
      </c>
      <c r="M128" s="60" t="str">
        <f t="shared" si="2"/>
        <v>Not in buy Zone</v>
      </c>
      <c r="N128" s="33" t="str">
        <f t="shared" si="3"/>
        <v>No</v>
      </c>
    </row>
    <row r="129">
      <c r="A129" s="56" t="s">
        <v>157</v>
      </c>
      <c r="B129" s="56">
        <v>0.0</v>
      </c>
      <c r="C129" s="56">
        <v>0.0</v>
      </c>
      <c r="D129" s="56">
        <v>164.85</v>
      </c>
      <c r="E129" s="56">
        <v>0.0</v>
      </c>
      <c r="F129" s="58">
        <v>44389.0</v>
      </c>
      <c r="G129" s="56">
        <v>0.0</v>
      </c>
      <c r="H129" s="56">
        <v>157.52</v>
      </c>
      <c r="I129" s="59">
        <v>44393.0</v>
      </c>
      <c r="J129" s="56" t="s">
        <v>3594</v>
      </c>
      <c r="K129" s="15" t="s">
        <v>3722</v>
      </c>
      <c r="L129" s="60" t="str">
        <f t="shared" si="1"/>
        <v>Not in buy Zone</v>
      </c>
      <c r="M129" s="60" t="str">
        <f t="shared" si="2"/>
        <v>Not in buy Zone</v>
      </c>
      <c r="N129" s="33" t="str">
        <f t="shared" si="3"/>
        <v>No</v>
      </c>
    </row>
    <row r="130">
      <c r="A130" s="56" t="s">
        <v>158</v>
      </c>
      <c r="B130" s="56">
        <v>0.0</v>
      </c>
      <c r="C130" s="56">
        <v>16.16</v>
      </c>
      <c r="D130" s="56">
        <v>0.0</v>
      </c>
      <c r="E130" s="56">
        <v>0.0</v>
      </c>
      <c r="F130" s="58">
        <v>44393.0</v>
      </c>
      <c r="G130" s="56">
        <v>-1.0</v>
      </c>
      <c r="H130" s="56">
        <v>16.16</v>
      </c>
      <c r="I130" s="59">
        <v>44393.0</v>
      </c>
      <c r="J130" s="56" t="s">
        <v>3594</v>
      </c>
      <c r="K130" s="15" t="s">
        <v>3723</v>
      </c>
      <c r="L130" s="60" t="str">
        <f t="shared" si="1"/>
        <v>Not in buy Zone</v>
      </c>
      <c r="M130" s="60" t="str">
        <f t="shared" si="2"/>
        <v>Not in buy Zone</v>
      </c>
      <c r="N130" s="33" t="str">
        <f t="shared" si="3"/>
        <v>No</v>
      </c>
    </row>
    <row r="131">
      <c r="A131" s="56" t="s">
        <v>159</v>
      </c>
      <c r="B131" s="56">
        <v>0.0</v>
      </c>
      <c r="C131" s="56">
        <v>0.0</v>
      </c>
      <c r="D131" s="56">
        <v>383.96</v>
      </c>
      <c r="E131" s="56">
        <v>0.0</v>
      </c>
      <c r="F131" s="58">
        <v>44365.0</v>
      </c>
      <c r="G131" s="56">
        <v>0.0</v>
      </c>
      <c r="H131" s="56">
        <v>403.89</v>
      </c>
      <c r="I131" s="59">
        <v>44393.0</v>
      </c>
      <c r="J131" s="56" t="s">
        <v>3594</v>
      </c>
      <c r="K131" s="15" t="s">
        <v>3724</v>
      </c>
      <c r="L131" s="60" t="str">
        <f t="shared" si="1"/>
        <v>Not in buy Zone</v>
      </c>
      <c r="M131" s="60" t="str">
        <f t="shared" si="2"/>
        <v>Not in buy Zone</v>
      </c>
      <c r="N131" s="33" t="str">
        <f t="shared" si="3"/>
        <v>No</v>
      </c>
    </row>
    <row r="132">
      <c r="A132" s="56" t="s">
        <v>160</v>
      </c>
      <c r="B132" s="56">
        <v>0.0</v>
      </c>
      <c r="C132" s="56">
        <v>0.0</v>
      </c>
      <c r="D132" s="56">
        <v>0.0</v>
      </c>
      <c r="E132" s="56">
        <v>57.53</v>
      </c>
      <c r="F132" s="58">
        <v>44365.0</v>
      </c>
      <c r="G132" s="56">
        <v>0.0</v>
      </c>
      <c r="H132" s="56">
        <v>55.5</v>
      </c>
      <c r="I132" s="59">
        <v>44393.0</v>
      </c>
      <c r="J132" s="56" t="s">
        <v>3594</v>
      </c>
      <c r="K132" s="15" t="s">
        <v>3725</v>
      </c>
      <c r="L132" s="60" t="str">
        <f t="shared" si="1"/>
        <v>Not in buy Zone</v>
      </c>
      <c r="M132" s="60" t="str">
        <f t="shared" si="2"/>
        <v>Not in buy Zone</v>
      </c>
      <c r="N132" s="33" t="str">
        <f t="shared" si="3"/>
        <v>No</v>
      </c>
    </row>
    <row r="133">
      <c r="A133" s="56" t="s">
        <v>161</v>
      </c>
      <c r="B133" s="56">
        <v>0.0</v>
      </c>
      <c r="C133" s="56">
        <v>0.0</v>
      </c>
      <c r="D133" s="56">
        <v>392.18</v>
      </c>
      <c r="E133" s="56">
        <v>0.0</v>
      </c>
      <c r="F133" s="58">
        <v>44369.0</v>
      </c>
      <c r="G133" s="56">
        <v>0.0</v>
      </c>
      <c r="H133" s="56">
        <v>410.37</v>
      </c>
      <c r="I133" s="59">
        <v>44393.0</v>
      </c>
      <c r="J133" s="56" t="s">
        <v>3594</v>
      </c>
      <c r="K133" s="15" t="s">
        <v>3726</v>
      </c>
      <c r="L133" s="60" t="str">
        <f t="shared" si="1"/>
        <v>Not in buy Zone</v>
      </c>
      <c r="M133" s="60" t="str">
        <f t="shared" si="2"/>
        <v>Not in buy Zone</v>
      </c>
      <c r="N133" s="33" t="str">
        <f t="shared" si="3"/>
        <v>No</v>
      </c>
    </row>
    <row r="134">
      <c r="A134" s="56" t="s">
        <v>162</v>
      </c>
      <c r="B134" s="56">
        <v>45.53</v>
      </c>
      <c r="C134" s="56">
        <v>0.0</v>
      </c>
      <c r="D134" s="56">
        <v>0.0</v>
      </c>
      <c r="E134" s="56">
        <v>0.0</v>
      </c>
      <c r="F134" s="58">
        <v>44393.0</v>
      </c>
      <c r="G134" s="56">
        <v>1.0</v>
      </c>
      <c r="H134" s="56">
        <v>45.53</v>
      </c>
      <c r="I134" s="59">
        <v>44393.0</v>
      </c>
      <c r="J134" s="56" t="s">
        <v>3594</v>
      </c>
      <c r="K134" s="15" t="s">
        <v>3727</v>
      </c>
      <c r="L134" s="60">
        <f t="shared" si="1"/>
        <v>45.75765</v>
      </c>
      <c r="M134" s="60">
        <f t="shared" si="2"/>
        <v>45.30235</v>
      </c>
      <c r="N134" s="33" t="str">
        <f t="shared" si="3"/>
        <v>Yes</v>
      </c>
    </row>
    <row r="135">
      <c r="A135" s="56" t="s">
        <v>163</v>
      </c>
      <c r="B135" s="56">
        <v>0.0</v>
      </c>
      <c r="C135" s="56">
        <v>0.0</v>
      </c>
      <c r="D135" s="56">
        <v>128.14</v>
      </c>
      <c r="E135" s="56">
        <v>0.0</v>
      </c>
      <c r="F135" s="58">
        <v>44365.0</v>
      </c>
      <c r="G135" s="56">
        <v>0.0</v>
      </c>
      <c r="H135" s="56">
        <v>140.14</v>
      </c>
      <c r="I135" s="59">
        <v>44393.0</v>
      </c>
      <c r="J135" s="56" t="s">
        <v>3594</v>
      </c>
      <c r="K135" s="15" t="s">
        <v>3728</v>
      </c>
      <c r="L135" s="60" t="str">
        <f t="shared" si="1"/>
        <v>Not in buy Zone</v>
      </c>
      <c r="M135" s="60" t="str">
        <f t="shared" si="2"/>
        <v>Not in buy Zone</v>
      </c>
      <c r="N135" s="33" t="str">
        <f t="shared" si="3"/>
        <v>No</v>
      </c>
    </row>
    <row r="136">
      <c r="A136" s="56" t="s">
        <v>164</v>
      </c>
      <c r="B136" s="56">
        <v>0.0</v>
      </c>
      <c r="C136" s="56">
        <v>0.0</v>
      </c>
      <c r="D136" s="56">
        <v>340.24</v>
      </c>
      <c r="E136" s="56">
        <v>0.0</v>
      </c>
      <c r="F136" s="58">
        <v>44354.0</v>
      </c>
      <c r="G136" s="56">
        <v>0.0</v>
      </c>
      <c r="H136" s="56">
        <v>384.49</v>
      </c>
      <c r="I136" s="59">
        <v>44393.0</v>
      </c>
      <c r="J136" s="56" t="s">
        <v>3594</v>
      </c>
      <c r="K136" s="15" t="s">
        <v>3729</v>
      </c>
      <c r="L136" s="60" t="str">
        <f t="shared" si="1"/>
        <v>Not in buy Zone</v>
      </c>
      <c r="M136" s="60" t="str">
        <f t="shared" si="2"/>
        <v>Not in buy Zone</v>
      </c>
      <c r="N136" s="33" t="str">
        <f t="shared" si="3"/>
        <v>No</v>
      </c>
    </row>
    <row r="137">
      <c r="A137" s="56" t="s">
        <v>165</v>
      </c>
      <c r="B137" s="56">
        <v>0.0</v>
      </c>
      <c r="C137" s="56">
        <v>0.0</v>
      </c>
      <c r="D137" s="56">
        <v>0.0</v>
      </c>
      <c r="E137" s="56">
        <v>245.06</v>
      </c>
      <c r="F137" s="58">
        <v>44386.0</v>
      </c>
      <c r="G137" s="56">
        <v>0.0</v>
      </c>
      <c r="H137" s="56">
        <v>238.43</v>
      </c>
      <c r="I137" s="59">
        <v>44393.0</v>
      </c>
      <c r="J137" s="56" t="s">
        <v>3594</v>
      </c>
      <c r="K137" s="15" t="s">
        <v>3730</v>
      </c>
      <c r="L137" s="60" t="str">
        <f t="shared" si="1"/>
        <v>Not in buy Zone</v>
      </c>
      <c r="M137" s="60" t="str">
        <f t="shared" si="2"/>
        <v>Not in buy Zone</v>
      </c>
      <c r="N137" s="33" t="str">
        <f t="shared" si="3"/>
        <v>No</v>
      </c>
    </row>
    <row r="138">
      <c r="A138" s="56" t="s">
        <v>166</v>
      </c>
      <c r="B138" s="56">
        <v>0.0</v>
      </c>
      <c r="C138" s="56">
        <v>0.0</v>
      </c>
      <c r="D138" s="56">
        <v>0.0</v>
      </c>
      <c r="E138" s="56">
        <v>32.07</v>
      </c>
      <c r="F138" s="58">
        <v>44379.0</v>
      </c>
      <c r="G138" s="56">
        <v>0.0</v>
      </c>
      <c r="H138" s="56">
        <v>29.33</v>
      </c>
      <c r="I138" s="59">
        <v>44393.0</v>
      </c>
      <c r="J138" s="56" t="s">
        <v>3594</v>
      </c>
      <c r="K138" s="15" t="s">
        <v>3731</v>
      </c>
      <c r="L138" s="60" t="str">
        <f t="shared" si="1"/>
        <v>Not in buy Zone</v>
      </c>
      <c r="M138" s="60" t="str">
        <f t="shared" si="2"/>
        <v>Not in buy Zone</v>
      </c>
      <c r="N138" s="33" t="str">
        <f t="shared" si="3"/>
        <v>No</v>
      </c>
    </row>
    <row r="139">
      <c r="A139" s="56" t="s">
        <v>167</v>
      </c>
      <c r="B139" s="56">
        <v>0.0</v>
      </c>
      <c r="C139" s="56">
        <v>0.0</v>
      </c>
      <c r="D139" s="56">
        <v>0.0</v>
      </c>
      <c r="E139" s="56">
        <v>254.23</v>
      </c>
      <c r="F139" s="58">
        <v>44391.0</v>
      </c>
      <c r="G139" s="56">
        <v>0.0</v>
      </c>
      <c r="H139" s="56">
        <v>249.96</v>
      </c>
      <c r="I139" s="59">
        <v>44393.0</v>
      </c>
      <c r="J139" s="56" t="s">
        <v>3594</v>
      </c>
      <c r="K139" s="15" t="s">
        <v>3732</v>
      </c>
      <c r="L139" s="60" t="str">
        <f t="shared" si="1"/>
        <v>Not in buy Zone</v>
      </c>
      <c r="M139" s="60" t="str">
        <f t="shared" si="2"/>
        <v>Not in buy Zone</v>
      </c>
      <c r="N139" s="33" t="str">
        <f t="shared" si="3"/>
        <v>No</v>
      </c>
    </row>
    <row r="140">
      <c r="A140" s="56" t="s">
        <v>168</v>
      </c>
      <c r="B140" s="56">
        <v>0.0</v>
      </c>
      <c r="C140" s="56">
        <v>0.0</v>
      </c>
      <c r="D140" s="56">
        <v>54.09</v>
      </c>
      <c r="E140" s="56">
        <v>0.0</v>
      </c>
      <c r="F140" s="58">
        <v>44391.0</v>
      </c>
      <c r="G140" s="56">
        <v>0.0</v>
      </c>
      <c r="H140" s="56">
        <v>53.7</v>
      </c>
      <c r="I140" s="59">
        <v>44393.0</v>
      </c>
      <c r="J140" s="56" t="s">
        <v>3594</v>
      </c>
      <c r="K140" s="15" t="s">
        <v>3733</v>
      </c>
      <c r="L140" s="60" t="str">
        <f t="shared" si="1"/>
        <v>Not in buy Zone</v>
      </c>
      <c r="M140" s="60" t="str">
        <f t="shared" si="2"/>
        <v>Not in buy Zone</v>
      </c>
      <c r="N140" s="33" t="str">
        <f t="shared" si="3"/>
        <v>No</v>
      </c>
    </row>
    <row r="141">
      <c r="A141" s="56" t="s">
        <v>169</v>
      </c>
      <c r="B141" s="56">
        <v>0.0</v>
      </c>
      <c r="C141" s="56">
        <v>0.0</v>
      </c>
      <c r="D141" s="56">
        <v>87.33</v>
      </c>
      <c r="E141" s="56">
        <v>0.0</v>
      </c>
      <c r="F141" s="58">
        <v>44392.0</v>
      </c>
      <c r="G141" s="56">
        <v>0.0</v>
      </c>
      <c r="H141" s="56">
        <v>87.35</v>
      </c>
      <c r="I141" s="59">
        <v>44393.0</v>
      </c>
      <c r="J141" s="56" t="s">
        <v>3594</v>
      </c>
      <c r="K141" s="15" t="s">
        <v>3734</v>
      </c>
      <c r="L141" s="60" t="str">
        <f t="shared" si="1"/>
        <v>Not in buy Zone</v>
      </c>
      <c r="M141" s="60" t="str">
        <f t="shared" si="2"/>
        <v>Not in buy Zone</v>
      </c>
      <c r="N141" s="33" t="str">
        <f t="shared" si="3"/>
        <v>No</v>
      </c>
    </row>
    <row r="142">
      <c r="A142" s="56" t="s">
        <v>170</v>
      </c>
      <c r="B142" s="56">
        <v>0.0</v>
      </c>
      <c r="C142" s="56">
        <v>0.0</v>
      </c>
      <c r="D142" s="56">
        <v>32.28</v>
      </c>
      <c r="E142" s="56">
        <v>0.0</v>
      </c>
      <c r="F142" s="58">
        <v>44378.0</v>
      </c>
      <c r="G142" s="56">
        <v>0.0</v>
      </c>
      <c r="H142" s="56">
        <v>31.51</v>
      </c>
      <c r="I142" s="59">
        <v>44393.0</v>
      </c>
      <c r="J142" s="56" t="s">
        <v>3594</v>
      </c>
      <c r="K142" s="15" t="s">
        <v>3735</v>
      </c>
      <c r="L142" s="60" t="str">
        <f t="shared" si="1"/>
        <v>Not in buy Zone</v>
      </c>
      <c r="M142" s="60" t="str">
        <f t="shared" si="2"/>
        <v>Not in buy Zone</v>
      </c>
      <c r="N142" s="33" t="str">
        <f t="shared" si="3"/>
        <v>No</v>
      </c>
    </row>
    <row r="143">
      <c r="A143" s="56" t="s">
        <v>171</v>
      </c>
      <c r="B143" s="56">
        <v>0.0</v>
      </c>
      <c r="C143" s="56">
        <v>0.0</v>
      </c>
      <c r="D143" s="56">
        <v>0.0</v>
      </c>
      <c r="E143" s="56">
        <v>378.95</v>
      </c>
      <c r="F143" s="58">
        <v>44391.0</v>
      </c>
      <c r="G143" s="56">
        <v>0.0</v>
      </c>
      <c r="H143" s="56">
        <v>386.22</v>
      </c>
      <c r="I143" s="59">
        <v>44393.0</v>
      </c>
      <c r="J143" s="56" t="s">
        <v>3594</v>
      </c>
      <c r="K143" s="15" t="s">
        <v>3736</v>
      </c>
      <c r="L143" s="60" t="str">
        <f t="shared" si="1"/>
        <v>Not in buy Zone</v>
      </c>
      <c r="M143" s="60" t="str">
        <f t="shared" si="2"/>
        <v>Not in buy Zone</v>
      </c>
      <c r="N143" s="33" t="str">
        <f t="shared" si="3"/>
        <v>No</v>
      </c>
    </row>
    <row r="144">
      <c r="A144" s="56" t="s">
        <v>172</v>
      </c>
      <c r="B144" s="56">
        <v>0.0</v>
      </c>
      <c r="C144" s="56">
        <v>0.0</v>
      </c>
      <c r="D144" s="56">
        <v>0.0</v>
      </c>
      <c r="E144" s="56">
        <v>109.7</v>
      </c>
      <c r="F144" s="58">
        <v>44392.0</v>
      </c>
      <c r="G144" s="56">
        <v>0.0</v>
      </c>
      <c r="H144" s="56">
        <v>109.17</v>
      </c>
      <c r="I144" s="59">
        <v>44393.0</v>
      </c>
      <c r="J144" s="56" t="s">
        <v>3594</v>
      </c>
      <c r="K144" s="15" t="s">
        <v>3737</v>
      </c>
      <c r="L144" s="60" t="str">
        <f t="shared" si="1"/>
        <v>Not in buy Zone</v>
      </c>
      <c r="M144" s="60" t="str">
        <f t="shared" si="2"/>
        <v>Not in buy Zone</v>
      </c>
      <c r="N144" s="33" t="str">
        <f t="shared" si="3"/>
        <v>No</v>
      </c>
    </row>
    <row r="145">
      <c r="A145" s="56" t="s">
        <v>173</v>
      </c>
      <c r="B145" s="56">
        <v>0.0</v>
      </c>
      <c r="C145" s="56">
        <v>0.0</v>
      </c>
      <c r="D145" s="56">
        <v>69.82</v>
      </c>
      <c r="E145" s="56">
        <v>0.0</v>
      </c>
      <c r="F145" s="58">
        <v>44371.0</v>
      </c>
      <c r="G145" s="56">
        <v>0.0</v>
      </c>
      <c r="H145" s="56">
        <v>68.24</v>
      </c>
      <c r="I145" s="59">
        <v>44393.0</v>
      </c>
      <c r="J145" s="56" t="s">
        <v>3594</v>
      </c>
      <c r="K145" s="15" t="s">
        <v>3738</v>
      </c>
      <c r="L145" s="60" t="str">
        <f t="shared" si="1"/>
        <v>Not in buy Zone</v>
      </c>
      <c r="M145" s="60" t="str">
        <f t="shared" si="2"/>
        <v>Not in buy Zone</v>
      </c>
      <c r="N145" s="33" t="str">
        <f t="shared" si="3"/>
        <v>No</v>
      </c>
    </row>
    <row r="146">
      <c r="A146" s="56" t="s">
        <v>174</v>
      </c>
      <c r="B146" s="56">
        <v>0.0</v>
      </c>
      <c r="C146" s="56">
        <v>0.0</v>
      </c>
      <c r="D146" s="56">
        <v>0.0</v>
      </c>
      <c r="E146" s="56">
        <v>43.05</v>
      </c>
      <c r="F146" s="58">
        <v>44390.0</v>
      </c>
      <c r="G146" s="56">
        <v>0.0</v>
      </c>
      <c r="H146" s="56">
        <v>41.81</v>
      </c>
      <c r="I146" s="59">
        <v>44393.0</v>
      </c>
      <c r="J146" s="56" t="s">
        <v>3594</v>
      </c>
      <c r="K146" s="15" t="s">
        <v>3739</v>
      </c>
      <c r="L146" s="60" t="str">
        <f t="shared" si="1"/>
        <v>Not in buy Zone</v>
      </c>
      <c r="M146" s="60" t="str">
        <f t="shared" si="2"/>
        <v>Not in buy Zone</v>
      </c>
      <c r="N146" s="33" t="str">
        <f t="shared" si="3"/>
        <v>No</v>
      </c>
    </row>
    <row r="147">
      <c r="A147" s="56" t="s">
        <v>175</v>
      </c>
      <c r="B147" s="56">
        <v>116.24</v>
      </c>
      <c r="C147" s="56">
        <v>0.0</v>
      </c>
      <c r="D147" s="56">
        <v>0.0</v>
      </c>
      <c r="E147" s="56">
        <v>0.0</v>
      </c>
      <c r="F147" s="58">
        <v>44393.0</v>
      </c>
      <c r="G147" s="56">
        <v>1.0</v>
      </c>
      <c r="H147" s="56">
        <v>116.24</v>
      </c>
      <c r="I147" s="59">
        <v>44393.0</v>
      </c>
      <c r="J147" s="56" t="s">
        <v>3594</v>
      </c>
      <c r="K147" s="15" t="s">
        <v>3740</v>
      </c>
      <c r="L147" s="60">
        <f t="shared" si="1"/>
        <v>116.8212</v>
      </c>
      <c r="M147" s="60">
        <f t="shared" si="2"/>
        <v>115.6588</v>
      </c>
      <c r="N147" s="33" t="str">
        <f t="shared" si="3"/>
        <v>Yes</v>
      </c>
    </row>
    <row r="148">
      <c r="A148" s="56" t="s">
        <v>176</v>
      </c>
      <c r="B148" s="56">
        <v>0.0</v>
      </c>
      <c r="C148" s="56">
        <v>0.0</v>
      </c>
      <c r="D148" s="56">
        <v>0.0</v>
      </c>
      <c r="E148" s="56">
        <v>86.42</v>
      </c>
      <c r="F148" s="58">
        <v>44343.0</v>
      </c>
      <c r="G148" s="56">
        <v>0.0</v>
      </c>
      <c r="H148" s="56">
        <v>81.72</v>
      </c>
      <c r="I148" s="59">
        <v>44393.0</v>
      </c>
      <c r="J148" s="56" t="s">
        <v>3594</v>
      </c>
      <c r="K148" s="15" t="s">
        <v>3741</v>
      </c>
      <c r="L148" s="60" t="str">
        <f t="shared" si="1"/>
        <v>Not in buy Zone</v>
      </c>
      <c r="M148" s="60" t="str">
        <f t="shared" si="2"/>
        <v>Not in buy Zone</v>
      </c>
      <c r="N148" s="33" t="str">
        <f t="shared" si="3"/>
        <v>No</v>
      </c>
    </row>
    <row r="149">
      <c r="A149" s="56" t="s">
        <v>177</v>
      </c>
      <c r="B149" s="56">
        <v>0.0</v>
      </c>
      <c r="C149" s="56">
        <v>0.0</v>
      </c>
      <c r="D149" s="56">
        <v>0.0</v>
      </c>
      <c r="E149" s="56">
        <v>103.03</v>
      </c>
      <c r="F149" s="58">
        <v>44365.0</v>
      </c>
      <c r="G149" s="56">
        <v>0.0</v>
      </c>
      <c r="H149" s="56">
        <v>98.62</v>
      </c>
      <c r="I149" s="59">
        <v>44393.0</v>
      </c>
      <c r="J149" s="56" t="s">
        <v>3594</v>
      </c>
      <c r="K149" s="15" t="s">
        <v>3742</v>
      </c>
      <c r="L149" s="60" t="str">
        <f t="shared" si="1"/>
        <v>Not in buy Zone</v>
      </c>
      <c r="M149" s="60" t="str">
        <f t="shared" si="2"/>
        <v>Not in buy Zone</v>
      </c>
      <c r="N149" s="33" t="str">
        <f t="shared" si="3"/>
        <v>No</v>
      </c>
    </row>
    <row r="150">
      <c r="A150" s="56" t="s">
        <v>178</v>
      </c>
      <c r="B150" s="56">
        <v>0.0</v>
      </c>
      <c r="C150" s="56">
        <v>0.0</v>
      </c>
      <c r="D150" s="56">
        <v>0.0</v>
      </c>
      <c r="E150" s="56">
        <v>106.5</v>
      </c>
      <c r="F150" s="58">
        <v>44362.0</v>
      </c>
      <c r="G150" s="56">
        <v>0.0</v>
      </c>
      <c r="H150" s="56">
        <v>89.9</v>
      </c>
      <c r="I150" s="59">
        <v>44393.0</v>
      </c>
      <c r="J150" s="56" t="s">
        <v>3594</v>
      </c>
      <c r="K150" s="15" t="s">
        <v>3743</v>
      </c>
      <c r="L150" s="60" t="str">
        <f t="shared" si="1"/>
        <v>Not in buy Zone</v>
      </c>
      <c r="M150" s="60" t="str">
        <f t="shared" si="2"/>
        <v>Not in buy Zone</v>
      </c>
      <c r="N150" s="33" t="str">
        <f t="shared" si="3"/>
        <v>No</v>
      </c>
    </row>
    <row r="151">
      <c r="A151" s="56" t="s">
        <v>179</v>
      </c>
      <c r="B151" s="56">
        <v>0.0</v>
      </c>
      <c r="C151" s="56">
        <v>0.0</v>
      </c>
      <c r="D151" s="56">
        <v>75.95</v>
      </c>
      <c r="E151" s="56">
        <v>0.0</v>
      </c>
      <c r="F151" s="58">
        <v>44385.0</v>
      </c>
      <c r="G151" s="56">
        <v>0.0</v>
      </c>
      <c r="H151" s="56">
        <v>77.16</v>
      </c>
      <c r="I151" s="59">
        <v>44393.0</v>
      </c>
      <c r="J151" s="56" t="s">
        <v>3594</v>
      </c>
      <c r="K151" s="15" t="s">
        <v>3744</v>
      </c>
      <c r="L151" s="60" t="str">
        <f t="shared" si="1"/>
        <v>Not in buy Zone</v>
      </c>
      <c r="M151" s="60" t="str">
        <f t="shared" si="2"/>
        <v>Not in buy Zone</v>
      </c>
      <c r="N151" s="33" t="str">
        <f t="shared" si="3"/>
        <v>No</v>
      </c>
    </row>
    <row r="152">
      <c r="A152" s="56" t="s">
        <v>180</v>
      </c>
      <c r="B152" s="56">
        <v>0.0</v>
      </c>
      <c r="C152" s="56">
        <v>0.0</v>
      </c>
      <c r="D152" s="56">
        <v>0.0</v>
      </c>
      <c r="E152" s="56">
        <v>45.9</v>
      </c>
      <c r="F152" s="58">
        <v>44361.0</v>
      </c>
      <c r="G152" s="56">
        <v>0.0</v>
      </c>
      <c r="H152" s="56">
        <v>40.06</v>
      </c>
      <c r="I152" s="59">
        <v>44393.0</v>
      </c>
      <c r="J152" s="56" t="s">
        <v>3594</v>
      </c>
      <c r="K152" s="15" t="s">
        <v>3745</v>
      </c>
      <c r="L152" s="60" t="str">
        <f t="shared" si="1"/>
        <v>Not in buy Zone</v>
      </c>
      <c r="M152" s="60" t="str">
        <f t="shared" si="2"/>
        <v>Not in buy Zone</v>
      </c>
      <c r="N152" s="33" t="str">
        <f t="shared" si="3"/>
        <v>No</v>
      </c>
    </row>
    <row r="153">
      <c r="A153" s="56" t="s">
        <v>181</v>
      </c>
      <c r="B153" s="56">
        <v>0.0</v>
      </c>
      <c r="C153" s="56">
        <v>0.0</v>
      </c>
      <c r="D153" s="56">
        <v>66.5</v>
      </c>
      <c r="E153" s="56">
        <v>0.0</v>
      </c>
      <c r="F153" s="58">
        <v>44383.0</v>
      </c>
      <c r="G153" s="56">
        <v>0.0</v>
      </c>
      <c r="H153" s="56">
        <v>65.58</v>
      </c>
      <c r="I153" s="59">
        <v>44393.0</v>
      </c>
      <c r="J153" s="56" t="s">
        <v>3594</v>
      </c>
      <c r="K153" s="15" t="s">
        <v>3746</v>
      </c>
      <c r="L153" s="60" t="str">
        <f t="shared" si="1"/>
        <v>Not in buy Zone</v>
      </c>
      <c r="M153" s="60" t="str">
        <f t="shared" si="2"/>
        <v>Not in buy Zone</v>
      </c>
      <c r="N153" s="33" t="str">
        <f t="shared" si="3"/>
        <v>No</v>
      </c>
    </row>
    <row r="154">
      <c r="A154" s="56" t="s">
        <v>182</v>
      </c>
      <c r="B154" s="56">
        <v>0.0</v>
      </c>
      <c r="C154" s="56">
        <v>0.0</v>
      </c>
      <c r="D154" s="56">
        <v>0.0</v>
      </c>
      <c r="E154" s="56">
        <v>30.5</v>
      </c>
      <c r="F154" s="58">
        <v>44391.0</v>
      </c>
      <c r="G154" s="56">
        <v>0.0</v>
      </c>
      <c r="H154" s="56">
        <v>30.15</v>
      </c>
      <c r="I154" s="59">
        <v>44393.0</v>
      </c>
      <c r="J154" s="56" t="s">
        <v>3594</v>
      </c>
      <c r="K154" s="15" t="s">
        <v>3747</v>
      </c>
      <c r="L154" s="60" t="str">
        <f t="shared" si="1"/>
        <v>Not in buy Zone</v>
      </c>
      <c r="M154" s="60" t="str">
        <f t="shared" si="2"/>
        <v>Not in buy Zone</v>
      </c>
      <c r="N154" s="33" t="str">
        <f t="shared" si="3"/>
        <v>No</v>
      </c>
    </row>
    <row r="155">
      <c r="A155" s="56" t="s">
        <v>183</v>
      </c>
      <c r="B155" s="56">
        <v>0.0</v>
      </c>
      <c r="C155" s="56">
        <v>0.0</v>
      </c>
      <c r="D155" s="56">
        <v>78.48</v>
      </c>
      <c r="E155" s="56">
        <v>0.0</v>
      </c>
      <c r="F155" s="58">
        <v>44386.0</v>
      </c>
      <c r="G155" s="56">
        <v>0.0</v>
      </c>
      <c r="H155" s="56">
        <v>76.21</v>
      </c>
      <c r="I155" s="59">
        <v>44393.0</v>
      </c>
      <c r="J155" s="56" t="s">
        <v>3594</v>
      </c>
      <c r="K155" s="15" t="s">
        <v>3748</v>
      </c>
      <c r="L155" s="60" t="str">
        <f t="shared" si="1"/>
        <v>Not in buy Zone</v>
      </c>
      <c r="M155" s="60" t="str">
        <f t="shared" si="2"/>
        <v>Not in buy Zone</v>
      </c>
      <c r="N155" s="33" t="str">
        <f t="shared" si="3"/>
        <v>No</v>
      </c>
    </row>
    <row r="156">
      <c r="A156" s="56" t="s">
        <v>184</v>
      </c>
      <c r="B156" s="56">
        <v>0.0</v>
      </c>
      <c r="C156" s="56">
        <v>0.0</v>
      </c>
      <c r="D156" s="56">
        <v>0.0</v>
      </c>
      <c r="E156" s="56">
        <v>34.05</v>
      </c>
      <c r="F156" s="58">
        <v>44384.0</v>
      </c>
      <c r="G156" s="56">
        <v>0.0</v>
      </c>
      <c r="H156" s="56">
        <v>25.3</v>
      </c>
      <c r="I156" s="59">
        <v>44393.0</v>
      </c>
      <c r="J156" s="56" t="s">
        <v>3594</v>
      </c>
      <c r="K156" s="15" t="s">
        <v>3749</v>
      </c>
      <c r="L156" s="60" t="str">
        <f t="shared" si="1"/>
        <v>Not in buy Zone</v>
      </c>
      <c r="M156" s="60" t="str">
        <f t="shared" si="2"/>
        <v>Not in buy Zone</v>
      </c>
      <c r="N156" s="33" t="str">
        <f t="shared" si="3"/>
        <v>No</v>
      </c>
    </row>
    <row r="157">
      <c r="A157" s="56" t="s">
        <v>185</v>
      </c>
      <c r="B157" s="56">
        <v>0.0</v>
      </c>
      <c r="C157" s="56">
        <v>0.0</v>
      </c>
      <c r="D157" s="56">
        <v>0.0</v>
      </c>
      <c r="E157" s="56">
        <v>106.59</v>
      </c>
      <c r="F157" s="58">
        <v>44390.0</v>
      </c>
      <c r="G157" s="56">
        <v>0.0</v>
      </c>
      <c r="H157" s="56">
        <v>104.64</v>
      </c>
      <c r="I157" s="59">
        <v>44393.0</v>
      </c>
      <c r="J157" s="56" t="s">
        <v>3594</v>
      </c>
      <c r="K157" s="15" t="s">
        <v>3750</v>
      </c>
      <c r="L157" s="60" t="str">
        <f t="shared" si="1"/>
        <v>Not in buy Zone</v>
      </c>
      <c r="M157" s="60" t="str">
        <f t="shared" si="2"/>
        <v>Not in buy Zone</v>
      </c>
      <c r="N157" s="33" t="str">
        <f t="shared" si="3"/>
        <v>No</v>
      </c>
    </row>
    <row r="158">
      <c r="A158" s="56" t="s">
        <v>186</v>
      </c>
      <c r="B158" s="56">
        <v>0.0</v>
      </c>
      <c r="C158" s="56">
        <v>0.0</v>
      </c>
      <c r="D158" s="56">
        <v>350.62</v>
      </c>
      <c r="E158" s="56">
        <v>0.0</v>
      </c>
      <c r="F158" s="58">
        <v>44371.0</v>
      </c>
      <c r="G158" s="56">
        <v>0.0</v>
      </c>
      <c r="H158" s="56">
        <v>342.49</v>
      </c>
      <c r="I158" s="59">
        <v>44393.0</v>
      </c>
      <c r="J158" s="56" t="s">
        <v>3594</v>
      </c>
      <c r="K158" s="15" t="s">
        <v>3751</v>
      </c>
      <c r="L158" s="60" t="str">
        <f t="shared" si="1"/>
        <v>Not in buy Zone</v>
      </c>
      <c r="M158" s="60" t="str">
        <f t="shared" si="2"/>
        <v>Not in buy Zone</v>
      </c>
      <c r="N158" s="33" t="str">
        <f t="shared" si="3"/>
        <v>No</v>
      </c>
    </row>
    <row r="159">
      <c r="A159" s="56" t="s">
        <v>187</v>
      </c>
      <c r="B159" s="56">
        <v>0.0</v>
      </c>
      <c r="C159" s="56">
        <v>0.0</v>
      </c>
      <c r="D159" s="56">
        <v>0.0</v>
      </c>
      <c r="E159" s="56">
        <v>99.65</v>
      </c>
      <c r="F159" s="58">
        <v>44364.0</v>
      </c>
      <c r="G159" s="56">
        <v>0.0</v>
      </c>
      <c r="H159" s="56">
        <v>92.29</v>
      </c>
      <c r="I159" s="59">
        <v>44393.0</v>
      </c>
      <c r="J159" s="56" t="s">
        <v>3594</v>
      </c>
      <c r="K159" s="15" t="s">
        <v>3752</v>
      </c>
      <c r="L159" s="60" t="str">
        <f t="shared" si="1"/>
        <v>Not in buy Zone</v>
      </c>
      <c r="M159" s="60" t="str">
        <f t="shared" si="2"/>
        <v>Not in buy Zone</v>
      </c>
      <c r="N159" s="33" t="str">
        <f t="shared" si="3"/>
        <v>No</v>
      </c>
    </row>
    <row r="160">
      <c r="A160" s="56" t="s">
        <v>188</v>
      </c>
      <c r="B160" s="56">
        <v>0.0</v>
      </c>
      <c r="C160" s="56">
        <v>0.0</v>
      </c>
      <c r="D160" s="56">
        <v>125.26</v>
      </c>
      <c r="E160" s="56">
        <v>0.0</v>
      </c>
      <c r="F160" s="58">
        <v>44390.0</v>
      </c>
      <c r="G160" s="56">
        <v>0.0</v>
      </c>
      <c r="H160" s="56">
        <v>120.43</v>
      </c>
      <c r="I160" s="59">
        <v>44393.0</v>
      </c>
      <c r="J160" s="56" t="s">
        <v>3594</v>
      </c>
      <c r="K160" s="15" t="s">
        <v>3753</v>
      </c>
      <c r="L160" s="60" t="str">
        <f t="shared" si="1"/>
        <v>Not in buy Zone</v>
      </c>
      <c r="M160" s="60" t="str">
        <f t="shared" si="2"/>
        <v>Not in buy Zone</v>
      </c>
      <c r="N160" s="33" t="str">
        <f t="shared" si="3"/>
        <v>No</v>
      </c>
    </row>
    <row r="161">
      <c r="A161" s="56" t="s">
        <v>189</v>
      </c>
      <c r="B161" s="56">
        <v>0.0</v>
      </c>
      <c r="C161" s="56">
        <v>0.0</v>
      </c>
      <c r="D161" s="56">
        <v>206.0</v>
      </c>
      <c r="E161" s="56">
        <v>0.0</v>
      </c>
      <c r="F161" s="58">
        <v>44354.0</v>
      </c>
      <c r="G161" s="56">
        <v>0.0</v>
      </c>
      <c r="H161" s="56">
        <v>222.17</v>
      </c>
      <c r="I161" s="59">
        <v>44393.0</v>
      </c>
      <c r="J161" s="56" t="s">
        <v>3594</v>
      </c>
      <c r="K161" s="15" t="s">
        <v>3754</v>
      </c>
      <c r="L161" s="60" t="str">
        <f t="shared" si="1"/>
        <v>Not in buy Zone</v>
      </c>
      <c r="M161" s="60" t="str">
        <f t="shared" si="2"/>
        <v>Not in buy Zone</v>
      </c>
      <c r="N161" s="33" t="str">
        <f t="shared" si="3"/>
        <v>No</v>
      </c>
    </row>
    <row r="162">
      <c r="A162" s="56" t="s">
        <v>190</v>
      </c>
      <c r="B162" s="56">
        <v>0.0</v>
      </c>
      <c r="C162" s="56">
        <v>0.0</v>
      </c>
      <c r="D162" s="56">
        <v>130.24</v>
      </c>
      <c r="E162" s="56">
        <v>0.0</v>
      </c>
      <c r="F162" s="58">
        <v>44369.0</v>
      </c>
      <c r="G162" s="56">
        <v>0.0</v>
      </c>
      <c r="H162" s="56">
        <v>134.52</v>
      </c>
      <c r="I162" s="59">
        <v>44393.0</v>
      </c>
      <c r="J162" s="56" t="s">
        <v>3594</v>
      </c>
      <c r="K162" s="15" t="s">
        <v>3755</v>
      </c>
      <c r="L162" s="60" t="str">
        <f t="shared" si="1"/>
        <v>Not in buy Zone</v>
      </c>
      <c r="M162" s="60" t="str">
        <f t="shared" si="2"/>
        <v>Not in buy Zone</v>
      </c>
      <c r="N162" s="33" t="str">
        <f t="shared" si="3"/>
        <v>No</v>
      </c>
    </row>
    <row r="163">
      <c r="A163" s="56" t="s">
        <v>191</v>
      </c>
      <c r="B163" s="56">
        <v>0.0</v>
      </c>
      <c r="C163" s="56">
        <v>0.0</v>
      </c>
      <c r="D163" s="56">
        <v>0.0</v>
      </c>
      <c r="E163" s="56">
        <v>86.51</v>
      </c>
      <c r="F163" s="58">
        <v>44390.0</v>
      </c>
      <c r="G163" s="56">
        <v>0.0</v>
      </c>
      <c r="H163" s="56">
        <v>86.3</v>
      </c>
      <c r="I163" s="59">
        <v>44393.0</v>
      </c>
      <c r="J163" s="56" t="s">
        <v>3594</v>
      </c>
      <c r="K163" s="15" t="s">
        <v>3756</v>
      </c>
      <c r="L163" s="60" t="str">
        <f t="shared" si="1"/>
        <v>Not in buy Zone</v>
      </c>
      <c r="M163" s="60" t="str">
        <f t="shared" si="2"/>
        <v>Not in buy Zone</v>
      </c>
      <c r="N163" s="33" t="str">
        <f t="shared" si="3"/>
        <v>No</v>
      </c>
    </row>
    <row r="164">
      <c r="A164" s="56" t="s">
        <v>192</v>
      </c>
      <c r="B164" s="56">
        <v>0.0</v>
      </c>
      <c r="C164" s="56">
        <v>0.0</v>
      </c>
      <c r="D164" s="56">
        <v>257.08</v>
      </c>
      <c r="E164" s="56">
        <v>0.0</v>
      </c>
      <c r="F164" s="58">
        <v>44364.0</v>
      </c>
      <c r="G164" s="56">
        <v>0.0</v>
      </c>
      <c r="H164" s="56">
        <v>284.79</v>
      </c>
      <c r="I164" s="59">
        <v>44393.0</v>
      </c>
      <c r="J164" s="56" t="s">
        <v>3594</v>
      </c>
      <c r="K164" s="15" t="s">
        <v>3757</v>
      </c>
      <c r="L164" s="60" t="str">
        <f t="shared" si="1"/>
        <v>Not in buy Zone</v>
      </c>
      <c r="M164" s="60" t="str">
        <f t="shared" si="2"/>
        <v>Not in buy Zone</v>
      </c>
      <c r="N164" s="33" t="str">
        <f t="shared" si="3"/>
        <v>No</v>
      </c>
    </row>
    <row r="165">
      <c r="A165" s="56" t="s">
        <v>193</v>
      </c>
      <c r="B165" s="56">
        <v>0.0</v>
      </c>
      <c r="C165" s="56">
        <v>0.0</v>
      </c>
      <c r="D165" s="56">
        <v>344.95</v>
      </c>
      <c r="E165" s="56">
        <v>0.0</v>
      </c>
      <c r="F165" s="58">
        <v>44377.0</v>
      </c>
      <c r="G165" s="56">
        <v>0.0</v>
      </c>
      <c r="H165" s="56">
        <v>346.74</v>
      </c>
      <c r="I165" s="59">
        <v>44393.0</v>
      </c>
      <c r="J165" s="56" t="s">
        <v>3594</v>
      </c>
      <c r="K165" s="15" t="s">
        <v>3758</v>
      </c>
      <c r="L165" s="60" t="str">
        <f t="shared" si="1"/>
        <v>Not in buy Zone</v>
      </c>
      <c r="M165" s="60" t="str">
        <f t="shared" si="2"/>
        <v>Not in buy Zone</v>
      </c>
      <c r="N165" s="33" t="str">
        <f t="shared" si="3"/>
        <v>No</v>
      </c>
    </row>
    <row r="166">
      <c r="A166" s="56" t="s">
        <v>194</v>
      </c>
      <c r="B166" s="56">
        <v>0.0</v>
      </c>
      <c r="C166" s="56">
        <v>0.0</v>
      </c>
      <c r="D166" s="56">
        <v>177.04</v>
      </c>
      <c r="E166" s="56">
        <v>0.0</v>
      </c>
      <c r="F166" s="58">
        <v>44386.0</v>
      </c>
      <c r="G166" s="56">
        <v>0.0</v>
      </c>
      <c r="H166" s="56">
        <v>179.31</v>
      </c>
      <c r="I166" s="59">
        <v>44393.0</v>
      </c>
      <c r="J166" s="56" t="s">
        <v>3594</v>
      </c>
      <c r="K166" s="15" t="s">
        <v>3759</v>
      </c>
      <c r="L166" s="60" t="str">
        <f t="shared" si="1"/>
        <v>Not in buy Zone</v>
      </c>
      <c r="M166" s="60" t="str">
        <f t="shared" si="2"/>
        <v>Not in buy Zone</v>
      </c>
      <c r="N166" s="33" t="str">
        <f t="shared" si="3"/>
        <v>No</v>
      </c>
    </row>
    <row r="167">
      <c r="A167" s="56" t="s">
        <v>195</v>
      </c>
      <c r="B167" s="56">
        <v>0.0</v>
      </c>
      <c r="C167" s="56">
        <v>0.0</v>
      </c>
      <c r="D167" s="56">
        <v>0.0</v>
      </c>
      <c r="E167" s="56">
        <v>28.46</v>
      </c>
      <c r="F167" s="58">
        <v>44392.0</v>
      </c>
      <c r="G167" s="56">
        <v>0.0</v>
      </c>
      <c r="H167" s="56">
        <v>28.18</v>
      </c>
      <c r="I167" s="59">
        <v>44393.0</v>
      </c>
      <c r="J167" s="56" t="s">
        <v>3594</v>
      </c>
      <c r="K167" s="15" t="s">
        <v>3760</v>
      </c>
      <c r="L167" s="60" t="str">
        <f t="shared" si="1"/>
        <v>Not in buy Zone</v>
      </c>
      <c r="M167" s="60" t="str">
        <f t="shared" si="2"/>
        <v>Not in buy Zone</v>
      </c>
      <c r="N167" s="33" t="str">
        <f t="shared" si="3"/>
        <v>No</v>
      </c>
    </row>
    <row r="168">
      <c r="A168" s="56" t="s">
        <v>196</v>
      </c>
      <c r="B168" s="56">
        <v>0.0</v>
      </c>
      <c r="C168" s="56">
        <v>0.0</v>
      </c>
      <c r="D168" s="56">
        <v>0.0</v>
      </c>
      <c r="E168" s="56">
        <v>40.25</v>
      </c>
      <c r="F168" s="58">
        <v>44390.0</v>
      </c>
      <c r="G168" s="56">
        <v>0.0</v>
      </c>
      <c r="H168" s="56">
        <v>39.45</v>
      </c>
      <c r="I168" s="59">
        <v>44393.0</v>
      </c>
      <c r="J168" s="56" t="s">
        <v>3594</v>
      </c>
      <c r="K168" s="15" t="s">
        <v>3761</v>
      </c>
      <c r="L168" s="60" t="str">
        <f t="shared" si="1"/>
        <v>Not in buy Zone</v>
      </c>
      <c r="M168" s="60" t="str">
        <f t="shared" si="2"/>
        <v>Not in buy Zone</v>
      </c>
      <c r="N168" s="33" t="str">
        <f t="shared" si="3"/>
        <v>No</v>
      </c>
    </row>
    <row r="169">
      <c r="A169" s="56" t="s">
        <v>197</v>
      </c>
      <c r="B169" s="56">
        <v>0.0</v>
      </c>
      <c r="C169" s="56">
        <v>0.0</v>
      </c>
      <c r="D169" s="56">
        <v>0.0</v>
      </c>
      <c r="E169" s="56">
        <v>48.26</v>
      </c>
      <c r="F169" s="58">
        <v>44385.0</v>
      </c>
      <c r="G169" s="56">
        <v>0.0</v>
      </c>
      <c r="H169" s="56">
        <v>43.79</v>
      </c>
      <c r="I169" s="59">
        <v>44393.0</v>
      </c>
      <c r="J169" s="56" t="s">
        <v>3594</v>
      </c>
      <c r="K169" s="15" t="s">
        <v>3762</v>
      </c>
      <c r="L169" s="60" t="str">
        <f t="shared" si="1"/>
        <v>Not in buy Zone</v>
      </c>
      <c r="M169" s="60" t="str">
        <f t="shared" si="2"/>
        <v>Not in buy Zone</v>
      </c>
      <c r="N169" s="33" t="str">
        <f t="shared" si="3"/>
        <v>No</v>
      </c>
    </row>
    <row r="170">
      <c r="A170" s="56" t="s">
        <v>198</v>
      </c>
      <c r="B170" s="56">
        <v>0.0</v>
      </c>
      <c r="C170" s="56">
        <v>0.0</v>
      </c>
      <c r="D170" s="56">
        <v>157.68</v>
      </c>
      <c r="E170" s="56">
        <v>0.0</v>
      </c>
      <c r="F170" s="58">
        <v>44389.0</v>
      </c>
      <c r="G170" s="56">
        <v>0.0</v>
      </c>
      <c r="H170" s="56">
        <v>157.32</v>
      </c>
      <c r="I170" s="59">
        <v>44393.0</v>
      </c>
      <c r="J170" s="56" t="s">
        <v>3594</v>
      </c>
      <c r="K170" s="15" t="s">
        <v>3763</v>
      </c>
      <c r="L170" s="60" t="str">
        <f t="shared" si="1"/>
        <v>Not in buy Zone</v>
      </c>
      <c r="M170" s="60" t="str">
        <f t="shared" si="2"/>
        <v>Not in buy Zone</v>
      </c>
      <c r="N170" s="33" t="str">
        <f t="shared" si="3"/>
        <v>No</v>
      </c>
    </row>
    <row r="171">
      <c r="A171" s="56" t="s">
        <v>199</v>
      </c>
      <c r="B171" s="56">
        <v>0.0</v>
      </c>
      <c r="C171" s="56">
        <v>0.0</v>
      </c>
      <c r="D171" s="56">
        <v>101.18</v>
      </c>
      <c r="E171" s="56">
        <v>0.0</v>
      </c>
      <c r="F171" s="58">
        <v>44358.0</v>
      </c>
      <c r="G171" s="56">
        <v>0.0</v>
      </c>
      <c r="H171" s="56">
        <v>98.19</v>
      </c>
      <c r="I171" s="59">
        <v>44393.0</v>
      </c>
      <c r="J171" s="56" t="s">
        <v>3594</v>
      </c>
      <c r="K171" s="15" t="s">
        <v>3764</v>
      </c>
      <c r="L171" s="60" t="str">
        <f t="shared" si="1"/>
        <v>Not in buy Zone</v>
      </c>
      <c r="M171" s="60" t="str">
        <f t="shared" si="2"/>
        <v>Not in buy Zone</v>
      </c>
      <c r="N171" s="33" t="str">
        <f t="shared" si="3"/>
        <v>No</v>
      </c>
    </row>
    <row r="172">
      <c r="A172" s="56" t="s">
        <v>200</v>
      </c>
      <c r="B172" s="56">
        <v>0.0</v>
      </c>
      <c r="C172" s="56">
        <v>0.0</v>
      </c>
      <c r="D172" s="56">
        <v>0.0</v>
      </c>
      <c r="E172" s="56">
        <v>275.43</v>
      </c>
      <c r="F172" s="58">
        <v>44391.0</v>
      </c>
      <c r="G172" s="56">
        <v>0.0</v>
      </c>
      <c r="H172" s="56">
        <v>282.05</v>
      </c>
      <c r="I172" s="59">
        <v>44393.0</v>
      </c>
      <c r="J172" s="56" t="s">
        <v>3594</v>
      </c>
      <c r="K172" s="15" t="s">
        <v>3765</v>
      </c>
      <c r="L172" s="60" t="str">
        <f t="shared" si="1"/>
        <v>Not in buy Zone</v>
      </c>
      <c r="M172" s="60" t="str">
        <f t="shared" si="2"/>
        <v>Not in buy Zone</v>
      </c>
      <c r="N172" s="33" t="str">
        <f t="shared" si="3"/>
        <v>No</v>
      </c>
    </row>
    <row r="173">
      <c r="A173" s="56" t="s">
        <v>201</v>
      </c>
      <c r="B173" s="56">
        <v>0.0</v>
      </c>
      <c r="C173" s="56">
        <v>0.0</v>
      </c>
      <c r="D173" s="56">
        <v>150.96</v>
      </c>
      <c r="E173" s="56">
        <v>0.0</v>
      </c>
      <c r="F173" s="58">
        <v>44378.0</v>
      </c>
      <c r="G173" s="56">
        <v>0.0</v>
      </c>
      <c r="H173" s="56">
        <v>154.95</v>
      </c>
      <c r="I173" s="59">
        <v>44393.0</v>
      </c>
      <c r="J173" s="56" t="s">
        <v>3594</v>
      </c>
      <c r="K173" s="15" t="s">
        <v>3766</v>
      </c>
      <c r="L173" s="60" t="str">
        <f t="shared" si="1"/>
        <v>Not in buy Zone</v>
      </c>
      <c r="M173" s="60" t="str">
        <f t="shared" si="2"/>
        <v>Not in buy Zone</v>
      </c>
      <c r="N173" s="33" t="str">
        <f t="shared" si="3"/>
        <v>No</v>
      </c>
    </row>
    <row r="174">
      <c r="A174" s="56" t="s">
        <v>202</v>
      </c>
      <c r="B174" s="56">
        <v>0.0</v>
      </c>
      <c r="C174" s="56">
        <v>0.0</v>
      </c>
      <c r="D174" s="56">
        <v>0.0</v>
      </c>
      <c r="E174" s="56">
        <v>68.66</v>
      </c>
      <c r="F174" s="58">
        <v>44343.0</v>
      </c>
      <c r="G174" s="56">
        <v>0.0</v>
      </c>
      <c r="H174" s="56">
        <v>60.01</v>
      </c>
      <c r="I174" s="59">
        <v>44393.0</v>
      </c>
      <c r="J174" s="56" t="s">
        <v>3594</v>
      </c>
      <c r="K174" s="15" t="s">
        <v>3767</v>
      </c>
      <c r="L174" s="60" t="str">
        <f t="shared" si="1"/>
        <v>Not in buy Zone</v>
      </c>
      <c r="M174" s="60" t="str">
        <f t="shared" si="2"/>
        <v>Not in buy Zone</v>
      </c>
      <c r="N174" s="33" t="str">
        <f t="shared" si="3"/>
        <v>No</v>
      </c>
    </row>
    <row r="175">
      <c r="A175" s="56" t="s">
        <v>203</v>
      </c>
      <c r="B175" s="56">
        <v>0.0</v>
      </c>
      <c r="C175" s="56">
        <v>0.0</v>
      </c>
      <c r="D175" s="56">
        <v>442.71</v>
      </c>
      <c r="E175" s="56">
        <v>0.0</v>
      </c>
      <c r="F175" s="58">
        <v>44356.0</v>
      </c>
      <c r="G175" s="56">
        <v>0.0</v>
      </c>
      <c r="H175" s="56">
        <v>482.68</v>
      </c>
      <c r="I175" s="59">
        <v>44393.0</v>
      </c>
      <c r="J175" s="56" t="s">
        <v>3594</v>
      </c>
      <c r="K175" s="15" t="s">
        <v>3768</v>
      </c>
      <c r="L175" s="60" t="str">
        <f t="shared" si="1"/>
        <v>Not in buy Zone</v>
      </c>
      <c r="M175" s="60" t="str">
        <f t="shared" si="2"/>
        <v>Not in buy Zone</v>
      </c>
      <c r="N175" s="33" t="str">
        <f t="shared" si="3"/>
        <v>No</v>
      </c>
    </row>
    <row r="176">
      <c r="A176" s="56" t="s">
        <v>204</v>
      </c>
      <c r="B176" s="56">
        <v>0.0</v>
      </c>
      <c r="C176" s="56">
        <v>0.0</v>
      </c>
      <c r="D176" s="56">
        <v>50.38</v>
      </c>
      <c r="E176" s="56">
        <v>0.0</v>
      </c>
      <c r="F176" s="58">
        <v>44389.0</v>
      </c>
      <c r="G176" s="56">
        <v>0.0</v>
      </c>
      <c r="H176" s="56">
        <v>50.4</v>
      </c>
      <c r="I176" s="59">
        <v>44393.0</v>
      </c>
      <c r="J176" s="56" t="s">
        <v>3594</v>
      </c>
      <c r="K176" s="15" t="s">
        <v>3769</v>
      </c>
      <c r="L176" s="60" t="str">
        <f t="shared" si="1"/>
        <v>Not in buy Zone</v>
      </c>
      <c r="M176" s="60" t="str">
        <f t="shared" si="2"/>
        <v>Not in buy Zone</v>
      </c>
      <c r="N176" s="33" t="str">
        <f t="shared" si="3"/>
        <v>No</v>
      </c>
    </row>
    <row r="177">
      <c r="A177" s="56" t="s">
        <v>205</v>
      </c>
      <c r="B177" s="56">
        <v>0.0</v>
      </c>
      <c r="C177" s="56">
        <v>141.74</v>
      </c>
      <c r="D177" s="56">
        <v>0.0</v>
      </c>
      <c r="E177" s="56">
        <v>0.0</v>
      </c>
      <c r="F177" s="58">
        <v>44393.0</v>
      </c>
      <c r="G177" s="56">
        <v>-1.0</v>
      </c>
      <c r="H177" s="56">
        <v>141.74</v>
      </c>
      <c r="I177" s="59">
        <v>44393.0</v>
      </c>
      <c r="J177" s="56" t="s">
        <v>3594</v>
      </c>
      <c r="K177" s="15" t="s">
        <v>3770</v>
      </c>
      <c r="L177" s="60" t="str">
        <f t="shared" si="1"/>
        <v>Not in buy Zone</v>
      </c>
      <c r="M177" s="60" t="str">
        <f t="shared" si="2"/>
        <v>Not in buy Zone</v>
      </c>
      <c r="N177" s="33" t="str">
        <f t="shared" si="3"/>
        <v>No</v>
      </c>
    </row>
    <row r="178">
      <c r="A178" s="56" t="s">
        <v>206</v>
      </c>
      <c r="B178" s="56">
        <v>0.0</v>
      </c>
      <c r="C178" s="56">
        <v>0.0</v>
      </c>
      <c r="D178" s="56">
        <v>0.0</v>
      </c>
      <c r="E178" s="56">
        <v>137.83</v>
      </c>
      <c r="F178" s="58">
        <v>44309.0</v>
      </c>
      <c r="G178" s="56">
        <v>0.0</v>
      </c>
      <c r="H178" s="56">
        <v>117.05</v>
      </c>
      <c r="I178" s="59">
        <v>44393.0</v>
      </c>
      <c r="J178" s="56" t="s">
        <v>3594</v>
      </c>
      <c r="K178" s="15" t="s">
        <v>3771</v>
      </c>
      <c r="L178" s="60" t="str">
        <f t="shared" si="1"/>
        <v>Not in buy Zone</v>
      </c>
      <c r="M178" s="60" t="str">
        <f t="shared" si="2"/>
        <v>Not in buy Zone</v>
      </c>
      <c r="N178" s="33" t="str">
        <f t="shared" si="3"/>
        <v>No</v>
      </c>
    </row>
    <row r="179">
      <c r="A179" s="56" t="s">
        <v>207</v>
      </c>
      <c r="B179" s="56">
        <v>0.0</v>
      </c>
      <c r="C179" s="56">
        <v>0.0</v>
      </c>
      <c r="D179" s="56">
        <v>100.66</v>
      </c>
      <c r="E179" s="56">
        <v>0.0</v>
      </c>
      <c r="F179" s="58">
        <v>44386.0</v>
      </c>
      <c r="G179" s="56">
        <v>0.0</v>
      </c>
      <c r="H179" s="56">
        <v>104.76</v>
      </c>
      <c r="I179" s="59">
        <v>44393.0</v>
      </c>
      <c r="J179" s="56" t="s">
        <v>3594</v>
      </c>
      <c r="K179" s="15" t="s">
        <v>3772</v>
      </c>
      <c r="L179" s="60" t="str">
        <f t="shared" si="1"/>
        <v>Not in buy Zone</v>
      </c>
      <c r="M179" s="60" t="str">
        <f t="shared" si="2"/>
        <v>Not in buy Zone</v>
      </c>
      <c r="N179" s="33" t="str">
        <f t="shared" si="3"/>
        <v>No</v>
      </c>
    </row>
    <row r="180">
      <c r="A180" s="56" t="s">
        <v>208</v>
      </c>
      <c r="B180" s="56">
        <v>0.0</v>
      </c>
      <c r="C180" s="56">
        <v>0.0</v>
      </c>
      <c r="D180" s="56">
        <v>0.0</v>
      </c>
      <c r="E180" s="56">
        <v>120.39</v>
      </c>
      <c r="F180" s="58">
        <v>44370.0</v>
      </c>
      <c r="G180" s="56">
        <v>0.0</v>
      </c>
      <c r="H180" s="56">
        <v>119.37</v>
      </c>
      <c r="I180" s="59">
        <v>44393.0</v>
      </c>
      <c r="J180" s="56" t="s">
        <v>3594</v>
      </c>
      <c r="K180" s="15" t="s">
        <v>3773</v>
      </c>
      <c r="L180" s="60" t="str">
        <f t="shared" si="1"/>
        <v>Not in buy Zone</v>
      </c>
      <c r="M180" s="60" t="str">
        <f t="shared" si="2"/>
        <v>Not in buy Zone</v>
      </c>
      <c r="N180" s="33" t="str">
        <f t="shared" si="3"/>
        <v>No</v>
      </c>
    </row>
    <row r="181">
      <c r="A181" s="56" t="s">
        <v>209</v>
      </c>
      <c r="B181" s="56">
        <v>0.0</v>
      </c>
      <c r="C181" s="56">
        <v>0.0</v>
      </c>
      <c r="D181" s="56">
        <v>0.0</v>
      </c>
      <c r="E181" s="56">
        <v>28.98</v>
      </c>
      <c r="F181" s="58">
        <v>44361.0</v>
      </c>
      <c r="G181" s="56">
        <v>0.0</v>
      </c>
      <c r="H181" s="56">
        <v>25.78</v>
      </c>
      <c r="I181" s="59">
        <v>44393.0</v>
      </c>
      <c r="J181" s="56" t="s">
        <v>3594</v>
      </c>
      <c r="K181" s="15" t="s">
        <v>3774</v>
      </c>
      <c r="L181" s="60" t="str">
        <f t="shared" si="1"/>
        <v>Not in buy Zone</v>
      </c>
      <c r="M181" s="60" t="str">
        <f t="shared" si="2"/>
        <v>Not in buy Zone</v>
      </c>
      <c r="N181" s="33" t="str">
        <f t="shared" si="3"/>
        <v>No</v>
      </c>
    </row>
    <row r="182">
      <c r="A182" s="56" t="s">
        <v>210</v>
      </c>
      <c r="B182" s="56">
        <v>0.0</v>
      </c>
      <c r="C182" s="56">
        <v>0.0</v>
      </c>
      <c r="D182" s="56">
        <v>0.0</v>
      </c>
      <c r="E182" s="56">
        <v>37.89</v>
      </c>
      <c r="F182" s="58">
        <v>44364.0</v>
      </c>
      <c r="G182" s="56">
        <v>0.0</v>
      </c>
      <c r="H182" s="56">
        <v>38.29</v>
      </c>
      <c r="I182" s="59">
        <v>44393.0</v>
      </c>
      <c r="J182" s="56" t="s">
        <v>3594</v>
      </c>
      <c r="K182" s="15" t="s">
        <v>3775</v>
      </c>
      <c r="L182" s="60" t="str">
        <f t="shared" si="1"/>
        <v>Not in buy Zone</v>
      </c>
      <c r="M182" s="60" t="str">
        <f t="shared" si="2"/>
        <v>Not in buy Zone</v>
      </c>
      <c r="N182" s="33" t="str">
        <f t="shared" si="3"/>
        <v>No</v>
      </c>
    </row>
    <row r="183">
      <c r="A183" s="56" t="s">
        <v>211</v>
      </c>
      <c r="B183" s="56">
        <v>0.0</v>
      </c>
      <c r="C183" s="56">
        <v>448.69</v>
      </c>
      <c r="D183" s="56">
        <v>0.0</v>
      </c>
      <c r="E183" s="56">
        <v>0.0</v>
      </c>
      <c r="F183" s="58">
        <v>44393.0</v>
      </c>
      <c r="G183" s="56">
        <v>-1.0</v>
      </c>
      <c r="H183" s="56">
        <v>448.69</v>
      </c>
      <c r="I183" s="59">
        <v>44393.0</v>
      </c>
      <c r="J183" s="56" t="s">
        <v>3594</v>
      </c>
      <c r="K183" s="15" t="s">
        <v>3776</v>
      </c>
      <c r="L183" s="60" t="str">
        <f t="shared" si="1"/>
        <v>Not in buy Zone</v>
      </c>
      <c r="M183" s="60" t="str">
        <f t="shared" si="2"/>
        <v>Not in buy Zone</v>
      </c>
      <c r="N183" s="33" t="str">
        <f t="shared" si="3"/>
        <v>No</v>
      </c>
    </row>
    <row r="184">
      <c r="A184" s="56" t="s">
        <v>212</v>
      </c>
      <c r="B184" s="56">
        <v>0.0</v>
      </c>
      <c r="C184" s="56">
        <v>0.0</v>
      </c>
      <c r="D184" s="56">
        <v>143.12</v>
      </c>
      <c r="E184" s="56">
        <v>0.0</v>
      </c>
      <c r="F184" s="58">
        <v>44391.0</v>
      </c>
      <c r="G184" s="56">
        <v>0.0</v>
      </c>
      <c r="H184" s="56">
        <v>143.1</v>
      </c>
      <c r="I184" s="59">
        <v>44393.0</v>
      </c>
      <c r="J184" s="56" t="s">
        <v>3594</v>
      </c>
      <c r="K184" s="15" t="s">
        <v>3777</v>
      </c>
      <c r="L184" s="60" t="str">
        <f t="shared" si="1"/>
        <v>Not in buy Zone</v>
      </c>
      <c r="M184" s="60" t="str">
        <f t="shared" si="2"/>
        <v>Not in buy Zone</v>
      </c>
      <c r="N184" s="33" t="str">
        <f t="shared" si="3"/>
        <v>No</v>
      </c>
    </row>
    <row r="185">
      <c r="A185" s="56" t="s">
        <v>213</v>
      </c>
      <c r="B185" s="56">
        <v>0.0</v>
      </c>
      <c r="C185" s="56">
        <v>0.0</v>
      </c>
      <c r="D185" s="56">
        <v>0.0</v>
      </c>
      <c r="E185" s="56">
        <v>68.97</v>
      </c>
      <c r="F185" s="58">
        <v>44389.0</v>
      </c>
      <c r="G185" s="56">
        <v>0.0</v>
      </c>
      <c r="H185" s="56">
        <v>68.18</v>
      </c>
      <c r="I185" s="59">
        <v>44393.0</v>
      </c>
      <c r="J185" s="56" t="s">
        <v>3594</v>
      </c>
      <c r="K185" s="15" t="s">
        <v>3778</v>
      </c>
      <c r="L185" s="60" t="str">
        <f t="shared" si="1"/>
        <v>Not in buy Zone</v>
      </c>
      <c r="M185" s="60" t="str">
        <f t="shared" si="2"/>
        <v>Not in buy Zone</v>
      </c>
      <c r="N185" s="33" t="str">
        <f t="shared" si="3"/>
        <v>No</v>
      </c>
    </row>
    <row r="186">
      <c r="A186" s="56" t="s">
        <v>214</v>
      </c>
      <c r="B186" s="56">
        <v>0.0</v>
      </c>
      <c r="C186" s="56">
        <v>0.0</v>
      </c>
      <c r="D186" s="56">
        <v>210.8</v>
      </c>
      <c r="E186" s="56">
        <v>0.0</v>
      </c>
      <c r="F186" s="58">
        <v>44379.0</v>
      </c>
      <c r="G186" s="56">
        <v>0.0</v>
      </c>
      <c r="H186" s="56">
        <v>215.28</v>
      </c>
      <c r="I186" s="59">
        <v>44393.0</v>
      </c>
      <c r="J186" s="56" t="s">
        <v>3594</v>
      </c>
      <c r="K186" s="15" t="s">
        <v>3779</v>
      </c>
      <c r="L186" s="60" t="str">
        <f t="shared" si="1"/>
        <v>Not in buy Zone</v>
      </c>
      <c r="M186" s="60" t="str">
        <f t="shared" si="2"/>
        <v>Not in buy Zone</v>
      </c>
      <c r="N186" s="33" t="str">
        <f t="shared" si="3"/>
        <v>No</v>
      </c>
    </row>
    <row r="187">
      <c r="A187" s="56" t="s">
        <v>215</v>
      </c>
      <c r="B187" s="56">
        <v>0.0</v>
      </c>
      <c r="C187" s="56">
        <v>0.0</v>
      </c>
      <c r="D187" s="56">
        <v>73.19</v>
      </c>
      <c r="E187" s="56">
        <v>0.0</v>
      </c>
      <c r="F187" s="58">
        <v>44391.0</v>
      </c>
      <c r="G187" s="56">
        <v>0.0</v>
      </c>
      <c r="H187" s="56">
        <v>74.93</v>
      </c>
      <c r="I187" s="59">
        <v>44393.0</v>
      </c>
      <c r="J187" s="56" t="s">
        <v>3594</v>
      </c>
      <c r="K187" s="15" t="s">
        <v>3780</v>
      </c>
      <c r="L187" s="60" t="str">
        <f t="shared" si="1"/>
        <v>Not in buy Zone</v>
      </c>
      <c r="M187" s="60" t="str">
        <f t="shared" si="2"/>
        <v>Not in buy Zone</v>
      </c>
      <c r="N187" s="33" t="str">
        <f t="shared" si="3"/>
        <v>No</v>
      </c>
    </row>
    <row r="188">
      <c r="A188" s="56" t="s">
        <v>216</v>
      </c>
      <c r="B188" s="56">
        <v>0.0</v>
      </c>
      <c r="C188" s="56">
        <v>0.0</v>
      </c>
      <c r="D188" s="56">
        <v>0.0</v>
      </c>
      <c r="E188" s="56">
        <v>54.84</v>
      </c>
      <c r="F188" s="58">
        <v>44378.0</v>
      </c>
      <c r="G188" s="56">
        <v>0.0</v>
      </c>
      <c r="H188" s="56">
        <v>53.59</v>
      </c>
      <c r="I188" s="59">
        <v>44393.0</v>
      </c>
      <c r="J188" s="56" t="s">
        <v>3594</v>
      </c>
      <c r="K188" s="15" t="s">
        <v>3781</v>
      </c>
      <c r="L188" s="60" t="str">
        <f t="shared" si="1"/>
        <v>Not in buy Zone</v>
      </c>
      <c r="M188" s="60" t="str">
        <f t="shared" si="2"/>
        <v>Not in buy Zone</v>
      </c>
      <c r="N188" s="33" t="str">
        <f t="shared" si="3"/>
        <v>No</v>
      </c>
    </row>
    <row r="189">
      <c r="A189" s="56" t="s">
        <v>217</v>
      </c>
      <c r="B189" s="56">
        <v>0.0</v>
      </c>
      <c r="C189" s="56">
        <v>0.0</v>
      </c>
      <c r="D189" s="56">
        <v>0.0</v>
      </c>
      <c r="E189" s="56">
        <v>78.9</v>
      </c>
      <c r="F189" s="58">
        <v>44392.0</v>
      </c>
      <c r="G189" s="56">
        <v>0.0</v>
      </c>
      <c r="H189" s="56">
        <v>78.32</v>
      </c>
      <c r="I189" s="59">
        <v>44393.0</v>
      </c>
      <c r="J189" s="56" t="s">
        <v>3594</v>
      </c>
      <c r="K189" s="15" t="s">
        <v>3782</v>
      </c>
      <c r="L189" s="60" t="str">
        <f t="shared" si="1"/>
        <v>Not in buy Zone</v>
      </c>
      <c r="M189" s="60" t="str">
        <f t="shared" si="2"/>
        <v>Not in buy Zone</v>
      </c>
      <c r="N189" s="33" t="str">
        <f t="shared" si="3"/>
        <v>No</v>
      </c>
    </row>
    <row r="190">
      <c r="A190" s="56" t="s">
        <v>218</v>
      </c>
      <c r="B190" s="56">
        <v>0.0</v>
      </c>
      <c r="C190" s="56">
        <v>0.0</v>
      </c>
      <c r="D190" s="56">
        <v>239.18</v>
      </c>
      <c r="E190" s="56">
        <v>0.0</v>
      </c>
      <c r="F190" s="58">
        <v>44371.0</v>
      </c>
      <c r="G190" s="56">
        <v>0.0</v>
      </c>
      <c r="H190" s="56">
        <v>254.63</v>
      </c>
      <c r="I190" s="59">
        <v>44393.0</v>
      </c>
      <c r="J190" s="56" t="s">
        <v>3594</v>
      </c>
      <c r="K190" s="15" t="s">
        <v>3783</v>
      </c>
      <c r="L190" s="60" t="str">
        <f t="shared" si="1"/>
        <v>Not in buy Zone</v>
      </c>
      <c r="M190" s="60" t="str">
        <f t="shared" si="2"/>
        <v>Not in buy Zone</v>
      </c>
      <c r="N190" s="33" t="str">
        <f t="shared" si="3"/>
        <v>No</v>
      </c>
    </row>
    <row r="191">
      <c r="A191" s="56" t="s">
        <v>219</v>
      </c>
      <c r="B191" s="56">
        <v>0.0</v>
      </c>
      <c r="C191" s="56">
        <v>0.0</v>
      </c>
      <c r="D191" s="56">
        <v>57.63</v>
      </c>
      <c r="E191" s="56">
        <v>0.0</v>
      </c>
      <c r="F191" s="58">
        <v>44375.0</v>
      </c>
      <c r="G191" s="56">
        <v>0.0</v>
      </c>
      <c r="H191" s="56">
        <v>57.99</v>
      </c>
      <c r="I191" s="59">
        <v>44393.0</v>
      </c>
      <c r="J191" s="56" t="s">
        <v>3594</v>
      </c>
      <c r="K191" s="15" t="s">
        <v>3784</v>
      </c>
      <c r="L191" s="60" t="str">
        <f t="shared" si="1"/>
        <v>Not in buy Zone</v>
      </c>
      <c r="M191" s="60" t="str">
        <f t="shared" si="2"/>
        <v>Not in buy Zone</v>
      </c>
      <c r="N191" s="33" t="str">
        <f t="shared" si="3"/>
        <v>No</v>
      </c>
    </row>
    <row r="192">
      <c r="A192" s="56" t="s">
        <v>220</v>
      </c>
      <c r="B192" s="56">
        <v>0.0</v>
      </c>
      <c r="C192" s="56">
        <v>0.0</v>
      </c>
      <c r="D192" s="56">
        <v>308.7</v>
      </c>
      <c r="E192" s="56">
        <v>0.0</v>
      </c>
      <c r="F192" s="58">
        <v>44371.0</v>
      </c>
      <c r="G192" s="56">
        <v>0.0</v>
      </c>
      <c r="H192" s="56">
        <v>324.49</v>
      </c>
      <c r="I192" s="59">
        <v>44393.0</v>
      </c>
      <c r="J192" s="56" t="s">
        <v>3594</v>
      </c>
      <c r="K192" s="15" t="s">
        <v>3785</v>
      </c>
      <c r="L192" s="60" t="str">
        <f t="shared" si="1"/>
        <v>Not in buy Zone</v>
      </c>
      <c r="M192" s="60" t="str">
        <f t="shared" si="2"/>
        <v>Not in buy Zone</v>
      </c>
      <c r="N192" s="33" t="str">
        <f t="shared" si="3"/>
        <v>No</v>
      </c>
    </row>
    <row r="193">
      <c r="A193" s="56" t="s">
        <v>221</v>
      </c>
      <c r="B193" s="56">
        <v>0.0</v>
      </c>
      <c r="C193" s="56">
        <v>0.0</v>
      </c>
      <c r="D193" s="56">
        <v>0.0</v>
      </c>
      <c r="E193" s="56">
        <v>34.18</v>
      </c>
      <c r="F193" s="58">
        <v>44351.0</v>
      </c>
      <c r="G193" s="56">
        <v>0.0</v>
      </c>
      <c r="H193" s="56">
        <v>34.26</v>
      </c>
      <c r="I193" s="59">
        <v>44393.0</v>
      </c>
      <c r="J193" s="56" t="s">
        <v>3594</v>
      </c>
      <c r="K193" s="15" t="s">
        <v>3786</v>
      </c>
      <c r="L193" s="60" t="str">
        <f t="shared" si="1"/>
        <v>Not in buy Zone</v>
      </c>
      <c r="M193" s="60" t="str">
        <f t="shared" si="2"/>
        <v>Not in buy Zone</v>
      </c>
      <c r="N193" s="33" t="str">
        <f t="shared" si="3"/>
        <v>No</v>
      </c>
    </row>
    <row r="194">
      <c r="A194" s="56" t="s">
        <v>222</v>
      </c>
      <c r="B194" s="56">
        <v>0.0</v>
      </c>
      <c r="C194" s="56">
        <v>0.0</v>
      </c>
      <c r="D194" s="56">
        <v>0.0</v>
      </c>
      <c r="E194" s="56">
        <v>35.58</v>
      </c>
      <c r="F194" s="58">
        <v>44354.0</v>
      </c>
      <c r="G194" s="56">
        <v>0.0</v>
      </c>
      <c r="H194" s="56">
        <v>29.81</v>
      </c>
      <c r="I194" s="59">
        <v>44393.0</v>
      </c>
      <c r="J194" s="56" t="s">
        <v>3594</v>
      </c>
      <c r="K194" s="15" t="s">
        <v>3787</v>
      </c>
      <c r="L194" s="60" t="str">
        <f t="shared" si="1"/>
        <v>Not in buy Zone</v>
      </c>
      <c r="M194" s="60" t="str">
        <f t="shared" si="2"/>
        <v>Not in buy Zone</v>
      </c>
      <c r="N194" s="33" t="str">
        <f t="shared" si="3"/>
        <v>No</v>
      </c>
    </row>
    <row r="195">
      <c r="A195" s="56" t="s">
        <v>223</v>
      </c>
      <c r="B195" s="56">
        <v>0.0</v>
      </c>
      <c r="C195" s="56">
        <v>0.0</v>
      </c>
      <c r="D195" s="56">
        <v>0.0</v>
      </c>
      <c r="E195" s="56">
        <v>111.51</v>
      </c>
      <c r="F195" s="58">
        <v>44363.0</v>
      </c>
      <c r="G195" s="56">
        <v>0.0</v>
      </c>
      <c r="H195" s="56">
        <v>112.5</v>
      </c>
      <c r="I195" s="59">
        <v>44393.0</v>
      </c>
      <c r="J195" s="56" t="s">
        <v>3594</v>
      </c>
      <c r="K195" s="15" t="s">
        <v>3788</v>
      </c>
      <c r="L195" s="60" t="str">
        <f t="shared" si="1"/>
        <v>Not in buy Zone</v>
      </c>
      <c r="M195" s="60" t="str">
        <f t="shared" si="2"/>
        <v>Not in buy Zone</v>
      </c>
      <c r="N195" s="33" t="str">
        <f t="shared" si="3"/>
        <v>No</v>
      </c>
    </row>
    <row r="196">
      <c r="A196" s="56" t="s">
        <v>224</v>
      </c>
      <c r="B196" s="56">
        <v>0.0</v>
      </c>
      <c r="C196" s="56">
        <v>0.0</v>
      </c>
      <c r="D196" s="56">
        <v>0.0</v>
      </c>
      <c r="E196" s="56">
        <v>122.8</v>
      </c>
      <c r="F196" s="58">
        <v>44336.0</v>
      </c>
      <c r="G196" s="56">
        <v>0.0</v>
      </c>
      <c r="H196" s="56">
        <v>109.2</v>
      </c>
      <c r="I196" s="59">
        <v>44393.0</v>
      </c>
      <c r="J196" s="56" t="s">
        <v>3594</v>
      </c>
      <c r="K196" s="15" t="s">
        <v>3789</v>
      </c>
      <c r="L196" s="60" t="str">
        <f t="shared" si="1"/>
        <v>Not in buy Zone</v>
      </c>
      <c r="M196" s="60" t="str">
        <f t="shared" si="2"/>
        <v>Not in buy Zone</v>
      </c>
      <c r="N196" s="33" t="str">
        <f t="shared" si="3"/>
        <v>No</v>
      </c>
    </row>
    <row r="197">
      <c r="A197" s="56" t="s">
        <v>225</v>
      </c>
      <c r="B197" s="56">
        <v>0.0</v>
      </c>
      <c r="C197" s="56">
        <v>0.0</v>
      </c>
      <c r="D197" s="56">
        <v>97.61</v>
      </c>
      <c r="E197" s="56">
        <v>0.0</v>
      </c>
      <c r="F197" s="58">
        <v>44386.0</v>
      </c>
      <c r="G197" s="56">
        <v>0.0</v>
      </c>
      <c r="H197" s="56">
        <v>97.26</v>
      </c>
      <c r="I197" s="59">
        <v>44393.0</v>
      </c>
      <c r="J197" s="56" t="s">
        <v>3594</v>
      </c>
      <c r="K197" s="15" t="s">
        <v>3790</v>
      </c>
      <c r="L197" s="60" t="str">
        <f t="shared" si="1"/>
        <v>Not in buy Zone</v>
      </c>
      <c r="M197" s="60" t="str">
        <f t="shared" si="2"/>
        <v>Not in buy Zone</v>
      </c>
      <c r="N197" s="33" t="str">
        <f t="shared" si="3"/>
        <v>No</v>
      </c>
    </row>
    <row r="198">
      <c r="A198" s="56" t="s">
        <v>226</v>
      </c>
      <c r="B198" s="56">
        <v>0.0</v>
      </c>
      <c r="C198" s="56">
        <v>0.0</v>
      </c>
      <c r="D198" s="56">
        <v>0.0</v>
      </c>
      <c r="E198" s="56">
        <v>170.79</v>
      </c>
      <c r="F198" s="58">
        <v>44391.0</v>
      </c>
      <c r="G198" s="56">
        <v>0.0</v>
      </c>
      <c r="H198" s="56">
        <v>163.45</v>
      </c>
      <c r="I198" s="59">
        <v>44393.0</v>
      </c>
      <c r="J198" s="56" t="s">
        <v>3594</v>
      </c>
      <c r="K198" s="15" t="s">
        <v>3791</v>
      </c>
      <c r="L198" s="60" t="str">
        <f t="shared" si="1"/>
        <v>Not in buy Zone</v>
      </c>
      <c r="M198" s="60" t="str">
        <f t="shared" si="2"/>
        <v>Not in buy Zone</v>
      </c>
      <c r="N198" s="33" t="str">
        <f t="shared" si="3"/>
        <v>No</v>
      </c>
    </row>
    <row r="199">
      <c r="A199" s="56" t="s">
        <v>227</v>
      </c>
      <c r="B199" s="56">
        <v>0.0</v>
      </c>
      <c r="C199" s="56">
        <v>0.0</v>
      </c>
      <c r="D199" s="56">
        <v>0.0</v>
      </c>
      <c r="E199" s="56">
        <v>84.71</v>
      </c>
      <c r="F199" s="58">
        <v>44363.0</v>
      </c>
      <c r="G199" s="56">
        <v>0.0</v>
      </c>
      <c r="H199" s="56">
        <v>73.91</v>
      </c>
      <c r="I199" s="59">
        <v>44393.0</v>
      </c>
      <c r="J199" s="56" t="s">
        <v>3594</v>
      </c>
      <c r="K199" s="15" t="s">
        <v>3792</v>
      </c>
      <c r="L199" s="60" t="str">
        <f t="shared" si="1"/>
        <v>Not in buy Zone</v>
      </c>
      <c r="M199" s="60" t="str">
        <f t="shared" si="2"/>
        <v>Not in buy Zone</v>
      </c>
      <c r="N199" s="33" t="str">
        <f t="shared" si="3"/>
        <v>No</v>
      </c>
    </row>
    <row r="200">
      <c r="A200" s="56" t="s">
        <v>228</v>
      </c>
      <c r="B200" s="56">
        <v>0.0</v>
      </c>
      <c r="C200" s="56">
        <v>0.0</v>
      </c>
      <c r="D200" s="56">
        <v>29.82</v>
      </c>
      <c r="E200" s="56">
        <v>0.0</v>
      </c>
      <c r="F200" s="58">
        <v>44389.0</v>
      </c>
      <c r="G200" s="56">
        <v>0.0</v>
      </c>
      <c r="H200" s="56">
        <v>28.83</v>
      </c>
      <c r="I200" s="59">
        <v>44393.0</v>
      </c>
      <c r="J200" s="56" t="s">
        <v>3594</v>
      </c>
      <c r="K200" s="15" t="s">
        <v>3793</v>
      </c>
      <c r="L200" s="60" t="str">
        <f t="shared" si="1"/>
        <v>Not in buy Zone</v>
      </c>
      <c r="M200" s="60" t="str">
        <f t="shared" si="2"/>
        <v>Not in buy Zone</v>
      </c>
      <c r="N200" s="33" t="str">
        <f t="shared" si="3"/>
        <v>No</v>
      </c>
    </row>
    <row r="201">
      <c r="A201" s="56" t="s">
        <v>229</v>
      </c>
      <c r="B201" s="56">
        <v>0.0</v>
      </c>
      <c r="C201" s="56">
        <v>0.0</v>
      </c>
      <c r="D201" s="56">
        <v>0.0</v>
      </c>
      <c r="E201" s="56">
        <v>803.56</v>
      </c>
      <c r="F201" s="58">
        <v>44370.0</v>
      </c>
      <c r="G201" s="56">
        <v>0.0</v>
      </c>
      <c r="H201" s="56">
        <v>831.47</v>
      </c>
      <c r="I201" s="59">
        <v>44393.0</v>
      </c>
      <c r="J201" s="56" t="s">
        <v>3594</v>
      </c>
      <c r="K201" s="15" t="s">
        <v>3794</v>
      </c>
      <c r="L201" s="60" t="str">
        <f t="shared" si="1"/>
        <v>Not in buy Zone</v>
      </c>
      <c r="M201" s="60" t="str">
        <f t="shared" si="2"/>
        <v>Not in buy Zone</v>
      </c>
      <c r="N201" s="33" t="str">
        <f t="shared" si="3"/>
        <v>No</v>
      </c>
    </row>
    <row r="202">
      <c r="A202" s="56" t="s">
        <v>230</v>
      </c>
      <c r="B202" s="56">
        <v>0.0</v>
      </c>
      <c r="C202" s="56">
        <v>0.0</v>
      </c>
      <c r="D202" s="56">
        <v>81.71</v>
      </c>
      <c r="E202" s="56">
        <v>0.0</v>
      </c>
      <c r="F202" s="58">
        <v>44386.0</v>
      </c>
      <c r="G202" s="56">
        <v>0.0</v>
      </c>
      <c r="H202" s="56">
        <v>83.76</v>
      </c>
      <c r="I202" s="59">
        <v>44393.0</v>
      </c>
      <c r="J202" s="56" t="s">
        <v>3594</v>
      </c>
      <c r="K202" s="15" t="s">
        <v>3795</v>
      </c>
      <c r="L202" s="60" t="str">
        <f t="shared" si="1"/>
        <v>Not in buy Zone</v>
      </c>
      <c r="M202" s="60" t="str">
        <f t="shared" si="2"/>
        <v>Not in buy Zone</v>
      </c>
      <c r="N202" s="33" t="str">
        <f t="shared" si="3"/>
        <v>No</v>
      </c>
    </row>
    <row r="203">
      <c r="A203" s="56" t="s">
        <v>231</v>
      </c>
      <c r="B203" s="56">
        <v>0.0</v>
      </c>
      <c r="C203" s="56">
        <v>0.0</v>
      </c>
      <c r="D203" s="56">
        <v>80.13</v>
      </c>
      <c r="E203" s="56">
        <v>0.0</v>
      </c>
      <c r="F203" s="58">
        <v>44376.0</v>
      </c>
      <c r="G203" s="56">
        <v>0.0</v>
      </c>
      <c r="H203" s="56">
        <v>87.36</v>
      </c>
      <c r="I203" s="59">
        <v>44393.0</v>
      </c>
      <c r="J203" s="56" t="s">
        <v>3594</v>
      </c>
      <c r="K203" s="15" t="s">
        <v>3796</v>
      </c>
      <c r="L203" s="60" t="str">
        <f t="shared" si="1"/>
        <v>Not in buy Zone</v>
      </c>
      <c r="M203" s="60" t="str">
        <f t="shared" si="2"/>
        <v>Not in buy Zone</v>
      </c>
      <c r="N203" s="33" t="str">
        <f t="shared" si="3"/>
        <v>No</v>
      </c>
    </row>
    <row r="204">
      <c r="A204" s="56" t="s">
        <v>232</v>
      </c>
      <c r="B204" s="56">
        <v>0.0</v>
      </c>
      <c r="C204" s="56">
        <v>0.0</v>
      </c>
      <c r="D204" s="56">
        <v>320.24</v>
      </c>
      <c r="E204" s="56">
        <v>0.0</v>
      </c>
      <c r="F204" s="58">
        <v>44386.0</v>
      </c>
      <c r="G204" s="56">
        <v>0.0</v>
      </c>
      <c r="H204" s="56">
        <v>328.33</v>
      </c>
      <c r="I204" s="59">
        <v>44393.0</v>
      </c>
      <c r="J204" s="56" t="s">
        <v>3594</v>
      </c>
      <c r="K204" s="15" t="s">
        <v>3797</v>
      </c>
      <c r="L204" s="60" t="str">
        <f t="shared" si="1"/>
        <v>Not in buy Zone</v>
      </c>
      <c r="M204" s="60" t="str">
        <f t="shared" si="2"/>
        <v>Not in buy Zone</v>
      </c>
      <c r="N204" s="33" t="str">
        <f t="shared" si="3"/>
        <v>No</v>
      </c>
    </row>
    <row r="205">
      <c r="A205" s="56" t="s">
        <v>233</v>
      </c>
      <c r="B205" s="56">
        <v>0.0</v>
      </c>
      <c r="C205" s="56">
        <v>0.0</v>
      </c>
      <c r="D205" s="56">
        <v>148.18</v>
      </c>
      <c r="E205" s="56">
        <v>0.0</v>
      </c>
      <c r="F205" s="58">
        <v>44377.0</v>
      </c>
      <c r="G205" s="56">
        <v>0.0</v>
      </c>
      <c r="H205" s="56">
        <v>152.74</v>
      </c>
      <c r="I205" s="59">
        <v>44393.0</v>
      </c>
      <c r="J205" s="56" t="s">
        <v>3594</v>
      </c>
      <c r="K205" s="15" t="s">
        <v>3798</v>
      </c>
      <c r="L205" s="60" t="str">
        <f t="shared" si="1"/>
        <v>Not in buy Zone</v>
      </c>
      <c r="M205" s="60" t="str">
        <f t="shared" si="2"/>
        <v>Not in buy Zone</v>
      </c>
      <c r="N205" s="33" t="str">
        <f t="shared" si="3"/>
        <v>No</v>
      </c>
    </row>
    <row r="206">
      <c r="A206" s="56" t="s">
        <v>234</v>
      </c>
      <c r="B206" s="56">
        <v>0.0</v>
      </c>
      <c r="C206" s="56">
        <v>0.0</v>
      </c>
      <c r="D206" s="56">
        <v>103.04</v>
      </c>
      <c r="E206" s="56">
        <v>0.0</v>
      </c>
      <c r="F206" s="58">
        <v>44389.0</v>
      </c>
      <c r="G206" s="56">
        <v>0.0</v>
      </c>
      <c r="H206" s="56">
        <v>104.72</v>
      </c>
      <c r="I206" s="59">
        <v>44393.0</v>
      </c>
      <c r="J206" s="56" t="s">
        <v>3594</v>
      </c>
      <c r="K206" s="15" t="s">
        <v>3799</v>
      </c>
      <c r="L206" s="60" t="str">
        <f t="shared" si="1"/>
        <v>Not in buy Zone</v>
      </c>
      <c r="M206" s="60" t="str">
        <f t="shared" si="2"/>
        <v>Not in buy Zone</v>
      </c>
      <c r="N206" s="33" t="str">
        <f t="shared" si="3"/>
        <v>No</v>
      </c>
    </row>
    <row r="207">
      <c r="A207" s="56" t="s">
        <v>235</v>
      </c>
      <c r="B207" s="56">
        <v>0.0</v>
      </c>
      <c r="C207" s="56">
        <v>0.0</v>
      </c>
      <c r="D207" s="56">
        <v>0.0</v>
      </c>
      <c r="E207" s="56">
        <v>182.86</v>
      </c>
      <c r="F207" s="58">
        <v>44391.0</v>
      </c>
      <c r="G207" s="56">
        <v>0.0</v>
      </c>
      <c r="H207" s="56">
        <v>184.42</v>
      </c>
      <c r="I207" s="59">
        <v>44393.0</v>
      </c>
      <c r="J207" s="56" t="s">
        <v>3594</v>
      </c>
      <c r="K207" s="15" t="s">
        <v>3800</v>
      </c>
      <c r="L207" s="60" t="str">
        <f t="shared" si="1"/>
        <v>Not in buy Zone</v>
      </c>
      <c r="M207" s="60" t="str">
        <f t="shared" si="2"/>
        <v>Not in buy Zone</v>
      </c>
      <c r="N207" s="33" t="str">
        <f t="shared" si="3"/>
        <v>No</v>
      </c>
    </row>
    <row r="208">
      <c r="A208" s="56" t="s">
        <v>236</v>
      </c>
      <c r="B208" s="56">
        <v>0.0</v>
      </c>
      <c r="C208" s="56">
        <v>0.0</v>
      </c>
      <c r="D208" s="56">
        <v>62.31</v>
      </c>
      <c r="E208" s="56">
        <v>0.0</v>
      </c>
      <c r="F208" s="58">
        <v>44391.0</v>
      </c>
      <c r="G208" s="56">
        <v>0.0</v>
      </c>
      <c r="H208" s="56">
        <v>64.56</v>
      </c>
      <c r="I208" s="59">
        <v>44393.0</v>
      </c>
      <c r="J208" s="56" t="s">
        <v>3594</v>
      </c>
      <c r="K208" s="15" t="s">
        <v>3801</v>
      </c>
      <c r="L208" s="60" t="str">
        <f t="shared" si="1"/>
        <v>Not in buy Zone</v>
      </c>
      <c r="M208" s="60" t="str">
        <f t="shared" si="2"/>
        <v>Not in buy Zone</v>
      </c>
      <c r="N208" s="33" t="str">
        <f t="shared" si="3"/>
        <v>No</v>
      </c>
    </row>
    <row r="209">
      <c r="A209" s="56" t="s">
        <v>237</v>
      </c>
      <c r="B209" s="56">
        <v>0.0</v>
      </c>
      <c r="C209" s="56">
        <v>0.0</v>
      </c>
      <c r="D209" s="56">
        <v>0.0</v>
      </c>
      <c r="E209" s="56">
        <v>106.34</v>
      </c>
      <c r="F209" s="58">
        <v>44392.0</v>
      </c>
      <c r="G209" s="56">
        <v>0.0</v>
      </c>
      <c r="H209" s="56">
        <v>106.92</v>
      </c>
      <c r="I209" s="59">
        <v>44393.0</v>
      </c>
      <c r="J209" s="56" t="s">
        <v>3594</v>
      </c>
      <c r="K209" s="15" t="s">
        <v>3802</v>
      </c>
      <c r="L209" s="60" t="str">
        <f t="shared" si="1"/>
        <v>Not in buy Zone</v>
      </c>
      <c r="M209" s="60" t="str">
        <f t="shared" si="2"/>
        <v>Not in buy Zone</v>
      </c>
      <c r="N209" s="33" t="str">
        <f t="shared" si="3"/>
        <v>No</v>
      </c>
    </row>
    <row r="210">
      <c r="A210" s="56" t="s">
        <v>238</v>
      </c>
      <c r="B210" s="56">
        <v>0.0</v>
      </c>
      <c r="C210" s="56">
        <v>0.0</v>
      </c>
      <c r="D210" s="56">
        <v>0.0</v>
      </c>
      <c r="E210" s="56">
        <v>37.87</v>
      </c>
      <c r="F210" s="58">
        <v>44357.0</v>
      </c>
      <c r="G210" s="56">
        <v>0.0</v>
      </c>
      <c r="H210" s="56">
        <v>36.33</v>
      </c>
      <c r="I210" s="59">
        <v>44393.0</v>
      </c>
      <c r="J210" s="56" t="s">
        <v>3594</v>
      </c>
      <c r="K210" s="15" t="s">
        <v>3803</v>
      </c>
      <c r="L210" s="60" t="str">
        <f t="shared" si="1"/>
        <v>Not in buy Zone</v>
      </c>
      <c r="M210" s="60" t="str">
        <f t="shared" si="2"/>
        <v>Not in buy Zone</v>
      </c>
      <c r="N210" s="33" t="str">
        <f t="shared" si="3"/>
        <v>No</v>
      </c>
    </row>
    <row r="211">
      <c r="A211" s="56" t="s">
        <v>239</v>
      </c>
      <c r="B211" s="56">
        <v>0.0</v>
      </c>
      <c r="C211" s="56">
        <v>34.31</v>
      </c>
      <c r="D211" s="56">
        <v>0.0</v>
      </c>
      <c r="E211" s="56">
        <v>0.0</v>
      </c>
      <c r="F211" s="58">
        <v>44393.0</v>
      </c>
      <c r="G211" s="56">
        <v>-1.0</v>
      </c>
      <c r="H211" s="56">
        <v>34.31</v>
      </c>
      <c r="I211" s="59">
        <v>44393.0</v>
      </c>
      <c r="J211" s="56" t="s">
        <v>3594</v>
      </c>
      <c r="K211" s="15" t="s">
        <v>3804</v>
      </c>
      <c r="L211" s="60" t="str">
        <f t="shared" si="1"/>
        <v>Not in buy Zone</v>
      </c>
      <c r="M211" s="60" t="str">
        <f t="shared" si="2"/>
        <v>Not in buy Zone</v>
      </c>
      <c r="N211" s="33" t="str">
        <f t="shared" si="3"/>
        <v>No</v>
      </c>
    </row>
    <row r="212">
      <c r="A212" s="56" t="s">
        <v>240</v>
      </c>
      <c r="B212" s="56">
        <v>0.0</v>
      </c>
      <c r="C212" s="56">
        <v>0.0</v>
      </c>
      <c r="D212" s="56">
        <v>26.8</v>
      </c>
      <c r="E212" s="56">
        <v>0.0</v>
      </c>
      <c r="F212" s="58">
        <v>44390.0</v>
      </c>
      <c r="G212" s="56">
        <v>0.0</v>
      </c>
      <c r="H212" s="56">
        <v>26.86</v>
      </c>
      <c r="I212" s="59">
        <v>44393.0</v>
      </c>
      <c r="J212" s="56" t="s">
        <v>3594</v>
      </c>
      <c r="K212" s="15" t="s">
        <v>3805</v>
      </c>
      <c r="L212" s="60" t="str">
        <f t="shared" si="1"/>
        <v>Not in buy Zone</v>
      </c>
      <c r="M212" s="60" t="str">
        <f t="shared" si="2"/>
        <v>Not in buy Zone</v>
      </c>
      <c r="N212" s="33" t="str">
        <f t="shared" si="3"/>
        <v>No</v>
      </c>
    </row>
    <row r="213">
      <c r="A213" s="56" t="s">
        <v>241</v>
      </c>
      <c r="B213" s="56">
        <v>0.0</v>
      </c>
      <c r="C213" s="56">
        <v>0.0</v>
      </c>
      <c r="D213" s="56">
        <v>68.63</v>
      </c>
      <c r="E213" s="56">
        <v>0.0</v>
      </c>
      <c r="F213" s="58">
        <v>44389.0</v>
      </c>
      <c r="G213" s="56">
        <v>0.0</v>
      </c>
      <c r="H213" s="56">
        <v>67.22</v>
      </c>
      <c r="I213" s="59">
        <v>44393.0</v>
      </c>
      <c r="J213" s="56" t="s">
        <v>3594</v>
      </c>
      <c r="K213" s="15" t="s">
        <v>3806</v>
      </c>
      <c r="L213" s="60" t="str">
        <f t="shared" si="1"/>
        <v>Not in buy Zone</v>
      </c>
      <c r="M213" s="60" t="str">
        <f t="shared" si="2"/>
        <v>Not in buy Zone</v>
      </c>
      <c r="N213" s="33" t="str">
        <f t="shared" si="3"/>
        <v>No</v>
      </c>
    </row>
    <row r="214">
      <c r="A214" s="56" t="s">
        <v>242</v>
      </c>
      <c r="B214" s="56">
        <v>0.0</v>
      </c>
      <c r="C214" s="56">
        <v>0.0</v>
      </c>
      <c r="D214" s="56">
        <v>64.04</v>
      </c>
      <c r="E214" s="56">
        <v>0.0</v>
      </c>
      <c r="F214" s="58">
        <v>44375.0</v>
      </c>
      <c r="G214" s="56">
        <v>0.0</v>
      </c>
      <c r="H214" s="56">
        <v>64.44</v>
      </c>
      <c r="I214" s="59">
        <v>44393.0</v>
      </c>
      <c r="J214" s="56" t="s">
        <v>3594</v>
      </c>
      <c r="K214" s="15" t="s">
        <v>3807</v>
      </c>
      <c r="L214" s="60" t="str">
        <f t="shared" si="1"/>
        <v>Not in buy Zone</v>
      </c>
      <c r="M214" s="60" t="str">
        <f t="shared" si="2"/>
        <v>Not in buy Zone</v>
      </c>
      <c r="N214" s="33" t="str">
        <f t="shared" si="3"/>
        <v>No</v>
      </c>
    </row>
    <row r="215">
      <c r="A215" s="56" t="s">
        <v>243</v>
      </c>
      <c r="B215" s="56">
        <v>0.0</v>
      </c>
      <c r="C215" s="56">
        <v>0.0</v>
      </c>
      <c r="D215" s="56">
        <v>0.0</v>
      </c>
      <c r="E215" s="56">
        <v>32.6</v>
      </c>
      <c r="F215" s="58">
        <v>44392.0</v>
      </c>
      <c r="G215" s="56">
        <v>0.0</v>
      </c>
      <c r="H215" s="56">
        <v>32.31</v>
      </c>
      <c r="I215" s="59">
        <v>44393.0</v>
      </c>
      <c r="J215" s="56" t="s">
        <v>3594</v>
      </c>
      <c r="K215" s="15" t="s">
        <v>3808</v>
      </c>
      <c r="L215" s="60" t="str">
        <f t="shared" si="1"/>
        <v>Not in buy Zone</v>
      </c>
      <c r="M215" s="60" t="str">
        <f t="shared" si="2"/>
        <v>Not in buy Zone</v>
      </c>
      <c r="N215" s="33" t="str">
        <f t="shared" si="3"/>
        <v>No</v>
      </c>
    </row>
    <row r="216">
      <c r="A216" s="56" t="s">
        <v>244</v>
      </c>
      <c r="B216" s="56">
        <v>0.0</v>
      </c>
      <c r="C216" s="56">
        <v>0.0</v>
      </c>
      <c r="D216" s="56">
        <v>0.0</v>
      </c>
      <c r="E216" s="56">
        <v>92.32</v>
      </c>
      <c r="F216" s="58">
        <v>44383.0</v>
      </c>
      <c r="G216" s="56">
        <v>0.0</v>
      </c>
      <c r="H216" s="56">
        <v>90.71</v>
      </c>
      <c r="I216" s="59">
        <v>44393.0</v>
      </c>
      <c r="J216" s="56" t="s">
        <v>3594</v>
      </c>
      <c r="K216" s="15" t="s">
        <v>3809</v>
      </c>
      <c r="L216" s="60" t="str">
        <f t="shared" si="1"/>
        <v>Not in buy Zone</v>
      </c>
      <c r="M216" s="60" t="str">
        <f t="shared" si="2"/>
        <v>Not in buy Zone</v>
      </c>
      <c r="N216" s="33" t="str">
        <f t="shared" si="3"/>
        <v>No</v>
      </c>
    </row>
    <row r="217">
      <c r="A217" s="56" t="s">
        <v>245</v>
      </c>
      <c r="B217" s="56">
        <v>0.0</v>
      </c>
      <c r="C217" s="56">
        <v>0.0</v>
      </c>
      <c r="D217" s="56">
        <v>0.0</v>
      </c>
      <c r="E217" s="56">
        <v>40.51</v>
      </c>
      <c r="F217" s="58">
        <v>44363.0</v>
      </c>
      <c r="G217" s="56">
        <v>0.0</v>
      </c>
      <c r="H217" s="56">
        <v>39.29</v>
      </c>
      <c r="I217" s="59">
        <v>44393.0</v>
      </c>
      <c r="J217" s="56" t="s">
        <v>3594</v>
      </c>
      <c r="K217" s="15" t="s">
        <v>3810</v>
      </c>
      <c r="L217" s="60" t="str">
        <f t="shared" si="1"/>
        <v>Not in buy Zone</v>
      </c>
      <c r="M217" s="60" t="str">
        <f t="shared" si="2"/>
        <v>Not in buy Zone</v>
      </c>
      <c r="N217" s="33" t="str">
        <f t="shared" si="3"/>
        <v>No</v>
      </c>
    </row>
    <row r="218">
      <c r="A218" s="56" t="s">
        <v>246</v>
      </c>
      <c r="B218" s="56">
        <v>0.0</v>
      </c>
      <c r="C218" s="56">
        <v>0.0</v>
      </c>
      <c r="D218" s="56">
        <v>45.14</v>
      </c>
      <c r="E218" s="56">
        <v>0.0</v>
      </c>
      <c r="F218" s="58">
        <v>44391.0</v>
      </c>
      <c r="G218" s="56">
        <v>0.0</v>
      </c>
      <c r="H218" s="56">
        <v>45.99</v>
      </c>
      <c r="I218" s="59">
        <v>44393.0</v>
      </c>
      <c r="J218" s="56" t="s">
        <v>3594</v>
      </c>
      <c r="K218" s="15" t="s">
        <v>3811</v>
      </c>
      <c r="L218" s="60" t="str">
        <f t="shared" si="1"/>
        <v>Not in buy Zone</v>
      </c>
      <c r="M218" s="60" t="str">
        <f t="shared" si="2"/>
        <v>Not in buy Zone</v>
      </c>
      <c r="N218" s="33" t="str">
        <f t="shared" si="3"/>
        <v>No</v>
      </c>
    </row>
    <row r="219">
      <c r="A219" s="56" t="s">
        <v>247</v>
      </c>
      <c r="B219" s="56">
        <v>0.0</v>
      </c>
      <c r="C219" s="56">
        <v>0.0</v>
      </c>
      <c r="D219" s="56">
        <v>0.0</v>
      </c>
      <c r="E219" s="56">
        <v>127.41</v>
      </c>
      <c r="F219" s="58">
        <v>44390.0</v>
      </c>
      <c r="G219" s="56">
        <v>0.0</v>
      </c>
      <c r="H219" s="56">
        <v>126.8</v>
      </c>
      <c r="I219" s="59">
        <v>44393.0</v>
      </c>
      <c r="J219" s="56" t="s">
        <v>3594</v>
      </c>
      <c r="K219" s="15" t="s">
        <v>3812</v>
      </c>
      <c r="L219" s="60" t="str">
        <f t="shared" si="1"/>
        <v>Not in buy Zone</v>
      </c>
      <c r="M219" s="60" t="str">
        <f t="shared" si="2"/>
        <v>Not in buy Zone</v>
      </c>
      <c r="N219" s="33" t="str">
        <f t="shared" si="3"/>
        <v>No</v>
      </c>
    </row>
    <row r="220">
      <c r="A220" s="56" t="s">
        <v>248</v>
      </c>
      <c r="B220" s="56">
        <v>0.0</v>
      </c>
      <c r="C220" s="56">
        <v>0.0</v>
      </c>
      <c r="D220" s="56">
        <v>0.0</v>
      </c>
      <c r="E220" s="56">
        <v>162.02</v>
      </c>
      <c r="F220" s="58">
        <v>44390.0</v>
      </c>
      <c r="G220" s="56">
        <v>0.0</v>
      </c>
      <c r="H220" s="56">
        <v>157.61</v>
      </c>
      <c r="I220" s="59">
        <v>44393.0</v>
      </c>
      <c r="J220" s="56" t="s">
        <v>3594</v>
      </c>
      <c r="K220" s="15" t="s">
        <v>3813</v>
      </c>
      <c r="L220" s="60" t="str">
        <f t="shared" si="1"/>
        <v>Not in buy Zone</v>
      </c>
      <c r="M220" s="60" t="str">
        <f t="shared" si="2"/>
        <v>Not in buy Zone</v>
      </c>
      <c r="N220" s="33" t="str">
        <f t="shared" si="3"/>
        <v>No</v>
      </c>
    </row>
    <row r="221">
      <c r="A221" s="56" t="s">
        <v>249</v>
      </c>
      <c r="B221" s="56">
        <v>0.0</v>
      </c>
      <c r="C221" s="56">
        <v>0.0</v>
      </c>
      <c r="D221" s="56">
        <v>0.0</v>
      </c>
      <c r="E221" s="56">
        <v>171.59</v>
      </c>
      <c r="F221" s="58">
        <v>44390.0</v>
      </c>
      <c r="G221" s="56">
        <v>0.0</v>
      </c>
      <c r="H221" s="56">
        <v>171.94</v>
      </c>
      <c r="I221" s="59">
        <v>44393.0</v>
      </c>
      <c r="J221" s="56" t="s">
        <v>3594</v>
      </c>
      <c r="K221" s="15" t="s">
        <v>3814</v>
      </c>
      <c r="L221" s="60" t="str">
        <f t="shared" si="1"/>
        <v>Not in buy Zone</v>
      </c>
      <c r="M221" s="60" t="str">
        <f t="shared" si="2"/>
        <v>Not in buy Zone</v>
      </c>
      <c r="N221" s="33" t="str">
        <f t="shared" si="3"/>
        <v>No</v>
      </c>
    </row>
    <row r="222">
      <c r="A222" s="56" t="s">
        <v>250</v>
      </c>
      <c r="B222" s="56">
        <v>0.0</v>
      </c>
      <c r="C222" s="56">
        <v>0.0</v>
      </c>
      <c r="D222" s="56">
        <v>0.0</v>
      </c>
      <c r="E222" s="56">
        <v>51.11</v>
      </c>
      <c r="F222" s="58">
        <v>44361.0</v>
      </c>
      <c r="G222" s="56">
        <v>0.0</v>
      </c>
      <c r="H222" s="56">
        <v>48.58</v>
      </c>
      <c r="I222" s="59">
        <v>44393.0</v>
      </c>
      <c r="J222" s="56" t="s">
        <v>3594</v>
      </c>
      <c r="K222" s="15" t="s">
        <v>3815</v>
      </c>
      <c r="L222" s="60" t="str">
        <f t="shared" si="1"/>
        <v>Not in buy Zone</v>
      </c>
      <c r="M222" s="60" t="str">
        <f t="shared" si="2"/>
        <v>Not in buy Zone</v>
      </c>
      <c r="N222" s="33" t="str">
        <f t="shared" si="3"/>
        <v>No</v>
      </c>
    </row>
    <row r="223">
      <c r="A223" s="56" t="s">
        <v>251</v>
      </c>
      <c r="B223" s="56">
        <v>0.0</v>
      </c>
      <c r="C223" s="56">
        <v>0.0</v>
      </c>
      <c r="D223" s="56">
        <v>0.0</v>
      </c>
      <c r="E223" s="56">
        <v>15.02</v>
      </c>
      <c r="F223" s="58">
        <v>44363.0</v>
      </c>
      <c r="G223" s="56">
        <v>0.0</v>
      </c>
      <c r="H223" s="56">
        <v>13.61</v>
      </c>
      <c r="I223" s="59">
        <v>44393.0</v>
      </c>
      <c r="J223" s="56" t="s">
        <v>3594</v>
      </c>
      <c r="K223" s="15" t="s">
        <v>3816</v>
      </c>
      <c r="L223" s="60" t="str">
        <f t="shared" si="1"/>
        <v>Not in buy Zone</v>
      </c>
      <c r="M223" s="60" t="str">
        <f t="shared" si="2"/>
        <v>Not in buy Zone</v>
      </c>
      <c r="N223" s="33" t="str">
        <f t="shared" si="3"/>
        <v>No</v>
      </c>
    </row>
    <row r="224">
      <c r="A224" s="56" t="s">
        <v>252</v>
      </c>
      <c r="B224" s="56">
        <v>0.0</v>
      </c>
      <c r="C224" s="56">
        <v>0.0</v>
      </c>
      <c r="D224" s="56">
        <v>0.0</v>
      </c>
      <c r="E224" s="56">
        <v>91.17</v>
      </c>
      <c r="F224" s="58">
        <v>44383.0</v>
      </c>
      <c r="G224" s="56">
        <v>0.0</v>
      </c>
      <c r="H224" s="56">
        <v>78.36</v>
      </c>
      <c r="I224" s="59">
        <v>44393.0</v>
      </c>
      <c r="J224" s="56" t="s">
        <v>3594</v>
      </c>
      <c r="K224" s="15" t="s">
        <v>3817</v>
      </c>
      <c r="L224" s="60" t="str">
        <f t="shared" si="1"/>
        <v>Not in buy Zone</v>
      </c>
      <c r="M224" s="60" t="str">
        <f t="shared" si="2"/>
        <v>Not in buy Zone</v>
      </c>
      <c r="N224" s="33" t="str">
        <f t="shared" si="3"/>
        <v>No</v>
      </c>
    </row>
    <row r="225">
      <c r="A225" s="56" t="s">
        <v>253</v>
      </c>
      <c r="B225" s="56">
        <v>0.0</v>
      </c>
      <c r="C225" s="56">
        <v>0.0</v>
      </c>
      <c r="D225" s="56">
        <v>52.06</v>
      </c>
      <c r="E225" s="56">
        <v>0.0</v>
      </c>
      <c r="F225" s="58">
        <v>44378.0</v>
      </c>
      <c r="G225" s="56">
        <v>0.0</v>
      </c>
      <c r="H225" s="56">
        <v>53.59</v>
      </c>
      <c r="I225" s="59">
        <v>44393.0</v>
      </c>
      <c r="J225" s="56" t="s">
        <v>3594</v>
      </c>
      <c r="K225" s="15" t="s">
        <v>3818</v>
      </c>
      <c r="L225" s="60" t="str">
        <f t="shared" si="1"/>
        <v>Not in buy Zone</v>
      </c>
      <c r="M225" s="60" t="str">
        <f t="shared" si="2"/>
        <v>Not in buy Zone</v>
      </c>
      <c r="N225" s="33" t="str">
        <f t="shared" si="3"/>
        <v>No</v>
      </c>
    </row>
    <row r="226">
      <c r="A226" s="56" t="s">
        <v>254</v>
      </c>
      <c r="B226" s="56">
        <v>0.0</v>
      </c>
      <c r="C226" s="56">
        <v>0.0</v>
      </c>
      <c r="D226" s="56">
        <v>0.0</v>
      </c>
      <c r="E226" s="56">
        <v>345.65</v>
      </c>
      <c r="F226" s="58">
        <v>44385.0</v>
      </c>
      <c r="G226" s="56">
        <v>0.0</v>
      </c>
      <c r="H226" s="56">
        <v>341.16</v>
      </c>
      <c r="I226" s="59">
        <v>44393.0</v>
      </c>
      <c r="J226" s="56" t="s">
        <v>3594</v>
      </c>
      <c r="K226" s="15" t="s">
        <v>3819</v>
      </c>
      <c r="L226" s="60" t="str">
        <f t="shared" si="1"/>
        <v>Not in buy Zone</v>
      </c>
      <c r="M226" s="60" t="str">
        <f t="shared" si="2"/>
        <v>Not in buy Zone</v>
      </c>
      <c r="N226" s="33" t="str">
        <f t="shared" si="3"/>
        <v>No</v>
      </c>
    </row>
    <row r="227">
      <c r="A227" s="56" t="s">
        <v>255</v>
      </c>
      <c r="B227" s="56">
        <v>0.0</v>
      </c>
      <c r="C227" s="56">
        <v>95.41</v>
      </c>
      <c r="D227" s="56">
        <v>0.0</v>
      </c>
      <c r="E227" s="56">
        <v>0.0</v>
      </c>
      <c r="F227" s="58">
        <v>44393.0</v>
      </c>
      <c r="G227" s="56">
        <v>-1.0</v>
      </c>
      <c r="H227" s="56">
        <v>95.41</v>
      </c>
      <c r="I227" s="59">
        <v>44393.0</v>
      </c>
      <c r="J227" s="56" t="s">
        <v>3594</v>
      </c>
      <c r="K227" s="15" t="s">
        <v>3820</v>
      </c>
      <c r="L227" s="60" t="str">
        <f t="shared" si="1"/>
        <v>Not in buy Zone</v>
      </c>
      <c r="M227" s="60" t="str">
        <f t="shared" si="2"/>
        <v>Not in buy Zone</v>
      </c>
      <c r="N227" s="33" t="str">
        <f t="shared" si="3"/>
        <v>No</v>
      </c>
    </row>
    <row r="228">
      <c r="A228" s="56" t="s">
        <v>256</v>
      </c>
      <c r="B228" s="56">
        <v>0.0</v>
      </c>
      <c r="C228" s="56">
        <v>0.0</v>
      </c>
      <c r="D228" s="56">
        <v>0.0</v>
      </c>
      <c r="E228" s="56">
        <v>40.72</v>
      </c>
      <c r="F228" s="58">
        <v>44335.0</v>
      </c>
      <c r="G228" s="56">
        <v>0.0</v>
      </c>
      <c r="H228" s="56">
        <v>33.2</v>
      </c>
      <c r="I228" s="59">
        <v>44393.0</v>
      </c>
      <c r="J228" s="56" t="s">
        <v>3594</v>
      </c>
      <c r="K228" s="15" t="s">
        <v>3821</v>
      </c>
      <c r="L228" s="60" t="str">
        <f t="shared" si="1"/>
        <v>Not in buy Zone</v>
      </c>
      <c r="M228" s="60" t="str">
        <f t="shared" si="2"/>
        <v>Not in buy Zone</v>
      </c>
      <c r="N228" s="33" t="str">
        <f t="shared" si="3"/>
        <v>No</v>
      </c>
    </row>
    <row r="229">
      <c r="A229" s="56" t="s">
        <v>257</v>
      </c>
      <c r="B229" s="56">
        <v>0.0</v>
      </c>
      <c r="C229" s="56">
        <v>292.49</v>
      </c>
      <c r="D229" s="56">
        <v>0.0</v>
      </c>
      <c r="E229" s="56">
        <v>0.0</v>
      </c>
      <c r="F229" s="58">
        <v>44393.0</v>
      </c>
      <c r="G229" s="56">
        <v>-1.0</v>
      </c>
      <c r="H229" s="56">
        <v>292.49</v>
      </c>
      <c r="I229" s="59">
        <v>44393.0</v>
      </c>
      <c r="J229" s="56" t="s">
        <v>3594</v>
      </c>
      <c r="K229" s="15" t="s">
        <v>3822</v>
      </c>
      <c r="L229" s="60" t="str">
        <f t="shared" si="1"/>
        <v>Not in buy Zone</v>
      </c>
      <c r="M229" s="60" t="str">
        <f t="shared" si="2"/>
        <v>Not in buy Zone</v>
      </c>
      <c r="N229" s="33" t="str">
        <f t="shared" si="3"/>
        <v>No</v>
      </c>
    </row>
    <row r="230">
      <c r="A230" s="56" t="s">
        <v>258</v>
      </c>
      <c r="B230" s="56">
        <v>0.0</v>
      </c>
      <c r="C230" s="56">
        <v>0.0</v>
      </c>
      <c r="D230" s="56">
        <v>0.0</v>
      </c>
      <c r="E230" s="56">
        <v>38.15</v>
      </c>
      <c r="F230" s="58">
        <v>44363.0</v>
      </c>
      <c r="G230" s="56">
        <v>0.0</v>
      </c>
      <c r="H230" s="56">
        <v>37.79</v>
      </c>
      <c r="I230" s="59">
        <v>44393.0</v>
      </c>
      <c r="J230" s="56" t="s">
        <v>3594</v>
      </c>
      <c r="K230" s="15" t="s">
        <v>3823</v>
      </c>
      <c r="L230" s="60" t="str">
        <f t="shared" si="1"/>
        <v>Not in buy Zone</v>
      </c>
      <c r="M230" s="60" t="str">
        <f t="shared" si="2"/>
        <v>Not in buy Zone</v>
      </c>
      <c r="N230" s="33" t="str">
        <f t="shared" si="3"/>
        <v>No</v>
      </c>
    </row>
    <row r="231">
      <c r="A231" s="56" t="s">
        <v>259</v>
      </c>
      <c r="B231" s="56">
        <v>0.0</v>
      </c>
      <c r="C231" s="56">
        <v>0.0</v>
      </c>
      <c r="D231" s="56">
        <v>0.0</v>
      </c>
      <c r="E231" s="56">
        <v>185.39</v>
      </c>
      <c r="F231" s="58">
        <v>44390.0</v>
      </c>
      <c r="G231" s="56">
        <v>0.0</v>
      </c>
      <c r="H231" s="56">
        <v>185.63</v>
      </c>
      <c r="I231" s="59">
        <v>44393.0</v>
      </c>
      <c r="J231" s="56" t="s">
        <v>3594</v>
      </c>
      <c r="K231" s="15" t="s">
        <v>3824</v>
      </c>
      <c r="L231" s="60" t="str">
        <f t="shared" si="1"/>
        <v>Not in buy Zone</v>
      </c>
      <c r="M231" s="60" t="str">
        <f t="shared" si="2"/>
        <v>Not in buy Zone</v>
      </c>
      <c r="N231" s="33" t="str">
        <f t="shared" si="3"/>
        <v>No</v>
      </c>
    </row>
    <row r="232">
      <c r="A232" s="56" t="s">
        <v>260</v>
      </c>
      <c r="B232" s="56">
        <v>0.0</v>
      </c>
      <c r="C232" s="56">
        <v>0.0</v>
      </c>
      <c r="D232" s="56">
        <v>145.24</v>
      </c>
      <c r="E232" s="56">
        <v>0.0</v>
      </c>
      <c r="F232" s="58">
        <v>44383.0</v>
      </c>
      <c r="G232" s="56">
        <v>0.0</v>
      </c>
      <c r="H232" s="56">
        <v>148.54</v>
      </c>
      <c r="I232" s="59">
        <v>44393.0</v>
      </c>
      <c r="J232" s="56" t="s">
        <v>3594</v>
      </c>
      <c r="K232" s="15" t="s">
        <v>3825</v>
      </c>
      <c r="L232" s="60" t="str">
        <f t="shared" si="1"/>
        <v>Not in buy Zone</v>
      </c>
      <c r="M232" s="60" t="str">
        <f t="shared" si="2"/>
        <v>Not in buy Zone</v>
      </c>
      <c r="N232" s="33" t="str">
        <f t="shared" si="3"/>
        <v>No</v>
      </c>
    </row>
    <row r="233">
      <c r="A233" s="56" t="s">
        <v>261</v>
      </c>
      <c r="B233" s="56">
        <v>0.0</v>
      </c>
      <c r="C233" s="56">
        <v>0.0</v>
      </c>
      <c r="D233" s="56">
        <v>108.99</v>
      </c>
      <c r="E233" s="56">
        <v>0.0</v>
      </c>
      <c r="F233" s="58">
        <v>44372.0</v>
      </c>
      <c r="G233" s="56">
        <v>0.0</v>
      </c>
      <c r="H233" s="56">
        <v>111.2</v>
      </c>
      <c r="I233" s="59">
        <v>44393.0</v>
      </c>
      <c r="J233" s="56" t="s">
        <v>3594</v>
      </c>
      <c r="K233" s="15" t="s">
        <v>3826</v>
      </c>
      <c r="L233" s="60" t="str">
        <f t="shared" si="1"/>
        <v>Not in buy Zone</v>
      </c>
      <c r="M233" s="60" t="str">
        <f t="shared" si="2"/>
        <v>Not in buy Zone</v>
      </c>
      <c r="N233" s="33" t="str">
        <f t="shared" si="3"/>
        <v>No</v>
      </c>
    </row>
    <row r="234">
      <c r="A234" s="56" t="s">
        <v>262</v>
      </c>
      <c r="B234" s="56">
        <v>0.0</v>
      </c>
      <c r="C234" s="56">
        <v>36.4</v>
      </c>
      <c r="D234" s="56">
        <v>0.0</v>
      </c>
      <c r="E234" s="56">
        <v>0.0</v>
      </c>
      <c r="F234" s="58">
        <v>44393.0</v>
      </c>
      <c r="G234" s="56">
        <v>-1.0</v>
      </c>
      <c r="H234" s="56">
        <v>36.4</v>
      </c>
      <c r="I234" s="59">
        <v>44393.0</v>
      </c>
      <c r="J234" s="56" t="s">
        <v>3594</v>
      </c>
      <c r="K234" s="15" t="s">
        <v>3827</v>
      </c>
      <c r="L234" s="60" t="str">
        <f t="shared" si="1"/>
        <v>Not in buy Zone</v>
      </c>
      <c r="M234" s="60" t="str">
        <f t="shared" si="2"/>
        <v>Not in buy Zone</v>
      </c>
      <c r="N234" s="33" t="str">
        <f t="shared" si="3"/>
        <v>No</v>
      </c>
    </row>
    <row r="235">
      <c r="A235" s="56" t="s">
        <v>263</v>
      </c>
      <c r="B235" s="56">
        <v>0.0</v>
      </c>
      <c r="C235" s="56">
        <v>0.0</v>
      </c>
      <c r="D235" s="56">
        <v>256.73</v>
      </c>
      <c r="E235" s="56">
        <v>0.0</v>
      </c>
      <c r="F235" s="58">
        <v>44391.0</v>
      </c>
      <c r="G235" s="56">
        <v>0.0</v>
      </c>
      <c r="H235" s="56">
        <v>255.18</v>
      </c>
      <c r="I235" s="59">
        <v>44393.0</v>
      </c>
      <c r="J235" s="56" t="s">
        <v>3594</v>
      </c>
      <c r="K235" s="15" t="s">
        <v>3828</v>
      </c>
      <c r="L235" s="60" t="str">
        <f t="shared" si="1"/>
        <v>Not in buy Zone</v>
      </c>
      <c r="M235" s="60" t="str">
        <f t="shared" si="2"/>
        <v>Not in buy Zone</v>
      </c>
      <c r="N235" s="33" t="str">
        <f t="shared" si="3"/>
        <v>No</v>
      </c>
    </row>
    <row r="236">
      <c r="A236" s="56" t="s">
        <v>264</v>
      </c>
      <c r="B236" s="56">
        <v>0.0</v>
      </c>
      <c r="C236" s="56">
        <v>0.0</v>
      </c>
      <c r="D236" s="56">
        <v>0.0</v>
      </c>
      <c r="E236" s="56">
        <v>118.0</v>
      </c>
      <c r="F236" s="58">
        <v>44364.0</v>
      </c>
      <c r="G236" s="56">
        <v>0.0</v>
      </c>
      <c r="H236" s="56">
        <v>105.14</v>
      </c>
      <c r="I236" s="59">
        <v>44393.0</v>
      </c>
      <c r="J236" s="56" t="s">
        <v>3594</v>
      </c>
      <c r="K236" s="15" t="s">
        <v>3829</v>
      </c>
      <c r="L236" s="60" t="str">
        <f t="shared" si="1"/>
        <v>Not in buy Zone</v>
      </c>
      <c r="M236" s="60" t="str">
        <f t="shared" si="2"/>
        <v>Not in buy Zone</v>
      </c>
      <c r="N236" s="33" t="str">
        <f t="shared" si="3"/>
        <v>No</v>
      </c>
    </row>
    <row r="237">
      <c r="A237" s="56" t="s">
        <v>265</v>
      </c>
      <c r="B237" s="56">
        <v>0.0</v>
      </c>
      <c r="C237" s="56">
        <v>0.0</v>
      </c>
      <c r="D237" s="56">
        <v>0.0</v>
      </c>
      <c r="E237" s="56">
        <v>35.2</v>
      </c>
      <c r="F237" s="58">
        <v>44377.0</v>
      </c>
      <c r="G237" s="56">
        <v>0.0</v>
      </c>
      <c r="H237" s="56">
        <v>33.37</v>
      </c>
      <c r="I237" s="59">
        <v>44393.0</v>
      </c>
      <c r="J237" s="56" t="s">
        <v>3594</v>
      </c>
      <c r="K237" s="15" t="s">
        <v>3830</v>
      </c>
      <c r="L237" s="60" t="str">
        <f t="shared" si="1"/>
        <v>Not in buy Zone</v>
      </c>
      <c r="M237" s="60" t="str">
        <f t="shared" si="2"/>
        <v>Not in buy Zone</v>
      </c>
      <c r="N237" s="33" t="str">
        <f t="shared" si="3"/>
        <v>No</v>
      </c>
    </row>
    <row r="238">
      <c r="A238" s="56" t="s">
        <v>266</v>
      </c>
      <c r="B238" s="56">
        <v>0.0</v>
      </c>
      <c r="C238" s="56">
        <v>0.0</v>
      </c>
      <c r="D238" s="56">
        <v>0.0</v>
      </c>
      <c r="E238" s="56">
        <v>37.13</v>
      </c>
      <c r="F238" s="58">
        <v>44377.0</v>
      </c>
      <c r="G238" s="56">
        <v>0.0</v>
      </c>
      <c r="H238" s="56">
        <v>35.28</v>
      </c>
      <c r="I238" s="59">
        <v>44393.0</v>
      </c>
      <c r="J238" s="56" t="s">
        <v>3594</v>
      </c>
      <c r="K238" s="15" t="s">
        <v>3831</v>
      </c>
      <c r="L238" s="60" t="str">
        <f t="shared" si="1"/>
        <v>Not in buy Zone</v>
      </c>
      <c r="M238" s="60" t="str">
        <f t="shared" si="2"/>
        <v>Not in buy Zone</v>
      </c>
      <c r="N238" s="33" t="str">
        <f t="shared" si="3"/>
        <v>No</v>
      </c>
    </row>
    <row r="239">
      <c r="A239" s="56" t="s">
        <v>267</v>
      </c>
      <c r="B239" s="56">
        <v>0.0</v>
      </c>
      <c r="C239" s="56">
        <v>0.0</v>
      </c>
      <c r="D239" s="56">
        <v>190.55</v>
      </c>
      <c r="E239" s="56">
        <v>0.0</v>
      </c>
      <c r="F239" s="58">
        <v>44379.0</v>
      </c>
      <c r="G239" s="56">
        <v>0.0</v>
      </c>
      <c r="H239" s="56">
        <v>195.53</v>
      </c>
      <c r="I239" s="59">
        <v>44393.0</v>
      </c>
      <c r="J239" s="56" t="s">
        <v>3594</v>
      </c>
      <c r="K239" s="15" t="s">
        <v>3832</v>
      </c>
      <c r="L239" s="60" t="str">
        <f t="shared" si="1"/>
        <v>Not in buy Zone</v>
      </c>
      <c r="M239" s="60" t="str">
        <f t="shared" si="2"/>
        <v>Not in buy Zone</v>
      </c>
      <c r="N239" s="33" t="str">
        <f t="shared" si="3"/>
        <v>No</v>
      </c>
    </row>
    <row r="240">
      <c r="A240" s="56" t="s">
        <v>268</v>
      </c>
      <c r="B240" s="56">
        <v>0.0</v>
      </c>
      <c r="C240" s="56">
        <v>0.0</v>
      </c>
      <c r="D240" s="56">
        <v>0.0</v>
      </c>
      <c r="E240" s="56">
        <v>117.29</v>
      </c>
      <c r="F240" s="58">
        <v>44365.0</v>
      </c>
      <c r="G240" s="56">
        <v>0.0</v>
      </c>
      <c r="H240" s="56">
        <v>117.15</v>
      </c>
      <c r="I240" s="59">
        <v>44393.0</v>
      </c>
      <c r="J240" s="56" t="s">
        <v>3594</v>
      </c>
      <c r="K240" s="15" t="s">
        <v>3833</v>
      </c>
      <c r="L240" s="60" t="str">
        <f t="shared" si="1"/>
        <v>Not in buy Zone</v>
      </c>
      <c r="M240" s="60" t="str">
        <f t="shared" si="2"/>
        <v>Not in buy Zone</v>
      </c>
      <c r="N240" s="33" t="str">
        <f t="shared" si="3"/>
        <v>No</v>
      </c>
    </row>
    <row r="241">
      <c r="A241" s="56" t="s">
        <v>269</v>
      </c>
      <c r="B241" s="56">
        <v>0.0</v>
      </c>
      <c r="C241" s="56">
        <v>0.0</v>
      </c>
      <c r="D241" s="56">
        <v>0.0</v>
      </c>
      <c r="E241" s="56">
        <v>85.6</v>
      </c>
      <c r="F241" s="58">
        <v>44392.0</v>
      </c>
      <c r="G241" s="56">
        <v>0.0</v>
      </c>
      <c r="H241" s="56">
        <v>83.49</v>
      </c>
      <c r="I241" s="59">
        <v>44393.0</v>
      </c>
      <c r="J241" s="56" t="s">
        <v>3594</v>
      </c>
      <c r="K241" s="15" t="s">
        <v>3834</v>
      </c>
      <c r="L241" s="60" t="str">
        <f t="shared" si="1"/>
        <v>Not in buy Zone</v>
      </c>
      <c r="M241" s="60" t="str">
        <f t="shared" si="2"/>
        <v>Not in buy Zone</v>
      </c>
      <c r="N241" s="33" t="str">
        <f t="shared" si="3"/>
        <v>No</v>
      </c>
    </row>
    <row r="242">
      <c r="A242" s="56" t="s">
        <v>270</v>
      </c>
      <c r="B242" s="56">
        <v>0.0</v>
      </c>
      <c r="C242" s="56">
        <v>0.0</v>
      </c>
      <c r="D242" s="56">
        <v>0.0</v>
      </c>
      <c r="E242" s="56">
        <v>54.37</v>
      </c>
      <c r="F242" s="58">
        <v>44384.0</v>
      </c>
      <c r="G242" s="56">
        <v>0.0</v>
      </c>
      <c r="H242" s="56">
        <v>49.99</v>
      </c>
      <c r="I242" s="59">
        <v>44393.0</v>
      </c>
      <c r="J242" s="56" t="s">
        <v>3594</v>
      </c>
      <c r="K242" s="15" t="s">
        <v>3835</v>
      </c>
      <c r="L242" s="60" t="str">
        <f t="shared" si="1"/>
        <v>Not in buy Zone</v>
      </c>
      <c r="M242" s="60" t="str">
        <f t="shared" si="2"/>
        <v>Not in buy Zone</v>
      </c>
      <c r="N242" s="33" t="str">
        <f t="shared" si="3"/>
        <v>No</v>
      </c>
    </row>
    <row r="243">
      <c r="A243" s="56" t="s">
        <v>271</v>
      </c>
      <c r="B243" s="56">
        <v>0.0</v>
      </c>
      <c r="C243" s="56">
        <v>0.0</v>
      </c>
      <c r="D243" s="56">
        <v>253.33</v>
      </c>
      <c r="E243" s="56">
        <v>0.0</v>
      </c>
      <c r="F243" s="58">
        <v>44384.0</v>
      </c>
      <c r="G243" s="56">
        <v>0.0</v>
      </c>
      <c r="H243" s="56">
        <v>258.44</v>
      </c>
      <c r="I243" s="59">
        <v>44393.0</v>
      </c>
      <c r="J243" s="56" t="s">
        <v>3594</v>
      </c>
      <c r="K243" s="15" t="s">
        <v>3836</v>
      </c>
      <c r="L243" s="60" t="str">
        <f t="shared" si="1"/>
        <v>Not in buy Zone</v>
      </c>
      <c r="M243" s="60" t="str">
        <f t="shared" si="2"/>
        <v>Not in buy Zone</v>
      </c>
      <c r="N243" s="33" t="str">
        <f t="shared" si="3"/>
        <v>No</v>
      </c>
    </row>
    <row r="244">
      <c r="A244" s="56" t="s">
        <v>272</v>
      </c>
      <c r="B244" s="56">
        <v>0.0</v>
      </c>
      <c r="C244" s="56">
        <v>0.0</v>
      </c>
      <c r="D244" s="56">
        <v>70.72</v>
      </c>
      <c r="E244" s="56">
        <v>0.0</v>
      </c>
      <c r="F244" s="58">
        <v>44379.0</v>
      </c>
      <c r="G244" s="56">
        <v>0.0</v>
      </c>
      <c r="H244" s="56">
        <v>69.91</v>
      </c>
      <c r="I244" s="59">
        <v>44393.0</v>
      </c>
      <c r="J244" s="56" t="s">
        <v>3594</v>
      </c>
      <c r="K244" s="15" t="s">
        <v>3837</v>
      </c>
      <c r="L244" s="60" t="str">
        <f t="shared" si="1"/>
        <v>Not in buy Zone</v>
      </c>
      <c r="M244" s="60" t="str">
        <f t="shared" si="2"/>
        <v>Not in buy Zone</v>
      </c>
      <c r="N244" s="33" t="str">
        <f t="shared" si="3"/>
        <v>No</v>
      </c>
    </row>
    <row r="245">
      <c r="A245" s="56" t="s">
        <v>273</v>
      </c>
      <c r="B245" s="56">
        <v>0.0</v>
      </c>
      <c r="C245" s="56">
        <v>0.0</v>
      </c>
      <c r="D245" s="56">
        <v>0.0</v>
      </c>
      <c r="E245" s="56">
        <v>30.96</v>
      </c>
      <c r="F245" s="58">
        <v>44378.0</v>
      </c>
      <c r="G245" s="56">
        <v>0.0</v>
      </c>
      <c r="H245" s="56">
        <v>25.97</v>
      </c>
      <c r="I245" s="59">
        <v>44393.0</v>
      </c>
      <c r="J245" s="56" t="s">
        <v>3594</v>
      </c>
      <c r="K245" s="15" t="s">
        <v>3838</v>
      </c>
      <c r="L245" s="60" t="str">
        <f t="shared" si="1"/>
        <v>Not in buy Zone</v>
      </c>
      <c r="M245" s="60" t="str">
        <f t="shared" si="2"/>
        <v>Not in buy Zone</v>
      </c>
      <c r="N245" s="33" t="str">
        <f t="shared" si="3"/>
        <v>No</v>
      </c>
    </row>
    <row r="246">
      <c r="A246" s="56" t="s">
        <v>274</v>
      </c>
      <c r="B246" s="56">
        <v>0.0</v>
      </c>
      <c r="C246" s="56">
        <v>0.0</v>
      </c>
      <c r="D246" s="56">
        <v>0.0</v>
      </c>
      <c r="E246" s="56">
        <v>44.22</v>
      </c>
      <c r="F246" s="58">
        <v>44383.0</v>
      </c>
      <c r="G246" s="56">
        <v>0.0</v>
      </c>
      <c r="H246" s="56">
        <v>44.4</v>
      </c>
      <c r="I246" s="59">
        <v>44393.0</v>
      </c>
      <c r="J246" s="56" t="s">
        <v>3594</v>
      </c>
      <c r="K246" s="15" t="s">
        <v>3839</v>
      </c>
      <c r="L246" s="60" t="str">
        <f t="shared" si="1"/>
        <v>Not in buy Zone</v>
      </c>
      <c r="M246" s="60" t="str">
        <f t="shared" si="2"/>
        <v>Not in buy Zone</v>
      </c>
      <c r="N246" s="33" t="str">
        <f t="shared" si="3"/>
        <v>No</v>
      </c>
    </row>
    <row r="247">
      <c r="A247" s="56" t="s">
        <v>275</v>
      </c>
      <c r="B247" s="56">
        <v>0.0</v>
      </c>
      <c r="C247" s="56">
        <v>0.0</v>
      </c>
      <c r="D247" s="56">
        <v>0.0</v>
      </c>
      <c r="E247" s="56">
        <v>26.4</v>
      </c>
      <c r="F247" s="58">
        <v>44390.0</v>
      </c>
      <c r="G247" s="56">
        <v>0.0</v>
      </c>
      <c r="H247" s="56">
        <v>25.52</v>
      </c>
      <c r="I247" s="59">
        <v>44392.0</v>
      </c>
      <c r="J247" s="56" t="s">
        <v>3594</v>
      </c>
      <c r="K247" s="15" t="s">
        <v>3840</v>
      </c>
      <c r="L247" s="60" t="str">
        <f t="shared" si="1"/>
        <v>Not in buy Zone</v>
      </c>
      <c r="M247" s="60" t="str">
        <f t="shared" si="2"/>
        <v>Not in buy Zone</v>
      </c>
      <c r="N247" s="33" t="str">
        <f t="shared" si="3"/>
        <v>No</v>
      </c>
    </row>
    <row r="248">
      <c r="A248" s="56" t="s">
        <v>276</v>
      </c>
      <c r="B248" s="56">
        <v>0.0</v>
      </c>
      <c r="C248" s="56">
        <v>0.0</v>
      </c>
      <c r="D248" s="56">
        <v>189.33</v>
      </c>
      <c r="E248" s="56">
        <v>0.0</v>
      </c>
      <c r="F248" s="58">
        <v>44389.0</v>
      </c>
      <c r="G248" s="56">
        <v>0.0</v>
      </c>
      <c r="H248" s="56">
        <v>189.28</v>
      </c>
      <c r="I248" s="59">
        <v>44393.0</v>
      </c>
      <c r="J248" s="56" t="s">
        <v>3594</v>
      </c>
      <c r="K248" s="15" t="s">
        <v>3841</v>
      </c>
      <c r="L248" s="60" t="str">
        <f t="shared" si="1"/>
        <v>Not in buy Zone</v>
      </c>
      <c r="M248" s="60" t="str">
        <f t="shared" si="2"/>
        <v>Not in buy Zone</v>
      </c>
      <c r="N248" s="33" t="str">
        <f t="shared" si="3"/>
        <v>No</v>
      </c>
    </row>
    <row r="249">
      <c r="A249" s="56" t="s">
        <v>277</v>
      </c>
      <c r="B249" s="56">
        <v>0.0</v>
      </c>
      <c r="C249" s="56">
        <v>0.0</v>
      </c>
      <c r="D249" s="56">
        <v>34.74</v>
      </c>
      <c r="E249" s="56">
        <v>0.0</v>
      </c>
      <c r="F249" s="58">
        <v>44391.0</v>
      </c>
      <c r="G249" s="56">
        <v>0.0</v>
      </c>
      <c r="H249" s="56">
        <v>33.92</v>
      </c>
      <c r="I249" s="59">
        <v>44393.0</v>
      </c>
      <c r="J249" s="56" t="s">
        <v>3594</v>
      </c>
      <c r="K249" s="15" t="s">
        <v>3842</v>
      </c>
      <c r="L249" s="60" t="str">
        <f t="shared" si="1"/>
        <v>Not in buy Zone</v>
      </c>
      <c r="M249" s="60" t="str">
        <f t="shared" si="2"/>
        <v>Not in buy Zone</v>
      </c>
      <c r="N249" s="33" t="str">
        <f t="shared" si="3"/>
        <v>No</v>
      </c>
    </row>
    <row r="250">
      <c r="A250" s="56" t="s">
        <v>278</v>
      </c>
      <c r="B250" s="56">
        <v>0.0</v>
      </c>
      <c r="C250" s="56">
        <v>0.0</v>
      </c>
      <c r="D250" s="56">
        <v>0.0</v>
      </c>
      <c r="E250" s="56">
        <v>12.92</v>
      </c>
      <c r="F250" s="58">
        <v>44383.0</v>
      </c>
      <c r="G250" s="56">
        <v>0.0</v>
      </c>
      <c r="H250" s="56">
        <v>12.55</v>
      </c>
      <c r="I250" s="59">
        <v>44393.0</v>
      </c>
      <c r="J250" s="56" t="s">
        <v>3594</v>
      </c>
      <c r="K250" s="15" t="s">
        <v>3843</v>
      </c>
      <c r="L250" s="60" t="str">
        <f t="shared" si="1"/>
        <v>Not in buy Zone</v>
      </c>
      <c r="M250" s="60" t="str">
        <f t="shared" si="2"/>
        <v>Not in buy Zone</v>
      </c>
      <c r="N250" s="33" t="str">
        <f t="shared" si="3"/>
        <v>No</v>
      </c>
    </row>
    <row r="251">
      <c r="A251" s="56" t="s">
        <v>279</v>
      </c>
      <c r="B251" s="56">
        <v>68.63</v>
      </c>
      <c r="C251" s="56">
        <v>0.0</v>
      </c>
      <c r="D251" s="56">
        <v>0.0</v>
      </c>
      <c r="E251" s="56">
        <v>0.0</v>
      </c>
      <c r="F251" s="58">
        <v>44393.0</v>
      </c>
      <c r="G251" s="56">
        <v>1.0</v>
      </c>
      <c r="H251" s="56">
        <v>68.63</v>
      </c>
      <c r="I251" s="59">
        <v>44393.0</v>
      </c>
      <c r="J251" s="56" t="s">
        <v>3594</v>
      </c>
      <c r="K251" s="15" t="s">
        <v>3844</v>
      </c>
      <c r="L251" s="60">
        <f t="shared" si="1"/>
        <v>68.97315</v>
      </c>
      <c r="M251" s="60">
        <f t="shared" si="2"/>
        <v>68.28685</v>
      </c>
      <c r="N251" s="33" t="str">
        <f t="shared" si="3"/>
        <v>Yes</v>
      </c>
    </row>
    <row r="252">
      <c r="A252" s="56" t="s">
        <v>280</v>
      </c>
      <c r="B252" s="56">
        <v>60.05</v>
      </c>
      <c r="C252" s="56">
        <v>0.0</v>
      </c>
      <c r="D252" s="56">
        <v>0.0</v>
      </c>
      <c r="E252" s="56">
        <v>0.0</v>
      </c>
      <c r="F252" s="58">
        <v>44393.0</v>
      </c>
      <c r="G252" s="56">
        <v>1.0</v>
      </c>
      <c r="H252" s="56">
        <v>60.05</v>
      </c>
      <c r="I252" s="59">
        <v>44393.0</v>
      </c>
      <c r="J252" s="56" t="s">
        <v>3594</v>
      </c>
      <c r="K252" s="15" t="s">
        <v>3845</v>
      </c>
      <c r="L252" s="60">
        <f t="shared" si="1"/>
        <v>60.35025</v>
      </c>
      <c r="M252" s="60">
        <f t="shared" si="2"/>
        <v>59.74975</v>
      </c>
      <c r="N252" s="33" t="str">
        <f t="shared" si="3"/>
        <v>Yes</v>
      </c>
    </row>
    <row r="253">
      <c r="A253" s="56" t="s">
        <v>281</v>
      </c>
      <c r="B253" s="56">
        <v>0.0</v>
      </c>
      <c r="C253" s="56">
        <v>0.0</v>
      </c>
      <c r="D253" s="56">
        <v>93.77</v>
      </c>
      <c r="E253" s="56">
        <v>0.0</v>
      </c>
      <c r="F253" s="58">
        <v>44391.0</v>
      </c>
      <c r="G253" s="56">
        <v>0.0</v>
      </c>
      <c r="H253" s="56">
        <v>94.05</v>
      </c>
      <c r="I253" s="59">
        <v>44393.0</v>
      </c>
      <c r="J253" s="56" t="s">
        <v>3594</v>
      </c>
      <c r="K253" s="15" t="s">
        <v>3846</v>
      </c>
      <c r="L253" s="60" t="str">
        <f t="shared" si="1"/>
        <v>Not in buy Zone</v>
      </c>
      <c r="M253" s="60" t="str">
        <f t="shared" si="2"/>
        <v>Not in buy Zone</v>
      </c>
      <c r="N253" s="33" t="str">
        <f t="shared" si="3"/>
        <v>No</v>
      </c>
    </row>
    <row r="254">
      <c r="A254" s="56" t="s">
        <v>282</v>
      </c>
      <c r="B254" s="56">
        <v>0.0</v>
      </c>
      <c r="C254" s="56">
        <v>0.0</v>
      </c>
      <c r="D254" s="56">
        <v>169.21</v>
      </c>
      <c r="E254" s="56">
        <v>0.0</v>
      </c>
      <c r="F254" s="58">
        <v>44386.0</v>
      </c>
      <c r="G254" s="56">
        <v>0.0</v>
      </c>
      <c r="H254" s="56">
        <v>169.41</v>
      </c>
      <c r="I254" s="59">
        <v>44393.0</v>
      </c>
      <c r="J254" s="56" t="s">
        <v>3594</v>
      </c>
      <c r="K254" s="15" t="s">
        <v>3847</v>
      </c>
      <c r="L254" s="60" t="str">
        <f t="shared" si="1"/>
        <v>Not in buy Zone</v>
      </c>
      <c r="M254" s="60" t="str">
        <f t="shared" si="2"/>
        <v>Not in buy Zone</v>
      </c>
      <c r="N254" s="33" t="str">
        <f t="shared" si="3"/>
        <v>No</v>
      </c>
    </row>
    <row r="255">
      <c r="A255" s="56" t="s">
        <v>283</v>
      </c>
      <c r="B255" s="56">
        <v>0.0</v>
      </c>
      <c r="C255" s="56">
        <v>0.0</v>
      </c>
      <c r="D255" s="56">
        <v>40.99</v>
      </c>
      <c r="E255" s="56">
        <v>0.0</v>
      </c>
      <c r="F255" s="58">
        <v>44375.0</v>
      </c>
      <c r="G255" s="56">
        <v>0.0</v>
      </c>
      <c r="H255" s="56">
        <v>39.82</v>
      </c>
      <c r="I255" s="59">
        <v>44393.0</v>
      </c>
      <c r="J255" s="56" t="s">
        <v>3594</v>
      </c>
      <c r="K255" s="15" t="s">
        <v>3848</v>
      </c>
      <c r="L255" s="60" t="str">
        <f t="shared" si="1"/>
        <v>Not in buy Zone</v>
      </c>
      <c r="M255" s="60" t="str">
        <f t="shared" si="2"/>
        <v>Not in buy Zone</v>
      </c>
      <c r="N255" s="33" t="str">
        <f t="shared" si="3"/>
        <v>No</v>
      </c>
    </row>
    <row r="256">
      <c r="A256" s="56" t="s">
        <v>284</v>
      </c>
      <c r="B256" s="56">
        <v>0.0</v>
      </c>
      <c r="C256" s="56">
        <v>0.0</v>
      </c>
      <c r="D256" s="56">
        <v>0.0</v>
      </c>
      <c r="E256" s="56">
        <v>60.08</v>
      </c>
      <c r="F256" s="58">
        <v>44364.0</v>
      </c>
      <c r="G256" s="56">
        <v>0.0</v>
      </c>
      <c r="H256" s="56">
        <v>55.46</v>
      </c>
      <c r="I256" s="59">
        <v>44393.0</v>
      </c>
      <c r="J256" s="56" t="s">
        <v>3594</v>
      </c>
      <c r="K256" s="15" t="s">
        <v>3849</v>
      </c>
      <c r="L256" s="60" t="str">
        <f t="shared" si="1"/>
        <v>Not in buy Zone</v>
      </c>
      <c r="M256" s="60" t="str">
        <f t="shared" si="2"/>
        <v>Not in buy Zone</v>
      </c>
      <c r="N256" s="33" t="str">
        <f t="shared" si="3"/>
        <v>No</v>
      </c>
    </row>
    <row r="257">
      <c r="A257" s="56" t="s">
        <v>285</v>
      </c>
      <c r="B257" s="56">
        <v>0.0</v>
      </c>
      <c r="C257" s="56">
        <v>0.0</v>
      </c>
      <c r="D257" s="56">
        <v>0.0</v>
      </c>
      <c r="E257" s="56">
        <v>233.34</v>
      </c>
      <c r="F257" s="58">
        <v>44358.0</v>
      </c>
      <c r="G257" s="56">
        <v>0.0</v>
      </c>
      <c r="H257" s="56">
        <v>169.04</v>
      </c>
      <c r="I257" s="59">
        <v>44393.0</v>
      </c>
      <c r="J257" s="56" t="s">
        <v>3594</v>
      </c>
      <c r="K257" s="15" t="s">
        <v>3850</v>
      </c>
      <c r="L257" s="60" t="str">
        <f t="shared" si="1"/>
        <v>Not in buy Zone</v>
      </c>
      <c r="M257" s="60" t="str">
        <f t="shared" si="2"/>
        <v>Not in buy Zone</v>
      </c>
      <c r="N257" s="33" t="str">
        <f t="shared" si="3"/>
        <v>No</v>
      </c>
    </row>
    <row r="258">
      <c r="A258" s="56" t="s">
        <v>286</v>
      </c>
      <c r="B258" s="56">
        <v>0.0</v>
      </c>
      <c r="C258" s="56">
        <v>430.34</v>
      </c>
      <c r="D258" s="56">
        <v>0.0</v>
      </c>
      <c r="E258" s="56">
        <v>0.0</v>
      </c>
      <c r="F258" s="58">
        <v>44393.0</v>
      </c>
      <c r="G258" s="56">
        <v>-1.0</v>
      </c>
      <c r="H258" s="56">
        <v>430.34</v>
      </c>
      <c r="I258" s="59">
        <v>44393.0</v>
      </c>
      <c r="J258" s="56" t="s">
        <v>3594</v>
      </c>
      <c r="K258" s="15" t="s">
        <v>3851</v>
      </c>
      <c r="L258" s="60" t="str">
        <f t="shared" si="1"/>
        <v>Not in buy Zone</v>
      </c>
      <c r="M258" s="60" t="str">
        <f t="shared" si="2"/>
        <v>Not in buy Zone</v>
      </c>
      <c r="N258" s="33" t="str">
        <f t="shared" si="3"/>
        <v>No</v>
      </c>
    </row>
    <row r="259">
      <c r="A259" s="56" t="s">
        <v>287</v>
      </c>
      <c r="B259" s="56">
        <v>0.0</v>
      </c>
      <c r="C259" s="56">
        <v>0.0</v>
      </c>
      <c r="D259" s="56">
        <v>2595.42</v>
      </c>
      <c r="E259" s="56">
        <v>0.0</v>
      </c>
      <c r="F259" s="58">
        <v>44383.0</v>
      </c>
      <c r="G259" s="56">
        <v>0.0</v>
      </c>
      <c r="H259" s="56">
        <v>2636.91</v>
      </c>
      <c r="I259" s="59">
        <v>44393.0</v>
      </c>
      <c r="J259" s="56" t="s">
        <v>3594</v>
      </c>
      <c r="K259" s="15" t="s">
        <v>3852</v>
      </c>
      <c r="L259" s="60" t="str">
        <f t="shared" si="1"/>
        <v>Not in buy Zone</v>
      </c>
      <c r="M259" s="60" t="str">
        <f t="shared" si="2"/>
        <v>Not in buy Zone</v>
      </c>
      <c r="N259" s="33" t="str">
        <f t="shared" si="3"/>
        <v>No</v>
      </c>
    </row>
    <row r="260">
      <c r="A260" s="56" t="s">
        <v>288</v>
      </c>
      <c r="B260" s="56">
        <v>0.0</v>
      </c>
      <c r="C260" s="56">
        <v>0.0</v>
      </c>
      <c r="D260" s="56">
        <v>2380.31</v>
      </c>
      <c r="E260" s="56">
        <v>0.0</v>
      </c>
      <c r="F260" s="58">
        <v>44342.0</v>
      </c>
      <c r="G260" s="56">
        <v>0.0</v>
      </c>
      <c r="H260" s="56">
        <v>2539.4</v>
      </c>
      <c r="I260" s="59">
        <v>44393.0</v>
      </c>
      <c r="J260" s="56" t="s">
        <v>3594</v>
      </c>
      <c r="K260" s="15" t="s">
        <v>3853</v>
      </c>
      <c r="L260" s="60" t="str">
        <f t="shared" si="1"/>
        <v>Not in buy Zone</v>
      </c>
      <c r="M260" s="60" t="str">
        <f t="shared" si="2"/>
        <v>Not in buy Zone</v>
      </c>
      <c r="N260" s="33" t="str">
        <f t="shared" si="3"/>
        <v>No</v>
      </c>
    </row>
    <row r="261">
      <c r="A261" s="56" t="s">
        <v>289</v>
      </c>
      <c r="B261" s="56">
        <v>0.0</v>
      </c>
      <c r="C261" s="56">
        <v>0.0</v>
      </c>
      <c r="D261" s="56">
        <v>26.705</v>
      </c>
      <c r="E261" s="56">
        <v>0.0</v>
      </c>
      <c r="F261" s="58">
        <v>44383.0</v>
      </c>
      <c r="G261" s="56">
        <v>0.0</v>
      </c>
      <c r="H261" s="56">
        <v>26.775</v>
      </c>
      <c r="I261" s="59">
        <v>44393.0</v>
      </c>
      <c r="J261" s="56" t="s">
        <v>3594</v>
      </c>
      <c r="K261" s="15" t="s">
        <v>3854</v>
      </c>
      <c r="L261" s="60" t="str">
        <f t="shared" si="1"/>
        <v>Not in buy Zone</v>
      </c>
      <c r="M261" s="60" t="str">
        <f t="shared" si="2"/>
        <v>Not in buy Zone</v>
      </c>
      <c r="N261" s="33" t="str">
        <f t="shared" si="3"/>
        <v>No</v>
      </c>
    </row>
    <row r="262">
      <c r="A262" s="56" t="s">
        <v>290</v>
      </c>
      <c r="B262" s="56">
        <v>0.0</v>
      </c>
      <c r="C262" s="56">
        <v>0.0</v>
      </c>
      <c r="D262" s="56">
        <v>128.31</v>
      </c>
      <c r="E262" s="56">
        <v>0.0</v>
      </c>
      <c r="F262" s="58">
        <v>44378.0</v>
      </c>
      <c r="G262" s="56">
        <v>0.0</v>
      </c>
      <c r="H262" s="56">
        <v>127.61</v>
      </c>
      <c r="I262" s="59">
        <v>44393.0</v>
      </c>
      <c r="J262" s="56" t="s">
        <v>3594</v>
      </c>
      <c r="K262" s="15" t="s">
        <v>3855</v>
      </c>
      <c r="L262" s="60" t="str">
        <f t="shared" si="1"/>
        <v>Not in buy Zone</v>
      </c>
      <c r="M262" s="60" t="str">
        <f t="shared" si="2"/>
        <v>Not in buy Zone</v>
      </c>
      <c r="N262" s="33" t="str">
        <f t="shared" si="3"/>
        <v>No</v>
      </c>
    </row>
    <row r="263">
      <c r="A263" s="56" t="s">
        <v>291</v>
      </c>
      <c r="B263" s="56">
        <v>0.0</v>
      </c>
      <c r="C263" s="56">
        <v>0.0</v>
      </c>
      <c r="D263" s="56">
        <v>192.21</v>
      </c>
      <c r="E263" s="56">
        <v>0.0</v>
      </c>
      <c r="F263" s="58">
        <v>44378.0</v>
      </c>
      <c r="G263" s="56">
        <v>0.0</v>
      </c>
      <c r="H263" s="56">
        <v>194.73</v>
      </c>
      <c r="I263" s="59">
        <v>44393.0</v>
      </c>
      <c r="J263" s="56" t="s">
        <v>3594</v>
      </c>
      <c r="K263" s="15" t="s">
        <v>3856</v>
      </c>
      <c r="L263" s="60" t="str">
        <f t="shared" si="1"/>
        <v>Not in buy Zone</v>
      </c>
      <c r="M263" s="60" t="str">
        <f t="shared" si="2"/>
        <v>Not in buy Zone</v>
      </c>
      <c r="N263" s="33" t="str">
        <f t="shared" si="3"/>
        <v>No</v>
      </c>
    </row>
    <row r="264">
      <c r="A264" s="56" t="s">
        <v>292</v>
      </c>
      <c r="B264" s="56">
        <v>0.0</v>
      </c>
      <c r="C264" s="56">
        <v>0.0</v>
      </c>
      <c r="D264" s="56">
        <v>0.0</v>
      </c>
      <c r="E264" s="56">
        <v>31.38</v>
      </c>
      <c r="F264" s="58">
        <v>44384.0</v>
      </c>
      <c r="G264" s="56">
        <v>0.0</v>
      </c>
      <c r="H264" s="56">
        <v>28.32</v>
      </c>
      <c r="I264" s="59">
        <v>44393.0</v>
      </c>
      <c r="J264" s="56" t="s">
        <v>3594</v>
      </c>
      <c r="K264" s="15" t="s">
        <v>3857</v>
      </c>
      <c r="L264" s="60" t="str">
        <f t="shared" si="1"/>
        <v>Not in buy Zone</v>
      </c>
      <c r="M264" s="60" t="str">
        <f t="shared" si="2"/>
        <v>Not in buy Zone</v>
      </c>
      <c r="N264" s="33" t="str">
        <f t="shared" si="3"/>
        <v>No</v>
      </c>
    </row>
    <row r="265">
      <c r="A265" s="56" t="s">
        <v>293</v>
      </c>
      <c r="B265" s="56">
        <v>0.0</v>
      </c>
      <c r="C265" s="56">
        <v>0.0</v>
      </c>
      <c r="D265" s="56">
        <v>145.38</v>
      </c>
      <c r="E265" s="56">
        <v>0.0</v>
      </c>
      <c r="F265" s="58">
        <v>44376.0</v>
      </c>
      <c r="G265" s="56">
        <v>0.0</v>
      </c>
      <c r="H265" s="56">
        <v>149.39</v>
      </c>
      <c r="I265" s="59">
        <v>44393.0</v>
      </c>
      <c r="J265" s="56" t="s">
        <v>3594</v>
      </c>
      <c r="K265" s="15" t="s">
        <v>3858</v>
      </c>
      <c r="L265" s="60" t="str">
        <f t="shared" si="1"/>
        <v>Not in buy Zone</v>
      </c>
      <c r="M265" s="60" t="str">
        <f t="shared" si="2"/>
        <v>Not in buy Zone</v>
      </c>
      <c r="N265" s="33" t="str">
        <f t="shared" si="3"/>
        <v>No</v>
      </c>
    </row>
    <row r="266">
      <c r="A266" s="56" t="s">
        <v>294</v>
      </c>
      <c r="B266" s="56">
        <v>0.0</v>
      </c>
      <c r="C266" s="56">
        <v>364.8</v>
      </c>
      <c r="D266" s="56">
        <v>0.0</v>
      </c>
      <c r="E266" s="56">
        <v>0.0</v>
      </c>
      <c r="F266" s="58">
        <v>44393.0</v>
      </c>
      <c r="G266" s="56">
        <v>-1.0</v>
      </c>
      <c r="H266" s="56">
        <v>364.8</v>
      </c>
      <c r="I266" s="59">
        <v>44393.0</v>
      </c>
      <c r="J266" s="56" t="s">
        <v>3594</v>
      </c>
      <c r="K266" s="15" t="s">
        <v>3859</v>
      </c>
      <c r="L266" s="60" t="str">
        <f t="shared" si="1"/>
        <v>Not in buy Zone</v>
      </c>
      <c r="M266" s="60" t="str">
        <f t="shared" si="2"/>
        <v>Not in buy Zone</v>
      </c>
      <c r="N266" s="33" t="str">
        <f t="shared" si="3"/>
        <v>No</v>
      </c>
    </row>
    <row r="267">
      <c r="A267" s="56" t="s">
        <v>295</v>
      </c>
      <c r="B267" s="56">
        <v>0.0</v>
      </c>
      <c r="C267" s="56">
        <v>0.0</v>
      </c>
      <c r="D267" s="56">
        <v>459.0</v>
      </c>
      <c r="E267" s="56">
        <v>0.0</v>
      </c>
      <c r="F267" s="58">
        <v>44384.0</v>
      </c>
      <c r="G267" s="56">
        <v>0.0</v>
      </c>
      <c r="H267" s="56">
        <v>453.19</v>
      </c>
      <c r="I267" s="59">
        <v>44393.0</v>
      </c>
      <c r="J267" s="56" t="s">
        <v>3594</v>
      </c>
      <c r="K267" s="15" t="s">
        <v>3860</v>
      </c>
      <c r="L267" s="60" t="str">
        <f t="shared" si="1"/>
        <v>Not in buy Zone</v>
      </c>
      <c r="M267" s="60" t="str">
        <f t="shared" si="2"/>
        <v>Not in buy Zone</v>
      </c>
      <c r="N267" s="33" t="str">
        <f t="shared" si="3"/>
        <v>No</v>
      </c>
    </row>
    <row r="268">
      <c r="A268" s="56" t="s">
        <v>296</v>
      </c>
      <c r="B268" s="56">
        <v>0.0</v>
      </c>
      <c r="C268" s="56">
        <v>0.0</v>
      </c>
      <c r="D268" s="56">
        <v>0.0</v>
      </c>
      <c r="E268" s="56">
        <v>22.72</v>
      </c>
      <c r="F268" s="58">
        <v>44364.0</v>
      </c>
      <c r="G268" s="56">
        <v>0.0</v>
      </c>
      <c r="H268" s="56">
        <v>20.06</v>
      </c>
      <c r="I268" s="59">
        <v>44393.0</v>
      </c>
      <c r="J268" s="56" t="s">
        <v>3594</v>
      </c>
      <c r="K268" s="15" t="s">
        <v>3861</v>
      </c>
      <c r="L268" s="60" t="str">
        <f t="shared" si="1"/>
        <v>Not in buy Zone</v>
      </c>
      <c r="M268" s="60" t="str">
        <f t="shared" si="2"/>
        <v>Not in buy Zone</v>
      </c>
      <c r="N268" s="33" t="str">
        <f t="shared" si="3"/>
        <v>No</v>
      </c>
    </row>
    <row r="269">
      <c r="A269" s="56" t="s">
        <v>297</v>
      </c>
      <c r="B269" s="56">
        <v>0.0</v>
      </c>
      <c r="C269" s="56">
        <v>0.0</v>
      </c>
      <c r="D269" s="56">
        <v>94.52</v>
      </c>
      <c r="E269" s="56">
        <v>0.0</v>
      </c>
      <c r="F269" s="58">
        <v>44377.0</v>
      </c>
      <c r="G269" s="56">
        <v>0.0</v>
      </c>
      <c r="H269" s="56">
        <v>94.04</v>
      </c>
      <c r="I269" s="59">
        <v>44393.0</v>
      </c>
      <c r="J269" s="56" t="s">
        <v>3594</v>
      </c>
      <c r="K269" s="15" t="s">
        <v>3862</v>
      </c>
      <c r="L269" s="60" t="str">
        <f t="shared" si="1"/>
        <v>Not in buy Zone</v>
      </c>
      <c r="M269" s="60" t="str">
        <f t="shared" si="2"/>
        <v>Not in buy Zone</v>
      </c>
      <c r="N269" s="33" t="str">
        <f t="shared" si="3"/>
        <v>No</v>
      </c>
    </row>
    <row r="270">
      <c r="A270" s="56" t="s">
        <v>298</v>
      </c>
      <c r="B270" s="56">
        <v>0.0</v>
      </c>
      <c r="C270" s="56">
        <v>0.0</v>
      </c>
      <c r="D270" s="56">
        <v>14.33</v>
      </c>
      <c r="E270" s="56">
        <v>0.0</v>
      </c>
      <c r="F270" s="58">
        <v>44375.0</v>
      </c>
      <c r="G270" s="56">
        <v>0.0</v>
      </c>
      <c r="H270" s="56">
        <v>13.85</v>
      </c>
      <c r="I270" s="59">
        <v>44393.0</v>
      </c>
      <c r="J270" s="56" t="s">
        <v>3594</v>
      </c>
      <c r="K270" s="15" t="s">
        <v>3863</v>
      </c>
      <c r="L270" s="60" t="str">
        <f t="shared" si="1"/>
        <v>Not in buy Zone</v>
      </c>
      <c r="M270" s="60" t="str">
        <f t="shared" si="2"/>
        <v>Not in buy Zone</v>
      </c>
      <c r="N270" s="33" t="str">
        <f t="shared" si="3"/>
        <v>No</v>
      </c>
    </row>
    <row r="271">
      <c r="A271" s="56" t="s">
        <v>299</v>
      </c>
      <c r="B271" s="56">
        <v>0.0</v>
      </c>
      <c r="C271" s="56">
        <v>0.0</v>
      </c>
      <c r="D271" s="56">
        <v>0.0</v>
      </c>
      <c r="E271" s="56">
        <v>17.83</v>
      </c>
      <c r="F271" s="58">
        <v>44383.0</v>
      </c>
      <c r="G271" s="56">
        <v>0.0</v>
      </c>
      <c r="H271" s="56">
        <v>17.42</v>
      </c>
      <c r="I271" s="59">
        <v>44393.0</v>
      </c>
      <c r="J271" s="56" t="s">
        <v>3594</v>
      </c>
      <c r="K271" s="15" t="s">
        <v>3864</v>
      </c>
      <c r="L271" s="60" t="str">
        <f t="shared" si="1"/>
        <v>Not in buy Zone</v>
      </c>
      <c r="M271" s="60" t="str">
        <f t="shared" si="2"/>
        <v>Not in buy Zone</v>
      </c>
      <c r="N271" s="33" t="str">
        <f t="shared" si="3"/>
        <v>No</v>
      </c>
    </row>
    <row r="272">
      <c r="A272" s="56" t="s">
        <v>300</v>
      </c>
      <c r="B272" s="56">
        <v>0.0</v>
      </c>
      <c r="C272" s="56">
        <v>0.0</v>
      </c>
      <c r="D272" s="56">
        <v>214.85</v>
      </c>
      <c r="E272" s="56">
        <v>0.0</v>
      </c>
      <c r="F272" s="58">
        <v>44379.0</v>
      </c>
      <c r="G272" s="56">
        <v>0.0</v>
      </c>
      <c r="H272" s="56">
        <v>219.2</v>
      </c>
      <c r="I272" s="59">
        <v>44393.0</v>
      </c>
      <c r="J272" s="56" t="s">
        <v>3594</v>
      </c>
      <c r="K272" s="15" t="s">
        <v>3865</v>
      </c>
      <c r="L272" s="60" t="str">
        <f t="shared" si="1"/>
        <v>Not in buy Zone</v>
      </c>
      <c r="M272" s="60" t="str">
        <f t="shared" si="2"/>
        <v>Not in buy Zone</v>
      </c>
      <c r="N272" s="33" t="str">
        <f t="shared" si="3"/>
        <v>No</v>
      </c>
    </row>
    <row r="273">
      <c r="A273" s="56" t="s">
        <v>301</v>
      </c>
      <c r="B273" s="56">
        <v>0.0</v>
      </c>
      <c r="C273" s="56">
        <v>0.0</v>
      </c>
      <c r="D273" s="56">
        <v>311.67</v>
      </c>
      <c r="E273" s="56">
        <v>0.0</v>
      </c>
      <c r="F273" s="58">
        <v>44370.0</v>
      </c>
      <c r="G273" s="56">
        <v>0.0</v>
      </c>
      <c r="H273" s="56">
        <v>321.54</v>
      </c>
      <c r="I273" s="59">
        <v>44393.0</v>
      </c>
      <c r="J273" s="56" t="s">
        <v>3594</v>
      </c>
      <c r="K273" s="15" t="s">
        <v>3866</v>
      </c>
      <c r="L273" s="60" t="str">
        <f t="shared" si="1"/>
        <v>Not in buy Zone</v>
      </c>
      <c r="M273" s="60" t="str">
        <f t="shared" si="2"/>
        <v>Not in buy Zone</v>
      </c>
      <c r="N273" s="33" t="str">
        <f t="shared" si="3"/>
        <v>No</v>
      </c>
    </row>
    <row r="274">
      <c r="A274" s="56" t="s">
        <v>302</v>
      </c>
      <c r="B274" s="56">
        <v>0.0</v>
      </c>
      <c r="C274" s="56">
        <v>0.0</v>
      </c>
      <c r="D274" s="56">
        <v>0.0</v>
      </c>
      <c r="E274" s="56">
        <v>88.52</v>
      </c>
      <c r="F274" s="58">
        <v>44363.0</v>
      </c>
      <c r="G274" s="56">
        <v>0.0</v>
      </c>
      <c r="H274" s="56">
        <v>76.37</v>
      </c>
      <c r="I274" s="59">
        <v>44393.0</v>
      </c>
      <c r="J274" s="56" t="s">
        <v>3594</v>
      </c>
      <c r="K274" s="15" t="s">
        <v>3867</v>
      </c>
      <c r="L274" s="60" t="str">
        <f t="shared" si="1"/>
        <v>Not in buy Zone</v>
      </c>
      <c r="M274" s="60" t="str">
        <f t="shared" si="2"/>
        <v>Not in buy Zone</v>
      </c>
      <c r="N274" s="33" t="str">
        <f t="shared" si="3"/>
        <v>No</v>
      </c>
    </row>
    <row r="275">
      <c r="A275" s="56" t="s">
        <v>303</v>
      </c>
      <c r="B275" s="56">
        <v>0.0</v>
      </c>
      <c r="C275" s="56">
        <v>0.0</v>
      </c>
      <c r="D275" s="56">
        <v>0.0</v>
      </c>
      <c r="E275" s="56">
        <v>32.53</v>
      </c>
      <c r="F275" s="58">
        <v>44365.0</v>
      </c>
      <c r="G275" s="56">
        <v>0.0</v>
      </c>
      <c r="H275" s="56">
        <v>28.81</v>
      </c>
      <c r="I275" s="59">
        <v>44393.0</v>
      </c>
      <c r="J275" s="56" t="s">
        <v>3594</v>
      </c>
      <c r="K275" s="15" t="s">
        <v>3868</v>
      </c>
      <c r="L275" s="60" t="str">
        <f t="shared" si="1"/>
        <v>Not in buy Zone</v>
      </c>
      <c r="M275" s="60" t="str">
        <f t="shared" si="2"/>
        <v>Not in buy Zone</v>
      </c>
      <c r="N275" s="33" t="str">
        <f t="shared" si="3"/>
        <v>No</v>
      </c>
    </row>
    <row r="276">
      <c r="A276" s="56" t="s">
        <v>304</v>
      </c>
      <c r="B276" s="56">
        <v>0.0</v>
      </c>
      <c r="C276" s="56">
        <v>0.0</v>
      </c>
      <c r="D276" s="56">
        <v>63.31</v>
      </c>
      <c r="E276" s="56">
        <v>0.0</v>
      </c>
      <c r="F276" s="58">
        <v>44389.0</v>
      </c>
      <c r="G276" s="56">
        <v>0.0</v>
      </c>
      <c r="H276" s="56">
        <v>63.32</v>
      </c>
      <c r="I276" s="59">
        <v>44393.0</v>
      </c>
      <c r="J276" s="56" t="s">
        <v>3594</v>
      </c>
      <c r="K276" s="15" t="s">
        <v>3869</v>
      </c>
      <c r="L276" s="60" t="str">
        <f t="shared" si="1"/>
        <v>Not in buy Zone</v>
      </c>
      <c r="M276" s="60" t="str">
        <f t="shared" si="2"/>
        <v>Not in buy Zone</v>
      </c>
      <c r="N276" s="33" t="str">
        <f t="shared" si="3"/>
        <v>No</v>
      </c>
    </row>
    <row r="277">
      <c r="A277" s="56" t="s">
        <v>305</v>
      </c>
      <c r="B277" s="56">
        <v>0.0</v>
      </c>
      <c r="C277" s="56">
        <v>0.0</v>
      </c>
      <c r="D277" s="56">
        <v>0.0</v>
      </c>
      <c r="E277" s="56">
        <v>216.79</v>
      </c>
      <c r="F277" s="58">
        <v>44363.0</v>
      </c>
      <c r="G277" s="56">
        <v>0.0</v>
      </c>
      <c r="H277" s="56">
        <v>200.74</v>
      </c>
      <c r="I277" s="59">
        <v>44393.0</v>
      </c>
      <c r="J277" s="56" t="s">
        <v>3594</v>
      </c>
      <c r="K277" s="15" t="s">
        <v>3870</v>
      </c>
      <c r="L277" s="60" t="str">
        <f t="shared" si="1"/>
        <v>Not in buy Zone</v>
      </c>
      <c r="M277" s="60" t="str">
        <f t="shared" si="2"/>
        <v>Not in buy Zone</v>
      </c>
      <c r="N277" s="33" t="str">
        <f t="shared" si="3"/>
        <v>No</v>
      </c>
    </row>
    <row r="278">
      <c r="A278" s="56" t="s">
        <v>306</v>
      </c>
      <c r="B278" s="56">
        <v>0.0</v>
      </c>
      <c r="C278" s="56">
        <v>0.0</v>
      </c>
      <c r="D278" s="56">
        <v>0.0</v>
      </c>
      <c r="E278" s="56">
        <v>123.87</v>
      </c>
      <c r="F278" s="58">
        <v>44391.0</v>
      </c>
      <c r="G278" s="56">
        <v>0.0</v>
      </c>
      <c r="H278" s="56">
        <v>119.75</v>
      </c>
      <c r="I278" s="59">
        <v>44393.0</v>
      </c>
      <c r="J278" s="56" t="s">
        <v>3594</v>
      </c>
      <c r="K278" s="15" t="s">
        <v>3871</v>
      </c>
      <c r="L278" s="60" t="str">
        <f t="shared" si="1"/>
        <v>Not in buy Zone</v>
      </c>
      <c r="M278" s="60" t="str">
        <f t="shared" si="2"/>
        <v>Not in buy Zone</v>
      </c>
      <c r="N278" s="33" t="str">
        <f t="shared" si="3"/>
        <v>No</v>
      </c>
    </row>
    <row r="279">
      <c r="A279" s="56" t="s">
        <v>307</v>
      </c>
      <c r="B279" s="56">
        <v>0.0</v>
      </c>
      <c r="C279" s="56">
        <v>0.0</v>
      </c>
      <c r="D279" s="56">
        <v>0.0</v>
      </c>
      <c r="E279" s="56">
        <v>45.81</v>
      </c>
      <c r="F279" s="58">
        <v>44383.0</v>
      </c>
      <c r="G279" s="56">
        <v>0.0</v>
      </c>
      <c r="H279" s="56">
        <v>43.04</v>
      </c>
      <c r="I279" s="59">
        <v>44393.0</v>
      </c>
      <c r="J279" s="56" t="s">
        <v>3594</v>
      </c>
      <c r="K279" s="15" t="s">
        <v>3872</v>
      </c>
      <c r="L279" s="60" t="str">
        <f t="shared" si="1"/>
        <v>Not in buy Zone</v>
      </c>
      <c r="M279" s="60" t="str">
        <f t="shared" si="2"/>
        <v>Not in buy Zone</v>
      </c>
      <c r="N279" s="33" t="str">
        <f t="shared" si="3"/>
        <v>No</v>
      </c>
    </row>
    <row r="280">
      <c r="A280" s="56" t="s">
        <v>308</v>
      </c>
      <c r="B280" s="56">
        <v>0.0</v>
      </c>
      <c r="C280" s="56">
        <v>0.0</v>
      </c>
      <c r="D280" s="56">
        <v>62.3</v>
      </c>
      <c r="E280" s="56">
        <v>0.0</v>
      </c>
      <c r="F280" s="58">
        <v>44357.0</v>
      </c>
      <c r="G280" s="56">
        <v>0.0</v>
      </c>
      <c r="H280" s="56">
        <v>69.54</v>
      </c>
      <c r="I280" s="59">
        <v>44393.0</v>
      </c>
      <c r="J280" s="56" t="s">
        <v>3594</v>
      </c>
      <c r="K280" s="15" t="s">
        <v>3873</v>
      </c>
      <c r="L280" s="60" t="str">
        <f t="shared" si="1"/>
        <v>Not in buy Zone</v>
      </c>
      <c r="M280" s="60" t="str">
        <f t="shared" si="2"/>
        <v>Not in buy Zone</v>
      </c>
      <c r="N280" s="33" t="str">
        <f t="shared" si="3"/>
        <v>No</v>
      </c>
    </row>
    <row r="281">
      <c r="A281" s="56" t="s">
        <v>309</v>
      </c>
      <c r="B281" s="56">
        <v>0.0</v>
      </c>
      <c r="C281" s="56">
        <v>0.0</v>
      </c>
      <c r="D281" s="56">
        <v>0.0</v>
      </c>
      <c r="E281" s="56">
        <v>36.69</v>
      </c>
      <c r="F281" s="58">
        <v>44348.0</v>
      </c>
      <c r="G281" s="56">
        <v>0.0</v>
      </c>
      <c r="H281" s="56">
        <v>36.91</v>
      </c>
      <c r="I281" s="59">
        <v>44393.0</v>
      </c>
      <c r="J281" s="56" t="s">
        <v>3594</v>
      </c>
      <c r="K281" s="15" t="s">
        <v>3874</v>
      </c>
      <c r="L281" s="60" t="str">
        <f t="shared" si="1"/>
        <v>Not in buy Zone</v>
      </c>
      <c r="M281" s="60" t="str">
        <f t="shared" si="2"/>
        <v>Not in buy Zone</v>
      </c>
      <c r="N281" s="33" t="str">
        <f t="shared" si="3"/>
        <v>No</v>
      </c>
    </row>
    <row r="282">
      <c r="A282" s="56" t="s">
        <v>310</v>
      </c>
      <c r="B282" s="56">
        <v>0.0</v>
      </c>
      <c r="C282" s="56">
        <v>0.0</v>
      </c>
      <c r="D282" s="56">
        <v>221.32</v>
      </c>
      <c r="E282" s="56">
        <v>0.0</v>
      </c>
      <c r="F282" s="58">
        <v>44379.0</v>
      </c>
      <c r="G282" s="56">
        <v>0.0</v>
      </c>
      <c r="H282" s="56">
        <v>230.33</v>
      </c>
      <c r="I282" s="59">
        <v>44393.0</v>
      </c>
      <c r="J282" s="56" t="s">
        <v>3594</v>
      </c>
      <c r="K282" s="15" t="s">
        <v>3875</v>
      </c>
      <c r="L282" s="60" t="str">
        <f t="shared" si="1"/>
        <v>Not in buy Zone</v>
      </c>
      <c r="M282" s="60" t="str">
        <f t="shared" si="2"/>
        <v>Not in buy Zone</v>
      </c>
      <c r="N282" s="33" t="str">
        <f t="shared" si="3"/>
        <v>No</v>
      </c>
    </row>
    <row r="283">
      <c r="A283" s="56" t="s">
        <v>311</v>
      </c>
      <c r="B283" s="56">
        <v>0.0</v>
      </c>
      <c r="C283" s="56">
        <v>0.0</v>
      </c>
      <c r="D283" s="56">
        <v>0.0</v>
      </c>
      <c r="E283" s="56">
        <v>16.02</v>
      </c>
      <c r="F283" s="58">
        <v>44316.0</v>
      </c>
      <c r="G283" s="56">
        <v>0.0</v>
      </c>
      <c r="H283" s="56">
        <v>13.86</v>
      </c>
      <c r="I283" s="59">
        <v>44393.0</v>
      </c>
      <c r="J283" s="56" t="s">
        <v>3594</v>
      </c>
      <c r="K283" s="15" t="s">
        <v>3876</v>
      </c>
      <c r="L283" s="60" t="str">
        <f t="shared" si="1"/>
        <v>Not in buy Zone</v>
      </c>
      <c r="M283" s="60" t="str">
        <f t="shared" si="2"/>
        <v>Not in buy Zone</v>
      </c>
      <c r="N283" s="33" t="str">
        <f t="shared" si="3"/>
        <v>No</v>
      </c>
    </row>
    <row r="284">
      <c r="A284" s="56" t="s">
        <v>312</v>
      </c>
      <c r="B284" s="56">
        <v>0.0</v>
      </c>
      <c r="C284" s="56">
        <v>0.0</v>
      </c>
      <c r="D284" s="56">
        <v>0.0</v>
      </c>
      <c r="E284" s="56">
        <v>28.19</v>
      </c>
      <c r="F284" s="58">
        <v>44390.0</v>
      </c>
      <c r="G284" s="56">
        <v>0.0</v>
      </c>
      <c r="H284" s="56">
        <v>27.52</v>
      </c>
      <c r="I284" s="59">
        <v>44393.0</v>
      </c>
      <c r="J284" s="56" t="s">
        <v>3594</v>
      </c>
      <c r="K284" s="15" t="s">
        <v>3877</v>
      </c>
      <c r="L284" s="60" t="str">
        <f t="shared" si="1"/>
        <v>Not in buy Zone</v>
      </c>
      <c r="M284" s="60" t="str">
        <f t="shared" si="2"/>
        <v>Not in buy Zone</v>
      </c>
      <c r="N284" s="33" t="str">
        <f t="shared" si="3"/>
        <v>No</v>
      </c>
    </row>
    <row r="285">
      <c r="A285" s="56" t="s">
        <v>313</v>
      </c>
      <c r="B285" s="56">
        <v>48.27</v>
      </c>
      <c r="C285" s="56">
        <v>0.0</v>
      </c>
      <c r="D285" s="56">
        <v>0.0</v>
      </c>
      <c r="E285" s="56">
        <v>0.0</v>
      </c>
      <c r="F285" s="58">
        <v>44393.0</v>
      </c>
      <c r="G285" s="56">
        <v>1.0</v>
      </c>
      <c r="H285" s="56">
        <v>48.27</v>
      </c>
      <c r="I285" s="59">
        <v>44393.0</v>
      </c>
      <c r="J285" s="56" t="s">
        <v>3594</v>
      </c>
      <c r="K285" s="15" t="s">
        <v>3878</v>
      </c>
      <c r="L285" s="60">
        <f t="shared" si="1"/>
        <v>48.51135</v>
      </c>
      <c r="M285" s="60">
        <f t="shared" si="2"/>
        <v>48.02865</v>
      </c>
      <c r="N285" s="33" t="str">
        <f t="shared" si="3"/>
        <v>Yes</v>
      </c>
    </row>
    <row r="286">
      <c r="A286" s="56" t="s">
        <v>314</v>
      </c>
      <c r="B286" s="56">
        <v>0.0</v>
      </c>
      <c r="C286" s="56">
        <v>0.0</v>
      </c>
      <c r="D286" s="56">
        <v>76.81</v>
      </c>
      <c r="E286" s="56">
        <v>0.0</v>
      </c>
      <c r="F286" s="58">
        <v>44386.0</v>
      </c>
      <c r="G286" s="56">
        <v>0.0</v>
      </c>
      <c r="H286" s="56">
        <v>75.12</v>
      </c>
      <c r="I286" s="59">
        <v>44393.0</v>
      </c>
      <c r="J286" s="56" t="s">
        <v>3594</v>
      </c>
      <c r="K286" s="15" t="s">
        <v>3879</v>
      </c>
      <c r="L286" s="60" t="str">
        <f t="shared" si="1"/>
        <v>Not in buy Zone</v>
      </c>
      <c r="M286" s="60" t="str">
        <f t="shared" si="2"/>
        <v>Not in buy Zone</v>
      </c>
      <c r="N286" s="33" t="str">
        <f t="shared" si="3"/>
        <v>No</v>
      </c>
    </row>
    <row r="287">
      <c r="A287" s="56" t="s">
        <v>315</v>
      </c>
      <c r="B287" s="56">
        <v>0.0</v>
      </c>
      <c r="C287" s="56">
        <v>0.0</v>
      </c>
      <c r="D287" s="56">
        <v>0.0</v>
      </c>
      <c r="E287" s="56">
        <v>17.14</v>
      </c>
      <c r="F287" s="58">
        <v>44365.0</v>
      </c>
      <c r="G287" s="56">
        <v>0.0</v>
      </c>
      <c r="H287" s="56">
        <v>15.98</v>
      </c>
      <c r="I287" s="59">
        <v>44393.0</v>
      </c>
      <c r="J287" s="56" t="s">
        <v>3594</v>
      </c>
      <c r="K287" s="15" t="s">
        <v>3880</v>
      </c>
      <c r="L287" s="60" t="str">
        <f t="shared" si="1"/>
        <v>Not in buy Zone</v>
      </c>
      <c r="M287" s="60" t="str">
        <f t="shared" si="2"/>
        <v>Not in buy Zone</v>
      </c>
      <c r="N287" s="33" t="str">
        <f t="shared" si="3"/>
        <v>No</v>
      </c>
    </row>
    <row r="288">
      <c r="A288" s="56" t="s">
        <v>316</v>
      </c>
      <c r="B288" s="56">
        <v>0.0</v>
      </c>
      <c r="C288" s="56">
        <v>0.0</v>
      </c>
      <c r="D288" s="56">
        <v>176.75</v>
      </c>
      <c r="E288" s="56">
        <v>0.0</v>
      </c>
      <c r="F288" s="58">
        <v>44386.0</v>
      </c>
      <c r="G288" s="56">
        <v>0.0</v>
      </c>
      <c r="H288" s="56">
        <v>179.99</v>
      </c>
      <c r="I288" s="59">
        <v>44393.0</v>
      </c>
      <c r="J288" s="56" t="s">
        <v>3594</v>
      </c>
      <c r="K288" s="15" t="s">
        <v>3881</v>
      </c>
      <c r="L288" s="60" t="str">
        <f t="shared" si="1"/>
        <v>Not in buy Zone</v>
      </c>
      <c r="M288" s="60" t="str">
        <f t="shared" si="2"/>
        <v>Not in buy Zone</v>
      </c>
      <c r="N288" s="33" t="str">
        <f t="shared" si="3"/>
        <v>No</v>
      </c>
    </row>
    <row r="289">
      <c r="A289" s="56" t="s">
        <v>317</v>
      </c>
      <c r="B289" s="56">
        <v>0.0</v>
      </c>
      <c r="C289" s="56">
        <v>0.0</v>
      </c>
      <c r="D289" s="56">
        <v>435.55</v>
      </c>
      <c r="E289" s="56">
        <v>0.0</v>
      </c>
      <c r="F289" s="58">
        <v>44368.0</v>
      </c>
      <c r="G289" s="56">
        <v>0.0</v>
      </c>
      <c r="H289" s="56">
        <v>470.9</v>
      </c>
      <c r="I289" s="59">
        <v>44393.0</v>
      </c>
      <c r="J289" s="56" t="s">
        <v>3594</v>
      </c>
      <c r="K289" s="15" t="s">
        <v>3882</v>
      </c>
      <c r="L289" s="60" t="str">
        <f t="shared" si="1"/>
        <v>Not in buy Zone</v>
      </c>
      <c r="M289" s="60" t="str">
        <f t="shared" si="2"/>
        <v>Not in buy Zone</v>
      </c>
      <c r="N289" s="33" t="str">
        <f t="shared" si="3"/>
        <v>No</v>
      </c>
    </row>
    <row r="290">
      <c r="A290" s="56" t="s">
        <v>318</v>
      </c>
      <c r="B290" s="56">
        <v>0.0</v>
      </c>
      <c r="C290" s="56">
        <v>0.0</v>
      </c>
      <c r="D290" s="56">
        <v>26.89</v>
      </c>
      <c r="E290" s="56">
        <v>0.0</v>
      </c>
      <c r="F290" s="58">
        <v>44372.0</v>
      </c>
      <c r="G290" s="56">
        <v>0.0</v>
      </c>
      <c r="H290" s="56">
        <v>25.81</v>
      </c>
      <c r="I290" s="59">
        <v>44393.0</v>
      </c>
      <c r="J290" s="56" t="s">
        <v>3594</v>
      </c>
      <c r="K290" s="15" t="s">
        <v>3883</v>
      </c>
      <c r="L290" s="60" t="str">
        <f t="shared" si="1"/>
        <v>Not in buy Zone</v>
      </c>
      <c r="M290" s="60" t="str">
        <f t="shared" si="2"/>
        <v>Not in buy Zone</v>
      </c>
      <c r="N290" s="33" t="str">
        <f t="shared" si="3"/>
        <v>No</v>
      </c>
    </row>
    <row r="291">
      <c r="A291" s="56" t="s">
        <v>319</v>
      </c>
      <c r="B291" s="56">
        <v>0.0</v>
      </c>
      <c r="C291" s="56">
        <v>0.0</v>
      </c>
      <c r="D291" s="56">
        <v>0.0</v>
      </c>
      <c r="E291" s="56">
        <v>34.96</v>
      </c>
      <c r="F291" s="58">
        <v>44361.0</v>
      </c>
      <c r="G291" s="56">
        <v>0.0</v>
      </c>
      <c r="H291" s="56">
        <v>31.66</v>
      </c>
      <c r="I291" s="59">
        <v>44393.0</v>
      </c>
      <c r="J291" s="56" t="s">
        <v>3594</v>
      </c>
      <c r="K291" s="15" t="s">
        <v>3884</v>
      </c>
      <c r="L291" s="60" t="str">
        <f t="shared" si="1"/>
        <v>Not in buy Zone</v>
      </c>
      <c r="M291" s="60" t="str">
        <f t="shared" si="2"/>
        <v>Not in buy Zone</v>
      </c>
      <c r="N291" s="33" t="str">
        <f t="shared" si="3"/>
        <v>No</v>
      </c>
    </row>
    <row r="292">
      <c r="A292" s="56" t="s">
        <v>320</v>
      </c>
      <c r="B292" s="56">
        <v>0.0</v>
      </c>
      <c r="C292" s="56">
        <v>0.0</v>
      </c>
      <c r="D292" s="56">
        <v>0.0</v>
      </c>
      <c r="E292" s="56">
        <v>87.71</v>
      </c>
      <c r="F292" s="58">
        <v>44390.0</v>
      </c>
      <c r="G292" s="56">
        <v>0.0</v>
      </c>
      <c r="H292" s="56">
        <v>87.67</v>
      </c>
      <c r="I292" s="59">
        <v>44393.0</v>
      </c>
      <c r="J292" s="56" t="s">
        <v>3594</v>
      </c>
      <c r="K292" s="15" t="s">
        <v>3885</v>
      </c>
      <c r="L292" s="60" t="str">
        <f t="shared" si="1"/>
        <v>Not in buy Zone</v>
      </c>
      <c r="M292" s="60" t="str">
        <f t="shared" si="2"/>
        <v>Not in buy Zone</v>
      </c>
      <c r="N292" s="33" t="str">
        <f t="shared" si="3"/>
        <v>No</v>
      </c>
    </row>
    <row r="293">
      <c r="A293" s="56" t="s">
        <v>321</v>
      </c>
      <c r="B293" s="56">
        <v>0.0</v>
      </c>
      <c r="C293" s="56">
        <v>0.0</v>
      </c>
      <c r="D293" s="56">
        <v>0.0</v>
      </c>
      <c r="E293" s="56">
        <v>40.22</v>
      </c>
      <c r="F293" s="58">
        <v>44390.0</v>
      </c>
      <c r="G293" s="56">
        <v>0.0</v>
      </c>
      <c r="H293" s="56">
        <v>40.15</v>
      </c>
      <c r="I293" s="59">
        <v>44393.0</v>
      </c>
      <c r="J293" s="56" t="s">
        <v>3594</v>
      </c>
      <c r="K293" s="15" t="s">
        <v>3886</v>
      </c>
      <c r="L293" s="60" t="str">
        <f t="shared" si="1"/>
        <v>Not in buy Zone</v>
      </c>
      <c r="M293" s="60" t="str">
        <f t="shared" si="2"/>
        <v>Not in buy Zone</v>
      </c>
      <c r="N293" s="33" t="str">
        <f t="shared" si="3"/>
        <v>No</v>
      </c>
    </row>
    <row r="294">
      <c r="A294" s="56" t="s">
        <v>322</v>
      </c>
      <c r="B294" s="56">
        <v>0.0</v>
      </c>
      <c r="C294" s="56">
        <v>0.0</v>
      </c>
      <c r="D294" s="56">
        <v>34.43</v>
      </c>
      <c r="E294" s="56">
        <v>0.0</v>
      </c>
      <c r="F294" s="58">
        <v>44386.0</v>
      </c>
      <c r="G294" s="56">
        <v>0.0</v>
      </c>
      <c r="H294" s="56">
        <v>34.48</v>
      </c>
      <c r="I294" s="59">
        <v>44393.0</v>
      </c>
      <c r="J294" s="56" t="s">
        <v>3594</v>
      </c>
      <c r="K294" s="15" t="s">
        <v>3887</v>
      </c>
      <c r="L294" s="60" t="str">
        <f t="shared" si="1"/>
        <v>Not in buy Zone</v>
      </c>
      <c r="M294" s="60" t="str">
        <f t="shared" si="2"/>
        <v>Not in buy Zone</v>
      </c>
      <c r="N294" s="33" t="str">
        <f t="shared" si="3"/>
        <v>No</v>
      </c>
    </row>
    <row r="295">
      <c r="A295" s="56" t="s">
        <v>323</v>
      </c>
      <c r="B295" s="56">
        <v>0.0</v>
      </c>
      <c r="C295" s="56">
        <v>0.0</v>
      </c>
      <c r="D295" s="56">
        <v>0.0</v>
      </c>
      <c r="E295" s="56">
        <v>161.75</v>
      </c>
      <c r="F295" s="58">
        <v>44385.0</v>
      </c>
      <c r="G295" s="56">
        <v>0.0</v>
      </c>
      <c r="H295" s="56">
        <v>160.68</v>
      </c>
      <c r="I295" s="59">
        <v>44393.0</v>
      </c>
      <c r="J295" s="56" t="s">
        <v>3594</v>
      </c>
      <c r="K295" s="15" t="s">
        <v>3888</v>
      </c>
      <c r="L295" s="60" t="str">
        <f t="shared" si="1"/>
        <v>Not in buy Zone</v>
      </c>
      <c r="M295" s="60" t="str">
        <f t="shared" si="2"/>
        <v>Not in buy Zone</v>
      </c>
      <c r="N295" s="33" t="str">
        <f t="shared" si="3"/>
        <v>No</v>
      </c>
    </row>
    <row r="296">
      <c r="A296" s="56" t="s">
        <v>324</v>
      </c>
      <c r="B296" s="56">
        <v>0.0</v>
      </c>
      <c r="C296" s="56">
        <v>0.0</v>
      </c>
      <c r="D296" s="56">
        <v>0.0</v>
      </c>
      <c r="E296" s="56">
        <v>145.6</v>
      </c>
      <c r="F296" s="58">
        <v>44364.0</v>
      </c>
      <c r="G296" s="56">
        <v>0.0</v>
      </c>
      <c r="H296" s="56">
        <v>138.9</v>
      </c>
      <c r="I296" s="59">
        <v>44393.0</v>
      </c>
      <c r="J296" s="56" t="s">
        <v>3594</v>
      </c>
      <c r="K296" s="15" t="s">
        <v>3889</v>
      </c>
      <c r="L296" s="60" t="str">
        <f t="shared" si="1"/>
        <v>Not in buy Zone</v>
      </c>
      <c r="M296" s="60" t="str">
        <f t="shared" si="2"/>
        <v>Not in buy Zone</v>
      </c>
      <c r="N296" s="33" t="str">
        <f t="shared" si="3"/>
        <v>No</v>
      </c>
    </row>
    <row r="297">
      <c r="A297" s="56" t="s">
        <v>325</v>
      </c>
      <c r="B297" s="56">
        <v>0.0</v>
      </c>
      <c r="C297" s="56">
        <v>0.0</v>
      </c>
      <c r="D297" s="56">
        <v>111.08</v>
      </c>
      <c r="E297" s="56">
        <v>0.0</v>
      </c>
      <c r="F297" s="58">
        <v>44355.0</v>
      </c>
      <c r="G297" s="56">
        <v>0.0</v>
      </c>
      <c r="H297" s="56">
        <v>118.06</v>
      </c>
      <c r="I297" s="59">
        <v>44393.0</v>
      </c>
      <c r="J297" s="56" t="s">
        <v>3594</v>
      </c>
      <c r="K297" s="15" t="s">
        <v>3890</v>
      </c>
      <c r="L297" s="60" t="str">
        <f t="shared" si="1"/>
        <v>Not in buy Zone</v>
      </c>
      <c r="M297" s="60" t="str">
        <f t="shared" si="2"/>
        <v>Not in buy Zone</v>
      </c>
      <c r="N297" s="33" t="str">
        <f t="shared" si="3"/>
        <v>No</v>
      </c>
    </row>
    <row r="298">
      <c r="A298" s="56" t="s">
        <v>326</v>
      </c>
      <c r="B298" s="56">
        <v>0.0</v>
      </c>
      <c r="C298" s="56">
        <v>0.0</v>
      </c>
      <c r="D298" s="56">
        <v>0.0</v>
      </c>
      <c r="E298" s="56">
        <v>657.42</v>
      </c>
      <c r="F298" s="58">
        <v>44392.0</v>
      </c>
      <c r="G298" s="56">
        <v>0.0</v>
      </c>
      <c r="H298" s="56">
        <v>667.76</v>
      </c>
      <c r="I298" s="59">
        <v>44393.0</v>
      </c>
      <c r="J298" s="56" t="s">
        <v>3594</v>
      </c>
      <c r="K298" s="15" t="s">
        <v>3891</v>
      </c>
      <c r="L298" s="60" t="str">
        <f t="shared" si="1"/>
        <v>Not in buy Zone</v>
      </c>
      <c r="M298" s="60" t="str">
        <f t="shared" si="2"/>
        <v>Not in buy Zone</v>
      </c>
      <c r="N298" s="33" t="str">
        <f t="shared" si="3"/>
        <v>No</v>
      </c>
    </row>
    <row r="299">
      <c r="A299" s="56" t="s">
        <v>327</v>
      </c>
      <c r="B299" s="56">
        <v>0.0</v>
      </c>
      <c r="C299" s="56">
        <v>0.0</v>
      </c>
      <c r="D299" s="56">
        <v>115.75</v>
      </c>
      <c r="E299" s="56">
        <v>0.0</v>
      </c>
      <c r="F299" s="58">
        <v>44379.0</v>
      </c>
      <c r="G299" s="56">
        <v>0.0</v>
      </c>
      <c r="H299" s="56">
        <v>116.96</v>
      </c>
      <c r="I299" s="59">
        <v>44393.0</v>
      </c>
      <c r="J299" s="56" t="s">
        <v>3594</v>
      </c>
      <c r="K299" s="15" t="s">
        <v>3892</v>
      </c>
      <c r="L299" s="60" t="str">
        <f t="shared" si="1"/>
        <v>Not in buy Zone</v>
      </c>
      <c r="M299" s="60" t="str">
        <f t="shared" si="2"/>
        <v>Not in buy Zone</v>
      </c>
      <c r="N299" s="33" t="str">
        <f t="shared" si="3"/>
        <v>No</v>
      </c>
    </row>
    <row r="300">
      <c r="A300" s="56" t="s">
        <v>328</v>
      </c>
      <c r="B300" s="56">
        <v>0.0</v>
      </c>
      <c r="C300" s="56">
        <v>0.0</v>
      </c>
      <c r="D300" s="56">
        <v>0.0</v>
      </c>
      <c r="E300" s="56">
        <v>74.91</v>
      </c>
      <c r="F300" s="58">
        <v>44392.0</v>
      </c>
      <c r="G300" s="56">
        <v>0.0</v>
      </c>
      <c r="H300" s="56">
        <v>74.35</v>
      </c>
      <c r="I300" s="59">
        <v>44393.0</v>
      </c>
      <c r="J300" s="56" t="s">
        <v>3594</v>
      </c>
      <c r="K300" s="15" t="s">
        <v>3893</v>
      </c>
      <c r="L300" s="60" t="str">
        <f t="shared" si="1"/>
        <v>Not in buy Zone</v>
      </c>
      <c r="M300" s="60" t="str">
        <f t="shared" si="2"/>
        <v>Not in buy Zone</v>
      </c>
      <c r="N300" s="33" t="str">
        <f t="shared" si="3"/>
        <v>No</v>
      </c>
    </row>
    <row r="301">
      <c r="A301" s="56" t="s">
        <v>329</v>
      </c>
      <c r="B301" s="56">
        <v>0.0</v>
      </c>
      <c r="C301" s="56">
        <v>0.0</v>
      </c>
      <c r="D301" s="56">
        <v>0.0</v>
      </c>
      <c r="E301" s="56">
        <v>66.67</v>
      </c>
      <c r="F301" s="58">
        <v>44378.0</v>
      </c>
      <c r="G301" s="56">
        <v>0.0</v>
      </c>
      <c r="H301" s="56">
        <v>65.37</v>
      </c>
      <c r="I301" s="59">
        <v>44393.0</v>
      </c>
      <c r="J301" s="56" t="s">
        <v>3594</v>
      </c>
      <c r="K301" s="15" t="s">
        <v>3894</v>
      </c>
      <c r="L301" s="60" t="str">
        <f t="shared" si="1"/>
        <v>Not in buy Zone</v>
      </c>
      <c r="M301" s="60" t="str">
        <f t="shared" si="2"/>
        <v>Not in buy Zone</v>
      </c>
      <c r="N301" s="33" t="str">
        <f t="shared" si="3"/>
        <v>No</v>
      </c>
    </row>
    <row r="302">
      <c r="A302" s="56" t="s">
        <v>330</v>
      </c>
      <c r="B302" s="56">
        <v>0.0</v>
      </c>
      <c r="C302" s="56">
        <v>0.0</v>
      </c>
      <c r="D302" s="56">
        <v>220.57</v>
      </c>
      <c r="E302" s="56">
        <v>0.0</v>
      </c>
      <c r="F302" s="58">
        <v>44376.0</v>
      </c>
      <c r="G302" s="56">
        <v>0.0</v>
      </c>
      <c r="H302" s="56">
        <v>226.67</v>
      </c>
      <c r="I302" s="59">
        <v>44393.0</v>
      </c>
      <c r="J302" s="56" t="s">
        <v>3594</v>
      </c>
      <c r="K302" s="15" t="s">
        <v>3895</v>
      </c>
      <c r="L302" s="60" t="str">
        <f t="shared" si="1"/>
        <v>Not in buy Zone</v>
      </c>
      <c r="M302" s="60" t="str">
        <f t="shared" si="2"/>
        <v>Not in buy Zone</v>
      </c>
      <c r="N302" s="33" t="str">
        <f t="shared" si="3"/>
        <v>No</v>
      </c>
    </row>
    <row r="303">
      <c r="A303" s="56" t="s">
        <v>331</v>
      </c>
      <c r="B303" s="56">
        <v>0.0</v>
      </c>
      <c r="C303" s="56">
        <v>0.0</v>
      </c>
      <c r="D303" s="56">
        <v>0.0</v>
      </c>
      <c r="E303" s="56">
        <v>147.8</v>
      </c>
      <c r="F303" s="58">
        <v>44385.0</v>
      </c>
      <c r="G303" s="56">
        <v>0.0</v>
      </c>
      <c r="H303" s="56">
        <v>143.42</v>
      </c>
      <c r="I303" s="59">
        <v>44393.0</v>
      </c>
      <c r="J303" s="56" t="s">
        <v>3594</v>
      </c>
      <c r="K303" s="15" t="s">
        <v>3896</v>
      </c>
      <c r="L303" s="60" t="str">
        <f t="shared" si="1"/>
        <v>Not in buy Zone</v>
      </c>
      <c r="M303" s="60" t="str">
        <f t="shared" si="2"/>
        <v>Not in buy Zone</v>
      </c>
      <c r="N303" s="33" t="str">
        <f t="shared" si="3"/>
        <v>No</v>
      </c>
    </row>
    <row r="304">
      <c r="A304" s="56" t="s">
        <v>332</v>
      </c>
      <c r="B304" s="56">
        <v>0.0</v>
      </c>
      <c r="C304" s="56">
        <v>0.0</v>
      </c>
      <c r="D304" s="56">
        <v>0.0</v>
      </c>
      <c r="E304" s="56">
        <v>112.11</v>
      </c>
      <c r="F304" s="58">
        <v>44364.0</v>
      </c>
      <c r="G304" s="56">
        <v>0.0</v>
      </c>
      <c r="H304" s="56">
        <v>106.67</v>
      </c>
      <c r="I304" s="59">
        <v>44393.0</v>
      </c>
      <c r="J304" s="56" t="s">
        <v>3594</v>
      </c>
      <c r="K304" s="15" t="s">
        <v>3897</v>
      </c>
      <c r="L304" s="60" t="str">
        <f t="shared" si="1"/>
        <v>Not in buy Zone</v>
      </c>
      <c r="M304" s="60" t="str">
        <f t="shared" si="2"/>
        <v>Not in buy Zone</v>
      </c>
      <c r="N304" s="33" t="str">
        <f t="shared" si="3"/>
        <v>No</v>
      </c>
    </row>
    <row r="305">
      <c r="A305" s="56" t="s">
        <v>333</v>
      </c>
      <c r="B305" s="56">
        <v>0.0</v>
      </c>
      <c r="C305" s="56">
        <v>0.0</v>
      </c>
      <c r="D305" s="56">
        <v>0.0</v>
      </c>
      <c r="E305" s="56">
        <v>460.92</v>
      </c>
      <c r="F305" s="58">
        <v>44391.0</v>
      </c>
      <c r="G305" s="56">
        <v>0.0</v>
      </c>
      <c r="H305" s="56">
        <v>465.46</v>
      </c>
      <c r="I305" s="59">
        <v>44393.0</v>
      </c>
      <c r="J305" s="56" t="s">
        <v>3594</v>
      </c>
      <c r="K305" s="15" t="s">
        <v>3898</v>
      </c>
      <c r="L305" s="60" t="str">
        <f t="shared" si="1"/>
        <v>Not in buy Zone</v>
      </c>
      <c r="M305" s="60" t="str">
        <f t="shared" si="2"/>
        <v>Not in buy Zone</v>
      </c>
      <c r="N305" s="33" t="str">
        <f t="shared" si="3"/>
        <v>No</v>
      </c>
    </row>
    <row r="306">
      <c r="A306" s="56" t="s">
        <v>334</v>
      </c>
      <c r="B306" s="56">
        <v>0.0</v>
      </c>
      <c r="C306" s="56">
        <v>0.0</v>
      </c>
      <c r="D306" s="56">
        <v>0.0</v>
      </c>
      <c r="E306" s="56">
        <v>84.02</v>
      </c>
      <c r="F306" s="58">
        <v>44378.0</v>
      </c>
      <c r="G306" s="56">
        <v>0.0</v>
      </c>
      <c r="H306" s="56">
        <v>78.33</v>
      </c>
      <c r="I306" s="59">
        <v>44393.0</v>
      </c>
      <c r="J306" s="56" t="s">
        <v>3594</v>
      </c>
      <c r="K306" s="15" t="s">
        <v>3899</v>
      </c>
      <c r="L306" s="60" t="str">
        <f t="shared" si="1"/>
        <v>Not in buy Zone</v>
      </c>
      <c r="M306" s="60" t="str">
        <f t="shared" si="2"/>
        <v>Not in buy Zone</v>
      </c>
      <c r="N306" s="33" t="str">
        <f t="shared" si="3"/>
        <v>No</v>
      </c>
    </row>
    <row r="307">
      <c r="A307" s="56" t="s">
        <v>335</v>
      </c>
      <c r="B307" s="56">
        <v>0.0</v>
      </c>
      <c r="C307" s="56">
        <v>0.0</v>
      </c>
      <c r="D307" s="56">
        <v>0.0</v>
      </c>
      <c r="E307" s="56">
        <v>44.36</v>
      </c>
      <c r="F307" s="58">
        <v>44364.0</v>
      </c>
      <c r="G307" s="56">
        <v>0.0</v>
      </c>
      <c r="H307" s="56">
        <v>44.23</v>
      </c>
      <c r="I307" s="59">
        <v>44393.0</v>
      </c>
      <c r="J307" s="56" t="s">
        <v>3594</v>
      </c>
      <c r="K307" s="15" t="s">
        <v>3900</v>
      </c>
      <c r="L307" s="60" t="str">
        <f t="shared" si="1"/>
        <v>Not in buy Zone</v>
      </c>
      <c r="M307" s="60" t="str">
        <f t="shared" si="2"/>
        <v>Not in buy Zone</v>
      </c>
      <c r="N307" s="33" t="str">
        <f t="shared" si="3"/>
        <v>No</v>
      </c>
    </row>
    <row r="308">
      <c r="A308" s="56" t="s">
        <v>336</v>
      </c>
      <c r="B308" s="56">
        <v>0.0</v>
      </c>
      <c r="C308" s="56">
        <v>0.0</v>
      </c>
      <c r="D308" s="56">
        <v>0.0</v>
      </c>
      <c r="E308" s="56">
        <v>111.66</v>
      </c>
      <c r="F308" s="58">
        <v>44390.0</v>
      </c>
      <c r="G308" s="56">
        <v>0.0</v>
      </c>
      <c r="H308" s="56">
        <v>114.06</v>
      </c>
      <c r="I308" s="59">
        <v>44393.0</v>
      </c>
      <c r="J308" s="56" t="s">
        <v>3594</v>
      </c>
      <c r="K308" s="15" t="s">
        <v>3901</v>
      </c>
      <c r="L308" s="60" t="str">
        <f t="shared" si="1"/>
        <v>Not in buy Zone</v>
      </c>
      <c r="M308" s="60" t="str">
        <f t="shared" si="2"/>
        <v>Not in buy Zone</v>
      </c>
      <c r="N308" s="33" t="str">
        <f t="shared" si="3"/>
        <v>No</v>
      </c>
    </row>
    <row r="309">
      <c r="A309" s="56" t="s">
        <v>337</v>
      </c>
      <c r="B309" s="56">
        <v>0.0</v>
      </c>
      <c r="C309" s="56">
        <v>54.97</v>
      </c>
      <c r="D309" s="56">
        <v>0.0</v>
      </c>
      <c r="E309" s="56">
        <v>0.0</v>
      </c>
      <c r="F309" s="58">
        <v>44393.0</v>
      </c>
      <c r="G309" s="56">
        <v>-1.0</v>
      </c>
      <c r="H309" s="56">
        <v>54.97</v>
      </c>
      <c r="I309" s="59">
        <v>44393.0</v>
      </c>
      <c r="J309" s="56" t="s">
        <v>3594</v>
      </c>
      <c r="K309" s="15" t="s">
        <v>3902</v>
      </c>
      <c r="L309" s="60" t="str">
        <f t="shared" si="1"/>
        <v>Not in buy Zone</v>
      </c>
      <c r="M309" s="60" t="str">
        <f t="shared" si="2"/>
        <v>Not in buy Zone</v>
      </c>
      <c r="N309" s="33" t="str">
        <f t="shared" si="3"/>
        <v>No</v>
      </c>
    </row>
    <row r="310">
      <c r="A310" s="56" t="s">
        <v>338</v>
      </c>
      <c r="B310" s="56">
        <v>0.0</v>
      </c>
      <c r="C310" s="56">
        <v>0.0</v>
      </c>
      <c r="D310" s="56">
        <v>419.42</v>
      </c>
      <c r="E310" s="56">
        <v>0.0</v>
      </c>
      <c r="F310" s="58">
        <v>44333.0</v>
      </c>
      <c r="G310" s="56">
        <v>0.0</v>
      </c>
      <c r="H310" s="56">
        <v>501.51</v>
      </c>
      <c r="I310" s="59">
        <v>44393.0</v>
      </c>
      <c r="J310" s="56" t="s">
        <v>3594</v>
      </c>
      <c r="K310" s="15" t="s">
        <v>3903</v>
      </c>
      <c r="L310" s="60" t="str">
        <f t="shared" si="1"/>
        <v>Not in buy Zone</v>
      </c>
      <c r="M310" s="60" t="str">
        <f t="shared" si="2"/>
        <v>Not in buy Zone</v>
      </c>
      <c r="N310" s="33" t="str">
        <f t="shared" si="3"/>
        <v>No</v>
      </c>
    </row>
    <row r="311">
      <c r="A311" s="56" t="s">
        <v>339</v>
      </c>
      <c r="B311" s="56">
        <v>0.0</v>
      </c>
      <c r="C311" s="56">
        <v>0.0</v>
      </c>
      <c r="D311" s="56">
        <v>39.38</v>
      </c>
      <c r="E311" s="56">
        <v>0.0</v>
      </c>
      <c r="F311" s="58">
        <v>44385.0</v>
      </c>
      <c r="G311" s="56">
        <v>0.0</v>
      </c>
      <c r="H311" s="56">
        <v>39.97</v>
      </c>
      <c r="I311" s="59">
        <v>44393.0</v>
      </c>
      <c r="J311" s="56" t="s">
        <v>3594</v>
      </c>
      <c r="K311" s="15" t="s">
        <v>3904</v>
      </c>
      <c r="L311" s="60" t="str">
        <f t="shared" si="1"/>
        <v>Not in buy Zone</v>
      </c>
      <c r="M311" s="60" t="str">
        <f t="shared" si="2"/>
        <v>Not in buy Zone</v>
      </c>
      <c r="N311" s="33" t="str">
        <f t="shared" si="3"/>
        <v>No</v>
      </c>
    </row>
    <row r="312">
      <c r="A312" s="56" t="s">
        <v>340</v>
      </c>
      <c r="B312" s="56">
        <v>0.0</v>
      </c>
      <c r="C312" s="56">
        <v>0.0</v>
      </c>
      <c r="D312" s="56">
        <v>0.0</v>
      </c>
      <c r="E312" s="56">
        <v>59.89</v>
      </c>
      <c r="F312" s="58">
        <v>44392.0</v>
      </c>
      <c r="G312" s="56">
        <v>0.0</v>
      </c>
      <c r="H312" s="56">
        <v>59.13</v>
      </c>
      <c r="I312" s="59">
        <v>44393.0</v>
      </c>
      <c r="J312" s="56" t="s">
        <v>3594</v>
      </c>
      <c r="K312" s="15" t="s">
        <v>3905</v>
      </c>
      <c r="L312" s="60" t="str">
        <f t="shared" si="1"/>
        <v>Not in buy Zone</v>
      </c>
      <c r="M312" s="60" t="str">
        <f t="shared" si="2"/>
        <v>Not in buy Zone</v>
      </c>
      <c r="N312" s="33" t="str">
        <f t="shared" si="3"/>
        <v>No</v>
      </c>
    </row>
    <row r="313">
      <c r="A313" s="56" t="s">
        <v>341</v>
      </c>
      <c r="B313" s="56">
        <v>0.0</v>
      </c>
      <c r="C313" s="56">
        <v>0.0</v>
      </c>
      <c r="D313" s="56">
        <v>0.0</v>
      </c>
      <c r="E313" s="56">
        <v>33.57</v>
      </c>
      <c r="F313" s="58">
        <v>44355.0</v>
      </c>
      <c r="G313" s="56">
        <v>0.0</v>
      </c>
      <c r="H313" s="56">
        <v>31.44</v>
      </c>
      <c r="I313" s="59">
        <v>44393.0</v>
      </c>
      <c r="J313" s="56" t="s">
        <v>3594</v>
      </c>
      <c r="K313" s="15" t="s">
        <v>3906</v>
      </c>
      <c r="L313" s="60" t="str">
        <f t="shared" si="1"/>
        <v>Not in buy Zone</v>
      </c>
      <c r="M313" s="60" t="str">
        <f t="shared" si="2"/>
        <v>Not in buy Zone</v>
      </c>
      <c r="N313" s="33" t="str">
        <f t="shared" si="3"/>
        <v>No</v>
      </c>
    </row>
    <row r="314">
      <c r="A314" s="56" t="s">
        <v>342</v>
      </c>
      <c r="B314" s="56">
        <v>0.0</v>
      </c>
      <c r="C314" s="56">
        <v>0.0</v>
      </c>
      <c r="D314" s="56">
        <v>0.0</v>
      </c>
      <c r="E314" s="56">
        <v>201.3</v>
      </c>
      <c r="F314" s="58">
        <v>44385.0</v>
      </c>
      <c r="G314" s="56">
        <v>0.0</v>
      </c>
      <c r="H314" s="56">
        <v>205.88</v>
      </c>
      <c r="I314" s="59">
        <v>44393.0</v>
      </c>
      <c r="J314" s="56" t="s">
        <v>3594</v>
      </c>
      <c r="K314" s="15" t="s">
        <v>3907</v>
      </c>
      <c r="L314" s="60" t="str">
        <f t="shared" si="1"/>
        <v>Not in buy Zone</v>
      </c>
      <c r="M314" s="60" t="str">
        <f t="shared" si="2"/>
        <v>Not in buy Zone</v>
      </c>
      <c r="N314" s="33" t="str">
        <f t="shared" si="3"/>
        <v>No</v>
      </c>
    </row>
    <row r="315">
      <c r="A315" s="56" t="s">
        <v>343</v>
      </c>
      <c r="B315" s="56">
        <v>0.0</v>
      </c>
      <c r="C315" s="56">
        <v>0.0</v>
      </c>
      <c r="D315" s="56">
        <v>0.0</v>
      </c>
      <c r="E315" s="56">
        <v>248.62</v>
      </c>
      <c r="F315" s="58">
        <v>44389.0</v>
      </c>
      <c r="G315" s="56">
        <v>0.0</v>
      </c>
      <c r="H315" s="56">
        <v>247.7</v>
      </c>
      <c r="I315" s="59">
        <v>44393.0</v>
      </c>
      <c r="J315" s="56" t="s">
        <v>3594</v>
      </c>
      <c r="K315" s="15" t="s">
        <v>3908</v>
      </c>
      <c r="L315" s="60" t="str">
        <f t="shared" si="1"/>
        <v>Not in buy Zone</v>
      </c>
      <c r="M315" s="60" t="str">
        <f t="shared" si="2"/>
        <v>Not in buy Zone</v>
      </c>
      <c r="N315" s="33" t="str">
        <f t="shared" si="3"/>
        <v>No</v>
      </c>
    </row>
    <row r="316">
      <c r="A316" s="56" t="s">
        <v>344</v>
      </c>
      <c r="B316" s="56">
        <v>0.0</v>
      </c>
      <c r="C316" s="56">
        <v>0.0</v>
      </c>
      <c r="D316" s="56">
        <v>48.98</v>
      </c>
      <c r="E316" s="56">
        <v>0.0</v>
      </c>
      <c r="F316" s="58">
        <v>44372.0</v>
      </c>
      <c r="G316" s="56">
        <v>0.0</v>
      </c>
      <c r="H316" s="56">
        <v>48.16</v>
      </c>
      <c r="I316" s="59">
        <v>44393.0</v>
      </c>
      <c r="J316" s="56" t="s">
        <v>3594</v>
      </c>
      <c r="K316" s="15" t="s">
        <v>3909</v>
      </c>
      <c r="L316" s="60" t="str">
        <f t="shared" si="1"/>
        <v>Not in buy Zone</v>
      </c>
      <c r="M316" s="60" t="str">
        <f t="shared" si="2"/>
        <v>Not in buy Zone</v>
      </c>
      <c r="N316" s="33" t="str">
        <f t="shared" si="3"/>
        <v>No</v>
      </c>
    </row>
    <row r="317">
      <c r="A317" s="56" t="s">
        <v>345</v>
      </c>
      <c r="B317" s="56">
        <v>0.0</v>
      </c>
      <c r="C317" s="56">
        <v>0.0</v>
      </c>
      <c r="D317" s="56">
        <v>44.22</v>
      </c>
      <c r="E317" s="56">
        <v>0.0</v>
      </c>
      <c r="F317" s="58">
        <v>44391.0</v>
      </c>
      <c r="G317" s="56">
        <v>0.0</v>
      </c>
      <c r="H317" s="56">
        <v>43.32</v>
      </c>
      <c r="I317" s="59">
        <v>44393.0</v>
      </c>
      <c r="J317" s="56" t="s">
        <v>3594</v>
      </c>
      <c r="K317" s="15" t="s">
        <v>3910</v>
      </c>
      <c r="L317" s="60" t="str">
        <f t="shared" si="1"/>
        <v>Not in buy Zone</v>
      </c>
      <c r="M317" s="60" t="str">
        <f t="shared" si="2"/>
        <v>Not in buy Zone</v>
      </c>
      <c r="N317" s="33" t="str">
        <f t="shared" si="3"/>
        <v>No</v>
      </c>
    </row>
    <row r="318">
      <c r="A318" s="56" t="s">
        <v>346</v>
      </c>
      <c r="B318" s="56">
        <v>0.0</v>
      </c>
      <c r="C318" s="56">
        <v>0.0</v>
      </c>
      <c r="D318" s="56">
        <v>859.14</v>
      </c>
      <c r="E318" s="56">
        <v>0.0</v>
      </c>
      <c r="F318" s="58">
        <v>44357.0</v>
      </c>
      <c r="G318" s="56">
        <v>0.0</v>
      </c>
      <c r="H318" s="56">
        <v>950.11</v>
      </c>
      <c r="I318" s="59">
        <v>44393.0</v>
      </c>
      <c r="J318" s="56" t="s">
        <v>3594</v>
      </c>
      <c r="K318" s="15" t="s">
        <v>3911</v>
      </c>
      <c r="L318" s="60" t="str">
        <f t="shared" si="1"/>
        <v>Not in buy Zone</v>
      </c>
      <c r="M318" s="60" t="str">
        <f t="shared" si="2"/>
        <v>Not in buy Zone</v>
      </c>
      <c r="N318" s="33" t="str">
        <f t="shared" si="3"/>
        <v>No</v>
      </c>
    </row>
    <row r="319">
      <c r="A319" s="56" t="s">
        <v>347</v>
      </c>
      <c r="B319" s="56">
        <v>0.0</v>
      </c>
      <c r="C319" s="56">
        <v>0.0</v>
      </c>
      <c r="D319" s="56">
        <v>240.37</v>
      </c>
      <c r="E319" s="56">
        <v>0.0</v>
      </c>
      <c r="F319" s="58">
        <v>44375.0</v>
      </c>
      <c r="G319" s="56">
        <v>0.0</v>
      </c>
      <c r="H319" s="56">
        <v>253.36</v>
      </c>
      <c r="I319" s="59">
        <v>44393.0</v>
      </c>
      <c r="J319" s="56" t="s">
        <v>3594</v>
      </c>
      <c r="K319" s="15" t="s">
        <v>3912</v>
      </c>
      <c r="L319" s="60" t="str">
        <f t="shared" si="1"/>
        <v>Not in buy Zone</v>
      </c>
      <c r="M319" s="60" t="str">
        <f t="shared" si="2"/>
        <v>Not in buy Zone</v>
      </c>
      <c r="N319" s="33" t="str">
        <f t="shared" si="3"/>
        <v>No</v>
      </c>
    </row>
    <row r="320">
      <c r="A320" s="56" t="s">
        <v>348</v>
      </c>
      <c r="B320" s="56">
        <v>0.0</v>
      </c>
      <c r="C320" s="56">
        <v>0.0</v>
      </c>
      <c r="D320" s="56">
        <v>225.21</v>
      </c>
      <c r="E320" s="56">
        <v>0.0</v>
      </c>
      <c r="F320" s="58">
        <v>44384.0</v>
      </c>
      <c r="G320" s="56">
        <v>0.0</v>
      </c>
      <c r="H320" s="56">
        <v>228.39</v>
      </c>
      <c r="I320" s="59">
        <v>44393.0</v>
      </c>
      <c r="J320" s="56" t="s">
        <v>3594</v>
      </c>
      <c r="K320" s="15" t="s">
        <v>3913</v>
      </c>
      <c r="L320" s="60" t="str">
        <f t="shared" si="1"/>
        <v>Not in buy Zone</v>
      </c>
      <c r="M320" s="60" t="str">
        <f t="shared" si="2"/>
        <v>Not in buy Zone</v>
      </c>
      <c r="N320" s="33" t="str">
        <f t="shared" si="3"/>
        <v>No</v>
      </c>
    </row>
    <row r="321">
      <c r="A321" s="56" t="s">
        <v>349</v>
      </c>
      <c r="B321" s="56">
        <v>0.0</v>
      </c>
      <c r="C321" s="56">
        <v>0.0</v>
      </c>
      <c r="D321" s="56">
        <v>428.44</v>
      </c>
      <c r="E321" s="56">
        <v>0.0</v>
      </c>
      <c r="F321" s="58">
        <v>44372.0</v>
      </c>
      <c r="G321" s="56">
        <v>0.0</v>
      </c>
      <c r="H321" s="56">
        <v>433.27</v>
      </c>
      <c r="I321" s="59">
        <v>44393.0</v>
      </c>
      <c r="J321" s="56" t="s">
        <v>3594</v>
      </c>
      <c r="K321" s="15" t="s">
        <v>3914</v>
      </c>
      <c r="L321" s="60" t="str">
        <f t="shared" si="1"/>
        <v>Not in buy Zone</v>
      </c>
      <c r="M321" s="60" t="str">
        <f t="shared" si="2"/>
        <v>Not in buy Zone</v>
      </c>
      <c r="N321" s="33" t="str">
        <f t="shared" si="3"/>
        <v>No</v>
      </c>
    </row>
    <row r="322">
      <c r="A322" s="56" t="s">
        <v>350</v>
      </c>
      <c r="B322" s="56">
        <v>0.0</v>
      </c>
      <c r="C322" s="56">
        <v>0.0</v>
      </c>
      <c r="D322" s="56">
        <v>0.0</v>
      </c>
      <c r="E322" s="56">
        <v>27.21</v>
      </c>
      <c r="F322" s="58">
        <v>44364.0</v>
      </c>
      <c r="G322" s="56">
        <v>0.0</v>
      </c>
      <c r="H322" s="56">
        <v>25.02</v>
      </c>
      <c r="I322" s="59">
        <v>44393.0</v>
      </c>
      <c r="J322" s="56" t="s">
        <v>3594</v>
      </c>
      <c r="K322" s="15" t="s">
        <v>3915</v>
      </c>
      <c r="L322" s="60" t="str">
        <f t="shared" si="1"/>
        <v>Not in buy Zone</v>
      </c>
      <c r="M322" s="60" t="str">
        <f t="shared" si="2"/>
        <v>Not in buy Zone</v>
      </c>
      <c r="N322" s="33" t="str">
        <f t="shared" si="3"/>
        <v>No</v>
      </c>
    </row>
    <row r="323">
      <c r="A323" s="56" t="s">
        <v>351</v>
      </c>
      <c r="B323" s="56">
        <v>0.0</v>
      </c>
      <c r="C323" s="56">
        <v>157.47</v>
      </c>
      <c r="D323" s="56">
        <v>0.0</v>
      </c>
      <c r="E323" s="56">
        <v>0.0</v>
      </c>
      <c r="F323" s="58">
        <v>44393.0</v>
      </c>
      <c r="G323" s="56">
        <v>-1.0</v>
      </c>
      <c r="H323" s="56">
        <v>157.47</v>
      </c>
      <c r="I323" s="59">
        <v>44393.0</v>
      </c>
      <c r="J323" s="56" t="s">
        <v>3594</v>
      </c>
      <c r="K323" s="15" t="s">
        <v>3916</v>
      </c>
      <c r="L323" s="60" t="str">
        <f t="shared" si="1"/>
        <v>Not in buy Zone</v>
      </c>
      <c r="M323" s="60" t="str">
        <f t="shared" si="2"/>
        <v>Not in buy Zone</v>
      </c>
      <c r="N323" s="33" t="str">
        <f t="shared" si="3"/>
        <v>No</v>
      </c>
    </row>
    <row r="324">
      <c r="A324" s="56" t="s">
        <v>352</v>
      </c>
      <c r="B324" s="56">
        <v>0.0</v>
      </c>
      <c r="C324" s="56">
        <v>0.0</v>
      </c>
      <c r="D324" s="56">
        <v>0.0</v>
      </c>
      <c r="E324" s="56">
        <v>229.34</v>
      </c>
      <c r="F324" s="58">
        <v>44376.0</v>
      </c>
      <c r="G324" s="56">
        <v>0.0</v>
      </c>
      <c r="H324" s="56">
        <v>214.95</v>
      </c>
      <c r="I324" s="59">
        <v>44393.0</v>
      </c>
      <c r="J324" s="56" t="s">
        <v>3594</v>
      </c>
      <c r="K324" s="15" t="s">
        <v>3917</v>
      </c>
      <c r="L324" s="60" t="str">
        <f t="shared" si="1"/>
        <v>Not in buy Zone</v>
      </c>
      <c r="M324" s="60" t="str">
        <f t="shared" si="2"/>
        <v>Not in buy Zone</v>
      </c>
      <c r="N324" s="33" t="str">
        <f t="shared" si="3"/>
        <v>No</v>
      </c>
    </row>
    <row r="325">
      <c r="A325" s="56" t="s">
        <v>353</v>
      </c>
      <c r="B325" s="56">
        <v>0.0</v>
      </c>
      <c r="C325" s="56">
        <v>0.0</v>
      </c>
      <c r="D325" s="56">
        <v>106.17</v>
      </c>
      <c r="E325" s="56">
        <v>0.0</v>
      </c>
      <c r="F325" s="58">
        <v>44389.0</v>
      </c>
      <c r="G325" s="56">
        <v>0.0</v>
      </c>
      <c r="H325" s="56">
        <v>105.78</v>
      </c>
      <c r="I325" s="59">
        <v>44393.0</v>
      </c>
      <c r="J325" s="56" t="s">
        <v>3594</v>
      </c>
      <c r="K325" s="15" t="s">
        <v>3918</v>
      </c>
      <c r="L325" s="60" t="str">
        <f t="shared" si="1"/>
        <v>Not in buy Zone</v>
      </c>
      <c r="M325" s="60" t="str">
        <f t="shared" si="2"/>
        <v>Not in buy Zone</v>
      </c>
      <c r="N325" s="33" t="str">
        <f t="shared" si="3"/>
        <v>No</v>
      </c>
    </row>
    <row r="326">
      <c r="A326" s="56" t="s">
        <v>354</v>
      </c>
      <c r="B326" s="56">
        <v>0.0</v>
      </c>
      <c r="C326" s="56">
        <v>132.04</v>
      </c>
      <c r="D326" s="56">
        <v>0.0</v>
      </c>
      <c r="E326" s="56">
        <v>0.0</v>
      </c>
      <c r="F326" s="58">
        <v>44393.0</v>
      </c>
      <c r="G326" s="56">
        <v>-1.0</v>
      </c>
      <c r="H326" s="56">
        <v>132.04</v>
      </c>
      <c r="I326" s="59">
        <v>44393.0</v>
      </c>
      <c r="J326" s="56" t="s">
        <v>3594</v>
      </c>
      <c r="K326" s="15" t="s">
        <v>3919</v>
      </c>
      <c r="L326" s="60" t="str">
        <f t="shared" si="1"/>
        <v>Not in buy Zone</v>
      </c>
      <c r="M326" s="60" t="str">
        <f t="shared" si="2"/>
        <v>Not in buy Zone</v>
      </c>
      <c r="N326" s="33" t="str">
        <f t="shared" si="3"/>
        <v>No</v>
      </c>
    </row>
    <row r="327">
      <c r="A327" s="56" t="s">
        <v>355</v>
      </c>
      <c r="B327" s="56">
        <v>0.0</v>
      </c>
      <c r="C327" s="56">
        <v>0.0</v>
      </c>
      <c r="D327" s="56">
        <v>162.95</v>
      </c>
      <c r="E327" s="56">
        <v>0.0</v>
      </c>
      <c r="F327" s="58">
        <v>44377.0</v>
      </c>
      <c r="G327" s="56">
        <v>0.0</v>
      </c>
      <c r="H327" s="56">
        <v>164.95</v>
      </c>
      <c r="I327" s="59">
        <v>44393.0</v>
      </c>
      <c r="J327" s="56" t="s">
        <v>3594</v>
      </c>
      <c r="K327" s="15" t="s">
        <v>3920</v>
      </c>
      <c r="L327" s="60" t="str">
        <f t="shared" si="1"/>
        <v>Not in buy Zone</v>
      </c>
      <c r="M327" s="60" t="str">
        <f t="shared" si="2"/>
        <v>Not in buy Zone</v>
      </c>
      <c r="N327" s="33" t="str">
        <f t="shared" si="3"/>
        <v>No</v>
      </c>
    </row>
    <row r="328">
      <c r="A328" s="56" t="s">
        <v>356</v>
      </c>
      <c r="B328" s="56">
        <v>0.0</v>
      </c>
      <c r="C328" s="56">
        <v>0.0</v>
      </c>
      <c r="D328" s="56">
        <v>68.63</v>
      </c>
      <c r="E328" s="56">
        <v>0.0</v>
      </c>
      <c r="F328" s="58">
        <v>44377.0</v>
      </c>
      <c r="G328" s="56">
        <v>0.0</v>
      </c>
      <c r="H328" s="56">
        <v>69.73</v>
      </c>
      <c r="I328" s="59">
        <v>44393.0</v>
      </c>
      <c r="J328" s="56" t="s">
        <v>3594</v>
      </c>
      <c r="K328" s="15" t="s">
        <v>3921</v>
      </c>
      <c r="L328" s="60" t="str">
        <f t="shared" si="1"/>
        <v>Not in buy Zone</v>
      </c>
      <c r="M328" s="60" t="str">
        <f t="shared" si="2"/>
        <v>Not in buy Zone</v>
      </c>
      <c r="N328" s="33" t="str">
        <f t="shared" si="3"/>
        <v>No</v>
      </c>
    </row>
    <row r="329">
      <c r="A329" s="56" t="s">
        <v>357</v>
      </c>
      <c r="B329" s="56">
        <v>0.0</v>
      </c>
      <c r="C329" s="56">
        <v>0.0</v>
      </c>
      <c r="D329" s="56">
        <v>76.86</v>
      </c>
      <c r="E329" s="56">
        <v>0.0</v>
      </c>
      <c r="F329" s="58">
        <v>44392.0</v>
      </c>
      <c r="G329" s="56">
        <v>0.0</v>
      </c>
      <c r="H329" s="56">
        <v>75.59</v>
      </c>
      <c r="I329" s="59">
        <v>44393.0</v>
      </c>
      <c r="J329" s="56" t="s">
        <v>3594</v>
      </c>
      <c r="K329" s="15" t="s">
        <v>3922</v>
      </c>
      <c r="L329" s="60" t="str">
        <f t="shared" si="1"/>
        <v>Not in buy Zone</v>
      </c>
      <c r="M329" s="60" t="str">
        <f t="shared" si="2"/>
        <v>Not in buy Zone</v>
      </c>
      <c r="N329" s="33" t="str">
        <f t="shared" si="3"/>
        <v>No</v>
      </c>
    </row>
    <row r="330">
      <c r="A330" s="56" t="s">
        <v>358</v>
      </c>
      <c r="B330" s="56">
        <v>0.0</v>
      </c>
      <c r="C330" s="56">
        <v>0.0</v>
      </c>
      <c r="D330" s="56">
        <v>33.64</v>
      </c>
      <c r="E330" s="56">
        <v>0.0</v>
      </c>
      <c r="F330" s="58">
        <v>44391.0</v>
      </c>
      <c r="G330" s="56">
        <v>0.0</v>
      </c>
      <c r="H330" s="56">
        <v>33.37</v>
      </c>
      <c r="I330" s="59">
        <v>44393.0</v>
      </c>
      <c r="J330" s="56" t="s">
        <v>3594</v>
      </c>
      <c r="K330" s="15" t="s">
        <v>3923</v>
      </c>
      <c r="L330" s="60" t="str">
        <f t="shared" si="1"/>
        <v>Not in buy Zone</v>
      </c>
      <c r="M330" s="60" t="str">
        <f t="shared" si="2"/>
        <v>Not in buy Zone</v>
      </c>
      <c r="N330" s="33" t="str">
        <f t="shared" si="3"/>
        <v>No</v>
      </c>
    </row>
    <row r="331">
      <c r="A331" s="56" t="s">
        <v>359</v>
      </c>
      <c r="B331" s="56">
        <v>0.0</v>
      </c>
      <c r="C331" s="56">
        <v>0.0</v>
      </c>
      <c r="D331" s="56">
        <v>166.81</v>
      </c>
      <c r="E331" s="56">
        <v>0.0</v>
      </c>
      <c r="F331" s="58">
        <v>44384.0</v>
      </c>
      <c r="G331" s="56">
        <v>0.0</v>
      </c>
      <c r="H331" s="56">
        <v>171.67</v>
      </c>
      <c r="I331" s="59">
        <v>44393.0</v>
      </c>
      <c r="J331" s="56" t="s">
        <v>3594</v>
      </c>
      <c r="K331" s="15" t="s">
        <v>3924</v>
      </c>
      <c r="L331" s="60" t="str">
        <f t="shared" si="1"/>
        <v>Not in buy Zone</v>
      </c>
      <c r="M331" s="60" t="str">
        <f t="shared" si="2"/>
        <v>Not in buy Zone</v>
      </c>
      <c r="N331" s="33" t="str">
        <f t="shared" si="3"/>
        <v>No</v>
      </c>
    </row>
    <row r="332">
      <c r="A332" s="56" t="s">
        <v>360</v>
      </c>
      <c r="B332" s="56">
        <v>0.0</v>
      </c>
      <c r="C332" s="56">
        <v>0.0</v>
      </c>
      <c r="D332" s="56">
        <v>165.96</v>
      </c>
      <c r="E332" s="56">
        <v>0.0</v>
      </c>
      <c r="F332" s="58">
        <v>44378.0</v>
      </c>
      <c r="G332" s="56">
        <v>0.0</v>
      </c>
      <c r="H332" s="56">
        <v>168.1</v>
      </c>
      <c r="I332" s="59">
        <v>44393.0</v>
      </c>
      <c r="J332" s="56" t="s">
        <v>3594</v>
      </c>
      <c r="K332" s="15" t="s">
        <v>3925</v>
      </c>
      <c r="L332" s="60" t="str">
        <f t="shared" si="1"/>
        <v>Not in buy Zone</v>
      </c>
      <c r="M332" s="60" t="str">
        <f t="shared" si="2"/>
        <v>Not in buy Zone</v>
      </c>
      <c r="N332" s="33" t="str">
        <f t="shared" si="3"/>
        <v>No</v>
      </c>
    </row>
    <row r="333">
      <c r="A333" s="56" t="s">
        <v>361</v>
      </c>
      <c r="B333" s="56">
        <v>0.0</v>
      </c>
      <c r="C333" s="56">
        <v>0.0</v>
      </c>
      <c r="D333" s="56">
        <v>0.0</v>
      </c>
      <c r="E333" s="56">
        <v>109.65</v>
      </c>
      <c r="F333" s="58">
        <v>44390.0</v>
      </c>
      <c r="G333" s="56">
        <v>0.0</v>
      </c>
      <c r="H333" s="56">
        <v>109.57</v>
      </c>
      <c r="I333" s="59">
        <v>44393.0</v>
      </c>
      <c r="J333" s="56" t="s">
        <v>3594</v>
      </c>
      <c r="K333" s="15" t="s">
        <v>3926</v>
      </c>
      <c r="L333" s="60" t="str">
        <f t="shared" si="1"/>
        <v>Not in buy Zone</v>
      </c>
      <c r="M333" s="60" t="str">
        <f t="shared" si="2"/>
        <v>Not in buy Zone</v>
      </c>
      <c r="N333" s="33" t="str">
        <f t="shared" si="3"/>
        <v>No</v>
      </c>
    </row>
    <row r="334">
      <c r="A334" s="56" t="s">
        <v>362</v>
      </c>
      <c r="B334" s="56">
        <v>0.0</v>
      </c>
      <c r="C334" s="56">
        <v>0.0</v>
      </c>
      <c r="D334" s="56">
        <v>28.07</v>
      </c>
      <c r="E334" s="56">
        <v>0.0</v>
      </c>
      <c r="F334" s="58">
        <v>44392.0</v>
      </c>
      <c r="G334" s="56">
        <v>0.0</v>
      </c>
      <c r="H334" s="56">
        <v>27.61</v>
      </c>
      <c r="I334" s="59">
        <v>44393.0</v>
      </c>
      <c r="J334" s="56" t="s">
        <v>3594</v>
      </c>
      <c r="K334" s="15" t="s">
        <v>3927</v>
      </c>
      <c r="L334" s="60" t="str">
        <f t="shared" si="1"/>
        <v>Not in buy Zone</v>
      </c>
      <c r="M334" s="60" t="str">
        <f t="shared" si="2"/>
        <v>Not in buy Zone</v>
      </c>
      <c r="N334" s="33" t="str">
        <f t="shared" si="3"/>
        <v>No</v>
      </c>
    </row>
    <row r="335">
      <c r="A335" s="56" t="s">
        <v>363</v>
      </c>
      <c r="B335" s="56">
        <v>0.0</v>
      </c>
      <c r="C335" s="56">
        <v>0.0</v>
      </c>
      <c r="D335" s="56">
        <v>155.77</v>
      </c>
      <c r="E335" s="56">
        <v>0.0</v>
      </c>
      <c r="F335" s="58">
        <v>44386.0</v>
      </c>
      <c r="G335" s="56">
        <v>0.0</v>
      </c>
      <c r="H335" s="56">
        <v>151.91</v>
      </c>
      <c r="I335" s="59">
        <v>44393.0</v>
      </c>
      <c r="J335" s="56" t="s">
        <v>3594</v>
      </c>
      <c r="K335" s="15" t="s">
        <v>3928</v>
      </c>
      <c r="L335" s="60" t="str">
        <f t="shared" si="1"/>
        <v>Not in buy Zone</v>
      </c>
      <c r="M335" s="60" t="str">
        <f t="shared" si="2"/>
        <v>Not in buy Zone</v>
      </c>
      <c r="N335" s="33" t="str">
        <f t="shared" si="3"/>
        <v>No</v>
      </c>
    </row>
    <row r="336">
      <c r="A336" s="56" t="s">
        <v>364</v>
      </c>
      <c r="B336" s="56">
        <v>50.72</v>
      </c>
      <c r="C336" s="56">
        <v>0.0</v>
      </c>
      <c r="D336" s="56">
        <v>0.0</v>
      </c>
      <c r="E336" s="56">
        <v>0.0</v>
      </c>
      <c r="F336" s="58">
        <v>44393.0</v>
      </c>
      <c r="G336" s="56">
        <v>1.0</v>
      </c>
      <c r="H336" s="56">
        <v>50.72</v>
      </c>
      <c r="I336" s="59">
        <v>44393.0</v>
      </c>
      <c r="J336" s="56" t="s">
        <v>3594</v>
      </c>
      <c r="K336" s="15" t="s">
        <v>3929</v>
      </c>
      <c r="L336" s="60">
        <f t="shared" si="1"/>
        <v>50.9736</v>
      </c>
      <c r="M336" s="60">
        <f t="shared" si="2"/>
        <v>50.4664</v>
      </c>
      <c r="N336" s="33" t="str">
        <f t="shared" si="3"/>
        <v>Yes</v>
      </c>
    </row>
    <row r="337">
      <c r="A337" s="56" t="s">
        <v>365</v>
      </c>
      <c r="B337" s="56">
        <v>0.0</v>
      </c>
      <c r="C337" s="56">
        <v>0.0</v>
      </c>
      <c r="D337" s="56">
        <v>0.0</v>
      </c>
      <c r="E337" s="56">
        <v>34.03</v>
      </c>
      <c r="F337" s="58">
        <v>44391.0</v>
      </c>
      <c r="G337" s="56">
        <v>0.0</v>
      </c>
      <c r="H337" s="56">
        <v>32.7</v>
      </c>
      <c r="I337" s="59">
        <v>44393.0</v>
      </c>
      <c r="J337" s="56" t="s">
        <v>3594</v>
      </c>
      <c r="K337" s="15" t="s">
        <v>3930</v>
      </c>
      <c r="L337" s="60" t="str">
        <f t="shared" si="1"/>
        <v>Not in buy Zone</v>
      </c>
      <c r="M337" s="60" t="str">
        <f t="shared" si="2"/>
        <v>Not in buy Zone</v>
      </c>
      <c r="N337" s="33" t="str">
        <f t="shared" si="3"/>
        <v>No</v>
      </c>
    </row>
    <row r="338">
      <c r="A338" s="56" t="s">
        <v>366</v>
      </c>
      <c r="B338" s="56">
        <v>64.26</v>
      </c>
      <c r="C338" s="56">
        <v>0.0</v>
      </c>
      <c r="D338" s="56">
        <v>0.0</v>
      </c>
      <c r="E338" s="56">
        <v>0.0</v>
      </c>
      <c r="F338" s="58">
        <v>44393.0</v>
      </c>
      <c r="G338" s="56">
        <v>1.0</v>
      </c>
      <c r="H338" s="56">
        <v>64.26</v>
      </c>
      <c r="I338" s="59">
        <v>44393.0</v>
      </c>
      <c r="J338" s="56" t="s">
        <v>3594</v>
      </c>
      <c r="K338" s="15" t="s">
        <v>3931</v>
      </c>
      <c r="L338" s="60">
        <f t="shared" si="1"/>
        <v>64.5813</v>
      </c>
      <c r="M338" s="60">
        <f t="shared" si="2"/>
        <v>63.9387</v>
      </c>
      <c r="N338" s="33" t="str">
        <f t="shared" si="3"/>
        <v>Yes</v>
      </c>
    </row>
    <row r="339">
      <c r="A339" s="56" t="s">
        <v>367</v>
      </c>
      <c r="B339" s="56">
        <v>0.0</v>
      </c>
      <c r="C339" s="56">
        <v>0.0</v>
      </c>
      <c r="D339" s="56">
        <v>0.0</v>
      </c>
      <c r="E339" s="56">
        <v>54.46</v>
      </c>
      <c r="F339" s="58">
        <v>44356.0</v>
      </c>
      <c r="G339" s="56">
        <v>0.0</v>
      </c>
      <c r="H339" s="56">
        <v>48.9</v>
      </c>
      <c r="I339" s="59">
        <v>44393.0</v>
      </c>
      <c r="J339" s="56" t="s">
        <v>3594</v>
      </c>
      <c r="K339" s="15" t="s">
        <v>3932</v>
      </c>
      <c r="L339" s="60" t="str">
        <f t="shared" si="1"/>
        <v>Not in buy Zone</v>
      </c>
      <c r="M339" s="60" t="str">
        <f t="shared" si="2"/>
        <v>Not in buy Zone</v>
      </c>
      <c r="N339" s="33" t="str">
        <f t="shared" si="3"/>
        <v>No</v>
      </c>
    </row>
    <row r="340">
      <c r="A340" s="56" t="s">
        <v>368</v>
      </c>
      <c r="B340" s="56">
        <v>0.0</v>
      </c>
      <c r="C340" s="56">
        <v>0.0</v>
      </c>
      <c r="D340" s="56">
        <v>35.24</v>
      </c>
      <c r="E340" s="56">
        <v>0.0</v>
      </c>
      <c r="F340" s="58">
        <v>44377.0</v>
      </c>
      <c r="G340" s="56">
        <v>0.0</v>
      </c>
      <c r="H340" s="56">
        <v>35.88</v>
      </c>
      <c r="I340" s="59">
        <v>44393.0</v>
      </c>
      <c r="J340" s="56" t="s">
        <v>3594</v>
      </c>
      <c r="K340" s="15" t="s">
        <v>3933</v>
      </c>
      <c r="L340" s="60" t="str">
        <f t="shared" si="1"/>
        <v>Not in buy Zone</v>
      </c>
      <c r="M340" s="60" t="str">
        <f t="shared" si="2"/>
        <v>Not in buy Zone</v>
      </c>
      <c r="N340" s="33" t="str">
        <f t="shared" si="3"/>
        <v>No</v>
      </c>
    </row>
    <row r="341">
      <c r="A341" s="56" t="s">
        <v>369</v>
      </c>
      <c r="B341" s="56">
        <v>0.0</v>
      </c>
      <c r="C341" s="56">
        <v>19.35</v>
      </c>
      <c r="D341" s="56">
        <v>0.0</v>
      </c>
      <c r="E341" s="56">
        <v>0.0</v>
      </c>
      <c r="F341" s="58">
        <v>44393.0</v>
      </c>
      <c r="G341" s="56">
        <v>-1.0</v>
      </c>
      <c r="H341" s="56">
        <v>19.35</v>
      </c>
      <c r="I341" s="59">
        <v>44393.0</v>
      </c>
      <c r="J341" s="56" t="s">
        <v>3594</v>
      </c>
      <c r="K341" s="15" t="s">
        <v>3934</v>
      </c>
      <c r="L341" s="60" t="str">
        <f t="shared" si="1"/>
        <v>Not in buy Zone</v>
      </c>
      <c r="M341" s="60" t="str">
        <f t="shared" si="2"/>
        <v>Not in buy Zone</v>
      </c>
      <c r="N341" s="33" t="str">
        <f t="shared" si="3"/>
        <v>No</v>
      </c>
    </row>
    <row r="342">
      <c r="A342" s="56" t="s">
        <v>370</v>
      </c>
      <c r="B342" s="56">
        <v>0.0</v>
      </c>
      <c r="C342" s="56">
        <v>0.0</v>
      </c>
      <c r="D342" s="56">
        <v>141.35</v>
      </c>
      <c r="E342" s="56">
        <v>0.0</v>
      </c>
      <c r="F342" s="58">
        <v>44342.0</v>
      </c>
      <c r="G342" s="56">
        <v>0.0</v>
      </c>
      <c r="H342" s="56">
        <v>155.01</v>
      </c>
      <c r="I342" s="59">
        <v>44393.0</v>
      </c>
      <c r="J342" s="56" t="s">
        <v>3594</v>
      </c>
      <c r="K342" s="15" t="s">
        <v>3935</v>
      </c>
      <c r="L342" s="60" t="str">
        <f t="shared" si="1"/>
        <v>Not in buy Zone</v>
      </c>
      <c r="M342" s="60" t="str">
        <f t="shared" si="2"/>
        <v>Not in buy Zone</v>
      </c>
      <c r="N342" s="33" t="str">
        <f t="shared" si="3"/>
        <v>No</v>
      </c>
    </row>
    <row r="343">
      <c r="A343" s="56" t="s">
        <v>371</v>
      </c>
      <c r="B343" s="56">
        <v>0.0</v>
      </c>
      <c r="C343" s="56">
        <v>0.0</v>
      </c>
      <c r="D343" s="56">
        <v>0.0</v>
      </c>
      <c r="E343" s="56">
        <v>43.43</v>
      </c>
      <c r="F343" s="58">
        <v>44343.0</v>
      </c>
      <c r="G343" s="56">
        <v>0.0</v>
      </c>
      <c r="H343" s="56">
        <v>39.3</v>
      </c>
      <c r="I343" s="59">
        <v>44393.0</v>
      </c>
      <c r="J343" s="56" t="s">
        <v>3594</v>
      </c>
      <c r="K343" s="15" t="s">
        <v>3936</v>
      </c>
      <c r="L343" s="60" t="str">
        <f t="shared" si="1"/>
        <v>Not in buy Zone</v>
      </c>
      <c r="M343" s="60" t="str">
        <f t="shared" si="2"/>
        <v>Not in buy Zone</v>
      </c>
      <c r="N343" s="33" t="str">
        <f t="shared" si="3"/>
        <v>No</v>
      </c>
    </row>
    <row r="344">
      <c r="A344" s="56" t="s">
        <v>372</v>
      </c>
      <c r="B344" s="56">
        <v>0.0</v>
      </c>
      <c r="C344" s="56">
        <v>0.0</v>
      </c>
      <c r="D344" s="56">
        <v>21.42</v>
      </c>
      <c r="E344" s="56">
        <v>0.0</v>
      </c>
      <c r="F344" s="58">
        <v>44389.0</v>
      </c>
      <c r="G344" s="56">
        <v>0.0</v>
      </c>
      <c r="H344" s="56">
        <v>21.12</v>
      </c>
      <c r="I344" s="59">
        <v>44393.0</v>
      </c>
      <c r="J344" s="56" t="s">
        <v>3594</v>
      </c>
      <c r="K344" s="15" t="s">
        <v>3937</v>
      </c>
      <c r="L344" s="60" t="str">
        <f t="shared" si="1"/>
        <v>Not in buy Zone</v>
      </c>
      <c r="M344" s="60" t="str">
        <f t="shared" si="2"/>
        <v>Not in buy Zone</v>
      </c>
      <c r="N344" s="33" t="str">
        <f t="shared" si="3"/>
        <v>No</v>
      </c>
    </row>
    <row r="345">
      <c r="A345" s="56" t="s">
        <v>373</v>
      </c>
      <c r="B345" s="56">
        <v>0.0</v>
      </c>
      <c r="C345" s="56">
        <v>0.0</v>
      </c>
      <c r="D345" s="56">
        <v>0.0</v>
      </c>
      <c r="E345" s="56">
        <v>58.03</v>
      </c>
      <c r="F345" s="58">
        <v>44385.0</v>
      </c>
      <c r="G345" s="56">
        <v>0.0</v>
      </c>
      <c r="H345" s="56">
        <v>58.24</v>
      </c>
      <c r="I345" s="59">
        <v>44393.0</v>
      </c>
      <c r="J345" s="56" t="s">
        <v>3594</v>
      </c>
      <c r="K345" s="15" t="s">
        <v>3938</v>
      </c>
      <c r="L345" s="60" t="str">
        <f t="shared" si="1"/>
        <v>Not in buy Zone</v>
      </c>
      <c r="M345" s="60" t="str">
        <f t="shared" si="2"/>
        <v>Not in buy Zone</v>
      </c>
      <c r="N345" s="33" t="str">
        <f t="shared" si="3"/>
        <v>No</v>
      </c>
    </row>
    <row r="346">
      <c r="A346" s="56" t="s">
        <v>374</v>
      </c>
      <c r="B346" s="56">
        <v>0.0</v>
      </c>
      <c r="C346" s="56">
        <v>0.0</v>
      </c>
      <c r="D346" s="56">
        <v>0.0</v>
      </c>
      <c r="E346" s="56">
        <v>311.25</v>
      </c>
      <c r="F346" s="58">
        <v>44383.0</v>
      </c>
      <c r="G346" s="56">
        <v>0.0</v>
      </c>
      <c r="H346" s="56">
        <v>293.22</v>
      </c>
      <c r="I346" s="59">
        <v>44393.0</v>
      </c>
      <c r="J346" s="56" t="s">
        <v>3594</v>
      </c>
      <c r="K346" s="15" t="s">
        <v>3939</v>
      </c>
      <c r="L346" s="60" t="str">
        <f t="shared" si="1"/>
        <v>Not in buy Zone</v>
      </c>
      <c r="M346" s="60" t="str">
        <f t="shared" si="2"/>
        <v>Not in buy Zone</v>
      </c>
      <c r="N346" s="33" t="str">
        <f t="shared" si="3"/>
        <v>No</v>
      </c>
    </row>
    <row r="347">
      <c r="A347" s="56" t="s">
        <v>375</v>
      </c>
      <c r="B347" s="56">
        <v>0.0</v>
      </c>
      <c r="C347" s="56">
        <v>0.0</v>
      </c>
      <c r="D347" s="56">
        <v>130.13</v>
      </c>
      <c r="E347" s="56">
        <v>0.0</v>
      </c>
      <c r="F347" s="58">
        <v>44369.0</v>
      </c>
      <c r="G347" s="56">
        <v>0.0</v>
      </c>
      <c r="H347" s="56">
        <v>138.52</v>
      </c>
      <c r="I347" s="59">
        <v>44393.0</v>
      </c>
      <c r="J347" s="56" t="s">
        <v>3594</v>
      </c>
      <c r="K347" s="15" t="s">
        <v>3940</v>
      </c>
      <c r="L347" s="60" t="str">
        <f t="shared" si="1"/>
        <v>Not in buy Zone</v>
      </c>
      <c r="M347" s="60" t="str">
        <f t="shared" si="2"/>
        <v>Not in buy Zone</v>
      </c>
      <c r="N347" s="33" t="str">
        <f t="shared" si="3"/>
        <v>No</v>
      </c>
    </row>
    <row r="348">
      <c r="A348" s="56" t="s">
        <v>376</v>
      </c>
      <c r="B348" s="56">
        <v>0.0</v>
      </c>
      <c r="C348" s="56">
        <v>0.0</v>
      </c>
      <c r="D348" s="56">
        <v>0.0</v>
      </c>
      <c r="E348" s="56">
        <v>18.85</v>
      </c>
      <c r="F348" s="58">
        <v>44363.0</v>
      </c>
      <c r="G348" s="56">
        <v>0.0</v>
      </c>
      <c r="H348" s="56">
        <v>17.64</v>
      </c>
      <c r="I348" s="59">
        <v>44393.0</v>
      </c>
      <c r="J348" s="56" t="s">
        <v>3594</v>
      </c>
      <c r="K348" s="15" t="s">
        <v>3941</v>
      </c>
      <c r="L348" s="60" t="str">
        <f t="shared" si="1"/>
        <v>Not in buy Zone</v>
      </c>
      <c r="M348" s="60" t="str">
        <f t="shared" si="2"/>
        <v>Not in buy Zone</v>
      </c>
      <c r="N348" s="33" t="str">
        <f t="shared" si="3"/>
        <v>No</v>
      </c>
    </row>
    <row r="349">
      <c r="A349" s="56" t="s">
        <v>377</v>
      </c>
      <c r="B349" s="56">
        <v>0.0</v>
      </c>
      <c r="C349" s="56">
        <v>0.0</v>
      </c>
      <c r="D349" s="56">
        <v>116.85</v>
      </c>
      <c r="E349" s="56">
        <v>0.0</v>
      </c>
      <c r="F349" s="58">
        <v>44358.0</v>
      </c>
      <c r="G349" s="56">
        <v>0.0</v>
      </c>
      <c r="H349" s="56">
        <v>130.95</v>
      </c>
      <c r="I349" s="59">
        <v>44393.0</v>
      </c>
      <c r="J349" s="56" t="s">
        <v>3594</v>
      </c>
      <c r="K349" s="15" t="s">
        <v>3942</v>
      </c>
      <c r="L349" s="60" t="str">
        <f t="shared" si="1"/>
        <v>Not in buy Zone</v>
      </c>
      <c r="M349" s="60" t="str">
        <f t="shared" si="2"/>
        <v>Not in buy Zone</v>
      </c>
      <c r="N349" s="33" t="str">
        <f t="shared" si="3"/>
        <v>No</v>
      </c>
    </row>
    <row r="350">
      <c r="A350" s="56" t="s">
        <v>378</v>
      </c>
      <c r="B350" s="56">
        <v>0.0</v>
      </c>
      <c r="C350" s="56">
        <v>0.0</v>
      </c>
      <c r="D350" s="56">
        <v>55.02</v>
      </c>
      <c r="E350" s="56">
        <v>0.0</v>
      </c>
      <c r="F350" s="58">
        <v>44390.0</v>
      </c>
      <c r="G350" s="56">
        <v>0.0</v>
      </c>
      <c r="H350" s="56">
        <v>56.4</v>
      </c>
      <c r="I350" s="59">
        <v>44393.0</v>
      </c>
      <c r="J350" s="56" t="s">
        <v>3594</v>
      </c>
      <c r="K350" s="15" t="s">
        <v>3943</v>
      </c>
      <c r="L350" s="60" t="str">
        <f t="shared" si="1"/>
        <v>Not in buy Zone</v>
      </c>
      <c r="M350" s="60" t="str">
        <f t="shared" si="2"/>
        <v>Not in buy Zone</v>
      </c>
      <c r="N350" s="33" t="str">
        <f t="shared" si="3"/>
        <v>No</v>
      </c>
    </row>
    <row r="351">
      <c r="A351" s="56" t="s">
        <v>379</v>
      </c>
      <c r="B351" s="56">
        <v>39.36</v>
      </c>
      <c r="C351" s="56">
        <v>0.0</v>
      </c>
      <c r="D351" s="56">
        <v>0.0</v>
      </c>
      <c r="E351" s="56">
        <v>0.0</v>
      </c>
      <c r="F351" s="58">
        <v>44393.0</v>
      </c>
      <c r="G351" s="56">
        <v>1.0</v>
      </c>
      <c r="H351" s="56">
        <v>39.36</v>
      </c>
      <c r="I351" s="59">
        <v>44393.0</v>
      </c>
      <c r="J351" s="56" t="s">
        <v>3594</v>
      </c>
      <c r="K351" s="15" t="s">
        <v>3944</v>
      </c>
      <c r="L351" s="60">
        <f t="shared" si="1"/>
        <v>39.5568</v>
      </c>
      <c r="M351" s="60">
        <f t="shared" si="2"/>
        <v>39.1632</v>
      </c>
      <c r="N351" s="33" t="str">
        <f t="shared" si="3"/>
        <v>Yes</v>
      </c>
    </row>
    <row r="352">
      <c r="A352" s="56" t="s">
        <v>380</v>
      </c>
      <c r="B352" s="56">
        <v>0.0</v>
      </c>
      <c r="C352" s="56">
        <v>0.0</v>
      </c>
      <c r="D352" s="56">
        <v>0.0</v>
      </c>
      <c r="E352" s="56">
        <v>69.75</v>
      </c>
      <c r="F352" s="58">
        <v>44356.0</v>
      </c>
      <c r="G352" s="56">
        <v>0.0</v>
      </c>
      <c r="H352" s="56">
        <v>62.01</v>
      </c>
      <c r="I352" s="59">
        <v>44393.0</v>
      </c>
      <c r="J352" s="56" t="s">
        <v>3594</v>
      </c>
      <c r="K352" s="15" t="s">
        <v>3945</v>
      </c>
      <c r="L352" s="60" t="str">
        <f t="shared" si="1"/>
        <v>Not in buy Zone</v>
      </c>
      <c r="M352" s="60" t="str">
        <f t="shared" si="2"/>
        <v>Not in buy Zone</v>
      </c>
      <c r="N352" s="33" t="str">
        <f t="shared" si="3"/>
        <v>No</v>
      </c>
    </row>
    <row r="353">
      <c r="A353" s="56" t="s">
        <v>381</v>
      </c>
      <c r="B353" s="56">
        <v>0.0</v>
      </c>
      <c r="C353" s="56">
        <v>0.0</v>
      </c>
      <c r="D353" s="56">
        <v>0.0</v>
      </c>
      <c r="E353" s="56">
        <v>51.22</v>
      </c>
      <c r="F353" s="58">
        <v>44385.0</v>
      </c>
      <c r="G353" s="56">
        <v>0.0</v>
      </c>
      <c r="H353" s="56">
        <v>49.41</v>
      </c>
      <c r="I353" s="59">
        <v>44393.0</v>
      </c>
      <c r="J353" s="56" t="s">
        <v>3594</v>
      </c>
      <c r="K353" s="15" t="s">
        <v>3946</v>
      </c>
      <c r="L353" s="60" t="str">
        <f t="shared" si="1"/>
        <v>Not in buy Zone</v>
      </c>
      <c r="M353" s="60" t="str">
        <f t="shared" si="2"/>
        <v>Not in buy Zone</v>
      </c>
      <c r="N353" s="33" t="str">
        <f t="shared" si="3"/>
        <v>No</v>
      </c>
    </row>
    <row r="354">
      <c r="A354" s="56" t="s">
        <v>382</v>
      </c>
      <c r="B354" s="56">
        <v>0.0</v>
      </c>
      <c r="C354" s="56">
        <v>0.0</v>
      </c>
      <c r="D354" s="56">
        <v>0.0</v>
      </c>
      <c r="E354" s="56">
        <v>309.01</v>
      </c>
      <c r="F354" s="58">
        <v>44330.0</v>
      </c>
      <c r="G354" s="56">
        <v>0.0</v>
      </c>
      <c r="H354" s="56">
        <v>266.33</v>
      </c>
      <c r="I354" s="59">
        <v>44393.0</v>
      </c>
      <c r="J354" s="56" t="s">
        <v>3594</v>
      </c>
      <c r="K354" s="15" t="s">
        <v>3947</v>
      </c>
      <c r="L354" s="60" t="str">
        <f t="shared" si="1"/>
        <v>Not in buy Zone</v>
      </c>
      <c r="M354" s="60" t="str">
        <f t="shared" si="2"/>
        <v>Not in buy Zone</v>
      </c>
      <c r="N354" s="33" t="str">
        <f t="shared" si="3"/>
        <v>No</v>
      </c>
    </row>
    <row r="355">
      <c r="A355" s="56" t="s">
        <v>383</v>
      </c>
      <c r="B355" s="56">
        <v>0.0</v>
      </c>
      <c r="C355" s="56">
        <v>0.0</v>
      </c>
      <c r="D355" s="56">
        <v>0.0</v>
      </c>
      <c r="E355" s="56">
        <v>63.34</v>
      </c>
      <c r="F355" s="58">
        <v>44383.0</v>
      </c>
      <c r="G355" s="56">
        <v>0.0</v>
      </c>
      <c r="H355" s="56">
        <v>61.81</v>
      </c>
      <c r="I355" s="59">
        <v>44393.0</v>
      </c>
      <c r="J355" s="56" t="s">
        <v>3594</v>
      </c>
      <c r="K355" s="15" t="s">
        <v>3948</v>
      </c>
      <c r="L355" s="60" t="str">
        <f t="shared" si="1"/>
        <v>Not in buy Zone</v>
      </c>
      <c r="M355" s="60" t="str">
        <f t="shared" si="2"/>
        <v>Not in buy Zone</v>
      </c>
      <c r="N355" s="33" t="str">
        <f t="shared" si="3"/>
        <v>No</v>
      </c>
    </row>
    <row r="356">
      <c r="A356" s="56" t="s">
        <v>384</v>
      </c>
      <c r="B356" s="56">
        <v>0.0</v>
      </c>
      <c r="C356" s="56">
        <v>0.0</v>
      </c>
      <c r="D356" s="56">
        <v>55.05</v>
      </c>
      <c r="E356" s="56">
        <v>0.0</v>
      </c>
      <c r="F356" s="58">
        <v>44389.0</v>
      </c>
      <c r="G356" s="56">
        <v>0.0</v>
      </c>
      <c r="H356" s="56">
        <v>54.02</v>
      </c>
      <c r="I356" s="59">
        <v>44393.0</v>
      </c>
      <c r="J356" s="56" t="s">
        <v>3594</v>
      </c>
      <c r="K356" s="15" t="s">
        <v>3949</v>
      </c>
      <c r="L356" s="60" t="str">
        <f t="shared" si="1"/>
        <v>Not in buy Zone</v>
      </c>
      <c r="M356" s="60" t="str">
        <f t="shared" si="2"/>
        <v>Not in buy Zone</v>
      </c>
      <c r="N356" s="33" t="str">
        <f t="shared" si="3"/>
        <v>No</v>
      </c>
    </row>
    <row r="357">
      <c r="A357" s="56" t="s">
        <v>385</v>
      </c>
      <c r="B357" s="56">
        <v>0.0</v>
      </c>
      <c r="C357" s="56">
        <v>0.0</v>
      </c>
      <c r="D357" s="56">
        <v>71.07</v>
      </c>
      <c r="E357" s="56">
        <v>0.0</v>
      </c>
      <c r="F357" s="58">
        <v>44370.0</v>
      </c>
      <c r="G357" s="56">
        <v>0.0</v>
      </c>
      <c r="H357" s="56">
        <v>72.75</v>
      </c>
      <c r="I357" s="59">
        <v>44393.0</v>
      </c>
      <c r="J357" s="56" t="s">
        <v>3594</v>
      </c>
      <c r="K357" s="15" t="s">
        <v>3950</v>
      </c>
      <c r="L357" s="60" t="str">
        <f t="shared" si="1"/>
        <v>Not in buy Zone</v>
      </c>
      <c r="M357" s="60" t="str">
        <f t="shared" si="2"/>
        <v>Not in buy Zone</v>
      </c>
      <c r="N357" s="33" t="str">
        <f t="shared" si="3"/>
        <v>No</v>
      </c>
    </row>
    <row r="358">
      <c r="A358" s="56" t="s">
        <v>386</v>
      </c>
      <c r="B358" s="56">
        <v>0.0</v>
      </c>
      <c r="C358" s="56">
        <v>0.0</v>
      </c>
      <c r="D358" s="56">
        <v>105.09</v>
      </c>
      <c r="E358" s="56">
        <v>0.0</v>
      </c>
      <c r="F358" s="58">
        <v>44389.0</v>
      </c>
      <c r="G358" s="56">
        <v>0.0</v>
      </c>
      <c r="H358" s="56">
        <v>106.28</v>
      </c>
      <c r="I358" s="59">
        <v>44393.0</v>
      </c>
      <c r="J358" s="56" t="s">
        <v>3594</v>
      </c>
      <c r="K358" s="15" t="s">
        <v>3951</v>
      </c>
      <c r="L358" s="60" t="str">
        <f t="shared" si="1"/>
        <v>Not in buy Zone</v>
      </c>
      <c r="M358" s="60" t="str">
        <f t="shared" si="2"/>
        <v>Not in buy Zone</v>
      </c>
      <c r="N358" s="33" t="str">
        <f t="shared" si="3"/>
        <v>No</v>
      </c>
    </row>
    <row r="359">
      <c r="A359" s="56" t="s">
        <v>387</v>
      </c>
      <c r="B359" s="56">
        <v>0.0</v>
      </c>
      <c r="C359" s="56">
        <v>0.0</v>
      </c>
      <c r="D359" s="56">
        <v>0.0</v>
      </c>
      <c r="E359" s="56">
        <v>54.96</v>
      </c>
      <c r="F359" s="58">
        <v>44334.0</v>
      </c>
      <c r="G359" s="56">
        <v>0.0</v>
      </c>
      <c r="H359" s="56">
        <v>48.25</v>
      </c>
      <c r="I359" s="59">
        <v>44393.0</v>
      </c>
      <c r="J359" s="56" t="s">
        <v>3594</v>
      </c>
      <c r="K359" s="15" t="s">
        <v>3952</v>
      </c>
      <c r="L359" s="60" t="str">
        <f t="shared" si="1"/>
        <v>Not in buy Zone</v>
      </c>
      <c r="M359" s="60" t="str">
        <f t="shared" si="2"/>
        <v>Not in buy Zone</v>
      </c>
      <c r="N359" s="33" t="str">
        <f t="shared" si="3"/>
        <v>No</v>
      </c>
    </row>
    <row r="360">
      <c r="A360" s="56" t="s">
        <v>388</v>
      </c>
      <c r="B360" s="56">
        <v>0.0</v>
      </c>
      <c r="C360" s="56">
        <v>0.0</v>
      </c>
      <c r="D360" s="56">
        <v>0.0</v>
      </c>
      <c r="E360" s="56">
        <v>96.33</v>
      </c>
      <c r="F360" s="58">
        <v>44391.0</v>
      </c>
      <c r="G360" s="56">
        <v>0.0</v>
      </c>
      <c r="H360" s="56">
        <v>95.96</v>
      </c>
      <c r="I360" s="59">
        <v>44393.0</v>
      </c>
      <c r="J360" s="56" t="s">
        <v>3594</v>
      </c>
      <c r="K360" s="15" t="s">
        <v>3953</v>
      </c>
      <c r="L360" s="60" t="str">
        <f t="shared" si="1"/>
        <v>Not in buy Zone</v>
      </c>
      <c r="M360" s="60" t="str">
        <f t="shared" si="2"/>
        <v>Not in buy Zone</v>
      </c>
      <c r="N360" s="33" t="str">
        <f t="shared" si="3"/>
        <v>No</v>
      </c>
    </row>
    <row r="361">
      <c r="A361" s="56" t="s">
        <v>389</v>
      </c>
      <c r="B361" s="56">
        <v>0.0</v>
      </c>
      <c r="C361" s="56">
        <v>0.0</v>
      </c>
      <c r="D361" s="56">
        <v>0.0</v>
      </c>
      <c r="E361" s="56">
        <v>26.13</v>
      </c>
      <c r="F361" s="58">
        <v>44383.0</v>
      </c>
      <c r="G361" s="56">
        <v>0.0</v>
      </c>
      <c r="H361" s="56">
        <v>24.8</v>
      </c>
      <c r="I361" s="59">
        <v>44393.0</v>
      </c>
      <c r="J361" s="56" t="s">
        <v>3594</v>
      </c>
      <c r="K361" s="15" t="s">
        <v>3954</v>
      </c>
      <c r="L361" s="60" t="str">
        <f t="shared" si="1"/>
        <v>Not in buy Zone</v>
      </c>
      <c r="M361" s="60" t="str">
        <f t="shared" si="2"/>
        <v>Not in buy Zone</v>
      </c>
      <c r="N361" s="33" t="str">
        <f t="shared" si="3"/>
        <v>No</v>
      </c>
    </row>
    <row r="362">
      <c r="A362" s="56" t="s">
        <v>390</v>
      </c>
      <c r="B362" s="56">
        <v>0.0</v>
      </c>
      <c r="C362" s="56">
        <v>0.0</v>
      </c>
      <c r="D362" s="56">
        <v>264.99</v>
      </c>
      <c r="E362" s="56">
        <v>0.0</v>
      </c>
      <c r="F362" s="58">
        <v>44371.0</v>
      </c>
      <c r="G362" s="56">
        <v>0.0</v>
      </c>
      <c r="H362" s="56">
        <v>276.45</v>
      </c>
      <c r="I362" s="59">
        <v>44393.0</v>
      </c>
      <c r="J362" s="56" t="s">
        <v>3594</v>
      </c>
      <c r="K362" s="15" t="s">
        <v>3955</v>
      </c>
      <c r="L362" s="60" t="str">
        <f t="shared" si="1"/>
        <v>Not in buy Zone</v>
      </c>
      <c r="M362" s="60" t="str">
        <f t="shared" si="2"/>
        <v>Not in buy Zone</v>
      </c>
      <c r="N362" s="33" t="str">
        <f t="shared" si="3"/>
        <v>No</v>
      </c>
    </row>
    <row r="363">
      <c r="A363" s="56" t="s">
        <v>391</v>
      </c>
      <c r="B363" s="56">
        <v>0.0</v>
      </c>
      <c r="C363" s="56">
        <v>0.0</v>
      </c>
      <c r="D363" s="56">
        <v>223.99</v>
      </c>
      <c r="E363" s="56">
        <v>0.0</v>
      </c>
      <c r="F363" s="58">
        <v>44386.0</v>
      </c>
      <c r="G363" s="56">
        <v>0.0</v>
      </c>
      <c r="H363" s="56">
        <v>223.76</v>
      </c>
      <c r="I363" s="59">
        <v>44393.0</v>
      </c>
      <c r="J363" s="56" t="s">
        <v>3594</v>
      </c>
      <c r="K363" s="15" t="s">
        <v>3956</v>
      </c>
      <c r="L363" s="60" t="str">
        <f t="shared" si="1"/>
        <v>Not in buy Zone</v>
      </c>
      <c r="M363" s="60" t="str">
        <f t="shared" si="2"/>
        <v>Not in buy Zone</v>
      </c>
      <c r="N363" s="33" t="str">
        <f t="shared" si="3"/>
        <v>No</v>
      </c>
    </row>
    <row r="364">
      <c r="A364" s="56" t="s">
        <v>392</v>
      </c>
      <c r="B364" s="56">
        <v>0.0</v>
      </c>
      <c r="C364" s="56">
        <v>0.0</v>
      </c>
      <c r="D364" s="56">
        <v>290.84</v>
      </c>
      <c r="E364" s="56">
        <v>0.0</v>
      </c>
      <c r="F364" s="58">
        <v>44378.0</v>
      </c>
      <c r="G364" s="56">
        <v>0.0</v>
      </c>
      <c r="H364" s="56">
        <v>290.07</v>
      </c>
      <c r="I364" s="59">
        <v>44393.0</v>
      </c>
      <c r="J364" s="56" t="s">
        <v>3594</v>
      </c>
      <c r="K364" s="15" t="s">
        <v>3957</v>
      </c>
      <c r="L364" s="60" t="str">
        <f t="shared" si="1"/>
        <v>Not in buy Zone</v>
      </c>
      <c r="M364" s="60" t="str">
        <f t="shared" si="2"/>
        <v>Not in buy Zone</v>
      </c>
      <c r="N364" s="33" t="str">
        <f t="shared" si="3"/>
        <v>No</v>
      </c>
    </row>
    <row r="365">
      <c r="A365" s="56" t="s">
        <v>393</v>
      </c>
      <c r="B365" s="56">
        <v>0.0</v>
      </c>
      <c r="C365" s="56">
        <v>0.0</v>
      </c>
      <c r="D365" s="56">
        <v>50.11</v>
      </c>
      <c r="E365" s="56">
        <v>0.0</v>
      </c>
      <c r="F365" s="58">
        <v>44378.0</v>
      </c>
      <c r="G365" s="56">
        <v>0.0</v>
      </c>
      <c r="H365" s="56">
        <v>49.47</v>
      </c>
      <c r="I365" s="59">
        <v>44393.0</v>
      </c>
      <c r="J365" s="56" t="s">
        <v>3594</v>
      </c>
      <c r="K365" s="15" t="s">
        <v>3958</v>
      </c>
      <c r="L365" s="60" t="str">
        <f t="shared" si="1"/>
        <v>Not in buy Zone</v>
      </c>
      <c r="M365" s="60" t="str">
        <f t="shared" si="2"/>
        <v>Not in buy Zone</v>
      </c>
      <c r="N365" s="33" t="str">
        <f t="shared" si="3"/>
        <v>No</v>
      </c>
    </row>
    <row r="366">
      <c r="A366" s="56" t="s">
        <v>394</v>
      </c>
      <c r="B366" s="56">
        <v>0.0</v>
      </c>
      <c r="C366" s="56">
        <v>0.0</v>
      </c>
      <c r="D366" s="56">
        <v>0.0</v>
      </c>
      <c r="E366" s="56">
        <v>231.47</v>
      </c>
      <c r="F366" s="58">
        <v>44392.0</v>
      </c>
      <c r="G366" s="56">
        <v>0.0</v>
      </c>
      <c r="H366" s="56">
        <v>232.46</v>
      </c>
      <c r="I366" s="59">
        <v>44393.0</v>
      </c>
      <c r="J366" s="56" t="s">
        <v>3594</v>
      </c>
      <c r="K366" s="15" t="s">
        <v>3959</v>
      </c>
      <c r="L366" s="60" t="str">
        <f t="shared" si="1"/>
        <v>Not in buy Zone</v>
      </c>
      <c r="M366" s="60" t="str">
        <f t="shared" si="2"/>
        <v>Not in buy Zone</v>
      </c>
      <c r="N366" s="33" t="str">
        <f t="shared" si="3"/>
        <v>No</v>
      </c>
    </row>
    <row r="367">
      <c r="A367" s="56" t="s">
        <v>395</v>
      </c>
      <c r="B367" s="56">
        <v>0.0</v>
      </c>
      <c r="C367" s="56">
        <v>0.0</v>
      </c>
      <c r="D367" s="56">
        <v>0.0</v>
      </c>
      <c r="E367" s="56">
        <v>105.01</v>
      </c>
      <c r="F367" s="58">
        <v>44383.0</v>
      </c>
      <c r="G367" s="56">
        <v>0.0</v>
      </c>
      <c r="H367" s="56">
        <v>84.25</v>
      </c>
      <c r="I367" s="59">
        <v>44393.0</v>
      </c>
      <c r="J367" s="56" t="s">
        <v>3594</v>
      </c>
      <c r="K367" s="15" t="s">
        <v>3960</v>
      </c>
      <c r="L367" s="60" t="str">
        <f t="shared" si="1"/>
        <v>Not in buy Zone</v>
      </c>
      <c r="M367" s="60" t="str">
        <f t="shared" si="2"/>
        <v>Not in buy Zone</v>
      </c>
      <c r="N367" s="33" t="str">
        <f t="shared" si="3"/>
        <v>No</v>
      </c>
    </row>
    <row r="368">
      <c r="A368" s="56" t="s">
        <v>396</v>
      </c>
      <c r="B368" s="56">
        <v>0.0</v>
      </c>
      <c r="C368" s="56">
        <v>0.0</v>
      </c>
      <c r="D368" s="56">
        <v>0.0</v>
      </c>
      <c r="E368" s="56">
        <v>377.84</v>
      </c>
      <c r="F368" s="58">
        <v>44390.0</v>
      </c>
      <c r="G368" s="56">
        <v>0.0</v>
      </c>
      <c r="H368" s="56">
        <v>377.14</v>
      </c>
      <c r="I368" s="59">
        <v>44393.0</v>
      </c>
      <c r="J368" s="56" t="s">
        <v>3594</v>
      </c>
      <c r="K368" s="15" t="s">
        <v>3961</v>
      </c>
      <c r="L368" s="60" t="str">
        <f t="shared" si="1"/>
        <v>Not in buy Zone</v>
      </c>
      <c r="M368" s="60" t="str">
        <f t="shared" si="2"/>
        <v>Not in buy Zone</v>
      </c>
      <c r="N368" s="33" t="str">
        <f t="shared" si="3"/>
        <v>No</v>
      </c>
    </row>
    <row r="369">
      <c r="A369" s="56" t="s">
        <v>397</v>
      </c>
      <c r="B369" s="56">
        <v>0.0</v>
      </c>
      <c r="C369" s="56">
        <v>59.69</v>
      </c>
      <c r="D369" s="56">
        <v>0.0</v>
      </c>
      <c r="E369" s="56">
        <v>0.0</v>
      </c>
      <c r="F369" s="58">
        <v>44393.0</v>
      </c>
      <c r="G369" s="56">
        <v>-1.0</v>
      </c>
      <c r="H369" s="56">
        <v>59.69</v>
      </c>
      <c r="I369" s="59">
        <v>44393.0</v>
      </c>
      <c r="J369" s="56" t="s">
        <v>3594</v>
      </c>
      <c r="K369" s="15" t="s">
        <v>3962</v>
      </c>
      <c r="L369" s="60" t="str">
        <f t="shared" si="1"/>
        <v>Not in buy Zone</v>
      </c>
      <c r="M369" s="60" t="str">
        <f t="shared" si="2"/>
        <v>Not in buy Zone</v>
      </c>
      <c r="N369" s="33" t="str">
        <f t="shared" si="3"/>
        <v>No</v>
      </c>
    </row>
    <row r="370">
      <c r="A370" s="56" t="s">
        <v>398</v>
      </c>
      <c r="B370" s="56">
        <v>0.0</v>
      </c>
      <c r="C370" s="56">
        <v>0.0</v>
      </c>
      <c r="D370" s="56">
        <v>57.81</v>
      </c>
      <c r="E370" s="56">
        <v>0.0</v>
      </c>
      <c r="F370" s="58">
        <v>44392.0</v>
      </c>
      <c r="G370" s="56">
        <v>0.0</v>
      </c>
      <c r="H370" s="56">
        <v>58.55</v>
      </c>
      <c r="I370" s="59">
        <v>44393.0</v>
      </c>
      <c r="J370" s="56" t="s">
        <v>3594</v>
      </c>
      <c r="K370" s="15" t="s">
        <v>3963</v>
      </c>
      <c r="L370" s="60" t="str">
        <f t="shared" si="1"/>
        <v>Not in buy Zone</v>
      </c>
      <c r="M370" s="60" t="str">
        <f t="shared" si="2"/>
        <v>Not in buy Zone</v>
      </c>
      <c r="N370" s="33" t="str">
        <f t="shared" si="3"/>
        <v>No</v>
      </c>
    </row>
    <row r="371">
      <c r="A371" s="56" t="s">
        <v>399</v>
      </c>
      <c r="B371" s="56">
        <v>0.0</v>
      </c>
      <c r="C371" s="56">
        <v>0.0</v>
      </c>
      <c r="D371" s="56">
        <v>191.14</v>
      </c>
      <c r="E371" s="56">
        <v>0.0</v>
      </c>
      <c r="F371" s="58">
        <v>44370.0</v>
      </c>
      <c r="G371" s="56">
        <v>0.0</v>
      </c>
      <c r="H371" s="56">
        <v>196.14</v>
      </c>
      <c r="I371" s="59">
        <v>44393.0</v>
      </c>
      <c r="J371" s="56" t="s">
        <v>3594</v>
      </c>
      <c r="K371" s="15" t="s">
        <v>3964</v>
      </c>
      <c r="L371" s="60" t="str">
        <f t="shared" si="1"/>
        <v>Not in buy Zone</v>
      </c>
      <c r="M371" s="60" t="str">
        <f t="shared" si="2"/>
        <v>Not in buy Zone</v>
      </c>
      <c r="N371" s="33" t="str">
        <f t="shared" si="3"/>
        <v>No</v>
      </c>
    </row>
    <row r="372">
      <c r="A372" s="56" t="s">
        <v>400</v>
      </c>
      <c r="B372" s="56">
        <v>0.0</v>
      </c>
      <c r="C372" s="56">
        <v>52.73</v>
      </c>
      <c r="D372" s="56">
        <v>0.0</v>
      </c>
      <c r="E372" s="56">
        <v>0.0</v>
      </c>
      <c r="F372" s="58">
        <v>44393.0</v>
      </c>
      <c r="G372" s="56">
        <v>-1.0</v>
      </c>
      <c r="H372" s="56">
        <v>52.73</v>
      </c>
      <c r="I372" s="59">
        <v>44393.0</v>
      </c>
      <c r="J372" s="56" t="s">
        <v>3594</v>
      </c>
      <c r="K372" s="15" t="s">
        <v>3965</v>
      </c>
      <c r="L372" s="60" t="str">
        <f t="shared" si="1"/>
        <v>Not in buy Zone</v>
      </c>
      <c r="M372" s="60" t="str">
        <f t="shared" si="2"/>
        <v>Not in buy Zone</v>
      </c>
      <c r="N372" s="33" t="str">
        <f t="shared" si="3"/>
        <v>No</v>
      </c>
    </row>
    <row r="373">
      <c r="A373" s="56" t="s">
        <v>401</v>
      </c>
      <c r="B373" s="56">
        <v>0.0</v>
      </c>
      <c r="C373" s="56">
        <v>0.0</v>
      </c>
      <c r="D373" s="56">
        <v>0.0</v>
      </c>
      <c r="E373" s="56">
        <v>134.25</v>
      </c>
      <c r="F373" s="58">
        <v>44390.0</v>
      </c>
      <c r="G373" s="56">
        <v>0.0</v>
      </c>
      <c r="H373" s="56">
        <v>134.97</v>
      </c>
      <c r="I373" s="59">
        <v>44393.0</v>
      </c>
      <c r="J373" s="56" t="s">
        <v>3594</v>
      </c>
      <c r="K373" s="15" t="s">
        <v>3966</v>
      </c>
      <c r="L373" s="60" t="str">
        <f t="shared" si="1"/>
        <v>Not in buy Zone</v>
      </c>
      <c r="M373" s="60" t="str">
        <f t="shared" si="2"/>
        <v>Not in buy Zone</v>
      </c>
      <c r="N373" s="33" t="str">
        <f t="shared" si="3"/>
        <v>No</v>
      </c>
    </row>
    <row r="374">
      <c r="A374" s="56" t="s">
        <v>402</v>
      </c>
      <c r="B374" s="56">
        <v>0.0</v>
      </c>
      <c r="C374" s="56">
        <v>0.0</v>
      </c>
      <c r="D374" s="56">
        <v>0.0</v>
      </c>
      <c r="E374" s="56">
        <v>631.44</v>
      </c>
      <c r="F374" s="58">
        <v>44379.0</v>
      </c>
      <c r="G374" s="56">
        <v>0.0</v>
      </c>
      <c r="H374" s="56">
        <v>588.48</v>
      </c>
      <c r="I374" s="59">
        <v>44393.0</v>
      </c>
      <c r="J374" s="56" t="s">
        <v>3594</v>
      </c>
      <c r="K374" s="15" t="s">
        <v>3967</v>
      </c>
      <c r="L374" s="60" t="str">
        <f t="shared" si="1"/>
        <v>Not in buy Zone</v>
      </c>
      <c r="M374" s="60" t="str">
        <f t="shared" si="2"/>
        <v>Not in buy Zone</v>
      </c>
      <c r="N374" s="33" t="str">
        <f t="shared" si="3"/>
        <v>No</v>
      </c>
    </row>
    <row r="375">
      <c r="A375" s="56" t="s">
        <v>403</v>
      </c>
      <c r="B375" s="56">
        <v>0.0</v>
      </c>
      <c r="C375" s="56">
        <v>371.69</v>
      </c>
      <c r="D375" s="56">
        <v>0.0</v>
      </c>
      <c r="E375" s="56">
        <v>0.0</v>
      </c>
      <c r="F375" s="58">
        <v>44393.0</v>
      </c>
      <c r="G375" s="56">
        <v>-1.0</v>
      </c>
      <c r="H375" s="56">
        <v>371.69</v>
      </c>
      <c r="I375" s="59">
        <v>44393.0</v>
      </c>
      <c r="J375" s="56" t="s">
        <v>3594</v>
      </c>
      <c r="K375" s="15" t="s">
        <v>3968</v>
      </c>
      <c r="L375" s="60" t="str">
        <f t="shared" si="1"/>
        <v>Not in buy Zone</v>
      </c>
      <c r="M375" s="60" t="str">
        <f t="shared" si="2"/>
        <v>Not in buy Zone</v>
      </c>
      <c r="N375" s="33" t="str">
        <f t="shared" si="3"/>
        <v>No</v>
      </c>
    </row>
    <row r="376">
      <c r="A376" s="56" t="s">
        <v>404</v>
      </c>
      <c r="B376" s="56">
        <v>0.0</v>
      </c>
      <c r="C376" s="56">
        <v>0.0</v>
      </c>
      <c r="D376" s="56">
        <v>0.0</v>
      </c>
      <c r="E376" s="56">
        <v>14.63</v>
      </c>
      <c r="F376" s="58">
        <v>44363.0</v>
      </c>
      <c r="G376" s="56">
        <v>0.0</v>
      </c>
      <c r="H376" s="56">
        <v>12.74</v>
      </c>
      <c r="I376" s="59">
        <v>44393.0</v>
      </c>
      <c r="J376" s="56" t="s">
        <v>3594</v>
      </c>
      <c r="K376" s="15" t="s">
        <v>3969</v>
      </c>
      <c r="L376" s="60" t="str">
        <f t="shared" si="1"/>
        <v>Not in buy Zone</v>
      </c>
      <c r="M376" s="60" t="str">
        <f t="shared" si="2"/>
        <v>Not in buy Zone</v>
      </c>
      <c r="N376" s="33" t="str">
        <f t="shared" si="3"/>
        <v>No</v>
      </c>
    </row>
    <row r="377">
      <c r="A377" s="56" t="s">
        <v>405</v>
      </c>
      <c r="B377" s="56">
        <v>0.0</v>
      </c>
      <c r="C377" s="56">
        <v>49.91</v>
      </c>
      <c r="D377" s="56">
        <v>0.0</v>
      </c>
      <c r="E377" s="56">
        <v>0.0</v>
      </c>
      <c r="F377" s="58">
        <v>44393.0</v>
      </c>
      <c r="G377" s="56">
        <v>-1.0</v>
      </c>
      <c r="H377" s="56">
        <v>49.91</v>
      </c>
      <c r="I377" s="59">
        <v>44393.0</v>
      </c>
      <c r="J377" s="56" t="s">
        <v>3594</v>
      </c>
      <c r="K377" s="15" t="s">
        <v>3970</v>
      </c>
      <c r="L377" s="60" t="str">
        <f t="shared" si="1"/>
        <v>Not in buy Zone</v>
      </c>
      <c r="M377" s="60" t="str">
        <f t="shared" si="2"/>
        <v>Not in buy Zone</v>
      </c>
      <c r="N377" s="33" t="str">
        <f t="shared" si="3"/>
        <v>No</v>
      </c>
    </row>
    <row r="378">
      <c r="A378" s="56" t="s">
        <v>406</v>
      </c>
      <c r="B378" s="56">
        <v>0.0</v>
      </c>
      <c r="C378" s="56">
        <v>0.0</v>
      </c>
      <c r="D378" s="56">
        <v>0.0</v>
      </c>
      <c r="E378" s="56">
        <v>51.53</v>
      </c>
      <c r="F378" s="58">
        <v>44383.0</v>
      </c>
      <c r="G378" s="56">
        <v>0.0</v>
      </c>
      <c r="H378" s="56">
        <v>47.82</v>
      </c>
      <c r="I378" s="59">
        <v>44393.0</v>
      </c>
      <c r="J378" s="56" t="s">
        <v>3594</v>
      </c>
      <c r="K378" s="15" t="s">
        <v>3971</v>
      </c>
      <c r="L378" s="60" t="str">
        <f t="shared" si="1"/>
        <v>Not in buy Zone</v>
      </c>
      <c r="M378" s="60" t="str">
        <f t="shared" si="2"/>
        <v>Not in buy Zone</v>
      </c>
      <c r="N378" s="33" t="str">
        <f t="shared" si="3"/>
        <v>No</v>
      </c>
    </row>
    <row r="379">
      <c r="A379" s="56" t="s">
        <v>407</v>
      </c>
      <c r="B379" s="56">
        <v>0.0</v>
      </c>
      <c r="C379" s="56">
        <v>0.0</v>
      </c>
      <c r="D379" s="56">
        <v>0.0</v>
      </c>
      <c r="E379" s="56">
        <v>81.38</v>
      </c>
      <c r="F379" s="58">
        <v>44363.0</v>
      </c>
      <c r="G379" s="56">
        <v>0.0</v>
      </c>
      <c r="H379" s="56">
        <v>77.65</v>
      </c>
      <c r="I379" s="59">
        <v>44393.0</v>
      </c>
      <c r="J379" s="56" t="s">
        <v>3594</v>
      </c>
      <c r="K379" s="15" t="s">
        <v>3972</v>
      </c>
      <c r="L379" s="60" t="str">
        <f t="shared" si="1"/>
        <v>Not in buy Zone</v>
      </c>
      <c r="M379" s="60" t="str">
        <f t="shared" si="2"/>
        <v>Not in buy Zone</v>
      </c>
      <c r="N379" s="33" t="str">
        <f t="shared" si="3"/>
        <v>No</v>
      </c>
    </row>
    <row r="380">
      <c r="A380" s="56" t="s">
        <v>408</v>
      </c>
      <c r="B380" s="56">
        <v>0.0</v>
      </c>
      <c r="C380" s="56">
        <v>96.14</v>
      </c>
      <c r="D380" s="56">
        <v>0.0</v>
      </c>
      <c r="E380" s="56">
        <v>0.0</v>
      </c>
      <c r="F380" s="58">
        <v>44393.0</v>
      </c>
      <c r="G380" s="56">
        <v>-1.0</v>
      </c>
      <c r="H380" s="56">
        <v>96.14</v>
      </c>
      <c r="I380" s="59">
        <v>44393.0</v>
      </c>
      <c r="J380" s="56" t="s">
        <v>3594</v>
      </c>
      <c r="K380" s="15" t="s">
        <v>3973</v>
      </c>
      <c r="L380" s="60" t="str">
        <f t="shared" si="1"/>
        <v>Not in buy Zone</v>
      </c>
      <c r="M380" s="60" t="str">
        <f t="shared" si="2"/>
        <v>Not in buy Zone</v>
      </c>
      <c r="N380" s="33" t="str">
        <f t="shared" si="3"/>
        <v>No</v>
      </c>
    </row>
    <row r="381">
      <c r="A381" s="56" t="s">
        <v>409</v>
      </c>
      <c r="B381" s="56">
        <v>0.0</v>
      </c>
      <c r="C381" s="56">
        <v>0.0</v>
      </c>
      <c r="D381" s="56">
        <v>0.0</v>
      </c>
      <c r="E381" s="56">
        <v>58.55</v>
      </c>
      <c r="F381" s="58">
        <v>44385.0</v>
      </c>
      <c r="G381" s="56">
        <v>0.0</v>
      </c>
      <c r="H381" s="56">
        <v>53.4</v>
      </c>
      <c r="I381" s="59">
        <v>44393.0</v>
      </c>
      <c r="J381" s="56" t="s">
        <v>3594</v>
      </c>
      <c r="K381" s="15" t="s">
        <v>3974</v>
      </c>
      <c r="L381" s="60" t="str">
        <f t="shared" si="1"/>
        <v>Not in buy Zone</v>
      </c>
      <c r="M381" s="60" t="str">
        <f t="shared" si="2"/>
        <v>Not in buy Zone</v>
      </c>
      <c r="N381" s="33" t="str">
        <f t="shared" si="3"/>
        <v>No</v>
      </c>
    </row>
    <row r="382">
      <c r="A382" s="56" t="s">
        <v>410</v>
      </c>
      <c r="B382" s="56">
        <v>0.0</v>
      </c>
      <c r="C382" s="56">
        <v>0.0</v>
      </c>
      <c r="D382" s="56">
        <v>0.0</v>
      </c>
      <c r="E382" s="56">
        <v>88.48</v>
      </c>
      <c r="F382" s="58">
        <v>44376.0</v>
      </c>
      <c r="G382" s="56">
        <v>0.0</v>
      </c>
      <c r="H382" s="56">
        <v>78.53</v>
      </c>
      <c r="I382" s="59">
        <v>44393.0</v>
      </c>
      <c r="J382" s="56" t="s">
        <v>3594</v>
      </c>
      <c r="K382" s="15" t="s">
        <v>3975</v>
      </c>
      <c r="L382" s="60" t="str">
        <f t="shared" si="1"/>
        <v>Not in buy Zone</v>
      </c>
      <c r="M382" s="60" t="str">
        <f t="shared" si="2"/>
        <v>Not in buy Zone</v>
      </c>
      <c r="N382" s="33" t="str">
        <f t="shared" si="3"/>
        <v>No</v>
      </c>
    </row>
    <row r="383">
      <c r="A383" s="56" t="s">
        <v>411</v>
      </c>
      <c r="B383" s="56">
        <v>0.0</v>
      </c>
      <c r="C383" s="56">
        <v>0.0</v>
      </c>
      <c r="D383" s="56">
        <v>364.08</v>
      </c>
      <c r="E383" s="56">
        <v>0.0</v>
      </c>
      <c r="F383" s="58">
        <v>44354.0</v>
      </c>
      <c r="G383" s="56">
        <v>0.0</v>
      </c>
      <c r="H383" s="56">
        <v>387.12</v>
      </c>
      <c r="I383" s="59">
        <v>44393.0</v>
      </c>
      <c r="J383" s="56" t="s">
        <v>3594</v>
      </c>
      <c r="K383" s="15" t="s">
        <v>3976</v>
      </c>
      <c r="L383" s="60" t="str">
        <f t="shared" si="1"/>
        <v>Not in buy Zone</v>
      </c>
      <c r="M383" s="60" t="str">
        <f t="shared" si="2"/>
        <v>Not in buy Zone</v>
      </c>
      <c r="N383" s="33" t="str">
        <f t="shared" si="3"/>
        <v>No</v>
      </c>
    </row>
    <row r="384">
      <c r="A384" s="56" t="s">
        <v>412</v>
      </c>
      <c r="B384" s="56">
        <v>0.0</v>
      </c>
      <c r="C384" s="56">
        <v>0.0</v>
      </c>
      <c r="D384" s="56">
        <v>176.11</v>
      </c>
      <c r="E384" s="56">
        <v>0.0</v>
      </c>
      <c r="F384" s="58">
        <v>44384.0</v>
      </c>
      <c r="G384" s="56">
        <v>0.0</v>
      </c>
      <c r="H384" s="56">
        <v>184.72</v>
      </c>
      <c r="I384" s="59">
        <v>44393.0</v>
      </c>
      <c r="J384" s="56" t="s">
        <v>3594</v>
      </c>
      <c r="K384" s="15" t="s">
        <v>3977</v>
      </c>
      <c r="L384" s="60" t="str">
        <f t="shared" si="1"/>
        <v>Not in buy Zone</v>
      </c>
      <c r="M384" s="60" t="str">
        <f t="shared" si="2"/>
        <v>Not in buy Zone</v>
      </c>
      <c r="N384" s="33" t="str">
        <f t="shared" si="3"/>
        <v>No</v>
      </c>
    </row>
    <row r="385">
      <c r="A385" s="56" t="s">
        <v>413</v>
      </c>
      <c r="B385" s="56">
        <v>0.0</v>
      </c>
      <c r="C385" s="56">
        <v>135.05</v>
      </c>
      <c r="D385" s="56">
        <v>0.0</v>
      </c>
      <c r="E385" s="56">
        <v>0.0</v>
      </c>
      <c r="F385" s="58">
        <v>44393.0</v>
      </c>
      <c r="G385" s="56">
        <v>-1.0</v>
      </c>
      <c r="H385" s="56">
        <v>135.05</v>
      </c>
      <c r="I385" s="59">
        <v>44393.0</v>
      </c>
      <c r="J385" s="56" t="s">
        <v>3594</v>
      </c>
      <c r="K385" s="15" t="s">
        <v>3978</v>
      </c>
      <c r="L385" s="60" t="str">
        <f t="shared" si="1"/>
        <v>Not in buy Zone</v>
      </c>
      <c r="M385" s="60" t="str">
        <f t="shared" si="2"/>
        <v>Not in buy Zone</v>
      </c>
      <c r="N385" s="33" t="str">
        <f t="shared" si="3"/>
        <v>No</v>
      </c>
    </row>
    <row r="386">
      <c r="A386" s="56" t="s">
        <v>414</v>
      </c>
      <c r="B386" s="56">
        <v>0.0</v>
      </c>
      <c r="C386" s="56">
        <v>0.0</v>
      </c>
      <c r="D386" s="56">
        <v>0.0</v>
      </c>
      <c r="E386" s="56">
        <v>27.69</v>
      </c>
      <c r="F386" s="58">
        <v>44386.0</v>
      </c>
      <c r="G386" s="56">
        <v>0.0</v>
      </c>
      <c r="H386" s="56">
        <v>23.33</v>
      </c>
      <c r="I386" s="59">
        <v>44393.0</v>
      </c>
      <c r="J386" s="56" t="s">
        <v>3594</v>
      </c>
      <c r="K386" s="15" t="s">
        <v>3979</v>
      </c>
      <c r="L386" s="60" t="str">
        <f t="shared" si="1"/>
        <v>Not in buy Zone</v>
      </c>
      <c r="M386" s="60" t="str">
        <f t="shared" si="2"/>
        <v>Not in buy Zone</v>
      </c>
      <c r="N386" s="33" t="str">
        <f t="shared" si="3"/>
        <v>No</v>
      </c>
    </row>
    <row r="387">
      <c r="A387" s="56" t="s">
        <v>415</v>
      </c>
      <c r="B387" s="56">
        <v>0.0</v>
      </c>
      <c r="C387" s="56">
        <v>0.0</v>
      </c>
      <c r="D387" s="56">
        <v>58.91</v>
      </c>
      <c r="E387" s="56">
        <v>0.0</v>
      </c>
      <c r="F387" s="58">
        <v>44377.0</v>
      </c>
      <c r="G387" s="56">
        <v>0.0</v>
      </c>
      <c r="H387" s="56">
        <v>59.14</v>
      </c>
      <c r="I387" s="59">
        <v>44393.0</v>
      </c>
      <c r="J387" s="56" t="s">
        <v>3594</v>
      </c>
      <c r="K387" s="15" t="s">
        <v>3980</v>
      </c>
      <c r="L387" s="60" t="str">
        <f t="shared" si="1"/>
        <v>Not in buy Zone</v>
      </c>
      <c r="M387" s="60" t="str">
        <f t="shared" si="2"/>
        <v>Not in buy Zone</v>
      </c>
      <c r="N387" s="33" t="str">
        <f t="shared" si="3"/>
        <v>No</v>
      </c>
    </row>
    <row r="388">
      <c r="A388" s="56" t="s">
        <v>416</v>
      </c>
      <c r="B388" s="56">
        <v>0.0</v>
      </c>
      <c r="C388" s="56">
        <v>0.0</v>
      </c>
      <c r="D388" s="56">
        <v>235.68</v>
      </c>
      <c r="E388" s="56">
        <v>0.0</v>
      </c>
      <c r="F388" s="58">
        <v>44386.0</v>
      </c>
      <c r="G388" s="56">
        <v>0.0</v>
      </c>
      <c r="H388" s="56">
        <v>234.75</v>
      </c>
      <c r="I388" s="59">
        <v>44393.0</v>
      </c>
      <c r="J388" s="56" t="s">
        <v>3594</v>
      </c>
      <c r="K388" s="15" t="s">
        <v>3981</v>
      </c>
      <c r="L388" s="60" t="str">
        <f t="shared" si="1"/>
        <v>Not in buy Zone</v>
      </c>
      <c r="M388" s="60" t="str">
        <f t="shared" si="2"/>
        <v>Not in buy Zone</v>
      </c>
      <c r="N388" s="33" t="str">
        <f t="shared" si="3"/>
        <v>No</v>
      </c>
    </row>
    <row r="389">
      <c r="A389" s="56" t="s">
        <v>417</v>
      </c>
      <c r="B389" s="56">
        <v>0.0</v>
      </c>
      <c r="C389" s="56">
        <v>0.0</v>
      </c>
      <c r="D389" s="56">
        <v>0.0</v>
      </c>
      <c r="E389" s="56">
        <v>78.33</v>
      </c>
      <c r="F389" s="58">
        <v>44383.0</v>
      </c>
      <c r="G389" s="56">
        <v>0.0</v>
      </c>
      <c r="H389" s="56">
        <v>78.01</v>
      </c>
      <c r="I389" s="59">
        <v>44393.0</v>
      </c>
      <c r="J389" s="56" t="s">
        <v>3594</v>
      </c>
      <c r="K389" s="15" t="s">
        <v>3982</v>
      </c>
      <c r="L389" s="60" t="str">
        <f t="shared" si="1"/>
        <v>Not in buy Zone</v>
      </c>
      <c r="M389" s="60" t="str">
        <f t="shared" si="2"/>
        <v>Not in buy Zone</v>
      </c>
      <c r="N389" s="33" t="str">
        <f t="shared" si="3"/>
        <v>No</v>
      </c>
    </row>
    <row r="390">
      <c r="A390" s="56" t="s">
        <v>418</v>
      </c>
      <c r="B390" s="56">
        <v>0.0</v>
      </c>
      <c r="C390" s="56">
        <v>0.0</v>
      </c>
      <c r="D390" s="56">
        <v>0.0</v>
      </c>
      <c r="E390" s="56">
        <v>150.23</v>
      </c>
      <c r="F390" s="58">
        <v>44364.0</v>
      </c>
      <c r="G390" s="56">
        <v>0.0</v>
      </c>
      <c r="H390" s="56">
        <v>133.76</v>
      </c>
      <c r="I390" s="59">
        <v>44393.0</v>
      </c>
      <c r="J390" s="56" t="s">
        <v>3594</v>
      </c>
      <c r="K390" s="15" t="s">
        <v>3983</v>
      </c>
      <c r="L390" s="60" t="str">
        <f t="shared" si="1"/>
        <v>Not in buy Zone</v>
      </c>
      <c r="M390" s="60" t="str">
        <f t="shared" si="2"/>
        <v>Not in buy Zone</v>
      </c>
      <c r="N390" s="33" t="str">
        <f t="shared" si="3"/>
        <v>No</v>
      </c>
    </row>
    <row r="391">
      <c r="A391" s="56" t="s">
        <v>419</v>
      </c>
      <c r="B391" s="56">
        <v>0.0</v>
      </c>
      <c r="C391" s="56">
        <v>0.0</v>
      </c>
      <c r="D391" s="56">
        <v>0.0</v>
      </c>
      <c r="E391" s="56">
        <v>188.57</v>
      </c>
      <c r="F391" s="58">
        <v>44385.0</v>
      </c>
      <c r="G391" s="56">
        <v>0.0</v>
      </c>
      <c r="H391" s="56">
        <v>189.22</v>
      </c>
      <c r="I391" s="59">
        <v>44393.0</v>
      </c>
      <c r="J391" s="56" t="s">
        <v>3594</v>
      </c>
      <c r="K391" s="15" t="s">
        <v>3984</v>
      </c>
      <c r="L391" s="60" t="str">
        <f t="shared" si="1"/>
        <v>Not in buy Zone</v>
      </c>
      <c r="M391" s="60" t="str">
        <f t="shared" si="2"/>
        <v>Not in buy Zone</v>
      </c>
      <c r="N391" s="33" t="str">
        <f t="shared" si="3"/>
        <v>No</v>
      </c>
    </row>
    <row r="392">
      <c r="A392" s="56" t="s">
        <v>420</v>
      </c>
      <c r="B392" s="56">
        <v>0.0</v>
      </c>
      <c r="C392" s="56">
        <v>0.0</v>
      </c>
      <c r="D392" s="56">
        <v>338.78</v>
      </c>
      <c r="E392" s="56">
        <v>0.0</v>
      </c>
      <c r="F392" s="58">
        <v>44356.0</v>
      </c>
      <c r="G392" s="56">
        <v>0.0</v>
      </c>
      <c r="H392" s="56">
        <v>377.96</v>
      </c>
      <c r="I392" s="59">
        <v>44393.0</v>
      </c>
      <c r="J392" s="56" t="s">
        <v>3594</v>
      </c>
      <c r="K392" s="15" t="s">
        <v>3985</v>
      </c>
      <c r="L392" s="60" t="str">
        <f t="shared" si="1"/>
        <v>Not in buy Zone</v>
      </c>
      <c r="M392" s="60" t="str">
        <f t="shared" si="2"/>
        <v>Not in buy Zone</v>
      </c>
      <c r="N392" s="33" t="str">
        <f t="shared" si="3"/>
        <v>No</v>
      </c>
    </row>
    <row r="393">
      <c r="A393" s="56" t="s">
        <v>421</v>
      </c>
      <c r="B393" s="56">
        <v>0.0</v>
      </c>
      <c r="C393" s="56">
        <v>0.0</v>
      </c>
      <c r="D393" s="56">
        <v>63.51</v>
      </c>
      <c r="E393" s="56">
        <v>0.0</v>
      </c>
      <c r="F393" s="58">
        <v>44391.0</v>
      </c>
      <c r="G393" s="56">
        <v>0.0</v>
      </c>
      <c r="H393" s="56">
        <v>64.26</v>
      </c>
      <c r="I393" s="59">
        <v>44393.0</v>
      </c>
      <c r="J393" s="56" t="s">
        <v>3594</v>
      </c>
      <c r="K393" s="15" t="s">
        <v>3986</v>
      </c>
      <c r="L393" s="60" t="str">
        <f t="shared" si="1"/>
        <v>Not in buy Zone</v>
      </c>
      <c r="M393" s="60" t="str">
        <f t="shared" si="2"/>
        <v>Not in buy Zone</v>
      </c>
      <c r="N393" s="33" t="str">
        <f t="shared" si="3"/>
        <v>No</v>
      </c>
    </row>
    <row r="394">
      <c r="A394" s="56" t="s">
        <v>422</v>
      </c>
      <c r="B394" s="56">
        <v>0.0</v>
      </c>
      <c r="C394" s="56">
        <v>0.0</v>
      </c>
      <c r="D394" s="56">
        <v>125.54</v>
      </c>
      <c r="E394" s="56">
        <v>0.0</v>
      </c>
      <c r="F394" s="58">
        <v>44368.0</v>
      </c>
      <c r="G394" s="56">
        <v>0.0</v>
      </c>
      <c r="H394" s="56">
        <v>125.8</v>
      </c>
      <c r="I394" s="59">
        <v>44393.0</v>
      </c>
      <c r="J394" s="56" t="s">
        <v>3594</v>
      </c>
      <c r="K394" s="15" t="s">
        <v>3987</v>
      </c>
      <c r="L394" s="60" t="str">
        <f t="shared" si="1"/>
        <v>Not in buy Zone</v>
      </c>
      <c r="M394" s="60" t="str">
        <f t="shared" si="2"/>
        <v>Not in buy Zone</v>
      </c>
      <c r="N394" s="33" t="str">
        <f t="shared" si="3"/>
        <v>No</v>
      </c>
    </row>
    <row r="395">
      <c r="A395" s="56" t="s">
        <v>423</v>
      </c>
      <c r="B395" s="56">
        <v>0.0</v>
      </c>
      <c r="C395" s="56">
        <v>0.0</v>
      </c>
      <c r="D395" s="56">
        <v>0.0</v>
      </c>
      <c r="E395" s="56">
        <v>1507.01</v>
      </c>
      <c r="F395" s="58">
        <v>44391.0</v>
      </c>
      <c r="G395" s="56">
        <v>0.0</v>
      </c>
      <c r="H395" s="56">
        <v>1512.51</v>
      </c>
      <c r="I395" s="59">
        <v>44393.0</v>
      </c>
      <c r="J395" s="56" t="s">
        <v>3594</v>
      </c>
      <c r="K395" s="15" t="s">
        <v>3988</v>
      </c>
      <c r="L395" s="60" t="str">
        <f t="shared" si="1"/>
        <v>Not in buy Zone</v>
      </c>
      <c r="M395" s="60" t="str">
        <f t="shared" si="2"/>
        <v>Not in buy Zone</v>
      </c>
      <c r="N395" s="33" t="str">
        <f t="shared" si="3"/>
        <v>No</v>
      </c>
    </row>
    <row r="396">
      <c r="A396" s="56" t="s">
        <v>424</v>
      </c>
      <c r="B396" s="56">
        <v>0.0</v>
      </c>
      <c r="C396" s="56">
        <v>0.0</v>
      </c>
      <c r="D396" s="56">
        <v>58.68</v>
      </c>
      <c r="E396" s="56">
        <v>0.0</v>
      </c>
      <c r="F396" s="58">
        <v>44390.0</v>
      </c>
      <c r="G396" s="56">
        <v>0.0</v>
      </c>
      <c r="H396" s="56">
        <v>57.58</v>
      </c>
      <c r="I396" s="59">
        <v>44393.0</v>
      </c>
      <c r="J396" s="56" t="s">
        <v>3594</v>
      </c>
      <c r="K396" s="15" t="s">
        <v>3989</v>
      </c>
      <c r="L396" s="60" t="str">
        <f t="shared" si="1"/>
        <v>Not in buy Zone</v>
      </c>
      <c r="M396" s="60" t="str">
        <f t="shared" si="2"/>
        <v>Not in buy Zone</v>
      </c>
      <c r="N396" s="33" t="str">
        <f t="shared" si="3"/>
        <v>No</v>
      </c>
    </row>
    <row r="397">
      <c r="A397" s="56" t="s">
        <v>425</v>
      </c>
      <c r="B397" s="56">
        <v>0.0</v>
      </c>
      <c r="C397" s="56">
        <v>0.0</v>
      </c>
      <c r="D397" s="56">
        <v>0.0</v>
      </c>
      <c r="E397" s="56">
        <v>42.39</v>
      </c>
      <c r="F397" s="58">
        <v>44375.0</v>
      </c>
      <c r="G397" s="56">
        <v>0.0</v>
      </c>
      <c r="H397" s="56">
        <v>37.93</v>
      </c>
      <c r="I397" s="59">
        <v>44393.0</v>
      </c>
      <c r="J397" s="56" t="s">
        <v>3594</v>
      </c>
      <c r="K397" s="15" t="s">
        <v>3990</v>
      </c>
      <c r="L397" s="60" t="str">
        <f t="shared" si="1"/>
        <v>Not in buy Zone</v>
      </c>
      <c r="M397" s="60" t="str">
        <f t="shared" si="2"/>
        <v>Not in buy Zone</v>
      </c>
      <c r="N397" s="33" t="str">
        <f t="shared" si="3"/>
        <v>No</v>
      </c>
    </row>
    <row r="398">
      <c r="A398" s="56" t="s">
        <v>426</v>
      </c>
      <c r="B398" s="56">
        <v>0.0</v>
      </c>
      <c r="C398" s="56">
        <v>0.0</v>
      </c>
      <c r="D398" s="56">
        <v>0.0</v>
      </c>
      <c r="E398" s="56">
        <v>31.61</v>
      </c>
      <c r="F398" s="58">
        <v>44389.0</v>
      </c>
      <c r="G398" s="56">
        <v>0.0</v>
      </c>
      <c r="H398" s="56">
        <v>28.53</v>
      </c>
      <c r="I398" s="59">
        <v>44393.0</v>
      </c>
      <c r="J398" s="56" t="s">
        <v>3594</v>
      </c>
      <c r="K398" s="15" t="s">
        <v>3991</v>
      </c>
      <c r="L398" s="60" t="str">
        <f t="shared" si="1"/>
        <v>Not in buy Zone</v>
      </c>
      <c r="M398" s="60" t="str">
        <f t="shared" si="2"/>
        <v>Not in buy Zone</v>
      </c>
      <c r="N398" s="33" t="str">
        <f t="shared" si="3"/>
        <v>No</v>
      </c>
    </row>
    <row r="399">
      <c r="A399" s="56" t="s">
        <v>427</v>
      </c>
      <c r="B399" s="56">
        <v>0.0</v>
      </c>
      <c r="C399" s="56">
        <v>0.0</v>
      </c>
      <c r="D399" s="56">
        <v>195.72</v>
      </c>
      <c r="E399" s="56">
        <v>0.0</v>
      </c>
      <c r="F399" s="58">
        <v>44372.0</v>
      </c>
      <c r="G399" s="56">
        <v>0.0</v>
      </c>
      <c r="H399" s="56">
        <v>186.16</v>
      </c>
      <c r="I399" s="59">
        <v>44393.0</v>
      </c>
      <c r="J399" s="56" t="s">
        <v>3594</v>
      </c>
      <c r="K399" s="15" t="s">
        <v>3992</v>
      </c>
      <c r="L399" s="60" t="str">
        <f t="shared" si="1"/>
        <v>Not in buy Zone</v>
      </c>
      <c r="M399" s="60" t="str">
        <f t="shared" si="2"/>
        <v>Not in buy Zone</v>
      </c>
      <c r="N399" s="33" t="str">
        <f t="shared" si="3"/>
        <v>No</v>
      </c>
    </row>
    <row r="400">
      <c r="A400" s="56" t="s">
        <v>428</v>
      </c>
      <c r="B400" s="56">
        <v>87.9</v>
      </c>
      <c r="C400" s="56">
        <v>0.0</v>
      </c>
      <c r="D400" s="56">
        <v>0.0</v>
      </c>
      <c r="E400" s="56">
        <v>0.0</v>
      </c>
      <c r="F400" s="58">
        <v>44393.0</v>
      </c>
      <c r="G400" s="56">
        <v>1.0</v>
      </c>
      <c r="H400" s="56">
        <v>87.9</v>
      </c>
      <c r="I400" s="59">
        <v>44393.0</v>
      </c>
      <c r="J400" s="56" t="s">
        <v>3594</v>
      </c>
      <c r="K400" s="15" t="s">
        <v>3993</v>
      </c>
      <c r="L400" s="60">
        <f t="shared" si="1"/>
        <v>88.3395</v>
      </c>
      <c r="M400" s="60">
        <f t="shared" si="2"/>
        <v>87.4605</v>
      </c>
      <c r="N400" s="33" t="str">
        <f t="shared" si="3"/>
        <v>Yes</v>
      </c>
    </row>
    <row r="401">
      <c r="A401" s="56" t="s">
        <v>429</v>
      </c>
      <c r="B401" s="56">
        <v>0.0</v>
      </c>
      <c r="C401" s="56">
        <v>0.0</v>
      </c>
      <c r="D401" s="56">
        <v>0.0</v>
      </c>
      <c r="E401" s="56">
        <v>454.67</v>
      </c>
      <c r="F401" s="58">
        <v>44392.0</v>
      </c>
      <c r="G401" s="56">
        <v>0.0</v>
      </c>
      <c r="H401" s="56">
        <v>459.09</v>
      </c>
      <c r="I401" s="59">
        <v>44393.0</v>
      </c>
      <c r="J401" s="56" t="s">
        <v>3594</v>
      </c>
      <c r="K401" s="15" t="s">
        <v>3994</v>
      </c>
      <c r="L401" s="60" t="str">
        <f t="shared" si="1"/>
        <v>Not in buy Zone</v>
      </c>
      <c r="M401" s="60" t="str">
        <f t="shared" si="2"/>
        <v>Not in buy Zone</v>
      </c>
      <c r="N401" s="33" t="str">
        <f t="shared" si="3"/>
        <v>No</v>
      </c>
    </row>
    <row r="402">
      <c r="A402" s="56" t="s">
        <v>430</v>
      </c>
      <c r="B402" s="56">
        <v>0.0</v>
      </c>
      <c r="C402" s="56">
        <v>0.0</v>
      </c>
      <c r="D402" s="56">
        <v>359.27</v>
      </c>
      <c r="E402" s="56">
        <v>0.0</v>
      </c>
      <c r="F402" s="58">
        <v>44372.0</v>
      </c>
      <c r="G402" s="56">
        <v>0.0</v>
      </c>
      <c r="H402" s="56">
        <v>351.49</v>
      </c>
      <c r="I402" s="59">
        <v>44393.0</v>
      </c>
      <c r="J402" s="56" t="s">
        <v>3594</v>
      </c>
      <c r="K402" s="15" t="s">
        <v>3995</v>
      </c>
      <c r="L402" s="60" t="str">
        <f t="shared" si="1"/>
        <v>Not in buy Zone</v>
      </c>
      <c r="M402" s="60" t="str">
        <f t="shared" si="2"/>
        <v>Not in buy Zone</v>
      </c>
      <c r="N402" s="33" t="str">
        <f t="shared" si="3"/>
        <v>No</v>
      </c>
    </row>
    <row r="403">
      <c r="A403" s="56" t="s">
        <v>431</v>
      </c>
      <c r="B403" s="56">
        <v>0.0</v>
      </c>
      <c r="C403" s="56">
        <v>0.0</v>
      </c>
      <c r="D403" s="56">
        <v>0.0</v>
      </c>
      <c r="E403" s="56">
        <v>140.96</v>
      </c>
      <c r="F403" s="58">
        <v>44391.0</v>
      </c>
      <c r="G403" s="56">
        <v>0.0</v>
      </c>
      <c r="H403" s="56">
        <v>141.33</v>
      </c>
      <c r="I403" s="59">
        <v>44393.0</v>
      </c>
      <c r="J403" s="56" t="s">
        <v>3594</v>
      </c>
      <c r="K403" s="15" t="s">
        <v>3996</v>
      </c>
      <c r="L403" s="60" t="str">
        <f t="shared" si="1"/>
        <v>Not in buy Zone</v>
      </c>
      <c r="M403" s="60" t="str">
        <f t="shared" si="2"/>
        <v>Not in buy Zone</v>
      </c>
      <c r="N403" s="33" t="str">
        <f t="shared" si="3"/>
        <v>No</v>
      </c>
    </row>
    <row r="404">
      <c r="A404" s="56" t="s">
        <v>432</v>
      </c>
      <c r="B404" s="56">
        <v>0.0</v>
      </c>
      <c r="C404" s="56">
        <v>0.0</v>
      </c>
      <c r="D404" s="56">
        <v>199.09</v>
      </c>
      <c r="E404" s="56">
        <v>0.0</v>
      </c>
      <c r="F404" s="58">
        <v>44378.0</v>
      </c>
      <c r="G404" s="56">
        <v>0.0</v>
      </c>
      <c r="H404" s="56">
        <v>199.37</v>
      </c>
      <c r="I404" s="59">
        <v>44393.0</v>
      </c>
      <c r="J404" s="56" t="s">
        <v>3594</v>
      </c>
      <c r="K404" s="15" t="s">
        <v>3997</v>
      </c>
      <c r="L404" s="60" t="str">
        <f t="shared" si="1"/>
        <v>Not in buy Zone</v>
      </c>
      <c r="M404" s="60" t="str">
        <f t="shared" si="2"/>
        <v>Not in buy Zone</v>
      </c>
      <c r="N404" s="33" t="str">
        <f t="shared" si="3"/>
        <v>No</v>
      </c>
    </row>
    <row r="405">
      <c r="A405" s="56" t="s">
        <v>433</v>
      </c>
      <c r="B405" s="56">
        <v>0.0</v>
      </c>
      <c r="C405" s="56">
        <v>0.0</v>
      </c>
      <c r="D405" s="56">
        <v>92.02</v>
      </c>
      <c r="E405" s="56">
        <v>0.0</v>
      </c>
      <c r="F405" s="58">
        <v>44390.0</v>
      </c>
      <c r="G405" s="56">
        <v>0.0</v>
      </c>
      <c r="H405" s="56">
        <v>93.07</v>
      </c>
      <c r="I405" s="59">
        <v>44393.0</v>
      </c>
      <c r="J405" s="56" t="s">
        <v>3594</v>
      </c>
      <c r="K405" s="15" t="s">
        <v>3998</v>
      </c>
      <c r="L405" s="60" t="str">
        <f t="shared" si="1"/>
        <v>Not in buy Zone</v>
      </c>
      <c r="M405" s="60" t="str">
        <f t="shared" si="2"/>
        <v>Not in buy Zone</v>
      </c>
      <c r="N405" s="33" t="str">
        <f t="shared" si="3"/>
        <v>No</v>
      </c>
    </row>
    <row r="406">
      <c r="A406" s="56" t="s">
        <v>434</v>
      </c>
      <c r="B406" s="56">
        <v>0.0</v>
      </c>
      <c r="C406" s="56">
        <v>0.0</v>
      </c>
      <c r="D406" s="56">
        <v>47.49</v>
      </c>
      <c r="E406" s="56">
        <v>0.0</v>
      </c>
      <c r="F406" s="58">
        <v>44389.0</v>
      </c>
      <c r="G406" s="56">
        <v>0.0</v>
      </c>
      <c r="H406" s="56">
        <v>47.31</v>
      </c>
      <c r="I406" s="59">
        <v>44393.0</v>
      </c>
      <c r="J406" s="56" t="s">
        <v>3594</v>
      </c>
      <c r="K406" s="15" t="s">
        <v>3999</v>
      </c>
      <c r="L406" s="60" t="str">
        <f t="shared" si="1"/>
        <v>Not in buy Zone</v>
      </c>
      <c r="M406" s="60" t="str">
        <f t="shared" si="2"/>
        <v>Not in buy Zone</v>
      </c>
      <c r="N406" s="33" t="str">
        <f t="shared" si="3"/>
        <v>No</v>
      </c>
    </row>
    <row r="407">
      <c r="A407" s="56" t="s">
        <v>435</v>
      </c>
      <c r="B407" s="56">
        <v>0.0</v>
      </c>
      <c r="C407" s="56">
        <v>0.0</v>
      </c>
      <c r="D407" s="56">
        <v>31.79</v>
      </c>
      <c r="E407" s="56">
        <v>0.0</v>
      </c>
      <c r="F407" s="58">
        <v>44386.0</v>
      </c>
      <c r="G407" s="56">
        <v>0.0</v>
      </c>
      <c r="H407" s="56">
        <v>29.59</v>
      </c>
      <c r="I407" s="59">
        <v>44393.0</v>
      </c>
      <c r="J407" s="56" t="s">
        <v>3594</v>
      </c>
      <c r="K407" s="15" t="s">
        <v>4000</v>
      </c>
      <c r="L407" s="60" t="str">
        <f t="shared" si="1"/>
        <v>Not in buy Zone</v>
      </c>
      <c r="M407" s="60" t="str">
        <f t="shared" si="2"/>
        <v>Not in buy Zone</v>
      </c>
      <c r="N407" s="33" t="str">
        <f t="shared" si="3"/>
        <v>No</v>
      </c>
    </row>
    <row r="408">
      <c r="A408" s="56" t="s">
        <v>436</v>
      </c>
      <c r="B408" s="56">
        <v>0.0</v>
      </c>
      <c r="C408" s="56">
        <v>0.0</v>
      </c>
      <c r="D408" s="56">
        <v>0.0</v>
      </c>
      <c r="E408" s="56">
        <v>35.02</v>
      </c>
      <c r="F408" s="58">
        <v>44391.0</v>
      </c>
      <c r="G408" s="56">
        <v>0.0</v>
      </c>
      <c r="H408" s="56">
        <v>33.09</v>
      </c>
      <c r="I408" s="59">
        <v>44393.0</v>
      </c>
      <c r="J408" s="56" t="s">
        <v>3594</v>
      </c>
      <c r="K408" s="15" t="s">
        <v>4001</v>
      </c>
      <c r="L408" s="60" t="str">
        <f t="shared" si="1"/>
        <v>Not in buy Zone</v>
      </c>
      <c r="M408" s="60" t="str">
        <f t="shared" si="2"/>
        <v>Not in buy Zone</v>
      </c>
      <c r="N408" s="33" t="str">
        <f t="shared" si="3"/>
        <v>No</v>
      </c>
    </row>
    <row r="409">
      <c r="A409" s="56" t="s">
        <v>437</v>
      </c>
      <c r="B409" s="56">
        <v>0.0</v>
      </c>
      <c r="C409" s="56">
        <v>0.0</v>
      </c>
      <c r="D409" s="56">
        <v>0.0</v>
      </c>
      <c r="E409" s="56">
        <v>63.28</v>
      </c>
      <c r="F409" s="58">
        <v>44363.0</v>
      </c>
      <c r="G409" s="56">
        <v>0.0</v>
      </c>
      <c r="H409" s="56">
        <v>53.26</v>
      </c>
      <c r="I409" s="59">
        <v>44393.0</v>
      </c>
      <c r="J409" s="56" t="s">
        <v>3594</v>
      </c>
      <c r="K409" s="15" t="s">
        <v>4002</v>
      </c>
      <c r="L409" s="60" t="str">
        <f t="shared" si="1"/>
        <v>Not in buy Zone</v>
      </c>
      <c r="M409" s="60" t="str">
        <f t="shared" si="2"/>
        <v>Not in buy Zone</v>
      </c>
      <c r="N409" s="33" t="str">
        <f t="shared" si="3"/>
        <v>No</v>
      </c>
    </row>
    <row r="410">
      <c r="A410" s="56" t="s">
        <v>438</v>
      </c>
      <c r="B410" s="56">
        <v>0.0</v>
      </c>
      <c r="C410" s="56">
        <v>0.0</v>
      </c>
      <c r="D410" s="56">
        <v>0.0</v>
      </c>
      <c r="E410" s="56">
        <v>30.22</v>
      </c>
      <c r="F410" s="58">
        <v>44368.0</v>
      </c>
      <c r="G410" s="56">
        <v>0.0</v>
      </c>
      <c r="H410" s="56">
        <v>27.42</v>
      </c>
      <c r="I410" s="59">
        <v>44393.0</v>
      </c>
      <c r="J410" s="56" t="s">
        <v>3594</v>
      </c>
      <c r="K410" s="15" t="s">
        <v>4003</v>
      </c>
      <c r="L410" s="60" t="str">
        <f t="shared" si="1"/>
        <v>Not in buy Zone</v>
      </c>
      <c r="M410" s="60" t="str">
        <f t="shared" si="2"/>
        <v>Not in buy Zone</v>
      </c>
      <c r="N410" s="33" t="str">
        <f t="shared" si="3"/>
        <v>No</v>
      </c>
    </row>
    <row r="411">
      <c r="A411" s="56" t="s">
        <v>439</v>
      </c>
      <c r="B411" s="56">
        <v>0.0</v>
      </c>
      <c r="C411" s="56">
        <v>0.0</v>
      </c>
      <c r="D411" s="56">
        <v>331.35</v>
      </c>
      <c r="E411" s="56">
        <v>0.0</v>
      </c>
      <c r="F411" s="58">
        <v>44341.0</v>
      </c>
      <c r="G411" s="56">
        <v>0.0</v>
      </c>
      <c r="H411" s="56">
        <v>379.46</v>
      </c>
      <c r="I411" s="59">
        <v>44393.0</v>
      </c>
      <c r="J411" s="56" t="s">
        <v>3594</v>
      </c>
      <c r="K411" s="15" t="s">
        <v>4004</v>
      </c>
      <c r="L411" s="60" t="str">
        <f t="shared" si="1"/>
        <v>Not in buy Zone</v>
      </c>
      <c r="M411" s="60" t="str">
        <f t="shared" si="2"/>
        <v>Not in buy Zone</v>
      </c>
      <c r="N411" s="33" t="str">
        <f t="shared" si="3"/>
        <v>No</v>
      </c>
    </row>
    <row r="412">
      <c r="A412" s="56" t="s">
        <v>440</v>
      </c>
      <c r="B412" s="56">
        <v>0.0</v>
      </c>
      <c r="C412" s="56">
        <v>0.0</v>
      </c>
      <c r="D412" s="56">
        <v>246.66</v>
      </c>
      <c r="E412" s="56">
        <v>0.0</v>
      </c>
      <c r="F412" s="58">
        <v>44391.0</v>
      </c>
      <c r="G412" s="56">
        <v>0.0</v>
      </c>
      <c r="H412" s="56">
        <v>286.43</v>
      </c>
      <c r="I412" s="59">
        <v>44393.0</v>
      </c>
      <c r="J412" s="56" t="s">
        <v>3594</v>
      </c>
      <c r="K412" s="15" t="s">
        <v>4005</v>
      </c>
      <c r="L412" s="60" t="str">
        <f t="shared" si="1"/>
        <v>Not in buy Zone</v>
      </c>
      <c r="M412" s="60" t="str">
        <f t="shared" si="2"/>
        <v>Not in buy Zone</v>
      </c>
      <c r="N412" s="33" t="str">
        <f t="shared" si="3"/>
        <v>No</v>
      </c>
    </row>
    <row r="413">
      <c r="A413" s="56" t="s">
        <v>441</v>
      </c>
      <c r="B413" s="56">
        <v>0.0</v>
      </c>
      <c r="C413" s="56">
        <v>0.0</v>
      </c>
      <c r="D413" s="56">
        <v>0.0</v>
      </c>
      <c r="E413" s="56">
        <v>12.89</v>
      </c>
      <c r="F413" s="58">
        <v>44364.0</v>
      </c>
      <c r="G413" s="56">
        <v>0.0</v>
      </c>
      <c r="H413" s="56">
        <v>11.75</v>
      </c>
      <c r="I413" s="59">
        <v>44393.0</v>
      </c>
      <c r="J413" s="56" t="s">
        <v>3594</v>
      </c>
      <c r="K413" s="15" t="s">
        <v>4006</v>
      </c>
      <c r="L413" s="60" t="str">
        <f t="shared" si="1"/>
        <v>Not in buy Zone</v>
      </c>
      <c r="M413" s="60" t="str">
        <f t="shared" si="2"/>
        <v>Not in buy Zone</v>
      </c>
      <c r="N413" s="33" t="str">
        <f t="shared" si="3"/>
        <v>No</v>
      </c>
    </row>
    <row r="414">
      <c r="A414" s="56" t="s">
        <v>442</v>
      </c>
      <c r="B414" s="56">
        <v>0.0</v>
      </c>
      <c r="C414" s="56">
        <v>0.0</v>
      </c>
      <c r="D414" s="56">
        <v>0.0</v>
      </c>
      <c r="E414" s="56">
        <v>56.27</v>
      </c>
      <c r="F414" s="58">
        <v>44385.0</v>
      </c>
      <c r="G414" s="56">
        <v>0.0</v>
      </c>
      <c r="H414" s="56">
        <v>53.97</v>
      </c>
      <c r="I414" s="59">
        <v>44393.0</v>
      </c>
      <c r="J414" s="56" t="s">
        <v>3594</v>
      </c>
      <c r="K414" s="15" t="s">
        <v>4007</v>
      </c>
      <c r="L414" s="60" t="str">
        <f t="shared" si="1"/>
        <v>Not in buy Zone</v>
      </c>
      <c r="M414" s="60" t="str">
        <f t="shared" si="2"/>
        <v>Not in buy Zone</v>
      </c>
      <c r="N414" s="33" t="str">
        <f t="shared" si="3"/>
        <v>No</v>
      </c>
    </row>
    <row r="415">
      <c r="A415" s="56" t="s">
        <v>443</v>
      </c>
      <c r="B415" s="56">
        <v>0.0</v>
      </c>
      <c r="C415" s="56">
        <v>0.0</v>
      </c>
      <c r="D415" s="56">
        <v>92.75</v>
      </c>
      <c r="E415" s="56">
        <v>0.0</v>
      </c>
      <c r="F415" s="58">
        <v>44389.0</v>
      </c>
      <c r="G415" s="56">
        <v>0.0</v>
      </c>
      <c r="H415" s="56">
        <v>91.25</v>
      </c>
      <c r="I415" s="59">
        <v>44393.0</v>
      </c>
      <c r="J415" s="56" t="s">
        <v>3594</v>
      </c>
      <c r="K415" s="15" t="s">
        <v>4008</v>
      </c>
      <c r="L415" s="60" t="str">
        <f t="shared" si="1"/>
        <v>Not in buy Zone</v>
      </c>
      <c r="M415" s="60" t="str">
        <f t="shared" si="2"/>
        <v>Not in buy Zone</v>
      </c>
      <c r="N415" s="33" t="str">
        <f t="shared" si="3"/>
        <v>No</v>
      </c>
    </row>
    <row r="416">
      <c r="A416" s="56" t="s">
        <v>444</v>
      </c>
      <c r="B416" s="56">
        <v>0.0</v>
      </c>
      <c r="C416" s="56">
        <v>0.0</v>
      </c>
      <c r="D416" s="56">
        <v>476.46</v>
      </c>
      <c r="E416" s="56">
        <v>0.0</v>
      </c>
      <c r="F416" s="58">
        <v>44357.0</v>
      </c>
      <c r="G416" s="56">
        <v>0.0</v>
      </c>
      <c r="H416" s="56">
        <v>564.83</v>
      </c>
      <c r="I416" s="59">
        <v>44393.0</v>
      </c>
      <c r="J416" s="56" t="s">
        <v>3594</v>
      </c>
      <c r="K416" s="15" t="s">
        <v>4009</v>
      </c>
      <c r="L416" s="60" t="str">
        <f t="shared" si="1"/>
        <v>Not in buy Zone</v>
      </c>
      <c r="M416" s="60" t="str">
        <f t="shared" si="2"/>
        <v>Not in buy Zone</v>
      </c>
      <c r="N416" s="33" t="str">
        <f t="shared" si="3"/>
        <v>No</v>
      </c>
    </row>
    <row r="417">
      <c r="A417" s="56" t="s">
        <v>445</v>
      </c>
      <c r="B417" s="56">
        <v>0.0</v>
      </c>
      <c r="C417" s="56">
        <v>0.0</v>
      </c>
      <c r="D417" s="56">
        <v>250.79</v>
      </c>
      <c r="E417" s="56">
        <v>0.0</v>
      </c>
      <c r="F417" s="58">
        <v>44351.0</v>
      </c>
      <c r="G417" s="56">
        <v>0.0</v>
      </c>
      <c r="H417" s="56">
        <v>280.75</v>
      </c>
      <c r="I417" s="59">
        <v>44393.0</v>
      </c>
      <c r="J417" s="56" t="s">
        <v>3594</v>
      </c>
      <c r="K417" s="15" t="s">
        <v>4010</v>
      </c>
      <c r="L417" s="60" t="str">
        <f t="shared" si="1"/>
        <v>Not in buy Zone</v>
      </c>
      <c r="M417" s="60" t="str">
        <f t="shared" si="2"/>
        <v>Not in buy Zone</v>
      </c>
      <c r="N417" s="33" t="str">
        <f t="shared" si="3"/>
        <v>No</v>
      </c>
    </row>
    <row r="418">
      <c r="A418" s="56" t="s">
        <v>446</v>
      </c>
      <c r="B418" s="56">
        <v>0.0</v>
      </c>
      <c r="C418" s="56">
        <v>219.99</v>
      </c>
      <c r="D418" s="56">
        <v>0.0</v>
      </c>
      <c r="E418" s="56">
        <v>0.0</v>
      </c>
      <c r="F418" s="58">
        <v>44393.0</v>
      </c>
      <c r="G418" s="56">
        <v>-1.0</v>
      </c>
      <c r="H418" s="56">
        <v>219.99</v>
      </c>
      <c r="I418" s="59">
        <v>44393.0</v>
      </c>
      <c r="J418" s="56" t="s">
        <v>3594</v>
      </c>
      <c r="K418" s="15" t="s">
        <v>4011</v>
      </c>
      <c r="L418" s="60" t="str">
        <f t="shared" si="1"/>
        <v>Not in buy Zone</v>
      </c>
      <c r="M418" s="60" t="str">
        <f t="shared" si="2"/>
        <v>Not in buy Zone</v>
      </c>
      <c r="N418" s="33" t="str">
        <f t="shared" si="3"/>
        <v>No</v>
      </c>
    </row>
    <row r="419">
      <c r="A419" s="56" t="s">
        <v>447</v>
      </c>
      <c r="B419" s="56">
        <v>0.0</v>
      </c>
      <c r="C419" s="56">
        <v>0.0</v>
      </c>
      <c r="D419" s="56">
        <v>0.0</v>
      </c>
      <c r="E419" s="56">
        <v>162.45</v>
      </c>
      <c r="F419" s="58">
        <v>44337.0</v>
      </c>
      <c r="G419" s="56">
        <v>0.0</v>
      </c>
      <c r="H419" s="56">
        <v>136.82</v>
      </c>
      <c r="I419" s="59">
        <v>44393.0</v>
      </c>
      <c r="J419" s="56" t="s">
        <v>3594</v>
      </c>
      <c r="K419" s="15" t="s">
        <v>4012</v>
      </c>
      <c r="L419" s="60" t="str">
        <f t="shared" si="1"/>
        <v>Not in buy Zone</v>
      </c>
      <c r="M419" s="60" t="str">
        <f t="shared" si="2"/>
        <v>Not in buy Zone</v>
      </c>
      <c r="N419" s="33" t="str">
        <f t="shared" si="3"/>
        <v>No</v>
      </c>
    </row>
    <row r="420">
      <c r="A420" s="56" t="s">
        <v>448</v>
      </c>
      <c r="B420" s="56">
        <v>0.0</v>
      </c>
      <c r="C420" s="56">
        <v>161.17</v>
      </c>
      <c r="D420" s="56">
        <v>0.0</v>
      </c>
      <c r="E420" s="56">
        <v>0.0</v>
      </c>
      <c r="F420" s="58">
        <v>44393.0</v>
      </c>
      <c r="G420" s="56">
        <v>-1.0</v>
      </c>
      <c r="H420" s="56">
        <v>161.17</v>
      </c>
      <c r="I420" s="59">
        <v>44393.0</v>
      </c>
      <c r="J420" s="56" t="s">
        <v>3594</v>
      </c>
      <c r="K420" s="15" t="s">
        <v>4013</v>
      </c>
      <c r="L420" s="60" t="str">
        <f t="shared" si="1"/>
        <v>Not in buy Zone</v>
      </c>
      <c r="M420" s="60" t="str">
        <f t="shared" si="2"/>
        <v>Not in buy Zone</v>
      </c>
      <c r="N420" s="33" t="str">
        <f t="shared" si="3"/>
        <v>No</v>
      </c>
    </row>
    <row r="421">
      <c r="A421" s="56" t="s">
        <v>449</v>
      </c>
      <c r="B421" s="56">
        <v>0.0</v>
      </c>
      <c r="C421" s="56">
        <v>0.0</v>
      </c>
      <c r="D421" s="56">
        <v>1325.48</v>
      </c>
      <c r="E421" s="56">
        <v>0.0</v>
      </c>
      <c r="F421" s="58">
        <v>44358.0</v>
      </c>
      <c r="G421" s="56">
        <v>0.0</v>
      </c>
      <c r="H421" s="56">
        <v>1448.99</v>
      </c>
      <c r="I421" s="59">
        <v>44393.0</v>
      </c>
      <c r="J421" s="56" t="s">
        <v>3594</v>
      </c>
      <c r="K421" s="15" t="s">
        <v>4014</v>
      </c>
      <c r="L421" s="60" t="str">
        <f t="shared" si="1"/>
        <v>Not in buy Zone</v>
      </c>
      <c r="M421" s="60" t="str">
        <f t="shared" si="2"/>
        <v>Not in buy Zone</v>
      </c>
      <c r="N421" s="33" t="str">
        <f t="shared" si="3"/>
        <v>No</v>
      </c>
    </row>
    <row r="422">
      <c r="A422" s="56" t="s">
        <v>450</v>
      </c>
      <c r="B422" s="56">
        <v>0.0</v>
      </c>
      <c r="C422" s="56">
        <v>0.0</v>
      </c>
      <c r="D422" s="56">
        <v>0.0</v>
      </c>
      <c r="E422" s="56">
        <v>77.11</v>
      </c>
      <c r="F422" s="58">
        <v>44385.0</v>
      </c>
      <c r="G422" s="56">
        <v>0.0</v>
      </c>
      <c r="H422" s="56">
        <v>75.01</v>
      </c>
      <c r="I422" s="59">
        <v>44393.0</v>
      </c>
      <c r="J422" s="56" t="s">
        <v>3594</v>
      </c>
      <c r="K422" s="15" t="s">
        <v>4015</v>
      </c>
      <c r="L422" s="60" t="str">
        <f t="shared" si="1"/>
        <v>Not in buy Zone</v>
      </c>
      <c r="M422" s="60" t="str">
        <f t="shared" si="2"/>
        <v>Not in buy Zone</v>
      </c>
      <c r="N422" s="33" t="str">
        <f t="shared" si="3"/>
        <v>No</v>
      </c>
    </row>
    <row r="423">
      <c r="A423" s="56" t="s">
        <v>451</v>
      </c>
      <c r="B423" s="56">
        <v>0.0</v>
      </c>
      <c r="C423" s="56">
        <v>0.0</v>
      </c>
      <c r="D423" s="56">
        <v>0.0</v>
      </c>
      <c r="E423" s="56">
        <v>102.56</v>
      </c>
      <c r="F423" s="58">
        <v>44383.0</v>
      </c>
      <c r="G423" s="56">
        <v>0.0</v>
      </c>
      <c r="H423" s="56">
        <v>97.1</v>
      </c>
      <c r="I423" s="59">
        <v>44393.0</v>
      </c>
      <c r="J423" s="56" t="s">
        <v>3594</v>
      </c>
      <c r="K423" s="15" t="s">
        <v>4016</v>
      </c>
      <c r="L423" s="60" t="str">
        <f t="shared" si="1"/>
        <v>Not in buy Zone</v>
      </c>
      <c r="M423" s="60" t="str">
        <f t="shared" si="2"/>
        <v>Not in buy Zone</v>
      </c>
      <c r="N423" s="33" t="str">
        <f t="shared" si="3"/>
        <v>No</v>
      </c>
    </row>
    <row r="424">
      <c r="A424" s="56" t="s">
        <v>452</v>
      </c>
      <c r="B424" s="56">
        <v>0.0</v>
      </c>
      <c r="C424" s="56">
        <v>0.0</v>
      </c>
      <c r="D424" s="56">
        <v>0.0</v>
      </c>
      <c r="E424" s="56">
        <v>30.87</v>
      </c>
      <c r="F424" s="58">
        <v>44362.0</v>
      </c>
      <c r="G424" s="56">
        <v>0.0</v>
      </c>
      <c r="H424" s="56">
        <v>23.14</v>
      </c>
      <c r="I424" s="59">
        <v>44393.0</v>
      </c>
      <c r="J424" s="56" t="s">
        <v>3594</v>
      </c>
      <c r="K424" s="15" t="s">
        <v>4017</v>
      </c>
      <c r="L424" s="60" t="str">
        <f t="shared" si="1"/>
        <v>Not in buy Zone</v>
      </c>
      <c r="M424" s="60" t="str">
        <f t="shared" si="2"/>
        <v>Not in buy Zone</v>
      </c>
      <c r="N424" s="33" t="str">
        <f t="shared" si="3"/>
        <v>No</v>
      </c>
    </row>
    <row r="425">
      <c r="A425" s="56" t="s">
        <v>453</v>
      </c>
      <c r="B425" s="56">
        <v>0.0</v>
      </c>
      <c r="C425" s="56">
        <v>0.0</v>
      </c>
      <c r="D425" s="56">
        <v>0.0</v>
      </c>
      <c r="E425" s="56">
        <v>176.85</v>
      </c>
      <c r="F425" s="58">
        <v>44376.0</v>
      </c>
      <c r="G425" s="56">
        <v>0.0</v>
      </c>
      <c r="H425" s="56">
        <v>178.55</v>
      </c>
      <c r="I425" s="59">
        <v>44393.0</v>
      </c>
      <c r="J425" s="56" t="s">
        <v>3594</v>
      </c>
      <c r="K425" s="15" t="s">
        <v>4018</v>
      </c>
      <c r="L425" s="60" t="str">
        <f t="shared" si="1"/>
        <v>Not in buy Zone</v>
      </c>
      <c r="M425" s="60" t="str">
        <f t="shared" si="2"/>
        <v>Not in buy Zone</v>
      </c>
      <c r="N425" s="33" t="str">
        <f t="shared" si="3"/>
        <v>No</v>
      </c>
    </row>
    <row r="426">
      <c r="A426" s="56" t="s">
        <v>454</v>
      </c>
      <c r="B426" s="56">
        <v>0.0</v>
      </c>
      <c r="C426" s="56">
        <v>0.0</v>
      </c>
      <c r="D426" s="56">
        <v>73.51</v>
      </c>
      <c r="E426" s="56">
        <v>0.0</v>
      </c>
      <c r="F426" s="58">
        <v>44357.0</v>
      </c>
      <c r="G426" s="56">
        <v>0.0</v>
      </c>
      <c r="H426" s="56">
        <v>77.92</v>
      </c>
      <c r="I426" s="59">
        <v>44393.0</v>
      </c>
      <c r="J426" s="56" t="s">
        <v>3594</v>
      </c>
      <c r="K426" s="15" t="s">
        <v>4019</v>
      </c>
      <c r="L426" s="60" t="str">
        <f t="shared" si="1"/>
        <v>Not in buy Zone</v>
      </c>
      <c r="M426" s="60" t="str">
        <f t="shared" si="2"/>
        <v>Not in buy Zone</v>
      </c>
      <c r="N426" s="33" t="str">
        <f t="shared" si="3"/>
        <v>No</v>
      </c>
    </row>
    <row r="427">
      <c r="A427" s="56" t="s">
        <v>455</v>
      </c>
      <c r="B427" s="56">
        <v>0.0</v>
      </c>
      <c r="C427" s="56">
        <v>0.0</v>
      </c>
      <c r="D427" s="56">
        <v>63.37</v>
      </c>
      <c r="E427" s="56">
        <v>0.0</v>
      </c>
      <c r="F427" s="58">
        <v>44390.0</v>
      </c>
      <c r="G427" s="56">
        <v>0.0</v>
      </c>
      <c r="H427" s="56">
        <v>61.73</v>
      </c>
      <c r="I427" s="59">
        <v>44393.0</v>
      </c>
      <c r="J427" s="56" t="s">
        <v>3594</v>
      </c>
      <c r="K427" s="15" t="s">
        <v>4020</v>
      </c>
      <c r="L427" s="60" t="str">
        <f t="shared" si="1"/>
        <v>Not in buy Zone</v>
      </c>
      <c r="M427" s="60" t="str">
        <f t="shared" si="2"/>
        <v>Not in buy Zone</v>
      </c>
      <c r="N427" s="33" t="str">
        <f t="shared" si="3"/>
        <v>No</v>
      </c>
    </row>
    <row r="428">
      <c r="A428" s="56" t="s">
        <v>456</v>
      </c>
      <c r="B428" s="56">
        <v>0.0</v>
      </c>
      <c r="C428" s="56">
        <v>0.0</v>
      </c>
      <c r="D428" s="56">
        <v>0.0</v>
      </c>
      <c r="E428" s="56">
        <v>106.51</v>
      </c>
      <c r="F428" s="58">
        <v>44390.0</v>
      </c>
      <c r="G428" s="56">
        <v>0.0</v>
      </c>
      <c r="H428" s="56">
        <v>102.66</v>
      </c>
      <c r="I428" s="59">
        <v>44393.0</v>
      </c>
      <c r="J428" s="56" t="s">
        <v>3594</v>
      </c>
      <c r="K428" s="15" t="s">
        <v>4021</v>
      </c>
      <c r="L428" s="60" t="str">
        <f t="shared" si="1"/>
        <v>Not in buy Zone</v>
      </c>
      <c r="M428" s="60" t="str">
        <f t="shared" si="2"/>
        <v>Not in buy Zone</v>
      </c>
      <c r="N428" s="33" t="str">
        <f t="shared" si="3"/>
        <v>No</v>
      </c>
    </row>
    <row r="429">
      <c r="A429" s="56" t="s">
        <v>457</v>
      </c>
      <c r="B429" s="56">
        <v>0.0</v>
      </c>
      <c r="C429" s="56">
        <v>0.0</v>
      </c>
      <c r="D429" s="56">
        <v>499.89</v>
      </c>
      <c r="E429" s="56">
        <v>0.0</v>
      </c>
      <c r="F429" s="58">
        <v>44361.0</v>
      </c>
      <c r="G429" s="56">
        <v>0.0</v>
      </c>
      <c r="H429" s="56">
        <v>530.31</v>
      </c>
      <c r="I429" s="59">
        <v>44393.0</v>
      </c>
      <c r="J429" s="56" t="s">
        <v>3594</v>
      </c>
      <c r="K429" s="15" t="s">
        <v>4022</v>
      </c>
      <c r="L429" s="60" t="str">
        <f t="shared" si="1"/>
        <v>Not in buy Zone</v>
      </c>
      <c r="M429" s="60" t="str">
        <f t="shared" si="2"/>
        <v>Not in buy Zone</v>
      </c>
      <c r="N429" s="33" t="str">
        <f t="shared" si="3"/>
        <v>No</v>
      </c>
    </row>
    <row r="430">
      <c r="A430" s="56" t="s">
        <v>458</v>
      </c>
      <c r="B430" s="56">
        <v>0.0</v>
      </c>
      <c r="C430" s="56">
        <v>0.0</v>
      </c>
      <c r="D430" s="56">
        <v>25.24</v>
      </c>
      <c r="E430" s="56">
        <v>0.0</v>
      </c>
      <c r="F430" s="58">
        <v>44389.0</v>
      </c>
      <c r="G430" s="56">
        <v>0.0</v>
      </c>
      <c r="H430" s="56">
        <v>25.75</v>
      </c>
      <c r="I430" s="59">
        <v>44393.0</v>
      </c>
      <c r="J430" s="56" t="s">
        <v>3594</v>
      </c>
      <c r="K430" s="15" t="s">
        <v>4023</v>
      </c>
      <c r="L430" s="60" t="str">
        <f t="shared" si="1"/>
        <v>Not in buy Zone</v>
      </c>
      <c r="M430" s="60" t="str">
        <f t="shared" si="2"/>
        <v>Not in buy Zone</v>
      </c>
      <c r="N430" s="33" t="str">
        <f t="shared" si="3"/>
        <v>No</v>
      </c>
    </row>
    <row r="431">
      <c r="A431" s="56" t="s">
        <v>459</v>
      </c>
      <c r="B431" s="56">
        <v>0.0</v>
      </c>
      <c r="C431" s="56">
        <v>0.0</v>
      </c>
      <c r="D431" s="56">
        <v>133.6</v>
      </c>
      <c r="E431" s="56">
        <v>0.0</v>
      </c>
      <c r="F431" s="58">
        <v>44371.0</v>
      </c>
      <c r="G431" s="56">
        <v>0.0</v>
      </c>
      <c r="H431" s="56">
        <v>159.85</v>
      </c>
      <c r="I431" s="59">
        <v>44393.0</v>
      </c>
      <c r="J431" s="56" t="s">
        <v>3594</v>
      </c>
      <c r="K431" s="15" t="s">
        <v>4024</v>
      </c>
      <c r="L431" s="60" t="str">
        <f t="shared" si="1"/>
        <v>Not in buy Zone</v>
      </c>
      <c r="M431" s="60" t="str">
        <f t="shared" si="2"/>
        <v>Not in buy Zone</v>
      </c>
      <c r="N431" s="33" t="str">
        <f t="shared" si="3"/>
        <v>No</v>
      </c>
    </row>
    <row r="432">
      <c r="A432" s="56" t="s">
        <v>460</v>
      </c>
      <c r="B432" s="56">
        <v>0.0</v>
      </c>
      <c r="C432" s="56">
        <v>0.0</v>
      </c>
      <c r="D432" s="56">
        <v>0.0</v>
      </c>
      <c r="E432" s="56">
        <v>28.0</v>
      </c>
      <c r="F432" s="58">
        <v>44362.0</v>
      </c>
      <c r="G432" s="56">
        <v>0.0</v>
      </c>
      <c r="H432" s="56">
        <v>26.01</v>
      </c>
      <c r="I432" s="59">
        <v>44393.0</v>
      </c>
      <c r="J432" s="56" t="s">
        <v>3594</v>
      </c>
      <c r="K432" s="15" t="s">
        <v>4025</v>
      </c>
      <c r="L432" s="60" t="str">
        <f t="shared" si="1"/>
        <v>Not in buy Zone</v>
      </c>
      <c r="M432" s="60" t="str">
        <f t="shared" si="2"/>
        <v>Not in buy Zone</v>
      </c>
      <c r="N432" s="33" t="str">
        <f t="shared" si="3"/>
        <v>No</v>
      </c>
    </row>
    <row r="433">
      <c r="A433" s="56" t="s">
        <v>461</v>
      </c>
      <c r="B433" s="56">
        <v>0.0</v>
      </c>
      <c r="C433" s="56">
        <v>0.0</v>
      </c>
      <c r="D433" s="56">
        <v>0.0</v>
      </c>
      <c r="E433" s="56">
        <v>27.15</v>
      </c>
      <c r="F433" s="58">
        <v>44337.0</v>
      </c>
      <c r="G433" s="56">
        <v>0.0</v>
      </c>
      <c r="H433" s="56">
        <v>23.76</v>
      </c>
      <c r="I433" s="59">
        <v>44393.0</v>
      </c>
      <c r="J433" s="56" t="s">
        <v>3594</v>
      </c>
      <c r="K433" s="15" t="s">
        <v>4026</v>
      </c>
      <c r="L433" s="60" t="str">
        <f t="shared" si="1"/>
        <v>Not in buy Zone</v>
      </c>
      <c r="M433" s="60" t="str">
        <f t="shared" si="2"/>
        <v>Not in buy Zone</v>
      </c>
      <c r="N433" s="33" t="str">
        <f t="shared" si="3"/>
        <v>No</v>
      </c>
    </row>
    <row r="434">
      <c r="A434" s="56" t="s">
        <v>462</v>
      </c>
      <c r="B434" s="56">
        <v>0.0</v>
      </c>
      <c r="C434" s="56">
        <v>0.0</v>
      </c>
      <c r="D434" s="56">
        <v>0.0</v>
      </c>
      <c r="E434" s="56">
        <v>363.15</v>
      </c>
      <c r="F434" s="58">
        <v>44328.0</v>
      </c>
      <c r="G434" s="56">
        <v>0.0</v>
      </c>
      <c r="H434" s="56">
        <v>362.81</v>
      </c>
      <c r="I434" s="59">
        <v>44393.0</v>
      </c>
      <c r="J434" s="56" t="s">
        <v>3594</v>
      </c>
      <c r="K434" s="15" t="s">
        <v>4027</v>
      </c>
      <c r="L434" s="60" t="str">
        <f t="shared" si="1"/>
        <v>Not in buy Zone</v>
      </c>
      <c r="M434" s="60" t="str">
        <f t="shared" si="2"/>
        <v>Not in buy Zone</v>
      </c>
      <c r="N434" s="33" t="str">
        <f t="shared" si="3"/>
        <v>No</v>
      </c>
    </row>
    <row r="435">
      <c r="A435" s="56" t="s">
        <v>463</v>
      </c>
      <c r="B435" s="56">
        <v>0.0</v>
      </c>
      <c r="C435" s="56">
        <v>0.0</v>
      </c>
      <c r="D435" s="56">
        <v>0.0</v>
      </c>
      <c r="E435" s="56">
        <v>16.91</v>
      </c>
      <c r="F435" s="58">
        <v>44357.0</v>
      </c>
      <c r="G435" s="56">
        <v>0.0</v>
      </c>
      <c r="H435" s="56">
        <v>13.62</v>
      </c>
      <c r="I435" s="59">
        <v>44393.0</v>
      </c>
      <c r="J435" s="56" t="s">
        <v>3594</v>
      </c>
      <c r="K435" s="15" t="s">
        <v>4028</v>
      </c>
      <c r="L435" s="60" t="str">
        <f t="shared" si="1"/>
        <v>Not in buy Zone</v>
      </c>
      <c r="M435" s="60" t="str">
        <f t="shared" si="2"/>
        <v>Not in buy Zone</v>
      </c>
      <c r="N435" s="33" t="str">
        <f t="shared" si="3"/>
        <v>No</v>
      </c>
    </row>
    <row r="436">
      <c r="A436" s="56" t="s">
        <v>464</v>
      </c>
      <c r="B436" s="56">
        <v>0.0</v>
      </c>
      <c r="C436" s="56">
        <v>0.0</v>
      </c>
      <c r="D436" s="56">
        <v>0.0</v>
      </c>
      <c r="E436" s="56">
        <v>37.65</v>
      </c>
      <c r="F436" s="58">
        <v>44389.0</v>
      </c>
      <c r="G436" s="56">
        <v>0.0</v>
      </c>
      <c r="H436" s="56">
        <v>33.24</v>
      </c>
      <c r="I436" s="59">
        <v>44393.0</v>
      </c>
      <c r="J436" s="56" t="s">
        <v>3594</v>
      </c>
      <c r="K436" s="15" t="s">
        <v>4029</v>
      </c>
      <c r="L436" s="60" t="str">
        <f t="shared" si="1"/>
        <v>Not in buy Zone</v>
      </c>
      <c r="M436" s="60" t="str">
        <f t="shared" si="2"/>
        <v>Not in buy Zone</v>
      </c>
      <c r="N436" s="33" t="str">
        <f t="shared" si="3"/>
        <v>No</v>
      </c>
    </row>
    <row r="437">
      <c r="A437" s="56" t="s">
        <v>465</v>
      </c>
      <c r="B437" s="56">
        <v>0.0</v>
      </c>
      <c r="C437" s="56">
        <v>556.36</v>
      </c>
      <c r="D437" s="56">
        <v>0.0</v>
      </c>
      <c r="E437" s="56">
        <v>0.0</v>
      </c>
      <c r="F437" s="58">
        <v>44393.0</v>
      </c>
      <c r="G437" s="56">
        <v>-1.0</v>
      </c>
      <c r="H437" s="56">
        <v>556.36</v>
      </c>
      <c r="I437" s="59">
        <v>44393.0</v>
      </c>
      <c r="J437" s="56" t="s">
        <v>3594</v>
      </c>
      <c r="K437" s="15" t="s">
        <v>4030</v>
      </c>
      <c r="L437" s="60" t="str">
        <f t="shared" si="1"/>
        <v>Not in buy Zone</v>
      </c>
      <c r="M437" s="60" t="str">
        <f t="shared" si="2"/>
        <v>Not in buy Zone</v>
      </c>
      <c r="N437" s="33" t="str">
        <f t="shared" si="3"/>
        <v>No</v>
      </c>
    </row>
    <row r="438">
      <c r="A438" s="56" t="s">
        <v>466</v>
      </c>
      <c r="B438" s="56">
        <v>0.0</v>
      </c>
      <c r="C438" s="56">
        <v>0.0</v>
      </c>
      <c r="D438" s="56">
        <v>0.0</v>
      </c>
      <c r="E438" s="56">
        <v>40.24</v>
      </c>
      <c r="F438" s="58">
        <v>44392.0</v>
      </c>
      <c r="G438" s="56">
        <v>0.0</v>
      </c>
      <c r="H438" s="56">
        <v>40.54</v>
      </c>
      <c r="I438" s="59">
        <v>44393.0</v>
      </c>
      <c r="J438" s="56" t="s">
        <v>3594</v>
      </c>
      <c r="K438" s="15" t="s">
        <v>4031</v>
      </c>
      <c r="L438" s="60" t="str">
        <f t="shared" si="1"/>
        <v>Not in buy Zone</v>
      </c>
      <c r="M438" s="60" t="str">
        <f t="shared" si="2"/>
        <v>Not in buy Zone</v>
      </c>
      <c r="N438" s="33" t="str">
        <f t="shared" si="3"/>
        <v>No</v>
      </c>
    </row>
    <row r="439">
      <c r="A439" s="56" t="s">
        <v>467</v>
      </c>
      <c r="B439" s="56">
        <v>0.0</v>
      </c>
      <c r="C439" s="56">
        <v>0.0</v>
      </c>
      <c r="D439" s="56">
        <v>270.91</v>
      </c>
      <c r="E439" s="56">
        <v>0.0</v>
      </c>
      <c r="F439" s="58">
        <v>44379.0</v>
      </c>
      <c r="G439" s="56">
        <v>0.0</v>
      </c>
      <c r="H439" s="56">
        <v>260.55</v>
      </c>
      <c r="I439" s="59">
        <v>44393.0</v>
      </c>
      <c r="J439" s="56" t="s">
        <v>3594</v>
      </c>
      <c r="K439" s="15" t="s">
        <v>4032</v>
      </c>
      <c r="L439" s="60" t="str">
        <f t="shared" si="1"/>
        <v>Not in buy Zone</v>
      </c>
      <c r="M439" s="60" t="str">
        <f t="shared" si="2"/>
        <v>Not in buy Zone</v>
      </c>
      <c r="N439" s="33" t="str">
        <f t="shared" si="3"/>
        <v>No</v>
      </c>
    </row>
    <row r="440">
      <c r="A440" s="56" t="s">
        <v>468</v>
      </c>
      <c r="B440" s="56">
        <v>0.0</v>
      </c>
      <c r="C440" s="56">
        <v>0.0</v>
      </c>
      <c r="D440" s="56">
        <v>0.0</v>
      </c>
      <c r="E440" s="56">
        <v>78.16</v>
      </c>
      <c r="F440" s="58">
        <v>44365.0</v>
      </c>
      <c r="G440" s="56">
        <v>0.0</v>
      </c>
      <c r="H440" s="56">
        <v>77.37</v>
      </c>
      <c r="I440" s="59">
        <v>44393.0</v>
      </c>
      <c r="J440" s="56" t="s">
        <v>3594</v>
      </c>
      <c r="K440" s="15" t="s">
        <v>4033</v>
      </c>
      <c r="L440" s="60" t="str">
        <f t="shared" si="1"/>
        <v>Not in buy Zone</v>
      </c>
      <c r="M440" s="60" t="str">
        <f t="shared" si="2"/>
        <v>Not in buy Zone</v>
      </c>
      <c r="N440" s="33" t="str">
        <f t="shared" si="3"/>
        <v>No</v>
      </c>
    </row>
    <row r="441">
      <c r="A441" s="56" t="s">
        <v>469</v>
      </c>
      <c r="B441" s="56">
        <v>0.0</v>
      </c>
      <c r="C441" s="56">
        <v>0.0</v>
      </c>
      <c r="D441" s="56">
        <v>112.83</v>
      </c>
      <c r="E441" s="56">
        <v>0.0</v>
      </c>
      <c r="F441" s="58">
        <v>44391.0</v>
      </c>
      <c r="G441" s="56">
        <v>0.0</v>
      </c>
      <c r="H441" s="56">
        <v>112.1</v>
      </c>
      <c r="I441" s="59">
        <v>44393.0</v>
      </c>
      <c r="J441" s="56" t="s">
        <v>3594</v>
      </c>
      <c r="K441" s="15" t="s">
        <v>4034</v>
      </c>
      <c r="L441" s="60" t="str">
        <f t="shared" si="1"/>
        <v>Not in buy Zone</v>
      </c>
      <c r="M441" s="60" t="str">
        <f t="shared" si="2"/>
        <v>Not in buy Zone</v>
      </c>
      <c r="N441" s="33" t="str">
        <f t="shared" si="3"/>
        <v>No</v>
      </c>
    </row>
    <row r="442">
      <c r="A442" s="56" t="s">
        <v>470</v>
      </c>
      <c r="B442" s="56">
        <v>0.0</v>
      </c>
      <c r="C442" s="56">
        <v>0.0</v>
      </c>
      <c r="D442" s="56">
        <v>0.0</v>
      </c>
      <c r="E442" s="56">
        <v>143.42</v>
      </c>
      <c r="F442" s="58">
        <v>44390.0</v>
      </c>
      <c r="G442" s="56">
        <v>0.0</v>
      </c>
      <c r="H442" s="56">
        <v>135.25</v>
      </c>
      <c r="I442" s="59">
        <v>44393.0</v>
      </c>
      <c r="J442" s="56" t="s">
        <v>3594</v>
      </c>
      <c r="K442" s="15" t="s">
        <v>4035</v>
      </c>
      <c r="L442" s="60" t="str">
        <f t="shared" si="1"/>
        <v>Not in buy Zone</v>
      </c>
      <c r="M442" s="60" t="str">
        <f t="shared" si="2"/>
        <v>Not in buy Zone</v>
      </c>
      <c r="N442" s="33" t="str">
        <f t="shared" si="3"/>
        <v>No</v>
      </c>
    </row>
    <row r="443">
      <c r="A443" s="56" t="s">
        <v>471</v>
      </c>
      <c r="B443" s="56">
        <v>0.0</v>
      </c>
      <c r="C443" s="56">
        <v>0.0</v>
      </c>
      <c r="D443" s="56">
        <v>0.0</v>
      </c>
      <c r="E443" s="56">
        <v>38.22</v>
      </c>
      <c r="F443" s="58">
        <v>44377.0</v>
      </c>
      <c r="G443" s="56">
        <v>0.0</v>
      </c>
      <c r="H443" s="56">
        <v>33.94</v>
      </c>
      <c r="I443" s="59">
        <v>44393.0</v>
      </c>
      <c r="J443" s="56" t="s">
        <v>3594</v>
      </c>
      <c r="K443" s="15" t="s">
        <v>4036</v>
      </c>
      <c r="L443" s="60" t="str">
        <f t="shared" si="1"/>
        <v>Not in buy Zone</v>
      </c>
      <c r="M443" s="60" t="str">
        <f t="shared" si="2"/>
        <v>Not in buy Zone</v>
      </c>
      <c r="N443" s="33" t="str">
        <f t="shared" si="3"/>
        <v>No</v>
      </c>
    </row>
    <row r="444">
      <c r="A444" s="56" t="s">
        <v>472</v>
      </c>
      <c r="B444" s="56">
        <v>0.0</v>
      </c>
      <c r="C444" s="56">
        <v>0.0</v>
      </c>
      <c r="D444" s="56">
        <v>0.0</v>
      </c>
      <c r="E444" s="56">
        <v>113.32</v>
      </c>
      <c r="F444" s="58">
        <v>44391.0</v>
      </c>
      <c r="G444" s="56">
        <v>0.0</v>
      </c>
      <c r="H444" s="56">
        <v>113.15</v>
      </c>
      <c r="I444" s="59">
        <v>44393.0</v>
      </c>
      <c r="J444" s="56" t="s">
        <v>3594</v>
      </c>
      <c r="K444" s="15" t="s">
        <v>4037</v>
      </c>
      <c r="L444" s="60" t="str">
        <f t="shared" si="1"/>
        <v>Not in buy Zone</v>
      </c>
      <c r="M444" s="60" t="str">
        <f t="shared" si="2"/>
        <v>Not in buy Zone</v>
      </c>
      <c r="N444" s="33" t="str">
        <f t="shared" si="3"/>
        <v>No</v>
      </c>
    </row>
    <row r="445">
      <c r="A445" s="56" t="s">
        <v>473</v>
      </c>
      <c r="B445" s="56">
        <v>0.0</v>
      </c>
      <c r="C445" s="56">
        <v>0.0</v>
      </c>
      <c r="D445" s="56">
        <v>0.0</v>
      </c>
      <c r="E445" s="56">
        <v>54.47</v>
      </c>
      <c r="F445" s="58">
        <v>44369.0</v>
      </c>
      <c r="G445" s="56">
        <v>0.0</v>
      </c>
      <c r="H445" s="56">
        <v>55.0</v>
      </c>
      <c r="I445" s="59">
        <v>44393.0</v>
      </c>
      <c r="J445" s="56" t="s">
        <v>3594</v>
      </c>
      <c r="K445" s="15" t="s">
        <v>4038</v>
      </c>
      <c r="L445" s="60" t="str">
        <f t="shared" si="1"/>
        <v>Not in buy Zone</v>
      </c>
      <c r="M445" s="60" t="str">
        <f t="shared" si="2"/>
        <v>Not in buy Zone</v>
      </c>
      <c r="N445" s="33" t="str">
        <f t="shared" si="3"/>
        <v>No</v>
      </c>
    </row>
    <row r="446">
      <c r="A446" s="56" t="s">
        <v>474</v>
      </c>
      <c r="B446" s="56">
        <v>0.0</v>
      </c>
      <c r="C446" s="56">
        <v>0.0</v>
      </c>
      <c r="D446" s="56">
        <v>0.0</v>
      </c>
      <c r="E446" s="56">
        <v>101.53</v>
      </c>
      <c r="F446" s="58">
        <v>44335.0</v>
      </c>
      <c r="G446" s="56">
        <v>0.0</v>
      </c>
      <c r="H446" s="56">
        <v>92.04</v>
      </c>
      <c r="I446" s="59">
        <v>44393.0</v>
      </c>
      <c r="J446" s="56" t="s">
        <v>3594</v>
      </c>
      <c r="K446" s="15" t="s">
        <v>4039</v>
      </c>
      <c r="L446" s="60" t="str">
        <f t="shared" si="1"/>
        <v>Not in buy Zone</v>
      </c>
      <c r="M446" s="60" t="str">
        <f t="shared" si="2"/>
        <v>Not in buy Zone</v>
      </c>
      <c r="N446" s="33" t="str">
        <f t="shared" si="3"/>
        <v>No</v>
      </c>
    </row>
    <row r="447">
      <c r="A447" s="56" t="s">
        <v>475</v>
      </c>
      <c r="B447" s="56">
        <v>0.0</v>
      </c>
      <c r="C447" s="56">
        <v>0.0</v>
      </c>
      <c r="D447" s="56">
        <v>0.0</v>
      </c>
      <c r="E447" s="56">
        <v>189.64</v>
      </c>
      <c r="F447" s="58">
        <v>44385.0</v>
      </c>
      <c r="G447" s="56">
        <v>0.0</v>
      </c>
      <c r="H447" s="56">
        <v>186.65</v>
      </c>
      <c r="I447" s="59">
        <v>44393.0</v>
      </c>
      <c r="J447" s="56" t="s">
        <v>3594</v>
      </c>
      <c r="K447" s="15" t="s">
        <v>4040</v>
      </c>
      <c r="L447" s="60" t="str">
        <f t="shared" si="1"/>
        <v>Not in buy Zone</v>
      </c>
      <c r="M447" s="60" t="str">
        <f t="shared" si="2"/>
        <v>Not in buy Zone</v>
      </c>
      <c r="N447" s="33" t="str">
        <f t="shared" si="3"/>
        <v>No</v>
      </c>
    </row>
    <row r="448">
      <c r="A448" s="56" t="s">
        <v>476</v>
      </c>
      <c r="B448" s="56">
        <v>0.0</v>
      </c>
      <c r="C448" s="56">
        <v>0.0</v>
      </c>
      <c r="D448" s="56">
        <v>0.0</v>
      </c>
      <c r="E448" s="56">
        <v>802.01</v>
      </c>
      <c r="F448" s="58">
        <v>44386.0</v>
      </c>
      <c r="G448" s="56">
        <v>0.0</v>
      </c>
      <c r="H448" s="56">
        <v>726.44</v>
      </c>
      <c r="I448" s="59">
        <v>44393.0</v>
      </c>
      <c r="J448" s="56" t="s">
        <v>3594</v>
      </c>
      <c r="K448" s="15" t="s">
        <v>4041</v>
      </c>
      <c r="L448" s="60" t="str">
        <f t="shared" si="1"/>
        <v>Not in buy Zone</v>
      </c>
      <c r="M448" s="60" t="str">
        <f t="shared" si="2"/>
        <v>Not in buy Zone</v>
      </c>
      <c r="N448" s="33" t="str">
        <f t="shared" si="3"/>
        <v>No</v>
      </c>
    </row>
    <row r="449">
      <c r="A449" s="56" t="s">
        <v>477</v>
      </c>
      <c r="B449" s="56">
        <v>0.0</v>
      </c>
      <c r="C449" s="56">
        <v>0.0</v>
      </c>
      <c r="D449" s="56">
        <v>0.0</v>
      </c>
      <c r="E449" s="56">
        <v>4862.35</v>
      </c>
      <c r="F449" s="58">
        <v>44391.0</v>
      </c>
      <c r="G449" s="56">
        <v>0.0</v>
      </c>
      <c r="H449" s="56">
        <v>4800.0</v>
      </c>
      <c r="I449" s="59">
        <v>44393.0</v>
      </c>
      <c r="J449" s="56" t="s">
        <v>3594</v>
      </c>
      <c r="K449" s="15" t="s">
        <v>4042</v>
      </c>
      <c r="L449" s="60" t="str">
        <f t="shared" si="1"/>
        <v>Not in buy Zone</v>
      </c>
      <c r="M449" s="60" t="str">
        <f t="shared" si="2"/>
        <v>Not in buy Zone</v>
      </c>
      <c r="N449" s="33" t="str">
        <f t="shared" si="3"/>
        <v>No</v>
      </c>
    </row>
    <row r="450">
      <c r="A450" s="56" t="s">
        <v>478</v>
      </c>
      <c r="B450" s="56">
        <v>0.0</v>
      </c>
      <c r="C450" s="56">
        <v>0.0</v>
      </c>
      <c r="D450" s="56">
        <v>0.0</v>
      </c>
      <c r="E450" s="56">
        <v>31.01</v>
      </c>
      <c r="F450" s="58">
        <v>44385.0</v>
      </c>
      <c r="G450" s="56">
        <v>0.0</v>
      </c>
      <c r="H450" s="56">
        <v>28.48</v>
      </c>
      <c r="I450" s="59">
        <v>44393.0</v>
      </c>
      <c r="J450" s="56" t="s">
        <v>3594</v>
      </c>
      <c r="K450" s="15" t="s">
        <v>4043</v>
      </c>
      <c r="L450" s="60" t="str">
        <f t="shared" si="1"/>
        <v>Not in buy Zone</v>
      </c>
      <c r="M450" s="60" t="str">
        <f t="shared" si="2"/>
        <v>Not in buy Zone</v>
      </c>
      <c r="N450" s="33" t="str">
        <f t="shared" si="3"/>
        <v>No</v>
      </c>
    </row>
    <row r="451">
      <c r="A451" s="56" t="s">
        <v>479</v>
      </c>
      <c r="B451" s="56">
        <v>0.0</v>
      </c>
      <c r="C451" s="56">
        <v>0.0</v>
      </c>
      <c r="D451" s="56">
        <v>27.03</v>
      </c>
      <c r="E451" s="56">
        <v>0.0</v>
      </c>
      <c r="F451" s="58">
        <v>44386.0</v>
      </c>
      <c r="G451" s="56">
        <v>0.0</v>
      </c>
      <c r="H451" s="56">
        <v>27.04</v>
      </c>
      <c r="I451" s="59">
        <v>44393.0</v>
      </c>
      <c r="J451" s="56" t="s">
        <v>3594</v>
      </c>
      <c r="K451" s="15" t="s">
        <v>4044</v>
      </c>
      <c r="L451" s="60" t="str">
        <f t="shared" si="1"/>
        <v>Not in buy Zone</v>
      </c>
      <c r="M451" s="60" t="str">
        <f t="shared" si="2"/>
        <v>Not in buy Zone</v>
      </c>
      <c r="N451" s="33" t="str">
        <f t="shared" si="3"/>
        <v>No</v>
      </c>
    </row>
    <row r="452">
      <c r="A452" s="56" t="s">
        <v>480</v>
      </c>
      <c r="B452" s="56">
        <v>0.0</v>
      </c>
      <c r="C452" s="56">
        <v>0.0</v>
      </c>
      <c r="D452" s="56">
        <v>0.0</v>
      </c>
      <c r="E452" s="56">
        <v>24.54</v>
      </c>
      <c r="F452" s="58">
        <v>44349.0</v>
      </c>
      <c r="G452" s="56">
        <v>0.0</v>
      </c>
      <c r="H452" s="56">
        <v>22.99</v>
      </c>
      <c r="I452" s="59">
        <v>44393.0</v>
      </c>
      <c r="J452" s="56" t="s">
        <v>3594</v>
      </c>
      <c r="K452" s="15" t="s">
        <v>4045</v>
      </c>
      <c r="L452" s="60" t="str">
        <f t="shared" si="1"/>
        <v>Not in buy Zone</v>
      </c>
      <c r="M452" s="60" t="str">
        <f t="shared" si="2"/>
        <v>Not in buy Zone</v>
      </c>
      <c r="N452" s="33" t="str">
        <f t="shared" si="3"/>
        <v>No</v>
      </c>
    </row>
    <row r="453">
      <c r="A453" s="56" t="s">
        <v>481</v>
      </c>
      <c r="B453" s="56">
        <v>0.0</v>
      </c>
      <c r="C453" s="56">
        <v>0.0</v>
      </c>
      <c r="D453" s="56">
        <v>0.0</v>
      </c>
      <c r="E453" s="56">
        <v>25.23</v>
      </c>
      <c r="F453" s="58">
        <v>44390.0</v>
      </c>
      <c r="G453" s="56">
        <v>0.0</v>
      </c>
      <c r="H453" s="56">
        <v>24.22</v>
      </c>
      <c r="I453" s="59">
        <v>44393.0</v>
      </c>
      <c r="J453" s="56" t="s">
        <v>3594</v>
      </c>
      <c r="K453" s="15" t="s">
        <v>4046</v>
      </c>
      <c r="L453" s="60" t="str">
        <f t="shared" si="1"/>
        <v>Not in buy Zone</v>
      </c>
      <c r="M453" s="60" t="str">
        <f t="shared" si="2"/>
        <v>Not in buy Zone</v>
      </c>
      <c r="N453" s="33" t="str">
        <f t="shared" si="3"/>
        <v>No</v>
      </c>
    </row>
    <row r="454">
      <c r="A454" s="56" t="s">
        <v>482</v>
      </c>
      <c r="B454" s="56">
        <v>0.0</v>
      </c>
      <c r="C454" s="56">
        <v>0.0</v>
      </c>
      <c r="D454" s="56">
        <v>0.0</v>
      </c>
      <c r="E454" s="56">
        <v>194.41</v>
      </c>
      <c r="F454" s="58">
        <v>44392.0</v>
      </c>
      <c r="G454" s="56">
        <v>0.0</v>
      </c>
      <c r="H454" s="56">
        <v>190.11</v>
      </c>
      <c r="I454" s="59">
        <v>44393.0</v>
      </c>
      <c r="J454" s="56" t="s">
        <v>3594</v>
      </c>
      <c r="K454" s="15" t="s">
        <v>4047</v>
      </c>
      <c r="L454" s="60" t="str">
        <f t="shared" si="1"/>
        <v>Not in buy Zone</v>
      </c>
      <c r="M454" s="60" t="str">
        <f t="shared" si="2"/>
        <v>Not in buy Zone</v>
      </c>
      <c r="N454" s="33" t="str">
        <f t="shared" si="3"/>
        <v>No</v>
      </c>
    </row>
    <row r="455">
      <c r="A455" s="56" t="s">
        <v>483</v>
      </c>
      <c r="B455" s="56">
        <v>0.0</v>
      </c>
      <c r="C455" s="56">
        <v>0.0</v>
      </c>
      <c r="D455" s="56">
        <v>69.3</v>
      </c>
      <c r="E455" s="56">
        <v>0.0</v>
      </c>
      <c r="F455" s="58">
        <v>44389.0</v>
      </c>
      <c r="G455" s="56">
        <v>0.0</v>
      </c>
      <c r="H455" s="56">
        <v>69.56</v>
      </c>
      <c r="I455" s="59">
        <v>44393.0</v>
      </c>
      <c r="J455" s="56" t="s">
        <v>3594</v>
      </c>
      <c r="K455" s="15" t="s">
        <v>4048</v>
      </c>
      <c r="L455" s="60" t="str">
        <f t="shared" si="1"/>
        <v>Not in buy Zone</v>
      </c>
      <c r="M455" s="60" t="str">
        <f t="shared" si="2"/>
        <v>Not in buy Zone</v>
      </c>
      <c r="N455" s="33" t="str">
        <f t="shared" si="3"/>
        <v>No</v>
      </c>
    </row>
    <row r="456">
      <c r="A456" s="56" t="s">
        <v>484</v>
      </c>
      <c r="B456" s="56">
        <v>0.0</v>
      </c>
      <c r="C456" s="56">
        <v>0.0</v>
      </c>
      <c r="D456" s="56">
        <v>255.03</v>
      </c>
      <c r="E456" s="56">
        <v>0.0</v>
      </c>
      <c r="F456" s="58">
        <v>44376.0</v>
      </c>
      <c r="G456" s="56">
        <v>0.0</v>
      </c>
      <c r="H456" s="56">
        <v>253.94</v>
      </c>
      <c r="I456" s="59">
        <v>44393.0</v>
      </c>
      <c r="J456" s="56" t="s">
        <v>3594</v>
      </c>
      <c r="K456" s="15" t="s">
        <v>4049</v>
      </c>
      <c r="L456" s="60" t="str">
        <f t="shared" si="1"/>
        <v>Not in buy Zone</v>
      </c>
      <c r="M456" s="60" t="str">
        <f t="shared" si="2"/>
        <v>Not in buy Zone</v>
      </c>
      <c r="N456" s="33" t="str">
        <f t="shared" si="3"/>
        <v>No</v>
      </c>
    </row>
    <row r="457">
      <c r="A457" s="56" t="s">
        <v>485</v>
      </c>
      <c r="B457" s="56">
        <v>0.0</v>
      </c>
      <c r="C457" s="56">
        <v>0.0</v>
      </c>
      <c r="D457" s="56">
        <v>0.0</v>
      </c>
      <c r="E457" s="56">
        <v>33.43</v>
      </c>
      <c r="F457" s="58">
        <v>44365.0</v>
      </c>
      <c r="G457" s="56">
        <v>0.0</v>
      </c>
      <c r="H457" s="56">
        <v>34.23</v>
      </c>
      <c r="I457" s="59">
        <v>44393.0</v>
      </c>
      <c r="J457" s="56" t="s">
        <v>3594</v>
      </c>
      <c r="K457" s="15" t="s">
        <v>4050</v>
      </c>
      <c r="L457" s="60" t="str">
        <f t="shared" si="1"/>
        <v>Not in buy Zone</v>
      </c>
      <c r="M457" s="60" t="str">
        <f t="shared" si="2"/>
        <v>Not in buy Zone</v>
      </c>
      <c r="N457" s="33" t="str">
        <f t="shared" si="3"/>
        <v>No</v>
      </c>
    </row>
    <row r="458">
      <c r="A458" s="56" t="s">
        <v>486</v>
      </c>
      <c r="B458" s="56">
        <v>0.0</v>
      </c>
      <c r="C458" s="56">
        <v>0.0</v>
      </c>
      <c r="D458" s="56">
        <v>0.0</v>
      </c>
      <c r="E458" s="56">
        <v>55.44</v>
      </c>
      <c r="F458" s="58">
        <v>44384.0</v>
      </c>
      <c r="G458" s="56">
        <v>0.0</v>
      </c>
      <c r="H458" s="56">
        <v>53.31</v>
      </c>
      <c r="I458" s="59">
        <v>44393.0</v>
      </c>
      <c r="J458" s="56" t="s">
        <v>3594</v>
      </c>
      <c r="K458" s="15" t="s">
        <v>4051</v>
      </c>
      <c r="L458" s="60" t="str">
        <f t="shared" si="1"/>
        <v>Not in buy Zone</v>
      </c>
      <c r="M458" s="60" t="str">
        <f t="shared" si="2"/>
        <v>Not in buy Zone</v>
      </c>
      <c r="N458" s="33" t="str">
        <f t="shared" si="3"/>
        <v>No</v>
      </c>
    </row>
    <row r="459">
      <c r="A459" s="56" t="s">
        <v>487</v>
      </c>
      <c r="B459" s="56">
        <v>0.0</v>
      </c>
      <c r="C459" s="56">
        <v>0.0</v>
      </c>
      <c r="D459" s="56">
        <v>0.0</v>
      </c>
      <c r="E459" s="56">
        <v>237.58</v>
      </c>
      <c r="F459" s="58">
        <v>44392.0</v>
      </c>
      <c r="G459" s="56">
        <v>0.0</v>
      </c>
      <c r="H459" s="56">
        <v>235.67</v>
      </c>
      <c r="I459" s="59">
        <v>44393.0</v>
      </c>
      <c r="J459" s="56" t="s">
        <v>3594</v>
      </c>
      <c r="K459" s="15" t="s">
        <v>4052</v>
      </c>
      <c r="L459" s="60" t="str">
        <f t="shared" si="1"/>
        <v>Not in buy Zone</v>
      </c>
      <c r="M459" s="60" t="str">
        <f t="shared" si="2"/>
        <v>Not in buy Zone</v>
      </c>
      <c r="N459" s="33" t="str">
        <f t="shared" si="3"/>
        <v>No</v>
      </c>
    </row>
    <row r="460">
      <c r="A460" s="56" t="s">
        <v>488</v>
      </c>
      <c r="B460" s="56">
        <v>0.0</v>
      </c>
      <c r="C460" s="56">
        <v>0.0</v>
      </c>
      <c r="D460" s="56">
        <v>0.0</v>
      </c>
      <c r="E460" s="56">
        <v>82.14</v>
      </c>
      <c r="F460" s="58">
        <v>44328.0</v>
      </c>
      <c r="G460" s="56">
        <v>0.0</v>
      </c>
      <c r="H460" s="56">
        <v>77.45</v>
      </c>
      <c r="I460" s="59">
        <v>44393.0</v>
      </c>
      <c r="J460" s="56" t="s">
        <v>3594</v>
      </c>
      <c r="K460" s="15" t="s">
        <v>4053</v>
      </c>
      <c r="L460" s="60" t="str">
        <f t="shared" si="1"/>
        <v>Not in buy Zone</v>
      </c>
      <c r="M460" s="60" t="str">
        <f t="shared" si="2"/>
        <v>Not in buy Zone</v>
      </c>
      <c r="N460" s="33" t="str">
        <f t="shared" si="3"/>
        <v>No</v>
      </c>
    </row>
    <row r="461">
      <c r="A461" s="56" t="s">
        <v>489</v>
      </c>
      <c r="B461" s="56">
        <v>0.0</v>
      </c>
      <c r="C461" s="56">
        <v>0.0</v>
      </c>
      <c r="D461" s="56">
        <v>0.0</v>
      </c>
      <c r="E461" s="56">
        <v>36.3</v>
      </c>
      <c r="F461" s="58">
        <v>44392.0</v>
      </c>
      <c r="G461" s="56">
        <v>0.0</v>
      </c>
      <c r="H461" s="56">
        <v>35.15</v>
      </c>
      <c r="I461" s="59">
        <v>44393.0</v>
      </c>
      <c r="J461" s="56" t="s">
        <v>3594</v>
      </c>
      <c r="K461" s="15" t="s">
        <v>4054</v>
      </c>
      <c r="L461" s="60" t="str">
        <f t="shared" si="1"/>
        <v>Not in buy Zone</v>
      </c>
      <c r="M461" s="60" t="str">
        <f t="shared" si="2"/>
        <v>Not in buy Zone</v>
      </c>
      <c r="N461" s="33" t="str">
        <f t="shared" si="3"/>
        <v>No</v>
      </c>
    </row>
    <row r="462">
      <c r="A462" s="56" t="s">
        <v>490</v>
      </c>
      <c r="B462" s="56">
        <v>0.0</v>
      </c>
      <c r="C462" s="56">
        <v>0.0</v>
      </c>
      <c r="D462" s="56">
        <v>83.08</v>
      </c>
      <c r="E462" s="56">
        <v>0.0</v>
      </c>
      <c r="F462" s="58">
        <v>44383.0</v>
      </c>
      <c r="G462" s="56">
        <v>0.0</v>
      </c>
      <c r="H462" s="56">
        <v>87.49</v>
      </c>
      <c r="I462" s="59">
        <v>44393.0</v>
      </c>
      <c r="J462" s="56" t="s">
        <v>3594</v>
      </c>
      <c r="K462" s="15" t="s">
        <v>4055</v>
      </c>
      <c r="L462" s="60" t="str">
        <f t="shared" si="1"/>
        <v>Not in buy Zone</v>
      </c>
      <c r="M462" s="60" t="str">
        <f t="shared" si="2"/>
        <v>Not in buy Zone</v>
      </c>
      <c r="N462" s="33" t="str">
        <f t="shared" si="3"/>
        <v>No</v>
      </c>
    </row>
    <row r="463">
      <c r="A463" s="56" t="s">
        <v>491</v>
      </c>
      <c r="B463" s="56">
        <v>0.0</v>
      </c>
      <c r="C463" s="56">
        <v>0.0</v>
      </c>
      <c r="D463" s="56">
        <v>537.09</v>
      </c>
      <c r="E463" s="56">
        <v>0.0</v>
      </c>
      <c r="F463" s="58">
        <v>44365.0</v>
      </c>
      <c r="G463" s="56">
        <v>0.0</v>
      </c>
      <c r="H463" s="56">
        <v>601.3</v>
      </c>
      <c r="I463" s="59">
        <v>44393.0</v>
      </c>
      <c r="J463" s="56" t="s">
        <v>3594</v>
      </c>
      <c r="K463" s="15" t="s">
        <v>4056</v>
      </c>
      <c r="L463" s="60" t="str">
        <f t="shared" si="1"/>
        <v>Not in buy Zone</v>
      </c>
      <c r="M463" s="60" t="str">
        <f t="shared" si="2"/>
        <v>Not in buy Zone</v>
      </c>
      <c r="N463" s="33" t="str">
        <f t="shared" si="3"/>
        <v>No</v>
      </c>
    </row>
    <row r="464">
      <c r="A464" s="56" t="s">
        <v>492</v>
      </c>
      <c r="B464" s="56">
        <v>0.0</v>
      </c>
      <c r="C464" s="56">
        <v>0.0</v>
      </c>
      <c r="D464" s="56">
        <v>0.0</v>
      </c>
      <c r="E464" s="56">
        <v>28.72</v>
      </c>
      <c r="F464" s="58">
        <v>44365.0</v>
      </c>
      <c r="G464" s="56">
        <v>0.0</v>
      </c>
      <c r="H464" s="56">
        <v>26.09</v>
      </c>
      <c r="I464" s="59">
        <v>44393.0</v>
      </c>
      <c r="J464" s="56" t="s">
        <v>3594</v>
      </c>
      <c r="K464" s="15" t="s">
        <v>4057</v>
      </c>
      <c r="L464" s="60" t="str">
        <f t="shared" si="1"/>
        <v>Not in buy Zone</v>
      </c>
      <c r="M464" s="60" t="str">
        <f t="shared" si="2"/>
        <v>Not in buy Zone</v>
      </c>
      <c r="N464" s="33" t="str">
        <f t="shared" si="3"/>
        <v>No</v>
      </c>
    </row>
    <row r="465">
      <c r="A465" s="56" t="s">
        <v>493</v>
      </c>
      <c r="B465" s="56">
        <v>0.0</v>
      </c>
      <c r="C465" s="56">
        <v>0.0</v>
      </c>
      <c r="D465" s="56">
        <v>0.0</v>
      </c>
      <c r="E465" s="56">
        <v>29.48</v>
      </c>
      <c r="F465" s="58">
        <v>44384.0</v>
      </c>
      <c r="G465" s="56">
        <v>0.0</v>
      </c>
      <c r="H465" s="56">
        <v>25.94</v>
      </c>
      <c r="I465" s="59">
        <v>44393.0</v>
      </c>
      <c r="J465" s="56" t="s">
        <v>3594</v>
      </c>
      <c r="K465" s="15" t="s">
        <v>4058</v>
      </c>
      <c r="L465" s="60" t="str">
        <f t="shared" si="1"/>
        <v>Not in buy Zone</v>
      </c>
      <c r="M465" s="60" t="str">
        <f t="shared" si="2"/>
        <v>Not in buy Zone</v>
      </c>
      <c r="N465" s="33" t="str">
        <f t="shared" si="3"/>
        <v>No</v>
      </c>
    </row>
    <row r="466">
      <c r="A466" s="56" t="s">
        <v>494</v>
      </c>
      <c r="B466" s="56">
        <v>0.0</v>
      </c>
      <c r="C466" s="56">
        <v>0.0</v>
      </c>
      <c r="D466" s="56">
        <v>0.0</v>
      </c>
      <c r="E466" s="56">
        <v>31.33</v>
      </c>
      <c r="F466" s="58">
        <v>44385.0</v>
      </c>
      <c r="G466" s="56">
        <v>0.0</v>
      </c>
      <c r="H466" s="56">
        <v>26.48</v>
      </c>
      <c r="I466" s="59">
        <v>44393.0</v>
      </c>
      <c r="J466" s="56" t="s">
        <v>3594</v>
      </c>
      <c r="K466" s="15" t="s">
        <v>4059</v>
      </c>
      <c r="L466" s="60" t="str">
        <f t="shared" si="1"/>
        <v>Not in buy Zone</v>
      </c>
      <c r="M466" s="60" t="str">
        <f t="shared" si="2"/>
        <v>Not in buy Zone</v>
      </c>
      <c r="N466" s="33" t="str">
        <f t="shared" si="3"/>
        <v>No</v>
      </c>
    </row>
    <row r="467">
      <c r="A467" s="56" t="s">
        <v>495</v>
      </c>
      <c r="B467" s="56">
        <v>0.0</v>
      </c>
      <c r="C467" s="56">
        <v>0.0</v>
      </c>
      <c r="D467" s="56">
        <v>0.0</v>
      </c>
      <c r="E467" s="56">
        <v>369.93</v>
      </c>
      <c r="F467" s="58">
        <v>44392.0</v>
      </c>
      <c r="G467" s="56">
        <v>0.0</v>
      </c>
      <c r="H467" s="56">
        <v>372.85</v>
      </c>
      <c r="I467" s="59">
        <v>44393.0</v>
      </c>
      <c r="J467" s="56" t="s">
        <v>3594</v>
      </c>
      <c r="K467" s="15" t="s">
        <v>4060</v>
      </c>
      <c r="L467" s="60" t="str">
        <f t="shared" si="1"/>
        <v>Not in buy Zone</v>
      </c>
      <c r="M467" s="60" t="str">
        <f t="shared" si="2"/>
        <v>Not in buy Zone</v>
      </c>
      <c r="N467" s="33" t="str">
        <f t="shared" si="3"/>
        <v>No</v>
      </c>
    </row>
    <row r="468">
      <c r="A468" s="56" t="s">
        <v>496</v>
      </c>
      <c r="B468" s="56">
        <v>0.0</v>
      </c>
      <c r="C468" s="56">
        <v>0.0</v>
      </c>
      <c r="D468" s="56">
        <v>105.61</v>
      </c>
      <c r="E468" s="56">
        <v>0.0</v>
      </c>
      <c r="F468" s="58">
        <v>44372.0</v>
      </c>
      <c r="G468" s="56">
        <v>0.0</v>
      </c>
      <c r="H468" s="56">
        <v>111.85</v>
      </c>
      <c r="I468" s="59">
        <v>44393.0</v>
      </c>
      <c r="J468" s="56" t="s">
        <v>3594</v>
      </c>
      <c r="K468" s="15" t="s">
        <v>4061</v>
      </c>
      <c r="L468" s="60" t="str">
        <f t="shared" si="1"/>
        <v>Not in buy Zone</v>
      </c>
      <c r="M468" s="60" t="str">
        <f t="shared" si="2"/>
        <v>Not in buy Zone</v>
      </c>
      <c r="N468" s="33" t="str">
        <f t="shared" si="3"/>
        <v>No</v>
      </c>
    </row>
    <row r="469">
      <c r="A469" s="56" t="s">
        <v>497</v>
      </c>
      <c r="B469" s="56">
        <v>0.0</v>
      </c>
      <c r="C469" s="56">
        <v>0.0</v>
      </c>
      <c r="D469" s="56">
        <v>0.0</v>
      </c>
      <c r="E469" s="56">
        <v>18.87</v>
      </c>
      <c r="F469" s="58">
        <v>44340.0</v>
      </c>
      <c r="G469" s="56">
        <v>0.0</v>
      </c>
      <c r="H469" s="56">
        <v>16.03</v>
      </c>
      <c r="I469" s="59">
        <v>44393.0</v>
      </c>
      <c r="J469" s="56" t="s">
        <v>3594</v>
      </c>
      <c r="K469" s="15" t="s">
        <v>4062</v>
      </c>
      <c r="L469" s="60" t="str">
        <f t="shared" si="1"/>
        <v>Not in buy Zone</v>
      </c>
      <c r="M469" s="60" t="str">
        <f t="shared" si="2"/>
        <v>Not in buy Zone</v>
      </c>
      <c r="N469" s="33" t="str">
        <f t="shared" si="3"/>
        <v>No</v>
      </c>
    </row>
    <row r="470">
      <c r="A470" s="56" t="s">
        <v>498</v>
      </c>
      <c r="B470" s="56">
        <v>0.0</v>
      </c>
      <c r="C470" s="56">
        <v>0.0</v>
      </c>
      <c r="D470" s="56">
        <v>87.75</v>
      </c>
      <c r="E470" s="56">
        <v>0.0</v>
      </c>
      <c r="F470" s="58">
        <v>44391.0</v>
      </c>
      <c r="G470" s="56">
        <v>0.0</v>
      </c>
      <c r="H470" s="56">
        <v>87.61</v>
      </c>
      <c r="I470" s="59">
        <v>44393.0</v>
      </c>
      <c r="J470" s="56" t="s">
        <v>3594</v>
      </c>
      <c r="K470" s="15" t="s">
        <v>4063</v>
      </c>
      <c r="L470" s="60" t="str">
        <f t="shared" si="1"/>
        <v>Not in buy Zone</v>
      </c>
      <c r="M470" s="60" t="str">
        <f t="shared" si="2"/>
        <v>Not in buy Zone</v>
      </c>
      <c r="N470" s="33" t="str">
        <f t="shared" si="3"/>
        <v>No</v>
      </c>
    </row>
    <row r="471">
      <c r="A471" s="56" t="s">
        <v>499</v>
      </c>
      <c r="B471" s="56">
        <v>0.0</v>
      </c>
      <c r="C471" s="56">
        <v>0.0</v>
      </c>
      <c r="D471" s="56">
        <v>0.0</v>
      </c>
      <c r="E471" s="56">
        <v>113.1</v>
      </c>
      <c r="F471" s="58">
        <v>44383.0</v>
      </c>
      <c r="G471" s="56">
        <v>0.0</v>
      </c>
      <c r="H471" s="56">
        <v>107.45</v>
      </c>
      <c r="I471" s="59">
        <v>44393.0</v>
      </c>
      <c r="J471" s="56" t="s">
        <v>3594</v>
      </c>
      <c r="K471" s="15" t="s">
        <v>4064</v>
      </c>
      <c r="L471" s="60" t="str">
        <f t="shared" si="1"/>
        <v>Not in buy Zone</v>
      </c>
      <c r="M471" s="60" t="str">
        <f t="shared" si="2"/>
        <v>Not in buy Zone</v>
      </c>
      <c r="N471" s="33" t="str">
        <f t="shared" si="3"/>
        <v>No</v>
      </c>
    </row>
    <row r="472">
      <c r="A472" s="56" t="s">
        <v>500</v>
      </c>
      <c r="B472" s="56">
        <v>0.0</v>
      </c>
      <c r="C472" s="56">
        <v>0.0</v>
      </c>
      <c r="D472" s="56">
        <v>34.76</v>
      </c>
      <c r="E472" s="56">
        <v>0.0</v>
      </c>
      <c r="F472" s="58">
        <v>44386.0</v>
      </c>
      <c r="G472" s="56">
        <v>0.0</v>
      </c>
      <c r="H472" s="56">
        <v>35.56</v>
      </c>
      <c r="I472" s="59">
        <v>44393.0</v>
      </c>
      <c r="J472" s="56" t="s">
        <v>3594</v>
      </c>
      <c r="K472" s="15" t="s">
        <v>4065</v>
      </c>
      <c r="L472" s="60" t="str">
        <f t="shared" si="1"/>
        <v>Not in buy Zone</v>
      </c>
      <c r="M472" s="60" t="str">
        <f t="shared" si="2"/>
        <v>Not in buy Zone</v>
      </c>
      <c r="N472" s="33" t="str">
        <f t="shared" si="3"/>
        <v>No</v>
      </c>
    </row>
    <row r="473">
      <c r="A473" s="56" t="s">
        <v>501</v>
      </c>
      <c r="B473" s="56">
        <v>0.0</v>
      </c>
      <c r="C473" s="56">
        <v>0.0</v>
      </c>
      <c r="D473" s="56">
        <v>60.3</v>
      </c>
      <c r="E473" s="56">
        <v>0.0</v>
      </c>
      <c r="F473" s="58">
        <v>44383.0</v>
      </c>
      <c r="G473" s="56">
        <v>0.0</v>
      </c>
      <c r="H473" s="56">
        <v>61.74</v>
      </c>
      <c r="I473" s="59">
        <v>44393.0</v>
      </c>
      <c r="J473" s="56" t="s">
        <v>3594</v>
      </c>
      <c r="K473" s="15" t="s">
        <v>4066</v>
      </c>
      <c r="L473" s="60" t="str">
        <f t="shared" si="1"/>
        <v>Not in buy Zone</v>
      </c>
      <c r="M473" s="60" t="str">
        <f t="shared" si="2"/>
        <v>Not in buy Zone</v>
      </c>
      <c r="N473" s="33" t="str">
        <f t="shared" si="3"/>
        <v>No</v>
      </c>
    </row>
    <row r="474">
      <c r="A474" s="56" t="s">
        <v>502</v>
      </c>
      <c r="B474" s="56">
        <v>0.0</v>
      </c>
      <c r="C474" s="56">
        <v>0.0</v>
      </c>
      <c r="D474" s="56">
        <v>0.0</v>
      </c>
      <c r="E474" s="56">
        <v>76.13</v>
      </c>
      <c r="F474" s="58">
        <v>44364.0</v>
      </c>
      <c r="G474" s="56">
        <v>0.0</v>
      </c>
      <c r="H474" s="56">
        <v>66.21</v>
      </c>
      <c r="I474" s="59">
        <v>44393.0</v>
      </c>
      <c r="J474" s="56" t="s">
        <v>3594</v>
      </c>
      <c r="K474" s="15" t="s">
        <v>4067</v>
      </c>
      <c r="L474" s="60" t="str">
        <f t="shared" si="1"/>
        <v>Not in buy Zone</v>
      </c>
      <c r="M474" s="60" t="str">
        <f t="shared" si="2"/>
        <v>Not in buy Zone</v>
      </c>
      <c r="N474" s="33" t="str">
        <f t="shared" si="3"/>
        <v>No</v>
      </c>
    </row>
    <row r="475">
      <c r="A475" s="56" t="s">
        <v>503</v>
      </c>
      <c r="B475" s="56">
        <v>0.0</v>
      </c>
      <c r="C475" s="56">
        <v>0.0</v>
      </c>
      <c r="D475" s="56">
        <v>148.91</v>
      </c>
      <c r="E475" s="56">
        <v>0.0</v>
      </c>
      <c r="F475" s="58">
        <v>44379.0</v>
      </c>
      <c r="G475" s="56">
        <v>0.0</v>
      </c>
      <c r="H475" s="56">
        <v>155.82</v>
      </c>
      <c r="I475" s="59">
        <v>44393.0</v>
      </c>
      <c r="J475" s="56" t="s">
        <v>3594</v>
      </c>
      <c r="K475" s="15" t="s">
        <v>4068</v>
      </c>
      <c r="L475" s="60" t="str">
        <f t="shared" si="1"/>
        <v>Not in buy Zone</v>
      </c>
      <c r="M475" s="60" t="str">
        <f t="shared" si="2"/>
        <v>Not in buy Zone</v>
      </c>
      <c r="N475" s="33" t="str">
        <f t="shared" si="3"/>
        <v>No</v>
      </c>
    </row>
    <row r="476">
      <c r="A476" s="56" t="s">
        <v>504</v>
      </c>
      <c r="B476" s="56">
        <v>0.0</v>
      </c>
      <c r="C476" s="56">
        <v>0.0</v>
      </c>
      <c r="D476" s="56">
        <v>39.61</v>
      </c>
      <c r="E476" s="56">
        <v>0.0</v>
      </c>
      <c r="F476" s="58">
        <v>44386.0</v>
      </c>
      <c r="G476" s="56">
        <v>0.0</v>
      </c>
      <c r="H476" s="56">
        <v>40.35</v>
      </c>
      <c r="I476" s="59">
        <v>44393.0</v>
      </c>
      <c r="J476" s="56" t="s">
        <v>3594</v>
      </c>
      <c r="K476" s="15" t="s">
        <v>4069</v>
      </c>
      <c r="L476" s="60" t="str">
        <f t="shared" si="1"/>
        <v>Not in buy Zone</v>
      </c>
      <c r="M476" s="60" t="str">
        <f t="shared" si="2"/>
        <v>Not in buy Zone</v>
      </c>
      <c r="N476" s="33" t="str">
        <f t="shared" si="3"/>
        <v>No</v>
      </c>
    </row>
    <row r="477">
      <c r="A477" s="56" t="s">
        <v>505</v>
      </c>
      <c r="B477" s="56">
        <v>0.0</v>
      </c>
      <c r="C477" s="56">
        <v>0.0</v>
      </c>
      <c r="D477" s="56">
        <v>0.0</v>
      </c>
      <c r="E477" s="56">
        <v>39.15</v>
      </c>
      <c r="F477" s="58">
        <v>44390.0</v>
      </c>
      <c r="G477" s="56">
        <v>0.0</v>
      </c>
      <c r="H477" s="56">
        <v>39.06</v>
      </c>
      <c r="I477" s="59">
        <v>44393.0</v>
      </c>
      <c r="J477" s="56" t="s">
        <v>3594</v>
      </c>
      <c r="K477" s="15" t="s">
        <v>4070</v>
      </c>
      <c r="L477" s="60" t="str">
        <f t="shared" si="1"/>
        <v>Not in buy Zone</v>
      </c>
      <c r="M477" s="60" t="str">
        <f t="shared" si="2"/>
        <v>Not in buy Zone</v>
      </c>
      <c r="N477" s="33" t="str">
        <f t="shared" si="3"/>
        <v>No</v>
      </c>
    </row>
    <row r="478">
      <c r="A478" s="56" t="s">
        <v>506</v>
      </c>
      <c r="B478" s="56">
        <v>0.0</v>
      </c>
      <c r="C478" s="56">
        <v>0.0</v>
      </c>
      <c r="D478" s="56">
        <v>0.0</v>
      </c>
      <c r="E478" s="56">
        <v>61.81</v>
      </c>
      <c r="F478" s="58">
        <v>44383.0</v>
      </c>
      <c r="G478" s="56">
        <v>0.0</v>
      </c>
      <c r="H478" s="56">
        <v>60.99</v>
      </c>
      <c r="I478" s="59">
        <v>44393.0</v>
      </c>
      <c r="J478" s="56" t="s">
        <v>3594</v>
      </c>
      <c r="K478" s="15" t="s">
        <v>4071</v>
      </c>
      <c r="L478" s="60" t="str">
        <f t="shared" si="1"/>
        <v>Not in buy Zone</v>
      </c>
      <c r="M478" s="60" t="str">
        <f t="shared" si="2"/>
        <v>Not in buy Zone</v>
      </c>
      <c r="N478" s="33" t="str">
        <f t="shared" si="3"/>
        <v>No</v>
      </c>
    </row>
    <row r="479">
      <c r="A479" s="56" t="s">
        <v>507</v>
      </c>
      <c r="B479" s="56">
        <v>0.0</v>
      </c>
      <c r="C479" s="56">
        <v>0.0</v>
      </c>
      <c r="D479" s="56">
        <v>134.4</v>
      </c>
      <c r="E479" s="56">
        <v>0.0</v>
      </c>
      <c r="F479" s="58">
        <v>44376.0</v>
      </c>
      <c r="G479" s="56">
        <v>0.0</v>
      </c>
      <c r="H479" s="56">
        <v>140.51</v>
      </c>
      <c r="I479" s="59">
        <v>44393.0</v>
      </c>
      <c r="J479" s="56" t="s">
        <v>3594</v>
      </c>
      <c r="K479" s="15" t="s">
        <v>4072</v>
      </c>
      <c r="L479" s="60" t="str">
        <f t="shared" si="1"/>
        <v>Not in buy Zone</v>
      </c>
      <c r="M479" s="60" t="str">
        <f t="shared" si="2"/>
        <v>Not in buy Zone</v>
      </c>
      <c r="N479" s="33" t="str">
        <f t="shared" si="3"/>
        <v>No</v>
      </c>
    </row>
    <row r="480">
      <c r="A480" s="56" t="s">
        <v>508</v>
      </c>
      <c r="B480" s="56">
        <v>0.0</v>
      </c>
      <c r="C480" s="56">
        <v>96.18</v>
      </c>
      <c r="D480" s="56">
        <v>0.0</v>
      </c>
      <c r="E480" s="56">
        <v>0.0</v>
      </c>
      <c r="F480" s="58">
        <v>44393.0</v>
      </c>
      <c r="G480" s="56">
        <v>-1.0</v>
      </c>
      <c r="H480" s="56">
        <v>96.18</v>
      </c>
      <c r="I480" s="59">
        <v>44393.0</v>
      </c>
      <c r="J480" s="56" t="s">
        <v>3594</v>
      </c>
      <c r="K480" s="15" t="s">
        <v>4073</v>
      </c>
      <c r="L480" s="60" t="str">
        <f t="shared" si="1"/>
        <v>Not in buy Zone</v>
      </c>
      <c r="M480" s="60" t="str">
        <f t="shared" si="2"/>
        <v>Not in buy Zone</v>
      </c>
      <c r="N480" s="33" t="str">
        <f t="shared" si="3"/>
        <v>No</v>
      </c>
    </row>
    <row r="481">
      <c r="A481" s="56" t="s">
        <v>509</v>
      </c>
      <c r="B481" s="56">
        <v>0.0</v>
      </c>
      <c r="C481" s="56">
        <v>0.0</v>
      </c>
      <c r="D481" s="56">
        <v>301.74</v>
      </c>
      <c r="E481" s="56">
        <v>0.0</v>
      </c>
      <c r="F481" s="58">
        <v>44372.0</v>
      </c>
      <c r="G481" s="56">
        <v>0.0</v>
      </c>
      <c r="H481" s="56">
        <v>300.0</v>
      </c>
      <c r="I481" s="59">
        <v>44393.0</v>
      </c>
      <c r="J481" s="56" t="s">
        <v>3594</v>
      </c>
      <c r="K481" s="15" t="s">
        <v>4074</v>
      </c>
      <c r="L481" s="60" t="str">
        <f t="shared" si="1"/>
        <v>Not in buy Zone</v>
      </c>
      <c r="M481" s="60" t="str">
        <f t="shared" si="2"/>
        <v>Not in buy Zone</v>
      </c>
      <c r="N481" s="33" t="str">
        <f t="shared" si="3"/>
        <v>No</v>
      </c>
    </row>
    <row r="482">
      <c r="A482" s="56" t="s">
        <v>510</v>
      </c>
      <c r="B482" s="56">
        <v>0.0</v>
      </c>
      <c r="C482" s="56">
        <v>0.0</v>
      </c>
      <c r="D482" s="56">
        <v>0.0</v>
      </c>
      <c r="E482" s="56">
        <v>53.16</v>
      </c>
      <c r="F482" s="58">
        <v>44389.0</v>
      </c>
      <c r="G482" s="56">
        <v>0.0</v>
      </c>
      <c r="H482" s="56">
        <v>51.0</v>
      </c>
      <c r="I482" s="59">
        <v>44393.0</v>
      </c>
      <c r="J482" s="56" t="s">
        <v>3594</v>
      </c>
      <c r="K482" s="15" t="s">
        <v>4075</v>
      </c>
      <c r="L482" s="60" t="str">
        <f t="shared" si="1"/>
        <v>Not in buy Zone</v>
      </c>
      <c r="M482" s="60" t="str">
        <f t="shared" si="2"/>
        <v>Not in buy Zone</v>
      </c>
      <c r="N482" s="33" t="str">
        <f t="shared" si="3"/>
        <v>No</v>
      </c>
    </row>
    <row r="483">
      <c r="A483" s="56" t="s">
        <v>511</v>
      </c>
      <c r="B483" s="56">
        <v>0.0</v>
      </c>
      <c r="C483" s="56">
        <v>0.0</v>
      </c>
      <c r="D483" s="56">
        <v>0.0</v>
      </c>
      <c r="E483" s="56">
        <v>73.34</v>
      </c>
      <c r="F483" s="58">
        <v>44389.0</v>
      </c>
      <c r="G483" s="56">
        <v>0.0</v>
      </c>
      <c r="H483" s="56">
        <v>68.73</v>
      </c>
      <c r="I483" s="59">
        <v>44393.0</v>
      </c>
      <c r="J483" s="56" t="s">
        <v>3594</v>
      </c>
      <c r="K483" s="15" t="s">
        <v>4076</v>
      </c>
      <c r="L483" s="60" t="str">
        <f t="shared" si="1"/>
        <v>Not in buy Zone</v>
      </c>
      <c r="M483" s="60" t="str">
        <f t="shared" si="2"/>
        <v>Not in buy Zone</v>
      </c>
      <c r="N483" s="33" t="str">
        <f t="shared" si="3"/>
        <v>No</v>
      </c>
    </row>
    <row r="484">
      <c r="A484" s="56" t="s">
        <v>512</v>
      </c>
      <c r="B484" s="56">
        <v>0.0</v>
      </c>
      <c r="C484" s="56">
        <v>0.0</v>
      </c>
      <c r="D484" s="56">
        <v>135.72</v>
      </c>
      <c r="E484" s="56">
        <v>0.0</v>
      </c>
      <c r="F484" s="58">
        <v>44383.0</v>
      </c>
      <c r="G484" s="56">
        <v>0.0</v>
      </c>
      <c r="H484" s="56">
        <v>134.92</v>
      </c>
      <c r="I484" s="59">
        <v>44393.0</v>
      </c>
      <c r="J484" s="56" t="s">
        <v>3594</v>
      </c>
      <c r="K484" s="15" t="s">
        <v>4077</v>
      </c>
      <c r="L484" s="60" t="str">
        <f t="shared" si="1"/>
        <v>Not in buy Zone</v>
      </c>
      <c r="M484" s="60" t="str">
        <f t="shared" si="2"/>
        <v>Not in buy Zone</v>
      </c>
      <c r="N484" s="33" t="str">
        <f t="shared" si="3"/>
        <v>No</v>
      </c>
    </row>
    <row r="485">
      <c r="A485" s="56" t="s">
        <v>513</v>
      </c>
      <c r="B485" s="56">
        <v>0.0</v>
      </c>
      <c r="C485" s="56">
        <v>0.0</v>
      </c>
      <c r="D485" s="56">
        <v>0.0</v>
      </c>
      <c r="E485" s="56">
        <v>153.96</v>
      </c>
      <c r="F485" s="58">
        <v>44386.0</v>
      </c>
      <c r="G485" s="56">
        <v>0.0</v>
      </c>
      <c r="H485" s="56">
        <v>154.1</v>
      </c>
      <c r="I485" s="59">
        <v>44393.0</v>
      </c>
      <c r="J485" s="56" t="s">
        <v>3594</v>
      </c>
      <c r="K485" s="15" t="s">
        <v>4078</v>
      </c>
      <c r="L485" s="60" t="str">
        <f t="shared" si="1"/>
        <v>Not in buy Zone</v>
      </c>
      <c r="M485" s="60" t="str">
        <f t="shared" si="2"/>
        <v>Not in buy Zone</v>
      </c>
      <c r="N485" s="33" t="str">
        <f t="shared" si="3"/>
        <v>No</v>
      </c>
    </row>
    <row r="486">
      <c r="A486" s="56" t="s">
        <v>514</v>
      </c>
      <c r="B486" s="56">
        <v>0.0</v>
      </c>
      <c r="C486" s="56">
        <v>0.0</v>
      </c>
      <c r="D486" s="56">
        <v>0.0</v>
      </c>
      <c r="E486" s="56">
        <v>53.44</v>
      </c>
      <c r="F486" s="58">
        <v>44391.0</v>
      </c>
      <c r="G486" s="56">
        <v>0.0</v>
      </c>
      <c r="H486" s="56">
        <v>53.59</v>
      </c>
      <c r="I486" s="59">
        <v>44393.0</v>
      </c>
      <c r="J486" s="56" t="s">
        <v>3594</v>
      </c>
      <c r="K486" s="15" t="s">
        <v>4079</v>
      </c>
      <c r="L486" s="60" t="str">
        <f t="shared" si="1"/>
        <v>Not in buy Zone</v>
      </c>
      <c r="M486" s="60" t="str">
        <f t="shared" si="2"/>
        <v>Not in buy Zone</v>
      </c>
      <c r="N486" s="33" t="str">
        <f t="shared" si="3"/>
        <v>No</v>
      </c>
    </row>
    <row r="487">
      <c r="A487" s="56" t="s">
        <v>515</v>
      </c>
      <c r="B487" s="56">
        <v>0.0</v>
      </c>
      <c r="C487" s="56">
        <v>0.0</v>
      </c>
      <c r="D487" s="56">
        <v>127.41</v>
      </c>
      <c r="E487" s="56">
        <v>0.0</v>
      </c>
      <c r="F487" s="58">
        <v>44389.0</v>
      </c>
      <c r="G487" s="56">
        <v>0.0</v>
      </c>
      <c r="H487" s="56">
        <v>127.28</v>
      </c>
      <c r="I487" s="59">
        <v>44393.0</v>
      </c>
      <c r="J487" s="56" t="s">
        <v>3594</v>
      </c>
      <c r="K487" s="15" t="s">
        <v>4080</v>
      </c>
      <c r="L487" s="60" t="str">
        <f t="shared" si="1"/>
        <v>Not in buy Zone</v>
      </c>
      <c r="M487" s="60" t="str">
        <f t="shared" si="2"/>
        <v>Not in buy Zone</v>
      </c>
      <c r="N487" s="33" t="str">
        <f t="shared" si="3"/>
        <v>No</v>
      </c>
    </row>
    <row r="488">
      <c r="A488" s="56" t="s">
        <v>516</v>
      </c>
      <c r="B488" s="56">
        <v>0.0</v>
      </c>
      <c r="C488" s="56">
        <v>0.0</v>
      </c>
      <c r="D488" s="56">
        <v>0.0</v>
      </c>
      <c r="E488" s="56">
        <v>30.17</v>
      </c>
      <c r="F488" s="58">
        <v>44384.0</v>
      </c>
      <c r="G488" s="56">
        <v>0.0</v>
      </c>
      <c r="H488" s="56">
        <v>26.01</v>
      </c>
      <c r="I488" s="59">
        <v>44393.0</v>
      </c>
      <c r="J488" s="56" t="s">
        <v>3594</v>
      </c>
      <c r="K488" s="15" t="s">
        <v>4081</v>
      </c>
      <c r="L488" s="60" t="str">
        <f t="shared" si="1"/>
        <v>Not in buy Zone</v>
      </c>
      <c r="M488" s="60" t="str">
        <f t="shared" si="2"/>
        <v>Not in buy Zone</v>
      </c>
      <c r="N488" s="33" t="str">
        <f t="shared" si="3"/>
        <v>No</v>
      </c>
    </row>
    <row r="489">
      <c r="A489" s="56" t="s">
        <v>517</v>
      </c>
      <c r="B489" s="56">
        <v>0.0</v>
      </c>
      <c r="C489" s="56">
        <v>0.0</v>
      </c>
      <c r="D489" s="56">
        <v>0.0</v>
      </c>
      <c r="E489" s="56">
        <v>99.03</v>
      </c>
      <c r="F489" s="58">
        <v>44371.0</v>
      </c>
      <c r="G489" s="56">
        <v>0.0</v>
      </c>
      <c r="H489" s="56">
        <v>98.9</v>
      </c>
      <c r="I489" s="59">
        <v>44393.0</v>
      </c>
      <c r="J489" s="56" t="s">
        <v>3594</v>
      </c>
      <c r="K489" s="15" t="s">
        <v>4082</v>
      </c>
      <c r="L489" s="60" t="str">
        <f t="shared" si="1"/>
        <v>Not in buy Zone</v>
      </c>
      <c r="M489" s="60" t="str">
        <f t="shared" si="2"/>
        <v>Not in buy Zone</v>
      </c>
      <c r="N489" s="33" t="str">
        <f t="shared" si="3"/>
        <v>No</v>
      </c>
    </row>
    <row r="490">
      <c r="A490" s="56" t="s">
        <v>518</v>
      </c>
      <c r="B490" s="56">
        <v>0.0</v>
      </c>
      <c r="C490" s="56">
        <v>183.43</v>
      </c>
      <c r="D490" s="56">
        <v>0.0</v>
      </c>
      <c r="E490" s="56">
        <v>0.0</v>
      </c>
      <c r="F490" s="58">
        <v>44393.0</v>
      </c>
      <c r="G490" s="56">
        <v>-1.0</v>
      </c>
      <c r="H490" s="56">
        <v>183.43</v>
      </c>
      <c r="I490" s="59">
        <v>44393.0</v>
      </c>
      <c r="J490" s="56" t="s">
        <v>3594</v>
      </c>
      <c r="K490" s="15" t="s">
        <v>4083</v>
      </c>
      <c r="L490" s="60" t="str">
        <f t="shared" si="1"/>
        <v>Not in buy Zone</v>
      </c>
      <c r="M490" s="60" t="str">
        <f t="shared" si="2"/>
        <v>Not in buy Zone</v>
      </c>
      <c r="N490" s="33" t="str">
        <f t="shared" si="3"/>
        <v>No</v>
      </c>
    </row>
    <row r="491">
      <c r="A491" s="56" t="s">
        <v>519</v>
      </c>
      <c r="B491" s="56">
        <v>0.0</v>
      </c>
      <c r="C491" s="56">
        <v>0.0</v>
      </c>
      <c r="D491" s="56">
        <v>68.0</v>
      </c>
      <c r="E491" s="56">
        <v>0.0</v>
      </c>
      <c r="F491" s="58">
        <v>44378.0</v>
      </c>
      <c r="G491" s="56">
        <v>0.0</v>
      </c>
      <c r="H491" s="56">
        <v>69.09</v>
      </c>
      <c r="I491" s="59">
        <v>44393.0</v>
      </c>
      <c r="J491" s="56" t="s">
        <v>3594</v>
      </c>
      <c r="K491" s="15" t="s">
        <v>4084</v>
      </c>
      <c r="L491" s="60" t="str">
        <f t="shared" si="1"/>
        <v>Not in buy Zone</v>
      </c>
      <c r="M491" s="60" t="str">
        <f t="shared" si="2"/>
        <v>Not in buy Zone</v>
      </c>
      <c r="N491" s="33" t="str">
        <f t="shared" si="3"/>
        <v>No</v>
      </c>
    </row>
    <row r="492">
      <c r="A492" s="56" t="s">
        <v>520</v>
      </c>
      <c r="B492" s="56">
        <v>0.0</v>
      </c>
      <c r="C492" s="56">
        <v>0.0</v>
      </c>
      <c r="D492" s="56">
        <v>83.65</v>
      </c>
      <c r="E492" s="56">
        <v>0.0</v>
      </c>
      <c r="F492" s="58">
        <v>44386.0</v>
      </c>
      <c r="G492" s="56">
        <v>0.0</v>
      </c>
      <c r="H492" s="56">
        <v>86.39</v>
      </c>
      <c r="I492" s="59">
        <v>44393.0</v>
      </c>
      <c r="J492" s="56" t="s">
        <v>3594</v>
      </c>
      <c r="K492" s="15" t="s">
        <v>4085</v>
      </c>
      <c r="L492" s="60" t="str">
        <f t="shared" si="1"/>
        <v>Not in buy Zone</v>
      </c>
      <c r="M492" s="60" t="str">
        <f t="shared" si="2"/>
        <v>Not in buy Zone</v>
      </c>
      <c r="N492" s="33" t="str">
        <f t="shared" si="3"/>
        <v>No</v>
      </c>
    </row>
    <row r="493">
      <c r="A493" s="56" t="s">
        <v>521</v>
      </c>
      <c r="B493" s="56">
        <v>0.0</v>
      </c>
      <c r="C493" s="56">
        <v>0.0</v>
      </c>
      <c r="D493" s="56">
        <v>0.0</v>
      </c>
      <c r="E493" s="56">
        <v>459.82</v>
      </c>
      <c r="F493" s="58">
        <v>44392.0</v>
      </c>
      <c r="G493" s="56">
        <v>0.0</v>
      </c>
      <c r="H493" s="56">
        <v>458.89</v>
      </c>
      <c r="I493" s="59">
        <v>44393.0</v>
      </c>
      <c r="J493" s="56" t="s">
        <v>3594</v>
      </c>
      <c r="K493" s="15" t="s">
        <v>4086</v>
      </c>
      <c r="L493" s="60" t="str">
        <f t="shared" si="1"/>
        <v>Not in buy Zone</v>
      </c>
      <c r="M493" s="60" t="str">
        <f t="shared" si="2"/>
        <v>Not in buy Zone</v>
      </c>
      <c r="N493" s="33" t="str">
        <f t="shared" si="3"/>
        <v>No</v>
      </c>
    </row>
    <row r="494">
      <c r="A494" s="56" t="s">
        <v>522</v>
      </c>
      <c r="B494" s="56">
        <v>0.0</v>
      </c>
      <c r="C494" s="56">
        <v>0.0</v>
      </c>
      <c r="D494" s="56">
        <v>172.08</v>
      </c>
      <c r="E494" s="56">
        <v>0.0</v>
      </c>
      <c r="F494" s="58">
        <v>44389.0</v>
      </c>
      <c r="G494" s="56">
        <v>0.0</v>
      </c>
      <c r="H494" s="56">
        <v>170.2</v>
      </c>
      <c r="I494" s="59">
        <v>44393.0</v>
      </c>
      <c r="J494" s="56" t="s">
        <v>3594</v>
      </c>
      <c r="K494" s="15" t="s">
        <v>4087</v>
      </c>
      <c r="L494" s="60" t="str">
        <f t="shared" si="1"/>
        <v>Not in buy Zone</v>
      </c>
      <c r="M494" s="60" t="str">
        <f t="shared" si="2"/>
        <v>Not in buy Zone</v>
      </c>
      <c r="N494" s="33" t="str">
        <f t="shared" si="3"/>
        <v>No</v>
      </c>
    </row>
    <row r="495">
      <c r="A495" s="56" t="s">
        <v>523</v>
      </c>
      <c r="B495" s="56">
        <v>0.0</v>
      </c>
      <c r="C495" s="56">
        <v>0.0</v>
      </c>
      <c r="D495" s="56">
        <v>28.16</v>
      </c>
      <c r="E495" s="56">
        <v>0.0</v>
      </c>
      <c r="F495" s="58">
        <v>44384.0</v>
      </c>
      <c r="G495" s="56">
        <v>0.0</v>
      </c>
      <c r="H495" s="56">
        <v>28.59</v>
      </c>
      <c r="I495" s="59">
        <v>44393.0</v>
      </c>
      <c r="J495" s="56" t="s">
        <v>3594</v>
      </c>
      <c r="K495" s="15" t="s">
        <v>4088</v>
      </c>
      <c r="L495" s="60" t="str">
        <f t="shared" si="1"/>
        <v>Not in buy Zone</v>
      </c>
      <c r="M495" s="60" t="str">
        <f t="shared" si="2"/>
        <v>Not in buy Zone</v>
      </c>
      <c r="N495" s="33" t="str">
        <f t="shared" si="3"/>
        <v>No</v>
      </c>
    </row>
    <row r="496">
      <c r="A496" s="56" t="s">
        <v>524</v>
      </c>
      <c r="B496" s="56">
        <v>0.0</v>
      </c>
      <c r="C496" s="56">
        <v>0.0</v>
      </c>
      <c r="D496" s="56">
        <v>0.0</v>
      </c>
      <c r="E496" s="56">
        <v>47.52</v>
      </c>
      <c r="F496" s="58">
        <v>44362.0</v>
      </c>
      <c r="G496" s="56">
        <v>0.0</v>
      </c>
      <c r="H496" s="56">
        <v>45.72</v>
      </c>
      <c r="I496" s="59">
        <v>44393.0</v>
      </c>
      <c r="J496" s="56" t="s">
        <v>3594</v>
      </c>
      <c r="K496" s="15" t="s">
        <v>4089</v>
      </c>
      <c r="L496" s="60" t="str">
        <f t="shared" si="1"/>
        <v>Not in buy Zone</v>
      </c>
      <c r="M496" s="60" t="str">
        <f t="shared" si="2"/>
        <v>Not in buy Zone</v>
      </c>
      <c r="N496" s="33" t="str">
        <f t="shared" si="3"/>
        <v>No</v>
      </c>
    </row>
    <row r="497">
      <c r="A497" s="56" t="s">
        <v>525</v>
      </c>
      <c r="B497" s="56">
        <v>29.34</v>
      </c>
      <c r="C497" s="56">
        <v>0.0</v>
      </c>
      <c r="D497" s="56">
        <v>0.0</v>
      </c>
      <c r="E497" s="56">
        <v>0.0</v>
      </c>
      <c r="F497" s="58">
        <v>44322.0</v>
      </c>
      <c r="G497" s="56">
        <v>1.0</v>
      </c>
      <c r="H497" s="56">
        <v>29.34</v>
      </c>
      <c r="I497" s="59">
        <v>44322.0</v>
      </c>
      <c r="J497" s="56" t="s">
        <v>3594</v>
      </c>
      <c r="K497" s="15" t="s">
        <v>4090</v>
      </c>
      <c r="L497" s="60">
        <f t="shared" si="1"/>
        <v>29.4867</v>
      </c>
      <c r="M497" s="60">
        <f t="shared" si="2"/>
        <v>29.1933</v>
      </c>
      <c r="N497" s="33" t="str">
        <f t="shared" si="3"/>
        <v>Yes</v>
      </c>
    </row>
    <row r="498">
      <c r="A498" s="56" t="s">
        <v>526</v>
      </c>
      <c r="B498" s="56">
        <v>0.0</v>
      </c>
      <c r="C498" s="56">
        <v>0.0</v>
      </c>
      <c r="D498" s="56">
        <v>0.0</v>
      </c>
      <c r="E498" s="56">
        <v>105.7</v>
      </c>
      <c r="F498" s="58">
        <v>44336.0</v>
      </c>
      <c r="G498" s="56">
        <v>0.0</v>
      </c>
      <c r="H498" s="56">
        <v>98.73</v>
      </c>
      <c r="I498" s="59">
        <v>44393.0</v>
      </c>
      <c r="J498" s="56" t="s">
        <v>3594</v>
      </c>
      <c r="K498" s="15" t="s">
        <v>4091</v>
      </c>
      <c r="L498" s="60" t="str">
        <f t="shared" si="1"/>
        <v>Not in buy Zone</v>
      </c>
      <c r="M498" s="60" t="str">
        <f t="shared" si="2"/>
        <v>Not in buy Zone</v>
      </c>
      <c r="N498" s="33" t="str">
        <f t="shared" si="3"/>
        <v>No</v>
      </c>
    </row>
    <row r="499">
      <c r="A499" s="56" t="s">
        <v>527</v>
      </c>
      <c r="B499" s="56">
        <v>0.0</v>
      </c>
      <c r="C499" s="56">
        <v>0.0</v>
      </c>
      <c r="D499" s="56">
        <v>0.0</v>
      </c>
      <c r="E499" s="56">
        <v>310.28</v>
      </c>
      <c r="F499" s="58">
        <v>44390.0</v>
      </c>
      <c r="G499" s="56">
        <v>0.0</v>
      </c>
      <c r="H499" s="56">
        <v>313.94</v>
      </c>
      <c r="I499" s="59">
        <v>44393.0</v>
      </c>
      <c r="J499" s="56" t="s">
        <v>3594</v>
      </c>
      <c r="K499" s="15" t="s">
        <v>4092</v>
      </c>
      <c r="L499" s="60" t="str">
        <f t="shared" si="1"/>
        <v>Not in buy Zone</v>
      </c>
      <c r="M499" s="60" t="str">
        <f t="shared" si="2"/>
        <v>Not in buy Zone</v>
      </c>
      <c r="N499" s="33" t="str">
        <f t="shared" si="3"/>
        <v>No</v>
      </c>
    </row>
    <row r="500">
      <c r="A500" s="56" t="s">
        <v>528</v>
      </c>
      <c r="B500" s="56">
        <v>0.0</v>
      </c>
      <c r="C500" s="56">
        <v>0.0</v>
      </c>
      <c r="D500" s="56">
        <v>0.0</v>
      </c>
      <c r="E500" s="56">
        <v>86.66</v>
      </c>
      <c r="F500" s="58">
        <v>44364.0</v>
      </c>
      <c r="G500" s="56">
        <v>0.0</v>
      </c>
      <c r="H500" s="56">
        <v>74.48</v>
      </c>
      <c r="I500" s="59">
        <v>44393.0</v>
      </c>
      <c r="J500" s="56" t="s">
        <v>3594</v>
      </c>
      <c r="K500" s="15" t="s">
        <v>4093</v>
      </c>
      <c r="L500" s="60" t="str">
        <f t="shared" si="1"/>
        <v>Not in buy Zone</v>
      </c>
      <c r="M500" s="60" t="str">
        <f t="shared" si="2"/>
        <v>Not in buy Zone</v>
      </c>
      <c r="N500" s="33" t="str">
        <f t="shared" si="3"/>
        <v>No</v>
      </c>
    </row>
    <row r="501">
      <c r="A501" s="56" t="s">
        <v>529</v>
      </c>
      <c r="B501" s="56">
        <v>0.0</v>
      </c>
      <c r="C501" s="56">
        <v>140.2</v>
      </c>
      <c r="D501" s="56">
        <v>0.0</v>
      </c>
      <c r="E501" s="56">
        <v>0.0</v>
      </c>
      <c r="F501" s="58">
        <v>44393.0</v>
      </c>
      <c r="G501" s="56">
        <v>-1.0</v>
      </c>
      <c r="H501" s="56">
        <v>140.2</v>
      </c>
      <c r="I501" s="59">
        <v>44393.0</v>
      </c>
      <c r="J501" s="56" t="s">
        <v>3594</v>
      </c>
      <c r="K501" s="15" t="s">
        <v>4094</v>
      </c>
      <c r="L501" s="60" t="str">
        <f t="shared" si="1"/>
        <v>Not in buy Zone</v>
      </c>
      <c r="M501" s="60" t="str">
        <f t="shared" si="2"/>
        <v>Not in buy Zone</v>
      </c>
      <c r="N501" s="33" t="str">
        <f t="shared" si="3"/>
        <v>No</v>
      </c>
    </row>
    <row r="502">
      <c r="A502" s="56" t="s">
        <v>530</v>
      </c>
      <c r="B502" s="56">
        <v>0.0</v>
      </c>
      <c r="C502" s="56">
        <v>0.0</v>
      </c>
      <c r="D502" s="56">
        <v>0.0</v>
      </c>
      <c r="E502" s="56">
        <v>120.31</v>
      </c>
      <c r="F502" s="58">
        <v>44389.0</v>
      </c>
      <c r="G502" s="56">
        <v>0.0</v>
      </c>
      <c r="H502" s="56">
        <v>110.54</v>
      </c>
      <c r="I502" s="59">
        <v>44393.0</v>
      </c>
      <c r="J502" s="56" t="s">
        <v>3594</v>
      </c>
      <c r="K502" s="15" t="s">
        <v>4095</v>
      </c>
      <c r="L502" s="60" t="str">
        <f t="shared" si="1"/>
        <v>Not in buy Zone</v>
      </c>
      <c r="M502" s="60" t="str">
        <f t="shared" si="2"/>
        <v>Not in buy Zone</v>
      </c>
      <c r="N502" s="33" t="str">
        <f t="shared" si="3"/>
        <v>No</v>
      </c>
    </row>
    <row r="503">
      <c r="A503" s="56" t="s">
        <v>531</v>
      </c>
      <c r="B503" s="56">
        <v>0.0</v>
      </c>
      <c r="C503" s="56">
        <v>0.0</v>
      </c>
      <c r="D503" s="56">
        <v>0.0</v>
      </c>
      <c r="E503" s="56">
        <v>104.67</v>
      </c>
      <c r="F503" s="58">
        <v>44390.0</v>
      </c>
      <c r="G503" s="56">
        <v>0.0</v>
      </c>
      <c r="H503" s="56">
        <v>98.0</v>
      </c>
      <c r="I503" s="59">
        <v>44393.0</v>
      </c>
      <c r="J503" s="56" t="s">
        <v>3594</v>
      </c>
      <c r="K503" s="15" t="s">
        <v>4096</v>
      </c>
      <c r="L503" s="60" t="str">
        <f t="shared" si="1"/>
        <v>Not in buy Zone</v>
      </c>
      <c r="M503" s="60" t="str">
        <f t="shared" si="2"/>
        <v>Not in buy Zone</v>
      </c>
      <c r="N503" s="33" t="str">
        <f t="shared" si="3"/>
        <v>No</v>
      </c>
    </row>
    <row r="504">
      <c r="A504" s="56" t="s">
        <v>532</v>
      </c>
      <c r="B504" s="56">
        <v>0.0</v>
      </c>
      <c r="C504" s="56">
        <v>87.94</v>
      </c>
      <c r="D504" s="56">
        <v>0.0</v>
      </c>
      <c r="E504" s="56">
        <v>0.0</v>
      </c>
      <c r="F504" s="58">
        <v>44393.0</v>
      </c>
      <c r="G504" s="56">
        <v>-1.0</v>
      </c>
      <c r="H504" s="56">
        <v>87.94</v>
      </c>
      <c r="I504" s="59">
        <v>44393.0</v>
      </c>
      <c r="J504" s="56" t="s">
        <v>3594</v>
      </c>
      <c r="K504" s="15" t="s">
        <v>4097</v>
      </c>
      <c r="L504" s="60" t="str">
        <f t="shared" si="1"/>
        <v>Not in buy Zone</v>
      </c>
      <c r="M504" s="60" t="str">
        <f t="shared" si="2"/>
        <v>Not in buy Zone</v>
      </c>
      <c r="N504" s="33" t="str">
        <f t="shared" si="3"/>
        <v>No</v>
      </c>
    </row>
    <row r="505">
      <c r="A505" s="56" t="s">
        <v>533</v>
      </c>
      <c r="B505" s="56">
        <v>0.0</v>
      </c>
      <c r="C505" s="56">
        <v>0.0</v>
      </c>
      <c r="D505" s="56">
        <v>0.0</v>
      </c>
      <c r="E505" s="56">
        <v>160.96</v>
      </c>
      <c r="F505" s="58">
        <v>44383.0</v>
      </c>
      <c r="G505" s="56">
        <v>0.0</v>
      </c>
      <c r="H505" s="56">
        <v>140.94</v>
      </c>
      <c r="I505" s="59">
        <v>44393.0</v>
      </c>
      <c r="J505" s="56" t="s">
        <v>3594</v>
      </c>
      <c r="K505" s="15" t="s">
        <v>4098</v>
      </c>
      <c r="L505" s="60" t="str">
        <f t="shared" si="1"/>
        <v>Not in buy Zone</v>
      </c>
      <c r="M505" s="60" t="str">
        <f t="shared" si="2"/>
        <v>Not in buy Zone</v>
      </c>
      <c r="N505" s="33" t="str">
        <f t="shared" si="3"/>
        <v>No</v>
      </c>
    </row>
    <row r="506">
      <c r="A506" s="56" t="s">
        <v>534</v>
      </c>
      <c r="B506" s="56">
        <v>0.0</v>
      </c>
      <c r="C506" s="56">
        <v>294.63</v>
      </c>
      <c r="D506" s="56">
        <v>0.0</v>
      </c>
      <c r="E506" s="56">
        <v>0.0</v>
      </c>
      <c r="F506" s="58">
        <v>44393.0</v>
      </c>
      <c r="G506" s="56">
        <v>-1.0</v>
      </c>
      <c r="H506" s="56">
        <v>294.63</v>
      </c>
      <c r="I506" s="59">
        <v>44393.0</v>
      </c>
      <c r="J506" s="56" t="s">
        <v>3594</v>
      </c>
      <c r="K506" s="15" t="s">
        <v>4099</v>
      </c>
      <c r="L506" s="60" t="str">
        <f t="shared" si="1"/>
        <v>Not in buy Zone</v>
      </c>
      <c r="M506" s="60" t="str">
        <f t="shared" si="2"/>
        <v>Not in buy Zone</v>
      </c>
      <c r="N506" s="33" t="str">
        <f t="shared" si="3"/>
        <v>No</v>
      </c>
    </row>
    <row r="507">
      <c r="A507" s="56" t="s">
        <v>535</v>
      </c>
      <c r="B507" s="56">
        <v>0.0</v>
      </c>
      <c r="C507" s="56">
        <v>139.71</v>
      </c>
      <c r="D507" s="56">
        <v>0.0</v>
      </c>
      <c r="E507" s="56">
        <v>0.0</v>
      </c>
      <c r="F507" s="58">
        <v>44393.0</v>
      </c>
      <c r="G507" s="56">
        <v>-1.0</v>
      </c>
      <c r="H507" s="56">
        <v>139.71</v>
      </c>
      <c r="I507" s="59">
        <v>44393.0</v>
      </c>
      <c r="J507" s="56" t="s">
        <v>3594</v>
      </c>
      <c r="K507" s="15" t="s">
        <v>4100</v>
      </c>
      <c r="L507" s="60" t="str">
        <f t="shared" si="1"/>
        <v>Not in buy Zone</v>
      </c>
      <c r="M507" s="60" t="str">
        <f t="shared" si="2"/>
        <v>Not in buy Zone</v>
      </c>
      <c r="N507" s="33" t="str">
        <f t="shared" si="3"/>
        <v>No</v>
      </c>
    </row>
    <row r="508">
      <c r="A508" s="56" t="s">
        <v>536</v>
      </c>
      <c r="B508" s="56">
        <v>0.0</v>
      </c>
      <c r="C508" s="56">
        <v>0.0</v>
      </c>
      <c r="D508" s="56">
        <v>63.38</v>
      </c>
      <c r="E508" s="56">
        <v>0.0</v>
      </c>
      <c r="F508" s="58">
        <v>44341.0</v>
      </c>
      <c r="G508" s="56">
        <v>0.0</v>
      </c>
      <c r="H508" s="56">
        <v>73.0</v>
      </c>
      <c r="I508" s="59">
        <v>44393.0</v>
      </c>
      <c r="J508" s="56" t="s">
        <v>3594</v>
      </c>
      <c r="K508" s="15" t="s">
        <v>4101</v>
      </c>
      <c r="L508" s="60" t="str">
        <f t="shared" si="1"/>
        <v>Not in buy Zone</v>
      </c>
      <c r="M508" s="60" t="str">
        <f t="shared" si="2"/>
        <v>Not in buy Zone</v>
      </c>
      <c r="N508" s="33" t="str">
        <f t="shared" si="3"/>
        <v>No</v>
      </c>
    </row>
    <row r="509">
      <c r="A509" s="56" t="s">
        <v>537</v>
      </c>
      <c r="B509" s="56">
        <v>0.0</v>
      </c>
      <c r="C509" s="56">
        <v>0.0</v>
      </c>
      <c r="D509" s="56">
        <v>332.97</v>
      </c>
      <c r="E509" s="56">
        <v>0.0</v>
      </c>
      <c r="F509" s="58">
        <v>44341.0</v>
      </c>
      <c r="G509" s="56">
        <v>0.0</v>
      </c>
      <c r="H509" s="56">
        <v>357.6</v>
      </c>
      <c r="I509" s="59">
        <v>44393.0</v>
      </c>
      <c r="J509" s="56" t="s">
        <v>3594</v>
      </c>
      <c r="K509" s="15" t="s">
        <v>4102</v>
      </c>
      <c r="L509" s="60" t="str">
        <f t="shared" si="1"/>
        <v>Not in buy Zone</v>
      </c>
      <c r="M509" s="60" t="str">
        <f t="shared" si="2"/>
        <v>Not in buy Zone</v>
      </c>
      <c r="N509" s="33" t="str">
        <f t="shared" si="3"/>
        <v>No</v>
      </c>
    </row>
    <row r="510">
      <c r="A510" s="56" t="s">
        <v>538</v>
      </c>
      <c r="B510" s="56">
        <v>0.0</v>
      </c>
      <c r="C510" s="56">
        <v>187.68</v>
      </c>
      <c r="D510" s="56">
        <v>0.0</v>
      </c>
      <c r="E510" s="56">
        <v>0.0</v>
      </c>
      <c r="F510" s="58">
        <v>44393.0</v>
      </c>
      <c r="G510" s="56">
        <v>-1.0</v>
      </c>
      <c r="H510" s="56">
        <v>187.68</v>
      </c>
      <c r="I510" s="59">
        <v>44393.0</v>
      </c>
      <c r="J510" s="56" t="s">
        <v>3594</v>
      </c>
      <c r="K510" s="15" t="s">
        <v>4103</v>
      </c>
      <c r="L510" s="60" t="str">
        <f t="shared" si="1"/>
        <v>Not in buy Zone</v>
      </c>
      <c r="M510" s="60" t="str">
        <f t="shared" si="2"/>
        <v>Not in buy Zone</v>
      </c>
      <c r="N510" s="33" t="str">
        <f t="shared" si="3"/>
        <v>No</v>
      </c>
    </row>
    <row r="511">
      <c r="A511" s="56" t="s">
        <v>539</v>
      </c>
      <c r="B511" s="56">
        <v>0.0</v>
      </c>
      <c r="C511" s="56">
        <v>0.0</v>
      </c>
      <c r="D511" s="56">
        <v>0.0</v>
      </c>
      <c r="E511" s="56">
        <v>87.95</v>
      </c>
      <c r="F511" s="58">
        <v>44361.0</v>
      </c>
      <c r="G511" s="56">
        <v>0.0</v>
      </c>
      <c r="H511" s="56">
        <v>72.39</v>
      </c>
      <c r="I511" s="59">
        <v>44393.0</v>
      </c>
      <c r="J511" s="56" t="s">
        <v>3594</v>
      </c>
      <c r="K511" s="15" t="s">
        <v>4104</v>
      </c>
      <c r="L511" s="60" t="str">
        <f t="shared" si="1"/>
        <v>Not in buy Zone</v>
      </c>
      <c r="M511" s="60" t="str">
        <f t="shared" si="2"/>
        <v>Not in buy Zone</v>
      </c>
      <c r="N511" s="33" t="str">
        <f t="shared" si="3"/>
        <v>No</v>
      </c>
    </row>
    <row r="512">
      <c r="A512" s="56" t="s">
        <v>540</v>
      </c>
      <c r="B512" s="56">
        <v>0.0</v>
      </c>
      <c r="C512" s="56">
        <v>0.0</v>
      </c>
      <c r="D512" s="56">
        <v>256.24</v>
      </c>
      <c r="E512" s="56">
        <v>0.0</v>
      </c>
      <c r="F512" s="58">
        <v>44372.0</v>
      </c>
      <c r="G512" s="56">
        <v>0.0</v>
      </c>
      <c r="H512" s="56">
        <v>246.78</v>
      </c>
      <c r="I512" s="59">
        <v>44393.0</v>
      </c>
      <c r="J512" s="56" t="s">
        <v>3594</v>
      </c>
      <c r="K512" s="15" t="s">
        <v>4105</v>
      </c>
      <c r="L512" s="60" t="str">
        <f t="shared" si="1"/>
        <v>Not in buy Zone</v>
      </c>
      <c r="M512" s="60" t="str">
        <f t="shared" si="2"/>
        <v>Not in buy Zone</v>
      </c>
      <c r="N512" s="33" t="str">
        <f t="shared" si="3"/>
        <v>No</v>
      </c>
    </row>
    <row r="513">
      <c r="A513" s="56" t="s">
        <v>541</v>
      </c>
      <c r="B513" s="56">
        <v>0.0</v>
      </c>
      <c r="C513" s="56">
        <v>64.7</v>
      </c>
      <c r="D513" s="56">
        <v>0.0</v>
      </c>
      <c r="E513" s="56">
        <v>0.0</v>
      </c>
      <c r="F513" s="58">
        <v>44393.0</v>
      </c>
      <c r="G513" s="56">
        <v>-1.0</v>
      </c>
      <c r="H513" s="56">
        <v>64.7</v>
      </c>
      <c r="I513" s="59">
        <v>44393.0</v>
      </c>
      <c r="J513" s="56" t="s">
        <v>3594</v>
      </c>
      <c r="K513" s="15" t="s">
        <v>4106</v>
      </c>
      <c r="L513" s="60" t="str">
        <f t="shared" si="1"/>
        <v>Not in buy Zone</v>
      </c>
      <c r="M513" s="60" t="str">
        <f t="shared" si="2"/>
        <v>Not in buy Zone</v>
      </c>
      <c r="N513" s="33" t="str">
        <f t="shared" si="3"/>
        <v>No</v>
      </c>
    </row>
    <row r="514">
      <c r="A514" s="56" t="s">
        <v>542</v>
      </c>
      <c r="B514" s="56">
        <v>0.0</v>
      </c>
      <c r="C514" s="56">
        <v>0.0</v>
      </c>
      <c r="D514" s="56">
        <v>521.85</v>
      </c>
      <c r="E514" s="56">
        <v>0.0</v>
      </c>
      <c r="F514" s="58">
        <v>44356.0</v>
      </c>
      <c r="G514" s="56">
        <v>0.0</v>
      </c>
      <c r="H514" s="56">
        <v>583.24</v>
      </c>
      <c r="I514" s="59">
        <v>44393.0</v>
      </c>
      <c r="J514" s="56" t="s">
        <v>3594</v>
      </c>
      <c r="K514" s="15" t="s">
        <v>4107</v>
      </c>
      <c r="L514" s="60" t="str">
        <f t="shared" si="1"/>
        <v>Not in buy Zone</v>
      </c>
      <c r="M514" s="60" t="str">
        <f t="shared" si="2"/>
        <v>Not in buy Zone</v>
      </c>
      <c r="N514" s="33" t="str">
        <f t="shared" si="3"/>
        <v>No</v>
      </c>
    </row>
    <row r="515">
      <c r="A515" s="56" t="s">
        <v>543</v>
      </c>
      <c r="B515" s="56">
        <v>0.0</v>
      </c>
      <c r="C515" s="56">
        <v>0.0</v>
      </c>
      <c r="D515" s="56">
        <v>19.72</v>
      </c>
      <c r="E515" s="56">
        <v>0.0</v>
      </c>
      <c r="F515" s="58">
        <v>44390.0</v>
      </c>
      <c r="G515" s="56">
        <v>0.0</v>
      </c>
      <c r="H515" s="56">
        <v>19.01</v>
      </c>
      <c r="I515" s="59">
        <v>44393.0</v>
      </c>
      <c r="J515" s="56" t="s">
        <v>3594</v>
      </c>
      <c r="K515" s="15" t="s">
        <v>4108</v>
      </c>
      <c r="L515" s="60" t="str">
        <f t="shared" si="1"/>
        <v>Not in buy Zone</v>
      </c>
      <c r="M515" s="60" t="str">
        <f t="shared" si="2"/>
        <v>Not in buy Zone</v>
      </c>
      <c r="N515" s="33" t="str">
        <f t="shared" si="3"/>
        <v>No</v>
      </c>
    </row>
    <row r="516">
      <c r="A516" s="56" t="s">
        <v>544</v>
      </c>
      <c r="B516" s="56">
        <v>0.0</v>
      </c>
      <c r="C516" s="56">
        <v>0.0</v>
      </c>
      <c r="D516" s="56">
        <v>0.0</v>
      </c>
      <c r="E516" s="56">
        <v>87.84</v>
      </c>
      <c r="F516" s="58">
        <v>44364.0</v>
      </c>
      <c r="G516" s="56">
        <v>0.0</v>
      </c>
      <c r="H516" s="56">
        <v>85.98</v>
      </c>
      <c r="I516" s="59">
        <v>44393.0</v>
      </c>
      <c r="J516" s="56" t="s">
        <v>3594</v>
      </c>
      <c r="K516" s="15" t="s">
        <v>4109</v>
      </c>
      <c r="L516" s="60" t="str">
        <f t="shared" si="1"/>
        <v>Not in buy Zone</v>
      </c>
      <c r="M516" s="60" t="str">
        <f t="shared" si="2"/>
        <v>Not in buy Zone</v>
      </c>
      <c r="N516" s="33" t="str">
        <f t="shared" si="3"/>
        <v>No</v>
      </c>
    </row>
    <row r="517">
      <c r="A517" s="56" t="s">
        <v>545</v>
      </c>
      <c r="B517" s="56">
        <v>0.0</v>
      </c>
      <c r="C517" s="56">
        <v>0.0</v>
      </c>
      <c r="D517" s="56">
        <v>0.0</v>
      </c>
      <c r="E517" s="56">
        <v>31.4</v>
      </c>
      <c r="F517" s="58">
        <v>44389.0</v>
      </c>
      <c r="G517" s="56">
        <v>0.0</v>
      </c>
      <c r="H517" s="56">
        <v>27.28</v>
      </c>
      <c r="I517" s="59">
        <v>44393.0</v>
      </c>
      <c r="J517" s="56" t="s">
        <v>3594</v>
      </c>
      <c r="K517" s="15" t="s">
        <v>4110</v>
      </c>
      <c r="L517" s="60" t="str">
        <f t="shared" si="1"/>
        <v>Not in buy Zone</v>
      </c>
      <c r="M517" s="60" t="str">
        <f t="shared" si="2"/>
        <v>Not in buy Zone</v>
      </c>
      <c r="N517" s="33" t="str">
        <f t="shared" si="3"/>
        <v>No</v>
      </c>
    </row>
    <row r="518">
      <c r="A518" s="56" t="s">
        <v>546</v>
      </c>
      <c r="B518" s="56">
        <v>0.0</v>
      </c>
      <c r="C518" s="56">
        <v>0.0</v>
      </c>
      <c r="D518" s="56">
        <v>132.06</v>
      </c>
      <c r="E518" s="56">
        <v>0.0</v>
      </c>
      <c r="F518" s="58">
        <v>44372.0</v>
      </c>
      <c r="G518" s="56">
        <v>0.0</v>
      </c>
      <c r="H518" s="56">
        <v>128.65</v>
      </c>
      <c r="I518" s="59">
        <v>44393.0</v>
      </c>
      <c r="J518" s="56" t="s">
        <v>3594</v>
      </c>
      <c r="K518" s="15" t="s">
        <v>4111</v>
      </c>
      <c r="L518" s="60" t="str">
        <f t="shared" si="1"/>
        <v>Not in buy Zone</v>
      </c>
      <c r="M518" s="60" t="str">
        <f t="shared" si="2"/>
        <v>Not in buy Zone</v>
      </c>
      <c r="N518" s="33" t="str">
        <f t="shared" si="3"/>
        <v>No</v>
      </c>
    </row>
    <row r="519">
      <c r="A519" s="56" t="s">
        <v>547</v>
      </c>
      <c r="B519" s="56">
        <v>0.0</v>
      </c>
      <c r="C519" s="56">
        <v>0.0</v>
      </c>
      <c r="D519" s="56">
        <v>0.0</v>
      </c>
      <c r="E519" s="56">
        <v>115.18</v>
      </c>
      <c r="F519" s="58">
        <v>44383.0</v>
      </c>
      <c r="G519" s="56">
        <v>0.0</v>
      </c>
      <c r="H519" s="56">
        <v>108.68</v>
      </c>
      <c r="I519" s="59">
        <v>44393.0</v>
      </c>
      <c r="J519" s="56" t="s">
        <v>3594</v>
      </c>
      <c r="K519" s="15" t="s">
        <v>4112</v>
      </c>
      <c r="L519" s="60" t="str">
        <f t="shared" si="1"/>
        <v>Not in buy Zone</v>
      </c>
      <c r="M519" s="60" t="str">
        <f t="shared" si="2"/>
        <v>Not in buy Zone</v>
      </c>
      <c r="N519" s="33" t="str">
        <f t="shared" si="3"/>
        <v>No</v>
      </c>
    </row>
    <row r="520">
      <c r="A520" s="56" t="s">
        <v>548</v>
      </c>
      <c r="B520" s="56">
        <v>0.0</v>
      </c>
      <c r="C520" s="56">
        <v>0.0</v>
      </c>
      <c r="D520" s="56">
        <v>0.0</v>
      </c>
      <c r="E520" s="56">
        <v>247.68</v>
      </c>
      <c r="F520" s="58">
        <v>44386.0</v>
      </c>
      <c r="G520" s="56">
        <v>0.0</v>
      </c>
      <c r="H520" s="56">
        <v>253.19</v>
      </c>
      <c r="I520" s="59">
        <v>44393.0</v>
      </c>
      <c r="J520" s="56" t="s">
        <v>3594</v>
      </c>
      <c r="K520" s="15" t="s">
        <v>4113</v>
      </c>
      <c r="L520" s="60" t="str">
        <f t="shared" si="1"/>
        <v>Not in buy Zone</v>
      </c>
      <c r="M520" s="60" t="str">
        <f t="shared" si="2"/>
        <v>Not in buy Zone</v>
      </c>
      <c r="N520" s="33" t="str">
        <f t="shared" si="3"/>
        <v>No</v>
      </c>
    </row>
    <row r="521">
      <c r="A521" s="56" t="s">
        <v>549</v>
      </c>
      <c r="B521" s="56">
        <v>0.0</v>
      </c>
      <c r="C521" s="56">
        <v>0.0</v>
      </c>
      <c r="D521" s="56">
        <v>285.18</v>
      </c>
      <c r="E521" s="56">
        <v>0.0</v>
      </c>
      <c r="F521" s="58">
        <v>44369.0</v>
      </c>
      <c r="G521" s="56">
        <v>0.0</v>
      </c>
      <c r="H521" s="56">
        <v>293.92</v>
      </c>
      <c r="I521" s="59">
        <v>44393.0</v>
      </c>
      <c r="J521" s="56" t="s">
        <v>3594</v>
      </c>
      <c r="K521" s="15" t="s">
        <v>4114</v>
      </c>
      <c r="L521" s="60" t="str">
        <f t="shared" si="1"/>
        <v>Not in buy Zone</v>
      </c>
      <c r="M521" s="60" t="str">
        <f t="shared" si="2"/>
        <v>Not in buy Zone</v>
      </c>
      <c r="N521" s="33" t="str">
        <f t="shared" si="3"/>
        <v>No</v>
      </c>
    </row>
    <row r="522">
      <c r="A522" s="56" t="s">
        <v>550</v>
      </c>
      <c r="B522" s="56">
        <v>0.0</v>
      </c>
      <c r="C522" s="56">
        <v>0.0</v>
      </c>
      <c r="D522" s="56">
        <v>0.0</v>
      </c>
      <c r="E522" s="56">
        <v>433.41</v>
      </c>
      <c r="F522" s="58">
        <v>44389.0</v>
      </c>
      <c r="G522" s="56">
        <v>0.0</v>
      </c>
      <c r="H522" s="56">
        <v>399.99</v>
      </c>
      <c r="I522" s="59">
        <v>44393.0</v>
      </c>
      <c r="J522" s="56" t="s">
        <v>3594</v>
      </c>
      <c r="K522" s="15" t="s">
        <v>4115</v>
      </c>
      <c r="L522" s="60" t="str">
        <f t="shared" si="1"/>
        <v>Not in buy Zone</v>
      </c>
      <c r="M522" s="60" t="str">
        <f t="shared" si="2"/>
        <v>Not in buy Zone</v>
      </c>
      <c r="N522" s="33" t="str">
        <f t="shared" si="3"/>
        <v>No</v>
      </c>
    </row>
    <row r="523">
      <c r="A523" s="56" t="s">
        <v>551</v>
      </c>
      <c r="B523" s="56">
        <v>0.0</v>
      </c>
      <c r="C523" s="56">
        <v>0.0</v>
      </c>
      <c r="D523" s="56">
        <v>33.73</v>
      </c>
      <c r="E523" s="56">
        <v>0.0</v>
      </c>
      <c r="F523" s="58">
        <v>44368.0</v>
      </c>
      <c r="G523" s="56">
        <v>0.0</v>
      </c>
      <c r="H523" s="56">
        <v>35.97</v>
      </c>
      <c r="I523" s="59">
        <v>44393.0</v>
      </c>
      <c r="J523" s="56" t="s">
        <v>3594</v>
      </c>
      <c r="K523" s="15" t="s">
        <v>4116</v>
      </c>
      <c r="L523" s="60" t="str">
        <f t="shared" si="1"/>
        <v>Not in buy Zone</v>
      </c>
      <c r="M523" s="60" t="str">
        <f t="shared" si="2"/>
        <v>Not in buy Zone</v>
      </c>
      <c r="N523" s="33" t="str">
        <f t="shared" si="3"/>
        <v>No</v>
      </c>
    </row>
    <row r="524">
      <c r="A524" s="56" t="s">
        <v>552</v>
      </c>
      <c r="B524" s="56">
        <v>0.0</v>
      </c>
      <c r="C524" s="56">
        <v>0.0</v>
      </c>
      <c r="D524" s="56">
        <v>468.04</v>
      </c>
      <c r="E524" s="56">
        <v>0.0</v>
      </c>
      <c r="F524" s="58">
        <v>44375.0</v>
      </c>
      <c r="G524" s="56">
        <v>0.0</v>
      </c>
      <c r="H524" s="56">
        <v>485.98</v>
      </c>
      <c r="I524" s="59">
        <v>44393.0</v>
      </c>
      <c r="J524" s="56" t="s">
        <v>3594</v>
      </c>
      <c r="K524" s="15" t="s">
        <v>4117</v>
      </c>
      <c r="L524" s="60" t="str">
        <f t="shared" si="1"/>
        <v>Not in buy Zone</v>
      </c>
      <c r="M524" s="60" t="str">
        <f t="shared" si="2"/>
        <v>Not in buy Zone</v>
      </c>
      <c r="N524" s="33" t="str">
        <f t="shared" si="3"/>
        <v>No</v>
      </c>
    </row>
    <row r="525">
      <c r="A525" s="56" t="s">
        <v>553</v>
      </c>
      <c r="B525" s="56">
        <v>0.0</v>
      </c>
      <c r="C525" s="56">
        <v>119.49</v>
      </c>
      <c r="D525" s="56">
        <v>0.0</v>
      </c>
      <c r="E525" s="56">
        <v>0.0</v>
      </c>
      <c r="F525" s="58">
        <v>44393.0</v>
      </c>
      <c r="G525" s="56">
        <v>-1.0</v>
      </c>
      <c r="H525" s="56">
        <v>119.49</v>
      </c>
      <c r="I525" s="59">
        <v>44393.0</v>
      </c>
      <c r="J525" s="56" t="s">
        <v>3594</v>
      </c>
      <c r="K525" s="15" t="s">
        <v>4118</v>
      </c>
      <c r="L525" s="60" t="str">
        <f t="shared" si="1"/>
        <v>Not in buy Zone</v>
      </c>
      <c r="M525" s="60" t="str">
        <f t="shared" si="2"/>
        <v>Not in buy Zone</v>
      </c>
      <c r="N525" s="33" t="str">
        <f t="shared" si="3"/>
        <v>No</v>
      </c>
    </row>
    <row r="526">
      <c r="A526" s="56" t="s">
        <v>554</v>
      </c>
      <c r="B526" s="56">
        <v>0.0</v>
      </c>
      <c r="C526" s="56">
        <v>0.0</v>
      </c>
      <c r="D526" s="56">
        <v>110.61</v>
      </c>
      <c r="E526" s="56">
        <v>0.0</v>
      </c>
      <c r="F526" s="58">
        <v>44378.0</v>
      </c>
      <c r="G526" s="56">
        <v>0.0</v>
      </c>
      <c r="H526" s="56">
        <v>115.24</v>
      </c>
      <c r="I526" s="59">
        <v>44393.0</v>
      </c>
      <c r="J526" s="56" t="s">
        <v>3594</v>
      </c>
      <c r="K526" s="15" t="s">
        <v>4119</v>
      </c>
      <c r="L526" s="60" t="str">
        <f t="shared" si="1"/>
        <v>Not in buy Zone</v>
      </c>
      <c r="M526" s="60" t="str">
        <f t="shared" si="2"/>
        <v>Not in buy Zone</v>
      </c>
      <c r="N526" s="33" t="str">
        <f t="shared" si="3"/>
        <v>No</v>
      </c>
    </row>
    <row r="527">
      <c r="A527" s="56" t="s">
        <v>555</v>
      </c>
      <c r="B527" s="56">
        <v>0.0</v>
      </c>
      <c r="C527" s="56">
        <v>0.0</v>
      </c>
      <c r="D527" s="56">
        <v>0.0</v>
      </c>
      <c r="E527" s="56">
        <v>150.83</v>
      </c>
      <c r="F527" s="58">
        <v>44391.0</v>
      </c>
      <c r="G527" s="56">
        <v>0.0</v>
      </c>
      <c r="H527" s="56">
        <v>149.31</v>
      </c>
      <c r="I527" s="59">
        <v>44393.0</v>
      </c>
      <c r="J527" s="56" t="s">
        <v>3594</v>
      </c>
      <c r="K527" s="15" t="s">
        <v>4120</v>
      </c>
      <c r="L527" s="60" t="str">
        <f t="shared" si="1"/>
        <v>Not in buy Zone</v>
      </c>
      <c r="M527" s="60" t="str">
        <f t="shared" si="2"/>
        <v>Not in buy Zone</v>
      </c>
      <c r="N527" s="33" t="str">
        <f t="shared" si="3"/>
        <v>No</v>
      </c>
    </row>
    <row r="528">
      <c r="A528" s="56" t="s">
        <v>556</v>
      </c>
      <c r="B528" s="56">
        <v>0.0</v>
      </c>
      <c r="C528" s="56">
        <v>0.0</v>
      </c>
      <c r="D528" s="56">
        <v>0.0</v>
      </c>
      <c r="E528" s="56">
        <v>88.72</v>
      </c>
      <c r="F528" s="58">
        <v>44361.0</v>
      </c>
      <c r="G528" s="56">
        <v>0.0</v>
      </c>
      <c r="H528" s="56">
        <v>83.53</v>
      </c>
      <c r="I528" s="59">
        <v>44393.0</v>
      </c>
      <c r="J528" s="56" t="s">
        <v>3594</v>
      </c>
      <c r="K528" s="15" t="s">
        <v>4121</v>
      </c>
      <c r="L528" s="60" t="str">
        <f t="shared" si="1"/>
        <v>Not in buy Zone</v>
      </c>
      <c r="M528" s="60" t="str">
        <f t="shared" si="2"/>
        <v>Not in buy Zone</v>
      </c>
      <c r="N528" s="33" t="str">
        <f t="shared" si="3"/>
        <v>No</v>
      </c>
    </row>
    <row r="529">
      <c r="A529" s="56" t="s">
        <v>557</v>
      </c>
      <c r="B529" s="56">
        <v>0.0</v>
      </c>
      <c r="C529" s="56">
        <v>0.0</v>
      </c>
      <c r="D529" s="56">
        <v>0.0</v>
      </c>
      <c r="E529" s="56">
        <v>52.58</v>
      </c>
      <c r="F529" s="58">
        <v>44386.0</v>
      </c>
      <c r="G529" s="56">
        <v>0.0</v>
      </c>
      <c r="H529" s="56">
        <v>46.35</v>
      </c>
      <c r="I529" s="59">
        <v>44393.0</v>
      </c>
      <c r="J529" s="56" t="s">
        <v>3594</v>
      </c>
      <c r="K529" s="15" t="s">
        <v>4122</v>
      </c>
      <c r="L529" s="60" t="str">
        <f t="shared" si="1"/>
        <v>Not in buy Zone</v>
      </c>
      <c r="M529" s="60" t="str">
        <f t="shared" si="2"/>
        <v>Not in buy Zone</v>
      </c>
      <c r="N529" s="33" t="str">
        <f t="shared" si="3"/>
        <v>No</v>
      </c>
    </row>
    <row r="530">
      <c r="A530" s="56" t="s">
        <v>558</v>
      </c>
      <c r="B530" s="56">
        <v>0.0</v>
      </c>
      <c r="C530" s="56">
        <v>0.0</v>
      </c>
      <c r="D530" s="56">
        <v>0.0</v>
      </c>
      <c r="E530" s="56">
        <v>95.34</v>
      </c>
      <c r="F530" s="58">
        <v>44386.0</v>
      </c>
      <c r="G530" s="56">
        <v>0.0</v>
      </c>
      <c r="H530" s="56">
        <v>80.09</v>
      </c>
      <c r="I530" s="59">
        <v>44393.0</v>
      </c>
      <c r="J530" s="56" t="s">
        <v>3594</v>
      </c>
      <c r="K530" s="15" t="s">
        <v>4123</v>
      </c>
      <c r="L530" s="60" t="str">
        <f t="shared" si="1"/>
        <v>Not in buy Zone</v>
      </c>
      <c r="M530" s="60" t="str">
        <f t="shared" si="2"/>
        <v>Not in buy Zone</v>
      </c>
      <c r="N530" s="33" t="str">
        <f t="shared" si="3"/>
        <v>No</v>
      </c>
    </row>
    <row r="531">
      <c r="A531" s="56" t="s">
        <v>559</v>
      </c>
      <c r="B531" s="56">
        <v>0.0</v>
      </c>
      <c r="C531" s="56">
        <v>0.0</v>
      </c>
      <c r="D531" s="56">
        <v>0.0</v>
      </c>
      <c r="E531" s="56">
        <v>34.1</v>
      </c>
      <c r="F531" s="58">
        <v>44357.0</v>
      </c>
      <c r="G531" s="56">
        <v>0.0</v>
      </c>
      <c r="H531" s="56">
        <v>26.36</v>
      </c>
      <c r="I531" s="59">
        <v>44393.0</v>
      </c>
      <c r="J531" s="56" t="s">
        <v>3594</v>
      </c>
      <c r="K531" s="15" t="s">
        <v>4124</v>
      </c>
      <c r="L531" s="60" t="str">
        <f t="shared" si="1"/>
        <v>Not in buy Zone</v>
      </c>
      <c r="M531" s="60" t="str">
        <f t="shared" si="2"/>
        <v>Not in buy Zone</v>
      </c>
      <c r="N531" s="33" t="str">
        <f t="shared" si="3"/>
        <v>No</v>
      </c>
    </row>
    <row r="532">
      <c r="A532" s="56" t="s">
        <v>560</v>
      </c>
      <c r="B532" s="56">
        <v>0.0</v>
      </c>
      <c r="C532" s="56">
        <v>0.0</v>
      </c>
      <c r="D532" s="56">
        <v>329.33</v>
      </c>
      <c r="E532" s="56">
        <v>0.0</v>
      </c>
      <c r="F532" s="58">
        <v>44386.0</v>
      </c>
      <c r="G532" s="56">
        <v>0.0</v>
      </c>
      <c r="H532" s="56">
        <v>334.11</v>
      </c>
      <c r="I532" s="59">
        <v>44393.0</v>
      </c>
      <c r="J532" s="56" t="s">
        <v>3594</v>
      </c>
      <c r="K532" s="15" t="s">
        <v>4125</v>
      </c>
      <c r="L532" s="60" t="str">
        <f t="shared" si="1"/>
        <v>Not in buy Zone</v>
      </c>
      <c r="M532" s="60" t="str">
        <f t="shared" si="2"/>
        <v>Not in buy Zone</v>
      </c>
      <c r="N532" s="33" t="str">
        <f t="shared" si="3"/>
        <v>No</v>
      </c>
    </row>
    <row r="533">
      <c r="A533" s="56" t="s">
        <v>561</v>
      </c>
      <c r="B533" s="56">
        <v>0.0</v>
      </c>
      <c r="C533" s="56">
        <v>0.0</v>
      </c>
      <c r="D533" s="56">
        <v>113.04</v>
      </c>
      <c r="E533" s="56">
        <v>0.0</v>
      </c>
      <c r="F533" s="58">
        <v>44372.0</v>
      </c>
      <c r="G533" s="56">
        <v>0.0</v>
      </c>
      <c r="H533" s="56">
        <v>118.73</v>
      </c>
      <c r="I533" s="59">
        <v>44393.0</v>
      </c>
      <c r="J533" s="56" t="s">
        <v>3594</v>
      </c>
      <c r="K533" s="15" t="s">
        <v>4126</v>
      </c>
      <c r="L533" s="60" t="str">
        <f t="shared" si="1"/>
        <v>Not in buy Zone</v>
      </c>
      <c r="M533" s="60" t="str">
        <f t="shared" si="2"/>
        <v>Not in buy Zone</v>
      </c>
      <c r="N533" s="33" t="str">
        <f t="shared" si="3"/>
        <v>No</v>
      </c>
    </row>
    <row r="534">
      <c r="A534" s="56" t="s">
        <v>562</v>
      </c>
      <c r="B534" s="56">
        <v>0.0</v>
      </c>
      <c r="C534" s="56">
        <v>0.0</v>
      </c>
      <c r="D534" s="56">
        <v>0.0</v>
      </c>
      <c r="E534" s="56">
        <v>39.51</v>
      </c>
      <c r="F534" s="58">
        <v>44365.0</v>
      </c>
      <c r="G534" s="56">
        <v>0.0</v>
      </c>
      <c r="H534" s="56">
        <v>39.08</v>
      </c>
      <c r="I534" s="59">
        <v>44393.0</v>
      </c>
      <c r="J534" s="56" t="s">
        <v>3594</v>
      </c>
      <c r="K534" s="15" t="s">
        <v>4127</v>
      </c>
      <c r="L534" s="60" t="str">
        <f t="shared" si="1"/>
        <v>Not in buy Zone</v>
      </c>
      <c r="M534" s="60" t="str">
        <f t="shared" si="2"/>
        <v>Not in buy Zone</v>
      </c>
      <c r="N534" s="33" t="str">
        <f t="shared" si="3"/>
        <v>No</v>
      </c>
    </row>
    <row r="535">
      <c r="A535" s="56" t="s">
        <v>563</v>
      </c>
      <c r="B535" s="56">
        <v>0.0</v>
      </c>
      <c r="C535" s="56">
        <v>0.0</v>
      </c>
      <c r="D535" s="56">
        <v>62.51</v>
      </c>
      <c r="E535" s="56">
        <v>0.0</v>
      </c>
      <c r="F535" s="58">
        <v>44377.0</v>
      </c>
      <c r="G535" s="56">
        <v>0.0</v>
      </c>
      <c r="H535" s="56">
        <v>63.1</v>
      </c>
      <c r="I535" s="59">
        <v>44393.0</v>
      </c>
      <c r="J535" s="56" t="s">
        <v>3594</v>
      </c>
      <c r="K535" s="15" t="s">
        <v>4128</v>
      </c>
      <c r="L535" s="60" t="str">
        <f t="shared" si="1"/>
        <v>Not in buy Zone</v>
      </c>
      <c r="M535" s="60" t="str">
        <f t="shared" si="2"/>
        <v>Not in buy Zone</v>
      </c>
      <c r="N535" s="33" t="str">
        <f t="shared" si="3"/>
        <v>No</v>
      </c>
    </row>
    <row r="536">
      <c r="A536" s="56" t="s">
        <v>564</v>
      </c>
      <c r="B536" s="56">
        <v>0.0</v>
      </c>
      <c r="C536" s="56">
        <v>0.0</v>
      </c>
      <c r="D536" s="56">
        <v>0.0</v>
      </c>
      <c r="E536" s="56">
        <v>72.62</v>
      </c>
      <c r="F536" s="58">
        <v>44357.0</v>
      </c>
      <c r="G536" s="56">
        <v>0.0</v>
      </c>
      <c r="H536" s="56">
        <v>68.89</v>
      </c>
      <c r="I536" s="59">
        <v>44393.0</v>
      </c>
      <c r="J536" s="56" t="s">
        <v>3594</v>
      </c>
      <c r="K536" s="15" t="s">
        <v>4129</v>
      </c>
      <c r="L536" s="60" t="str">
        <f t="shared" si="1"/>
        <v>Not in buy Zone</v>
      </c>
      <c r="M536" s="60" t="str">
        <f t="shared" si="2"/>
        <v>Not in buy Zone</v>
      </c>
      <c r="N536" s="33" t="str">
        <f t="shared" si="3"/>
        <v>No</v>
      </c>
    </row>
    <row r="537">
      <c r="A537" s="56" t="s">
        <v>565</v>
      </c>
      <c r="B537" s="56">
        <v>0.0</v>
      </c>
      <c r="C537" s="56">
        <v>0.0</v>
      </c>
      <c r="D537" s="56">
        <v>0.0</v>
      </c>
      <c r="E537" s="56">
        <v>55.85</v>
      </c>
      <c r="F537" s="58">
        <v>44336.0</v>
      </c>
      <c r="G537" s="56">
        <v>0.0</v>
      </c>
      <c r="H537" s="56">
        <v>55.99</v>
      </c>
      <c r="I537" s="59">
        <v>44393.0</v>
      </c>
      <c r="J537" s="56" t="s">
        <v>3594</v>
      </c>
      <c r="K537" s="15" t="s">
        <v>4130</v>
      </c>
      <c r="L537" s="60" t="str">
        <f t="shared" si="1"/>
        <v>Not in buy Zone</v>
      </c>
      <c r="M537" s="60" t="str">
        <f t="shared" si="2"/>
        <v>Not in buy Zone</v>
      </c>
      <c r="N537" s="33" t="str">
        <f t="shared" si="3"/>
        <v>No</v>
      </c>
    </row>
    <row r="538">
      <c r="A538" s="56" t="s">
        <v>566</v>
      </c>
      <c r="B538" s="56">
        <v>0.0</v>
      </c>
      <c r="C538" s="56">
        <v>0.0</v>
      </c>
      <c r="D538" s="56">
        <v>0.0</v>
      </c>
      <c r="E538" s="56">
        <v>27.85</v>
      </c>
      <c r="F538" s="58">
        <v>44369.0</v>
      </c>
      <c r="G538" s="56">
        <v>0.0</v>
      </c>
      <c r="H538" s="56">
        <v>25.71</v>
      </c>
      <c r="I538" s="59">
        <v>44393.0</v>
      </c>
      <c r="J538" s="56" t="s">
        <v>3594</v>
      </c>
      <c r="K538" s="15" t="s">
        <v>4131</v>
      </c>
      <c r="L538" s="60" t="str">
        <f t="shared" si="1"/>
        <v>Not in buy Zone</v>
      </c>
      <c r="M538" s="60" t="str">
        <f t="shared" si="2"/>
        <v>Not in buy Zone</v>
      </c>
      <c r="N538" s="33" t="str">
        <f t="shared" si="3"/>
        <v>No</v>
      </c>
    </row>
    <row r="539">
      <c r="A539" s="56" t="s">
        <v>567</v>
      </c>
      <c r="B539" s="56">
        <v>0.0</v>
      </c>
      <c r="C539" s="56">
        <v>0.0</v>
      </c>
      <c r="D539" s="56">
        <v>0.0</v>
      </c>
      <c r="E539" s="56">
        <v>157.27</v>
      </c>
      <c r="F539" s="58">
        <v>44379.0</v>
      </c>
      <c r="G539" s="56">
        <v>0.0</v>
      </c>
      <c r="H539" s="56">
        <v>146.39</v>
      </c>
      <c r="I539" s="59">
        <v>44393.0</v>
      </c>
      <c r="J539" s="56" t="s">
        <v>3594</v>
      </c>
      <c r="K539" s="15" t="s">
        <v>4132</v>
      </c>
      <c r="L539" s="60" t="str">
        <f t="shared" si="1"/>
        <v>Not in buy Zone</v>
      </c>
      <c r="M539" s="60" t="str">
        <f t="shared" si="2"/>
        <v>Not in buy Zone</v>
      </c>
      <c r="N539" s="33" t="str">
        <f t="shared" si="3"/>
        <v>No</v>
      </c>
    </row>
    <row r="540">
      <c r="A540" s="56" t="s">
        <v>568</v>
      </c>
      <c r="B540" s="56">
        <v>0.0</v>
      </c>
      <c r="C540" s="56">
        <v>0.0</v>
      </c>
      <c r="D540" s="56">
        <v>275.22</v>
      </c>
      <c r="E540" s="56">
        <v>0.0</v>
      </c>
      <c r="F540" s="58">
        <v>44379.0</v>
      </c>
      <c r="G540" s="56">
        <v>0.0</v>
      </c>
      <c r="H540" s="56">
        <v>282.41</v>
      </c>
      <c r="I540" s="59">
        <v>44393.0</v>
      </c>
      <c r="J540" s="56" t="s">
        <v>3594</v>
      </c>
      <c r="K540" s="15" t="s">
        <v>4133</v>
      </c>
      <c r="L540" s="60" t="str">
        <f t="shared" si="1"/>
        <v>Not in buy Zone</v>
      </c>
      <c r="M540" s="60" t="str">
        <f t="shared" si="2"/>
        <v>Not in buy Zone</v>
      </c>
      <c r="N540" s="33" t="str">
        <f t="shared" si="3"/>
        <v>No</v>
      </c>
    </row>
    <row r="541">
      <c r="A541" s="56" t="s">
        <v>569</v>
      </c>
      <c r="B541" s="56">
        <v>0.0</v>
      </c>
      <c r="C541" s="56">
        <v>0.0</v>
      </c>
      <c r="D541" s="56">
        <v>86.2</v>
      </c>
      <c r="E541" s="56">
        <v>0.0</v>
      </c>
      <c r="F541" s="58">
        <v>44383.0</v>
      </c>
      <c r="G541" s="56">
        <v>0.0</v>
      </c>
      <c r="H541" s="56">
        <v>86.19</v>
      </c>
      <c r="I541" s="59">
        <v>44393.0</v>
      </c>
      <c r="J541" s="56" t="s">
        <v>3594</v>
      </c>
      <c r="K541" s="15" t="s">
        <v>4134</v>
      </c>
      <c r="L541" s="60" t="str">
        <f t="shared" si="1"/>
        <v>Not in buy Zone</v>
      </c>
      <c r="M541" s="60" t="str">
        <f t="shared" si="2"/>
        <v>Not in buy Zone</v>
      </c>
      <c r="N541" s="33" t="str">
        <f t="shared" si="3"/>
        <v>No</v>
      </c>
    </row>
    <row r="542">
      <c r="A542" s="56" t="s">
        <v>570</v>
      </c>
      <c r="B542" s="56">
        <v>0.0</v>
      </c>
      <c r="C542" s="56">
        <v>0.0</v>
      </c>
      <c r="D542" s="56">
        <v>0.0</v>
      </c>
      <c r="E542" s="56">
        <v>6.3</v>
      </c>
      <c r="F542" s="58">
        <v>44365.0</v>
      </c>
      <c r="G542" s="56">
        <v>0.0</v>
      </c>
      <c r="H542" s="56">
        <v>6.39</v>
      </c>
      <c r="I542" s="59">
        <v>44393.0</v>
      </c>
      <c r="J542" s="56" t="s">
        <v>3594</v>
      </c>
      <c r="K542" s="15" t="s">
        <v>4135</v>
      </c>
      <c r="L542" s="60" t="str">
        <f t="shared" si="1"/>
        <v>Not in buy Zone</v>
      </c>
      <c r="M542" s="60" t="str">
        <f t="shared" si="2"/>
        <v>Not in buy Zone</v>
      </c>
      <c r="N542" s="33" t="str">
        <f t="shared" si="3"/>
        <v>No</v>
      </c>
    </row>
    <row r="543">
      <c r="A543" s="56" t="s">
        <v>571</v>
      </c>
      <c r="B543" s="56">
        <v>0.0</v>
      </c>
      <c r="C543" s="56">
        <v>0.0</v>
      </c>
      <c r="D543" s="56">
        <v>575.24</v>
      </c>
      <c r="E543" s="56">
        <v>0.0</v>
      </c>
      <c r="F543" s="58">
        <v>44386.0</v>
      </c>
      <c r="G543" s="56">
        <v>0.0</v>
      </c>
      <c r="H543" s="56">
        <v>561.76</v>
      </c>
      <c r="I543" s="59">
        <v>44393.0</v>
      </c>
      <c r="J543" s="56" t="s">
        <v>3594</v>
      </c>
      <c r="K543" s="15" t="s">
        <v>4136</v>
      </c>
      <c r="L543" s="60" t="str">
        <f t="shared" si="1"/>
        <v>Not in buy Zone</v>
      </c>
      <c r="M543" s="60" t="str">
        <f t="shared" si="2"/>
        <v>Not in buy Zone</v>
      </c>
      <c r="N543" s="33" t="str">
        <f t="shared" si="3"/>
        <v>No</v>
      </c>
    </row>
    <row r="544">
      <c r="A544" s="56" t="s">
        <v>572</v>
      </c>
      <c r="B544" s="56">
        <v>0.0</v>
      </c>
      <c r="C544" s="56">
        <v>0.0</v>
      </c>
      <c r="D544" s="56">
        <v>130.29</v>
      </c>
      <c r="E544" s="56">
        <v>0.0</v>
      </c>
      <c r="F544" s="58">
        <v>44391.0</v>
      </c>
      <c r="G544" s="56">
        <v>0.0</v>
      </c>
      <c r="H544" s="56">
        <v>133.1</v>
      </c>
      <c r="I544" s="59">
        <v>44393.0</v>
      </c>
      <c r="J544" s="56" t="s">
        <v>3594</v>
      </c>
      <c r="K544" s="15" t="s">
        <v>4137</v>
      </c>
      <c r="L544" s="60" t="str">
        <f t="shared" si="1"/>
        <v>Not in buy Zone</v>
      </c>
      <c r="M544" s="60" t="str">
        <f t="shared" si="2"/>
        <v>Not in buy Zone</v>
      </c>
      <c r="N544" s="33" t="str">
        <f t="shared" si="3"/>
        <v>No</v>
      </c>
    </row>
    <row r="545">
      <c r="A545" s="56" t="s">
        <v>573</v>
      </c>
      <c r="B545" s="56">
        <v>0.0</v>
      </c>
      <c r="C545" s="56">
        <v>0.0</v>
      </c>
      <c r="D545" s="56">
        <v>0.0</v>
      </c>
      <c r="E545" s="56">
        <v>27.55</v>
      </c>
      <c r="F545" s="58">
        <v>44384.0</v>
      </c>
      <c r="G545" s="56">
        <v>0.0</v>
      </c>
      <c r="H545" s="56">
        <v>27.45</v>
      </c>
      <c r="I545" s="59">
        <v>44393.0</v>
      </c>
      <c r="J545" s="56" t="s">
        <v>3594</v>
      </c>
      <c r="K545" s="15" t="s">
        <v>4138</v>
      </c>
      <c r="L545" s="60" t="str">
        <f t="shared" si="1"/>
        <v>Not in buy Zone</v>
      </c>
      <c r="M545" s="60" t="str">
        <f t="shared" si="2"/>
        <v>Not in buy Zone</v>
      </c>
      <c r="N545" s="33" t="str">
        <f t="shared" si="3"/>
        <v>No</v>
      </c>
    </row>
    <row r="546">
      <c r="A546" s="56" t="s">
        <v>574</v>
      </c>
      <c r="B546" s="56">
        <v>0.0</v>
      </c>
      <c r="C546" s="56">
        <v>0.0</v>
      </c>
      <c r="D546" s="56">
        <v>0.0</v>
      </c>
      <c r="E546" s="56">
        <v>34.05</v>
      </c>
      <c r="F546" s="58">
        <v>44361.0</v>
      </c>
      <c r="G546" s="56">
        <v>0.0</v>
      </c>
      <c r="H546" s="56">
        <v>27.87</v>
      </c>
      <c r="I546" s="59">
        <v>44393.0</v>
      </c>
      <c r="J546" s="56" t="s">
        <v>3594</v>
      </c>
      <c r="K546" s="15" t="s">
        <v>4139</v>
      </c>
      <c r="L546" s="60" t="str">
        <f t="shared" si="1"/>
        <v>Not in buy Zone</v>
      </c>
      <c r="M546" s="60" t="str">
        <f t="shared" si="2"/>
        <v>Not in buy Zone</v>
      </c>
      <c r="N546" s="33" t="str">
        <f t="shared" si="3"/>
        <v>No</v>
      </c>
    </row>
    <row r="547">
      <c r="A547" s="56" t="s">
        <v>575</v>
      </c>
      <c r="B547" s="56">
        <v>0.0</v>
      </c>
      <c r="C547" s="56">
        <v>0.0</v>
      </c>
      <c r="D547" s="56">
        <v>0.0</v>
      </c>
      <c r="E547" s="56">
        <v>252.69</v>
      </c>
      <c r="F547" s="58">
        <v>44385.0</v>
      </c>
      <c r="G547" s="56">
        <v>0.0</v>
      </c>
      <c r="H547" s="56">
        <v>246.85</v>
      </c>
      <c r="I547" s="59">
        <v>44393.0</v>
      </c>
      <c r="J547" s="56" t="s">
        <v>3594</v>
      </c>
      <c r="K547" s="15" t="s">
        <v>4140</v>
      </c>
      <c r="L547" s="60" t="str">
        <f t="shared" si="1"/>
        <v>Not in buy Zone</v>
      </c>
      <c r="M547" s="60" t="str">
        <f t="shared" si="2"/>
        <v>Not in buy Zone</v>
      </c>
      <c r="N547" s="33" t="str">
        <f t="shared" si="3"/>
        <v>No</v>
      </c>
    </row>
    <row r="548">
      <c r="A548" s="56" t="s">
        <v>576</v>
      </c>
      <c r="B548" s="56">
        <v>0.0</v>
      </c>
      <c r="C548" s="56">
        <v>0.0</v>
      </c>
      <c r="D548" s="56">
        <v>226.11</v>
      </c>
      <c r="E548" s="56">
        <v>0.0</v>
      </c>
      <c r="F548" s="58">
        <v>44384.0</v>
      </c>
      <c r="G548" s="56">
        <v>0.0</v>
      </c>
      <c r="H548" s="56">
        <v>219.8</v>
      </c>
      <c r="I548" s="59">
        <v>44393.0</v>
      </c>
      <c r="J548" s="56" t="s">
        <v>3594</v>
      </c>
      <c r="K548" s="15" t="s">
        <v>4141</v>
      </c>
      <c r="L548" s="60" t="str">
        <f t="shared" si="1"/>
        <v>Not in buy Zone</v>
      </c>
      <c r="M548" s="60" t="str">
        <f t="shared" si="2"/>
        <v>Not in buy Zone</v>
      </c>
      <c r="N548" s="33" t="str">
        <f t="shared" si="3"/>
        <v>No</v>
      </c>
    </row>
    <row r="549">
      <c r="A549" s="56" t="s">
        <v>577</v>
      </c>
      <c r="B549" s="56">
        <v>0.0</v>
      </c>
      <c r="C549" s="56">
        <v>0.0</v>
      </c>
      <c r="D549" s="56">
        <v>0.0</v>
      </c>
      <c r="E549" s="56">
        <v>61.96</v>
      </c>
      <c r="F549" s="58">
        <v>44385.0</v>
      </c>
      <c r="G549" s="56">
        <v>0.0</v>
      </c>
      <c r="H549" s="56">
        <v>59.31</v>
      </c>
      <c r="I549" s="59">
        <v>44393.0</v>
      </c>
      <c r="J549" s="56" t="s">
        <v>3594</v>
      </c>
      <c r="K549" s="15" t="s">
        <v>4142</v>
      </c>
      <c r="L549" s="60" t="str">
        <f t="shared" si="1"/>
        <v>Not in buy Zone</v>
      </c>
      <c r="M549" s="60" t="str">
        <f t="shared" si="2"/>
        <v>Not in buy Zone</v>
      </c>
      <c r="N549" s="33" t="str">
        <f t="shared" si="3"/>
        <v>No</v>
      </c>
    </row>
    <row r="550">
      <c r="A550" s="56" t="s">
        <v>578</v>
      </c>
      <c r="B550" s="56">
        <v>0.0</v>
      </c>
      <c r="C550" s="56">
        <v>250.82</v>
      </c>
      <c r="D550" s="56">
        <v>0.0</v>
      </c>
      <c r="E550" s="56">
        <v>0.0</v>
      </c>
      <c r="F550" s="58">
        <v>44393.0</v>
      </c>
      <c r="G550" s="56">
        <v>-1.0</v>
      </c>
      <c r="H550" s="56">
        <v>250.82</v>
      </c>
      <c r="I550" s="59">
        <v>44393.0</v>
      </c>
      <c r="J550" s="56" t="s">
        <v>3594</v>
      </c>
      <c r="K550" s="15" t="s">
        <v>4143</v>
      </c>
      <c r="L550" s="60" t="str">
        <f t="shared" si="1"/>
        <v>Not in buy Zone</v>
      </c>
      <c r="M550" s="60" t="str">
        <f t="shared" si="2"/>
        <v>Not in buy Zone</v>
      </c>
      <c r="N550" s="33" t="str">
        <f t="shared" si="3"/>
        <v>No</v>
      </c>
    </row>
    <row r="551">
      <c r="A551" s="56" t="s">
        <v>579</v>
      </c>
      <c r="B551" s="56">
        <v>0.0</v>
      </c>
      <c r="C551" s="56">
        <v>276.56</v>
      </c>
      <c r="D551" s="56">
        <v>0.0</v>
      </c>
      <c r="E551" s="56">
        <v>0.0</v>
      </c>
      <c r="F551" s="58">
        <v>44393.0</v>
      </c>
      <c r="G551" s="56">
        <v>-1.0</v>
      </c>
      <c r="H551" s="56">
        <v>276.56</v>
      </c>
      <c r="I551" s="59">
        <v>44393.0</v>
      </c>
      <c r="J551" s="56" t="s">
        <v>3594</v>
      </c>
      <c r="K551" s="15" t="s">
        <v>4144</v>
      </c>
      <c r="L551" s="60" t="str">
        <f t="shared" si="1"/>
        <v>Not in buy Zone</v>
      </c>
      <c r="M551" s="60" t="str">
        <f t="shared" si="2"/>
        <v>Not in buy Zone</v>
      </c>
      <c r="N551" s="33" t="str">
        <f t="shared" si="3"/>
        <v>No</v>
      </c>
    </row>
    <row r="552">
      <c r="A552" s="56" t="s">
        <v>580</v>
      </c>
      <c r="B552" s="56">
        <v>0.0</v>
      </c>
      <c r="C552" s="56">
        <v>0.0</v>
      </c>
      <c r="D552" s="56">
        <v>61.47</v>
      </c>
      <c r="E552" s="56">
        <v>0.0</v>
      </c>
      <c r="F552" s="58">
        <v>44386.0</v>
      </c>
      <c r="G552" s="56">
        <v>0.0</v>
      </c>
      <c r="H552" s="56">
        <v>63.11</v>
      </c>
      <c r="I552" s="59">
        <v>44393.0</v>
      </c>
      <c r="J552" s="56" t="s">
        <v>3594</v>
      </c>
      <c r="K552" s="15" t="s">
        <v>4145</v>
      </c>
      <c r="L552" s="60" t="str">
        <f t="shared" si="1"/>
        <v>Not in buy Zone</v>
      </c>
      <c r="M552" s="60" t="str">
        <f t="shared" si="2"/>
        <v>Not in buy Zone</v>
      </c>
      <c r="N552" s="33" t="str">
        <f t="shared" si="3"/>
        <v>No</v>
      </c>
    </row>
    <row r="553">
      <c r="A553" s="56" t="s">
        <v>581</v>
      </c>
      <c r="B553" s="56">
        <v>0.0</v>
      </c>
      <c r="C553" s="56">
        <v>0.0</v>
      </c>
      <c r="D553" s="56">
        <v>0.0</v>
      </c>
      <c r="E553" s="56">
        <v>33.28</v>
      </c>
      <c r="F553" s="58">
        <v>44392.0</v>
      </c>
      <c r="G553" s="56">
        <v>0.0</v>
      </c>
      <c r="H553" s="56">
        <v>32.4</v>
      </c>
      <c r="I553" s="59">
        <v>44393.0</v>
      </c>
      <c r="J553" s="56" t="s">
        <v>3594</v>
      </c>
      <c r="K553" s="15" t="s">
        <v>4146</v>
      </c>
      <c r="L553" s="60" t="str">
        <f t="shared" si="1"/>
        <v>Not in buy Zone</v>
      </c>
      <c r="M553" s="60" t="str">
        <f t="shared" si="2"/>
        <v>Not in buy Zone</v>
      </c>
      <c r="N553" s="33" t="str">
        <f t="shared" si="3"/>
        <v>No</v>
      </c>
    </row>
    <row r="554">
      <c r="A554" s="56" t="s">
        <v>582</v>
      </c>
      <c r="B554" s="56">
        <v>0.0</v>
      </c>
      <c r="C554" s="56">
        <v>0.0</v>
      </c>
      <c r="D554" s="56">
        <v>0.0</v>
      </c>
      <c r="E554" s="56">
        <v>43.19</v>
      </c>
      <c r="F554" s="58">
        <v>44378.0</v>
      </c>
      <c r="G554" s="56">
        <v>0.0</v>
      </c>
      <c r="H554" s="56">
        <v>30.2</v>
      </c>
      <c r="I554" s="59">
        <v>44393.0</v>
      </c>
      <c r="J554" s="56" t="s">
        <v>3594</v>
      </c>
      <c r="K554" s="15" t="s">
        <v>4147</v>
      </c>
      <c r="L554" s="60" t="str">
        <f t="shared" si="1"/>
        <v>Not in buy Zone</v>
      </c>
      <c r="M554" s="60" t="str">
        <f t="shared" si="2"/>
        <v>Not in buy Zone</v>
      </c>
      <c r="N554" s="33" t="str">
        <f t="shared" si="3"/>
        <v>No</v>
      </c>
    </row>
    <row r="555">
      <c r="A555" s="56" t="s">
        <v>583</v>
      </c>
      <c r="B555" s="56">
        <v>0.0</v>
      </c>
      <c r="C555" s="56">
        <v>0.0</v>
      </c>
      <c r="D555" s="56">
        <v>0.0</v>
      </c>
      <c r="E555" s="56">
        <v>130.73</v>
      </c>
      <c r="F555" s="58">
        <v>44363.0</v>
      </c>
      <c r="G555" s="56">
        <v>0.0</v>
      </c>
      <c r="H555" s="56">
        <v>124.5</v>
      </c>
      <c r="I555" s="59">
        <v>44393.0</v>
      </c>
      <c r="J555" s="56" t="s">
        <v>3594</v>
      </c>
      <c r="K555" s="15" t="s">
        <v>4148</v>
      </c>
      <c r="L555" s="60" t="str">
        <f t="shared" si="1"/>
        <v>Not in buy Zone</v>
      </c>
      <c r="M555" s="60" t="str">
        <f t="shared" si="2"/>
        <v>Not in buy Zone</v>
      </c>
      <c r="N555" s="33" t="str">
        <f t="shared" si="3"/>
        <v>No</v>
      </c>
    </row>
    <row r="556">
      <c r="A556" s="56" t="s">
        <v>584</v>
      </c>
      <c r="B556" s="56">
        <v>0.0</v>
      </c>
      <c r="C556" s="56">
        <v>0.0</v>
      </c>
      <c r="D556" s="56">
        <v>0.0</v>
      </c>
      <c r="E556" s="56">
        <v>408.95</v>
      </c>
      <c r="F556" s="58">
        <v>44390.0</v>
      </c>
      <c r="G556" s="56">
        <v>0.0</v>
      </c>
      <c r="H556" s="56">
        <v>414.42</v>
      </c>
      <c r="I556" s="59">
        <v>44393.0</v>
      </c>
      <c r="J556" s="56" t="s">
        <v>3594</v>
      </c>
      <c r="K556" s="15" t="s">
        <v>4149</v>
      </c>
      <c r="L556" s="60" t="str">
        <f t="shared" si="1"/>
        <v>Not in buy Zone</v>
      </c>
      <c r="M556" s="60" t="str">
        <f t="shared" si="2"/>
        <v>Not in buy Zone</v>
      </c>
      <c r="N556" s="33" t="str">
        <f t="shared" si="3"/>
        <v>No</v>
      </c>
    </row>
    <row r="557">
      <c r="A557" s="56" t="s">
        <v>585</v>
      </c>
      <c r="B557" s="56">
        <v>0.0</v>
      </c>
      <c r="C557" s="56">
        <v>0.0</v>
      </c>
      <c r="D557" s="56">
        <v>36.75</v>
      </c>
      <c r="E557" s="56">
        <v>0.0</v>
      </c>
      <c r="F557" s="58">
        <v>44383.0</v>
      </c>
      <c r="G557" s="56">
        <v>0.0</v>
      </c>
      <c r="H557" s="56">
        <v>36.77</v>
      </c>
      <c r="I557" s="59">
        <v>44393.0</v>
      </c>
      <c r="J557" s="56" t="s">
        <v>3594</v>
      </c>
      <c r="K557" s="15" t="s">
        <v>4150</v>
      </c>
      <c r="L557" s="60" t="str">
        <f t="shared" si="1"/>
        <v>Not in buy Zone</v>
      </c>
      <c r="M557" s="60" t="str">
        <f t="shared" si="2"/>
        <v>Not in buy Zone</v>
      </c>
      <c r="N557" s="33" t="str">
        <f t="shared" si="3"/>
        <v>No</v>
      </c>
    </row>
    <row r="558">
      <c r="A558" s="56" t="s">
        <v>586</v>
      </c>
      <c r="B558" s="56">
        <v>0.0</v>
      </c>
      <c r="C558" s="56">
        <v>0.0</v>
      </c>
      <c r="D558" s="56">
        <v>0.0</v>
      </c>
      <c r="E558" s="56">
        <v>135.53</v>
      </c>
      <c r="F558" s="58">
        <v>44390.0</v>
      </c>
      <c r="G558" s="56">
        <v>0.0</v>
      </c>
      <c r="H558" s="56">
        <v>134.39</v>
      </c>
      <c r="I558" s="59">
        <v>44393.0</v>
      </c>
      <c r="J558" s="56" t="s">
        <v>3594</v>
      </c>
      <c r="K558" s="15" t="s">
        <v>4151</v>
      </c>
      <c r="L558" s="60" t="str">
        <f t="shared" si="1"/>
        <v>Not in buy Zone</v>
      </c>
      <c r="M558" s="60" t="str">
        <f t="shared" si="2"/>
        <v>Not in buy Zone</v>
      </c>
      <c r="N558" s="33" t="str">
        <f t="shared" si="3"/>
        <v>No</v>
      </c>
    </row>
    <row r="559">
      <c r="A559" s="56" t="s">
        <v>587</v>
      </c>
      <c r="B559" s="56">
        <v>0.0</v>
      </c>
      <c r="C559" s="56">
        <v>0.0</v>
      </c>
      <c r="D559" s="56">
        <v>61.62</v>
      </c>
      <c r="E559" s="56">
        <v>0.0</v>
      </c>
      <c r="F559" s="58">
        <v>44379.0</v>
      </c>
      <c r="G559" s="56">
        <v>0.0</v>
      </c>
      <c r="H559" s="56">
        <v>62.74</v>
      </c>
      <c r="I559" s="59">
        <v>44393.0</v>
      </c>
      <c r="J559" s="56" t="s">
        <v>3594</v>
      </c>
      <c r="K559" s="15" t="s">
        <v>4152</v>
      </c>
      <c r="L559" s="60" t="str">
        <f t="shared" si="1"/>
        <v>Not in buy Zone</v>
      </c>
      <c r="M559" s="60" t="str">
        <f t="shared" si="2"/>
        <v>Not in buy Zone</v>
      </c>
      <c r="N559" s="33" t="str">
        <f t="shared" si="3"/>
        <v>No</v>
      </c>
    </row>
    <row r="560">
      <c r="A560" s="56" t="s">
        <v>588</v>
      </c>
      <c r="B560" s="56">
        <v>0.0</v>
      </c>
      <c r="C560" s="56">
        <v>0.0</v>
      </c>
      <c r="D560" s="56">
        <v>0.0</v>
      </c>
      <c r="E560" s="56">
        <v>28.05</v>
      </c>
      <c r="F560" s="58">
        <v>44390.0</v>
      </c>
      <c r="G560" s="56">
        <v>0.0</v>
      </c>
      <c r="H560" s="56">
        <v>22.65</v>
      </c>
      <c r="I560" s="59">
        <v>44393.0</v>
      </c>
      <c r="J560" s="56" t="s">
        <v>3594</v>
      </c>
      <c r="K560" s="15" t="s">
        <v>4153</v>
      </c>
      <c r="L560" s="60" t="str">
        <f t="shared" si="1"/>
        <v>Not in buy Zone</v>
      </c>
      <c r="M560" s="60" t="str">
        <f t="shared" si="2"/>
        <v>Not in buy Zone</v>
      </c>
      <c r="N560" s="33" t="str">
        <f t="shared" si="3"/>
        <v>No</v>
      </c>
    </row>
    <row r="561">
      <c r="A561" s="56" t="s">
        <v>589</v>
      </c>
      <c r="B561" s="56">
        <v>0.0</v>
      </c>
      <c r="C561" s="56">
        <v>0.0</v>
      </c>
      <c r="D561" s="56">
        <v>427.47</v>
      </c>
      <c r="E561" s="56">
        <v>0.0</v>
      </c>
      <c r="F561" s="58">
        <v>44375.0</v>
      </c>
      <c r="G561" s="56">
        <v>0.0</v>
      </c>
      <c r="H561" s="56">
        <v>431.34</v>
      </c>
      <c r="I561" s="59">
        <v>44393.0</v>
      </c>
      <c r="J561" s="56" t="s">
        <v>3594</v>
      </c>
      <c r="K561" s="15" t="s">
        <v>4154</v>
      </c>
      <c r="L561" s="60" t="str">
        <f t="shared" si="1"/>
        <v>Not in buy Zone</v>
      </c>
      <c r="M561" s="60" t="str">
        <f t="shared" si="2"/>
        <v>Not in buy Zone</v>
      </c>
      <c r="N561" s="33" t="str">
        <f t="shared" si="3"/>
        <v>No</v>
      </c>
    </row>
    <row r="562">
      <c r="A562" s="56" t="s">
        <v>590</v>
      </c>
      <c r="B562" s="56">
        <v>0.0</v>
      </c>
      <c r="C562" s="56">
        <v>39.29</v>
      </c>
      <c r="D562" s="56">
        <v>0.0</v>
      </c>
      <c r="E562" s="56">
        <v>0.0</v>
      </c>
      <c r="F562" s="58">
        <v>44393.0</v>
      </c>
      <c r="G562" s="56">
        <v>-1.0</v>
      </c>
      <c r="H562" s="56">
        <v>39.29</v>
      </c>
      <c r="I562" s="59">
        <v>44393.0</v>
      </c>
      <c r="J562" s="56" t="s">
        <v>3594</v>
      </c>
      <c r="K562" s="15" t="s">
        <v>4155</v>
      </c>
      <c r="L562" s="60" t="str">
        <f t="shared" si="1"/>
        <v>Not in buy Zone</v>
      </c>
      <c r="M562" s="60" t="str">
        <f t="shared" si="2"/>
        <v>Not in buy Zone</v>
      </c>
      <c r="N562" s="33" t="str">
        <f t="shared" si="3"/>
        <v>No</v>
      </c>
    </row>
    <row r="563">
      <c r="A563" s="56" t="s">
        <v>591</v>
      </c>
      <c r="B563" s="56">
        <v>0.0</v>
      </c>
      <c r="C563" s="56">
        <v>0.0</v>
      </c>
      <c r="D563" s="56">
        <v>0.0</v>
      </c>
      <c r="E563" s="56">
        <v>241.43</v>
      </c>
      <c r="F563" s="58">
        <v>44390.0</v>
      </c>
      <c r="G563" s="56">
        <v>0.0</v>
      </c>
      <c r="H563" s="56">
        <v>237.52</v>
      </c>
      <c r="I563" s="59">
        <v>44393.0</v>
      </c>
      <c r="J563" s="56" t="s">
        <v>3594</v>
      </c>
      <c r="K563" s="15" t="s">
        <v>4156</v>
      </c>
      <c r="L563" s="60" t="str">
        <f t="shared" si="1"/>
        <v>Not in buy Zone</v>
      </c>
      <c r="M563" s="60" t="str">
        <f t="shared" si="2"/>
        <v>Not in buy Zone</v>
      </c>
      <c r="N563" s="33" t="str">
        <f t="shared" si="3"/>
        <v>No</v>
      </c>
    </row>
    <row r="564">
      <c r="A564" s="56" t="s">
        <v>592</v>
      </c>
      <c r="B564" s="56">
        <v>0.0</v>
      </c>
      <c r="C564" s="56">
        <v>0.0</v>
      </c>
      <c r="D564" s="56">
        <v>0.0</v>
      </c>
      <c r="E564" s="56">
        <v>136.95</v>
      </c>
      <c r="F564" s="58">
        <v>44369.0</v>
      </c>
      <c r="G564" s="56">
        <v>0.0</v>
      </c>
      <c r="H564" s="56">
        <v>134.2</v>
      </c>
      <c r="I564" s="59">
        <v>44393.0</v>
      </c>
      <c r="J564" s="56" t="s">
        <v>3594</v>
      </c>
      <c r="K564" s="15" t="s">
        <v>4157</v>
      </c>
      <c r="L564" s="60" t="str">
        <f t="shared" si="1"/>
        <v>Not in buy Zone</v>
      </c>
      <c r="M564" s="60" t="str">
        <f t="shared" si="2"/>
        <v>Not in buy Zone</v>
      </c>
      <c r="N564" s="33" t="str">
        <f t="shared" si="3"/>
        <v>No</v>
      </c>
    </row>
    <row r="565">
      <c r="A565" s="56" t="s">
        <v>593</v>
      </c>
      <c r="B565" s="56">
        <v>0.0</v>
      </c>
      <c r="C565" s="56">
        <v>0.0</v>
      </c>
      <c r="D565" s="56">
        <v>0.0</v>
      </c>
      <c r="E565" s="56">
        <v>206.54</v>
      </c>
      <c r="F565" s="58">
        <v>44392.0</v>
      </c>
      <c r="G565" s="56">
        <v>0.0</v>
      </c>
      <c r="H565" s="56">
        <v>207.7</v>
      </c>
      <c r="I565" s="59">
        <v>44393.0</v>
      </c>
      <c r="J565" s="56" t="s">
        <v>3594</v>
      </c>
      <c r="K565" s="15" t="s">
        <v>4158</v>
      </c>
      <c r="L565" s="60" t="str">
        <f t="shared" si="1"/>
        <v>Not in buy Zone</v>
      </c>
      <c r="M565" s="60" t="str">
        <f t="shared" si="2"/>
        <v>Not in buy Zone</v>
      </c>
      <c r="N565" s="33" t="str">
        <f t="shared" si="3"/>
        <v>No</v>
      </c>
    </row>
    <row r="566">
      <c r="A566" s="56" t="s">
        <v>594</v>
      </c>
      <c r="B566" s="56">
        <v>0.0</v>
      </c>
      <c r="C566" s="56">
        <v>0.0</v>
      </c>
      <c r="D566" s="56">
        <v>0.0</v>
      </c>
      <c r="E566" s="56">
        <v>35.97</v>
      </c>
      <c r="F566" s="58">
        <v>44383.0</v>
      </c>
      <c r="G566" s="56">
        <v>0.0</v>
      </c>
      <c r="H566" s="56">
        <v>25.98</v>
      </c>
      <c r="I566" s="59">
        <v>44393.0</v>
      </c>
      <c r="J566" s="56" t="s">
        <v>3594</v>
      </c>
      <c r="K566" s="15" t="s">
        <v>4159</v>
      </c>
      <c r="L566" s="60" t="str">
        <f t="shared" si="1"/>
        <v>Not in buy Zone</v>
      </c>
      <c r="M566" s="60" t="str">
        <f t="shared" si="2"/>
        <v>Not in buy Zone</v>
      </c>
      <c r="N566" s="33" t="str">
        <f t="shared" si="3"/>
        <v>No</v>
      </c>
    </row>
    <row r="567">
      <c r="A567" s="56" t="s">
        <v>595</v>
      </c>
      <c r="B567" s="56">
        <v>0.0</v>
      </c>
      <c r="C567" s="56">
        <v>0.0</v>
      </c>
      <c r="D567" s="56">
        <v>62.85</v>
      </c>
      <c r="E567" s="56">
        <v>0.0</v>
      </c>
      <c r="F567" s="58">
        <v>44389.0</v>
      </c>
      <c r="G567" s="56">
        <v>0.0</v>
      </c>
      <c r="H567" s="56">
        <v>59.88</v>
      </c>
      <c r="I567" s="59">
        <v>44393.0</v>
      </c>
      <c r="J567" s="56" t="s">
        <v>3594</v>
      </c>
      <c r="K567" s="15" t="s">
        <v>4160</v>
      </c>
      <c r="L567" s="60" t="str">
        <f t="shared" si="1"/>
        <v>Not in buy Zone</v>
      </c>
      <c r="M567" s="60" t="str">
        <f t="shared" si="2"/>
        <v>Not in buy Zone</v>
      </c>
      <c r="N567" s="33" t="str">
        <f t="shared" si="3"/>
        <v>No</v>
      </c>
    </row>
    <row r="568">
      <c r="A568" s="56" t="s">
        <v>596</v>
      </c>
      <c r="B568" s="56">
        <v>0.0</v>
      </c>
      <c r="C568" s="56">
        <v>0.0</v>
      </c>
      <c r="D568" s="56">
        <v>84.11</v>
      </c>
      <c r="E568" s="56">
        <v>0.0</v>
      </c>
      <c r="F568" s="58">
        <v>44386.0</v>
      </c>
      <c r="G568" s="56">
        <v>0.0</v>
      </c>
      <c r="H568" s="56">
        <v>84.34</v>
      </c>
      <c r="I568" s="59">
        <v>44393.0</v>
      </c>
      <c r="J568" s="56" t="s">
        <v>3594</v>
      </c>
      <c r="K568" s="15" t="s">
        <v>4161</v>
      </c>
      <c r="L568" s="60" t="str">
        <f t="shared" si="1"/>
        <v>Not in buy Zone</v>
      </c>
      <c r="M568" s="60" t="str">
        <f t="shared" si="2"/>
        <v>Not in buy Zone</v>
      </c>
      <c r="N568" s="33" t="str">
        <f t="shared" si="3"/>
        <v>No</v>
      </c>
    </row>
    <row r="569">
      <c r="A569" s="56" t="s">
        <v>597</v>
      </c>
      <c r="B569" s="56">
        <v>0.0</v>
      </c>
      <c r="C569" s="56">
        <v>0.0</v>
      </c>
      <c r="D569" s="56">
        <v>88.98</v>
      </c>
      <c r="E569" s="56">
        <v>0.0</v>
      </c>
      <c r="F569" s="58">
        <v>44389.0</v>
      </c>
      <c r="G569" s="56">
        <v>0.0</v>
      </c>
      <c r="H569" s="56">
        <v>84.46</v>
      </c>
      <c r="I569" s="59">
        <v>44393.0</v>
      </c>
      <c r="J569" s="56" t="s">
        <v>3594</v>
      </c>
      <c r="K569" s="15" t="s">
        <v>4162</v>
      </c>
      <c r="L569" s="60" t="str">
        <f t="shared" si="1"/>
        <v>Not in buy Zone</v>
      </c>
      <c r="M569" s="60" t="str">
        <f t="shared" si="2"/>
        <v>Not in buy Zone</v>
      </c>
      <c r="N569" s="33" t="str">
        <f t="shared" si="3"/>
        <v>No</v>
      </c>
    </row>
    <row r="570">
      <c r="A570" s="56" t="s">
        <v>598</v>
      </c>
      <c r="B570" s="56">
        <v>0.0</v>
      </c>
      <c r="C570" s="56">
        <v>0.0</v>
      </c>
      <c r="D570" s="56">
        <v>0.0</v>
      </c>
      <c r="E570" s="56">
        <v>227.01</v>
      </c>
      <c r="F570" s="58">
        <v>44385.0</v>
      </c>
      <c r="G570" s="56">
        <v>0.0</v>
      </c>
      <c r="H570" s="56">
        <v>224.01</v>
      </c>
      <c r="I570" s="59">
        <v>44393.0</v>
      </c>
      <c r="J570" s="56" t="s">
        <v>3594</v>
      </c>
      <c r="K570" s="15" t="s">
        <v>4163</v>
      </c>
      <c r="L570" s="60" t="str">
        <f t="shared" si="1"/>
        <v>Not in buy Zone</v>
      </c>
      <c r="M570" s="60" t="str">
        <f t="shared" si="2"/>
        <v>Not in buy Zone</v>
      </c>
      <c r="N570" s="33" t="str">
        <f t="shared" si="3"/>
        <v>No</v>
      </c>
    </row>
    <row r="571">
      <c r="A571" s="56" t="s">
        <v>599</v>
      </c>
      <c r="B571" s="56">
        <v>0.0</v>
      </c>
      <c r="C571" s="56">
        <v>0.0</v>
      </c>
      <c r="D571" s="56">
        <v>204.39</v>
      </c>
      <c r="E571" s="56">
        <v>0.0</v>
      </c>
      <c r="F571" s="58">
        <v>44376.0</v>
      </c>
      <c r="G571" s="56">
        <v>0.0</v>
      </c>
      <c r="H571" s="56">
        <v>203.05</v>
      </c>
      <c r="I571" s="59">
        <v>44393.0</v>
      </c>
      <c r="J571" s="56" t="s">
        <v>3594</v>
      </c>
      <c r="K571" s="15" t="s">
        <v>4164</v>
      </c>
      <c r="L571" s="60" t="str">
        <f t="shared" si="1"/>
        <v>Not in buy Zone</v>
      </c>
      <c r="M571" s="60" t="str">
        <f t="shared" si="2"/>
        <v>Not in buy Zone</v>
      </c>
      <c r="N571" s="33" t="str">
        <f t="shared" si="3"/>
        <v>No</v>
      </c>
    </row>
    <row r="572">
      <c r="A572" s="56" t="s">
        <v>600</v>
      </c>
      <c r="B572" s="56">
        <v>0.0</v>
      </c>
      <c r="C572" s="56">
        <v>0.0</v>
      </c>
      <c r="D572" s="56">
        <v>170.87</v>
      </c>
      <c r="E572" s="56">
        <v>0.0</v>
      </c>
      <c r="F572" s="58">
        <v>44343.0</v>
      </c>
      <c r="G572" s="56">
        <v>0.0</v>
      </c>
      <c r="H572" s="56">
        <v>188.11</v>
      </c>
      <c r="I572" s="59">
        <v>44393.0</v>
      </c>
      <c r="J572" s="56" t="s">
        <v>3594</v>
      </c>
      <c r="K572" s="15" t="s">
        <v>4165</v>
      </c>
      <c r="L572" s="60" t="str">
        <f t="shared" si="1"/>
        <v>Not in buy Zone</v>
      </c>
      <c r="M572" s="60" t="str">
        <f t="shared" si="2"/>
        <v>Not in buy Zone</v>
      </c>
      <c r="N572" s="33" t="str">
        <f t="shared" si="3"/>
        <v>No</v>
      </c>
    </row>
    <row r="573">
      <c r="A573" s="56" t="s">
        <v>601</v>
      </c>
      <c r="B573" s="56">
        <v>0.0</v>
      </c>
      <c r="C573" s="56">
        <v>0.0</v>
      </c>
      <c r="D573" s="56">
        <v>0.0</v>
      </c>
      <c r="E573" s="56">
        <v>48.64</v>
      </c>
      <c r="F573" s="58">
        <v>44361.0</v>
      </c>
      <c r="G573" s="56">
        <v>0.0</v>
      </c>
      <c r="H573" s="56">
        <v>46.73</v>
      </c>
      <c r="I573" s="59">
        <v>44393.0</v>
      </c>
      <c r="J573" s="56" t="s">
        <v>3594</v>
      </c>
      <c r="K573" s="15" t="s">
        <v>4166</v>
      </c>
      <c r="L573" s="60" t="str">
        <f t="shared" si="1"/>
        <v>Not in buy Zone</v>
      </c>
      <c r="M573" s="60" t="str">
        <f t="shared" si="2"/>
        <v>Not in buy Zone</v>
      </c>
      <c r="N573" s="33" t="str">
        <f t="shared" si="3"/>
        <v>No</v>
      </c>
    </row>
    <row r="574">
      <c r="A574" s="56" t="s">
        <v>602</v>
      </c>
      <c r="B574" s="56">
        <v>0.0</v>
      </c>
      <c r="C574" s="56">
        <v>0.0</v>
      </c>
      <c r="D574" s="56">
        <v>0.0</v>
      </c>
      <c r="E574" s="56">
        <v>261.36</v>
      </c>
      <c r="F574" s="58">
        <v>44391.0</v>
      </c>
      <c r="G574" s="56">
        <v>0.0</v>
      </c>
      <c r="H574" s="56">
        <v>257.59</v>
      </c>
      <c r="I574" s="59">
        <v>44393.0</v>
      </c>
      <c r="J574" s="56" t="s">
        <v>3594</v>
      </c>
      <c r="K574" s="15" t="s">
        <v>4167</v>
      </c>
      <c r="L574" s="60" t="str">
        <f t="shared" si="1"/>
        <v>Not in buy Zone</v>
      </c>
      <c r="M574" s="60" t="str">
        <f t="shared" si="2"/>
        <v>Not in buy Zone</v>
      </c>
      <c r="N574" s="33" t="str">
        <f t="shared" si="3"/>
        <v>No</v>
      </c>
    </row>
    <row r="575">
      <c r="A575" s="56" t="s">
        <v>603</v>
      </c>
      <c r="B575" s="56">
        <v>0.0</v>
      </c>
      <c r="C575" s="56">
        <v>0.0</v>
      </c>
      <c r="D575" s="56">
        <v>0.0</v>
      </c>
      <c r="E575" s="56">
        <v>73.31</v>
      </c>
      <c r="F575" s="58">
        <v>44390.0</v>
      </c>
      <c r="G575" s="56">
        <v>0.0</v>
      </c>
      <c r="H575" s="56">
        <v>71.58</v>
      </c>
      <c r="I575" s="59">
        <v>44393.0</v>
      </c>
      <c r="J575" s="56" t="s">
        <v>3594</v>
      </c>
      <c r="K575" s="15" t="s">
        <v>4168</v>
      </c>
      <c r="L575" s="60" t="str">
        <f t="shared" si="1"/>
        <v>Not in buy Zone</v>
      </c>
      <c r="M575" s="60" t="str">
        <f t="shared" si="2"/>
        <v>Not in buy Zone</v>
      </c>
      <c r="N575" s="33" t="str">
        <f t="shared" si="3"/>
        <v>No</v>
      </c>
    </row>
    <row r="576">
      <c r="A576" s="56" t="s">
        <v>604</v>
      </c>
      <c r="B576" s="56">
        <v>0.0</v>
      </c>
      <c r="C576" s="56">
        <v>0.0</v>
      </c>
      <c r="D576" s="56">
        <v>0.0</v>
      </c>
      <c r="E576" s="56">
        <v>28.27</v>
      </c>
      <c r="F576" s="58">
        <v>44390.0</v>
      </c>
      <c r="G576" s="56">
        <v>0.0</v>
      </c>
      <c r="H576" s="56">
        <v>28.34</v>
      </c>
      <c r="I576" s="59">
        <v>44393.0</v>
      </c>
      <c r="J576" s="56" t="s">
        <v>3594</v>
      </c>
      <c r="K576" s="15" t="s">
        <v>4169</v>
      </c>
      <c r="L576" s="60" t="str">
        <f t="shared" si="1"/>
        <v>Not in buy Zone</v>
      </c>
      <c r="M576" s="60" t="str">
        <f t="shared" si="2"/>
        <v>Not in buy Zone</v>
      </c>
      <c r="N576" s="33" t="str">
        <f t="shared" si="3"/>
        <v>No</v>
      </c>
    </row>
    <row r="577">
      <c r="A577" s="56" t="s">
        <v>605</v>
      </c>
      <c r="B577" s="56">
        <v>0.0</v>
      </c>
      <c r="C577" s="56">
        <v>0.0</v>
      </c>
      <c r="D577" s="56">
        <v>0.0</v>
      </c>
      <c r="E577" s="56">
        <v>58.14</v>
      </c>
      <c r="F577" s="58">
        <v>44362.0</v>
      </c>
      <c r="G577" s="56">
        <v>0.0</v>
      </c>
      <c r="H577" s="56">
        <v>50.49</v>
      </c>
      <c r="I577" s="59">
        <v>44393.0</v>
      </c>
      <c r="J577" s="56" t="s">
        <v>3594</v>
      </c>
      <c r="K577" s="15" t="s">
        <v>4170</v>
      </c>
      <c r="L577" s="60" t="str">
        <f t="shared" si="1"/>
        <v>Not in buy Zone</v>
      </c>
      <c r="M577" s="60" t="str">
        <f t="shared" si="2"/>
        <v>Not in buy Zone</v>
      </c>
      <c r="N577" s="33" t="str">
        <f t="shared" si="3"/>
        <v>No</v>
      </c>
    </row>
    <row r="578">
      <c r="A578" s="56" t="s">
        <v>606</v>
      </c>
      <c r="B578" s="56">
        <v>0.0</v>
      </c>
      <c r="C578" s="56">
        <v>0.0</v>
      </c>
      <c r="D578" s="56">
        <v>0.0</v>
      </c>
      <c r="E578" s="56">
        <v>39.24</v>
      </c>
      <c r="F578" s="58">
        <v>44351.0</v>
      </c>
      <c r="G578" s="56">
        <v>0.0</v>
      </c>
      <c r="H578" s="56">
        <v>30.22</v>
      </c>
      <c r="I578" s="59">
        <v>44393.0</v>
      </c>
      <c r="J578" s="56" t="s">
        <v>3594</v>
      </c>
      <c r="K578" s="15" t="s">
        <v>4171</v>
      </c>
      <c r="L578" s="60" t="str">
        <f t="shared" si="1"/>
        <v>Not in buy Zone</v>
      </c>
      <c r="M578" s="60" t="str">
        <f t="shared" si="2"/>
        <v>Not in buy Zone</v>
      </c>
      <c r="N578" s="33" t="str">
        <f t="shared" si="3"/>
        <v>No</v>
      </c>
    </row>
    <row r="579">
      <c r="A579" s="56" t="s">
        <v>607</v>
      </c>
      <c r="B579" s="56">
        <v>0.0</v>
      </c>
      <c r="C579" s="56">
        <v>0.0</v>
      </c>
      <c r="D579" s="56">
        <v>0.0</v>
      </c>
      <c r="E579" s="56">
        <v>673.22</v>
      </c>
      <c r="F579" s="58">
        <v>44372.0</v>
      </c>
      <c r="G579" s="56">
        <v>0.0</v>
      </c>
      <c r="H579" s="56">
        <v>633.58</v>
      </c>
      <c r="I579" s="59">
        <v>44393.0</v>
      </c>
      <c r="J579" s="56" t="s">
        <v>3594</v>
      </c>
      <c r="K579" s="15" t="s">
        <v>4172</v>
      </c>
      <c r="L579" s="60" t="str">
        <f t="shared" si="1"/>
        <v>Not in buy Zone</v>
      </c>
      <c r="M579" s="60" t="str">
        <f t="shared" si="2"/>
        <v>Not in buy Zone</v>
      </c>
      <c r="N579" s="33" t="str">
        <f t="shared" si="3"/>
        <v>No</v>
      </c>
    </row>
    <row r="580">
      <c r="A580" s="56" t="s">
        <v>608</v>
      </c>
      <c r="B580" s="56">
        <v>0.0</v>
      </c>
      <c r="C580" s="56">
        <v>0.0</v>
      </c>
      <c r="D580" s="56">
        <v>0.0</v>
      </c>
      <c r="E580" s="56">
        <v>158.6</v>
      </c>
      <c r="F580" s="58">
        <v>44386.0</v>
      </c>
      <c r="G580" s="56">
        <v>0.0</v>
      </c>
      <c r="H580" s="56">
        <v>146.78</v>
      </c>
      <c r="I580" s="59">
        <v>44393.0</v>
      </c>
      <c r="J580" s="56" t="s">
        <v>3594</v>
      </c>
      <c r="K580" s="15" t="s">
        <v>4173</v>
      </c>
      <c r="L580" s="60" t="str">
        <f t="shared" si="1"/>
        <v>Not in buy Zone</v>
      </c>
      <c r="M580" s="60" t="str">
        <f t="shared" si="2"/>
        <v>Not in buy Zone</v>
      </c>
      <c r="N580" s="33" t="str">
        <f t="shared" si="3"/>
        <v>No</v>
      </c>
    </row>
    <row r="581">
      <c r="A581" s="56" t="s">
        <v>609</v>
      </c>
      <c r="B581" s="56">
        <v>0.0</v>
      </c>
      <c r="C581" s="56">
        <v>0.0</v>
      </c>
      <c r="D581" s="56">
        <v>426.86</v>
      </c>
      <c r="E581" s="56">
        <v>0.0</v>
      </c>
      <c r="F581" s="58">
        <v>44389.0</v>
      </c>
      <c r="G581" s="56">
        <v>0.0</v>
      </c>
      <c r="H581" s="56">
        <v>434.86</v>
      </c>
      <c r="I581" s="59">
        <v>44393.0</v>
      </c>
      <c r="J581" s="56" t="s">
        <v>3594</v>
      </c>
      <c r="K581" s="15" t="s">
        <v>4174</v>
      </c>
      <c r="L581" s="60" t="str">
        <f t="shared" si="1"/>
        <v>Not in buy Zone</v>
      </c>
      <c r="M581" s="60" t="str">
        <f t="shared" si="2"/>
        <v>Not in buy Zone</v>
      </c>
      <c r="N581" s="33" t="str">
        <f t="shared" si="3"/>
        <v>No</v>
      </c>
    </row>
    <row r="582">
      <c r="A582" s="56" t="s">
        <v>610</v>
      </c>
      <c r="B582" s="56">
        <v>0.0</v>
      </c>
      <c r="C582" s="56">
        <v>0.0</v>
      </c>
      <c r="D582" s="56">
        <v>0.0</v>
      </c>
      <c r="E582" s="56">
        <v>261.36</v>
      </c>
      <c r="F582" s="58">
        <v>44389.0</v>
      </c>
      <c r="G582" s="56">
        <v>0.0</v>
      </c>
      <c r="H582" s="56">
        <v>260.64</v>
      </c>
      <c r="I582" s="59">
        <v>44393.0</v>
      </c>
      <c r="J582" s="56" t="s">
        <v>3594</v>
      </c>
      <c r="K582" s="15" t="s">
        <v>4175</v>
      </c>
      <c r="L582" s="60" t="str">
        <f t="shared" si="1"/>
        <v>Not in buy Zone</v>
      </c>
      <c r="M582" s="60" t="str">
        <f t="shared" si="2"/>
        <v>Not in buy Zone</v>
      </c>
      <c r="N582" s="33" t="str">
        <f t="shared" si="3"/>
        <v>No</v>
      </c>
    </row>
    <row r="583">
      <c r="A583" s="56" t="s">
        <v>611</v>
      </c>
      <c r="B583" s="56">
        <v>0.0</v>
      </c>
      <c r="C583" s="56">
        <v>0.0</v>
      </c>
      <c r="D583" s="56">
        <v>136.73</v>
      </c>
      <c r="E583" s="56">
        <v>0.0</v>
      </c>
      <c r="F583" s="58">
        <v>44378.0</v>
      </c>
      <c r="G583" s="56">
        <v>0.0</v>
      </c>
      <c r="H583" s="56">
        <v>134.31</v>
      </c>
      <c r="I583" s="59">
        <v>44393.0</v>
      </c>
      <c r="J583" s="56" t="s">
        <v>3594</v>
      </c>
      <c r="K583" s="15" t="s">
        <v>4176</v>
      </c>
      <c r="L583" s="60" t="str">
        <f t="shared" si="1"/>
        <v>Not in buy Zone</v>
      </c>
      <c r="M583" s="60" t="str">
        <f t="shared" si="2"/>
        <v>Not in buy Zone</v>
      </c>
      <c r="N583" s="33" t="str">
        <f t="shared" si="3"/>
        <v>No</v>
      </c>
    </row>
    <row r="584">
      <c r="A584" s="56" t="s">
        <v>612</v>
      </c>
      <c r="B584" s="56">
        <v>0.0</v>
      </c>
      <c r="C584" s="56">
        <v>0.0</v>
      </c>
      <c r="D584" s="56">
        <v>0.0</v>
      </c>
      <c r="E584" s="56">
        <v>126.47</v>
      </c>
      <c r="F584" s="58">
        <v>44383.0</v>
      </c>
      <c r="G584" s="56">
        <v>0.0</v>
      </c>
      <c r="H584" s="56">
        <v>119.89</v>
      </c>
      <c r="I584" s="59">
        <v>44393.0</v>
      </c>
      <c r="J584" s="56" t="s">
        <v>3594</v>
      </c>
      <c r="K584" s="15" t="s">
        <v>4177</v>
      </c>
      <c r="L584" s="60" t="str">
        <f t="shared" si="1"/>
        <v>Not in buy Zone</v>
      </c>
      <c r="M584" s="60" t="str">
        <f t="shared" si="2"/>
        <v>Not in buy Zone</v>
      </c>
      <c r="N584" s="33" t="str">
        <f t="shared" si="3"/>
        <v>No</v>
      </c>
    </row>
    <row r="585">
      <c r="A585" s="56" t="s">
        <v>613</v>
      </c>
      <c r="B585" s="56">
        <v>0.0</v>
      </c>
      <c r="C585" s="56">
        <v>0.0</v>
      </c>
      <c r="D585" s="56">
        <v>55.21</v>
      </c>
      <c r="E585" s="56">
        <v>0.0</v>
      </c>
      <c r="F585" s="58">
        <v>44386.0</v>
      </c>
      <c r="G585" s="56">
        <v>0.0</v>
      </c>
      <c r="H585" s="56">
        <v>54.39</v>
      </c>
      <c r="I585" s="59">
        <v>44393.0</v>
      </c>
      <c r="J585" s="56" t="s">
        <v>3594</v>
      </c>
      <c r="K585" s="15" t="s">
        <v>4178</v>
      </c>
      <c r="L585" s="60" t="str">
        <f t="shared" si="1"/>
        <v>Not in buy Zone</v>
      </c>
      <c r="M585" s="60" t="str">
        <f t="shared" si="2"/>
        <v>Not in buy Zone</v>
      </c>
      <c r="N585" s="33" t="str">
        <f t="shared" si="3"/>
        <v>No</v>
      </c>
    </row>
    <row r="586">
      <c r="A586" s="56" t="s">
        <v>614</v>
      </c>
      <c r="B586" s="56">
        <v>0.0</v>
      </c>
      <c r="C586" s="56">
        <v>0.0</v>
      </c>
      <c r="D586" s="56">
        <v>0.0</v>
      </c>
      <c r="E586" s="56">
        <v>376.2</v>
      </c>
      <c r="F586" s="58">
        <v>44392.0</v>
      </c>
      <c r="G586" s="56">
        <v>0.0</v>
      </c>
      <c r="H586" s="56">
        <v>390.32</v>
      </c>
      <c r="I586" s="59">
        <v>44393.0</v>
      </c>
      <c r="J586" s="56" t="s">
        <v>3594</v>
      </c>
      <c r="K586" s="15" t="s">
        <v>4179</v>
      </c>
      <c r="L586" s="60" t="str">
        <f t="shared" si="1"/>
        <v>Not in buy Zone</v>
      </c>
      <c r="M586" s="60" t="str">
        <f t="shared" si="2"/>
        <v>Not in buy Zone</v>
      </c>
      <c r="N586" s="33" t="str">
        <f t="shared" si="3"/>
        <v>No</v>
      </c>
    </row>
    <row r="587">
      <c r="A587" s="56" t="s">
        <v>615</v>
      </c>
      <c r="B587" s="56">
        <v>0.0</v>
      </c>
      <c r="C587" s="56">
        <v>0.0</v>
      </c>
      <c r="D587" s="56">
        <v>237.31</v>
      </c>
      <c r="E587" s="56">
        <v>0.0</v>
      </c>
      <c r="F587" s="58">
        <v>44370.0</v>
      </c>
      <c r="G587" s="56">
        <v>0.0</v>
      </c>
      <c r="H587" s="56">
        <v>251.15</v>
      </c>
      <c r="I587" s="59">
        <v>44393.0</v>
      </c>
      <c r="J587" s="56" t="s">
        <v>3594</v>
      </c>
      <c r="K587" s="15" t="s">
        <v>4180</v>
      </c>
      <c r="L587" s="60" t="str">
        <f t="shared" si="1"/>
        <v>Not in buy Zone</v>
      </c>
      <c r="M587" s="60" t="str">
        <f t="shared" si="2"/>
        <v>Not in buy Zone</v>
      </c>
      <c r="N587" s="33" t="str">
        <f t="shared" si="3"/>
        <v>No</v>
      </c>
    </row>
    <row r="588">
      <c r="A588" s="56" t="s">
        <v>616</v>
      </c>
      <c r="B588" s="56">
        <v>0.0</v>
      </c>
      <c r="C588" s="56">
        <v>0.0</v>
      </c>
      <c r="D588" s="56">
        <v>127.84</v>
      </c>
      <c r="E588" s="56">
        <v>0.0</v>
      </c>
      <c r="F588" s="58">
        <v>44376.0</v>
      </c>
      <c r="G588" s="56">
        <v>0.0</v>
      </c>
      <c r="H588" s="56">
        <v>129.0</v>
      </c>
      <c r="I588" s="59">
        <v>44393.0</v>
      </c>
      <c r="J588" s="56" t="s">
        <v>3594</v>
      </c>
      <c r="K588" s="15" t="s">
        <v>4181</v>
      </c>
      <c r="L588" s="60" t="str">
        <f t="shared" si="1"/>
        <v>Not in buy Zone</v>
      </c>
      <c r="M588" s="60" t="str">
        <f t="shared" si="2"/>
        <v>Not in buy Zone</v>
      </c>
      <c r="N588" s="33" t="str">
        <f t="shared" si="3"/>
        <v>No</v>
      </c>
    </row>
    <row r="589">
      <c r="A589" s="56" t="s">
        <v>617</v>
      </c>
      <c r="B589" s="56">
        <v>0.0</v>
      </c>
      <c r="C589" s="56">
        <v>0.0</v>
      </c>
      <c r="D589" s="56">
        <v>65.86</v>
      </c>
      <c r="E589" s="56">
        <v>0.0</v>
      </c>
      <c r="F589" s="58">
        <v>44370.0</v>
      </c>
      <c r="G589" s="56">
        <v>0.0</v>
      </c>
      <c r="H589" s="56">
        <v>67.41</v>
      </c>
      <c r="I589" s="59">
        <v>44393.0</v>
      </c>
      <c r="J589" s="56" t="s">
        <v>3594</v>
      </c>
      <c r="K589" s="15" t="s">
        <v>4182</v>
      </c>
      <c r="L589" s="60" t="str">
        <f t="shared" si="1"/>
        <v>Not in buy Zone</v>
      </c>
      <c r="M589" s="60" t="str">
        <f t="shared" si="2"/>
        <v>Not in buy Zone</v>
      </c>
      <c r="N589" s="33" t="str">
        <f t="shared" si="3"/>
        <v>No</v>
      </c>
    </row>
    <row r="590">
      <c r="A590" s="56" t="s">
        <v>618</v>
      </c>
      <c r="B590" s="56">
        <v>0.0</v>
      </c>
      <c r="C590" s="56">
        <v>0.0</v>
      </c>
      <c r="D590" s="56">
        <v>139.46</v>
      </c>
      <c r="E590" s="56">
        <v>0.0</v>
      </c>
      <c r="F590" s="58">
        <v>44341.0</v>
      </c>
      <c r="G590" s="56">
        <v>0.0</v>
      </c>
      <c r="H590" s="56">
        <v>148.21</v>
      </c>
      <c r="I590" s="59">
        <v>44393.0</v>
      </c>
      <c r="J590" s="56" t="s">
        <v>3594</v>
      </c>
      <c r="K590" s="15" t="s">
        <v>4183</v>
      </c>
      <c r="L590" s="60" t="str">
        <f t="shared" si="1"/>
        <v>Not in buy Zone</v>
      </c>
      <c r="M590" s="60" t="str">
        <f t="shared" si="2"/>
        <v>Not in buy Zone</v>
      </c>
      <c r="N590" s="33" t="str">
        <f t="shared" si="3"/>
        <v>No</v>
      </c>
    </row>
    <row r="591">
      <c r="A591" s="56" t="s">
        <v>619</v>
      </c>
      <c r="B591" s="56">
        <v>0.0</v>
      </c>
      <c r="C591" s="56">
        <v>0.0</v>
      </c>
      <c r="D591" s="56">
        <v>465.15</v>
      </c>
      <c r="E591" s="56">
        <v>0.0</v>
      </c>
      <c r="F591" s="58">
        <v>44358.0</v>
      </c>
      <c r="G591" s="56">
        <v>0.0</v>
      </c>
      <c r="H591" s="56">
        <v>519.79</v>
      </c>
      <c r="I591" s="59">
        <v>44393.0</v>
      </c>
      <c r="J591" s="56" t="s">
        <v>3594</v>
      </c>
      <c r="K591" s="15" t="s">
        <v>4184</v>
      </c>
      <c r="L591" s="60" t="str">
        <f t="shared" si="1"/>
        <v>Not in buy Zone</v>
      </c>
      <c r="M591" s="60" t="str">
        <f t="shared" si="2"/>
        <v>Not in buy Zone</v>
      </c>
      <c r="N591" s="33" t="str">
        <f t="shared" si="3"/>
        <v>No</v>
      </c>
    </row>
    <row r="592">
      <c r="A592" s="56" t="s">
        <v>620</v>
      </c>
      <c r="B592" s="56">
        <v>0.0</v>
      </c>
      <c r="C592" s="56">
        <v>0.0</v>
      </c>
      <c r="D592" s="56">
        <v>148.9</v>
      </c>
      <c r="E592" s="56">
        <v>0.0</v>
      </c>
      <c r="F592" s="58">
        <v>44391.0</v>
      </c>
      <c r="G592" s="56">
        <v>0.0</v>
      </c>
      <c r="H592" s="56">
        <v>149.41</v>
      </c>
      <c r="I592" s="59">
        <v>44393.0</v>
      </c>
      <c r="J592" s="56" t="s">
        <v>3594</v>
      </c>
      <c r="K592" s="15" t="s">
        <v>4185</v>
      </c>
      <c r="L592" s="60" t="str">
        <f t="shared" si="1"/>
        <v>Not in buy Zone</v>
      </c>
      <c r="M592" s="60" t="str">
        <f t="shared" si="2"/>
        <v>Not in buy Zone</v>
      </c>
      <c r="N592" s="33" t="str">
        <f t="shared" si="3"/>
        <v>No</v>
      </c>
    </row>
    <row r="593">
      <c r="A593" s="56" t="s">
        <v>621</v>
      </c>
      <c r="B593" s="56">
        <v>0.0</v>
      </c>
      <c r="C593" s="56">
        <v>0.0</v>
      </c>
      <c r="D593" s="56">
        <v>0.0</v>
      </c>
      <c r="E593" s="56">
        <v>40.9</v>
      </c>
      <c r="F593" s="58">
        <v>44384.0</v>
      </c>
      <c r="G593" s="56">
        <v>0.0</v>
      </c>
      <c r="H593" s="56">
        <v>39.06</v>
      </c>
      <c r="I593" s="59">
        <v>44393.0</v>
      </c>
      <c r="J593" s="56" t="s">
        <v>3594</v>
      </c>
      <c r="K593" s="15" t="s">
        <v>4186</v>
      </c>
      <c r="L593" s="60" t="str">
        <f t="shared" si="1"/>
        <v>Not in buy Zone</v>
      </c>
      <c r="M593" s="60" t="str">
        <f t="shared" si="2"/>
        <v>Not in buy Zone</v>
      </c>
      <c r="N593" s="33" t="str">
        <f t="shared" si="3"/>
        <v>No</v>
      </c>
    </row>
    <row r="594">
      <c r="A594" s="56" t="s">
        <v>622</v>
      </c>
      <c r="B594" s="56">
        <v>0.0</v>
      </c>
      <c r="C594" s="56">
        <v>0.0</v>
      </c>
      <c r="D594" s="56">
        <v>101.77</v>
      </c>
      <c r="E594" s="56">
        <v>0.0</v>
      </c>
      <c r="F594" s="58">
        <v>44341.0</v>
      </c>
      <c r="G594" s="56">
        <v>0.0</v>
      </c>
      <c r="H594" s="56">
        <v>125.53</v>
      </c>
      <c r="I594" s="59">
        <v>44393.0</v>
      </c>
      <c r="J594" s="56" t="s">
        <v>3594</v>
      </c>
      <c r="K594" s="15" t="s">
        <v>4187</v>
      </c>
      <c r="L594" s="60" t="str">
        <f t="shared" si="1"/>
        <v>Not in buy Zone</v>
      </c>
      <c r="M594" s="60" t="str">
        <f t="shared" si="2"/>
        <v>Not in buy Zone</v>
      </c>
      <c r="N594" s="33" t="str">
        <f t="shared" si="3"/>
        <v>No</v>
      </c>
    </row>
    <row r="595">
      <c r="A595" s="56" t="s">
        <v>623</v>
      </c>
      <c r="B595" s="56">
        <v>0.0</v>
      </c>
      <c r="C595" s="56">
        <v>0.0</v>
      </c>
      <c r="D595" s="56">
        <v>0.0</v>
      </c>
      <c r="E595" s="56">
        <v>45.36</v>
      </c>
      <c r="F595" s="58">
        <v>44364.0</v>
      </c>
      <c r="G595" s="56">
        <v>0.0</v>
      </c>
      <c r="H595" s="56">
        <v>41.33</v>
      </c>
      <c r="I595" s="59">
        <v>44393.0</v>
      </c>
      <c r="J595" s="56" t="s">
        <v>3594</v>
      </c>
      <c r="K595" s="15" t="s">
        <v>4188</v>
      </c>
      <c r="L595" s="60" t="str">
        <f t="shared" si="1"/>
        <v>Not in buy Zone</v>
      </c>
      <c r="M595" s="60" t="str">
        <f t="shared" si="2"/>
        <v>Not in buy Zone</v>
      </c>
      <c r="N595" s="33" t="str">
        <f t="shared" si="3"/>
        <v>No</v>
      </c>
    </row>
    <row r="596">
      <c r="A596" s="56" t="s">
        <v>624</v>
      </c>
      <c r="B596" s="56">
        <v>0.0</v>
      </c>
      <c r="C596" s="56">
        <v>0.0</v>
      </c>
      <c r="D596" s="56">
        <v>0.0</v>
      </c>
      <c r="E596" s="56">
        <v>39.41</v>
      </c>
      <c r="F596" s="58">
        <v>44383.0</v>
      </c>
      <c r="G596" s="56">
        <v>0.0</v>
      </c>
      <c r="H596" s="56">
        <v>35.28</v>
      </c>
      <c r="I596" s="59">
        <v>44393.0</v>
      </c>
      <c r="J596" s="56" t="s">
        <v>3594</v>
      </c>
      <c r="K596" s="15" t="s">
        <v>4189</v>
      </c>
      <c r="L596" s="60" t="str">
        <f t="shared" si="1"/>
        <v>Not in buy Zone</v>
      </c>
      <c r="M596" s="60" t="str">
        <f t="shared" si="2"/>
        <v>Not in buy Zone</v>
      </c>
      <c r="N596" s="33" t="str">
        <f t="shared" si="3"/>
        <v>No</v>
      </c>
    </row>
    <row r="597">
      <c r="A597" s="56" t="s">
        <v>625</v>
      </c>
      <c r="B597" s="56">
        <v>0.0</v>
      </c>
      <c r="C597" s="56">
        <v>0.0</v>
      </c>
      <c r="D597" s="56">
        <v>0.0</v>
      </c>
      <c r="E597" s="56">
        <v>80.94</v>
      </c>
      <c r="F597" s="58">
        <v>44392.0</v>
      </c>
      <c r="G597" s="56">
        <v>0.0</v>
      </c>
      <c r="H597" s="56">
        <v>79.22</v>
      </c>
      <c r="I597" s="59">
        <v>44393.0</v>
      </c>
      <c r="J597" s="56" t="s">
        <v>3594</v>
      </c>
      <c r="K597" s="15" t="s">
        <v>4190</v>
      </c>
      <c r="L597" s="60" t="str">
        <f t="shared" si="1"/>
        <v>Not in buy Zone</v>
      </c>
      <c r="M597" s="60" t="str">
        <f t="shared" si="2"/>
        <v>Not in buy Zone</v>
      </c>
      <c r="N597" s="33" t="str">
        <f t="shared" si="3"/>
        <v>No</v>
      </c>
    </row>
    <row r="598">
      <c r="A598" s="56" t="s">
        <v>626</v>
      </c>
      <c r="B598" s="56">
        <v>0.0</v>
      </c>
      <c r="C598" s="56">
        <v>0.0</v>
      </c>
      <c r="D598" s="56">
        <v>0.0</v>
      </c>
      <c r="E598" s="56">
        <v>204.43</v>
      </c>
      <c r="F598" s="58">
        <v>44392.0</v>
      </c>
      <c r="G598" s="56">
        <v>0.0</v>
      </c>
      <c r="H598" s="56">
        <v>203.41</v>
      </c>
      <c r="I598" s="59">
        <v>44393.0</v>
      </c>
      <c r="J598" s="56" t="s">
        <v>3594</v>
      </c>
      <c r="K598" s="15" t="s">
        <v>4191</v>
      </c>
      <c r="L598" s="60" t="str">
        <f t="shared" si="1"/>
        <v>Not in buy Zone</v>
      </c>
      <c r="M598" s="60" t="str">
        <f t="shared" si="2"/>
        <v>Not in buy Zone</v>
      </c>
      <c r="N598" s="33" t="str">
        <f t="shared" si="3"/>
        <v>No</v>
      </c>
    </row>
    <row r="599">
      <c r="A599" s="56" t="s">
        <v>627</v>
      </c>
      <c r="B599" s="56">
        <v>0.0</v>
      </c>
      <c r="C599" s="56">
        <v>0.0</v>
      </c>
      <c r="D599" s="56">
        <v>151.23</v>
      </c>
      <c r="E599" s="56">
        <v>0.0</v>
      </c>
      <c r="F599" s="58">
        <v>44379.0</v>
      </c>
      <c r="G599" s="56">
        <v>0.0</v>
      </c>
      <c r="H599" s="56">
        <v>156.39</v>
      </c>
      <c r="I599" s="59">
        <v>44393.0</v>
      </c>
      <c r="J599" s="56" t="s">
        <v>3594</v>
      </c>
      <c r="K599" s="15" t="s">
        <v>4192</v>
      </c>
      <c r="L599" s="60" t="str">
        <f t="shared" si="1"/>
        <v>Not in buy Zone</v>
      </c>
      <c r="M599" s="60" t="str">
        <f t="shared" si="2"/>
        <v>Not in buy Zone</v>
      </c>
      <c r="N599" s="33" t="str">
        <f t="shared" si="3"/>
        <v>No</v>
      </c>
    </row>
    <row r="600">
      <c r="A600" s="56" t="s">
        <v>628</v>
      </c>
      <c r="B600" s="56">
        <v>0.0</v>
      </c>
      <c r="C600" s="56">
        <v>0.0</v>
      </c>
      <c r="D600" s="56">
        <v>180.96</v>
      </c>
      <c r="E600" s="56">
        <v>0.0</v>
      </c>
      <c r="F600" s="58">
        <v>44371.0</v>
      </c>
      <c r="G600" s="56">
        <v>0.0</v>
      </c>
      <c r="H600" s="56">
        <v>189.0</v>
      </c>
      <c r="I600" s="59">
        <v>44393.0</v>
      </c>
      <c r="J600" s="56" t="s">
        <v>3594</v>
      </c>
      <c r="K600" s="15" t="s">
        <v>4193</v>
      </c>
      <c r="L600" s="60" t="str">
        <f t="shared" si="1"/>
        <v>Not in buy Zone</v>
      </c>
      <c r="M600" s="60" t="str">
        <f t="shared" si="2"/>
        <v>Not in buy Zone</v>
      </c>
      <c r="N600" s="33" t="str">
        <f t="shared" si="3"/>
        <v>No</v>
      </c>
    </row>
    <row r="601">
      <c r="A601" s="56" t="s">
        <v>629</v>
      </c>
      <c r="B601" s="56">
        <v>0.0</v>
      </c>
      <c r="C601" s="56">
        <v>0.0</v>
      </c>
      <c r="D601" s="56">
        <v>0.0</v>
      </c>
      <c r="E601" s="56">
        <v>653.38</v>
      </c>
      <c r="F601" s="58">
        <v>44391.0</v>
      </c>
      <c r="G601" s="56">
        <v>0.0</v>
      </c>
      <c r="H601" s="56">
        <v>644.22</v>
      </c>
      <c r="I601" s="59">
        <v>44393.0</v>
      </c>
      <c r="J601" s="56" t="s">
        <v>3594</v>
      </c>
      <c r="K601" s="15" t="s">
        <v>4194</v>
      </c>
      <c r="L601" s="60" t="str">
        <f t="shared" si="1"/>
        <v>Not in buy Zone</v>
      </c>
      <c r="M601" s="60" t="str">
        <f t="shared" si="2"/>
        <v>Not in buy Zone</v>
      </c>
      <c r="N601" s="33" t="str">
        <f t="shared" si="3"/>
        <v>No</v>
      </c>
    </row>
    <row r="602">
      <c r="A602" s="56" t="s">
        <v>630</v>
      </c>
      <c r="B602" s="56">
        <v>0.0</v>
      </c>
      <c r="C602" s="56">
        <v>0.0</v>
      </c>
      <c r="D602" s="56">
        <v>0.0</v>
      </c>
      <c r="E602" s="56">
        <v>79.6</v>
      </c>
      <c r="F602" s="58">
        <v>44342.0</v>
      </c>
      <c r="G602" s="56">
        <v>0.0</v>
      </c>
      <c r="H602" s="56">
        <v>71.4</v>
      </c>
      <c r="I602" s="59">
        <v>44393.0</v>
      </c>
      <c r="J602" s="56" t="s">
        <v>3594</v>
      </c>
      <c r="K602" s="15" t="s">
        <v>4195</v>
      </c>
      <c r="L602" s="60" t="str">
        <f t="shared" si="1"/>
        <v>Not in buy Zone</v>
      </c>
      <c r="M602" s="60" t="str">
        <f t="shared" si="2"/>
        <v>Not in buy Zone</v>
      </c>
      <c r="N602" s="33" t="str">
        <f t="shared" si="3"/>
        <v>No</v>
      </c>
    </row>
    <row r="603">
      <c r="A603" s="56" t="s">
        <v>631</v>
      </c>
      <c r="B603" s="56">
        <v>0.0</v>
      </c>
      <c r="C603" s="56">
        <v>0.0</v>
      </c>
      <c r="D603" s="56">
        <v>186.2</v>
      </c>
      <c r="E603" s="56">
        <v>0.0</v>
      </c>
      <c r="F603" s="58">
        <v>44378.0</v>
      </c>
      <c r="G603" s="56">
        <v>0.0</v>
      </c>
      <c r="H603" s="56">
        <v>192.26</v>
      </c>
      <c r="I603" s="59">
        <v>44393.0</v>
      </c>
      <c r="J603" s="56" t="s">
        <v>3594</v>
      </c>
      <c r="K603" s="15" t="s">
        <v>4196</v>
      </c>
      <c r="L603" s="60" t="str">
        <f t="shared" si="1"/>
        <v>Not in buy Zone</v>
      </c>
      <c r="M603" s="60" t="str">
        <f t="shared" si="2"/>
        <v>Not in buy Zone</v>
      </c>
      <c r="N603" s="33" t="str">
        <f t="shared" si="3"/>
        <v>No</v>
      </c>
    </row>
    <row r="604">
      <c r="A604" s="56" t="s">
        <v>632</v>
      </c>
      <c r="B604" s="56">
        <v>0.0</v>
      </c>
      <c r="C604" s="56">
        <v>0.0</v>
      </c>
      <c r="D604" s="56">
        <v>0.0</v>
      </c>
      <c r="E604" s="56">
        <v>71.99</v>
      </c>
      <c r="F604" s="58">
        <v>44392.0</v>
      </c>
      <c r="G604" s="56">
        <v>0.0</v>
      </c>
      <c r="H604" s="56">
        <v>70.62</v>
      </c>
      <c r="I604" s="59">
        <v>44393.0</v>
      </c>
      <c r="J604" s="56" t="s">
        <v>3594</v>
      </c>
      <c r="K604" s="15" t="s">
        <v>4197</v>
      </c>
      <c r="L604" s="60" t="str">
        <f t="shared" si="1"/>
        <v>Not in buy Zone</v>
      </c>
      <c r="M604" s="60" t="str">
        <f t="shared" si="2"/>
        <v>Not in buy Zone</v>
      </c>
      <c r="N604" s="33" t="str">
        <f t="shared" si="3"/>
        <v>No</v>
      </c>
    </row>
    <row r="605">
      <c r="A605" s="56" t="s">
        <v>633</v>
      </c>
      <c r="B605" s="56">
        <v>0.0</v>
      </c>
      <c r="C605" s="56">
        <v>0.0</v>
      </c>
      <c r="D605" s="56">
        <v>0.0</v>
      </c>
      <c r="E605" s="56">
        <v>171.65</v>
      </c>
      <c r="F605" s="58">
        <v>44363.0</v>
      </c>
      <c r="G605" s="56">
        <v>0.0</v>
      </c>
      <c r="H605" s="56">
        <v>170.52</v>
      </c>
      <c r="I605" s="59">
        <v>44393.0</v>
      </c>
      <c r="J605" s="56" t="s">
        <v>3594</v>
      </c>
      <c r="K605" s="15" t="s">
        <v>4198</v>
      </c>
      <c r="L605" s="60" t="str">
        <f t="shared" si="1"/>
        <v>Not in buy Zone</v>
      </c>
      <c r="M605" s="60" t="str">
        <f t="shared" si="2"/>
        <v>Not in buy Zone</v>
      </c>
      <c r="N605" s="33" t="str">
        <f t="shared" si="3"/>
        <v>No</v>
      </c>
    </row>
    <row r="606">
      <c r="A606" s="56" t="s">
        <v>634</v>
      </c>
      <c r="B606" s="56">
        <v>0.0</v>
      </c>
      <c r="C606" s="56">
        <v>0.0</v>
      </c>
      <c r="D606" s="56">
        <v>0.0</v>
      </c>
      <c r="E606" s="56">
        <v>375.35</v>
      </c>
      <c r="F606" s="58">
        <v>44391.0</v>
      </c>
      <c r="G606" s="56">
        <v>0.0</v>
      </c>
      <c r="H606" s="56">
        <v>374.98</v>
      </c>
      <c r="I606" s="59">
        <v>44393.0</v>
      </c>
      <c r="J606" s="56" t="s">
        <v>3594</v>
      </c>
      <c r="K606" s="15" t="s">
        <v>4199</v>
      </c>
      <c r="L606" s="60" t="str">
        <f t="shared" si="1"/>
        <v>Not in buy Zone</v>
      </c>
      <c r="M606" s="60" t="str">
        <f t="shared" si="2"/>
        <v>Not in buy Zone</v>
      </c>
      <c r="N606" s="33" t="str">
        <f t="shared" si="3"/>
        <v>No</v>
      </c>
    </row>
    <row r="607">
      <c r="A607" s="56" t="s">
        <v>635</v>
      </c>
      <c r="B607" s="56">
        <v>0.0</v>
      </c>
      <c r="C607" s="56">
        <v>0.0</v>
      </c>
      <c r="D607" s="56">
        <v>0.0</v>
      </c>
      <c r="E607" s="56">
        <v>68.07</v>
      </c>
      <c r="F607" s="58">
        <v>44392.0</v>
      </c>
      <c r="G607" s="56">
        <v>0.0</v>
      </c>
      <c r="H607" s="56">
        <v>66.41</v>
      </c>
      <c r="I607" s="59">
        <v>44393.0</v>
      </c>
      <c r="J607" s="56" t="s">
        <v>3594</v>
      </c>
      <c r="K607" s="15" t="s">
        <v>4200</v>
      </c>
      <c r="L607" s="60" t="str">
        <f t="shared" si="1"/>
        <v>Not in buy Zone</v>
      </c>
      <c r="M607" s="60" t="str">
        <f t="shared" si="2"/>
        <v>Not in buy Zone</v>
      </c>
      <c r="N607" s="33" t="str">
        <f t="shared" si="3"/>
        <v>No</v>
      </c>
    </row>
    <row r="608">
      <c r="A608" s="56" t="s">
        <v>636</v>
      </c>
      <c r="B608" s="56">
        <v>0.0</v>
      </c>
      <c r="C608" s="56">
        <v>0.0</v>
      </c>
      <c r="D608" s="56">
        <v>0.0</v>
      </c>
      <c r="E608" s="56">
        <v>188.26</v>
      </c>
      <c r="F608" s="58">
        <v>44392.0</v>
      </c>
      <c r="G608" s="56">
        <v>0.0</v>
      </c>
      <c r="H608" s="56">
        <v>186.12</v>
      </c>
      <c r="I608" s="59">
        <v>44393.0</v>
      </c>
      <c r="J608" s="56" t="s">
        <v>3594</v>
      </c>
      <c r="K608" s="15" t="s">
        <v>4201</v>
      </c>
      <c r="L608" s="60" t="str">
        <f t="shared" si="1"/>
        <v>Not in buy Zone</v>
      </c>
      <c r="M608" s="60" t="str">
        <f t="shared" si="2"/>
        <v>Not in buy Zone</v>
      </c>
      <c r="N608" s="33" t="str">
        <f t="shared" si="3"/>
        <v>No</v>
      </c>
    </row>
    <row r="609">
      <c r="A609" s="56" t="s">
        <v>637</v>
      </c>
      <c r="B609" s="56">
        <v>0.0</v>
      </c>
      <c r="C609" s="56">
        <v>0.0</v>
      </c>
      <c r="D609" s="56">
        <v>0.0</v>
      </c>
      <c r="E609" s="56">
        <v>67.31</v>
      </c>
      <c r="F609" s="58">
        <v>44383.0</v>
      </c>
      <c r="G609" s="56">
        <v>0.0</v>
      </c>
      <c r="H609" s="56">
        <v>66.28</v>
      </c>
      <c r="I609" s="59">
        <v>44393.0</v>
      </c>
      <c r="J609" s="56" t="s">
        <v>3594</v>
      </c>
      <c r="K609" s="15" t="s">
        <v>4202</v>
      </c>
      <c r="L609" s="60" t="str">
        <f t="shared" si="1"/>
        <v>Not in buy Zone</v>
      </c>
      <c r="M609" s="60" t="str">
        <f t="shared" si="2"/>
        <v>Not in buy Zone</v>
      </c>
      <c r="N609" s="33" t="str">
        <f t="shared" si="3"/>
        <v>No</v>
      </c>
    </row>
    <row r="610">
      <c r="A610" s="56" t="s">
        <v>638</v>
      </c>
      <c r="B610" s="56">
        <v>0.0</v>
      </c>
      <c r="C610" s="56">
        <v>0.0</v>
      </c>
      <c r="D610" s="56">
        <v>403.83</v>
      </c>
      <c r="E610" s="56">
        <v>0.0</v>
      </c>
      <c r="F610" s="58">
        <v>44340.0</v>
      </c>
      <c r="G610" s="56">
        <v>0.0</v>
      </c>
      <c r="H610" s="56">
        <v>473.43</v>
      </c>
      <c r="I610" s="59">
        <v>44393.0</v>
      </c>
      <c r="J610" s="56" t="s">
        <v>3594</v>
      </c>
      <c r="K610" s="15" t="s">
        <v>4203</v>
      </c>
      <c r="L610" s="60" t="str">
        <f t="shared" si="1"/>
        <v>Not in buy Zone</v>
      </c>
      <c r="M610" s="60" t="str">
        <f t="shared" si="2"/>
        <v>Not in buy Zone</v>
      </c>
      <c r="N610" s="33" t="str">
        <f t="shared" si="3"/>
        <v>No</v>
      </c>
    </row>
    <row r="611">
      <c r="A611" s="56" t="s">
        <v>639</v>
      </c>
      <c r="B611" s="56">
        <v>0.0</v>
      </c>
      <c r="C611" s="56">
        <v>0.0</v>
      </c>
      <c r="D611" s="56">
        <v>0.0</v>
      </c>
      <c r="E611" s="56">
        <v>17.78</v>
      </c>
      <c r="F611" s="58">
        <v>44392.0</v>
      </c>
      <c r="G611" s="56">
        <v>0.0</v>
      </c>
      <c r="H611" s="56">
        <v>17.05</v>
      </c>
      <c r="I611" s="59">
        <v>44393.0</v>
      </c>
      <c r="J611" s="56" t="s">
        <v>3594</v>
      </c>
      <c r="K611" s="15" t="s">
        <v>4204</v>
      </c>
      <c r="L611" s="60" t="str">
        <f t="shared" si="1"/>
        <v>Not in buy Zone</v>
      </c>
      <c r="M611" s="60" t="str">
        <f t="shared" si="2"/>
        <v>Not in buy Zone</v>
      </c>
      <c r="N611" s="33" t="str">
        <f t="shared" si="3"/>
        <v>No</v>
      </c>
    </row>
    <row r="612">
      <c r="A612" s="56" t="s">
        <v>640</v>
      </c>
      <c r="B612" s="56">
        <v>0.0</v>
      </c>
      <c r="C612" s="56">
        <v>0.0</v>
      </c>
      <c r="D612" s="56">
        <v>0.0</v>
      </c>
      <c r="E612" s="56">
        <v>20.08</v>
      </c>
      <c r="F612" s="58">
        <v>44392.0</v>
      </c>
      <c r="G612" s="56">
        <v>0.0</v>
      </c>
      <c r="H612" s="56">
        <v>19.26</v>
      </c>
      <c r="I612" s="59">
        <v>44393.0</v>
      </c>
      <c r="J612" s="56" t="s">
        <v>3594</v>
      </c>
      <c r="K612" s="15" t="s">
        <v>4205</v>
      </c>
      <c r="L612" s="60" t="str">
        <f t="shared" si="1"/>
        <v>Not in buy Zone</v>
      </c>
      <c r="M612" s="60" t="str">
        <f t="shared" si="2"/>
        <v>Not in buy Zone</v>
      </c>
      <c r="N612" s="33" t="str">
        <f t="shared" si="3"/>
        <v>No</v>
      </c>
    </row>
    <row r="613">
      <c r="A613" s="56" t="s">
        <v>641</v>
      </c>
      <c r="B613" s="56">
        <v>0.0</v>
      </c>
      <c r="C613" s="56">
        <v>0.0</v>
      </c>
      <c r="D613" s="56">
        <v>0.0</v>
      </c>
      <c r="E613" s="56">
        <v>56.26</v>
      </c>
      <c r="F613" s="58">
        <v>44357.0</v>
      </c>
      <c r="G613" s="56">
        <v>0.0</v>
      </c>
      <c r="H613" s="56">
        <v>46.01</v>
      </c>
      <c r="I613" s="59">
        <v>44393.0</v>
      </c>
      <c r="J613" s="56" t="s">
        <v>3594</v>
      </c>
      <c r="K613" s="15" t="s">
        <v>4206</v>
      </c>
      <c r="L613" s="60" t="str">
        <f t="shared" si="1"/>
        <v>Not in buy Zone</v>
      </c>
      <c r="M613" s="60" t="str">
        <f t="shared" si="2"/>
        <v>Not in buy Zone</v>
      </c>
      <c r="N613" s="33" t="str">
        <f t="shared" si="3"/>
        <v>No</v>
      </c>
    </row>
    <row r="614">
      <c r="A614" s="56" t="s">
        <v>642</v>
      </c>
      <c r="B614" s="56">
        <v>0.0</v>
      </c>
      <c r="C614" s="56">
        <v>0.0</v>
      </c>
      <c r="D614" s="56">
        <v>0.0</v>
      </c>
      <c r="E614" s="56">
        <v>47.55</v>
      </c>
      <c r="F614" s="58">
        <v>44385.0</v>
      </c>
      <c r="G614" s="56">
        <v>0.0</v>
      </c>
      <c r="H614" s="56">
        <v>46.19</v>
      </c>
      <c r="I614" s="59">
        <v>44393.0</v>
      </c>
      <c r="J614" s="56" t="s">
        <v>3594</v>
      </c>
      <c r="K614" s="15" t="s">
        <v>4207</v>
      </c>
      <c r="L614" s="60" t="str">
        <f t="shared" si="1"/>
        <v>Not in buy Zone</v>
      </c>
      <c r="M614" s="60" t="str">
        <f t="shared" si="2"/>
        <v>Not in buy Zone</v>
      </c>
      <c r="N614" s="33" t="str">
        <f t="shared" si="3"/>
        <v>No</v>
      </c>
    </row>
    <row r="615">
      <c r="A615" s="56" t="s">
        <v>643</v>
      </c>
      <c r="B615" s="56">
        <v>0.0</v>
      </c>
      <c r="C615" s="56">
        <v>0.0</v>
      </c>
      <c r="D615" s="56">
        <v>51.14</v>
      </c>
      <c r="E615" s="56">
        <v>0.0</v>
      </c>
      <c r="F615" s="58">
        <v>44385.0</v>
      </c>
      <c r="G615" s="56">
        <v>0.0</v>
      </c>
      <c r="H615" s="56">
        <v>53.25</v>
      </c>
      <c r="I615" s="59">
        <v>44393.0</v>
      </c>
      <c r="J615" s="56" t="s">
        <v>3594</v>
      </c>
      <c r="K615" s="15" t="s">
        <v>4208</v>
      </c>
      <c r="L615" s="60" t="str">
        <f t="shared" si="1"/>
        <v>Not in buy Zone</v>
      </c>
      <c r="M615" s="60" t="str">
        <f t="shared" si="2"/>
        <v>Not in buy Zone</v>
      </c>
      <c r="N615" s="33" t="str">
        <f t="shared" si="3"/>
        <v>No</v>
      </c>
    </row>
    <row r="616">
      <c r="A616" s="56" t="s">
        <v>644</v>
      </c>
      <c r="B616" s="56">
        <v>0.0</v>
      </c>
      <c r="C616" s="56">
        <v>0.0</v>
      </c>
      <c r="D616" s="56">
        <v>153.95</v>
      </c>
      <c r="E616" s="56">
        <v>0.0</v>
      </c>
      <c r="F616" s="58">
        <v>44386.0</v>
      </c>
      <c r="G616" s="56">
        <v>0.0</v>
      </c>
      <c r="H616" s="56">
        <v>151.33</v>
      </c>
      <c r="I616" s="59">
        <v>44393.0</v>
      </c>
      <c r="J616" s="56" t="s">
        <v>3594</v>
      </c>
      <c r="K616" s="15" t="s">
        <v>4209</v>
      </c>
      <c r="L616" s="60" t="str">
        <f t="shared" si="1"/>
        <v>Not in buy Zone</v>
      </c>
      <c r="M616" s="60" t="str">
        <f t="shared" si="2"/>
        <v>Not in buy Zone</v>
      </c>
      <c r="N616" s="33" t="str">
        <f t="shared" si="3"/>
        <v>No</v>
      </c>
    </row>
    <row r="617">
      <c r="A617" s="56" t="s">
        <v>645</v>
      </c>
      <c r="B617" s="56">
        <v>0.0</v>
      </c>
      <c r="C617" s="56">
        <v>0.0</v>
      </c>
      <c r="D617" s="56">
        <v>0.0</v>
      </c>
      <c r="E617" s="56">
        <v>335.33</v>
      </c>
      <c r="F617" s="58">
        <v>44385.0</v>
      </c>
      <c r="G617" s="56">
        <v>0.0</v>
      </c>
      <c r="H617" s="56">
        <v>332.12</v>
      </c>
      <c r="I617" s="59">
        <v>44393.0</v>
      </c>
      <c r="J617" s="56" t="s">
        <v>3594</v>
      </c>
      <c r="K617" s="15" t="s">
        <v>4210</v>
      </c>
      <c r="L617" s="60" t="str">
        <f t="shared" si="1"/>
        <v>Not in buy Zone</v>
      </c>
      <c r="M617" s="60" t="str">
        <f t="shared" si="2"/>
        <v>Not in buy Zone</v>
      </c>
      <c r="N617" s="33" t="str">
        <f t="shared" si="3"/>
        <v>No</v>
      </c>
    </row>
    <row r="618">
      <c r="A618" s="56" t="s">
        <v>646</v>
      </c>
      <c r="B618" s="56">
        <v>0.0</v>
      </c>
      <c r="C618" s="56">
        <v>0.0</v>
      </c>
      <c r="D618" s="56">
        <v>400.44</v>
      </c>
      <c r="E618" s="56">
        <v>0.0</v>
      </c>
      <c r="F618" s="58">
        <v>44377.0</v>
      </c>
      <c r="G618" s="56">
        <v>0.0</v>
      </c>
      <c r="H618" s="56">
        <v>419.7</v>
      </c>
      <c r="I618" s="59">
        <v>44393.0</v>
      </c>
      <c r="J618" s="56" t="s">
        <v>3594</v>
      </c>
      <c r="K618" s="15" t="s">
        <v>4211</v>
      </c>
      <c r="L618" s="60" t="str">
        <f t="shared" si="1"/>
        <v>Not in buy Zone</v>
      </c>
      <c r="M618" s="60" t="str">
        <f t="shared" si="2"/>
        <v>Not in buy Zone</v>
      </c>
      <c r="N618" s="33" t="str">
        <f t="shared" si="3"/>
        <v>No</v>
      </c>
    </row>
    <row r="619">
      <c r="A619" s="56" t="s">
        <v>647</v>
      </c>
      <c r="B619" s="56">
        <v>0.0</v>
      </c>
      <c r="C619" s="56">
        <v>0.0</v>
      </c>
      <c r="D619" s="56">
        <v>0.0</v>
      </c>
      <c r="E619" s="56">
        <v>30.32</v>
      </c>
      <c r="F619" s="58">
        <v>44357.0</v>
      </c>
      <c r="G619" s="56">
        <v>0.0</v>
      </c>
      <c r="H619" s="56">
        <v>27.04</v>
      </c>
      <c r="I619" s="59">
        <v>44393.0</v>
      </c>
      <c r="J619" s="56" t="s">
        <v>3594</v>
      </c>
      <c r="K619" s="15" t="s">
        <v>4212</v>
      </c>
      <c r="L619" s="60" t="str">
        <f t="shared" si="1"/>
        <v>Not in buy Zone</v>
      </c>
      <c r="M619" s="60" t="str">
        <f t="shared" si="2"/>
        <v>Not in buy Zone</v>
      </c>
      <c r="N619" s="33" t="str">
        <f t="shared" si="3"/>
        <v>No</v>
      </c>
    </row>
    <row r="620">
      <c r="A620" s="56" t="s">
        <v>648</v>
      </c>
      <c r="B620" s="56">
        <v>0.0</v>
      </c>
      <c r="C620" s="56">
        <v>218.42</v>
      </c>
      <c r="D620" s="56">
        <v>0.0</v>
      </c>
      <c r="E620" s="56">
        <v>0.0</v>
      </c>
      <c r="F620" s="58">
        <v>44393.0</v>
      </c>
      <c r="G620" s="56">
        <v>-1.0</v>
      </c>
      <c r="H620" s="56">
        <v>218.42</v>
      </c>
      <c r="I620" s="59">
        <v>44393.0</v>
      </c>
      <c r="J620" s="56" t="s">
        <v>3594</v>
      </c>
      <c r="K620" s="15" t="s">
        <v>4213</v>
      </c>
      <c r="L620" s="60" t="str">
        <f t="shared" si="1"/>
        <v>Not in buy Zone</v>
      </c>
      <c r="M620" s="60" t="str">
        <f t="shared" si="2"/>
        <v>Not in buy Zone</v>
      </c>
      <c r="N620" s="33" t="str">
        <f t="shared" si="3"/>
        <v>No</v>
      </c>
    </row>
    <row r="621">
      <c r="A621" s="56" t="s">
        <v>649</v>
      </c>
      <c r="B621" s="56">
        <v>0.0</v>
      </c>
      <c r="C621" s="56">
        <v>0.0</v>
      </c>
      <c r="D621" s="56">
        <v>207.97</v>
      </c>
      <c r="E621" s="56">
        <v>0.0</v>
      </c>
      <c r="F621" s="58">
        <v>44377.0</v>
      </c>
      <c r="G621" s="56">
        <v>0.0</v>
      </c>
      <c r="H621" s="56">
        <v>210.57</v>
      </c>
      <c r="I621" s="59">
        <v>44393.0</v>
      </c>
      <c r="J621" s="56" t="s">
        <v>3594</v>
      </c>
      <c r="K621" s="15" t="s">
        <v>4214</v>
      </c>
      <c r="L621" s="60" t="str">
        <f t="shared" si="1"/>
        <v>Not in buy Zone</v>
      </c>
      <c r="M621" s="60" t="str">
        <f t="shared" si="2"/>
        <v>Not in buy Zone</v>
      </c>
      <c r="N621" s="33" t="str">
        <f t="shared" si="3"/>
        <v>No</v>
      </c>
    </row>
    <row r="622">
      <c r="A622" s="56" t="s">
        <v>650</v>
      </c>
      <c r="B622" s="56">
        <v>0.0</v>
      </c>
      <c r="C622" s="56">
        <v>0.0</v>
      </c>
      <c r="D622" s="56">
        <v>0.0</v>
      </c>
      <c r="E622" s="56">
        <v>125.505</v>
      </c>
      <c r="F622" s="58">
        <v>44358.0</v>
      </c>
      <c r="G622" s="56">
        <v>0.0</v>
      </c>
      <c r="H622" s="56">
        <v>113.79</v>
      </c>
      <c r="I622" s="59">
        <v>44393.0</v>
      </c>
      <c r="J622" s="56" t="s">
        <v>3594</v>
      </c>
      <c r="K622" s="15" t="s">
        <v>4215</v>
      </c>
      <c r="L622" s="60" t="str">
        <f t="shared" si="1"/>
        <v>Not in buy Zone</v>
      </c>
      <c r="M622" s="60" t="str">
        <f t="shared" si="2"/>
        <v>Not in buy Zone</v>
      </c>
      <c r="N622" s="33" t="str">
        <f t="shared" si="3"/>
        <v>No</v>
      </c>
    </row>
    <row r="623">
      <c r="A623" s="56" t="s">
        <v>651</v>
      </c>
      <c r="B623" s="56">
        <v>0.0</v>
      </c>
      <c r="C623" s="56">
        <v>0.0</v>
      </c>
      <c r="D623" s="56">
        <v>312.97</v>
      </c>
      <c r="E623" s="56">
        <v>0.0</v>
      </c>
      <c r="F623" s="58">
        <v>44372.0</v>
      </c>
      <c r="G623" s="56">
        <v>0.0</v>
      </c>
      <c r="H623" s="56">
        <v>306.08</v>
      </c>
      <c r="I623" s="59">
        <v>44393.0</v>
      </c>
      <c r="J623" s="56" t="s">
        <v>3594</v>
      </c>
      <c r="K623" s="15" t="s">
        <v>4216</v>
      </c>
      <c r="L623" s="60" t="str">
        <f t="shared" si="1"/>
        <v>Not in buy Zone</v>
      </c>
      <c r="M623" s="60" t="str">
        <f t="shared" si="2"/>
        <v>Not in buy Zone</v>
      </c>
      <c r="N623" s="33" t="str">
        <f t="shared" si="3"/>
        <v>No</v>
      </c>
    </row>
    <row r="624">
      <c r="A624" s="56" t="s">
        <v>652</v>
      </c>
      <c r="B624" s="56">
        <v>0.0</v>
      </c>
      <c r="C624" s="56">
        <v>0.0</v>
      </c>
      <c r="D624" s="56">
        <v>57.58</v>
      </c>
      <c r="E624" s="56">
        <v>0.0</v>
      </c>
      <c r="F624" s="58">
        <v>44389.0</v>
      </c>
      <c r="G624" s="56">
        <v>0.0</v>
      </c>
      <c r="H624" s="56">
        <v>57.17</v>
      </c>
      <c r="I624" s="59">
        <v>44393.0</v>
      </c>
      <c r="J624" s="56" t="s">
        <v>3594</v>
      </c>
      <c r="K624" s="15" t="s">
        <v>4217</v>
      </c>
      <c r="L624" s="60" t="str">
        <f t="shared" si="1"/>
        <v>Not in buy Zone</v>
      </c>
      <c r="M624" s="60" t="str">
        <f t="shared" si="2"/>
        <v>Not in buy Zone</v>
      </c>
      <c r="N624" s="33" t="str">
        <f t="shared" si="3"/>
        <v>No</v>
      </c>
    </row>
    <row r="625">
      <c r="A625" s="56" t="s">
        <v>653</v>
      </c>
      <c r="B625" s="56">
        <v>0.0</v>
      </c>
      <c r="C625" s="56">
        <v>0.0</v>
      </c>
      <c r="D625" s="56">
        <v>73.7</v>
      </c>
      <c r="E625" s="56">
        <v>0.0</v>
      </c>
      <c r="F625" s="58">
        <v>44375.0</v>
      </c>
      <c r="G625" s="56">
        <v>0.0</v>
      </c>
      <c r="H625" s="56">
        <v>75.28</v>
      </c>
      <c r="I625" s="59">
        <v>44393.0</v>
      </c>
      <c r="J625" s="56" t="s">
        <v>3594</v>
      </c>
      <c r="K625" s="15" t="s">
        <v>4218</v>
      </c>
      <c r="L625" s="60" t="str">
        <f t="shared" si="1"/>
        <v>Not in buy Zone</v>
      </c>
      <c r="M625" s="60" t="str">
        <f t="shared" si="2"/>
        <v>Not in buy Zone</v>
      </c>
      <c r="N625" s="33" t="str">
        <f t="shared" si="3"/>
        <v>No</v>
      </c>
    </row>
    <row r="626">
      <c r="A626" s="56" t="s">
        <v>654</v>
      </c>
      <c r="B626" s="56">
        <v>0.0</v>
      </c>
      <c r="C626" s="56">
        <v>0.0</v>
      </c>
      <c r="D626" s="56">
        <v>0.0</v>
      </c>
      <c r="E626" s="56">
        <v>48.66</v>
      </c>
      <c r="F626" s="58">
        <v>44384.0</v>
      </c>
      <c r="G626" s="56">
        <v>0.0</v>
      </c>
      <c r="H626" s="56">
        <v>49.14</v>
      </c>
      <c r="I626" s="59">
        <v>44393.0</v>
      </c>
      <c r="J626" s="56" t="s">
        <v>3594</v>
      </c>
      <c r="K626" s="15" t="s">
        <v>4219</v>
      </c>
      <c r="L626" s="60" t="str">
        <f t="shared" si="1"/>
        <v>Not in buy Zone</v>
      </c>
      <c r="M626" s="60" t="str">
        <f t="shared" si="2"/>
        <v>Not in buy Zone</v>
      </c>
      <c r="N626" s="33" t="str">
        <f t="shared" si="3"/>
        <v>No</v>
      </c>
    </row>
    <row r="627">
      <c r="A627" s="56" t="s">
        <v>655</v>
      </c>
      <c r="B627" s="56">
        <v>0.0</v>
      </c>
      <c r="C627" s="56">
        <v>0.0</v>
      </c>
      <c r="D627" s="56">
        <v>238.63</v>
      </c>
      <c r="E627" s="56">
        <v>0.0</v>
      </c>
      <c r="F627" s="58">
        <v>44379.0</v>
      </c>
      <c r="G627" s="56">
        <v>0.0</v>
      </c>
      <c r="H627" s="56">
        <v>248.12</v>
      </c>
      <c r="I627" s="59">
        <v>44393.0</v>
      </c>
      <c r="J627" s="56" t="s">
        <v>3594</v>
      </c>
      <c r="K627" s="15" t="s">
        <v>4220</v>
      </c>
      <c r="L627" s="60" t="str">
        <f t="shared" si="1"/>
        <v>Not in buy Zone</v>
      </c>
      <c r="M627" s="60" t="str">
        <f t="shared" si="2"/>
        <v>Not in buy Zone</v>
      </c>
      <c r="N627" s="33" t="str">
        <f t="shared" si="3"/>
        <v>No</v>
      </c>
    </row>
    <row r="628">
      <c r="A628" s="56" t="s">
        <v>656</v>
      </c>
      <c r="B628" s="56">
        <v>0.0</v>
      </c>
      <c r="C628" s="56">
        <v>0.0</v>
      </c>
      <c r="D628" s="56">
        <v>95.37</v>
      </c>
      <c r="E628" s="56">
        <v>0.0</v>
      </c>
      <c r="F628" s="58">
        <v>44383.0</v>
      </c>
      <c r="G628" s="56">
        <v>0.0</v>
      </c>
      <c r="H628" s="56">
        <v>95.49</v>
      </c>
      <c r="I628" s="59">
        <v>44393.0</v>
      </c>
      <c r="J628" s="56" t="s">
        <v>3594</v>
      </c>
      <c r="K628" s="15" t="s">
        <v>4221</v>
      </c>
      <c r="L628" s="60" t="str">
        <f t="shared" si="1"/>
        <v>Not in buy Zone</v>
      </c>
      <c r="M628" s="60" t="str">
        <f t="shared" si="2"/>
        <v>Not in buy Zone</v>
      </c>
      <c r="N628" s="33" t="str">
        <f t="shared" si="3"/>
        <v>No</v>
      </c>
    </row>
    <row r="629">
      <c r="A629" s="56" t="s">
        <v>657</v>
      </c>
      <c r="B629" s="56">
        <v>0.0</v>
      </c>
      <c r="C629" s="56">
        <v>0.0</v>
      </c>
      <c r="D629" s="56">
        <v>82.73</v>
      </c>
      <c r="E629" s="56">
        <v>0.0</v>
      </c>
      <c r="F629" s="58">
        <v>44385.0</v>
      </c>
      <c r="G629" s="56">
        <v>0.0</v>
      </c>
      <c r="H629" s="56">
        <v>82.66</v>
      </c>
      <c r="I629" s="59">
        <v>44393.0</v>
      </c>
      <c r="J629" s="56" t="s">
        <v>3594</v>
      </c>
      <c r="K629" s="15" t="s">
        <v>4222</v>
      </c>
      <c r="L629" s="60" t="str">
        <f t="shared" si="1"/>
        <v>Not in buy Zone</v>
      </c>
      <c r="M629" s="60" t="str">
        <f t="shared" si="2"/>
        <v>Not in buy Zone</v>
      </c>
      <c r="N629" s="33" t="str">
        <f t="shared" si="3"/>
        <v>No</v>
      </c>
    </row>
    <row r="630">
      <c r="A630" s="56" t="s">
        <v>658</v>
      </c>
      <c r="B630" s="56">
        <v>0.0</v>
      </c>
      <c r="C630" s="56">
        <v>0.0</v>
      </c>
      <c r="D630" s="56">
        <v>0.0</v>
      </c>
      <c r="E630" s="56">
        <v>52.56</v>
      </c>
      <c r="F630" s="58">
        <v>44364.0</v>
      </c>
      <c r="G630" s="56">
        <v>0.0</v>
      </c>
      <c r="H630" s="56">
        <v>51.07</v>
      </c>
      <c r="I630" s="59">
        <v>44393.0</v>
      </c>
      <c r="J630" s="56" t="s">
        <v>3594</v>
      </c>
      <c r="K630" s="15" t="s">
        <v>4223</v>
      </c>
      <c r="L630" s="60" t="str">
        <f t="shared" si="1"/>
        <v>Not in buy Zone</v>
      </c>
      <c r="M630" s="60" t="str">
        <f t="shared" si="2"/>
        <v>Not in buy Zone</v>
      </c>
      <c r="N630" s="33" t="str">
        <f t="shared" si="3"/>
        <v>No</v>
      </c>
    </row>
    <row r="631">
      <c r="A631" s="56" t="s">
        <v>659</v>
      </c>
      <c r="B631" s="56">
        <v>0.0</v>
      </c>
      <c r="C631" s="56">
        <v>0.0</v>
      </c>
      <c r="D631" s="56">
        <v>47.45</v>
      </c>
      <c r="E631" s="56">
        <v>0.0</v>
      </c>
      <c r="F631" s="58">
        <v>44390.0</v>
      </c>
      <c r="G631" s="56">
        <v>0.0</v>
      </c>
      <c r="H631" s="56">
        <v>48.41</v>
      </c>
      <c r="I631" s="59">
        <v>44393.0</v>
      </c>
      <c r="J631" s="56" t="s">
        <v>3594</v>
      </c>
      <c r="K631" s="15" t="s">
        <v>4224</v>
      </c>
      <c r="L631" s="60" t="str">
        <f t="shared" si="1"/>
        <v>Not in buy Zone</v>
      </c>
      <c r="M631" s="60" t="str">
        <f t="shared" si="2"/>
        <v>Not in buy Zone</v>
      </c>
      <c r="N631" s="33" t="str">
        <f t="shared" si="3"/>
        <v>No</v>
      </c>
    </row>
    <row r="632">
      <c r="A632" s="56" t="s">
        <v>660</v>
      </c>
      <c r="B632" s="56">
        <v>0.0</v>
      </c>
      <c r="C632" s="56">
        <v>0.0</v>
      </c>
      <c r="D632" s="56">
        <v>0.0</v>
      </c>
      <c r="E632" s="56">
        <v>64.4</v>
      </c>
      <c r="F632" s="58">
        <v>44364.0</v>
      </c>
      <c r="G632" s="56">
        <v>0.0</v>
      </c>
      <c r="H632" s="56">
        <v>62.51</v>
      </c>
      <c r="I632" s="59">
        <v>44393.0</v>
      </c>
      <c r="J632" s="56" t="s">
        <v>3594</v>
      </c>
      <c r="K632" s="15" t="s">
        <v>4225</v>
      </c>
      <c r="L632" s="60" t="str">
        <f t="shared" si="1"/>
        <v>Not in buy Zone</v>
      </c>
      <c r="M632" s="60" t="str">
        <f t="shared" si="2"/>
        <v>Not in buy Zone</v>
      </c>
      <c r="N632" s="33" t="str">
        <f t="shared" si="3"/>
        <v>No</v>
      </c>
    </row>
    <row r="633">
      <c r="A633" s="56" t="s">
        <v>661</v>
      </c>
      <c r="B633" s="56">
        <v>0.0</v>
      </c>
      <c r="C633" s="56">
        <v>0.0</v>
      </c>
      <c r="D633" s="56">
        <v>0.0</v>
      </c>
      <c r="E633" s="56">
        <v>79.76</v>
      </c>
      <c r="F633" s="58">
        <v>44392.0</v>
      </c>
      <c r="G633" s="56">
        <v>0.0</v>
      </c>
      <c r="H633" s="56">
        <v>77.42</v>
      </c>
      <c r="I633" s="59">
        <v>44393.0</v>
      </c>
      <c r="J633" s="56" t="s">
        <v>3594</v>
      </c>
      <c r="K633" s="15" t="s">
        <v>4226</v>
      </c>
      <c r="L633" s="60" t="str">
        <f t="shared" si="1"/>
        <v>Not in buy Zone</v>
      </c>
      <c r="M633" s="60" t="str">
        <f t="shared" si="2"/>
        <v>Not in buy Zone</v>
      </c>
      <c r="N633" s="33" t="str">
        <f t="shared" si="3"/>
        <v>No</v>
      </c>
    </row>
    <row r="634">
      <c r="A634" s="56" t="s">
        <v>662</v>
      </c>
      <c r="B634" s="56">
        <v>0.0</v>
      </c>
      <c r="C634" s="56">
        <v>0.0</v>
      </c>
      <c r="D634" s="56">
        <v>0.0</v>
      </c>
      <c r="E634" s="56">
        <v>69.03</v>
      </c>
      <c r="F634" s="58">
        <v>44364.0</v>
      </c>
      <c r="G634" s="56">
        <v>0.0</v>
      </c>
      <c r="H634" s="56">
        <v>66.86</v>
      </c>
      <c r="I634" s="59">
        <v>44393.0</v>
      </c>
      <c r="J634" s="56" t="s">
        <v>3594</v>
      </c>
      <c r="K634" s="15" t="s">
        <v>4227</v>
      </c>
      <c r="L634" s="60" t="str">
        <f t="shared" si="1"/>
        <v>Not in buy Zone</v>
      </c>
      <c r="M634" s="60" t="str">
        <f t="shared" si="2"/>
        <v>Not in buy Zone</v>
      </c>
      <c r="N634" s="33" t="str">
        <f t="shared" si="3"/>
        <v>No</v>
      </c>
    </row>
    <row r="635">
      <c r="A635" s="56" t="s">
        <v>663</v>
      </c>
      <c r="B635" s="56">
        <v>0.0</v>
      </c>
      <c r="C635" s="56">
        <v>0.0</v>
      </c>
      <c r="D635" s="56">
        <v>0.0</v>
      </c>
      <c r="E635" s="56">
        <v>42.77</v>
      </c>
      <c r="F635" s="58">
        <v>44386.0</v>
      </c>
      <c r="G635" s="56">
        <v>0.0</v>
      </c>
      <c r="H635" s="56">
        <v>40.29</v>
      </c>
      <c r="I635" s="59">
        <v>44393.0</v>
      </c>
      <c r="J635" s="56" t="s">
        <v>3594</v>
      </c>
      <c r="K635" s="15" t="s">
        <v>4228</v>
      </c>
      <c r="L635" s="60" t="str">
        <f t="shared" si="1"/>
        <v>Not in buy Zone</v>
      </c>
      <c r="M635" s="60" t="str">
        <f t="shared" si="2"/>
        <v>Not in buy Zone</v>
      </c>
      <c r="N635" s="33" t="str">
        <f t="shared" si="3"/>
        <v>No</v>
      </c>
    </row>
    <row r="636">
      <c r="A636" s="56" t="s">
        <v>664</v>
      </c>
      <c r="B636" s="56">
        <v>0.0</v>
      </c>
      <c r="C636" s="56">
        <v>0.0</v>
      </c>
      <c r="D636" s="56">
        <v>0.0</v>
      </c>
      <c r="E636" s="56">
        <v>31.21</v>
      </c>
      <c r="F636" s="58">
        <v>44365.0</v>
      </c>
      <c r="G636" s="56">
        <v>0.0</v>
      </c>
      <c r="H636" s="56">
        <v>31.14</v>
      </c>
      <c r="I636" s="59">
        <v>44393.0</v>
      </c>
      <c r="J636" s="56" t="s">
        <v>3594</v>
      </c>
      <c r="K636" s="15" t="s">
        <v>4229</v>
      </c>
      <c r="L636" s="60" t="str">
        <f t="shared" si="1"/>
        <v>Not in buy Zone</v>
      </c>
      <c r="M636" s="60" t="str">
        <f t="shared" si="2"/>
        <v>Not in buy Zone</v>
      </c>
      <c r="N636" s="33" t="str">
        <f t="shared" si="3"/>
        <v>No</v>
      </c>
    </row>
    <row r="637">
      <c r="A637" s="56" t="s">
        <v>665</v>
      </c>
      <c r="B637" s="56">
        <v>0.0</v>
      </c>
      <c r="C637" s="56">
        <v>0.0</v>
      </c>
      <c r="D637" s="56">
        <v>0.0</v>
      </c>
      <c r="E637" s="56">
        <v>81.29</v>
      </c>
      <c r="F637" s="58">
        <v>44358.0</v>
      </c>
      <c r="G637" s="56">
        <v>0.0</v>
      </c>
      <c r="H637" s="56">
        <v>64.88</v>
      </c>
      <c r="I637" s="59">
        <v>44393.0</v>
      </c>
      <c r="J637" s="56" t="s">
        <v>3594</v>
      </c>
      <c r="K637" s="15" t="s">
        <v>4230</v>
      </c>
      <c r="L637" s="60" t="str">
        <f t="shared" si="1"/>
        <v>Not in buy Zone</v>
      </c>
      <c r="M637" s="60" t="str">
        <f t="shared" si="2"/>
        <v>Not in buy Zone</v>
      </c>
      <c r="N637" s="33" t="str">
        <f t="shared" si="3"/>
        <v>No</v>
      </c>
    </row>
    <row r="638">
      <c r="A638" s="56" t="s">
        <v>666</v>
      </c>
      <c r="B638" s="56">
        <v>0.0</v>
      </c>
      <c r="C638" s="56">
        <v>0.0</v>
      </c>
      <c r="D638" s="56">
        <v>177.61</v>
      </c>
      <c r="E638" s="56">
        <v>0.0</v>
      </c>
      <c r="F638" s="58">
        <v>44372.0</v>
      </c>
      <c r="G638" s="56">
        <v>0.0</v>
      </c>
      <c r="H638" s="56">
        <v>175.35</v>
      </c>
      <c r="I638" s="59">
        <v>44393.0</v>
      </c>
      <c r="J638" s="56" t="s">
        <v>3594</v>
      </c>
      <c r="K638" s="15" t="s">
        <v>4231</v>
      </c>
      <c r="L638" s="60" t="str">
        <f t="shared" si="1"/>
        <v>Not in buy Zone</v>
      </c>
      <c r="M638" s="60" t="str">
        <f t="shared" si="2"/>
        <v>Not in buy Zone</v>
      </c>
      <c r="N638" s="33" t="str">
        <f t="shared" si="3"/>
        <v>No</v>
      </c>
    </row>
    <row r="639">
      <c r="A639" s="56" t="s">
        <v>667</v>
      </c>
      <c r="B639" s="56">
        <v>0.0</v>
      </c>
      <c r="C639" s="56">
        <v>0.0</v>
      </c>
      <c r="D639" s="56">
        <v>0.0</v>
      </c>
      <c r="E639" s="56">
        <v>47.89</v>
      </c>
      <c r="F639" s="58">
        <v>44364.0</v>
      </c>
      <c r="G639" s="56">
        <v>0.0</v>
      </c>
      <c r="H639" s="56">
        <v>45.21</v>
      </c>
      <c r="I639" s="59">
        <v>44393.0</v>
      </c>
      <c r="J639" s="56" t="s">
        <v>3594</v>
      </c>
      <c r="K639" s="15" t="s">
        <v>4232</v>
      </c>
      <c r="L639" s="60" t="str">
        <f t="shared" si="1"/>
        <v>Not in buy Zone</v>
      </c>
      <c r="M639" s="60" t="str">
        <f t="shared" si="2"/>
        <v>Not in buy Zone</v>
      </c>
      <c r="N639" s="33" t="str">
        <f t="shared" si="3"/>
        <v>No</v>
      </c>
    </row>
    <row r="640">
      <c r="A640" s="56" t="s">
        <v>668</v>
      </c>
      <c r="B640" s="56">
        <v>0.0</v>
      </c>
      <c r="C640" s="56">
        <v>0.0</v>
      </c>
      <c r="D640" s="56">
        <v>105.96</v>
      </c>
      <c r="E640" s="56">
        <v>0.0</v>
      </c>
      <c r="F640" s="58">
        <v>44389.0</v>
      </c>
      <c r="G640" s="56">
        <v>0.0</v>
      </c>
      <c r="H640" s="56">
        <v>105.31</v>
      </c>
      <c r="I640" s="59">
        <v>44393.0</v>
      </c>
      <c r="J640" s="56" t="s">
        <v>3594</v>
      </c>
      <c r="K640" s="15" t="s">
        <v>4233</v>
      </c>
      <c r="L640" s="60" t="str">
        <f t="shared" si="1"/>
        <v>Not in buy Zone</v>
      </c>
      <c r="M640" s="60" t="str">
        <f t="shared" si="2"/>
        <v>Not in buy Zone</v>
      </c>
      <c r="N640" s="33" t="str">
        <f t="shared" si="3"/>
        <v>No</v>
      </c>
    </row>
    <row r="641">
      <c r="A641" s="56" t="s">
        <v>669</v>
      </c>
      <c r="B641" s="56">
        <v>0.0</v>
      </c>
      <c r="C641" s="56">
        <v>0.0</v>
      </c>
      <c r="D641" s="56">
        <v>393.5</v>
      </c>
      <c r="E641" s="56">
        <v>0.0</v>
      </c>
      <c r="F641" s="58">
        <v>44372.0</v>
      </c>
      <c r="G641" s="56">
        <v>0.0</v>
      </c>
      <c r="H641" s="56">
        <v>396.61</v>
      </c>
      <c r="I641" s="59">
        <v>44393.0</v>
      </c>
      <c r="J641" s="56" t="s">
        <v>3594</v>
      </c>
      <c r="K641" s="15" t="s">
        <v>4234</v>
      </c>
      <c r="L641" s="60" t="str">
        <f t="shared" si="1"/>
        <v>Not in buy Zone</v>
      </c>
      <c r="M641" s="60" t="str">
        <f t="shared" si="2"/>
        <v>Not in buy Zone</v>
      </c>
      <c r="N641" s="33" t="str">
        <f t="shared" si="3"/>
        <v>No</v>
      </c>
    </row>
    <row r="642">
      <c r="A642" s="56" t="s">
        <v>670</v>
      </c>
      <c r="B642" s="56">
        <v>0.0</v>
      </c>
      <c r="C642" s="56">
        <v>0.0</v>
      </c>
      <c r="D642" s="56">
        <v>0.0</v>
      </c>
      <c r="E642" s="56">
        <v>40.01</v>
      </c>
      <c r="F642" s="58">
        <v>44362.0</v>
      </c>
      <c r="G642" s="56">
        <v>0.0</v>
      </c>
      <c r="H642" s="56">
        <v>38.15</v>
      </c>
      <c r="I642" s="59">
        <v>44393.0</v>
      </c>
      <c r="J642" s="56" t="s">
        <v>3594</v>
      </c>
      <c r="K642" s="15" t="s">
        <v>4235</v>
      </c>
      <c r="L642" s="60" t="str">
        <f t="shared" si="1"/>
        <v>Not in buy Zone</v>
      </c>
      <c r="M642" s="60" t="str">
        <f t="shared" si="2"/>
        <v>Not in buy Zone</v>
      </c>
      <c r="N642" s="33" t="str">
        <f t="shared" si="3"/>
        <v>No</v>
      </c>
    </row>
    <row r="643">
      <c r="A643" s="56" t="s">
        <v>671</v>
      </c>
      <c r="B643" s="56">
        <v>0.0</v>
      </c>
      <c r="C643" s="56">
        <v>0.0</v>
      </c>
      <c r="D643" s="56">
        <v>172.2</v>
      </c>
      <c r="E643" s="56">
        <v>0.0</v>
      </c>
      <c r="F643" s="58">
        <v>44358.0</v>
      </c>
      <c r="G643" s="56">
        <v>0.0</v>
      </c>
      <c r="H643" s="56">
        <v>186.99</v>
      </c>
      <c r="I643" s="59">
        <v>44393.0</v>
      </c>
      <c r="J643" s="56" t="s">
        <v>3594</v>
      </c>
      <c r="K643" s="15" t="s">
        <v>4236</v>
      </c>
      <c r="L643" s="60" t="str">
        <f t="shared" si="1"/>
        <v>Not in buy Zone</v>
      </c>
      <c r="M643" s="60" t="str">
        <f t="shared" si="2"/>
        <v>Not in buy Zone</v>
      </c>
      <c r="N643" s="33" t="str">
        <f t="shared" si="3"/>
        <v>No</v>
      </c>
    </row>
    <row r="644">
      <c r="A644" s="56" t="s">
        <v>672</v>
      </c>
      <c r="B644" s="56">
        <v>0.0</v>
      </c>
      <c r="C644" s="56">
        <v>0.0</v>
      </c>
      <c r="D644" s="56">
        <v>0.0</v>
      </c>
      <c r="E644" s="56">
        <v>228.49</v>
      </c>
      <c r="F644" s="58">
        <v>44390.0</v>
      </c>
      <c r="G644" s="56">
        <v>0.0</v>
      </c>
      <c r="H644" s="56">
        <v>229.74</v>
      </c>
      <c r="I644" s="59">
        <v>44393.0</v>
      </c>
      <c r="J644" s="56" t="s">
        <v>3594</v>
      </c>
      <c r="K644" s="15" t="s">
        <v>4237</v>
      </c>
      <c r="L644" s="60" t="str">
        <f t="shared" si="1"/>
        <v>Not in buy Zone</v>
      </c>
      <c r="M644" s="60" t="str">
        <f t="shared" si="2"/>
        <v>Not in buy Zone</v>
      </c>
      <c r="N644" s="33" t="str">
        <f t="shared" si="3"/>
        <v>No</v>
      </c>
    </row>
    <row r="645">
      <c r="A645" s="56" t="s">
        <v>673</v>
      </c>
      <c r="B645" s="56">
        <v>0.0</v>
      </c>
      <c r="C645" s="56">
        <v>0.0</v>
      </c>
      <c r="D645" s="56">
        <v>0.0</v>
      </c>
      <c r="E645" s="56">
        <v>26.95</v>
      </c>
      <c r="F645" s="58">
        <v>44379.0</v>
      </c>
      <c r="G645" s="56">
        <v>0.0</v>
      </c>
      <c r="H645" s="56">
        <v>26.56</v>
      </c>
      <c r="I645" s="59">
        <v>44393.0</v>
      </c>
      <c r="J645" s="56" t="s">
        <v>3594</v>
      </c>
      <c r="K645" s="15" t="s">
        <v>4238</v>
      </c>
      <c r="L645" s="60" t="str">
        <f t="shared" si="1"/>
        <v>Not in buy Zone</v>
      </c>
      <c r="M645" s="60" t="str">
        <f t="shared" si="2"/>
        <v>Not in buy Zone</v>
      </c>
      <c r="N645" s="33" t="str">
        <f t="shared" si="3"/>
        <v>No</v>
      </c>
    </row>
    <row r="646">
      <c r="A646" s="56" t="s">
        <v>674</v>
      </c>
      <c r="B646" s="56">
        <v>0.0</v>
      </c>
      <c r="C646" s="56">
        <v>0.0</v>
      </c>
      <c r="D646" s="56">
        <v>197.82</v>
      </c>
      <c r="E646" s="56">
        <v>0.0</v>
      </c>
      <c r="F646" s="58">
        <v>44375.0</v>
      </c>
      <c r="G646" s="56">
        <v>0.0</v>
      </c>
      <c r="H646" s="56">
        <v>202.28</v>
      </c>
      <c r="I646" s="59">
        <v>44393.0</v>
      </c>
      <c r="J646" s="56" t="s">
        <v>3594</v>
      </c>
      <c r="K646" s="15" t="s">
        <v>4239</v>
      </c>
      <c r="L646" s="60" t="str">
        <f t="shared" si="1"/>
        <v>Not in buy Zone</v>
      </c>
      <c r="M646" s="60" t="str">
        <f t="shared" si="2"/>
        <v>Not in buy Zone</v>
      </c>
      <c r="N646" s="33" t="str">
        <f t="shared" si="3"/>
        <v>No</v>
      </c>
    </row>
    <row r="647">
      <c r="A647" s="56" t="s">
        <v>675</v>
      </c>
      <c r="B647" s="56">
        <v>0.0</v>
      </c>
      <c r="C647" s="56">
        <v>0.0</v>
      </c>
      <c r="D647" s="56">
        <v>0.0</v>
      </c>
      <c r="E647" s="56">
        <v>102.97</v>
      </c>
      <c r="F647" s="58">
        <v>44385.0</v>
      </c>
      <c r="G647" s="56">
        <v>0.0</v>
      </c>
      <c r="H647" s="56">
        <v>103.08</v>
      </c>
      <c r="I647" s="59">
        <v>44393.0</v>
      </c>
      <c r="J647" s="56" t="s">
        <v>3594</v>
      </c>
      <c r="K647" s="15" t="s">
        <v>4240</v>
      </c>
      <c r="L647" s="60" t="str">
        <f t="shared" si="1"/>
        <v>Not in buy Zone</v>
      </c>
      <c r="M647" s="60" t="str">
        <f t="shared" si="2"/>
        <v>Not in buy Zone</v>
      </c>
      <c r="N647" s="33" t="str">
        <f t="shared" si="3"/>
        <v>No</v>
      </c>
    </row>
    <row r="648">
      <c r="A648" s="56" t="s">
        <v>676</v>
      </c>
      <c r="B648" s="56">
        <v>0.0</v>
      </c>
      <c r="C648" s="56">
        <v>0.0</v>
      </c>
      <c r="D648" s="56">
        <v>0.0</v>
      </c>
      <c r="E648" s="56">
        <v>224.15</v>
      </c>
      <c r="F648" s="58">
        <v>44392.0</v>
      </c>
      <c r="G648" s="56">
        <v>0.0</v>
      </c>
      <c r="H648" s="56">
        <v>222.39</v>
      </c>
      <c r="I648" s="59">
        <v>44393.0</v>
      </c>
      <c r="J648" s="56" t="s">
        <v>3594</v>
      </c>
      <c r="K648" s="15" t="s">
        <v>4241</v>
      </c>
      <c r="L648" s="60" t="str">
        <f t="shared" si="1"/>
        <v>Not in buy Zone</v>
      </c>
      <c r="M648" s="60" t="str">
        <f t="shared" si="2"/>
        <v>Not in buy Zone</v>
      </c>
      <c r="N648" s="33" t="str">
        <f t="shared" si="3"/>
        <v>No</v>
      </c>
    </row>
    <row r="649">
      <c r="A649" s="56" t="s">
        <v>677</v>
      </c>
      <c r="B649" s="56">
        <v>0.0</v>
      </c>
      <c r="C649" s="56">
        <v>0.0</v>
      </c>
      <c r="D649" s="56">
        <v>52.27</v>
      </c>
      <c r="E649" s="56">
        <v>0.0</v>
      </c>
      <c r="F649" s="58">
        <v>44392.0</v>
      </c>
      <c r="G649" s="56">
        <v>0.0</v>
      </c>
      <c r="H649" s="56">
        <v>52.28</v>
      </c>
      <c r="I649" s="59">
        <v>44393.0</v>
      </c>
      <c r="J649" s="56" t="s">
        <v>3594</v>
      </c>
      <c r="K649" s="15" t="s">
        <v>4242</v>
      </c>
      <c r="L649" s="60" t="str">
        <f t="shared" si="1"/>
        <v>Not in buy Zone</v>
      </c>
      <c r="M649" s="60" t="str">
        <f t="shared" si="2"/>
        <v>Not in buy Zone</v>
      </c>
      <c r="N649" s="33" t="str">
        <f t="shared" si="3"/>
        <v>No</v>
      </c>
    </row>
    <row r="650">
      <c r="A650" s="56" t="s">
        <v>678</v>
      </c>
      <c r="B650" s="56">
        <v>0.0</v>
      </c>
      <c r="C650" s="56">
        <v>0.0</v>
      </c>
      <c r="D650" s="56">
        <v>59.45</v>
      </c>
      <c r="E650" s="56">
        <v>0.0</v>
      </c>
      <c r="F650" s="58">
        <v>44389.0</v>
      </c>
      <c r="G650" s="56">
        <v>0.0</v>
      </c>
      <c r="H650" s="56">
        <v>59.62</v>
      </c>
      <c r="I650" s="59">
        <v>44393.0</v>
      </c>
      <c r="J650" s="56" t="s">
        <v>3594</v>
      </c>
      <c r="K650" s="15" t="s">
        <v>4243</v>
      </c>
      <c r="L650" s="60" t="str">
        <f t="shared" si="1"/>
        <v>Not in buy Zone</v>
      </c>
      <c r="M650" s="60" t="str">
        <f t="shared" si="2"/>
        <v>Not in buy Zone</v>
      </c>
      <c r="N650" s="33" t="str">
        <f t="shared" si="3"/>
        <v>No</v>
      </c>
    </row>
    <row r="651">
      <c r="A651" s="56" t="s">
        <v>679</v>
      </c>
      <c r="B651" s="56">
        <v>0.0</v>
      </c>
      <c r="C651" s="56">
        <v>0.0</v>
      </c>
      <c r="D651" s="56">
        <v>0.0</v>
      </c>
      <c r="E651" s="56">
        <v>15.3</v>
      </c>
      <c r="F651" s="58">
        <v>44362.0</v>
      </c>
      <c r="G651" s="56">
        <v>0.0</v>
      </c>
      <c r="H651" s="56">
        <v>13.76</v>
      </c>
      <c r="I651" s="59">
        <v>44393.0</v>
      </c>
      <c r="J651" s="56" t="s">
        <v>3594</v>
      </c>
      <c r="K651" s="15" t="s">
        <v>4244</v>
      </c>
      <c r="L651" s="60" t="str">
        <f t="shared" si="1"/>
        <v>Not in buy Zone</v>
      </c>
      <c r="M651" s="60" t="str">
        <f t="shared" si="2"/>
        <v>Not in buy Zone</v>
      </c>
      <c r="N651" s="33" t="str">
        <f t="shared" si="3"/>
        <v>No</v>
      </c>
    </row>
    <row r="652">
      <c r="A652" s="56" t="s">
        <v>680</v>
      </c>
      <c r="B652" s="56">
        <v>0.0</v>
      </c>
      <c r="C652" s="56">
        <v>0.0</v>
      </c>
      <c r="D652" s="56">
        <v>139.1</v>
      </c>
      <c r="E652" s="56">
        <v>0.0</v>
      </c>
      <c r="F652" s="58">
        <v>44389.0</v>
      </c>
      <c r="G652" s="56">
        <v>0.0</v>
      </c>
      <c r="H652" s="56">
        <v>136.99</v>
      </c>
      <c r="I652" s="59">
        <v>44393.0</v>
      </c>
      <c r="J652" s="56" t="s">
        <v>3594</v>
      </c>
      <c r="K652" s="15" t="s">
        <v>4245</v>
      </c>
      <c r="L652" s="60" t="str">
        <f t="shared" si="1"/>
        <v>Not in buy Zone</v>
      </c>
      <c r="M652" s="60" t="str">
        <f t="shared" si="2"/>
        <v>Not in buy Zone</v>
      </c>
      <c r="N652" s="33" t="str">
        <f t="shared" si="3"/>
        <v>No</v>
      </c>
    </row>
    <row r="653">
      <c r="A653" s="56" t="s">
        <v>681</v>
      </c>
      <c r="B653" s="56">
        <v>0.0</v>
      </c>
      <c r="C653" s="56">
        <v>0.0</v>
      </c>
      <c r="D653" s="56">
        <v>0.0</v>
      </c>
      <c r="E653" s="56">
        <v>54.08</v>
      </c>
      <c r="F653" s="58">
        <v>44364.0</v>
      </c>
      <c r="G653" s="56">
        <v>0.0</v>
      </c>
      <c r="H653" s="56">
        <v>52.99</v>
      </c>
      <c r="I653" s="59">
        <v>44393.0</v>
      </c>
      <c r="J653" s="56" t="s">
        <v>3594</v>
      </c>
      <c r="K653" s="15" t="s">
        <v>4246</v>
      </c>
      <c r="L653" s="60" t="str">
        <f t="shared" si="1"/>
        <v>Not in buy Zone</v>
      </c>
      <c r="M653" s="60" t="str">
        <f t="shared" si="2"/>
        <v>Not in buy Zone</v>
      </c>
      <c r="N653" s="33" t="str">
        <f t="shared" si="3"/>
        <v>No</v>
      </c>
    </row>
    <row r="654">
      <c r="A654" s="56" t="s">
        <v>682</v>
      </c>
      <c r="B654" s="56">
        <v>0.0</v>
      </c>
      <c r="C654" s="56">
        <v>0.0</v>
      </c>
      <c r="D654" s="56">
        <v>0.0</v>
      </c>
      <c r="E654" s="56">
        <v>66.55</v>
      </c>
      <c r="F654" s="58">
        <v>44364.0</v>
      </c>
      <c r="G654" s="56">
        <v>0.0</v>
      </c>
      <c r="H654" s="56">
        <v>64.83</v>
      </c>
      <c r="I654" s="59">
        <v>44393.0</v>
      </c>
      <c r="J654" s="56" t="s">
        <v>3594</v>
      </c>
      <c r="K654" s="15" t="s">
        <v>4247</v>
      </c>
      <c r="L654" s="60" t="str">
        <f t="shared" si="1"/>
        <v>Not in buy Zone</v>
      </c>
      <c r="M654" s="60" t="str">
        <f t="shared" si="2"/>
        <v>Not in buy Zone</v>
      </c>
      <c r="N654" s="33" t="str">
        <f t="shared" si="3"/>
        <v>No</v>
      </c>
    </row>
    <row r="655">
      <c r="A655" s="56" t="s">
        <v>683</v>
      </c>
      <c r="B655" s="56">
        <v>0.0</v>
      </c>
      <c r="C655" s="56">
        <v>0.0</v>
      </c>
      <c r="D655" s="56">
        <v>56.07</v>
      </c>
      <c r="E655" s="56">
        <v>0.0</v>
      </c>
      <c r="F655" s="58">
        <v>44386.0</v>
      </c>
      <c r="G655" s="56">
        <v>0.0</v>
      </c>
      <c r="H655" s="56">
        <v>56.46</v>
      </c>
      <c r="I655" s="59">
        <v>44393.0</v>
      </c>
      <c r="J655" s="56" t="s">
        <v>3594</v>
      </c>
      <c r="K655" s="15" t="s">
        <v>4248</v>
      </c>
      <c r="L655" s="60" t="str">
        <f t="shared" si="1"/>
        <v>Not in buy Zone</v>
      </c>
      <c r="M655" s="60" t="str">
        <f t="shared" si="2"/>
        <v>Not in buy Zone</v>
      </c>
      <c r="N655" s="33" t="str">
        <f t="shared" si="3"/>
        <v>No</v>
      </c>
    </row>
    <row r="656">
      <c r="A656" s="56" t="s">
        <v>684</v>
      </c>
      <c r="B656" s="56">
        <v>0.0</v>
      </c>
      <c r="C656" s="56">
        <v>0.0</v>
      </c>
      <c r="D656" s="56">
        <v>82.85</v>
      </c>
      <c r="E656" s="56">
        <v>0.0</v>
      </c>
      <c r="F656" s="58">
        <v>44386.0</v>
      </c>
      <c r="G656" s="56">
        <v>0.0</v>
      </c>
      <c r="H656" s="56">
        <v>81.61</v>
      </c>
      <c r="I656" s="59">
        <v>44393.0</v>
      </c>
      <c r="J656" s="56" t="s">
        <v>3594</v>
      </c>
      <c r="K656" s="15" t="s">
        <v>4249</v>
      </c>
      <c r="L656" s="60" t="str">
        <f t="shared" si="1"/>
        <v>Not in buy Zone</v>
      </c>
      <c r="M656" s="60" t="str">
        <f t="shared" si="2"/>
        <v>Not in buy Zone</v>
      </c>
      <c r="N656" s="33" t="str">
        <f t="shared" si="3"/>
        <v>No</v>
      </c>
    </row>
    <row r="657">
      <c r="A657" s="56" t="s">
        <v>685</v>
      </c>
      <c r="B657" s="56">
        <v>0.0</v>
      </c>
      <c r="C657" s="56">
        <v>0.0</v>
      </c>
      <c r="D657" s="56">
        <v>351.18</v>
      </c>
      <c r="E657" s="56">
        <v>0.0</v>
      </c>
      <c r="F657" s="58">
        <v>44378.0</v>
      </c>
      <c r="G657" s="56">
        <v>0.0</v>
      </c>
      <c r="H657" s="56">
        <v>370.69</v>
      </c>
      <c r="I657" s="59">
        <v>44393.0</v>
      </c>
      <c r="J657" s="56" t="s">
        <v>3594</v>
      </c>
      <c r="K657" s="15" t="s">
        <v>4250</v>
      </c>
      <c r="L657" s="60" t="str">
        <f t="shared" si="1"/>
        <v>Not in buy Zone</v>
      </c>
      <c r="M657" s="60" t="str">
        <f t="shared" si="2"/>
        <v>Not in buy Zone</v>
      </c>
      <c r="N657" s="33" t="str">
        <f t="shared" si="3"/>
        <v>No</v>
      </c>
    </row>
    <row r="658">
      <c r="A658" s="56" t="s">
        <v>686</v>
      </c>
      <c r="B658" s="56">
        <v>0.0</v>
      </c>
      <c r="C658" s="56">
        <v>0.0</v>
      </c>
      <c r="D658" s="56">
        <v>0.0</v>
      </c>
      <c r="E658" s="56">
        <v>53.31</v>
      </c>
      <c r="F658" s="58">
        <v>44363.0</v>
      </c>
      <c r="G658" s="56">
        <v>0.0</v>
      </c>
      <c r="H658" s="56">
        <v>46.02</v>
      </c>
      <c r="I658" s="59">
        <v>44393.0</v>
      </c>
      <c r="J658" s="56" t="s">
        <v>3594</v>
      </c>
      <c r="K658" s="15" t="s">
        <v>4251</v>
      </c>
      <c r="L658" s="60" t="str">
        <f t="shared" si="1"/>
        <v>Not in buy Zone</v>
      </c>
      <c r="M658" s="60" t="str">
        <f t="shared" si="2"/>
        <v>Not in buy Zone</v>
      </c>
      <c r="N658" s="33" t="str">
        <f t="shared" si="3"/>
        <v>No</v>
      </c>
    </row>
    <row r="659">
      <c r="A659" s="56" t="s">
        <v>687</v>
      </c>
      <c r="B659" s="56">
        <v>0.0</v>
      </c>
      <c r="C659" s="56">
        <v>0.0</v>
      </c>
      <c r="D659" s="56">
        <v>0.0</v>
      </c>
      <c r="E659" s="56">
        <v>236.39</v>
      </c>
      <c r="F659" s="58">
        <v>44389.0</v>
      </c>
      <c r="G659" s="56">
        <v>0.0</v>
      </c>
      <c r="H659" s="56">
        <v>227.53</v>
      </c>
      <c r="I659" s="59">
        <v>44393.0</v>
      </c>
      <c r="J659" s="56" t="s">
        <v>3594</v>
      </c>
      <c r="K659" s="15" t="s">
        <v>4252</v>
      </c>
      <c r="L659" s="60" t="str">
        <f t="shared" si="1"/>
        <v>Not in buy Zone</v>
      </c>
      <c r="M659" s="60" t="str">
        <f t="shared" si="2"/>
        <v>Not in buy Zone</v>
      </c>
      <c r="N659" s="33" t="str">
        <f t="shared" si="3"/>
        <v>No</v>
      </c>
    </row>
    <row r="660">
      <c r="A660" s="56" t="s">
        <v>688</v>
      </c>
      <c r="B660" s="56">
        <v>0.0</v>
      </c>
      <c r="C660" s="56">
        <v>0.0</v>
      </c>
      <c r="D660" s="56">
        <v>0.0</v>
      </c>
      <c r="E660" s="56">
        <v>74.78</v>
      </c>
      <c r="F660" s="58">
        <v>44358.0</v>
      </c>
      <c r="G660" s="56">
        <v>0.0</v>
      </c>
      <c r="H660" s="56">
        <v>64.2</v>
      </c>
      <c r="I660" s="59">
        <v>44393.0</v>
      </c>
      <c r="J660" s="56" t="s">
        <v>3594</v>
      </c>
      <c r="K660" s="15" t="s">
        <v>4253</v>
      </c>
      <c r="L660" s="60" t="str">
        <f t="shared" si="1"/>
        <v>Not in buy Zone</v>
      </c>
      <c r="M660" s="60" t="str">
        <f t="shared" si="2"/>
        <v>Not in buy Zone</v>
      </c>
      <c r="N660" s="33" t="str">
        <f t="shared" si="3"/>
        <v>No</v>
      </c>
    </row>
    <row r="661">
      <c r="A661" s="56" t="s">
        <v>689</v>
      </c>
      <c r="B661" s="56">
        <v>0.0</v>
      </c>
      <c r="C661" s="56">
        <v>0.0</v>
      </c>
      <c r="D661" s="56">
        <v>90.7</v>
      </c>
      <c r="E661" s="56">
        <v>0.0</v>
      </c>
      <c r="F661" s="58">
        <v>44383.0</v>
      </c>
      <c r="G661" s="56">
        <v>0.0</v>
      </c>
      <c r="H661" s="56">
        <v>95.44</v>
      </c>
      <c r="I661" s="59">
        <v>44393.0</v>
      </c>
      <c r="J661" s="56" t="s">
        <v>3594</v>
      </c>
      <c r="K661" s="15" t="s">
        <v>4254</v>
      </c>
      <c r="L661" s="60" t="str">
        <f t="shared" si="1"/>
        <v>Not in buy Zone</v>
      </c>
      <c r="M661" s="60" t="str">
        <f t="shared" si="2"/>
        <v>Not in buy Zone</v>
      </c>
      <c r="N661" s="33" t="str">
        <f t="shared" si="3"/>
        <v>No</v>
      </c>
    </row>
    <row r="662">
      <c r="A662" s="56" t="s">
        <v>690</v>
      </c>
      <c r="B662" s="56">
        <v>0.0</v>
      </c>
      <c r="C662" s="56">
        <v>0.0</v>
      </c>
      <c r="D662" s="56">
        <v>74.99</v>
      </c>
      <c r="E662" s="56">
        <v>0.0</v>
      </c>
      <c r="F662" s="58">
        <v>44342.0</v>
      </c>
      <c r="G662" s="56">
        <v>0.0</v>
      </c>
      <c r="H662" s="56">
        <v>89.68</v>
      </c>
      <c r="I662" s="59">
        <v>44393.0</v>
      </c>
      <c r="J662" s="56" t="s">
        <v>3594</v>
      </c>
      <c r="K662" s="15" t="s">
        <v>4255</v>
      </c>
      <c r="L662" s="60" t="str">
        <f t="shared" si="1"/>
        <v>Not in buy Zone</v>
      </c>
      <c r="M662" s="60" t="str">
        <f t="shared" si="2"/>
        <v>Not in buy Zone</v>
      </c>
      <c r="N662" s="33" t="str">
        <f t="shared" si="3"/>
        <v>No</v>
      </c>
    </row>
    <row r="663">
      <c r="A663" s="56" t="s">
        <v>691</v>
      </c>
      <c r="B663" s="56">
        <v>0.0</v>
      </c>
      <c r="C663" s="56">
        <v>0.0</v>
      </c>
      <c r="D663" s="56">
        <v>45.0</v>
      </c>
      <c r="E663" s="56">
        <v>0.0</v>
      </c>
      <c r="F663" s="58">
        <v>44392.0</v>
      </c>
      <c r="G663" s="56">
        <v>0.0</v>
      </c>
      <c r="H663" s="56">
        <v>44.28</v>
      </c>
      <c r="I663" s="59">
        <v>44393.0</v>
      </c>
      <c r="J663" s="56" t="s">
        <v>3594</v>
      </c>
      <c r="K663" s="15" t="s">
        <v>4256</v>
      </c>
      <c r="L663" s="60" t="str">
        <f t="shared" si="1"/>
        <v>Not in buy Zone</v>
      </c>
      <c r="M663" s="60" t="str">
        <f t="shared" si="2"/>
        <v>Not in buy Zone</v>
      </c>
      <c r="N663" s="33" t="str">
        <f t="shared" si="3"/>
        <v>No</v>
      </c>
    </row>
    <row r="664">
      <c r="A664" s="56" t="s">
        <v>692</v>
      </c>
      <c r="B664" s="56">
        <v>0.0</v>
      </c>
      <c r="C664" s="56">
        <v>0.0</v>
      </c>
      <c r="D664" s="56">
        <v>219.54</v>
      </c>
      <c r="E664" s="56">
        <v>0.0</v>
      </c>
      <c r="F664" s="58">
        <v>44378.0</v>
      </c>
      <c r="G664" s="56">
        <v>0.0</v>
      </c>
      <c r="H664" s="56">
        <v>219.86</v>
      </c>
      <c r="I664" s="59">
        <v>44393.0</v>
      </c>
      <c r="J664" s="56" t="s">
        <v>3594</v>
      </c>
      <c r="K664" s="15" t="s">
        <v>4257</v>
      </c>
      <c r="L664" s="60" t="str">
        <f t="shared" si="1"/>
        <v>Not in buy Zone</v>
      </c>
      <c r="M664" s="60" t="str">
        <f t="shared" si="2"/>
        <v>Not in buy Zone</v>
      </c>
      <c r="N664" s="33" t="str">
        <f t="shared" si="3"/>
        <v>No</v>
      </c>
    </row>
    <row r="665">
      <c r="A665" s="56" t="s">
        <v>693</v>
      </c>
      <c r="B665" s="56">
        <v>0.0</v>
      </c>
      <c r="C665" s="56">
        <v>0.0</v>
      </c>
      <c r="D665" s="56">
        <v>0.0</v>
      </c>
      <c r="E665" s="56">
        <v>261.86</v>
      </c>
      <c r="F665" s="58">
        <v>44335.0</v>
      </c>
      <c r="G665" s="56">
        <v>0.0</v>
      </c>
      <c r="H665" s="56">
        <v>222.36</v>
      </c>
      <c r="I665" s="59">
        <v>44393.0</v>
      </c>
      <c r="J665" s="56" t="s">
        <v>3594</v>
      </c>
      <c r="K665" s="15" t="s">
        <v>4258</v>
      </c>
      <c r="L665" s="60" t="str">
        <f t="shared" si="1"/>
        <v>Not in buy Zone</v>
      </c>
      <c r="M665" s="60" t="str">
        <f t="shared" si="2"/>
        <v>Not in buy Zone</v>
      </c>
      <c r="N665" s="33" t="str">
        <f t="shared" si="3"/>
        <v>No</v>
      </c>
    </row>
    <row r="666">
      <c r="A666" s="56" t="s">
        <v>694</v>
      </c>
      <c r="B666" s="56">
        <v>0.0</v>
      </c>
      <c r="C666" s="56">
        <v>0.0</v>
      </c>
      <c r="D666" s="56">
        <v>141.17</v>
      </c>
      <c r="E666" s="56">
        <v>0.0</v>
      </c>
      <c r="F666" s="58">
        <v>44378.0</v>
      </c>
      <c r="G666" s="56">
        <v>0.0</v>
      </c>
      <c r="H666" s="56">
        <v>145.8</v>
      </c>
      <c r="I666" s="59">
        <v>44393.0</v>
      </c>
      <c r="J666" s="56" t="s">
        <v>3594</v>
      </c>
      <c r="K666" s="15" t="s">
        <v>4259</v>
      </c>
      <c r="L666" s="60" t="str">
        <f t="shared" si="1"/>
        <v>Not in buy Zone</v>
      </c>
      <c r="M666" s="60" t="str">
        <f t="shared" si="2"/>
        <v>Not in buy Zone</v>
      </c>
      <c r="N666" s="33" t="str">
        <f t="shared" si="3"/>
        <v>No</v>
      </c>
    </row>
    <row r="667">
      <c r="A667" s="56" t="s">
        <v>695</v>
      </c>
      <c r="B667" s="56">
        <v>0.0</v>
      </c>
      <c r="C667" s="56">
        <v>0.0</v>
      </c>
      <c r="D667" s="56">
        <v>0.0</v>
      </c>
      <c r="E667" s="56">
        <v>27.75</v>
      </c>
      <c r="F667" s="58">
        <v>44362.0</v>
      </c>
      <c r="G667" s="56">
        <v>0.0</v>
      </c>
      <c r="H667" s="56">
        <v>25.28</v>
      </c>
      <c r="I667" s="59">
        <v>44393.0</v>
      </c>
      <c r="J667" s="56" t="s">
        <v>3594</v>
      </c>
      <c r="K667" s="15" t="s">
        <v>4260</v>
      </c>
      <c r="L667" s="60" t="str">
        <f t="shared" si="1"/>
        <v>Not in buy Zone</v>
      </c>
      <c r="M667" s="60" t="str">
        <f t="shared" si="2"/>
        <v>Not in buy Zone</v>
      </c>
      <c r="N667" s="33" t="str">
        <f t="shared" si="3"/>
        <v>No</v>
      </c>
    </row>
    <row r="668">
      <c r="A668" s="56" t="s">
        <v>696</v>
      </c>
      <c r="B668" s="56">
        <v>0.0</v>
      </c>
      <c r="C668" s="56">
        <v>0.0</v>
      </c>
      <c r="D668" s="56">
        <v>141.02</v>
      </c>
      <c r="E668" s="56">
        <v>0.0</v>
      </c>
      <c r="F668" s="58">
        <v>44377.0</v>
      </c>
      <c r="G668" s="56">
        <v>0.0</v>
      </c>
      <c r="H668" s="56">
        <v>141.56</v>
      </c>
      <c r="I668" s="59">
        <v>44393.0</v>
      </c>
      <c r="J668" s="56" t="s">
        <v>3594</v>
      </c>
      <c r="K668" s="15" t="s">
        <v>4261</v>
      </c>
      <c r="L668" s="60" t="str">
        <f t="shared" si="1"/>
        <v>Not in buy Zone</v>
      </c>
      <c r="M668" s="60" t="str">
        <f t="shared" si="2"/>
        <v>Not in buy Zone</v>
      </c>
      <c r="N668" s="33" t="str">
        <f t="shared" si="3"/>
        <v>No</v>
      </c>
    </row>
    <row r="669">
      <c r="A669" s="56" t="s">
        <v>697</v>
      </c>
      <c r="B669" s="56">
        <v>0.0</v>
      </c>
      <c r="C669" s="56">
        <v>0.0</v>
      </c>
      <c r="D669" s="56">
        <v>0.0</v>
      </c>
      <c r="E669" s="56">
        <v>44.28</v>
      </c>
      <c r="F669" s="58">
        <v>44369.0</v>
      </c>
      <c r="G669" s="56">
        <v>0.0</v>
      </c>
      <c r="H669" s="56">
        <v>44.7</v>
      </c>
      <c r="I669" s="59">
        <v>44393.0</v>
      </c>
      <c r="J669" s="56" t="s">
        <v>3594</v>
      </c>
      <c r="K669" s="15" t="s">
        <v>4262</v>
      </c>
      <c r="L669" s="60" t="str">
        <f t="shared" si="1"/>
        <v>Not in buy Zone</v>
      </c>
      <c r="M669" s="60" t="str">
        <f t="shared" si="2"/>
        <v>Not in buy Zone</v>
      </c>
      <c r="N669" s="33" t="str">
        <f t="shared" si="3"/>
        <v>No</v>
      </c>
    </row>
    <row r="670">
      <c r="A670" s="56" t="s">
        <v>698</v>
      </c>
      <c r="B670" s="56">
        <v>0.0</v>
      </c>
      <c r="C670" s="56">
        <v>0.0</v>
      </c>
      <c r="D670" s="56">
        <v>74.43</v>
      </c>
      <c r="E670" s="56">
        <v>0.0</v>
      </c>
      <c r="F670" s="58">
        <v>44377.0</v>
      </c>
      <c r="G670" s="56">
        <v>0.0</v>
      </c>
      <c r="H670" s="56">
        <v>76.73</v>
      </c>
      <c r="I670" s="59">
        <v>44393.0</v>
      </c>
      <c r="J670" s="56" t="s">
        <v>3594</v>
      </c>
      <c r="K670" s="15" t="s">
        <v>4263</v>
      </c>
      <c r="L670" s="60" t="str">
        <f t="shared" si="1"/>
        <v>Not in buy Zone</v>
      </c>
      <c r="M670" s="60" t="str">
        <f t="shared" si="2"/>
        <v>Not in buy Zone</v>
      </c>
      <c r="N670" s="33" t="str">
        <f t="shared" si="3"/>
        <v>No</v>
      </c>
    </row>
    <row r="671">
      <c r="A671" s="56" t="s">
        <v>699</v>
      </c>
      <c r="B671" s="56">
        <v>0.0</v>
      </c>
      <c r="C671" s="56">
        <v>0.0</v>
      </c>
      <c r="D671" s="56">
        <v>0.0</v>
      </c>
      <c r="E671" s="56">
        <v>58.45</v>
      </c>
      <c r="F671" s="58">
        <v>44335.0</v>
      </c>
      <c r="G671" s="56">
        <v>0.0</v>
      </c>
      <c r="H671" s="56">
        <v>49.01</v>
      </c>
      <c r="I671" s="59">
        <v>44393.0</v>
      </c>
      <c r="J671" s="56" t="s">
        <v>3594</v>
      </c>
      <c r="K671" s="15" t="s">
        <v>4264</v>
      </c>
      <c r="L671" s="60" t="str">
        <f t="shared" si="1"/>
        <v>Not in buy Zone</v>
      </c>
      <c r="M671" s="60" t="str">
        <f t="shared" si="2"/>
        <v>Not in buy Zone</v>
      </c>
      <c r="N671" s="33" t="str">
        <f t="shared" si="3"/>
        <v>No</v>
      </c>
    </row>
    <row r="672">
      <c r="A672" s="56" t="s">
        <v>700</v>
      </c>
      <c r="B672" s="56">
        <v>0.0</v>
      </c>
      <c r="C672" s="56">
        <v>27.12</v>
      </c>
      <c r="D672" s="56">
        <v>0.0</v>
      </c>
      <c r="E672" s="56">
        <v>0.0</v>
      </c>
      <c r="F672" s="58">
        <v>44393.0</v>
      </c>
      <c r="G672" s="56">
        <v>-1.0</v>
      </c>
      <c r="H672" s="56">
        <v>27.12</v>
      </c>
      <c r="I672" s="59">
        <v>44393.0</v>
      </c>
      <c r="J672" s="56" t="s">
        <v>3594</v>
      </c>
      <c r="K672" s="15" t="s">
        <v>4265</v>
      </c>
      <c r="L672" s="60" t="str">
        <f t="shared" si="1"/>
        <v>Not in buy Zone</v>
      </c>
      <c r="M672" s="60" t="str">
        <f t="shared" si="2"/>
        <v>Not in buy Zone</v>
      </c>
      <c r="N672" s="33" t="str">
        <f t="shared" si="3"/>
        <v>No</v>
      </c>
    </row>
    <row r="673">
      <c r="A673" s="56" t="s">
        <v>701</v>
      </c>
      <c r="B673" s="56">
        <v>0.0</v>
      </c>
      <c r="C673" s="56">
        <v>0.0</v>
      </c>
      <c r="D673" s="56">
        <v>352.03</v>
      </c>
      <c r="E673" s="56">
        <v>0.0</v>
      </c>
      <c r="F673" s="58">
        <v>44364.0</v>
      </c>
      <c r="G673" s="56">
        <v>0.0</v>
      </c>
      <c r="H673" s="56">
        <v>373.66</v>
      </c>
      <c r="I673" s="59">
        <v>44393.0</v>
      </c>
      <c r="J673" s="56" t="s">
        <v>3594</v>
      </c>
      <c r="K673" s="15" t="s">
        <v>4266</v>
      </c>
      <c r="L673" s="60" t="str">
        <f t="shared" si="1"/>
        <v>Not in buy Zone</v>
      </c>
      <c r="M673" s="60" t="str">
        <f t="shared" si="2"/>
        <v>Not in buy Zone</v>
      </c>
      <c r="N673" s="33" t="str">
        <f t="shared" si="3"/>
        <v>No</v>
      </c>
    </row>
    <row r="674">
      <c r="A674" s="56" t="s">
        <v>702</v>
      </c>
      <c r="B674" s="56">
        <v>0.0</v>
      </c>
      <c r="C674" s="56">
        <v>0.0</v>
      </c>
      <c r="D674" s="56">
        <v>23.31</v>
      </c>
      <c r="E674" s="56">
        <v>0.0</v>
      </c>
      <c r="F674" s="58">
        <v>44386.0</v>
      </c>
      <c r="G674" s="56">
        <v>0.0</v>
      </c>
      <c r="H674" s="56">
        <v>23.5</v>
      </c>
      <c r="I674" s="59">
        <v>44393.0</v>
      </c>
      <c r="J674" s="56" t="s">
        <v>3594</v>
      </c>
      <c r="K674" s="15" t="s">
        <v>4267</v>
      </c>
      <c r="L674" s="60" t="str">
        <f t="shared" si="1"/>
        <v>Not in buy Zone</v>
      </c>
      <c r="M674" s="60" t="str">
        <f t="shared" si="2"/>
        <v>Not in buy Zone</v>
      </c>
      <c r="N674" s="33" t="str">
        <f t="shared" si="3"/>
        <v>No</v>
      </c>
    </row>
    <row r="675">
      <c r="A675" s="56" t="s">
        <v>703</v>
      </c>
      <c r="B675" s="56">
        <v>0.0</v>
      </c>
      <c r="C675" s="56">
        <v>0.0</v>
      </c>
      <c r="D675" s="56">
        <v>34.33</v>
      </c>
      <c r="E675" s="56">
        <v>0.0</v>
      </c>
      <c r="F675" s="58">
        <v>44378.0</v>
      </c>
      <c r="G675" s="56">
        <v>0.0</v>
      </c>
      <c r="H675" s="56">
        <v>34.02</v>
      </c>
      <c r="I675" s="59">
        <v>44393.0</v>
      </c>
      <c r="J675" s="56" t="s">
        <v>3594</v>
      </c>
      <c r="K675" s="15" t="s">
        <v>4268</v>
      </c>
      <c r="L675" s="60" t="str">
        <f t="shared" si="1"/>
        <v>Not in buy Zone</v>
      </c>
      <c r="M675" s="60" t="str">
        <f t="shared" si="2"/>
        <v>Not in buy Zone</v>
      </c>
      <c r="N675" s="33" t="str">
        <f t="shared" si="3"/>
        <v>No</v>
      </c>
    </row>
    <row r="676">
      <c r="A676" s="56" t="s">
        <v>704</v>
      </c>
      <c r="B676" s="56">
        <v>0.0</v>
      </c>
      <c r="C676" s="56">
        <v>0.0</v>
      </c>
      <c r="D676" s="56">
        <v>0.0</v>
      </c>
      <c r="E676" s="56">
        <v>126.67</v>
      </c>
      <c r="F676" s="58">
        <v>44356.0</v>
      </c>
      <c r="G676" s="56">
        <v>0.0</v>
      </c>
      <c r="H676" s="56">
        <v>104.7</v>
      </c>
      <c r="I676" s="59">
        <v>44393.0</v>
      </c>
      <c r="J676" s="56" t="s">
        <v>3594</v>
      </c>
      <c r="K676" s="15" t="s">
        <v>4269</v>
      </c>
      <c r="L676" s="60" t="str">
        <f t="shared" si="1"/>
        <v>Not in buy Zone</v>
      </c>
      <c r="M676" s="60" t="str">
        <f t="shared" si="2"/>
        <v>Not in buy Zone</v>
      </c>
      <c r="N676" s="33" t="str">
        <f t="shared" si="3"/>
        <v>No</v>
      </c>
    </row>
    <row r="677">
      <c r="A677" s="56" t="s">
        <v>705</v>
      </c>
      <c r="B677" s="56">
        <v>0.0</v>
      </c>
      <c r="C677" s="56">
        <v>0.0</v>
      </c>
      <c r="D677" s="56">
        <v>0.0</v>
      </c>
      <c r="E677" s="56">
        <v>133.59</v>
      </c>
      <c r="F677" s="58">
        <v>44383.0</v>
      </c>
      <c r="G677" s="56">
        <v>0.0</v>
      </c>
      <c r="H677" s="56">
        <v>125.94</v>
      </c>
      <c r="I677" s="59">
        <v>44393.0</v>
      </c>
      <c r="J677" s="56" t="s">
        <v>3594</v>
      </c>
      <c r="K677" s="15" t="s">
        <v>4270</v>
      </c>
      <c r="L677" s="60" t="str">
        <f t="shared" si="1"/>
        <v>Not in buy Zone</v>
      </c>
      <c r="M677" s="60" t="str">
        <f t="shared" si="2"/>
        <v>Not in buy Zone</v>
      </c>
      <c r="N677" s="33" t="str">
        <f t="shared" si="3"/>
        <v>No</v>
      </c>
    </row>
    <row r="678">
      <c r="A678" s="56" t="s">
        <v>706</v>
      </c>
      <c r="B678" s="56">
        <v>0.0</v>
      </c>
      <c r="C678" s="56">
        <v>0.0</v>
      </c>
      <c r="D678" s="56">
        <v>67.69</v>
      </c>
      <c r="E678" s="56">
        <v>0.0</v>
      </c>
      <c r="F678" s="58">
        <v>44384.0</v>
      </c>
      <c r="G678" s="56">
        <v>0.0</v>
      </c>
      <c r="H678" s="56">
        <v>69.13</v>
      </c>
      <c r="I678" s="59">
        <v>44393.0</v>
      </c>
      <c r="J678" s="56" t="s">
        <v>3594</v>
      </c>
      <c r="K678" s="15" t="s">
        <v>4271</v>
      </c>
      <c r="L678" s="60" t="str">
        <f t="shared" si="1"/>
        <v>Not in buy Zone</v>
      </c>
      <c r="M678" s="60" t="str">
        <f t="shared" si="2"/>
        <v>Not in buy Zone</v>
      </c>
      <c r="N678" s="33" t="str">
        <f t="shared" si="3"/>
        <v>No</v>
      </c>
    </row>
    <row r="679">
      <c r="A679" s="56" t="s">
        <v>707</v>
      </c>
      <c r="B679" s="56">
        <v>0.0</v>
      </c>
      <c r="C679" s="56">
        <v>0.0</v>
      </c>
      <c r="D679" s="56">
        <v>83.25</v>
      </c>
      <c r="E679" s="56">
        <v>0.0</v>
      </c>
      <c r="F679" s="58">
        <v>44389.0</v>
      </c>
      <c r="G679" s="56">
        <v>0.0</v>
      </c>
      <c r="H679" s="56">
        <v>81.09</v>
      </c>
      <c r="I679" s="59">
        <v>44393.0</v>
      </c>
      <c r="J679" s="56" t="s">
        <v>3594</v>
      </c>
      <c r="K679" s="15" t="s">
        <v>4272</v>
      </c>
      <c r="L679" s="60" t="str">
        <f t="shared" si="1"/>
        <v>Not in buy Zone</v>
      </c>
      <c r="M679" s="60" t="str">
        <f t="shared" si="2"/>
        <v>Not in buy Zone</v>
      </c>
      <c r="N679" s="33" t="str">
        <f t="shared" si="3"/>
        <v>No</v>
      </c>
    </row>
    <row r="680">
      <c r="A680" s="56" t="s">
        <v>708</v>
      </c>
      <c r="B680" s="56">
        <v>0.0</v>
      </c>
      <c r="C680" s="56">
        <v>0.0</v>
      </c>
      <c r="D680" s="56">
        <v>0.0</v>
      </c>
      <c r="E680" s="56">
        <v>81.37</v>
      </c>
      <c r="F680" s="58">
        <v>44392.0</v>
      </c>
      <c r="G680" s="56">
        <v>0.0</v>
      </c>
      <c r="H680" s="56">
        <v>80.86</v>
      </c>
      <c r="I680" s="59">
        <v>44393.0</v>
      </c>
      <c r="J680" s="56" t="s">
        <v>3594</v>
      </c>
      <c r="K680" s="15" t="s">
        <v>4273</v>
      </c>
      <c r="L680" s="60" t="str">
        <f t="shared" si="1"/>
        <v>Not in buy Zone</v>
      </c>
      <c r="M680" s="60" t="str">
        <f t="shared" si="2"/>
        <v>Not in buy Zone</v>
      </c>
      <c r="N680" s="33" t="str">
        <f t="shared" si="3"/>
        <v>No</v>
      </c>
    </row>
    <row r="681">
      <c r="A681" s="56" t="s">
        <v>709</v>
      </c>
      <c r="B681" s="56">
        <v>0.0</v>
      </c>
      <c r="C681" s="56">
        <v>0.0</v>
      </c>
      <c r="D681" s="56">
        <v>0.0</v>
      </c>
      <c r="E681" s="56">
        <v>53.99</v>
      </c>
      <c r="F681" s="58">
        <v>44364.0</v>
      </c>
      <c r="G681" s="56">
        <v>0.0</v>
      </c>
      <c r="H681" s="56">
        <v>48.68</v>
      </c>
      <c r="I681" s="59">
        <v>44393.0</v>
      </c>
      <c r="J681" s="56" t="s">
        <v>3594</v>
      </c>
      <c r="K681" s="15" t="s">
        <v>4274</v>
      </c>
      <c r="L681" s="60" t="str">
        <f t="shared" si="1"/>
        <v>Not in buy Zone</v>
      </c>
      <c r="M681" s="60" t="str">
        <f t="shared" si="2"/>
        <v>Not in buy Zone</v>
      </c>
      <c r="N681" s="33" t="str">
        <f t="shared" si="3"/>
        <v>No</v>
      </c>
    </row>
    <row r="682">
      <c r="A682" s="56" t="s">
        <v>710</v>
      </c>
      <c r="B682" s="56">
        <v>0.0</v>
      </c>
      <c r="C682" s="56">
        <v>0.0</v>
      </c>
      <c r="D682" s="56">
        <v>37.07</v>
      </c>
      <c r="E682" s="56">
        <v>0.0</v>
      </c>
      <c r="F682" s="58">
        <v>44389.0</v>
      </c>
      <c r="G682" s="56">
        <v>0.0</v>
      </c>
      <c r="H682" s="56">
        <v>36.12</v>
      </c>
      <c r="I682" s="59">
        <v>44393.0</v>
      </c>
      <c r="J682" s="56" t="s">
        <v>3594</v>
      </c>
      <c r="K682" s="15" t="s">
        <v>4275</v>
      </c>
      <c r="L682" s="60" t="str">
        <f t="shared" si="1"/>
        <v>Not in buy Zone</v>
      </c>
      <c r="M682" s="60" t="str">
        <f t="shared" si="2"/>
        <v>Not in buy Zone</v>
      </c>
      <c r="N682" s="33" t="str">
        <f t="shared" si="3"/>
        <v>No</v>
      </c>
    </row>
    <row r="683">
      <c r="A683" s="56" t="s">
        <v>711</v>
      </c>
      <c r="B683" s="56">
        <v>0.0</v>
      </c>
      <c r="C683" s="56">
        <v>0.0</v>
      </c>
      <c r="D683" s="56">
        <v>103.29</v>
      </c>
      <c r="E683" s="56">
        <v>0.0</v>
      </c>
      <c r="F683" s="58">
        <v>44379.0</v>
      </c>
      <c r="G683" s="56">
        <v>0.0</v>
      </c>
      <c r="H683" s="56">
        <v>101.91</v>
      </c>
      <c r="I683" s="59">
        <v>44393.0</v>
      </c>
      <c r="J683" s="56" t="s">
        <v>3594</v>
      </c>
      <c r="K683" s="15" t="s">
        <v>4276</v>
      </c>
      <c r="L683" s="60" t="str">
        <f t="shared" si="1"/>
        <v>Not in buy Zone</v>
      </c>
      <c r="M683" s="60" t="str">
        <f t="shared" si="2"/>
        <v>Not in buy Zone</v>
      </c>
      <c r="N683" s="33" t="str">
        <f t="shared" si="3"/>
        <v>No</v>
      </c>
    </row>
    <row r="684">
      <c r="A684" s="56" t="s">
        <v>712</v>
      </c>
      <c r="B684" s="56">
        <v>0.0</v>
      </c>
      <c r="C684" s="56">
        <v>0.0</v>
      </c>
      <c r="D684" s="56">
        <v>138.65</v>
      </c>
      <c r="E684" s="56">
        <v>0.0</v>
      </c>
      <c r="F684" s="58">
        <v>44341.0</v>
      </c>
      <c r="G684" s="56">
        <v>0.0</v>
      </c>
      <c r="H684" s="56">
        <v>150.3</v>
      </c>
      <c r="I684" s="59">
        <v>44393.0</v>
      </c>
      <c r="J684" s="56" t="s">
        <v>3594</v>
      </c>
      <c r="K684" s="15" t="s">
        <v>4277</v>
      </c>
      <c r="L684" s="60" t="str">
        <f t="shared" si="1"/>
        <v>Not in buy Zone</v>
      </c>
      <c r="M684" s="60" t="str">
        <f t="shared" si="2"/>
        <v>Not in buy Zone</v>
      </c>
      <c r="N684" s="33" t="str">
        <f t="shared" si="3"/>
        <v>No</v>
      </c>
    </row>
    <row r="685">
      <c r="A685" s="56" t="s">
        <v>713</v>
      </c>
      <c r="B685" s="56">
        <v>0.0</v>
      </c>
      <c r="C685" s="56">
        <v>0.0</v>
      </c>
      <c r="D685" s="56">
        <v>0.0</v>
      </c>
      <c r="E685" s="56">
        <v>135.59</v>
      </c>
      <c r="F685" s="58">
        <v>44386.0</v>
      </c>
      <c r="G685" s="56">
        <v>0.0</v>
      </c>
      <c r="H685" s="56">
        <v>128.63</v>
      </c>
      <c r="I685" s="59">
        <v>44393.0</v>
      </c>
      <c r="J685" s="56" t="s">
        <v>3594</v>
      </c>
      <c r="K685" s="15" t="s">
        <v>4278</v>
      </c>
      <c r="L685" s="60" t="str">
        <f t="shared" si="1"/>
        <v>Not in buy Zone</v>
      </c>
      <c r="M685" s="60" t="str">
        <f t="shared" si="2"/>
        <v>Not in buy Zone</v>
      </c>
      <c r="N685" s="33" t="str">
        <f t="shared" si="3"/>
        <v>No</v>
      </c>
    </row>
    <row r="686">
      <c r="A686" s="56" t="s">
        <v>714</v>
      </c>
      <c r="B686" s="56">
        <v>0.0</v>
      </c>
      <c r="C686" s="56">
        <v>0.0</v>
      </c>
      <c r="D686" s="56">
        <v>70.01</v>
      </c>
      <c r="E686" s="56">
        <v>0.0</v>
      </c>
      <c r="F686" s="58">
        <v>44384.0</v>
      </c>
      <c r="G686" s="56">
        <v>0.0</v>
      </c>
      <c r="H686" s="56">
        <v>71.04</v>
      </c>
      <c r="I686" s="59">
        <v>44393.0</v>
      </c>
      <c r="J686" s="56" t="s">
        <v>3594</v>
      </c>
      <c r="K686" s="15" t="s">
        <v>4279</v>
      </c>
      <c r="L686" s="60" t="str">
        <f t="shared" si="1"/>
        <v>Not in buy Zone</v>
      </c>
      <c r="M686" s="60" t="str">
        <f t="shared" si="2"/>
        <v>Not in buy Zone</v>
      </c>
      <c r="N686" s="33" t="str">
        <f t="shared" si="3"/>
        <v>No</v>
      </c>
    </row>
    <row r="687">
      <c r="A687" s="56" t="s">
        <v>715</v>
      </c>
      <c r="B687" s="56">
        <v>0.0</v>
      </c>
      <c r="C687" s="56">
        <v>0.0</v>
      </c>
      <c r="D687" s="56">
        <v>46.31</v>
      </c>
      <c r="E687" s="56">
        <v>0.0</v>
      </c>
      <c r="F687" s="58">
        <v>44389.0</v>
      </c>
      <c r="G687" s="56">
        <v>0.0</v>
      </c>
      <c r="H687" s="56">
        <v>46.23</v>
      </c>
      <c r="I687" s="59">
        <v>44393.0</v>
      </c>
      <c r="J687" s="56" t="s">
        <v>3594</v>
      </c>
      <c r="K687" s="15" t="s">
        <v>4280</v>
      </c>
      <c r="L687" s="60" t="str">
        <f t="shared" si="1"/>
        <v>Not in buy Zone</v>
      </c>
      <c r="M687" s="60" t="str">
        <f t="shared" si="2"/>
        <v>Not in buy Zone</v>
      </c>
      <c r="N687" s="33" t="str">
        <f t="shared" si="3"/>
        <v>No</v>
      </c>
    </row>
    <row r="688">
      <c r="A688" s="56" t="s">
        <v>716</v>
      </c>
      <c r="B688" s="56">
        <v>0.0</v>
      </c>
      <c r="C688" s="56">
        <v>0.0</v>
      </c>
      <c r="D688" s="56">
        <v>64.71</v>
      </c>
      <c r="E688" s="56">
        <v>0.0</v>
      </c>
      <c r="F688" s="58">
        <v>44384.0</v>
      </c>
      <c r="G688" s="56">
        <v>0.0</v>
      </c>
      <c r="H688" s="56">
        <v>66.27</v>
      </c>
      <c r="I688" s="59">
        <v>44393.0</v>
      </c>
      <c r="J688" s="56" t="s">
        <v>3594</v>
      </c>
      <c r="K688" s="15" t="s">
        <v>4281</v>
      </c>
      <c r="L688" s="60" t="str">
        <f t="shared" si="1"/>
        <v>Not in buy Zone</v>
      </c>
      <c r="M688" s="60" t="str">
        <f t="shared" si="2"/>
        <v>Not in buy Zone</v>
      </c>
      <c r="N688" s="33" t="str">
        <f t="shared" si="3"/>
        <v>No</v>
      </c>
    </row>
    <row r="689">
      <c r="A689" s="56" t="s">
        <v>717</v>
      </c>
      <c r="B689" s="56">
        <v>0.0</v>
      </c>
      <c r="C689" s="56">
        <v>0.0</v>
      </c>
      <c r="D689" s="56">
        <v>124.66</v>
      </c>
      <c r="E689" s="56">
        <v>0.0</v>
      </c>
      <c r="F689" s="58">
        <v>44361.0</v>
      </c>
      <c r="G689" s="56">
        <v>0.0</v>
      </c>
      <c r="H689" s="56">
        <v>128.62</v>
      </c>
      <c r="I689" s="59">
        <v>44393.0</v>
      </c>
      <c r="J689" s="56" t="s">
        <v>3594</v>
      </c>
      <c r="K689" s="15" t="s">
        <v>4282</v>
      </c>
      <c r="L689" s="60" t="str">
        <f t="shared" si="1"/>
        <v>Not in buy Zone</v>
      </c>
      <c r="M689" s="60" t="str">
        <f t="shared" si="2"/>
        <v>Not in buy Zone</v>
      </c>
      <c r="N689" s="33" t="str">
        <f t="shared" si="3"/>
        <v>No</v>
      </c>
    </row>
    <row r="690">
      <c r="A690" s="56" t="s">
        <v>718</v>
      </c>
      <c r="B690" s="56">
        <v>0.0</v>
      </c>
      <c r="C690" s="56">
        <v>178.01</v>
      </c>
      <c r="D690" s="56">
        <v>0.0</v>
      </c>
      <c r="E690" s="56">
        <v>0.0</v>
      </c>
      <c r="F690" s="58">
        <v>44393.0</v>
      </c>
      <c r="G690" s="56">
        <v>-1.0</v>
      </c>
      <c r="H690" s="56">
        <v>178.01</v>
      </c>
      <c r="I690" s="59">
        <v>44393.0</v>
      </c>
      <c r="J690" s="56" t="s">
        <v>3594</v>
      </c>
      <c r="K690" s="15" t="s">
        <v>4283</v>
      </c>
      <c r="L690" s="60" t="str">
        <f t="shared" si="1"/>
        <v>Not in buy Zone</v>
      </c>
      <c r="M690" s="60" t="str">
        <f t="shared" si="2"/>
        <v>Not in buy Zone</v>
      </c>
      <c r="N690" s="33" t="str">
        <f t="shared" si="3"/>
        <v>No</v>
      </c>
    </row>
    <row r="691">
      <c r="A691" s="56" t="s">
        <v>719</v>
      </c>
      <c r="B691" s="56">
        <v>0.0</v>
      </c>
      <c r="C691" s="56">
        <v>0.0</v>
      </c>
      <c r="D691" s="56">
        <v>0.0</v>
      </c>
      <c r="E691" s="56">
        <v>62.62</v>
      </c>
      <c r="F691" s="58">
        <v>44376.0</v>
      </c>
      <c r="G691" s="56">
        <v>0.0</v>
      </c>
      <c r="H691" s="56">
        <v>57.32</v>
      </c>
      <c r="I691" s="59">
        <v>44393.0</v>
      </c>
      <c r="J691" s="56" t="s">
        <v>3594</v>
      </c>
      <c r="K691" s="15" t="s">
        <v>4284</v>
      </c>
      <c r="L691" s="60" t="str">
        <f t="shared" si="1"/>
        <v>Not in buy Zone</v>
      </c>
      <c r="M691" s="60" t="str">
        <f t="shared" si="2"/>
        <v>Not in buy Zone</v>
      </c>
      <c r="N691" s="33" t="str">
        <f t="shared" si="3"/>
        <v>No</v>
      </c>
    </row>
    <row r="692">
      <c r="A692" s="56" t="s">
        <v>720</v>
      </c>
      <c r="B692" s="56">
        <v>0.0</v>
      </c>
      <c r="C692" s="56">
        <v>0.0</v>
      </c>
      <c r="D692" s="56">
        <v>0.0</v>
      </c>
      <c r="E692" s="56">
        <v>93.02</v>
      </c>
      <c r="F692" s="58">
        <v>44364.0</v>
      </c>
      <c r="G692" s="56">
        <v>0.0</v>
      </c>
      <c r="H692" s="56">
        <v>82.32</v>
      </c>
      <c r="I692" s="59">
        <v>44393.0</v>
      </c>
      <c r="J692" s="56" t="s">
        <v>3594</v>
      </c>
      <c r="K692" s="15" t="s">
        <v>4285</v>
      </c>
      <c r="L692" s="60" t="str">
        <f t="shared" si="1"/>
        <v>Not in buy Zone</v>
      </c>
      <c r="M692" s="60" t="str">
        <f t="shared" si="2"/>
        <v>Not in buy Zone</v>
      </c>
      <c r="N692" s="33" t="str">
        <f t="shared" si="3"/>
        <v>No</v>
      </c>
    </row>
    <row r="693">
      <c r="A693" s="56" t="s">
        <v>721</v>
      </c>
      <c r="B693" s="56">
        <v>0.0</v>
      </c>
      <c r="C693" s="56">
        <v>0.0</v>
      </c>
      <c r="D693" s="56">
        <v>0.0</v>
      </c>
      <c r="E693" s="56">
        <v>66.8</v>
      </c>
      <c r="F693" s="58">
        <v>44327.0</v>
      </c>
      <c r="G693" s="56">
        <v>0.0</v>
      </c>
      <c r="H693" s="56">
        <v>61.16</v>
      </c>
      <c r="I693" s="59">
        <v>44393.0</v>
      </c>
      <c r="J693" s="56" t="s">
        <v>3594</v>
      </c>
      <c r="K693" s="15" t="s">
        <v>4286</v>
      </c>
      <c r="L693" s="60" t="str">
        <f t="shared" si="1"/>
        <v>Not in buy Zone</v>
      </c>
      <c r="M693" s="60" t="str">
        <f t="shared" si="2"/>
        <v>Not in buy Zone</v>
      </c>
      <c r="N693" s="33" t="str">
        <f t="shared" si="3"/>
        <v>No</v>
      </c>
    </row>
    <row r="694">
      <c r="A694" s="56" t="s">
        <v>722</v>
      </c>
      <c r="B694" s="56">
        <v>0.0</v>
      </c>
      <c r="C694" s="56">
        <v>0.0</v>
      </c>
      <c r="D694" s="56">
        <v>119.96</v>
      </c>
      <c r="E694" s="56">
        <v>0.0</v>
      </c>
      <c r="F694" s="58">
        <v>44377.0</v>
      </c>
      <c r="G694" s="56">
        <v>0.0</v>
      </c>
      <c r="H694" s="56">
        <v>119.36</v>
      </c>
      <c r="I694" s="59">
        <v>44393.0</v>
      </c>
      <c r="J694" s="56" t="s">
        <v>3594</v>
      </c>
      <c r="K694" s="15" t="s">
        <v>4287</v>
      </c>
      <c r="L694" s="60" t="str">
        <f t="shared" si="1"/>
        <v>Not in buy Zone</v>
      </c>
      <c r="M694" s="60" t="str">
        <f t="shared" si="2"/>
        <v>Not in buy Zone</v>
      </c>
      <c r="N694" s="33" t="str">
        <f t="shared" si="3"/>
        <v>No</v>
      </c>
    </row>
    <row r="695">
      <c r="A695" s="56" t="s">
        <v>723</v>
      </c>
      <c r="B695" s="56">
        <v>0.0</v>
      </c>
      <c r="C695" s="56">
        <v>0.0</v>
      </c>
      <c r="D695" s="56">
        <v>117.32</v>
      </c>
      <c r="E695" s="56">
        <v>0.0</v>
      </c>
      <c r="F695" s="58">
        <v>44385.0</v>
      </c>
      <c r="G695" s="56">
        <v>0.0</v>
      </c>
      <c r="H695" s="56">
        <v>115.85</v>
      </c>
      <c r="I695" s="59">
        <v>44393.0</v>
      </c>
      <c r="J695" s="56" t="s">
        <v>3594</v>
      </c>
      <c r="K695" s="15" t="s">
        <v>4288</v>
      </c>
      <c r="L695" s="60" t="str">
        <f t="shared" si="1"/>
        <v>Not in buy Zone</v>
      </c>
      <c r="M695" s="60" t="str">
        <f t="shared" si="2"/>
        <v>Not in buy Zone</v>
      </c>
      <c r="N695" s="33" t="str">
        <f t="shared" si="3"/>
        <v>No</v>
      </c>
    </row>
    <row r="696">
      <c r="A696" s="56" t="s">
        <v>724</v>
      </c>
      <c r="B696" s="56">
        <v>0.0</v>
      </c>
      <c r="C696" s="56">
        <v>0.0</v>
      </c>
      <c r="D696" s="56">
        <v>0.0</v>
      </c>
      <c r="E696" s="56">
        <v>114.14</v>
      </c>
      <c r="F696" s="58">
        <v>44389.0</v>
      </c>
      <c r="G696" s="56">
        <v>0.0</v>
      </c>
      <c r="H696" s="56">
        <v>104.15</v>
      </c>
      <c r="I696" s="59">
        <v>44393.0</v>
      </c>
      <c r="J696" s="56" t="s">
        <v>3594</v>
      </c>
      <c r="K696" s="15" t="s">
        <v>4289</v>
      </c>
      <c r="L696" s="60" t="str">
        <f t="shared" si="1"/>
        <v>Not in buy Zone</v>
      </c>
      <c r="M696" s="60" t="str">
        <f t="shared" si="2"/>
        <v>Not in buy Zone</v>
      </c>
      <c r="N696" s="33" t="str">
        <f t="shared" si="3"/>
        <v>No</v>
      </c>
    </row>
    <row r="697">
      <c r="A697" s="56" t="s">
        <v>725</v>
      </c>
      <c r="B697" s="56">
        <v>0.0</v>
      </c>
      <c r="C697" s="56">
        <v>0.0</v>
      </c>
      <c r="D697" s="56">
        <v>0.0</v>
      </c>
      <c r="E697" s="56">
        <v>159.76</v>
      </c>
      <c r="F697" s="58">
        <v>44389.0</v>
      </c>
      <c r="G697" s="56">
        <v>0.0</v>
      </c>
      <c r="H697" s="56">
        <v>153.4</v>
      </c>
      <c r="I697" s="59">
        <v>44393.0</v>
      </c>
      <c r="J697" s="56" t="s">
        <v>3594</v>
      </c>
      <c r="K697" s="15" t="s">
        <v>4290</v>
      </c>
      <c r="L697" s="60" t="str">
        <f t="shared" si="1"/>
        <v>Not in buy Zone</v>
      </c>
      <c r="M697" s="60" t="str">
        <f t="shared" si="2"/>
        <v>Not in buy Zone</v>
      </c>
      <c r="N697" s="33" t="str">
        <f t="shared" si="3"/>
        <v>No</v>
      </c>
    </row>
    <row r="698">
      <c r="A698" s="56" t="s">
        <v>726</v>
      </c>
      <c r="B698" s="56">
        <v>0.0</v>
      </c>
      <c r="C698" s="56">
        <v>0.0</v>
      </c>
      <c r="D698" s="56">
        <v>0.0</v>
      </c>
      <c r="E698" s="56">
        <v>522.62</v>
      </c>
      <c r="F698" s="58">
        <v>44392.0</v>
      </c>
      <c r="G698" s="56">
        <v>0.0</v>
      </c>
      <c r="H698" s="56">
        <v>518.33</v>
      </c>
      <c r="I698" s="59">
        <v>44393.0</v>
      </c>
      <c r="J698" s="56" t="s">
        <v>3594</v>
      </c>
      <c r="K698" s="15" t="s">
        <v>4291</v>
      </c>
      <c r="L698" s="60" t="str">
        <f t="shared" si="1"/>
        <v>Not in buy Zone</v>
      </c>
      <c r="M698" s="60" t="str">
        <f t="shared" si="2"/>
        <v>Not in buy Zone</v>
      </c>
      <c r="N698" s="33" t="str">
        <f t="shared" si="3"/>
        <v>No</v>
      </c>
    </row>
    <row r="699">
      <c r="A699" s="56" t="s">
        <v>727</v>
      </c>
      <c r="B699" s="56">
        <v>0.0</v>
      </c>
      <c r="C699" s="56">
        <v>49.6</v>
      </c>
      <c r="D699" s="56">
        <v>0.0</v>
      </c>
      <c r="E699" s="56">
        <v>0.0</v>
      </c>
      <c r="F699" s="58">
        <v>44393.0</v>
      </c>
      <c r="G699" s="56">
        <v>-1.0</v>
      </c>
      <c r="H699" s="56">
        <v>49.6</v>
      </c>
      <c r="I699" s="59">
        <v>44393.0</v>
      </c>
      <c r="J699" s="56" t="s">
        <v>3594</v>
      </c>
      <c r="K699" s="15" t="s">
        <v>4292</v>
      </c>
      <c r="L699" s="60" t="str">
        <f t="shared" si="1"/>
        <v>Not in buy Zone</v>
      </c>
      <c r="M699" s="60" t="str">
        <f t="shared" si="2"/>
        <v>Not in buy Zone</v>
      </c>
      <c r="N699" s="33" t="str">
        <f t="shared" si="3"/>
        <v>No</v>
      </c>
    </row>
    <row r="700">
      <c r="A700" s="56" t="s">
        <v>728</v>
      </c>
      <c r="B700" s="56">
        <v>0.0</v>
      </c>
      <c r="C700" s="56">
        <v>0.0</v>
      </c>
      <c r="D700" s="56">
        <v>0.0</v>
      </c>
      <c r="E700" s="56">
        <v>385.08</v>
      </c>
      <c r="F700" s="58">
        <v>44386.0</v>
      </c>
      <c r="G700" s="56">
        <v>0.0</v>
      </c>
      <c r="H700" s="56">
        <v>361.97</v>
      </c>
      <c r="I700" s="59">
        <v>44393.0</v>
      </c>
      <c r="J700" s="56" t="s">
        <v>3594</v>
      </c>
      <c r="K700" s="15" t="s">
        <v>4293</v>
      </c>
      <c r="L700" s="60" t="str">
        <f t="shared" si="1"/>
        <v>Not in buy Zone</v>
      </c>
      <c r="M700" s="60" t="str">
        <f t="shared" si="2"/>
        <v>Not in buy Zone</v>
      </c>
      <c r="N700" s="33" t="str">
        <f t="shared" si="3"/>
        <v>No</v>
      </c>
    </row>
    <row r="701">
      <c r="A701" s="56" t="s">
        <v>729</v>
      </c>
      <c r="B701" s="56">
        <v>0.0</v>
      </c>
      <c r="C701" s="56">
        <v>0.0</v>
      </c>
      <c r="D701" s="56">
        <v>182.1</v>
      </c>
      <c r="E701" s="56">
        <v>0.0</v>
      </c>
      <c r="F701" s="58">
        <v>44357.0</v>
      </c>
      <c r="G701" s="56">
        <v>0.0</v>
      </c>
      <c r="H701" s="56">
        <v>199.68</v>
      </c>
      <c r="I701" s="59">
        <v>44393.0</v>
      </c>
      <c r="J701" s="56" t="s">
        <v>3594</v>
      </c>
      <c r="K701" s="15" t="s">
        <v>4294</v>
      </c>
      <c r="L701" s="60" t="str">
        <f t="shared" si="1"/>
        <v>Not in buy Zone</v>
      </c>
      <c r="M701" s="60" t="str">
        <f t="shared" si="2"/>
        <v>Not in buy Zone</v>
      </c>
      <c r="N701" s="33" t="str">
        <f t="shared" si="3"/>
        <v>No</v>
      </c>
    </row>
    <row r="702">
      <c r="L702" s="60"/>
      <c r="M702" s="60"/>
    </row>
    <row r="703">
      <c r="L703" s="60"/>
      <c r="M703" s="60"/>
    </row>
    <row r="704">
      <c r="L704" s="60"/>
      <c r="M704" s="60"/>
    </row>
    <row r="705">
      <c r="L705" s="60"/>
      <c r="M705" s="60"/>
    </row>
    <row r="706">
      <c r="L706" s="60"/>
      <c r="M706" s="60"/>
    </row>
    <row r="707">
      <c r="L707" s="60"/>
      <c r="M707" s="60"/>
    </row>
    <row r="708">
      <c r="L708" s="60"/>
      <c r="M708" s="60"/>
    </row>
    <row r="709">
      <c r="L709" s="60"/>
      <c r="M709" s="60"/>
    </row>
    <row r="710">
      <c r="L710" s="60"/>
      <c r="M710" s="60"/>
    </row>
    <row r="711">
      <c r="L711" s="60"/>
      <c r="M711" s="60"/>
    </row>
    <row r="712">
      <c r="L712" s="60"/>
      <c r="M712" s="60"/>
    </row>
    <row r="713">
      <c r="L713" s="60"/>
      <c r="M713" s="60"/>
    </row>
    <row r="714">
      <c r="L714" s="60"/>
      <c r="M714" s="60"/>
    </row>
    <row r="715">
      <c r="L715" s="60"/>
      <c r="M715" s="60"/>
    </row>
    <row r="716">
      <c r="L716" s="60"/>
      <c r="M716" s="60"/>
    </row>
    <row r="717">
      <c r="L717" s="60"/>
      <c r="M717" s="60"/>
    </row>
    <row r="718">
      <c r="L718" s="60"/>
      <c r="M718" s="60"/>
    </row>
    <row r="719">
      <c r="L719" s="60"/>
      <c r="M719" s="60"/>
    </row>
    <row r="720">
      <c r="L720" s="60"/>
      <c r="M720" s="60"/>
    </row>
    <row r="721">
      <c r="L721" s="60"/>
      <c r="M721" s="60"/>
    </row>
    <row r="722">
      <c r="L722" s="60"/>
      <c r="M722" s="60"/>
    </row>
    <row r="723">
      <c r="L723" s="60"/>
      <c r="M723" s="60"/>
    </row>
    <row r="724">
      <c r="L724" s="60"/>
      <c r="M724" s="60"/>
    </row>
    <row r="725">
      <c r="L725" s="60"/>
      <c r="M725" s="60"/>
    </row>
    <row r="726">
      <c r="L726" s="60"/>
      <c r="M726" s="60"/>
    </row>
    <row r="727">
      <c r="L727" s="60"/>
      <c r="M727" s="60"/>
    </row>
    <row r="728">
      <c r="L728" s="60"/>
      <c r="M728" s="60"/>
    </row>
    <row r="729">
      <c r="L729" s="60"/>
      <c r="M729" s="60"/>
    </row>
    <row r="730">
      <c r="L730" s="60"/>
      <c r="M730" s="60"/>
    </row>
    <row r="731">
      <c r="L731" s="60"/>
      <c r="M731" s="60"/>
    </row>
    <row r="732">
      <c r="L732" s="60"/>
      <c r="M732" s="60"/>
    </row>
    <row r="733">
      <c r="L733" s="60"/>
      <c r="M733" s="60"/>
    </row>
    <row r="734">
      <c r="L734" s="60"/>
      <c r="M734" s="60"/>
    </row>
    <row r="735">
      <c r="L735" s="60"/>
      <c r="M735" s="60"/>
    </row>
    <row r="736">
      <c r="L736" s="60"/>
      <c r="M736" s="60"/>
    </row>
    <row r="737">
      <c r="L737" s="60"/>
      <c r="M737" s="60"/>
    </row>
    <row r="738">
      <c r="L738" s="60"/>
      <c r="M738" s="60"/>
    </row>
    <row r="739">
      <c r="L739" s="60"/>
      <c r="M739" s="60"/>
    </row>
    <row r="740">
      <c r="L740" s="60"/>
      <c r="M740" s="60"/>
    </row>
    <row r="741">
      <c r="L741" s="60"/>
      <c r="M741" s="60"/>
    </row>
    <row r="742">
      <c r="L742" s="60"/>
      <c r="M742" s="60"/>
    </row>
    <row r="743">
      <c r="L743" s="60"/>
      <c r="M743" s="60"/>
    </row>
    <row r="744">
      <c r="L744" s="60"/>
      <c r="M744" s="60"/>
    </row>
    <row r="745">
      <c r="L745" s="60"/>
      <c r="M745" s="60"/>
    </row>
    <row r="746">
      <c r="L746" s="60"/>
      <c r="M746" s="60"/>
    </row>
    <row r="747">
      <c r="L747" s="60"/>
      <c r="M747" s="60"/>
    </row>
    <row r="748">
      <c r="L748" s="60"/>
      <c r="M748" s="60"/>
    </row>
    <row r="749">
      <c r="L749" s="60"/>
      <c r="M749" s="60"/>
    </row>
    <row r="750">
      <c r="L750" s="60"/>
      <c r="M750" s="60"/>
    </row>
    <row r="751">
      <c r="L751" s="60"/>
      <c r="M751" s="60"/>
    </row>
    <row r="752">
      <c r="L752" s="60"/>
      <c r="M752" s="60"/>
    </row>
    <row r="753">
      <c r="L753" s="60"/>
      <c r="M753" s="60"/>
    </row>
    <row r="754">
      <c r="L754" s="60"/>
      <c r="M754" s="60"/>
    </row>
    <row r="755">
      <c r="L755" s="60"/>
      <c r="M755" s="60"/>
    </row>
    <row r="756">
      <c r="L756" s="60"/>
      <c r="M756" s="60"/>
    </row>
    <row r="757">
      <c r="L757" s="60"/>
      <c r="M757" s="60"/>
    </row>
    <row r="758">
      <c r="L758" s="60"/>
      <c r="M758" s="60"/>
    </row>
    <row r="759">
      <c r="L759" s="60"/>
      <c r="M759" s="60"/>
    </row>
    <row r="760">
      <c r="L760" s="60"/>
      <c r="M760" s="60"/>
    </row>
    <row r="761">
      <c r="L761" s="60"/>
      <c r="M761" s="60"/>
    </row>
    <row r="762">
      <c r="L762" s="60"/>
      <c r="M762" s="60"/>
    </row>
    <row r="763">
      <c r="L763" s="60"/>
      <c r="M763" s="60"/>
    </row>
    <row r="764">
      <c r="L764" s="60"/>
      <c r="M764" s="60"/>
    </row>
    <row r="765">
      <c r="L765" s="60"/>
      <c r="M765" s="60"/>
    </row>
    <row r="766">
      <c r="L766" s="60"/>
      <c r="M766" s="60"/>
    </row>
    <row r="767">
      <c r="L767" s="60"/>
      <c r="M767" s="60"/>
    </row>
    <row r="768">
      <c r="L768" s="60"/>
      <c r="M768" s="60"/>
    </row>
    <row r="769">
      <c r="L769" s="60"/>
      <c r="M769" s="60"/>
    </row>
    <row r="770">
      <c r="L770" s="60"/>
      <c r="M770" s="60"/>
    </row>
    <row r="771">
      <c r="L771" s="60"/>
      <c r="M771" s="60"/>
    </row>
    <row r="772">
      <c r="L772" s="60"/>
      <c r="M772" s="60"/>
    </row>
    <row r="773">
      <c r="L773" s="60"/>
      <c r="M773" s="60"/>
    </row>
    <row r="774">
      <c r="L774" s="60"/>
      <c r="M774" s="60"/>
    </row>
    <row r="775">
      <c r="L775" s="60"/>
      <c r="M775" s="60"/>
    </row>
    <row r="776">
      <c r="L776" s="60"/>
      <c r="M776" s="60"/>
    </row>
    <row r="777">
      <c r="L777" s="60"/>
      <c r="M777" s="60"/>
    </row>
    <row r="778">
      <c r="L778" s="60"/>
      <c r="M778" s="60"/>
    </row>
    <row r="779">
      <c r="L779" s="60"/>
      <c r="M779" s="60"/>
    </row>
    <row r="780">
      <c r="L780" s="60"/>
      <c r="M780" s="60"/>
    </row>
    <row r="781">
      <c r="L781" s="60"/>
      <c r="M781" s="60"/>
    </row>
    <row r="782">
      <c r="L782" s="60"/>
      <c r="M782" s="60"/>
    </row>
    <row r="783">
      <c r="L783" s="60"/>
      <c r="M783" s="60"/>
    </row>
    <row r="784">
      <c r="L784" s="60"/>
      <c r="M784" s="60"/>
    </row>
    <row r="785">
      <c r="L785" s="60"/>
      <c r="M785" s="60"/>
    </row>
    <row r="786">
      <c r="L786" s="60"/>
      <c r="M786" s="60"/>
    </row>
    <row r="787">
      <c r="L787" s="60"/>
      <c r="M787" s="60"/>
    </row>
    <row r="788">
      <c r="L788" s="60"/>
      <c r="M788" s="60"/>
    </row>
    <row r="789">
      <c r="L789" s="60"/>
      <c r="M789" s="60"/>
    </row>
    <row r="790">
      <c r="L790" s="60"/>
      <c r="M790" s="60"/>
    </row>
    <row r="791">
      <c r="L791" s="60"/>
      <c r="M791" s="60"/>
    </row>
    <row r="792">
      <c r="L792" s="60"/>
      <c r="M792" s="60"/>
    </row>
    <row r="793">
      <c r="L793" s="60"/>
      <c r="M793" s="60"/>
    </row>
    <row r="794">
      <c r="L794" s="60"/>
      <c r="M794" s="60"/>
    </row>
    <row r="795">
      <c r="L795" s="60"/>
      <c r="M795" s="60"/>
    </row>
    <row r="796">
      <c r="L796" s="60"/>
      <c r="M796" s="60"/>
    </row>
    <row r="797">
      <c r="L797" s="60"/>
      <c r="M797" s="60"/>
    </row>
    <row r="798">
      <c r="L798" s="60"/>
      <c r="M798" s="60"/>
    </row>
    <row r="799">
      <c r="L799" s="60"/>
      <c r="M799" s="60"/>
    </row>
    <row r="800">
      <c r="L800" s="60"/>
      <c r="M800" s="60"/>
    </row>
    <row r="801">
      <c r="L801" s="60"/>
      <c r="M801" s="60"/>
    </row>
    <row r="802">
      <c r="L802" s="60"/>
      <c r="M802" s="60"/>
    </row>
    <row r="803">
      <c r="L803" s="60"/>
      <c r="M803" s="60"/>
    </row>
    <row r="804">
      <c r="L804" s="60"/>
      <c r="M804" s="60"/>
    </row>
    <row r="805">
      <c r="L805" s="60"/>
      <c r="M805" s="60"/>
    </row>
    <row r="806">
      <c r="L806" s="60"/>
      <c r="M806" s="60"/>
    </row>
    <row r="807">
      <c r="L807" s="60"/>
      <c r="M807" s="60"/>
    </row>
    <row r="808">
      <c r="L808" s="60"/>
      <c r="M808" s="60"/>
    </row>
    <row r="809">
      <c r="L809" s="60"/>
      <c r="M809" s="60"/>
    </row>
    <row r="810">
      <c r="L810" s="60"/>
      <c r="M810" s="60"/>
    </row>
    <row r="811">
      <c r="L811" s="60"/>
      <c r="M811" s="60"/>
    </row>
    <row r="812">
      <c r="L812" s="60"/>
      <c r="M812" s="60"/>
    </row>
    <row r="813">
      <c r="L813" s="60"/>
      <c r="M813" s="60"/>
    </row>
    <row r="814">
      <c r="L814" s="60"/>
      <c r="M814" s="60"/>
    </row>
    <row r="815">
      <c r="L815" s="60"/>
      <c r="M815" s="60"/>
    </row>
    <row r="816">
      <c r="L816" s="60"/>
      <c r="M816" s="60"/>
    </row>
    <row r="817">
      <c r="L817" s="60"/>
      <c r="M817" s="60"/>
    </row>
    <row r="818">
      <c r="L818" s="60"/>
      <c r="M818" s="60"/>
    </row>
    <row r="819">
      <c r="L819" s="60"/>
      <c r="M819" s="60"/>
    </row>
    <row r="820">
      <c r="L820" s="60"/>
      <c r="M820" s="60"/>
    </row>
    <row r="821">
      <c r="L821" s="60"/>
      <c r="M821" s="60"/>
    </row>
    <row r="822">
      <c r="L822" s="60"/>
      <c r="M822" s="60"/>
    </row>
    <row r="823">
      <c r="L823" s="60"/>
      <c r="M823" s="60"/>
    </row>
    <row r="824">
      <c r="L824" s="60"/>
      <c r="M824" s="60"/>
    </row>
    <row r="825">
      <c r="L825" s="60"/>
      <c r="M825" s="60"/>
    </row>
    <row r="826">
      <c r="L826" s="60"/>
      <c r="M826" s="60"/>
    </row>
    <row r="827">
      <c r="L827" s="60"/>
      <c r="M827" s="60"/>
    </row>
    <row r="828">
      <c r="L828" s="60"/>
      <c r="M828" s="60"/>
    </row>
    <row r="829">
      <c r="L829" s="60"/>
      <c r="M829" s="60"/>
    </row>
    <row r="830">
      <c r="L830" s="60"/>
      <c r="M830" s="60"/>
    </row>
    <row r="831">
      <c r="L831" s="60"/>
      <c r="M831" s="60"/>
    </row>
    <row r="832">
      <c r="L832" s="60"/>
      <c r="M832" s="60"/>
    </row>
    <row r="833">
      <c r="L833" s="60"/>
      <c r="M833" s="60"/>
    </row>
    <row r="834">
      <c r="L834" s="60"/>
      <c r="M834" s="60"/>
    </row>
    <row r="835">
      <c r="L835" s="60"/>
      <c r="M835" s="60"/>
    </row>
    <row r="836">
      <c r="L836" s="60"/>
      <c r="M836" s="60"/>
    </row>
    <row r="837">
      <c r="L837" s="60"/>
      <c r="M837" s="60"/>
    </row>
    <row r="838">
      <c r="L838" s="60"/>
      <c r="M838" s="60"/>
    </row>
    <row r="839">
      <c r="L839" s="60"/>
      <c r="M839" s="60"/>
    </row>
    <row r="840">
      <c r="L840" s="60"/>
      <c r="M840" s="60"/>
    </row>
    <row r="841">
      <c r="L841" s="60"/>
      <c r="M841" s="60"/>
    </row>
    <row r="842">
      <c r="L842" s="60"/>
      <c r="M842" s="60"/>
    </row>
    <row r="843">
      <c r="L843" s="60"/>
      <c r="M843" s="60"/>
    </row>
    <row r="844">
      <c r="L844" s="60"/>
      <c r="M844" s="60"/>
    </row>
    <row r="845">
      <c r="L845" s="60"/>
      <c r="M845" s="60"/>
    </row>
    <row r="846">
      <c r="L846" s="60"/>
      <c r="M846" s="60"/>
    </row>
    <row r="847">
      <c r="L847" s="60"/>
      <c r="M847" s="60"/>
    </row>
    <row r="848">
      <c r="L848" s="60"/>
      <c r="M848" s="60"/>
    </row>
    <row r="849">
      <c r="L849" s="60"/>
      <c r="M849" s="60"/>
    </row>
    <row r="850">
      <c r="L850" s="60"/>
      <c r="M850" s="60"/>
    </row>
    <row r="851">
      <c r="L851" s="60"/>
      <c r="M851" s="60"/>
    </row>
    <row r="852">
      <c r="L852" s="60"/>
      <c r="M852" s="60"/>
    </row>
    <row r="853">
      <c r="L853" s="60"/>
      <c r="M853" s="60"/>
    </row>
    <row r="854">
      <c r="L854" s="60"/>
      <c r="M854" s="60"/>
    </row>
    <row r="855">
      <c r="L855" s="60"/>
      <c r="M855" s="60"/>
    </row>
    <row r="856">
      <c r="L856" s="60"/>
      <c r="M856" s="60"/>
    </row>
    <row r="857">
      <c r="L857" s="60"/>
      <c r="M857" s="60"/>
    </row>
    <row r="858">
      <c r="L858" s="60"/>
      <c r="M858" s="60"/>
    </row>
    <row r="859">
      <c r="L859" s="60"/>
      <c r="M859" s="60"/>
    </row>
    <row r="860">
      <c r="L860" s="60"/>
      <c r="M860" s="60"/>
    </row>
    <row r="861">
      <c r="L861" s="60"/>
      <c r="M861" s="60"/>
    </row>
    <row r="862">
      <c r="L862" s="60"/>
      <c r="M862" s="60"/>
    </row>
    <row r="863">
      <c r="L863" s="60"/>
      <c r="M863" s="60"/>
    </row>
    <row r="864">
      <c r="L864" s="60"/>
      <c r="M864" s="60"/>
    </row>
    <row r="865">
      <c r="L865" s="60"/>
      <c r="M865" s="60"/>
    </row>
    <row r="866">
      <c r="L866" s="60"/>
      <c r="M866" s="60"/>
    </row>
    <row r="867">
      <c r="L867" s="60"/>
      <c r="M867" s="60"/>
    </row>
    <row r="868">
      <c r="L868" s="60"/>
      <c r="M868" s="60"/>
    </row>
    <row r="869">
      <c r="L869" s="60"/>
      <c r="M869" s="60"/>
    </row>
    <row r="870">
      <c r="L870" s="60"/>
      <c r="M870" s="60"/>
    </row>
    <row r="871">
      <c r="L871" s="60"/>
      <c r="M871" s="60"/>
    </row>
    <row r="872">
      <c r="L872" s="60"/>
      <c r="M872" s="60"/>
    </row>
    <row r="873">
      <c r="L873" s="60"/>
      <c r="M873" s="60"/>
    </row>
    <row r="874">
      <c r="L874" s="60"/>
      <c r="M874" s="60"/>
    </row>
    <row r="875">
      <c r="L875" s="60"/>
      <c r="M875" s="60"/>
    </row>
    <row r="876">
      <c r="L876" s="60"/>
      <c r="M876" s="60"/>
    </row>
    <row r="877">
      <c r="L877" s="60"/>
      <c r="M877" s="60"/>
    </row>
    <row r="878">
      <c r="L878" s="60"/>
      <c r="M878" s="60"/>
    </row>
    <row r="879">
      <c r="L879" s="60"/>
      <c r="M879" s="60"/>
    </row>
    <row r="880">
      <c r="L880" s="60"/>
      <c r="M880" s="60"/>
    </row>
    <row r="881">
      <c r="L881" s="60"/>
      <c r="M881" s="60"/>
    </row>
    <row r="882">
      <c r="L882" s="60"/>
      <c r="M882" s="60"/>
    </row>
    <row r="883">
      <c r="L883" s="60"/>
      <c r="M883" s="60"/>
    </row>
    <row r="884">
      <c r="L884" s="60"/>
      <c r="M884" s="60"/>
    </row>
    <row r="885">
      <c r="L885" s="60"/>
      <c r="M885" s="60"/>
    </row>
    <row r="886">
      <c r="L886" s="60"/>
      <c r="M886" s="60"/>
    </row>
    <row r="887">
      <c r="L887" s="60"/>
      <c r="M887" s="60"/>
    </row>
    <row r="888">
      <c r="L888" s="60"/>
      <c r="M888" s="60"/>
    </row>
    <row r="889">
      <c r="L889" s="60"/>
      <c r="M889" s="60"/>
    </row>
    <row r="890">
      <c r="L890" s="60"/>
      <c r="M890" s="60"/>
    </row>
    <row r="891">
      <c r="L891" s="60"/>
      <c r="M891" s="60"/>
    </row>
    <row r="892">
      <c r="L892" s="60"/>
      <c r="M892" s="60"/>
    </row>
    <row r="893">
      <c r="L893" s="60"/>
      <c r="M893" s="60"/>
    </row>
    <row r="894">
      <c r="L894" s="60"/>
      <c r="M894" s="60"/>
    </row>
    <row r="895">
      <c r="L895" s="60"/>
      <c r="M895" s="60"/>
    </row>
    <row r="896">
      <c r="L896" s="60"/>
      <c r="M896" s="60"/>
    </row>
    <row r="897">
      <c r="L897" s="60"/>
      <c r="M897" s="60"/>
    </row>
    <row r="898">
      <c r="L898" s="60"/>
      <c r="M898" s="60"/>
    </row>
    <row r="899">
      <c r="L899" s="60"/>
      <c r="M899" s="60"/>
    </row>
    <row r="900">
      <c r="L900" s="60"/>
      <c r="M900" s="60"/>
    </row>
    <row r="901">
      <c r="L901" s="60"/>
      <c r="M901" s="60"/>
    </row>
    <row r="902">
      <c r="L902" s="60"/>
      <c r="M902" s="60"/>
    </row>
    <row r="903">
      <c r="L903" s="60"/>
      <c r="M903" s="60"/>
    </row>
    <row r="904">
      <c r="L904" s="60"/>
      <c r="M904" s="60"/>
    </row>
    <row r="905">
      <c r="L905" s="60"/>
      <c r="M905" s="60"/>
    </row>
    <row r="906">
      <c r="L906" s="60"/>
      <c r="M906" s="60"/>
    </row>
    <row r="907">
      <c r="L907" s="60"/>
      <c r="M907" s="60"/>
    </row>
    <row r="908">
      <c r="L908" s="60"/>
      <c r="M908" s="60"/>
    </row>
    <row r="909">
      <c r="L909" s="60"/>
      <c r="M909" s="60"/>
    </row>
    <row r="910">
      <c r="L910" s="60"/>
      <c r="M910" s="60"/>
    </row>
    <row r="911">
      <c r="L911" s="60"/>
      <c r="M911" s="60"/>
    </row>
    <row r="912">
      <c r="L912" s="60"/>
      <c r="M912" s="60"/>
    </row>
    <row r="913">
      <c r="L913" s="60"/>
      <c r="M913" s="60"/>
    </row>
    <row r="914">
      <c r="L914" s="60"/>
      <c r="M914" s="60"/>
    </row>
    <row r="915">
      <c r="L915" s="60"/>
      <c r="M915" s="60"/>
    </row>
    <row r="916">
      <c r="L916" s="60"/>
      <c r="M916" s="60"/>
    </row>
    <row r="917">
      <c r="L917" s="60"/>
      <c r="M917" s="60"/>
    </row>
    <row r="918">
      <c r="L918" s="60"/>
      <c r="M918" s="60"/>
    </row>
    <row r="919">
      <c r="L919" s="60"/>
      <c r="M919" s="60"/>
    </row>
    <row r="920">
      <c r="L920" s="60"/>
      <c r="M920" s="60"/>
    </row>
    <row r="921">
      <c r="L921" s="60"/>
      <c r="M921" s="60"/>
    </row>
    <row r="922">
      <c r="L922" s="60"/>
      <c r="M922" s="60"/>
    </row>
    <row r="923">
      <c r="L923" s="60"/>
      <c r="M923" s="60"/>
    </row>
    <row r="924">
      <c r="L924" s="60"/>
      <c r="M924" s="60"/>
    </row>
    <row r="925">
      <c r="L925" s="60"/>
      <c r="M925" s="60"/>
    </row>
    <row r="926">
      <c r="L926" s="60"/>
      <c r="M926" s="60"/>
    </row>
    <row r="927">
      <c r="L927" s="60"/>
      <c r="M927" s="60"/>
    </row>
    <row r="928">
      <c r="L928" s="60"/>
      <c r="M928" s="60"/>
    </row>
    <row r="929">
      <c r="L929" s="60"/>
      <c r="M929" s="60"/>
    </row>
    <row r="930">
      <c r="L930" s="60"/>
      <c r="M930" s="60"/>
    </row>
    <row r="931">
      <c r="L931" s="60"/>
      <c r="M931" s="60"/>
    </row>
    <row r="932">
      <c r="L932" s="60"/>
      <c r="M932" s="60"/>
    </row>
    <row r="933">
      <c r="L933" s="60"/>
      <c r="M933" s="60"/>
    </row>
    <row r="934">
      <c r="L934" s="60"/>
      <c r="M934" s="60"/>
    </row>
    <row r="935">
      <c r="L935" s="60"/>
      <c r="M935" s="60"/>
    </row>
    <row r="936">
      <c r="L936" s="60"/>
      <c r="M936" s="60"/>
    </row>
    <row r="937">
      <c r="L937" s="60"/>
      <c r="M937" s="60"/>
    </row>
    <row r="938">
      <c r="L938" s="60"/>
      <c r="M938" s="60"/>
    </row>
    <row r="939">
      <c r="L939" s="60"/>
      <c r="M939" s="60"/>
    </row>
    <row r="940">
      <c r="L940" s="60"/>
      <c r="M940" s="60"/>
    </row>
    <row r="941">
      <c r="L941" s="60"/>
      <c r="M941" s="60"/>
    </row>
    <row r="942">
      <c r="L942" s="60"/>
      <c r="M942" s="60"/>
    </row>
    <row r="943">
      <c r="L943" s="60"/>
      <c r="M943" s="60"/>
    </row>
    <row r="944">
      <c r="L944" s="60"/>
      <c r="M944" s="60"/>
    </row>
    <row r="945">
      <c r="L945" s="60"/>
      <c r="M945" s="60"/>
    </row>
    <row r="946">
      <c r="L946" s="60"/>
      <c r="M946" s="60"/>
    </row>
    <row r="947">
      <c r="L947" s="60"/>
      <c r="M947" s="60"/>
    </row>
    <row r="948">
      <c r="L948" s="60"/>
      <c r="M948" s="60"/>
    </row>
    <row r="949">
      <c r="L949" s="60"/>
      <c r="M949" s="60"/>
    </row>
    <row r="950">
      <c r="L950" s="60"/>
      <c r="M950" s="60"/>
    </row>
    <row r="951">
      <c r="L951" s="60"/>
      <c r="M951" s="60"/>
    </row>
    <row r="952">
      <c r="L952" s="60"/>
      <c r="M952" s="60"/>
    </row>
    <row r="953">
      <c r="L953" s="60"/>
      <c r="M953" s="60"/>
    </row>
    <row r="954">
      <c r="L954" s="60"/>
      <c r="M954" s="60"/>
    </row>
    <row r="955">
      <c r="L955" s="60"/>
      <c r="M955" s="60"/>
    </row>
    <row r="956">
      <c r="L956" s="60"/>
      <c r="M956" s="60"/>
    </row>
    <row r="957">
      <c r="L957" s="60"/>
      <c r="M957" s="60"/>
    </row>
    <row r="958">
      <c r="L958" s="60"/>
      <c r="M958" s="60"/>
    </row>
    <row r="959">
      <c r="L959" s="60"/>
      <c r="M959" s="60"/>
    </row>
    <row r="960">
      <c r="L960" s="60"/>
      <c r="M960" s="60"/>
    </row>
    <row r="961">
      <c r="L961" s="60"/>
      <c r="M961" s="60"/>
    </row>
    <row r="962">
      <c r="L962" s="60"/>
      <c r="M962" s="60"/>
    </row>
    <row r="963">
      <c r="L963" s="60"/>
      <c r="M963" s="60"/>
    </row>
    <row r="964">
      <c r="L964" s="60"/>
      <c r="M964" s="60"/>
    </row>
    <row r="965">
      <c r="L965" s="60"/>
      <c r="M965" s="60"/>
    </row>
    <row r="966">
      <c r="L966" s="60"/>
      <c r="M966" s="60"/>
    </row>
    <row r="967">
      <c r="L967" s="60"/>
      <c r="M967" s="60"/>
    </row>
    <row r="968">
      <c r="L968" s="60"/>
      <c r="M968" s="60"/>
    </row>
    <row r="969">
      <c r="L969" s="60"/>
      <c r="M969" s="60"/>
    </row>
    <row r="970">
      <c r="L970" s="60"/>
      <c r="M970" s="60"/>
    </row>
    <row r="971">
      <c r="L971" s="60"/>
      <c r="M971" s="60"/>
    </row>
    <row r="972">
      <c r="L972" s="60"/>
      <c r="M972" s="60"/>
    </row>
    <row r="973">
      <c r="L973" s="60"/>
      <c r="M973" s="60"/>
    </row>
    <row r="974">
      <c r="L974" s="60"/>
      <c r="M974" s="60"/>
    </row>
    <row r="975">
      <c r="L975" s="60"/>
      <c r="M975" s="60"/>
    </row>
    <row r="976">
      <c r="L976" s="60"/>
      <c r="M976" s="60"/>
    </row>
    <row r="977">
      <c r="L977" s="60"/>
      <c r="M977" s="60"/>
    </row>
    <row r="978">
      <c r="L978" s="60"/>
      <c r="M978" s="60"/>
    </row>
    <row r="979">
      <c r="L979" s="60"/>
      <c r="M979" s="60"/>
    </row>
    <row r="980">
      <c r="L980" s="60"/>
      <c r="M980" s="60"/>
    </row>
    <row r="981">
      <c r="L981" s="60"/>
      <c r="M981" s="60"/>
    </row>
    <row r="982">
      <c r="L982" s="60"/>
      <c r="M982" s="60"/>
    </row>
    <row r="983">
      <c r="L983" s="60"/>
      <c r="M983" s="60"/>
    </row>
    <row r="984">
      <c r="L984" s="60"/>
      <c r="M984" s="60"/>
    </row>
    <row r="985">
      <c r="L985" s="60"/>
      <c r="M985" s="60"/>
    </row>
    <row r="986">
      <c r="L986" s="60"/>
      <c r="M986" s="60"/>
    </row>
    <row r="987">
      <c r="L987" s="60"/>
      <c r="M987" s="60"/>
    </row>
    <row r="988">
      <c r="L988" s="60"/>
      <c r="M988" s="60"/>
    </row>
    <row r="989">
      <c r="L989" s="60"/>
      <c r="M989" s="60"/>
    </row>
    <row r="990">
      <c r="L990" s="60"/>
      <c r="M990" s="60"/>
    </row>
    <row r="991">
      <c r="L991" s="60"/>
      <c r="M991" s="60"/>
    </row>
    <row r="992">
      <c r="L992" s="60"/>
      <c r="M992" s="60"/>
    </row>
    <row r="993">
      <c r="L993" s="60"/>
      <c r="M993" s="60"/>
    </row>
    <row r="994">
      <c r="L994" s="60"/>
      <c r="M994" s="60"/>
    </row>
    <row r="995">
      <c r="L995" s="60"/>
      <c r="M995" s="60"/>
    </row>
    <row r="996">
      <c r="L996" s="60"/>
      <c r="M996" s="60"/>
    </row>
    <row r="997">
      <c r="L997" s="60"/>
      <c r="M997" s="60"/>
    </row>
    <row r="998">
      <c r="L998" s="60"/>
      <c r="M998" s="60"/>
    </row>
    <row r="999">
      <c r="L999" s="60"/>
      <c r="M999" s="60"/>
    </row>
    <row r="1000">
      <c r="L1000" s="60"/>
      <c r="M1000" s="60"/>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4" max="4" width="32.29"/>
    <col customWidth="1" min="5" max="5" width="35.71"/>
    <col customWidth="1" min="7" max="7" width="10.86"/>
    <col customWidth="1" min="10" max="10" width="31.43"/>
    <col customWidth="1" min="11" max="11" width="82.71"/>
    <col customWidth="1" min="14" max="14" width="41.57"/>
  </cols>
  <sheetData>
    <row r="1">
      <c r="A1" s="1" t="s">
        <v>1</v>
      </c>
      <c r="B1" s="1" t="s">
        <v>4295</v>
      </c>
      <c r="C1" s="1" t="s">
        <v>4296</v>
      </c>
      <c r="D1" s="1" t="s">
        <v>4297</v>
      </c>
      <c r="E1" s="1" t="s">
        <v>4298</v>
      </c>
      <c r="F1" s="1" t="s">
        <v>4299</v>
      </c>
      <c r="G1" s="1" t="s">
        <v>4300</v>
      </c>
      <c r="H1" s="1" t="s">
        <v>4301</v>
      </c>
      <c r="I1" s="1" t="s">
        <v>4302</v>
      </c>
      <c r="J1" s="1" t="s">
        <v>4303</v>
      </c>
      <c r="K1" s="1" t="s">
        <v>4304</v>
      </c>
      <c r="L1" s="57" t="s">
        <v>4305</v>
      </c>
      <c r="M1" s="57" t="s">
        <v>4306</v>
      </c>
      <c r="N1" s="1" t="s">
        <v>4307</v>
      </c>
      <c r="O1" s="1" t="s">
        <v>3593</v>
      </c>
    </row>
    <row r="2">
      <c r="A2" s="1" t="s">
        <v>32</v>
      </c>
      <c r="B2" s="1">
        <v>0.0</v>
      </c>
      <c r="C2" s="1">
        <v>0.0</v>
      </c>
      <c r="D2" s="1">
        <v>133.34</v>
      </c>
      <c r="E2" s="1">
        <v>0.0</v>
      </c>
      <c r="F2" s="54">
        <v>44340.0</v>
      </c>
      <c r="G2" s="1">
        <v>0.0</v>
      </c>
      <c r="H2" s="1">
        <v>148.93</v>
      </c>
      <c r="I2" s="14">
        <v>44393.0</v>
      </c>
      <c r="J2" s="1" t="s">
        <v>4308</v>
      </c>
      <c r="K2" s="15" t="s">
        <v>4309</v>
      </c>
      <c r="L2" s="60" t="str">
        <f t="shared" ref="L2:L701" si="1">if(B2=0,"Not in buy Zone",B2+B2*0.005)</f>
        <v>Not in buy Zone</v>
      </c>
      <c r="M2" s="60" t="str">
        <f t="shared" ref="M2:M701" si="2">if(B2=0,"Not in buy Zone",B2-B2*0.005)</f>
        <v>Not in buy Zone</v>
      </c>
      <c r="N2" s="33" t="str">
        <f t="shared" ref="N2:N701" si="3">if(L2="Not in buy Zone","No","Yes")</f>
        <v>No</v>
      </c>
    </row>
    <row r="3">
      <c r="A3" s="1" t="s">
        <v>33</v>
      </c>
      <c r="B3" s="1">
        <v>0.0</v>
      </c>
      <c r="C3" s="1">
        <v>0.0</v>
      </c>
      <c r="D3" s="1">
        <v>0.0</v>
      </c>
      <c r="E3" s="1">
        <v>34.54</v>
      </c>
      <c r="F3" s="54">
        <v>44392.0</v>
      </c>
      <c r="G3" s="1">
        <v>0.0</v>
      </c>
      <c r="H3" s="1">
        <v>32.95</v>
      </c>
      <c r="I3" s="14">
        <v>44393.0</v>
      </c>
      <c r="J3" s="1" t="s">
        <v>4308</v>
      </c>
      <c r="K3" s="15" t="s">
        <v>4310</v>
      </c>
      <c r="L3" s="60" t="str">
        <f t="shared" si="1"/>
        <v>Not in buy Zone</v>
      </c>
      <c r="M3" s="60" t="str">
        <f t="shared" si="2"/>
        <v>Not in buy Zone</v>
      </c>
      <c r="N3" s="33" t="str">
        <f t="shared" si="3"/>
        <v>No</v>
      </c>
    </row>
    <row r="4">
      <c r="A4" s="1" t="s">
        <v>34</v>
      </c>
      <c r="B4" s="1">
        <v>0.0</v>
      </c>
      <c r="C4" s="1">
        <v>0.0</v>
      </c>
      <c r="D4" s="1">
        <v>0.0</v>
      </c>
      <c r="E4" s="1">
        <v>23.46</v>
      </c>
      <c r="F4" s="54">
        <v>44357.0</v>
      </c>
      <c r="G4" s="1">
        <v>0.0</v>
      </c>
      <c r="H4" s="1">
        <v>19.79</v>
      </c>
      <c r="I4" s="14">
        <v>44393.0</v>
      </c>
      <c r="J4" s="1" t="s">
        <v>4308</v>
      </c>
      <c r="K4" s="15" t="s">
        <v>4311</v>
      </c>
      <c r="L4" s="60" t="str">
        <f t="shared" si="1"/>
        <v>Not in buy Zone</v>
      </c>
      <c r="M4" s="60" t="str">
        <f t="shared" si="2"/>
        <v>Not in buy Zone</v>
      </c>
      <c r="N4" s="33" t="str">
        <f t="shared" si="3"/>
        <v>No</v>
      </c>
    </row>
    <row r="5">
      <c r="A5" s="1" t="s">
        <v>35</v>
      </c>
      <c r="B5" s="1">
        <v>0.0</v>
      </c>
      <c r="C5" s="1">
        <v>0.0</v>
      </c>
      <c r="D5" s="1">
        <v>197.87</v>
      </c>
      <c r="E5" s="1">
        <v>0.0</v>
      </c>
      <c r="F5" s="54">
        <v>44355.0</v>
      </c>
      <c r="G5" s="1">
        <v>0.0</v>
      </c>
      <c r="H5" s="1">
        <v>205.85</v>
      </c>
      <c r="I5" s="14">
        <v>44393.0</v>
      </c>
      <c r="J5" s="1" t="s">
        <v>4308</v>
      </c>
      <c r="K5" s="15" t="s">
        <v>4312</v>
      </c>
      <c r="L5" s="60" t="str">
        <f t="shared" si="1"/>
        <v>Not in buy Zone</v>
      </c>
      <c r="M5" s="60" t="str">
        <f t="shared" si="2"/>
        <v>Not in buy Zone</v>
      </c>
      <c r="N5" s="33" t="str">
        <f t="shared" si="3"/>
        <v>No</v>
      </c>
    </row>
    <row r="6">
      <c r="A6" s="1" t="s">
        <v>36</v>
      </c>
      <c r="B6" s="1">
        <v>0.0</v>
      </c>
      <c r="C6" s="1">
        <v>0.0</v>
      </c>
      <c r="D6" s="1">
        <v>130.48</v>
      </c>
      <c r="E6" s="1">
        <v>0.0</v>
      </c>
      <c r="F6" s="54">
        <v>44361.0</v>
      </c>
      <c r="G6" s="1">
        <v>0.0</v>
      </c>
      <c r="H6" s="1">
        <v>146.39</v>
      </c>
      <c r="I6" s="14">
        <v>44393.0</v>
      </c>
      <c r="J6" s="1" t="s">
        <v>4308</v>
      </c>
      <c r="K6" s="15" t="s">
        <v>4313</v>
      </c>
      <c r="L6" s="60" t="str">
        <f t="shared" si="1"/>
        <v>Not in buy Zone</v>
      </c>
      <c r="M6" s="60" t="str">
        <f t="shared" si="2"/>
        <v>Not in buy Zone</v>
      </c>
      <c r="N6" s="33" t="str">
        <f t="shared" si="3"/>
        <v>No</v>
      </c>
    </row>
    <row r="7">
      <c r="A7" s="1" t="s">
        <v>37</v>
      </c>
      <c r="B7" s="1">
        <v>0.0</v>
      </c>
      <c r="C7" s="1">
        <v>0.0</v>
      </c>
      <c r="D7" s="1">
        <v>115.73</v>
      </c>
      <c r="E7" s="1">
        <v>0.0</v>
      </c>
      <c r="F7" s="54">
        <v>44383.0</v>
      </c>
      <c r="G7" s="1">
        <v>0.0</v>
      </c>
      <c r="H7" s="1">
        <v>117.5</v>
      </c>
      <c r="I7" s="14">
        <v>44393.0</v>
      </c>
      <c r="J7" s="1" t="s">
        <v>4308</v>
      </c>
      <c r="K7" s="15" t="s">
        <v>4314</v>
      </c>
      <c r="L7" s="60" t="str">
        <f t="shared" si="1"/>
        <v>Not in buy Zone</v>
      </c>
      <c r="M7" s="60" t="str">
        <f t="shared" si="2"/>
        <v>Not in buy Zone</v>
      </c>
      <c r="N7" s="33" t="str">
        <f t="shared" si="3"/>
        <v>No</v>
      </c>
    </row>
    <row r="8">
      <c r="A8" s="1" t="s">
        <v>38</v>
      </c>
      <c r="B8" s="1">
        <v>0.0</v>
      </c>
      <c r="C8" s="1">
        <v>0.0</v>
      </c>
      <c r="D8" s="1">
        <v>0.0</v>
      </c>
      <c r="E8" s="1">
        <v>114.42</v>
      </c>
      <c r="F8" s="54">
        <v>44365.0</v>
      </c>
      <c r="G8" s="1">
        <v>0.0</v>
      </c>
      <c r="H8" s="1">
        <v>112.88</v>
      </c>
      <c r="I8" s="14">
        <v>44393.0</v>
      </c>
      <c r="J8" s="1" t="s">
        <v>4308</v>
      </c>
      <c r="K8" s="15" t="s">
        <v>4315</v>
      </c>
      <c r="L8" s="60" t="str">
        <f t="shared" si="1"/>
        <v>Not in buy Zone</v>
      </c>
      <c r="M8" s="60" t="str">
        <f t="shared" si="2"/>
        <v>Not in buy Zone</v>
      </c>
      <c r="N8" s="33" t="str">
        <f t="shared" si="3"/>
        <v>No</v>
      </c>
    </row>
    <row r="9">
      <c r="A9" s="1" t="s">
        <v>39</v>
      </c>
      <c r="B9" s="1">
        <v>0.0</v>
      </c>
      <c r="C9" s="1">
        <v>0.0</v>
      </c>
      <c r="D9" s="1">
        <v>0.0</v>
      </c>
      <c r="E9" s="1">
        <v>312.3</v>
      </c>
      <c r="F9" s="54">
        <v>44391.0</v>
      </c>
      <c r="G9" s="1">
        <v>0.0</v>
      </c>
      <c r="H9" s="1">
        <v>317.98</v>
      </c>
      <c r="I9" s="14">
        <v>44393.0</v>
      </c>
      <c r="J9" s="1" t="s">
        <v>4308</v>
      </c>
      <c r="K9" s="15" t="s">
        <v>4316</v>
      </c>
      <c r="L9" s="60" t="str">
        <f t="shared" si="1"/>
        <v>Not in buy Zone</v>
      </c>
      <c r="M9" s="60" t="str">
        <f t="shared" si="2"/>
        <v>Not in buy Zone</v>
      </c>
      <c r="N9" s="33" t="str">
        <f t="shared" si="3"/>
        <v>No</v>
      </c>
    </row>
    <row r="10">
      <c r="A10" s="1" t="s">
        <v>40</v>
      </c>
      <c r="B10" s="1">
        <v>0.0</v>
      </c>
      <c r="C10" s="1">
        <v>0.0</v>
      </c>
      <c r="D10" s="1">
        <v>112.72</v>
      </c>
      <c r="E10" s="1">
        <v>0.0</v>
      </c>
      <c r="F10" s="54">
        <v>44372.0</v>
      </c>
      <c r="G10" s="1">
        <v>0.0</v>
      </c>
      <c r="H10" s="1">
        <v>117.51</v>
      </c>
      <c r="I10" s="14">
        <v>44393.0</v>
      </c>
      <c r="J10" s="1" t="s">
        <v>4308</v>
      </c>
      <c r="K10" s="15" t="s">
        <v>4317</v>
      </c>
      <c r="L10" s="60" t="str">
        <f t="shared" si="1"/>
        <v>Not in buy Zone</v>
      </c>
      <c r="M10" s="60" t="str">
        <f t="shared" si="2"/>
        <v>Not in buy Zone</v>
      </c>
      <c r="N10" s="33" t="str">
        <f t="shared" si="3"/>
        <v>No</v>
      </c>
    </row>
    <row r="11">
      <c r="A11" s="1" t="s">
        <v>41</v>
      </c>
      <c r="B11" s="1">
        <v>0.0</v>
      </c>
      <c r="C11" s="1">
        <v>0.0</v>
      </c>
      <c r="D11" s="1">
        <v>291.56</v>
      </c>
      <c r="E11" s="1">
        <v>0.0</v>
      </c>
      <c r="F11" s="54">
        <v>44371.0</v>
      </c>
      <c r="G11" s="1">
        <v>0.0</v>
      </c>
      <c r="H11" s="1">
        <v>311.91</v>
      </c>
      <c r="I11" s="14">
        <v>44393.0</v>
      </c>
      <c r="J11" s="1" t="s">
        <v>4308</v>
      </c>
      <c r="K11" s="15" t="s">
        <v>4318</v>
      </c>
      <c r="L11" s="60" t="str">
        <f t="shared" si="1"/>
        <v>Not in buy Zone</v>
      </c>
      <c r="M11" s="60" t="str">
        <f t="shared" si="2"/>
        <v>Not in buy Zone</v>
      </c>
      <c r="N11" s="33" t="str">
        <f t="shared" si="3"/>
        <v>No</v>
      </c>
    </row>
    <row r="12">
      <c r="A12" s="1" t="s">
        <v>42</v>
      </c>
      <c r="B12" s="1">
        <v>0.0</v>
      </c>
      <c r="C12" s="1">
        <v>0.0</v>
      </c>
      <c r="D12" s="1">
        <v>505.08</v>
      </c>
      <c r="E12" s="1">
        <v>0.0</v>
      </c>
      <c r="F12" s="54">
        <v>44341.0</v>
      </c>
      <c r="G12" s="1">
        <v>0.0</v>
      </c>
      <c r="H12" s="1">
        <v>606.1</v>
      </c>
      <c r="I12" s="14">
        <v>44393.0</v>
      </c>
      <c r="J12" s="1" t="s">
        <v>4308</v>
      </c>
      <c r="K12" s="15" t="s">
        <v>4319</v>
      </c>
      <c r="L12" s="60" t="str">
        <f t="shared" si="1"/>
        <v>Not in buy Zone</v>
      </c>
      <c r="M12" s="60" t="str">
        <f t="shared" si="2"/>
        <v>Not in buy Zone</v>
      </c>
      <c r="N12" s="33" t="str">
        <f t="shared" si="3"/>
        <v>No</v>
      </c>
    </row>
    <row r="13">
      <c r="A13" s="1" t="s">
        <v>43</v>
      </c>
      <c r="B13" s="1">
        <v>0.0</v>
      </c>
      <c r="C13" s="1">
        <v>0.0</v>
      </c>
      <c r="D13" s="1">
        <v>0.0</v>
      </c>
      <c r="E13" s="1">
        <v>165.43</v>
      </c>
      <c r="F13" s="54">
        <v>44384.0</v>
      </c>
      <c r="G13" s="1">
        <v>0.0</v>
      </c>
      <c r="H13" s="1">
        <v>160.44</v>
      </c>
      <c r="I13" s="14">
        <v>44393.0</v>
      </c>
      <c r="J13" s="1" t="s">
        <v>4308</v>
      </c>
      <c r="K13" s="15" t="s">
        <v>4320</v>
      </c>
      <c r="L13" s="60" t="str">
        <f t="shared" si="1"/>
        <v>Not in buy Zone</v>
      </c>
      <c r="M13" s="60" t="str">
        <f t="shared" si="2"/>
        <v>Not in buy Zone</v>
      </c>
      <c r="N13" s="33" t="str">
        <f t="shared" si="3"/>
        <v>No</v>
      </c>
    </row>
    <row r="14">
      <c r="A14" s="1" t="s">
        <v>44</v>
      </c>
      <c r="B14" s="1">
        <v>0.0</v>
      </c>
      <c r="C14" s="1">
        <v>0.0</v>
      </c>
      <c r="D14" s="1">
        <v>0.0</v>
      </c>
      <c r="E14" s="1">
        <v>66.0</v>
      </c>
      <c r="F14" s="54">
        <v>44358.0</v>
      </c>
      <c r="G14" s="1">
        <v>0.0</v>
      </c>
      <c r="H14" s="1">
        <v>58.21</v>
      </c>
      <c r="I14" s="14">
        <v>44393.0</v>
      </c>
      <c r="J14" s="1" t="s">
        <v>4308</v>
      </c>
      <c r="K14" s="15" t="s">
        <v>4321</v>
      </c>
      <c r="L14" s="60" t="str">
        <f t="shared" si="1"/>
        <v>Not in buy Zone</v>
      </c>
      <c r="M14" s="60" t="str">
        <f t="shared" si="2"/>
        <v>Not in buy Zone</v>
      </c>
      <c r="N14" s="33" t="str">
        <f t="shared" si="3"/>
        <v>No</v>
      </c>
    </row>
    <row r="15">
      <c r="A15" s="1" t="s">
        <v>45</v>
      </c>
      <c r="B15" s="1">
        <v>0.0</v>
      </c>
      <c r="C15" s="1">
        <v>0.0</v>
      </c>
      <c r="D15" s="1">
        <v>201.48</v>
      </c>
      <c r="E15" s="1">
        <v>0.0</v>
      </c>
      <c r="F15" s="54">
        <v>44379.0</v>
      </c>
      <c r="G15" s="1">
        <v>0.0</v>
      </c>
      <c r="H15" s="1">
        <v>205.6</v>
      </c>
      <c r="I15" s="14">
        <v>44393.0</v>
      </c>
      <c r="J15" s="1" t="s">
        <v>4308</v>
      </c>
      <c r="K15" s="15" t="s">
        <v>4322</v>
      </c>
      <c r="L15" s="60" t="str">
        <f t="shared" si="1"/>
        <v>Not in buy Zone</v>
      </c>
      <c r="M15" s="60" t="str">
        <f t="shared" si="2"/>
        <v>Not in buy Zone</v>
      </c>
      <c r="N15" s="33" t="str">
        <f t="shared" si="3"/>
        <v>No</v>
      </c>
    </row>
    <row r="16">
      <c r="A16" s="1" t="s">
        <v>46</v>
      </c>
      <c r="B16" s="1">
        <v>0.0</v>
      </c>
      <c r="C16" s="1">
        <v>0.0</v>
      </c>
      <c r="D16" s="1">
        <v>288.74</v>
      </c>
      <c r="E16" s="1">
        <v>0.0</v>
      </c>
      <c r="F16" s="54">
        <v>44372.0</v>
      </c>
      <c r="G16" s="1">
        <v>0.0</v>
      </c>
      <c r="H16" s="1">
        <v>293.33</v>
      </c>
      <c r="I16" s="14">
        <v>44393.0</v>
      </c>
      <c r="J16" s="1" t="s">
        <v>4308</v>
      </c>
      <c r="K16" s="15" t="s">
        <v>4323</v>
      </c>
      <c r="L16" s="60" t="str">
        <f t="shared" si="1"/>
        <v>Not in buy Zone</v>
      </c>
      <c r="M16" s="60" t="str">
        <f t="shared" si="2"/>
        <v>Not in buy Zone</v>
      </c>
      <c r="N16" s="33" t="str">
        <f t="shared" si="3"/>
        <v>No</v>
      </c>
    </row>
    <row r="17">
      <c r="A17" s="1" t="s">
        <v>47</v>
      </c>
      <c r="B17" s="1">
        <v>0.0</v>
      </c>
      <c r="C17" s="1">
        <v>0.0</v>
      </c>
      <c r="D17" s="1">
        <v>82.88</v>
      </c>
      <c r="E17" s="1">
        <v>0.0</v>
      </c>
      <c r="F17" s="54">
        <v>44389.0</v>
      </c>
      <c r="G17" s="1">
        <v>0.0</v>
      </c>
      <c r="H17" s="1">
        <v>85.06</v>
      </c>
      <c r="I17" s="14">
        <v>44393.0</v>
      </c>
      <c r="J17" s="1" t="s">
        <v>4308</v>
      </c>
      <c r="K17" s="15" t="s">
        <v>4324</v>
      </c>
      <c r="L17" s="60" t="str">
        <f t="shared" si="1"/>
        <v>Not in buy Zone</v>
      </c>
      <c r="M17" s="60" t="str">
        <f t="shared" si="2"/>
        <v>Not in buy Zone</v>
      </c>
      <c r="N17" s="33" t="str">
        <f t="shared" si="3"/>
        <v>No</v>
      </c>
    </row>
    <row r="18">
      <c r="A18" s="1" t="s">
        <v>48</v>
      </c>
      <c r="B18" s="1">
        <v>0.0</v>
      </c>
      <c r="C18" s="1">
        <v>0.0</v>
      </c>
      <c r="D18" s="1">
        <v>0.0</v>
      </c>
      <c r="E18" s="1">
        <v>35.25</v>
      </c>
      <c r="F18" s="54">
        <v>44384.0</v>
      </c>
      <c r="G18" s="1">
        <v>0.0</v>
      </c>
      <c r="H18" s="1">
        <v>33.56</v>
      </c>
      <c r="I18" s="14">
        <v>44393.0</v>
      </c>
      <c r="J18" s="1" t="s">
        <v>4308</v>
      </c>
      <c r="K18" s="15" t="s">
        <v>4325</v>
      </c>
      <c r="L18" s="60" t="str">
        <f t="shared" si="1"/>
        <v>Not in buy Zone</v>
      </c>
      <c r="M18" s="60" t="str">
        <f t="shared" si="2"/>
        <v>Not in buy Zone</v>
      </c>
      <c r="N18" s="33" t="str">
        <f t="shared" si="3"/>
        <v>No</v>
      </c>
    </row>
    <row r="19">
      <c r="A19" s="1" t="s">
        <v>4</v>
      </c>
      <c r="B19" s="1">
        <v>0.0</v>
      </c>
      <c r="C19" s="1">
        <v>0.0</v>
      </c>
      <c r="D19" s="1">
        <v>85.26</v>
      </c>
      <c r="E19" s="1">
        <v>0.0</v>
      </c>
      <c r="F19" s="54">
        <v>44378.0</v>
      </c>
      <c r="G19" s="1">
        <v>0.0</v>
      </c>
      <c r="H19" s="1">
        <v>87.49</v>
      </c>
      <c r="I19" s="14">
        <v>44393.0</v>
      </c>
      <c r="J19" s="1" t="s">
        <v>4308</v>
      </c>
      <c r="K19" s="15" t="s">
        <v>4326</v>
      </c>
      <c r="L19" s="60" t="str">
        <f t="shared" si="1"/>
        <v>Not in buy Zone</v>
      </c>
      <c r="M19" s="60" t="str">
        <f t="shared" si="2"/>
        <v>Not in buy Zone</v>
      </c>
      <c r="N19" s="33" t="str">
        <f t="shared" si="3"/>
        <v>No</v>
      </c>
    </row>
    <row r="20">
      <c r="A20" s="1" t="s">
        <v>49</v>
      </c>
      <c r="B20" s="1">
        <v>0.0</v>
      </c>
      <c r="C20" s="1">
        <v>0.0</v>
      </c>
      <c r="D20" s="1">
        <v>0.0</v>
      </c>
      <c r="E20" s="1">
        <v>25.49</v>
      </c>
      <c r="F20" s="54">
        <v>44385.0</v>
      </c>
      <c r="G20" s="1">
        <v>0.0</v>
      </c>
      <c r="H20" s="1">
        <v>24.36</v>
      </c>
      <c r="I20" s="14">
        <v>44393.0</v>
      </c>
      <c r="J20" s="1" t="s">
        <v>4308</v>
      </c>
      <c r="K20" s="15" t="s">
        <v>4327</v>
      </c>
      <c r="L20" s="60" t="str">
        <f t="shared" si="1"/>
        <v>Not in buy Zone</v>
      </c>
      <c r="M20" s="60" t="str">
        <f t="shared" si="2"/>
        <v>Not in buy Zone</v>
      </c>
      <c r="N20" s="33" t="str">
        <f t="shared" si="3"/>
        <v>No</v>
      </c>
    </row>
    <row r="21">
      <c r="A21" s="1" t="s">
        <v>50</v>
      </c>
      <c r="B21" s="1">
        <v>0.0</v>
      </c>
      <c r="C21" s="1">
        <v>0.0</v>
      </c>
      <c r="D21" s="1">
        <v>0.0</v>
      </c>
      <c r="E21" s="1">
        <v>55.43</v>
      </c>
      <c r="F21" s="54">
        <v>44361.0</v>
      </c>
      <c r="G21" s="1">
        <v>0.0</v>
      </c>
      <c r="H21" s="1">
        <v>53.12</v>
      </c>
      <c r="I21" s="14">
        <v>44393.0</v>
      </c>
      <c r="J21" s="1" t="s">
        <v>4308</v>
      </c>
      <c r="K21" s="15" t="s">
        <v>4328</v>
      </c>
      <c r="L21" s="60" t="str">
        <f t="shared" si="1"/>
        <v>Not in buy Zone</v>
      </c>
      <c r="M21" s="60" t="str">
        <f t="shared" si="2"/>
        <v>Not in buy Zone</v>
      </c>
      <c r="N21" s="33" t="str">
        <f t="shared" si="3"/>
        <v>No</v>
      </c>
    </row>
    <row r="22">
      <c r="A22" s="1" t="s">
        <v>51</v>
      </c>
      <c r="B22" s="1">
        <v>0.0</v>
      </c>
      <c r="C22" s="1">
        <v>0.0</v>
      </c>
      <c r="D22" s="1">
        <v>0.0</v>
      </c>
      <c r="E22" s="1">
        <v>115.36</v>
      </c>
      <c r="F22" s="54">
        <v>44390.0</v>
      </c>
      <c r="G22" s="1">
        <v>0.0</v>
      </c>
      <c r="H22" s="1">
        <v>115.9</v>
      </c>
      <c r="I22" s="14">
        <v>44393.0</v>
      </c>
      <c r="J22" s="1" t="s">
        <v>4308</v>
      </c>
      <c r="K22" s="15" t="s">
        <v>4329</v>
      </c>
      <c r="L22" s="60" t="str">
        <f t="shared" si="1"/>
        <v>Not in buy Zone</v>
      </c>
      <c r="M22" s="60" t="str">
        <f t="shared" si="2"/>
        <v>Not in buy Zone</v>
      </c>
      <c r="N22" s="33" t="str">
        <f t="shared" si="3"/>
        <v>No</v>
      </c>
    </row>
    <row r="23">
      <c r="A23" s="1" t="s">
        <v>52</v>
      </c>
      <c r="B23" s="1">
        <v>0.0</v>
      </c>
      <c r="C23" s="1">
        <v>0.0</v>
      </c>
      <c r="D23" s="1">
        <v>0.0</v>
      </c>
      <c r="E23" s="1">
        <v>58.41</v>
      </c>
      <c r="F23" s="54">
        <v>44384.0</v>
      </c>
      <c r="G23" s="1">
        <v>0.0</v>
      </c>
      <c r="H23" s="1">
        <v>50.64</v>
      </c>
      <c r="I23" s="14">
        <v>44393.0</v>
      </c>
      <c r="J23" s="1" t="s">
        <v>4308</v>
      </c>
      <c r="K23" s="15" t="s">
        <v>4330</v>
      </c>
      <c r="L23" s="60" t="str">
        <f t="shared" si="1"/>
        <v>Not in buy Zone</v>
      </c>
      <c r="M23" s="60" t="str">
        <f t="shared" si="2"/>
        <v>Not in buy Zone</v>
      </c>
      <c r="N23" s="33" t="str">
        <f t="shared" si="3"/>
        <v>No</v>
      </c>
    </row>
    <row r="24">
      <c r="A24" s="1" t="s">
        <v>53</v>
      </c>
      <c r="B24" s="1">
        <v>0.0</v>
      </c>
      <c r="C24" s="1">
        <v>0.0</v>
      </c>
      <c r="D24" s="1">
        <v>48.07</v>
      </c>
      <c r="E24" s="1">
        <v>0.0</v>
      </c>
      <c r="F24" s="54">
        <v>44392.0</v>
      </c>
      <c r="G24" s="1">
        <v>0.0</v>
      </c>
      <c r="H24" s="1">
        <v>46.9</v>
      </c>
      <c r="I24" s="14">
        <v>44393.0</v>
      </c>
      <c r="J24" s="1" t="s">
        <v>4308</v>
      </c>
      <c r="K24" s="15" t="s">
        <v>4331</v>
      </c>
      <c r="L24" s="60" t="str">
        <f t="shared" si="1"/>
        <v>Not in buy Zone</v>
      </c>
      <c r="M24" s="60" t="str">
        <f t="shared" si="2"/>
        <v>Not in buy Zone</v>
      </c>
      <c r="N24" s="33" t="str">
        <f t="shared" si="3"/>
        <v>No</v>
      </c>
    </row>
    <row r="25">
      <c r="A25" s="1" t="s">
        <v>54</v>
      </c>
      <c r="B25" s="1">
        <v>0.0</v>
      </c>
      <c r="C25" s="1">
        <v>0.0</v>
      </c>
      <c r="D25" s="1">
        <v>158.53</v>
      </c>
      <c r="E25" s="1">
        <v>0.0</v>
      </c>
      <c r="F25" s="54">
        <v>44372.0</v>
      </c>
      <c r="G25" s="1">
        <v>0.0</v>
      </c>
      <c r="H25" s="1">
        <v>155.76</v>
      </c>
      <c r="I25" s="14">
        <v>44393.0</v>
      </c>
      <c r="J25" s="1" t="s">
        <v>4308</v>
      </c>
      <c r="K25" s="15" t="s">
        <v>4332</v>
      </c>
      <c r="L25" s="60" t="str">
        <f t="shared" si="1"/>
        <v>Not in buy Zone</v>
      </c>
      <c r="M25" s="60" t="str">
        <f t="shared" si="2"/>
        <v>Not in buy Zone</v>
      </c>
      <c r="N25" s="33" t="str">
        <f t="shared" si="3"/>
        <v>No</v>
      </c>
    </row>
    <row r="26">
      <c r="A26" s="1" t="s">
        <v>55</v>
      </c>
      <c r="B26" s="1">
        <v>0.0</v>
      </c>
      <c r="C26" s="1">
        <v>0.0</v>
      </c>
      <c r="D26" s="1">
        <v>0.0</v>
      </c>
      <c r="E26" s="1">
        <v>143.86</v>
      </c>
      <c r="F26" s="54">
        <v>44328.0</v>
      </c>
      <c r="G26" s="1">
        <v>0.0</v>
      </c>
      <c r="H26" s="1">
        <v>139.92</v>
      </c>
      <c r="I26" s="14">
        <v>44393.0</v>
      </c>
      <c r="J26" s="1" t="s">
        <v>4308</v>
      </c>
      <c r="K26" s="15" t="s">
        <v>4333</v>
      </c>
      <c r="L26" s="60" t="str">
        <f t="shared" si="1"/>
        <v>Not in buy Zone</v>
      </c>
      <c r="M26" s="60" t="str">
        <f t="shared" si="2"/>
        <v>Not in buy Zone</v>
      </c>
      <c r="N26" s="33" t="str">
        <f t="shared" si="3"/>
        <v>No</v>
      </c>
    </row>
    <row r="27">
      <c r="A27" s="1" t="s">
        <v>56</v>
      </c>
      <c r="B27" s="1">
        <v>0.0</v>
      </c>
      <c r="C27" s="1">
        <v>0.0</v>
      </c>
      <c r="D27" s="1">
        <v>0.0</v>
      </c>
      <c r="E27" s="1">
        <v>114.63</v>
      </c>
      <c r="F27" s="54">
        <v>44365.0</v>
      </c>
      <c r="G27" s="1">
        <v>0.0</v>
      </c>
      <c r="H27" s="1">
        <v>117.03</v>
      </c>
      <c r="I27" s="14">
        <v>44393.0</v>
      </c>
      <c r="J27" s="1" t="s">
        <v>4308</v>
      </c>
      <c r="K27" s="15" t="s">
        <v>4334</v>
      </c>
      <c r="L27" s="60" t="str">
        <f t="shared" si="1"/>
        <v>Not in buy Zone</v>
      </c>
      <c r="M27" s="60" t="str">
        <f t="shared" si="2"/>
        <v>Not in buy Zone</v>
      </c>
      <c r="N27" s="33" t="str">
        <f t="shared" si="3"/>
        <v>No</v>
      </c>
    </row>
    <row r="28">
      <c r="A28" s="1" t="s">
        <v>57</v>
      </c>
      <c r="B28" s="1">
        <v>0.0</v>
      </c>
      <c r="C28" s="1">
        <v>0.0</v>
      </c>
      <c r="D28" s="1">
        <v>172.03</v>
      </c>
      <c r="E28" s="1">
        <v>0.0</v>
      </c>
      <c r="F28" s="54">
        <v>44378.0</v>
      </c>
      <c r="G28" s="1">
        <v>0.0</v>
      </c>
      <c r="H28" s="1">
        <v>180.66</v>
      </c>
      <c r="I28" s="14">
        <v>44393.0</v>
      </c>
      <c r="J28" s="1" t="s">
        <v>4308</v>
      </c>
      <c r="K28" s="15" t="s">
        <v>4335</v>
      </c>
      <c r="L28" s="60" t="str">
        <f t="shared" si="1"/>
        <v>Not in buy Zone</v>
      </c>
      <c r="M28" s="60" t="str">
        <f t="shared" si="2"/>
        <v>Not in buy Zone</v>
      </c>
      <c r="N28" s="33" t="str">
        <f t="shared" si="3"/>
        <v>No</v>
      </c>
    </row>
    <row r="29">
      <c r="A29" s="1" t="s">
        <v>58</v>
      </c>
      <c r="B29" s="1">
        <v>0.0</v>
      </c>
      <c r="C29" s="1">
        <v>0.0</v>
      </c>
      <c r="D29" s="1">
        <v>604.45</v>
      </c>
      <c r="E29" s="1">
        <v>0.0</v>
      </c>
      <c r="F29" s="54">
        <v>44340.0</v>
      </c>
      <c r="G29" s="1">
        <v>0.0</v>
      </c>
      <c r="H29" s="1">
        <v>616.12</v>
      </c>
      <c r="I29" s="14">
        <v>44393.0</v>
      </c>
      <c r="J29" s="1" t="s">
        <v>4308</v>
      </c>
      <c r="K29" s="15" t="s">
        <v>4336</v>
      </c>
      <c r="L29" s="60" t="str">
        <f t="shared" si="1"/>
        <v>Not in buy Zone</v>
      </c>
      <c r="M29" s="60" t="str">
        <f t="shared" si="2"/>
        <v>Not in buy Zone</v>
      </c>
      <c r="N29" s="33" t="str">
        <f t="shared" si="3"/>
        <v>No</v>
      </c>
    </row>
    <row r="30">
      <c r="A30" s="1" t="s">
        <v>59</v>
      </c>
      <c r="B30" s="1">
        <v>0.0</v>
      </c>
      <c r="C30" s="1">
        <v>0.0</v>
      </c>
      <c r="D30" s="1">
        <v>0.0</v>
      </c>
      <c r="E30" s="1">
        <v>65.46</v>
      </c>
      <c r="F30" s="54">
        <v>44350.0</v>
      </c>
      <c r="G30" s="1">
        <v>0.0</v>
      </c>
      <c r="H30" s="1">
        <v>54.62</v>
      </c>
      <c r="I30" s="14">
        <v>44393.0</v>
      </c>
      <c r="J30" s="1" t="s">
        <v>4308</v>
      </c>
      <c r="K30" s="15" t="s">
        <v>4337</v>
      </c>
      <c r="L30" s="60" t="str">
        <f t="shared" si="1"/>
        <v>Not in buy Zone</v>
      </c>
      <c r="M30" s="60" t="str">
        <f t="shared" si="2"/>
        <v>Not in buy Zone</v>
      </c>
      <c r="N30" s="33" t="str">
        <f t="shared" si="3"/>
        <v>No</v>
      </c>
    </row>
    <row r="31">
      <c r="A31" s="1" t="s">
        <v>60</v>
      </c>
      <c r="B31" s="1">
        <v>0.0</v>
      </c>
      <c r="C31" s="1">
        <v>0.0</v>
      </c>
      <c r="D31" s="1">
        <v>130.78</v>
      </c>
      <c r="E31" s="1">
        <v>0.0</v>
      </c>
      <c r="F31" s="54">
        <v>44372.0</v>
      </c>
      <c r="G31" s="1">
        <v>0.0</v>
      </c>
      <c r="H31" s="1">
        <v>130.45</v>
      </c>
      <c r="I31" s="14">
        <v>44393.0</v>
      </c>
      <c r="J31" s="1" t="s">
        <v>4308</v>
      </c>
      <c r="K31" s="15" t="s">
        <v>4338</v>
      </c>
      <c r="L31" s="60" t="str">
        <f t="shared" si="1"/>
        <v>Not in buy Zone</v>
      </c>
      <c r="M31" s="60" t="str">
        <f t="shared" si="2"/>
        <v>Not in buy Zone</v>
      </c>
      <c r="N31" s="33" t="str">
        <f t="shared" si="3"/>
        <v>No</v>
      </c>
    </row>
    <row r="32">
      <c r="A32" s="1" t="s">
        <v>61</v>
      </c>
      <c r="B32" s="1">
        <v>0.0</v>
      </c>
      <c r="C32" s="1">
        <v>0.0</v>
      </c>
      <c r="D32" s="1">
        <v>0.0</v>
      </c>
      <c r="E32" s="1">
        <v>134.04</v>
      </c>
      <c r="F32" s="54">
        <v>44390.0</v>
      </c>
      <c r="G32" s="1">
        <v>0.0</v>
      </c>
      <c r="H32" s="1">
        <v>138.5</v>
      </c>
      <c r="I32" s="14">
        <v>44393.0</v>
      </c>
      <c r="J32" s="1" t="s">
        <v>4308</v>
      </c>
      <c r="K32" s="15" t="s">
        <v>4339</v>
      </c>
      <c r="L32" s="60" t="str">
        <f t="shared" si="1"/>
        <v>Not in buy Zone</v>
      </c>
      <c r="M32" s="60" t="str">
        <f t="shared" si="2"/>
        <v>Not in buy Zone</v>
      </c>
      <c r="N32" s="33" t="str">
        <f t="shared" si="3"/>
        <v>No</v>
      </c>
    </row>
    <row r="33">
      <c r="A33" s="1" t="s">
        <v>62</v>
      </c>
      <c r="B33" s="1">
        <v>0.0</v>
      </c>
      <c r="C33" s="1">
        <v>0.0</v>
      </c>
      <c r="D33" s="1">
        <v>51.28</v>
      </c>
      <c r="E33" s="1">
        <v>0.0</v>
      </c>
      <c r="F33" s="54">
        <v>44386.0</v>
      </c>
      <c r="G33" s="1">
        <v>0.0</v>
      </c>
      <c r="H33" s="1">
        <v>50.09</v>
      </c>
      <c r="I33" s="14">
        <v>44393.0</v>
      </c>
      <c r="J33" s="1" t="s">
        <v>4308</v>
      </c>
      <c r="K33" s="15" t="s">
        <v>4340</v>
      </c>
      <c r="L33" s="60" t="str">
        <f t="shared" si="1"/>
        <v>Not in buy Zone</v>
      </c>
      <c r="M33" s="60" t="str">
        <f t="shared" si="2"/>
        <v>Not in buy Zone</v>
      </c>
      <c r="N33" s="33" t="str">
        <f t="shared" si="3"/>
        <v>No</v>
      </c>
    </row>
    <row r="34">
      <c r="A34" s="1" t="s">
        <v>63</v>
      </c>
      <c r="B34" s="1">
        <v>0.0</v>
      </c>
      <c r="C34" s="1">
        <v>0.0</v>
      </c>
      <c r="D34" s="1">
        <v>0.0</v>
      </c>
      <c r="E34" s="1">
        <v>180.51</v>
      </c>
      <c r="F34" s="54">
        <v>44392.0</v>
      </c>
      <c r="G34" s="1">
        <v>0.0</v>
      </c>
      <c r="H34" s="1">
        <v>180.03</v>
      </c>
      <c r="I34" s="14">
        <v>44393.0</v>
      </c>
      <c r="J34" s="1" t="s">
        <v>4308</v>
      </c>
      <c r="K34" s="15" t="s">
        <v>4341</v>
      </c>
      <c r="L34" s="60" t="str">
        <f t="shared" si="1"/>
        <v>Not in buy Zone</v>
      </c>
      <c r="M34" s="60" t="str">
        <f t="shared" si="2"/>
        <v>Not in buy Zone</v>
      </c>
      <c r="N34" s="33" t="str">
        <f t="shared" si="3"/>
        <v>No</v>
      </c>
    </row>
    <row r="35">
      <c r="A35" s="1" t="s">
        <v>64</v>
      </c>
      <c r="B35" s="1">
        <v>0.0</v>
      </c>
      <c r="C35" s="1">
        <v>0.0</v>
      </c>
      <c r="D35" s="1">
        <v>0.0</v>
      </c>
      <c r="E35" s="1">
        <v>132.53</v>
      </c>
      <c r="F35" s="54">
        <v>44385.0</v>
      </c>
      <c r="G35" s="1">
        <v>0.0</v>
      </c>
      <c r="H35" s="1">
        <v>128.18</v>
      </c>
      <c r="I35" s="14">
        <v>44393.0</v>
      </c>
      <c r="J35" s="1" t="s">
        <v>4308</v>
      </c>
      <c r="K35" s="15" t="s">
        <v>4342</v>
      </c>
      <c r="L35" s="60" t="str">
        <f t="shared" si="1"/>
        <v>Not in buy Zone</v>
      </c>
      <c r="M35" s="60" t="str">
        <f t="shared" si="2"/>
        <v>Not in buy Zone</v>
      </c>
      <c r="N35" s="33" t="str">
        <f t="shared" si="3"/>
        <v>No</v>
      </c>
    </row>
    <row r="36">
      <c r="A36" s="1" t="s">
        <v>65</v>
      </c>
      <c r="B36" s="1">
        <v>0.0</v>
      </c>
      <c r="C36" s="1">
        <v>0.0</v>
      </c>
      <c r="D36" s="1">
        <v>0.0</v>
      </c>
      <c r="E36" s="1">
        <v>42.61</v>
      </c>
      <c r="F36" s="54">
        <v>44389.0</v>
      </c>
      <c r="G36" s="1">
        <v>0.0</v>
      </c>
      <c r="H36" s="1">
        <v>34.96</v>
      </c>
      <c r="I36" s="14">
        <v>44393.0</v>
      </c>
      <c r="J36" s="1" t="s">
        <v>4308</v>
      </c>
      <c r="K36" s="15" t="s">
        <v>4343</v>
      </c>
      <c r="L36" s="60" t="str">
        <f t="shared" si="1"/>
        <v>Not in buy Zone</v>
      </c>
      <c r="M36" s="60" t="str">
        <f t="shared" si="2"/>
        <v>Not in buy Zone</v>
      </c>
      <c r="N36" s="33" t="str">
        <f t="shared" si="3"/>
        <v>No</v>
      </c>
    </row>
    <row r="37">
      <c r="A37" s="1" t="s">
        <v>66</v>
      </c>
      <c r="B37" s="1">
        <v>0.0</v>
      </c>
      <c r="C37" s="1">
        <v>0.0</v>
      </c>
      <c r="D37" s="1">
        <v>0.0</v>
      </c>
      <c r="E37" s="1">
        <v>11.54</v>
      </c>
      <c r="F37" s="54">
        <v>44364.0</v>
      </c>
      <c r="G37" s="1">
        <v>0.0</v>
      </c>
      <c r="H37" s="1">
        <v>11.44</v>
      </c>
      <c r="I37" s="14">
        <v>44393.0</v>
      </c>
      <c r="J37" s="1" t="s">
        <v>4308</v>
      </c>
      <c r="K37" s="15" t="s">
        <v>4344</v>
      </c>
      <c r="L37" s="60" t="str">
        <f t="shared" si="1"/>
        <v>Not in buy Zone</v>
      </c>
      <c r="M37" s="60" t="str">
        <f t="shared" si="2"/>
        <v>Not in buy Zone</v>
      </c>
      <c r="N37" s="33" t="str">
        <f t="shared" si="3"/>
        <v>No</v>
      </c>
    </row>
    <row r="38">
      <c r="A38" s="1" t="s">
        <v>67</v>
      </c>
      <c r="B38" s="1">
        <v>0.0</v>
      </c>
      <c r="C38" s="1">
        <v>0.0</v>
      </c>
      <c r="D38" s="1">
        <v>0.0</v>
      </c>
      <c r="E38" s="1">
        <v>89.05</v>
      </c>
      <c r="F38" s="54">
        <v>44391.0</v>
      </c>
      <c r="G38" s="1">
        <v>0.0</v>
      </c>
      <c r="H38" s="1">
        <v>85.89</v>
      </c>
      <c r="I38" s="14">
        <v>44393.0</v>
      </c>
      <c r="J38" s="1" t="s">
        <v>4308</v>
      </c>
      <c r="K38" s="15" t="s">
        <v>4345</v>
      </c>
      <c r="L38" s="60" t="str">
        <f t="shared" si="1"/>
        <v>Not in buy Zone</v>
      </c>
      <c r="M38" s="60" t="str">
        <f t="shared" si="2"/>
        <v>Not in buy Zone</v>
      </c>
      <c r="N38" s="33" t="str">
        <f t="shared" si="3"/>
        <v>No</v>
      </c>
    </row>
    <row r="39">
      <c r="A39" s="1" t="s">
        <v>68</v>
      </c>
      <c r="B39" s="1">
        <v>0.0</v>
      </c>
      <c r="C39" s="1">
        <v>0.0</v>
      </c>
      <c r="D39" s="1">
        <v>136.3</v>
      </c>
      <c r="E39" s="1">
        <v>0.0</v>
      </c>
      <c r="F39" s="54">
        <v>44389.0</v>
      </c>
      <c r="G39" s="1">
        <v>0.0</v>
      </c>
      <c r="H39" s="1">
        <v>136.23</v>
      </c>
      <c r="I39" s="14">
        <v>44393.0</v>
      </c>
      <c r="J39" s="1" t="s">
        <v>4308</v>
      </c>
      <c r="K39" s="15" t="s">
        <v>4346</v>
      </c>
      <c r="L39" s="60" t="str">
        <f t="shared" si="1"/>
        <v>Not in buy Zone</v>
      </c>
      <c r="M39" s="60" t="str">
        <f t="shared" si="2"/>
        <v>Not in buy Zone</v>
      </c>
      <c r="N39" s="33" t="str">
        <f t="shared" si="3"/>
        <v>No</v>
      </c>
    </row>
    <row r="40">
      <c r="A40" s="1" t="s">
        <v>69</v>
      </c>
      <c r="B40" s="1">
        <v>0.0</v>
      </c>
      <c r="C40" s="1">
        <v>0.0</v>
      </c>
      <c r="D40" s="1">
        <v>246.9</v>
      </c>
      <c r="E40" s="1">
        <v>0.0</v>
      </c>
      <c r="F40" s="54">
        <v>44378.0</v>
      </c>
      <c r="G40" s="1">
        <v>0.0</v>
      </c>
      <c r="H40" s="1">
        <v>247.96</v>
      </c>
      <c r="I40" s="14">
        <v>44393.0</v>
      </c>
      <c r="J40" s="1" t="s">
        <v>4308</v>
      </c>
      <c r="K40" s="15" t="s">
        <v>4347</v>
      </c>
      <c r="L40" s="60" t="str">
        <f t="shared" si="1"/>
        <v>Not in buy Zone</v>
      </c>
      <c r="M40" s="60" t="str">
        <f t="shared" si="2"/>
        <v>Not in buy Zone</v>
      </c>
      <c r="N40" s="33" t="str">
        <f t="shared" si="3"/>
        <v>No</v>
      </c>
    </row>
    <row r="41">
      <c r="A41" s="1" t="s">
        <v>70</v>
      </c>
      <c r="B41" s="1">
        <v>0.0</v>
      </c>
      <c r="C41" s="1">
        <v>0.0</v>
      </c>
      <c r="D41" s="1">
        <v>0.0</v>
      </c>
      <c r="E41" s="1">
        <v>36.83</v>
      </c>
      <c r="F41" s="54">
        <v>44364.0</v>
      </c>
      <c r="G41" s="1">
        <v>0.0</v>
      </c>
      <c r="H41" s="1">
        <v>33.73</v>
      </c>
      <c r="I41" s="14">
        <v>44393.0</v>
      </c>
      <c r="J41" s="1" t="s">
        <v>4308</v>
      </c>
      <c r="K41" s="15" t="s">
        <v>4348</v>
      </c>
      <c r="L41" s="60" t="str">
        <f t="shared" si="1"/>
        <v>Not in buy Zone</v>
      </c>
      <c r="M41" s="60" t="str">
        <f t="shared" si="2"/>
        <v>Not in buy Zone</v>
      </c>
      <c r="N41" s="33" t="str">
        <f t="shared" si="3"/>
        <v>No</v>
      </c>
    </row>
    <row r="42">
      <c r="A42" s="1" t="s">
        <v>71</v>
      </c>
      <c r="B42" s="1">
        <v>0.0</v>
      </c>
      <c r="C42" s="1">
        <v>0.0</v>
      </c>
      <c r="D42" s="1">
        <v>0.0</v>
      </c>
      <c r="E42" s="1">
        <v>241.33</v>
      </c>
      <c r="F42" s="54">
        <v>44385.0</v>
      </c>
      <c r="G42" s="1">
        <v>0.0</v>
      </c>
      <c r="H42" s="1">
        <v>246.78</v>
      </c>
      <c r="I42" s="14">
        <v>44393.0</v>
      </c>
      <c r="J42" s="1" t="s">
        <v>4308</v>
      </c>
      <c r="K42" s="15" t="s">
        <v>4349</v>
      </c>
      <c r="L42" s="60" t="str">
        <f t="shared" si="1"/>
        <v>Not in buy Zone</v>
      </c>
      <c r="M42" s="60" t="str">
        <f t="shared" si="2"/>
        <v>Not in buy Zone</v>
      </c>
      <c r="N42" s="33" t="str">
        <f t="shared" si="3"/>
        <v>No</v>
      </c>
    </row>
    <row r="43">
      <c r="A43" s="1" t="s">
        <v>72</v>
      </c>
      <c r="B43" s="1">
        <v>0.0</v>
      </c>
      <c r="C43" s="1">
        <v>0.0</v>
      </c>
      <c r="D43" s="1">
        <v>252.78</v>
      </c>
      <c r="E43" s="1">
        <v>0.0</v>
      </c>
      <c r="F43" s="54">
        <v>44340.0</v>
      </c>
      <c r="G43" s="1">
        <v>0.0</v>
      </c>
      <c r="H43" s="1">
        <v>282.46</v>
      </c>
      <c r="I43" s="14">
        <v>44393.0</v>
      </c>
      <c r="J43" s="1" t="s">
        <v>4308</v>
      </c>
      <c r="K43" s="15" t="s">
        <v>4350</v>
      </c>
      <c r="L43" s="60" t="str">
        <f t="shared" si="1"/>
        <v>Not in buy Zone</v>
      </c>
      <c r="M43" s="60" t="str">
        <f t="shared" si="2"/>
        <v>Not in buy Zone</v>
      </c>
      <c r="N43" s="33" t="str">
        <f t="shared" si="3"/>
        <v>No</v>
      </c>
    </row>
    <row r="44">
      <c r="A44" s="1" t="s">
        <v>73</v>
      </c>
      <c r="B44" s="1">
        <v>0.0</v>
      </c>
      <c r="C44" s="1">
        <v>3573.63</v>
      </c>
      <c r="D44" s="1">
        <v>0.0</v>
      </c>
      <c r="E44" s="1">
        <v>0.0</v>
      </c>
      <c r="F44" s="54">
        <v>44393.0</v>
      </c>
      <c r="G44" s="1">
        <v>-1.0</v>
      </c>
      <c r="H44" s="1">
        <v>3573.63</v>
      </c>
      <c r="I44" s="14">
        <v>44393.0</v>
      </c>
      <c r="J44" s="1" t="s">
        <v>4308</v>
      </c>
      <c r="K44" s="15" t="s">
        <v>4351</v>
      </c>
      <c r="L44" s="60" t="str">
        <f t="shared" si="1"/>
        <v>Not in buy Zone</v>
      </c>
      <c r="M44" s="60" t="str">
        <f t="shared" si="2"/>
        <v>Not in buy Zone</v>
      </c>
      <c r="N44" s="33" t="str">
        <f t="shared" si="3"/>
        <v>No</v>
      </c>
    </row>
    <row r="45">
      <c r="A45" s="1" t="s">
        <v>74</v>
      </c>
      <c r="B45" s="1">
        <v>0.0</v>
      </c>
      <c r="C45" s="1">
        <v>0.0</v>
      </c>
      <c r="D45" s="1">
        <v>327.26</v>
      </c>
      <c r="E45" s="1">
        <v>0.0</v>
      </c>
      <c r="F45" s="54">
        <v>44322.0</v>
      </c>
      <c r="G45" s="1">
        <v>0.0</v>
      </c>
      <c r="H45" s="1">
        <v>363.45</v>
      </c>
      <c r="I45" s="14">
        <v>44393.0</v>
      </c>
      <c r="J45" s="1" t="s">
        <v>4308</v>
      </c>
      <c r="K45" s="15" t="s">
        <v>4352</v>
      </c>
      <c r="L45" s="60" t="str">
        <f t="shared" si="1"/>
        <v>Not in buy Zone</v>
      </c>
      <c r="M45" s="60" t="str">
        <f t="shared" si="2"/>
        <v>Not in buy Zone</v>
      </c>
      <c r="N45" s="33" t="str">
        <f t="shared" si="3"/>
        <v>No</v>
      </c>
    </row>
    <row r="46">
      <c r="A46" s="1" t="s">
        <v>75</v>
      </c>
      <c r="B46" s="1">
        <v>0.0</v>
      </c>
      <c r="C46" s="1">
        <v>0.0</v>
      </c>
      <c r="D46" s="1">
        <v>340.62</v>
      </c>
      <c r="E46" s="1">
        <v>0.0</v>
      </c>
      <c r="F46" s="54">
        <v>44369.0</v>
      </c>
      <c r="G46" s="1">
        <v>0.0</v>
      </c>
      <c r="H46" s="1">
        <v>349.79</v>
      </c>
      <c r="I46" s="14">
        <v>44393.0</v>
      </c>
      <c r="J46" s="1" t="s">
        <v>4308</v>
      </c>
      <c r="K46" s="15" t="s">
        <v>4353</v>
      </c>
      <c r="L46" s="60" t="str">
        <f t="shared" si="1"/>
        <v>Not in buy Zone</v>
      </c>
      <c r="M46" s="60" t="str">
        <f t="shared" si="2"/>
        <v>Not in buy Zone</v>
      </c>
      <c r="N46" s="33" t="str">
        <f t="shared" si="3"/>
        <v>No</v>
      </c>
    </row>
    <row r="47">
      <c r="A47" s="1" t="s">
        <v>76</v>
      </c>
      <c r="B47" s="1">
        <v>0.0</v>
      </c>
      <c r="C47" s="1">
        <v>0.0</v>
      </c>
      <c r="D47" s="1">
        <v>383.82</v>
      </c>
      <c r="E47" s="1">
        <v>0.0</v>
      </c>
      <c r="F47" s="54">
        <v>44378.0</v>
      </c>
      <c r="G47" s="1">
        <v>0.0</v>
      </c>
      <c r="H47" s="1">
        <v>393.59</v>
      </c>
      <c r="I47" s="14">
        <v>44393.0</v>
      </c>
      <c r="J47" s="1" t="s">
        <v>4308</v>
      </c>
      <c r="K47" s="15" t="s">
        <v>4354</v>
      </c>
      <c r="L47" s="60" t="str">
        <f t="shared" si="1"/>
        <v>Not in buy Zone</v>
      </c>
      <c r="M47" s="60" t="str">
        <f t="shared" si="2"/>
        <v>Not in buy Zone</v>
      </c>
      <c r="N47" s="33" t="str">
        <f t="shared" si="3"/>
        <v>No</v>
      </c>
    </row>
    <row r="48">
      <c r="A48" s="1" t="s">
        <v>77</v>
      </c>
      <c r="B48" s="1">
        <v>0.0</v>
      </c>
      <c r="C48" s="1">
        <v>0.0</v>
      </c>
      <c r="D48" s="1">
        <v>0.0</v>
      </c>
      <c r="E48" s="1">
        <v>232.79</v>
      </c>
      <c r="F48" s="54">
        <v>44389.0</v>
      </c>
      <c r="G48" s="1">
        <v>0.0</v>
      </c>
      <c r="H48" s="1">
        <v>231.73</v>
      </c>
      <c r="I48" s="14">
        <v>44393.0</v>
      </c>
      <c r="J48" s="1" t="s">
        <v>4308</v>
      </c>
      <c r="K48" s="15" t="s">
        <v>4355</v>
      </c>
      <c r="L48" s="60" t="str">
        <f t="shared" si="1"/>
        <v>Not in buy Zone</v>
      </c>
      <c r="M48" s="60" t="str">
        <f t="shared" si="2"/>
        <v>Not in buy Zone</v>
      </c>
      <c r="N48" s="33" t="str">
        <f t="shared" si="3"/>
        <v>No</v>
      </c>
    </row>
    <row r="49">
      <c r="A49" s="1" t="s">
        <v>78</v>
      </c>
      <c r="B49" s="1">
        <v>0.0</v>
      </c>
      <c r="C49" s="1">
        <v>0.0</v>
      </c>
      <c r="D49" s="1">
        <v>69.27</v>
      </c>
      <c r="E49" s="1">
        <v>0.0</v>
      </c>
      <c r="F49" s="54">
        <v>44372.0</v>
      </c>
      <c r="G49" s="1">
        <v>0.0</v>
      </c>
      <c r="H49" s="1">
        <v>69.91</v>
      </c>
      <c r="I49" s="14">
        <v>44393.0</v>
      </c>
      <c r="J49" s="1" t="s">
        <v>4308</v>
      </c>
      <c r="K49" s="15" t="s">
        <v>4356</v>
      </c>
      <c r="L49" s="60" t="str">
        <f t="shared" si="1"/>
        <v>Not in buy Zone</v>
      </c>
      <c r="M49" s="60" t="str">
        <f t="shared" si="2"/>
        <v>Not in buy Zone</v>
      </c>
      <c r="N49" s="33" t="str">
        <f t="shared" si="3"/>
        <v>No</v>
      </c>
    </row>
    <row r="50">
      <c r="A50" s="1" t="s">
        <v>79</v>
      </c>
      <c r="B50" s="1">
        <v>0.0</v>
      </c>
      <c r="C50" s="1">
        <v>0.0</v>
      </c>
      <c r="D50" s="1">
        <v>0.0</v>
      </c>
      <c r="E50" s="1">
        <v>21.13</v>
      </c>
      <c r="F50" s="54">
        <v>44364.0</v>
      </c>
      <c r="G50" s="1">
        <v>0.0</v>
      </c>
      <c r="H50" s="1">
        <v>17.98</v>
      </c>
      <c r="I50" s="14">
        <v>44393.0</v>
      </c>
      <c r="J50" s="1" t="s">
        <v>4308</v>
      </c>
      <c r="K50" s="15" t="s">
        <v>4357</v>
      </c>
      <c r="L50" s="60" t="str">
        <f t="shared" si="1"/>
        <v>Not in buy Zone</v>
      </c>
      <c r="M50" s="60" t="str">
        <f t="shared" si="2"/>
        <v>Not in buy Zone</v>
      </c>
      <c r="N50" s="33" t="str">
        <f t="shared" si="3"/>
        <v>No</v>
      </c>
    </row>
    <row r="51">
      <c r="A51" s="1" t="s">
        <v>80</v>
      </c>
      <c r="B51" s="1">
        <v>0.0</v>
      </c>
      <c r="C51" s="1">
        <v>0.0</v>
      </c>
      <c r="D51" s="1">
        <v>0.0</v>
      </c>
      <c r="E51" s="1">
        <v>292.7</v>
      </c>
      <c r="F51" s="54">
        <v>44365.0</v>
      </c>
      <c r="G51" s="1">
        <v>0.0</v>
      </c>
      <c r="H51" s="1">
        <v>285.54</v>
      </c>
      <c r="I51" s="14">
        <v>44393.0</v>
      </c>
      <c r="J51" s="1" t="s">
        <v>4308</v>
      </c>
      <c r="K51" s="15" t="s">
        <v>4358</v>
      </c>
      <c r="L51" s="60" t="str">
        <f t="shared" si="1"/>
        <v>Not in buy Zone</v>
      </c>
      <c r="M51" s="60" t="str">
        <f t="shared" si="2"/>
        <v>Not in buy Zone</v>
      </c>
      <c r="N51" s="33" t="str">
        <f t="shared" si="3"/>
        <v>No</v>
      </c>
    </row>
    <row r="52">
      <c r="A52" s="1" t="s">
        <v>81</v>
      </c>
      <c r="B52" s="1">
        <v>0.0</v>
      </c>
      <c r="C52" s="1">
        <v>68.03</v>
      </c>
      <c r="D52" s="1">
        <v>0.0</v>
      </c>
      <c r="E52" s="1">
        <v>0.0</v>
      </c>
      <c r="F52" s="54">
        <v>44393.0</v>
      </c>
      <c r="G52" s="1">
        <v>-1.0</v>
      </c>
      <c r="H52" s="1">
        <v>68.03</v>
      </c>
      <c r="I52" s="14">
        <v>44393.0</v>
      </c>
      <c r="J52" s="1" t="s">
        <v>4308</v>
      </c>
      <c r="K52" s="15" t="s">
        <v>4359</v>
      </c>
      <c r="L52" s="60" t="str">
        <f t="shared" si="1"/>
        <v>Not in buy Zone</v>
      </c>
      <c r="M52" s="60" t="str">
        <f t="shared" si="2"/>
        <v>Not in buy Zone</v>
      </c>
      <c r="N52" s="33" t="str">
        <f t="shared" si="3"/>
        <v>No</v>
      </c>
    </row>
    <row r="53">
      <c r="A53" s="1" t="s">
        <v>82</v>
      </c>
      <c r="B53" s="1">
        <v>0.0</v>
      </c>
      <c r="C53" s="1">
        <v>0.0</v>
      </c>
      <c r="D53" s="1">
        <v>0.0</v>
      </c>
      <c r="E53" s="1">
        <v>60.51</v>
      </c>
      <c r="F53" s="54">
        <v>44385.0</v>
      </c>
      <c r="G53" s="1">
        <v>0.0</v>
      </c>
      <c r="H53" s="1">
        <v>56.74</v>
      </c>
      <c r="I53" s="14">
        <v>44393.0</v>
      </c>
      <c r="J53" s="1" t="s">
        <v>4308</v>
      </c>
      <c r="K53" s="15" t="s">
        <v>4360</v>
      </c>
      <c r="L53" s="60" t="str">
        <f t="shared" si="1"/>
        <v>Not in buy Zone</v>
      </c>
      <c r="M53" s="60" t="str">
        <f t="shared" si="2"/>
        <v>Not in buy Zone</v>
      </c>
      <c r="N53" s="33" t="str">
        <f t="shared" si="3"/>
        <v>No</v>
      </c>
    </row>
    <row r="54">
      <c r="A54" s="1" t="s">
        <v>83</v>
      </c>
      <c r="B54" s="1">
        <v>0.0</v>
      </c>
      <c r="C54" s="1">
        <v>0.0</v>
      </c>
      <c r="D54" s="1">
        <v>0.0</v>
      </c>
      <c r="E54" s="1">
        <v>68.27</v>
      </c>
      <c r="F54" s="54">
        <v>44379.0</v>
      </c>
      <c r="G54" s="1">
        <v>0.0</v>
      </c>
      <c r="H54" s="1">
        <v>59.6</v>
      </c>
      <c r="I54" s="14">
        <v>44393.0</v>
      </c>
      <c r="J54" s="1" t="s">
        <v>4308</v>
      </c>
      <c r="K54" s="15" t="s">
        <v>4361</v>
      </c>
      <c r="L54" s="60" t="str">
        <f t="shared" si="1"/>
        <v>Not in buy Zone</v>
      </c>
      <c r="M54" s="60" t="str">
        <f t="shared" si="2"/>
        <v>Not in buy Zone</v>
      </c>
      <c r="N54" s="33" t="str">
        <f t="shared" si="3"/>
        <v>No</v>
      </c>
    </row>
    <row r="55">
      <c r="A55" s="1" t="s">
        <v>84</v>
      </c>
      <c r="B55" s="1">
        <v>0.0</v>
      </c>
      <c r="C55" s="1">
        <v>0.0</v>
      </c>
      <c r="D55" s="1">
        <v>158.52</v>
      </c>
      <c r="E55" s="1">
        <v>0.0</v>
      </c>
      <c r="F55" s="54">
        <v>44389.0</v>
      </c>
      <c r="G55" s="1">
        <v>0.0</v>
      </c>
      <c r="H55" s="1">
        <v>149.75</v>
      </c>
      <c r="I55" s="14">
        <v>44393.0</v>
      </c>
      <c r="J55" s="1" t="s">
        <v>4308</v>
      </c>
      <c r="K55" s="15" t="s">
        <v>4362</v>
      </c>
      <c r="L55" s="60" t="str">
        <f t="shared" si="1"/>
        <v>Not in buy Zone</v>
      </c>
      <c r="M55" s="60" t="str">
        <f t="shared" si="2"/>
        <v>Not in buy Zone</v>
      </c>
      <c r="N55" s="33" t="str">
        <f t="shared" si="3"/>
        <v>No</v>
      </c>
    </row>
    <row r="56">
      <c r="A56" s="1" t="s">
        <v>85</v>
      </c>
      <c r="B56" s="1">
        <v>0.0</v>
      </c>
      <c r="C56" s="1">
        <v>0.0</v>
      </c>
      <c r="D56" s="1">
        <v>190.55</v>
      </c>
      <c r="E56" s="1">
        <v>0.0</v>
      </c>
      <c r="F56" s="54">
        <v>44386.0</v>
      </c>
      <c r="G56" s="1">
        <v>0.0</v>
      </c>
      <c r="H56" s="1">
        <v>193.61</v>
      </c>
      <c r="I56" s="14">
        <v>44393.0</v>
      </c>
      <c r="J56" s="1" t="s">
        <v>4308</v>
      </c>
      <c r="K56" s="15" t="s">
        <v>4363</v>
      </c>
      <c r="L56" s="60" t="str">
        <f t="shared" si="1"/>
        <v>Not in buy Zone</v>
      </c>
      <c r="M56" s="60" t="str">
        <f t="shared" si="2"/>
        <v>Not in buy Zone</v>
      </c>
      <c r="N56" s="33" t="str">
        <f t="shared" si="3"/>
        <v>No</v>
      </c>
    </row>
    <row r="57">
      <c r="A57" s="1" t="s">
        <v>86</v>
      </c>
      <c r="B57" s="1">
        <v>0.0</v>
      </c>
      <c r="C57" s="1">
        <v>0.0</v>
      </c>
      <c r="D57" s="1">
        <v>32.15</v>
      </c>
      <c r="E57" s="1">
        <v>0.0</v>
      </c>
      <c r="F57" s="54">
        <v>44335.0</v>
      </c>
      <c r="G57" s="1">
        <v>0.0</v>
      </c>
      <c r="H57" s="1">
        <v>64.98</v>
      </c>
      <c r="I57" s="14">
        <v>44393.0</v>
      </c>
      <c r="J57" s="1" t="s">
        <v>4308</v>
      </c>
      <c r="K57" s="15" t="s">
        <v>4364</v>
      </c>
      <c r="L57" s="60" t="str">
        <f t="shared" si="1"/>
        <v>Not in buy Zone</v>
      </c>
      <c r="M57" s="60" t="str">
        <f t="shared" si="2"/>
        <v>Not in buy Zone</v>
      </c>
      <c r="N57" s="33" t="str">
        <f t="shared" si="3"/>
        <v>No</v>
      </c>
    </row>
    <row r="58">
      <c r="A58" s="1" t="s">
        <v>87</v>
      </c>
      <c r="B58" s="1">
        <v>0.0</v>
      </c>
      <c r="C58" s="1">
        <v>0.0</v>
      </c>
      <c r="D58" s="1">
        <v>40.2</v>
      </c>
      <c r="E58" s="1">
        <v>0.0</v>
      </c>
      <c r="F58" s="54">
        <v>44392.0</v>
      </c>
      <c r="G58" s="1">
        <v>0.0</v>
      </c>
      <c r="H58" s="1">
        <v>39.73</v>
      </c>
      <c r="I58" s="14">
        <v>44393.0</v>
      </c>
      <c r="J58" s="1" t="s">
        <v>4308</v>
      </c>
      <c r="K58" s="15" t="s">
        <v>4365</v>
      </c>
      <c r="L58" s="60" t="str">
        <f t="shared" si="1"/>
        <v>Not in buy Zone</v>
      </c>
      <c r="M58" s="60" t="str">
        <f t="shared" si="2"/>
        <v>Not in buy Zone</v>
      </c>
      <c r="N58" s="33" t="str">
        <f t="shared" si="3"/>
        <v>No</v>
      </c>
    </row>
    <row r="59">
      <c r="A59" s="1" t="s">
        <v>88</v>
      </c>
      <c r="B59" s="1">
        <v>0.0</v>
      </c>
      <c r="C59" s="1">
        <v>687.42</v>
      </c>
      <c r="D59" s="1">
        <v>0.0</v>
      </c>
      <c r="E59" s="1">
        <v>0.0</v>
      </c>
      <c r="F59" s="54">
        <v>44393.0</v>
      </c>
      <c r="G59" s="1">
        <v>-1.0</v>
      </c>
      <c r="H59" s="1">
        <v>687.42</v>
      </c>
      <c r="I59" s="14">
        <v>44393.0</v>
      </c>
      <c r="J59" s="1" t="s">
        <v>4308</v>
      </c>
      <c r="K59" s="15" t="s">
        <v>4366</v>
      </c>
      <c r="L59" s="60" t="str">
        <f t="shared" si="1"/>
        <v>Not in buy Zone</v>
      </c>
      <c r="M59" s="60" t="str">
        <f t="shared" si="2"/>
        <v>Not in buy Zone</v>
      </c>
      <c r="N59" s="33" t="str">
        <f t="shared" si="3"/>
        <v>No</v>
      </c>
    </row>
    <row r="60">
      <c r="A60" s="1" t="s">
        <v>89</v>
      </c>
      <c r="B60" s="1">
        <v>0.0</v>
      </c>
      <c r="C60" s="1">
        <v>0.0</v>
      </c>
      <c r="D60" s="1">
        <v>99.44</v>
      </c>
      <c r="E60" s="1">
        <v>0.0</v>
      </c>
      <c r="F60" s="54">
        <v>44389.0</v>
      </c>
      <c r="G60" s="1">
        <v>0.0</v>
      </c>
      <c r="H60" s="1">
        <v>101.24</v>
      </c>
      <c r="I60" s="14">
        <v>44393.0</v>
      </c>
      <c r="J60" s="1" t="s">
        <v>4308</v>
      </c>
      <c r="K60" s="15" t="s">
        <v>4367</v>
      </c>
      <c r="L60" s="60" t="str">
        <f t="shared" si="1"/>
        <v>Not in buy Zone</v>
      </c>
      <c r="M60" s="60" t="str">
        <f t="shared" si="2"/>
        <v>Not in buy Zone</v>
      </c>
      <c r="N60" s="33" t="str">
        <f t="shared" si="3"/>
        <v>No</v>
      </c>
    </row>
    <row r="61">
      <c r="A61" s="1" t="s">
        <v>90</v>
      </c>
      <c r="B61" s="1">
        <v>0.0</v>
      </c>
      <c r="C61" s="1">
        <v>0.0</v>
      </c>
      <c r="D61" s="1">
        <v>0.0</v>
      </c>
      <c r="E61" s="1">
        <v>35.65</v>
      </c>
      <c r="F61" s="54">
        <v>44342.0</v>
      </c>
      <c r="G61" s="1">
        <v>0.0</v>
      </c>
      <c r="H61" s="1">
        <v>33.63</v>
      </c>
      <c r="I61" s="14">
        <v>44393.0</v>
      </c>
      <c r="J61" s="1" t="s">
        <v>4308</v>
      </c>
      <c r="K61" s="15" t="s">
        <v>4368</v>
      </c>
      <c r="L61" s="60" t="str">
        <f t="shared" si="1"/>
        <v>Not in buy Zone</v>
      </c>
      <c r="M61" s="60" t="str">
        <f t="shared" si="2"/>
        <v>Not in buy Zone</v>
      </c>
      <c r="N61" s="33" t="str">
        <f t="shared" si="3"/>
        <v>No</v>
      </c>
    </row>
    <row r="62">
      <c r="A62" s="1" t="s">
        <v>91</v>
      </c>
      <c r="B62" s="1">
        <v>0.0</v>
      </c>
      <c r="C62" s="1">
        <v>0.0</v>
      </c>
      <c r="D62" s="1">
        <v>0.0</v>
      </c>
      <c r="E62" s="1">
        <v>90.68</v>
      </c>
      <c r="F62" s="54">
        <v>44392.0</v>
      </c>
      <c r="G62" s="1">
        <v>0.0</v>
      </c>
      <c r="H62" s="1">
        <v>91.8</v>
      </c>
      <c r="I62" s="14">
        <v>44393.0</v>
      </c>
      <c r="J62" s="1" t="s">
        <v>4308</v>
      </c>
      <c r="K62" s="15" t="s">
        <v>4369</v>
      </c>
      <c r="L62" s="60" t="str">
        <f t="shared" si="1"/>
        <v>Not in buy Zone</v>
      </c>
      <c r="M62" s="60" t="str">
        <f t="shared" si="2"/>
        <v>Not in buy Zone</v>
      </c>
      <c r="N62" s="33" t="str">
        <f t="shared" si="3"/>
        <v>No</v>
      </c>
    </row>
    <row r="63">
      <c r="A63" s="1" t="s">
        <v>9</v>
      </c>
      <c r="B63" s="1">
        <v>0.0</v>
      </c>
      <c r="C63" s="1">
        <v>0.0</v>
      </c>
      <c r="D63" s="1">
        <v>215.73</v>
      </c>
      <c r="E63" s="1">
        <v>0.0</v>
      </c>
      <c r="F63" s="54">
        <v>44384.0</v>
      </c>
      <c r="G63" s="1">
        <v>0.0</v>
      </c>
      <c r="H63" s="1">
        <v>225.87</v>
      </c>
      <c r="I63" s="14">
        <v>44393.0</v>
      </c>
      <c r="J63" s="1" t="s">
        <v>4308</v>
      </c>
      <c r="K63" s="15" t="s">
        <v>4370</v>
      </c>
      <c r="L63" s="60" t="str">
        <f t="shared" si="1"/>
        <v>Not in buy Zone</v>
      </c>
      <c r="M63" s="60" t="str">
        <f t="shared" si="2"/>
        <v>Not in buy Zone</v>
      </c>
      <c r="N63" s="33" t="str">
        <f t="shared" si="3"/>
        <v>No</v>
      </c>
    </row>
    <row r="64">
      <c r="A64" s="1" t="s">
        <v>92</v>
      </c>
      <c r="B64" s="1">
        <v>0.0</v>
      </c>
      <c r="C64" s="1">
        <v>0.0</v>
      </c>
      <c r="D64" s="1">
        <v>455.0</v>
      </c>
      <c r="E64" s="1">
        <v>0.0</v>
      </c>
      <c r="F64" s="54">
        <v>44336.0</v>
      </c>
      <c r="G64" s="1">
        <v>0.0</v>
      </c>
      <c r="H64" s="1">
        <v>468.07</v>
      </c>
      <c r="I64" s="14">
        <v>44393.0</v>
      </c>
      <c r="J64" s="1" t="s">
        <v>4308</v>
      </c>
      <c r="K64" s="15" t="s">
        <v>4371</v>
      </c>
      <c r="L64" s="60" t="str">
        <f t="shared" si="1"/>
        <v>Not in buy Zone</v>
      </c>
      <c r="M64" s="60" t="str">
        <f t="shared" si="2"/>
        <v>Not in buy Zone</v>
      </c>
      <c r="N64" s="33" t="str">
        <f t="shared" si="3"/>
        <v>No</v>
      </c>
    </row>
    <row r="65">
      <c r="A65" s="1" t="s">
        <v>93</v>
      </c>
      <c r="B65" s="1">
        <v>0.0</v>
      </c>
      <c r="C65" s="1">
        <v>0.0</v>
      </c>
      <c r="D65" s="1">
        <v>33.47</v>
      </c>
      <c r="E65" s="1">
        <v>0.0</v>
      </c>
      <c r="F65" s="54">
        <v>44357.0</v>
      </c>
      <c r="G65" s="1">
        <v>0.0</v>
      </c>
      <c r="H65" s="1">
        <v>36.35</v>
      </c>
      <c r="I65" s="14">
        <v>44393.0</v>
      </c>
      <c r="J65" s="1" t="s">
        <v>4308</v>
      </c>
      <c r="K65" s="15" t="s">
        <v>4372</v>
      </c>
      <c r="L65" s="60" t="str">
        <f t="shared" si="1"/>
        <v>Not in buy Zone</v>
      </c>
      <c r="M65" s="60" t="str">
        <f t="shared" si="2"/>
        <v>Not in buy Zone</v>
      </c>
      <c r="N65" s="33" t="str">
        <f t="shared" si="3"/>
        <v>No</v>
      </c>
    </row>
    <row r="66">
      <c r="A66" s="1" t="s">
        <v>94</v>
      </c>
      <c r="B66" s="1">
        <v>0.0</v>
      </c>
      <c r="C66" s="1">
        <v>0.0</v>
      </c>
      <c r="D66" s="1">
        <v>0.0</v>
      </c>
      <c r="E66" s="1">
        <v>213.56</v>
      </c>
      <c r="F66" s="54">
        <v>44361.0</v>
      </c>
      <c r="G66" s="1">
        <v>0.0</v>
      </c>
      <c r="H66" s="1">
        <v>203.29</v>
      </c>
      <c r="I66" s="14">
        <v>44393.0</v>
      </c>
      <c r="J66" s="1" t="s">
        <v>4308</v>
      </c>
      <c r="K66" s="15" t="s">
        <v>4373</v>
      </c>
      <c r="L66" s="60" t="str">
        <f t="shared" si="1"/>
        <v>Not in buy Zone</v>
      </c>
      <c r="M66" s="60" t="str">
        <f t="shared" si="2"/>
        <v>Not in buy Zone</v>
      </c>
      <c r="N66" s="33" t="str">
        <f t="shared" si="3"/>
        <v>No</v>
      </c>
    </row>
    <row r="67">
      <c r="A67" s="1" t="s">
        <v>95</v>
      </c>
      <c r="B67" s="1">
        <v>0.0</v>
      </c>
      <c r="C67" s="1">
        <v>0.0</v>
      </c>
      <c r="D67" s="1">
        <v>163.38</v>
      </c>
      <c r="E67" s="1">
        <v>0.0</v>
      </c>
      <c r="F67" s="54">
        <v>44384.0</v>
      </c>
      <c r="G67" s="1">
        <v>0.0</v>
      </c>
      <c r="H67" s="1">
        <v>168.31</v>
      </c>
      <c r="I67" s="14">
        <v>44393.0</v>
      </c>
      <c r="J67" s="1" t="s">
        <v>4308</v>
      </c>
      <c r="K67" s="15" t="s">
        <v>4374</v>
      </c>
      <c r="L67" s="60" t="str">
        <f t="shared" si="1"/>
        <v>Not in buy Zone</v>
      </c>
      <c r="M67" s="60" t="str">
        <f t="shared" si="2"/>
        <v>Not in buy Zone</v>
      </c>
      <c r="N67" s="33" t="str">
        <f t="shared" si="3"/>
        <v>No</v>
      </c>
    </row>
    <row r="68">
      <c r="A68" s="1" t="s">
        <v>96</v>
      </c>
      <c r="B68" s="1">
        <v>0.0</v>
      </c>
      <c r="C68" s="1">
        <v>0.0</v>
      </c>
      <c r="D68" s="1">
        <v>164.9</v>
      </c>
      <c r="E68" s="1">
        <v>0.0</v>
      </c>
      <c r="F68" s="54">
        <v>44368.0</v>
      </c>
      <c r="G68" s="1">
        <v>0.0</v>
      </c>
      <c r="H68" s="1">
        <v>170.01</v>
      </c>
      <c r="I68" s="14">
        <v>44393.0</v>
      </c>
      <c r="J68" s="1" t="s">
        <v>4308</v>
      </c>
      <c r="K68" s="15" t="s">
        <v>4375</v>
      </c>
      <c r="L68" s="60" t="str">
        <f t="shared" si="1"/>
        <v>Not in buy Zone</v>
      </c>
      <c r="M68" s="60" t="str">
        <f t="shared" si="2"/>
        <v>Not in buy Zone</v>
      </c>
      <c r="N68" s="33" t="str">
        <f t="shared" si="3"/>
        <v>No</v>
      </c>
    </row>
    <row r="69">
      <c r="A69" s="1" t="s">
        <v>97</v>
      </c>
      <c r="B69" s="1">
        <v>0.0</v>
      </c>
      <c r="C69" s="1">
        <v>0.0</v>
      </c>
      <c r="D69" s="1">
        <v>0.0</v>
      </c>
      <c r="E69" s="1">
        <v>31.69</v>
      </c>
      <c r="F69" s="54">
        <v>44328.0</v>
      </c>
      <c r="G69" s="1">
        <v>0.0</v>
      </c>
      <c r="H69" s="1">
        <v>28.74</v>
      </c>
      <c r="I69" s="14">
        <v>44393.0</v>
      </c>
      <c r="J69" s="1" t="s">
        <v>4308</v>
      </c>
      <c r="K69" s="15" t="s">
        <v>4376</v>
      </c>
      <c r="L69" s="60" t="str">
        <f t="shared" si="1"/>
        <v>Not in buy Zone</v>
      </c>
      <c r="M69" s="60" t="str">
        <f t="shared" si="2"/>
        <v>Not in buy Zone</v>
      </c>
      <c r="N69" s="33" t="str">
        <f t="shared" si="3"/>
        <v>No</v>
      </c>
    </row>
    <row r="70">
      <c r="A70" s="1" t="s">
        <v>98</v>
      </c>
      <c r="B70" s="1">
        <v>0.0</v>
      </c>
      <c r="C70" s="1">
        <v>0.0</v>
      </c>
      <c r="D70" s="1">
        <v>1434.5</v>
      </c>
      <c r="E70" s="1">
        <v>0.0</v>
      </c>
      <c r="F70" s="54">
        <v>44369.0</v>
      </c>
      <c r="G70" s="1">
        <v>0.0</v>
      </c>
      <c r="H70" s="1">
        <v>1605.3</v>
      </c>
      <c r="I70" s="14">
        <v>44393.0</v>
      </c>
      <c r="J70" s="1" t="s">
        <v>4308</v>
      </c>
      <c r="K70" s="15" t="s">
        <v>4377</v>
      </c>
      <c r="L70" s="60" t="str">
        <f t="shared" si="1"/>
        <v>Not in buy Zone</v>
      </c>
      <c r="M70" s="60" t="str">
        <f t="shared" si="2"/>
        <v>Not in buy Zone</v>
      </c>
      <c r="N70" s="33" t="str">
        <f t="shared" si="3"/>
        <v>No</v>
      </c>
    </row>
    <row r="71">
      <c r="A71" s="1" t="s">
        <v>99</v>
      </c>
      <c r="B71" s="1">
        <v>0.0</v>
      </c>
      <c r="C71" s="1">
        <v>0.0</v>
      </c>
      <c r="D71" s="1">
        <v>0.0</v>
      </c>
      <c r="E71" s="1">
        <v>235.76</v>
      </c>
      <c r="F71" s="54">
        <v>44376.0</v>
      </c>
      <c r="G71" s="1">
        <v>0.0</v>
      </c>
      <c r="H71" s="1">
        <v>217.74</v>
      </c>
      <c r="I71" s="14">
        <v>44393.0</v>
      </c>
      <c r="J71" s="1" t="s">
        <v>4308</v>
      </c>
      <c r="K71" s="15" t="s">
        <v>4378</v>
      </c>
      <c r="L71" s="60" t="str">
        <f t="shared" si="1"/>
        <v>Not in buy Zone</v>
      </c>
      <c r="M71" s="60" t="str">
        <f t="shared" si="2"/>
        <v>Not in buy Zone</v>
      </c>
      <c r="N71" s="33" t="str">
        <f t="shared" si="3"/>
        <v>No</v>
      </c>
    </row>
    <row r="72">
      <c r="A72" s="1" t="s">
        <v>100</v>
      </c>
      <c r="B72" s="1">
        <v>0.0</v>
      </c>
      <c r="C72" s="1">
        <v>0.0</v>
      </c>
      <c r="D72" s="1">
        <v>0.0</v>
      </c>
      <c r="E72" s="1">
        <v>38.78</v>
      </c>
      <c r="F72" s="54">
        <v>44385.0</v>
      </c>
      <c r="G72" s="1">
        <v>0.0</v>
      </c>
      <c r="H72" s="1">
        <v>37.92</v>
      </c>
      <c r="I72" s="14">
        <v>44393.0</v>
      </c>
      <c r="J72" s="1" t="s">
        <v>4308</v>
      </c>
      <c r="K72" s="15" t="s">
        <v>4379</v>
      </c>
      <c r="L72" s="60" t="str">
        <f t="shared" si="1"/>
        <v>Not in buy Zone</v>
      </c>
      <c r="M72" s="60" t="str">
        <f t="shared" si="2"/>
        <v>Not in buy Zone</v>
      </c>
      <c r="N72" s="33" t="str">
        <f t="shared" si="3"/>
        <v>No</v>
      </c>
    </row>
    <row r="73">
      <c r="A73" s="1" t="s">
        <v>101</v>
      </c>
      <c r="B73" s="1">
        <v>0.0</v>
      </c>
      <c r="C73" s="1">
        <v>0.0</v>
      </c>
      <c r="D73" s="1">
        <v>0.0</v>
      </c>
      <c r="E73" s="1">
        <v>80.5</v>
      </c>
      <c r="F73" s="54">
        <v>44377.0</v>
      </c>
      <c r="G73" s="1">
        <v>0.0</v>
      </c>
      <c r="H73" s="1">
        <v>81.42</v>
      </c>
      <c r="I73" s="14">
        <v>44393.0</v>
      </c>
      <c r="J73" s="1" t="s">
        <v>4308</v>
      </c>
      <c r="K73" s="15" t="s">
        <v>4380</v>
      </c>
      <c r="L73" s="60" t="str">
        <f t="shared" si="1"/>
        <v>Not in buy Zone</v>
      </c>
      <c r="M73" s="60" t="str">
        <f t="shared" si="2"/>
        <v>Not in buy Zone</v>
      </c>
      <c r="N73" s="33" t="str">
        <f t="shared" si="3"/>
        <v>No</v>
      </c>
    </row>
    <row r="74">
      <c r="A74" s="1" t="s">
        <v>102</v>
      </c>
      <c r="B74" s="1">
        <v>0.0</v>
      </c>
      <c r="C74" s="1">
        <v>0.0</v>
      </c>
      <c r="D74" s="1">
        <v>0.0</v>
      </c>
      <c r="E74" s="1">
        <v>29.1</v>
      </c>
      <c r="F74" s="54">
        <v>44363.0</v>
      </c>
      <c r="G74" s="1">
        <v>0.0</v>
      </c>
      <c r="H74" s="1">
        <v>27.16</v>
      </c>
      <c r="I74" s="14">
        <v>44393.0</v>
      </c>
      <c r="J74" s="1" t="s">
        <v>4308</v>
      </c>
      <c r="K74" s="15" t="s">
        <v>4381</v>
      </c>
      <c r="L74" s="60" t="str">
        <f t="shared" si="1"/>
        <v>Not in buy Zone</v>
      </c>
      <c r="M74" s="60" t="str">
        <f t="shared" si="2"/>
        <v>Not in buy Zone</v>
      </c>
      <c r="N74" s="33" t="str">
        <f t="shared" si="3"/>
        <v>No</v>
      </c>
    </row>
    <row r="75">
      <c r="A75" s="1" t="s">
        <v>103</v>
      </c>
      <c r="B75" s="1">
        <v>0.0</v>
      </c>
      <c r="C75" s="1">
        <v>0.0</v>
      </c>
      <c r="D75" s="1">
        <v>0.0</v>
      </c>
      <c r="E75" s="1">
        <v>110.55</v>
      </c>
      <c r="F75" s="54">
        <v>44383.0</v>
      </c>
      <c r="G75" s="1">
        <v>0.0</v>
      </c>
      <c r="H75" s="1">
        <v>110.59</v>
      </c>
      <c r="I75" s="14">
        <v>44393.0</v>
      </c>
      <c r="J75" s="1" t="s">
        <v>4308</v>
      </c>
      <c r="K75" s="15" t="s">
        <v>4382</v>
      </c>
      <c r="L75" s="60" t="str">
        <f t="shared" si="1"/>
        <v>Not in buy Zone</v>
      </c>
      <c r="M75" s="60" t="str">
        <f t="shared" si="2"/>
        <v>Not in buy Zone</v>
      </c>
      <c r="N75" s="33" t="str">
        <f t="shared" si="3"/>
        <v>No</v>
      </c>
    </row>
    <row r="76">
      <c r="A76" s="1" t="s">
        <v>104</v>
      </c>
      <c r="B76" s="1">
        <v>0.0</v>
      </c>
      <c r="C76" s="1">
        <v>0.0</v>
      </c>
      <c r="D76" s="1">
        <v>246.89</v>
      </c>
      <c r="E76" s="1">
        <v>0.0</v>
      </c>
      <c r="F76" s="54">
        <v>44376.0</v>
      </c>
      <c r="G76" s="1">
        <v>0.0</v>
      </c>
      <c r="H76" s="1">
        <v>248.07</v>
      </c>
      <c r="I76" s="14">
        <v>44393.0</v>
      </c>
      <c r="J76" s="1" t="s">
        <v>4308</v>
      </c>
      <c r="K76" s="15" t="s">
        <v>4383</v>
      </c>
      <c r="L76" s="60" t="str">
        <f t="shared" si="1"/>
        <v>Not in buy Zone</v>
      </c>
      <c r="M76" s="60" t="str">
        <f t="shared" si="2"/>
        <v>Not in buy Zone</v>
      </c>
      <c r="N76" s="33" t="str">
        <f t="shared" si="3"/>
        <v>No</v>
      </c>
    </row>
    <row r="77">
      <c r="A77" s="1" t="s">
        <v>105</v>
      </c>
      <c r="B77" s="1">
        <v>0.0</v>
      </c>
      <c r="C77" s="1">
        <v>0.0</v>
      </c>
      <c r="D77" s="1">
        <v>0.0</v>
      </c>
      <c r="E77" s="1">
        <v>33.92</v>
      </c>
      <c r="F77" s="54">
        <v>44361.0</v>
      </c>
      <c r="G77" s="1">
        <v>0.0</v>
      </c>
      <c r="H77" s="1">
        <v>29.41</v>
      </c>
      <c r="I77" s="14">
        <v>44393.0</v>
      </c>
      <c r="J77" s="1" t="s">
        <v>4308</v>
      </c>
      <c r="K77" s="15" t="s">
        <v>4384</v>
      </c>
      <c r="L77" s="60" t="str">
        <f t="shared" si="1"/>
        <v>Not in buy Zone</v>
      </c>
      <c r="M77" s="60" t="str">
        <f t="shared" si="2"/>
        <v>Not in buy Zone</v>
      </c>
      <c r="N77" s="33" t="str">
        <f t="shared" si="3"/>
        <v>No</v>
      </c>
    </row>
    <row r="78">
      <c r="A78" s="1" t="s">
        <v>106</v>
      </c>
      <c r="B78" s="1">
        <v>0.0</v>
      </c>
      <c r="C78" s="1">
        <v>0.0</v>
      </c>
      <c r="D78" s="1">
        <v>0.0</v>
      </c>
      <c r="E78" s="1">
        <v>186.95</v>
      </c>
      <c r="F78" s="54">
        <v>44383.0</v>
      </c>
      <c r="G78" s="1">
        <v>0.0</v>
      </c>
      <c r="H78" s="1">
        <v>179.58</v>
      </c>
      <c r="I78" s="14">
        <v>44393.0</v>
      </c>
      <c r="J78" s="1" t="s">
        <v>4308</v>
      </c>
      <c r="K78" s="15" t="s">
        <v>4385</v>
      </c>
      <c r="L78" s="60" t="str">
        <f t="shared" si="1"/>
        <v>Not in buy Zone</v>
      </c>
      <c r="M78" s="60" t="str">
        <f t="shared" si="2"/>
        <v>Not in buy Zone</v>
      </c>
      <c r="N78" s="33" t="str">
        <f t="shared" si="3"/>
        <v>No</v>
      </c>
    </row>
    <row r="79">
      <c r="A79" s="1" t="s">
        <v>107</v>
      </c>
      <c r="B79" s="1">
        <v>0.0</v>
      </c>
      <c r="C79" s="1">
        <v>0.0</v>
      </c>
      <c r="D79" s="1">
        <v>0.0</v>
      </c>
      <c r="E79" s="1">
        <v>349.16</v>
      </c>
      <c r="F79" s="54">
        <v>44371.0</v>
      </c>
      <c r="G79" s="1">
        <v>0.0</v>
      </c>
      <c r="H79" s="1">
        <v>324.62</v>
      </c>
      <c r="I79" s="14">
        <v>44393.0</v>
      </c>
      <c r="J79" s="1" t="s">
        <v>4308</v>
      </c>
      <c r="K79" s="15" t="s">
        <v>4386</v>
      </c>
      <c r="L79" s="60" t="str">
        <f t="shared" si="1"/>
        <v>Not in buy Zone</v>
      </c>
      <c r="M79" s="60" t="str">
        <f t="shared" si="2"/>
        <v>Not in buy Zone</v>
      </c>
      <c r="N79" s="33" t="str">
        <f t="shared" si="3"/>
        <v>No</v>
      </c>
    </row>
    <row r="80">
      <c r="A80" s="1" t="s">
        <v>108</v>
      </c>
      <c r="B80" s="1">
        <v>0.0</v>
      </c>
      <c r="C80" s="1">
        <v>0.0</v>
      </c>
      <c r="D80" s="1">
        <v>602.97</v>
      </c>
      <c r="E80" s="1">
        <v>0.0</v>
      </c>
      <c r="F80" s="54">
        <v>44357.0</v>
      </c>
      <c r="G80" s="1">
        <v>0.0</v>
      </c>
      <c r="H80" s="1">
        <v>674.78</v>
      </c>
      <c r="I80" s="14">
        <v>44393.0</v>
      </c>
      <c r="J80" s="1" t="s">
        <v>4308</v>
      </c>
      <c r="K80" s="15" t="s">
        <v>4387</v>
      </c>
      <c r="L80" s="60" t="str">
        <f t="shared" si="1"/>
        <v>Not in buy Zone</v>
      </c>
      <c r="M80" s="60" t="str">
        <f t="shared" si="2"/>
        <v>Not in buy Zone</v>
      </c>
      <c r="N80" s="33" t="str">
        <f t="shared" si="3"/>
        <v>No</v>
      </c>
    </row>
    <row r="81">
      <c r="A81" s="1" t="s">
        <v>109</v>
      </c>
      <c r="B81" s="1">
        <v>0.0</v>
      </c>
      <c r="C81" s="1">
        <v>0.0</v>
      </c>
      <c r="D81" s="1">
        <v>0.0</v>
      </c>
      <c r="E81" s="1">
        <v>48.34</v>
      </c>
      <c r="F81" s="54">
        <v>44385.0</v>
      </c>
      <c r="G81" s="1">
        <v>0.0</v>
      </c>
      <c r="H81" s="1">
        <v>49.38</v>
      </c>
      <c r="I81" s="14">
        <v>44393.0</v>
      </c>
      <c r="J81" s="1" t="s">
        <v>4308</v>
      </c>
      <c r="K81" s="15" t="s">
        <v>4388</v>
      </c>
      <c r="L81" s="60" t="str">
        <f t="shared" si="1"/>
        <v>Not in buy Zone</v>
      </c>
      <c r="M81" s="60" t="str">
        <f t="shared" si="2"/>
        <v>Not in buy Zone</v>
      </c>
      <c r="N81" s="33" t="str">
        <f t="shared" si="3"/>
        <v>No</v>
      </c>
    </row>
    <row r="82">
      <c r="A82" s="1" t="s">
        <v>110</v>
      </c>
      <c r="B82" s="1">
        <v>0.0</v>
      </c>
      <c r="C82" s="1">
        <v>0.0</v>
      </c>
      <c r="D82" s="1">
        <v>0.0</v>
      </c>
      <c r="E82" s="1">
        <v>2204.55</v>
      </c>
      <c r="F82" s="54">
        <v>44375.0</v>
      </c>
      <c r="G82" s="1">
        <v>0.0</v>
      </c>
      <c r="H82" s="1">
        <v>2144.72</v>
      </c>
      <c r="I82" s="14">
        <v>44393.0</v>
      </c>
      <c r="J82" s="1" t="s">
        <v>4308</v>
      </c>
      <c r="K82" s="15" t="s">
        <v>4389</v>
      </c>
      <c r="L82" s="60" t="str">
        <f t="shared" si="1"/>
        <v>Not in buy Zone</v>
      </c>
      <c r="M82" s="60" t="str">
        <f t="shared" si="2"/>
        <v>Not in buy Zone</v>
      </c>
      <c r="N82" s="33" t="str">
        <f t="shared" si="3"/>
        <v>No</v>
      </c>
    </row>
    <row r="83">
      <c r="A83" s="1" t="s">
        <v>111</v>
      </c>
      <c r="B83" s="1">
        <v>0.0</v>
      </c>
      <c r="C83" s="1">
        <v>0.0</v>
      </c>
      <c r="D83" s="1">
        <v>0.0</v>
      </c>
      <c r="E83" s="1">
        <v>23.98</v>
      </c>
      <c r="F83" s="54">
        <v>44364.0</v>
      </c>
      <c r="G83" s="1">
        <v>0.0</v>
      </c>
      <c r="H83" s="1">
        <v>20.6</v>
      </c>
      <c r="I83" s="14">
        <v>44393.0</v>
      </c>
      <c r="J83" s="1" t="s">
        <v>4308</v>
      </c>
      <c r="K83" s="15" t="s">
        <v>4390</v>
      </c>
      <c r="L83" s="60" t="str">
        <f t="shared" si="1"/>
        <v>Not in buy Zone</v>
      </c>
      <c r="M83" s="60" t="str">
        <f t="shared" si="2"/>
        <v>Not in buy Zone</v>
      </c>
      <c r="N83" s="33" t="str">
        <f t="shared" si="3"/>
        <v>No</v>
      </c>
    </row>
    <row r="84">
      <c r="A84" s="1" t="s">
        <v>112</v>
      </c>
      <c r="B84" s="1">
        <v>0.0</v>
      </c>
      <c r="C84" s="1">
        <v>0.0</v>
      </c>
      <c r="D84" s="1">
        <v>0.0</v>
      </c>
      <c r="E84" s="1">
        <v>42.57</v>
      </c>
      <c r="F84" s="54">
        <v>44376.0</v>
      </c>
      <c r="G84" s="1">
        <v>0.0</v>
      </c>
      <c r="H84" s="1">
        <v>40.98</v>
      </c>
      <c r="I84" s="14">
        <v>44393.0</v>
      </c>
      <c r="J84" s="1" t="s">
        <v>4308</v>
      </c>
      <c r="K84" s="15" t="s">
        <v>4391</v>
      </c>
      <c r="L84" s="60" t="str">
        <f t="shared" si="1"/>
        <v>Not in buy Zone</v>
      </c>
      <c r="M84" s="60" t="str">
        <f t="shared" si="2"/>
        <v>Not in buy Zone</v>
      </c>
      <c r="N84" s="33" t="str">
        <f t="shared" si="3"/>
        <v>No</v>
      </c>
    </row>
    <row r="85">
      <c r="A85" s="1" t="s">
        <v>113</v>
      </c>
      <c r="B85" s="1">
        <v>0.0</v>
      </c>
      <c r="C85" s="1">
        <v>0.0</v>
      </c>
      <c r="D85" s="1">
        <v>0.0</v>
      </c>
      <c r="E85" s="1">
        <v>880.32</v>
      </c>
      <c r="F85" s="54">
        <v>44391.0</v>
      </c>
      <c r="G85" s="1">
        <v>0.0</v>
      </c>
      <c r="H85" s="1">
        <v>875.02</v>
      </c>
      <c r="I85" s="14">
        <v>44393.0</v>
      </c>
      <c r="J85" s="1" t="s">
        <v>4308</v>
      </c>
      <c r="K85" s="15" t="s">
        <v>4392</v>
      </c>
      <c r="L85" s="60" t="str">
        <f t="shared" si="1"/>
        <v>Not in buy Zone</v>
      </c>
      <c r="M85" s="60" t="str">
        <f t="shared" si="2"/>
        <v>Not in buy Zone</v>
      </c>
      <c r="N85" s="33" t="str">
        <f t="shared" si="3"/>
        <v>No</v>
      </c>
    </row>
    <row r="86">
      <c r="A86" s="1" t="s">
        <v>114</v>
      </c>
      <c r="B86" s="1">
        <v>0.0</v>
      </c>
      <c r="C86" s="1">
        <v>0.0</v>
      </c>
      <c r="D86" s="1">
        <v>82.81</v>
      </c>
      <c r="E86" s="1">
        <v>0.0</v>
      </c>
      <c r="F86" s="54">
        <v>44372.0</v>
      </c>
      <c r="G86" s="1">
        <v>0.0</v>
      </c>
      <c r="H86" s="1">
        <v>85.75</v>
      </c>
      <c r="I86" s="14">
        <v>44393.0</v>
      </c>
      <c r="J86" s="1" t="s">
        <v>4308</v>
      </c>
      <c r="K86" s="15" t="s">
        <v>4393</v>
      </c>
      <c r="L86" s="60" t="str">
        <f t="shared" si="1"/>
        <v>Not in buy Zone</v>
      </c>
      <c r="M86" s="60" t="str">
        <f t="shared" si="2"/>
        <v>Not in buy Zone</v>
      </c>
      <c r="N86" s="33" t="str">
        <f t="shared" si="3"/>
        <v>No</v>
      </c>
    </row>
    <row r="87">
      <c r="A87" s="1" t="s">
        <v>115</v>
      </c>
      <c r="B87" s="1">
        <v>0.0</v>
      </c>
      <c r="C87" s="1">
        <v>0.0</v>
      </c>
      <c r="D87" s="1">
        <v>67.39</v>
      </c>
      <c r="E87" s="1">
        <v>0.0</v>
      </c>
      <c r="F87" s="54">
        <v>44357.0</v>
      </c>
      <c r="G87" s="1">
        <v>0.0</v>
      </c>
      <c r="H87" s="1">
        <v>67.3</v>
      </c>
      <c r="I87" s="14">
        <v>44393.0</v>
      </c>
      <c r="J87" s="1" t="s">
        <v>4308</v>
      </c>
      <c r="K87" s="15" t="s">
        <v>4394</v>
      </c>
      <c r="L87" s="60" t="str">
        <f t="shared" si="1"/>
        <v>Not in buy Zone</v>
      </c>
      <c r="M87" s="60" t="str">
        <f t="shared" si="2"/>
        <v>Not in buy Zone</v>
      </c>
      <c r="N87" s="33" t="str">
        <f t="shared" si="3"/>
        <v>No</v>
      </c>
    </row>
    <row r="88">
      <c r="A88" s="1" t="s">
        <v>116</v>
      </c>
      <c r="B88" s="1">
        <v>0.0</v>
      </c>
      <c r="C88" s="1">
        <v>0.0</v>
      </c>
      <c r="D88" s="1">
        <v>0.0</v>
      </c>
      <c r="E88" s="1">
        <v>85.9</v>
      </c>
      <c r="F88" s="54">
        <v>44390.0</v>
      </c>
      <c r="G88" s="1">
        <v>0.0</v>
      </c>
      <c r="H88" s="1">
        <v>86.32</v>
      </c>
      <c r="I88" s="14">
        <v>44393.0</v>
      </c>
      <c r="J88" s="1" t="s">
        <v>4308</v>
      </c>
      <c r="K88" s="15" t="s">
        <v>4395</v>
      </c>
      <c r="L88" s="60" t="str">
        <f t="shared" si="1"/>
        <v>Not in buy Zone</v>
      </c>
      <c r="M88" s="60" t="str">
        <f t="shared" si="2"/>
        <v>Not in buy Zone</v>
      </c>
      <c r="N88" s="33" t="str">
        <f t="shared" si="3"/>
        <v>No</v>
      </c>
    </row>
    <row r="89">
      <c r="A89" s="1" t="s">
        <v>117</v>
      </c>
      <c r="B89" s="1">
        <v>0.0</v>
      </c>
      <c r="C89" s="1">
        <v>0.0</v>
      </c>
      <c r="D89" s="1">
        <v>57.21</v>
      </c>
      <c r="E89" s="1">
        <v>0.0</v>
      </c>
      <c r="F89" s="54">
        <v>44379.0</v>
      </c>
      <c r="G89" s="1">
        <v>0.0</v>
      </c>
      <c r="H89" s="1">
        <v>57.62</v>
      </c>
      <c r="I89" s="14">
        <v>44393.0</v>
      </c>
      <c r="J89" s="1" t="s">
        <v>4308</v>
      </c>
      <c r="K89" s="15" t="s">
        <v>4396</v>
      </c>
      <c r="L89" s="60" t="str">
        <f t="shared" si="1"/>
        <v>Not in buy Zone</v>
      </c>
      <c r="M89" s="60" t="str">
        <f t="shared" si="2"/>
        <v>Not in buy Zone</v>
      </c>
      <c r="N89" s="33" t="str">
        <f t="shared" si="3"/>
        <v>No</v>
      </c>
    </row>
    <row r="90">
      <c r="A90" s="1" t="s">
        <v>118</v>
      </c>
      <c r="B90" s="1">
        <v>0.0</v>
      </c>
      <c r="C90" s="1">
        <v>0.0</v>
      </c>
      <c r="D90" s="1">
        <v>162.76</v>
      </c>
      <c r="E90" s="1">
        <v>0.0</v>
      </c>
      <c r="F90" s="54">
        <v>44358.0</v>
      </c>
      <c r="G90" s="1">
        <v>0.0</v>
      </c>
      <c r="H90" s="1">
        <v>169.87</v>
      </c>
      <c r="I90" s="14">
        <v>44393.0</v>
      </c>
      <c r="J90" s="1" t="s">
        <v>4308</v>
      </c>
      <c r="K90" s="15" t="s">
        <v>4397</v>
      </c>
      <c r="L90" s="60" t="str">
        <f t="shared" si="1"/>
        <v>Not in buy Zone</v>
      </c>
      <c r="M90" s="60" t="str">
        <f t="shared" si="2"/>
        <v>Not in buy Zone</v>
      </c>
      <c r="N90" s="33" t="str">
        <f t="shared" si="3"/>
        <v>No</v>
      </c>
    </row>
    <row r="91">
      <c r="A91" s="1" t="s">
        <v>119</v>
      </c>
      <c r="B91" s="1">
        <v>0.0</v>
      </c>
      <c r="C91" s="1">
        <v>0.0</v>
      </c>
      <c r="D91" s="1">
        <v>0.0</v>
      </c>
      <c r="E91" s="1">
        <v>82.11</v>
      </c>
      <c r="F91" s="54">
        <v>44390.0</v>
      </c>
      <c r="G91" s="1">
        <v>0.0</v>
      </c>
      <c r="H91" s="1">
        <v>82.18</v>
      </c>
      <c r="I91" s="14">
        <v>44393.0</v>
      </c>
      <c r="J91" s="1" t="s">
        <v>4308</v>
      </c>
      <c r="K91" s="15" t="s">
        <v>4398</v>
      </c>
      <c r="L91" s="60" t="str">
        <f t="shared" si="1"/>
        <v>Not in buy Zone</v>
      </c>
      <c r="M91" s="60" t="str">
        <f t="shared" si="2"/>
        <v>Not in buy Zone</v>
      </c>
      <c r="N91" s="33" t="str">
        <f t="shared" si="3"/>
        <v>No</v>
      </c>
    </row>
    <row r="92">
      <c r="A92" s="1" t="s">
        <v>120</v>
      </c>
      <c r="B92" s="1">
        <v>0.0</v>
      </c>
      <c r="C92" s="1">
        <v>0.0</v>
      </c>
      <c r="D92" s="1">
        <v>0.0</v>
      </c>
      <c r="E92" s="1">
        <v>42.76</v>
      </c>
      <c r="F92" s="54">
        <v>44377.0</v>
      </c>
      <c r="G92" s="1">
        <v>0.0</v>
      </c>
      <c r="H92" s="1">
        <v>42.1</v>
      </c>
      <c r="I92" s="14">
        <v>44393.0</v>
      </c>
      <c r="J92" s="1" t="s">
        <v>4308</v>
      </c>
      <c r="K92" s="15" t="s">
        <v>4399</v>
      </c>
      <c r="L92" s="60" t="str">
        <f t="shared" si="1"/>
        <v>Not in buy Zone</v>
      </c>
      <c r="M92" s="60" t="str">
        <f t="shared" si="2"/>
        <v>Not in buy Zone</v>
      </c>
      <c r="N92" s="33" t="str">
        <f t="shared" si="3"/>
        <v>No</v>
      </c>
    </row>
    <row r="93">
      <c r="A93" s="1" t="s">
        <v>121</v>
      </c>
      <c r="B93" s="1">
        <v>0.0</v>
      </c>
      <c r="C93" s="1">
        <v>0.0</v>
      </c>
      <c r="D93" s="1">
        <v>0.0</v>
      </c>
      <c r="E93" s="1">
        <v>49.45</v>
      </c>
      <c r="F93" s="54">
        <v>44364.0</v>
      </c>
      <c r="G93" s="1">
        <v>0.0</v>
      </c>
      <c r="H93" s="1">
        <v>45.97</v>
      </c>
      <c r="I93" s="14">
        <v>44393.0</v>
      </c>
      <c r="J93" s="1" t="s">
        <v>4308</v>
      </c>
      <c r="K93" s="15" t="s">
        <v>4400</v>
      </c>
      <c r="L93" s="60" t="str">
        <f t="shared" si="1"/>
        <v>Not in buy Zone</v>
      </c>
      <c r="M93" s="60" t="str">
        <f t="shared" si="2"/>
        <v>Not in buy Zone</v>
      </c>
      <c r="N93" s="33" t="str">
        <f t="shared" si="3"/>
        <v>No</v>
      </c>
    </row>
    <row r="94">
      <c r="A94" s="1" t="s">
        <v>122</v>
      </c>
      <c r="B94" s="1">
        <v>0.0</v>
      </c>
      <c r="C94" s="1">
        <v>0.0</v>
      </c>
      <c r="D94" s="1">
        <v>90.74</v>
      </c>
      <c r="E94" s="1">
        <v>0.0</v>
      </c>
      <c r="F94" s="54">
        <v>44337.0</v>
      </c>
      <c r="G94" s="1">
        <v>0.0</v>
      </c>
      <c r="H94" s="1">
        <v>102.2</v>
      </c>
      <c r="I94" s="14">
        <v>44393.0</v>
      </c>
      <c r="J94" s="1" t="s">
        <v>4308</v>
      </c>
      <c r="K94" s="15" t="s">
        <v>4401</v>
      </c>
      <c r="L94" s="60" t="str">
        <f t="shared" si="1"/>
        <v>Not in buy Zone</v>
      </c>
      <c r="M94" s="60" t="str">
        <f t="shared" si="2"/>
        <v>Not in buy Zone</v>
      </c>
      <c r="N94" s="33" t="str">
        <f t="shared" si="3"/>
        <v>No</v>
      </c>
    </row>
    <row r="95">
      <c r="A95" s="1" t="s">
        <v>123</v>
      </c>
      <c r="B95" s="1">
        <v>0.0</v>
      </c>
      <c r="C95" s="1">
        <v>0.0</v>
      </c>
      <c r="D95" s="1">
        <v>118.71</v>
      </c>
      <c r="E95" s="1">
        <v>0.0</v>
      </c>
      <c r="F95" s="54">
        <v>44389.0</v>
      </c>
      <c r="G95" s="1">
        <v>0.0</v>
      </c>
      <c r="H95" s="1">
        <v>116.14</v>
      </c>
      <c r="I95" s="14">
        <v>44393.0</v>
      </c>
      <c r="J95" s="1" t="s">
        <v>4308</v>
      </c>
      <c r="K95" s="15" t="s">
        <v>4402</v>
      </c>
      <c r="L95" s="60" t="str">
        <f t="shared" si="1"/>
        <v>Not in buy Zone</v>
      </c>
      <c r="M95" s="60" t="str">
        <f t="shared" si="2"/>
        <v>Not in buy Zone</v>
      </c>
      <c r="N95" s="33" t="str">
        <f t="shared" si="3"/>
        <v>No</v>
      </c>
    </row>
    <row r="96">
      <c r="A96" s="1" t="s">
        <v>124</v>
      </c>
      <c r="B96" s="1">
        <v>0.0</v>
      </c>
      <c r="C96" s="1">
        <v>0.0</v>
      </c>
      <c r="D96" s="1">
        <v>0.0</v>
      </c>
      <c r="E96" s="1">
        <v>140.34</v>
      </c>
      <c r="F96" s="54">
        <v>44384.0</v>
      </c>
      <c r="G96" s="1">
        <v>0.0</v>
      </c>
      <c r="H96" s="1">
        <v>124.95</v>
      </c>
      <c r="I96" s="14">
        <v>44393.0</v>
      </c>
      <c r="J96" s="1" t="s">
        <v>4308</v>
      </c>
      <c r="K96" s="15" t="s">
        <v>4403</v>
      </c>
      <c r="L96" s="60" t="str">
        <f t="shared" si="1"/>
        <v>Not in buy Zone</v>
      </c>
      <c r="M96" s="60" t="str">
        <f t="shared" si="2"/>
        <v>Not in buy Zone</v>
      </c>
      <c r="N96" s="33" t="str">
        <f t="shared" si="3"/>
        <v>No</v>
      </c>
    </row>
    <row r="97">
      <c r="A97" s="1" t="s">
        <v>125</v>
      </c>
      <c r="B97" s="1">
        <v>0.0</v>
      </c>
      <c r="C97" s="1">
        <v>0.0</v>
      </c>
      <c r="D97" s="1">
        <v>0.0</v>
      </c>
      <c r="E97" s="1">
        <v>76.89</v>
      </c>
      <c r="F97" s="54">
        <v>44357.0</v>
      </c>
      <c r="G97" s="1">
        <v>0.0</v>
      </c>
      <c r="H97" s="1">
        <v>66.9</v>
      </c>
      <c r="I97" s="14">
        <v>44393.0</v>
      </c>
      <c r="J97" s="1" t="s">
        <v>4308</v>
      </c>
      <c r="K97" s="15" t="s">
        <v>4404</v>
      </c>
      <c r="L97" s="60" t="str">
        <f t="shared" si="1"/>
        <v>Not in buy Zone</v>
      </c>
      <c r="M97" s="60" t="str">
        <f t="shared" si="2"/>
        <v>Not in buy Zone</v>
      </c>
      <c r="N97" s="33" t="str">
        <f t="shared" si="3"/>
        <v>No</v>
      </c>
    </row>
    <row r="98">
      <c r="A98" s="1" t="s">
        <v>126</v>
      </c>
      <c r="B98" s="1">
        <v>0.0</v>
      </c>
      <c r="C98" s="1">
        <v>0.0</v>
      </c>
      <c r="D98" s="1">
        <v>0.0</v>
      </c>
      <c r="E98" s="1">
        <v>37.31</v>
      </c>
      <c r="F98" s="54">
        <v>44356.0</v>
      </c>
      <c r="G98" s="1">
        <v>0.0</v>
      </c>
      <c r="H98" s="1">
        <v>34.86</v>
      </c>
      <c r="I98" s="14">
        <v>44393.0</v>
      </c>
      <c r="J98" s="1" t="s">
        <v>4308</v>
      </c>
      <c r="K98" s="15" t="s">
        <v>4405</v>
      </c>
      <c r="L98" s="60" t="str">
        <f t="shared" si="1"/>
        <v>Not in buy Zone</v>
      </c>
      <c r="M98" s="60" t="str">
        <f t="shared" si="2"/>
        <v>Not in buy Zone</v>
      </c>
      <c r="N98" s="33" t="str">
        <f t="shared" si="3"/>
        <v>No</v>
      </c>
    </row>
    <row r="99">
      <c r="A99" s="1" t="s">
        <v>127</v>
      </c>
      <c r="B99" s="1">
        <v>0.0</v>
      </c>
      <c r="C99" s="1">
        <v>0.0</v>
      </c>
      <c r="D99" s="1">
        <v>0.0</v>
      </c>
      <c r="E99" s="1">
        <v>56.05</v>
      </c>
      <c r="F99" s="54">
        <v>44365.0</v>
      </c>
      <c r="G99" s="1">
        <v>0.0</v>
      </c>
      <c r="H99" s="1">
        <v>56.82</v>
      </c>
      <c r="I99" s="14">
        <v>44393.0</v>
      </c>
      <c r="J99" s="1" t="s">
        <v>4308</v>
      </c>
      <c r="K99" s="15" t="s">
        <v>4406</v>
      </c>
      <c r="L99" s="60" t="str">
        <f t="shared" si="1"/>
        <v>Not in buy Zone</v>
      </c>
      <c r="M99" s="60" t="str">
        <f t="shared" si="2"/>
        <v>Not in buy Zone</v>
      </c>
      <c r="N99" s="33" t="str">
        <f t="shared" si="3"/>
        <v>No</v>
      </c>
    </row>
    <row r="100">
      <c r="A100" s="1" t="s">
        <v>128</v>
      </c>
      <c r="B100" s="1">
        <v>0.0</v>
      </c>
      <c r="C100" s="1">
        <v>0.0</v>
      </c>
      <c r="D100" s="1">
        <v>0.0</v>
      </c>
      <c r="E100" s="1">
        <v>234.65</v>
      </c>
      <c r="F100" s="54">
        <v>44356.0</v>
      </c>
      <c r="G100" s="1">
        <v>0.0</v>
      </c>
      <c r="H100" s="1">
        <v>207.95</v>
      </c>
      <c r="I100" s="14">
        <v>44393.0</v>
      </c>
      <c r="J100" s="1" t="s">
        <v>4308</v>
      </c>
      <c r="K100" s="15" t="s">
        <v>4407</v>
      </c>
      <c r="L100" s="60" t="str">
        <f t="shared" si="1"/>
        <v>Not in buy Zone</v>
      </c>
      <c r="M100" s="60" t="str">
        <f t="shared" si="2"/>
        <v>Not in buy Zone</v>
      </c>
      <c r="N100" s="33" t="str">
        <f t="shared" si="3"/>
        <v>No</v>
      </c>
    </row>
    <row r="101">
      <c r="A101" s="1" t="s">
        <v>129</v>
      </c>
      <c r="B101" s="1">
        <v>0.0</v>
      </c>
      <c r="C101" s="1">
        <v>0.0</v>
      </c>
      <c r="D101" s="1">
        <v>164.61</v>
      </c>
      <c r="E101" s="1">
        <v>0.0</v>
      </c>
      <c r="F101" s="54">
        <v>44389.0</v>
      </c>
      <c r="G101" s="1">
        <v>0.0</v>
      </c>
      <c r="H101" s="1">
        <v>166.75</v>
      </c>
      <c r="I101" s="14">
        <v>44393.0</v>
      </c>
      <c r="J101" s="1" t="s">
        <v>4308</v>
      </c>
      <c r="K101" s="15" t="s">
        <v>4408</v>
      </c>
      <c r="L101" s="60" t="str">
        <f t="shared" si="1"/>
        <v>Not in buy Zone</v>
      </c>
      <c r="M101" s="60" t="str">
        <f t="shared" si="2"/>
        <v>Not in buy Zone</v>
      </c>
      <c r="N101" s="33" t="str">
        <f t="shared" si="3"/>
        <v>No</v>
      </c>
    </row>
    <row r="102">
      <c r="A102" s="1" t="s">
        <v>130</v>
      </c>
      <c r="B102" s="1">
        <v>0.0</v>
      </c>
      <c r="C102" s="1">
        <v>0.0</v>
      </c>
      <c r="D102" s="1">
        <v>104.72</v>
      </c>
      <c r="E102" s="1">
        <v>0.0</v>
      </c>
      <c r="F102" s="54">
        <v>44302.0</v>
      </c>
      <c r="G102" s="1">
        <v>0.0</v>
      </c>
      <c r="H102" s="1">
        <v>116.63</v>
      </c>
      <c r="I102" s="14">
        <v>44393.0</v>
      </c>
      <c r="J102" s="1" t="s">
        <v>4308</v>
      </c>
      <c r="K102" s="15" t="s">
        <v>4409</v>
      </c>
      <c r="L102" s="60" t="str">
        <f t="shared" si="1"/>
        <v>Not in buy Zone</v>
      </c>
      <c r="M102" s="60" t="str">
        <f t="shared" si="2"/>
        <v>Not in buy Zone</v>
      </c>
      <c r="N102" s="33" t="str">
        <f t="shared" si="3"/>
        <v>No</v>
      </c>
    </row>
    <row r="103">
      <c r="A103" s="1" t="s">
        <v>131</v>
      </c>
      <c r="B103" s="1">
        <v>0.0</v>
      </c>
      <c r="C103" s="1">
        <v>0.0</v>
      </c>
      <c r="D103" s="1">
        <v>0.0</v>
      </c>
      <c r="E103" s="1">
        <v>85.73</v>
      </c>
      <c r="F103" s="54">
        <v>44377.0</v>
      </c>
      <c r="G103" s="1">
        <v>0.0</v>
      </c>
      <c r="H103" s="1">
        <v>82.96</v>
      </c>
      <c r="I103" s="14">
        <v>44393.0</v>
      </c>
      <c r="J103" s="1" t="s">
        <v>4308</v>
      </c>
      <c r="K103" s="15" t="s">
        <v>4410</v>
      </c>
      <c r="L103" s="60" t="str">
        <f t="shared" si="1"/>
        <v>Not in buy Zone</v>
      </c>
      <c r="M103" s="60" t="str">
        <f t="shared" si="2"/>
        <v>Not in buy Zone</v>
      </c>
      <c r="N103" s="33" t="str">
        <f t="shared" si="3"/>
        <v>No</v>
      </c>
    </row>
    <row r="104">
      <c r="A104" s="1" t="s">
        <v>132</v>
      </c>
      <c r="B104" s="1">
        <v>0.0</v>
      </c>
      <c r="C104" s="1">
        <v>0.0</v>
      </c>
      <c r="D104" s="1">
        <v>186.24</v>
      </c>
      <c r="E104" s="1">
        <v>0.0</v>
      </c>
      <c r="F104" s="54">
        <v>44340.0</v>
      </c>
      <c r="G104" s="1">
        <v>0.0</v>
      </c>
      <c r="H104" s="1">
        <v>203.11</v>
      </c>
      <c r="I104" s="14">
        <v>44393.0</v>
      </c>
      <c r="J104" s="1" t="s">
        <v>4308</v>
      </c>
      <c r="K104" s="15" t="s">
        <v>4411</v>
      </c>
      <c r="L104" s="60" t="str">
        <f t="shared" si="1"/>
        <v>Not in buy Zone</v>
      </c>
      <c r="M104" s="60" t="str">
        <f t="shared" si="2"/>
        <v>Not in buy Zone</v>
      </c>
      <c r="N104" s="33" t="str">
        <f t="shared" si="3"/>
        <v>No</v>
      </c>
    </row>
    <row r="105">
      <c r="A105" s="1" t="s">
        <v>133</v>
      </c>
      <c r="B105" s="1">
        <v>0.0</v>
      </c>
      <c r="C105" s="1">
        <v>0.0</v>
      </c>
      <c r="D105" s="1">
        <v>0.0</v>
      </c>
      <c r="E105" s="1">
        <v>28.75</v>
      </c>
      <c r="F105" s="54">
        <v>44361.0</v>
      </c>
      <c r="G105" s="1">
        <v>0.0</v>
      </c>
      <c r="H105" s="1">
        <v>20.92</v>
      </c>
      <c r="I105" s="14">
        <v>44393.0</v>
      </c>
      <c r="J105" s="1" t="s">
        <v>4308</v>
      </c>
      <c r="K105" s="15" t="s">
        <v>4412</v>
      </c>
      <c r="L105" s="60" t="str">
        <f t="shared" si="1"/>
        <v>Not in buy Zone</v>
      </c>
      <c r="M105" s="60" t="str">
        <f t="shared" si="2"/>
        <v>Not in buy Zone</v>
      </c>
      <c r="N105" s="33" t="str">
        <f t="shared" si="3"/>
        <v>No</v>
      </c>
    </row>
    <row r="106">
      <c r="A106" s="1" t="s">
        <v>134</v>
      </c>
      <c r="B106" s="1">
        <v>0.0</v>
      </c>
      <c r="C106" s="1">
        <v>0.0</v>
      </c>
      <c r="D106" s="1">
        <v>128.51</v>
      </c>
      <c r="E106" s="1">
        <v>0.0</v>
      </c>
      <c r="F106" s="54">
        <v>44357.0</v>
      </c>
      <c r="G106" s="1">
        <v>0.0</v>
      </c>
      <c r="H106" s="1">
        <v>137.67</v>
      </c>
      <c r="I106" s="14">
        <v>44393.0</v>
      </c>
      <c r="J106" s="1" t="s">
        <v>4308</v>
      </c>
      <c r="K106" s="15" t="s">
        <v>4413</v>
      </c>
      <c r="L106" s="60" t="str">
        <f t="shared" si="1"/>
        <v>Not in buy Zone</v>
      </c>
      <c r="M106" s="60" t="str">
        <f t="shared" si="2"/>
        <v>Not in buy Zone</v>
      </c>
      <c r="N106" s="33" t="str">
        <f t="shared" si="3"/>
        <v>No</v>
      </c>
    </row>
    <row r="107">
      <c r="A107" s="1" t="s">
        <v>135</v>
      </c>
      <c r="B107" s="1">
        <v>0.0</v>
      </c>
      <c r="C107" s="1">
        <v>0.0</v>
      </c>
      <c r="D107" s="1">
        <v>173.79</v>
      </c>
      <c r="E107" s="1">
        <v>0.0</v>
      </c>
      <c r="F107" s="54">
        <v>44375.0</v>
      </c>
      <c r="G107" s="1">
        <v>0.0</v>
      </c>
      <c r="H107" s="1">
        <v>174.44</v>
      </c>
      <c r="I107" s="14">
        <v>44393.0</v>
      </c>
      <c r="J107" s="1" t="s">
        <v>4308</v>
      </c>
      <c r="K107" s="15" t="s">
        <v>4414</v>
      </c>
      <c r="L107" s="60" t="str">
        <f t="shared" si="1"/>
        <v>Not in buy Zone</v>
      </c>
      <c r="M107" s="60" t="str">
        <f t="shared" si="2"/>
        <v>Not in buy Zone</v>
      </c>
      <c r="N107" s="33" t="str">
        <f t="shared" si="3"/>
        <v>No</v>
      </c>
    </row>
    <row r="108">
      <c r="A108" s="1" t="s">
        <v>136</v>
      </c>
      <c r="B108" s="1">
        <v>0.0</v>
      </c>
      <c r="C108" s="1">
        <v>0.0</v>
      </c>
      <c r="D108" s="1">
        <v>154.73</v>
      </c>
      <c r="E108" s="1">
        <v>0.0</v>
      </c>
      <c r="F108" s="54">
        <v>44379.0</v>
      </c>
      <c r="G108" s="1">
        <v>0.0</v>
      </c>
      <c r="H108" s="1">
        <v>152.35</v>
      </c>
      <c r="I108" s="14">
        <v>44393.0</v>
      </c>
      <c r="J108" s="1" t="s">
        <v>4308</v>
      </c>
      <c r="K108" s="15" t="s">
        <v>4415</v>
      </c>
      <c r="L108" s="60" t="str">
        <f t="shared" si="1"/>
        <v>Not in buy Zone</v>
      </c>
      <c r="M108" s="60" t="str">
        <f t="shared" si="2"/>
        <v>Not in buy Zone</v>
      </c>
      <c r="N108" s="33" t="str">
        <f t="shared" si="3"/>
        <v>No</v>
      </c>
    </row>
    <row r="109">
      <c r="A109" s="1" t="s">
        <v>137</v>
      </c>
      <c r="B109" s="1">
        <v>0.0</v>
      </c>
      <c r="C109" s="1">
        <v>0.0</v>
      </c>
      <c r="D109" s="1">
        <v>0.0</v>
      </c>
      <c r="E109" s="1">
        <v>78.14</v>
      </c>
      <c r="F109" s="54">
        <v>44370.0</v>
      </c>
      <c r="G109" s="1">
        <v>0.0</v>
      </c>
      <c r="H109" s="1">
        <v>77.46</v>
      </c>
      <c r="I109" s="14">
        <v>44393.0</v>
      </c>
      <c r="J109" s="1" t="s">
        <v>4308</v>
      </c>
      <c r="K109" s="15" t="s">
        <v>4416</v>
      </c>
      <c r="L109" s="60" t="str">
        <f t="shared" si="1"/>
        <v>Not in buy Zone</v>
      </c>
      <c r="M109" s="60" t="str">
        <f t="shared" si="2"/>
        <v>Not in buy Zone</v>
      </c>
      <c r="N109" s="33" t="str">
        <f t="shared" si="3"/>
        <v>No</v>
      </c>
    </row>
    <row r="110">
      <c r="A110" s="1" t="s">
        <v>138</v>
      </c>
      <c r="B110" s="1">
        <v>0.0</v>
      </c>
      <c r="C110" s="1">
        <v>0.0</v>
      </c>
      <c r="D110" s="1">
        <v>0.0</v>
      </c>
      <c r="E110" s="1">
        <v>52.69</v>
      </c>
      <c r="F110" s="54">
        <v>44361.0</v>
      </c>
      <c r="G110" s="1">
        <v>0.0</v>
      </c>
      <c r="H110" s="1">
        <v>47.16</v>
      </c>
      <c r="I110" s="14">
        <v>44393.0</v>
      </c>
      <c r="J110" s="1" t="s">
        <v>4308</v>
      </c>
      <c r="K110" s="15" t="s">
        <v>4417</v>
      </c>
      <c r="L110" s="60" t="str">
        <f t="shared" si="1"/>
        <v>Not in buy Zone</v>
      </c>
      <c r="M110" s="60" t="str">
        <f t="shared" si="2"/>
        <v>Not in buy Zone</v>
      </c>
      <c r="N110" s="33" t="str">
        <f t="shared" si="3"/>
        <v>No</v>
      </c>
    </row>
    <row r="111">
      <c r="A111" s="1" t="s">
        <v>139</v>
      </c>
      <c r="B111" s="1">
        <v>0.0</v>
      </c>
      <c r="C111" s="1">
        <v>0.0</v>
      </c>
      <c r="D111" s="1">
        <v>0.0</v>
      </c>
      <c r="E111" s="1">
        <v>44.41</v>
      </c>
      <c r="F111" s="54">
        <v>44384.0</v>
      </c>
      <c r="G111" s="1">
        <v>0.0</v>
      </c>
      <c r="H111" s="1">
        <v>43.0</v>
      </c>
      <c r="I111" s="14">
        <v>44393.0</v>
      </c>
      <c r="J111" s="1" t="s">
        <v>4308</v>
      </c>
      <c r="K111" s="15" t="s">
        <v>4418</v>
      </c>
      <c r="L111" s="60" t="str">
        <f t="shared" si="1"/>
        <v>Not in buy Zone</v>
      </c>
      <c r="M111" s="60" t="str">
        <f t="shared" si="2"/>
        <v>Not in buy Zone</v>
      </c>
      <c r="N111" s="33" t="str">
        <f t="shared" si="3"/>
        <v>No</v>
      </c>
    </row>
    <row r="112">
      <c r="A112" s="1" t="s">
        <v>140</v>
      </c>
      <c r="B112" s="1">
        <v>0.0</v>
      </c>
      <c r="C112" s="1">
        <v>0.0</v>
      </c>
      <c r="D112" s="1">
        <v>85.52</v>
      </c>
      <c r="E112" s="1">
        <v>0.0</v>
      </c>
      <c r="F112" s="54">
        <v>44383.0</v>
      </c>
      <c r="G112" s="1">
        <v>0.0</v>
      </c>
      <c r="H112" s="1">
        <v>87.33</v>
      </c>
      <c r="I112" s="14">
        <v>44393.0</v>
      </c>
      <c r="J112" s="1" t="s">
        <v>4308</v>
      </c>
      <c r="K112" s="15" t="s">
        <v>4419</v>
      </c>
      <c r="L112" s="60" t="str">
        <f t="shared" si="1"/>
        <v>Not in buy Zone</v>
      </c>
      <c r="M112" s="60" t="str">
        <f t="shared" si="2"/>
        <v>Not in buy Zone</v>
      </c>
      <c r="N112" s="33" t="str">
        <f t="shared" si="3"/>
        <v>No</v>
      </c>
    </row>
    <row r="113">
      <c r="A113" s="1" t="s">
        <v>141</v>
      </c>
      <c r="B113" s="1">
        <v>0.0</v>
      </c>
      <c r="C113" s="1">
        <v>0.0</v>
      </c>
      <c r="D113" s="1">
        <v>123.8</v>
      </c>
      <c r="E113" s="1">
        <v>0.0</v>
      </c>
      <c r="F113" s="54">
        <v>44386.0</v>
      </c>
      <c r="G113" s="1">
        <v>0.0</v>
      </c>
      <c r="H113" s="1">
        <v>122.19</v>
      </c>
      <c r="I113" s="14">
        <v>44393.0</v>
      </c>
      <c r="J113" s="1" t="s">
        <v>4308</v>
      </c>
      <c r="K113" s="15" t="s">
        <v>4420</v>
      </c>
      <c r="L113" s="60" t="str">
        <f t="shared" si="1"/>
        <v>Not in buy Zone</v>
      </c>
      <c r="M113" s="60" t="str">
        <f t="shared" si="2"/>
        <v>Not in buy Zone</v>
      </c>
      <c r="N113" s="33" t="str">
        <f t="shared" si="3"/>
        <v>No</v>
      </c>
    </row>
    <row r="114">
      <c r="A114" s="1" t="s">
        <v>142</v>
      </c>
      <c r="B114" s="1">
        <v>0.0</v>
      </c>
      <c r="C114" s="1">
        <v>0.0</v>
      </c>
      <c r="D114" s="1">
        <v>0.0</v>
      </c>
      <c r="E114" s="1">
        <v>95.02</v>
      </c>
      <c r="F114" s="54">
        <v>44364.0</v>
      </c>
      <c r="G114" s="1">
        <v>0.0</v>
      </c>
      <c r="H114" s="1">
        <v>93.3</v>
      </c>
      <c r="I114" s="14">
        <v>44393.0</v>
      </c>
      <c r="J114" s="1" t="s">
        <v>4308</v>
      </c>
      <c r="K114" s="15" t="s">
        <v>4421</v>
      </c>
      <c r="L114" s="60" t="str">
        <f t="shared" si="1"/>
        <v>Not in buy Zone</v>
      </c>
      <c r="M114" s="60" t="str">
        <f t="shared" si="2"/>
        <v>Not in buy Zone</v>
      </c>
      <c r="N114" s="33" t="str">
        <f t="shared" si="3"/>
        <v>No</v>
      </c>
    </row>
    <row r="115">
      <c r="A115" s="1" t="s">
        <v>143</v>
      </c>
      <c r="B115" s="1">
        <v>0.0</v>
      </c>
      <c r="C115" s="1">
        <v>0.0</v>
      </c>
      <c r="D115" s="1">
        <v>0.0</v>
      </c>
      <c r="E115" s="1">
        <v>710.7</v>
      </c>
      <c r="F115" s="54">
        <v>44390.0</v>
      </c>
      <c r="G115" s="1">
        <v>0.0</v>
      </c>
      <c r="H115" s="1">
        <v>709.99</v>
      </c>
      <c r="I115" s="14">
        <v>44393.0</v>
      </c>
      <c r="J115" s="1" t="s">
        <v>4308</v>
      </c>
      <c r="K115" s="15" t="s">
        <v>4422</v>
      </c>
      <c r="L115" s="60" t="str">
        <f t="shared" si="1"/>
        <v>Not in buy Zone</v>
      </c>
      <c r="M115" s="60" t="str">
        <f t="shared" si="2"/>
        <v>Not in buy Zone</v>
      </c>
      <c r="N115" s="33" t="str">
        <f t="shared" si="3"/>
        <v>No</v>
      </c>
    </row>
    <row r="116">
      <c r="A116" s="1" t="s">
        <v>144</v>
      </c>
      <c r="B116" s="1">
        <v>0.0</v>
      </c>
      <c r="C116" s="1">
        <v>0.0</v>
      </c>
      <c r="D116" s="1">
        <v>0.0</v>
      </c>
      <c r="E116" s="1">
        <v>77.49</v>
      </c>
      <c r="F116" s="54">
        <v>44392.0</v>
      </c>
      <c r="G116" s="1">
        <v>0.0</v>
      </c>
      <c r="H116" s="1">
        <v>76.98</v>
      </c>
      <c r="I116" s="14">
        <v>44393.0</v>
      </c>
      <c r="J116" s="1" t="s">
        <v>4308</v>
      </c>
      <c r="K116" s="15" t="s">
        <v>4423</v>
      </c>
      <c r="L116" s="60" t="str">
        <f t="shared" si="1"/>
        <v>Not in buy Zone</v>
      </c>
      <c r="M116" s="60" t="str">
        <f t="shared" si="2"/>
        <v>Not in buy Zone</v>
      </c>
      <c r="N116" s="33" t="str">
        <f t="shared" si="3"/>
        <v>No</v>
      </c>
    </row>
    <row r="117">
      <c r="A117" s="1" t="s">
        <v>145</v>
      </c>
      <c r="B117" s="1">
        <v>0.0</v>
      </c>
      <c r="C117" s="1">
        <v>0.0</v>
      </c>
      <c r="D117" s="1">
        <v>0.0</v>
      </c>
      <c r="E117" s="1">
        <v>255.41</v>
      </c>
      <c r="F117" s="54">
        <v>44349.0</v>
      </c>
      <c r="G117" s="1">
        <v>0.0</v>
      </c>
      <c r="H117" s="1">
        <v>233.83</v>
      </c>
      <c r="I117" s="14">
        <v>44393.0</v>
      </c>
      <c r="J117" s="1" t="s">
        <v>4308</v>
      </c>
      <c r="K117" s="15" t="s">
        <v>4424</v>
      </c>
      <c r="L117" s="60" t="str">
        <f t="shared" si="1"/>
        <v>Not in buy Zone</v>
      </c>
      <c r="M117" s="60" t="str">
        <f t="shared" si="2"/>
        <v>Not in buy Zone</v>
      </c>
      <c r="N117" s="33" t="str">
        <f t="shared" si="3"/>
        <v>No</v>
      </c>
    </row>
    <row r="118">
      <c r="A118" s="1" t="s">
        <v>146</v>
      </c>
      <c r="B118" s="1">
        <v>0.0</v>
      </c>
      <c r="C118" s="1">
        <v>0.0</v>
      </c>
      <c r="D118" s="1">
        <v>119.81</v>
      </c>
      <c r="E118" s="1">
        <v>0.0</v>
      </c>
      <c r="F118" s="54">
        <v>44389.0</v>
      </c>
      <c r="G118" s="1">
        <v>0.0</v>
      </c>
      <c r="H118" s="1">
        <v>118.53</v>
      </c>
      <c r="I118" s="14">
        <v>44393.0</v>
      </c>
      <c r="J118" s="1" t="s">
        <v>4308</v>
      </c>
      <c r="K118" s="15" t="s">
        <v>4425</v>
      </c>
      <c r="L118" s="60" t="str">
        <f t="shared" si="1"/>
        <v>Not in buy Zone</v>
      </c>
      <c r="M118" s="60" t="str">
        <f t="shared" si="2"/>
        <v>Not in buy Zone</v>
      </c>
      <c r="N118" s="33" t="str">
        <f t="shared" si="3"/>
        <v>No</v>
      </c>
    </row>
    <row r="119">
      <c r="A119" s="1" t="s">
        <v>147</v>
      </c>
      <c r="B119" s="1">
        <v>0.0</v>
      </c>
      <c r="C119" s="1">
        <v>0.0</v>
      </c>
      <c r="D119" s="1">
        <v>82.66</v>
      </c>
      <c r="E119" s="1">
        <v>0.0</v>
      </c>
      <c r="F119" s="54">
        <v>44384.0</v>
      </c>
      <c r="G119" s="1">
        <v>0.0</v>
      </c>
      <c r="H119" s="1">
        <v>84.39</v>
      </c>
      <c r="I119" s="14">
        <v>44393.0</v>
      </c>
      <c r="J119" s="1" t="s">
        <v>4308</v>
      </c>
      <c r="K119" s="15" t="s">
        <v>4426</v>
      </c>
      <c r="L119" s="60" t="str">
        <f t="shared" si="1"/>
        <v>Not in buy Zone</v>
      </c>
      <c r="M119" s="60" t="str">
        <f t="shared" si="2"/>
        <v>Not in buy Zone</v>
      </c>
      <c r="N119" s="33" t="str">
        <f t="shared" si="3"/>
        <v>No</v>
      </c>
    </row>
    <row r="120">
      <c r="A120" s="1" t="s">
        <v>148</v>
      </c>
      <c r="B120" s="1">
        <v>0.0</v>
      </c>
      <c r="C120" s="1">
        <v>0.0</v>
      </c>
      <c r="D120" s="1">
        <v>179.48</v>
      </c>
      <c r="E120" s="1">
        <v>0.0</v>
      </c>
      <c r="F120" s="54">
        <v>44375.0</v>
      </c>
      <c r="G120" s="1">
        <v>0.0</v>
      </c>
      <c r="H120" s="1">
        <v>186.32</v>
      </c>
      <c r="I120" s="14">
        <v>44393.0</v>
      </c>
      <c r="J120" s="1" t="s">
        <v>4308</v>
      </c>
      <c r="K120" s="15" t="s">
        <v>4427</v>
      </c>
      <c r="L120" s="60" t="str">
        <f t="shared" si="1"/>
        <v>Not in buy Zone</v>
      </c>
      <c r="M120" s="60" t="str">
        <f t="shared" si="2"/>
        <v>Not in buy Zone</v>
      </c>
      <c r="N120" s="33" t="str">
        <f t="shared" si="3"/>
        <v>No</v>
      </c>
    </row>
    <row r="121">
      <c r="A121" s="1" t="s">
        <v>149</v>
      </c>
      <c r="B121" s="1">
        <v>0.0</v>
      </c>
      <c r="C121" s="1">
        <v>0.0</v>
      </c>
      <c r="D121" s="1">
        <v>0.0</v>
      </c>
      <c r="E121" s="1">
        <v>68.07</v>
      </c>
      <c r="F121" s="54">
        <v>44384.0</v>
      </c>
      <c r="G121" s="1">
        <v>0.0</v>
      </c>
      <c r="H121" s="1">
        <v>66.66</v>
      </c>
      <c r="I121" s="14">
        <v>44393.0</v>
      </c>
      <c r="J121" s="1" t="s">
        <v>4308</v>
      </c>
      <c r="K121" s="15" t="s">
        <v>4428</v>
      </c>
      <c r="L121" s="60" t="str">
        <f t="shared" si="1"/>
        <v>Not in buy Zone</v>
      </c>
      <c r="M121" s="60" t="str">
        <f t="shared" si="2"/>
        <v>Not in buy Zone</v>
      </c>
      <c r="N121" s="33" t="str">
        <f t="shared" si="3"/>
        <v>No</v>
      </c>
    </row>
    <row r="122">
      <c r="A122" s="1" t="s">
        <v>150</v>
      </c>
      <c r="B122" s="1">
        <v>0.0</v>
      </c>
      <c r="C122" s="1">
        <v>0.0</v>
      </c>
      <c r="D122" s="1">
        <v>58.42</v>
      </c>
      <c r="E122" s="1">
        <v>0.0</v>
      </c>
      <c r="F122" s="54">
        <v>44379.0</v>
      </c>
      <c r="G122" s="1">
        <v>0.0</v>
      </c>
      <c r="H122" s="1">
        <v>57.55</v>
      </c>
      <c r="I122" s="14">
        <v>44393.0</v>
      </c>
      <c r="J122" s="1" t="s">
        <v>4308</v>
      </c>
      <c r="K122" s="15" t="s">
        <v>4429</v>
      </c>
      <c r="L122" s="60" t="str">
        <f t="shared" si="1"/>
        <v>Not in buy Zone</v>
      </c>
      <c r="M122" s="60" t="str">
        <f t="shared" si="2"/>
        <v>Not in buy Zone</v>
      </c>
      <c r="N122" s="33" t="str">
        <f t="shared" si="3"/>
        <v>No</v>
      </c>
    </row>
    <row r="123">
      <c r="A123" s="1" t="s">
        <v>151</v>
      </c>
      <c r="B123" s="1">
        <v>0.0</v>
      </c>
      <c r="C123" s="1">
        <v>0.0</v>
      </c>
      <c r="D123" s="1">
        <v>0.0</v>
      </c>
      <c r="E123" s="1">
        <v>210.71</v>
      </c>
      <c r="F123" s="54">
        <v>44365.0</v>
      </c>
      <c r="G123" s="1">
        <v>0.0</v>
      </c>
      <c r="H123" s="1">
        <v>209.33</v>
      </c>
      <c r="I123" s="14">
        <v>44393.0</v>
      </c>
      <c r="J123" s="1" t="s">
        <v>4308</v>
      </c>
      <c r="K123" s="15" t="s">
        <v>4430</v>
      </c>
      <c r="L123" s="60" t="str">
        <f t="shared" si="1"/>
        <v>Not in buy Zone</v>
      </c>
      <c r="M123" s="60" t="str">
        <f t="shared" si="2"/>
        <v>Not in buy Zone</v>
      </c>
      <c r="N123" s="33" t="str">
        <f t="shared" si="3"/>
        <v>No</v>
      </c>
    </row>
    <row r="124">
      <c r="A124" s="1" t="s">
        <v>152</v>
      </c>
      <c r="B124" s="1">
        <v>0.0</v>
      </c>
      <c r="C124" s="1">
        <v>0.0</v>
      </c>
      <c r="D124" s="1">
        <v>1391.33</v>
      </c>
      <c r="E124" s="1">
        <v>0.0</v>
      </c>
      <c r="F124" s="54">
        <v>44361.0</v>
      </c>
      <c r="G124" s="1">
        <v>0.0</v>
      </c>
      <c r="H124" s="1">
        <v>1560.49</v>
      </c>
      <c r="I124" s="14">
        <v>44393.0</v>
      </c>
      <c r="J124" s="1" t="s">
        <v>4308</v>
      </c>
      <c r="K124" s="15" t="s">
        <v>4431</v>
      </c>
      <c r="L124" s="60" t="str">
        <f t="shared" si="1"/>
        <v>Not in buy Zone</v>
      </c>
      <c r="M124" s="60" t="str">
        <f t="shared" si="2"/>
        <v>Not in buy Zone</v>
      </c>
      <c r="N124" s="33" t="str">
        <f t="shared" si="3"/>
        <v>No</v>
      </c>
    </row>
    <row r="125">
      <c r="A125" s="1" t="s">
        <v>153</v>
      </c>
      <c r="B125" s="1">
        <v>0.0</v>
      </c>
      <c r="C125" s="1">
        <v>0.0</v>
      </c>
      <c r="D125" s="1">
        <v>0.0</v>
      </c>
      <c r="E125" s="1">
        <v>257.67</v>
      </c>
      <c r="F125" s="54">
        <v>44328.0</v>
      </c>
      <c r="G125" s="1">
        <v>0.0</v>
      </c>
      <c r="H125" s="1">
        <v>238.62</v>
      </c>
      <c r="I125" s="14">
        <v>44393.0</v>
      </c>
      <c r="J125" s="1" t="s">
        <v>4308</v>
      </c>
      <c r="K125" s="15" t="s">
        <v>4432</v>
      </c>
      <c r="L125" s="60" t="str">
        <f t="shared" si="1"/>
        <v>Not in buy Zone</v>
      </c>
      <c r="M125" s="60" t="str">
        <f t="shared" si="2"/>
        <v>Not in buy Zone</v>
      </c>
      <c r="N125" s="33" t="str">
        <f t="shared" si="3"/>
        <v>No</v>
      </c>
    </row>
    <row r="126">
      <c r="A126" s="1" t="s">
        <v>154</v>
      </c>
      <c r="B126" s="1">
        <v>0.0</v>
      </c>
      <c r="C126" s="1">
        <v>0.0</v>
      </c>
      <c r="D126" s="1">
        <v>60.48</v>
      </c>
      <c r="E126" s="1">
        <v>0.0</v>
      </c>
      <c r="F126" s="54">
        <v>44391.0</v>
      </c>
      <c r="G126" s="1">
        <v>0.0</v>
      </c>
      <c r="H126" s="1">
        <v>62.01</v>
      </c>
      <c r="I126" s="14">
        <v>44393.0</v>
      </c>
      <c r="J126" s="1" t="s">
        <v>4308</v>
      </c>
      <c r="K126" s="15" t="s">
        <v>4433</v>
      </c>
      <c r="L126" s="60" t="str">
        <f t="shared" si="1"/>
        <v>Not in buy Zone</v>
      </c>
      <c r="M126" s="60" t="str">
        <f t="shared" si="2"/>
        <v>Not in buy Zone</v>
      </c>
      <c r="N126" s="33" t="str">
        <f t="shared" si="3"/>
        <v>No</v>
      </c>
    </row>
    <row r="127">
      <c r="A127" s="1" t="s">
        <v>155</v>
      </c>
      <c r="B127" s="1">
        <v>0.0</v>
      </c>
      <c r="C127" s="1">
        <v>0.0</v>
      </c>
      <c r="D127" s="1">
        <v>72.62</v>
      </c>
      <c r="E127" s="1">
        <v>0.0</v>
      </c>
      <c r="F127" s="54">
        <v>44363.0</v>
      </c>
      <c r="G127" s="1">
        <v>0.0</v>
      </c>
      <c r="H127" s="1">
        <v>72.66</v>
      </c>
      <c r="I127" s="14">
        <v>44393.0</v>
      </c>
      <c r="J127" s="1" t="s">
        <v>4308</v>
      </c>
      <c r="K127" s="15" t="s">
        <v>4434</v>
      </c>
      <c r="L127" s="60" t="str">
        <f t="shared" si="1"/>
        <v>Not in buy Zone</v>
      </c>
      <c r="M127" s="60" t="str">
        <f t="shared" si="2"/>
        <v>Not in buy Zone</v>
      </c>
      <c r="N127" s="33" t="str">
        <f t="shared" si="3"/>
        <v>No</v>
      </c>
    </row>
    <row r="128">
      <c r="A128" s="1" t="s">
        <v>156</v>
      </c>
      <c r="B128" s="1">
        <v>0.0</v>
      </c>
      <c r="C128" s="1">
        <v>0.0</v>
      </c>
      <c r="D128" s="1">
        <v>25.47</v>
      </c>
      <c r="E128" s="1">
        <v>0.0</v>
      </c>
      <c r="F128" s="54">
        <v>44386.0</v>
      </c>
      <c r="G128" s="1">
        <v>0.0</v>
      </c>
      <c r="H128" s="1">
        <v>25.59</v>
      </c>
      <c r="I128" s="14">
        <v>44393.0</v>
      </c>
      <c r="J128" s="1" t="s">
        <v>4308</v>
      </c>
      <c r="K128" s="15" t="s">
        <v>4435</v>
      </c>
      <c r="L128" s="60" t="str">
        <f t="shared" si="1"/>
        <v>Not in buy Zone</v>
      </c>
      <c r="M128" s="60" t="str">
        <f t="shared" si="2"/>
        <v>Not in buy Zone</v>
      </c>
      <c r="N128" s="33" t="str">
        <f t="shared" si="3"/>
        <v>No</v>
      </c>
    </row>
    <row r="129">
      <c r="A129" s="1" t="s">
        <v>157</v>
      </c>
      <c r="B129" s="1">
        <v>0.0</v>
      </c>
      <c r="C129" s="1">
        <v>0.0</v>
      </c>
      <c r="D129" s="1">
        <v>160.55</v>
      </c>
      <c r="E129" s="1">
        <v>0.0</v>
      </c>
      <c r="F129" s="54">
        <v>44386.0</v>
      </c>
      <c r="G129" s="1">
        <v>0.0</v>
      </c>
      <c r="H129" s="1">
        <v>157.52</v>
      </c>
      <c r="I129" s="14">
        <v>44393.0</v>
      </c>
      <c r="J129" s="1" t="s">
        <v>4308</v>
      </c>
      <c r="K129" s="15" t="s">
        <v>4436</v>
      </c>
      <c r="L129" s="60" t="str">
        <f t="shared" si="1"/>
        <v>Not in buy Zone</v>
      </c>
      <c r="M129" s="60" t="str">
        <f t="shared" si="2"/>
        <v>Not in buy Zone</v>
      </c>
      <c r="N129" s="33" t="str">
        <f t="shared" si="3"/>
        <v>No</v>
      </c>
    </row>
    <row r="130">
      <c r="A130" s="1" t="s">
        <v>158</v>
      </c>
      <c r="B130" s="1">
        <v>0.0</v>
      </c>
      <c r="C130" s="1">
        <v>0.0</v>
      </c>
      <c r="D130" s="1">
        <v>0.0</v>
      </c>
      <c r="E130" s="1">
        <v>16.48</v>
      </c>
      <c r="F130" s="54">
        <v>44392.0</v>
      </c>
      <c r="G130" s="1">
        <v>0.0</v>
      </c>
      <c r="H130" s="1">
        <v>16.16</v>
      </c>
      <c r="I130" s="14">
        <v>44393.0</v>
      </c>
      <c r="J130" s="1" t="s">
        <v>4308</v>
      </c>
      <c r="K130" s="15" t="s">
        <v>4437</v>
      </c>
      <c r="L130" s="60" t="str">
        <f t="shared" si="1"/>
        <v>Not in buy Zone</v>
      </c>
      <c r="M130" s="60" t="str">
        <f t="shared" si="2"/>
        <v>Not in buy Zone</v>
      </c>
      <c r="N130" s="33" t="str">
        <f t="shared" si="3"/>
        <v>No</v>
      </c>
    </row>
    <row r="131">
      <c r="A131" s="1" t="s">
        <v>159</v>
      </c>
      <c r="B131" s="1">
        <v>0.0</v>
      </c>
      <c r="C131" s="1">
        <v>0.0</v>
      </c>
      <c r="D131" s="1">
        <v>389.44</v>
      </c>
      <c r="E131" s="1">
        <v>0.0</v>
      </c>
      <c r="F131" s="54">
        <v>44368.0</v>
      </c>
      <c r="G131" s="1">
        <v>0.0</v>
      </c>
      <c r="H131" s="1">
        <v>403.89</v>
      </c>
      <c r="I131" s="14">
        <v>44393.0</v>
      </c>
      <c r="J131" s="1" t="s">
        <v>4308</v>
      </c>
      <c r="K131" s="15" t="s">
        <v>4438</v>
      </c>
      <c r="L131" s="60" t="str">
        <f t="shared" si="1"/>
        <v>Not in buy Zone</v>
      </c>
      <c r="M131" s="60" t="str">
        <f t="shared" si="2"/>
        <v>Not in buy Zone</v>
      </c>
      <c r="N131" s="33" t="str">
        <f t="shared" si="3"/>
        <v>No</v>
      </c>
    </row>
    <row r="132">
      <c r="A132" s="1" t="s">
        <v>160</v>
      </c>
      <c r="B132" s="1">
        <v>0.0</v>
      </c>
      <c r="C132" s="1">
        <v>0.0</v>
      </c>
      <c r="D132" s="1">
        <v>0.0</v>
      </c>
      <c r="E132" s="1">
        <v>59.01</v>
      </c>
      <c r="F132" s="54">
        <v>44384.0</v>
      </c>
      <c r="G132" s="1">
        <v>0.0</v>
      </c>
      <c r="H132" s="1">
        <v>55.5</v>
      </c>
      <c r="I132" s="14">
        <v>44393.0</v>
      </c>
      <c r="J132" s="1" t="s">
        <v>4308</v>
      </c>
      <c r="K132" s="15" t="s">
        <v>4439</v>
      </c>
      <c r="L132" s="60" t="str">
        <f t="shared" si="1"/>
        <v>Not in buy Zone</v>
      </c>
      <c r="M132" s="60" t="str">
        <f t="shared" si="2"/>
        <v>Not in buy Zone</v>
      </c>
      <c r="N132" s="33" t="str">
        <f t="shared" si="3"/>
        <v>No</v>
      </c>
    </row>
    <row r="133">
      <c r="A133" s="1" t="s">
        <v>161</v>
      </c>
      <c r="B133" s="1">
        <v>0.0</v>
      </c>
      <c r="C133" s="1">
        <v>0.0</v>
      </c>
      <c r="D133" s="1">
        <v>385.38</v>
      </c>
      <c r="E133" s="1">
        <v>0.0</v>
      </c>
      <c r="F133" s="54">
        <v>44341.0</v>
      </c>
      <c r="G133" s="1">
        <v>0.0</v>
      </c>
      <c r="H133" s="1">
        <v>410.37</v>
      </c>
      <c r="I133" s="14">
        <v>44393.0</v>
      </c>
      <c r="J133" s="1" t="s">
        <v>4308</v>
      </c>
      <c r="K133" s="15" t="s">
        <v>4440</v>
      </c>
      <c r="L133" s="60" t="str">
        <f t="shared" si="1"/>
        <v>Not in buy Zone</v>
      </c>
      <c r="M133" s="60" t="str">
        <f t="shared" si="2"/>
        <v>Not in buy Zone</v>
      </c>
      <c r="N133" s="33" t="str">
        <f t="shared" si="3"/>
        <v>No</v>
      </c>
    </row>
    <row r="134">
      <c r="A134" s="1" t="s">
        <v>162</v>
      </c>
      <c r="B134" s="1">
        <v>0.0</v>
      </c>
      <c r="C134" s="1">
        <v>0.0</v>
      </c>
      <c r="D134" s="1">
        <v>0.0</v>
      </c>
      <c r="E134" s="1">
        <v>47.82</v>
      </c>
      <c r="F134" s="54">
        <v>44343.0</v>
      </c>
      <c r="G134" s="1">
        <v>0.0</v>
      </c>
      <c r="H134" s="1">
        <v>45.53</v>
      </c>
      <c r="I134" s="14">
        <v>44393.0</v>
      </c>
      <c r="J134" s="1" t="s">
        <v>4308</v>
      </c>
      <c r="K134" s="15" t="s">
        <v>4441</v>
      </c>
      <c r="L134" s="60" t="str">
        <f t="shared" si="1"/>
        <v>Not in buy Zone</v>
      </c>
      <c r="M134" s="60" t="str">
        <f t="shared" si="2"/>
        <v>Not in buy Zone</v>
      </c>
      <c r="N134" s="33" t="str">
        <f t="shared" si="3"/>
        <v>No</v>
      </c>
    </row>
    <row r="135">
      <c r="A135" s="1" t="s">
        <v>163</v>
      </c>
      <c r="B135" s="1">
        <v>0.0</v>
      </c>
      <c r="C135" s="1">
        <v>0.0</v>
      </c>
      <c r="D135" s="1">
        <v>128.07</v>
      </c>
      <c r="E135" s="1">
        <v>0.0</v>
      </c>
      <c r="F135" s="54">
        <v>44364.0</v>
      </c>
      <c r="G135" s="1">
        <v>0.0</v>
      </c>
      <c r="H135" s="1">
        <v>140.14</v>
      </c>
      <c r="I135" s="14">
        <v>44393.0</v>
      </c>
      <c r="J135" s="1" t="s">
        <v>4308</v>
      </c>
      <c r="K135" s="15" t="s">
        <v>4442</v>
      </c>
      <c r="L135" s="60" t="str">
        <f t="shared" si="1"/>
        <v>Not in buy Zone</v>
      </c>
      <c r="M135" s="60" t="str">
        <f t="shared" si="2"/>
        <v>Not in buy Zone</v>
      </c>
      <c r="N135" s="33" t="str">
        <f t="shared" si="3"/>
        <v>No</v>
      </c>
    </row>
    <row r="136">
      <c r="A136" s="1" t="s">
        <v>164</v>
      </c>
      <c r="B136" s="1">
        <v>0.0</v>
      </c>
      <c r="C136" s="1">
        <v>0.0</v>
      </c>
      <c r="D136" s="1">
        <v>337.99</v>
      </c>
      <c r="E136" s="1">
        <v>0.0</v>
      </c>
      <c r="F136" s="54">
        <v>44344.0</v>
      </c>
      <c r="G136" s="1">
        <v>0.0</v>
      </c>
      <c r="H136" s="1">
        <v>384.49</v>
      </c>
      <c r="I136" s="14">
        <v>44393.0</v>
      </c>
      <c r="J136" s="1" t="s">
        <v>4308</v>
      </c>
      <c r="K136" s="15" t="s">
        <v>4443</v>
      </c>
      <c r="L136" s="60" t="str">
        <f t="shared" si="1"/>
        <v>Not in buy Zone</v>
      </c>
      <c r="M136" s="60" t="str">
        <f t="shared" si="2"/>
        <v>Not in buy Zone</v>
      </c>
      <c r="N136" s="33" t="str">
        <f t="shared" si="3"/>
        <v>No</v>
      </c>
    </row>
    <row r="137">
      <c r="A137" s="1" t="s">
        <v>165</v>
      </c>
      <c r="B137" s="1">
        <v>0.0</v>
      </c>
      <c r="C137" s="1">
        <v>0.0</v>
      </c>
      <c r="D137" s="1">
        <v>0.0</v>
      </c>
      <c r="E137" s="1">
        <v>237.58</v>
      </c>
      <c r="F137" s="54">
        <v>44392.0</v>
      </c>
      <c r="G137" s="1">
        <v>0.0</v>
      </c>
      <c r="H137" s="1">
        <v>238.43</v>
      </c>
      <c r="I137" s="14">
        <v>44393.0</v>
      </c>
      <c r="J137" s="1" t="s">
        <v>4308</v>
      </c>
      <c r="K137" s="15" t="s">
        <v>4444</v>
      </c>
      <c r="L137" s="60" t="str">
        <f t="shared" si="1"/>
        <v>Not in buy Zone</v>
      </c>
      <c r="M137" s="60" t="str">
        <f t="shared" si="2"/>
        <v>Not in buy Zone</v>
      </c>
      <c r="N137" s="33" t="str">
        <f t="shared" si="3"/>
        <v>No</v>
      </c>
    </row>
    <row r="138">
      <c r="A138" s="1" t="s">
        <v>166</v>
      </c>
      <c r="B138" s="1">
        <v>0.0</v>
      </c>
      <c r="C138" s="1">
        <v>0.0</v>
      </c>
      <c r="D138" s="1">
        <v>0.0</v>
      </c>
      <c r="E138" s="1">
        <v>33.36</v>
      </c>
      <c r="F138" s="54">
        <v>44363.0</v>
      </c>
      <c r="G138" s="1">
        <v>0.0</v>
      </c>
      <c r="H138" s="1">
        <v>29.33</v>
      </c>
      <c r="I138" s="14">
        <v>44393.0</v>
      </c>
      <c r="J138" s="1" t="s">
        <v>4308</v>
      </c>
      <c r="K138" s="15" t="s">
        <v>4445</v>
      </c>
      <c r="L138" s="60" t="str">
        <f t="shared" si="1"/>
        <v>Not in buy Zone</v>
      </c>
      <c r="M138" s="60" t="str">
        <f t="shared" si="2"/>
        <v>Not in buy Zone</v>
      </c>
      <c r="N138" s="33" t="str">
        <f t="shared" si="3"/>
        <v>No</v>
      </c>
    </row>
    <row r="139">
      <c r="A139" s="1" t="s">
        <v>167</v>
      </c>
      <c r="B139" s="1">
        <v>0.0</v>
      </c>
      <c r="C139" s="1">
        <v>0.0</v>
      </c>
      <c r="D139" s="1">
        <v>210.6</v>
      </c>
      <c r="E139" s="1">
        <v>0.0</v>
      </c>
      <c r="F139" s="54">
        <v>44337.0</v>
      </c>
      <c r="G139" s="1">
        <v>0.0</v>
      </c>
      <c r="H139" s="1">
        <v>249.96</v>
      </c>
      <c r="I139" s="14">
        <v>44393.0</v>
      </c>
      <c r="J139" s="1" t="s">
        <v>4308</v>
      </c>
      <c r="K139" s="15" t="s">
        <v>4446</v>
      </c>
      <c r="L139" s="60" t="str">
        <f t="shared" si="1"/>
        <v>Not in buy Zone</v>
      </c>
      <c r="M139" s="60" t="str">
        <f t="shared" si="2"/>
        <v>Not in buy Zone</v>
      </c>
      <c r="N139" s="33" t="str">
        <f t="shared" si="3"/>
        <v>No</v>
      </c>
    </row>
    <row r="140">
      <c r="A140" s="1" t="s">
        <v>168</v>
      </c>
      <c r="B140" s="1">
        <v>0.0</v>
      </c>
      <c r="C140" s="1">
        <v>0.0</v>
      </c>
      <c r="D140" s="1">
        <v>54.09</v>
      </c>
      <c r="E140" s="1">
        <v>0.0</v>
      </c>
      <c r="F140" s="54">
        <v>44391.0</v>
      </c>
      <c r="G140" s="1">
        <v>0.0</v>
      </c>
      <c r="H140" s="1">
        <v>53.7</v>
      </c>
      <c r="I140" s="14">
        <v>44393.0</v>
      </c>
      <c r="J140" s="1" t="s">
        <v>4308</v>
      </c>
      <c r="K140" s="15" t="s">
        <v>4447</v>
      </c>
      <c r="L140" s="60" t="str">
        <f t="shared" si="1"/>
        <v>Not in buy Zone</v>
      </c>
      <c r="M140" s="60" t="str">
        <f t="shared" si="2"/>
        <v>Not in buy Zone</v>
      </c>
      <c r="N140" s="33" t="str">
        <f t="shared" si="3"/>
        <v>No</v>
      </c>
    </row>
    <row r="141">
      <c r="A141" s="1" t="s">
        <v>169</v>
      </c>
      <c r="B141" s="1">
        <v>0.0</v>
      </c>
      <c r="C141" s="1">
        <v>0.0</v>
      </c>
      <c r="D141" s="1">
        <v>87.33</v>
      </c>
      <c r="E141" s="1">
        <v>0.0</v>
      </c>
      <c r="F141" s="54">
        <v>44392.0</v>
      </c>
      <c r="G141" s="1">
        <v>0.0</v>
      </c>
      <c r="H141" s="1">
        <v>87.35</v>
      </c>
      <c r="I141" s="14">
        <v>44393.0</v>
      </c>
      <c r="J141" s="1" t="s">
        <v>4308</v>
      </c>
      <c r="K141" s="15" t="s">
        <v>4448</v>
      </c>
      <c r="L141" s="60" t="str">
        <f t="shared" si="1"/>
        <v>Not in buy Zone</v>
      </c>
      <c r="M141" s="60" t="str">
        <f t="shared" si="2"/>
        <v>Not in buy Zone</v>
      </c>
      <c r="N141" s="33" t="str">
        <f t="shared" si="3"/>
        <v>No</v>
      </c>
    </row>
    <row r="142">
      <c r="A142" s="1" t="s">
        <v>170</v>
      </c>
      <c r="B142" s="1">
        <v>0.0</v>
      </c>
      <c r="C142" s="1">
        <v>0.0</v>
      </c>
      <c r="D142" s="1">
        <v>0.0</v>
      </c>
      <c r="E142" s="1">
        <v>30.95</v>
      </c>
      <c r="F142" s="54">
        <v>44385.0</v>
      </c>
      <c r="G142" s="1">
        <v>0.0</v>
      </c>
      <c r="H142" s="1">
        <v>31.51</v>
      </c>
      <c r="I142" s="14">
        <v>44393.0</v>
      </c>
      <c r="J142" s="1" t="s">
        <v>4308</v>
      </c>
      <c r="K142" s="15" t="s">
        <v>4449</v>
      </c>
      <c r="L142" s="60" t="str">
        <f t="shared" si="1"/>
        <v>Not in buy Zone</v>
      </c>
      <c r="M142" s="60" t="str">
        <f t="shared" si="2"/>
        <v>Not in buy Zone</v>
      </c>
      <c r="N142" s="33" t="str">
        <f t="shared" si="3"/>
        <v>No</v>
      </c>
    </row>
    <row r="143">
      <c r="A143" s="1" t="s">
        <v>171</v>
      </c>
      <c r="B143" s="1">
        <v>386.22</v>
      </c>
      <c r="C143" s="1">
        <v>0.0</v>
      </c>
      <c r="D143" s="1">
        <v>0.0</v>
      </c>
      <c r="E143" s="1">
        <v>0.0</v>
      </c>
      <c r="F143" s="54">
        <v>44393.0</v>
      </c>
      <c r="G143" s="1">
        <v>1.0</v>
      </c>
      <c r="H143" s="1">
        <v>386.22</v>
      </c>
      <c r="I143" s="14">
        <v>44393.0</v>
      </c>
      <c r="J143" s="1" t="s">
        <v>4308</v>
      </c>
      <c r="K143" s="15" t="s">
        <v>4450</v>
      </c>
      <c r="L143" s="60">
        <f t="shared" si="1"/>
        <v>388.1511</v>
      </c>
      <c r="M143" s="60">
        <f t="shared" si="2"/>
        <v>384.2889</v>
      </c>
      <c r="N143" s="33" t="str">
        <f t="shared" si="3"/>
        <v>Yes</v>
      </c>
    </row>
    <row r="144">
      <c r="A144" s="1" t="s">
        <v>172</v>
      </c>
      <c r="B144" s="1">
        <v>0.0</v>
      </c>
      <c r="C144" s="1">
        <v>0.0</v>
      </c>
      <c r="D144" s="1">
        <v>0.0</v>
      </c>
      <c r="E144" s="1">
        <v>109.7</v>
      </c>
      <c r="F144" s="54">
        <v>44392.0</v>
      </c>
      <c r="G144" s="1">
        <v>0.0</v>
      </c>
      <c r="H144" s="1">
        <v>109.17</v>
      </c>
      <c r="I144" s="14">
        <v>44393.0</v>
      </c>
      <c r="J144" s="1" t="s">
        <v>4308</v>
      </c>
      <c r="K144" s="15" t="s">
        <v>4451</v>
      </c>
      <c r="L144" s="60" t="str">
        <f t="shared" si="1"/>
        <v>Not in buy Zone</v>
      </c>
      <c r="M144" s="60" t="str">
        <f t="shared" si="2"/>
        <v>Not in buy Zone</v>
      </c>
      <c r="N144" s="33" t="str">
        <f t="shared" si="3"/>
        <v>No</v>
      </c>
    </row>
    <row r="145">
      <c r="A145" s="1" t="s">
        <v>173</v>
      </c>
      <c r="B145" s="1">
        <v>0.0</v>
      </c>
      <c r="C145" s="1">
        <v>0.0</v>
      </c>
      <c r="D145" s="1">
        <v>0.0</v>
      </c>
      <c r="E145" s="1">
        <v>75.12</v>
      </c>
      <c r="F145" s="54">
        <v>44322.0</v>
      </c>
      <c r="G145" s="1">
        <v>0.0</v>
      </c>
      <c r="H145" s="1">
        <v>68.24</v>
      </c>
      <c r="I145" s="14">
        <v>44393.0</v>
      </c>
      <c r="J145" s="1" t="s">
        <v>4308</v>
      </c>
      <c r="K145" s="15" t="s">
        <v>4452</v>
      </c>
      <c r="L145" s="60" t="str">
        <f t="shared" si="1"/>
        <v>Not in buy Zone</v>
      </c>
      <c r="M145" s="60" t="str">
        <f t="shared" si="2"/>
        <v>Not in buy Zone</v>
      </c>
      <c r="N145" s="33" t="str">
        <f t="shared" si="3"/>
        <v>No</v>
      </c>
    </row>
    <row r="146">
      <c r="A146" s="1" t="s">
        <v>174</v>
      </c>
      <c r="B146" s="1">
        <v>0.0</v>
      </c>
      <c r="C146" s="1">
        <v>0.0</v>
      </c>
      <c r="D146" s="1">
        <v>0.0</v>
      </c>
      <c r="E146" s="1">
        <v>46.99</v>
      </c>
      <c r="F146" s="54">
        <v>44326.0</v>
      </c>
      <c r="G146" s="1">
        <v>0.0</v>
      </c>
      <c r="H146" s="1">
        <v>41.81</v>
      </c>
      <c r="I146" s="14">
        <v>44393.0</v>
      </c>
      <c r="J146" s="1" t="s">
        <v>4308</v>
      </c>
      <c r="K146" s="15" t="s">
        <v>4453</v>
      </c>
      <c r="L146" s="60" t="str">
        <f t="shared" si="1"/>
        <v>Not in buy Zone</v>
      </c>
      <c r="M146" s="60" t="str">
        <f t="shared" si="2"/>
        <v>Not in buy Zone</v>
      </c>
      <c r="N146" s="33" t="str">
        <f t="shared" si="3"/>
        <v>No</v>
      </c>
    </row>
    <row r="147">
      <c r="A147" s="1" t="s">
        <v>175</v>
      </c>
      <c r="B147" s="1">
        <v>0.0</v>
      </c>
      <c r="C147" s="1">
        <v>0.0</v>
      </c>
      <c r="D147" s="1">
        <v>0.0</v>
      </c>
      <c r="E147" s="1">
        <v>113.58</v>
      </c>
      <c r="F147" s="54">
        <v>44390.0</v>
      </c>
      <c r="G147" s="1">
        <v>0.0</v>
      </c>
      <c r="H147" s="1">
        <v>116.24</v>
      </c>
      <c r="I147" s="14">
        <v>44393.0</v>
      </c>
      <c r="J147" s="1" t="s">
        <v>4308</v>
      </c>
      <c r="K147" s="15" t="s">
        <v>4454</v>
      </c>
      <c r="L147" s="60" t="str">
        <f t="shared" si="1"/>
        <v>Not in buy Zone</v>
      </c>
      <c r="M147" s="60" t="str">
        <f t="shared" si="2"/>
        <v>Not in buy Zone</v>
      </c>
      <c r="N147" s="33" t="str">
        <f t="shared" si="3"/>
        <v>No</v>
      </c>
    </row>
    <row r="148">
      <c r="A148" s="1" t="s">
        <v>176</v>
      </c>
      <c r="B148" s="1">
        <v>0.0</v>
      </c>
      <c r="C148" s="1">
        <v>0.0</v>
      </c>
      <c r="D148" s="1">
        <v>0.0</v>
      </c>
      <c r="E148" s="1">
        <v>86.42</v>
      </c>
      <c r="F148" s="54">
        <v>44343.0</v>
      </c>
      <c r="G148" s="1">
        <v>0.0</v>
      </c>
      <c r="H148" s="1">
        <v>81.72</v>
      </c>
      <c r="I148" s="14">
        <v>44393.0</v>
      </c>
      <c r="J148" s="1" t="s">
        <v>4308</v>
      </c>
      <c r="K148" s="15" t="s">
        <v>4455</v>
      </c>
      <c r="L148" s="60" t="str">
        <f t="shared" si="1"/>
        <v>Not in buy Zone</v>
      </c>
      <c r="M148" s="60" t="str">
        <f t="shared" si="2"/>
        <v>Not in buy Zone</v>
      </c>
      <c r="N148" s="33" t="str">
        <f t="shared" si="3"/>
        <v>No</v>
      </c>
    </row>
    <row r="149">
      <c r="A149" s="1" t="s">
        <v>177</v>
      </c>
      <c r="B149" s="1">
        <v>0.0</v>
      </c>
      <c r="C149" s="1">
        <v>0.0</v>
      </c>
      <c r="D149" s="1">
        <v>0.0</v>
      </c>
      <c r="E149" s="1">
        <v>103.03</v>
      </c>
      <c r="F149" s="54">
        <v>44365.0</v>
      </c>
      <c r="G149" s="1">
        <v>0.0</v>
      </c>
      <c r="H149" s="1">
        <v>98.62</v>
      </c>
      <c r="I149" s="14">
        <v>44393.0</v>
      </c>
      <c r="J149" s="1" t="s">
        <v>4308</v>
      </c>
      <c r="K149" s="15" t="s">
        <v>4456</v>
      </c>
      <c r="L149" s="60" t="str">
        <f t="shared" si="1"/>
        <v>Not in buy Zone</v>
      </c>
      <c r="M149" s="60" t="str">
        <f t="shared" si="2"/>
        <v>Not in buy Zone</v>
      </c>
      <c r="N149" s="33" t="str">
        <f t="shared" si="3"/>
        <v>No</v>
      </c>
    </row>
    <row r="150">
      <c r="A150" s="1" t="s">
        <v>178</v>
      </c>
      <c r="B150" s="1">
        <v>0.0</v>
      </c>
      <c r="C150" s="1">
        <v>0.0</v>
      </c>
      <c r="D150" s="1">
        <v>0.0</v>
      </c>
      <c r="E150" s="1">
        <v>103.83</v>
      </c>
      <c r="F150" s="54">
        <v>44364.0</v>
      </c>
      <c r="G150" s="1">
        <v>0.0</v>
      </c>
      <c r="H150" s="1">
        <v>89.9</v>
      </c>
      <c r="I150" s="14">
        <v>44393.0</v>
      </c>
      <c r="J150" s="1" t="s">
        <v>4308</v>
      </c>
      <c r="K150" s="15" t="s">
        <v>4457</v>
      </c>
      <c r="L150" s="60" t="str">
        <f t="shared" si="1"/>
        <v>Not in buy Zone</v>
      </c>
      <c r="M150" s="60" t="str">
        <f t="shared" si="2"/>
        <v>Not in buy Zone</v>
      </c>
      <c r="N150" s="33" t="str">
        <f t="shared" si="3"/>
        <v>No</v>
      </c>
    </row>
    <row r="151">
      <c r="A151" s="1" t="s">
        <v>179</v>
      </c>
      <c r="B151" s="1">
        <v>0.0</v>
      </c>
      <c r="C151" s="1">
        <v>0.0</v>
      </c>
      <c r="D151" s="1">
        <v>75.95</v>
      </c>
      <c r="E151" s="1">
        <v>0.0</v>
      </c>
      <c r="F151" s="54">
        <v>44385.0</v>
      </c>
      <c r="G151" s="1">
        <v>0.0</v>
      </c>
      <c r="H151" s="1">
        <v>77.16</v>
      </c>
      <c r="I151" s="14">
        <v>44393.0</v>
      </c>
      <c r="J151" s="1" t="s">
        <v>4308</v>
      </c>
      <c r="K151" s="15" t="s">
        <v>4458</v>
      </c>
      <c r="L151" s="60" t="str">
        <f t="shared" si="1"/>
        <v>Not in buy Zone</v>
      </c>
      <c r="M151" s="60" t="str">
        <f t="shared" si="2"/>
        <v>Not in buy Zone</v>
      </c>
      <c r="N151" s="33" t="str">
        <f t="shared" si="3"/>
        <v>No</v>
      </c>
    </row>
    <row r="152">
      <c r="A152" s="1" t="s">
        <v>180</v>
      </c>
      <c r="B152" s="1">
        <v>0.0</v>
      </c>
      <c r="C152" s="1">
        <v>0.0</v>
      </c>
      <c r="D152" s="1">
        <v>0.0</v>
      </c>
      <c r="E152" s="1">
        <v>44.57</v>
      </c>
      <c r="F152" s="54">
        <v>44364.0</v>
      </c>
      <c r="G152" s="1">
        <v>0.0</v>
      </c>
      <c r="H152" s="1">
        <v>40.06</v>
      </c>
      <c r="I152" s="14">
        <v>44393.0</v>
      </c>
      <c r="J152" s="1" t="s">
        <v>4308</v>
      </c>
      <c r="K152" s="15" t="s">
        <v>4459</v>
      </c>
      <c r="L152" s="60" t="str">
        <f t="shared" si="1"/>
        <v>Not in buy Zone</v>
      </c>
      <c r="M152" s="60" t="str">
        <f t="shared" si="2"/>
        <v>Not in buy Zone</v>
      </c>
      <c r="N152" s="33" t="str">
        <f t="shared" si="3"/>
        <v>No</v>
      </c>
    </row>
    <row r="153">
      <c r="A153" s="1" t="s">
        <v>181</v>
      </c>
      <c r="B153" s="1">
        <v>0.0</v>
      </c>
      <c r="C153" s="1">
        <v>0.0</v>
      </c>
      <c r="D153" s="1">
        <v>0.0</v>
      </c>
      <c r="E153" s="1">
        <v>67.59</v>
      </c>
      <c r="F153" s="54">
        <v>44363.0</v>
      </c>
      <c r="G153" s="1">
        <v>0.0</v>
      </c>
      <c r="H153" s="1">
        <v>65.58</v>
      </c>
      <c r="I153" s="14">
        <v>44393.0</v>
      </c>
      <c r="J153" s="1" t="s">
        <v>4308</v>
      </c>
      <c r="K153" s="15" t="s">
        <v>4460</v>
      </c>
      <c r="L153" s="60" t="str">
        <f t="shared" si="1"/>
        <v>Not in buy Zone</v>
      </c>
      <c r="M153" s="60" t="str">
        <f t="shared" si="2"/>
        <v>Not in buy Zone</v>
      </c>
      <c r="N153" s="33" t="str">
        <f t="shared" si="3"/>
        <v>No</v>
      </c>
    </row>
    <row r="154">
      <c r="A154" s="1" t="s">
        <v>182</v>
      </c>
      <c r="B154" s="1">
        <v>0.0</v>
      </c>
      <c r="C154" s="1">
        <v>0.0</v>
      </c>
      <c r="D154" s="1">
        <v>26.1</v>
      </c>
      <c r="E154" s="1">
        <v>0.0</v>
      </c>
      <c r="F154" s="54">
        <v>44333.0</v>
      </c>
      <c r="G154" s="1">
        <v>0.0</v>
      </c>
      <c r="H154" s="1">
        <v>30.15</v>
      </c>
      <c r="I154" s="14">
        <v>44393.0</v>
      </c>
      <c r="J154" s="1" t="s">
        <v>4308</v>
      </c>
      <c r="K154" s="15" t="s">
        <v>4461</v>
      </c>
      <c r="L154" s="60" t="str">
        <f t="shared" si="1"/>
        <v>Not in buy Zone</v>
      </c>
      <c r="M154" s="60" t="str">
        <f t="shared" si="2"/>
        <v>Not in buy Zone</v>
      </c>
      <c r="N154" s="33" t="str">
        <f t="shared" si="3"/>
        <v>No</v>
      </c>
    </row>
    <row r="155">
      <c r="A155" s="1" t="s">
        <v>183</v>
      </c>
      <c r="B155" s="1">
        <v>0.0</v>
      </c>
      <c r="C155" s="1">
        <v>0.0</v>
      </c>
      <c r="D155" s="1">
        <v>0.0</v>
      </c>
      <c r="E155" s="1">
        <v>81.55</v>
      </c>
      <c r="F155" s="54">
        <v>44361.0</v>
      </c>
      <c r="G155" s="1">
        <v>0.0</v>
      </c>
      <c r="H155" s="1">
        <v>76.21</v>
      </c>
      <c r="I155" s="14">
        <v>44393.0</v>
      </c>
      <c r="J155" s="1" t="s">
        <v>4308</v>
      </c>
      <c r="K155" s="15" t="s">
        <v>4462</v>
      </c>
      <c r="L155" s="60" t="str">
        <f t="shared" si="1"/>
        <v>Not in buy Zone</v>
      </c>
      <c r="M155" s="60" t="str">
        <f t="shared" si="2"/>
        <v>Not in buy Zone</v>
      </c>
      <c r="N155" s="33" t="str">
        <f t="shared" si="3"/>
        <v>No</v>
      </c>
    </row>
    <row r="156">
      <c r="A156" s="1" t="s">
        <v>184</v>
      </c>
      <c r="B156" s="1">
        <v>0.0</v>
      </c>
      <c r="C156" s="1">
        <v>0.0</v>
      </c>
      <c r="D156" s="1">
        <v>0.0</v>
      </c>
      <c r="E156" s="1">
        <v>34.05</v>
      </c>
      <c r="F156" s="54">
        <v>44384.0</v>
      </c>
      <c r="G156" s="1">
        <v>0.0</v>
      </c>
      <c r="H156" s="1">
        <v>25.3</v>
      </c>
      <c r="I156" s="14">
        <v>44393.0</v>
      </c>
      <c r="J156" s="1" t="s">
        <v>4308</v>
      </c>
      <c r="K156" s="15" t="s">
        <v>4463</v>
      </c>
      <c r="L156" s="60" t="str">
        <f t="shared" si="1"/>
        <v>Not in buy Zone</v>
      </c>
      <c r="M156" s="60" t="str">
        <f t="shared" si="2"/>
        <v>Not in buy Zone</v>
      </c>
      <c r="N156" s="33" t="str">
        <f t="shared" si="3"/>
        <v>No</v>
      </c>
    </row>
    <row r="157">
      <c r="A157" s="1" t="s">
        <v>185</v>
      </c>
      <c r="B157" s="1">
        <v>0.0</v>
      </c>
      <c r="C157" s="1">
        <v>0.0</v>
      </c>
      <c r="D157" s="1">
        <v>82.51</v>
      </c>
      <c r="E157" s="1">
        <v>0.0</v>
      </c>
      <c r="F157" s="54">
        <v>44330.0</v>
      </c>
      <c r="G157" s="1">
        <v>0.0</v>
      </c>
      <c r="H157" s="1">
        <v>104.64</v>
      </c>
      <c r="I157" s="14">
        <v>44393.0</v>
      </c>
      <c r="J157" s="1" t="s">
        <v>4308</v>
      </c>
      <c r="K157" s="15" t="s">
        <v>4464</v>
      </c>
      <c r="L157" s="60" t="str">
        <f t="shared" si="1"/>
        <v>Not in buy Zone</v>
      </c>
      <c r="M157" s="60" t="str">
        <f t="shared" si="2"/>
        <v>Not in buy Zone</v>
      </c>
      <c r="N157" s="33" t="str">
        <f t="shared" si="3"/>
        <v>No</v>
      </c>
    </row>
    <row r="158">
      <c r="A158" s="1" t="s">
        <v>186</v>
      </c>
      <c r="B158" s="1">
        <v>0.0</v>
      </c>
      <c r="C158" s="1">
        <v>0.0</v>
      </c>
      <c r="D158" s="1">
        <v>347.75</v>
      </c>
      <c r="E158" s="1">
        <v>0.0</v>
      </c>
      <c r="F158" s="54">
        <v>44370.0</v>
      </c>
      <c r="G158" s="1">
        <v>0.0</v>
      </c>
      <c r="H158" s="1">
        <v>342.49</v>
      </c>
      <c r="I158" s="14">
        <v>44393.0</v>
      </c>
      <c r="J158" s="1" t="s">
        <v>4308</v>
      </c>
      <c r="K158" s="15" t="s">
        <v>4465</v>
      </c>
      <c r="L158" s="60" t="str">
        <f t="shared" si="1"/>
        <v>Not in buy Zone</v>
      </c>
      <c r="M158" s="60" t="str">
        <f t="shared" si="2"/>
        <v>Not in buy Zone</v>
      </c>
      <c r="N158" s="33" t="str">
        <f t="shared" si="3"/>
        <v>No</v>
      </c>
    </row>
    <row r="159">
      <c r="A159" s="1" t="s">
        <v>187</v>
      </c>
      <c r="B159" s="1">
        <v>0.0</v>
      </c>
      <c r="C159" s="1">
        <v>0.0</v>
      </c>
      <c r="D159" s="1">
        <v>0.0</v>
      </c>
      <c r="E159" s="1">
        <v>97.13</v>
      </c>
      <c r="F159" s="54">
        <v>44389.0</v>
      </c>
      <c r="G159" s="1">
        <v>0.0</v>
      </c>
      <c r="H159" s="1">
        <v>92.29</v>
      </c>
      <c r="I159" s="14">
        <v>44393.0</v>
      </c>
      <c r="J159" s="1" t="s">
        <v>4308</v>
      </c>
      <c r="K159" s="15" t="s">
        <v>4466</v>
      </c>
      <c r="L159" s="60" t="str">
        <f t="shared" si="1"/>
        <v>Not in buy Zone</v>
      </c>
      <c r="M159" s="60" t="str">
        <f t="shared" si="2"/>
        <v>Not in buy Zone</v>
      </c>
      <c r="N159" s="33" t="str">
        <f t="shared" si="3"/>
        <v>No</v>
      </c>
    </row>
    <row r="160">
      <c r="A160" s="1" t="s">
        <v>188</v>
      </c>
      <c r="B160" s="1">
        <v>0.0</v>
      </c>
      <c r="C160" s="1">
        <v>0.0</v>
      </c>
      <c r="D160" s="1">
        <v>122.4</v>
      </c>
      <c r="E160" s="1">
        <v>0.0</v>
      </c>
      <c r="F160" s="54">
        <v>44386.0</v>
      </c>
      <c r="G160" s="1">
        <v>0.0</v>
      </c>
      <c r="H160" s="1">
        <v>120.43</v>
      </c>
      <c r="I160" s="14">
        <v>44393.0</v>
      </c>
      <c r="J160" s="1" t="s">
        <v>4308</v>
      </c>
      <c r="K160" s="15" t="s">
        <v>4467</v>
      </c>
      <c r="L160" s="60" t="str">
        <f t="shared" si="1"/>
        <v>Not in buy Zone</v>
      </c>
      <c r="M160" s="60" t="str">
        <f t="shared" si="2"/>
        <v>Not in buy Zone</v>
      </c>
      <c r="N160" s="33" t="str">
        <f t="shared" si="3"/>
        <v>No</v>
      </c>
    </row>
    <row r="161">
      <c r="A161" s="1" t="s">
        <v>189</v>
      </c>
      <c r="B161" s="1">
        <v>0.0</v>
      </c>
      <c r="C161" s="1">
        <v>0.0</v>
      </c>
      <c r="D161" s="1">
        <v>206.76</v>
      </c>
      <c r="E161" s="1">
        <v>0.0</v>
      </c>
      <c r="F161" s="54">
        <v>44351.0</v>
      </c>
      <c r="G161" s="1">
        <v>0.0</v>
      </c>
      <c r="H161" s="1">
        <v>222.17</v>
      </c>
      <c r="I161" s="14">
        <v>44393.0</v>
      </c>
      <c r="J161" s="1" t="s">
        <v>4308</v>
      </c>
      <c r="K161" s="15" t="s">
        <v>4468</v>
      </c>
      <c r="L161" s="60" t="str">
        <f t="shared" si="1"/>
        <v>Not in buy Zone</v>
      </c>
      <c r="M161" s="60" t="str">
        <f t="shared" si="2"/>
        <v>Not in buy Zone</v>
      </c>
      <c r="N161" s="33" t="str">
        <f t="shared" si="3"/>
        <v>No</v>
      </c>
    </row>
    <row r="162">
      <c r="A162" s="1" t="s">
        <v>190</v>
      </c>
      <c r="B162" s="1">
        <v>0.0</v>
      </c>
      <c r="C162" s="1">
        <v>0.0</v>
      </c>
      <c r="D162" s="1">
        <v>131.66</v>
      </c>
      <c r="E162" s="1">
        <v>0.0</v>
      </c>
      <c r="F162" s="54">
        <v>44375.0</v>
      </c>
      <c r="G162" s="1">
        <v>0.0</v>
      </c>
      <c r="H162" s="1">
        <v>134.52</v>
      </c>
      <c r="I162" s="14">
        <v>44393.0</v>
      </c>
      <c r="J162" s="1" t="s">
        <v>4308</v>
      </c>
      <c r="K162" s="15" t="s">
        <v>4469</v>
      </c>
      <c r="L162" s="60" t="str">
        <f t="shared" si="1"/>
        <v>Not in buy Zone</v>
      </c>
      <c r="M162" s="60" t="str">
        <f t="shared" si="2"/>
        <v>Not in buy Zone</v>
      </c>
      <c r="N162" s="33" t="str">
        <f t="shared" si="3"/>
        <v>No</v>
      </c>
    </row>
    <row r="163">
      <c r="A163" s="1" t="s">
        <v>191</v>
      </c>
      <c r="B163" s="1">
        <v>0.0</v>
      </c>
      <c r="C163" s="1">
        <v>0.0</v>
      </c>
      <c r="D163" s="1">
        <v>0.0</v>
      </c>
      <c r="E163" s="1">
        <v>86.51</v>
      </c>
      <c r="F163" s="54">
        <v>44390.0</v>
      </c>
      <c r="G163" s="1">
        <v>0.0</v>
      </c>
      <c r="H163" s="1">
        <v>86.3</v>
      </c>
      <c r="I163" s="14">
        <v>44393.0</v>
      </c>
      <c r="J163" s="1" t="s">
        <v>4308</v>
      </c>
      <c r="K163" s="15" t="s">
        <v>4470</v>
      </c>
      <c r="L163" s="60" t="str">
        <f t="shared" si="1"/>
        <v>Not in buy Zone</v>
      </c>
      <c r="M163" s="60" t="str">
        <f t="shared" si="2"/>
        <v>Not in buy Zone</v>
      </c>
      <c r="N163" s="33" t="str">
        <f t="shared" si="3"/>
        <v>No</v>
      </c>
    </row>
    <row r="164">
      <c r="A164" s="1" t="s">
        <v>192</v>
      </c>
      <c r="B164" s="1">
        <v>0.0</v>
      </c>
      <c r="C164" s="1">
        <v>0.0</v>
      </c>
      <c r="D164" s="1">
        <v>257.08</v>
      </c>
      <c r="E164" s="1">
        <v>0.0</v>
      </c>
      <c r="F164" s="54">
        <v>44364.0</v>
      </c>
      <c r="G164" s="1">
        <v>0.0</v>
      </c>
      <c r="H164" s="1">
        <v>284.79</v>
      </c>
      <c r="I164" s="14">
        <v>44393.0</v>
      </c>
      <c r="J164" s="1" t="s">
        <v>4308</v>
      </c>
      <c r="K164" s="15" t="s">
        <v>4471</v>
      </c>
      <c r="L164" s="60" t="str">
        <f t="shared" si="1"/>
        <v>Not in buy Zone</v>
      </c>
      <c r="M164" s="60" t="str">
        <f t="shared" si="2"/>
        <v>Not in buy Zone</v>
      </c>
      <c r="N164" s="33" t="str">
        <f t="shared" si="3"/>
        <v>No</v>
      </c>
    </row>
    <row r="165">
      <c r="A165" s="1" t="s">
        <v>193</v>
      </c>
      <c r="B165" s="1">
        <v>0.0</v>
      </c>
      <c r="C165" s="1">
        <v>0.0</v>
      </c>
      <c r="D165" s="1">
        <v>341.98</v>
      </c>
      <c r="E165" s="1">
        <v>0.0</v>
      </c>
      <c r="F165" s="54">
        <v>44371.0</v>
      </c>
      <c r="G165" s="1">
        <v>0.0</v>
      </c>
      <c r="H165" s="1">
        <v>346.74</v>
      </c>
      <c r="I165" s="14">
        <v>44393.0</v>
      </c>
      <c r="J165" s="1" t="s">
        <v>4308</v>
      </c>
      <c r="K165" s="15" t="s">
        <v>4472</v>
      </c>
      <c r="L165" s="60" t="str">
        <f t="shared" si="1"/>
        <v>Not in buy Zone</v>
      </c>
      <c r="M165" s="60" t="str">
        <f t="shared" si="2"/>
        <v>Not in buy Zone</v>
      </c>
      <c r="N165" s="33" t="str">
        <f t="shared" si="3"/>
        <v>No</v>
      </c>
    </row>
    <row r="166">
      <c r="A166" s="1" t="s">
        <v>194</v>
      </c>
      <c r="B166" s="1">
        <v>0.0</v>
      </c>
      <c r="C166" s="1">
        <v>0.0</v>
      </c>
      <c r="D166" s="1">
        <v>184.38</v>
      </c>
      <c r="E166" s="1">
        <v>0.0</v>
      </c>
      <c r="F166" s="54">
        <v>44389.0</v>
      </c>
      <c r="G166" s="1">
        <v>0.0</v>
      </c>
      <c r="H166" s="1">
        <v>179.31</v>
      </c>
      <c r="I166" s="14">
        <v>44393.0</v>
      </c>
      <c r="J166" s="1" t="s">
        <v>4308</v>
      </c>
      <c r="K166" s="15" t="s">
        <v>4473</v>
      </c>
      <c r="L166" s="60" t="str">
        <f t="shared" si="1"/>
        <v>Not in buy Zone</v>
      </c>
      <c r="M166" s="60" t="str">
        <f t="shared" si="2"/>
        <v>Not in buy Zone</v>
      </c>
      <c r="N166" s="33" t="str">
        <f t="shared" si="3"/>
        <v>No</v>
      </c>
    </row>
    <row r="167">
      <c r="A167" s="1" t="s">
        <v>195</v>
      </c>
      <c r="B167" s="1">
        <v>0.0</v>
      </c>
      <c r="C167" s="1">
        <v>0.0</v>
      </c>
      <c r="D167" s="1">
        <v>0.0</v>
      </c>
      <c r="E167" s="1">
        <v>61.94</v>
      </c>
      <c r="F167" s="54">
        <v>44279.0</v>
      </c>
      <c r="G167" s="1">
        <v>0.0</v>
      </c>
      <c r="H167" s="1">
        <v>28.18</v>
      </c>
      <c r="I167" s="14">
        <v>44393.0</v>
      </c>
      <c r="J167" s="1" t="s">
        <v>4308</v>
      </c>
      <c r="K167" s="15" t="s">
        <v>4474</v>
      </c>
      <c r="L167" s="60" t="str">
        <f t="shared" si="1"/>
        <v>Not in buy Zone</v>
      </c>
      <c r="M167" s="60" t="str">
        <f t="shared" si="2"/>
        <v>Not in buy Zone</v>
      </c>
      <c r="N167" s="33" t="str">
        <f t="shared" si="3"/>
        <v>No</v>
      </c>
    </row>
    <row r="168">
      <c r="A168" s="1" t="s">
        <v>196</v>
      </c>
      <c r="B168" s="1">
        <v>0.0</v>
      </c>
      <c r="C168" s="1">
        <v>0.0</v>
      </c>
      <c r="D168" s="1">
        <v>0.0</v>
      </c>
      <c r="E168" s="1">
        <v>40.25</v>
      </c>
      <c r="F168" s="54">
        <v>44390.0</v>
      </c>
      <c r="G168" s="1">
        <v>0.0</v>
      </c>
      <c r="H168" s="1">
        <v>39.45</v>
      </c>
      <c r="I168" s="14">
        <v>44393.0</v>
      </c>
      <c r="J168" s="1" t="s">
        <v>4308</v>
      </c>
      <c r="K168" s="15" t="s">
        <v>4475</v>
      </c>
      <c r="L168" s="60" t="str">
        <f t="shared" si="1"/>
        <v>Not in buy Zone</v>
      </c>
      <c r="M168" s="60" t="str">
        <f t="shared" si="2"/>
        <v>Not in buy Zone</v>
      </c>
      <c r="N168" s="33" t="str">
        <f t="shared" si="3"/>
        <v>No</v>
      </c>
    </row>
    <row r="169">
      <c r="A169" s="1" t="s">
        <v>197</v>
      </c>
      <c r="B169" s="1">
        <v>0.0</v>
      </c>
      <c r="C169" s="1">
        <v>0.0</v>
      </c>
      <c r="D169" s="1">
        <v>0.0</v>
      </c>
      <c r="E169" s="1">
        <v>47.73</v>
      </c>
      <c r="F169" s="54">
        <v>44390.0</v>
      </c>
      <c r="G169" s="1">
        <v>0.0</v>
      </c>
      <c r="H169" s="1">
        <v>43.79</v>
      </c>
      <c r="I169" s="14">
        <v>44393.0</v>
      </c>
      <c r="J169" s="1" t="s">
        <v>4308</v>
      </c>
      <c r="K169" s="15" t="s">
        <v>4476</v>
      </c>
      <c r="L169" s="60" t="str">
        <f t="shared" si="1"/>
        <v>Not in buy Zone</v>
      </c>
      <c r="M169" s="60" t="str">
        <f t="shared" si="2"/>
        <v>Not in buy Zone</v>
      </c>
      <c r="N169" s="33" t="str">
        <f t="shared" si="3"/>
        <v>No</v>
      </c>
    </row>
    <row r="170">
      <c r="A170" s="1" t="s">
        <v>198</v>
      </c>
      <c r="B170" s="1">
        <v>0.0</v>
      </c>
      <c r="C170" s="1">
        <v>0.0</v>
      </c>
      <c r="D170" s="1">
        <v>157.68</v>
      </c>
      <c r="E170" s="1">
        <v>0.0</v>
      </c>
      <c r="F170" s="54">
        <v>44389.0</v>
      </c>
      <c r="G170" s="1">
        <v>0.0</v>
      </c>
      <c r="H170" s="1">
        <v>157.32</v>
      </c>
      <c r="I170" s="14">
        <v>44393.0</v>
      </c>
      <c r="J170" s="1" t="s">
        <v>4308</v>
      </c>
      <c r="K170" s="15" t="s">
        <v>4477</v>
      </c>
      <c r="L170" s="60" t="str">
        <f t="shared" si="1"/>
        <v>Not in buy Zone</v>
      </c>
      <c r="M170" s="60" t="str">
        <f t="shared" si="2"/>
        <v>Not in buy Zone</v>
      </c>
      <c r="N170" s="33" t="str">
        <f t="shared" si="3"/>
        <v>No</v>
      </c>
    </row>
    <row r="171">
      <c r="A171" s="1" t="s">
        <v>199</v>
      </c>
      <c r="B171" s="1">
        <v>0.0</v>
      </c>
      <c r="C171" s="1">
        <v>0.0</v>
      </c>
      <c r="D171" s="1">
        <v>0.0</v>
      </c>
      <c r="E171" s="1">
        <v>112.81</v>
      </c>
      <c r="F171" s="54">
        <v>44327.0</v>
      </c>
      <c r="G171" s="1">
        <v>0.0</v>
      </c>
      <c r="H171" s="1">
        <v>98.19</v>
      </c>
      <c r="I171" s="14">
        <v>44393.0</v>
      </c>
      <c r="J171" s="1" t="s">
        <v>4308</v>
      </c>
      <c r="K171" s="15" t="s">
        <v>4478</v>
      </c>
      <c r="L171" s="60" t="str">
        <f t="shared" si="1"/>
        <v>Not in buy Zone</v>
      </c>
      <c r="M171" s="60" t="str">
        <f t="shared" si="2"/>
        <v>Not in buy Zone</v>
      </c>
      <c r="N171" s="33" t="str">
        <f t="shared" si="3"/>
        <v>No</v>
      </c>
    </row>
    <row r="172">
      <c r="A172" s="1" t="s">
        <v>200</v>
      </c>
      <c r="B172" s="1">
        <v>0.0</v>
      </c>
      <c r="C172" s="1">
        <v>0.0</v>
      </c>
      <c r="D172" s="1">
        <v>233.24</v>
      </c>
      <c r="E172" s="1">
        <v>0.0</v>
      </c>
      <c r="F172" s="54">
        <v>44351.0</v>
      </c>
      <c r="G172" s="1">
        <v>0.0</v>
      </c>
      <c r="H172" s="1">
        <v>282.05</v>
      </c>
      <c r="I172" s="14">
        <v>44393.0</v>
      </c>
      <c r="J172" s="1" t="s">
        <v>4308</v>
      </c>
      <c r="K172" s="15" t="s">
        <v>4479</v>
      </c>
      <c r="L172" s="60" t="str">
        <f t="shared" si="1"/>
        <v>Not in buy Zone</v>
      </c>
      <c r="M172" s="60" t="str">
        <f t="shared" si="2"/>
        <v>Not in buy Zone</v>
      </c>
      <c r="N172" s="33" t="str">
        <f t="shared" si="3"/>
        <v>No</v>
      </c>
    </row>
    <row r="173">
      <c r="A173" s="1" t="s">
        <v>201</v>
      </c>
      <c r="B173" s="1">
        <v>0.0</v>
      </c>
      <c r="C173" s="1">
        <v>0.0</v>
      </c>
      <c r="D173" s="1">
        <v>149.31</v>
      </c>
      <c r="E173" s="1">
        <v>0.0</v>
      </c>
      <c r="F173" s="54">
        <v>44372.0</v>
      </c>
      <c r="G173" s="1">
        <v>0.0</v>
      </c>
      <c r="H173" s="1">
        <v>154.95</v>
      </c>
      <c r="I173" s="14">
        <v>44393.0</v>
      </c>
      <c r="J173" s="1" t="s">
        <v>4308</v>
      </c>
      <c r="K173" s="15" t="s">
        <v>4480</v>
      </c>
      <c r="L173" s="60" t="str">
        <f t="shared" si="1"/>
        <v>Not in buy Zone</v>
      </c>
      <c r="M173" s="60" t="str">
        <f t="shared" si="2"/>
        <v>Not in buy Zone</v>
      </c>
      <c r="N173" s="33" t="str">
        <f t="shared" si="3"/>
        <v>No</v>
      </c>
    </row>
    <row r="174">
      <c r="A174" s="1" t="s">
        <v>202</v>
      </c>
      <c r="B174" s="1">
        <v>0.0</v>
      </c>
      <c r="C174" s="1">
        <v>0.0</v>
      </c>
      <c r="D174" s="1">
        <v>0.0</v>
      </c>
      <c r="E174" s="1">
        <v>66.96</v>
      </c>
      <c r="F174" s="54">
        <v>44361.0</v>
      </c>
      <c r="G174" s="1">
        <v>0.0</v>
      </c>
      <c r="H174" s="1">
        <v>60.01</v>
      </c>
      <c r="I174" s="14">
        <v>44393.0</v>
      </c>
      <c r="J174" s="1" t="s">
        <v>4308</v>
      </c>
      <c r="K174" s="15" t="s">
        <v>4481</v>
      </c>
      <c r="L174" s="60" t="str">
        <f t="shared" si="1"/>
        <v>Not in buy Zone</v>
      </c>
      <c r="M174" s="60" t="str">
        <f t="shared" si="2"/>
        <v>Not in buy Zone</v>
      </c>
      <c r="N174" s="33" t="str">
        <f t="shared" si="3"/>
        <v>No</v>
      </c>
    </row>
    <row r="175">
      <c r="A175" s="1" t="s">
        <v>203</v>
      </c>
      <c r="B175" s="1">
        <v>0.0</v>
      </c>
      <c r="C175" s="1">
        <v>0.0</v>
      </c>
      <c r="D175" s="1">
        <v>354.08</v>
      </c>
      <c r="E175" s="1">
        <v>0.0</v>
      </c>
      <c r="F175" s="54">
        <v>44264.0</v>
      </c>
      <c r="G175" s="1">
        <v>0.0</v>
      </c>
      <c r="H175" s="1">
        <v>482.68</v>
      </c>
      <c r="I175" s="14">
        <v>44393.0</v>
      </c>
      <c r="J175" s="1" t="s">
        <v>4308</v>
      </c>
      <c r="K175" s="15" t="s">
        <v>4482</v>
      </c>
      <c r="L175" s="60" t="str">
        <f t="shared" si="1"/>
        <v>Not in buy Zone</v>
      </c>
      <c r="M175" s="60" t="str">
        <f t="shared" si="2"/>
        <v>Not in buy Zone</v>
      </c>
      <c r="N175" s="33" t="str">
        <f t="shared" si="3"/>
        <v>No</v>
      </c>
    </row>
    <row r="176">
      <c r="A176" s="1" t="s">
        <v>204</v>
      </c>
      <c r="B176" s="1">
        <v>0.0</v>
      </c>
      <c r="C176" s="1">
        <v>0.0</v>
      </c>
      <c r="D176" s="1">
        <v>48.84</v>
      </c>
      <c r="E176" s="1">
        <v>0.0</v>
      </c>
      <c r="F176" s="54">
        <v>44385.0</v>
      </c>
      <c r="G176" s="1">
        <v>0.0</v>
      </c>
      <c r="H176" s="1">
        <v>50.4</v>
      </c>
      <c r="I176" s="14">
        <v>44393.0</v>
      </c>
      <c r="J176" s="1" t="s">
        <v>4308</v>
      </c>
      <c r="K176" s="15" t="s">
        <v>4483</v>
      </c>
      <c r="L176" s="60" t="str">
        <f t="shared" si="1"/>
        <v>Not in buy Zone</v>
      </c>
      <c r="M176" s="60" t="str">
        <f t="shared" si="2"/>
        <v>Not in buy Zone</v>
      </c>
      <c r="N176" s="33" t="str">
        <f t="shared" si="3"/>
        <v>No</v>
      </c>
    </row>
    <row r="177">
      <c r="A177" s="1" t="s">
        <v>205</v>
      </c>
      <c r="B177" s="1">
        <v>0.0</v>
      </c>
      <c r="C177" s="1">
        <v>141.74</v>
      </c>
      <c r="D177" s="1">
        <v>0.0</v>
      </c>
      <c r="E177" s="1">
        <v>0.0</v>
      </c>
      <c r="F177" s="54">
        <v>44393.0</v>
      </c>
      <c r="G177" s="1">
        <v>-1.0</v>
      </c>
      <c r="H177" s="1">
        <v>141.74</v>
      </c>
      <c r="I177" s="14">
        <v>44393.0</v>
      </c>
      <c r="J177" s="1" t="s">
        <v>4308</v>
      </c>
      <c r="K177" s="15" t="s">
        <v>4484</v>
      </c>
      <c r="L177" s="60" t="str">
        <f t="shared" si="1"/>
        <v>Not in buy Zone</v>
      </c>
      <c r="M177" s="60" t="str">
        <f t="shared" si="2"/>
        <v>Not in buy Zone</v>
      </c>
      <c r="N177" s="33" t="str">
        <f t="shared" si="3"/>
        <v>No</v>
      </c>
    </row>
    <row r="178">
      <c r="A178" s="1" t="s">
        <v>206</v>
      </c>
      <c r="B178" s="1">
        <v>0.0</v>
      </c>
      <c r="C178" s="1">
        <v>0.0</v>
      </c>
      <c r="D178" s="1">
        <v>0.0</v>
      </c>
      <c r="E178" s="1">
        <v>138.6</v>
      </c>
      <c r="F178" s="54">
        <v>44328.0</v>
      </c>
      <c r="G178" s="1">
        <v>0.0</v>
      </c>
      <c r="H178" s="1">
        <v>117.05</v>
      </c>
      <c r="I178" s="14">
        <v>44393.0</v>
      </c>
      <c r="J178" s="1" t="s">
        <v>4308</v>
      </c>
      <c r="K178" s="15" t="s">
        <v>4485</v>
      </c>
      <c r="L178" s="60" t="str">
        <f t="shared" si="1"/>
        <v>Not in buy Zone</v>
      </c>
      <c r="M178" s="60" t="str">
        <f t="shared" si="2"/>
        <v>Not in buy Zone</v>
      </c>
      <c r="N178" s="33" t="str">
        <f t="shared" si="3"/>
        <v>No</v>
      </c>
    </row>
    <row r="179">
      <c r="A179" s="1" t="s">
        <v>207</v>
      </c>
      <c r="B179" s="1">
        <v>0.0</v>
      </c>
      <c r="C179" s="1">
        <v>0.0</v>
      </c>
      <c r="D179" s="1">
        <v>101.53</v>
      </c>
      <c r="E179" s="1">
        <v>0.0</v>
      </c>
      <c r="F179" s="54">
        <v>44389.0</v>
      </c>
      <c r="G179" s="1">
        <v>0.0</v>
      </c>
      <c r="H179" s="1">
        <v>104.76</v>
      </c>
      <c r="I179" s="14">
        <v>44393.0</v>
      </c>
      <c r="J179" s="1" t="s">
        <v>4308</v>
      </c>
      <c r="K179" s="15" t="s">
        <v>4486</v>
      </c>
      <c r="L179" s="60" t="str">
        <f t="shared" si="1"/>
        <v>Not in buy Zone</v>
      </c>
      <c r="M179" s="60" t="str">
        <f t="shared" si="2"/>
        <v>Not in buy Zone</v>
      </c>
      <c r="N179" s="33" t="str">
        <f t="shared" si="3"/>
        <v>No</v>
      </c>
    </row>
    <row r="180">
      <c r="A180" s="1" t="s">
        <v>208</v>
      </c>
      <c r="B180" s="1">
        <v>0.0</v>
      </c>
      <c r="C180" s="1">
        <v>119.37</v>
      </c>
      <c r="D180" s="1">
        <v>0.0</v>
      </c>
      <c r="E180" s="1">
        <v>0.0</v>
      </c>
      <c r="F180" s="54">
        <v>44393.0</v>
      </c>
      <c r="G180" s="1">
        <v>-1.0</v>
      </c>
      <c r="H180" s="1">
        <v>119.37</v>
      </c>
      <c r="I180" s="14">
        <v>44393.0</v>
      </c>
      <c r="J180" s="1" t="s">
        <v>4308</v>
      </c>
      <c r="K180" s="15" t="s">
        <v>4487</v>
      </c>
      <c r="L180" s="60" t="str">
        <f t="shared" si="1"/>
        <v>Not in buy Zone</v>
      </c>
      <c r="M180" s="60" t="str">
        <f t="shared" si="2"/>
        <v>Not in buy Zone</v>
      </c>
      <c r="N180" s="33" t="str">
        <f t="shared" si="3"/>
        <v>No</v>
      </c>
    </row>
    <row r="181">
      <c r="A181" s="1" t="s">
        <v>209</v>
      </c>
      <c r="B181" s="1">
        <v>0.0</v>
      </c>
      <c r="C181" s="1">
        <v>0.0</v>
      </c>
      <c r="D181" s="1">
        <v>0.0</v>
      </c>
      <c r="E181" s="1">
        <v>27.3</v>
      </c>
      <c r="F181" s="54">
        <v>44391.0</v>
      </c>
      <c r="G181" s="1">
        <v>0.0</v>
      </c>
      <c r="H181" s="1">
        <v>25.78</v>
      </c>
      <c r="I181" s="14">
        <v>44393.0</v>
      </c>
      <c r="J181" s="1" t="s">
        <v>4308</v>
      </c>
      <c r="K181" s="15" t="s">
        <v>4488</v>
      </c>
      <c r="L181" s="60" t="str">
        <f t="shared" si="1"/>
        <v>Not in buy Zone</v>
      </c>
      <c r="M181" s="60" t="str">
        <f t="shared" si="2"/>
        <v>Not in buy Zone</v>
      </c>
      <c r="N181" s="33" t="str">
        <f t="shared" si="3"/>
        <v>No</v>
      </c>
    </row>
    <row r="182">
      <c r="A182" s="1" t="s">
        <v>210</v>
      </c>
      <c r="B182" s="1">
        <v>0.0</v>
      </c>
      <c r="C182" s="1">
        <v>0.0</v>
      </c>
      <c r="D182" s="1">
        <v>39.46</v>
      </c>
      <c r="E182" s="1">
        <v>0.0</v>
      </c>
      <c r="F182" s="54">
        <v>44372.0</v>
      </c>
      <c r="G182" s="1">
        <v>0.0</v>
      </c>
      <c r="H182" s="1">
        <v>38.29</v>
      </c>
      <c r="I182" s="14">
        <v>44393.0</v>
      </c>
      <c r="J182" s="1" t="s">
        <v>4308</v>
      </c>
      <c r="K182" s="15" t="s">
        <v>4489</v>
      </c>
      <c r="L182" s="60" t="str">
        <f t="shared" si="1"/>
        <v>Not in buy Zone</v>
      </c>
      <c r="M182" s="60" t="str">
        <f t="shared" si="2"/>
        <v>Not in buy Zone</v>
      </c>
      <c r="N182" s="33" t="str">
        <f t="shared" si="3"/>
        <v>No</v>
      </c>
    </row>
    <row r="183">
      <c r="A183" s="1" t="s">
        <v>211</v>
      </c>
      <c r="B183" s="1">
        <v>0.0</v>
      </c>
      <c r="C183" s="1">
        <v>0.0</v>
      </c>
      <c r="D183" s="1">
        <v>361.91</v>
      </c>
      <c r="E183" s="1">
        <v>0.0</v>
      </c>
      <c r="F183" s="54">
        <v>44343.0</v>
      </c>
      <c r="G183" s="1">
        <v>0.0</v>
      </c>
      <c r="H183" s="1">
        <v>448.69</v>
      </c>
      <c r="I183" s="14">
        <v>44393.0</v>
      </c>
      <c r="J183" s="1" t="s">
        <v>4308</v>
      </c>
      <c r="K183" s="15" t="s">
        <v>4490</v>
      </c>
      <c r="L183" s="60" t="str">
        <f t="shared" si="1"/>
        <v>Not in buy Zone</v>
      </c>
      <c r="M183" s="60" t="str">
        <f t="shared" si="2"/>
        <v>Not in buy Zone</v>
      </c>
      <c r="N183" s="33" t="str">
        <f t="shared" si="3"/>
        <v>No</v>
      </c>
    </row>
    <row r="184">
      <c r="A184" s="1" t="s">
        <v>212</v>
      </c>
      <c r="B184" s="1">
        <v>0.0</v>
      </c>
      <c r="C184" s="1">
        <v>0.0</v>
      </c>
      <c r="D184" s="1">
        <v>0.0</v>
      </c>
      <c r="E184" s="1">
        <v>141.93</v>
      </c>
      <c r="F184" s="54">
        <v>44364.0</v>
      </c>
      <c r="G184" s="1">
        <v>0.0</v>
      </c>
      <c r="H184" s="1">
        <v>143.1</v>
      </c>
      <c r="I184" s="14">
        <v>44393.0</v>
      </c>
      <c r="J184" s="1" t="s">
        <v>4308</v>
      </c>
      <c r="K184" s="15" t="s">
        <v>4491</v>
      </c>
      <c r="L184" s="60" t="str">
        <f t="shared" si="1"/>
        <v>Not in buy Zone</v>
      </c>
      <c r="M184" s="60" t="str">
        <f t="shared" si="2"/>
        <v>Not in buy Zone</v>
      </c>
      <c r="N184" s="33" t="str">
        <f t="shared" si="3"/>
        <v>No</v>
      </c>
    </row>
    <row r="185">
      <c r="A185" s="1" t="s">
        <v>213</v>
      </c>
      <c r="B185" s="1">
        <v>0.0</v>
      </c>
      <c r="C185" s="1">
        <v>0.0</v>
      </c>
      <c r="D185" s="1">
        <v>67.9</v>
      </c>
      <c r="E185" s="1">
        <v>0.0</v>
      </c>
      <c r="F185" s="54">
        <v>44372.0</v>
      </c>
      <c r="G185" s="1">
        <v>0.0</v>
      </c>
      <c r="H185" s="1">
        <v>68.18</v>
      </c>
      <c r="I185" s="14">
        <v>44393.0</v>
      </c>
      <c r="J185" s="1" t="s">
        <v>4308</v>
      </c>
      <c r="K185" s="15" t="s">
        <v>4492</v>
      </c>
      <c r="L185" s="60" t="str">
        <f t="shared" si="1"/>
        <v>Not in buy Zone</v>
      </c>
      <c r="M185" s="60" t="str">
        <f t="shared" si="2"/>
        <v>Not in buy Zone</v>
      </c>
      <c r="N185" s="33" t="str">
        <f t="shared" si="3"/>
        <v>No</v>
      </c>
    </row>
    <row r="186">
      <c r="A186" s="1" t="s">
        <v>214</v>
      </c>
      <c r="B186" s="1">
        <v>0.0</v>
      </c>
      <c r="C186" s="1">
        <v>0.0</v>
      </c>
      <c r="D186" s="1">
        <v>212.76</v>
      </c>
      <c r="E186" s="1">
        <v>0.0</v>
      </c>
      <c r="F186" s="54">
        <v>44386.0</v>
      </c>
      <c r="G186" s="1">
        <v>0.0</v>
      </c>
      <c r="H186" s="1">
        <v>215.28</v>
      </c>
      <c r="I186" s="14">
        <v>44393.0</v>
      </c>
      <c r="J186" s="1" t="s">
        <v>4308</v>
      </c>
      <c r="K186" s="15" t="s">
        <v>4493</v>
      </c>
      <c r="L186" s="60" t="str">
        <f t="shared" si="1"/>
        <v>Not in buy Zone</v>
      </c>
      <c r="M186" s="60" t="str">
        <f t="shared" si="2"/>
        <v>Not in buy Zone</v>
      </c>
      <c r="N186" s="33" t="str">
        <f t="shared" si="3"/>
        <v>No</v>
      </c>
    </row>
    <row r="187">
      <c r="A187" s="1" t="s">
        <v>215</v>
      </c>
      <c r="B187" s="1">
        <v>0.0</v>
      </c>
      <c r="C187" s="1">
        <v>0.0</v>
      </c>
      <c r="D187" s="1">
        <v>74.36</v>
      </c>
      <c r="E187" s="1">
        <v>0.0</v>
      </c>
      <c r="F187" s="54">
        <v>44392.0</v>
      </c>
      <c r="G187" s="1">
        <v>0.0</v>
      </c>
      <c r="H187" s="1">
        <v>74.93</v>
      </c>
      <c r="I187" s="14">
        <v>44393.0</v>
      </c>
      <c r="J187" s="1" t="s">
        <v>4308</v>
      </c>
      <c r="K187" s="15" t="s">
        <v>4494</v>
      </c>
      <c r="L187" s="60" t="str">
        <f t="shared" si="1"/>
        <v>Not in buy Zone</v>
      </c>
      <c r="M187" s="60" t="str">
        <f t="shared" si="2"/>
        <v>Not in buy Zone</v>
      </c>
      <c r="N187" s="33" t="str">
        <f t="shared" si="3"/>
        <v>No</v>
      </c>
    </row>
    <row r="188">
      <c r="A188" s="1" t="s">
        <v>216</v>
      </c>
      <c r="B188" s="1">
        <v>0.0</v>
      </c>
      <c r="C188" s="1">
        <v>0.0</v>
      </c>
      <c r="D188" s="1">
        <v>54.01</v>
      </c>
      <c r="E188" s="1">
        <v>0.0</v>
      </c>
      <c r="F188" s="54">
        <v>44392.0</v>
      </c>
      <c r="G188" s="1">
        <v>0.0</v>
      </c>
      <c r="H188" s="1">
        <v>53.59</v>
      </c>
      <c r="I188" s="14">
        <v>44393.0</v>
      </c>
      <c r="J188" s="1" t="s">
        <v>4308</v>
      </c>
      <c r="K188" s="15" t="s">
        <v>4495</v>
      </c>
      <c r="L188" s="60" t="str">
        <f t="shared" si="1"/>
        <v>Not in buy Zone</v>
      </c>
      <c r="M188" s="60" t="str">
        <f t="shared" si="2"/>
        <v>Not in buy Zone</v>
      </c>
      <c r="N188" s="33" t="str">
        <f t="shared" si="3"/>
        <v>No</v>
      </c>
    </row>
    <row r="189">
      <c r="A189" s="1" t="s">
        <v>217</v>
      </c>
      <c r="B189" s="1">
        <v>0.0</v>
      </c>
      <c r="C189" s="1">
        <v>0.0</v>
      </c>
      <c r="D189" s="1">
        <v>79.56</v>
      </c>
      <c r="E189" s="1">
        <v>0.0</v>
      </c>
      <c r="F189" s="54">
        <v>44386.0</v>
      </c>
      <c r="G189" s="1">
        <v>0.0</v>
      </c>
      <c r="H189" s="1">
        <v>78.32</v>
      </c>
      <c r="I189" s="14">
        <v>44393.0</v>
      </c>
      <c r="J189" s="1" t="s">
        <v>4308</v>
      </c>
      <c r="K189" s="15" t="s">
        <v>4496</v>
      </c>
      <c r="L189" s="60" t="str">
        <f t="shared" si="1"/>
        <v>Not in buy Zone</v>
      </c>
      <c r="M189" s="60" t="str">
        <f t="shared" si="2"/>
        <v>Not in buy Zone</v>
      </c>
      <c r="N189" s="33" t="str">
        <f t="shared" si="3"/>
        <v>No</v>
      </c>
    </row>
    <row r="190">
      <c r="A190" s="1" t="s">
        <v>218</v>
      </c>
      <c r="B190" s="1">
        <v>0.0</v>
      </c>
      <c r="C190" s="1">
        <v>0.0</v>
      </c>
      <c r="D190" s="1">
        <v>238.72</v>
      </c>
      <c r="E190" s="1">
        <v>0.0</v>
      </c>
      <c r="F190" s="54">
        <v>44368.0</v>
      </c>
      <c r="G190" s="1">
        <v>0.0</v>
      </c>
      <c r="H190" s="1">
        <v>254.63</v>
      </c>
      <c r="I190" s="14">
        <v>44393.0</v>
      </c>
      <c r="J190" s="1" t="s">
        <v>4308</v>
      </c>
      <c r="K190" s="15" t="s">
        <v>4497</v>
      </c>
      <c r="L190" s="60" t="str">
        <f t="shared" si="1"/>
        <v>Not in buy Zone</v>
      </c>
      <c r="M190" s="60" t="str">
        <f t="shared" si="2"/>
        <v>Not in buy Zone</v>
      </c>
      <c r="N190" s="33" t="str">
        <f t="shared" si="3"/>
        <v>No</v>
      </c>
    </row>
    <row r="191">
      <c r="A191" s="1" t="s">
        <v>219</v>
      </c>
      <c r="B191" s="1">
        <v>0.0</v>
      </c>
      <c r="C191" s="1">
        <v>0.0</v>
      </c>
      <c r="D191" s="1">
        <v>57.0</v>
      </c>
      <c r="E191" s="1">
        <v>0.0</v>
      </c>
      <c r="F191" s="54">
        <v>44372.0</v>
      </c>
      <c r="G191" s="1">
        <v>0.0</v>
      </c>
      <c r="H191" s="1">
        <v>57.99</v>
      </c>
      <c r="I191" s="14">
        <v>44393.0</v>
      </c>
      <c r="J191" s="1" t="s">
        <v>4308</v>
      </c>
      <c r="K191" s="15" t="s">
        <v>4498</v>
      </c>
      <c r="L191" s="60" t="str">
        <f t="shared" si="1"/>
        <v>Not in buy Zone</v>
      </c>
      <c r="M191" s="60" t="str">
        <f t="shared" si="2"/>
        <v>Not in buy Zone</v>
      </c>
      <c r="N191" s="33" t="str">
        <f t="shared" si="3"/>
        <v>No</v>
      </c>
    </row>
    <row r="192">
      <c r="A192" s="1" t="s">
        <v>220</v>
      </c>
      <c r="B192" s="1">
        <v>0.0</v>
      </c>
      <c r="C192" s="1">
        <v>0.0</v>
      </c>
      <c r="D192" s="1">
        <v>308.7</v>
      </c>
      <c r="E192" s="1">
        <v>0.0</v>
      </c>
      <c r="F192" s="54">
        <v>44371.0</v>
      </c>
      <c r="G192" s="1">
        <v>0.0</v>
      </c>
      <c r="H192" s="1">
        <v>324.49</v>
      </c>
      <c r="I192" s="14">
        <v>44393.0</v>
      </c>
      <c r="J192" s="1" t="s">
        <v>4308</v>
      </c>
      <c r="K192" s="15" t="s">
        <v>4499</v>
      </c>
      <c r="L192" s="60" t="str">
        <f t="shared" si="1"/>
        <v>Not in buy Zone</v>
      </c>
      <c r="M192" s="60" t="str">
        <f t="shared" si="2"/>
        <v>Not in buy Zone</v>
      </c>
      <c r="N192" s="33" t="str">
        <f t="shared" si="3"/>
        <v>No</v>
      </c>
    </row>
    <row r="193">
      <c r="A193" s="1" t="s">
        <v>221</v>
      </c>
      <c r="B193" s="1">
        <v>0.0</v>
      </c>
      <c r="C193" s="1">
        <v>0.0</v>
      </c>
      <c r="D193" s="1">
        <v>0.0</v>
      </c>
      <c r="E193" s="1">
        <v>34.13</v>
      </c>
      <c r="F193" s="54">
        <v>44391.0</v>
      </c>
      <c r="G193" s="1">
        <v>0.0</v>
      </c>
      <c r="H193" s="1">
        <v>34.26</v>
      </c>
      <c r="I193" s="14">
        <v>44393.0</v>
      </c>
      <c r="J193" s="1" t="s">
        <v>4308</v>
      </c>
      <c r="K193" s="15" t="s">
        <v>4500</v>
      </c>
      <c r="L193" s="60" t="str">
        <f t="shared" si="1"/>
        <v>Not in buy Zone</v>
      </c>
      <c r="M193" s="60" t="str">
        <f t="shared" si="2"/>
        <v>Not in buy Zone</v>
      </c>
      <c r="N193" s="33" t="str">
        <f t="shared" si="3"/>
        <v>No</v>
      </c>
    </row>
    <row r="194">
      <c r="A194" s="1" t="s">
        <v>222</v>
      </c>
      <c r="B194" s="1">
        <v>0.0</v>
      </c>
      <c r="C194" s="1">
        <v>0.0</v>
      </c>
      <c r="D194" s="1">
        <v>0.0</v>
      </c>
      <c r="E194" s="1">
        <v>34.41</v>
      </c>
      <c r="F194" s="54">
        <v>44358.0</v>
      </c>
      <c r="G194" s="1">
        <v>0.0</v>
      </c>
      <c r="H194" s="1">
        <v>29.81</v>
      </c>
      <c r="I194" s="14">
        <v>44393.0</v>
      </c>
      <c r="J194" s="1" t="s">
        <v>4308</v>
      </c>
      <c r="K194" s="15" t="s">
        <v>4501</v>
      </c>
      <c r="L194" s="60" t="str">
        <f t="shared" si="1"/>
        <v>Not in buy Zone</v>
      </c>
      <c r="M194" s="60" t="str">
        <f t="shared" si="2"/>
        <v>Not in buy Zone</v>
      </c>
      <c r="N194" s="33" t="str">
        <f t="shared" si="3"/>
        <v>No</v>
      </c>
    </row>
    <row r="195">
      <c r="A195" s="1" t="s">
        <v>223</v>
      </c>
      <c r="B195" s="1">
        <v>0.0</v>
      </c>
      <c r="C195" s="1">
        <v>0.0</v>
      </c>
      <c r="D195" s="1">
        <v>0.0</v>
      </c>
      <c r="E195" s="1">
        <v>111.51</v>
      </c>
      <c r="F195" s="54">
        <v>44363.0</v>
      </c>
      <c r="G195" s="1">
        <v>0.0</v>
      </c>
      <c r="H195" s="1">
        <v>112.5</v>
      </c>
      <c r="I195" s="14">
        <v>44393.0</v>
      </c>
      <c r="J195" s="1" t="s">
        <v>4308</v>
      </c>
      <c r="K195" s="15" t="s">
        <v>4502</v>
      </c>
      <c r="L195" s="60" t="str">
        <f t="shared" si="1"/>
        <v>Not in buy Zone</v>
      </c>
      <c r="M195" s="60" t="str">
        <f t="shared" si="2"/>
        <v>Not in buy Zone</v>
      </c>
      <c r="N195" s="33" t="str">
        <f t="shared" si="3"/>
        <v>No</v>
      </c>
    </row>
    <row r="196">
      <c r="A196" s="1" t="s">
        <v>224</v>
      </c>
      <c r="B196" s="1">
        <v>0.0</v>
      </c>
      <c r="C196" s="1">
        <v>0.0</v>
      </c>
      <c r="D196" s="1">
        <v>0.0</v>
      </c>
      <c r="E196" s="1">
        <v>122.1</v>
      </c>
      <c r="F196" s="54">
        <v>44361.0</v>
      </c>
      <c r="G196" s="1">
        <v>0.0</v>
      </c>
      <c r="H196" s="1">
        <v>109.2</v>
      </c>
      <c r="I196" s="14">
        <v>44393.0</v>
      </c>
      <c r="J196" s="1" t="s">
        <v>4308</v>
      </c>
      <c r="K196" s="15" t="s">
        <v>4503</v>
      </c>
      <c r="L196" s="60" t="str">
        <f t="shared" si="1"/>
        <v>Not in buy Zone</v>
      </c>
      <c r="M196" s="60" t="str">
        <f t="shared" si="2"/>
        <v>Not in buy Zone</v>
      </c>
      <c r="N196" s="33" t="str">
        <f t="shared" si="3"/>
        <v>No</v>
      </c>
    </row>
    <row r="197">
      <c r="A197" s="1" t="s">
        <v>225</v>
      </c>
      <c r="B197" s="1">
        <v>0.0</v>
      </c>
      <c r="C197" s="1">
        <v>0.0</v>
      </c>
      <c r="D197" s="1">
        <v>96.24</v>
      </c>
      <c r="E197" s="1">
        <v>0.0</v>
      </c>
      <c r="F197" s="54">
        <v>44377.0</v>
      </c>
      <c r="G197" s="1">
        <v>0.0</v>
      </c>
      <c r="H197" s="1">
        <v>97.26</v>
      </c>
      <c r="I197" s="14">
        <v>44393.0</v>
      </c>
      <c r="J197" s="1" t="s">
        <v>4308</v>
      </c>
      <c r="K197" s="15" t="s">
        <v>4504</v>
      </c>
      <c r="L197" s="60" t="str">
        <f t="shared" si="1"/>
        <v>Not in buy Zone</v>
      </c>
      <c r="M197" s="60" t="str">
        <f t="shared" si="2"/>
        <v>Not in buy Zone</v>
      </c>
      <c r="N197" s="33" t="str">
        <f t="shared" si="3"/>
        <v>No</v>
      </c>
    </row>
    <row r="198">
      <c r="A198" s="1" t="s">
        <v>226</v>
      </c>
      <c r="B198" s="1">
        <v>0.0</v>
      </c>
      <c r="C198" s="1">
        <v>0.0</v>
      </c>
      <c r="D198" s="1">
        <v>0.0</v>
      </c>
      <c r="E198" s="1">
        <v>170.79</v>
      </c>
      <c r="F198" s="54">
        <v>44391.0</v>
      </c>
      <c r="G198" s="1">
        <v>0.0</v>
      </c>
      <c r="H198" s="1">
        <v>163.45</v>
      </c>
      <c r="I198" s="14">
        <v>44393.0</v>
      </c>
      <c r="J198" s="1" t="s">
        <v>4308</v>
      </c>
      <c r="K198" s="15" t="s">
        <v>4505</v>
      </c>
      <c r="L198" s="60" t="str">
        <f t="shared" si="1"/>
        <v>Not in buy Zone</v>
      </c>
      <c r="M198" s="60" t="str">
        <f t="shared" si="2"/>
        <v>Not in buy Zone</v>
      </c>
      <c r="N198" s="33" t="str">
        <f t="shared" si="3"/>
        <v>No</v>
      </c>
    </row>
    <row r="199">
      <c r="A199" s="1" t="s">
        <v>227</v>
      </c>
      <c r="B199" s="1">
        <v>0.0</v>
      </c>
      <c r="C199" s="1">
        <v>0.0</v>
      </c>
      <c r="D199" s="1">
        <v>0.0</v>
      </c>
      <c r="E199" s="1">
        <v>79.89</v>
      </c>
      <c r="F199" s="54">
        <v>44385.0</v>
      </c>
      <c r="G199" s="1">
        <v>0.0</v>
      </c>
      <c r="H199" s="1">
        <v>73.91</v>
      </c>
      <c r="I199" s="14">
        <v>44393.0</v>
      </c>
      <c r="J199" s="1" t="s">
        <v>4308</v>
      </c>
      <c r="K199" s="15" t="s">
        <v>4506</v>
      </c>
      <c r="L199" s="60" t="str">
        <f t="shared" si="1"/>
        <v>Not in buy Zone</v>
      </c>
      <c r="M199" s="60" t="str">
        <f t="shared" si="2"/>
        <v>Not in buy Zone</v>
      </c>
      <c r="N199" s="33" t="str">
        <f t="shared" si="3"/>
        <v>No</v>
      </c>
    </row>
    <row r="200">
      <c r="A200" s="1" t="s">
        <v>228</v>
      </c>
      <c r="B200" s="1">
        <v>0.0</v>
      </c>
      <c r="C200" s="1">
        <v>0.0</v>
      </c>
      <c r="D200" s="1">
        <v>0.0</v>
      </c>
      <c r="E200" s="1">
        <v>33.38</v>
      </c>
      <c r="F200" s="54">
        <v>44327.0</v>
      </c>
      <c r="G200" s="1">
        <v>0.0</v>
      </c>
      <c r="H200" s="1">
        <v>28.83</v>
      </c>
      <c r="I200" s="14">
        <v>44393.0</v>
      </c>
      <c r="J200" s="1" t="s">
        <v>4308</v>
      </c>
      <c r="K200" s="15" t="s">
        <v>4507</v>
      </c>
      <c r="L200" s="60" t="str">
        <f t="shared" si="1"/>
        <v>Not in buy Zone</v>
      </c>
      <c r="M200" s="60" t="str">
        <f t="shared" si="2"/>
        <v>Not in buy Zone</v>
      </c>
      <c r="N200" s="33" t="str">
        <f t="shared" si="3"/>
        <v>No</v>
      </c>
    </row>
    <row r="201">
      <c r="A201" s="1" t="s">
        <v>229</v>
      </c>
      <c r="B201" s="1">
        <v>0.0</v>
      </c>
      <c r="C201" s="1">
        <v>0.0</v>
      </c>
      <c r="D201" s="1">
        <v>827.81</v>
      </c>
      <c r="E201" s="1">
        <v>0.0</v>
      </c>
      <c r="F201" s="54">
        <v>44384.0</v>
      </c>
      <c r="G201" s="1">
        <v>0.0</v>
      </c>
      <c r="H201" s="1">
        <v>831.47</v>
      </c>
      <c r="I201" s="14">
        <v>44393.0</v>
      </c>
      <c r="J201" s="1" t="s">
        <v>4308</v>
      </c>
      <c r="K201" s="15" t="s">
        <v>4508</v>
      </c>
      <c r="L201" s="60" t="str">
        <f t="shared" si="1"/>
        <v>Not in buy Zone</v>
      </c>
      <c r="M201" s="60" t="str">
        <f t="shared" si="2"/>
        <v>Not in buy Zone</v>
      </c>
      <c r="N201" s="33" t="str">
        <f t="shared" si="3"/>
        <v>No</v>
      </c>
    </row>
    <row r="202">
      <c r="A202" s="1" t="s">
        <v>230</v>
      </c>
      <c r="B202" s="1">
        <v>0.0</v>
      </c>
      <c r="C202" s="1">
        <v>0.0</v>
      </c>
      <c r="D202" s="1">
        <v>80.36</v>
      </c>
      <c r="E202" s="1">
        <v>0.0</v>
      </c>
      <c r="F202" s="54">
        <v>44385.0</v>
      </c>
      <c r="G202" s="1">
        <v>0.0</v>
      </c>
      <c r="H202" s="1">
        <v>83.76</v>
      </c>
      <c r="I202" s="14">
        <v>44393.0</v>
      </c>
      <c r="J202" s="1" t="s">
        <v>4308</v>
      </c>
      <c r="K202" s="15" t="s">
        <v>4509</v>
      </c>
      <c r="L202" s="60" t="str">
        <f t="shared" si="1"/>
        <v>Not in buy Zone</v>
      </c>
      <c r="M202" s="60" t="str">
        <f t="shared" si="2"/>
        <v>Not in buy Zone</v>
      </c>
      <c r="N202" s="33" t="str">
        <f t="shared" si="3"/>
        <v>No</v>
      </c>
    </row>
    <row r="203">
      <c r="A203" s="1" t="s">
        <v>231</v>
      </c>
      <c r="B203" s="1">
        <v>0.0</v>
      </c>
      <c r="C203" s="1">
        <v>0.0</v>
      </c>
      <c r="D203" s="1">
        <v>82.7</v>
      </c>
      <c r="E203" s="1">
        <v>0.0</v>
      </c>
      <c r="F203" s="54">
        <v>44384.0</v>
      </c>
      <c r="G203" s="1">
        <v>0.0</v>
      </c>
      <c r="H203" s="1">
        <v>87.36</v>
      </c>
      <c r="I203" s="14">
        <v>44393.0</v>
      </c>
      <c r="J203" s="1" t="s">
        <v>4308</v>
      </c>
      <c r="K203" s="15" t="s">
        <v>4510</v>
      </c>
      <c r="L203" s="60" t="str">
        <f t="shared" si="1"/>
        <v>Not in buy Zone</v>
      </c>
      <c r="M203" s="60" t="str">
        <f t="shared" si="2"/>
        <v>Not in buy Zone</v>
      </c>
      <c r="N203" s="33" t="str">
        <f t="shared" si="3"/>
        <v>No</v>
      </c>
    </row>
    <row r="204">
      <c r="A204" s="1" t="s">
        <v>232</v>
      </c>
      <c r="B204" s="1">
        <v>0.0</v>
      </c>
      <c r="C204" s="1">
        <v>0.0</v>
      </c>
      <c r="D204" s="1">
        <v>312.88</v>
      </c>
      <c r="E204" s="1">
        <v>0.0</v>
      </c>
      <c r="F204" s="54">
        <v>44384.0</v>
      </c>
      <c r="G204" s="1">
        <v>0.0</v>
      </c>
      <c r="H204" s="1">
        <v>328.33</v>
      </c>
      <c r="I204" s="14">
        <v>44393.0</v>
      </c>
      <c r="J204" s="1" t="s">
        <v>4308</v>
      </c>
      <c r="K204" s="15" t="s">
        <v>4511</v>
      </c>
      <c r="L204" s="60" t="str">
        <f t="shared" si="1"/>
        <v>Not in buy Zone</v>
      </c>
      <c r="M204" s="60" t="str">
        <f t="shared" si="2"/>
        <v>Not in buy Zone</v>
      </c>
      <c r="N204" s="33" t="str">
        <f t="shared" si="3"/>
        <v>No</v>
      </c>
    </row>
    <row r="205">
      <c r="A205" s="1" t="s">
        <v>233</v>
      </c>
      <c r="B205" s="1">
        <v>0.0</v>
      </c>
      <c r="C205" s="1">
        <v>0.0</v>
      </c>
      <c r="D205" s="1">
        <v>146.69</v>
      </c>
      <c r="E205" s="1">
        <v>0.0</v>
      </c>
      <c r="F205" s="54">
        <v>44372.0</v>
      </c>
      <c r="G205" s="1">
        <v>0.0</v>
      </c>
      <c r="H205" s="1">
        <v>152.74</v>
      </c>
      <c r="I205" s="14">
        <v>44393.0</v>
      </c>
      <c r="J205" s="1" t="s">
        <v>4308</v>
      </c>
      <c r="K205" s="15" t="s">
        <v>4512</v>
      </c>
      <c r="L205" s="60" t="str">
        <f t="shared" si="1"/>
        <v>Not in buy Zone</v>
      </c>
      <c r="M205" s="60" t="str">
        <f t="shared" si="2"/>
        <v>Not in buy Zone</v>
      </c>
      <c r="N205" s="33" t="str">
        <f t="shared" si="3"/>
        <v>No</v>
      </c>
    </row>
    <row r="206">
      <c r="A206" s="1" t="s">
        <v>234</v>
      </c>
      <c r="B206" s="1">
        <v>0.0</v>
      </c>
      <c r="C206" s="1">
        <v>0.0</v>
      </c>
      <c r="D206" s="1">
        <v>103.62</v>
      </c>
      <c r="E206" s="1">
        <v>0.0</v>
      </c>
      <c r="F206" s="54">
        <v>44392.0</v>
      </c>
      <c r="G206" s="1">
        <v>0.0</v>
      </c>
      <c r="H206" s="1">
        <v>104.72</v>
      </c>
      <c r="I206" s="14">
        <v>44393.0</v>
      </c>
      <c r="J206" s="1" t="s">
        <v>4308</v>
      </c>
      <c r="K206" s="15" t="s">
        <v>4513</v>
      </c>
      <c r="L206" s="60" t="str">
        <f t="shared" si="1"/>
        <v>Not in buy Zone</v>
      </c>
      <c r="M206" s="60" t="str">
        <f t="shared" si="2"/>
        <v>Not in buy Zone</v>
      </c>
      <c r="N206" s="33" t="str">
        <f t="shared" si="3"/>
        <v>No</v>
      </c>
    </row>
    <row r="207">
      <c r="A207" s="1" t="s">
        <v>235</v>
      </c>
      <c r="B207" s="1">
        <v>0.0</v>
      </c>
      <c r="C207" s="1">
        <v>0.0</v>
      </c>
      <c r="D207" s="1">
        <v>0.0</v>
      </c>
      <c r="E207" s="1">
        <v>188.5</v>
      </c>
      <c r="F207" s="54">
        <v>44390.0</v>
      </c>
      <c r="G207" s="1">
        <v>0.0</v>
      </c>
      <c r="H207" s="1">
        <v>184.42</v>
      </c>
      <c r="I207" s="14">
        <v>44393.0</v>
      </c>
      <c r="J207" s="1" t="s">
        <v>4308</v>
      </c>
      <c r="K207" s="15" t="s">
        <v>4514</v>
      </c>
      <c r="L207" s="60" t="str">
        <f t="shared" si="1"/>
        <v>Not in buy Zone</v>
      </c>
      <c r="M207" s="60" t="str">
        <f t="shared" si="2"/>
        <v>Not in buy Zone</v>
      </c>
      <c r="N207" s="33" t="str">
        <f t="shared" si="3"/>
        <v>No</v>
      </c>
    </row>
    <row r="208">
      <c r="A208" s="1" t="s">
        <v>236</v>
      </c>
      <c r="B208" s="1">
        <v>0.0</v>
      </c>
      <c r="C208" s="1">
        <v>0.0</v>
      </c>
      <c r="D208" s="1">
        <v>63.23</v>
      </c>
      <c r="E208" s="1">
        <v>0.0</v>
      </c>
      <c r="F208" s="54">
        <v>44392.0</v>
      </c>
      <c r="G208" s="1">
        <v>0.0</v>
      </c>
      <c r="H208" s="1">
        <v>64.56</v>
      </c>
      <c r="I208" s="14">
        <v>44393.0</v>
      </c>
      <c r="J208" s="1" t="s">
        <v>4308</v>
      </c>
      <c r="K208" s="15" t="s">
        <v>4515</v>
      </c>
      <c r="L208" s="60" t="str">
        <f t="shared" si="1"/>
        <v>Not in buy Zone</v>
      </c>
      <c r="M208" s="60" t="str">
        <f t="shared" si="2"/>
        <v>Not in buy Zone</v>
      </c>
      <c r="N208" s="33" t="str">
        <f t="shared" si="3"/>
        <v>No</v>
      </c>
    </row>
    <row r="209">
      <c r="A209" s="1" t="s">
        <v>237</v>
      </c>
      <c r="B209" s="1">
        <v>0.0</v>
      </c>
      <c r="C209" s="1">
        <v>0.0</v>
      </c>
      <c r="D209" s="1">
        <v>92.8</v>
      </c>
      <c r="E209" s="1">
        <v>0.0</v>
      </c>
      <c r="F209" s="54">
        <v>44336.0</v>
      </c>
      <c r="G209" s="1">
        <v>0.0</v>
      </c>
      <c r="H209" s="1">
        <v>106.92</v>
      </c>
      <c r="I209" s="14">
        <v>44393.0</v>
      </c>
      <c r="J209" s="1" t="s">
        <v>4308</v>
      </c>
      <c r="K209" s="15" t="s">
        <v>4516</v>
      </c>
      <c r="L209" s="60" t="str">
        <f t="shared" si="1"/>
        <v>Not in buy Zone</v>
      </c>
      <c r="M209" s="60" t="str">
        <f t="shared" si="2"/>
        <v>Not in buy Zone</v>
      </c>
      <c r="N209" s="33" t="str">
        <f t="shared" si="3"/>
        <v>No</v>
      </c>
    </row>
    <row r="210">
      <c r="A210" s="1" t="s">
        <v>238</v>
      </c>
      <c r="B210" s="1">
        <v>0.0</v>
      </c>
      <c r="C210" s="1">
        <v>0.0</v>
      </c>
      <c r="D210" s="1">
        <v>0.0</v>
      </c>
      <c r="E210" s="1">
        <v>36.68</v>
      </c>
      <c r="F210" s="54">
        <v>44385.0</v>
      </c>
      <c r="G210" s="1">
        <v>0.0</v>
      </c>
      <c r="H210" s="1">
        <v>36.33</v>
      </c>
      <c r="I210" s="14">
        <v>44393.0</v>
      </c>
      <c r="J210" s="1" t="s">
        <v>4308</v>
      </c>
      <c r="K210" s="15" t="s">
        <v>4517</v>
      </c>
      <c r="L210" s="60" t="str">
        <f t="shared" si="1"/>
        <v>Not in buy Zone</v>
      </c>
      <c r="M210" s="60" t="str">
        <f t="shared" si="2"/>
        <v>Not in buy Zone</v>
      </c>
      <c r="N210" s="33" t="str">
        <f t="shared" si="3"/>
        <v>No</v>
      </c>
    </row>
    <row r="211">
      <c r="A211" s="1" t="s">
        <v>239</v>
      </c>
      <c r="B211" s="1">
        <v>0.0</v>
      </c>
      <c r="C211" s="1">
        <v>0.0</v>
      </c>
      <c r="D211" s="1">
        <v>35.14</v>
      </c>
      <c r="E211" s="1">
        <v>0.0</v>
      </c>
      <c r="F211" s="54">
        <v>44389.0</v>
      </c>
      <c r="G211" s="1">
        <v>0.0</v>
      </c>
      <c r="H211" s="1">
        <v>34.31</v>
      </c>
      <c r="I211" s="14">
        <v>44393.0</v>
      </c>
      <c r="J211" s="1" t="s">
        <v>4308</v>
      </c>
      <c r="K211" s="15" t="s">
        <v>4518</v>
      </c>
      <c r="L211" s="60" t="str">
        <f t="shared" si="1"/>
        <v>Not in buy Zone</v>
      </c>
      <c r="M211" s="60" t="str">
        <f t="shared" si="2"/>
        <v>Not in buy Zone</v>
      </c>
      <c r="N211" s="33" t="str">
        <f t="shared" si="3"/>
        <v>No</v>
      </c>
    </row>
    <row r="212">
      <c r="A212" s="1" t="s">
        <v>240</v>
      </c>
      <c r="B212" s="1">
        <v>0.0</v>
      </c>
      <c r="C212" s="1">
        <v>0.0</v>
      </c>
      <c r="D212" s="1">
        <v>0.0</v>
      </c>
      <c r="E212" s="1">
        <v>26.54</v>
      </c>
      <c r="F212" s="54">
        <v>44383.0</v>
      </c>
      <c r="G212" s="1">
        <v>0.0</v>
      </c>
      <c r="H212" s="1">
        <v>26.86</v>
      </c>
      <c r="I212" s="14">
        <v>44393.0</v>
      </c>
      <c r="J212" s="1" t="s">
        <v>4308</v>
      </c>
      <c r="K212" s="15" t="s">
        <v>4519</v>
      </c>
      <c r="L212" s="60" t="str">
        <f t="shared" si="1"/>
        <v>Not in buy Zone</v>
      </c>
      <c r="M212" s="60" t="str">
        <f t="shared" si="2"/>
        <v>Not in buy Zone</v>
      </c>
      <c r="N212" s="33" t="str">
        <f t="shared" si="3"/>
        <v>No</v>
      </c>
    </row>
    <row r="213">
      <c r="A213" s="1" t="s">
        <v>241</v>
      </c>
      <c r="B213" s="1">
        <v>0.0</v>
      </c>
      <c r="C213" s="1">
        <v>67.22</v>
      </c>
      <c r="D213" s="1">
        <v>0.0</v>
      </c>
      <c r="E213" s="1">
        <v>0.0</v>
      </c>
      <c r="F213" s="54">
        <v>44393.0</v>
      </c>
      <c r="G213" s="1">
        <v>-1.0</v>
      </c>
      <c r="H213" s="1">
        <v>67.22</v>
      </c>
      <c r="I213" s="14">
        <v>44393.0</v>
      </c>
      <c r="J213" s="1" t="s">
        <v>4308</v>
      </c>
      <c r="K213" s="15" t="s">
        <v>4520</v>
      </c>
      <c r="L213" s="60" t="str">
        <f t="shared" si="1"/>
        <v>Not in buy Zone</v>
      </c>
      <c r="M213" s="60" t="str">
        <f t="shared" si="2"/>
        <v>Not in buy Zone</v>
      </c>
      <c r="N213" s="33" t="str">
        <f t="shared" si="3"/>
        <v>No</v>
      </c>
    </row>
    <row r="214">
      <c r="A214" s="1" t="s">
        <v>242</v>
      </c>
      <c r="B214" s="1">
        <v>0.0</v>
      </c>
      <c r="C214" s="1">
        <v>0.0</v>
      </c>
      <c r="D214" s="1">
        <v>63.53</v>
      </c>
      <c r="E214" s="1">
        <v>0.0</v>
      </c>
      <c r="F214" s="54">
        <v>44372.0</v>
      </c>
      <c r="G214" s="1">
        <v>0.0</v>
      </c>
      <c r="H214" s="1">
        <v>64.44</v>
      </c>
      <c r="I214" s="14">
        <v>44393.0</v>
      </c>
      <c r="J214" s="1" t="s">
        <v>4308</v>
      </c>
      <c r="K214" s="15" t="s">
        <v>4521</v>
      </c>
      <c r="L214" s="60" t="str">
        <f t="shared" si="1"/>
        <v>Not in buy Zone</v>
      </c>
      <c r="M214" s="60" t="str">
        <f t="shared" si="2"/>
        <v>Not in buy Zone</v>
      </c>
      <c r="N214" s="33" t="str">
        <f t="shared" si="3"/>
        <v>No</v>
      </c>
    </row>
    <row r="215">
      <c r="A215" s="1" t="s">
        <v>243</v>
      </c>
      <c r="B215" s="1">
        <v>0.0</v>
      </c>
      <c r="C215" s="1">
        <v>32.31</v>
      </c>
      <c r="D215" s="1">
        <v>0.0</v>
      </c>
      <c r="E215" s="1">
        <v>0.0</v>
      </c>
      <c r="F215" s="54">
        <v>44393.0</v>
      </c>
      <c r="G215" s="1">
        <v>-1.0</v>
      </c>
      <c r="H215" s="1">
        <v>32.31</v>
      </c>
      <c r="I215" s="14">
        <v>44393.0</v>
      </c>
      <c r="J215" s="1" t="s">
        <v>4308</v>
      </c>
      <c r="K215" s="15" t="s">
        <v>4522</v>
      </c>
      <c r="L215" s="60" t="str">
        <f t="shared" si="1"/>
        <v>Not in buy Zone</v>
      </c>
      <c r="M215" s="60" t="str">
        <f t="shared" si="2"/>
        <v>Not in buy Zone</v>
      </c>
      <c r="N215" s="33" t="str">
        <f t="shared" si="3"/>
        <v>No</v>
      </c>
    </row>
    <row r="216">
      <c r="A216" s="1" t="s">
        <v>244</v>
      </c>
      <c r="B216" s="1">
        <v>0.0</v>
      </c>
      <c r="C216" s="1">
        <v>0.0</v>
      </c>
      <c r="D216" s="1">
        <v>91.66</v>
      </c>
      <c r="E216" s="1">
        <v>0.0</v>
      </c>
      <c r="F216" s="54">
        <v>44392.0</v>
      </c>
      <c r="G216" s="1">
        <v>0.0</v>
      </c>
      <c r="H216" s="1">
        <v>90.71</v>
      </c>
      <c r="I216" s="14">
        <v>44393.0</v>
      </c>
      <c r="J216" s="1" t="s">
        <v>4308</v>
      </c>
      <c r="K216" s="15" t="s">
        <v>4523</v>
      </c>
      <c r="L216" s="60" t="str">
        <f t="shared" si="1"/>
        <v>Not in buy Zone</v>
      </c>
      <c r="M216" s="60" t="str">
        <f t="shared" si="2"/>
        <v>Not in buy Zone</v>
      </c>
      <c r="N216" s="33" t="str">
        <f t="shared" si="3"/>
        <v>No</v>
      </c>
    </row>
    <row r="217">
      <c r="A217" s="1" t="s">
        <v>245</v>
      </c>
      <c r="B217" s="1">
        <v>0.0</v>
      </c>
      <c r="C217" s="1">
        <v>0.0</v>
      </c>
      <c r="D217" s="1">
        <v>40.28</v>
      </c>
      <c r="E217" s="1">
        <v>0.0</v>
      </c>
      <c r="F217" s="54">
        <v>44391.0</v>
      </c>
      <c r="G217" s="1">
        <v>0.0</v>
      </c>
      <c r="H217" s="1">
        <v>39.29</v>
      </c>
      <c r="I217" s="14">
        <v>44393.0</v>
      </c>
      <c r="J217" s="1" t="s">
        <v>4308</v>
      </c>
      <c r="K217" s="15" t="s">
        <v>4524</v>
      </c>
      <c r="L217" s="60" t="str">
        <f t="shared" si="1"/>
        <v>Not in buy Zone</v>
      </c>
      <c r="M217" s="60" t="str">
        <f t="shared" si="2"/>
        <v>Not in buy Zone</v>
      </c>
      <c r="N217" s="33" t="str">
        <f t="shared" si="3"/>
        <v>No</v>
      </c>
    </row>
    <row r="218">
      <c r="A218" s="1" t="s">
        <v>246</v>
      </c>
      <c r="B218" s="1">
        <v>0.0</v>
      </c>
      <c r="C218" s="1">
        <v>0.0</v>
      </c>
      <c r="D218" s="1">
        <v>45.73</v>
      </c>
      <c r="E218" s="1">
        <v>0.0</v>
      </c>
      <c r="F218" s="54">
        <v>44392.0</v>
      </c>
      <c r="G218" s="1">
        <v>0.0</v>
      </c>
      <c r="H218" s="1">
        <v>45.99</v>
      </c>
      <c r="I218" s="14">
        <v>44393.0</v>
      </c>
      <c r="J218" s="1" t="s">
        <v>4308</v>
      </c>
      <c r="K218" s="15" t="s">
        <v>4525</v>
      </c>
      <c r="L218" s="60" t="str">
        <f t="shared" si="1"/>
        <v>Not in buy Zone</v>
      </c>
      <c r="M218" s="60" t="str">
        <f t="shared" si="2"/>
        <v>Not in buy Zone</v>
      </c>
      <c r="N218" s="33" t="str">
        <f t="shared" si="3"/>
        <v>No</v>
      </c>
    </row>
    <row r="219">
      <c r="A219" s="1" t="s">
        <v>247</v>
      </c>
      <c r="B219" s="1">
        <v>0.0</v>
      </c>
      <c r="C219" s="1">
        <v>0.0</v>
      </c>
      <c r="D219" s="1">
        <v>125.71</v>
      </c>
      <c r="E219" s="1">
        <v>0.0</v>
      </c>
      <c r="F219" s="54">
        <v>44369.0</v>
      </c>
      <c r="G219" s="1">
        <v>0.0</v>
      </c>
      <c r="H219" s="1">
        <v>126.8</v>
      </c>
      <c r="I219" s="14">
        <v>44393.0</v>
      </c>
      <c r="J219" s="1" t="s">
        <v>4308</v>
      </c>
      <c r="K219" s="15" t="s">
        <v>4526</v>
      </c>
      <c r="L219" s="60" t="str">
        <f t="shared" si="1"/>
        <v>Not in buy Zone</v>
      </c>
      <c r="M219" s="60" t="str">
        <f t="shared" si="2"/>
        <v>Not in buy Zone</v>
      </c>
      <c r="N219" s="33" t="str">
        <f t="shared" si="3"/>
        <v>No</v>
      </c>
    </row>
    <row r="220">
      <c r="A220" s="1" t="s">
        <v>248</v>
      </c>
      <c r="B220" s="1">
        <v>0.0</v>
      </c>
      <c r="C220" s="1">
        <v>0.0</v>
      </c>
      <c r="D220" s="1">
        <v>0.0</v>
      </c>
      <c r="E220" s="1">
        <v>168.42</v>
      </c>
      <c r="F220" s="54">
        <v>44278.0</v>
      </c>
      <c r="G220" s="1">
        <v>0.0</v>
      </c>
      <c r="H220" s="1">
        <v>157.61</v>
      </c>
      <c r="I220" s="14">
        <v>44393.0</v>
      </c>
      <c r="J220" s="1" t="s">
        <v>4308</v>
      </c>
      <c r="K220" s="15" t="s">
        <v>4527</v>
      </c>
      <c r="L220" s="60" t="str">
        <f t="shared" si="1"/>
        <v>Not in buy Zone</v>
      </c>
      <c r="M220" s="60" t="str">
        <f t="shared" si="2"/>
        <v>Not in buy Zone</v>
      </c>
      <c r="N220" s="33" t="str">
        <f t="shared" si="3"/>
        <v>No</v>
      </c>
    </row>
    <row r="221">
      <c r="A221" s="1" t="s">
        <v>249</v>
      </c>
      <c r="B221" s="1">
        <v>0.0</v>
      </c>
      <c r="C221" s="1">
        <v>0.0</v>
      </c>
      <c r="D221" s="1">
        <v>149.81</v>
      </c>
      <c r="E221" s="1">
        <v>0.0</v>
      </c>
      <c r="F221" s="54">
        <v>44344.0</v>
      </c>
      <c r="G221" s="1">
        <v>0.0</v>
      </c>
      <c r="H221" s="1">
        <v>171.94</v>
      </c>
      <c r="I221" s="14">
        <v>44393.0</v>
      </c>
      <c r="J221" s="1" t="s">
        <v>4308</v>
      </c>
      <c r="K221" s="15" t="s">
        <v>4528</v>
      </c>
      <c r="L221" s="60" t="str">
        <f t="shared" si="1"/>
        <v>Not in buy Zone</v>
      </c>
      <c r="M221" s="60" t="str">
        <f t="shared" si="2"/>
        <v>Not in buy Zone</v>
      </c>
      <c r="N221" s="33" t="str">
        <f t="shared" si="3"/>
        <v>No</v>
      </c>
    </row>
    <row r="222">
      <c r="A222" s="1" t="s">
        <v>250</v>
      </c>
      <c r="B222" s="1">
        <v>0.0</v>
      </c>
      <c r="C222" s="1">
        <v>48.58</v>
      </c>
      <c r="D222" s="1">
        <v>0.0</v>
      </c>
      <c r="E222" s="1">
        <v>0.0</v>
      </c>
      <c r="F222" s="54">
        <v>44393.0</v>
      </c>
      <c r="G222" s="1">
        <v>-1.0</v>
      </c>
      <c r="H222" s="1">
        <v>48.58</v>
      </c>
      <c r="I222" s="14">
        <v>44393.0</v>
      </c>
      <c r="J222" s="1" t="s">
        <v>4308</v>
      </c>
      <c r="K222" s="15" t="s">
        <v>4529</v>
      </c>
      <c r="L222" s="60" t="str">
        <f t="shared" si="1"/>
        <v>Not in buy Zone</v>
      </c>
      <c r="M222" s="60" t="str">
        <f t="shared" si="2"/>
        <v>Not in buy Zone</v>
      </c>
      <c r="N222" s="33" t="str">
        <f t="shared" si="3"/>
        <v>No</v>
      </c>
    </row>
    <row r="223">
      <c r="A223" s="1" t="s">
        <v>251</v>
      </c>
      <c r="B223" s="1">
        <v>0.0</v>
      </c>
      <c r="C223" s="1">
        <v>0.0</v>
      </c>
      <c r="D223" s="1">
        <v>0.0</v>
      </c>
      <c r="E223" s="1">
        <v>14.87</v>
      </c>
      <c r="F223" s="54">
        <v>44361.0</v>
      </c>
      <c r="G223" s="1">
        <v>0.0</v>
      </c>
      <c r="H223" s="1">
        <v>13.61</v>
      </c>
      <c r="I223" s="14">
        <v>44393.0</v>
      </c>
      <c r="J223" s="1" t="s">
        <v>4308</v>
      </c>
      <c r="K223" s="15" t="s">
        <v>4530</v>
      </c>
      <c r="L223" s="60" t="str">
        <f t="shared" si="1"/>
        <v>Not in buy Zone</v>
      </c>
      <c r="M223" s="60" t="str">
        <f t="shared" si="2"/>
        <v>Not in buy Zone</v>
      </c>
      <c r="N223" s="33" t="str">
        <f t="shared" si="3"/>
        <v>No</v>
      </c>
    </row>
    <row r="224">
      <c r="A224" s="1" t="s">
        <v>252</v>
      </c>
      <c r="B224" s="1">
        <v>0.0</v>
      </c>
      <c r="C224" s="1">
        <v>0.0</v>
      </c>
      <c r="D224" s="1">
        <v>0.0</v>
      </c>
      <c r="E224" s="1">
        <v>87.99</v>
      </c>
      <c r="F224" s="54">
        <v>44384.0</v>
      </c>
      <c r="G224" s="1">
        <v>0.0</v>
      </c>
      <c r="H224" s="1">
        <v>78.36</v>
      </c>
      <c r="I224" s="14">
        <v>44393.0</v>
      </c>
      <c r="J224" s="1" t="s">
        <v>4308</v>
      </c>
      <c r="K224" s="15" t="s">
        <v>4531</v>
      </c>
      <c r="L224" s="60" t="str">
        <f t="shared" si="1"/>
        <v>Not in buy Zone</v>
      </c>
      <c r="M224" s="60" t="str">
        <f t="shared" si="2"/>
        <v>Not in buy Zone</v>
      </c>
      <c r="N224" s="33" t="str">
        <f t="shared" si="3"/>
        <v>No</v>
      </c>
    </row>
    <row r="225">
      <c r="A225" s="1" t="s">
        <v>253</v>
      </c>
      <c r="B225" s="1">
        <v>0.0</v>
      </c>
      <c r="C225" s="1">
        <v>0.0</v>
      </c>
      <c r="D225" s="1">
        <v>52.6</v>
      </c>
      <c r="E225" s="1">
        <v>0.0</v>
      </c>
      <c r="F225" s="54">
        <v>44379.0</v>
      </c>
      <c r="G225" s="1">
        <v>0.0</v>
      </c>
      <c r="H225" s="1">
        <v>53.59</v>
      </c>
      <c r="I225" s="14">
        <v>44393.0</v>
      </c>
      <c r="J225" s="1" t="s">
        <v>4308</v>
      </c>
      <c r="K225" s="15" t="s">
        <v>4532</v>
      </c>
      <c r="L225" s="60" t="str">
        <f t="shared" si="1"/>
        <v>Not in buy Zone</v>
      </c>
      <c r="M225" s="60" t="str">
        <f t="shared" si="2"/>
        <v>Not in buy Zone</v>
      </c>
      <c r="N225" s="33" t="str">
        <f t="shared" si="3"/>
        <v>No</v>
      </c>
    </row>
    <row r="226">
      <c r="A226" s="1" t="s">
        <v>254</v>
      </c>
      <c r="B226" s="1">
        <v>0.0</v>
      </c>
      <c r="C226" s="1">
        <v>0.0</v>
      </c>
      <c r="D226" s="1">
        <v>318.61</v>
      </c>
      <c r="E226" s="1">
        <v>0.0</v>
      </c>
      <c r="F226" s="54">
        <v>44336.0</v>
      </c>
      <c r="G226" s="1">
        <v>0.0</v>
      </c>
      <c r="H226" s="1">
        <v>341.16</v>
      </c>
      <c r="I226" s="14">
        <v>44393.0</v>
      </c>
      <c r="J226" s="1" t="s">
        <v>4308</v>
      </c>
      <c r="K226" s="15" t="s">
        <v>4533</v>
      </c>
      <c r="L226" s="60" t="str">
        <f t="shared" si="1"/>
        <v>Not in buy Zone</v>
      </c>
      <c r="M226" s="60" t="str">
        <f t="shared" si="2"/>
        <v>Not in buy Zone</v>
      </c>
      <c r="N226" s="33" t="str">
        <f t="shared" si="3"/>
        <v>No</v>
      </c>
    </row>
    <row r="227">
      <c r="A227" s="1" t="s">
        <v>255</v>
      </c>
      <c r="B227" s="1">
        <v>0.0</v>
      </c>
      <c r="C227" s="1">
        <v>0.0</v>
      </c>
      <c r="D227" s="1">
        <v>0.0</v>
      </c>
      <c r="E227" s="1">
        <v>103.72</v>
      </c>
      <c r="F227" s="54">
        <v>44328.0</v>
      </c>
      <c r="G227" s="1">
        <v>0.0</v>
      </c>
      <c r="H227" s="1">
        <v>95.41</v>
      </c>
      <c r="I227" s="14">
        <v>44393.0</v>
      </c>
      <c r="J227" s="1" t="s">
        <v>4308</v>
      </c>
      <c r="K227" s="15" t="s">
        <v>4534</v>
      </c>
      <c r="L227" s="60" t="str">
        <f t="shared" si="1"/>
        <v>Not in buy Zone</v>
      </c>
      <c r="M227" s="60" t="str">
        <f t="shared" si="2"/>
        <v>Not in buy Zone</v>
      </c>
      <c r="N227" s="33" t="str">
        <f t="shared" si="3"/>
        <v>No</v>
      </c>
    </row>
    <row r="228">
      <c r="A228" s="1" t="s">
        <v>256</v>
      </c>
      <c r="B228" s="1">
        <v>0.0</v>
      </c>
      <c r="C228" s="1">
        <v>0.0</v>
      </c>
      <c r="D228" s="1">
        <v>0.0</v>
      </c>
      <c r="E228" s="1">
        <v>40.14</v>
      </c>
      <c r="F228" s="54">
        <v>44357.0</v>
      </c>
      <c r="G228" s="1">
        <v>0.0</v>
      </c>
      <c r="H228" s="1">
        <v>33.2</v>
      </c>
      <c r="I228" s="14">
        <v>44393.0</v>
      </c>
      <c r="J228" s="1" t="s">
        <v>4308</v>
      </c>
      <c r="K228" s="15" t="s">
        <v>4535</v>
      </c>
      <c r="L228" s="60" t="str">
        <f t="shared" si="1"/>
        <v>Not in buy Zone</v>
      </c>
      <c r="M228" s="60" t="str">
        <f t="shared" si="2"/>
        <v>Not in buy Zone</v>
      </c>
      <c r="N228" s="33" t="str">
        <f t="shared" si="3"/>
        <v>No</v>
      </c>
    </row>
    <row r="229">
      <c r="A229" s="1" t="s">
        <v>257</v>
      </c>
      <c r="B229" s="1">
        <v>0.0</v>
      </c>
      <c r="C229" s="1">
        <v>0.0</v>
      </c>
      <c r="D229" s="1">
        <v>303.69</v>
      </c>
      <c r="E229" s="1">
        <v>0.0</v>
      </c>
      <c r="F229" s="54">
        <v>44371.0</v>
      </c>
      <c r="G229" s="1">
        <v>0.0</v>
      </c>
      <c r="H229" s="1">
        <v>292.49</v>
      </c>
      <c r="I229" s="14">
        <v>44393.0</v>
      </c>
      <c r="J229" s="1" t="s">
        <v>4308</v>
      </c>
      <c r="K229" s="15" t="s">
        <v>4536</v>
      </c>
      <c r="L229" s="60" t="str">
        <f t="shared" si="1"/>
        <v>Not in buy Zone</v>
      </c>
      <c r="M229" s="60" t="str">
        <f t="shared" si="2"/>
        <v>Not in buy Zone</v>
      </c>
      <c r="N229" s="33" t="str">
        <f t="shared" si="3"/>
        <v>No</v>
      </c>
    </row>
    <row r="230">
      <c r="A230" s="1" t="s">
        <v>258</v>
      </c>
      <c r="B230" s="1">
        <v>0.0</v>
      </c>
      <c r="C230" s="1">
        <v>0.0</v>
      </c>
      <c r="D230" s="1">
        <v>0.0</v>
      </c>
      <c r="E230" s="1">
        <v>37.72</v>
      </c>
      <c r="F230" s="54">
        <v>44364.0</v>
      </c>
      <c r="G230" s="1">
        <v>0.0</v>
      </c>
      <c r="H230" s="1">
        <v>37.79</v>
      </c>
      <c r="I230" s="14">
        <v>44393.0</v>
      </c>
      <c r="J230" s="1" t="s">
        <v>4308</v>
      </c>
      <c r="K230" s="15" t="s">
        <v>4537</v>
      </c>
      <c r="L230" s="60" t="str">
        <f t="shared" si="1"/>
        <v>Not in buy Zone</v>
      </c>
      <c r="M230" s="60" t="str">
        <f t="shared" si="2"/>
        <v>Not in buy Zone</v>
      </c>
      <c r="N230" s="33" t="str">
        <f t="shared" si="3"/>
        <v>No</v>
      </c>
    </row>
    <row r="231">
      <c r="A231" s="1" t="s">
        <v>259</v>
      </c>
      <c r="B231" s="1">
        <v>0.0</v>
      </c>
      <c r="C231" s="1">
        <v>0.0</v>
      </c>
      <c r="D231" s="1">
        <v>0.0</v>
      </c>
      <c r="E231" s="1">
        <v>183.51</v>
      </c>
      <c r="F231" s="54">
        <v>44365.0</v>
      </c>
      <c r="G231" s="1">
        <v>0.0</v>
      </c>
      <c r="H231" s="1">
        <v>185.63</v>
      </c>
      <c r="I231" s="14">
        <v>44393.0</v>
      </c>
      <c r="J231" s="1" t="s">
        <v>4308</v>
      </c>
      <c r="K231" s="15" t="s">
        <v>4538</v>
      </c>
      <c r="L231" s="60" t="str">
        <f t="shared" si="1"/>
        <v>Not in buy Zone</v>
      </c>
      <c r="M231" s="60" t="str">
        <f t="shared" si="2"/>
        <v>Not in buy Zone</v>
      </c>
      <c r="N231" s="33" t="str">
        <f t="shared" si="3"/>
        <v>No</v>
      </c>
    </row>
    <row r="232">
      <c r="A232" s="1" t="s">
        <v>260</v>
      </c>
      <c r="B232" s="1">
        <v>0.0</v>
      </c>
      <c r="C232" s="1">
        <v>0.0</v>
      </c>
      <c r="D232" s="1">
        <v>148.02</v>
      </c>
      <c r="E232" s="1">
        <v>0.0</v>
      </c>
      <c r="F232" s="54">
        <v>44391.0</v>
      </c>
      <c r="G232" s="1">
        <v>0.0</v>
      </c>
      <c r="H232" s="1">
        <v>148.54</v>
      </c>
      <c r="I232" s="14">
        <v>44393.0</v>
      </c>
      <c r="J232" s="1" t="s">
        <v>4308</v>
      </c>
      <c r="K232" s="15" t="s">
        <v>4539</v>
      </c>
      <c r="L232" s="60" t="str">
        <f t="shared" si="1"/>
        <v>Not in buy Zone</v>
      </c>
      <c r="M232" s="60" t="str">
        <f t="shared" si="2"/>
        <v>Not in buy Zone</v>
      </c>
      <c r="N232" s="33" t="str">
        <f t="shared" si="3"/>
        <v>No</v>
      </c>
    </row>
    <row r="233">
      <c r="A233" s="1" t="s">
        <v>261</v>
      </c>
      <c r="B233" s="1">
        <v>0.0</v>
      </c>
      <c r="C233" s="1">
        <v>0.0</v>
      </c>
      <c r="D233" s="1">
        <v>110.8</v>
      </c>
      <c r="E233" s="1">
        <v>0.0</v>
      </c>
      <c r="F233" s="54">
        <v>44392.0</v>
      </c>
      <c r="G233" s="1">
        <v>0.0</v>
      </c>
      <c r="H233" s="1">
        <v>111.2</v>
      </c>
      <c r="I233" s="14">
        <v>44393.0</v>
      </c>
      <c r="J233" s="1" t="s">
        <v>4308</v>
      </c>
      <c r="K233" s="15" t="s">
        <v>4540</v>
      </c>
      <c r="L233" s="60" t="str">
        <f t="shared" si="1"/>
        <v>Not in buy Zone</v>
      </c>
      <c r="M233" s="60" t="str">
        <f t="shared" si="2"/>
        <v>Not in buy Zone</v>
      </c>
      <c r="N233" s="33" t="str">
        <f t="shared" si="3"/>
        <v>No</v>
      </c>
    </row>
    <row r="234">
      <c r="A234" s="1" t="s">
        <v>262</v>
      </c>
      <c r="B234" s="1">
        <v>0.0</v>
      </c>
      <c r="C234" s="1">
        <v>0.0</v>
      </c>
      <c r="D234" s="1">
        <v>38.39</v>
      </c>
      <c r="E234" s="1">
        <v>0.0</v>
      </c>
      <c r="F234" s="54">
        <v>44389.0</v>
      </c>
      <c r="G234" s="1">
        <v>0.0</v>
      </c>
      <c r="H234" s="1">
        <v>36.4</v>
      </c>
      <c r="I234" s="14">
        <v>44393.0</v>
      </c>
      <c r="J234" s="1" t="s">
        <v>4308</v>
      </c>
      <c r="K234" s="15" t="s">
        <v>4541</v>
      </c>
      <c r="L234" s="60" t="str">
        <f t="shared" si="1"/>
        <v>Not in buy Zone</v>
      </c>
      <c r="M234" s="60" t="str">
        <f t="shared" si="2"/>
        <v>Not in buy Zone</v>
      </c>
      <c r="N234" s="33" t="str">
        <f t="shared" si="3"/>
        <v>No</v>
      </c>
    </row>
    <row r="235">
      <c r="A235" s="1" t="s">
        <v>263</v>
      </c>
      <c r="B235" s="1">
        <v>0.0</v>
      </c>
      <c r="C235" s="1">
        <v>0.0</v>
      </c>
      <c r="D235" s="1">
        <v>0.0</v>
      </c>
      <c r="E235" s="1">
        <v>277.91</v>
      </c>
      <c r="F235" s="54">
        <v>44327.0</v>
      </c>
      <c r="G235" s="1">
        <v>0.0</v>
      </c>
      <c r="H235" s="1">
        <v>255.18</v>
      </c>
      <c r="I235" s="14">
        <v>44393.0</v>
      </c>
      <c r="J235" s="1" t="s">
        <v>4308</v>
      </c>
      <c r="K235" s="15" t="s">
        <v>4542</v>
      </c>
      <c r="L235" s="60" t="str">
        <f t="shared" si="1"/>
        <v>Not in buy Zone</v>
      </c>
      <c r="M235" s="60" t="str">
        <f t="shared" si="2"/>
        <v>Not in buy Zone</v>
      </c>
      <c r="N235" s="33" t="str">
        <f t="shared" si="3"/>
        <v>No</v>
      </c>
    </row>
    <row r="236">
      <c r="A236" s="1" t="s">
        <v>264</v>
      </c>
      <c r="B236" s="1">
        <v>0.0</v>
      </c>
      <c r="C236" s="1">
        <v>0.0</v>
      </c>
      <c r="D236" s="1">
        <v>0.0</v>
      </c>
      <c r="E236" s="1">
        <v>114.95</v>
      </c>
      <c r="F236" s="54">
        <v>44328.0</v>
      </c>
      <c r="G236" s="1">
        <v>0.0</v>
      </c>
      <c r="H236" s="1">
        <v>105.14</v>
      </c>
      <c r="I236" s="14">
        <v>44393.0</v>
      </c>
      <c r="J236" s="1" t="s">
        <v>4308</v>
      </c>
      <c r="K236" s="15" t="s">
        <v>4543</v>
      </c>
      <c r="L236" s="60" t="str">
        <f t="shared" si="1"/>
        <v>Not in buy Zone</v>
      </c>
      <c r="M236" s="60" t="str">
        <f t="shared" si="2"/>
        <v>Not in buy Zone</v>
      </c>
      <c r="N236" s="33" t="str">
        <f t="shared" si="3"/>
        <v>No</v>
      </c>
    </row>
    <row r="237">
      <c r="A237" s="1" t="s">
        <v>265</v>
      </c>
      <c r="B237" s="1">
        <v>0.0</v>
      </c>
      <c r="C237" s="1">
        <v>0.0</v>
      </c>
      <c r="D237" s="1">
        <v>0.0</v>
      </c>
      <c r="E237" s="1">
        <v>35.16</v>
      </c>
      <c r="F237" s="54">
        <v>44350.0</v>
      </c>
      <c r="G237" s="1">
        <v>0.0</v>
      </c>
      <c r="H237" s="1">
        <v>33.37</v>
      </c>
      <c r="I237" s="14">
        <v>44393.0</v>
      </c>
      <c r="J237" s="1" t="s">
        <v>4308</v>
      </c>
      <c r="K237" s="15" t="s">
        <v>4544</v>
      </c>
      <c r="L237" s="60" t="str">
        <f t="shared" si="1"/>
        <v>Not in buy Zone</v>
      </c>
      <c r="M237" s="60" t="str">
        <f t="shared" si="2"/>
        <v>Not in buy Zone</v>
      </c>
      <c r="N237" s="33" t="str">
        <f t="shared" si="3"/>
        <v>No</v>
      </c>
    </row>
    <row r="238">
      <c r="A238" s="1" t="s">
        <v>266</v>
      </c>
      <c r="B238" s="1">
        <v>0.0</v>
      </c>
      <c r="C238" s="1">
        <v>0.0</v>
      </c>
      <c r="D238" s="1">
        <v>0.0</v>
      </c>
      <c r="E238" s="1">
        <v>36.83</v>
      </c>
      <c r="F238" s="54">
        <v>44376.0</v>
      </c>
      <c r="G238" s="1">
        <v>0.0</v>
      </c>
      <c r="H238" s="1">
        <v>35.28</v>
      </c>
      <c r="I238" s="14">
        <v>44393.0</v>
      </c>
      <c r="J238" s="1" t="s">
        <v>4308</v>
      </c>
      <c r="K238" s="15" t="s">
        <v>4545</v>
      </c>
      <c r="L238" s="60" t="str">
        <f t="shared" si="1"/>
        <v>Not in buy Zone</v>
      </c>
      <c r="M238" s="60" t="str">
        <f t="shared" si="2"/>
        <v>Not in buy Zone</v>
      </c>
      <c r="N238" s="33" t="str">
        <f t="shared" si="3"/>
        <v>No</v>
      </c>
    </row>
    <row r="239">
      <c r="A239" s="1" t="s">
        <v>267</v>
      </c>
      <c r="B239" s="1">
        <v>0.0</v>
      </c>
      <c r="C239" s="1">
        <v>0.0</v>
      </c>
      <c r="D239" s="1">
        <v>188.65</v>
      </c>
      <c r="E239" s="1">
        <v>0.0</v>
      </c>
      <c r="F239" s="54">
        <v>44372.0</v>
      </c>
      <c r="G239" s="1">
        <v>0.0</v>
      </c>
      <c r="H239" s="1">
        <v>195.53</v>
      </c>
      <c r="I239" s="14">
        <v>44393.0</v>
      </c>
      <c r="J239" s="1" t="s">
        <v>4308</v>
      </c>
      <c r="K239" s="15" t="s">
        <v>4546</v>
      </c>
      <c r="L239" s="60" t="str">
        <f t="shared" si="1"/>
        <v>Not in buy Zone</v>
      </c>
      <c r="M239" s="60" t="str">
        <f t="shared" si="2"/>
        <v>Not in buy Zone</v>
      </c>
      <c r="N239" s="33" t="str">
        <f t="shared" si="3"/>
        <v>No</v>
      </c>
    </row>
    <row r="240">
      <c r="A240" s="1" t="s">
        <v>268</v>
      </c>
      <c r="B240" s="1">
        <v>0.0</v>
      </c>
      <c r="C240" s="1">
        <v>0.0</v>
      </c>
      <c r="D240" s="1">
        <v>120.34</v>
      </c>
      <c r="E240" s="1">
        <v>0.0</v>
      </c>
      <c r="F240" s="54">
        <v>44389.0</v>
      </c>
      <c r="G240" s="1">
        <v>0.0</v>
      </c>
      <c r="H240" s="1">
        <v>117.15</v>
      </c>
      <c r="I240" s="14">
        <v>44393.0</v>
      </c>
      <c r="J240" s="1" t="s">
        <v>4308</v>
      </c>
      <c r="K240" s="15" t="s">
        <v>4547</v>
      </c>
      <c r="L240" s="60" t="str">
        <f t="shared" si="1"/>
        <v>Not in buy Zone</v>
      </c>
      <c r="M240" s="60" t="str">
        <f t="shared" si="2"/>
        <v>Not in buy Zone</v>
      </c>
      <c r="N240" s="33" t="str">
        <f t="shared" si="3"/>
        <v>No</v>
      </c>
    </row>
    <row r="241">
      <c r="A241" s="1" t="s">
        <v>269</v>
      </c>
      <c r="B241" s="1">
        <v>0.0</v>
      </c>
      <c r="C241" s="1">
        <v>0.0</v>
      </c>
      <c r="D241" s="1">
        <v>0.0</v>
      </c>
      <c r="E241" s="1">
        <v>85.6</v>
      </c>
      <c r="F241" s="54">
        <v>44392.0</v>
      </c>
      <c r="G241" s="1">
        <v>0.0</v>
      </c>
      <c r="H241" s="1">
        <v>83.49</v>
      </c>
      <c r="I241" s="14">
        <v>44393.0</v>
      </c>
      <c r="J241" s="1" t="s">
        <v>4308</v>
      </c>
      <c r="K241" s="15" t="s">
        <v>4548</v>
      </c>
      <c r="L241" s="60" t="str">
        <f t="shared" si="1"/>
        <v>Not in buy Zone</v>
      </c>
      <c r="M241" s="60" t="str">
        <f t="shared" si="2"/>
        <v>Not in buy Zone</v>
      </c>
      <c r="N241" s="33" t="str">
        <f t="shared" si="3"/>
        <v>No</v>
      </c>
    </row>
    <row r="242">
      <c r="A242" s="1" t="s">
        <v>270</v>
      </c>
      <c r="B242" s="1">
        <v>0.0</v>
      </c>
      <c r="C242" s="1">
        <v>0.0</v>
      </c>
      <c r="D242" s="1">
        <v>0.0</v>
      </c>
      <c r="E242" s="1">
        <v>54.37</v>
      </c>
      <c r="F242" s="54">
        <v>44384.0</v>
      </c>
      <c r="G242" s="1">
        <v>0.0</v>
      </c>
      <c r="H242" s="1">
        <v>49.99</v>
      </c>
      <c r="I242" s="14">
        <v>44393.0</v>
      </c>
      <c r="J242" s="1" t="s">
        <v>4308</v>
      </c>
      <c r="K242" s="15" t="s">
        <v>4549</v>
      </c>
      <c r="L242" s="60" t="str">
        <f t="shared" si="1"/>
        <v>Not in buy Zone</v>
      </c>
      <c r="M242" s="60" t="str">
        <f t="shared" si="2"/>
        <v>Not in buy Zone</v>
      </c>
      <c r="N242" s="33" t="str">
        <f t="shared" si="3"/>
        <v>No</v>
      </c>
    </row>
    <row r="243">
      <c r="A243" s="1" t="s">
        <v>271</v>
      </c>
      <c r="B243" s="1">
        <v>0.0</v>
      </c>
      <c r="C243" s="1">
        <v>0.0</v>
      </c>
      <c r="D243" s="1">
        <v>213.07</v>
      </c>
      <c r="E243" s="1">
        <v>0.0</v>
      </c>
      <c r="F243" s="54">
        <v>44340.0</v>
      </c>
      <c r="G243" s="1">
        <v>0.0</v>
      </c>
      <c r="H243" s="1">
        <v>258.44</v>
      </c>
      <c r="I243" s="14">
        <v>44393.0</v>
      </c>
      <c r="J243" s="1" t="s">
        <v>4308</v>
      </c>
      <c r="K243" s="15" t="s">
        <v>4550</v>
      </c>
      <c r="L243" s="60" t="str">
        <f t="shared" si="1"/>
        <v>Not in buy Zone</v>
      </c>
      <c r="M243" s="60" t="str">
        <f t="shared" si="2"/>
        <v>Not in buy Zone</v>
      </c>
      <c r="N243" s="33" t="str">
        <f t="shared" si="3"/>
        <v>No</v>
      </c>
    </row>
    <row r="244">
      <c r="A244" s="1" t="s">
        <v>272</v>
      </c>
      <c r="B244" s="1">
        <v>0.0</v>
      </c>
      <c r="C244" s="1">
        <v>0.0</v>
      </c>
      <c r="D244" s="1">
        <v>0.0</v>
      </c>
      <c r="E244" s="1">
        <v>70.47</v>
      </c>
      <c r="F244" s="54">
        <v>44357.0</v>
      </c>
      <c r="G244" s="1">
        <v>0.0</v>
      </c>
      <c r="H244" s="1">
        <v>69.91</v>
      </c>
      <c r="I244" s="14">
        <v>44393.0</v>
      </c>
      <c r="J244" s="1" t="s">
        <v>4308</v>
      </c>
      <c r="K244" s="15" t="s">
        <v>4551</v>
      </c>
      <c r="L244" s="60" t="str">
        <f t="shared" si="1"/>
        <v>Not in buy Zone</v>
      </c>
      <c r="M244" s="60" t="str">
        <f t="shared" si="2"/>
        <v>Not in buy Zone</v>
      </c>
      <c r="N244" s="33" t="str">
        <f t="shared" si="3"/>
        <v>No</v>
      </c>
    </row>
    <row r="245">
      <c r="A245" s="1" t="s">
        <v>273</v>
      </c>
      <c r="B245" s="1">
        <v>0.0</v>
      </c>
      <c r="C245" s="1">
        <v>0.0</v>
      </c>
      <c r="D245" s="1">
        <v>0.0</v>
      </c>
      <c r="E245" s="1">
        <v>29.11</v>
      </c>
      <c r="F245" s="54">
        <v>44383.0</v>
      </c>
      <c r="G245" s="1">
        <v>0.0</v>
      </c>
      <c r="H245" s="1">
        <v>25.97</v>
      </c>
      <c r="I245" s="14">
        <v>44393.0</v>
      </c>
      <c r="J245" s="1" t="s">
        <v>4308</v>
      </c>
      <c r="K245" s="15" t="s">
        <v>4552</v>
      </c>
      <c r="L245" s="60" t="str">
        <f t="shared" si="1"/>
        <v>Not in buy Zone</v>
      </c>
      <c r="M245" s="60" t="str">
        <f t="shared" si="2"/>
        <v>Not in buy Zone</v>
      </c>
      <c r="N245" s="33" t="str">
        <f t="shared" si="3"/>
        <v>No</v>
      </c>
    </row>
    <row r="246">
      <c r="A246" s="1" t="s">
        <v>274</v>
      </c>
      <c r="B246" s="1">
        <v>0.0</v>
      </c>
      <c r="C246" s="1">
        <v>0.0</v>
      </c>
      <c r="D246" s="1">
        <v>44.5</v>
      </c>
      <c r="E246" s="1">
        <v>0.0</v>
      </c>
      <c r="F246" s="54">
        <v>44390.0</v>
      </c>
      <c r="G246" s="1">
        <v>0.0</v>
      </c>
      <c r="H246" s="1">
        <v>44.4</v>
      </c>
      <c r="I246" s="14">
        <v>44393.0</v>
      </c>
      <c r="J246" s="1" t="s">
        <v>4308</v>
      </c>
      <c r="K246" s="15" t="s">
        <v>4553</v>
      </c>
      <c r="L246" s="60" t="str">
        <f t="shared" si="1"/>
        <v>Not in buy Zone</v>
      </c>
      <c r="M246" s="60" t="str">
        <f t="shared" si="2"/>
        <v>Not in buy Zone</v>
      </c>
      <c r="N246" s="33" t="str">
        <f t="shared" si="3"/>
        <v>No</v>
      </c>
    </row>
    <row r="247">
      <c r="A247" s="1" t="s">
        <v>275</v>
      </c>
      <c r="B247" s="1">
        <v>0.0</v>
      </c>
      <c r="C247" s="1">
        <v>0.0</v>
      </c>
      <c r="D247" s="1">
        <v>0.0</v>
      </c>
      <c r="E247" s="1">
        <v>27.7</v>
      </c>
      <c r="F247" s="54">
        <v>44368.0</v>
      </c>
      <c r="G247" s="1">
        <v>0.0</v>
      </c>
      <c r="H247" s="1">
        <v>25.52</v>
      </c>
      <c r="I247" s="14">
        <v>44392.0</v>
      </c>
      <c r="J247" s="1" t="s">
        <v>4308</v>
      </c>
      <c r="K247" s="15" t="s">
        <v>4554</v>
      </c>
      <c r="L247" s="60" t="str">
        <f t="shared" si="1"/>
        <v>Not in buy Zone</v>
      </c>
      <c r="M247" s="60" t="str">
        <f t="shared" si="2"/>
        <v>Not in buy Zone</v>
      </c>
      <c r="N247" s="33" t="str">
        <f t="shared" si="3"/>
        <v>No</v>
      </c>
    </row>
    <row r="248">
      <c r="A248" s="1" t="s">
        <v>276</v>
      </c>
      <c r="B248" s="1">
        <v>0.0</v>
      </c>
      <c r="C248" s="1">
        <v>0.0</v>
      </c>
      <c r="D248" s="1">
        <v>0.0</v>
      </c>
      <c r="E248" s="1">
        <v>185.15</v>
      </c>
      <c r="F248" s="54">
        <v>44365.0</v>
      </c>
      <c r="G248" s="1">
        <v>0.0</v>
      </c>
      <c r="H248" s="1">
        <v>189.28</v>
      </c>
      <c r="I248" s="14">
        <v>44393.0</v>
      </c>
      <c r="J248" s="1" t="s">
        <v>4308</v>
      </c>
      <c r="K248" s="15" t="s">
        <v>4555</v>
      </c>
      <c r="L248" s="60" t="str">
        <f t="shared" si="1"/>
        <v>Not in buy Zone</v>
      </c>
      <c r="M248" s="60" t="str">
        <f t="shared" si="2"/>
        <v>Not in buy Zone</v>
      </c>
      <c r="N248" s="33" t="str">
        <f t="shared" si="3"/>
        <v>No</v>
      </c>
    </row>
    <row r="249">
      <c r="A249" s="1" t="s">
        <v>277</v>
      </c>
      <c r="B249" s="1">
        <v>0.0</v>
      </c>
      <c r="C249" s="1">
        <v>0.0</v>
      </c>
      <c r="D249" s="1">
        <v>0.0</v>
      </c>
      <c r="E249" s="1">
        <v>37.59</v>
      </c>
      <c r="F249" s="54">
        <v>44362.0</v>
      </c>
      <c r="G249" s="1">
        <v>0.0</v>
      </c>
      <c r="H249" s="1">
        <v>33.92</v>
      </c>
      <c r="I249" s="14">
        <v>44393.0</v>
      </c>
      <c r="J249" s="1" t="s">
        <v>4308</v>
      </c>
      <c r="K249" s="15" t="s">
        <v>4556</v>
      </c>
      <c r="L249" s="60" t="str">
        <f t="shared" si="1"/>
        <v>Not in buy Zone</v>
      </c>
      <c r="M249" s="60" t="str">
        <f t="shared" si="2"/>
        <v>Not in buy Zone</v>
      </c>
      <c r="N249" s="33" t="str">
        <f t="shared" si="3"/>
        <v>No</v>
      </c>
    </row>
    <row r="250">
      <c r="A250" s="1" t="s">
        <v>278</v>
      </c>
      <c r="B250" s="1">
        <v>0.0</v>
      </c>
      <c r="C250" s="1">
        <v>0.0</v>
      </c>
      <c r="D250" s="1">
        <v>0.0</v>
      </c>
      <c r="E250" s="1">
        <v>13.47</v>
      </c>
      <c r="F250" s="54">
        <v>44361.0</v>
      </c>
      <c r="G250" s="1">
        <v>0.0</v>
      </c>
      <c r="H250" s="1">
        <v>12.55</v>
      </c>
      <c r="I250" s="14">
        <v>44393.0</v>
      </c>
      <c r="J250" s="1" t="s">
        <v>4308</v>
      </c>
      <c r="K250" s="15" t="s">
        <v>4557</v>
      </c>
      <c r="L250" s="60" t="str">
        <f t="shared" si="1"/>
        <v>Not in buy Zone</v>
      </c>
      <c r="M250" s="60" t="str">
        <f t="shared" si="2"/>
        <v>Not in buy Zone</v>
      </c>
      <c r="N250" s="33" t="str">
        <f t="shared" si="3"/>
        <v>No</v>
      </c>
    </row>
    <row r="251">
      <c r="A251" s="1" t="s">
        <v>279</v>
      </c>
      <c r="B251" s="1">
        <v>0.0</v>
      </c>
      <c r="C251" s="1">
        <v>0.0</v>
      </c>
      <c r="D251" s="1">
        <v>69.13</v>
      </c>
      <c r="E251" s="1">
        <v>0.0</v>
      </c>
      <c r="F251" s="54">
        <v>44378.0</v>
      </c>
      <c r="G251" s="1">
        <v>0.0</v>
      </c>
      <c r="H251" s="1">
        <v>68.63</v>
      </c>
      <c r="I251" s="14">
        <v>44393.0</v>
      </c>
      <c r="J251" s="1" t="s">
        <v>4308</v>
      </c>
      <c r="K251" s="15" t="s">
        <v>4558</v>
      </c>
      <c r="L251" s="60" t="str">
        <f t="shared" si="1"/>
        <v>Not in buy Zone</v>
      </c>
      <c r="M251" s="60" t="str">
        <f t="shared" si="2"/>
        <v>Not in buy Zone</v>
      </c>
      <c r="N251" s="33" t="str">
        <f t="shared" si="3"/>
        <v>No</v>
      </c>
    </row>
    <row r="252">
      <c r="A252" s="1" t="s">
        <v>280</v>
      </c>
      <c r="B252" s="1">
        <v>0.0</v>
      </c>
      <c r="C252" s="1">
        <v>0.0</v>
      </c>
      <c r="D252" s="1">
        <v>60.93</v>
      </c>
      <c r="E252" s="1">
        <v>0.0</v>
      </c>
      <c r="F252" s="54">
        <v>44377.0</v>
      </c>
      <c r="G252" s="1">
        <v>0.0</v>
      </c>
      <c r="H252" s="1">
        <v>60.05</v>
      </c>
      <c r="I252" s="14">
        <v>44393.0</v>
      </c>
      <c r="J252" s="1" t="s">
        <v>4308</v>
      </c>
      <c r="K252" s="15" t="s">
        <v>4559</v>
      </c>
      <c r="L252" s="60" t="str">
        <f t="shared" si="1"/>
        <v>Not in buy Zone</v>
      </c>
      <c r="M252" s="60" t="str">
        <f t="shared" si="2"/>
        <v>Not in buy Zone</v>
      </c>
      <c r="N252" s="33" t="str">
        <f t="shared" si="3"/>
        <v>No</v>
      </c>
    </row>
    <row r="253">
      <c r="A253" s="1" t="s">
        <v>281</v>
      </c>
      <c r="B253" s="1">
        <v>0.0</v>
      </c>
      <c r="C253" s="1">
        <v>0.0</v>
      </c>
      <c r="D253" s="1">
        <v>0.0</v>
      </c>
      <c r="E253" s="1">
        <v>102.97</v>
      </c>
      <c r="F253" s="54">
        <v>44361.0</v>
      </c>
      <c r="G253" s="1">
        <v>0.0</v>
      </c>
      <c r="H253" s="1">
        <v>94.05</v>
      </c>
      <c r="I253" s="14">
        <v>44393.0</v>
      </c>
      <c r="J253" s="1" t="s">
        <v>4308</v>
      </c>
      <c r="K253" s="15" t="s">
        <v>4560</v>
      </c>
      <c r="L253" s="60" t="str">
        <f t="shared" si="1"/>
        <v>Not in buy Zone</v>
      </c>
      <c r="M253" s="60" t="str">
        <f t="shared" si="2"/>
        <v>Not in buy Zone</v>
      </c>
      <c r="N253" s="33" t="str">
        <f t="shared" si="3"/>
        <v>No</v>
      </c>
    </row>
    <row r="254">
      <c r="A254" s="1" t="s">
        <v>282</v>
      </c>
      <c r="B254" s="1">
        <v>0.0</v>
      </c>
      <c r="C254" s="1">
        <v>0.0</v>
      </c>
      <c r="D254" s="1">
        <v>168.76</v>
      </c>
      <c r="E254" s="1">
        <v>0.0</v>
      </c>
      <c r="F254" s="54">
        <v>44384.0</v>
      </c>
      <c r="G254" s="1">
        <v>0.0</v>
      </c>
      <c r="H254" s="1">
        <v>169.41</v>
      </c>
      <c r="I254" s="14">
        <v>44393.0</v>
      </c>
      <c r="J254" s="1" t="s">
        <v>4308</v>
      </c>
      <c r="K254" s="15" t="s">
        <v>4561</v>
      </c>
      <c r="L254" s="60" t="str">
        <f t="shared" si="1"/>
        <v>Not in buy Zone</v>
      </c>
      <c r="M254" s="60" t="str">
        <f t="shared" si="2"/>
        <v>Not in buy Zone</v>
      </c>
      <c r="N254" s="33" t="str">
        <f t="shared" si="3"/>
        <v>No</v>
      </c>
    </row>
    <row r="255">
      <c r="A255" s="1" t="s">
        <v>283</v>
      </c>
      <c r="B255" s="1">
        <v>0.0</v>
      </c>
      <c r="C255" s="1">
        <v>0.0</v>
      </c>
      <c r="D255" s="1">
        <v>40.86</v>
      </c>
      <c r="E255" s="1">
        <v>0.0</v>
      </c>
      <c r="F255" s="54">
        <v>44370.0</v>
      </c>
      <c r="G255" s="1">
        <v>0.0</v>
      </c>
      <c r="H255" s="1">
        <v>39.82</v>
      </c>
      <c r="I255" s="14">
        <v>44393.0</v>
      </c>
      <c r="J255" s="1" t="s">
        <v>4308</v>
      </c>
      <c r="K255" s="15" t="s">
        <v>4562</v>
      </c>
      <c r="L255" s="60" t="str">
        <f t="shared" si="1"/>
        <v>Not in buy Zone</v>
      </c>
      <c r="M255" s="60" t="str">
        <f t="shared" si="2"/>
        <v>Not in buy Zone</v>
      </c>
      <c r="N255" s="33" t="str">
        <f t="shared" si="3"/>
        <v>No</v>
      </c>
    </row>
    <row r="256">
      <c r="A256" s="1" t="s">
        <v>284</v>
      </c>
      <c r="B256" s="1">
        <v>0.0</v>
      </c>
      <c r="C256" s="1">
        <v>55.46</v>
      </c>
      <c r="D256" s="1">
        <v>0.0</v>
      </c>
      <c r="E256" s="1">
        <v>0.0</v>
      </c>
      <c r="F256" s="54">
        <v>44393.0</v>
      </c>
      <c r="G256" s="1">
        <v>-1.0</v>
      </c>
      <c r="H256" s="1">
        <v>55.46</v>
      </c>
      <c r="I256" s="14">
        <v>44393.0</v>
      </c>
      <c r="J256" s="1" t="s">
        <v>4308</v>
      </c>
      <c r="K256" s="15" t="s">
        <v>4563</v>
      </c>
      <c r="L256" s="60" t="str">
        <f t="shared" si="1"/>
        <v>Not in buy Zone</v>
      </c>
      <c r="M256" s="60" t="str">
        <f t="shared" si="2"/>
        <v>Not in buy Zone</v>
      </c>
      <c r="N256" s="33" t="str">
        <f t="shared" si="3"/>
        <v>No</v>
      </c>
    </row>
    <row r="257">
      <c r="A257" s="1" t="s">
        <v>285</v>
      </c>
      <c r="B257" s="1">
        <v>0.0</v>
      </c>
      <c r="C257" s="1">
        <v>0.0</v>
      </c>
      <c r="D257" s="1">
        <v>0.0</v>
      </c>
      <c r="E257" s="1">
        <v>220.39</v>
      </c>
      <c r="F257" s="54">
        <v>44357.0</v>
      </c>
      <c r="G257" s="1">
        <v>0.0</v>
      </c>
      <c r="H257" s="1">
        <v>169.04</v>
      </c>
      <c r="I257" s="14">
        <v>44393.0</v>
      </c>
      <c r="J257" s="1" t="s">
        <v>4308</v>
      </c>
      <c r="K257" s="15" t="s">
        <v>4564</v>
      </c>
      <c r="L257" s="60" t="str">
        <f t="shared" si="1"/>
        <v>Not in buy Zone</v>
      </c>
      <c r="M257" s="60" t="str">
        <f t="shared" si="2"/>
        <v>Not in buy Zone</v>
      </c>
      <c r="N257" s="33" t="str">
        <f t="shared" si="3"/>
        <v>No</v>
      </c>
    </row>
    <row r="258">
      <c r="A258" s="1" t="s">
        <v>286</v>
      </c>
      <c r="B258" s="1">
        <v>0.0</v>
      </c>
      <c r="C258" s="1">
        <v>0.0</v>
      </c>
      <c r="D258" s="1">
        <v>326.22</v>
      </c>
      <c r="E258" s="1">
        <v>0.0</v>
      </c>
      <c r="F258" s="54">
        <v>44343.0</v>
      </c>
      <c r="G258" s="1">
        <v>0.0</v>
      </c>
      <c r="H258" s="1">
        <v>430.34</v>
      </c>
      <c r="I258" s="14">
        <v>44393.0</v>
      </c>
      <c r="J258" s="1" t="s">
        <v>4308</v>
      </c>
      <c r="K258" s="15" t="s">
        <v>4565</v>
      </c>
      <c r="L258" s="60" t="str">
        <f t="shared" si="1"/>
        <v>Not in buy Zone</v>
      </c>
      <c r="M258" s="60" t="str">
        <f t="shared" si="2"/>
        <v>Not in buy Zone</v>
      </c>
      <c r="N258" s="33" t="str">
        <f t="shared" si="3"/>
        <v>No</v>
      </c>
    </row>
    <row r="259">
      <c r="A259" s="1" t="s">
        <v>287</v>
      </c>
      <c r="B259" s="1">
        <v>0.0</v>
      </c>
      <c r="C259" s="1">
        <v>0.0</v>
      </c>
      <c r="D259" s="1">
        <v>2406.67</v>
      </c>
      <c r="E259" s="1">
        <v>0.0</v>
      </c>
      <c r="F259" s="54">
        <v>44340.0</v>
      </c>
      <c r="G259" s="1">
        <v>0.0</v>
      </c>
      <c r="H259" s="1">
        <v>2636.91</v>
      </c>
      <c r="I259" s="14">
        <v>44393.0</v>
      </c>
      <c r="J259" s="1" t="s">
        <v>4308</v>
      </c>
      <c r="K259" s="15" t="s">
        <v>4566</v>
      </c>
      <c r="L259" s="60" t="str">
        <f t="shared" si="1"/>
        <v>Not in buy Zone</v>
      </c>
      <c r="M259" s="60" t="str">
        <f t="shared" si="2"/>
        <v>Not in buy Zone</v>
      </c>
      <c r="N259" s="33" t="str">
        <f t="shared" si="3"/>
        <v>No</v>
      </c>
    </row>
    <row r="260">
      <c r="A260" s="1" t="s">
        <v>288</v>
      </c>
      <c r="B260" s="1">
        <v>0.0</v>
      </c>
      <c r="C260" s="1">
        <v>0.0</v>
      </c>
      <c r="D260" s="1">
        <v>2361.04</v>
      </c>
      <c r="E260" s="1">
        <v>0.0</v>
      </c>
      <c r="F260" s="54">
        <v>44340.0</v>
      </c>
      <c r="G260" s="1">
        <v>0.0</v>
      </c>
      <c r="H260" s="1">
        <v>2539.4</v>
      </c>
      <c r="I260" s="14">
        <v>44393.0</v>
      </c>
      <c r="J260" s="1" t="s">
        <v>4308</v>
      </c>
      <c r="K260" s="15" t="s">
        <v>4567</v>
      </c>
      <c r="L260" s="60" t="str">
        <f t="shared" si="1"/>
        <v>Not in buy Zone</v>
      </c>
      <c r="M260" s="60" t="str">
        <f t="shared" si="2"/>
        <v>Not in buy Zone</v>
      </c>
      <c r="N260" s="33" t="str">
        <f t="shared" si="3"/>
        <v>No</v>
      </c>
    </row>
    <row r="261">
      <c r="A261" s="1" t="s">
        <v>289</v>
      </c>
      <c r="B261" s="1">
        <v>0.0</v>
      </c>
      <c r="C261" s="1">
        <v>0.0</v>
      </c>
      <c r="D261" s="1">
        <v>0.0</v>
      </c>
      <c r="E261" s="1">
        <v>26.625</v>
      </c>
      <c r="F261" s="54">
        <v>44390.0</v>
      </c>
      <c r="G261" s="1">
        <v>0.0</v>
      </c>
      <c r="H261" s="1">
        <v>26.775</v>
      </c>
      <c r="I261" s="14">
        <v>44393.0</v>
      </c>
      <c r="J261" s="1" t="s">
        <v>4308</v>
      </c>
      <c r="K261" s="15" t="s">
        <v>4568</v>
      </c>
      <c r="L261" s="60" t="str">
        <f t="shared" si="1"/>
        <v>Not in buy Zone</v>
      </c>
      <c r="M261" s="60" t="str">
        <f t="shared" si="2"/>
        <v>Not in buy Zone</v>
      </c>
      <c r="N261" s="33" t="str">
        <f t="shared" si="3"/>
        <v>No</v>
      </c>
    </row>
    <row r="262">
      <c r="A262" s="1" t="s">
        <v>290</v>
      </c>
      <c r="B262" s="1">
        <v>0.0</v>
      </c>
      <c r="C262" s="1">
        <v>0.0</v>
      </c>
      <c r="D262" s="1">
        <v>126.16</v>
      </c>
      <c r="E262" s="1">
        <v>0.0</v>
      </c>
      <c r="F262" s="54">
        <v>44371.0</v>
      </c>
      <c r="G262" s="1">
        <v>0.0</v>
      </c>
      <c r="H262" s="1">
        <v>127.61</v>
      </c>
      <c r="I262" s="14">
        <v>44393.0</v>
      </c>
      <c r="J262" s="1" t="s">
        <v>4308</v>
      </c>
      <c r="K262" s="15" t="s">
        <v>4569</v>
      </c>
      <c r="L262" s="60" t="str">
        <f t="shared" si="1"/>
        <v>Not in buy Zone</v>
      </c>
      <c r="M262" s="60" t="str">
        <f t="shared" si="2"/>
        <v>Not in buy Zone</v>
      </c>
      <c r="N262" s="33" t="str">
        <f t="shared" si="3"/>
        <v>No</v>
      </c>
    </row>
    <row r="263">
      <c r="A263" s="1" t="s">
        <v>291</v>
      </c>
      <c r="B263" s="1">
        <v>0.0</v>
      </c>
      <c r="C263" s="1">
        <v>0.0</v>
      </c>
      <c r="D263" s="1">
        <v>195.16</v>
      </c>
      <c r="E263" s="1">
        <v>0.0</v>
      </c>
      <c r="F263" s="54">
        <v>44392.0</v>
      </c>
      <c r="G263" s="1">
        <v>0.0</v>
      </c>
      <c r="H263" s="1">
        <v>194.73</v>
      </c>
      <c r="I263" s="14">
        <v>44393.0</v>
      </c>
      <c r="J263" s="1" t="s">
        <v>4308</v>
      </c>
      <c r="K263" s="15" t="s">
        <v>4570</v>
      </c>
      <c r="L263" s="60" t="str">
        <f t="shared" si="1"/>
        <v>Not in buy Zone</v>
      </c>
      <c r="M263" s="60" t="str">
        <f t="shared" si="2"/>
        <v>Not in buy Zone</v>
      </c>
      <c r="N263" s="33" t="str">
        <f t="shared" si="3"/>
        <v>No</v>
      </c>
    </row>
    <row r="264">
      <c r="A264" s="1" t="s">
        <v>292</v>
      </c>
      <c r="B264" s="1">
        <v>0.0</v>
      </c>
      <c r="C264" s="1">
        <v>0.0</v>
      </c>
      <c r="D264" s="1">
        <v>0.0</v>
      </c>
      <c r="E264" s="1">
        <v>31.62</v>
      </c>
      <c r="F264" s="54">
        <v>44350.0</v>
      </c>
      <c r="G264" s="1">
        <v>0.0</v>
      </c>
      <c r="H264" s="1">
        <v>28.32</v>
      </c>
      <c r="I264" s="14">
        <v>44393.0</v>
      </c>
      <c r="J264" s="1" t="s">
        <v>4308</v>
      </c>
      <c r="K264" s="15" t="s">
        <v>4571</v>
      </c>
      <c r="L264" s="60" t="str">
        <f t="shared" si="1"/>
        <v>Not in buy Zone</v>
      </c>
      <c r="M264" s="60" t="str">
        <f t="shared" si="2"/>
        <v>Not in buy Zone</v>
      </c>
      <c r="N264" s="33" t="str">
        <f t="shared" si="3"/>
        <v>No</v>
      </c>
    </row>
    <row r="265">
      <c r="A265" s="1" t="s">
        <v>293</v>
      </c>
      <c r="B265" s="1">
        <v>0.0</v>
      </c>
      <c r="C265" s="1">
        <v>0.0</v>
      </c>
      <c r="D265" s="1">
        <v>143.64</v>
      </c>
      <c r="E265" s="1">
        <v>0.0</v>
      </c>
      <c r="F265" s="54">
        <v>44351.0</v>
      </c>
      <c r="G265" s="1">
        <v>0.0</v>
      </c>
      <c r="H265" s="1">
        <v>149.39</v>
      </c>
      <c r="I265" s="14">
        <v>44393.0</v>
      </c>
      <c r="J265" s="1" t="s">
        <v>4308</v>
      </c>
      <c r="K265" s="15" t="s">
        <v>4572</v>
      </c>
      <c r="L265" s="60" t="str">
        <f t="shared" si="1"/>
        <v>Not in buy Zone</v>
      </c>
      <c r="M265" s="60" t="str">
        <f t="shared" si="2"/>
        <v>Not in buy Zone</v>
      </c>
      <c r="N265" s="33" t="str">
        <f t="shared" si="3"/>
        <v>No</v>
      </c>
    </row>
    <row r="266">
      <c r="A266" s="1" t="s">
        <v>294</v>
      </c>
      <c r="B266" s="1">
        <v>0.0</v>
      </c>
      <c r="C266" s="1">
        <v>0.0</v>
      </c>
      <c r="D266" s="1">
        <v>380.5</v>
      </c>
      <c r="E266" s="1">
        <v>0.0</v>
      </c>
      <c r="F266" s="54">
        <v>44389.0</v>
      </c>
      <c r="G266" s="1">
        <v>0.0</v>
      </c>
      <c r="H266" s="1">
        <v>364.8</v>
      </c>
      <c r="I266" s="14">
        <v>44393.0</v>
      </c>
      <c r="J266" s="1" t="s">
        <v>4308</v>
      </c>
      <c r="K266" s="15" t="s">
        <v>4573</v>
      </c>
      <c r="L266" s="60" t="str">
        <f t="shared" si="1"/>
        <v>Not in buy Zone</v>
      </c>
      <c r="M266" s="60" t="str">
        <f t="shared" si="2"/>
        <v>Not in buy Zone</v>
      </c>
      <c r="N266" s="33" t="str">
        <f t="shared" si="3"/>
        <v>No</v>
      </c>
    </row>
    <row r="267">
      <c r="A267" s="1" t="s">
        <v>295</v>
      </c>
      <c r="B267" s="1">
        <v>0.0</v>
      </c>
      <c r="C267" s="1">
        <v>0.0</v>
      </c>
      <c r="D267" s="1">
        <v>459.0</v>
      </c>
      <c r="E267" s="1">
        <v>0.0</v>
      </c>
      <c r="F267" s="54">
        <v>44384.0</v>
      </c>
      <c r="G267" s="1">
        <v>0.0</v>
      </c>
      <c r="H267" s="1">
        <v>453.19</v>
      </c>
      <c r="I267" s="14">
        <v>44393.0</v>
      </c>
      <c r="J267" s="1" t="s">
        <v>4308</v>
      </c>
      <c r="K267" s="15" t="s">
        <v>4574</v>
      </c>
      <c r="L267" s="60" t="str">
        <f t="shared" si="1"/>
        <v>Not in buy Zone</v>
      </c>
      <c r="M267" s="60" t="str">
        <f t="shared" si="2"/>
        <v>Not in buy Zone</v>
      </c>
      <c r="N267" s="33" t="str">
        <f t="shared" si="3"/>
        <v>No</v>
      </c>
    </row>
    <row r="268">
      <c r="A268" s="1" t="s">
        <v>296</v>
      </c>
      <c r="B268" s="1">
        <v>0.0</v>
      </c>
      <c r="C268" s="1">
        <v>0.0</v>
      </c>
      <c r="D268" s="1">
        <v>0.0</v>
      </c>
      <c r="E268" s="1">
        <v>22.72</v>
      </c>
      <c r="F268" s="54">
        <v>44364.0</v>
      </c>
      <c r="G268" s="1">
        <v>0.0</v>
      </c>
      <c r="H268" s="1">
        <v>20.06</v>
      </c>
      <c r="I268" s="14">
        <v>44393.0</v>
      </c>
      <c r="J268" s="1" t="s">
        <v>4308</v>
      </c>
      <c r="K268" s="15" t="s">
        <v>4575</v>
      </c>
      <c r="L268" s="60" t="str">
        <f t="shared" si="1"/>
        <v>Not in buy Zone</v>
      </c>
      <c r="M268" s="60" t="str">
        <f t="shared" si="2"/>
        <v>Not in buy Zone</v>
      </c>
      <c r="N268" s="33" t="str">
        <f t="shared" si="3"/>
        <v>No</v>
      </c>
    </row>
    <row r="269">
      <c r="A269" s="1" t="s">
        <v>297</v>
      </c>
      <c r="B269" s="1">
        <v>0.0</v>
      </c>
      <c r="C269" s="1">
        <v>0.0</v>
      </c>
      <c r="D269" s="1">
        <v>0.0</v>
      </c>
      <c r="E269" s="1">
        <v>94.8</v>
      </c>
      <c r="F269" s="54">
        <v>44392.0</v>
      </c>
      <c r="G269" s="1">
        <v>0.0</v>
      </c>
      <c r="H269" s="1">
        <v>94.04</v>
      </c>
      <c r="I269" s="14">
        <v>44393.0</v>
      </c>
      <c r="J269" s="1" t="s">
        <v>4308</v>
      </c>
      <c r="K269" s="15" t="s">
        <v>4576</v>
      </c>
      <c r="L269" s="60" t="str">
        <f t="shared" si="1"/>
        <v>Not in buy Zone</v>
      </c>
      <c r="M269" s="60" t="str">
        <f t="shared" si="2"/>
        <v>Not in buy Zone</v>
      </c>
      <c r="N269" s="33" t="str">
        <f t="shared" si="3"/>
        <v>No</v>
      </c>
    </row>
    <row r="270">
      <c r="A270" s="1" t="s">
        <v>298</v>
      </c>
      <c r="B270" s="1">
        <v>0.0</v>
      </c>
      <c r="C270" s="1">
        <v>0.0</v>
      </c>
      <c r="D270" s="1">
        <v>14.22</v>
      </c>
      <c r="E270" s="1">
        <v>0.0</v>
      </c>
      <c r="F270" s="54">
        <v>44371.0</v>
      </c>
      <c r="G270" s="1">
        <v>0.0</v>
      </c>
      <c r="H270" s="1">
        <v>13.85</v>
      </c>
      <c r="I270" s="14">
        <v>44393.0</v>
      </c>
      <c r="J270" s="1" t="s">
        <v>4308</v>
      </c>
      <c r="K270" s="15" t="s">
        <v>4577</v>
      </c>
      <c r="L270" s="60" t="str">
        <f t="shared" si="1"/>
        <v>Not in buy Zone</v>
      </c>
      <c r="M270" s="60" t="str">
        <f t="shared" si="2"/>
        <v>Not in buy Zone</v>
      </c>
      <c r="N270" s="33" t="str">
        <f t="shared" si="3"/>
        <v>No</v>
      </c>
    </row>
    <row r="271">
      <c r="A271" s="1" t="s">
        <v>299</v>
      </c>
      <c r="B271" s="1">
        <v>0.0</v>
      </c>
      <c r="C271" s="1">
        <v>0.0</v>
      </c>
      <c r="D271" s="1">
        <v>0.0</v>
      </c>
      <c r="E271" s="1">
        <v>19.28</v>
      </c>
      <c r="F271" s="54">
        <v>44327.0</v>
      </c>
      <c r="G271" s="1">
        <v>0.0</v>
      </c>
      <c r="H271" s="1">
        <v>17.42</v>
      </c>
      <c r="I271" s="14">
        <v>44393.0</v>
      </c>
      <c r="J271" s="1" t="s">
        <v>4308</v>
      </c>
      <c r="K271" s="15" t="s">
        <v>4578</v>
      </c>
      <c r="L271" s="60" t="str">
        <f t="shared" si="1"/>
        <v>Not in buy Zone</v>
      </c>
      <c r="M271" s="60" t="str">
        <f t="shared" si="2"/>
        <v>Not in buy Zone</v>
      </c>
      <c r="N271" s="33" t="str">
        <f t="shared" si="3"/>
        <v>No</v>
      </c>
    </row>
    <row r="272">
      <c r="A272" s="1" t="s">
        <v>300</v>
      </c>
      <c r="B272" s="1">
        <v>0.0</v>
      </c>
      <c r="C272" s="1">
        <v>0.0</v>
      </c>
      <c r="D272" s="1">
        <v>211.83</v>
      </c>
      <c r="E272" s="1">
        <v>0.0</v>
      </c>
      <c r="F272" s="54">
        <v>44378.0</v>
      </c>
      <c r="G272" s="1">
        <v>0.0</v>
      </c>
      <c r="H272" s="1">
        <v>219.2</v>
      </c>
      <c r="I272" s="14">
        <v>44393.0</v>
      </c>
      <c r="J272" s="1" t="s">
        <v>4308</v>
      </c>
      <c r="K272" s="15" t="s">
        <v>4579</v>
      </c>
      <c r="L272" s="60" t="str">
        <f t="shared" si="1"/>
        <v>Not in buy Zone</v>
      </c>
      <c r="M272" s="60" t="str">
        <f t="shared" si="2"/>
        <v>Not in buy Zone</v>
      </c>
      <c r="N272" s="33" t="str">
        <f t="shared" si="3"/>
        <v>No</v>
      </c>
    </row>
    <row r="273">
      <c r="A273" s="1" t="s">
        <v>301</v>
      </c>
      <c r="B273" s="1">
        <v>0.0</v>
      </c>
      <c r="C273" s="1">
        <v>0.0</v>
      </c>
      <c r="D273" s="1">
        <v>312.71</v>
      </c>
      <c r="E273" s="1">
        <v>0.0</v>
      </c>
      <c r="F273" s="54">
        <v>44369.0</v>
      </c>
      <c r="G273" s="1">
        <v>0.0</v>
      </c>
      <c r="H273" s="1">
        <v>321.54</v>
      </c>
      <c r="I273" s="14">
        <v>44393.0</v>
      </c>
      <c r="J273" s="1" t="s">
        <v>4308</v>
      </c>
      <c r="K273" s="15" t="s">
        <v>4580</v>
      </c>
      <c r="L273" s="60" t="str">
        <f t="shared" si="1"/>
        <v>Not in buy Zone</v>
      </c>
      <c r="M273" s="60" t="str">
        <f t="shared" si="2"/>
        <v>Not in buy Zone</v>
      </c>
      <c r="N273" s="33" t="str">
        <f t="shared" si="3"/>
        <v>No</v>
      </c>
    </row>
    <row r="274">
      <c r="A274" s="1" t="s">
        <v>302</v>
      </c>
      <c r="B274" s="1">
        <v>0.0</v>
      </c>
      <c r="C274" s="1">
        <v>0.0</v>
      </c>
      <c r="D274" s="1">
        <v>0.0</v>
      </c>
      <c r="E274" s="1">
        <v>83.34</v>
      </c>
      <c r="F274" s="54">
        <v>44384.0</v>
      </c>
      <c r="G274" s="1">
        <v>0.0</v>
      </c>
      <c r="H274" s="1">
        <v>76.37</v>
      </c>
      <c r="I274" s="14">
        <v>44393.0</v>
      </c>
      <c r="J274" s="1" t="s">
        <v>4308</v>
      </c>
      <c r="K274" s="15" t="s">
        <v>4581</v>
      </c>
      <c r="L274" s="60" t="str">
        <f t="shared" si="1"/>
        <v>Not in buy Zone</v>
      </c>
      <c r="M274" s="60" t="str">
        <f t="shared" si="2"/>
        <v>Not in buy Zone</v>
      </c>
      <c r="N274" s="33" t="str">
        <f t="shared" si="3"/>
        <v>No</v>
      </c>
    </row>
    <row r="275">
      <c r="A275" s="1" t="s">
        <v>303</v>
      </c>
      <c r="B275" s="1">
        <v>0.0</v>
      </c>
      <c r="C275" s="1">
        <v>0.0</v>
      </c>
      <c r="D275" s="1">
        <v>0.0</v>
      </c>
      <c r="E275" s="1">
        <v>32.53</v>
      </c>
      <c r="F275" s="54">
        <v>44365.0</v>
      </c>
      <c r="G275" s="1">
        <v>0.0</v>
      </c>
      <c r="H275" s="1">
        <v>28.81</v>
      </c>
      <c r="I275" s="14">
        <v>44393.0</v>
      </c>
      <c r="J275" s="1" t="s">
        <v>4308</v>
      </c>
      <c r="K275" s="15" t="s">
        <v>4582</v>
      </c>
      <c r="L275" s="60" t="str">
        <f t="shared" si="1"/>
        <v>Not in buy Zone</v>
      </c>
      <c r="M275" s="60" t="str">
        <f t="shared" si="2"/>
        <v>Not in buy Zone</v>
      </c>
      <c r="N275" s="33" t="str">
        <f t="shared" si="3"/>
        <v>No</v>
      </c>
    </row>
    <row r="276">
      <c r="A276" s="1" t="s">
        <v>304</v>
      </c>
      <c r="B276" s="1">
        <v>0.0</v>
      </c>
      <c r="C276" s="1">
        <v>0.0</v>
      </c>
      <c r="D276" s="1">
        <v>63.31</v>
      </c>
      <c r="E276" s="1">
        <v>0.0</v>
      </c>
      <c r="F276" s="54">
        <v>44389.0</v>
      </c>
      <c r="G276" s="1">
        <v>0.0</v>
      </c>
      <c r="H276" s="1">
        <v>63.32</v>
      </c>
      <c r="I276" s="14">
        <v>44393.0</v>
      </c>
      <c r="J276" s="1" t="s">
        <v>4308</v>
      </c>
      <c r="K276" s="15" t="s">
        <v>4583</v>
      </c>
      <c r="L276" s="60" t="str">
        <f t="shared" si="1"/>
        <v>Not in buy Zone</v>
      </c>
      <c r="M276" s="60" t="str">
        <f t="shared" si="2"/>
        <v>Not in buy Zone</v>
      </c>
      <c r="N276" s="33" t="str">
        <f t="shared" si="3"/>
        <v>No</v>
      </c>
    </row>
    <row r="277">
      <c r="A277" s="1" t="s">
        <v>305</v>
      </c>
      <c r="B277" s="1">
        <v>0.0</v>
      </c>
      <c r="C277" s="1">
        <v>0.0</v>
      </c>
      <c r="D277" s="1">
        <v>0.0</v>
      </c>
      <c r="E277" s="1">
        <v>211.64</v>
      </c>
      <c r="F277" s="54">
        <v>44364.0</v>
      </c>
      <c r="G277" s="1">
        <v>0.0</v>
      </c>
      <c r="H277" s="1">
        <v>200.74</v>
      </c>
      <c r="I277" s="14">
        <v>44393.0</v>
      </c>
      <c r="J277" s="1" t="s">
        <v>4308</v>
      </c>
      <c r="K277" s="15" t="s">
        <v>4584</v>
      </c>
      <c r="L277" s="60" t="str">
        <f t="shared" si="1"/>
        <v>Not in buy Zone</v>
      </c>
      <c r="M277" s="60" t="str">
        <f t="shared" si="2"/>
        <v>Not in buy Zone</v>
      </c>
      <c r="N277" s="33" t="str">
        <f t="shared" si="3"/>
        <v>No</v>
      </c>
    </row>
    <row r="278">
      <c r="A278" s="1" t="s">
        <v>306</v>
      </c>
      <c r="B278" s="1">
        <v>0.0</v>
      </c>
      <c r="C278" s="1">
        <v>119.75</v>
      </c>
      <c r="D278" s="1">
        <v>0.0</v>
      </c>
      <c r="E278" s="1">
        <v>0.0</v>
      </c>
      <c r="F278" s="54">
        <v>44393.0</v>
      </c>
      <c r="G278" s="1">
        <v>-1.0</v>
      </c>
      <c r="H278" s="1">
        <v>119.75</v>
      </c>
      <c r="I278" s="14">
        <v>44393.0</v>
      </c>
      <c r="J278" s="1" t="s">
        <v>4308</v>
      </c>
      <c r="K278" s="15" t="s">
        <v>4585</v>
      </c>
      <c r="L278" s="60" t="str">
        <f t="shared" si="1"/>
        <v>Not in buy Zone</v>
      </c>
      <c r="M278" s="60" t="str">
        <f t="shared" si="2"/>
        <v>Not in buy Zone</v>
      </c>
      <c r="N278" s="33" t="str">
        <f t="shared" si="3"/>
        <v>No</v>
      </c>
    </row>
    <row r="279">
      <c r="A279" s="1" t="s">
        <v>307</v>
      </c>
      <c r="B279" s="1">
        <v>0.0</v>
      </c>
      <c r="C279" s="1">
        <v>0.0</v>
      </c>
      <c r="D279" s="1">
        <v>0.0</v>
      </c>
      <c r="E279" s="1">
        <v>43.93</v>
      </c>
      <c r="F279" s="54">
        <v>44392.0</v>
      </c>
      <c r="G279" s="1">
        <v>0.0</v>
      </c>
      <c r="H279" s="1">
        <v>43.04</v>
      </c>
      <c r="I279" s="14">
        <v>44393.0</v>
      </c>
      <c r="J279" s="1" t="s">
        <v>4308</v>
      </c>
      <c r="K279" s="15" t="s">
        <v>4586</v>
      </c>
      <c r="L279" s="60" t="str">
        <f t="shared" si="1"/>
        <v>Not in buy Zone</v>
      </c>
      <c r="M279" s="60" t="str">
        <f t="shared" si="2"/>
        <v>Not in buy Zone</v>
      </c>
      <c r="N279" s="33" t="str">
        <f t="shared" si="3"/>
        <v>No</v>
      </c>
    </row>
    <row r="280">
      <c r="A280" s="1" t="s">
        <v>308</v>
      </c>
      <c r="B280" s="1">
        <v>0.0</v>
      </c>
      <c r="C280" s="1">
        <v>0.0</v>
      </c>
      <c r="D280" s="1">
        <v>63.39</v>
      </c>
      <c r="E280" s="1">
        <v>0.0</v>
      </c>
      <c r="F280" s="54">
        <v>44358.0</v>
      </c>
      <c r="G280" s="1">
        <v>0.0</v>
      </c>
      <c r="H280" s="1">
        <v>69.54</v>
      </c>
      <c r="I280" s="14">
        <v>44393.0</v>
      </c>
      <c r="J280" s="1" t="s">
        <v>4308</v>
      </c>
      <c r="K280" s="15" t="s">
        <v>4587</v>
      </c>
      <c r="L280" s="60" t="str">
        <f t="shared" si="1"/>
        <v>Not in buy Zone</v>
      </c>
      <c r="M280" s="60" t="str">
        <f t="shared" si="2"/>
        <v>Not in buy Zone</v>
      </c>
      <c r="N280" s="33" t="str">
        <f t="shared" si="3"/>
        <v>No</v>
      </c>
    </row>
    <row r="281">
      <c r="A281" s="1" t="s">
        <v>309</v>
      </c>
      <c r="B281" s="1">
        <v>0.0</v>
      </c>
      <c r="C281" s="1">
        <v>0.0</v>
      </c>
      <c r="D281" s="1">
        <v>31.31</v>
      </c>
      <c r="E281" s="1">
        <v>0.0</v>
      </c>
      <c r="F281" s="54">
        <v>44309.0</v>
      </c>
      <c r="G281" s="1">
        <v>0.0</v>
      </c>
      <c r="H281" s="1">
        <v>36.91</v>
      </c>
      <c r="I281" s="14">
        <v>44393.0</v>
      </c>
      <c r="J281" s="1" t="s">
        <v>4308</v>
      </c>
      <c r="K281" s="15" t="s">
        <v>4588</v>
      </c>
      <c r="L281" s="60" t="str">
        <f t="shared" si="1"/>
        <v>Not in buy Zone</v>
      </c>
      <c r="M281" s="60" t="str">
        <f t="shared" si="2"/>
        <v>Not in buy Zone</v>
      </c>
      <c r="N281" s="33" t="str">
        <f t="shared" si="3"/>
        <v>No</v>
      </c>
    </row>
    <row r="282">
      <c r="A282" s="1" t="s">
        <v>310</v>
      </c>
      <c r="B282" s="1">
        <v>0.0</v>
      </c>
      <c r="C282" s="1">
        <v>0.0</v>
      </c>
      <c r="D282" s="1">
        <v>221.32</v>
      </c>
      <c r="E282" s="1">
        <v>0.0</v>
      </c>
      <c r="F282" s="54">
        <v>44379.0</v>
      </c>
      <c r="G282" s="1">
        <v>0.0</v>
      </c>
      <c r="H282" s="1">
        <v>230.33</v>
      </c>
      <c r="I282" s="14">
        <v>44393.0</v>
      </c>
      <c r="J282" s="1" t="s">
        <v>4308</v>
      </c>
      <c r="K282" s="15" t="s">
        <v>4589</v>
      </c>
      <c r="L282" s="60" t="str">
        <f t="shared" si="1"/>
        <v>Not in buy Zone</v>
      </c>
      <c r="M282" s="60" t="str">
        <f t="shared" si="2"/>
        <v>Not in buy Zone</v>
      </c>
      <c r="N282" s="33" t="str">
        <f t="shared" si="3"/>
        <v>No</v>
      </c>
    </row>
    <row r="283">
      <c r="A283" s="1" t="s">
        <v>311</v>
      </c>
      <c r="B283" s="1">
        <v>0.0</v>
      </c>
      <c r="C283" s="1">
        <v>0.0</v>
      </c>
      <c r="D283" s="1">
        <v>0.0</v>
      </c>
      <c r="E283" s="1">
        <v>15.68</v>
      </c>
      <c r="F283" s="54">
        <v>44328.0</v>
      </c>
      <c r="G283" s="1">
        <v>0.0</v>
      </c>
      <c r="H283" s="1">
        <v>13.86</v>
      </c>
      <c r="I283" s="14">
        <v>44393.0</v>
      </c>
      <c r="J283" s="1" t="s">
        <v>4308</v>
      </c>
      <c r="K283" s="15" t="s">
        <v>4590</v>
      </c>
      <c r="L283" s="60" t="str">
        <f t="shared" si="1"/>
        <v>Not in buy Zone</v>
      </c>
      <c r="M283" s="60" t="str">
        <f t="shared" si="2"/>
        <v>Not in buy Zone</v>
      </c>
      <c r="N283" s="33" t="str">
        <f t="shared" si="3"/>
        <v>No</v>
      </c>
    </row>
    <row r="284">
      <c r="A284" s="1" t="s">
        <v>312</v>
      </c>
      <c r="B284" s="1">
        <v>0.0</v>
      </c>
      <c r="C284" s="1">
        <v>0.0</v>
      </c>
      <c r="D284" s="1">
        <v>0.0</v>
      </c>
      <c r="E284" s="1">
        <v>29.21</v>
      </c>
      <c r="F284" s="54">
        <v>44389.0</v>
      </c>
      <c r="G284" s="1">
        <v>0.0</v>
      </c>
      <c r="H284" s="1">
        <v>27.52</v>
      </c>
      <c r="I284" s="14">
        <v>44393.0</v>
      </c>
      <c r="J284" s="1" t="s">
        <v>4308</v>
      </c>
      <c r="K284" s="15" t="s">
        <v>4591</v>
      </c>
      <c r="L284" s="60" t="str">
        <f t="shared" si="1"/>
        <v>Not in buy Zone</v>
      </c>
      <c r="M284" s="60" t="str">
        <f t="shared" si="2"/>
        <v>Not in buy Zone</v>
      </c>
      <c r="N284" s="33" t="str">
        <f t="shared" si="3"/>
        <v>No</v>
      </c>
    </row>
    <row r="285">
      <c r="A285" s="1" t="s">
        <v>313</v>
      </c>
      <c r="B285" s="1">
        <v>48.27</v>
      </c>
      <c r="C285" s="1">
        <v>0.0</v>
      </c>
      <c r="D285" s="1">
        <v>0.0</v>
      </c>
      <c r="E285" s="1">
        <v>0.0</v>
      </c>
      <c r="F285" s="54">
        <v>44393.0</v>
      </c>
      <c r="G285" s="1">
        <v>1.0</v>
      </c>
      <c r="H285" s="1">
        <v>48.27</v>
      </c>
      <c r="I285" s="14">
        <v>44393.0</v>
      </c>
      <c r="J285" s="1" t="s">
        <v>4308</v>
      </c>
      <c r="K285" s="15" t="s">
        <v>4592</v>
      </c>
      <c r="L285" s="60">
        <f t="shared" si="1"/>
        <v>48.51135</v>
      </c>
      <c r="M285" s="60">
        <f t="shared" si="2"/>
        <v>48.02865</v>
      </c>
      <c r="N285" s="33" t="str">
        <f t="shared" si="3"/>
        <v>Yes</v>
      </c>
    </row>
    <row r="286">
      <c r="A286" s="1" t="s">
        <v>314</v>
      </c>
      <c r="B286" s="1">
        <v>0.0</v>
      </c>
      <c r="C286" s="1">
        <v>0.0</v>
      </c>
      <c r="D286" s="1">
        <v>76.81</v>
      </c>
      <c r="E286" s="1">
        <v>0.0</v>
      </c>
      <c r="F286" s="54">
        <v>44386.0</v>
      </c>
      <c r="G286" s="1">
        <v>0.0</v>
      </c>
      <c r="H286" s="1">
        <v>75.12</v>
      </c>
      <c r="I286" s="14">
        <v>44393.0</v>
      </c>
      <c r="J286" s="1" t="s">
        <v>4308</v>
      </c>
      <c r="K286" s="15" t="s">
        <v>4593</v>
      </c>
      <c r="L286" s="60" t="str">
        <f t="shared" si="1"/>
        <v>Not in buy Zone</v>
      </c>
      <c r="M286" s="60" t="str">
        <f t="shared" si="2"/>
        <v>Not in buy Zone</v>
      </c>
      <c r="N286" s="33" t="str">
        <f t="shared" si="3"/>
        <v>No</v>
      </c>
    </row>
    <row r="287">
      <c r="A287" s="1" t="s">
        <v>315</v>
      </c>
      <c r="B287" s="1">
        <v>0.0</v>
      </c>
      <c r="C287" s="1">
        <v>0.0</v>
      </c>
      <c r="D287" s="1">
        <v>0.0</v>
      </c>
      <c r="E287" s="1">
        <v>16.95</v>
      </c>
      <c r="F287" s="54">
        <v>44375.0</v>
      </c>
      <c r="G287" s="1">
        <v>0.0</v>
      </c>
      <c r="H287" s="1">
        <v>15.98</v>
      </c>
      <c r="I287" s="14">
        <v>44393.0</v>
      </c>
      <c r="J287" s="1" t="s">
        <v>4308</v>
      </c>
      <c r="K287" s="15" t="s">
        <v>4594</v>
      </c>
      <c r="L287" s="60" t="str">
        <f t="shared" si="1"/>
        <v>Not in buy Zone</v>
      </c>
      <c r="M287" s="60" t="str">
        <f t="shared" si="2"/>
        <v>Not in buy Zone</v>
      </c>
      <c r="N287" s="33" t="str">
        <f t="shared" si="3"/>
        <v>No</v>
      </c>
    </row>
    <row r="288">
      <c r="A288" s="1" t="s">
        <v>316</v>
      </c>
      <c r="B288" s="1">
        <v>0.0</v>
      </c>
      <c r="C288" s="1">
        <v>0.0</v>
      </c>
      <c r="D288" s="1">
        <v>175.12</v>
      </c>
      <c r="E288" s="1">
        <v>0.0</v>
      </c>
      <c r="F288" s="54">
        <v>44372.0</v>
      </c>
      <c r="G288" s="1">
        <v>0.0</v>
      </c>
      <c r="H288" s="1">
        <v>179.99</v>
      </c>
      <c r="I288" s="14">
        <v>44393.0</v>
      </c>
      <c r="J288" s="1" t="s">
        <v>4308</v>
      </c>
      <c r="K288" s="15" t="s">
        <v>4595</v>
      </c>
      <c r="L288" s="60" t="str">
        <f t="shared" si="1"/>
        <v>Not in buy Zone</v>
      </c>
      <c r="M288" s="60" t="str">
        <f t="shared" si="2"/>
        <v>Not in buy Zone</v>
      </c>
      <c r="N288" s="33" t="str">
        <f t="shared" si="3"/>
        <v>No</v>
      </c>
    </row>
    <row r="289">
      <c r="A289" s="1" t="s">
        <v>317</v>
      </c>
      <c r="B289" s="1">
        <v>0.0</v>
      </c>
      <c r="C289" s="1">
        <v>0.0</v>
      </c>
      <c r="D289" s="1">
        <v>435.55</v>
      </c>
      <c r="E289" s="1">
        <v>0.0</v>
      </c>
      <c r="F289" s="54">
        <v>44368.0</v>
      </c>
      <c r="G289" s="1">
        <v>0.0</v>
      </c>
      <c r="H289" s="1">
        <v>470.9</v>
      </c>
      <c r="I289" s="14">
        <v>44393.0</v>
      </c>
      <c r="J289" s="1" t="s">
        <v>4308</v>
      </c>
      <c r="K289" s="15" t="s">
        <v>4596</v>
      </c>
      <c r="L289" s="60" t="str">
        <f t="shared" si="1"/>
        <v>Not in buy Zone</v>
      </c>
      <c r="M289" s="60" t="str">
        <f t="shared" si="2"/>
        <v>Not in buy Zone</v>
      </c>
      <c r="N289" s="33" t="str">
        <f t="shared" si="3"/>
        <v>No</v>
      </c>
    </row>
    <row r="290">
      <c r="A290" s="1" t="s">
        <v>318</v>
      </c>
      <c r="B290" s="1">
        <v>0.0</v>
      </c>
      <c r="C290" s="1">
        <v>0.0</v>
      </c>
      <c r="D290" s="1">
        <v>26.89</v>
      </c>
      <c r="E290" s="1">
        <v>0.0</v>
      </c>
      <c r="F290" s="54">
        <v>44372.0</v>
      </c>
      <c r="G290" s="1">
        <v>0.0</v>
      </c>
      <c r="H290" s="1">
        <v>25.81</v>
      </c>
      <c r="I290" s="14">
        <v>44393.0</v>
      </c>
      <c r="J290" s="1" t="s">
        <v>4308</v>
      </c>
      <c r="K290" s="15" t="s">
        <v>4597</v>
      </c>
      <c r="L290" s="60" t="str">
        <f t="shared" si="1"/>
        <v>Not in buy Zone</v>
      </c>
      <c r="M290" s="60" t="str">
        <f t="shared" si="2"/>
        <v>Not in buy Zone</v>
      </c>
      <c r="N290" s="33" t="str">
        <f t="shared" si="3"/>
        <v>No</v>
      </c>
    </row>
    <row r="291">
      <c r="A291" s="1" t="s">
        <v>319</v>
      </c>
      <c r="B291" s="1">
        <v>0.0</v>
      </c>
      <c r="C291" s="1">
        <v>0.0</v>
      </c>
      <c r="D291" s="1">
        <v>0.0</v>
      </c>
      <c r="E291" s="1">
        <v>34.02</v>
      </c>
      <c r="F291" s="54">
        <v>44364.0</v>
      </c>
      <c r="G291" s="1">
        <v>0.0</v>
      </c>
      <c r="H291" s="1">
        <v>31.66</v>
      </c>
      <c r="I291" s="14">
        <v>44393.0</v>
      </c>
      <c r="J291" s="1" t="s">
        <v>4308</v>
      </c>
      <c r="K291" s="15" t="s">
        <v>4598</v>
      </c>
      <c r="L291" s="60" t="str">
        <f t="shared" si="1"/>
        <v>Not in buy Zone</v>
      </c>
      <c r="M291" s="60" t="str">
        <f t="shared" si="2"/>
        <v>Not in buy Zone</v>
      </c>
      <c r="N291" s="33" t="str">
        <f t="shared" si="3"/>
        <v>No</v>
      </c>
    </row>
    <row r="292">
      <c r="A292" s="1" t="s">
        <v>320</v>
      </c>
      <c r="B292" s="1">
        <v>0.0</v>
      </c>
      <c r="C292" s="1">
        <v>87.67</v>
      </c>
      <c r="D292" s="1">
        <v>0.0</v>
      </c>
      <c r="E292" s="1">
        <v>0.0</v>
      </c>
      <c r="F292" s="54">
        <v>44393.0</v>
      </c>
      <c r="G292" s="1">
        <v>-1.0</v>
      </c>
      <c r="H292" s="1">
        <v>87.67</v>
      </c>
      <c r="I292" s="14">
        <v>44393.0</v>
      </c>
      <c r="J292" s="1" t="s">
        <v>4308</v>
      </c>
      <c r="K292" s="15" t="s">
        <v>4599</v>
      </c>
      <c r="L292" s="60" t="str">
        <f t="shared" si="1"/>
        <v>Not in buy Zone</v>
      </c>
      <c r="M292" s="60" t="str">
        <f t="shared" si="2"/>
        <v>Not in buy Zone</v>
      </c>
      <c r="N292" s="33" t="str">
        <f t="shared" si="3"/>
        <v>No</v>
      </c>
    </row>
    <row r="293">
      <c r="A293" s="1" t="s">
        <v>321</v>
      </c>
      <c r="B293" s="1">
        <v>0.0</v>
      </c>
      <c r="C293" s="1">
        <v>40.15</v>
      </c>
      <c r="D293" s="1">
        <v>0.0</v>
      </c>
      <c r="E293" s="1">
        <v>0.0</v>
      </c>
      <c r="F293" s="54">
        <v>44393.0</v>
      </c>
      <c r="G293" s="1">
        <v>-1.0</v>
      </c>
      <c r="H293" s="1">
        <v>40.15</v>
      </c>
      <c r="I293" s="14">
        <v>44393.0</v>
      </c>
      <c r="J293" s="1" t="s">
        <v>4308</v>
      </c>
      <c r="K293" s="15" t="s">
        <v>4600</v>
      </c>
      <c r="L293" s="60" t="str">
        <f t="shared" si="1"/>
        <v>Not in buy Zone</v>
      </c>
      <c r="M293" s="60" t="str">
        <f t="shared" si="2"/>
        <v>Not in buy Zone</v>
      </c>
      <c r="N293" s="33" t="str">
        <f t="shared" si="3"/>
        <v>No</v>
      </c>
    </row>
    <row r="294">
      <c r="A294" s="1" t="s">
        <v>322</v>
      </c>
      <c r="B294" s="1">
        <v>0.0</v>
      </c>
      <c r="C294" s="1">
        <v>0.0</v>
      </c>
      <c r="D294" s="1">
        <v>34.34</v>
      </c>
      <c r="E294" s="1">
        <v>0.0</v>
      </c>
      <c r="F294" s="54">
        <v>44384.0</v>
      </c>
      <c r="G294" s="1">
        <v>0.0</v>
      </c>
      <c r="H294" s="1">
        <v>34.48</v>
      </c>
      <c r="I294" s="14">
        <v>44393.0</v>
      </c>
      <c r="J294" s="1" t="s">
        <v>4308</v>
      </c>
      <c r="K294" s="15" t="s">
        <v>4601</v>
      </c>
      <c r="L294" s="60" t="str">
        <f t="shared" si="1"/>
        <v>Not in buy Zone</v>
      </c>
      <c r="M294" s="60" t="str">
        <f t="shared" si="2"/>
        <v>Not in buy Zone</v>
      </c>
      <c r="N294" s="33" t="str">
        <f t="shared" si="3"/>
        <v>No</v>
      </c>
    </row>
    <row r="295">
      <c r="A295" s="1" t="s">
        <v>323</v>
      </c>
      <c r="B295" s="1">
        <v>0.0</v>
      </c>
      <c r="C295" s="1">
        <v>0.0</v>
      </c>
      <c r="D295" s="1">
        <v>0.0</v>
      </c>
      <c r="E295" s="1">
        <v>158.89</v>
      </c>
      <c r="F295" s="54">
        <v>44391.0</v>
      </c>
      <c r="G295" s="1">
        <v>0.0</v>
      </c>
      <c r="H295" s="1">
        <v>160.68</v>
      </c>
      <c r="I295" s="14">
        <v>44393.0</v>
      </c>
      <c r="J295" s="1" t="s">
        <v>4308</v>
      </c>
      <c r="K295" s="15" t="s">
        <v>4602</v>
      </c>
      <c r="L295" s="60" t="str">
        <f t="shared" si="1"/>
        <v>Not in buy Zone</v>
      </c>
      <c r="M295" s="60" t="str">
        <f t="shared" si="2"/>
        <v>Not in buy Zone</v>
      </c>
      <c r="N295" s="33" t="str">
        <f t="shared" si="3"/>
        <v>No</v>
      </c>
    </row>
    <row r="296">
      <c r="A296" s="1" t="s">
        <v>324</v>
      </c>
      <c r="B296" s="1">
        <v>0.0</v>
      </c>
      <c r="C296" s="1">
        <v>0.0</v>
      </c>
      <c r="D296" s="1">
        <v>0.0</v>
      </c>
      <c r="E296" s="1">
        <v>145.6</v>
      </c>
      <c r="F296" s="54">
        <v>44364.0</v>
      </c>
      <c r="G296" s="1">
        <v>0.0</v>
      </c>
      <c r="H296" s="1">
        <v>138.9</v>
      </c>
      <c r="I296" s="14">
        <v>44393.0</v>
      </c>
      <c r="J296" s="1" t="s">
        <v>4308</v>
      </c>
      <c r="K296" s="15" t="s">
        <v>4603</v>
      </c>
      <c r="L296" s="60" t="str">
        <f t="shared" si="1"/>
        <v>Not in buy Zone</v>
      </c>
      <c r="M296" s="60" t="str">
        <f t="shared" si="2"/>
        <v>Not in buy Zone</v>
      </c>
      <c r="N296" s="33" t="str">
        <f t="shared" si="3"/>
        <v>No</v>
      </c>
    </row>
    <row r="297">
      <c r="A297" s="1" t="s">
        <v>325</v>
      </c>
      <c r="B297" s="1">
        <v>0.0</v>
      </c>
      <c r="C297" s="1">
        <v>0.0</v>
      </c>
      <c r="D297" s="1">
        <v>114.04</v>
      </c>
      <c r="E297" s="1">
        <v>0.0</v>
      </c>
      <c r="F297" s="54">
        <v>44362.0</v>
      </c>
      <c r="G297" s="1">
        <v>0.0</v>
      </c>
      <c r="H297" s="1">
        <v>118.06</v>
      </c>
      <c r="I297" s="14">
        <v>44393.0</v>
      </c>
      <c r="J297" s="1" t="s">
        <v>4308</v>
      </c>
      <c r="K297" s="15" t="s">
        <v>4604</v>
      </c>
      <c r="L297" s="60" t="str">
        <f t="shared" si="1"/>
        <v>Not in buy Zone</v>
      </c>
      <c r="M297" s="60" t="str">
        <f t="shared" si="2"/>
        <v>Not in buy Zone</v>
      </c>
      <c r="N297" s="33" t="str">
        <f t="shared" si="3"/>
        <v>No</v>
      </c>
    </row>
    <row r="298">
      <c r="A298" s="1" t="s">
        <v>326</v>
      </c>
      <c r="B298" s="1">
        <v>0.0</v>
      </c>
      <c r="C298" s="1">
        <v>0.0</v>
      </c>
      <c r="D298" s="1">
        <v>549.71</v>
      </c>
      <c r="E298" s="1">
        <v>0.0</v>
      </c>
      <c r="F298" s="54">
        <v>44340.0</v>
      </c>
      <c r="G298" s="1">
        <v>0.0</v>
      </c>
      <c r="H298" s="1">
        <v>667.76</v>
      </c>
      <c r="I298" s="14">
        <v>44393.0</v>
      </c>
      <c r="J298" s="1" t="s">
        <v>4308</v>
      </c>
      <c r="K298" s="15" t="s">
        <v>4605</v>
      </c>
      <c r="L298" s="60" t="str">
        <f t="shared" si="1"/>
        <v>Not in buy Zone</v>
      </c>
      <c r="M298" s="60" t="str">
        <f t="shared" si="2"/>
        <v>Not in buy Zone</v>
      </c>
      <c r="N298" s="33" t="str">
        <f t="shared" si="3"/>
        <v>No</v>
      </c>
    </row>
    <row r="299">
      <c r="A299" s="1" t="s">
        <v>327</v>
      </c>
      <c r="B299" s="1">
        <v>0.0</v>
      </c>
      <c r="C299" s="1">
        <v>0.0</v>
      </c>
      <c r="D299" s="1">
        <v>0.0</v>
      </c>
      <c r="E299" s="1">
        <v>115.99</v>
      </c>
      <c r="F299" s="54">
        <v>44390.0</v>
      </c>
      <c r="G299" s="1">
        <v>0.0</v>
      </c>
      <c r="H299" s="1">
        <v>116.96</v>
      </c>
      <c r="I299" s="14">
        <v>44393.0</v>
      </c>
      <c r="J299" s="1" t="s">
        <v>4308</v>
      </c>
      <c r="K299" s="15" t="s">
        <v>4606</v>
      </c>
      <c r="L299" s="60" t="str">
        <f t="shared" si="1"/>
        <v>Not in buy Zone</v>
      </c>
      <c r="M299" s="60" t="str">
        <f t="shared" si="2"/>
        <v>Not in buy Zone</v>
      </c>
      <c r="N299" s="33" t="str">
        <f t="shared" si="3"/>
        <v>No</v>
      </c>
    </row>
    <row r="300">
      <c r="A300" s="1" t="s">
        <v>328</v>
      </c>
      <c r="B300" s="1">
        <v>0.0</v>
      </c>
      <c r="C300" s="1">
        <v>0.0</v>
      </c>
      <c r="D300" s="1">
        <v>75.6</v>
      </c>
      <c r="E300" s="1">
        <v>0.0</v>
      </c>
      <c r="F300" s="54">
        <v>44386.0</v>
      </c>
      <c r="G300" s="1">
        <v>0.0</v>
      </c>
      <c r="H300" s="1">
        <v>74.35</v>
      </c>
      <c r="I300" s="14">
        <v>44393.0</v>
      </c>
      <c r="J300" s="1" t="s">
        <v>4308</v>
      </c>
      <c r="K300" s="15" t="s">
        <v>4607</v>
      </c>
      <c r="L300" s="60" t="str">
        <f t="shared" si="1"/>
        <v>Not in buy Zone</v>
      </c>
      <c r="M300" s="60" t="str">
        <f t="shared" si="2"/>
        <v>Not in buy Zone</v>
      </c>
      <c r="N300" s="33" t="str">
        <f t="shared" si="3"/>
        <v>No</v>
      </c>
    </row>
    <row r="301">
      <c r="A301" s="1" t="s">
        <v>329</v>
      </c>
      <c r="B301" s="1">
        <v>0.0</v>
      </c>
      <c r="C301" s="1">
        <v>0.0</v>
      </c>
      <c r="D301" s="1">
        <v>65.88</v>
      </c>
      <c r="E301" s="1">
        <v>0.0</v>
      </c>
      <c r="F301" s="54">
        <v>44392.0</v>
      </c>
      <c r="G301" s="1">
        <v>0.0</v>
      </c>
      <c r="H301" s="1">
        <v>65.37</v>
      </c>
      <c r="I301" s="14">
        <v>44393.0</v>
      </c>
      <c r="J301" s="1" t="s">
        <v>4308</v>
      </c>
      <c r="K301" s="15" t="s">
        <v>4608</v>
      </c>
      <c r="L301" s="60" t="str">
        <f t="shared" si="1"/>
        <v>Not in buy Zone</v>
      </c>
      <c r="M301" s="60" t="str">
        <f t="shared" si="2"/>
        <v>Not in buy Zone</v>
      </c>
      <c r="N301" s="33" t="str">
        <f t="shared" si="3"/>
        <v>No</v>
      </c>
    </row>
    <row r="302">
      <c r="A302" s="1" t="s">
        <v>330</v>
      </c>
      <c r="B302" s="1">
        <v>0.0</v>
      </c>
      <c r="C302" s="1">
        <v>0.0</v>
      </c>
      <c r="D302" s="1">
        <v>220.57</v>
      </c>
      <c r="E302" s="1">
        <v>0.0</v>
      </c>
      <c r="F302" s="54">
        <v>44376.0</v>
      </c>
      <c r="G302" s="1">
        <v>0.0</v>
      </c>
      <c r="H302" s="1">
        <v>226.67</v>
      </c>
      <c r="I302" s="14">
        <v>44393.0</v>
      </c>
      <c r="J302" s="1" t="s">
        <v>4308</v>
      </c>
      <c r="K302" s="15" t="s">
        <v>4609</v>
      </c>
      <c r="L302" s="60" t="str">
        <f t="shared" si="1"/>
        <v>Not in buy Zone</v>
      </c>
      <c r="M302" s="60" t="str">
        <f t="shared" si="2"/>
        <v>Not in buy Zone</v>
      </c>
      <c r="N302" s="33" t="str">
        <f t="shared" si="3"/>
        <v>No</v>
      </c>
    </row>
    <row r="303">
      <c r="A303" s="1" t="s">
        <v>331</v>
      </c>
      <c r="B303" s="1">
        <v>0.0</v>
      </c>
      <c r="C303" s="1">
        <v>0.0</v>
      </c>
      <c r="D303" s="1">
        <v>0.0</v>
      </c>
      <c r="E303" s="1">
        <v>145.45</v>
      </c>
      <c r="F303" s="54">
        <v>44390.0</v>
      </c>
      <c r="G303" s="1">
        <v>0.0</v>
      </c>
      <c r="H303" s="1">
        <v>143.42</v>
      </c>
      <c r="I303" s="14">
        <v>44393.0</v>
      </c>
      <c r="J303" s="1" t="s">
        <v>4308</v>
      </c>
      <c r="K303" s="15" t="s">
        <v>4610</v>
      </c>
      <c r="L303" s="60" t="str">
        <f t="shared" si="1"/>
        <v>Not in buy Zone</v>
      </c>
      <c r="M303" s="60" t="str">
        <f t="shared" si="2"/>
        <v>Not in buy Zone</v>
      </c>
      <c r="N303" s="33" t="str">
        <f t="shared" si="3"/>
        <v>No</v>
      </c>
    </row>
    <row r="304">
      <c r="A304" s="1" t="s">
        <v>332</v>
      </c>
      <c r="B304" s="1">
        <v>0.0</v>
      </c>
      <c r="C304" s="1">
        <v>0.0</v>
      </c>
      <c r="D304" s="1">
        <v>0.0</v>
      </c>
      <c r="E304" s="1">
        <v>110.85</v>
      </c>
      <c r="F304" s="54">
        <v>44383.0</v>
      </c>
      <c r="G304" s="1">
        <v>0.0</v>
      </c>
      <c r="H304" s="1">
        <v>106.67</v>
      </c>
      <c r="I304" s="14">
        <v>44393.0</v>
      </c>
      <c r="J304" s="1" t="s">
        <v>4308</v>
      </c>
      <c r="K304" s="15" t="s">
        <v>4611</v>
      </c>
      <c r="L304" s="60" t="str">
        <f t="shared" si="1"/>
        <v>Not in buy Zone</v>
      </c>
      <c r="M304" s="60" t="str">
        <f t="shared" si="2"/>
        <v>Not in buy Zone</v>
      </c>
      <c r="N304" s="33" t="str">
        <f t="shared" si="3"/>
        <v>No</v>
      </c>
    </row>
    <row r="305">
      <c r="A305" s="1" t="s">
        <v>333</v>
      </c>
      <c r="B305" s="1">
        <v>0.0</v>
      </c>
      <c r="C305" s="1">
        <v>0.0</v>
      </c>
      <c r="D305" s="1">
        <v>0.0</v>
      </c>
      <c r="E305" s="1">
        <v>460.92</v>
      </c>
      <c r="F305" s="54">
        <v>44391.0</v>
      </c>
      <c r="G305" s="1">
        <v>0.0</v>
      </c>
      <c r="H305" s="1">
        <v>465.46</v>
      </c>
      <c r="I305" s="14">
        <v>44393.0</v>
      </c>
      <c r="J305" s="1" t="s">
        <v>4308</v>
      </c>
      <c r="K305" s="15" t="s">
        <v>4612</v>
      </c>
      <c r="L305" s="60" t="str">
        <f t="shared" si="1"/>
        <v>Not in buy Zone</v>
      </c>
      <c r="M305" s="60" t="str">
        <f t="shared" si="2"/>
        <v>Not in buy Zone</v>
      </c>
      <c r="N305" s="33" t="str">
        <f t="shared" si="3"/>
        <v>No</v>
      </c>
    </row>
    <row r="306">
      <c r="A306" s="1" t="s">
        <v>334</v>
      </c>
      <c r="B306" s="1">
        <v>0.0</v>
      </c>
      <c r="C306" s="1">
        <v>0.0</v>
      </c>
      <c r="D306" s="1">
        <v>0.0</v>
      </c>
      <c r="E306" s="1">
        <v>82.58</v>
      </c>
      <c r="F306" s="54">
        <v>44358.0</v>
      </c>
      <c r="G306" s="1">
        <v>0.0</v>
      </c>
      <c r="H306" s="1">
        <v>78.33</v>
      </c>
      <c r="I306" s="14">
        <v>44393.0</v>
      </c>
      <c r="J306" s="1" t="s">
        <v>4308</v>
      </c>
      <c r="K306" s="15" t="s">
        <v>4613</v>
      </c>
      <c r="L306" s="60" t="str">
        <f t="shared" si="1"/>
        <v>Not in buy Zone</v>
      </c>
      <c r="M306" s="60" t="str">
        <f t="shared" si="2"/>
        <v>Not in buy Zone</v>
      </c>
      <c r="N306" s="33" t="str">
        <f t="shared" si="3"/>
        <v>No</v>
      </c>
    </row>
    <row r="307">
      <c r="A307" s="1" t="s">
        <v>335</v>
      </c>
      <c r="B307" s="1">
        <v>0.0</v>
      </c>
      <c r="C307" s="1">
        <v>0.0</v>
      </c>
      <c r="D307" s="1">
        <v>0.0</v>
      </c>
      <c r="E307" s="1">
        <v>44.5</v>
      </c>
      <c r="F307" s="54">
        <v>44363.0</v>
      </c>
      <c r="G307" s="1">
        <v>0.0</v>
      </c>
      <c r="H307" s="1">
        <v>44.23</v>
      </c>
      <c r="I307" s="14">
        <v>44393.0</v>
      </c>
      <c r="J307" s="1" t="s">
        <v>4308</v>
      </c>
      <c r="K307" s="15" t="s">
        <v>4614</v>
      </c>
      <c r="L307" s="60" t="str">
        <f t="shared" si="1"/>
        <v>Not in buy Zone</v>
      </c>
      <c r="M307" s="60" t="str">
        <f t="shared" si="2"/>
        <v>Not in buy Zone</v>
      </c>
      <c r="N307" s="33" t="str">
        <f t="shared" si="3"/>
        <v>No</v>
      </c>
    </row>
    <row r="308">
      <c r="A308" s="1" t="s">
        <v>336</v>
      </c>
      <c r="B308" s="1">
        <v>0.0</v>
      </c>
      <c r="C308" s="1">
        <v>0.0</v>
      </c>
      <c r="D308" s="1">
        <v>106.9</v>
      </c>
      <c r="E308" s="1">
        <v>0.0</v>
      </c>
      <c r="F308" s="54">
        <v>44351.0</v>
      </c>
      <c r="G308" s="1">
        <v>0.0</v>
      </c>
      <c r="H308" s="1">
        <v>114.06</v>
      </c>
      <c r="I308" s="14">
        <v>44393.0</v>
      </c>
      <c r="J308" s="1" t="s">
        <v>4308</v>
      </c>
      <c r="K308" s="15" t="s">
        <v>4615</v>
      </c>
      <c r="L308" s="60" t="str">
        <f t="shared" si="1"/>
        <v>Not in buy Zone</v>
      </c>
      <c r="M308" s="60" t="str">
        <f t="shared" si="2"/>
        <v>Not in buy Zone</v>
      </c>
      <c r="N308" s="33" t="str">
        <f t="shared" si="3"/>
        <v>No</v>
      </c>
    </row>
    <row r="309">
      <c r="A309" s="1" t="s">
        <v>337</v>
      </c>
      <c r="B309" s="1">
        <v>0.0</v>
      </c>
      <c r="C309" s="1">
        <v>0.0</v>
      </c>
      <c r="D309" s="1">
        <v>0.0</v>
      </c>
      <c r="E309" s="1">
        <v>55.67</v>
      </c>
      <c r="F309" s="54">
        <v>44365.0</v>
      </c>
      <c r="G309" s="1">
        <v>0.0</v>
      </c>
      <c r="H309" s="1">
        <v>54.97</v>
      </c>
      <c r="I309" s="14">
        <v>44393.0</v>
      </c>
      <c r="J309" s="1" t="s">
        <v>4308</v>
      </c>
      <c r="K309" s="15" t="s">
        <v>4616</v>
      </c>
      <c r="L309" s="60" t="str">
        <f t="shared" si="1"/>
        <v>Not in buy Zone</v>
      </c>
      <c r="M309" s="60" t="str">
        <f t="shared" si="2"/>
        <v>Not in buy Zone</v>
      </c>
      <c r="N309" s="33" t="str">
        <f t="shared" si="3"/>
        <v>No</v>
      </c>
    </row>
    <row r="310">
      <c r="A310" s="1" t="s">
        <v>338</v>
      </c>
      <c r="B310" s="1">
        <v>0.0</v>
      </c>
      <c r="C310" s="1">
        <v>0.0</v>
      </c>
      <c r="D310" s="1">
        <v>417.26</v>
      </c>
      <c r="E310" s="1">
        <v>0.0</v>
      </c>
      <c r="F310" s="54">
        <v>44330.0</v>
      </c>
      <c r="G310" s="1">
        <v>0.0</v>
      </c>
      <c r="H310" s="1">
        <v>501.51</v>
      </c>
      <c r="I310" s="14">
        <v>44393.0</v>
      </c>
      <c r="J310" s="1" t="s">
        <v>4308</v>
      </c>
      <c r="K310" s="15" t="s">
        <v>4617</v>
      </c>
      <c r="L310" s="60" t="str">
        <f t="shared" si="1"/>
        <v>Not in buy Zone</v>
      </c>
      <c r="M310" s="60" t="str">
        <f t="shared" si="2"/>
        <v>Not in buy Zone</v>
      </c>
      <c r="N310" s="33" t="str">
        <f t="shared" si="3"/>
        <v>No</v>
      </c>
    </row>
    <row r="311">
      <c r="A311" s="1" t="s">
        <v>339</v>
      </c>
      <c r="B311" s="1">
        <v>0.0</v>
      </c>
      <c r="C311" s="1">
        <v>0.0</v>
      </c>
      <c r="D311" s="1">
        <v>38.77</v>
      </c>
      <c r="E311" s="1">
        <v>0.0</v>
      </c>
      <c r="F311" s="54">
        <v>44383.0</v>
      </c>
      <c r="G311" s="1">
        <v>0.0</v>
      </c>
      <c r="H311" s="1">
        <v>39.97</v>
      </c>
      <c r="I311" s="14">
        <v>44393.0</v>
      </c>
      <c r="J311" s="1" t="s">
        <v>4308</v>
      </c>
      <c r="K311" s="15" t="s">
        <v>4618</v>
      </c>
      <c r="L311" s="60" t="str">
        <f t="shared" si="1"/>
        <v>Not in buy Zone</v>
      </c>
      <c r="M311" s="60" t="str">
        <f t="shared" si="2"/>
        <v>Not in buy Zone</v>
      </c>
      <c r="N311" s="33" t="str">
        <f t="shared" si="3"/>
        <v>No</v>
      </c>
    </row>
    <row r="312">
      <c r="A312" s="1" t="s">
        <v>340</v>
      </c>
      <c r="B312" s="1">
        <v>0.0</v>
      </c>
      <c r="C312" s="1">
        <v>0.0</v>
      </c>
      <c r="D312" s="1">
        <v>0.0</v>
      </c>
      <c r="E312" s="1">
        <v>62.3</v>
      </c>
      <c r="F312" s="54">
        <v>44361.0</v>
      </c>
      <c r="G312" s="1">
        <v>0.0</v>
      </c>
      <c r="H312" s="1">
        <v>59.13</v>
      </c>
      <c r="I312" s="14">
        <v>44393.0</v>
      </c>
      <c r="J312" s="1" t="s">
        <v>4308</v>
      </c>
      <c r="K312" s="15" t="s">
        <v>4619</v>
      </c>
      <c r="L312" s="60" t="str">
        <f t="shared" si="1"/>
        <v>Not in buy Zone</v>
      </c>
      <c r="M312" s="60" t="str">
        <f t="shared" si="2"/>
        <v>Not in buy Zone</v>
      </c>
      <c r="N312" s="33" t="str">
        <f t="shared" si="3"/>
        <v>No</v>
      </c>
    </row>
    <row r="313">
      <c r="A313" s="1" t="s">
        <v>341</v>
      </c>
      <c r="B313" s="1">
        <v>0.0</v>
      </c>
      <c r="C313" s="1">
        <v>0.0</v>
      </c>
      <c r="D313" s="1">
        <v>0.0</v>
      </c>
      <c r="E313" s="1">
        <v>32.43</v>
      </c>
      <c r="F313" s="54">
        <v>44364.0</v>
      </c>
      <c r="G313" s="1">
        <v>0.0</v>
      </c>
      <c r="H313" s="1">
        <v>31.44</v>
      </c>
      <c r="I313" s="14">
        <v>44393.0</v>
      </c>
      <c r="J313" s="1" t="s">
        <v>4308</v>
      </c>
      <c r="K313" s="15" t="s">
        <v>4620</v>
      </c>
      <c r="L313" s="60" t="str">
        <f t="shared" si="1"/>
        <v>Not in buy Zone</v>
      </c>
      <c r="M313" s="60" t="str">
        <f t="shared" si="2"/>
        <v>Not in buy Zone</v>
      </c>
      <c r="N313" s="33" t="str">
        <f t="shared" si="3"/>
        <v>No</v>
      </c>
    </row>
    <row r="314">
      <c r="A314" s="1" t="s">
        <v>342</v>
      </c>
      <c r="B314" s="1">
        <v>0.0</v>
      </c>
      <c r="C314" s="1">
        <v>0.0</v>
      </c>
      <c r="D314" s="1">
        <v>0.0</v>
      </c>
      <c r="E314" s="1">
        <v>201.3</v>
      </c>
      <c r="F314" s="54">
        <v>44385.0</v>
      </c>
      <c r="G314" s="1">
        <v>0.0</v>
      </c>
      <c r="H314" s="1">
        <v>205.88</v>
      </c>
      <c r="I314" s="14">
        <v>44393.0</v>
      </c>
      <c r="J314" s="1" t="s">
        <v>4308</v>
      </c>
      <c r="K314" s="15" t="s">
        <v>4621</v>
      </c>
      <c r="L314" s="60" t="str">
        <f t="shared" si="1"/>
        <v>Not in buy Zone</v>
      </c>
      <c r="M314" s="60" t="str">
        <f t="shared" si="2"/>
        <v>Not in buy Zone</v>
      </c>
      <c r="N314" s="33" t="str">
        <f t="shared" si="3"/>
        <v>No</v>
      </c>
    </row>
    <row r="315">
      <c r="A315" s="1" t="s">
        <v>343</v>
      </c>
      <c r="B315" s="1">
        <v>0.0</v>
      </c>
      <c r="C315" s="1">
        <v>0.0</v>
      </c>
      <c r="D315" s="1">
        <v>242.8</v>
      </c>
      <c r="E315" s="1">
        <v>0.0</v>
      </c>
      <c r="F315" s="54">
        <v>44357.0</v>
      </c>
      <c r="G315" s="1">
        <v>0.0</v>
      </c>
      <c r="H315" s="1">
        <v>247.7</v>
      </c>
      <c r="I315" s="14">
        <v>44393.0</v>
      </c>
      <c r="J315" s="1" t="s">
        <v>4308</v>
      </c>
      <c r="K315" s="15" t="s">
        <v>4622</v>
      </c>
      <c r="L315" s="60" t="str">
        <f t="shared" si="1"/>
        <v>Not in buy Zone</v>
      </c>
      <c r="M315" s="60" t="str">
        <f t="shared" si="2"/>
        <v>Not in buy Zone</v>
      </c>
      <c r="N315" s="33" t="str">
        <f t="shared" si="3"/>
        <v>No</v>
      </c>
    </row>
    <row r="316">
      <c r="A316" s="1" t="s">
        <v>344</v>
      </c>
      <c r="B316" s="1">
        <v>0.0</v>
      </c>
      <c r="C316" s="1">
        <v>0.0</v>
      </c>
      <c r="D316" s="1">
        <v>48.98</v>
      </c>
      <c r="E316" s="1">
        <v>0.0</v>
      </c>
      <c r="F316" s="54">
        <v>44372.0</v>
      </c>
      <c r="G316" s="1">
        <v>0.0</v>
      </c>
      <c r="H316" s="1">
        <v>48.16</v>
      </c>
      <c r="I316" s="14">
        <v>44393.0</v>
      </c>
      <c r="J316" s="1" t="s">
        <v>4308</v>
      </c>
      <c r="K316" s="15" t="s">
        <v>4623</v>
      </c>
      <c r="L316" s="60" t="str">
        <f t="shared" si="1"/>
        <v>Not in buy Zone</v>
      </c>
      <c r="M316" s="60" t="str">
        <f t="shared" si="2"/>
        <v>Not in buy Zone</v>
      </c>
      <c r="N316" s="33" t="str">
        <f t="shared" si="3"/>
        <v>No</v>
      </c>
    </row>
    <row r="317">
      <c r="A317" s="1" t="s">
        <v>345</v>
      </c>
      <c r="B317" s="1">
        <v>0.0</v>
      </c>
      <c r="C317" s="1">
        <v>0.0</v>
      </c>
      <c r="D317" s="1">
        <v>44.5</v>
      </c>
      <c r="E317" s="1">
        <v>0.0</v>
      </c>
      <c r="F317" s="54">
        <v>44389.0</v>
      </c>
      <c r="G317" s="1">
        <v>0.0</v>
      </c>
      <c r="H317" s="1">
        <v>43.32</v>
      </c>
      <c r="I317" s="14">
        <v>44393.0</v>
      </c>
      <c r="J317" s="1" t="s">
        <v>4308</v>
      </c>
      <c r="K317" s="15" t="s">
        <v>4624</v>
      </c>
      <c r="L317" s="60" t="str">
        <f t="shared" si="1"/>
        <v>Not in buy Zone</v>
      </c>
      <c r="M317" s="60" t="str">
        <f t="shared" si="2"/>
        <v>Not in buy Zone</v>
      </c>
      <c r="N317" s="33" t="str">
        <f t="shared" si="3"/>
        <v>No</v>
      </c>
    </row>
    <row r="318">
      <c r="A318" s="1" t="s">
        <v>346</v>
      </c>
      <c r="B318" s="1">
        <v>0.0</v>
      </c>
      <c r="C318" s="1">
        <v>0.0</v>
      </c>
      <c r="D318" s="1">
        <v>859.14</v>
      </c>
      <c r="E318" s="1">
        <v>0.0</v>
      </c>
      <c r="F318" s="54">
        <v>44357.0</v>
      </c>
      <c r="G318" s="1">
        <v>0.0</v>
      </c>
      <c r="H318" s="1">
        <v>950.11</v>
      </c>
      <c r="I318" s="14">
        <v>44393.0</v>
      </c>
      <c r="J318" s="1" t="s">
        <v>4308</v>
      </c>
      <c r="K318" s="15" t="s">
        <v>4625</v>
      </c>
      <c r="L318" s="60" t="str">
        <f t="shared" si="1"/>
        <v>Not in buy Zone</v>
      </c>
      <c r="M318" s="60" t="str">
        <f t="shared" si="2"/>
        <v>Not in buy Zone</v>
      </c>
      <c r="N318" s="33" t="str">
        <f t="shared" si="3"/>
        <v>No</v>
      </c>
    </row>
    <row r="319">
      <c r="A319" s="1" t="s">
        <v>347</v>
      </c>
      <c r="B319" s="1">
        <v>0.0</v>
      </c>
      <c r="C319" s="1">
        <v>0.0</v>
      </c>
      <c r="D319" s="1">
        <v>163.07</v>
      </c>
      <c r="E319" s="1">
        <v>0.0</v>
      </c>
      <c r="F319" s="54">
        <v>44231.0</v>
      </c>
      <c r="G319" s="1">
        <v>0.0</v>
      </c>
      <c r="H319" s="1">
        <v>253.36</v>
      </c>
      <c r="I319" s="14">
        <v>44393.0</v>
      </c>
      <c r="J319" s="1" t="s">
        <v>4308</v>
      </c>
      <c r="K319" s="15" t="s">
        <v>4626</v>
      </c>
      <c r="L319" s="60" t="str">
        <f t="shared" si="1"/>
        <v>Not in buy Zone</v>
      </c>
      <c r="M319" s="60" t="str">
        <f t="shared" si="2"/>
        <v>Not in buy Zone</v>
      </c>
      <c r="N319" s="33" t="str">
        <f t="shared" si="3"/>
        <v>No</v>
      </c>
    </row>
    <row r="320">
      <c r="A320" s="1" t="s">
        <v>348</v>
      </c>
      <c r="B320" s="1">
        <v>0.0</v>
      </c>
      <c r="C320" s="1">
        <v>0.0</v>
      </c>
      <c r="D320" s="1">
        <v>228.98</v>
      </c>
      <c r="E320" s="1">
        <v>0.0</v>
      </c>
      <c r="F320" s="54">
        <v>44391.0</v>
      </c>
      <c r="G320" s="1">
        <v>0.0</v>
      </c>
      <c r="H320" s="1">
        <v>228.39</v>
      </c>
      <c r="I320" s="14">
        <v>44393.0</v>
      </c>
      <c r="J320" s="1" t="s">
        <v>4308</v>
      </c>
      <c r="K320" s="15" t="s">
        <v>4627</v>
      </c>
      <c r="L320" s="60" t="str">
        <f t="shared" si="1"/>
        <v>Not in buy Zone</v>
      </c>
      <c r="M320" s="60" t="str">
        <f t="shared" si="2"/>
        <v>Not in buy Zone</v>
      </c>
      <c r="N320" s="33" t="str">
        <f t="shared" si="3"/>
        <v>No</v>
      </c>
    </row>
    <row r="321">
      <c r="A321" s="1" t="s">
        <v>349</v>
      </c>
      <c r="B321" s="1">
        <v>0.0</v>
      </c>
      <c r="C321" s="1">
        <v>0.0</v>
      </c>
      <c r="D321" s="1">
        <v>426.87</v>
      </c>
      <c r="E321" s="1">
        <v>0.0</v>
      </c>
      <c r="F321" s="54">
        <v>44371.0</v>
      </c>
      <c r="G321" s="1">
        <v>0.0</v>
      </c>
      <c r="H321" s="1">
        <v>433.27</v>
      </c>
      <c r="I321" s="14">
        <v>44393.0</v>
      </c>
      <c r="J321" s="1" t="s">
        <v>4308</v>
      </c>
      <c r="K321" s="15" t="s">
        <v>4628</v>
      </c>
      <c r="L321" s="60" t="str">
        <f t="shared" si="1"/>
        <v>Not in buy Zone</v>
      </c>
      <c r="M321" s="60" t="str">
        <f t="shared" si="2"/>
        <v>Not in buy Zone</v>
      </c>
      <c r="N321" s="33" t="str">
        <f t="shared" si="3"/>
        <v>No</v>
      </c>
    </row>
    <row r="322">
      <c r="A322" s="1" t="s">
        <v>350</v>
      </c>
      <c r="B322" s="1">
        <v>0.0</v>
      </c>
      <c r="C322" s="1">
        <v>0.0</v>
      </c>
      <c r="D322" s="1">
        <v>0.0</v>
      </c>
      <c r="E322" s="1">
        <v>27.21</v>
      </c>
      <c r="F322" s="54">
        <v>44364.0</v>
      </c>
      <c r="G322" s="1">
        <v>0.0</v>
      </c>
      <c r="H322" s="1">
        <v>25.02</v>
      </c>
      <c r="I322" s="14">
        <v>44393.0</v>
      </c>
      <c r="J322" s="1" t="s">
        <v>4308</v>
      </c>
      <c r="K322" s="15" t="s">
        <v>4629</v>
      </c>
      <c r="L322" s="60" t="str">
        <f t="shared" si="1"/>
        <v>Not in buy Zone</v>
      </c>
      <c r="M322" s="60" t="str">
        <f t="shared" si="2"/>
        <v>Not in buy Zone</v>
      </c>
      <c r="N322" s="33" t="str">
        <f t="shared" si="3"/>
        <v>No</v>
      </c>
    </row>
    <row r="323">
      <c r="A323" s="1" t="s">
        <v>351</v>
      </c>
      <c r="B323" s="1">
        <v>0.0</v>
      </c>
      <c r="C323" s="1">
        <v>0.0</v>
      </c>
      <c r="D323" s="1">
        <v>159.3</v>
      </c>
      <c r="E323" s="1">
        <v>0.0</v>
      </c>
      <c r="F323" s="54">
        <v>44372.0</v>
      </c>
      <c r="G323" s="1">
        <v>0.0</v>
      </c>
      <c r="H323" s="1">
        <v>157.47</v>
      </c>
      <c r="I323" s="14">
        <v>44393.0</v>
      </c>
      <c r="J323" s="1" t="s">
        <v>4308</v>
      </c>
      <c r="K323" s="15" t="s">
        <v>4630</v>
      </c>
      <c r="L323" s="60" t="str">
        <f t="shared" si="1"/>
        <v>Not in buy Zone</v>
      </c>
      <c r="M323" s="60" t="str">
        <f t="shared" si="2"/>
        <v>Not in buy Zone</v>
      </c>
      <c r="N323" s="33" t="str">
        <f t="shared" si="3"/>
        <v>No</v>
      </c>
    </row>
    <row r="324">
      <c r="A324" s="1" t="s">
        <v>352</v>
      </c>
      <c r="B324" s="1">
        <v>0.0</v>
      </c>
      <c r="C324" s="1">
        <v>0.0</v>
      </c>
      <c r="D324" s="1">
        <v>0.0</v>
      </c>
      <c r="E324" s="1">
        <v>223.76</v>
      </c>
      <c r="F324" s="54">
        <v>44384.0</v>
      </c>
      <c r="G324" s="1">
        <v>0.0</v>
      </c>
      <c r="H324" s="1">
        <v>214.95</v>
      </c>
      <c r="I324" s="14">
        <v>44393.0</v>
      </c>
      <c r="J324" s="1" t="s">
        <v>4308</v>
      </c>
      <c r="K324" s="15" t="s">
        <v>4631</v>
      </c>
      <c r="L324" s="60" t="str">
        <f t="shared" si="1"/>
        <v>Not in buy Zone</v>
      </c>
      <c r="M324" s="60" t="str">
        <f t="shared" si="2"/>
        <v>Not in buy Zone</v>
      </c>
      <c r="N324" s="33" t="str">
        <f t="shared" si="3"/>
        <v>No</v>
      </c>
    </row>
    <row r="325">
      <c r="A325" s="1" t="s">
        <v>353</v>
      </c>
      <c r="B325" s="1">
        <v>0.0</v>
      </c>
      <c r="C325" s="1">
        <v>0.0</v>
      </c>
      <c r="D325" s="1">
        <v>105.4</v>
      </c>
      <c r="E325" s="1">
        <v>0.0</v>
      </c>
      <c r="F325" s="54">
        <v>44386.0</v>
      </c>
      <c r="G325" s="1">
        <v>0.0</v>
      </c>
      <c r="H325" s="1">
        <v>105.78</v>
      </c>
      <c r="I325" s="14">
        <v>44393.0</v>
      </c>
      <c r="J325" s="1" t="s">
        <v>4308</v>
      </c>
      <c r="K325" s="15" t="s">
        <v>4632</v>
      </c>
      <c r="L325" s="60" t="str">
        <f t="shared" si="1"/>
        <v>Not in buy Zone</v>
      </c>
      <c r="M325" s="60" t="str">
        <f t="shared" si="2"/>
        <v>Not in buy Zone</v>
      </c>
      <c r="N325" s="33" t="str">
        <f t="shared" si="3"/>
        <v>No</v>
      </c>
    </row>
    <row r="326">
      <c r="A326" s="1" t="s">
        <v>354</v>
      </c>
      <c r="B326" s="1">
        <v>0.0</v>
      </c>
      <c r="C326" s="1">
        <v>0.0</v>
      </c>
      <c r="D326" s="1">
        <v>136.84</v>
      </c>
      <c r="E326" s="1">
        <v>0.0</v>
      </c>
      <c r="F326" s="54">
        <v>44372.0</v>
      </c>
      <c r="G326" s="1">
        <v>0.0</v>
      </c>
      <c r="H326" s="1">
        <v>132.04</v>
      </c>
      <c r="I326" s="14">
        <v>44393.0</v>
      </c>
      <c r="J326" s="1" t="s">
        <v>4308</v>
      </c>
      <c r="K326" s="15" t="s">
        <v>4633</v>
      </c>
      <c r="L326" s="60" t="str">
        <f t="shared" si="1"/>
        <v>Not in buy Zone</v>
      </c>
      <c r="M326" s="60" t="str">
        <f t="shared" si="2"/>
        <v>Not in buy Zone</v>
      </c>
      <c r="N326" s="33" t="str">
        <f t="shared" si="3"/>
        <v>No</v>
      </c>
    </row>
    <row r="327">
      <c r="A327" s="1" t="s">
        <v>355</v>
      </c>
      <c r="B327" s="1">
        <v>0.0</v>
      </c>
      <c r="C327" s="1">
        <v>0.0</v>
      </c>
      <c r="D327" s="1">
        <v>166.94</v>
      </c>
      <c r="E327" s="1">
        <v>0.0</v>
      </c>
      <c r="F327" s="54">
        <v>44378.0</v>
      </c>
      <c r="G327" s="1">
        <v>0.0</v>
      </c>
      <c r="H327" s="1">
        <v>164.95</v>
      </c>
      <c r="I327" s="14">
        <v>44393.0</v>
      </c>
      <c r="J327" s="1" t="s">
        <v>4308</v>
      </c>
      <c r="K327" s="15" t="s">
        <v>4634</v>
      </c>
      <c r="L327" s="60" t="str">
        <f t="shared" si="1"/>
        <v>Not in buy Zone</v>
      </c>
      <c r="M327" s="60" t="str">
        <f t="shared" si="2"/>
        <v>Not in buy Zone</v>
      </c>
      <c r="N327" s="33" t="str">
        <f t="shared" si="3"/>
        <v>No</v>
      </c>
    </row>
    <row r="328">
      <c r="A328" s="1" t="s">
        <v>356</v>
      </c>
      <c r="B328" s="1">
        <v>0.0</v>
      </c>
      <c r="C328" s="1">
        <v>0.0</v>
      </c>
      <c r="D328" s="1">
        <v>67.56</v>
      </c>
      <c r="E328" s="1">
        <v>0.0</v>
      </c>
      <c r="F328" s="54">
        <v>44375.0</v>
      </c>
      <c r="G328" s="1">
        <v>0.0</v>
      </c>
      <c r="H328" s="1">
        <v>69.73</v>
      </c>
      <c r="I328" s="14">
        <v>44393.0</v>
      </c>
      <c r="J328" s="1" t="s">
        <v>4308</v>
      </c>
      <c r="K328" s="15" t="s">
        <v>4635</v>
      </c>
      <c r="L328" s="60" t="str">
        <f t="shared" si="1"/>
        <v>Not in buy Zone</v>
      </c>
      <c r="M328" s="60" t="str">
        <f t="shared" si="2"/>
        <v>Not in buy Zone</v>
      </c>
      <c r="N328" s="33" t="str">
        <f t="shared" si="3"/>
        <v>No</v>
      </c>
    </row>
    <row r="329">
      <c r="A329" s="1" t="s">
        <v>357</v>
      </c>
      <c r="B329" s="1">
        <v>0.0</v>
      </c>
      <c r="C329" s="1">
        <v>0.0</v>
      </c>
      <c r="D329" s="1">
        <v>76.52</v>
      </c>
      <c r="E329" s="1">
        <v>0.0</v>
      </c>
      <c r="F329" s="54">
        <v>44390.0</v>
      </c>
      <c r="G329" s="1">
        <v>0.0</v>
      </c>
      <c r="H329" s="1">
        <v>75.59</v>
      </c>
      <c r="I329" s="14">
        <v>44393.0</v>
      </c>
      <c r="J329" s="1" t="s">
        <v>4308</v>
      </c>
      <c r="K329" s="15" t="s">
        <v>4636</v>
      </c>
      <c r="L329" s="60" t="str">
        <f t="shared" si="1"/>
        <v>Not in buy Zone</v>
      </c>
      <c r="M329" s="60" t="str">
        <f t="shared" si="2"/>
        <v>Not in buy Zone</v>
      </c>
      <c r="N329" s="33" t="str">
        <f t="shared" si="3"/>
        <v>No</v>
      </c>
    </row>
    <row r="330">
      <c r="A330" s="1" t="s">
        <v>358</v>
      </c>
      <c r="B330" s="1">
        <v>0.0</v>
      </c>
      <c r="C330" s="1">
        <v>0.0</v>
      </c>
      <c r="D330" s="1">
        <v>33.97</v>
      </c>
      <c r="E330" s="1">
        <v>0.0</v>
      </c>
      <c r="F330" s="54">
        <v>44392.0</v>
      </c>
      <c r="G330" s="1">
        <v>0.0</v>
      </c>
      <c r="H330" s="1">
        <v>33.37</v>
      </c>
      <c r="I330" s="14">
        <v>44393.0</v>
      </c>
      <c r="J330" s="1" t="s">
        <v>4308</v>
      </c>
      <c r="K330" s="15" t="s">
        <v>4637</v>
      </c>
      <c r="L330" s="60" t="str">
        <f t="shared" si="1"/>
        <v>Not in buy Zone</v>
      </c>
      <c r="M330" s="60" t="str">
        <f t="shared" si="2"/>
        <v>Not in buy Zone</v>
      </c>
      <c r="N330" s="33" t="str">
        <f t="shared" si="3"/>
        <v>No</v>
      </c>
    </row>
    <row r="331">
      <c r="A331" s="1" t="s">
        <v>359</v>
      </c>
      <c r="B331" s="1">
        <v>0.0</v>
      </c>
      <c r="C331" s="1">
        <v>0.0</v>
      </c>
      <c r="D331" s="1">
        <v>159.72</v>
      </c>
      <c r="E331" s="1">
        <v>0.0</v>
      </c>
      <c r="F331" s="54">
        <v>44356.0</v>
      </c>
      <c r="G331" s="1">
        <v>0.0</v>
      </c>
      <c r="H331" s="1">
        <v>171.67</v>
      </c>
      <c r="I331" s="14">
        <v>44393.0</v>
      </c>
      <c r="J331" s="1" t="s">
        <v>4308</v>
      </c>
      <c r="K331" s="15" t="s">
        <v>4638</v>
      </c>
      <c r="L331" s="60" t="str">
        <f t="shared" si="1"/>
        <v>Not in buy Zone</v>
      </c>
      <c r="M331" s="60" t="str">
        <f t="shared" si="2"/>
        <v>Not in buy Zone</v>
      </c>
      <c r="N331" s="33" t="str">
        <f t="shared" si="3"/>
        <v>No</v>
      </c>
    </row>
    <row r="332">
      <c r="A332" s="1" t="s">
        <v>360</v>
      </c>
      <c r="B332" s="1">
        <v>0.0</v>
      </c>
      <c r="C332" s="1">
        <v>0.0</v>
      </c>
      <c r="D332" s="1">
        <v>168.98</v>
      </c>
      <c r="E332" s="1">
        <v>0.0</v>
      </c>
      <c r="F332" s="54">
        <v>44379.0</v>
      </c>
      <c r="G332" s="1">
        <v>0.0</v>
      </c>
      <c r="H332" s="1">
        <v>168.1</v>
      </c>
      <c r="I332" s="14">
        <v>44393.0</v>
      </c>
      <c r="J332" s="1" t="s">
        <v>4308</v>
      </c>
      <c r="K332" s="15" t="s">
        <v>4639</v>
      </c>
      <c r="L332" s="60" t="str">
        <f t="shared" si="1"/>
        <v>Not in buy Zone</v>
      </c>
      <c r="M332" s="60" t="str">
        <f t="shared" si="2"/>
        <v>Not in buy Zone</v>
      </c>
      <c r="N332" s="33" t="str">
        <f t="shared" si="3"/>
        <v>No</v>
      </c>
    </row>
    <row r="333">
      <c r="A333" s="1" t="s">
        <v>361</v>
      </c>
      <c r="B333" s="1">
        <v>0.0</v>
      </c>
      <c r="C333" s="1">
        <v>0.0</v>
      </c>
      <c r="D333" s="1">
        <v>108.94</v>
      </c>
      <c r="E333" s="1">
        <v>0.0</v>
      </c>
      <c r="F333" s="54">
        <v>44340.0</v>
      </c>
      <c r="G333" s="1">
        <v>0.0</v>
      </c>
      <c r="H333" s="1">
        <v>109.57</v>
      </c>
      <c r="I333" s="14">
        <v>44393.0</v>
      </c>
      <c r="J333" s="1" t="s">
        <v>4308</v>
      </c>
      <c r="K333" s="15" t="s">
        <v>4640</v>
      </c>
      <c r="L333" s="60" t="str">
        <f t="shared" si="1"/>
        <v>Not in buy Zone</v>
      </c>
      <c r="M333" s="60" t="str">
        <f t="shared" si="2"/>
        <v>Not in buy Zone</v>
      </c>
      <c r="N333" s="33" t="str">
        <f t="shared" si="3"/>
        <v>No</v>
      </c>
    </row>
    <row r="334">
      <c r="A334" s="1" t="s">
        <v>362</v>
      </c>
      <c r="B334" s="1">
        <v>0.0</v>
      </c>
      <c r="C334" s="1">
        <v>0.0</v>
      </c>
      <c r="D334" s="1">
        <v>28.05</v>
      </c>
      <c r="E334" s="1">
        <v>0.0</v>
      </c>
      <c r="F334" s="54">
        <v>44391.0</v>
      </c>
      <c r="G334" s="1">
        <v>0.0</v>
      </c>
      <c r="H334" s="1">
        <v>27.61</v>
      </c>
      <c r="I334" s="14">
        <v>44393.0</v>
      </c>
      <c r="J334" s="1" t="s">
        <v>4308</v>
      </c>
      <c r="K334" s="15" t="s">
        <v>4641</v>
      </c>
      <c r="L334" s="60" t="str">
        <f t="shared" si="1"/>
        <v>Not in buy Zone</v>
      </c>
      <c r="M334" s="60" t="str">
        <f t="shared" si="2"/>
        <v>Not in buy Zone</v>
      </c>
      <c r="N334" s="33" t="str">
        <f t="shared" si="3"/>
        <v>No</v>
      </c>
    </row>
    <row r="335">
      <c r="A335" s="1" t="s">
        <v>363</v>
      </c>
      <c r="B335" s="1">
        <v>0.0</v>
      </c>
      <c r="C335" s="1">
        <v>0.0</v>
      </c>
      <c r="D335" s="1">
        <v>157.08</v>
      </c>
      <c r="E335" s="1">
        <v>0.0</v>
      </c>
      <c r="F335" s="54">
        <v>44378.0</v>
      </c>
      <c r="G335" s="1">
        <v>0.0</v>
      </c>
      <c r="H335" s="1">
        <v>151.91</v>
      </c>
      <c r="I335" s="14">
        <v>44393.0</v>
      </c>
      <c r="J335" s="1" t="s">
        <v>4308</v>
      </c>
      <c r="K335" s="15" t="s">
        <v>4642</v>
      </c>
      <c r="L335" s="60" t="str">
        <f t="shared" si="1"/>
        <v>Not in buy Zone</v>
      </c>
      <c r="M335" s="60" t="str">
        <f t="shared" si="2"/>
        <v>Not in buy Zone</v>
      </c>
      <c r="N335" s="33" t="str">
        <f t="shared" si="3"/>
        <v>No</v>
      </c>
    </row>
    <row r="336">
      <c r="A336" s="1" t="s">
        <v>364</v>
      </c>
      <c r="B336" s="1">
        <v>0.0</v>
      </c>
      <c r="C336" s="1">
        <v>0.0</v>
      </c>
      <c r="D336" s="1">
        <v>0.0</v>
      </c>
      <c r="E336" s="1">
        <v>50.72</v>
      </c>
      <c r="F336" s="54">
        <v>44368.0</v>
      </c>
      <c r="G336" s="1">
        <v>0.0</v>
      </c>
      <c r="H336" s="1">
        <v>50.72</v>
      </c>
      <c r="I336" s="14">
        <v>44393.0</v>
      </c>
      <c r="J336" s="1" t="s">
        <v>4308</v>
      </c>
      <c r="K336" s="15" t="s">
        <v>4643</v>
      </c>
      <c r="L336" s="60" t="str">
        <f t="shared" si="1"/>
        <v>Not in buy Zone</v>
      </c>
      <c r="M336" s="60" t="str">
        <f t="shared" si="2"/>
        <v>Not in buy Zone</v>
      </c>
      <c r="N336" s="33" t="str">
        <f t="shared" si="3"/>
        <v>No</v>
      </c>
    </row>
    <row r="337">
      <c r="A337" s="1" t="s">
        <v>365</v>
      </c>
      <c r="B337" s="1">
        <v>0.0</v>
      </c>
      <c r="C337" s="1">
        <v>0.0</v>
      </c>
      <c r="D337" s="1">
        <v>0.0</v>
      </c>
      <c r="E337" s="1">
        <v>33.76</v>
      </c>
      <c r="F337" s="54">
        <v>44385.0</v>
      </c>
      <c r="G337" s="1">
        <v>0.0</v>
      </c>
      <c r="H337" s="1">
        <v>32.7</v>
      </c>
      <c r="I337" s="14">
        <v>44393.0</v>
      </c>
      <c r="J337" s="1" t="s">
        <v>4308</v>
      </c>
      <c r="K337" s="15" t="s">
        <v>4644</v>
      </c>
      <c r="L337" s="60" t="str">
        <f t="shared" si="1"/>
        <v>Not in buy Zone</v>
      </c>
      <c r="M337" s="60" t="str">
        <f t="shared" si="2"/>
        <v>Not in buy Zone</v>
      </c>
      <c r="N337" s="33" t="str">
        <f t="shared" si="3"/>
        <v>No</v>
      </c>
    </row>
    <row r="338">
      <c r="A338" s="1" t="s">
        <v>366</v>
      </c>
      <c r="B338" s="1">
        <v>0.0</v>
      </c>
      <c r="C338" s="1">
        <v>0.0</v>
      </c>
      <c r="D338" s="1">
        <v>0.0</v>
      </c>
      <c r="E338" s="1">
        <v>64.53</v>
      </c>
      <c r="F338" s="54">
        <v>44364.0</v>
      </c>
      <c r="G338" s="1">
        <v>0.0</v>
      </c>
      <c r="H338" s="1">
        <v>64.26</v>
      </c>
      <c r="I338" s="14">
        <v>44393.0</v>
      </c>
      <c r="J338" s="1" t="s">
        <v>4308</v>
      </c>
      <c r="K338" s="15" t="s">
        <v>4645</v>
      </c>
      <c r="L338" s="60" t="str">
        <f t="shared" si="1"/>
        <v>Not in buy Zone</v>
      </c>
      <c r="M338" s="60" t="str">
        <f t="shared" si="2"/>
        <v>Not in buy Zone</v>
      </c>
      <c r="N338" s="33" t="str">
        <f t="shared" si="3"/>
        <v>No</v>
      </c>
    </row>
    <row r="339">
      <c r="A339" s="1" t="s">
        <v>367</v>
      </c>
      <c r="B339" s="1">
        <v>0.0</v>
      </c>
      <c r="C339" s="1">
        <v>0.0</v>
      </c>
      <c r="D339" s="1">
        <v>0.0</v>
      </c>
      <c r="E339" s="1">
        <v>52.53</v>
      </c>
      <c r="F339" s="54">
        <v>44328.0</v>
      </c>
      <c r="G339" s="1">
        <v>0.0</v>
      </c>
      <c r="H339" s="1">
        <v>48.9</v>
      </c>
      <c r="I339" s="14">
        <v>44393.0</v>
      </c>
      <c r="J339" s="1" t="s">
        <v>4308</v>
      </c>
      <c r="K339" s="15" t="s">
        <v>4646</v>
      </c>
      <c r="L339" s="60" t="str">
        <f t="shared" si="1"/>
        <v>Not in buy Zone</v>
      </c>
      <c r="M339" s="60" t="str">
        <f t="shared" si="2"/>
        <v>Not in buy Zone</v>
      </c>
      <c r="N339" s="33" t="str">
        <f t="shared" si="3"/>
        <v>No</v>
      </c>
    </row>
    <row r="340">
      <c r="A340" s="1" t="s">
        <v>368</v>
      </c>
      <c r="B340" s="1">
        <v>0.0</v>
      </c>
      <c r="C340" s="1">
        <v>0.0</v>
      </c>
      <c r="D340" s="1">
        <v>36.01</v>
      </c>
      <c r="E340" s="1">
        <v>0.0</v>
      </c>
      <c r="F340" s="54">
        <v>44392.0</v>
      </c>
      <c r="G340" s="1">
        <v>0.0</v>
      </c>
      <c r="H340" s="1">
        <v>35.88</v>
      </c>
      <c r="I340" s="14">
        <v>44393.0</v>
      </c>
      <c r="J340" s="1" t="s">
        <v>4308</v>
      </c>
      <c r="K340" s="15" t="s">
        <v>4647</v>
      </c>
      <c r="L340" s="60" t="str">
        <f t="shared" si="1"/>
        <v>Not in buy Zone</v>
      </c>
      <c r="M340" s="60" t="str">
        <f t="shared" si="2"/>
        <v>Not in buy Zone</v>
      </c>
      <c r="N340" s="33" t="str">
        <f t="shared" si="3"/>
        <v>No</v>
      </c>
    </row>
    <row r="341">
      <c r="A341" s="1" t="s">
        <v>369</v>
      </c>
      <c r="B341" s="1">
        <v>0.0</v>
      </c>
      <c r="C341" s="1">
        <v>0.0</v>
      </c>
      <c r="D341" s="1">
        <v>0.0</v>
      </c>
      <c r="E341" s="1">
        <v>21.76</v>
      </c>
      <c r="F341" s="54">
        <v>44357.0</v>
      </c>
      <c r="G341" s="1">
        <v>0.0</v>
      </c>
      <c r="H341" s="1">
        <v>19.35</v>
      </c>
      <c r="I341" s="14">
        <v>44393.0</v>
      </c>
      <c r="J341" s="1" t="s">
        <v>4308</v>
      </c>
      <c r="K341" s="15" t="s">
        <v>4648</v>
      </c>
      <c r="L341" s="60" t="str">
        <f t="shared" si="1"/>
        <v>Not in buy Zone</v>
      </c>
      <c r="M341" s="60" t="str">
        <f t="shared" si="2"/>
        <v>Not in buy Zone</v>
      </c>
      <c r="N341" s="33" t="str">
        <f t="shared" si="3"/>
        <v>No</v>
      </c>
    </row>
    <row r="342">
      <c r="A342" s="1" t="s">
        <v>370</v>
      </c>
      <c r="B342" s="1">
        <v>0.0</v>
      </c>
      <c r="C342" s="1">
        <v>0.0</v>
      </c>
      <c r="D342" s="1">
        <v>142.38</v>
      </c>
      <c r="E342" s="1">
        <v>0.0</v>
      </c>
      <c r="F342" s="54">
        <v>44344.0</v>
      </c>
      <c r="G342" s="1">
        <v>0.0</v>
      </c>
      <c r="H342" s="1">
        <v>155.01</v>
      </c>
      <c r="I342" s="14">
        <v>44393.0</v>
      </c>
      <c r="J342" s="1" t="s">
        <v>4308</v>
      </c>
      <c r="K342" s="15" t="s">
        <v>4649</v>
      </c>
      <c r="L342" s="60" t="str">
        <f t="shared" si="1"/>
        <v>Not in buy Zone</v>
      </c>
      <c r="M342" s="60" t="str">
        <f t="shared" si="2"/>
        <v>Not in buy Zone</v>
      </c>
      <c r="N342" s="33" t="str">
        <f t="shared" si="3"/>
        <v>No</v>
      </c>
    </row>
    <row r="343">
      <c r="A343" s="1" t="s">
        <v>371</v>
      </c>
      <c r="B343" s="1">
        <v>0.0</v>
      </c>
      <c r="C343" s="1">
        <v>0.0</v>
      </c>
      <c r="D343" s="1">
        <v>0.0</v>
      </c>
      <c r="E343" s="1">
        <v>43.04</v>
      </c>
      <c r="F343" s="54">
        <v>44356.0</v>
      </c>
      <c r="G343" s="1">
        <v>0.0</v>
      </c>
      <c r="H343" s="1">
        <v>39.3</v>
      </c>
      <c r="I343" s="14">
        <v>44393.0</v>
      </c>
      <c r="J343" s="1" t="s">
        <v>4308</v>
      </c>
      <c r="K343" s="15" t="s">
        <v>4650</v>
      </c>
      <c r="L343" s="60" t="str">
        <f t="shared" si="1"/>
        <v>Not in buy Zone</v>
      </c>
      <c r="M343" s="60" t="str">
        <f t="shared" si="2"/>
        <v>Not in buy Zone</v>
      </c>
      <c r="N343" s="33" t="str">
        <f t="shared" si="3"/>
        <v>No</v>
      </c>
    </row>
    <row r="344">
      <c r="A344" s="1" t="s">
        <v>372</v>
      </c>
      <c r="B344" s="1">
        <v>0.0</v>
      </c>
      <c r="C344" s="1">
        <v>0.0</v>
      </c>
      <c r="D344" s="1">
        <v>0.0</v>
      </c>
      <c r="E344" s="1">
        <v>21.25</v>
      </c>
      <c r="F344" s="54">
        <v>44363.0</v>
      </c>
      <c r="G344" s="1">
        <v>0.0</v>
      </c>
      <c r="H344" s="1">
        <v>21.12</v>
      </c>
      <c r="I344" s="14">
        <v>44393.0</v>
      </c>
      <c r="J344" s="1" t="s">
        <v>4308</v>
      </c>
      <c r="K344" s="15" t="s">
        <v>4651</v>
      </c>
      <c r="L344" s="60" t="str">
        <f t="shared" si="1"/>
        <v>Not in buy Zone</v>
      </c>
      <c r="M344" s="60" t="str">
        <f t="shared" si="2"/>
        <v>Not in buy Zone</v>
      </c>
      <c r="N344" s="33" t="str">
        <f t="shared" si="3"/>
        <v>No</v>
      </c>
    </row>
    <row r="345">
      <c r="A345" s="1" t="s">
        <v>373</v>
      </c>
      <c r="B345" s="1">
        <v>0.0</v>
      </c>
      <c r="C345" s="1">
        <v>0.0</v>
      </c>
      <c r="D345" s="1">
        <v>60.46</v>
      </c>
      <c r="E345" s="1">
        <v>0.0</v>
      </c>
      <c r="F345" s="54">
        <v>44389.0</v>
      </c>
      <c r="G345" s="1">
        <v>0.0</v>
      </c>
      <c r="H345" s="1">
        <v>58.24</v>
      </c>
      <c r="I345" s="14">
        <v>44393.0</v>
      </c>
      <c r="J345" s="1" t="s">
        <v>4308</v>
      </c>
      <c r="K345" s="15" t="s">
        <v>4652</v>
      </c>
      <c r="L345" s="60" t="str">
        <f t="shared" si="1"/>
        <v>Not in buy Zone</v>
      </c>
      <c r="M345" s="60" t="str">
        <f t="shared" si="2"/>
        <v>Not in buy Zone</v>
      </c>
      <c r="N345" s="33" t="str">
        <f t="shared" si="3"/>
        <v>No</v>
      </c>
    </row>
    <row r="346">
      <c r="A346" s="1" t="s">
        <v>374</v>
      </c>
      <c r="B346" s="1">
        <v>0.0</v>
      </c>
      <c r="C346" s="1">
        <v>0.0</v>
      </c>
      <c r="D346" s="1">
        <v>0.0</v>
      </c>
      <c r="E346" s="1">
        <v>307.06</v>
      </c>
      <c r="F346" s="54">
        <v>44384.0</v>
      </c>
      <c r="G346" s="1">
        <v>0.0</v>
      </c>
      <c r="H346" s="1">
        <v>293.22</v>
      </c>
      <c r="I346" s="14">
        <v>44393.0</v>
      </c>
      <c r="J346" s="1" t="s">
        <v>4308</v>
      </c>
      <c r="K346" s="15" t="s">
        <v>4653</v>
      </c>
      <c r="L346" s="60" t="str">
        <f t="shared" si="1"/>
        <v>Not in buy Zone</v>
      </c>
      <c r="M346" s="60" t="str">
        <f t="shared" si="2"/>
        <v>Not in buy Zone</v>
      </c>
      <c r="N346" s="33" t="str">
        <f t="shared" si="3"/>
        <v>No</v>
      </c>
    </row>
    <row r="347">
      <c r="A347" s="1" t="s">
        <v>375</v>
      </c>
      <c r="B347" s="1">
        <v>0.0</v>
      </c>
      <c r="C347" s="1">
        <v>0.0</v>
      </c>
      <c r="D347" s="1">
        <v>133.07</v>
      </c>
      <c r="E347" s="1">
        <v>0.0</v>
      </c>
      <c r="F347" s="54">
        <v>44372.0</v>
      </c>
      <c r="G347" s="1">
        <v>0.0</v>
      </c>
      <c r="H347" s="1">
        <v>138.52</v>
      </c>
      <c r="I347" s="14">
        <v>44393.0</v>
      </c>
      <c r="J347" s="1" t="s">
        <v>4308</v>
      </c>
      <c r="K347" s="15" t="s">
        <v>4654</v>
      </c>
      <c r="L347" s="60" t="str">
        <f t="shared" si="1"/>
        <v>Not in buy Zone</v>
      </c>
      <c r="M347" s="60" t="str">
        <f t="shared" si="2"/>
        <v>Not in buy Zone</v>
      </c>
      <c r="N347" s="33" t="str">
        <f t="shared" si="3"/>
        <v>No</v>
      </c>
    </row>
    <row r="348">
      <c r="A348" s="1" t="s">
        <v>376</v>
      </c>
      <c r="B348" s="1">
        <v>0.0</v>
      </c>
      <c r="C348" s="1">
        <v>0.0</v>
      </c>
      <c r="D348" s="1">
        <v>0.0</v>
      </c>
      <c r="E348" s="1">
        <v>18.31</v>
      </c>
      <c r="F348" s="54">
        <v>44364.0</v>
      </c>
      <c r="G348" s="1">
        <v>0.0</v>
      </c>
      <c r="H348" s="1">
        <v>17.64</v>
      </c>
      <c r="I348" s="14">
        <v>44393.0</v>
      </c>
      <c r="J348" s="1" t="s">
        <v>4308</v>
      </c>
      <c r="K348" s="15" t="s">
        <v>4655</v>
      </c>
      <c r="L348" s="60" t="str">
        <f t="shared" si="1"/>
        <v>Not in buy Zone</v>
      </c>
      <c r="M348" s="60" t="str">
        <f t="shared" si="2"/>
        <v>Not in buy Zone</v>
      </c>
      <c r="N348" s="33" t="str">
        <f t="shared" si="3"/>
        <v>No</v>
      </c>
    </row>
    <row r="349">
      <c r="A349" s="1" t="s">
        <v>377</v>
      </c>
      <c r="B349" s="1">
        <v>0.0</v>
      </c>
      <c r="C349" s="1">
        <v>0.0</v>
      </c>
      <c r="D349" s="1">
        <v>119.43</v>
      </c>
      <c r="E349" s="1">
        <v>0.0</v>
      </c>
      <c r="F349" s="54">
        <v>44371.0</v>
      </c>
      <c r="G349" s="1">
        <v>0.0</v>
      </c>
      <c r="H349" s="1">
        <v>130.95</v>
      </c>
      <c r="I349" s="14">
        <v>44393.0</v>
      </c>
      <c r="J349" s="1" t="s">
        <v>4308</v>
      </c>
      <c r="K349" s="15" t="s">
        <v>4656</v>
      </c>
      <c r="L349" s="60" t="str">
        <f t="shared" si="1"/>
        <v>Not in buy Zone</v>
      </c>
      <c r="M349" s="60" t="str">
        <f t="shared" si="2"/>
        <v>Not in buy Zone</v>
      </c>
      <c r="N349" s="33" t="str">
        <f t="shared" si="3"/>
        <v>No</v>
      </c>
    </row>
    <row r="350">
      <c r="A350" s="1" t="s">
        <v>378</v>
      </c>
      <c r="B350" s="1">
        <v>0.0</v>
      </c>
      <c r="C350" s="1">
        <v>0.0</v>
      </c>
      <c r="D350" s="1">
        <v>55.02</v>
      </c>
      <c r="E350" s="1">
        <v>0.0</v>
      </c>
      <c r="F350" s="54">
        <v>44390.0</v>
      </c>
      <c r="G350" s="1">
        <v>0.0</v>
      </c>
      <c r="H350" s="1">
        <v>56.4</v>
      </c>
      <c r="I350" s="14">
        <v>44393.0</v>
      </c>
      <c r="J350" s="1" t="s">
        <v>4308</v>
      </c>
      <c r="K350" s="15" t="s">
        <v>4657</v>
      </c>
      <c r="L350" s="60" t="str">
        <f t="shared" si="1"/>
        <v>Not in buy Zone</v>
      </c>
      <c r="M350" s="60" t="str">
        <f t="shared" si="2"/>
        <v>Not in buy Zone</v>
      </c>
      <c r="N350" s="33" t="str">
        <f t="shared" si="3"/>
        <v>No</v>
      </c>
    </row>
    <row r="351">
      <c r="A351" s="1" t="s">
        <v>379</v>
      </c>
      <c r="B351" s="1">
        <v>39.36</v>
      </c>
      <c r="C351" s="1">
        <v>0.0</v>
      </c>
      <c r="D351" s="1">
        <v>0.0</v>
      </c>
      <c r="E351" s="1">
        <v>0.0</v>
      </c>
      <c r="F351" s="54">
        <v>44393.0</v>
      </c>
      <c r="G351" s="1">
        <v>1.0</v>
      </c>
      <c r="H351" s="1">
        <v>39.36</v>
      </c>
      <c r="I351" s="14">
        <v>44393.0</v>
      </c>
      <c r="J351" s="1" t="s">
        <v>4308</v>
      </c>
      <c r="K351" s="15" t="s">
        <v>4658</v>
      </c>
      <c r="L351" s="60">
        <f t="shared" si="1"/>
        <v>39.5568</v>
      </c>
      <c r="M351" s="60">
        <f t="shared" si="2"/>
        <v>39.1632</v>
      </c>
      <c r="N351" s="33" t="str">
        <f t="shared" si="3"/>
        <v>Yes</v>
      </c>
    </row>
    <row r="352">
      <c r="A352" s="1" t="s">
        <v>380</v>
      </c>
      <c r="B352" s="1">
        <v>0.0</v>
      </c>
      <c r="C352" s="1">
        <v>0.0</v>
      </c>
      <c r="D352" s="1">
        <v>0.0</v>
      </c>
      <c r="E352" s="1">
        <v>67.41</v>
      </c>
      <c r="F352" s="54">
        <v>44361.0</v>
      </c>
      <c r="G352" s="1">
        <v>0.0</v>
      </c>
      <c r="H352" s="1">
        <v>62.01</v>
      </c>
      <c r="I352" s="14">
        <v>44393.0</v>
      </c>
      <c r="J352" s="1" t="s">
        <v>4308</v>
      </c>
      <c r="K352" s="15" t="s">
        <v>4659</v>
      </c>
      <c r="L352" s="60" t="str">
        <f t="shared" si="1"/>
        <v>Not in buy Zone</v>
      </c>
      <c r="M352" s="60" t="str">
        <f t="shared" si="2"/>
        <v>Not in buy Zone</v>
      </c>
      <c r="N352" s="33" t="str">
        <f t="shared" si="3"/>
        <v>No</v>
      </c>
    </row>
    <row r="353">
      <c r="A353" s="1" t="s">
        <v>381</v>
      </c>
      <c r="B353" s="1">
        <v>0.0</v>
      </c>
      <c r="C353" s="1">
        <v>49.41</v>
      </c>
      <c r="D353" s="1">
        <v>0.0</v>
      </c>
      <c r="E353" s="1">
        <v>0.0</v>
      </c>
      <c r="F353" s="54">
        <v>44393.0</v>
      </c>
      <c r="G353" s="1">
        <v>-1.0</v>
      </c>
      <c r="H353" s="1">
        <v>49.41</v>
      </c>
      <c r="I353" s="14">
        <v>44393.0</v>
      </c>
      <c r="J353" s="1" t="s">
        <v>4308</v>
      </c>
      <c r="K353" s="15" t="s">
        <v>4660</v>
      </c>
      <c r="L353" s="60" t="str">
        <f t="shared" si="1"/>
        <v>Not in buy Zone</v>
      </c>
      <c r="M353" s="60" t="str">
        <f t="shared" si="2"/>
        <v>Not in buy Zone</v>
      </c>
      <c r="N353" s="33" t="str">
        <f t="shared" si="3"/>
        <v>No</v>
      </c>
    </row>
    <row r="354">
      <c r="A354" s="1" t="s">
        <v>382</v>
      </c>
      <c r="B354" s="1">
        <v>0.0</v>
      </c>
      <c r="C354" s="1">
        <v>0.0</v>
      </c>
      <c r="D354" s="1">
        <v>0.0</v>
      </c>
      <c r="E354" s="1">
        <v>297.04</v>
      </c>
      <c r="F354" s="54">
        <v>44333.0</v>
      </c>
      <c r="G354" s="1">
        <v>0.0</v>
      </c>
      <c r="H354" s="1">
        <v>266.33</v>
      </c>
      <c r="I354" s="14">
        <v>44393.0</v>
      </c>
      <c r="J354" s="1" t="s">
        <v>4308</v>
      </c>
      <c r="K354" s="15" t="s">
        <v>4661</v>
      </c>
      <c r="L354" s="60" t="str">
        <f t="shared" si="1"/>
        <v>Not in buy Zone</v>
      </c>
      <c r="M354" s="60" t="str">
        <f t="shared" si="2"/>
        <v>Not in buy Zone</v>
      </c>
      <c r="N354" s="33" t="str">
        <f t="shared" si="3"/>
        <v>No</v>
      </c>
    </row>
    <row r="355">
      <c r="A355" s="1" t="s">
        <v>383</v>
      </c>
      <c r="B355" s="1">
        <v>0.0</v>
      </c>
      <c r="C355" s="1">
        <v>0.0</v>
      </c>
      <c r="D355" s="1">
        <v>63.76</v>
      </c>
      <c r="E355" s="1">
        <v>0.0</v>
      </c>
      <c r="F355" s="54">
        <v>44390.0</v>
      </c>
      <c r="G355" s="1">
        <v>0.0</v>
      </c>
      <c r="H355" s="1">
        <v>61.81</v>
      </c>
      <c r="I355" s="14">
        <v>44393.0</v>
      </c>
      <c r="J355" s="1" t="s">
        <v>4308</v>
      </c>
      <c r="K355" s="15" t="s">
        <v>4662</v>
      </c>
      <c r="L355" s="60" t="str">
        <f t="shared" si="1"/>
        <v>Not in buy Zone</v>
      </c>
      <c r="M355" s="60" t="str">
        <f t="shared" si="2"/>
        <v>Not in buy Zone</v>
      </c>
      <c r="N355" s="33" t="str">
        <f t="shared" si="3"/>
        <v>No</v>
      </c>
    </row>
    <row r="356">
      <c r="A356" s="1" t="s">
        <v>384</v>
      </c>
      <c r="B356" s="1">
        <v>0.0</v>
      </c>
      <c r="C356" s="1">
        <v>0.0</v>
      </c>
      <c r="D356" s="1">
        <v>0.0</v>
      </c>
      <c r="E356" s="1">
        <v>56.66</v>
      </c>
      <c r="F356" s="54">
        <v>44328.0</v>
      </c>
      <c r="G356" s="1">
        <v>0.0</v>
      </c>
      <c r="H356" s="1">
        <v>54.02</v>
      </c>
      <c r="I356" s="14">
        <v>44393.0</v>
      </c>
      <c r="J356" s="1" t="s">
        <v>4308</v>
      </c>
      <c r="K356" s="15" t="s">
        <v>4663</v>
      </c>
      <c r="L356" s="60" t="str">
        <f t="shared" si="1"/>
        <v>Not in buy Zone</v>
      </c>
      <c r="M356" s="60" t="str">
        <f t="shared" si="2"/>
        <v>Not in buy Zone</v>
      </c>
      <c r="N356" s="33" t="str">
        <f t="shared" si="3"/>
        <v>No</v>
      </c>
    </row>
    <row r="357">
      <c r="A357" s="1" t="s">
        <v>385</v>
      </c>
      <c r="B357" s="1">
        <v>0.0</v>
      </c>
      <c r="C357" s="1">
        <v>0.0</v>
      </c>
      <c r="D357" s="1">
        <v>69.09</v>
      </c>
      <c r="E357" s="1">
        <v>0.0</v>
      </c>
      <c r="F357" s="54">
        <v>44369.0</v>
      </c>
      <c r="G357" s="1">
        <v>0.0</v>
      </c>
      <c r="H357" s="1">
        <v>72.75</v>
      </c>
      <c r="I357" s="14">
        <v>44393.0</v>
      </c>
      <c r="J357" s="1" t="s">
        <v>4308</v>
      </c>
      <c r="K357" s="15" t="s">
        <v>4664</v>
      </c>
      <c r="L357" s="60" t="str">
        <f t="shared" si="1"/>
        <v>Not in buy Zone</v>
      </c>
      <c r="M357" s="60" t="str">
        <f t="shared" si="2"/>
        <v>Not in buy Zone</v>
      </c>
      <c r="N357" s="33" t="str">
        <f t="shared" si="3"/>
        <v>No</v>
      </c>
    </row>
    <row r="358">
      <c r="A358" s="1" t="s">
        <v>386</v>
      </c>
      <c r="B358" s="1">
        <v>0.0</v>
      </c>
      <c r="C358" s="1">
        <v>0.0</v>
      </c>
      <c r="D358" s="1">
        <v>104.84</v>
      </c>
      <c r="E358" s="1">
        <v>0.0</v>
      </c>
      <c r="F358" s="54">
        <v>44386.0</v>
      </c>
      <c r="G358" s="1">
        <v>0.0</v>
      </c>
      <c r="H358" s="1">
        <v>106.28</v>
      </c>
      <c r="I358" s="14">
        <v>44393.0</v>
      </c>
      <c r="J358" s="1" t="s">
        <v>4308</v>
      </c>
      <c r="K358" s="15" t="s">
        <v>4665</v>
      </c>
      <c r="L358" s="60" t="str">
        <f t="shared" si="1"/>
        <v>Not in buy Zone</v>
      </c>
      <c r="M358" s="60" t="str">
        <f t="shared" si="2"/>
        <v>Not in buy Zone</v>
      </c>
      <c r="N358" s="33" t="str">
        <f t="shared" si="3"/>
        <v>No</v>
      </c>
    </row>
    <row r="359">
      <c r="A359" s="1" t="s">
        <v>387</v>
      </c>
      <c r="B359" s="1">
        <v>0.0</v>
      </c>
      <c r="C359" s="1">
        <v>0.0</v>
      </c>
      <c r="D359" s="1">
        <v>0.0</v>
      </c>
      <c r="E359" s="1">
        <v>49.7</v>
      </c>
      <c r="F359" s="54">
        <v>44390.0</v>
      </c>
      <c r="G359" s="1">
        <v>0.0</v>
      </c>
      <c r="H359" s="1">
        <v>48.25</v>
      </c>
      <c r="I359" s="14">
        <v>44393.0</v>
      </c>
      <c r="J359" s="1" t="s">
        <v>4308</v>
      </c>
      <c r="K359" s="15" t="s">
        <v>4666</v>
      </c>
      <c r="L359" s="60" t="str">
        <f t="shared" si="1"/>
        <v>Not in buy Zone</v>
      </c>
      <c r="M359" s="60" t="str">
        <f t="shared" si="2"/>
        <v>Not in buy Zone</v>
      </c>
      <c r="N359" s="33" t="str">
        <f t="shared" si="3"/>
        <v>No</v>
      </c>
    </row>
    <row r="360">
      <c r="A360" s="1" t="s">
        <v>388</v>
      </c>
      <c r="B360" s="1">
        <v>0.0</v>
      </c>
      <c r="C360" s="1">
        <v>0.0</v>
      </c>
      <c r="D360" s="1">
        <v>0.0</v>
      </c>
      <c r="E360" s="1">
        <v>95.8</v>
      </c>
      <c r="F360" s="54">
        <v>44390.0</v>
      </c>
      <c r="G360" s="1">
        <v>0.0</v>
      </c>
      <c r="H360" s="1">
        <v>95.96</v>
      </c>
      <c r="I360" s="14">
        <v>44393.0</v>
      </c>
      <c r="J360" s="1" t="s">
        <v>4308</v>
      </c>
      <c r="K360" s="15" t="s">
        <v>4667</v>
      </c>
      <c r="L360" s="60" t="str">
        <f t="shared" si="1"/>
        <v>Not in buy Zone</v>
      </c>
      <c r="M360" s="60" t="str">
        <f t="shared" si="2"/>
        <v>Not in buy Zone</v>
      </c>
      <c r="N360" s="33" t="str">
        <f t="shared" si="3"/>
        <v>No</v>
      </c>
    </row>
    <row r="361">
      <c r="A361" s="1" t="s">
        <v>389</v>
      </c>
      <c r="B361" s="1">
        <v>0.0</v>
      </c>
      <c r="C361" s="1">
        <v>0.0</v>
      </c>
      <c r="D361" s="1">
        <v>0.0</v>
      </c>
      <c r="E361" s="1">
        <v>27.74</v>
      </c>
      <c r="F361" s="54">
        <v>44356.0</v>
      </c>
      <c r="G361" s="1">
        <v>0.0</v>
      </c>
      <c r="H361" s="1">
        <v>24.8</v>
      </c>
      <c r="I361" s="14">
        <v>44393.0</v>
      </c>
      <c r="J361" s="1" t="s">
        <v>4308</v>
      </c>
      <c r="K361" s="15" t="s">
        <v>4668</v>
      </c>
      <c r="L361" s="60" t="str">
        <f t="shared" si="1"/>
        <v>Not in buy Zone</v>
      </c>
      <c r="M361" s="60" t="str">
        <f t="shared" si="2"/>
        <v>Not in buy Zone</v>
      </c>
      <c r="N361" s="33" t="str">
        <f t="shared" si="3"/>
        <v>No</v>
      </c>
    </row>
    <row r="362">
      <c r="A362" s="1" t="s">
        <v>390</v>
      </c>
      <c r="B362" s="1">
        <v>0.0</v>
      </c>
      <c r="C362" s="1">
        <v>0.0</v>
      </c>
      <c r="D362" s="1">
        <v>270.06</v>
      </c>
      <c r="E362" s="1">
        <v>0.0</v>
      </c>
      <c r="F362" s="54">
        <v>44375.0</v>
      </c>
      <c r="G362" s="1">
        <v>0.0</v>
      </c>
      <c r="H362" s="1">
        <v>276.45</v>
      </c>
      <c r="I362" s="14">
        <v>44393.0</v>
      </c>
      <c r="J362" s="1" t="s">
        <v>4308</v>
      </c>
      <c r="K362" s="15" t="s">
        <v>4669</v>
      </c>
      <c r="L362" s="60" t="str">
        <f t="shared" si="1"/>
        <v>Not in buy Zone</v>
      </c>
      <c r="M362" s="60" t="str">
        <f t="shared" si="2"/>
        <v>Not in buy Zone</v>
      </c>
      <c r="N362" s="33" t="str">
        <f t="shared" si="3"/>
        <v>No</v>
      </c>
    </row>
    <row r="363">
      <c r="A363" s="1" t="s">
        <v>391</v>
      </c>
      <c r="B363" s="1">
        <v>0.0</v>
      </c>
      <c r="C363" s="1">
        <v>0.0</v>
      </c>
      <c r="D363" s="1">
        <v>224.0</v>
      </c>
      <c r="E363" s="1">
        <v>0.0</v>
      </c>
      <c r="F363" s="54">
        <v>44384.0</v>
      </c>
      <c r="G363" s="1">
        <v>0.0</v>
      </c>
      <c r="H363" s="1">
        <v>223.76</v>
      </c>
      <c r="I363" s="14">
        <v>44393.0</v>
      </c>
      <c r="J363" s="1" t="s">
        <v>4308</v>
      </c>
      <c r="K363" s="15" t="s">
        <v>4670</v>
      </c>
      <c r="L363" s="60" t="str">
        <f t="shared" si="1"/>
        <v>Not in buy Zone</v>
      </c>
      <c r="M363" s="60" t="str">
        <f t="shared" si="2"/>
        <v>Not in buy Zone</v>
      </c>
      <c r="N363" s="33" t="str">
        <f t="shared" si="3"/>
        <v>No</v>
      </c>
    </row>
    <row r="364">
      <c r="A364" s="1" t="s">
        <v>392</v>
      </c>
      <c r="B364" s="1">
        <v>0.0</v>
      </c>
      <c r="C364" s="1">
        <v>0.0</v>
      </c>
      <c r="D364" s="1">
        <v>292.53</v>
      </c>
      <c r="E364" s="1">
        <v>0.0</v>
      </c>
      <c r="F364" s="54">
        <v>44384.0</v>
      </c>
      <c r="G364" s="1">
        <v>0.0</v>
      </c>
      <c r="H364" s="1">
        <v>290.07</v>
      </c>
      <c r="I364" s="14">
        <v>44393.0</v>
      </c>
      <c r="J364" s="1" t="s">
        <v>4308</v>
      </c>
      <c r="K364" s="15" t="s">
        <v>4671</v>
      </c>
      <c r="L364" s="60" t="str">
        <f t="shared" si="1"/>
        <v>Not in buy Zone</v>
      </c>
      <c r="M364" s="60" t="str">
        <f t="shared" si="2"/>
        <v>Not in buy Zone</v>
      </c>
      <c r="N364" s="33" t="str">
        <f t="shared" si="3"/>
        <v>No</v>
      </c>
    </row>
    <row r="365">
      <c r="A365" s="1" t="s">
        <v>393</v>
      </c>
      <c r="B365" s="1">
        <v>0.0</v>
      </c>
      <c r="C365" s="1">
        <v>0.0</v>
      </c>
      <c r="D365" s="1">
        <v>49.33</v>
      </c>
      <c r="E365" s="1">
        <v>0.0</v>
      </c>
      <c r="F365" s="54">
        <v>44371.0</v>
      </c>
      <c r="G365" s="1">
        <v>0.0</v>
      </c>
      <c r="H365" s="1">
        <v>49.47</v>
      </c>
      <c r="I365" s="14">
        <v>44393.0</v>
      </c>
      <c r="J365" s="1" t="s">
        <v>4308</v>
      </c>
      <c r="K365" s="15" t="s">
        <v>4672</v>
      </c>
      <c r="L365" s="60" t="str">
        <f t="shared" si="1"/>
        <v>Not in buy Zone</v>
      </c>
      <c r="M365" s="60" t="str">
        <f t="shared" si="2"/>
        <v>Not in buy Zone</v>
      </c>
      <c r="N365" s="33" t="str">
        <f t="shared" si="3"/>
        <v>No</v>
      </c>
    </row>
    <row r="366">
      <c r="A366" s="1" t="s">
        <v>394</v>
      </c>
      <c r="B366" s="1">
        <v>0.0</v>
      </c>
      <c r="C366" s="1">
        <v>0.0</v>
      </c>
      <c r="D366" s="1">
        <v>232.97</v>
      </c>
      <c r="E366" s="1">
        <v>0.0</v>
      </c>
      <c r="F366" s="54">
        <v>44371.0</v>
      </c>
      <c r="G366" s="1">
        <v>0.0</v>
      </c>
      <c r="H366" s="1">
        <v>232.46</v>
      </c>
      <c r="I366" s="14">
        <v>44393.0</v>
      </c>
      <c r="J366" s="1" t="s">
        <v>4308</v>
      </c>
      <c r="K366" s="15" t="s">
        <v>4673</v>
      </c>
      <c r="L366" s="60" t="str">
        <f t="shared" si="1"/>
        <v>Not in buy Zone</v>
      </c>
      <c r="M366" s="60" t="str">
        <f t="shared" si="2"/>
        <v>Not in buy Zone</v>
      </c>
      <c r="N366" s="33" t="str">
        <f t="shared" si="3"/>
        <v>No</v>
      </c>
    </row>
    <row r="367">
      <c r="A367" s="1" t="s">
        <v>395</v>
      </c>
      <c r="B367" s="1">
        <v>0.0</v>
      </c>
      <c r="C367" s="1">
        <v>0.0</v>
      </c>
      <c r="D367" s="1">
        <v>0.0</v>
      </c>
      <c r="E367" s="1">
        <v>97.02</v>
      </c>
      <c r="F367" s="54">
        <v>44384.0</v>
      </c>
      <c r="G367" s="1">
        <v>0.0</v>
      </c>
      <c r="H367" s="1">
        <v>84.25</v>
      </c>
      <c r="I367" s="14">
        <v>44393.0</v>
      </c>
      <c r="J367" s="1" t="s">
        <v>4308</v>
      </c>
      <c r="K367" s="15" t="s">
        <v>4674</v>
      </c>
      <c r="L367" s="60" t="str">
        <f t="shared" si="1"/>
        <v>Not in buy Zone</v>
      </c>
      <c r="M367" s="60" t="str">
        <f t="shared" si="2"/>
        <v>Not in buy Zone</v>
      </c>
      <c r="N367" s="33" t="str">
        <f t="shared" si="3"/>
        <v>No</v>
      </c>
    </row>
    <row r="368">
      <c r="A368" s="1" t="s">
        <v>396</v>
      </c>
      <c r="B368" s="1">
        <v>0.0</v>
      </c>
      <c r="C368" s="1">
        <v>0.0</v>
      </c>
      <c r="D368" s="1">
        <v>0.0</v>
      </c>
      <c r="E368" s="1">
        <v>379.19</v>
      </c>
      <c r="F368" s="54">
        <v>44365.0</v>
      </c>
      <c r="G368" s="1">
        <v>0.0</v>
      </c>
      <c r="H368" s="1">
        <v>377.14</v>
      </c>
      <c r="I368" s="14">
        <v>44393.0</v>
      </c>
      <c r="J368" s="1" t="s">
        <v>4308</v>
      </c>
      <c r="K368" s="15" t="s">
        <v>4675</v>
      </c>
      <c r="L368" s="60" t="str">
        <f t="shared" si="1"/>
        <v>Not in buy Zone</v>
      </c>
      <c r="M368" s="60" t="str">
        <f t="shared" si="2"/>
        <v>Not in buy Zone</v>
      </c>
      <c r="N368" s="33" t="str">
        <f t="shared" si="3"/>
        <v>No</v>
      </c>
    </row>
    <row r="369">
      <c r="A369" s="1" t="s">
        <v>397</v>
      </c>
      <c r="B369" s="1">
        <v>0.0</v>
      </c>
      <c r="C369" s="1">
        <v>0.0</v>
      </c>
      <c r="D369" s="1">
        <v>63.81</v>
      </c>
      <c r="E369" s="1">
        <v>0.0</v>
      </c>
      <c r="F369" s="54">
        <v>44389.0</v>
      </c>
      <c r="G369" s="1">
        <v>0.0</v>
      </c>
      <c r="H369" s="1">
        <v>59.69</v>
      </c>
      <c r="I369" s="14">
        <v>44393.0</v>
      </c>
      <c r="J369" s="1" t="s">
        <v>4308</v>
      </c>
      <c r="K369" s="15" t="s">
        <v>4676</v>
      </c>
      <c r="L369" s="60" t="str">
        <f t="shared" si="1"/>
        <v>Not in buy Zone</v>
      </c>
      <c r="M369" s="60" t="str">
        <f t="shared" si="2"/>
        <v>Not in buy Zone</v>
      </c>
      <c r="N369" s="33" t="str">
        <f t="shared" si="3"/>
        <v>No</v>
      </c>
    </row>
    <row r="370">
      <c r="A370" s="1" t="s">
        <v>398</v>
      </c>
      <c r="B370" s="1">
        <v>0.0</v>
      </c>
      <c r="C370" s="1">
        <v>0.0</v>
      </c>
      <c r="D370" s="1">
        <v>57.81</v>
      </c>
      <c r="E370" s="1">
        <v>0.0</v>
      </c>
      <c r="F370" s="54">
        <v>44392.0</v>
      </c>
      <c r="G370" s="1">
        <v>0.0</v>
      </c>
      <c r="H370" s="1">
        <v>58.55</v>
      </c>
      <c r="I370" s="14">
        <v>44393.0</v>
      </c>
      <c r="J370" s="1" t="s">
        <v>4308</v>
      </c>
      <c r="K370" s="15" t="s">
        <v>4677</v>
      </c>
      <c r="L370" s="60" t="str">
        <f t="shared" si="1"/>
        <v>Not in buy Zone</v>
      </c>
      <c r="M370" s="60" t="str">
        <f t="shared" si="2"/>
        <v>Not in buy Zone</v>
      </c>
      <c r="N370" s="33" t="str">
        <f t="shared" si="3"/>
        <v>No</v>
      </c>
    </row>
    <row r="371">
      <c r="A371" s="1" t="s">
        <v>399</v>
      </c>
      <c r="B371" s="1">
        <v>0.0</v>
      </c>
      <c r="C371" s="1">
        <v>0.0</v>
      </c>
      <c r="D371" s="1">
        <v>193.21</v>
      </c>
      <c r="E371" s="1">
        <v>0.0</v>
      </c>
      <c r="F371" s="54">
        <v>44375.0</v>
      </c>
      <c r="G371" s="1">
        <v>0.0</v>
      </c>
      <c r="H371" s="1">
        <v>196.14</v>
      </c>
      <c r="I371" s="14">
        <v>44393.0</v>
      </c>
      <c r="J371" s="1" t="s">
        <v>4308</v>
      </c>
      <c r="K371" s="15" t="s">
        <v>4678</v>
      </c>
      <c r="L371" s="60" t="str">
        <f t="shared" si="1"/>
        <v>Not in buy Zone</v>
      </c>
      <c r="M371" s="60" t="str">
        <f t="shared" si="2"/>
        <v>Not in buy Zone</v>
      </c>
      <c r="N371" s="33" t="str">
        <f t="shared" si="3"/>
        <v>No</v>
      </c>
    </row>
    <row r="372">
      <c r="A372" s="1" t="s">
        <v>400</v>
      </c>
      <c r="B372" s="1">
        <v>0.0</v>
      </c>
      <c r="C372" s="1">
        <v>0.0</v>
      </c>
      <c r="D372" s="1">
        <v>0.0</v>
      </c>
      <c r="E372" s="1">
        <v>64.15</v>
      </c>
      <c r="F372" s="54">
        <v>44328.0</v>
      </c>
      <c r="G372" s="1">
        <v>0.0</v>
      </c>
      <c r="H372" s="1">
        <v>52.73</v>
      </c>
      <c r="I372" s="14">
        <v>44393.0</v>
      </c>
      <c r="J372" s="1" t="s">
        <v>4308</v>
      </c>
      <c r="K372" s="15" t="s">
        <v>4679</v>
      </c>
      <c r="L372" s="60" t="str">
        <f t="shared" si="1"/>
        <v>Not in buy Zone</v>
      </c>
      <c r="M372" s="60" t="str">
        <f t="shared" si="2"/>
        <v>Not in buy Zone</v>
      </c>
      <c r="N372" s="33" t="str">
        <f t="shared" si="3"/>
        <v>No</v>
      </c>
    </row>
    <row r="373">
      <c r="A373" s="1" t="s">
        <v>401</v>
      </c>
      <c r="B373" s="1">
        <v>0.0</v>
      </c>
      <c r="C373" s="1">
        <v>0.0</v>
      </c>
      <c r="D373" s="1">
        <v>131.58</v>
      </c>
      <c r="E373" s="1">
        <v>0.0</v>
      </c>
      <c r="F373" s="54">
        <v>44340.0</v>
      </c>
      <c r="G373" s="1">
        <v>0.0</v>
      </c>
      <c r="H373" s="1">
        <v>134.97</v>
      </c>
      <c r="I373" s="14">
        <v>44393.0</v>
      </c>
      <c r="J373" s="1" t="s">
        <v>4308</v>
      </c>
      <c r="K373" s="15" t="s">
        <v>4680</v>
      </c>
      <c r="L373" s="60" t="str">
        <f t="shared" si="1"/>
        <v>Not in buy Zone</v>
      </c>
      <c r="M373" s="60" t="str">
        <f t="shared" si="2"/>
        <v>Not in buy Zone</v>
      </c>
      <c r="N373" s="33" t="str">
        <f t="shared" si="3"/>
        <v>No</v>
      </c>
    </row>
    <row r="374">
      <c r="A374" s="1" t="s">
        <v>402</v>
      </c>
      <c r="B374" s="1">
        <v>0.0</v>
      </c>
      <c r="C374" s="1">
        <v>0.0</v>
      </c>
      <c r="D374" s="1">
        <v>0.0</v>
      </c>
      <c r="E374" s="1">
        <v>612.66</v>
      </c>
      <c r="F374" s="54">
        <v>44365.0</v>
      </c>
      <c r="G374" s="1">
        <v>0.0</v>
      </c>
      <c r="H374" s="1">
        <v>588.48</v>
      </c>
      <c r="I374" s="14">
        <v>44393.0</v>
      </c>
      <c r="J374" s="1" t="s">
        <v>4308</v>
      </c>
      <c r="K374" s="15" t="s">
        <v>4681</v>
      </c>
      <c r="L374" s="60" t="str">
        <f t="shared" si="1"/>
        <v>Not in buy Zone</v>
      </c>
      <c r="M374" s="60" t="str">
        <f t="shared" si="2"/>
        <v>Not in buy Zone</v>
      </c>
      <c r="N374" s="33" t="str">
        <f t="shared" si="3"/>
        <v>No</v>
      </c>
    </row>
    <row r="375">
      <c r="A375" s="1" t="s">
        <v>403</v>
      </c>
      <c r="B375" s="1">
        <v>0.0</v>
      </c>
      <c r="C375" s="1">
        <v>0.0</v>
      </c>
      <c r="D375" s="1">
        <v>329.76</v>
      </c>
      <c r="E375" s="1">
        <v>0.0</v>
      </c>
      <c r="F375" s="54">
        <v>44342.0</v>
      </c>
      <c r="G375" s="1">
        <v>0.0</v>
      </c>
      <c r="H375" s="1">
        <v>371.69</v>
      </c>
      <c r="I375" s="14">
        <v>44393.0</v>
      </c>
      <c r="J375" s="1" t="s">
        <v>4308</v>
      </c>
      <c r="K375" s="15" t="s">
        <v>4682</v>
      </c>
      <c r="L375" s="60" t="str">
        <f t="shared" si="1"/>
        <v>Not in buy Zone</v>
      </c>
      <c r="M375" s="60" t="str">
        <f t="shared" si="2"/>
        <v>Not in buy Zone</v>
      </c>
      <c r="N375" s="33" t="str">
        <f t="shared" si="3"/>
        <v>No</v>
      </c>
    </row>
    <row r="376">
      <c r="A376" s="1" t="s">
        <v>404</v>
      </c>
      <c r="B376" s="1">
        <v>0.0</v>
      </c>
      <c r="C376" s="1">
        <v>0.0</v>
      </c>
      <c r="D376" s="1">
        <v>0.0</v>
      </c>
      <c r="E376" s="1">
        <v>14.22</v>
      </c>
      <c r="F376" s="54">
        <v>44364.0</v>
      </c>
      <c r="G376" s="1">
        <v>0.0</v>
      </c>
      <c r="H376" s="1">
        <v>12.74</v>
      </c>
      <c r="I376" s="14">
        <v>44393.0</v>
      </c>
      <c r="J376" s="1" t="s">
        <v>4308</v>
      </c>
      <c r="K376" s="15" t="s">
        <v>4683</v>
      </c>
      <c r="L376" s="60" t="str">
        <f t="shared" si="1"/>
        <v>Not in buy Zone</v>
      </c>
      <c r="M376" s="60" t="str">
        <f t="shared" si="2"/>
        <v>Not in buy Zone</v>
      </c>
      <c r="N376" s="33" t="str">
        <f t="shared" si="3"/>
        <v>No</v>
      </c>
    </row>
    <row r="377">
      <c r="A377" s="1" t="s">
        <v>405</v>
      </c>
      <c r="B377" s="1">
        <v>0.0</v>
      </c>
      <c r="C377" s="1">
        <v>0.0</v>
      </c>
      <c r="D377" s="1">
        <v>0.0</v>
      </c>
      <c r="E377" s="1">
        <v>59.85</v>
      </c>
      <c r="F377" s="54">
        <v>44306.0</v>
      </c>
      <c r="G377" s="1">
        <v>0.0</v>
      </c>
      <c r="H377" s="1">
        <v>49.91</v>
      </c>
      <c r="I377" s="14">
        <v>44393.0</v>
      </c>
      <c r="J377" s="1" t="s">
        <v>4308</v>
      </c>
      <c r="K377" s="15" t="s">
        <v>4684</v>
      </c>
      <c r="L377" s="60" t="str">
        <f t="shared" si="1"/>
        <v>Not in buy Zone</v>
      </c>
      <c r="M377" s="60" t="str">
        <f t="shared" si="2"/>
        <v>Not in buy Zone</v>
      </c>
      <c r="N377" s="33" t="str">
        <f t="shared" si="3"/>
        <v>No</v>
      </c>
    </row>
    <row r="378">
      <c r="A378" s="1" t="s">
        <v>406</v>
      </c>
      <c r="B378" s="1">
        <v>0.0</v>
      </c>
      <c r="C378" s="1">
        <v>0.0</v>
      </c>
      <c r="D378" s="1">
        <v>0.0</v>
      </c>
      <c r="E378" s="1">
        <v>55.92</v>
      </c>
      <c r="F378" s="54">
        <v>44355.0</v>
      </c>
      <c r="G378" s="1">
        <v>0.0</v>
      </c>
      <c r="H378" s="1">
        <v>47.82</v>
      </c>
      <c r="I378" s="14">
        <v>44393.0</v>
      </c>
      <c r="J378" s="1" t="s">
        <v>4308</v>
      </c>
      <c r="K378" s="15" t="s">
        <v>4685</v>
      </c>
      <c r="L378" s="60" t="str">
        <f t="shared" si="1"/>
        <v>Not in buy Zone</v>
      </c>
      <c r="M378" s="60" t="str">
        <f t="shared" si="2"/>
        <v>Not in buy Zone</v>
      </c>
      <c r="N378" s="33" t="str">
        <f t="shared" si="3"/>
        <v>No</v>
      </c>
    </row>
    <row r="379">
      <c r="A379" s="1" t="s">
        <v>407</v>
      </c>
      <c r="B379" s="1">
        <v>0.0</v>
      </c>
      <c r="C379" s="1">
        <v>0.0</v>
      </c>
      <c r="D379" s="1">
        <v>0.0</v>
      </c>
      <c r="E379" s="1">
        <v>81.38</v>
      </c>
      <c r="F379" s="54">
        <v>44363.0</v>
      </c>
      <c r="G379" s="1">
        <v>0.0</v>
      </c>
      <c r="H379" s="1">
        <v>77.65</v>
      </c>
      <c r="I379" s="14">
        <v>44393.0</v>
      </c>
      <c r="J379" s="1" t="s">
        <v>4308</v>
      </c>
      <c r="K379" s="15" t="s">
        <v>4686</v>
      </c>
      <c r="L379" s="60" t="str">
        <f t="shared" si="1"/>
        <v>Not in buy Zone</v>
      </c>
      <c r="M379" s="60" t="str">
        <f t="shared" si="2"/>
        <v>Not in buy Zone</v>
      </c>
      <c r="N379" s="33" t="str">
        <f t="shared" si="3"/>
        <v>No</v>
      </c>
    </row>
    <row r="380">
      <c r="A380" s="1" t="s">
        <v>408</v>
      </c>
      <c r="B380" s="1">
        <v>0.0</v>
      </c>
      <c r="C380" s="1">
        <v>0.0</v>
      </c>
      <c r="D380" s="1">
        <v>0.0</v>
      </c>
      <c r="E380" s="1">
        <v>110.39</v>
      </c>
      <c r="F380" s="54">
        <v>44357.0</v>
      </c>
      <c r="G380" s="1">
        <v>0.0</v>
      </c>
      <c r="H380" s="1">
        <v>96.14</v>
      </c>
      <c r="I380" s="14">
        <v>44393.0</v>
      </c>
      <c r="J380" s="1" t="s">
        <v>4308</v>
      </c>
      <c r="K380" s="15" t="s">
        <v>4687</v>
      </c>
      <c r="L380" s="60" t="str">
        <f t="shared" si="1"/>
        <v>Not in buy Zone</v>
      </c>
      <c r="M380" s="60" t="str">
        <f t="shared" si="2"/>
        <v>Not in buy Zone</v>
      </c>
      <c r="N380" s="33" t="str">
        <f t="shared" si="3"/>
        <v>No</v>
      </c>
    </row>
    <row r="381">
      <c r="A381" s="1" t="s">
        <v>409</v>
      </c>
      <c r="B381" s="1">
        <v>0.0</v>
      </c>
      <c r="C381" s="1">
        <v>0.0</v>
      </c>
      <c r="D381" s="1">
        <v>0.0</v>
      </c>
      <c r="E381" s="1">
        <v>58.07</v>
      </c>
      <c r="F381" s="54">
        <v>44389.0</v>
      </c>
      <c r="G381" s="1">
        <v>0.0</v>
      </c>
      <c r="H381" s="1">
        <v>53.4</v>
      </c>
      <c r="I381" s="14">
        <v>44393.0</v>
      </c>
      <c r="J381" s="1" t="s">
        <v>4308</v>
      </c>
      <c r="K381" s="15" t="s">
        <v>4688</v>
      </c>
      <c r="L381" s="60" t="str">
        <f t="shared" si="1"/>
        <v>Not in buy Zone</v>
      </c>
      <c r="M381" s="60" t="str">
        <f t="shared" si="2"/>
        <v>Not in buy Zone</v>
      </c>
      <c r="N381" s="33" t="str">
        <f t="shared" si="3"/>
        <v>No</v>
      </c>
    </row>
    <row r="382">
      <c r="A382" s="1" t="s">
        <v>410</v>
      </c>
      <c r="B382" s="1">
        <v>0.0</v>
      </c>
      <c r="C382" s="1">
        <v>0.0</v>
      </c>
      <c r="D382" s="1">
        <v>0.0</v>
      </c>
      <c r="E382" s="1">
        <v>87.29</v>
      </c>
      <c r="F382" s="54">
        <v>44379.0</v>
      </c>
      <c r="G382" s="1">
        <v>0.0</v>
      </c>
      <c r="H382" s="1">
        <v>78.53</v>
      </c>
      <c r="I382" s="14">
        <v>44393.0</v>
      </c>
      <c r="J382" s="1" t="s">
        <v>4308</v>
      </c>
      <c r="K382" s="15" t="s">
        <v>4689</v>
      </c>
      <c r="L382" s="60" t="str">
        <f t="shared" si="1"/>
        <v>Not in buy Zone</v>
      </c>
      <c r="M382" s="60" t="str">
        <f t="shared" si="2"/>
        <v>Not in buy Zone</v>
      </c>
      <c r="N382" s="33" t="str">
        <f t="shared" si="3"/>
        <v>No</v>
      </c>
    </row>
    <row r="383">
      <c r="A383" s="1" t="s">
        <v>411</v>
      </c>
      <c r="B383" s="1">
        <v>0.0</v>
      </c>
      <c r="C383" s="1">
        <v>0.0</v>
      </c>
      <c r="D383" s="1">
        <v>378.04</v>
      </c>
      <c r="E383" s="1">
        <v>0.0</v>
      </c>
      <c r="F383" s="54">
        <v>44369.0</v>
      </c>
      <c r="G383" s="1">
        <v>0.0</v>
      </c>
      <c r="H383" s="1">
        <v>387.12</v>
      </c>
      <c r="I383" s="14">
        <v>44393.0</v>
      </c>
      <c r="J383" s="1" t="s">
        <v>4308</v>
      </c>
      <c r="K383" s="15" t="s">
        <v>4690</v>
      </c>
      <c r="L383" s="60" t="str">
        <f t="shared" si="1"/>
        <v>Not in buy Zone</v>
      </c>
      <c r="M383" s="60" t="str">
        <f t="shared" si="2"/>
        <v>Not in buy Zone</v>
      </c>
      <c r="N383" s="33" t="str">
        <f t="shared" si="3"/>
        <v>No</v>
      </c>
    </row>
    <row r="384">
      <c r="A384" s="1" t="s">
        <v>412</v>
      </c>
      <c r="B384" s="1">
        <v>0.0</v>
      </c>
      <c r="C384" s="1">
        <v>0.0</v>
      </c>
      <c r="D384" s="1">
        <v>141.78</v>
      </c>
      <c r="E384" s="1">
        <v>0.0</v>
      </c>
      <c r="F384" s="54">
        <v>44267.0</v>
      </c>
      <c r="G384" s="1">
        <v>0.0</v>
      </c>
      <c r="H384" s="1">
        <v>184.72</v>
      </c>
      <c r="I384" s="14">
        <v>44393.0</v>
      </c>
      <c r="J384" s="1" t="s">
        <v>4308</v>
      </c>
      <c r="K384" s="15" t="s">
        <v>4691</v>
      </c>
      <c r="L384" s="60" t="str">
        <f t="shared" si="1"/>
        <v>Not in buy Zone</v>
      </c>
      <c r="M384" s="60" t="str">
        <f t="shared" si="2"/>
        <v>Not in buy Zone</v>
      </c>
      <c r="N384" s="33" t="str">
        <f t="shared" si="3"/>
        <v>No</v>
      </c>
    </row>
    <row r="385">
      <c r="A385" s="1" t="s">
        <v>413</v>
      </c>
      <c r="B385" s="1">
        <v>0.0</v>
      </c>
      <c r="C385" s="1">
        <v>0.0</v>
      </c>
      <c r="D385" s="1">
        <v>142.48</v>
      </c>
      <c r="E385" s="1">
        <v>0.0</v>
      </c>
      <c r="F385" s="54">
        <v>44386.0</v>
      </c>
      <c r="G385" s="1">
        <v>0.0</v>
      </c>
      <c r="H385" s="1">
        <v>135.05</v>
      </c>
      <c r="I385" s="14">
        <v>44393.0</v>
      </c>
      <c r="J385" s="1" t="s">
        <v>4308</v>
      </c>
      <c r="K385" s="15" t="s">
        <v>4692</v>
      </c>
      <c r="L385" s="60" t="str">
        <f t="shared" si="1"/>
        <v>Not in buy Zone</v>
      </c>
      <c r="M385" s="60" t="str">
        <f t="shared" si="2"/>
        <v>Not in buy Zone</v>
      </c>
      <c r="N385" s="33" t="str">
        <f t="shared" si="3"/>
        <v>No</v>
      </c>
    </row>
    <row r="386">
      <c r="A386" s="1" t="s">
        <v>414</v>
      </c>
      <c r="B386" s="1">
        <v>0.0</v>
      </c>
      <c r="C386" s="1">
        <v>0.0</v>
      </c>
      <c r="D386" s="1">
        <v>0.0</v>
      </c>
      <c r="E386" s="1">
        <v>27.37</v>
      </c>
      <c r="F386" s="54">
        <v>44389.0</v>
      </c>
      <c r="G386" s="1">
        <v>0.0</v>
      </c>
      <c r="H386" s="1">
        <v>23.33</v>
      </c>
      <c r="I386" s="14">
        <v>44393.0</v>
      </c>
      <c r="J386" s="1" t="s">
        <v>4308</v>
      </c>
      <c r="K386" s="15" t="s">
        <v>4693</v>
      </c>
      <c r="L386" s="60" t="str">
        <f t="shared" si="1"/>
        <v>Not in buy Zone</v>
      </c>
      <c r="M386" s="60" t="str">
        <f t="shared" si="2"/>
        <v>Not in buy Zone</v>
      </c>
      <c r="N386" s="33" t="str">
        <f t="shared" si="3"/>
        <v>No</v>
      </c>
    </row>
    <row r="387">
      <c r="A387" s="1" t="s">
        <v>415</v>
      </c>
      <c r="B387" s="1">
        <v>0.0</v>
      </c>
      <c r="C387" s="1">
        <v>0.0</v>
      </c>
      <c r="D387" s="1">
        <v>0.0</v>
      </c>
      <c r="E387" s="1">
        <v>64.69</v>
      </c>
      <c r="F387" s="54">
        <v>44327.0</v>
      </c>
      <c r="G387" s="1">
        <v>0.0</v>
      </c>
      <c r="H387" s="1">
        <v>59.14</v>
      </c>
      <c r="I387" s="14">
        <v>44393.0</v>
      </c>
      <c r="J387" s="1" t="s">
        <v>4308</v>
      </c>
      <c r="K387" s="15" t="s">
        <v>4694</v>
      </c>
      <c r="L387" s="60" t="str">
        <f t="shared" si="1"/>
        <v>Not in buy Zone</v>
      </c>
      <c r="M387" s="60" t="str">
        <f t="shared" si="2"/>
        <v>Not in buy Zone</v>
      </c>
      <c r="N387" s="33" t="str">
        <f t="shared" si="3"/>
        <v>No</v>
      </c>
    </row>
    <row r="388">
      <c r="A388" s="1" t="s">
        <v>416</v>
      </c>
      <c r="B388" s="1">
        <v>0.0</v>
      </c>
      <c r="C388" s="1">
        <v>0.0</v>
      </c>
      <c r="D388" s="1">
        <v>236.17</v>
      </c>
      <c r="E388" s="1">
        <v>0.0</v>
      </c>
      <c r="F388" s="54">
        <v>44390.0</v>
      </c>
      <c r="G388" s="1">
        <v>0.0</v>
      </c>
      <c r="H388" s="1">
        <v>234.75</v>
      </c>
      <c r="I388" s="14">
        <v>44393.0</v>
      </c>
      <c r="J388" s="1" t="s">
        <v>4308</v>
      </c>
      <c r="K388" s="15" t="s">
        <v>4695</v>
      </c>
      <c r="L388" s="60" t="str">
        <f t="shared" si="1"/>
        <v>Not in buy Zone</v>
      </c>
      <c r="M388" s="60" t="str">
        <f t="shared" si="2"/>
        <v>Not in buy Zone</v>
      </c>
      <c r="N388" s="33" t="str">
        <f t="shared" si="3"/>
        <v>No</v>
      </c>
    </row>
    <row r="389">
      <c r="A389" s="1" t="s">
        <v>417</v>
      </c>
      <c r="B389" s="1">
        <v>0.0</v>
      </c>
      <c r="C389" s="1">
        <v>0.0</v>
      </c>
      <c r="D389" s="1">
        <v>78.95</v>
      </c>
      <c r="E389" s="1">
        <v>0.0</v>
      </c>
      <c r="F389" s="54">
        <v>44392.0</v>
      </c>
      <c r="G389" s="1">
        <v>0.0</v>
      </c>
      <c r="H389" s="1">
        <v>78.01</v>
      </c>
      <c r="I389" s="14">
        <v>44393.0</v>
      </c>
      <c r="J389" s="1" t="s">
        <v>4308</v>
      </c>
      <c r="K389" s="15" t="s">
        <v>4696</v>
      </c>
      <c r="L389" s="60" t="str">
        <f t="shared" si="1"/>
        <v>Not in buy Zone</v>
      </c>
      <c r="M389" s="60" t="str">
        <f t="shared" si="2"/>
        <v>Not in buy Zone</v>
      </c>
      <c r="N389" s="33" t="str">
        <f t="shared" si="3"/>
        <v>No</v>
      </c>
    </row>
    <row r="390">
      <c r="A390" s="1" t="s">
        <v>418</v>
      </c>
      <c r="B390" s="1">
        <v>0.0</v>
      </c>
      <c r="C390" s="1">
        <v>0.0</v>
      </c>
      <c r="D390" s="1">
        <v>0.0</v>
      </c>
      <c r="E390" s="1">
        <v>145.62</v>
      </c>
      <c r="F390" s="54">
        <v>44365.0</v>
      </c>
      <c r="G390" s="1">
        <v>0.0</v>
      </c>
      <c r="H390" s="1">
        <v>133.76</v>
      </c>
      <c r="I390" s="14">
        <v>44393.0</v>
      </c>
      <c r="J390" s="1" t="s">
        <v>4308</v>
      </c>
      <c r="K390" s="15" t="s">
        <v>4697</v>
      </c>
      <c r="L390" s="60" t="str">
        <f t="shared" si="1"/>
        <v>Not in buy Zone</v>
      </c>
      <c r="M390" s="60" t="str">
        <f t="shared" si="2"/>
        <v>Not in buy Zone</v>
      </c>
      <c r="N390" s="33" t="str">
        <f t="shared" si="3"/>
        <v>No</v>
      </c>
    </row>
    <row r="391">
      <c r="A391" s="1" t="s">
        <v>419</v>
      </c>
      <c r="B391" s="1">
        <v>0.0</v>
      </c>
      <c r="C391" s="1">
        <v>0.0</v>
      </c>
      <c r="D391" s="1">
        <v>0.0</v>
      </c>
      <c r="E391" s="1">
        <v>191.83</v>
      </c>
      <c r="F391" s="54">
        <v>44348.0</v>
      </c>
      <c r="G391" s="1">
        <v>0.0</v>
      </c>
      <c r="H391" s="1">
        <v>189.22</v>
      </c>
      <c r="I391" s="14">
        <v>44393.0</v>
      </c>
      <c r="J391" s="1" t="s">
        <v>4308</v>
      </c>
      <c r="K391" s="15" t="s">
        <v>4698</v>
      </c>
      <c r="L391" s="60" t="str">
        <f t="shared" si="1"/>
        <v>Not in buy Zone</v>
      </c>
      <c r="M391" s="60" t="str">
        <f t="shared" si="2"/>
        <v>Not in buy Zone</v>
      </c>
      <c r="N391" s="33" t="str">
        <f t="shared" si="3"/>
        <v>No</v>
      </c>
    </row>
    <row r="392">
      <c r="A392" s="1" t="s">
        <v>420</v>
      </c>
      <c r="B392" s="1">
        <v>0.0</v>
      </c>
      <c r="C392" s="1">
        <v>0.0</v>
      </c>
      <c r="D392" s="1">
        <v>335.35</v>
      </c>
      <c r="E392" s="1">
        <v>0.0</v>
      </c>
      <c r="F392" s="54">
        <v>44344.0</v>
      </c>
      <c r="G392" s="1">
        <v>0.0</v>
      </c>
      <c r="H392" s="1">
        <v>377.96</v>
      </c>
      <c r="I392" s="14">
        <v>44393.0</v>
      </c>
      <c r="J392" s="1" t="s">
        <v>4308</v>
      </c>
      <c r="K392" s="15" t="s">
        <v>4699</v>
      </c>
      <c r="L392" s="60" t="str">
        <f t="shared" si="1"/>
        <v>Not in buy Zone</v>
      </c>
      <c r="M392" s="60" t="str">
        <f t="shared" si="2"/>
        <v>Not in buy Zone</v>
      </c>
      <c r="N392" s="33" t="str">
        <f t="shared" si="3"/>
        <v>No</v>
      </c>
    </row>
    <row r="393">
      <c r="A393" s="1" t="s">
        <v>421</v>
      </c>
      <c r="B393" s="1">
        <v>0.0</v>
      </c>
      <c r="C393" s="1">
        <v>0.0</v>
      </c>
      <c r="D393" s="1">
        <v>64.12</v>
      </c>
      <c r="E393" s="1">
        <v>0.0</v>
      </c>
      <c r="F393" s="54">
        <v>44392.0</v>
      </c>
      <c r="G393" s="1">
        <v>0.0</v>
      </c>
      <c r="H393" s="1">
        <v>64.26</v>
      </c>
      <c r="I393" s="14">
        <v>44393.0</v>
      </c>
      <c r="J393" s="1" t="s">
        <v>4308</v>
      </c>
      <c r="K393" s="15" t="s">
        <v>4700</v>
      </c>
      <c r="L393" s="60" t="str">
        <f t="shared" si="1"/>
        <v>Not in buy Zone</v>
      </c>
      <c r="M393" s="60" t="str">
        <f t="shared" si="2"/>
        <v>Not in buy Zone</v>
      </c>
      <c r="N393" s="33" t="str">
        <f t="shared" si="3"/>
        <v>No</v>
      </c>
    </row>
    <row r="394">
      <c r="A394" s="1" t="s">
        <v>422</v>
      </c>
      <c r="B394" s="1">
        <v>0.0</v>
      </c>
      <c r="C394" s="1">
        <v>0.0</v>
      </c>
      <c r="D394" s="1">
        <v>126.83</v>
      </c>
      <c r="E394" s="1">
        <v>0.0</v>
      </c>
      <c r="F394" s="54">
        <v>44379.0</v>
      </c>
      <c r="G394" s="1">
        <v>0.0</v>
      </c>
      <c r="H394" s="1">
        <v>125.8</v>
      </c>
      <c r="I394" s="14">
        <v>44393.0</v>
      </c>
      <c r="J394" s="1" t="s">
        <v>4308</v>
      </c>
      <c r="K394" s="15" t="s">
        <v>4701</v>
      </c>
      <c r="L394" s="60" t="str">
        <f t="shared" si="1"/>
        <v>Not in buy Zone</v>
      </c>
      <c r="M394" s="60" t="str">
        <f t="shared" si="2"/>
        <v>Not in buy Zone</v>
      </c>
      <c r="N394" s="33" t="str">
        <f t="shared" si="3"/>
        <v>No</v>
      </c>
    </row>
    <row r="395">
      <c r="A395" s="1" t="s">
        <v>423</v>
      </c>
      <c r="B395" s="1">
        <v>0.0</v>
      </c>
      <c r="C395" s="1">
        <v>0.0</v>
      </c>
      <c r="D395" s="1">
        <v>1432.63</v>
      </c>
      <c r="E395" s="1">
        <v>0.0</v>
      </c>
      <c r="F395" s="54">
        <v>44361.0</v>
      </c>
      <c r="G395" s="1">
        <v>0.0</v>
      </c>
      <c r="H395" s="1">
        <v>1512.51</v>
      </c>
      <c r="I395" s="14">
        <v>44393.0</v>
      </c>
      <c r="J395" s="1" t="s">
        <v>4308</v>
      </c>
      <c r="K395" s="15" t="s">
        <v>4702</v>
      </c>
      <c r="L395" s="60" t="str">
        <f t="shared" si="1"/>
        <v>Not in buy Zone</v>
      </c>
      <c r="M395" s="60" t="str">
        <f t="shared" si="2"/>
        <v>Not in buy Zone</v>
      </c>
      <c r="N395" s="33" t="str">
        <f t="shared" si="3"/>
        <v>No</v>
      </c>
    </row>
    <row r="396">
      <c r="A396" s="1" t="s">
        <v>424</v>
      </c>
      <c r="B396" s="1">
        <v>0.0</v>
      </c>
      <c r="C396" s="1">
        <v>0.0</v>
      </c>
      <c r="D396" s="1">
        <v>0.0</v>
      </c>
      <c r="E396" s="1">
        <v>63.42</v>
      </c>
      <c r="F396" s="54">
        <v>44328.0</v>
      </c>
      <c r="G396" s="1">
        <v>0.0</v>
      </c>
      <c r="H396" s="1">
        <v>57.58</v>
      </c>
      <c r="I396" s="14">
        <v>44393.0</v>
      </c>
      <c r="J396" s="1" t="s">
        <v>4308</v>
      </c>
      <c r="K396" s="15" t="s">
        <v>4703</v>
      </c>
      <c r="L396" s="60" t="str">
        <f t="shared" si="1"/>
        <v>Not in buy Zone</v>
      </c>
      <c r="M396" s="60" t="str">
        <f t="shared" si="2"/>
        <v>Not in buy Zone</v>
      </c>
      <c r="N396" s="33" t="str">
        <f t="shared" si="3"/>
        <v>No</v>
      </c>
    </row>
    <row r="397">
      <c r="A397" s="1" t="s">
        <v>425</v>
      </c>
      <c r="B397" s="1">
        <v>0.0</v>
      </c>
      <c r="C397" s="1">
        <v>0.0</v>
      </c>
      <c r="D397" s="1">
        <v>0.0</v>
      </c>
      <c r="E397" s="1">
        <v>41.25</v>
      </c>
      <c r="F397" s="54">
        <v>44383.0</v>
      </c>
      <c r="G397" s="1">
        <v>0.0</v>
      </c>
      <c r="H397" s="1">
        <v>37.93</v>
      </c>
      <c r="I397" s="14">
        <v>44393.0</v>
      </c>
      <c r="J397" s="1" t="s">
        <v>4308</v>
      </c>
      <c r="K397" s="15" t="s">
        <v>4704</v>
      </c>
      <c r="L397" s="60" t="str">
        <f t="shared" si="1"/>
        <v>Not in buy Zone</v>
      </c>
      <c r="M397" s="60" t="str">
        <f t="shared" si="2"/>
        <v>Not in buy Zone</v>
      </c>
      <c r="N397" s="33" t="str">
        <f t="shared" si="3"/>
        <v>No</v>
      </c>
    </row>
    <row r="398">
      <c r="A398" s="1" t="s">
        <v>426</v>
      </c>
      <c r="B398" s="1">
        <v>0.0</v>
      </c>
      <c r="C398" s="1">
        <v>0.0</v>
      </c>
      <c r="D398" s="1">
        <v>0.0</v>
      </c>
      <c r="E398" s="1">
        <v>31.61</v>
      </c>
      <c r="F398" s="54">
        <v>44389.0</v>
      </c>
      <c r="G398" s="1">
        <v>0.0</v>
      </c>
      <c r="H398" s="1">
        <v>28.53</v>
      </c>
      <c r="I398" s="14">
        <v>44393.0</v>
      </c>
      <c r="J398" s="1" t="s">
        <v>4308</v>
      </c>
      <c r="K398" s="15" t="s">
        <v>4705</v>
      </c>
      <c r="L398" s="60" t="str">
        <f t="shared" si="1"/>
        <v>Not in buy Zone</v>
      </c>
      <c r="M398" s="60" t="str">
        <f t="shared" si="2"/>
        <v>Not in buy Zone</v>
      </c>
      <c r="N398" s="33" t="str">
        <f t="shared" si="3"/>
        <v>No</v>
      </c>
    </row>
    <row r="399">
      <c r="A399" s="1" t="s">
        <v>427</v>
      </c>
      <c r="B399" s="1">
        <v>0.0</v>
      </c>
      <c r="C399" s="1">
        <v>186.16</v>
      </c>
      <c r="D399" s="1">
        <v>0.0</v>
      </c>
      <c r="E399" s="1">
        <v>0.0</v>
      </c>
      <c r="F399" s="54">
        <v>44393.0</v>
      </c>
      <c r="G399" s="1">
        <v>-1.0</v>
      </c>
      <c r="H399" s="1">
        <v>186.16</v>
      </c>
      <c r="I399" s="14">
        <v>44393.0</v>
      </c>
      <c r="J399" s="1" t="s">
        <v>4308</v>
      </c>
      <c r="K399" s="15" t="s">
        <v>4706</v>
      </c>
      <c r="L399" s="60" t="str">
        <f t="shared" si="1"/>
        <v>Not in buy Zone</v>
      </c>
      <c r="M399" s="60" t="str">
        <f t="shared" si="2"/>
        <v>Not in buy Zone</v>
      </c>
      <c r="N399" s="33" t="str">
        <f t="shared" si="3"/>
        <v>No</v>
      </c>
    </row>
    <row r="400">
      <c r="A400" s="1" t="s">
        <v>428</v>
      </c>
      <c r="B400" s="1">
        <v>0.0</v>
      </c>
      <c r="C400" s="1">
        <v>0.0</v>
      </c>
      <c r="D400" s="1">
        <v>0.0</v>
      </c>
      <c r="E400" s="1">
        <v>85.7</v>
      </c>
      <c r="F400" s="54">
        <v>44390.0</v>
      </c>
      <c r="G400" s="1">
        <v>0.0</v>
      </c>
      <c r="H400" s="1">
        <v>87.9</v>
      </c>
      <c r="I400" s="14">
        <v>44393.0</v>
      </c>
      <c r="J400" s="1" t="s">
        <v>4308</v>
      </c>
      <c r="K400" s="15" t="s">
        <v>4707</v>
      </c>
      <c r="L400" s="60" t="str">
        <f t="shared" si="1"/>
        <v>Not in buy Zone</v>
      </c>
      <c r="M400" s="60" t="str">
        <f t="shared" si="2"/>
        <v>Not in buy Zone</v>
      </c>
      <c r="N400" s="33" t="str">
        <f t="shared" si="3"/>
        <v>No</v>
      </c>
    </row>
    <row r="401">
      <c r="A401" s="1" t="s">
        <v>429</v>
      </c>
      <c r="B401" s="1">
        <v>0.0</v>
      </c>
      <c r="C401" s="1">
        <v>0.0</v>
      </c>
      <c r="D401" s="1">
        <v>0.0</v>
      </c>
      <c r="E401" s="1">
        <v>450.08</v>
      </c>
      <c r="F401" s="54">
        <v>44384.0</v>
      </c>
      <c r="G401" s="1">
        <v>0.0</v>
      </c>
      <c r="H401" s="1">
        <v>459.09</v>
      </c>
      <c r="I401" s="14">
        <v>44393.0</v>
      </c>
      <c r="J401" s="1" t="s">
        <v>4308</v>
      </c>
      <c r="K401" s="15" t="s">
        <v>4708</v>
      </c>
      <c r="L401" s="60" t="str">
        <f t="shared" si="1"/>
        <v>Not in buy Zone</v>
      </c>
      <c r="M401" s="60" t="str">
        <f t="shared" si="2"/>
        <v>Not in buy Zone</v>
      </c>
      <c r="N401" s="33" t="str">
        <f t="shared" si="3"/>
        <v>No</v>
      </c>
    </row>
    <row r="402">
      <c r="A402" s="1" t="s">
        <v>430</v>
      </c>
      <c r="B402" s="1">
        <v>0.0</v>
      </c>
      <c r="C402" s="1">
        <v>0.0</v>
      </c>
      <c r="D402" s="1">
        <v>358.96</v>
      </c>
      <c r="E402" s="1">
        <v>0.0</v>
      </c>
      <c r="F402" s="54">
        <v>44371.0</v>
      </c>
      <c r="G402" s="1">
        <v>0.0</v>
      </c>
      <c r="H402" s="1">
        <v>351.49</v>
      </c>
      <c r="I402" s="14">
        <v>44393.0</v>
      </c>
      <c r="J402" s="1" t="s">
        <v>4308</v>
      </c>
      <c r="K402" s="15" t="s">
        <v>4709</v>
      </c>
      <c r="L402" s="60" t="str">
        <f t="shared" si="1"/>
        <v>Not in buy Zone</v>
      </c>
      <c r="M402" s="60" t="str">
        <f t="shared" si="2"/>
        <v>Not in buy Zone</v>
      </c>
      <c r="N402" s="33" t="str">
        <f t="shared" si="3"/>
        <v>No</v>
      </c>
    </row>
    <row r="403">
      <c r="A403" s="1" t="s">
        <v>431</v>
      </c>
      <c r="B403" s="1">
        <v>0.0</v>
      </c>
      <c r="C403" s="1">
        <v>0.0</v>
      </c>
      <c r="D403" s="1">
        <v>139.7</v>
      </c>
      <c r="E403" s="1">
        <v>0.0</v>
      </c>
      <c r="F403" s="54">
        <v>44372.0</v>
      </c>
      <c r="G403" s="1">
        <v>0.0</v>
      </c>
      <c r="H403" s="1">
        <v>141.33</v>
      </c>
      <c r="I403" s="14">
        <v>44393.0</v>
      </c>
      <c r="J403" s="1" t="s">
        <v>4308</v>
      </c>
      <c r="K403" s="15" t="s">
        <v>4710</v>
      </c>
      <c r="L403" s="60" t="str">
        <f t="shared" si="1"/>
        <v>Not in buy Zone</v>
      </c>
      <c r="M403" s="60" t="str">
        <f t="shared" si="2"/>
        <v>Not in buy Zone</v>
      </c>
      <c r="N403" s="33" t="str">
        <f t="shared" si="3"/>
        <v>No</v>
      </c>
    </row>
    <row r="404">
      <c r="A404" s="1" t="s">
        <v>432</v>
      </c>
      <c r="B404" s="1">
        <v>0.0</v>
      </c>
      <c r="C404" s="1">
        <v>0.0</v>
      </c>
      <c r="D404" s="1">
        <v>198.63</v>
      </c>
      <c r="E404" s="1">
        <v>0.0</v>
      </c>
      <c r="F404" s="54">
        <v>44377.0</v>
      </c>
      <c r="G404" s="1">
        <v>0.0</v>
      </c>
      <c r="H404" s="1">
        <v>199.37</v>
      </c>
      <c r="I404" s="14">
        <v>44393.0</v>
      </c>
      <c r="J404" s="1" t="s">
        <v>4308</v>
      </c>
      <c r="K404" s="15" t="s">
        <v>4711</v>
      </c>
      <c r="L404" s="60" t="str">
        <f t="shared" si="1"/>
        <v>Not in buy Zone</v>
      </c>
      <c r="M404" s="60" t="str">
        <f t="shared" si="2"/>
        <v>Not in buy Zone</v>
      </c>
      <c r="N404" s="33" t="str">
        <f t="shared" si="3"/>
        <v>No</v>
      </c>
    </row>
    <row r="405">
      <c r="A405" s="1" t="s">
        <v>433</v>
      </c>
      <c r="B405" s="1">
        <v>0.0</v>
      </c>
      <c r="C405" s="1">
        <v>0.0</v>
      </c>
      <c r="D405" s="1">
        <v>93.0</v>
      </c>
      <c r="E405" s="1">
        <v>0.0</v>
      </c>
      <c r="F405" s="54">
        <v>44391.0</v>
      </c>
      <c r="G405" s="1">
        <v>0.0</v>
      </c>
      <c r="H405" s="1">
        <v>93.07</v>
      </c>
      <c r="I405" s="14">
        <v>44393.0</v>
      </c>
      <c r="J405" s="1" t="s">
        <v>4308</v>
      </c>
      <c r="K405" s="15" t="s">
        <v>4712</v>
      </c>
      <c r="L405" s="60" t="str">
        <f t="shared" si="1"/>
        <v>Not in buy Zone</v>
      </c>
      <c r="M405" s="60" t="str">
        <f t="shared" si="2"/>
        <v>Not in buy Zone</v>
      </c>
      <c r="N405" s="33" t="str">
        <f t="shared" si="3"/>
        <v>No</v>
      </c>
    </row>
    <row r="406">
      <c r="A406" s="1" t="s">
        <v>434</v>
      </c>
      <c r="B406" s="1">
        <v>0.0</v>
      </c>
      <c r="C406" s="1">
        <v>0.0</v>
      </c>
      <c r="D406" s="1">
        <v>0.0</v>
      </c>
      <c r="E406" s="1">
        <v>48.08</v>
      </c>
      <c r="F406" s="54">
        <v>44361.0</v>
      </c>
      <c r="G406" s="1">
        <v>0.0</v>
      </c>
      <c r="H406" s="1">
        <v>47.31</v>
      </c>
      <c r="I406" s="14">
        <v>44393.0</v>
      </c>
      <c r="J406" s="1" t="s">
        <v>4308</v>
      </c>
      <c r="K406" s="15" t="s">
        <v>4713</v>
      </c>
      <c r="L406" s="60" t="str">
        <f t="shared" si="1"/>
        <v>Not in buy Zone</v>
      </c>
      <c r="M406" s="60" t="str">
        <f t="shared" si="2"/>
        <v>Not in buy Zone</v>
      </c>
      <c r="N406" s="33" t="str">
        <f t="shared" si="3"/>
        <v>No</v>
      </c>
    </row>
    <row r="407">
      <c r="A407" s="1" t="s">
        <v>435</v>
      </c>
      <c r="B407" s="1">
        <v>0.0</v>
      </c>
      <c r="C407" s="1">
        <v>0.0</v>
      </c>
      <c r="D407" s="1">
        <v>0.0</v>
      </c>
      <c r="E407" s="1">
        <v>34.44</v>
      </c>
      <c r="F407" s="54">
        <v>44357.0</v>
      </c>
      <c r="G407" s="1">
        <v>0.0</v>
      </c>
      <c r="H407" s="1">
        <v>29.59</v>
      </c>
      <c r="I407" s="14">
        <v>44393.0</v>
      </c>
      <c r="J407" s="1" t="s">
        <v>4308</v>
      </c>
      <c r="K407" s="15" t="s">
        <v>4714</v>
      </c>
      <c r="L407" s="60" t="str">
        <f t="shared" si="1"/>
        <v>Not in buy Zone</v>
      </c>
      <c r="M407" s="60" t="str">
        <f t="shared" si="2"/>
        <v>Not in buy Zone</v>
      </c>
      <c r="N407" s="33" t="str">
        <f t="shared" si="3"/>
        <v>No</v>
      </c>
    </row>
    <row r="408">
      <c r="A408" s="1" t="s">
        <v>436</v>
      </c>
      <c r="B408" s="1">
        <v>0.0</v>
      </c>
      <c r="C408" s="1">
        <v>33.09</v>
      </c>
      <c r="D408" s="1">
        <v>0.0</v>
      </c>
      <c r="E408" s="1">
        <v>0.0</v>
      </c>
      <c r="F408" s="54">
        <v>44393.0</v>
      </c>
      <c r="G408" s="1">
        <v>-1.0</v>
      </c>
      <c r="H408" s="1">
        <v>33.09</v>
      </c>
      <c r="I408" s="14">
        <v>44393.0</v>
      </c>
      <c r="J408" s="1" t="s">
        <v>4308</v>
      </c>
      <c r="K408" s="15" t="s">
        <v>4715</v>
      </c>
      <c r="L408" s="60" t="str">
        <f t="shared" si="1"/>
        <v>Not in buy Zone</v>
      </c>
      <c r="M408" s="60" t="str">
        <f t="shared" si="2"/>
        <v>Not in buy Zone</v>
      </c>
      <c r="N408" s="33" t="str">
        <f t="shared" si="3"/>
        <v>No</v>
      </c>
    </row>
    <row r="409">
      <c r="A409" s="1" t="s">
        <v>437</v>
      </c>
      <c r="B409" s="1">
        <v>0.0</v>
      </c>
      <c r="C409" s="1">
        <v>0.0</v>
      </c>
      <c r="D409" s="1">
        <v>0.0</v>
      </c>
      <c r="E409" s="1">
        <v>60.96</v>
      </c>
      <c r="F409" s="54">
        <v>44364.0</v>
      </c>
      <c r="G409" s="1">
        <v>0.0</v>
      </c>
      <c r="H409" s="1">
        <v>53.26</v>
      </c>
      <c r="I409" s="14">
        <v>44393.0</v>
      </c>
      <c r="J409" s="1" t="s">
        <v>4308</v>
      </c>
      <c r="K409" s="15" t="s">
        <v>4716</v>
      </c>
      <c r="L409" s="60" t="str">
        <f t="shared" si="1"/>
        <v>Not in buy Zone</v>
      </c>
      <c r="M409" s="60" t="str">
        <f t="shared" si="2"/>
        <v>Not in buy Zone</v>
      </c>
      <c r="N409" s="33" t="str">
        <f t="shared" si="3"/>
        <v>No</v>
      </c>
    </row>
    <row r="410">
      <c r="A410" s="1" t="s">
        <v>438</v>
      </c>
      <c r="B410" s="1">
        <v>0.0</v>
      </c>
      <c r="C410" s="1">
        <v>0.0</v>
      </c>
      <c r="D410" s="1">
        <v>0.0</v>
      </c>
      <c r="E410" s="1">
        <v>29.62</v>
      </c>
      <c r="F410" s="54">
        <v>44365.0</v>
      </c>
      <c r="G410" s="1">
        <v>0.0</v>
      </c>
      <c r="H410" s="1">
        <v>27.42</v>
      </c>
      <c r="I410" s="14">
        <v>44393.0</v>
      </c>
      <c r="J410" s="1" t="s">
        <v>4308</v>
      </c>
      <c r="K410" s="15" t="s">
        <v>4717</v>
      </c>
      <c r="L410" s="60" t="str">
        <f t="shared" si="1"/>
        <v>Not in buy Zone</v>
      </c>
      <c r="M410" s="60" t="str">
        <f t="shared" si="2"/>
        <v>Not in buy Zone</v>
      </c>
      <c r="N410" s="33" t="str">
        <f t="shared" si="3"/>
        <v>No</v>
      </c>
    </row>
    <row r="411">
      <c r="A411" s="1" t="s">
        <v>439</v>
      </c>
      <c r="B411" s="1">
        <v>0.0</v>
      </c>
      <c r="C411" s="1">
        <v>0.0</v>
      </c>
      <c r="D411" s="1">
        <v>339.03</v>
      </c>
      <c r="E411" s="1">
        <v>0.0</v>
      </c>
      <c r="F411" s="54">
        <v>44342.0</v>
      </c>
      <c r="G411" s="1">
        <v>0.0</v>
      </c>
      <c r="H411" s="1">
        <v>379.46</v>
      </c>
      <c r="I411" s="14">
        <v>44393.0</v>
      </c>
      <c r="J411" s="1" t="s">
        <v>4308</v>
      </c>
      <c r="K411" s="15" t="s">
        <v>4718</v>
      </c>
      <c r="L411" s="60" t="str">
        <f t="shared" si="1"/>
        <v>Not in buy Zone</v>
      </c>
      <c r="M411" s="60" t="str">
        <f t="shared" si="2"/>
        <v>Not in buy Zone</v>
      </c>
      <c r="N411" s="33" t="str">
        <f t="shared" si="3"/>
        <v>No</v>
      </c>
    </row>
    <row r="412">
      <c r="A412" s="1" t="s">
        <v>440</v>
      </c>
      <c r="B412" s="1">
        <v>0.0</v>
      </c>
      <c r="C412" s="1">
        <v>0.0</v>
      </c>
      <c r="D412" s="1">
        <v>175.59</v>
      </c>
      <c r="E412" s="1">
        <v>0.0</v>
      </c>
      <c r="F412" s="54">
        <v>44342.0</v>
      </c>
      <c r="G412" s="1">
        <v>0.0</v>
      </c>
      <c r="H412" s="1">
        <v>286.43</v>
      </c>
      <c r="I412" s="14">
        <v>44393.0</v>
      </c>
      <c r="J412" s="1" t="s">
        <v>4308</v>
      </c>
      <c r="K412" s="15" t="s">
        <v>4719</v>
      </c>
      <c r="L412" s="60" t="str">
        <f t="shared" si="1"/>
        <v>Not in buy Zone</v>
      </c>
      <c r="M412" s="60" t="str">
        <f t="shared" si="2"/>
        <v>Not in buy Zone</v>
      </c>
      <c r="N412" s="33" t="str">
        <f t="shared" si="3"/>
        <v>No</v>
      </c>
    </row>
    <row r="413">
      <c r="A413" s="1" t="s">
        <v>441</v>
      </c>
      <c r="B413" s="1">
        <v>0.0</v>
      </c>
      <c r="C413" s="1">
        <v>0.0</v>
      </c>
      <c r="D413" s="1">
        <v>0.0</v>
      </c>
      <c r="E413" s="1">
        <v>12.93</v>
      </c>
      <c r="F413" s="54">
        <v>44384.0</v>
      </c>
      <c r="G413" s="1">
        <v>0.0</v>
      </c>
      <c r="H413" s="1">
        <v>11.75</v>
      </c>
      <c r="I413" s="14">
        <v>44393.0</v>
      </c>
      <c r="J413" s="1" t="s">
        <v>4308</v>
      </c>
      <c r="K413" s="15" t="s">
        <v>4720</v>
      </c>
      <c r="L413" s="60" t="str">
        <f t="shared" si="1"/>
        <v>Not in buy Zone</v>
      </c>
      <c r="M413" s="60" t="str">
        <f t="shared" si="2"/>
        <v>Not in buy Zone</v>
      </c>
      <c r="N413" s="33" t="str">
        <f t="shared" si="3"/>
        <v>No</v>
      </c>
    </row>
    <row r="414">
      <c r="A414" s="1" t="s">
        <v>442</v>
      </c>
      <c r="B414" s="1">
        <v>0.0</v>
      </c>
      <c r="C414" s="1">
        <v>0.0</v>
      </c>
      <c r="D414" s="1">
        <v>0.0</v>
      </c>
      <c r="E414" s="1">
        <v>55.7</v>
      </c>
      <c r="F414" s="54">
        <v>44392.0</v>
      </c>
      <c r="G414" s="1">
        <v>0.0</v>
      </c>
      <c r="H414" s="1">
        <v>53.97</v>
      </c>
      <c r="I414" s="14">
        <v>44393.0</v>
      </c>
      <c r="J414" s="1" t="s">
        <v>4308</v>
      </c>
      <c r="K414" s="15" t="s">
        <v>4721</v>
      </c>
      <c r="L414" s="60" t="str">
        <f t="shared" si="1"/>
        <v>Not in buy Zone</v>
      </c>
      <c r="M414" s="60" t="str">
        <f t="shared" si="2"/>
        <v>Not in buy Zone</v>
      </c>
      <c r="N414" s="33" t="str">
        <f t="shared" si="3"/>
        <v>No</v>
      </c>
    </row>
    <row r="415">
      <c r="A415" s="1" t="s">
        <v>443</v>
      </c>
      <c r="B415" s="1">
        <v>0.0</v>
      </c>
      <c r="C415" s="1">
        <v>0.0</v>
      </c>
      <c r="D415" s="1">
        <v>92.75</v>
      </c>
      <c r="E415" s="1">
        <v>0.0</v>
      </c>
      <c r="F415" s="54">
        <v>44389.0</v>
      </c>
      <c r="G415" s="1">
        <v>0.0</v>
      </c>
      <c r="H415" s="1">
        <v>91.25</v>
      </c>
      <c r="I415" s="14">
        <v>44393.0</v>
      </c>
      <c r="J415" s="1" t="s">
        <v>4308</v>
      </c>
      <c r="K415" s="15" t="s">
        <v>4722</v>
      </c>
      <c r="L415" s="60" t="str">
        <f t="shared" si="1"/>
        <v>Not in buy Zone</v>
      </c>
      <c r="M415" s="60" t="str">
        <f t="shared" si="2"/>
        <v>Not in buy Zone</v>
      </c>
      <c r="N415" s="33" t="str">
        <f t="shared" si="3"/>
        <v>No</v>
      </c>
    </row>
    <row r="416">
      <c r="A416" s="1" t="s">
        <v>444</v>
      </c>
      <c r="B416" s="1">
        <v>0.0</v>
      </c>
      <c r="C416" s="1">
        <v>0.0</v>
      </c>
      <c r="D416" s="1">
        <v>468.13</v>
      </c>
      <c r="E416" s="1">
        <v>0.0</v>
      </c>
      <c r="F416" s="54">
        <v>44344.0</v>
      </c>
      <c r="G416" s="1">
        <v>0.0</v>
      </c>
      <c r="H416" s="1">
        <v>564.83</v>
      </c>
      <c r="I416" s="14">
        <v>44393.0</v>
      </c>
      <c r="J416" s="1" t="s">
        <v>4308</v>
      </c>
      <c r="K416" s="15" t="s">
        <v>4723</v>
      </c>
      <c r="L416" s="60" t="str">
        <f t="shared" si="1"/>
        <v>Not in buy Zone</v>
      </c>
      <c r="M416" s="60" t="str">
        <f t="shared" si="2"/>
        <v>Not in buy Zone</v>
      </c>
      <c r="N416" s="33" t="str">
        <f t="shared" si="3"/>
        <v>No</v>
      </c>
    </row>
    <row r="417">
      <c r="A417" s="1" t="s">
        <v>445</v>
      </c>
      <c r="B417" s="1">
        <v>0.0</v>
      </c>
      <c r="C417" s="1">
        <v>0.0</v>
      </c>
      <c r="D417" s="1">
        <v>251.72</v>
      </c>
      <c r="E417" s="1">
        <v>0.0</v>
      </c>
      <c r="F417" s="54">
        <v>44341.0</v>
      </c>
      <c r="G417" s="1">
        <v>0.0</v>
      </c>
      <c r="H417" s="1">
        <v>280.75</v>
      </c>
      <c r="I417" s="14">
        <v>44393.0</v>
      </c>
      <c r="J417" s="1" t="s">
        <v>4308</v>
      </c>
      <c r="K417" s="15" t="s">
        <v>4724</v>
      </c>
      <c r="L417" s="60" t="str">
        <f t="shared" si="1"/>
        <v>Not in buy Zone</v>
      </c>
      <c r="M417" s="60" t="str">
        <f t="shared" si="2"/>
        <v>Not in buy Zone</v>
      </c>
      <c r="N417" s="33" t="str">
        <f t="shared" si="3"/>
        <v>No</v>
      </c>
    </row>
    <row r="418">
      <c r="A418" s="1" t="s">
        <v>446</v>
      </c>
      <c r="B418" s="1">
        <v>0.0</v>
      </c>
      <c r="C418" s="1">
        <v>0.0</v>
      </c>
      <c r="D418" s="1">
        <v>185.71</v>
      </c>
      <c r="E418" s="1">
        <v>0.0</v>
      </c>
      <c r="F418" s="54">
        <v>44277.0</v>
      </c>
      <c r="G418" s="1">
        <v>0.0</v>
      </c>
      <c r="H418" s="1">
        <v>219.99</v>
      </c>
      <c r="I418" s="14">
        <v>44393.0</v>
      </c>
      <c r="J418" s="1" t="s">
        <v>4308</v>
      </c>
      <c r="K418" s="15" t="s">
        <v>4725</v>
      </c>
      <c r="L418" s="60" t="str">
        <f t="shared" si="1"/>
        <v>Not in buy Zone</v>
      </c>
      <c r="M418" s="60" t="str">
        <f t="shared" si="2"/>
        <v>Not in buy Zone</v>
      </c>
      <c r="N418" s="33" t="str">
        <f t="shared" si="3"/>
        <v>No</v>
      </c>
    </row>
    <row r="419">
      <c r="A419" s="1" t="s">
        <v>447</v>
      </c>
      <c r="B419" s="1">
        <v>0.0</v>
      </c>
      <c r="C419" s="1">
        <v>0.0</v>
      </c>
      <c r="D419" s="1">
        <v>0.0</v>
      </c>
      <c r="E419" s="1">
        <v>157.27</v>
      </c>
      <c r="F419" s="54">
        <v>44341.0</v>
      </c>
      <c r="G419" s="1">
        <v>0.0</v>
      </c>
      <c r="H419" s="1">
        <v>136.82</v>
      </c>
      <c r="I419" s="14">
        <v>44393.0</v>
      </c>
      <c r="J419" s="1" t="s">
        <v>4308</v>
      </c>
      <c r="K419" s="15" t="s">
        <v>4726</v>
      </c>
      <c r="L419" s="60" t="str">
        <f t="shared" si="1"/>
        <v>Not in buy Zone</v>
      </c>
      <c r="M419" s="60" t="str">
        <f t="shared" si="2"/>
        <v>Not in buy Zone</v>
      </c>
      <c r="N419" s="33" t="str">
        <f t="shared" si="3"/>
        <v>No</v>
      </c>
    </row>
    <row r="420">
      <c r="A420" s="1" t="s">
        <v>448</v>
      </c>
      <c r="B420" s="1">
        <v>0.0</v>
      </c>
      <c r="C420" s="1">
        <v>0.0</v>
      </c>
      <c r="D420" s="1">
        <v>150.25</v>
      </c>
      <c r="E420" s="1">
        <v>0.0</v>
      </c>
      <c r="F420" s="54">
        <v>44364.0</v>
      </c>
      <c r="G420" s="1">
        <v>0.0</v>
      </c>
      <c r="H420" s="1">
        <v>161.17</v>
      </c>
      <c r="I420" s="14">
        <v>44393.0</v>
      </c>
      <c r="J420" s="1" t="s">
        <v>4308</v>
      </c>
      <c r="K420" s="15" t="s">
        <v>4727</v>
      </c>
      <c r="L420" s="60" t="str">
        <f t="shared" si="1"/>
        <v>Not in buy Zone</v>
      </c>
      <c r="M420" s="60" t="str">
        <f t="shared" si="2"/>
        <v>Not in buy Zone</v>
      </c>
      <c r="N420" s="33" t="str">
        <f t="shared" si="3"/>
        <v>No</v>
      </c>
    </row>
    <row r="421">
      <c r="A421" s="1" t="s">
        <v>449</v>
      </c>
      <c r="B421" s="1">
        <v>0.0</v>
      </c>
      <c r="C421" s="1">
        <v>0.0</v>
      </c>
      <c r="D421" s="1">
        <v>1325.48</v>
      </c>
      <c r="E421" s="1">
        <v>0.0</v>
      </c>
      <c r="F421" s="54">
        <v>44358.0</v>
      </c>
      <c r="G421" s="1">
        <v>0.0</v>
      </c>
      <c r="H421" s="1">
        <v>1448.99</v>
      </c>
      <c r="I421" s="14">
        <v>44393.0</v>
      </c>
      <c r="J421" s="1" t="s">
        <v>4308</v>
      </c>
      <c r="K421" s="15" t="s">
        <v>4728</v>
      </c>
      <c r="L421" s="60" t="str">
        <f t="shared" si="1"/>
        <v>Not in buy Zone</v>
      </c>
      <c r="M421" s="60" t="str">
        <f t="shared" si="2"/>
        <v>Not in buy Zone</v>
      </c>
      <c r="N421" s="33" t="str">
        <f t="shared" si="3"/>
        <v>No</v>
      </c>
    </row>
    <row r="422">
      <c r="A422" s="1" t="s">
        <v>450</v>
      </c>
      <c r="B422" s="1">
        <v>0.0</v>
      </c>
      <c r="C422" s="1">
        <v>0.0</v>
      </c>
      <c r="D422" s="1">
        <v>0.0</v>
      </c>
      <c r="E422" s="1">
        <v>78.22</v>
      </c>
      <c r="F422" s="54">
        <v>44384.0</v>
      </c>
      <c r="G422" s="1">
        <v>0.0</v>
      </c>
      <c r="H422" s="1">
        <v>75.01</v>
      </c>
      <c r="I422" s="14">
        <v>44393.0</v>
      </c>
      <c r="J422" s="1" t="s">
        <v>4308</v>
      </c>
      <c r="K422" s="15" t="s">
        <v>4729</v>
      </c>
      <c r="L422" s="60" t="str">
        <f t="shared" si="1"/>
        <v>Not in buy Zone</v>
      </c>
      <c r="M422" s="60" t="str">
        <f t="shared" si="2"/>
        <v>Not in buy Zone</v>
      </c>
      <c r="N422" s="33" t="str">
        <f t="shared" si="3"/>
        <v>No</v>
      </c>
    </row>
    <row r="423">
      <c r="A423" s="1" t="s">
        <v>451</v>
      </c>
      <c r="B423" s="1">
        <v>0.0</v>
      </c>
      <c r="C423" s="1">
        <v>0.0</v>
      </c>
      <c r="D423" s="1">
        <v>0.0</v>
      </c>
      <c r="E423" s="1">
        <v>100.04</v>
      </c>
      <c r="F423" s="54">
        <v>44384.0</v>
      </c>
      <c r="G423" s="1">
        <v>0.0</v>
      </c>
      <c r="H423" s="1">
        <v>97.1</v>
      </c>
      <c r="I423" s="14">
        <v>44393.0</v>
      </c>
      <c r="J423" s="1" t="s">
        <v>4308</v>
      </c>
      <c r="K423" s="15" t="s">
        <v>4730</v>
      </c>
      <c r="L423" s="60" t="str">
        <f t="shared" si="1"/>
        <v>Not in buy Zone</v>
      </c>
      <c r="M423" s="60" t="str">
        <f t="shared" si="2"/>
        <v>Not in buy Zone</v>
      </c>
      <c r="N423" s="33" t="str">
        <f t="shared" si="3"/>
        <v>No</v>
      </c>
    </row>
    <row r="424">
      <c r="A424" s="1" t="s">
        <v>452</v>
      </c>
      <c r="B424" s="1">
        <v>0.0</v>
      </c>
      <c r="C424" s="1">
        <v>0.0</v>
      </c>
      <c r="D424" s="1">
        <v>0.0</v>
      </c>
      <c r="E424" s="1">
        <v>31.0</v>
      </c>
      <c r="F424" s="54">
        <v>44361.0</v>
      </c>
      <c r="G424" s="1">
        <v>0.0</v>
      </c>
      <c r="H424" s="1">
        <v>23.14</v>
      </c>
      <c r="I424" s="14">
        <v>44393.0</v>
      </c>
      <c r="J424" s="1" t="s">
        <v>4308</v>
      </c>
      <c r="K424" s="15" t="s">
        <v>4731</v>
      </c>
      <c r="L424" s="60" t="str">
        <f t="shared" si="1"/>
        <v>Not in buy Zone</v>
      </c>
      <c r="M424" s="60" t="str">
        <f t="shared" si="2"/>
        <v>Not in buy Zone</v>
      </c>
      <c r="N424" s="33" t="str">
        <f t="shared" si="3"/>
        <v>No</v>
      </c>
    </row>
    <row r="425">
      <c r="A425" s="1" t="s">
        <v>453</v>
      </c>
      <c r="B425" s="1">
        <v>0.0</v>
      </c>
      <c r="C425" s="1">
        <v>0.0</v>
      </c>
      <c r="D425" s="1">
        <v>164.92</v>
      </c>
      <c r="E425" s="1">
        <v>0.0</v>
      </c>
      <c r="F425" s="54">
        <v>44340.0</v>
      </c>
      <c r="G425" s="1">
        <v>0.0</v>
      </c>
      <c r="H425" s="1">
        <v>178.55</v>
      </c>
      <c r="I425" s="14">
        <v>44393.0</v>
      </c>
      <c r="J425" s="1" t="s">
        <v>4308</v>
      </c>
      <c r="K425" s="15" t="s">
        <v>4732</v>
      </c>
      <c r="L425" s="60" t="str">
        <f t="shared" si="1"/>
        <v>Not in buy Zone</v>
      </c>
      <c r="M425" s="60" t="str">
        <f t="shared" si="2"/>
        <v>Not in buy Zone</v>
      </c>
      <c r="N425" s="33" t="str">
        <f t="shared" si="3"/>
        <v>No</v>
      </c>
    </row>
    <row r="426">
      <c r="A426" s="1" t="s">
        <v>454</v>
      </c>
      <c r="B426" s="1">
        <v>0.0</v>
      </c>
      <c r="C426" s="1">
        <v>0.0</v>
      </c>
      <c r="D426" s="1">
        <v>75.15</v>
      </c>
      <c r="E426" s="1">
        <v>0.0</v>
      </c>
      <c r="F426" s="54">
        <v>44375.0</v>
      </c>
      <c r="G426" s="1">
        <v>0.0</v>
      </c>
      <c r="H426" s="1">
        <v>77.92</v>
      </c>
      <c r="I426" s="14">
        <v>44393.0</v>
      </c>
      <c r="J426" s="1" t="s">
        <v>4308</v>
      </c>
      <c r="K426" s="15" t="s">
        <v>4733</v>
      </c>
      <c r="L426" s="60" t="str">
        <f t="shared" si="1"/>
        <v>Not in buy Zone</v>
      </c>
      <c r="M426" s="60" t="str">
        <f t="shared" si="2"/>
        <v>Not in buy Zone</v>
      </c>
      <c r="N426" s="33" t="str">
        <f t="shared" si="3"/>
        <v>No</v>
      </c>
    </row>
    <row r="427">
      <c r="A427" s="1" t="s">
        <v>455</v>
      </c>
      <c r="B427" s="1">
        <v>0.0</v>
      </c>
      <c r="C427" s="1">
        <v>0.0</v>
      </c>
      <c r="D427" s="1">
        <v>0.0</v>
      </c>
      <c r="E427" s="1">
        <v>69.93</v>
      </c>
      <c r="F427" s="54">
        <v>44355.0</v>
      </c>
      <c r="G427" s="1">
        <v>0.0</v>
      </c>
      <c r="H427" s="1">
        <v>61.73</v>
      </c>
      <c r="I427" s="14">
        <v>44393.0</v>
      </c>
      <c r="J427" s="1" t="s">
        <v>4308</v>
      </c>
      <c r="K427" s="15" t="s">
        <v>4734</v>
      </c>
      <c r="L427" s="60" t="str">
        <f t="shared" si="1"/>
        <v>Not in buy Zone</v>
      </c>
      <c r="M427" s="60" t="str">
        <f t="shared" si="2"/>
        <v>Not in buy Zone</v>
      </c>
      <c r="N427" s="33" t="str">
        <f t="shared" si="3"/>
        <v>No</v>
      </c>
    </row>
    <row r="428">
      <c r="A428" s="1" t="s">
        <v>456</v>
      </c>
      <c r="B428" s="1">
        <v>0.0</v>
      </c>
      <c r="C428" s="1">
        <v>0.0</v>
      </c>
      <c r="D428" s="1">
        <v>79.59</v>
      </c>
      <c r="E428" s="1">
        <v>0.0</v>
      </c>
      <c r="F428" s="54">
        <v>44341.0</v>
      </c>
      <c r="G428" s="1">
        <v>0.0</v>
      </c>
      <c r="H428" s="1">
        <v>102.66</v>
      </c>
      <c r="I428" s="14">
        <v>44393.0</v>
      </c>
      <c r="J428" s="1" t="s">
        <v>4308</v>
      </c>
      <c r="K428" s="15" t="s">
        <v>4735</v>
      </c>
      <c r="L428" s="60" t="str">
        <f t="shared" si="1"/>
        <v>Not in buy Zone</v>
      </c>
      <c r="M428" s="60" t="str">
        <f t="shared" si="2"/>
        <v>Not in buy Zone</v>
      </c>
      <c r="N428" s="33" t="str">
        <f t="shared" si="3"/>
        <v>No</v>
      </c>
    </row>
    <row r="429">
      <c r="A429" s="1" t="s">
        <v>457</v>
      </c>
      <c r="B429" s="1">
        <v>0.0</v>
      </c>
      <c r="C429" s="1">
        <v>0.0</v>
      </c>
      <c r="D429" s="1">
        <v>508.82</v>
      </c>
      <c r="E429" s="1">
        <v>0.0</v>
      </c>
      <c r="F429" s="54">
        <v>44369.0</v>
      </c>
      <c r="G429" s="1">
        <v>0.0</v>
      </c>
      <c r="H429" s="1">
        <v>530.31</v>
      </c>
      <c r="I429" s="14">
        <v>44393.0</v>
      </c>
      <c r="J429" s="1" t="s">
        <v>4308</v>
      </c>
      <c r="K429" s="15" t="s">
        <v>4736</v>
      </c>
      <c r="L429" s="60" t="str">
        <f t="shared" si="1"/>
        <v>Not in buy Zone</v>
      </c>
      <c r="M429" s="60" t="str">
        <f t="shared" si="2"/>
        <v>Not in buy Zone</v>
      </c>
      <c r="N429" s="33" t="str">
        <f t="shared" si="3"/>
        <v>No</v>
      </c>
    </row>
    <row r="430">
      <c r="A430" s="1" t="s">
        <v>458</v>
      </c>
      <c r="B430" s="1">
        <v>0.0</v>
      </c>
      <c r="C430" s="1">
        <v>0.0</v>
      </c>
      <c r="D430" s="1">
        <v>25.56</v>
      </c>
      <c r="E430" s="1">
        <v>0.0</v>
      </c>
      <c r="F430" s="54">
        <v>44392.0</v>
      </c>
      <c r="G430" s="1">
        <v>0.0</v>
      </c>
      <c r="H430" s="1">
        <v>25.75</v>
      </c>
      <c r="I430" s="14">
        <v>44393.0</v>
      </c>
      <c r="J430" s="1" t="s">
        <v>4308</v>
      </c>
      <c r="K430" s="15" t="s">
        <v>4737</v>
      </c>
      <c r="L430" s="60" t="str">
        <f t="shared" si="1"/>
        <v>Not in buy Zone</v>
      </c>
      <c r="M430" s="60" t="str">
        <f t="shared" si="2"/>
        <v>Not in buy Zone</v>
      </c>
      <c r="N430" s="33" t="str">
        <f t="shared" si="3"/>
        <v>No</v>
      </c>
    </row>
    <row r="431">
      <c r="A431" s="1" t="s">
        <v>459</v>
      </c>
      <c r="B431" s="1">
        <v>0.0</v>
      </c>
      <c r="C431" s="1">
        <v>0.0</v>
      </c>
      <c r="D431" s="1">
        <v>132.48</v>
      </c>
      <c r="E431" s="1">
        <v>0.0</v>
      </c>
      <c r="F431" s="54">
        <v>44369.0</v>
      </c>
      <c r="G431" s="1">
        <v>0.0</v>
      </c>
      <c r="H431" s="1">
        <v>159.85</v>
      </c>
      <c r="I431" s="14">
        <v>44393.0</v>
      </c>
      <c r="J431" s="1" t="s">
        <v>4308</v>
      </c>
      <c r="K431" s="15" t="s">
        <v>4738</v>
      </c>
      <c r="L431" s="60" t="str">
        <f t="shared" si="1"/>
        <v>Not in buy Zone</v>
      </c>
      <c r="M431" s="60" t="str">
        <f t="shared" si="2"/>
        <v>Not in buy Zone</v>
      </c>
      <c r="N431" s="33" t="str">
        <f t="shared" si="3"/>
        <v>No</v>
      </c>
    </row>
    <row r="432">
      <c r="A432" s="1" t="s">
        <v>460</v>
      </c>
      <c r="B432" s="1">
        <v>0.0</v>
      </c>
      <c r="C432" s="1">
        <v>0.0</v>
      </c>
      <c r="D432" s="1">
        <v>0.0</v>
      </c>
      <c r="E432" s="1">
        <v>26.82</v>
      </c>
      <c r="F432" s="54">
        <v>44365.0</v>
      </c>
      <c r="G432" s="1">
        <v>0.0</v>
      </c>
      <c r="H432" s="1">
        <v>26.01</v>
      </c>
      <c r="I432" s="14">
        <v>44393.0</v>
      </c>
      <c r="J432" s="1" t="s">
        <v>4308</v>
      </c>
      <c r="K432" s="15" t="s">
        <v>4739</v>
      </c>
      <c r="L432" s="60" t="str">
        <f t="shared" si="1"/>
        <v>Not in buy Zone</v>
      </c>
      <c r="M432" s="60" t="str">
        <f t="shared" si="2"/>
        <v>Not in buy Zone</v>
      </c>
      <c r="N432" s="33" t="str">
        <f t="shared" si="3"/>
        <v>No</v>
      </c>
    </row>
    <row r="433">
      <c r="A433" s="1" t="s">
        <v>461</v>
      </c>
      <c r="B433" s="1">
        <v>0.0</v>
      </c>
      <c r="C433" s="1">
        <v>0.0</v>
      </c>
      <c r="D433" s="1">
        <v>0.0</v>
      </c>
      <c r="E433" s="1">
        <v>25.58</v>
      </c>
      <c r="F433" s="54">
        <v>44357.0</v>
      </c>
      <c r="G433" s="1">
        <v>0.0</v>
      </c>
      <c r="H433" s="1">
        <v>23.76</v>
      </c>
      <c r="I433" s="14">
        <v>44393.0</v>
      </c>
      <c r="J433" s="1" t="s">
        <v>4308</v>
      </c>
      <c r="K433" s="15" t="s">
        <v>4740</v>
      </c>
      <c r="L433" s="60" t="str">
        <f t="shared" si="1"/>
        <v>Not in buy Zone</v>
      </c>
      <c r="M433" s="60" t="str">
        <f t="shared" si="2"/>
        <v>Not in buy Zone</v>
      </c>
      <c r="N433" s="33" t="str">
        <f t="shared" si="3"/>
        <v>No</v>
      </c>
    </row>
    <row r="434">
      <c r="A434" s="1" t="s">
        <v>462</v>
      </c>
      <c r="B434" s="1">
        <v>0.0</v>
      </c>
      <c r="C434" s="1">
        <v>0.0</v>
      </c>
      <c r="D434" s="1">
        <v>0.0</v>
      </c>
      <c r="E434" s="1">
        <v>360.31</v>
      </c>
      <c r="F434" s="54">
        <v>44376.0</v>
      </c>
      <c r="G434" s="1">
        <v>0.0</v>
      </c>
      <c r="H434" s="1">
        <v>362.81</v>
      </c>
      <c r="I434" s="14">
        <v>44393.0</v>
      </c>
      <c r="J434" s="1" t="s">
        <v>4308</v>
      </c>
      <c r="K434" s="15" t="s">
        <v>4741</v>
      </c>
      <c r="L434" s="60" t="str">
        <f t="shared" si="1"/>
        <v>Not in buy Zone</v>
      </c>
      <c r="M434" s="60" t="str">
        <f t="shared" si="2"/>
        <v>Not in buy Zone</v>
      </c>
      <c r="N434" s="33" t="str">
        <f t="shared" si="3"/>
        <v>No</v>
      </c>
    </row>
    <row r="435">
      <c r="A435" s="1" t="s">
        <v>463</v>
      </c>
      <c r="B435" s="1">
        <v>0.0</v>
      </c>
      <c r="C435" s="1">
        <v>0.0</v>
      </c>
      <c r="D435" s="1">
        <v>0.0</v>
      </c>
      <c r="E435" s="1">
        <v>16.03</v>
      </c>
      <c r="F435" s="54">
        <v>44364.0</v>
      </c>
      <c r="G435" s="1">
        <v>0.0</v>
      </c>
      <c r="H435" s="1">
        <v>13.62</v>
      </c>
      <c r="I435" s="14">
        <v>44393.0</v>
      </c>
      <c r="J435" s="1" t="s">
        <v>4308</v>
      </c>
      <c r="K435" s="15" t="s">
        <v>4742</v>
      </c>
      <c r="L435" s="60" t="str">
        <f t="shared" si="1"/>
        <v>Not in buy Zone</v>
      </c>
      <c r="M435" s="60" t="str">
        <f t="shared" si="2"/>
        <v>Not in buy Zone</v>
      </c>
      <c r="N435" s="33" t="str">
        <f t="shared" si="3"/>
        <v>No</v>
      </c>
    </row>
    <row r="436">
      <c r="A436" s="1" t="s">
        <v>464</v>
      </c>
      <c r="B436" s="1">
        <v>0.0</v>
      </c>
      <c r="C436" s="1">
        <v>0.0</v>
      </c>
      <c r="D436" s="1">
        <v>0.0</v>
      </c>
      <c r="E436" s="1">
        <v>34.43</v>
      </c>
      <c r="F436" s="54">
        <v>44391.0</v>
      </c>
      <c r="G436" s="1">
        <v>0.0</v>
      </c>
      <c r="H436" s="1">
        <v>33.24</v>
      </c>
      <c r="I436" s="14">
        <v>44393.0</v>
      </c>
      <c r="J436" s="1" t="s">
        <v>4308</v>
      </c>
      <c r="K436" s="15" t="s">
        <v>4743</v>
      </c>
      <c r="L436" s="60" t="str">
        <f t="shared" si="1"/>
        <v>Not in buy Zone</v>
      </c>
      <c r="M436" s="60" t="str">
        <f t="shared" si="2"/>
        <v>Not in buy Zone</v>
      </c>
      <c r="N436" s="33" t="str">
        <f t="shared" si="3"/>
        <v>No</v>
      </c>
    </row>
    <row r="437">
      <c r="A437" s="1" t="s">
        <v>465</v>
      </c>
      <c r="B437" s="1">
        <v>0.0</v>
      </c>
      <c r="C437" s="1">
        <v>0.0</v>
      </c>
      <c r="D437" s="1">
        <v>489.13</v>
      </c>
      <c r="E437" s="1">
        <v>0.0</v>
      </c>
      <c r="F437" s="54">
        <v>44357.0</v>
      </c>
      <c r="G437" s="1">
        <v>0.0</v>
      </c>
      <c r="H437" s="1">
        <v>556.36</v>
      </c>
      <c r="I437" s="14">
        <v>44393.0</v>
      </c>
      <c r="J437" s="1" t="s">
        <v>4308</v>
      </c>
      <c r="K437" s="15" t="s">
        <v>4744</v>
      </c>
      <c r="L437" s="60" t="str">
        <f t="shared" si="1"/>
        <v>Not in buy Zone</v>
      </c>
      <c r="M437" s="60" t="str">
        <f t="shared" si="2"/>
        <v>Not in buy Zone</v>
      </c>
      <c r="N437" s="33" t="str">
        <f t="shared" si="3"/>
        <v>No</v>
      </c>
    </row>
    <row r="438">
      <c r="A438" s="1" t="s">
        <v>466</v>
      </c>
      <c r="B438" s="1">
        <v>0.0</v>
      </c>
      <c r="C438" s="1">
        <v>0.0</v>
      </c>
      <c r="D438" s="1">
        <v>34.29</v>
      </c>
      <c r="E438" s="1">
        <v>0.0</v>
      </c>
      <c r="F438" s="54">
        <v>44350.0</v>
      </c>
      <c r="G438" s="1">
        <v>0.0</v>
      </c>
      <c r="H438" s="1">
        <v>40.54</v>
      </c>
      <c r="I438" s="14">
        <v>44393.0</v>
      </c>
      <c r="J438" s="1" t="s">
        <v>4308</v>
      </c>
      <c r="K438" s="15" t="s">
        <v>4745</v>
      </c>
      <c r="L438" s="60" t="str">
        <f t="shared" si="1"/>
        <v>Not in buy Zone</v>
      </c>
      <c r="M438" s="60" t="str">
        <f t="shared" si="2"/>
        <v>Not in buy Zone</v>
      </c>
      <c r="N438" s="33" t="str">
        <f t="shared" si="3"/>
        <v>No</v>
      </c>
    </row>
    <row r="439">
      <c r="A439" s="1" t="s">
        <v>467</v>
      </c>
      <c r="B439" s="1">
        <v>0.0</v>
      </c>
      <c r="C439" s="1">
        <v>0.0</v>
      </c>
      <c r="D439" s="1">
        <v>0.0</v>
      </c>
      <c r="E439" s="1">
        <v>253.78</v>
      </c>
      <c r="F439" s="54">
        <v>44385.0</v>
      </c>
      <c r="G439" s="1">
        <v>0.0</v>
      </c>
      <c r="H439" s="1">
        <v>260.55</v>
      </c>
      <c r="I439" s="14">
        <v>44393.0</v>
      </c>
      <c r="J439" s="1" t="s">
        <v>4308</v>
      </c>
      <c r="K439" s="15" t="s">
        <v>4746</v>
      </c>
      <c r="L439" s="60" t="str">
        <f t="shared" si="1"/>
        <v>Not in buy Zone</v>
      </c>
      <c r="M439" s="60" t="str">
        <f t="shared" si="2"/>
        <v>Not in buy Zone</v>
      </c>
      <c r="N439" s="33" t="str">
        <f t="shared" si="3"/>
        <v>No</v>
      </c>
    </row>
    <row r="440">
      <c r="A440" s="1" t="s">
        <v>468</v>
      </c>
      <c r="B440" s="1">
        <v>0.0</v>
      </c>
      <c r="C440" s="1">
        <v>0.0</v>
      </c>
      <c r="D440" s="1">
        <v>0.0</v>
      </c>
      <c r="E440" s="1">
        <v>78.16</v>
      </c>
      <c r="F440" s="54">
        <v>44365.0</v>
      </c>
      <c r="G440" s="1">
        <v>0.0</v>
      </c>
      <c r="H440" s="1">
        <v>77.37</v>
      </c>
      <c r="I440" s="14">
        <v>44393.0</v>
      </c>
      <c r="J440" s="1" t="s">
        <v>4308</v>
      </c>
      <c r="K440" s="15" t="s">
        <v>4747</v>
      </c>
      <c r="L440" s="60" t="str">
        <f t="shared" si="1"/>
        <v>Not in buy Zone</v>
      </c>
      <c r="M440" s="60" t="str">
        <f t="shared" si="2"/>
        <v>Not in buy Zone</v>
      </c>
      <c r="N440" s="33" t="str">
        <f t="shared" si="3"/>
        <v>No</v>
      </c>
    </row>
    <row r="441">
      <c r="A441" s="1" t="s">
        <v>469</v>
      </c>
      <c r="B441" s="1">
        <v>0.0</v>
      </c>
      <c r="C441" s="1">
        <v>0.0</v>
      </c>
      <c r="D441" s="1">
        <v>112.17</v>
      </c>
      <c r="E441" s="1">
        <v>0.0</v>
      </c>
      <c r="F441" s="54">
        <v>44390.0</v>
      </c>
      <c r="G441" s="1">
        <v>0.0</v>
      </c>
      <c r="H441" s="1">
        <v>112.1</v>
      </c>
      <c r="I441" s="14">
        <v>44393.0</v>
      </c>
      <c r="J441" s="1" t="s">
        <v>4308</v>
      </c>
      <c r="K441" s="15" t="s">
        <v>4748</v>
      </c>
      <c r="L441" s="60" t="str">
        <f t="shared" si="1"/>
        <v>Not in buy Zone</v>
      </c>
      <c r="M441" s="60" t="str">
        <f t="shared" si="2"/>
        <v>Not in buy Zone</v>
      </c>
      <c r="N441" s="33" t="str">
        <f t="shared" si="3"/>
        <v>No</v>
      </c>
    </row>
    <row r="442">
      <c r="A442" s="1" t="s">
        <v>470</v>
      </c>
      <c r="B442" s="1">
        <v>0.0</v>
      </c>
      <c r="C442" s="1">
        <v>0.0</v>
      </c>
      <c r="D442" s="1">
        <v>0.0</v>
      </c>
      <c r="E442" s="1">
        <v>145.02</v>
      </c>
      <c r="F442" s="54">
        <v>44384.0</v>
      </c>
      <c r="G442" s="1">
        <v>0.0</v>
      </c>
      <c r="H442" s="1">
        <v>135.25</v>
      </c>
      <c r="I442" s="14">
        <v>44393.0</v>
      </c>
      <c r="J442" s="1" t="s">
        <v>4308</v>
      </c>
      <c r="K442" s="15" t="s">
        <v>4749</v>
      </c>
      <c r="L442" s="60" t="str">
        <f t="shared" si="1"/>
        <v>Not in buy Zone</v>
      </c>
      <c r="M442" s="60" t="str">
        <f t="shared" si="2"/>
        <v>Not in buy Zone</v>
      </c>
      <c r="N442" s="33" t="str">
        <f t="shared" si="3"/>
        <v>No</v>
      </c>
    </row>
    <row r="443">
      <c r="A443" s="1" t="s">
        <v>471</v>
      </c>
      <c r="B443" s="1">
        <v>0.0</v>
      </c>
      <c r="C443" s="1">
        <v>0.0</v>
      </c>
      <c r="D443" s="1">
        <v>0.0</v>
      </c>
      <c r="E443" s="1">
        <v>36.5</v>
      </c>
      <c r="F443" s="54">
        <v>44390.0</v>
      </c>
      <c r="G443" s="1">
        <v>0.0</v>
      </c>
      <c r="H443" s="1">
        <v>33.94</v>
      </c>
      <c r="I443" s="14">
        <v>44393.0</v>
      </c>
      <c r="J443" s="1" t="s">
        <v>4308</v>
      </c>
      <c r="K443" s="15" t="s">
        <v>4750</v>
      </c>
      <c r="L443" s="60" t="str">
        <f t="shared" si="1"/>
        <v>Not in buy Zone</v>
      </c>
      <c r="M443" s="60" t="str">
        <f t="shared" si="2"/>
        <v>Not in buy Zone</v>
      </c>
      <c r="N443" s="33" t="str">
        <f t="shared" si="3"/>
        <v>No</v>
      </c>
    </row>
    <row r="444">
      <c r="A444" s="1" t="s">
        <v>472</v>
      </c>
      <c r="B444" s="1">
        <v>0.0</v>
      </c>
      <c r="C444" s="1">
        <v>0.0</v>
      </c>
      <c r="D444" s="1">
        <v>116.73</v>
      </c>
      <c r="E444" s="1">
        <v>0.0</v>
      </c>
      <c r="F444" s="54">
        <v>44379.0</v>
      </c>
      <c r="G444" s="1">
        <v>0.0</v>
      </c>
      <c r="H444" s="1">
        <v>113.15</v>
      </c>
      <c r="I444" s="14">
        <v>44393.0</v>
      </c>
      <c r="J444" s="1" t="s">
        <v>4308</v>
      </c>
      <c r="K444" s="15" t="s">
        <v>4751</v>
      </c>
      <c r="L444" s="60" t="str">
        <f t="shared" si="1"/>
        <v>Not in buy Zone</v>
      </c>
      <c r="M444" s="60" t="str">
        <f t="shared" si="2"/>
        <v>Not in buy Zone</v>
      </c>
      <c r="N444" s="33" t="str">
        <f t="shared" si="3"/>
        <v>No</v>
      </c>
    </row>
    <row r="445">
      <c r="A445" s="1" t="s">
        <v>473</v>
      </c>
      <c r="B445" s="1">
        <v>0.0</v>
      </c>
      <c r="C445" s="1">
        <v>0.0</v>
      </c>
      <c r="D445" s="1">
        <v>45.58</v>
      </c>
      <c r="E445" s="1">
        <v>0.0</v>
      </c>
      <c r="F445" s="54">
        <v>44295.0</v>
      </c>
      <c r="G445" s="1">
        <v>0.0</v>
      </c>
      <c r="H445" s="1">
        <v>55.0</v>
      </c>
      <c r="I445" s="14">
        <v>44393.0</v>
      </c>
      <c r="J445" s="1" t="s">
        <v>4308</v>
      </c>
      <c r="K445" s="15" t="s">
        <v>4752</v>
      </c>
      <c r="L445" s="60" t="str">
        <f t="shared" si="1"/>
        <v>Not in buy Zone</v>
      </c>
      <c r="M445" s="60" t="str">
        <f t="shared" si="2"/>
        <v>Not in buy Zone</v>
      </c>
      <c r="N445" s="33" t="str">
        <f t="shared" si="3"/>
        <v>No</v>
      </c>
    </row>
    <row r="446">
      <c r="A446" s="1" t="s">
        <v>474</v>
      </c>
      <c r="B446" s="1">
        <v>0.0</v>
      </c>
      <c r="C446" s="1">
        <v>0.0</v>
      </c>
      <c r="D446" s="1">
        <v>0.0</v>
      </c>
      <c r="E446" s="1">
        <v>99.94</v>
      </c>
      <c r="F446" s="54">
        <v>44363.0</v>
      </c>
      <c r="G446" s="1">
        <v>0.0</v>
      </c>
      <c r="H446" s="1">
        <v>92.04</v>
      </c>
      <c r="I446" s="14">
        <v>44393.0</v>
      </c>
      <c r="J446" s="1" t="s">
        <v>4308</v>
      </c>
      <c r="K446" s="15" t="s">
        <v>4753</v>
      </c>
      <c r="L446" s="60" t="str">
        <f t="shared" si="1"/>
        <v>Not in buy Zone</v>
      </c>
      <c r="M446" s="60" t="str">
        <f t="shared" si="2"/>
        <v>Not in buy Zone</v>
      </c>
      <c r="N446" s="33" t="str">
        <f t="shared" si="3"/>
        <v>No</v>
      </c>
    </row>
    <row r="447">
      <c r="A447" s="1" t="s">
        <v>475</v>
      </c>
      <c r="B447" s="1">
        <v>0.0</v>
      </c>
      <c r="C447" s="1">
        <v>0.0</v>
      </c>
      <c r="D447" s="1">
        <v>0.0</v>
      </c>
      <c r="E447" s="1">
        <v>185.78</v>
      </c>
      <c r="F447" s="54">
        <v>44384.0</v>
      </c>
      <c r="G447" s="1">
        <v>0.0</v>
      </c>
      <c r="H447" s="1">
        <v>186.65</v>
      </c>
      <c r="I447" s="14">
        <v>44393.0</v>
      </c>
      <c r="J447" s="1" t="s">
        <v>4308</v>
      </c>
      <c r="K447" s="15" t="s">
        <v>4754</v>
      </c>
      <c r="L447" s="60" t="str">
        <f t="shared" si="1"/>
        <v>Not in buy Zone</v>
      </c>
      <c r="M447" s="60" t="str">
        <f t="shared" si="2"/>
        <v>Not in buy Zone</v>
      </c>
      <c r="N447" s="33" t="str">
        <f t="shared" si="3"/>
        <v>No</v>
      </c>
    </row>
    <row r="448">
      <c r="A448" s="1" t="s">
        <v>476</v>
      </c>
      <c r="B448" s="1">
        <v>0.0</v>
      </c>
      <c r="C448" s="1">
        <v>0.0</v>
      </c>
      <c r="D448" s="1">
        <v>0.0</v>
      </c>
      <c r="E448" s="1">
        <v>758.65</v>
      </c>
      <c r="F448" s="54">
        <v>44392.0</v>
      </c>
      <c r="G448" s="1">
        <v>0.0</v>
      </c>
      <c r="H448" s="1">
        <v>726.44</v>
      </c>
      <c r="I448" s="14">
        <v>44393.0</v>
      </c>
      <c r="J448" s="1" t="s">
        <v>4308</v>
      </c>
      <c r="K448" s="15" t="s">
        <v>4755</v>
      </c>
      <c r="L448" s="60" t="str">
        <f t="shared" si="1"/>
        <v>Not in buy Zone</v>
      </c>
      <c r="M448" s="60" t="str">
        <f t="shared" si="2"/>
        <v>Not in buy Zone</v>
      </c>
      <c r="N448" s="33" t="str">
        <f t="shared" si="3"/>
        <v>No</v>
      </c>
    </row>
    <row r="449">
      <c r="A449" s="1" t="s">
        <v>477</v>
      </c>
      <c r="B449" s="1">
        <v>0.0</v>
      </c>
      <c r="C449" s="1">
        <v>0.0</v>
      </c>
      <c r="D449" s="1">
        <v>0.0</v>
      </c>
      <c r="E449" s="1">
        <v>4961.67</v>
      </c>
      <c r="F449" s="54">
        <v>44389.0</v>
      </c>
      <c r="G449" s="1">
        <v>0.0</v>
      </c>
      <c r="H449" s="1">
        <v>4800.0</v>
      </c>
      <c r="I449" s="14">
        <v>44393.0</v>
      </c>
      <c r="J449" s="1" t="s">
        <v>4308</v>
      </c>
      <c r="K449" s="15" t="s">
        <v>4756</v>
      </c>
      <c r="L449" s="60" t="str">
        <f t="shared" si="1"/>
        <v>Not in buy Zone</v>
      </c>
      <c r="M449" s="60" t="str">
        <f t="shared" si="2"/>
        <v>Not in buy Zone</v>
      </c>
      <c r="N449" s="33" t="str">
        <f t="shared" si="3"/>
        <v>No</v>
      </c>
    </row>
    <row r="450">
      <c r="A450" s="1" t="s">
        <v>478</v>
      </c>
      <c r="B450" s="1">
        <v>0.0</v>
      </c>
      <c r="C450" s="1">
        <v>0.0</v>
      </c>
      <c r="D450" s="1">
        <v>0.0</v>
      </c>
      <c r="E450" s="1">
        <v>31.01</v>
      </c>
      <c r="F450" s="54">
        <v>44385.0</v>
      </c>
      <c r="G450" s="1">
        <v>0.0</v>
      </c>
      <c r="H450" s="1">
        <v>28.48</v>
      </c>
      <c r="I450" s="14">
        <v>44393.0</v>
      </c>
      <c r="J450" s="1" t="s">
        <v>4308</v>
      </c>
      <c r="K450" s="15" t="s">
        <v>4757</v>
      </c>
      <c r="L450" s="60" t="str">
        <f t="shared" si="1"/>
        <v>Not in buy Zone</v>
      </c>
      <c r="M450" s="60" t="str">
        <f t="shared" si="2"/>
        <v>Not in buy Zone</v>
      </c>
      <c r="N450" s="33" t="str">
        <f t="shared" si="3"/>
        <v>No</v>
      </c>
    </row>
    <row r="451">
      <c r="A451" s="1" t="s">
        <v>479</v>
      </c>
      <c r="B451" s="1">
        <v>0.0</v>
      </c>
      <c r="C451" s="1">
        <v>0.0</v>
      </c>
      <c r="D451" s="1">
        <v>27.47</v>
      </c>
      <c r="E451" s="1">
        <v>0.0</v>
      </c>
      <c r="F451" s="54">
        <v>44377.0</v>
      </c>
      <c r="G451" s="1">
        <v>0.0</v>
      </c>
      <c r="H451" s="1">
        <v>27.04</v>
      </c>
      <c r="I451" s="14">
        <v>44393.0</v>
      </c>
      <c r="J451" s="1" t="s">
        <v>4308</v>
      </c>
      <c r="K451" s="15" t="s">
        <v>4758</v>
      </c>
      <c r="L451" s="60" t="str">
        <f t="shared" si="1"/>
        <v>Not in buy Zone</v>
      </c>
      <c r="M451" s="60" t="str">
        <f t="shared" si="2"/>
        <v>Not in buy Zone</v>
      </c>
      <c r="N451" s="33" t="str">
        <f t="shared" si="3"/>
        <v>No</v>
      </c>
    </row>
    <row r="452">
      <c r="A452" s="1" t="s">
        <v>480</v>
      </c>
      <c r="B452" s="1">
        <v>0.0</v>
      </c>
      <c r="C452" s="1">
        <v>0.0</v>
      </c>
      <c r="D452" s="1">
        <v>0.0</v>
      </c>
      <c r="E452" s="1">
        <v>24.54</v>
      </c>
      <c r="F452" s="54">
        <v>44349.0</v>
      </c>
      <c r="G452" s="1">
        <v>0.0</v>
      </c>
      <c r="H452" s="1">
        <v>22.99</v>
      </c>
      <c r="I452" s="14">
        <v>44393.0</v>
      </c>
      <c r="J452" s="1" t="s">
        <v>4308</v>
      </c>
      <c r="K452" s="15" t="s">
        <v>4759</v>
      </c>
      <c r="L452" s="60" t="str">
        <f t="shared" si="1"/>
        <v>Not in buy Zone</v>
      </c>
      <c r="M452" s="60" t="str">
        <f t="shared" si="2"/>
        <v>Not in buy Zone</v>
      </c>
      <c r="N452" s="33" t="str">
        <f t="shared" si="3"/>
        <v>No</v>
      </c>
    </row>
    <row r="453">
      <c r="A453" s="1" t="s">
        <v>481</v>
      </c>
      <c r="B453" s="1">
        <v>0.0</v>
      </c>
      <c r="C453" s="1">
        <v>0.0</v>
      </c>
      <c r="D453" s="1">
        <v>0.0</v>
      </c>
      <c r="E453" s="1">
        <v>25.85</v>
      </c>
      <c r="F453" s="54">
        <v>44354.0</v>
      </c>
      <c r="G453" s="1">
        <v>0.0</v>
      </c>
      <c r="H453" s="1">
        <v>24.22</v>
      </c>
      <c r="I453" s="14">
        <v>44393.0</v>
      </c>
      <c r="J453" s="1" t="s">
        <v>4308</v>
      </c>
      <c r="K453" s="15" t="s">
        <v>4760</v>
      </c>
      <c r="L453" s="60" t="str">
        <f t="shared" si="1"/>
        <v>Not in buy Zone</v>
      </c>
      <c r="M453" s="60" t="str">
        <f t="shared" si="2"/>
        <v>Not in buy Zone</v>
      </c>
      <c r="N453" s="33" t="str">
        <f t="shared" si="3"/>
        <v>No</v>
      </c>
    </row>
    <row r="454">
      <c r="A454" s="1" t="s">
        <v>482</v>
      </c>
      <c r="B454" s="1">
        <v>0.0</v>
      </c>
      <c r="C454" s="1">
        <v>0.0</v>
      </c>
      <c r="D454" s="1">
        <v>0.0</v>
      </c>
      <c r="E454" s="1">
        <v>194.41</v>
      </c>
      <c r="F454" s="54">
        <v>44392.0</v>
      </c>
      <c r="G454" s="1">
        <v>0.0</v>
      </c>
      <c r="H454" s="1">
        <v>190.11</v>
      </c>
      <c r="I454" s="14">
        <v>44393.0</v>
      </c>
      <c r="J454" s="1" t="s">
        <v>4308</v>
      </c>
      <c r="K454" s="15" t="s">
        <v>4761</v>
      </c>
      <c r="L454" s="60" t="str">
        <f t="shared" si="1"/>
        <v>Not in buy Zone</v>
      </c>
      <c r="M454" s="60" t="str">
        <f t="shared" si="2"/>
        <v>Not in buy Zone</v>
      </c>
      <c r="N454" s="33" t="str">
        <f t="shared" si="3"/>
        <v>No</v>
      </c>
    </row>
    <row r="455">
      <c r="A455" s="1" t="s">
        <v>483</v>
      </c>
      <c r="B455" s="1">
        <v>0.0</v>
      </c>
      <c r="C455" s="1">
        <v>0.0</v>
      </c>
      <c r="D455" s="1">
        <v>68.87</v>
      </c>
      <c r="E455" s="1">
        <v>0.0</v>
      </c>
      <c r="F455" s="54">
        <v>44386.0</v>
      </c>
      <c r="G455" s="1">
        <v>0.0</v>
      </c>
      <c r="H455" s="1">
        <v>69.56</v>
      </c>
      <c r="I455" s="14">
        <v>44393.0</v>
      </c>
      <c r="J455" s="1" t="s">
        <v>4308</v>
      </c>
      <c r="K455" s="15" t="s">
        <v>4762</v>
      </c>
      <c r="L455" s="60" t="str">
        <f t="shared" si="1"/>
        <v>Not in buy Zone</v>
      </c>
      <c r="M455" s="60" t="str">
        <f t="shared" si="2"/>
        <v>Not in buy Zone</v>
      </c>
      <c r="N455" s="33" t="str">
        <f t="shared" si="3"/>
        <v>No</v>
      </c>
    </row>
    <row r="456">
      <c r="A456" s="1" t="s">
        <v>484</v>
      </c>
      <c r="B456" s="1">
        <v>0.0</v>
      </c>
      <c r="C456" s="1">
        <v>0.0</v>
      </c>
      <c r="D456" s="1">
        <v>258.0</v>
      </c>
      <c r="E456" s="1">
        <v>0.0</v>
      </c>
      <c r="F456" s="54">
        <v>44378.0</v>
      </c>
      <c r="G456" s="1">
        <v>0.0</v>
      </c>
      <c r="H456" s="1">
        <v>253.94</v>
      </c>
      <c r="I456" s="14">
        <v>44393.0</v>
      </c>
      <c r="J456" s="1" t="s">
        <v>4308</v>
      </c>
      <c r="K456" s="15" t="s">
        <v>4763</v>
      </c>
      <c r="L456" s="60" t="str">
        <f t="shared" si="1"/>
        <v>Not in buy Zone</v>
      </c>
      <c r="M456" s="60" t="str">
        <f t="shared" si="2"/>
        <v>Not in buy Zone</v>
      </c>
      <c r="N456" s="33" t="str">
        <f t="shared" si="3"/>
        <v>No</v>
      </c>
    </row>
    <row r="457">
      <c r="A457" s="1" t="s">
        <v>485</v>
      </c>
      <c r="B457" s="1">
        <v>0.0</v>
      </c>
      <c r="C457" s="1">
        <v>0.0</v>
      </c>
      <c r="D457" s="1">
        <v>0.0</v>
      </c>
      <c r="E457" s="1">
        <v>33.43</v>
      </c>
      <c r="F457" s="54">
        <v>44365.0</v>
      </c>
      <c r="G457" s="1">
        <v>0.0</v>
      </c>
      <c r="H457" s="1">
        <v>34.23</v>
      </c>
      <c r="I457" s="14">
        <v>44393.0</v>
      </c>
      <c r="J457" s="1" t="s">
        <v>4308</v>
      </c>
      <c r="K457" s="15" t="s">
        <v>4764</v>
      </c>
      <c r="L457" s="60" t="str">
        <f t="shared" si="1"/>
        <v>Not in buy Zone</v>
      </c>
      <c r="M457" s="60" t="str">
        <f t="shared" si="2"/>
        <v>Not in buy Zone</v>
      </c>
      <c r="N457" s="33" t="str">
        <f t="shared" si="3"/>
        <v>No</v>
      </c>
    </row>
    <row r="458">
      <c r="A458" s="1" t="s">
        <v>486</v>
      </c>
      <c r="B458" s="1">
        <v>0.0</v>
      </c>
      <c r="C458" s="1">
        <v>53.31</v>
      </c>
      <c r="D458" s="1">
        <v>0.0</v>
      </c>
      <c r="E458" s="1">
        <v>0.0</v>
      </c>
      <c r="F458" s="54">
        <v>44393.0</v>
      </c>
      <c r="G458" s="1">
        <v>-1.0</v>
      </c>
      <c r="H458" s="1">
        <v>53.31</v>
      </c>
      <c r="I458" s="14">
        <v>44393.0</v>
      </c>
      <c r="J458" s="1" t="s">
        <v>4308</v>
      </c>
      <c r="K458" s="15" t="s">
        <v>4765</v>
      </c>
      <c r="L458" s="60" t="str">
        <f t="shared" si="1"/>
        <v>Not in buy Zone</v>
      </c>
      <c r="M458" s="60" t="str">
        <f t="shared" si="2"/>
        <v>Not in buy Zone</v>
      </c>
      <c r="N458" s="33" t="str">
        <f t="shared" si="3"/>
        <v>No</v>
      </c>
    </row>
    <row r="459">
      <c r="A459" s="1" t="s">
        <v>487</v>
      </c>
      <c r="B459" s="1">
        <v>0.0</v>
      </c>
      <c r="C459" s="1">
        <v>235.67</v>
      </c>
      <c r="D459" s="1">
        <v>0.0</v>
      </c>
      <c r="E459" s="1">
        <v>0.0</v>
      </c>
      <c r="F459" s="54">
        <v>44393.0</v>
      </c>
      <c r="G459" s="1">
        <v>-1.0</v>
      </c>
      <c r="H459" s="1">
        <v>235.67</v>
      </c>
      <c r="I459" s="14">
        <v>44393.0</v>
      </c>
      <c r="J459" s="1" t="s">
        <v>4308</v>
      </c>
      <c r="K459" s="15" t="s">
        <v>4766</v>
      </c>
      <c r="L459" s="60" t="str">
        <f t="shared" si="1"/>
        <v>Not in buy Zone</v>
      </c>
      <c r="M459" s="60" t="str">
        <f t="shared" si="2"/>
        <v>Not in buy Zone</v>
      </c>
      <c r="N459" s="33" t="str">
        <f t="shared" si="3"/>
        <v>No</v>
      </c>
    </row>
    <row r="460">
      <c r="A460" s="1" t="s">
        <v>488</v>
      </c>
      <c r="B460" s="1">
        <v>0.0</v>
      </c>
      <c r="C460" s="1">
        <v>0.0</v>
      </c>
      <c r="D460" s="1">
        <v>0.0</v>
      </c>
      <c r="E460" s="1">
        <v>82.14</v>
      </c>
      <c r="F460" s="54">
        <v>44328.0</v>
      </c>
      <c r="G460" s="1">
        <v>0.0</v>
      </c>
      <c r="H460" s="1">
        <v>77.45</v>
      </c>
      <c r="I460" s="14">
        <v>44393.0</v>
      </c>
      <c r="J460" s="1" t="s">
        <v>4308</v>
      </c>
      <c r="K460" s="15" t="s">
        <v>4767</v>
      </c>
      <c r="L460" s="60" t="str">
        <f t="shared" si="1"/>
        <v>Not in buy Zone</v>
      </c>
      <c r="M460" s="60" t="str">
        <f t="shared" si="2"/>
        <v>Not in buy Zone</v>
      </c>
      <c r="N460" s="33" t="str">
        <f t="shared" si="3"/>
        <v>No</v>
      </c>
    </row>
    <row r="461">
      <c r="A461" s="1" t="s">
        <v>489</v>
      </c>
      <c r="B461" s="1">
        <v>0.0</v>
      </c>
      <c r="C461" s="1">
        <v>0.0</v>
      </c>
      <c r="D461" s="1">
        <v>0.0</v>
      </c>
      <c r="E461" s="1">
        <v>36.3</v>
      </c>
      <c r="F461" s="54">
        <v>44392.0</v>
      </c>
      <c r="G461" s="1">
        <v>0.0</v>
      </c>
      <c r="H461" s="1">
        <v>35.15</v>
      </c>
      <c r="I461" s="14">
        <v>44393.0</v>
      </c>
      <c r="J461" s="1" t="s">
        <v>4308</v>
      </c>
      <c r="K461" s="15" t="s">
        <v>4768</v>
      </c>
      <c r="L461" s="60" t="str">
        <f t="shared" si="1"/>
        <v>Not in buy Zone</v>
      </c>
      <c r="M461" s="60" t="str">
        <f t="shared" si="2"/>
        <v>Not in buy Zone</v>
      </c>
      <c r="N461" s="33" t="str">
        <f t="shared" si="3"/>
        <v>No</v>
      </c>
    </row>
    <row r="462">
      <c r="A462" s="1" t="s">
        <v>490</v>
      </c>
      <c r="B462" s="1">
        <v>0.0</v>
      </c>
      <c r="C462" s="1">
        <v>0.0</v>
      </c>
      <c r="D462" s="1">
        <v>81.82</v>
      </c>
      <c r="E462" s="1">
        <v>0.0</v>
      </c>
      <c r="F462" s="54">
        <v>44379.0</v>
      </c>
      <c r="G462" s="1">
        <v>0.0</v>
      </c>
      <c r="H462" s="1">
        <v>87.49</v>
      </c>
      <c r="I462" s="14">
        <v>44393.0</v>
      </c>
      <c r="J462" s="1" t="s">
        <v>4308</v>
      </c>
      <c r="K462" s="15" t="s">
        <v>4769</v>
      </c>
      <c r="L462" s="60" t="str">
        <f t="shared" si="1"/>
        <v>Not in buy Zone</v>
      </c>
      <c r="M462" s="60" t="str">
        <f t="shared" si="2"/>
        <v>Not in buy Zone</v>
      </c>
      <c r="N462" s="33" t="str">
        <f t="shared" si="3"/>
        <v>No</v>
      </c>
    </row>
    <row r="463">
      <c r="A463" s="1" t="s">
        <v>491</v>
      </c>
      <c r="B463" s="1">
        <v>0.0</v>
      </c>
      <c r="C463" s="1">
        <v>0.0</v>
      </c>
      <c r="D463" s="1">
        <v>547.0</v>
      </c>
      <c r="E463" s="1">
        <v>0.0</v>
      </c>
      <c r="F463" s="54">
        <v>44368.0</v>
      </c>
      <c r="G463" s="1">
        <v>0.0</v>
      </c>
      <c r="H463" s="1">
        <v>601.3</v>
      </c>
      <c r="I463" s="14">
        <v>44393.0</v>
      </c>
      <c r="J463" s="1" t="s">
        <v>4308</v>
      </c>
      <c r="K463" s="15" t="s">
        <v>4770</v>
      </c>
      <c r="L463" s="60" t="str">
        <f t="shared" si="1"/>
        <v>Not in buy Zone</v>
      </c>
      <c r="M463" s="60" t="str">
        <f t="shared" si="2"/>
        <v>Not in buy Zone</v>
      </c>
      <c r="N463" s="33" t="str">
        <f t="shared" si="3"/>
        <v>No</v>
      </c>
    </row>
    <row r="464">
      <c r="A464" s="1" t="s">
        <v>492</v>
      </c>
      <c r="B464" s="1">
        <v>0.0</v>
      </c>
      <c r="C464" s="1">
        <v>0.0</v>
      </c>
      <c r="D464" s="1">
        <v>0.0</v>
      </c>
      <c r="E464" s="1">
        <v>29.58</v>
      </c>
      <c r="F464" s="54">
        <v>44384.0</v>
      </c>
      <c r="G464" s="1">
        <v>0.0</v>
      </c>
      <c r="H464" s="1">
        <v>26.09</v>
      </c>
      <c r="I464" s="14">
        <v>44393.0</v>
      </c>
      <c r="J464" s="1" t="s">
        <v>4308</v>
      </c>
      <c r="K464" s="15" t="s">
        <v>4771</v>
      </c>
      <c r="L464" s="60" t="str">
        <f t="shared" si="1"/>
        <v>Not in buy Zone</v>
      </c>
      <c r="M464" s="60" t="str">
        <f t="shared" si="2"/>
        <v>Not in buy Zone</v>
      </c>
      <c r="N464" s="33" t="str">
        <f t="shared" si="3"/>
        <v>No</v>
      </c>
    </row>
    <row r="465">
      <c r="A465" s="1" t="s">
        <v>493</v>
      </c>
      <c r="B465" s="1">
        <v>0.0</v>
      </c>
      <c r="C465" s="1">
        <v>0.0</v>
      </c>
      <c r="D465" s="1">
        <v>0.0</v>
      </c>
      <c r="E465" s="1">
        <v>29.48</v>
      </c>
      <c r="F465" s="54">
        <v>44384.0</v>
      </c>
      <c r="G465" s="1">
        <v>0.0</v>
      </c>
      <c r="H465" s="1">
        <v>25.94</v>
      </c>
      <c r="I465" s="14">
        <v>44393.0</v>
      </c>
      <c r="J465" s="1" t="s">
        <v>4308</v>
      </c>
      <c r="K465" s="15" t="s">
        <v>4772</v>
      </c>
      <c r="L465" s="60" t="str">
        <f t="shared" si="1"/>
        <v>Not in buy Zone</v>
      </c>
      <c r="M465" s="60" t="str">
        <f t="shared" si="2"/>
        <v>Not in buy Zone</v>
      </c>
      <c r="N465" s="33" t="str">
        <f t="shared" si="3"/>
        <v>No</v>
      </c>
    </row>
    <row r="466">
      <c r="A466" s="1" t="s">
        <v>494</v>
      </c>
      <c r="B466" s="1">
        <v>0.0</v>
      </c>
      <c r="C466" s="1">
        <v>0.0</v>
      </c>
      <c r="D466" s="1">
        <v>0.0</v>
      </c>
      <c r="E466" s="1">
        <v>32.11</v>
      </c>
      <c r="F466" s="54">
        <v>44384.0</v>
      </c>
      <c r="G466" s="1">
        <v>0.0</v>
      </c>
      <c r="H466" s="1">
        <v>26.48</v>
      </c>
      <c r="I466" s="14">
        <v>44393.0</v>
      </c>
      <c r="J466" s="1" t="s">
        <v>4308</v>
      </c>
      <c r="K466" s="15" t="s">
        <v>4773</v>
      </c>
      <c r="L466" s="60" t="str">
        <f t="shared" si="1"/>
        <v>Not in buy Zone</v>
      </c>
      <c r="M466" s="60" t="str">
        <f t="shared" si="2"/>
        <v>Not in buy Zone</v>
      </c>
      <c r="N466" s="33" t="str">
        <f t="shared" si="3"/>
        <v>No</v>
      </c>
    </row>
    <row r="467">
      <c r="A467" s="1" t="s">
        <v>495</v>
      </c>
      <c r="B467" s="1">
        <v>0.0</v>
      </c>
      <c r="C467" s="1">
        <v>0.0</v>
      </c>
      <c r="D467" s="1">
        <v>340.0</v>
      </c>
      <c r="E467" s="1">
        <v>0.0</v>
      </c>
      <c r="F467" s="54">
        <v>44358.0</v>
      </c>
      <c r="G467" s="1">
        <v>0.0</v>
      </c>
      <c r="H467" s="1">
        <v>372.85</v>
      </c>
      <c r="I467" s="14">
        <v>44393.0</v>
      </c>
      <c r="J467" s="1" t="s">
        <v>4308</v>
      </c>
      <c r="K467" s="15" t="s">
        <v>4774</v>
      </c>
      <c r="L467" s="60" t="str">
        <f t="shared" si="1"/>
        <v>Not in buy Zone</v>
      </c>
      <c r="M467" s="60" t="str">
        <f t="shared" si="2"/>
        <v>Not in buy Zone</v>
      </c>
      <c r="N467" s="33" t="str">
        <f t="shared" si="3"/>
        <v>No</v>
      </c>
    </row>
    <row r="468">
      <c r="A468" s="1" t="s">
        <v>496</v>
      </c>
      <c r="B468" s="1">
        <v>0.0</v>
      </c>
      <c r="C468" s="1">
        <v>0.0</v>
      </c>
      <c r="D468" s="1">
        <v>101.89</v>
      </c>
      <c r="E468" s="1">
        <v>0.0</v>
      </c>
      <c r="F468" s="54">
        <v>44340.0</v>
      </c>
      <c r="G468" s="1">
        <v>0.0</v>
      </c>
      <c r="H468" s="1">
        <v>111.85</v>
      </c>
      <c r="I468" s="14">
        <v>44393.0</v>
      </c>
      <c r="J468" s="1" t="s">
        <v>4308</v>
      </c>
      <c r="K468" s="15" t="s">
        <v>4775</v>
      </c>
      <c r="L468" s="60" t="str">
        <f t="shared" si="1"/>
        <v>Not in buy Zone</v>
      </c>
      <c r="M468" s="60" t="str">
        <f t="shared" si="2"/>
        <v>Not in buy Zone</v>
      </c>
      <c r="N468" s="33" t="str">
        <f t="shared" si="3"/>
        <v>No</v>
      </c>
    </row>
    <row r="469">
      <c r="A469" s="1" t="s">
        <v>497</v>
      </c>
      <c r="B469" s="1">
        <v>0.0</v>
      </c>
      <c r="C469" s="1">
        <v>0.0</v>
      </c>
      <c r="D469" s="1">
        <v>0.0</v>
      </c>
      <c r="E469" s="1">
        <v>18.13</v>
      </c>
      <c r="F469" s="54">
        <v>44357.0</v>
      </c>
      <c r="G469" s="1">
        <v>0.0</v>
      </c>
      <c r="H469" s="1">
        <v>16.03</v>
      </c>
      <c r="I469" s="14">
        <v>44393.0</v>
      </c>
      <c r="J469" s="1" t="s">
        <v>4308</v>
      </c>
      <c r="K469" s="15" t="s">
        <v>4776</v>
      </c>
      <c r="L469" s="60" t="str">
        <f t="shared" si="1"/>
        <v>Not in buy Zone</v>
      </c>
      <c r="M469" s="60" t="str">
        <f t="shared" si="2"/>
        <v>Not in buy Zone</v>
      </c>
      <c r="N469" s="33" t="str">
        <f t="shared" si="3"/>
        <v>No</v>
      </c>
    </row>
    <row r="470">
      <c r="A470" s="1" t="s">
        <v>498</v>
      </c>
      <c r="B470" s="1">
        <v>0.0</v>
      </c>
      <c r="C470" s="1">
        <v>0.0</v>
      </c>
      <c r="D470" s="1">
        <v>0.0</v>
      </c>
      <c r="E470" s="1">
        <v>89.58</v>
      </c>
      <c r="F470" s="54">
        <v>44364.0</v>
      </c>
      <c r="G470" s="1">
        <v>0.0</v>
      </c>
      <c r="H470" s="1">
        <v>87.61</v>
      </c>
      <c r="I470" s="14">
        <v>44393.0</v>
      </c>
      <c r="J470" s="1" t="s">
        <v>4308</v>
      </c>
      <c r="K470" s="15" t="s">
        <v>4777</v>
      </c>
      <c r="L470" s="60" t="str">
        <f t="shared" si="1"/>
        <v>Not in buy Zone</v>
      </c>
      <c r="M470" s="60" t="str">
        <f t="shared" si="2"/>
        <v>Not in buy Zone</v>
      </c>
      <c r="N470" s="33" t="str">
        <f t="shared" si="3"/>
        <v>No</v>
      </c>
    </row>
    <row r="471">
      <c r="A471" s="1" t="s">
        <v>499</v>
      </c>
      <c r="B471" s="1">
        <v>0.0</v>
      </c>
      <c r="C471" s="1">
        <v>0.0</v>
      </c>
      <c r="D471" s="1">
        <v>0.0</v>
      </c>
      <c r="E471" s="1">
        <v>113.1</v>
      </c>
      <c r="F471" s="54">
        <v>44383.0</v>
      </c>
      <c r="G471" s="1">
        <v>0.0</v>
      </c>
      <c r="H471" s="1">
        <v>107.45</v>
      </c>
      <c r="I471" s="14">
        <v>44393.0</v>
      </c>
      <c r="J471" s="1" t="s">
        <v>4308</v>
      </c>
      <c r="K471" s="15" t="s">
        <v>4778</v>
      </c>
      <c r="L471" s="60" t="str">
        <f t="shared" si="1"/>
        <v>Not in buy Zone</v>
      </c>
      <c r="M471" s="60" t="str">
        <f t="shared" si="2"/>
        <v>Not in buy Zone</v>
      </c>
      <c r="N471" s="33" t="str">
        <f t="shared" si="3"/>
        <v>No</v>
      </c>
    </row>
    <row r="472">
      <c r="A472" s="1" t="s">
        <v>500</v>
      </c>
      <c r="B472" s="1">
        <v>0.0</v>
      </c>
      <c r="C472" s="1">
        <v>0.0</v>
      </c>
      <c r="D472" s="1">
        <v>34.76</v>
      </c>
      <c r="E472" s="1">
        <v>0.0</v>
      </c>
      <c r="F472" s="54">
        <v>44386.0</v>
      </c>
      <c r="G472" s="1">
        <v>0.0</v>
      </c>
      <c r="H472" s="1">
        <v>35.56</v>
      </c>
      <c r="I472" s="14">
        <v>44393.0</v>
      </c>
      <c r="J472" s="1" t="s">
        <v>4308</v>
      </c>
      <c r="K472" s="15" t="s">
        <v>4779</v>
      </c>
      <c r="L472" s="60" t="str">
        <f t="shared" si="1"/>
        <v>Not in buy Zone</v>
      </c>
      <c r="M472" s="60" t="str">
        <f t="shared" si="2"/>
        <v>Not in buy Zone</v>
      </c>
      <c r="N472" s="33" t="str">
        <f t="shared" si="3"/>
        <v>No</v>
      </c>
    </row>
    <row r="473">
      <c r="A473" s="1" t="s">
        <v>501</v>
      </c>
      <c r="B473" s="1">
        <v>0.0</v>
      </c>
      <c r="C473" s="1">
        <v>0.0</v>
      </c>
      <c r="D473" s="1">
        <v>61.19</v>
      </c>
      <c r="E473" s="1">
        <v>0.0</v>
      </c>
      <c r="F473" s="54">
        <v>44392.0</v>
      </c>
      <c r="G473" s="1">
        <v>0.0</v>
      </c>
      <c r="H473" s="1">
        <v>61.74</v>
      </c>
      <c r="I473" s="14">
        <v>44393.0</v>
      </c>
      <c r="J473" s="1" t="s">
        <v>4308</v>
      </c>
      <c r="K473" s="15" t="s">
        <v>4780</v>
      </c>
      <c r="L473" s="60" t="str">
        <f t="shared" si="1"/>
        <v>Not in buy Zone</v>
      </c>
      <c r="M473" s="60" t="str">
        <f t="shared" si="2"/>
        <v>Not in buy Zone</v>
      </c>
      <c r="N473" s="33" t="str">
        <f t="shared" si="3"/>
        <v>No</v>
      </c>
    </row>
    <row r="474">
      <c r="A474" s="1" t="s">
        <v>502</v>
      </c>
      <c r="B474" s="1">
        <v>0.0</v>
      </c>
      <c r="C474" s="1">
        <v>0.0</v>
      </c>
      <c r="D474" s="1">
        <v>0.0</v>
      </c>
      <c r="E474" s="1">
        <v>111.935</v>
      </c>
      <c r="F474" s="54">
        <v>44273.0</v>
      </c>
      <c r="G474" s="1">
        <v>0.0</v>
      </c>
      <c r="H474" s="1">
        <v>66.21</v>
      </c>
      <c r="I474" s="14">
        <v>44393.0</v>
      </c>
      <c r="J474" s="1" t="s">
        <v>4308</v>
      </c>
      <c r="K474" s="15" t="s">
        <v>4781</v>
      </c>
      <c r="L474" s="60" t="str">
        <f t="shared" si="1"/>
        <v>Not in buy Zone</v>
      </c>
      <c r="M474" s="60" t="str">
        <f t="shared" si="2"/>
        <v>Not in buy Zone</v>
      </c>
      <c r="N474" s="33" t="str">
        <f t="shared" si="3"/>
        <v>No</v>
      </c>
    </row>
    <row r="475">
      <c r="A475" s="1" t="s">
        <v>503</v>
      </c>
      <c r="B475" s="1">
        <v>0.0</v>
      </c>
      <c r="C475" s="1">
        <v>0.0</v>
      </c>
      <c r="D475" s="1">
        <v>148.91</v>
      </c>
      <c r="E475" s="1">
        <v>0.0</v>
      </c>
      <c r="F475" s="54">
        <v>44379.0</v>
      </c>
      <c r="G475" s="1">
        <v>0.0</v>
      </c>
      <c r="H475" s="1">
        <v>155.82</v>
      </c>
      <c r="I475" s="14">
        <v>44393.0</v>
      </c>
      <c r="J475" s="1" t="s">
        <v>4308</v>
      </c>
      <c r="K475" s="15" t="s">
        <v>4782</v>
      </c>
      <c r="L475" s="60" t="str">
        <f t="shared" si="1"/>
        <v>Not in buy Zone</v>
      </c>
      <c r="M475" s="60" t="str">
        <f t="shared" si="2"/>
        <v>Not in buy Zone</v>
      </c>
      <c r="N475" s="33" t="str">
        <f t="shared" si="3"/>
        <v>No</v>
      </c>
    </row>
    <row r="476">
      <c r="A476" s="1" t="s">
        <v>504</v>
      </c>
      <c r="B476" s="1">
        <v>40.35</v>
      </c>
      <c r="C476" s="1">
        <v>0.0</v>
      </c>
      <c r="D476" s="1">
        <v>0.0</v>
      </c>
      <c r="E476" s="1">
        <v>0.0</v>
      </c>
      <c r="F476" s="54">
        <v>44393.0</v>
      </c>
      <c r="G476" s="1">
        <v>1.0</v>
      </c>
      <c r="H476" s="1">
        <v>40.35</v>
      </c>
      <c r="I476" s="14">
        <v>44393.0</v>
      </c>
      <c r="J476" s="1" t="s">
        <v>4308</v>
      </c>
      <c r="K476" s="15" t="s">
        <v>4783</v>
      </c>
      <c r="L476" s="60">
        <f t="shared" si="1"/>
        <v>40.55175</v>
      </c>
      <c r="M476" s="60">
        <f t="shared" si="2"/>
        <v>40.14825</v>
      </c>
      <c r="N476" s="33" t="str">
        <f t="shared" si="3"/>
        <v>Yes</v>
      </c>
    </row>
    <row r="477">
      <c r="A477" s="1" t="s">
        <v>505</v>
      </c>
      <c r="B477" s="1">
        <v>0.0</v>
      </c>
      <c r="C477" s="1">
        <v>39.06</v>
      </c>
      <c r="D477" s="1">
        <v>0.0</v>
      </c>
      <c r="E477" s="1">
        <v>0.0</v>
      </c>
      <c r="F477" s="54">
        <v>44393.0</v>
      </c>
      <c r="G477" s="1">
        <v>-1.0</v>
      </c>
      <c r="H477" s="1">
        <v>39.06</v>
      </c>
      <c r="I477" s="14">
        <v>44393.0</v>
      </c>
      <c r="J477" s="1" t="s">
        <v>4308</v>
      </c>
      <c r="K477" s="15" t="s">
        <v>4784</v>
      </c>
      <c r="L477" s="60" t="str">
        <f t="shared" si="1"/>
        <v>Not in buy Zone</v>
      </c>
      <c r="M477" s="60" t="str">
        <f t="shared" si="2"/>
        <v>Not in buy Zone</v>
      </c>
      <c r="N477" s="33" t="str">
        <f t="shared" si="3"/>
        <v>No</v>
      </c>
    </row>
    <row r="478">
      <c r="A478" s="1" t="s">
        <v>506</v>
      </c>
      <c r="B478" s="1">
        <v>0.0</v>
      </c>
      <c r="C478" s="1">
        <v>0.0</v>
      </c>
      <c r="D478" s="1">
        <v>0.0</v>
      </c>
      <c r="E478" s="1">
        <v>59.94</v>
      </c>
      <c r="F478" s="54">
        <v>44385.0</v>
      </c>
      <c r="G478" s="1">
        <v>0.0</v>
      </c>
      <c r="H478" s="1">
        <v>60.99</v>
      </c>
      <c r="I478" s="14">
        <v>44393.0</v>
      </c>
      <c r="J478" s="1" t="s">
        <v>4308</v>
      </c>
      <c r="K478" s="15" t="s">
        <v>4785</v>
      </c>
      <c r="L478" s="60" t="str">
        <f t="shared" si="1"/>
        <v>Not in buy Zone</v>
      </c>
      <c r="M478" s="60" t="str">
        <f t="shared" si="2"/>
        <v>Not in buy Zone</v>
      </c>
      <c r="N478" s="33" t="str">
        <f t="shared" si="3"/>
        <v>No</v>
      </c>
    </row>
    <row r="479">
      <c r="A479" s="1" t="s">
        <v>507</v>
      </c>
      <c r="B479" s="1">
        <v>0.0</v>
      </c>
      <c r="C479" s="1">
        <v>0.0</v>
      </c>
      <c r="D479" s="1">
        <v>137.0</v>
      </c>
      <c r="E479" s="1">
        <v>0.0</v>
      </c>
      <c r="F479" s="54">
        <v>44384.0</v>
      </c>
      <c r="G479" s="1">
        <v>0.0</v>
      </c>
      <c r="H479" s="1">
        <v>140.51</v>
      </c>
      <c r="I479" s="14">
        <v>44393.0</v>
      </c>
      <c r="J479" s="1" t="s">
        <v>4308</v>
      </c>
      <c r="K479" s="15" t="s">
        <v>4786</v>
      </c>
      <c r="L479" s="60" t="str">
        <f t="shared" si="1"/>
        <v>Not in buy Zone</v>
      </c>
      <c r="M479" s="60" t="str">
        <f t="shared" si="2"/>
        <v>Not in buy Zone</v>
      </c>
      <c r="N479" s="33" t="str">
        <f t="shared" si="3"/>
        <v>No</v>
      </c>
    </row>
    <row r="480">
      <c r="A480" s="1" t="s">
        <v>508</v>
      </c>
      <c r="B480" s="1">
        <v>0.0</v>
      </c>
      <c r="C480" s="1">
        <v>0.0</v>
      </c>
      <c r="D480" s="1">
        <v>0.0</v>
      </c>
      <c r="E480" s="1">
        <v>94.95</v>
      </c>
      <c r="F480" s="54">
        <v>44392.0</v>
      </c>
      <c r="G480" s="1">
        <v>0.0</v>
      </c>
      <c r="H480" s="1">
        <v>96.18</v>
      </c>
      <c r="I480" s="14">
        <v>44393.0</v>
      </c>
      <c r="J480" s="1" t="s">
        <v>4308</v>
      </c>
      <c r="K480" s="15" t="s">
        <v>4787</v>
      </c>
      <c r="L480" s="60" t="str">
        <f t="shared" si="1"/>
        <v>Not in buy Zone</v>
      </c>
      <c r="M480" s="60" t="str">
        <f t="shared" si="2"/>
        <v>Not in buy Zone</v>
      </c>
      <c r="N480" s="33" t="str">
        <f t="shared" si="3"/>
        <v>No</v>
      </c>
    </row>
    <row r="481">
      <c r="A481" s="1" t="s">
        <v>509</v>
      </c>
      <c r="B481" s="1">
        <v>0.0</v>
      </c>
      <c r="C481" s="1">
        <v>0.0</v>
      </c>
      <c r="D481" s="1">
        <v>298.87</v>
      </c>
      <c r="E481" s="1">
        <v>0.0</v>
      </c>
      <c r="F481" s="54">
        <v>44371.0</v>
      </c>
      <c r="G481" s="1">
        <v>0.0</v>
      </c>
      <c r="H481" s="1">
        <v>300.0</v>
      </c>
      <c r="I481" s="14">
        <v>44393.0</v>
      </c>
      <c r="J481" s="1" t="s">
        <v>4308</v>
      </c>
      <c r="K481" s="15" t="s">
        <v>4788</v>
      </c>
      <c r="L481" s="60" t="str">
        <f t="shared" si="1"/>
        <v>Not in buy Zone</v>
      </c>
      <c r="M481" s="60" t="str">
        <f t="shared" si="2"/>
        <v>Not in buy Zone</v>
      </c>
      <c r="N481" s="33" t="str">
        <f t="shared" si="3"/>
        <v>No</v>
      </c>
    </row>
    <row r="482">
      <c r="A482" s="1" t="s">
        <v>510</v>
      </c>
      <c r="B482" s="1">
        <v>0.0</v>
      </c>
      <c r="C482" s="1">
        <v>0.0</v>
      </c>
      <c r="D482" s="1">
        <v>0.0</v>
      </c>
      <c r="E482" s="1">
        <v>55.41</v>
      </c>
      <c r="F482" s="54">
        <v>44328.0</v>
      </c>
      <c r="G482" s="1">
        <v>0.0</v>
      </c>
      <c r="H482" s="1">
        <v>51.0</v>
      </c>
      <c r="I482" s="14">
        <v>44393.0</v>
      </c>
      <c r="J482" s="1" t="s">
        <v>4308</v>
      </c>
      <c r="K482" s="15" t="s">
        <v>4789</v>
      </c>
      <c r="L482" s="60" t="str">
        <f t="shared" si="1"/>
        <v>Not in buy Zone</v>
      </c>
      <c r="M482" s="60" t="str">
        <f t="shared" si="2"/>
        <v>Not in buy Zone</v>
      </c>
      <c r="N482" s="33" t="str">
        <f t="shared" si="3"/>
        <v>No</v>
      </c>
    </row>
    <row r="483">
      <c r="A483" s="1" t="s">
        <v>511</v>
      </c>
      <c r="B483" s="1">
        <v>0.0</v>
      </c>
      <c r="C483" s="1">
        <v>0.0</v>
      </c>
      <c r="D483" s="1">
        <v>0.0</v>
      </c>
      <c r="E483" s="1">
        <v>75.88</v>
      </c>
      <c r="F483" s="54">
        <v>44385.0</v>
      </c>
      <c r="G483" s="1">
        <v>0.0</v>
      </c>
      <c r="H483" s="1">
        <v>68.73</v>
      </c>
      <c r="I483" s="14">
        <v>44393.0</v>
      </c>
      <c r="J483" s="1" t="s">
        <v>4308</v>
      </c>
      <c r="K483" s="15" t="s">
        <v>4790</v>
      </c>
      <c r="L483" s="60" t="str">
        <f t="shared" si="1"/>
        <v>Not in buy Zone</v>
      </c>
      <c r="M483" s="60" t="str">
        <f t="shared" si="2"/>
        <v>Not in buy Zone</v>
      </c>
      <c r="N483" s="33" t="str">
        <f t="shared" si="3"/>
        <v>No</v>
      </c>
    </row>
    <row r="484">
      <c r="A484" s="1" t="s">
        <v>512</v>
      </c>
      <c r="B484" s="1">
        <v>0.0</v>
      </c>
      <c r="C484" s="1">
        <v>0.0</v>
      </c>
      <c r="D484" s="1">
        <v>138.63</v>
      </c>
      <c r="E484" s="1">
        <v>0.0</v>
      </c>
      <c r="F484" s="54">
        <v>44386.0</v>
      </c>
      <c r="G484" s="1">
        <v>0.0</v>
      </c>
      <c r="H484" s="1">
        <v>134.92</v>
      </c>
      <c r="I484" s="14">
        <v>44393.0</v>
      </c>
      <c r="J484" s="1" t="s">
        <v>4308</v>
      </c>
      <c r="K484" s="15" t="s">
        <v>4791</v>
      </c>
      <c r="L484" s="60" t="str">
        <f t="shared" si="1"/>
        <v>Not in buy Zone</v>
      </c>
      <c r="M484" s="60" t="str">
        <f t="shared" si="2"/>
        <v>Not in buy Zone</v>
      </c>
      <c r="N484" s="33" t="str">
        <f t="shared" si="3"/>
        <v>No</v>
      </c>
    </row>
    <row r="485">
      <c r="A485" s="1" t="s">
        <v>513</v>
      </c>
      <c r="B485" s="1">
        <v>0.0</v>
      </c>
      <c r="C485" s="1">
        <v>0.0</v>
      </c>
      <c r="D485" s="1">
        <v>146.11</v>
      </c>
      <c r="E485" s="1">
        <v>0.0</v>
      </c>
      <c r="F485" s="54">
        <v>44357.0</v>
      </c>
      <c r="G485" s="1">
        <v>0.0</v>
      </c>
      <c r="H485" s="1">
        <v>154.1</v>
      </c>
      <c r="I485" s="14">
        <v>44393.0</v>
      </c>
      <c r="J485" s="1" t="s">
        <v>4308</v>
      </c>
      <c r="K485" s="15" t="s">
        <v>4792</v>
      </c>
      <c r="L485" s="60" t="str">
        <f t="shared" si="1"/>
        <v>Not in buy Zone</v>
      </c>
      <c r="M485" s="60" t="str">
        <f t="shared" si="2"/>
        <v>Not in buy Zone</v>
      </c>
      <c r="N485" s="33" t="str">
        <f t="shared" si="3"/>
        <v>No</v>
      </c>
    </row>
    <row r="486">
      <c r="A486" s="1" t="s">
        <v>514</v>
      </c>
      <c r="B486" s="1">
        <v>0.0</v>
      </c>
      <c r="C486" s="1">
        <v>0.0</v>
      </c>
      <c r="D486" s="1">
        <v>54.82</v>
      </c>
      <c r="E486" s="1">
        <v>0.0</v>
      </c>
      <c r="F486" s="54">
        <v>44365.0</v>
      </c>
      <c r="G486" s="1">
        <v>0.0</v>
      </c>
      <c r="H486" s="1">
        <v>53.59</v>
      </c>
      <c r="I486" s="14">
        <v>44393.0</v>
      </c>
      <c r="J486" s="1" t="s">
        <v>4308</v>
      </c>
      <c r="K486" s="15" t="s">
        <v>4793</v>
      </c>
      <c r="L486" s="60" t="str">
        <f t="shared" si="1"/>
        <v>Not in buy Zone</v>
      </c>
      <c r="M486" s="60" t="str">
        <f t="shared" si="2"/>
        <v>Not in buy Zone</v>
      </c>
      <c r="N486" s="33" t="str">
        <f t="shared" si="3"/>
        <v>No</v>
      </c>
    </row>
    <row r="487">
      <c r="A487" s="1" t="s">
        <v>515</v>
      </c>
      <c r="B487" s="1">
        <v>0.0</v>
      </c>
      <c r="C487" s="1">
        <v>0.0</v>
      </c>
      <c r="D487" s="1">
        <v>125.39</v>
      </c>
      <c r="E487" s="1">
        <v>0.0</v>
      </c>
      <c r="F487" s="54">
        <v>44386.0</v>
      </c>
      <c r="G487" s="1">
        <v>0.0</v>
      </c>
      <c r="H487" s="1">
        <v>127.28</v>
      </c>
      <c r="I487" s="14">
        <v>44393.0</v>
      </c>
      <c r="J487" s="1" t="s">
        <v>4308</v>
      </c>
      <c r="K487" s="15" t="s">
        <v>4794</v>
      </c>
      <c r="L487" s="60" t="str">
        <f t="shared" si="1"/>
        <v>Not in buy Zone</v>
      </c>
      <c r="M487" s="60" t="str">
        <f t="shared" si="2"/>
        <v>Not in buy Zone</v>
      </c>
      <c r="N487" s="33" t="str">
        <f t="shared" si="3"/>
        <v>No</v>
      </c>
    </row>
    <row r="488">
      <c r="A488" s="1" t="s">
        <v>516</v>
      </c>
      <c r="B488" s="1">
        <v>0.0</v>
      </c>
      <c r="C488" s="1">
        <v>0.0</v>
      </c>
      <c r="D488" s="1">
        <v>0.0</v>
      </c>
      <c r="E488" s="1">
        <v>30.17</v>
      </c>
      <c r="F488" s="54">
        <v>44384.0</v>
      </c>
      <c r="G488" s="1">
        <v>0.0</v>
      </c>
      <c r="H488" s="1">
        <v>26.01</v>
      </c>
      <c r="I488" s="14">
        <v>44393.0</v>
      </c>
      <c r="J488" s="1" t="s">
        <v>4308</v>
      </c>
      <c r="K488" s="15" t="s">
        <v>4795</v>
      </c>
      <c r="L488" s="60" t="str">
        <f t="shared" si="1"/>
        <v>Not in buy Zone</v>
      </c>
      <c r="M488" s="60" t="str">
        <f t="shared" si="2"/>
        <v>Not in buy Zone</v>
      </c>
      <c r="N488" s="33" t="str">
        <f t="shared" si="3"/>
        <v>No</v>
      </c>
    </row>
    <row r="489">
      <c r="A489" s="1" t="s">
        <v>517</v>
      </c>
      <c r="B489" s="1">
        <v>0.0</v>
      </c>
      <c r="C489" s="1">
        <v>0.0</v>
      </c>
      <c r="D489" s="1">
        <v>0.0</v>
      </c>
      <c r="E489" s="1">
        <v>97.71</v>
      </c>
      <c r="F489" s="54">
        <v>44390.0</v>
      </c>
      <c r="G489" s="1">
        <v>0.0</v>
      </c>
      <c r="H489" s="1">
        <v>98.9</v>
      </c>
      <c r="I489" s="14">
        <v>44393.0</v>
      </c>
      <c r="J489" s="1" t="s">
        <v>4308</v>
      </c>
      <c r="K489" s="15" t="s">
        <v>4796</v>
      </c>
      <c r="L489" s="60" t="str">
        <f t="shared" si="1"/>
        <v>Not in buy Zone</v>
      </c>
      <c r="M489" s="60" t="str">
        <f t="shared" si="2"/>
        <v>Not in buy Zone</v>
      </c>
      <c r="N489" s="33" t="str">
        <f t="shared" si="3"/>
        <v>No</v>
      </c>
    </row>
    <row r="490">
      <c r="A490" s="1" t="s">
        <v>518</v>
      </c>
      <c r="B490" s="1">
        <v>0.0</v>
      </c>
      <c r="C490" s="1">
        <v>0.0</v>
      </c>
      <c r="D490" s="1">
        <v>191.91</v>
      </c>
      <c r="E490" s="1">
        <v>0.0</v>
      </c>
      <c r="F490" s="54">
        <v>44389.0</v>
      </c>
      <c r="G490" s="1">
        <v>0.0</v>
      </c>
      <c r="H490" s="1">
        <v>183.43</v>
      </c>
      <c r="I490" s="14">
        <v>44393.0</v>
      </c>
      <c r="J490" s="1" t="s">
        <v>4308</v>
      </c>
      <c r="K490" s="15" t="s">
        <v>4797</v>
      </c>
      <c r="L490" s="60" t="str">
        <f t="shared" si="1"/>
        <v>Not in buy Zone</v>
      </c>
      <c r="M490" s="60" t="str">
        <f t="shared" si="2"/>
        <v>Not in buy Zone</v>
      </c>
      <c r="N490" s="33" t="str">
        <f t="shared" si="3"/>
        <v>No</v>
      </c>
    </row>
    <row r="491">
      <c r="A491" s="1" t="s">
        <v>519</v>
      </c>
      <c r="B491" s="1">
        <v>0.0</v>
      </c>
      <c r="C491" s="1">
        <v>0.0</v>
      </c>
      <c r="D491" s="1">
        <v>66.73</v>
      </c>
      <c r="E491" s="1">
        <v>0.0</v>
      </c>
      <c r="F491" s="54">
        <v>44372.0</v>
      </c>
      <c r="G491" s="1">
        <v>0.0</v>
      </c>
      <c r="H491" s="1">
        <v>69.09</v>
      </c>
      <c r="I491" s="14">
        <v>44393.0</v>
      </c>
      <c r="J491" s="1" t="s">
        <v>4308</v>
      </c>
      <c r="K491" s="15" t="s">
        <v>4798</v>
      </c>
      <c r="L491" s="60" t="str">
        <f t="shared" si="1"/>
        <v>Not in buy Zone</v>
      </c>
      <c r="M491" s="60" t="str">
        <f t="shared" si="2"/>
        <v>Not in buy Zone</v>
      </c>
      <c r="N491" s="33" t="str">
        <f t="shared" si="3"/>
        <v>No</v>
      </c>
    </row>
    <row r="492">
      <c r="A492" s="1" t="s">
        <v>520</v>
      </c>
      <c r="B492" s="1">
        <v>0.0</v>
      </c>
      <c r="C492" s="1">
        <v>0.0</v>
      </c>
      <c r="D492" s="1">
        <v>84.5</v>
      </c>
      <c r="E492" s="1">
        <v>0.0</v>
      </c>
      <c r="F492" s="54">
        <v>44392.0</v>
      </c>
      <c r="G492" s="1">
        <v>0.0</v>
      </c>
      <c r="H492" s="1">
        <v>86.39</v>
      </c>
      <c r="I492" s="14">
        <v>44393.0</v>
      </c>
      <c r="J492" s="1" t="s">
        <v>4308</v>
      </c>
      <c r="K492" s="15" t="s">
        <v>4799</v>
      </c>
      <c r="L492" s="60" t="str">
        <f t="shared" si="1"/>
        <v>Not in buy Zone</v>
      </c>
      <c r="M492" s="60" t="str">
        <f t="shared" si="2"/>
        <v>Not in buy Zone</v>
      </c>
      <c r="N492" s="33" t="str">
        <f t="shared" si="3"/>
        <v>No</v>
      </c>
    </row>
    <row r="493">
      <c r="A493" s="1" t="s">
        <v>521</v>
      </c>
      <c r="B493" s="1">
        <v>0.0</v>
      </c>
      <c r="C493" s="1">
        <v>0.0</v>
      </c>
      <c r="D493" s="1">
        <v>452.9</v>
      </c>
      <c r="E493" s="1">
        <v>0.0</v>
      </c>
      <c r="F493" s="54">
        <v>44368.0</v>
      </c>
      <c r="G493" s="1">
        <v>0.0</v>
      </c>
      <c r="H493" s="1">
        <v>458.89</v>
      </c>
      <c r="I493" s="14">
        <v>44393.0</v>
      </c>
      <c r="J493" s="1" t="s">
        <v>4308</v>
      </c>
      <c r="K493" s="15" t="s">
        <v>4800</v>
      </c>
      <c r="L493" s="60" t="str">
        <f t="shared" si="1"/>
        <v>Not in buy Zone</v>
      </c>
      <c r="M493" s="60" t="str">
        <f t="shared" si="2"/>
        <v>Not in buy Zone</v>
      </c>
      <c r="N493" s="33" t="str">
        <f t="shared" si="3"/>
        <v>No</v>
      </c>
    </row>
    <row r="494">
      <c r="A494" s="1" t="s">
        <v>522</v>
      </c>
      <c r="B494" s="1">
        <v>0.0</v>
      </c>
      <c r="C494" s="1">
        <v>0.0</v>
      </c>
      <c r="D494" s="1">
        <v>0.0</v>
      </c>
      <c r="E494" s="1">
        <v>175.38</v>
      </c>
      <c r="F494" s="54">
        <v>44361.0</v>
      </c>
      <c r="G494" s="1">
        <v>0.0</v>
      </c>
      <c r="H494" s="1">
        <v>170.2</v>
      </c>
      <c r="I494" s="14">
        <v>44393.0</v>
      </c>
      <c r="J494" s="1" t="s">
        <v>4308</v>
      </c>
      <c r="K494" s="15" t="s">
        <v>4801</v>
      </c>
      <c r="L494" s="60" t="str">
        <f t="shared" si="1"/>
        <v>Not in buy Zone</v>
      </c>
      <c r="M494" s="60" t="str">
        <f t="shared" si="2"/>
        <v>Not in buy Zone</v>
      </c>
      <c r="N494" s="33" t="str">
        <f t="shared" si="3"/>
        <v>No</v>
      </c>
    </row>
    <row r="495">
      <c r="A495" s="1" t="s">
        <v>523</v>
      </c>
      <c r="B495" s="1">
        <v>0.0</v>
      </c>
      <c r="C495" s="1">
        <v>0.0</v>
      </c>
      <c r="D495" s="1">
        <v>0.0</v>
      </c>
      <c r="E495" s="1">
        <v>28.6</v>
      </c>
      <c r="F495" s="54">
        <v>44328.0</v>
      </c>
      <c r="G495" s="1">
        <v>0.0</v>
      </c>
      <c r="H495" s="1">
        <v>28.59</v>
      </c>
      <c r="I495" s="14">
        <v>44393.0</v>
      </c>
      <c r="J495" s="1" t="s">
        <v>4308</v>
      </c>
      <c r="K495" s="15" t="s">
        <v>4802</v>
      </c>
      <c r="L495" s="60" t="str">
        <f t="shared" si="1"/>
        <v>Not in buy Zone</v>
      </c>
      <c r="M495" s="60" t="str">
        <f t="shared" si="2"/>
        <v>Not in buy Zone</v>
      </c>
      <c r="N495" s="33" t="str">
        <f t="shared" si="3"/>
        <v>No</v>
      </c>
    </row>
    <row r="496">
      <c r="A496" s="1" t="s">
        <v>524</v>
      </c>
      <c r="B496" s="1">
        <v>0.0</v>
      </c>
      <c r="C496" s="1">
        <v>0.0</v>
      </c>
      <c r="D496" s="1">
        <v>0.0</v>
      </c>
      <c r="E496" s="1">
        <v>46.03</v>
      </c>
      <c r="F496" s="54">
        <v>44370.0</v>
      </c>
      <c r="G496" s="1">
        <v>0.0</v>
      </c>
      <c r="H496" s="1">
        <v>45.72</v>
      </c>
      <c r="I496" s="14">
        <v>44393.0</v>
      </c>
      <c r="J496" s="1" t="s">
        <v>4308</v>
      </c>
      <c r="K496" s="15" t="s">
        <v>4803</v>
      </c>
      <c r="L496" s="60" t="str">
        <f t="shared" si="1"/>
        <v>Not in buy Zone</v>
      </c>
      <c r="M496" s="60" t="str">
        <f t="shared" si="2"/>
        <v>Not in buy Zone</v>
      </c>
      <c r="N496" s="33" t="str">
        <f t="shared" si="3"/>
        <v>No</v>
      </c>
    </row>
    <row r="497">
      <c r="A497" s="1" t="s">
        <v>525</v>
      </c>
      <c r="B497" s="1">
        <v>0.0</v>
      </c>
      <c r="C497" s="1">
        <v>0.0</v>
      </c>
      <c r="D497" s="1">
        <v>18.89</v>
      </c>
      <c r="E497" s="1">
        <v>0.0</v>
      </c>
      <c r="F497" s="54">
        <v>44138.0</v>
      </c>
      <c r="G497" s="1">
        <v>0.0</v>
      </c>
      <c r="H497" s="1">
        <v>29.34</v>
      </c>
      <c r="I497" s="14">
        <v>44322.0</v>
      </c>
      <c r="J497" s="1" t="s">
        <v>4308</v>
      </c>
      <c r="K497" s="15" t="s">
        <v>4804</v>
      </c>
      <c r="L497" s="60" t="str">
        <f t="shared" si="1"/>
        <v>Not in buy Zone</v>
      </c>
      <c r="M497" s="60" t="str">
        <f t="shared" si="2"/>
        <v>Not in buy Zone</v>
      </c>
      <c r="N497" s="33" t="str">
        <f t="shared" si="3"/>
        <v>No</v>
      </c>
    </row>
    <row r="498">
      <c r="A498" s="1" t="s">
        <v>526</v>
      </c>
      <c r="B498" s="1">
        <v>0.0</v>
      </c>
      <c r="C498" s="1">
        <v>0.0</v>
      </c>
      <c r="D498" s="1">
        <v>0.0</v>
      </c>
      <c r="E498" s="1">
        <v>97.15</v>
      </c>
      <c r="F498" s="54">
        <v>44385.0</v>
      </c>
      <c r="G498" s="1">
        <v>0.0</v>
      </c>
      <c r="H498" s="1">
        <v>98.73</v>
      </c>
      <c r="I498" s="14">
        <v>44393.0</v>
      </c>
      <c r="J498" s="1" t="s">
        <v>4308</v>
      </c>
      <c r="K498" s="15" t="s">
        <v>4805</v>
      </c>
      <c r="L498" s="60" t="str">
        <f t="shared" si="1"/>
        <v>Not in buy Zone</v>
      </c>
      <c r="M498" s="60" t="str">
        <f t="shared" si="2"/>
        <v>Not in buy Zone</v>
      </c>
      <c r="N498" s="33" t="str">
        <f t="shared" si="3"/>
        <v>No</v>
      </c>
    </row>
    <row r="499">
      <c r="A499" s="1" t="s">
        <v>527</v>
      </c>
      <c r="B499" s="1">
        <v>0.0</v>
      </c>
      <c r="C499" s="1">
        <v>0.0</v>
      </c>
      <c r="D499" s="1">
        <v>282.48</v>
      </c>
      <c r="E499" s="1">
        <v>0.0</v>
      </c>
      <c r="F499" s="54">
        <v>44344.0</v>
      </c>
      <c r="G499" s="1">
        <v>0.0</v>
      </c>
      <c r="H499" s="1">
        <v>313.94</v>
      </c>
      <c r="I499" s="14">
        <v>44393.0</v>
      </c>
      <c r="J499" s="1" t="s">
        <v>4308</v>
      </c>
      <c r="K499" s="15" t="s">
        <v>4806</v>
      </c>
      <c r="L499" s="60" t="str">
        <f t="shared" si="1"/>
        <v>Not in buy Zone</v>
      </c>
      <c r="M499" s="60" t="str">
        <f t="shared" si="2"/>
        <v>Not in buy Zone</v>
      </c>
      <c r="N499" s="33" t="str">
        <f t="shared" si="3"/>
        <v>No</v>
      </c>
    </row>
    <row r="500">
      <c r="A500" s="1" t="s">
        <v>528</v>
      </c>
      <c r="B500" s="1">
        <v>0.0</v>
      </c>
      <c r="C500" s="1">
        <v>0.0</v>
      </c>
      <c r="D500" s="1">
        <v>0.0</v>
      </c>
      <c r="E500" s="1">
        <v>86.66</v>
      </c>
      <c r="F500" s="54">
        <v>44364.0</v>
      </c>
      <c r="G500" s="1">
        <v>0.0</v>
      </c>
      <c r="H500" s="1">
        <v>74.48</v>
      </c>
      <c r="I500" s="14">
        <v>44393.0</v>
      </c>
      <c r="J500" s="1" t="s">
        <v>4308</v>
      </c>
      <c r="K500" s="15" t="s">
        <v>4807</v>
      </c>
      <c r="L500" s="60" t="str">
        <f t="shared" si="1"/>
        <v>Not in buy Zone</v>
      </c>
      <c r="M500" s="60" t="str">
        <f t="shared" si="2"/>
        <v>Not in buy Zone</v>
      </c>
      <c r="N500" s="33" t="str">
        <f t="shared" si="3"/>
        <v>No</v>
      </c>
    </row>
    <row r="501">
      <c r="A501" s="1" t="s">
        <v>529</v>
      </c>
      <c r="B501" s="1">
        <v>0.0</v>
      </c>
      <c r="C501" s="1">
        <v>0.0</v>
      </c>
      <c r="D501" s="1">
        <v>134.14</v>
      </c>
      <c r="E501" s="1">
        <v>0.0</v>
      </c>
      <c r="F501" s="54">
        <v>44344.0</v>
      </c>
      <c r="G501" s="1">
        <v>0.0</v>
      </c>
      <c r="H501" s="1">
        <v>140.2</v>
      </c>
      <c r="I501" s="14">
        <v>44393.0</v>
      </c>
      <c r="J501" s="1" t="s">
        <v>4308</v>
      </c>
      <c r="K501" s="15" t="s">
        <v>4808</v>
      </c>
      <c r="L501" s="60" t="str">
        <f t="shared" si="1"/>
        <v>Not in buy Zone</v>
      </c>
      <c r="M501" s="60" t="str">
        <f t="shared" si="2"/>
        <v>Not in buy Zone</v>
      </c>
      <c r="N501" s="33" t="str">
        <f t="shared" si="3"/>
        <v>No</v>
      </c>
    </row>
    <row r="502">
      <c r="A502" s="1" t="s">
        <v>530</v>
      </c>
      <c r="B502" s="1">
        <v>0.0</v>
      </c>
      <c r="C502" s="1">
        <v>0.0</v>
      </c>
      <c r="D502" s="1">
        <v>0.0</v>
      </c>
      <c r="E502" s="1">
        <v>113.36</v>
      </c>
      <c r="F502" s="54">
        <v>44391.0</v>
      </c>
      <c r="G502" s="1">
        <v>0.0</v>
      </c>
      <c r="H502" s="1">
        <v>110.54</v>
      </c>
      <c r="I502" s="14">
        <v>44393.0</v>
      </c>
      <c r="J502" s="1" t="s">
        <v>4308</v>
      </c>
      <c r="K502" s="15" t="s">
        <v>4809</v>
      </c>
      <c r="L502" s="60" t="str">
        <f t="shared" si="1"/>
        <v>Not in buy Zone</v>
      </c>
      <c r="M502" s="60" t="str">
        <f t="shared" si="2"/>
        <v>Not in buy Zone</v>
      </c>
      <c r="N502" s="33" t="str">
        <f t="shared" si="3"/>
        <v>No</v>
      </c>
    </row>
    <row r="503">
      <c r="A503" s="1" t="s">
        <v>531</v>
      </c>
      <c r="B503" s="1">
        <v>0.0</v>
      </c>
      <c r="C503" s="1">
        <v>0.0</v>
      </c>
      <c r="D503" s="1">
        <v>0.0</v>
      </c>
      <c r="E503" s="1">
        <v>105.24</v>
      </c>
      <c r="F503" s="54">
        <v>44364.0</v>
      </c>
      <c r="G503" s="1">
        <v>0.0</v>
      </c>
      <c r="H503" s="1">
        <v>98.0</v>
      </c>
      <c r="I503" s="14">
        <v>44393.0</v>
      </c>
      <c r="J503" s="1" t="s">
        <v>4308</v>
      </c>
      <c r="K503" s="15" t="s">
        <v>4810</v>
      </c>
      <c r="L503" s="60" t="str">
        <f t="shared" si="1"/>
        <v>Not in buy Zone</v>
      </c>
      <c r="M503" s="60" t="str">
        <f t="shared" si="2"/>
        <v>Not in buy Zone</v>
      </c>
      <c r="N503" s="33" t="str">
        <f t="shared" si="3"/>
        <v>No</v>
      </c>
    </row>
    <row r="504">
      <c r="A504" s="1" t="s">
        <v>532</v>
      </c>
      <c r="B504" s="1">
        <v>0.0</v>
      </c>
      <c r="C504" s="1">
        <v>0.0</v>
      </c>
      <c r="D504" s="1">
        <v>0.0</v>
      </c>
      <c r="E504" s="1">
        <v>87.99</v>
      </c>
      <c r="F504" s="54">
        <v>44383.0</v>
      </c>
      <c r="G504" s="1">
        <v>0.0</v>
      </c>
      <c r="H504" s="1">
        <v>87.94</v>
      </c>
      <c r="I504" s="14">
        <v>44393.0</v>
      </c>
      <c r="J504" s="1" t="s">
        <v>4308</v>
      </c>
      <c r="K504" s="15" t="s">
        <v>4811</v>
      </c>
      <c r="L504" s="60" t="str">
        <f t="shared" si="1"/>
        <v>Not in buy Zone</v>
      </c>
      <c r="M504" s="60" t="str">
        <f t="shared" si="2"/>
        <v>Not in buy Zone</v>
      </c>
      <c r="N504" s="33" t="str">
        <f t="shared" si="3"/>
        <v>No</v>
      </c>
    </row>
    <row r="505">
      <c r="A505" s="1" t="s">
        <v>533</v>
      </c>
      <c r="B505" s="1">
        <v>0.0</v>
      </c>
      <c r="C505" s="1">
        <v>0.0</v>
      </c>
      <c r="D505" s="1">
        <v>0.0</v>
      </c>
      <c r="E505" s="1">
        <v>157.19</v>
      </c>
      <c r="F505" s="54">
        <v>44384.0</v>
      </c>
      <c r="G505" s="1">
        <v>0.0</v>
      </c>
      <c r="H505" s="1">
        <v>140.94</v>
      </c>
      <c r="I505" s="14">
        <v>44393.0</v>
      </c>
      <c r="J505" s="1" t="s">
        <v>4308</v>
      </c>
      <c r="K505" s="15" t="s">
        <v>4812</v>
      </c>
      <c r="L505" s="60" t="str">
        <f t="shared" si="1"/>
        <v>Not in buy Zone</v>
      </c>
      <c r="M505" s="60" t="str">
        <f t="shared" si="2"/>
        <v>Not in buy Zone</v>
      </c>
      <c r="N505" s="33" t="str">
        <f t="shared" si="3"/>
        <v>No</v>
      </c>
    </row>
    <row r="506">
      <c r="A506" s="1" t="s">
        <v>534</v>
      </c>
      <c r="B506" s="1">
        <v>0.0</v>
      </c>
      <c r="C506" s="1">
        <v>0.0</v>
      </c>
      <c r="D506" s="1">
        <v>258.65</v>
      </c>
      <c r="E506" s="1">
        <v>0.0</v>
      </c>
      <c r="F506" s="54">
        <v>44341.0</v>
      </c>
      <c r="G506" s="1">
        <v>0.0</v>
      </c>
      <c r="H506" s="1">
        <v>294.63</v>
      </c>
      <c r="I506" s="14">
        <v>44393.0</v>
      </c>
      <c r="J506" s="1" t="s">
        <v>4308</v>
      </c>
      <c r="K506" s="15" t="s">
        <v>4813</v>
      </c>
      <c r="L506" s="60" t="str">
        <f t="shared" si="1"/>
        <v>Not in buy Zone</v>
      </c>
      <c r="M506" s="60" t="str">
        <f t="shared" si="2"/>
        <v>Not in buy Zone</v>
      </c>
      <c r="N506" s="33" t="str">
        <f t="shared" si="3"/>
        <v>No</v>
      </c>
    </row>
    <row r="507">
      <c r="A507" s="1" t="s">
        <v>535</v>
      </c>
      <c r="B507" s="1">
        <v>0.0</v>
      </c>
      <c r="C507" s="1">
        <v>0.0</v>
      </c>
      <c r="D507" s="1">
        <v>134.54</v>
      </c>
      <c r="E507" s="1">
        <v>0.0</v>
      </c>
      <c r="F507" s="54">
        <v>44344.0</v>
      </c>
      <c r="G507" s="1">
        <v>0.0</v>
      </c>
      <c r="H507" s="1">
        <v>139.71</v>
      </c>
      <c r="I507" s="14">
        <v>44393.0</v>
      </c>
      <c r="J507" s="1" t="s">
        <v>4308</v>
      </c>
      <c r="K507" s="15" t="s">
        <v>4814</v>
      </c>
      <c r="L507" s="60" t="str">
        <f t="shared" si="1"/>
        <v>Not in buy Zone</v>
      </c>
      <c r="M507" s="60" t="str">
        <f t="shared" si="2"/>
        <v>Not in buy Zone</v>
      </c>
      <c r="N507" s="33" t="str">
        <f t="shared" si="3"/>
        <v>No</v>
      </c>
    </row>
    <row r="508">
      <c r="A508" s="1" t="s">
        <v>536</v>
      </c>
      <c r="B508" s="1">
        <v>0.0</v>
      </c>
      <c r="C508" s="1">
        <v>0.0</v>
      </c>
      <c r="D508" s="1">
        <v>63.215</v>
      </c>
      <c r="E508" s="1">
        <v>0.0</v>
      </c>
      <c r="F508" s="54">
        <v>44340.0</v>
      </c>
      <c r="G508" s="1">
        <v>0.0</v>
      </c>
      <c r="H508" s="1">
        <v>73.0</v>
      </c>
      <c r="I508" s="14">
        <v>44393.0</v>
      </c>
      <c r="J508" s="1" t="s">
        <v>4308</v>
      </c>
      <c r="K508" s="15" t="s">
        <v>4815</v>
      </c>
      <c r="L508" s="60" t="str">
        <f t="shared" si="1"/>
        <v>Not in buy Zone</v>
      </c>
      <c r="M508" s="60" t="str">
        <f t="shared" si="2"/>
        <v>Not in buy Zone</v>
      </c>
      <c r="N508" s="33" t="str">
        <f t="shared" si="3"/>
        <v>No</v>
      </c>
    </row>
    <row r="509">
      <c r="A509" s="1" t="s">
        <v>537</v>
      </c>
      <c r="B509" s="1">
        <v>0.0</v>
      </c>
      <c r="C509" s="1">
        <v>0.0</v>
      </c>
      <c r="D509" s="1">
        <v>332.51</v>
      </c>
      <c r="E509" s="1">
        <v>0.0</v>
      </c>
      <c r="F509" s="54">
        <v>44340.0</v>
      </c>
      <c r="G509" s="1">
        <v>0.0</v>
      </c>
      <c r="H509" s="1">
        <v>357.6</v>
      </c>
      <c r="I509" s="14">
        <v>44393.0</v>
      </c>
      <c r="J509" s="1" t="s">
        <v>4308</v>
      </c>
      <c r="K509" s="15" t="s">
        <v>4816</v>
      </c>
      <c r="L509" s="60" t="str">
        <f t="shared" si="1"/>
        <v>Not in buy Zone</v>
      </c>
      <c r="M509" s="60" t="str">
        <f t="shared" si="2"/>
        <v>Not in buy Zone</v>
      </c>
      <c r="N509" s="33" t="str">
        <f t="shared" si="3"/>
        <v>No</v>
      </c>
    </row>
    <row r="510">
      <c r="A510" s="1" t="s">
        <v>538</v>
      </c>
      <c r="B510" s="1">
        <v>0.0</v>
      </c>
      <c r="C510" s="1">
        <v>0.0</v>
      </c>
      <c r="D510" s="1">
        <v>187.33</v>
      </c>
      <c r="E510" s="1">
        <v>0.0</v>
      </c>
      <c r="F510" s="54">
        <v>44375.0</v>
      </c>
      <c r="G510" s="1">
        <v>0.0</v>
      </c>
      <c r="H510" s="1">
        <v>187.68</v>
      </c>
      <c r="I510" s="14">
        <v>44393.0</v>
      </c>
      <c r="J510" s="1" t="s">
        <v>4308</v>
      </c>
      <c r="K510" s="15" t="s">
        <v>4817</v>
      </c>
      <c r="L510" s="60" t="str">
        <f t="shared" si="1"/>
        <v>Not in buy Zone</v>
      </c>
      <c r="M510" s="60" t="str">
        <f t="shared" si="2"/>
        <v>Not in buy Zone</v>
      </c>
      <c r="N510" s="33" t="str">
        <f t="shared" si="3"/>
        <v>No</v>
      </c>
    </row>
    <row r="511">
      <c r="A511" s="1" t="s">
        <v>539</v>
      </c>
      <c r="B511" s="1">
        <v>0.0</v>
      </c>
      <c r="C511" s="1">
        <v>0.0</v>
      </c>
      <c r="D511" s="1">
        <v>0.0</v>
      </c>
      <c r="E511" s="1">
        <v>87.95</v>
      </c>
      <c r="F511" s="54">
        <v>44361.0</v>
      </c>
      <c r="G511" s="1">
        <v>0.0</v>
      </c>
      <c r="H511" s="1">
        <v>72.39</v>
      </c>
      <c r="I511" s="14">
        <v>44393.0</v>
      </c>
      <c r="J511" s="1" t="s">
        <v>4308</v>
      </c>
      <c r="K511" s="15" t="s">
        <v>4818</v>
      </c>
      <c r="L511" s="60" t="str">
        <f t="shared" si="1"/>
        <v>Not in buy Zone</v>
      </c>
      <c r="M511" s="60" t="str">
        <f t="shared" si="2"/>
        <v>Not in buy Zone</v>
      </c>
      <c r="N511" s="33" t="str">
        <f t="shared" si="3"/>
        <v>No</v>
      </c>
    </row>
    <row r="512">
      <c r="A512" s="1" t="s">
        <v>540</v>
      </c>
      <c r="B512" s="1">
        <v>0.0</v>
      </c>
      <c r="C512" s="1">
        <v>0.0</v>
      </c>
      <c r="D512" s="1">
        <v>0.0</v>
      </c>
      <c r="E512" s="1">
        <v>242.99</v>
      </c>
      <c r="F512" s="54">
        <v>44385.0</v>
      </c>
      <c r="G512" s="1">
        <v>0.0</v>
      </c>
      <c r="H512" s="1">
        <v>246.78</v>
      </c>
      <c r="I512" s="14">
        <v>44393.0</v>
      </c>
      <c r="J512" s="1" t="s">
        <v>4308</v>
      </c>
      <c r="K512" s="15" t="s">
        <v>4819</v>
      </c>
      <c r="L512" s="60" t="str">
        <f t="shared" si="1"/>
        <v>Not in buy Zone</v>
      </c>
      <c r="M512" s="60" t="str">
        <f t="shared" si="2"/>
        <v>Not in buy Zone</v>
      </c>
      <c r="N512" s="33" t="str">
        <f t="shared" si="3"/>
        <v>No</v>
      </c>
    </row>
    <row r="513">
      <c r="A513" s="1" t="s">
        <v>541</v>
      </c>
      <c r="B513" s="1">
        <v>0.0</v>
      </c>
      <c r="C513" s="1">
        <v>0.0</v>
      </c>
      <c r="D513" s="1">
        <v>66.19</v>
      </c>
      <c r="E513" s="1">
        <v>0.0</v>
      </c>
      <c r="F513" s="54">
        <v>44389.0</v>
      </c>
      <c r="G513" s="1">
        <v>0.0</v>
      </c>
      <c r="H513" s="1">
        <v>64.7</v>
      </c>
      <c r="I513" s="14">
        <v>44393.0</v>
      </c>
      <c r="J513" s="1" t="s">
        <v>4308</v>
      </c>
      <c r="K513" s="15" t="s">
        <v>4820</v>
      </c>
      <c r="L513" s="60" t="str">
        <f t="shared" si="1"/>
        <v>Not in buy Zone</v>
      </c>
      <c r="M513" s="60" t="str">
        <f t="shared" si="2"/>
        <v>Not in buy Zone</v>
      </c>
      <c r="N513" s="33" t="str">
        <f t="shared" si="3"/>
        <v>No</v>
      </c>
    </row>
    <row r="514">
      <c r="A514" s="1" t="s">
        <v>542</v>
      </c>
      <c r="B514" s="1">
        <v>0.0</v>
      </c>
      <c r="C514" s="1">
        <v>0.0</v>
      </c>
      <c r="D514" s="1">
        <v>521.85</v>
      </c>
      <c r="E514" s="1">
        <v>0.0</v>
      </c>
      <c r="F514" s="54">
        <v>44356.0</v>
      </c>
      <c r="G514" s="1">
        <v>0.0</v>
      </c>
      <c r="H514" s="1">
        <v>583.24</v>
      </c>
      <c r="I514" s="14">
        <v>44393.0</v>
      </c>
      <c r="J514" s="1" t="s">
        <v>4308</v>
      </c>
      <c r="K514" s="15" t="s">
        <v>4821</v>
      </c>
      <c r="L514" s="60" t="str">
        <f t="shared" si="1"/>
        <v>Not in buy Zone</v>
      </c>
      <c r="M514" s="60" t="str">
        <f t="shared" si="2"/>
        <v>Not in buy Zone</v>
      </c>
      <c r="N514" s="33" t="str">
        <f t="shared" si="3"/>
        <v>No</v>
      </c>
    </row>
    <row r="515">
      <c r="A515" s="1" t="s">
        <v>543</v>
      </c>
      <c r="B515" s="1">
        <v>0.0</v>
      </c>
      <c r="C515" s="1">
        <v>0.0</v>
      </c>
      <c r="D515" s="1">
        <v>0.0</v>
      </c>
      <c r="E515" s="1">
        <v>22.34</v>
      </c>
      <c r="F515" s="54">
        <v>44355.0</v>
      </c>
      <c r="G515" s="1">
        <v>0.0</v>
      </c>
      <c r="H515" s="1">
        <v>19.01</v>
      </c>
      <c r="I515" s="14">
        <v>44393.0</v>
      </c>
      <c r="J515" s="1" t="s">
        <v>4308</v>
      </c>
      <c r="K515" s="15" t="s">
        <v>4822</v>
      </c>
      <c r="L515" s="60" t="str">
        <f t="shared" si="1"/>
        <v>Not in buy Zone</v>
      </c>
      <c r="M515" s="60" t="str">
        <f t="shared" si="2"/>
        <v>Not in buy Zone</v>
      </c>
      <c r="N515" s="33" t="str">
        <f t="shared" si="3"/>
        <v>No</v>
      </c>
    </row>
    <row r="516">
      <c r="A516" s="1" t="s">
        <v>544</v>
      </c>
      <c r="B516" s="1">
        <v>0.0</v>
      </c>
      <c r="C516" s="1">
        <v>0.0</v>
      </c>
      <c r="D516" s="1">
        <v>0.0</v>
      </c>
      <c r="E516" s="1">
        <v>87.84</v>
      </c>
      <c r="F516" s="54">
        <v>44364.0</v>
      </c>
      <c r="G516" s="1">
        <v>0.0</v>
      </c>
      <c r="H516" s="1">
        <v>85.98</v>
      </c>
      <c r="I516" s="14">
        <v>44393.0</v>
      </c>
      <c r="J516" s="1" t="s">
        <v>4308</v>
      </c>
      <c r="K516" s="15" t="s">
        <v>4823</v>
      </c>
      <c r="L516" s="60" t="str">
        <f t="shared" si="1"/>
        <v>Not in buy Zone</v>
      </c>
      <c r="M516" s="60" t="str">
        <f t="shared" si="2"/>
        <v>Not in buy Zone</v>
      </c>
      <c r="N516" s="33" t="str">
        <f t="shared" si="3"/>
        <v>No</v>
      </c>
    </row>
    <row r="517">
      <c r="A517" s="1" t="s">
        <v>545</v>
      </c>
      <c r="B517" s="1">
        <v>0.0</v>
      </c>
      <c r="C517" s="1">
        <v>0.0</v>
      </c>
      <c r="D517" s="1">
        <v>0.0</v>
      </c>
      <c r="E517" s="1">
        <v>31.4</v>
      </c>
      <c r="F517" s="54">
        <v>44389.0</v>
      </c>
      <c r="G517" s="1">
        <v>0.0</v>
      </c>
      <c r="H517" s="1">
        <v>27.28</v>
      </c>
      <c r="I517" s="14">
        <v>44393.0</v>
      </c>
      <c r="J517" s="1" t="s">
        <v>4308</v>
      </c>
      <c r="K517" s="15" t="s">
        <v>4824</v>
      </c>
      <c r="L517" s="60" t="str">
        <f t="shared" si="1"/>
        <v>Not in buy Zone</v>
      </c>
      <c r="M517" s="60" t="str">
        <f t="shared" si="2"/>
        <v>Not in buy Zone</v>
      </c>
      <c r="N517" s="33" t="str">
        <f t="shared" si="3"/>
        <v>No</v>
      </c>
    </row>
    <row r="518">
      <c r="A518" s="1" t="s">
        <v>546</v>
      </c>
      <c r="B518" s="1">
        <v>0.0</v>
      </c>
      <c r="C518" s="1">
        <v>0.0</v>
      </c>
      <c r="D518" s="1">
        <v>131.52</v>
      </c>
      <c r="E518" s="1">
        <v>0.0</v>
      </c>
      <c r="F518" s="54">
        <v>44371.0</v>
      </c>
      <c r="G518" s="1">
        <v>0.0</v>
      </c>
      <c r="H518" s="1">
        <v>128.65</v>
      </c>
      <c r="I518" s="14">
        <v>44393.0</v>
      </c>
      <c r="J518" s="1" t="s">
        <v>4308</v>
      </c>
      <c r="K518" s="15" t="s">
        <v>4825</v>
      </c>
      <c r="L518" s="60" t="str">
        <f t="shared" si="1"/>
        <v>Not in buy Zone</v>
      </c>
      <c r="M518" s="60" t="str">
        <f t="shared" si="2"/>
        <v>Not in buy Zone</v>
      </c>
      <c r="N518" s="33" t="str">
        <f t="shared" si="3"/>
        <v>No</v>
      </c>
    </row>
    <row r="519">
      <c r="A519" s="1" t="s">
        <v>547</v>
      </c>
      <c r="B519" s="1">
        <v>0.0</v>
      </c>
      <c r="C519" s="1">
        <v>0.0</v>
      </c>
      <c r="D519" s="1">
        <v>0.0</v>
      </c>
      <c r="E519" s="1">
        <v>128.04</v>
      </c>
      <c r="F519" s="54">
        <v>44328.0</v>
      </c>
      <c r="G519" s="1">
        <v>0.0</v>
      </c>
      <c r="H519" s="1">
        <v>108.68</v>
      </c>
      <c r="I519" s="14">
        <v>44393.0</v>
      </c>
      <c r="J519" s="1" t="s">
        <v>4308</v>
      </c>
      <c r="K519" s="15" t="s">
        <v>4826</v>
      </c>
      <c r="L519" s="60" t="str">
        <f t="shared" si="1"/>
        <v>Not in buy Zone</v>
      </c>
      <c r="M519" s="60" t="str">
        <f t="shared" si="2"/>
        <v>Not in buy Zone</v>
      </c>
      <c r="N519" s="33" t="str">
        <f t="shared" si="3"/>
        <v>No</v>
      </c>
    </row>
    <row r="520">
      <c r="A520" s="1" t="s">
        <v>548</v>
      </c>
      <c r="B520" s="1">
        <v>0.0</v>
      </c>
      <c r="C520" s="1">
        <v>0.0</v>
      </c>
      <c r="D520" s="1">
        <v>202.14</v>
      </c>
      <c r="E520" s="1">
        <v>0.0</v>
      </c>
      <c r="F520" s="54">
        <v>44337.0</v>
      </c>
      <c r="G520" s="1">
        <v>0.0</v>
      </c>
      <c r="H520" s="1">
        <v>253.19</v>
      </c>
      <c r="I520" s="14">
        <v>44393.0</v>
      </c>
      <c r="J520" s="1" t="s">
        <v>4308</v>
      </c>
      <c r="K520" s="15" t="s">
        <v>4827</v>
      </c>
      <c r="L520" s="60" t="str">
        <f t="shared" si="1"/>
        <v>Not in buy Zone</v>
      </c>
      <c r="M520" s="60" t="str">
        <f t="shared" si="2"/>
        <v>Not in buy Zone</v>
      </c>
      <c r="N520" s="33" t="str">
        <f t="shared" si="3"/>
        <v>No</v>
      </c>
    </row>
    <row r="521">
      <c r="A521" s="1" t="s">
        <v>549</v>
      </c>
      <c r="B521" s="1">
        <v>0.0</v>
      </c>
      <c r="C521" s="1">
        <v>0.0</v>
      </c>
      <c r="D521" s="1">
        <v>285.18</v>
      </c>
      <c r="E521" s="1">
        <v>0.0</v>
      </c>
      <c r="F521" s="54">
        <v>44369.0</v>
      </c>
      <c r="G521" s="1">
        <v>0.0</v>
      </c>
      <c r="H521" s="1">
        <v>293.92</v>
      </c>
      <c r="I521" s="14">
        <v>44393.0</v>
      </c>
      <c r="J521" s="1" t="s">
        <v>4308</v>
      </c>
      <c r="K521" s="15" t="s">
        <v>4828</v>
      </c>
      <c r="L521" s="60" t="str">
        <f t="shared" si="1"/>
        <v>Not in buy Zone</v>
      </c>
      <c r="M521" s="60" t="str">
        <f t="shared" si="2"/>
        <v>Not in buy Zone</v>
      </c>
      <c r="N521" s="33" t="str">
        <f t="shared" si="3"/>
        <v>No</v>
      </c>
    </row>
    <row r="522">
      <c r="A522" s="1" t="s">
        <v>550</v>
      </c>
      <c r="B522" s="1">
        <v>0.0</v>
      </c>
      <c r="C522" s="1">
        <v>0.0</v>
      </c>
      <c r="D522" s="1">
        <v>0.0</v>
      </c>
      <c r="E522" s="1">
        <v>413.0</v>
      </c>
      <c r="F522" s="54">
        <v>44391.0</v>
      </c>
      <c r="G522" s="1">
        <v>0.0</v>
      </c>
      <c r="H522" s="1">
        <v>399.99</v>
      </c>
      <c r="I522" s="14">
        <v>44393.0</v>
      </c>
      <c r="J522" s="1" t="s">
        <v>4308</v>
      </c>
      <c r="K522" s="15" t="s">
        <v>4829</v>
      </c>
      <c r="L522" s="60" t="str">
        <f t="shared" si="1"/>
        <v>Not in buy Zone</v>
      </c>
      <c r="M522" s="60" t="str">
        <f t="shared" si="2"/>
        <v>Not in buy Zone</v>
      </c>
      <c r="N522" s="33" t="str">
        <f t="shared" si="3"/>
        <v>No</v>
      </c>
    </row>
    <row r="523">
      <c r="A523" s="1" t="s">
        <v>551</v>
      </c>
      <c r="B523" s="1">
        <v>0.0</v>
      </c>
      <c r="C523" s="1">
        <v>0.0</v>
      </c>
      <c r="D523" s="1">
        <v>34.42</v>
      </c>
      <c r="E523" s="1">
        <v>0.0</v>
      </c>
      <c r="F523" s="54">
        <v>44376.0</v>
      </c>
      <c r="G523" s="1">
        <v>0.0</v>
      </c>
      <c r="H523" s="1">
        <v>35.97</v>
      </c>
      <c r="I523" s="14">
        <v>44393.0</v>
      </c>
      <c r="J523" s="1" t="s">
        <v>4308</v>
      </c>
      <c r="K523" s="15" t="s">
        <v>4830</v>
      </c>
      <c r="L523" s="60" t="str">
        <f t="shared" si="1"/>
        <v>Not in buy Zone</v>
      </c>
      <c r="M523" s="60" t="str">
        <f t="shared" si="2"/>
        <v>Not in buy Zone</v>
      </c>
      <c r="N523" s="33" t="str">
        <f t="shared" si="3"/>
        <v>No</v>
      </c>
    </row>
    <row r="524">
      <c r="A524" s="1" t="s">
        <v>552</v>
      </c>
      <c r="B524" s="1">
        <v>0.0</v>
      </c>
      <c r="C524" s="1">
        <v>0.0</v>
      </c>
      <c r="D524" s="1">
        <v>468.04</v>
      </c>
      <c r="E524" s="1">
        <v>0.0</v>
      </c>
      <c r="F524" s="54">
        <v>44375.0</v>
      </c>
      <c r="G524" s="1">
        <v>0.0</v>
      </c>
      <c r="H524" s="1">
        <v>485.98</v>
      </c>
      <c r="I524" s="14">
        <v>44393.0</v>
      </c>
      <c r="J524" s="1" t="s">
        <v>4308</v>
      </c>
      <c r="K524" s="15" t="s">
        <v>4831</v>
      </c>
      <c r="L524" s="60" t="str">
        <f t="shared" si="1"/>
        <v>Not in buy Zone</v>
      </c>
      <c r="M524" s="60" t="str">
        <f t="shared" si="2"/>
        <v>Not in buy Zone</v>
      </c>
      <c r="N524" s="33" t="str">
        <f t="shared" si="3"/>
        <v>No</v>
      </c>
    </row>
    <row r="525">
      <c r="A525" s="1" t="s">
        <v>553</v>
      </c>
      <c r="B525" s="1">
        <v>0.0</v>
      </c>
      <c r="C525" s="1">
        <v>119.49</v>
      </c>
      <c r="D525" s="1">
        <v>0.0</v>
      </c>
      <c r="E525" s="1">
        <v>0.0</v>
      </c>
      <c r="F525" s="54">
        <v>44393.0</v>
      </c>
      <c r="G525" s="1">
        <v>-1.0</v>
      </c>
      <c r="H525" s="1">
        <v>119.49</v>
      </c>
      <c r="I525" s="14">
        <v>44393.0</v>
      </c>
      <c r="J525" s="1" t="s">
        <v>4308</v>
      </c>
      <c r="K525" s="15" t="s">
        <v>4832</v>
      </c>
      <c r="L525" s="60" t="str">
        <f t="shared" si="1"/>
        <v>Not in buy Zone</v>
      </c>
      <c r="M525" s="60" t="str">
        <f t="shared" si="2"/>
        <v>Not in buy Zone</v>
      </c>
      <c r="N525" s="33" t="str">
        <f t="shared" si="3"/>
        <v>No</v>
      </c>
    </row>
    <row r="526">
      <c r="A526" s="1" t="s">
        <v>554</v>
      </c>
      <c r="B526" s="1">
        <v>0.0</v>
      </c>
      <c r="C526" s="1">
        <v>0.0</v>
      </c>
      <c r="D526" s="1">
        <v>110.01</v>
      </c>
      <c r="E526" s="1">
        <v>0.0</v>
      </c>
      <c r="F526" s="54">
        <v>44377.0</v>
      </c>
      <c r="G526" s="1">
        <v>0.0</v>
      </c>
      <c r="H526" s="1">
        <v>115.24</v>
      </c>
      <c r="I526" s="14">
        <v>44393.0</v>
      </c>
      <c r="J526" s="1" t="s">
        <v>4308</v>
      </c>
      <c r="K526" s="15" t="s">
        <v>4833</v>
      </c>
      <c r="L526" s="60" t="str">
        <f t="shared" si="1"/>
        <v>Not in buy Zone</v>
      </c>
      <c r="M526" s="60" t="str">
        <f t="shared" si="2"/>
        <v>Not in buy Zone</v>
      </c>
      <c r="N526" s="33" t="str">
        <f t="shared" si="3"/>
        <v>No</v>
      </c>
    </row>
    <row r="527">
      <c r="A527" s="1" t="s">
        <v>555</v>
      </c>
      <c r="B527" s="1">
        <v>0.0</v>
      </c>
      <c r="C527" s="1">
        <v>149.31</v>
      </c>
      <c r="D527" s="1">
        <v>0.0</v>
      </c>
      <c r="E527" s="1">
        <v>0.0</v>
      </c>
      <c r="F527" s="54">
        <v>44393.0</v>
      </c>
      <c r="G527" s="1">
        <v>-1.0</v>
      </c>
      <c r="H527" s="1">
        <v>149.31</v>
      </c>
      <c r="I527" s="14">
        <v>44393.0</v>
      </c>
      <c r="J527" s="1" t="s">
        <v>4308</v>
      </c>
      <c r="K527" s="15" t="s">
        <v>4834</v>
      </c>
      <c r="L527" s="60" t="str">
        <f t="shared" si="1"/>
        <v>Not in buy Zone</v>
      </c>
      <c r="M527" s="60" t="str">
        <f t="shared" si="2"/>
        <v>Not in buy Zone</v>
      </c>
      <c r="N527" s="33" t="str">
        <f t="shared" si="3"/>
        <v>No</v>
      </c>
    </row>
    <row r="528">
      <c r="A528" s="1" t="s">
        <v>556</v>
      </c>
      <c r="B528" s="1">
        <v>0.0</v>
      </c>
      <c r="C528" s="1">
        <v>0.0</v>
      </c>
      <c r="D528" s="1">
        <v>0.0</v>
      </c>
      <c r="E528" s="1">
        <v>85.92</v>
      </c>
      <c r="F528" s="54">
        <v>44365.0</v>
      </c>
      <c r="G528" s="1">
        <v>0.0</v>
      </c>
      <c r="H528" s="1">
        <v>83.53</v>
      </c>
      <c r="I528" s="14">
        <v>44393.0</v>
      </c>
      <c r="J528" s="1" t="s">
        <v>4308</v>
      </c>
      <c r="K528" s="15" t="s">
        <v>4835</v>
      </c>
      <c r="L528" s="60" t="str">
        <f t="shared" si="1"/>
        <v>Not in buy Zone</v>
      </c>
      <c r="M528" s="60" t="str">
        <f t="shared" si="2"/>
        <v>Not in buy Zone</v>
      </c>
      <c r="N528" s="33" t="str">
        <f t="shared" si="3"/>
        <v>No</v>
      </c>
    </row>
    <row r="529">
      <c r="A529" s="1" t="s">
        <v>557</v>
      </c>
      <c r="B529" s="1">
        <v>0.0</v>
      </c>
      <c r="C529" s="1">
        <v>0.0</v>
      </c>
      <c r="D529" s="1">
        <v>0.0</v>
      </c>
      <c r="E529" s="1">
        <v>48.7</v>
      </c>
      <c r="F529" s="54">
        <v>44391.0</v>
      </c>
      <c r="G529" s="1">
        <v>0.0</v>
      </c>
      <c r="H529" s="1">
        <v>46.35</v>
      </c>
      <c r="I529" s="14">
        <v>44393.0</v>
      </c>
      <c r="J529" s="1" t="s">
        <v>4308</v>
      </c>
      <c r="K529" s="15" t="s">
        <v>4836</v>
      </c>
      <c r="L529" s="60" t="str">
        <f t="shared" si="1"/>
        <v>Not in buy Zone</v>
      </c>
      <c r="M529" s="60" t="str">
        <f t="shared" si="2"/>
        <v>Not in buy Zone</v>
      </c>
      <c r="N529" s="33" t="str">
        <f t="shared" si="3"/>
        <v>No</v>
      </c>
    </row>
    <row r="530">
      <c r="A530" s="1" t="s">
        <v>558</v>
      </c>
      <c r="B530" s="1">
        <v>0.0</v>
      </c>
      <c r="C530" s="1">
        <v>0.0</v>
      </c>
      <c r="D530" s="1">
        <v>0.0</v>
      </c>
      <c r="E530" s="1">
        <v>82.43</v>
      </c>
      <c r="F530" s="54">
        <v>44392.0</v>
      </c>
      <c r="G530" s="1">
        <v>0.0</v>
      </c>
      <c r="H530" s="1">
        <v>80.09</v>
      </c>
      <c r="I530" s="14">
        <v>44393.0</v>
      </c>
      <c r="J530" s="1" t="s">
        <v>4308</v>
      </c>
      <c r="K530" s="15" t="s">
        <v>4837</v>
      </c>
      <c r="L530" s="60" t="str">
        <f t="shared" si="1"/>
        <v>Not in buy Zone</v>
      </c>
      <c r="M530" s="60" t="str">
        <f t="shared" si="2"/>
        <v>Not in buy Zone</v>
      </c>
      <c r="N530" s="33" t="str">
        <f t="shared" si="3"/>
        <v>No</v>
      </c>
    </row>
    <row r="531">
      <c r="A531" s="1" t="s">
        <v>559</v>
      </c>
      <c r="B531" s="1">
        <v>0.0</v>
      </c>
      <c r="C531" s="1">
        <v>0.0</v>
      </c>
      <c r="D531" s="1">
        <v>0.0</v>
      </c>
      <c r="E531" s="1">
        <v>34.1</v>
      </c>
      <c r="F531" s="54">
        <v>44357.0</v>
      </c>
      <c r="G531" s="1">
        <v>0.0</v>
      </c>
      <c r="H531" s="1">
        <v>26.36</v>
      </c>
      <c r="I531" s="14">
        <v>44393.0</v>
      </c>
      <c r="J531" s="1" t="s">
        <v>4308</v>
      </c>
      <c r="K531" s="15" t="s">
        <v>4838</v>
      </c>
      <c r="L531" s="60" t="str">
        <f t="shared" si="1"/>
        <v>Not in buy Zone</v>
      </c>
      <c r="M531" s="60" t="str">
        <f t="shared" si="2"/>
        <v>Not in buy Zone</v>
      </c>
      <c r="N531" s="33" t="str">
        <f t="shared" si="3"/>
        <v>No</v>
      </c>
    </row>
    <row r="532">
      <c r="A532" s="1" t="s">
        <v>560</v>
      </c>
      <c r="B532" s="1">
        <v>0.0</v>
      </c>
      <c r="C532" s="1">
        <v>0.0</v>
      </c>
      <c r="D532" s="1">
        <v>296.54</v>
      </c>
      <c r="E532" s="1">
        <v>0.0</v>
      </c>
      <c r="F532" s="54">
        <v>44340.0</v>
      </c>
      <c r="G532" s="1">
        <v>0.0</v>
      </c>
      <c r="H532" s="1">
        <v>334.11</v>
      </c>
      <c r="I532" s="14">
        <v>44393.0</v>
      </c>
      <c r="J532" s="1" t="s">
        <v>4308</v>
      </c>
      <c r="K532" s="15" t="s">
        <v>4839</v>
      </c>
      <c r="L532" s="60" t="str">
        <f t="shared" si="1"/>
        <v>Not in buy Zone</v>
      </c>
      <c r="M532" s="60" t="str">
        <f t="shared" si="2"/>
        <v>Not in buy Zone</v>
      </c>
      <c r="N532" s="33" t="str">
        <f t="shared" si="3"/>
        <v>No</v>
      </c>
    </row>
    <row r="533">
      <c r="A533" s="1" t="s">
        <v>561</v>
      </c>
      <c r="B533" s="1">
        <v>0.0</v>
      </c>
      <c r="C533" s="1">
        <v>0.0</v>
      </c>
      <c r="D533" s="1">
        <v>113.04</v>
      </c>
      <c r="E533" s="1">
        <v>0.0</v>
      </c>
      <c r="F533" s="54">
        <v>44372.0</v>
      </c>
      <c r="G533" s="1">
        <v>0.0</v>
      </c>
      <c r="H533" s="1">
        <v>118.73</v>
      </c>
      <c r="I533" s="14">
        <v>44393.0</v>
      </c>
      <c r="J533" s="1" t="s">
        <v>4308</v>
      </c>
      <c r="K533" s="15" t="s">
        <v>4840</v>
      </c>
      <c r="L533" s="60" t="str">
        <f t="shared" si="1"/>
        <v>Not in buy Zone</v>
      </c>
      <c r="M533" s="60" t="str">
        <f t="shared" si="2"/>
        <v>Not in buy Zone</v>
      </c>
      <c r="N533" s="33" t="str">
        <f t="shared" si="3"/>
        <v>No</v>
      </c>
    </row>
    <row r="534">
      <c r="A534" s="1" t="s">
        <v>562</v>
      </c>
      <c r="B534" s="1">
        <v>0.0</v>
      </c>
      <c r="C534" s="1">
        <v>0.0</v>
      </c>
      <c r="D534" s="1">
        <v>39.83</v>
      </c>
      <c r="E534" s="1">
        <v>0.0</v>
      </c>
      <c r="F534" s="54">
        <v>44389.0</v>
      </c>
      <c r="G534" s="1">
        <v>0.0</v>
      </c>
      <c r="H534" s="1">
        <v>39.08</v>
      </c>
      <c r="I534" s="14">
        <v>44393.0</v>
      </c>
      <c r="J534" s="1" t="s">
        <v>4308</v>
      </c>
      <c r="K534" s="15" t="s">
        <v>4841</v>
      </c>
      <c r="L534" s="60" t="str">
        <f t="shared" si="1"/>
        <v>Not in buy Zone</v>
      </c>
      <c r="M534" s="60" t="str">
        <f t="shared" si="2"/>
        <v>Not in buy Zone</v>
      </c>
      <c r="N534" s="33" t="str">
        <f t="shared" si="3"/>
        <v>No</v>
      </c>
    </row>
    <row r="535">
      <c r="A535" s="1" t="s">
        <v>563</v>
      </c>
      <c r="B535" s="1">
        <v>0.0</v>
      </c>
      <c r="C535" s="1">
        <v>0.0</v>
      </c>
      <c r="D535" s="1">
        <v>62.51</v>
      </c>
      <c r="E535" s="1">
        <v>0.0</v>
      </c>
      <c r="F535" s="54">
        <v>44377.0</v>
      </c>
      <c r="G535" s="1">
        <v>0.0</v>
      </c>
      <c r="H535" s="1">
        <v>63.1</v>
      </c>
      <c r="I535" s="14">
        <v>44393.0</v>
      </c>
      <c r="J535" s="1" t="s">
        <v>4308</v>
      </c>
      <c r="K535" s="15" t="s">
        <v>4842</v>
      </c>
      <c r="L535" s="60" t="str">
        <f t="shared" si="1"/>
        <v>Not in buy Zone</v>
      </c>
      <c r="M535" s="60" t="str">
        <f t="shared" si="2"/>
        <v>Not in buy Zone</v>
      </c>
      <c r="N535" s="33" t="str">
        <f t="shared" si="3"/>
        <v>No</v>
      </c>
    </row>
    <row r="536">
      <c r="A536" s="1" t="s">
        <v>564</v>
      </c>
      <c r="B536" s="1">
        <v>0.0</v>
      </c>
      <c r="C536" s="1">
        <v>0.0</v>
      </c>
      <c r="D536" s="1">
        <v>71.82</v>
      </c>
      <c r="E536" s="1">
        <v>0.0</v>
      </c>
      <c r="F536" s="54">
        <v>44390.0</v>
      </c>
      <c r="G536" s="1">
        <v>0.0</v>
      </c>
      <c r="H536" s="1">
        <v>68.89</v>
      </c>
      <c r="I536" s="14">
        <v>44393.0</v>
      </c>
      <c r="J536" s="1" t="s">
        <v>4308</v>
      </c>
      <c r="K536" s="15" t="s">
        <v>4843</v>
      </c>
      <c r="L536" s="60" t="str">
        <f t="shared" si="1"/>
        <v>Not in buy Zone</v>
      </c>
      <c r="M536" s="60" t="str">
        <f t="shared" si="2"/>
        <v>Not in buy Zone</v>
      </c>
      <c r="N536" s="33" t="str">
        <f t="shared" si="3"/>
        <v>No</v>
      </c>
    </row>
    <row r="537">
      <c r="A537" s="1" t="s">
        <v>565</v>
      </c>
      <c r="B537" s="1">
        <v>0.0</v>
      </c>
      <c r="C537" s="1">
        <v>0.0</v>
      </c>
      <c r="D537" s="1">
        <v>0.0</v>
      </c>
      <c r="E537" s="1">
        <v>56.83</v>
      </c>
      <c r="F537" s="54">
        <v>44390.0</v>
      </c>
      <c r="G537" s="1">
        <v>0.0</v>
      </c>
      <c r="H537" s="1">
        <v>55.99</v>
      </c>
      <c r="I537" s="14">
        <v>44393.0</v>
      </c>
      <c r="J537" s="1" t="s">
        <v>4308</v>
      </c>
      <c r="K537" s="15" t="s">
        <v>4844</v>
      </c>
      <c r="L537" s="60" t="str">
        <f t="shared" si="1"/>
        <v>Not in buy Zone</v>
      </c>
      <c r="M537" s="60" t="str">
        <f t="shared" si="2"/>
        <v>Not in buy Zone</v>
      </c>
      <c r="N537" s="33" t="str">
        <f t="shared" si="3"/>
        <v>No</v>
      </c>
    </row>
    <row r="538">
      <c r="A538" s="1" t="s">
        <v>566</v>
      </c>
      <c r="B538" s="1">
        <v>0.0</v>
      </c>
      <c r="C538" s="1">
        <v>0.0</v>
      </c>
      <c r="D538" s="1">
        <v>0.0</v>
      </c>
      <c r="E538" s="1">
        <v>26.98</v>
      </c>
      <c r="F538" s="54">
        <v>44370.0</v>
      </c>
      <c r="G538" s="1">
        <v>0.0</v>
      </c>
      <c r="H538" s="1">
        <v>25.71</v>
      </c>
      <c r="I538" s="14">
        <v>44393.0</v>
      </c>
      <c r="J538" s="1" t="s">
        <v>4308</v>
      </c>
      <c r="K538" s="15" t="s">
        <v>4845</v>
      </c>
      <c r="L538" s="60" t="str">
        <f t="shared" si="1"/>
        <v>Not in buy Zone</v>
      </c>
      <c r="M538" s="60" t="str">
        <f t="shared" si="2"/>
        <v>Not in buy Zone</v>
      </c>
      <c r="N538" s="33" t="str">
        <f t="shared" si="3"/>
        <v>No</v>
      </c>
    </row>
    <row r="539">
      <c r="A539" s="1" t="s">
        <v>567</v>
      </c>
      <c r="B539" s="1">
        <v>0.0</v>
      </c>
      <c r="C539" s="1">
        <v>0.0</v>
      </c>
      <c r="D539" s="1">
        <v>0.0</v>
      </c>
      <c r="E539" s="1">
        <v>149.73</v>
      </c>
      <c r="F539" s="54">
        <v>44384.0</v>
      </c>
      <c r="G539" s="1">
        <v>0.0</v>
      </c>
      <c r="H539" s="1">
        <v>146.39</v>
      </c>
      <c r="I539" s="14">
        <v>44393.0</v>
      </c>
      <c r="J539" s="1" t="s">
        <v>4308</v>
      </c>
      <c r="K539" s="15" t="s">
        <v>4846</v>
      </c>
      <c r="L539" s="60" t="str">
        <f t="shared" si="1"/>
        <v>Not in buy Zone</v>
      </c>
      <c r="M539" s="60" t="str">
        <f t="shared" si="2"/>
        <v>Not in buy Zone</v>
      </c>
      <c r="N539" s="33" t="str">
        <f t="shared" si="3"/>
        <v>No</v>
      </c>
    </row>
    <row r="540">
      <c r="A540" s="1" t="s">
        <v>568</v>
      </c>
      <c r="B540" s="1">
        <v>0.0</v>
      </c>
      <c r="C540" s="1">
        <v>0.0</v>
      </c>
      <c r="D540" s="1">
        <v>277.41</v>
      </c>
      <c r="E540" s="1">
        <v>0.0</v>
      </c>
      <c r="F540" s="54">
        <v>44384.0</v>
      </c>
      <c r="G540" s="1">
        <v>0.0</v>
      </c>
      <c r="H540" s="1">
        <v>282.41</v>
      </c>
      <c r="I540" s="14">
        <v>44393.0</v>
      </c>
      <c r="J540" s="1" t="s">
        <v>4308</v>
      </c>
      <c r="K540" s="15" t="s">
        <v>4847</v>
      </c>
      <c r="L540" s="60" t="str">
        <f t="shared" si="1"/>
        <v>Not in buy Zone</v>
      </c>
      <c r="M540" s="60" t="str">
        <f t="shared" si="2"/>
        <v>Not in buy Zone</v>
      </c>
      <c r="N540" s="33" t="str">
        <f t="shared" si="3"/>
        <v>No</v>
      </c>
    </row>
    <row r="541">
      <c r="A541" s="1" t="s">
        <v>569</v>
      </c>
      <c r="B541" s="1">
        <v>0.0</v>
      </c>
      <c r="C541" s="1">
        <v>0.0</v>
      </c>
      <c r="D541" s="1">
        <v>0.0</v>
      </c>
      <c r="E541" s="1">
        <v>86.13</v>
      </c>
      <c r="F541" s="54">
        <v>44390.0</v>
      </c>
      <c r="G541" s="1">
        <v>0.0</v>
      </c>
      <c r="H541" s="1">
        <v>86.19</v>
      </c>
      <c r="I541" s="14">
        <v>44393.0</v>
      </c>
      <c r="J541" s="1" t="s">
        <v>4308</v>
      </c>
      <c r="K541" s="15" t="s">
        <v>4848</v>
      </c>
      <c r="L541" s="60" t="str">
        <f t="shared" si="1"/>
        <v>Not in buy Zone</v>
      </c>
      <c r="M541" s="60" t="str">
        <f t="shared" si="2"/>
        <v>Not in buy Zone</v>
      </c>
      <c r="N541" s="33" t="str">
        <f t="shared" si="3"/>
        <v>No</v>
      </c>
    </row>
    <row r="542">
      <c r="A542" s="1" t="s">
        <v>570</v>
      </c>
      <c r="B542" s="1">
        <v>0.0</v>
      </c>
      <c r="C542" s="1">
        <v>0.0</v>
      </c>
      <c r="D542" s="1">
        <v>0.0</v>
      </c>
      <c r="E542" s="1">
        <v>6.63</v>
      </c>
      <c r="F542" s="54">
        <v>44362.0</v>
      </c>
      <c r="G542" s="1">
        <v>0.0</v>
      </c>
      <c r="H542" s="1">
        <v>6.39</v>
      </c>
      <c r="I542" s="14">
        <v>44393.0</v>
      </c>
      <c r="J542" s="1" t="s">
        <v>4308</v>
      </c>
      <c r="K542" s="15" t="s">
        <v>4849</v>
      </c>
      <c r="L542" s="60" t="str">
        <f t="shared" si="1"/>
        <v>Not in buy Zone</v>
      </c>
      <c r="M542" s="60" t="str">
        <f t="shared" si="2"/>
        <v>Not in buy Zone</v>
      </c>
      <c r="N542" s="33" t="str">
        <f t="shared" si="3"/>
        <v>No</v>
      </c>
    </row>
    <row r="543">
      <c r="A543" s="1" t="s">
        <v>571</v>
      </c>
      <c r="B543" s="1">
        <v>0.0</v>
      </c>
      <c r="C543" s="1">
        <v>0.0</v>
      </c>
      <c r="D543" s="1">
        <v>593.66</v>
      </c>
      <c r="E543" s="1">
        <v>0.0</v>
      </c>
      <c r="F543" s="54">
        <v>44389.0</v>
      </c>
      <c r="G543" s="1">
        <v>0.0</v>
      </c>
      <c r="H543" s="1">
        <v>561.76</v>
      </c>
      <c r="I543" s="14">
        <v>44393.0</v>
      </c>
      <c r="J543" s="1" t="s">
        <v>4308</v>
      </c>
      <c r="K543" s="15" t="s">
        <v>4850</v>
      </c>
      <c r="L543" s="60" t="str">
        <f t="shared" si="1"/>
        <v>Not in buy Zone</v>
      </c>
      <c r="M543" s="60" t="str">
        <f t="shared" si="2"/>
        <v>Not in buy Zone</v>
      </c>
      <c r="N543" s="33" t="str">
        <f t="shared" si="3"/>
        <v>No</v>
      </c>
    </row>
    <row r="544">
      <c r="A544" s="1" t="s">
        <v>572</v>
      </c>
      <c r="B544" s="1">
        <v>133.1</v>
      </c>
      <c r="C544" s="1">
        <v>0.0</v>
      </c>
      <c r="D544" s="1">
        <v>0.0</v>
      </c>
      <c r="E544" s="1">
        <v>0.0</v>
      </c>
      <c r="F544" s="54">
        <v>44393.0</v>
      </c>
      <c r="G544" s="1">
        <v>1.0</v>
      </c>
      <c r="H544" s="1">
        <v>133.1</v>
      </c>
      <c r="I544" s="14">
        <v>44393.0</v>
      </c>
      <c r="J544" s="1" t="s">
        <v>4308</v>
      </c>
      <c r="K544" s="15" t="s">
        <v>4851</v>
      </c>
      <c r="L544" s="60">
        <f t="shared" si="1"/>
        <v>133.7655</v>
      </c>
      <c r="M544" s="60">
        <f t="shared" si="2"/>
        <v>132.4345</v>
      </c>
      <c r="N544" s="33" t="str">
        <f t="shared" si="3"/>
        <v>Yes</v>
      </c>
    </row>
    <row r="545">
      <c r="A545" s="1" t="s">
        <v>573</v>
      </c>
      <c r="B545" s="1">
        <v>0.0</v>
      </c>
      <c r="C545" s="1">
        <v>0.0</v>
      </c>
      <c r="D545" s="1">
        <v>0.0</v>
      </c>
      <c r="E545" s="1">
        <v>27.46</v>
      </c>
      <c r="F545" s="54">
        <v>44390.0</v>
      </c>
      <c r="G545" s="1">
        <v>0.0</v>
      </c>
      <c r="H545" s="1">
        <v>27.45</v>
      </c>
      <c r="I545" s="14">
        <v>44393.0</v>
      </c>
      <c r="J545" s="1" t="s">
        <v>4308</v>
      </c>
      <c r="K545" s="15" t="s">
        <v>4852</v>
      </c>
      <c r="L545" s="60" t="str">
        <f t="shared" si="1"/>
        <v>Not in buy Zone</v>
      </c>
      <c r="M545" s="60" t="str">
        <f t="shared" si="2"/>
        <v>Not in buy Zone</v>
      </c>
      <c r="N545" s="33" t="str">
        <f t="shared" si="3"/>
        <v>No</v>
      </c>
    </row>
    <row r="546">
      <c r="A546" s="1" t="s">
        <v>574</v>
      </c>
      <c r="B546" s="1">
        <v>0.0</v>
      </c>
      <c r="C546" s="1">
        <v>0.0</v>
      </c>
      <c r="D546" s="1">
        <v>0.0</v>
      </c>
      <c r="E546" s="1">
        <v>32.47</v>
      </c>
      <c r="F546" s="54">
        <v>44364.0</v>
      </c>
      <c r="G546" s="1">
        <v>0.0</v>
      </c>
      <c r="H546" s="1">
        <v>27.87</v>
      </c>
      <c r="I546" s="14">
        <v>44393.0</v>
      </c>
      <c r="J546" s="1" t="s">
        <v>4308</v>
      </c>
      <c r="K546" s="15" t="s">
        <v>4853</v>
      </c>
      <c r="L546" s="60" t="str">
        <f t="shared" si="1"/>
        <v>Not in buy Zone</v>
      </c>
      <c r="M546" s="60" t="str">
        <f t="shared" si="2"/>
        <v>Not in buy Zone</v>
      </c>
      <c r="N546" s="33" t="str">
        <f t="shared" si="3"/>
        <v>No</v>
      </c>
    </row>
    <row r="547">
      <c r="A547" s="1" t="s">
        <v>575</v>
      </c>
      <c r="B547" s="1">
        <v>0.0</v>
      </c>
      <c r="C547" s="1">
        <v>0.0</v>
      </c>
      <c r="D547" s="1">
        <v>0.0</v>
      </c>
      <c r="E547" s="1">
        <v>252.69</v>
      </c>
      <c r="F547" s="54">
        <v>44385.0</v>
      </c>
      <c r="G547" s="1">
        <v>0.0</v>
      </c>
      <c r="H547" s="1">
        <v>246.85</v>
      </c>
      <c r="I547" s="14">
        <v>44393.0</v>
      </c>
      <c r="J547" s="1" t="s">
        <v>4308</v>
      </c>
      <c r="K547" s="15" t="s">
        <v>4854</v>
      </c>
      <c r="L547" s="60" t="str">
        <f t="shared" si="1"/>
        <v>Not in buy Zone</v>
      </c>
      <c r="M547" s="60" t="str">
        <f t="shared" si="2"/>
        <v>Not in buy Zone</v>
      </c>
      <c r="N547" s="33" t="str">
        <f t="shared" si="3"/>
        <v>No</v>
      </c>
    </row>
    <row r="548">
      <c r="A548" s="1" t="s">
        <v>576</v>
      </c>
      <c r="B548" s="1">
        <v>0.0</v>
      </c>
      <c r="C548" s="1">
        <v>0.0</v>
      </c>
      <c r="D548" s="1">
        <v>226.11</v>
      </c>
      <c r="E548" s="1">
        <v>0.0</v>
      </c>
      <c r="F548" s="54">
        <v>44384.0</v>
      </c>
      <c r="G548" s="1">
        <v>0.0</v>
      </c>
      <c r="H548" s="1">
        <v>219.8</v>
      </c>
      <c r="I548" s="14">
        <v>44393.0</v>
      </c>
      <c r="J548" s="1" t="s">
        <v>4308</v>
      </c>
      <c r="K548" s="15" t="s">
        <v>4855</v>
      </c>
      <c r="L548" s="60" t="str">
        <f t="shared" si="1"/>
        <v>Not in buy Zone</v>
      </c>
      <c r="M548" s="60" t="str">
        <f t="shared" si="2"/>
        <v>Not in buy Zone</v>
      </c>
      <c r="N548" s="33" t="str">
        <f t="shared" si="3"/>
        <v>No</v>
      </c>
    </row>
    <row r="549">
      <c r="A549" s="1" t="s">
        <v>577</v>
      </c>
      <c r="B549" s="1">
        <v>0.0</v>
      </c>
      <c r="C549" s="1">
        <v>0.0</v>
      </c>
      <c r="D549" s="1">
        <v>0.0</v>
      </c>
      <c r="E549" s="1">
        <v>61.96</v>
      </c>
      <c r="F549" s="54">
        <v>44385.0</v>
      </c>
      <c r="G549" s="1">
        <v>0.0</v>
      </c>
      <c r="H549" s="1">
        <v>59.31</v>
      </c>
      <c r="I549" s="14">
        <v>44393.0</v>
      </c>
      <c r="J549" s="1" t="s">
        <v>4308</v>
      </c>
      <c r="K549" s="15" t="s">
        <v>4856</v>
      </c>
      <c r="L549" s="60" t="str">
        <f t="shared" si="1"/>
        <v>Not in buy Zone</v>
      </c>
      <c r="M549" s="60" t="str">
        <f t="shared" si="2"/>
        <v>Not in buy Zone</v>
      </c>
      <c r="N549" s="33" t="str">
        <f t="shared" si="3"/>
        <v>No</v>
      </c>
    </row>
    <row r="550">
      <c r="A550" s="1" t="s">
        <v>578</v>
      </c>
      <c r="B550" s="1">
        <v>0.0</v>
      </c>
      <c r="C550" s="1">
        <v>0.0</v>
      </c>
      <c r="D550" s="1">
        <v>223.53</v>
      </c>
      <c r="E550" s="1">
        <v>0.0</v>
      </c>
      <c r="F550" s="54">
        <v>44334.0</v>
      </c>
      <c r="G550" s="1">
        <v>0.0</v>
      </c>
      <c r="H550" s="1">
        <v>250.82</v>
      </c>
      <c r="I550" s="14">
        <v>44393.0</v>
      </c>
      <c r="J550" s="1" t="s">
        <v>4308</v>
      </c>
      <c r="K550" s="15" t="s">
        <v>4857</v>
      </c>
      <c r="L550" s="60" t="str">
        <f t="shared" si="1"/>
        <v>Not in buy Zone</v>
      </c>
      <c r="M550" s="60" t="str">
        <f t="shared" si="2"/>
        <v>Not in buy Zone</v>
      </c>
      <c r="N550" s="33" t="str">
        <f t="shared" si="3"/>
        <v>No</v>
      </c>
    </row>
    <row r="551">
      <c r="A551" s="1" t="s">
        <v>579</v>
      </c>
      <c r="B551" s="1">
        <v>0.0</v>
      </c>
      <c r="C551" s="1">
        <v>0.0</v>
      </c>
      <c r="D551" s="1">
        <v>248.58</v>
      </c>
      <c r="E551" s="1">
        <v>0.0</v>
      </c>
      <c r="F551" s="54">
        <v>44340.0</v>
      </c>
      <c r="G551" s="1">
        <v>0.0</v>
      </c>
      <c r="H551" s="1">
        <v>276.56</v>
      </c>
      <c r="I551" s="14">
        <v>44393.0</v>
      </c>
      <c r="J551" s="1" t="s">
        <v>4308</v>
      </c>
      <c r="K551" s="15" t="s">
        <v>4858</v>
      </c>
      <c r="L551" s="60" t="str">
        <f t="shared" si="1"/>
        <v>Not in buy Zone</v>
      </c>
      <c r="M551" s="60" t="str">
        <f t="shared" si="2"/>
        <v>Not in buy Zone</v>
      </c>
      <c r="N551" s="33" t="str">
        <f t="shared" si="3"/>
        <v>No</v>
      </c>
    </row>
    <row r="552">
      <c r="A552" s="1" t="s">
        <v>580</v>
      </c>
      <c r="B552" s="1">
        <v>0.0</v>
      </c>
      <c r="C552" s="1">
        <v>0.0</v>
      </c>
      <c r="D552" s="1">
        <v>62.67</v>
      </c>
      <c r="E552" s="1">
        <v>0.0</v>
      </c>
      <c r="F552" s="54">
        <v>44392.0</v>
      </c>
      <c r="G552" s="1">
        <v>0.0</v>
      </c>
      <c r="H552" s="1">
        <v>63.11</v>
      </c>
      <c r="I552" s="14">
        <v>44393.0</v>
      </c>
      <c r="J552" s="1" t="s">
        <v>4308</v>
      </c>
      <c r="K552" s="15" t="s">
        <v>4859</v>
      </c>
      <c r="L552" s="60" t="str">
        <f t="shared" si="1"/>
        <v>Not in buy Zone</v>
      </c>
      <c r="M552" s="60" t="str">
        <f t="shared" si="2"/>
        <v>Not in buy Zone</v>
      </c>
      <c r="N552" s="33" t="str">
        <f t="shared" si="3"/>
        <v>No</v>
      </c>
    </row>
    <row r="553">
      <c r="A553" s="1" t="s">
        <v>581</v>
      </c>
      <c r="B553" s="1">
        <v>0.0</v>
      </c>
      <c r="C553" s="1">
        <v>0.0</v>
      </c>
      <c r="D553" s="1">
        <v>0.0</v>
      </c>
      <c r="E553" s="1">
        <v>33.48</v>
      </c>
      <c r="F553" s="54">
        <v>44385.0</v>
      </c>
      <c r="G553" s="1">
        <v>0.0</v>
      </c>
      <c r="H553" s="1">
        <v>32.4</v>
      </c>
      <c r="I553" s="14">
        <v>44393.0</v>
      </c>
      <c r="J553" s="1" t="s">
        <v>4308</v>
      </c>
      <c r="K553" s="15" t="s">
        <v>4860</v>
      </c>
      <c r="L553" s="60" t="str">
        <f t="shared" si="1"/>
        <v>Not in buy Zone</v>
      </c>
      <c r="M553" s="60" t="str">
        <f t="shared" si="2"/>
        <v>Not in buy Zone</v>
      </c>
      <c r="N553" s="33" t="str">
        <f t="shared" si="3"/>
        <v>No</v>
      </c>
    </row>
    <row r="554">
      <c r="A554" s="1" t="s">
        <v>582</v>
      </c>
      <c r="B554" s="1">
        <v>0.0</v>
      </c>
      <c r="C554" s="1">
        <v>0.0</v>
      </c>
      <c r="D554" s="1">
        <v>0.0</v>
      </c>
      <c r="E554" s="1">
        <v>46.0</v>
      </c>
      <c r="F554" s="54">
        <v>44377.0</v>
      </c>
      <c r="G554" s="1">
        <v>0.0</v>
      </c>
      <c r="H554" s="1">
        <v>30.2</v>
      </c>
      <c r="I554" s="14">
        <v>44393.0</v>
      </c>
      <c r="J554" s="1" t="s">
        <v>4308</v>
      </c>
      <c r="K554" s="15" t="s">
        <v>4861</v>
      </c>
      <c r="L554" s="60" t="str">
        <f t="shared" si="1"/>
        <v>Not in buy Zone</v>
      </c>
      <c r="M554" s="60" t="str">
        <f t="shared" si="2"/>
        <v>Not in buy Zone</v>
      </c>
      <c r="N554" s="33" t="str">
        <f t="shared" si="3"/>
        <v>No</v>
      </c>
    </row>
    <row r="555">
      <c r="A555" s="1" t="s">
        <v>583</v>
      </c>
      <c r="B555" s="1">
        <v>0.0</v>
      </c>
      <c r="C555" s="1">
        <v>0.0</v>
      </c>
      <c r="D555" s="1">
        <v>0.0</v>
      </c>
      <c r="E555" s="1">
        <v>128.66</v>
      </c>
      <c r="F555" s="54">
        <v>44364.0</v>
      </c>
      <c r="G555" s="1">
        <v>0.0</v>
      </c>
      <c r="H555" s="1">
        <v>124.5</v>
      </c>
      <c r="I555" s="14">
        <v>44393.0</v>
      </c>
      <c r="J555" s="1" t="s">
        <v>4308</v>
      </c>
      <c r="K555" s="15" t="s">
        <v>4862</v>
      </c>
      <c r="L555" s="60" t="str">
        <f t="shared" si="1"/>
        <v>Not in buy Zone</v>
      </c>
      <c r="M555" s="60" t="str">
        <f t="shared" si="2"/>
        <v>Not in buy Zone</v>
      </c>
      <c r="N555" s="33" t="str">
        <f t="shared" si="3"/>
        <v>No</v>
      </c>
    </row>
    <row r="556">
      <c r="A556" s="1" t="s">
        <v>584</v>
      </c>
      <c r="B556" s="1">
        <v>0.0</v>
      </c>
      <c r="C556" s="1">
        <v>0.0</v>
      </c>
      <c r="D556" s="1">
        <v>381.35</v>
      </c>
      <c r="E556" s="1">
        <v>0.0</v>
      </c>
      <c r="F556" s="54">
        <v>44350.0</v>
      </c>
      <c r="G556" s="1">
        <v>0.0</v>
      </c>
      <c r="H556" s="1">
        <v>414.42</v>
      </c>
      <c r="I556" s="14">
        <v>44393.0</v>
      </c>
      <c r="J556" s="1" t="s">
        <v>4308</v>
      </c>
      <c r="K556" s="15" t="s">
        <v>4863</v>
      </c>
      <c r="L556" s="60" t="str">
        <f t="shared" si="1"/>
        <v>Not in buy Zone</v>
      </c>
      <c r="M556" s="60" t="str">
        <f t="shared" si="2"/>
        <v>Not in buy Zone</v>
      </c>
      <c r="N556" s="33" t="str">
        <f t="shared" si="3"/>
        <v>No</v>
      </c>
    </row>
    <row r="557">
      <c r="A557" s="1" t="s">
        <v>585</v>
      </c>
      <c r="B557" s="1">
        <v>0.0</v>
      </c>
      <c r="C557" s="1">
        <v>0.0</v>
      </c>
      <c r="D557" s="1">
        <v>36.8</v>
      </c>
      <c r="E557" s="1">
        <v>0.0</v>
      </c>
      <c r="F557" s="54">
        <v>44384.0</v>
      </c>
      <c r="G557" s="1">
        <v>0.0</v>
      </c>
      <c r="H557" s="1">
        <v>36.77</v>
      </c>
      <c r="I557" s="14">
        <v>44393.0</v>
      </c>
      <c r="J557" s="1" t="s">
        <v>4308</v>
      </c>
      <c r="K557" s="15" t="s">
        <v>4864</v>
      </c>
      <c r="L557" s="60" t="str">
        <f t="shared" si="1"/>
        <v>Not in buy Zone</v>
      </c>
      <c r="M557" s="60" t="str">
        <f t="shared" si="2"/>
        <v>Not in buy Zone</v>
      </c>
      <c r="N557" s="33" t="str">
        <f t="shared" si="3"/>
        <v>No</v>
      </c>
    </row>
    <row r="558">
      <c r="A558" s="1" t="s">
        <v>586</v>
      </c>
      <c r="B558" s="1">
        <v>0.0</v>
      </c>
      <c r="C558" s="1">
        <v>0.0</v>
      </c>
      <c r="D558" s="1">
        <v>0.0</v>
      </c>
      <c r="E558" s="1">
        <v>136.0</v>
      </c>
      <c r="F558" s="54">
        <v>44389.0</v>
      </c>
      <c r="G558" s="1">
        <v>0.0</v>
      </c>
      <c r="H558" s="1">
        <v>134.39</v>
      </c>
      <c r="I558" s="14">
        <v>44393.0</v>
      </c>
      <c r="J558" s="1" t="s">
        <v>4308</v>
      </c>
      <c r="K558" s="15" t="s">
        <v>4865</v>
      </c>
      <c r="L558" s="60" t="str">
        <f t="shared" si="1"/>
        <v>Not in buy Zone</v>
      </c>
      <c r="M558" s="60" t="str">
        <f t="shared" si="2"/>
        <v>Not in buy Zone</v>
      </c>
      <c r="N558" s="33" t="str">
        <f t="shared" si="3"/>
        <v>No</v>
      </c>
    </row>
    <row r="559">
      <c r="A559" s="1" t="s">
        <v>587</v>
      </c>
      <c r="B559" s="1">
        <v>0.0</v>
      </c>
      <c r="C559" s="1">
        <v>0.0</v>
      </c>
      <c r="D559" s="1">
        <v>61.62</v>
      </c>
      <c r="E559" s="1">
        <v>0.0</v>
      </c>
      <c r="F559" s="54">
        <v>44379.0</v>
      </c>
      <c r="G559" s="1">
        <v>0.0</v>
      </c>
      <c r="H559" s="1">
        <v>62.74</v>
      </c>
      <c r="I559" s="14">
        <v>44393.0</v>
      </c>
      <c r="J559" s="1" t="s">
        <v>4308</v>
      </c>
      <c r="K559" s="15" t="s">
        <v>4866</v>
      </c>
      <c r="L559" s="60" t="str">
        <f t="shared" si="1"/>
        <v>Not in buy Zone</v>
      </c>
      <c r="M559" s="60" t="str">
        <f t="shared" si="2"/>
        <v>Not in buy Zone</v>
      </c>
      <c r="N559" s="33" t="str">
        <f t="shared" si="3"/>
        <v>No</v>
      </c>
    </row>
    <row r="560">
      <c r="A560" s="1" t="s">
        <v>588</v>
      </c>
      <c r="B560" s="1">
        <v>0.0</v>
      </c>
      <c r="C560" s="1">
        <v>0.0</v>
      </c>
      <c r="D560" s="1">
        <v>0.0</v>
      </c>
      <c r="E560" s="1">
        <v>23.94</v>
      </c>
      <c r="F560" s="54">
        <v>44391.0</v>
      </c>
      <c r="G560" s="1">
        <v>0.0</v>
      </c>
      <c r="H560" s="1">
        <v>22.65</v>
      </c>
      <c r="I560" s="14">
        <v>44393.0</v>
      </c>
      <c r="J560" s="1" t="s">
        <v>4308</v>
      </c>
      <c r="K560" s="15" t="s">
        <v>4867</v>
      </c>
      <c r="L560" s="60" t="str">
        <f t="shared" si="1"/>
        <v>Not in buy Zone</v>
      </c>
      <c r="M560" s="60" t="str">
        <f t="shared" si="2"/>
        <v>Not in buy Zone</v>
      </c>
      <c r="N560" s="33" t="str">
        <f t="shared" si="3"/>
        <v>No</v>
      </c>
    </row>
    <row r="561">
      <c r="A561" s="1" t="s">
        <v>589</v>
      </c>
      <c r="B561" s="1">
        <v>0.0</v>
      </c>
      <c r="C561" s="1">
        <v>0.0</v>
      </c>
      <c r="D561" s="1">
        <v>425.1</v>
      </c>
      <c r="E561" s="1">
        <v>0.0</v>
      </c>
      <c r="F561" s="54">
        <v>44371.0</v>
      </c>
      <c r="G561" s="1">
        <v>0.0</v>
      </c>
      <c r="H561" s="1">
        <v>431.34</v>
      </c>
      <c r="I561" s="14">
        <v>44393.0</v>
      </c>
      <c r="J561" s="1" t="s">
        <v>4308</v>
      </c>
      <c r="K561" s="15" t="s">
        <v>4868</v>
      </c>
      <c r="L561" s="60" t="str">
        <f t="shared" si="1"/>
        <v>Not in buy Zone</v>
      </c>
      <c r="M561" s="60" t="str">
        <f t="shared" si="2"/>
        <v>Not in buy Zone</v>
      </c>
      <c r="N561" s="33" t="str">
        <f t="shared" si="3"/>
        <v>No</v>
      </c>
    </row>
    <row r="562">
      <c r="A562" s="1" t="s">
        <v>590</v>
      </c>
      <c r="B562" s="1">
        <v>0.0</v>
      </c>
      <c r="C562" s="1">
        <v>0.0</v>
      </c>
      <c r="D562" s="1">
        <v>39.73</v>
      </c>
      <c r="E562" s="1">
        <v>0.0</v>
      </c>
      <c r="F562" s="54">
        <v>44372.0</v>
      </c>
      <c r="G562" s="1">
        <v>0.0</v>
      </c>
      <c r="H562" s="1">
        <v>39.29</v>
      </c>
      <c r="I562" s="14">
        <v>44393.0</v>
      </c>
      <c r="J562" s="1" t="s">
        <v>4308</v>
      </c>
      <c r="K562" s="15" t="s">
        <v>4869</v>
      </c>
      <c r="L562" s="60" t="str">
        <f t="shared" si="1"/>
        <v>Not in buy Zone</v>
      </c>
      <c r="M562" s="60" t="str">
        <f t="shared" si="2"/>
        <v>Not in buy Zone</v>
      </c>
      <c r="N562" s="33" t="str">
        <f t="shared" si="3"/>
        <v>No</v>
      </c>
    </row>
    <row r="563">
      <c r="A563" s="1" t="s">
        <v>591</v>
      </c>
      <c r="B563" s="1">
        <v>0.0</v>
      </c>
      <c r="C563" s="1">
        <v>0.0</v>
      </c>
      <c r="D563" s="1">
        <v>222.52</v>
      </c>
      <c r="E563" s="1">
        <v>0.0</v>
      </c>
      <c r="F563" s="54">
        <v>44344.0</v>
      </c>
      <c r="G563" s="1">
        <v>0.0</v>
      </c>
      <c r="H563" s="1">
        <v>237.52</v>
      </c>
      <c r="I563" s="14">
        <v>44393.0</v>
      </c>
      <c r="J563" s="1" t="s">
        <v>4308</v>
      </c>
      <c r="K563" s="15" t="s">
        <v>4870</v>
      </c>
      <c r="L563" s="60" t="str">
        <f t="shared" si="1"/>
        <v>Not in buy Zone</v>
      </c>
      <c r="M563" s="60" t="str">
        <f t="shared" si="2"/>
        <v>Not in buy Zone</v>
      </c>
      <c r="N563" s="33" t="str">
        <f t="shared" si="3"/>
        <v>No</v>
      </c>
    </row>
    <row r="564">
      <c r="A564" s="1" t="s">
        <v>592</v>
      </c>
      <c r="B564" s="1">
        <v>0.0</v>
      </c>
      <c r="C564" s="1">
        <v>0.0</v>
      </c>
      <c r="D564" s="1">
        <v>0.0</v>
      </c>
      <c r="E564" s="1">
        <v>137.77</v>
      </c>
      <c r="F564" s="54">
        <v>44365.0</v>
      </c>
      <c r="G564" s="1">
        <v>0.0</v>
      </c>
      <c r="H564" s="1">
        <v>134.2</v>
      </c>
      <c r="I564" s="14">
        <v>44393.0</v>
      </c>
      <c r="J564" s="1" t="s">
        <v>4308</v>
      </c>
      <c r="K564" s="15" t="s">
        <v>4871</v>
      </c>
      <c r="L564" s="60" t="str">
        <f t="shared" si="1"/>
        <v>Not in buy Zone</v>
      </c>
      <c r="M564" s="60" t="str">
        <f t="shared" si="2"/>
        <v>Not in buy Zone</v>
      </c>
      <c r="N564" s="33" t="str">
        <f t="shared" si="3"/>
        <v>No</v>
      </c>
    </row>
    <row r="565">
      <c r="A565" s="1" t="s">
        <v>593</v>
      </c>
      <c r="B565" s="1">
        <v>0.0</v>
      </c>
      <c r="C565" s="1">
        <v>0.0</v>
      </c>
      <c r="D565" s="1">
        <v>198.23</v>
      </c>
      <c r="E565" s="1">
        <v>0.0</v>
      </c>
      <c r="F565" s="54">
        <v>44357.0</v>
      </c>
      <c r="G565" s="1">
        <v>0.0</v>
      </c>
      <c r="H565" s="1">
        <v>207.7</v>
      </c>
      <c r="I565" s="14">
        <v>44393.0</v>
      </c>
      <c r="J565" s="1" t="s">
        <v>4308</v>
      </c>
      <c r="K565" s="15" t="s">
        <v>4872</v>
      </c>
      <c r="L565" s="60" t="str">
        <f t="shared" si="1"/>
        <v>Not in buy Zone</v>
      </c>
      <c r="M565" s="60" t="str">
        <f t="shared" si="2"/>
        <v>Not in buy Zone</v>
      </c>
      <c r="N565" s="33" t="str">
        <f t="shared" si="3"/>
        <v>No</v>
      </c>
    </row>
    <row r="566">
      <c r="A566" s="1" t="s">
        <v>594</v>
      </c>
      <c r="B566" s="1">
        <v>0.0</v>
      </c>
      <c r="C566" s="1">
        <v>0.0</v>
      </c>
      <c r="D566" s="1">
        <v>0.0</v>
      </c>
      <c r="E566" s="1">
        <v>32.12</v>
      </c>
      <c r="F566" s="54">
        <v>44386.0</v>
      </c>
      <c r="G566" s="1">
        <v>0.0</v>
      </c>
      <c r="H566" s="1">
        <v>25.98</v>
      </c>
      <c r="I566" s="14">
        <v>44393.0</v>
      </c>
      <c r="J566" s="1" t="s">
        <v>4308</v>
      </c>
      <c r="K566" s="15" t="s">
        <v>4873</v>
      </c>
      <c r="L566" s="60" t="str">
        <f t="shared" si="1"/>
        <v>Not in buy Zone</v>
      </c>
      <c r="M566" s="60" t="str">
        <f t="shared" si="2"/>
        <v>Not in buy Zone</v>
      </c>
      <c r="N566" s="33" t="str">
        <f t="shared" si="3"/>
        <v>No</v>
      </c>
    </row>
    <row r="567">
      <c r="A567" s="1" t="s">
        <v>595</v>
      </c>
      <c r="B567" s="1">
        <v>0.0</v>
      </c>
      <c r="C567" s="1">
        <v>0.0</v>
      </c>
      <c r="D567" s="1">
        <v>0.0</v>
      </c>
      <c r="E567" s="1">
        <v>59.13</v>
      </c>
      <c r="F567" s="54">
        <v>44364.0</v>
      </c>
      <c r="G567" s="1">
        <v>0.0</v>
      </c>
      <c r="H567" s="1">
        <v>59.88</v>
      </c>
      <c r="I567" s="14">
        <v>44393.0</v>
      </c>
      <c r="J567" s="1" t="s">
        <v>4308</v>
      </c>
      <c r="K567" s="15" t="s">
        <v>4874</v>
      </c>
      <c r="L567" s="60" t="str">
        <f t="shared" si="1"/>
        <v>Not in buy Zone</v>
      </c>
      <c r="M567" s="60" t="str">
        <f t="shared" si="2"/>
        <v>Not in buy Zone</v>
      </c>
      <c r="N567" s="33" t="str">
        <f t="shared" si="3"/>
        <v>No</v>
      </c>
    </row>
    <row r="568">
      <c r="A568" s="1" t="s">
        <v>596</v>
      </c>
      <c r="B568" s="1">
        <v>0.0</v>
      </c>
      <c r="C568" s="1">
        <v>0.0</v>
      </c>
      <c r="D568" s="1">
        <v>84.11</v>
      </c>
      <c r="E568" s="1">
        <v>0.0</v>
      </c>
      <c r="F568" s="54">
        <v>44386.0</v>
      </c>
      <c r="G568" s="1">
        <v>0.0</v>
      </c>
      <c r="H568" s="1">
        <v>84.34</v>
      </c>
      <c r="I568" s="14">
        <v>44393.0</v>
      </c>
      <c r="J568" s="1" t="s">
        <v>4308</v>
      </c>
      <c r="K568" s="15" t="s">
        <v>4875</v>
      </c>
      <c r="L568" s="60" t="str">
        <f t="shared" si="1"/>
        <v>Not in buy Zone</v>
      </c>
      <c r="M568" s="60" t="str">
        <f t="shared" si="2"/>
        <v>Not in buy Zone</v>
      </c>
      <c r="N568" s="33" t="str">
        <f t="shared" si="3"/>
        <v>No</v>
      </c>
    </row>
    <row r="569">
      <c r="A569" s="1" t="s">
        <v>597</v>
      </c>
      <c r="B569" s="1">
        <v>0.0</v>
      </c>
      <c r="C569" s="1">
        <v>0.0</v>
      </c>
      <c r="D569" s="1">
        <v>0.0</v>
      </c>
      <c r="E569" s="1">
        <v>93.5</v>
      </c>
      <c r="F569" s="54">
        <v>44341.0</v>
      </c>
      <c r="G569" s="1">
        <v>0.0</v>
      </c>
      <c r="H569" s="1">
        <v>84.46</v>
      </c>
      <c r="I569" s="14">
        <v>44393.0</v>
      </c>
      <c r="J569" s="1" t="s">
        <v>4308</v>
      </c>
      <c r="K569" s="15" t="s">
        <v>4876</v>
      </c>
      <c r="L569" s="60" t="str">
        <f t="shared" si="1"/>
        <v>Not in buy Zone</v>
      </c>
      <c r="M569" s="60" t="str">
        <f t="shared" si="2"/>
        <v>Not in buy Zone</v>
      </c>
      <c r="N569" s="33" t="str">
        <f t="shared" si="3"/>
        <v>No</v>
      </c>
    </row>
    <row r="570">
      <c r="A570" s="1" t="s">
        <v>598</v>
      </c>
      <c r="B570" s="1">
        <v>0.0</v>
      </c>
      <c r="C570" s="1">
        <v>0.0</v>
      </c>
      <c r="D570" s="1">
        <v>0.0</v>
      </c>
      <c r="E570" s="1">
        <v>227.08</v>
      </c>
      <c r="F570" s="54">
        <v>44384.0</v>
      </c>
      <c r="G570" s="1">
        <v>0.0</v>
      </c>
      <c r="H570" s="1">
        <v>224.01</v>
      </c>
      <c r="I570" s="14">
        <v>44393.0</v>
      </c>
      <c r="J570" s="1" t="s">
        <v>4308</v>
      </c>
      <c r="K570" s="15" t="s">
        <v>4877</v>
      </c>
      <c r="L570" s="60" t="str">
        <f t="shared" si="1"/>
        <v>Not in buy Zone</v>
      </c>
      <c r="M570" s="60" t="str">
        <f t="shared" si="2"/>
        <v>Not in buy Zone</v>
      </c>
      <c r="N570" s="33" t="str">
        <f t="shared" si="3"/>
        <v>No</v>
      </c>
    </row>
    <row r="571">
      <c r="A571" s="1" t="s">
        <v>599</v>
      </c>
      <c r="B571" s="1">
        <v>0.0</v>
      </c>
      <c r="C571" s="1">
        <v>0.0</v>
      </c>
      <c r="D571" s="1">
        <v>202.59</v>
      </c>
      <c r="E571" s="1">
        <v>0.0</v>
      </c>
      <c r="F571" s="54">
        <v>44371.0</v>
      </c>
      <c r="G571" s="1">
        <v>0.0</v>
      </c>
      <c r="H571" s="1">
        <v>203.05</v>
      </c>
      <c r="I571" s="14">
        <v>44393.0</v>
      </c>
      <c r="J571" s="1" t="s">
        <v>4308</v>
      </c>
      <c r="K571" s="15" t="s">
        <v>4878</v>
      </c>
      <c r="L571" s="60" t="str">
        <f t="shared" si="1"/>
        <v>Not in buy Zone</v>
      </c>
      <c r="M571" s="60" t="str">
        <f t="shared" si="2"/>
        <v>Not in buy Zone</v>
      </c>
      <c r="N571" s="33" t="str">
        <f t="shared" si="3"/>
        <v>No</v>
      </c>
    </row>
    <row r="572">
      <c r="A572" s="1" t="s">
        <v>600</v>
      </c>
      <c r="B572" s="1">
        <v>0.0</v>
      </c>
      <c r="C572" s="1">
        <v>0.0</v>
      </c>
      <c r="D572" s="1">
        <v>177.79</v>
      </c>
      <c r="E572" s="1">
        <v>0.0</v>
      </c>
      <c r="F572" s="54">
        <v>44371.0</v>
      </c>
      <c r="G572" s="1">
        <v>0.0</v>
      </c>
      <c r="H572" s="1">
        <v>188.11</v>
      </c>
      <c r="I572" s="14">
        <v>44393.0</v>
      </c>
      <c r="J572" s="1" t="s">
        <v>4308</v>
      </c>
      <c r="K572" s="15" t="s">
        <v>4879</v>
      </c>
      <c r="L572" s="60" t="str">
        <f t="shared" si="1"/>
        <v>Not in buy Zone</v>
      </c>
      <c r="M572" s="60" t="str">
        <f t="shared" si="2"/>
        <v>Not in buy Zone</v>
      </c>
      <c r="N572" s="33" t="str">
        <f t="shared" si="3"/>
        <v>No</v>
      </c>
    </row>
    <row r="573">
      <c r="A573" s="1" t="s">
        <v>601</v>
      </c>
      <c r="B573" s="1">
        <v>0.0</v>
      </c>
      <c r="C573" s="1">
        <v>0.0</v>
      </c>
      <c r="D573" s="1">
        <v>49.5</v>
      </c>
      <c r="E573" s="1">
        <v>0.0</v>
      </c>
      <c r="F573" s="54">
        <v>44389.0</v>
      </c>
      <c r="G573" s="1">
        <v>0.0</v>
      </c>
      <c r="H573" s="1">
        <v>46.73</v>
      </c>
      <c r="I573" s="14">
        <v>44393.0</v>
      </c>
      <c r="J573" s="1" t="s">
        <v>4308</v>
      </c>
      <c r="K573" s="15" t="s">
        <v>4880</v>
      </c>
      <c r="L573" s="60" t="str">
        <f t="shared" si="1"/>
        <v>Not in buy Zone</v>
      </c>
      <c r="M573" s="60" t="str">
        <f t="shared" si="2"/>
        <v>Not in buy Zone</v>
      </c>
      <c r="N573" s="33" t="str">
        <f t="shared" si="3"/>
        <v>No</v>
      </c>
    </row>
    <row r="574">
      <c r="A574" s="1" t="s">
        <v>602</v>
      </c>
      <c r="B574" s="1">
        <v>0.0</v>
      </c>
      <c r="C574" s="1">
        <v>0.0</v>
      </c>
      <c r="D574" s="1">
        <v>0.0</v>
      </c>
      <c r="E574" s="1">
        <v>257.05</v>
      </c>
      <c r="F574" s="54">
        <v>44392.0</v>
      </c>
      <c r="G574" s="1">
        <v>0.0</v>
      </c>
      <c r="H574" s="1">
        <v>257.59</v>
      </c>
      <c r="I574" s="14">
        <v>44393.0</v>
      </c>
      <c r="J574" s="1" t="s">
        <v>4308</v>
      </c>
      <c r="K574" s="15" t="s">
        <v>4881</v>
      </c>
      <c r="L574" s="60" t="str">
        <f t="shared" si="1"/>
        <v>Not in buy Zone</v>
      </c>
      <c r="M574" s="60" t="str">
        <f t="shared" si="2"/>
        <v>Not in buy Zone</v>
      </c>
      <c r="N574" s="33" t="str">
        <f t="shared" si="3"/>
        <v>No</v>
      </c>
    </row>
    <row r="575">
      <c r="A575" s="1" t="s">
        <v>603</v>
      </c>
      <c r="B575" s="1">
        <v>0.0</v>
      </c>
      <c r="C575" s="1">
        <v>0.0</v>
      </c>
      <c r="D575" s="1">
        <v>0.0</v>
      </c>
      <c r="E575" s="1">
        <v>81.72</v>
      </c>
      <c r="F575" s="54">
        <v>44328.0</v>
      </c>
      <c r="G575" s="1">
        <v>0.0</v>
      </c>
      <c r="H575" s="1">
        <v>71.58</v>
      </c>
      <c r="I575" s="14">
        <v>44393.0</v>
      </c>
      <c r="J575" s="1" t="s">
        <v>4308</v>
      </c>
      <c r="K575" s="15" t="s">
        <v>4882</v>
      </c>
      <c r="L575" s="60" t="str">
        <f t="shared" si="1"/>
        <v>Not in buy Zone</v>
      </c>
      <c r="M575" s="60" t="str">
        <f t="shared" si="2"/>
        <v>Not in buy Zone</v>
      </c>
      <c r="N575" s="33" t="str">
        <f t="shared" si="3"/>
        <v>No</v>
      </c>
    </row>
    <row r="576">
      <c r="A576" s="1" t="s">
        <v>604</v>
      </c>
      <c r="B576" s="1">
        <v>0.0</v>
      </c>
      <c r="C576" s="1">
        <v>0.0</v>
      </c>
      <c r="D576" s="1">
        <v>0.0</v>
      </c>
      <c r="E576" s="1">
        <v>31.37</v>
      </c>
      <c r="F576" s="54">
        <v>44333.0</v>
      </c>
      <c r="G576" s="1">
        <v>0.0</v>
      </c>
      <c r="H576" s="1">
        <v>28.34</v>
      </c>
      <c r="I576" s="14">
        <v>44393.0</v>
      </c>
      <c r="J576" s="1" t="s">
        <v>4308</v>
      </c>
      <c r="K576" s="15" t="s">
        <v>4883</v>
      </c>
      <c r="L576" s="60" t="str">
        <f t="shared" si="1"/>
        <v>Not in buy Zone</v>
      </c>
      <c r="M576" s="60" t="str">
        <f t="shared" si="2"/>
        <v>Not in buy Zone</v>
      </c>
      <c r="N576" s="33" t="str">
        <f t="shared" si="3"/>
        <v>No</v>
      </c>
    </row>
    <row r="577">
      <c r="A577" s="1" t="s">
        <v>605</v>
      </c>
      <c r="B577" s="1">
        <v>0.0</v>
      </c>
      <c r="C577" s="1">
        <v>0.0</v>
      </c>
      <c r="D577" s="1">
        <v>0.0</v>
      </c>
      <c r="E577" s="1">
        <v>58.14</v>
      </c>
      <c r="F577" s="54">
        <v>44362.0</v>
      </c>
      <c r="G577" s="1">
        <v>0.0</v>
      </c>
      <c r="H577" s="1">
        <v>50.49</v>
      </c>
      <c r="I577" s="14">
        <v>44393.0</v>
      </c>
      <c r="J577" s="1" t="s">
        <v>4308</v>
      </c>
      <c r="K577" s="15" t="s">
        <v>4884</v>
      </c>
      <c r="L577" s="60" t="str">
        <f t="shared" si="1"/>
        <v>Not in buy Zone</v>
      </c>
      <c r="M577" s="60" t="str">
        <f t="shared" si="2"/>
        <v>Not in buy Zone</v>
      </c>
      <c r="N577" s="33" t="str">
        <f t="shared" si="3"/>
        <v>No</v>
      </c>
    </row>
    <row r="578">
      <c r="A578" s="1" t="s">
        <v>606</v>
      </c>
      <c r="B578" s="1">
        <v>0.0</v>
      </c>
      <c r="C578" s="1">
        <v>0.0</v>
      </c>
      <c r="D578" s="1">
        <v>0.0</v>
      </c>
      <c r="E578" s="1">
        <v>37.68</v>
      </c>
      <c r="F578" s="54">
        <v>44354.0</v>
      </c>
      <c r="G578" s="1">
        <v>0.0</v>
      </c>
      <c r="H578" s="1">
        <v>30.22</v>
      </c>
      <c r="I578" s="14">
        <v>44393.0</v>
      </c>
      <c r="J578" s="1" t="s">
        <v>4308</v>
      </c>
      <c r="K578" s="15" t="s">
        <v>4885</v>
      </c>
      <c r="L578" s="60" t="str">
        <f t="shared" si="1"/>
        <v>Not in buy Zone</v>
      </c>
      <c r="M578" s="60" t="str">
        <f t="shared" si="2"/>
        <v>Not in buy Zone</v>
      </c>
      <c r="N578" s="33" t="str">
        <f t="shared" si="3"/>
        <v>No</v>
      </c>
    </row>
    <row r="579">
      <c r="A579" s="1" t="s">
        <v>607</v>
      </c>
      <c r="B579" s="1">
        <v>0.0</v>
      </c>
      <c r="C579" s="1">
        <v>0.0</v>
      </c>
      <c r="D579" s="1">
        <v>0.0</v>
      </c>
      <c r="E579" s="1">
        <v>644.23</v>
      </c>
      <c r="F579" s="54">
        <v>44376.0</v>
      </c>
      <c r="G579" s="1">
        <v>0.0</v>
      </c>
      <c r="H579" s="1">
        <v>633.58</v>
      </c>
      <c r="I579" s="14">
        <v>44393.0</v>
      </c>
      <c r="J579" s="1" t="s">
        <v>4308</v>
      </c>
      <c r="K579" s="15" t="s">
        <v>4886</v>
      </c>
      <c r="L579" s="60" t="str">
        <f t="shared" si="1"/>
        <v>Not in buy Zone</v>
      </c>
      <c r="M579" s="60" t="str">
        <f t="shared" si="2"/>
        <v>Not in buy Zone</v>
      </c>
      <c r="N579" s="33" t="str">
        <f t="shared" si="3"/>
        <v>No</v>
      </c>
    </row>
    <row r="580">
      <c r="A580" s="1" t="s">
        <v>608</v>
      </c>
      <c r="B580" s="1">
        <v>0.0</v>
      </c>
      <c r="C580" s="1">
        <v>0.0</v>
      </c>
      <c r="D580" s="1">
        <v>0.0</v>
      </c>
      <c r="E580" s="1">
        <v>158.26</v>
      </c>
      <c r="F580" s="54">
        <v>44384.0</v>
      </c>
      <c r="G580" s="1">
        <v>0.0</v>
      </c>
      <c r="H580" s="1">
        <v>146.78</v>
      </c>
      <c r="I580" s="14">
        <v>44393.0</v>
      </c>
      <c r="J580" s="1" t="s">
        <v>4308</v>
      </c>
      <c r="K580" s="15" t="s">
        <v>4887</v>
      </c>
      <c r="L580" s="60" t="str">
        <f t="shared" si="1"/>
        <v>Not in buy Zone</v>
      </c>
      <c r="M580" s="60" t="str">
        <f t="shared" si="2"/>
        <v>Not in buy Zone</v>
      </c>
      <c r="N580" s="33" t="str">
        <f t="shared" si="3"/>
        <v>No</v>
      </c>
    </row>
    <row r="581">
      <c r="A581" s="1" t="s">
        <v>609</v>
      </c>
      <c r="B581" s="1">
        <v>0.0</v>
      </c>
      <c r="C581" s="1">
        <v>0.0</v>
      </c>
      <c r="D581" s="1">
        <v>429.07</v>
      </c>
      <c r="E581" s="1">
        <v>0.0</v>
      </c>
      <c r="F581" s="54">
        <v>44348.0</v>
      </c>
      <c r="G581" s="1">
        <v>0.0</v>
      </c>
      <c r="H581" s="1">
        <v>434.86</v>
      </c>
      <c r="I581" s="14">
        <v>44393.0</v>
      </c>
      <c r="J581" s="1" t="s">
        <v>4308</v>
      </c>
      <c r="K581" s="15" t="s">
        <v>4888</v>
      </c>
      <c r="L581" s="60" t="str">
        <f t="shared" si="1"/>
        <v>Not in buy Zone</v>
      </c>
      <c r="M581" s="60" t="str">
        <f t="shared" si="2"/>
        <v>Not in buy Zone</v>
      </c>
      <c r="N581" s="33" t="str">
        <f t="shared" si="3"/>
        <v>No</v>
      </c>
    </row>
    <row r="582">
      <c r="A582" s="1" t="s">
        <v>610</v>
      </c>
      <c r="B582" s="1">
        <v>0.0</v>
      </c>
      <c r="C582" s="1">
        <v>0.0</v>
      </c>
      <c r="D582" s="1">
        <v>231.89</v>
      </c>
      <c r="E582" s="1">
        <v>0.0</v>
      </c>
      <c r="F582" s="54">
        <v>44343.0</v>
      </c>
      <c r="G582" s="1">
        <v>0.0</v>
      </c>
      <c r="H582" s="1">
        <v>260.64</v>
      </c>
      <c r="I582" s="14">
        <v>44393.0</v>
      </c>
      <c r="J582" s="1" t="s">
        <v>4308</v>
      </c>
      <c r="K582" s="15" t="s">
        <v>4889</v>
      </c>
      <c r="L582" s="60" t="str">
        <f t="shared" si="1"/>
        <v>Not in buy Zone</v>
      </c>
      <c r="M582" s="60" t="str">
        <f t="shared" si="2"/>
        <v>Not in buy Zone</v>
      </c>
      <c r="N582" s="33" t="str">
        <f t="shared" si="3"/>
        <v>No</v>
      </c>
    </row>
    <row r="583">
      <c r="A583" s="1" t="s">
        <v>611</v>
      </c>
      <c r="B583" s="1">
        <v>0.0</v>
      </c>
      <c r="C583" s="1">
        <v>0.0</v>
      </c>
      <c r="D583" s="1">
        <v>136.73</v>
      </c>
      <c r="E583" s="1">
        <v>0.0</v>
      </c>
      <c r="F583" s="54">
        <v>44378.0</v>
      </c>
      <c r="G583" s="1">
        <v>0.0</v>
      </c>
      <c r="H583" s="1">
        <v>134.31</v>
      </c>
      <c r="I583" s="14">
        <v>44393.0</v>
      </c>
      <c r="J583" s="1" t="s">
        <v>4308</v>
      </c>
      <c r="K583" s="15" t="s">
        <v>4890</v>
      </c>
      <c r="L583" s="60" t="str">
        <f t="shared" si="1"/>
        <v>Not in buy Zone</v>
      </c>
      <c r="M583" s="60" t="str">
        <f t="shared" si="2"/>
        <v>Not in buy Zone</v>
      </c>
      <c r="N583" s="33" t="str">
        <f t="shared" si="3"/>
        <v>No</v>
      </c>
    </row>
    <row r="584">
      <c r="A584" s="1" t="s">
        <v>612</v>
      </c>
      <c r="B584" s="1">
        <v>0.0</v>
      </c>
      <c r="C584" s="1">
        <v>0.0</v>
      </c>
      <c r="D584" s="1">
        <v>0.0</v>
      </c>
      <c r="E584" s="1">
        <v>126.47</v>
      </c>
      <c r="F584" s="54">
        <v>44383.0</v>
      </c>
      <c r="G584" s="1">
        <v>0.0</v>
      </c>
      <c r="H584" s="1">
        <v>119.89</v>
      </c>
      <c r="I584" s="14">
        <v>44393.0</v>
      </c>
      <c r="J584" s="1" t="s">
        <v>4308</v>
      </c>
      <c r="K584" s="15" t="s">
        <v>4891</v>
      </c>
      <c r="L584" s="60" t="str">
        <f t="shared" si="1"/>
        <v>Not in buy Zone</v>
      </c>
      <c r="M584" s="60" t="str">
        <f t="shared" si="2"/>
        <v>Not in buy Zone</v>
      </c>
      <c r="N584" s="33" t="str">
        <f t="shared" si="3"/>
        <v>No</v>
      </c>
    </row>
    <row r="585">
      <c r="A585" s="1" t="s">
        <v>613</v>
      </c>
      <c r="B585" s="1">
        <v>0.0</v>
      </c>
      <c r="C585" s="1">
        <v>0.0</v>
      </c>
      <c r="D585" s="1">
        <v>55.6</v>
      </c>
      <c r="E585" s="1">
        <v>0.0</v>
      </c>
      <c r="F585" s="54">
        <v>44389.0</v>
      </c>
      <c r="G585" s="1">
        <v>0.0</v>
      </c>
      <c r="H585" s="1">
        <v>54.39</v>
      </c>
      <c r="I585" s="14">
        <v>44393.0</v>
      </c>
      <c r="J585" s="1" t="s">
        <v>4308</v>
      </c>
      <c r="K585" s="15" t="s">
        <v>4892</v>
      </c>
      <c r="L585" s="60" t="str">
        <f t="shared" si="1"/>
        <v>Not in buy Zone</v>
      </c>
      <c r="M585" s="60" t="str">
        <f t="shared" si="2"/>
        <v>Not in buy Zone</v>
      </c>
      <c r="N585" s="33" t="str">
        <f t="shared" si="3"/>
        <v>No</v>
      </c>
    </row>
    <row r="586">
      <c r="A586" s="1" t="s">
        <v>614</v>
      </c>
      <c r="B586" s="1">
        <v>0.0</v>
      </c>
      <c r="C586" s="1">
        <v>0.0</v>
      </c>
      <c r="D586" s="1">
        <v>0.0</v>
      </c>
      <c r="E586" s="1">
        <v>376.2</v>
      </c>
      <c r="F586" s="54">
        <v>44392.0</v>
      </c>
      <c r="G586" s="1">
        <v>0.0</v>
      </c>
      <c r="H586" s="1">
        <v>390.32</v>
      </c>
      <c r="I586" s="14">
        <v>44393.0</v>
      </c>
      <c r="J586" s="1" t="s">
        <v>4308</v>
      </c>
      <c r="K586" s="15" t="s">
        <v>4893</v>
      </c>
      <c r="L586" s="60" t="str">
        <f t="shared" si="1"/>
        <v>Not in buy Zone</v>
      </c>
      <c r="M586" s="60" t="str">
        <f t="shared" si="2"/>
        <v>Not in buy Zone</v>
      </c>
      <c r="N586" s="33" t="str">
        <f t="shared" si="3"/>
        <v>No</v>
      </c>
    </row>
    <row r="587">
      <c r="A587" s="1" t="s">
        <v>615</v>
      </c>
      <c r="B587" s="1">
        <v>0.0</v>
      </c>
      <c r="C587" s="1">
        <v>0.0</v>
      </c>
      <c r="D587" s="1">
        <v>219.01</v>
      </c>
      <c r="E587" s="1">
        <v>0.0</v>
      </c>
      <c r="F587" s="54">
        <v>44335.0</v>
      </c>
      <c r="G587" s="1">
        <v>0.0</v>
      </c>
      <c r="H587" s="1">
        <v>251.15</v>
      </c>
      <c r="I587" s="14">
        <v>44393.0</v>
      </c>
      <c r="J587" s="1" t="s">
        <v>4308</v>
      </c>
      <c r="K587" s="15" t="s">
        <v>4894</v>
      </c>
      <c r="L587" s="60" t="str">
        <f t="shared" si="1"/>
        <v>Not in buy Zone</v>
      </c>
      <c r="M587" s="60" t="str">
        <f t="shared" si="2"/>
        <v>Not in buy Zone</v>
      </c>
      <c r="N587" s="33" t="str">
        <f t="shared" si="3"/>
        <v>No</v>
      </c>
    </row>
    <row r="588">
      <c r="A588" s="1" t="s">
        <v>616</v>
      </c>
      <c r="B588" s="1">
        <v>0.0</v>
      </c>
      <c r="C588" s="1">
        <v>0.0</v>
      </c>
      <c r="D588" s="1">
        <v>128.01</v>
      </c>
      <c r="E588" s="1">
        <v>0.0</v>
      </c>
      <c r="F588" s="54">
        <v>44377.0</v>
      </c>
      <c r="G588" s="1">
        <v>0.0</v>
      </c>
      <c r="H588" s="1">
        <v>129.0</v>
      </c>
      <c r="I588" s="14">
        <v>44393.0</v>
      </c>
      <c r="J588" s="1" t="s">
        <v>4308</v>
      </c>
      <c r="K588" s="15" t="s">
        <v>4895</v>
      </c>
      <c r="L588" s="60" t="str">
        <f t="shared" si="1"/>
        <v>Not in buy Zone</v>
      </c>
      <c r="M588" s="60" t="str">
        <f t="shared" si="2"/>
        <v>Not in buy Zone</v>
      </c>
      <c r="N588" s="33" t="str">
        <f t="shared" si="3"/>
        <v>No</v>
      </c>
    </row>
    <row r="589">
      <c r="A589" s="1" t="s">
        <v>617</v>
      </c>
      <c r="B589" s="1">
        <v>0.0</v>
      </c>
      <c r="C589" s="1">
        <v>0.0</v>
      </c>
      <c r="D589" s="1">
        <v>66.97</v>
      </c>
      <c r="E589" s="1">
        <v>0.0</v>
      </c>
      <c r="F589" s="54">
        <v>44371.0</v>
      </c>
      <c r="G589" s="1">
        <v>0.0</v>
      </c>
      <c r="H589" s="1">
        <v>67.41</v>
      </c>
      <c r="I589" s="14">
        <v>44393.0</v>
      </c>
      <c r="J589" s="1" t="s">
        <v>4308</v>
      </c>
      <c r="K589" s="15" t="s">
        <v>4896</v>
      </c>
      <c r="L589" s="60" t="str">
        <f t="shared" si="1"/>
        <v>Not in buy Zone</v>
      </c>
      <c r="M589" s="60" t="str">
        <f t="shared" si="2"/>
        <v>Not in buy Zone</v>
      </c>
      <c r="N589" s="33" t="str">
        <f t="shared" si="3"/>
        <v>No</v>
      </c>
    </row>
    <row r="590">
      <c r="A590" s="1" t="s">
        <v>618</v>
      </c>
      <c r="B590" s="1">
        <v>0.0</v>
      </c>
      <c r="C590" s="1">
        <v>0.0</v>
      </c>
      <c r="D590" s="1">
        <v>0.0</v>
      </c>
      <c r="E590" s="1">
        <v>145.22</v>
      </c>
      <c r="F590" s="54">
        <v>44390.0</v>
      </c>
      <c r="G590" s="1">
        <v>0.0</v>
      </c>
      <c r="H590" s="1">
        <v>148.21</v>
      </c>
      <c r="I590" s="14">
        <v>44393.0</v>
      </c>
      <c r="J590" s="1" t="s">
        <v>4308</v>
      </c>
      <c r="K590" s="15" t="s">
        <v>4897</v>
      </c>
      <c r="L590" s="60" t="str">
        <f t="shared" si="1"/>
        <v>Not in buy Zone</v>
      </c>
      <c r="M590" s="60" t="str">
        <f t="shared" si="2"/>
        <v>Not in buy Zone</v>
      </c>
      <c r="N590" s="33" t="str">
        <f t="shared" si="3"/>
        <v>No</v>
      </c>
    </row>
    <row r="591">
      <c r="A591" s="1" t="s">
        <v>619</v>
      </c>
      <c r="B591" s="1">
        <v>0.0</v>
      </c>
      <c r="C591" s="1">
        <v>0.0</v>
      </c>
      <c r="D591" s="1">
        <v>464.91</v>
      </c>
      <c r="E591" s="1">
        <v>0.0</v>
      </c>
      <c r="F591" s="54">
        <v>44357.0</v>
      </c>
      <c r="G591" s="1">
        <v>0.0</v>
      </c>
      <c r="H591" s="1">
        <v>519.79</v>
      </c>
      <c r="I591" s="14">
        <v>44393.0</v>
      </c>
      <c r="J591" s="1" t="s">
        <v>4308</v>
      </c>
      <c r="K591" s="15" t="s">
        <v>4898</v>
      </c>
      <c r="L591" s="60" t="str">
        <f t="shared" si="1"/>
        <v>Not in buy Zone</v>
      </c>
      <c r="M591" s="60" t="str">
        <f t="shared" si="2"/>
        <v>Not in buy Zone</v>
      </c>
      <c r="N591" s="33" t="str">
        <f t="shared" si="3"/>
        <v>No</v>
      </c>
    </row>
    <row r="592">
      <c r="A592" s="1" t="s">
        <v>620</v>
      </c>
      <c r="B592" s="1">
        <v>0.0</v>
      </c>
      <c r="C592" s="1">
        <v>0.0</v>
      </c>
      <c r="D592" s="1">
        <v>141.31</v>
      </c>
      <c r="E592" s="1">
        <v>0.0</v>
      </c>
      <c r="F592" s="54">
        <v>44343.0</v>
      </c>
      <c r="G592" s="1">
        <v>0.0</v>
      </c>
      <c r="H592" s="1">
        <v>149.41</v>
      </c>
      <c r="I592" s="14">
        <v>44393.0</v>
      </c>
      <c r="J592" s="1" t="s">
        <v>4308</v>
      </c>
      <c r="K592" s="15" t="s">
        <v>4899</v>
      </c>
      <c r="L592" s="60" t="str">
        <f t="shared" si="1"/>
        <v>Not in buy Zone</v>
      </c>
      <c r="M592" s="60" t="str">
        <f t="shared" si="2"/>
        <v>Not in buy Zone</v>
      </c>
      <c r="N592" s="33" t="str">
        <f t="shared" si="3"/>
        <v>No</v>
      </c>
    </row>
    <row r="593">
      <c r="A593" s="1" t="s">
        <v>621</v>
      </c>
      <c r="B593" s="1">
        <v>0.0</v>
      </c>
      <c r="C593" s="1">
        <v>0.0</v>
      </c>
      <c r="D593" s="1">
        <v>0.0</v>
      </c>
      <c r="E593" s="1">
        <v>44.74</v>
      </c>
      <c r="F593" s="54">
        <v>44328.0</v>
      </c>
      <c r="G593" s="1">
        <v>0.0</v>
      </c>
      <c r="H593" s="1">
        <v>39.06</v>
      </c>
      <c r="I593" s="14">
        <v>44393.0</v>
      </c>
      <c r="J593" s="1" t="s">
        <v>4308</v>
      </c>
      <c r="K593" s="15" t="s">
        <v>4900</v>
      </c>
      <c r="L593" s="60" t="str">
        <f t="shared" si="1"/>
        <v>Not in buy Zone</v>
      </c>
      <c r="M593" s="60" t="str">
        <f t="shared" si="2"/>
        <v>Not in buy Zone</v>
      </c>
      <c r="N593" s="33" t="str">
        <f t="shared" si="3"/>
        <v>No</v>
      </c>
    </row>
    <row r="594">
      <c r="A594" s="1" t="s">
        <v>622</v>
      </c>
      <c r="B594" s="1">
        <v>0.0</v>
      </c>
      <c r="C594" s="1">
        <v>0.0</v>
      </c>
      <c r="D594" s="1">
        <v>101.28</v>
      </c>
      <c r="E594" s="1">
        <v>0.0</v>
      </c>
      <c r="F594" s="54">
        <v>44340.0</v>
      </c>
      <c r="G594" s="1">
        <v>0.0</v>
      </c>
      <c r="H594" s="1">
        <v>125.53</v>
      </c>
      <c r="I594" s="14">
        <v>44393.0</v>
      </c>
      <c r="J594" s="1" t="s">
        <v>4308</v>
      </c>
      <c r="K594" s="15" t="s">
        <v>4901</v>
      </c>
      <c r="L594" s="60" t="str">
        <f t="shared" si="1"/>
        <v>Not in buy Zone</v>
      </c>
      <c r="M594" s="60" t="str">
        <f t="shared" si="2"/>
        <v>Not in buy Zone</v>
      </c>
      <c r="N594" s="33" t="str">
        <f t="shared" si="3"/>
        <v>No</v>
      </c>
    </row>
    <row r="595">
      <c r="A595" s="1" t="s">
        <v>623</v>
      </c>
      <c r="B595" s="1">
        <v>0.0</v>
      </c>
      <c r="C595" s="1">
        <v>0.0</v>
      </c>
      <c r="D595" s="1">
        <v>0.0</v>
      </c>
      <c r="E595" s="1">
        <v>44.18</v>
      </c>
      <c r="F595" s="54">
        <v>44365.0</v>
      </c>
      <c r="G595" s="1">
        <v>0.0</v>
      </c>
      <c r="H595" s="1">
        <v>41.33</v>
      </c>
      <c r="I595" s="14">
        <v>44393.0</v>
      </c>
      <c r="J595" s="1" t="s">
        <v>4308</v>
      </c>
      <c r="K595" s="15" t="s">
        <v>4902</v>
      </c>
      <c r="L595" s="60" t="str">
        <f t="shared" si="1"/>
        <v>Not in buy Zone</v>
      </c>
      <c r="M595" s="60" t="str">
        <f t="shared" si="2"/>
        <v>Not in buy Zone</v>
      </c>
      <c r="N595" s="33" t="str">
        <f t="shared" si="3"/>
        <v>No</v>
      </c>
    </row>
    <row r="596">
      <c r="A596" s="1" t="s">
        <v>624</v>
      </c>
      <c r="B596" s="1">
        <v>0.0</v>
      </c>
      <c r="C596" s="1">
        <v>0.0</v>
      </c>
      <c r="D596" s="1">
        <v>0.0</v>
      </c>
      <c r="E596" s="1">
        <v>53.68</v>
      </c>
      <c r="F596" s="54">
        <v>44277.0</v>
      </c>
      <c r="G596" s="1">
        <v>0.0</v>
      </c>
      <c r="H596" s="1">
        <v>35.28</v>
      </c>
      <c r="I596" s="14">
        <v>44393.0</v>
      </c>
      <c r="J596" s="1" t="s">
        <v>4308</v>
      </c>
      <c r="K596" s="15" t="s">
        <v>4903</v>
      </c>
      <c r="L596" s="60" t="str">
        <f t="shared" si="1"/>
        <v>Not in buy Zone</v>
      </c>
      <c r="M596" s="60" t="str">
        <f t="shared" si="2"/>
        <v>Not in buy Zone</v>
      </c>
      <c r="N596" s="33" t="str">
        <f t="shared" si="3"/>
        <v>No</v>
      </c>
    </row>
    <row r="597">
      <c r="A597" s="1" t="s">
        <v>625</v>
      </c>
      <c r="B597" s="1">
        <v>0.0</v>
      </c>
      <c r="C597" s="1">
        <v>0.0</v>
      </c>
      <c r="D597" s="1">
        <v>0.0</v>
      </c>
      <c r="E597" s="1">
        <v>80.94</v>
      </c>
      <c r="F597" s="54">
        <v>44392.0</v>
      </c>
      <c r="G597" s="1">
        <v>0.0</v>
      </c>
      <c r="H597" s="1">
        <v>79.22</v>
      </c>
      <c r="I597" s="14">
        <v>44393.0</v>
      </c>
      <c r="J597" s="1" t="s">
        <v>4308</v>
      </c>
      <c r="K597" s="15" t="s">
        <v>4904</v>
      </c>
      <c r="L597" s="60" t="str">
        <f t="shared" si="1"/>
        <v>Not in buy Zone</v>
      </c>
      <c r="M597" s="60" t="str">
        <f t="shared" si="2"/>
        <v>Not in buy Zone</v>
      </c>
      <c r="N597" s="33" t="str">
        <f t="shared" si="3"/>
        <v>No</v>
      </c>
    </row>
    <row r="598">
      <c r="A598" s="1" t="s">
        <v>626</v>
      </c>
      <c r="B598" s="1">
        <v>0.0</v>
      </c>
      <c r="C598" s="1">
        <v>0.0</v>
      </c>
      <c r="D598" s="1">
        <v>137.38</v>
      </c>
      <c r="E598" s="1">
        <v>0.0</v>
      </c>
      <c r="F598" s="54">
        <v>44140.0</v>
      </c>
      <c r="G598" s="1">
        <v>0.0</v>
      </c>
      <c r="H598" s="1">
        <v>203.41</v>
      </c>
      <c r="I598" s="14">
        <v>44393.0</v>
      </c>
      <c r="J598" s="1" t="s">
        <v>4308</v>
      </c>
      <c r="K598" s="15" t="s">
        <v>4905</v>
      </c>
      <c r="L598" s="60" t="str">
        <f t="shared" si="1"/>
        <v>Not in buy Zone</v>
      </c>
      <c r="M598" s="60" t="str">
        <f t="shared" si="2"/>
        <v>Not in buy Zone</v>
      </c>
      <c r="N598" s="33" t="str">
        <f t="shared" si="3"/>
        <v>No</v>
      </c>
    </row>
    <row r="599">
      <c r="A599" s="1" t="s">
        <v>627</v>
      </c>
      <c r="B599" s="1">
        <v>0.0</v>
      </c>
      <c r="C599" s="1">
        <v>0.0</v>
      </c>
      <c r="D599" s="1">
        <v>151.83</v>
      </c>
      <c r="E599" s="1">
        <v>0.0</v>
      </c>
      <c r="F599" s="54">
        <v>44378.0</v>
      </c>
      <c r="G599" s="1">
        <v>0.0</v>
      </c>
      <c r="H599" s="1">
        <v>156.39</v>
      </c>
      <c r="I599" s="14">
        <v>44393.0</v>
      </c>
      <c r="J599" s="1" t="s">
        <v>4308</v>
      </c>
      <c r="K599" s="15" t="s">
        <v>4906</v>
      </c>
      <c r="L599" s="60" t="str">
        <f t="shared" si="1"/>
        <v>Not in buy Zone</v>
      </c>
      <c r="M599" s="60" t="str">
        <f t="shared" si="2"/>
        <v>Not in buy Zone</v>
      </c>
      <c r="N599" s="33" t="str">
        <f t="shared" si="3"/>
        <v>No</v>
      </c>
    </row>
    <row r="600">
      <c r="A600" s="1" t="s">
        <v>628</v>
      </c>
      <c r="B600" s="1">
        <v>0.0</v>
      </c>
      <c r="C600" s="1">
        <v>0.0</v>
      </c>
      <c r="D600" s="1">
        <v>180.96</v>
      </c>
      <c r="E600" s="1">
        <v>0.0</v>
      </c>
      <c r="F600" s="54">
        <v>44371.0</v>
      </c>
      <c r="G600" s="1">
        <v>0.0</v>
      </c>
      <c r="H600" s="1">
        <v>189.0</v>
      </c>
      <c r="I600" s="14">
        <v>44393.0</v>
      </c>
      <c r="J600" s="1" t="s">
        <v>4308</v>
      </c>
      <c r="K600" s="15" t="s">
        <v>4907</v>
      </c>
      <c r="L600" s="60" t="str">
        <f t="shared" si="1"/>
        <v>Not in buy Zone</v>
      </c>
      <c r="M600" s="60" t="str">
        <f t="shared" si="2"/>
        <v>Not in buy Zone</v>
      </c>
      <c r="N600" s="33" t="str">
        <f t="shared" si="3"/>
        <v>No</v>
      </c>
    </row>
    <row r="601">
      <c r="A601" s="1" t="s">
        <v>629</v>
      </c>
      <c r="B601" s="1">
        <v>0.0</v>
      </c>
      <c r="C601" s="1">
        <v>0.0</v>
      </c>
      <c r="D601" s="1">
        <v>656.57</v>
      </c>
      <c r="E601" s="1">
        <v>0.0</v>
      </c>
      <c r="F601" s="54">
        <v>44370.0</v>
      </c>
      <c r="G601" s="1">
        <v>0.0</v>
      </c>
      <c r="H601" s="1">
        <v>644.22</v>
      </c>
      <c r="I601" s="14">
        <v>44393.0</v>
      </c>
      <c r="J601" s="1" t="s">
        <v>4308</v>
      </c>
      <c r="K601" s="15" t="s">
        <v>4908</v>
      </c>
      <c r="L601" s="60" t="str">
        <f t="shared" si="1"/>
        <v>Not in buy Zone</v>
      </c>
      <c r="M601" s="60" t="str">
        <f t="shared" si="2"/>
        <v>Not in buy Zone</v>
      </c>
      <c r="N601" s="33" t="str">
        <f t="shared" si="3"/>
        <v>No</v>
      </c>
    </row>
    <row r="602">
      <c r="A602" s="1" t="s">
        <v>630</v>
      </c>
      <c r="B602" s="1">
        <v>0.0</v>
      </c>
      <c r="C602" s="1">
        <v>0.0</v>
      </c>
      <c r="D602" s="1">
        <v>0.0</v>
      </c>
      <c r="E602" s="1">
        <v>77.4</v>
      </c>
      <c r="F602" s="54">
        <v>44356.0</v>
      </c>
      <c r="G602" s="1">
        <v>0.0</v>
      </c>
      <c r="H602" s="1">
        <v>71.4</v>
      </c>
      <c r="I602" s="14">
        <v>44393.0</v>
      </c>
      <c r="J602" s="1" t="s">
        <v>4308</v>
      </c>
      <c r="K602" s="15" t="s">
        <v>4909</v>
      </c>
      <c r="L602" s="60" t="str">
        <f t="shared" si="1"/>
        <v>Not in buy Zone</v>
      </c>
      <c r="M602" s="60" t="str">
        <f t="shared" si="2"/>
        <v>Not in buy Zone</v>
      </c>
      <c r="N602" s="33" t="str">
        <f t="shared" si="3"/>
        <v>No</v>
      </c>
    </row>
    <row r="603">
      <c r="A603" s="1" t="s">
        <v>631</v>
      </c>
      <c r="B603" s="1">
        <v>0.0</v>
      </c>
      <c r="C603" s="1">
        <v>0.0</v>
      </c>
      <c r="D603" s="1">
        <v>182.74</v>
      </c>
      <c r="E603" s="1">
        <v>0.0</v>
      </c>
      <c r="F603" s="54">
        <v>44375.0</v>
      </c>
      <c r="G603" s="1">
        <v>0.0</v>
      </c>
      <c r="H603" s="1">
        <v>192.26</v>
      </c>
      <c r="I603" s="14">
        <v>44393.0</v>
      </c>
      <c r="J603" s="1" t="s">
        <v>4308</v>
      </c>
      <c r="K603" s="15" t="s">
        <v>4910</v>
      </c>
      <c r="L603" s="60" t="str">
        <f t="shared" si="1"/>
        <v>Not in buy Zone</v>
      </c>
      <c r="M603" s="60" t="str">
        <f t="shared" si="2"/>
        <v>Not in buy Zone</v>
      </c>
      <c r="N603" s="33" t="str">
        <f t="shared" si="3"/>
        <v>No</v>
      </c>
    </row>
    <row r="604">
      <c r="A604" s="1" t="s">
        <v>632</v>
      </c>
      <c r="B604" s="1">
        <v>0.0</v>
      </c>
      <c r="C604" s="1">
        <v>0.0</v>
      </c>
      <c r="D604" s="1">
        <v>0.0</v>
      </c>
      <c r="E604" s="1">
        <v>71.99</v>
      </c>
      <c r="F604" s="54">
        <v>44392.0</v>
      </c>
      <c r="G604" s="1">
        <v>0.0</v>
      </c>
      <c r="H604" s="1">
        <v>70.62</v>
      </c>
      <c r="I604" s="14">
        <v>44393.0</v>
      </c>
      <c r="J604" s="1" t="s">
        <v>4308</v>
      </c>
      <c r="K604" s="15" t="s">
        <v>4911</v>
      </c>
      <c r="L604" s="60" t="str">
        <f t="shared" si="1"/>
        <v>Not in buy Zone</v>
      </c>
      <c r="M604" s="60" t="str">
        <f t="shared" si="2"/>
        <v>Not in buy Zone</v>
      </c>
      <c r="N604" s="33" t="str">
        <f t="shared" si="3"/>
        <v>No</v>
      </c>
    </row>
    <row r="605">
      <c r="A605" s="1" t="s">
        <v>633</v>
      </c>
      <c r="B605" s="1">
        <v>0.0</v>
      </c>
      <c r="C605" s="1">
        <v>0.0</v>
      </c>
      <c r="D605" s="1">
        <v>0.0</v>
      </c>
      <c r="E605" s="1">
        <v>176.91</v>
      </c>
      <c r="F605" s="54">
        <v>44349.0</v>
      </c>
      <c r="G605" s="1">
        <v>0.0</v>
      </c>
      <c r="H605" s="1">
        <v>170.52</v>
      </c>
      <c r="I605" s="14">
        <v>44393.0</v>
      </c>
      <c r="J605" s="1" t="s">
        <v>4308</v>
      </c>
      <c r="K605" s="15" t="s">
        <v>4912</v>
      </c>
      <c r="L605" s="60" t="str">
        <f t="shared" si="1"/>
        <v>Not in buy Zone</v>
      </c>
      <c r="M605" s="60" t="str">
        <f t="shared" si="2"/>
        <v>Not in buy Zone</v>
      </c>
      <c r="N605" s="33" t="str">
        <f t="shared" si="3"/>
        <v>No</v>
      </c>
    </row>
    <row r="606">
      <c r="A606" s="1" t="s">
        <v>634</v>
      </c>
      <c r="B606" s="1">
        <v>0.0</v>
      </c>
      <c r="C606" s="1">
        <v>0.0</v>
      </c>
      <c r="D606" s="1">
        <v>0.0</v>
      </c>
      <c r="E606" s="1">
        <v>366.27</v>
      </c>
      <c r="F606" s="54">
        <v>44392.0</v>
      </c>
      <c r="G606" s="1">
        <v>0.0</v>
      </c>
      <c r="H606" s="1">
        <v>374.98</v>
      </c>
      <c r="I606" s="14">
        <v>44393.0</v>
      </c>
      <c r="J606" s="1" t="s">
        <v>4308</v>
      </c>
      <c r="K606" s="15" t="s">
        <v>4913</v>
      </c>
      <c r="L606" s="60" t="str">
        <f t="shared" si="1"/>
        <v>Not in buy Zone</v>
      </c>
      <c r="M606" s="60" t="str">
        <f t="shared" si="2"/>
        <v>Not in buy Zone</v>
      </c>
      <c r="N606" s="33" t="str">
        <f t="shared" si="3"/>
        <v>No</v>
      </c>
    </row>
    <row r="607">
      <c r="A607" s="1" t="s">
        <v>635</v>
      </c>
      <c r="B607" s="1">
        <v>0.0</v>
      </c>
      <c r="C607" s="1">
        <v>66.41</v>
      </c>
      <c r="D607" s="1">
        <v>0.0</v>
      </c>
      <c r="E607" s="1">
        <v>0.0</v>
      </c>
      <c r="F607" s="54">
        <v>44393.0</v>
      </c>
      <c r="G607" s="1">
        <v>-1.0</v>
      </c>
      <c r="H607" s="1">
        <v>66.41</v>
      </c>
      <c r="I607" s="14">
        <v>44393.0</v>
      </c>
      <c r="J607" s="1" t="s">
        <v>4308</v>
      </c>
      <c r="K607" s="15" t="s">
        <v>4914</v>
      </c>
      <c r="L607" s="60" t="str">
        <f t="shared" si="1"/>
        <v>Not in buy Zone</v>
      </c>
      <c r="M607" s="60" t="str">
        <f t="shared" si="2"/>
        <v>Not in buy Zone</v>
      </c>
      <c r="N607" s="33" t="str">
        <f t="shared" si="3"/>
        <v>No</v>
      </c>
    </row>
    <row r="608">
      <c r="A608" s="1" t="s">
        <v>636</v>
      </c>
      <c r="B608" s="1">
        <v>0.0</v>
      </c>
      <c r="C608" s="1">
        <v>186.12</v>
      </c>
      <c r="D608" s="1">
        <v>0.0</v>
      </c>
      <c r="E608" s="1">
        <v>0.0</v>
      </c>
      <c r="F608" s="54">
        <v>44393.0</v>
      </c>
      <c r="G608" s="1">
        <v>-1.0</v>
      </c>
      <c r="H608" s="1">
        <v>186.12</v>
      </c>
      <c r="I608" s="14">
        <v>44393.0</v>
      </c>
      <c r="J608" s="1" t="s">
        <v>4308</v>
      </c>
      <c r="K608" s="15" t="s">
        <v>4915</v>
      </c>
      <c r="L608" s="60" t="str">
        <f t="shared" si="1"/>
        <v>Not in buy Zone</v>
      </c>
      <c r="M608" s="60" t="str">
        <f t="shared" si="2"/>
        <v>Not in buy Zone</v>
      </c>
      <c r="N608" s="33" t="str">
        <f t="shared" si="3"/>
        <v>No</v>
      </c>
    </row>
    <row r="609">
      <c r="A609" s="1" t="s">
        <v>637</v>
      </c>
      <c r="B609" s="1">
        <v>0.0</v>
      </c>
      <c r="C609" s="1">
        <v>0.0</v>
      </c>
      <c r="D609" s="1">
        <v>67.56</v>
      </c>
      <c r="E609" s="1">
        <v>0.0</v>
      </c>
      <c r="F609" s="54">
        <v>44376.0</v>
      </c>
      <c r="G609" s="1">
        <v>0.0</v>
      </c>
      <c r="H609" s="1">
        <v>66.28</v>
      </c>
      <c r="I609" s="14">
        <v>44393.0</v>
      </c>
      <c r="J609" s="1" t="s">
        <v>4308</v>
      </c>
      <c r="K609" s="15" t="s">
        <v>4916</v>
      </c>
      <c r="L609" s="60" t="str">
        <f t="shared" si="1"/>
        <v>Not in buy Zone</v>
      </c>
      <c r="M609" s="60" t="str">
        <f t="shared" si="2"/>
        <v>Not in buy Zone</v>
      </c>
      <c r="N609" s="33" t="str">
        <f t="shared" si="3"/>
        <v>No</v>
      </c>
    </row>
    <row r="610">
      <c r="A610" s="1" t="s">
        <v>638</v>
      </c>
      <c r="B610" s="1">
        <v>0.0</v>
      </c>
      <c r="C610" s="1">
        <v>0.0</v>
      </c>
      <c r="D610" s="1">
        <v>413.17</v>
      </c>
      <c r="E610" s="1">
        <v>0.0</v>
      </c>
      <c r="F610" s="54">
        <v>44355.0</v>
      </c>
      <c r="G610" s="1">
        <v>0.0</v>
      </c>
      <c r="H610" s="1">
        <v>473.43</v>
      </c>
      <c r="I610" s="14">
        <v>44393.0</v>
      </c>
      <c r="J610" s="1" t="s">
        <v>4308</v>
      </c>
      <c r="K610" s="15" t="s">
        <v>4917</v>
      </c>
      <c r="L610" s="60" t="str">
        <f t="shared" si="1"/>
        <v>Not in buy Zone</v>
      </c>
      <c r="M610" s="60" t="str">
        <f t="shared" si="2"/>
        <v>Not in buy Zone</v>
      </c>
      <c r="N610" s="33" t="str">
        <f t="shared" si="3"/>
        <v>No</v>
      </c>
    </row>
    <row r="611">
      <c r="A611" s="1" t="s">
        <v>639</v>
      </c>
      <c r="B611" s="1">
        <v>0.0</v>
      </c>
      <c r="C611" s="1">
        <v>0.0</v>
      </c>
      <c r="D611" s="1">
        <v>0.0</v>
      </c>
      <c r="E611" s="1">
        <v>17.78</v>
      </c>
      <c r="F611" s="54">
        <v>44392.0</v>
      </c>
      <c r="G611" s="1">
        <v>0.0</v>
      </c>
      <c r="H611" s="1">
        <v>17.05</v>
      </c>
      <c r="I611" s="14">
        <v>44393.0</v>
      </c>
      <c r="J611" s="1" t="s">
        <v>4308</v>
      </c>
      <c r="K611" s="15" t="s">
        <v>4918</v>
      </c>
      <c r="L611" s="60" t="str">
        <f t="shared" si="1"/>
        <v>Not in buy Zone</v>
      </c>
      <c r="M611" s="60" t="str">
        <f t="shared" si="2"/>
        <v>Not in buy Zone</v>
      </c>
      <c r="N611" s="33" t="str">
        <f t="shared" si="3"/>
        <v>No</v>
      </c>
    </row>
    <row r="612">
      <c r="A612" s="1" t="s">
        <v>640</v>
      </c>
      <c r="B612" s="1">
        <v>0.0</v>
      </c>
      <c r="C612" s="1">
        <v>0.0</v>
      </c>
      <c r="D612" s="1">
        <v>0.0</v>
      </c>
      <c r="E612" s="1">
        <v>20.08</v>
      </c>
      <c r="F612" s="54">
        <v>44392.0</v>
      </c>
      <c r="G612" s="1">
        <v>0.0</v>
      </c>
      <c r="H612" s="1">
        <v>19.26</v>
      </c>
      <c r="I612" s="14">
        <v>44393.0</v>
      </c>
      <c r="J612" s="1" t="s">
        <v>4308</v>
      </c>
      <c r="K612" s="15" t="s">
        <v>4919</v>
      </c>
      <c r="L612" s="60" t="str">
        <f t="shared" si="1"/>
        <v>Not in buy Zone</v>
      </c>
      <c r="M612" s="60" t="str">
        <f t="shared" si="2"/>
        <v>Not in buy Zone</v>
      </c>
      <c r="N612" s="33" t="str">
        <f t="shared" si="3"/>
        <v>No</v>
      </c>
    </row>
    <row r="613">
      <c r="A613" s="1" t="s">
        <v>641</v>
      </c>
      <c r="B613" s="1">
        <v>0.0</v>
      </c>
      <c r="C613" s="1">
        <v>0.0</v>
      </c>
      <c r="D613" s="1">
        <v>0.0</v>
      </c>
      <c r="E613" s="1">
        <v>56.26</v>
      </c>
      <c r="F613" s="54">
        <v>44357.0</v>
      </c>
      <c r="G613" s="1">
        <v>0.0</v>
      </c>
      <c r="H613" s="1">
        <v>46.01</v>
      </c>
      <c r="I613" s="14">
        <v>44393.0</v>
      </c>
      <c r="J613" s="1" t="s">
        <v>4308</v>
      </c>
      <c r="K613" s="15" t="s">
        <v>4920</v>
      </c>
      <c r="L613" s="60" t="str">
        <f t="shared" si="1"/>
        <v>Not in buy Zone</v>
      </c>
      <c r="M613" s="60" t="str">
        <f t="shared" si="2"/>
        <v>Not in buy Zone</v>
      </c>
      <c r="N613" s="33" t="str">
        <f t="shared" si="3"/>
        <v>No</v>
      </c>
    </row>
    <row r="614">
      <c r="A614" s="1" t="s">
        <v>642</v>
      </c>
      <c r="B614" s="1">
        <v>0.0</v>
      </c>
      <c r="C614" s="1">
        <v>0.0</v>
      </c>
      <c r="D614" s="1">
        <v>0.0</v>
      </c>
      <c r="E614" s="1">
        <v>47.55</v>
      </c>
      <c r="F614" s="54">
        <v>44385.0</v>
      </c>
      <c r="G614" s="1">
        <v>0.0</v>
      </c>
      <c r="H614" s="1">
        <v>46.19</v>
      </c>
      <c r="I614" s="14">
        <v>44393.0</v>
      </c>
      <c r="J614" s="1" t="s">
        <v>4308</v>
      </c>
      <c r="K614" s="15" t="s">
        <v>4921</v>
      </c>
      <c r="L614" s="60" t="str">
        <f t="shared" si="1"/>
        <v>Not in buy Zone</v>
      </c>
      <c r="M614" s="60" t="str">
        <f t="shared" si="2"/>
        <v>Not in buy Zone</v>
      </c>
      <c r="N614" s="33" t="str">
        <f t="shared" si="3"/>
        <v>No</v>
      </c>
    </row>
    <row r="615">
      <c r="A615" s="1" t="s">
        <v>643</v>
      </c>
      <c r="B615" s="1">
        <v>0.0</v>
      </c>
      <c r="C615" s="1">
        <v>0.0</v>
      </c>
      <c r="D615" s="1">
        <v>50.98</v>
      </c>
      <c r="E615" s="1">
        <v>0.0</v>
      </c>
      <c r="F615" s="54">
        <v>44384.0</v>
      </c>
      <c r="G615" s="1">
        <v>0.0</v>
      </c>
      <c r="H615" s="1">
        <v>53.25</v>
      </c>
      <c r="I615" s="14">
        <v>44393.0</v>
      </c>
      <c r="J615" s="1" t="s">
        <v>4308</v>
      </c>
      <c r="K615" s="15" t="s">
        <v>4922</v>
      </c>
      <c r="L615" s="60" t="str">
        <f t="shared" si="1"/>
        <v>Not in buy Zone</v>
      </c>
      <c r="M615" s="60" t="str">
        <f t="shared" si="2"/>
        <v>Not in buy Zone</v>
      </c>
      <c r="N615" s="33" t="str">
        <f t="shared" si="3"/>
        <v>No</v>
      </c>
    </row>
    <row r="616">
      <c r="A616" s="1" t="s">
        <v>644</v>
      </c>
      <c r="B616" s="1">
        <v>0.0</v>
      </c>
      <c r="C616" s="1">
        <v>0.0</v>
      </c>
      <c r="D616" s="1">
        <v>152.29</v>
      </c>
      <c r="E616" s="1">
        <v>0.0</v>
      </c>
      <c r="F616" s="54">
        <v>44384.0</v>
      </c>
      <c r="G616" s="1">
        <v>0.0</v>
      </c>
      <c r="H616" s="1">
        <v>151.33</v>
      </c>
      <c r="I616" s="14">
        <v>44393.0</v>
      </c>
      <c r="J616" s="1" t="s">
        <v>4308</v>
      </c>
      <c r="K616" s="15" t="s">
        <v>4923</v>
      </c>
      <c r="L616" s="60" t="str">
        <f t="shared" si="1"/>
        <v>Not in buy Zone</v>
      </c>
      <c r="M616" s="60" t="str">
        <f t="shared" si="2"/>
        <v>Not in buy Zone</v>
      </c>
      <c r="N616" s="33" t="str">
        <f t="shared" si="3"/>
        <v>No</v>
      </c>
    </row>
    <row r="617">
      <c r="A617" s="1" t="s">
        <v>645</v>
      </c>
      <c r="B617" s="1">
        <v>0.0</v>
      </c>
      <c r="C617" s="1">
        <v>332.12</v>
      </c>
      <c r="D617" s="1">
        <v>0.0</v>
      </c>
      <c r="E617" s="1">
        <v>0.0</v>
      </c>
      <c r="F617" s="54">
        <v>44393.0</v>
      </c>
      <c r="G617" s="1">
        <v>-1.0</v>
      </c>
      <c r="H617" s="1">
        <v>332.12</v>
      </c>
      <c r="I617" s="14">
        <v>44393.0</v>
      </c>
      <c r="J617" s="1" t="s">
        <v>4308</v>
      </c>
      <c r="K617" s="15" t="s">
        <v>4924</v>
      </c>
      <c r="L617" s="60" t="str">
        <f t="shared" si="1"/>
        <v>Not in buy Zone</v>
      </c>
      <c r="M617" s="60" t="str">
        <f t="shared" si="2"/>
        <v>Not in buy Zone</v>
      </c>
      <c r="N617" s="33" t="str">
        <f t="shared" si="3"/>
        <v>No</v>
      </c>
    </row>
    <row r="618">
      <c r="A618" s="1" t="s">
        <v>646</v>
      </c>
      <c r="B618" s="1">
        <v>0.0</v>
      </c>
      <c r="C618" s="1">
        <v>0.0</v>
      </c>
      <c r="D618" s="1">
        <v>404.95</v>
      </c>
      <c r="E618" s="1">
        <v>0.0</v>
      </c>
      <c r="F618" s="54">
        <v>44372.0</v>
      </c>
      <c r="G618" s="1">
        <v>0.0</v>
      </c>
      <c r="H618" s="1">
        <v>419.7</v>
      </c>
      <c r="I618" s="14">
        <v>44393.0</v>
      </c>
      <c r="J618" s="1" t="s">
        <v>4308</v>
      </c>
      <c r="K618" s="15" t="s">
        <v>4925</v>
      </c>
      <c r="L618" s="60" t="str">
        <f t="shared" si="1"/>
        <v>Not in buy Zone</v>
      </c>
      <c r="M618" s="60" t="str">
        <f t="shared" si="2"/>
        <v>Not in buy Zone</v>
      </c>
      <c r="N618" s="33" t="str">
        <f t="shared" si="3"/>
        <v>No</v>
      </c>
    </row>
    <row r="619">
      <c r="A619" s="1" t="s">
        <v>647</v>
      </c>
      <c r="B619" s="1">
        <v>0.0</v>
      </c>
      <c r="C619" s="1">
        <v>0.0</v>
      </c>
      <c r="D619" s="1">
        <v>0.0</v>
      </c>
      <c r="E619" s="1">
        <v>28.27</v>
      </c>
      <c r="F619" s="54">
        <v>44364.0</v>
      </c>
      <c r="G619" s="1">
        <v>0.0</v>
      </c>
      <c r="H619" s="1">
        <v>27.04</v>
      </c>
      <c r="I619" s="14">
        <v>44393.0</v>
      </c>
      <c r="J619" s="1" t="s">
        <v>4308</v>
      </c>
      <c r="K619" s="15" t="s">
        <v>4926</v>
      </c>
      <c r="L619" s="60" t="str">
        <f t="shared" si="1"/>
        <v>Not in buy Zone</v>
      </c>
      <c r="M619" s="60" t="str">
        <f t="shared" si="2"/>
        <v>Not in buy Zone</v>
      </c>
      <c r="N619" s="33" t="str">
        <f t="shared" si="3"/>
        <v>No</v>
      </c>
    </row>
    <row r="620">
      <c r="A620" s="1" t="s">
        <v>648</v>
      </c>
      <c r="B620" s="1">
        <v>0.0</v>
      </c>
      <c r="C620" s="1">
        <v>0.0</v>
      </c>
      <c r="D620" s="1">
        <v>0.0</v>
      </c>
      <c r="E620" s="1">
        <v>218.34</v>
      </c>
      <c r="F620" s="54">
        <v>44385.0</v>
      </c>
      <c r="G620" s="1">
        <v>0.0</v>
      </c>
      <c r="H620" s="1">
        <v>218.42</v>
      </c>
      <c r="I620" s="14">
        <v>44393.0</v>
      </c>
      <c r="J620" s="1" t="s">
        <v>4308</v>
      </c>
      <c r="K620" s="15" t="s">
        <v>4927</v>
      </c>
      <c r="L620" s="60" t="str">
        <f t="shared" si="1"/>
        <v>Not in buy Zone</v>
      </c>
      <c r="M620" s="60" t="str">
        <f t="shared" si="2"/>
        <v>Not in buy Zone</v>
      </c>
      <c r="N620" s="33" t="str">
        <f t="shared" si="3"/>
        <v>No</v>
      </c>
    </row>
    <row r="621">
      <c r="A621" s="1" t="s">
        <v>649</v>
      </c>
      <c r="B621" s="1">
        <v>0.0</v>
      </c>
      <c r="C621" s="1">
        <v>0.0</v>
      </c>
      <c r="D621" s="1">
        <v>207.61</v>
      </c>
      <c r="E621" s="1">
        <v>0.0</v>
      </c>
      <c r="F621" s="54">
        <v>44376.0</v>
      </c>
      <c r="G621" s="1">
        <v>0.0</v>
      </c>
      <c r="H621" s="1">
        <v>210.57</v>
      </c>
      <c r="I621" s="14">
        <v>44393.0</v>
      </c>
      <c r="J621" s="1" t="s">
        <v>4308</v>
      </c>
      <c r="K621" s="15" t="s">
        <v>4928</v>
      </c>
      <c r="L621" s="60" t="str">
        <f t="shared" si="1"/>
        <v>Not in buy Zone</v>
      </c>
      <c r="M621" s="60" t="str">
        <f t="shared" si="2"/>
        <v>Not in buy Zone</v>
      </c>
      <c r="N621" s="33" t="str">
        <f t="shared" si="3"/>
        <v>No</v>
      </c>
    </row>
    <row r="622">
      <c r="A622" s="1" t="s">
        <v>650</v>
      </c>
      <c r="B622" s="1">
        <v>0.0</v>
      </c>
      <c r="C622" s="1">
        <v>0.0</v>
      </c>
      <c r="D622" s="1">
        <v>0.0</v>
      </c>
      <c r="E622" s="1">
        <v>125.505</v>
      </c>
      <c r="F622" s="54">
        <v>44358.0</v>
      </c>
      <c r="G622" s="1">
        <v>0.0</v>
      </c>
      <c r="H622" s="1">
        <v>113.79</v>
      </c>
      <c r="I622" s="14">
        <v>44393.0</v>
      </c>
      <c r="J622" s="1" t="s">
        <v>4308</v>
      </c>
      <c r="K622" s="15" t="s">
        <v>4929</v>
      </c>
      <c r="L622" s="60" t="str">
        <f t="shared" si="1"/>
        <v>Not in buy Zone</v>
      </c>
      <c r="M622" s="60" t="str">
        <f t="shared" si="2"/>
        <v>Not in buy Zone</v>
      </c>
      <c r="N622" s="33" t="str">
        <f t="shared" si="3"/>
        <v>No</v>
      </c>
    </row>
    <row r="623">
      <c r="A623" s="1" t="s">
        <v>651</v>
      </c>
      <c r="B623" s="1">
        <v>0.0</v>
      </c>
      <c r="C623" s="1">
        <v>0.0</v>
      </c>
      <c r="D623" s="1">
        <v>316.8</v>
      </c>
      <c r="E623" s="1">
        <v>0.0</v>
      </c>
      <c r="F623" s="54">
        <v>44371.0</v>
      </c>
      <c r="G623" s="1">
        <v>0.0</v>
      </c>
      <c r="H623" s="1">
        <v>306.08</v>
      </c>
      <c r="I623" s="14">
        <v>44393.0</v>
      </c>
      <c r="J623" s="1" t="s">
        <v>4308</v>
      </c>
      <c r="K623" s="15" t="s">
        <v>4930</v>
      </c>
      <c r="L623" s="60" t="str">
        <f t="shared" si="1"/>
        <v>Not in buy Zone</v>
      </c>
      <c r="M623" s="60" t="str">
        <f t="shared" si="2"/>
        <v>Not in buy Zone</v>
      </c>
      <c r="N623" s="33" t="str">
        <f t="shared" si="3"/>
        <v>No</v>
      </c>
    </row>
    <row r="624">
      <c r="A624" s="1" t="s">
        <v>652</v>
      </c>
      <c r="B624" s="1">
        <v>0.0</v>
      </c>
      <c r="C624" s="1">
        <v>0.0</v>
      </c>
      <c r="D624" s="1">
        <v>57.58</v>
      </c>
      <c r="E624" s="1">
        <v>0.0</v>
      </c>
      <c r="F624" s="54">
        <v>44389.0</v>
      </c>
      <c r="G624" s="1">
        <v>0.0</v>
      </c>
      <c r="H624" s="1">
        <v>57.17</v>
      </c>
      <c r="I624" s="14">
        <v>44393.0</v>
      </c>
      <c r="J624" s="1" t="s">
        <v>4308</v>
      </c>
      <c r="K624" s="15" t="s">
        <v>4931</v>
      </c>
      <c r="L624" s="60" t="str">
        <f t="shared" si="1"/>
        <v>Not in buy Zone</v>
      </c>
      <c r="M624" s="60" t="str">
        <f t="shared" si="2"/>
        <v>Not in buy Zone</v>
      </c>
      <c r="N624" s="33" t="str">
        <f t="shared" si="3"/>
        <v>No</v>
      </c>
    </row>
    <row r="625">
      <c r="A625" s="1" t="s">
        <v>653</v>
      </c>
      <c r="B625" s="1">
        <v>0.0</v>
      </c>
      <c r="C625" s="1">
        <v>0.0</v>
      </c>
      <c r="D625" s="1">
        <v>73.56</v>
      </c>
      <c r="E625" s="1">
        <v>0.0</v>
      </c>
      <c r="F625" s="54">
        <v>44372.0</v>
      </c>
      <c r="G625" s="1">
        <v>0.0</v>
      </c>
      <c r="H625" s="1">
        <v>75.28</v>
      </c>
      <c r="I625" s="14">
        <v>44393.0</v>
      </c>
      <c r="J625" s="1" t="s">
        <v>4308</v>
      </c>
      <c r="K625" s="15" t="s">
        <v>4932</v>
      </c>
      <c r="L625" s="60" t="str">
        <f t="shared" si="1"/>
        <v>Not in buy Zone</v>
      </c>
      <c r="M625" s="60" t="str">
        <f t="shared" si="2"/>
        <v>Not in buy Zone</v>
      </c>
      <c r="N625" s="33" t="str">
        <f t="shared" si="3"/>
        <v>No</v>
      </c>
    </row>
    <row r="626">
      <c r="A626" s="1" t="s">
        <v>654</v>
      </c>
      <c r="B626" s="1">
        <v>0.0</v>
      </c>
      <c r="C626" s="1">
        <v>0.0</v>
      </c>
      <c r="D626" s="1">
        <v>51.15</v>
      </c>
      <c r="E626" s="1">
        <v>0.0</v>
      </c>
      <c r="F626" s="54">
        <v>44390.0</v>
      </c>
      <c r="G626" s="1">
        <v>0.0</v>
      </c>
      <c r="H626" s="1">
        <v>49.14</v>
      </c>
      <c r="I626" s="14">
        <v>44393.0</v>
      </c>
      <c r="J626" s="1" t="s">
        <v>4308</v>
      </c>
      <c r="K626" s="15" t="s">
        <v>4933</v>
      </c>
      <c r="L626" s="60" t="str">
        <f t="shared" si="1"/>
        <v>Not in buy Zone</v>
      </c>
      <c r="M626" s="60" t="str">
        <f t="shared" si="2"/>
        <v>Not in buy Zone</v>
      </c>
      <c r="N626" s="33" t="str">
        <f t="shared" si="3"/>
        <v>No</v>
      </c>
    </row>
    <row r="627">
      <c r="A627" s="1" t="s">
        <v>655</v>
      </c>
      <c r="B627" s="1">
        <v>0.0</v>
      </c>
      <c r="C627" s="1">
        <v>0.0</v>
      </c>
      <c r="D627" s="1">
        <v>231.32</v>
      </c>
      <c r="E627" s="1">
        <v>0.0</v>
      </c>
      <c r="F627" s="54">
        <v>44354.0</v>
      </c>
      <c r="G627" s="1">
        <v>0.0</v>
      </c>
      <c r="H627" s="1">
        <v>248.12</v>
      </c>
      <c r="I627" s="14">
        <v>44393.0</v>
      </c>
      <c r="J627" s="1" t="s">
        <v>4308</v>
      </c>
      <c r="K627" s="15" t="s">
        <v>4934</v>
      </c>
      <c r="L627" s="60" t="str">
        <f t="shared" si="1"/>
        <v>Not in buy Zone</v>
      </c>
      <c r="M627" s="60" t="str">
        <f t="shared" si="2"/>
        <v>Not in buy Zone</v>
      </c>
      <c r="N627" s="33" t="str">
        <f t="shared" si="3"/>
        <v>No</v>
      </c>
    </row>
    <row r="628">
      <c r="A628" s="1" t="s">
        <v>656</v>
      </c>
      <c r="B628" s="1">
        <v>0.0</v>
      </c>
      <c r="C628" s="1">
        <v>0.0</v>
      </c>
      <c r="D628" s="1">
        <v>95.37</v>
      </c>
      <c r="E628" s="1">
        <v>0.0</v>
      </c>
      <c r="F628" s="54">
        <v>44383.0</v>
      </c>
      <c r="G628" s="1">
        <v>0.0</v>
      </c>
      <c r="H628" s="1">
        <v>95.49</v>
      </c>
      <c r="I628" s="14">
        <v>44393.0</v>
      </c>
      <c r="J628" s="1" t="s">
        <v>4308</v>
      </c>
      <c r="K628" s="15" t="s">
        <v>4935</v>
      </c>
      <c r="L628" s="60" t="str">
        <f t="shared" si="1"/>
        <v>Not in buy Zone</v>
      </c>
      <c r="M628" s="60" t="str">
        <f t="shared" si="2"/>
        <v>Not in buy Zone</v>
      </c>
      <c r="N628" s="33" t="str">
        <f t="shared" si="3"/>
        <v>No</v>
      </c>
    </row>
    <row r="629">
      <c r="A629" s="1" t="s">
        <v>657</v>
      </c>
      <c r="B629" s="1">
        <v>0.0</v>
      </c>
      <c r="C629" s="1">
        <v>0.0</v>
      </c>
      <c r="D629" s="1">
        <v>0.0</v>
      </c>
      <c r="E629" s="1">
        <v>82.63</v>
      </c>
      <c r="F629" s="54">
        <v>44364.0</v>
      </c>
      <c r="G629" s="1">
        <v>0.0</v>
      </c>
      <c r="H629" s="1">
        <v>82.66</v>
      </c>
      <c r="I629" s="14">
        <v>44393.0</v>
      </c>
      <c r="J629" s="1" t="s">
        <v>4308</v>
      </c>
      <c r="K629" s="15" t="s">
        <v>4936</v>
      </c>
      <c r="L629" s="60" t="str">
        <f t="shared" si="1"/>
        <v>Not in buy Zone</v>
      </c>
      <c r="M629" s="60" t="str">
        <f t="shared" si="2"/>
        <v>Not in buy Zone</v>
      </c>
      <c r="N629" s="33" t="str">
        <f t="shared" si="3"/>
        <v>No</v>
      </c>
    </row>
    <row r="630">
      <c r="A630" s="1" t="s">
        <v>658</v>
      </c>
      <c r="B630" s="1">
        <v>0.0</v>
      </c>
      <c r="C630" s="1">
        <v>0.0</v>
      </c>
      <c r="D630" s="1">
        <v>51.86</v>
      </c>
      <c r="E630" s="1">
        <v>0.0</v>
      </c>
      <c r="F630" s="54">
        <v>44386.0</v>
      </c>
      <c r="G630" s="1">
        <v>0.0</v>
      </c>
      <c r="H630" s="1">
        <v>51.07</v>
      </c>
      <c r="I630" s="14">
        <v>44393.0</v>
      </c>
      <c r="J630" s="1" t="s">
        <v>4308</v>
      </c>
      <c r="K630" s="15" t="s">
        <v>4937</v>
      </c>
      <c r="L630" s="60" t="str">
        <f t="shared" si="1"/>
        <v>Not in buy Zone</v>
      </c>
      <c r="M630" s="60" t="str">
        <f t="shared" si="2"/>
        <v>Not in buy Zone</v>
      </c>
      <c r="N630" s="33" t="str">
        <f t="shared" si="3"/>
        <v>No</v>
      </c>
    </row>
    <row r="631">
      <c r="A631" s="1" t="s">
        <v>659</v>
      </c>
      <c r="B631" s="1">
        <v>0.0</v>
      </c>
      <c r="C631" s="1">
        <v>0.0</v>
      </c>
      <c r="D631" s="1">
        <v>47.9</v>
      </c>
      <c r="E631" s="1">
        <v>0.0</v>
      </c>
      <c r="F631" s="54">
        <v>44389.0</v>
      </c>
      <c r="G631" s="1">
        <v>0.0</v>
      </c>
      <c r="H631" s="1">
        <v>48.41</v>
      </c>
      <c r="I631" s="14">
        <v>44393.0</v>
      </c>
      <c r="J631" s="1" t="s">
        <v>4308</v>
      </c>
      <c r="K631" s="15" t="s">
        <v>4938</v>
      </c>
      <c r="L631" s="60" t="str">
        <f t="shared" si="1"/>
        <v>Not in buy Zone</v>
      </c>
      <c r="M631" s="60" t="str">
        <f t="shared" si="2"/>
        <v>Not in buy Zone</v>
      </c>
      <c r="N631" s="33" t="str">
        <f t="shared" si="3"/>
        <v>No</v>
      </c>
    </row>
    <row r="632">
      <c r="A632" s="1" t="s">
        <v>660</v>
      </c>
      <c r="B632" s="1">
        <v>0.0</v>
      </c>
      <c r="C632" s="1">
        <v>0.0</v>
      </c>
      <c r="D632" s="1">
        <v>63.28</v>
      </c>
      <c r="E632" s="1">
        <v>0.0</v>
      </c>
      <c r="F632" s="54">
        <v>44386.0</v>
      </c>
      <c r="G632" s="1">
        <v>0.0</v>
      </c>
      <c r="H632" s="1">
        <v>62.51</v>
      </c>
      <c r="I632" s="14">
        <v>44393.0</v>
      </c>
      <c r="J632" s="1" t="s">
        <v>4308</v>
      </c>
      <c r="K632" s="15" t="s">
        <v>4939</v>
      </c>
      <c r="L632" s="60" t="str">
        <f t="shared" si="1"/>
        <v>Not in buy Zone</v>
      </c>
      <c r="M632" s="60" t="str">
        <f t="shared" si="2"/>
        <v>Not in buy Zone</v>
      </c>
      <c r="N632" s="33" t="str">
        <f t="shared" si="3"/>
        <v>No</v>
      </c>
    </row>
    <row r="633">
      <c r="A633" s="1" t="s">
        <v>661</v>
      </c>
      <c r="B633" s="1">
        <v>0.0</v>
      </c>
      <c r="C633" s="1">
        <v>0.0</v>
      </c>
      <c r="D633" s="1">
        <v>0.0</v>
      </c>
      <c r="E633" s="1">
        <v>80.3</v>
      </c>
      <c r="F633" s="54">
        <v>44391.0</v>
      </c>
      <c r="G633" s="1">
        <v>0.0</v>
      </c>
      <c r="H633" s="1">
        <v>77.42</v>
      </c>
      <c r="I633" s="14">
        <v>44393.0</v>
      </c>
      <c r="J633" s="1" t="s">
        <v>4308</v>
      </c>
      <c r="K633" s="15" t="s">
        <v>4940</v>
      </c>
      <c r="L633" s="60" t="str">
        <f t="shared" si="1"/>
        <v>Not in buy Zone</v>
      </c>
      <c r="M633" s="60" t="str">
        <f t="shared" si="2"/>
        <v>Not in buy Zone</v>
      </c>
      <c r="N633" s="33" t="str">
        <f t="shared" si="3"/>
        <v>No</v>
      </c>
    </row>
    <row r="634">
      <c r="A634" s="1" t="s">
        <v>662</v>
      </c>
      <c r="B634" s="1">
        <v>0.0</v>
      </c>
      <c r="C634" s="1">
        <v>66.86</v>
      </c>
      <c r="D634" s="1">
        <v>0.0</v>
      </c>
      <c r="E634" s="1">
        <v>0.0</v>
      </c>
      <c r="F634" s="54">
        <v>44393.0</v>
      </c>
      <c r="G634" s="1">
        <v>-1.0</v>
      </c>
      <c r="H634" s="1">
        <v>66.86</v>
      </c>
      <c r="I634" s="14">
        <v>44393.0</v>
      </c>
      <c r="J634" s="1" t="s">
        <v>4308</v>
      </c>
      <c r="K634" s="15" t="s">
        <v>4941</v>
      </c>
      <c r="L634" s="60" t="str">
        <f t="shared" si="1"/>
        <v>Not in buy Zone</v>
      </c>
      <c r="M634" s="60" t="str">
        <f t="shared" si="2"/>
        <v>Not in buy Zone</v>
      </c>
      <c r="N634" s="33" t="str">
        <f t="shared" si="3"/>
        <v>No</v>
      </c>
    </row>
    <row r="635">
      <c r="A635" s="1" t="s">
        <v>663</v>
      </c>
      <c r="B635" s="1">
        <v>0.0</v>
      </c>
      <c r="C635" s="1">
        <v>0.0</v>
      </c>
      <c r="D635" s="1">
        <v>0.0</v>
      </c>
      <c r="E635" s="1">
        <v>41.46</v>
      </c>
      <c r="F635" s="54">
        <v>44385.0</v>
      </c>
      <c r="G635" s="1">
        <v>0.0</v>
      </c>
      <c r="H635" s="1">
        <v>40.29</v>
      </c>
      <c r="I635" s="14">
        <v>44393.0</v>
      </c>
      <c r="J635" s="1" t="s">
        <v>4308</v>
      </c>
      <c r="K635" s="15" t="s">
        <v>4942</v>
      </c>
      <c r="L635" s="60" t="str">
        <f t="shared" si="1"/>
        <v>Not in buy Zone</v>
      </c>
      <c r="M635" s="60" t="str">
        <f t="shared" si="2"/>
        <v>Not in buy Zone</v>
      </c>
      <c r="N635" s="33" t="str">
        <f t="shared" si="3"/>
        <v>No</v>
      </c>
    </row>
    <row r="636">
      <c r="A636" s="1" t="s">
        <v>664</v>
      </c>
      <c r="B636" s="1">
        <v>0.0</v>
      </c>
      <c r="C636" s="1">
        <v>0.0</v>
      </c>
      <c r="D636" s="1">
        <v>31.86</v>
      </c>
      <c r="E636" s="1">
        <v>0.0</v>
      </c>
      <c r="F636" s="54">
        <v>44389.0</v>
      </c>
      <c r="G636" s="1">
        <v>0.0</v>
      </c>
      <c r="H636" s="1">
        <v>31.14</v>
      </c>
      <c r="I636" s="14">
        <v>44393.0</v>
      </c>
      <c r="J636" s="1" t="s">
        <v>4308</v>
      </c>
      <c r="K636" s="15" t="s">
        <v>4943</v>
      </c>
      <c r="L636" s="60" t="str">
        <f t="shared" si="1"/>
        <v>Not in buy Zone</v>
      </c>
      <c r="M636" s="60" t="str">
        <f t="shared" si="2"/>
        <v>Not in buy Zone</v>
      </c>
      <c r="N636" s="33" t="str">
        <f t="shared" si="3"/>
        <v>No</v>
      </c>
    </row>
    <row r="637">
      <c r="A637" s="1" t="s">
        <v>665</v>
      </c>
      <c r="B637" s="1">
        <v>0.0</v>
      </c>
      <c r="C637" s="1">
        <v>0.0</v>
      </c>
      <c r="D637" s="1">
        <v>0.0</v>
      </c>
      <c r="E637" s="1">
        <v>74.7</v>
      </c>
      <c r="F637" s="54">
        <v>44383.0</v>
      </c>
      <c r="G637" s="1">
        <v>0.0</v>
      </c>
      <c r="H637" s="1">
        <v>64.88</v>
      </c>
      <c r="I637" s="14">
        <v>44393.0</v>
      </c>
      <c r="J637" s="1" t="s">
        <v>4308</v>
      </c>
      <c r="K637" s="15" t="s">
        <v>4944</v>
      </c>
      <c r="L637" s="60" t="str">
        <f t="shared" si="1"/>
        <v>Not in buy Zone</v>
      </c>
      <c r="M637" s="60" t="str">
        <f t="shared" si="2"/>
        <v>Not in buy Zone</v>
      </c>
      <c r="N637" s="33" t="str">
        <f t="shared" si="3"/>
        <v>No</v>
      </c>
    </row>
    <row r="638">
      <c r="A638" s="1" t="s">
        <v>666</v>
      </c>
      <c r="B638" s="1">
        <v>0.0</v>
      </c>
      <c r="C638" s="1">
        <v>0.0</v>
      </c>
      <c r="D638" s="1">
        <v>175.9</v>
      </c>
      <c r="E638" s="1">
        <v>0.0</v>
      </c>
      <c r="F638" s="54">
        <v>44371.0</v>
      </c>
      <c r="G638" s="1">
        <v>0.0</v>
      </c>
      <c r="H638" s="1">
        <v>175.35</v>
      </c>
      <c r="I638" s="14">
        <v>44393.0</v>
      </c>
      <c r="J638" s="1" t="s">
        <v>4308</v>
      </c>
      <c r="K638" s="15" t="s">
        <v>4945</v>
      </c>
      <c r="L638" s="60" t="str">
        <f t="shared" si="1"/>
        <v>Not in buy Zone</v>
      </c>
      <c r="M638" s="60" t="str">
        <f t="shared" si="2"/>
        <v>Not in buy Zone</v>
      </c>
      <c r="N638" s="33" t="str">
        <f t="shared" si="3"/>
        <v>No</v>
      </c>
    </row>
    <row r="639">
      <c r="A639" s="1" t="s">
        <v>667</v>
      </c>
      <c r="B639" s="1">
        <v>0.0</v>
      </c>
      <c r="C639" s="1">
        <v>0.0</v>
      </c>
      <c r="D639" s="1">
        <v>47.1</v>
      </c>
      <c r="E639" s="1">
        <v>0.0</v>
      </c>
      <c r="F639" s="54">
        <v>44389.0</v>
      </c>
      <c r="G639" s="1">
        <v>0.0</v>
      </c>
      <c r="H639" s="1">
        <v>45.21</v>
      </c>
      <c r="I639" s="14">
        <v>44393.0</v>
      </c>
      <c r="J639" s="1" t="s">
        <v>4308</v>
      </c>
      <c r="K639" s="15" t="s">
        <v>4946</v>
      </c>
      <c r="L639" s="60" t="str">
        <f t="shared" si="1"/>
        <v>Not in buy Zone</v>
      </c>
      <c r="M639" s="60" t="str">
        <f t="shared" si="2"/>
        <v>Not in buy Zone</v>
      </c>
      <c r="N639" s="33" t="str">
        <f t="shared" si="3"/>
        <v>No</v>
      </c>
    </row>
    <row r="640">
      <c r="A640" s="1" t="s">
        <v>668</v>
      </c>
      <c r="B640" s="1">
        <v>0.0</v>
      </c>
      <c r="C640" s="1">
        <v>0.0</v>
      </c>
      <c r="D640" s="1">
        <v>105.06</v>
      </c>
      <c r="E640" s="1">
        <v>0.0</v>
      </c>
      <c r="F640" s="54">
        <v>44386.0</v>
      </c>
      <c r="G640" s="1">
        <v>0.0</v>
      </c>
      <c r="H640" s="1">
        <v>105.31</v>
      </c>
      <c r="I640" s="14">
        <v>44393.0</v>
      </c>
      <c r="J640" s="1" t="s">
        <v>4308</v>
      </c>
      <c r="K640" s="15" t="s">
        <v>4947</v>
      </c>
      <c r="L640" s="60" t="str">
        <f t="shared" si="1"/>
        <v>Not in buy Zone</v>
      </c>
      <c r="M640" s="60" t="str">
        <f t="shared" si="2"/>
        <v>Not in buy Zone</v>
      </c>
      <c r="N640" s="33" t="str">
        <f t="shared" si="3"/>
        <v>No</v>
      </c>
    </row>
    <row r="641">
      <c r="A641" s="1" t="s">
        <v>669</v>
      </c>
      <c r="B641" s="1">
        <v>0.0</v>
      </c>
      <c r="C641" s="1">
        <v>0.0</v>
      </c>
      <c r="D641" s="1">
        <v>392.05</v>
      </c>
      <c r="E641" s="1">
        <v>0.0</v>
      </c>
      <c r="F641" s="54">
        <v>44371.0</v>
      </c>
      <c r="G641" s="1">
        <v>0.0</v>
      </c>
      <c r="H641" s="1">
        <v>396.61</v>
      </c>
      <c r="I641" s="14">
        <v>44393.0</v>
      </c>
      <c r="J641" s="1" t="s">
        <v>4308</v>
      </c>
      <c r="K641" s="15" t="s">
        <v>4948</v>
      </c>
      <c r="L641" s="60" t="str">
        <f t="shared" si="1"/>
        <v>Not in buy Zone</v>
      </c>
      <c r="M641" s="60" t="str">
        <f t="shared" si="2"/>
        <v>Not in buy Zone</v>
      </c>
      <c r="N641" s="33" t="str">
        <f t="shared" si="3"/>
        <v>No</v>
      </c>
    </row>
    <row r="642">
      <c r="A642" s="1" t="s">
        <v>670</v>
      </c>
      <c r="B642" s="1">
        <v>0.0</v>
      </c>
      <c r="C642" s="1">
        <v>0.0</v>
      </c>
      <c r="D642" s="1">
        <v>0.0</v>
      </c>
      <c r="E642" s="1">
        <v>40.01</v>
      </c>
      <c r="F642" s="54">
        <v>44362.0</v>
      </c>
      <c r="G642" s="1">
        <v>0.0</v>
      </c>
      <c r="H642" s="1">
        <v>38.15</v>
      </c>
      <c r="I642" s="14">
        <v>44393.0</v>
      </c>
      <c r="J642" s="1" t="s">
        <v>4308</v>
      </c>
      <c r="K642" s="15" t="s">
        <v>4949</v>
      </c>
      <c r="L642" s="60" t="str">
        <f t="shared" si="1"/>
        <v>Not in buy Zone</v>
      </c>
      <c r="M642" s="60" t="str">
        <f t="shared" si="2"/>
        <v>Not in buy Zone</v>
      </c>
      <c r="N642" s="33" t="str">
        <f t="shared" si="3"/>
        <v>No</v>
      </c>
    </row>
    <row r="643">
      <c r="A643" s="1" t="s">
        <v>671</v>
      </c>
      <c r="B643" s="1">
        <v>0.0</v>
      </c>
      <c r="C643" s="1">
        <v>0.0</v>
      </c>
      <c r="D643" s="1">
        <v>174.91</v>
      </c>
      <c r="E643" s="1">
        <v>0.0</v>
      </c>
      <c r="F643" s="54">
        <v>44368.0</v>
      </c>
      <c r="G643" s="1">
        <v>0.0</v>
      </c>
      <c r="H643" s="1">
        <v>186.99</v>
      </c>
      <c r="I643" s="14">
        <v>44393.0</v>
      </c>
      <c r="J643" s="1" t="s">
        <v>4308</v>
      </c>
      <c r="K643" s="15" t="s">
        <v>4950</v>
      </c>
      <c r="L643" s="60" t="str">
        <f t="shared" si="1"/>
        <v>Not in buy Zone</v>
      </c>
      <c r="M643" s="60" t="str">
        <f t="shared" si="2"/>
        <v>Not in buy Zone</v>
      </c>
      <c r="N643" s="33" t="str">
        <f t="shared" si="3"/>
        <v>No</v>
      </c>
    </row>
    <row r="644">
      <c r="A644" s="1" t="s">
        <v>672</v>
      </c>
      <c r="B644" s="1">
        <v>0.0</v>
      </c>
      <c r="C644" s="1">
        <v>0.0</v>
      </c>
      <c r="D644" s="1">
        <v>223.26</v>
      </c>
      <c r="E644" s="1">
        <v>0.0</v>
      </c>
      <c r="F644" s="54">
        <v>44364.0</v>
      </c>
      <c r="G644" s="1">
        <v>0.0</v>
      </c>
      <c r="H644" s="1">
        <v>229.74</v>
      </c>
      <c r="I644" s="14">
        <v>44393.0</v>
      </c>
      <c r="J644" s="1" t="s">
        <v>4308</v>
      </c>
      <c r="K644" s="15" t="s">
        <v>4951</v>
      </c>
      <c r="L644" s="60" t="str">
        <f t="shared" si="1"/>
        <v>Not in buy Zone</v>
      </c>
      <c r="M644" s="60" t="str">
        <f t="shared" si="2"/>
        <v>Not in buy Zone</v>
      </c>
      <c r="N644" s="33" t="str">
        <f t="shared" si="3"/>
        <v>No</v>
      </c>
    </row>
    <row r="645">
      <c r="A645" s="1" t="s">
        <v>673</v>
      </c>
      <c r="B645" s="1">
        <v>0.0</v>
      </c>
      <c r="C645" s="1">
        <v>0.0</v>
      </c>
      <c r="D645" s="1">
        <v>23.46</v>
      </c>
      <c r="E645" s="1">
        <v>0.0</v>
      </c>
      <c r="F645" s="54">
        <v>44335.0</v>
      </c>
      <c r="G645" s="1">
        <v>0.0</v>
      </c>
      <c r="H645" s="1">
        <v>26.56</v>
      </c>
      <c r="I645" s="14">
        <v>44393.0</v>
      </c>
      <c r="J645" s="1" t="s">
        <v>4308</v>
      </c>
      <c r="K645" s="15" t="s">
        <v>4952</v>
      </c>
      <c r="L645" s="60" t="str">
        <f t="shared" si="1"/>
        <v>Not in buy Zone</v>
      </c>
      <c r="M645" s="60" t="str">
        <f t="shared" si="2"/>
        <v>Not in buy Zone</v>
      </c>
      <c r="N645" s="33" t="str">
        <f t="shared" si="3"/>
        <v>No</v>
      </c>
    </row>
    <row r="646">
      <c r="A646" s="1" t="s">
        <v>674</v>
      </c>
      <c r="B646" s="1">
        <v>0.0</v>
      </c>
      <c r="C646" s="1">
        <v>0.0</v>
      </c>
      <c r="D646" s="1">
        <v>197.82</v>
      </c>
      <c r="E646" s="1">
        <v>0.0</v>
      </c>
      <c r="F646" s="54">
        <v>44375.0</v>
      </c>
      <c r="G646" s="1">
        <v>0.0</v>
      </c>
      <c r="H646" s="1">
        <v>202.28</v>
      </c>
      <c r="I646" s="14">
        <v>44393.0</v>
      </c>
      <c r="J646" s="1" t="s">
        <v>4308</v>
      </c>
      <c r="K646" s="15" t="s">
        <v>4953</v>
      </c>
      <c r="L646" s="60" t="str">
        <f t="shared" si="1"/>
        <v>Not in buy Zone</v>
      </c>
      <c r="M646" s="60" t="str">
        <f t="shared" si="2"/>
        <v>Not in buy Zone</v>
      </c>
      <c r="N646" s="33" t="str">
        <f t="shared" si="3"/>
        <v>No</v>
      </c>
    </row>
    <row r="647">
      <c r="A647" s="1" t="s">
        <v>675</v>
      </c>
      <c r="B647" s="1">
        <v>0.0</v>
      </c>
      <c r="C647" s="1">
        <v>0.0</v>
      </c>
      <c r="D647" s="1">
        <v>103.98</v>
      </c>
      <c r="E647" s="1">
        <v>0.0</v>
      </c>
      <c r="F647" s="54">
        <v>44372.0</v>
      </c>
      <c r="G647" s="1">
        <v>0.0</v>
      </c>
      <c r="H647" s="1">
        <v>103.08</v>
      </c>
      <c r="I647" s="14">
        <v>44393.0</v>
      </c>
      <c r="J647" s="1" t="s">
        <v>4308</v>
      </c>
      <c r="K647" s="15" t="s">
        <v>4954</v>
      </c>
      <c r="L647" s="60" t="str">
        <f t="shared" si="1"/>
        <v>Not in buy Zone</v>
      </c>
      <c r="M647" s="60" t="str">
        <f t="shared" si="2"/>
        <v>Not in buy Zone</v>
      </c>
      <c r="N647" s="33" t="str">
        <f t="shared" si="3"/>
        <v>No</v>
      </c>
    </row>
    <row r="648">
      <c r="A648" s="1" t="s">
        <v>676</v>
      </c>
      <c r="B648" s="1">
        <v>0.0</v>
      </c>
      <c r="C648" s="1">
        <v>0.0</v>
      </c>
      <c r="D648" s="1">
        <v>221.72</v>
      </c>
      <c r="E648" s="1">
        <v>0.0</v>
      </c>
      <c r="F648" s="54">
        <v>44371.0</v>
      </c>
      <c r="G648" s="1">
        <v>0.0</v>
      </c>
      <c r="H648" s="1">
        <v>222.39</v>
      </c>
      <c r="I648" s="14">
        <v>44393.0</v>
      </c>
      <c r="J648" s="1" t="s">
        <v>4308</v>
      </c>
      <c r="K648" s="15" t="s">
        <v>4955</v>
      </c>
      <c r="L648" s="60" t="str">
        <f t="shared" si="1"/>
        <v>Not in buy Zone</v>
      </c>
      <c r="M648" s="60" t="str">
        <f t="shared" si="2"/>
        <v>Not in buy Zone</v>
      </c>
      <c r="N648" s="33" t="str">
        <f t="shared" si="3"/>
        <v>No</v>
      </c>
    </row>
    <row r="649">
      <c r="A649" s="1" t="s">
        <v>677</v>
      </c>
      <c r="B649" s="1">
        <v>0.0</v>
      </c>
      <c r="C649" s="1">
        <v>0.0</v>
      </c>
      <c r="D649" s="1">
        <v>52.21</v>
      </c>
      <c r="E649" s="1">
        <v>0.0</v>
      </c>
      <c r="F649" s="54">
        <v>44390.0</v>
      </c>
      <c r="G649" s="1">
        <v>0.0</v>
      </c>
      <c r="H649" s="1">
        <v>52.28</v>
      </c>
      <c r="I649" s="14">
        <v>44393.0</v>
      </c>
      <c r="J649" s="1" t="s">
        <v>4308</v>
      </c>
      <c r="K649" s="15" t="s">
        <v>4956</v>
      </c>
      <c r="L649" s="60" t="str">
        <f t="shared" si="1"/>
        <v>Not in buy Zone</v>
      </c>
      <c r="M649" s="60" t="str">
        <f t="shared" si="2"/>
        <v>Not in buy Zone</v>
      </c>
      <c r="N649" s="33" t="str">
        <f t="shared" si="3"/>
        <v>No</v>
      </c>
    </row>
    <row r="650">
      <c r="A650" s="1" t="s">
        <v>678</v>
      </c>
      <c r="B650" s="1">
        <v>0.0</v>
      </c>
      <c r="C650" s="1">
        <v>0.0</v>
      </c>
      <c r="D650" s="1">
        <v>59.24</v>
      </c>
      <c r="E650" s="1">
        <v>0.0</v>
      </c>
      <c r="F650" s="54">
        <v>44370.0</v>
      </c>
      <c r="G650" s="1">
        <v>0.0</v>
      </c>
      <c r="H650" s="1">
        <v>59.62</v>
      </c>
      <c r="I650" s="14">
        <v>44393.0</v>
      </c>
      <c r="J650" s="1" t="s">
        <v>4308</v>
      </c>
      <c r="K650" s="15" t="s">
        <v>4957</v>
      </c>
      <c r="L650" s="60" t="str">
        <f t="shared" si="1"/>
        <v>Not in buy Zone</v>
      </c>
      <c r="M650" s="60" t="str">
        <f t="shared" si="2"/>
        <v>Not in buy Zone</v>
      </c>
      <c r="N650" s="33" t="str">
        <f t="shared" si="3"/>
        <v>No</v>
      </c>
    </row>
    <row r="651">
      <c r="A651" s="1" t="s">
        <v>679</v>
      </c>
      <c r="B651" s="1">
        <v>0.0</v>
      </c>
      <c r="C651" s="1">
        <v>0.0</v>
      </c>
      <c r="D651" s="1">
        <v>0.0</v>
      </c>
      <c r="E651" s="1">
        <v>14.98</v>
      </c>
      <c r="F651" s="54">
        <v>44341.0</v>
      </c>
      <c r="G651" s="1">
        <v>0.0</v>
      </c>
      <c r="H651" s="1">
        <v>13.76</v>
      </c>
      <c r="I651" s="14">
        <v>44393.0</v>
      </c>
      <c r="J651" s="1" t="s">
        <v>4308</v>
      </c>
      <c r="K651" s="15" t="s">
        <v>4958</v>
      </c>
      <c r="L651" s="60" t="str">
        <f t="shared" si="1"/>
        <v>Not in buy Zone</v>
      </c>
      <c r="M651" s="60" t="str">
        <f t="shared" si="2"/>
        <v>Not in buy Zone</v>
      </c>
      <c r="N651" s="33" t="str">
        <f t="shared" si="3"/>
        <v>No</v>
      </c>
    </row>
    <row r="652">
      <c r="A652" s="1" t="s">
        <v>680</v>
      </c>
      <c r="B652" s="1">
        <v>0.0</v>
      </c>
      <c r="C652" s="1">
        <v>0.0</v>
      </c>
      <c r="D652" s="1">
        <v>138.39</v>
      </c>
      <c r="E652" s="1">
        <v>0.0</v>
      </c>
      <c r="F652" s="54">
        <v>44378.0</v>
      </c>
      <c r="G652" s="1">
        <v>0.0</v>
      </c>
      <c r="H652" s="1">
        <v>136.99</v>
      </c>
      <c r="I652" s="14">
        <v>44393.0</v>
      </c>
      <c r="J652" s="1" t="s">
        <v>4308</v>
      </c>
      <c r="K652" s="15" t="s">
        <v>4959</v>
      </c>
      <c r="L652" s="60" t="str">
        <f t="shared" si="1"/>
        <v>Not in buy Zone</v>
      </c>
      <c r="M652" s="60" t="str">
        <f t="shared" si="2"/>
        <v>Not in buy Zone</v>
      </c>
      <c r="N652" s="33" t="str">
        <f t="shared" si="3"/>
        <v>No</v>
      </c>
    </row>
    <row r="653">
      <c r="A653" s="1" t="s">
        <v>681</v>
      </c>
      <c r="B653" s="1">
        <v>0.0</v>
      </c>
      <c r="C653" s="1">
        <v>0.0</v>
      </c>
      <c r="D653" s="1">
        <v>53.3</v>
      </c>
      <c r="E653" s="1">
        <v>0.0</v>
      </c>
      <c r="F653" s="54">
        <v>44391.0</v>
      </c>
      <c r="G653" s="1">
        <v>0.0</v>
      </c>
      <c r="H653" s="1">
        <v>52.99</v>
      </c>
      <c r="I653" s="14">
        <v>44393.0</v>
      </c>
      <c r="J653" s="1" t="s">
        <v>4308</v>
      </c>
      <c r="K653" s="15" t="s">
        <v>4960</v>
      </c>
      <c r="L653" s="60" t="str">
        <f t="shared" si="1"/>
        <v>Not in buy Zone</v>
      </c>
      <c r="M653" s="60" t="str">
        <f t="shared" si="2"/>
        <v>Not in buy Zone</v>
      </c>
      <c r="N653" s="33" t="str">
        <f t="shared" si="3"/>
        <v>No</v>
      </c>
    </row>
    <row r="654">
      <c r="A654" s="1" t="s">
        <v>682</v>
      </c>
      <c r="B654" s="1">
        <v>0.0</v>
      </c>
      <c r="C654" s="1">
        <v>0.0</v>
      </c>
      <c r="D654" s="1">
        <v>65.61</v>
      </c>
      <c r="E654" s="1">
        <v>0.0</v>
      </c>
      <c r="F654" s="54">
        <v>44386.0</v>
      </c>
      <c r="G654" s="1">
        <v>0.0</v>
      </c>
      <c r="H654" s="1">
        <v>64.83</v>
      </c>
      <c r="I654" s="14">
        <v>44393.0</v>
      </c>
      <c r="J654" s="1" t="s">
        <v>4308</v>
      </c>
      <c r="K654" s="15" t="s">
        <v>4961</v>
      </c>
      <c r="L654" s="60" t="str">
        <f t="shared" si="1"/>
        <v>Not in buy Zone</v>
      </c>
      <c r="M654" s="60" t="str">
        <f t="shared" si="2"/>
        <v>Not in buy Zone</v>
      </c>
      <c r="N654" s="33" t="str">
        <f t="shared" si="3"/>
        <v>No</v>
      </c>
    </row>
    <row r="655">
      <c r="A655" s="1" t="s">
        <v>683</v>
      </c>
      <c r="B655" s="1">
        <v>0.0</v>
      </c>
      <c r="C655" s="1">
        <v>0.0</v>
      </c>
      <c r="D655" s="1">
        <v>0.0</v>
      </c>
      <c r="E655" s="1">
        <v>57.94</v>
      </c>
      <c r="F655" s="54">
        <v>44333.0</v>
      </c>
      <c r="G655" s="1">
        <v>0.0</v>
      </c>
      <c r="H655" s="1">
        <v>56.46</v>
      </c>
      <c r="I655" s="14">
        <v>44393.0</v>
      </c>
      <c r="J655" s="1" t="s">
        <v>4308</v>
      </c>
      <c r="K655" s="15" t="s">
        <v>4962</v>
      </c>
      <c r="L655" s="60" t="str">
        <f t="shared" si="1"/>
        <v>Not in buy Zone</v>
      </c>
      <c r="M655" s="60" t="str">
        <f t="shared" si="2"/>
        <v>Not in buy Zone</v>
      </c>
      <c r="N655" s="33" t="str">
        <f t="shared" si="3"/>
        <v>No</v>
      </c>
    </row>
    <row r="656">
      <c r="A656" s="1" t="s">
        <v>684</v>
      </c>
      <c r="B656" s="1">
        <v>0.0</v>
      </c>
      <c r="C656" s="1">
        <v>0.0</v>
      </c>
      <c r="D656" s="1">
        <v>80.92</v>
      </c>
      <c r="E656" s="1">
        <v>0.0</v>
      </c>
      <c r="F656" s="54">
        <v>44369.0</v>
      </c>
      <c r="G656" s="1">
        <v>0.0</v>
      </c>
      <c r="H656" s="1">
        <v>81.61</v>
      </c>
      <c r="I656" s="14">
        <v>44393.0</v>
      </c>
      <c r="J656" s="1" t="s">
        <v>4308</v>
      </c>
      <c r="K656" s="15" t="s">
        <v>4963</v>
      </c>
      <c r="L656" s="60" t="str">
        <f t="shared" si="1"/>
        <v>Not in buy Zone</v>
      </c>
      <c r="M656" s="60" t="str">
        <f t="shared" si="2"/>
        <v>Not in buy Zone</v>
      </c>
      <c r="N656" s="33" t="str">
        <f t="shared" si="3"/>
        <v>No</v>
      </c>
    </row>
    <row r="657">
      <c r="A657" s="1" t="s">
        <v>685</v>
      </c>
      <c r="B657" s="1">
        <v>0.0</v>
      </c>
      <c r="C657" s="1">
        <v>0.0</v>
      </c>
      <c r="D657" s="1">
        <v>321.14</v>
      </c>
      <c r="E657" s="1">
        <v>0.0</v>
      </c>
      <c r="F657" s="54">
        <v>44341.0</v>
      </c>
      <c r="G657" s="1">
        <v>0.0</v>
      </c>
      <c r="H657" s="1">
        <v>370.69</v>
      </c>
      <c r="I657" s="14">
        <v>44393.0</v>
      </c>
      <c r="J657" s="1" t="s">
        <v>4308</v>
      </c>
      <c r="K657" s="15" t="s">
        <v>4964</v>
      </c>
      <c r="L657" s="60" t="str">
        <f t="shared" si="1"/>
        <v>Not in buy Zone</v>
      </c>
      <c r="M657" s="60" t="str">
        <f t="shared" si="2"/>
        <v>Not in buy Zone</v>
      </c>
      <c r="N657" s="33" t="str">
        <f t="shared" si="3"/>
        <v>No</v>
      </c>
    </row>
    <row r="658">
      <c r="A658" s="1" t="s">
        <v>686</v>
      </c>
      <c r="B658" s="1">
        <v>0.0</v>
      </c>
      <c r="C658" s="1">
        <v>0.0</v>
      </c>
      <c r="D658" s="1">
        <v>0.0</v>
      </c>
      <c r="E658" s="1">
        <v>53.04</v>
      </c>
      <c r="F658" s="54">
        <v>44328.0</v>
      </c>
      <c r="G658" s="1">
        <v>0.0</v>
      </c>
      <c r="H658" s="1">
        <v>46.02</v>
      </c>
      <c r="I658" s="14">
        <v>44393.0</v>
      </c>
      <c r="J658" s="1" t="s">
        <v>4308</v>
      </c>
      <c r="K658" s="15" t="s">
        <v>4965</v>
      </c>
      <c r="L658" s="60" t="str">
        <f t="shared" si="1"/>
        <v>Not in buy Zone</v>
      </c>
      <c r="M658" s="60" t="str">
        <f t="shared" si="2"/>
        <v>Not in buy Zone</v>
      </c>
      <c r="N658" s="33" t="str">
        <f t="shared" si="3"/>
        <v>No</v>
      </c>
    </row>
    <row r="659">
      <c r="A659" s="1" t="s">
        <v>687</v>
      </c>
      <c r="B659" s="1">
        <v>0.0</v>
      </c>
      <c r="C659" s="1">
        <v>0.0</v>
      </c>
      <c r="D659" s="1">
        <v>0.0</v>
      </c>
      <c r="E659" s="1">
        <v>232.99</v>
      </c>
      <c r="F659" s="54">
        <v>44390.0</v>
      </c>
      <c r="G659" s="1">
        <v>0.0</v>
      </c>
      <c r="H659" s="1">
        <v>227.53</v>
      </c>
      <c r="I659" s="14">
        <v>44393.0</v>
      </c>
      <c r="J659" s="1" t="s">
        <v>4308</v>
      </c>
      <c r="K659" s="15" t="s">
        <v>4966</v>
      </c>
      <c r="L659" s="60" t="str">
        <f t="shared" si="1"/>
        <v>Not in buy Zone</v>
      </c>
      <c r="M659" s="60" t="str">
        <f t="shared" si="2"/>
        <v>Not in buy Zone</v>
      </c>
      <c r="N659" s="33" t="str">
        <f t="shared" si="3"/>
        <v>No</v>
      </c>
    </row>
    <row r="660">
      <c r="A660" s="1" t="s">
        <v>688</v>
      </c>
      <c r="B660" s="1">
        <v>0.0</v>
      </c>
      <c r="C660" s="1">
        <v>0.0</v>
      </c>
      <c r="D660" s="1">
        <v>0.0</v>
      </c>
      <c r="E660" s="1">
        <v>70.77</v>
      </c>
      <c r="F660" s="54">
        <v>44364.0</v>
      </c>
      <c r="G660" s="1">
        <v>0.0</v>
      </c>
      <c r="H660" s="1">
        <v>64.2</v>
      </c>
      <c r="I660" s="14">
        <v>44393.0</v>
      </c>
      <c r="J660" s="1" t="s">
        <v>4308</v>
      </c>
      <c r="K660" s="15" t="s">
        <v>4967</v>
      </c>
      <c r="L660" s="60" t="str">
        <f t="shared" si="1"/>
        <v>Not in buy Zone</v>
      </c>
      <c r="M660" s="60" t="str">
        <f t="shared" si="2"/>
        <v>Not in buy Zone</v>
      </c>
      <c r="N660" s="33" t="str">
        <f t="shared" si="3"/>
        <v>No</v>
      </c>
    </row>
    <row r="661">
      <c r="A661" s="1" t="s">
        <v>689</v>
      </c>
      <c r="B661" s="1">
        <v>0.0</v>
      </c>
      <c r="C661" s="1">
        <v>0.0</v>
      </c>
      <c r="D661" s="1">
        <v>91.79</v>
      </c>
      <c r="E661" s="1">
        <v>0.0</v>
      </c>
      <c r="F661" s="54">
        <v>44384.0</v>
      </c>
      <c r="G661" s="1">
        <v>0.0</v>
      </c>
      <c r="H661" s="1">
        <v>95.44</v>
      </c>
      <c r="I661" s="14">
        <v>44393.0</v>
      </c>
      <c r="J661" s="1" t="s">
        <v>4308</v>
      </c>
      <c r="K661" s="15" t="s">
        <v>4968</v>
      </c>
      <c r="L661" s="60" t="str">
        <f t="shared" si="1"/>
        <v>Not in buy Zone</v>
      </c>
      <c r="M661" s="60" t="str">
        <f t="shared" si="2"/>
        <v>Not in buy Zone</v>
      </c>
      <c r="N661" s="33" t="str">
        <f t="shared" si="3"/>
        <v>No</v>
      </c>
    </row>
    <row r="662">
      <c r="A662" s="1" t="s">
        <v>690</v>
      </c>
      <c r="B662" s="1">
        <v>0.0</v>
      </c>
      <c r="C662" s="1">
        <v>0.0</v>
      </c>
      <c r="D662" s="1">
        <v>83.47</v>
      </c>
      <c r="E662" s="1">
        <v>0.0</v>
      </c>
      <c r="F662" s="54">
        <v>44370.0</v>
      </c>
      <c r="G662" s="1">
        <v>0.0</v>
      </c>
      <c r="H662" s="1">
        <v>89.68</v>
      </c>
      <c r="I662" s="14">
        <v>44393.0</v>
      </c>
      <c r="J662" s="1" t="s">
        <v>4308</v>
      </c>
      <c r="K662" s="15" t="s">
        <v>4969</v>
      </c>
      <c r="L662" s="60" t="str">
        <f t="shared" si="1"/>
        <v>Not in buy Zone</v>
      </c>
      <c r="M662" s="60" t="str">
        <f t="shared" si="2"/>
        <v>Not in buy Zone</v>
      </c>
      <c r="N662" s="33" t="str">
        <f t="shared" si="3"/>
        <v>No</v>
      </c>
    </row>
    <row r="663">
      <c r="A663" s="1" t="s">
        <v>691</v>
      </c>
      <c r="B663" s="1">
        <v>0.0</v>
      </c>
      <c r="C663" s="1">
        <v>0.0</v>
      </c>
      <c r="D663" s="1">
        <v>44.95</v>
      </c>
      <c r="E663" s="1">
        <v>0.0</v>
      </c>
      <c r="F663" s="54">
        <v>44391.0</v>
      </c>
      <c r="G663" s="1">
        <v>0.0</v>
      </c>
      <c r="H663" s="1">
        <v>44.28</v>
      </c>
      <c r="I663" s="14">
        <v>44393.0</v>
      </c>
      <c r="J663" s="1" t="s">
        <v>4308</v>
      </c>
      <c r="K663" s="15" t="s">
        <v>4970</v>
      </c>
      <c r="L663" s="60" t="str">
        <f t="shared" si="1"/>
        <v>Not in buy Zone</v>
      </c>
      <c r="M663" s="60" t="str">
        <f t="shared" si="2"/>
        <v>Not in buy Zone</v>
      </c>
      <c r="N663" s="33" t="str">
        <f t="shared" si="3"/>
        <v>No</v>
      </c>
    </row>
    <row r="664">
      <c r="A664" s="1" t="s">
        <v>692</v>
      </c>
      <c r="B664" s="1">
        <v>0.0</v>
      </c>
      <c r="C664" s="1">
        <v>0.0</v>
      </c>
      <c r="D664" s="1">
        <v>222.49</v>
      </c>
      <c r="E664" s="1">
        <v>0.0</v>
      </c>
      <c r="F664" s="54">
        <v>44379.0</v>
      </c>
      <c r="G664" s="1">
        <v>0.0</v>
      </c>
      <c r="H664" s="1">
        <v>219.86</v>
      </c>
      <c r="I664" s="14">
        <v>44393.0</v>
      </c>
      <c r="J664" s="1" t="s">
        <v>4308</v>
      </c>
      <c r="K664" s="15" t="s">
        <v>4971</v>
      </c>
      <c r="L664" s="60" t="str">
        <f t="shared" si="1"/>
        <v>Not in buy Zone</v>
      </c>
      <c r="M664" s="60" t="str">
        <f t="shared" si="2"/>
        <v>Not in buy Zone</v>
      </c>
      <c r="N664" s="33" t="str">
        <f t="shared" si="3"/>
        <v>No</v>
      </c>
    </row>
    <row r="665">
      <c r="A665" s="1" t="s">
        <v>693</v>
      </c>
      <c r="B665" s="1">
        <v>0.0</v>
      </c>
      <c r="C665" s="1">
        <v>0.0</v>
      </c>
      <c r="D665" s="1">
        <v>0.0</v>
      </c>
      <c r="E665" s="1">
        <v>258.61</v>
      </c>
      <c r="F665" s="54">
        <v>44349.0</v>
      </c>
      <c r="G665" s="1">
        <v>0.0</v>
      </c>
      <c r="H665" s="1">
        <v>222.36</v>
      </c>
      <c r="I665" s="14">
        <v>44393.0</v>
      </c>
      <c r="J665" s="1" t="s">
        <v>4308</v>
      </c>
      <c r="K665" s="15" t="s">
        <v>4972</v>
      </c>
      <c r="L665" s="60" t="str">
        <f t="shared" si="1"/>
        <v>Not in buy Zone</v>
      </c>
      <c r="M665" s="60" t="str">
        <f t="shared" si="2"/>
        <v>Not in buy Zone</v>
      </c>
      <c r="N665" s="33" t="str">
        <f t="shared" si="3"/>
        <v>No</v>
      </c>
    </row>
    <row r="666">
      <c r="A666" s="1" t="s">
        <v>694</v>
      </c>
      <c r="B666" s="1">
        <v>0.0</v>
      </c>
      <c r="C666" s="1">
        <v>0.0</v>
      </c>
      <c r="D666" s="1">
        <v>141.17</v>
      </c>
      <c r="E666" s="1">
        <v>0.0</v>
      </c>
      <c r="F666" s="54">
        <v>44378.0</v>
      </c>
      <c r="G666" s="1">
        <v>0.0</v>
      </c>
      <c r="H666" s="1">
        <v>145.8</v>
      </c>
      <c r="I666" s="14">
        <v>44393.0</v>
      </c>
      <c r="J666" s="1" t="s">
        <v>4308</v>
      </c>
      <c r="K666" s="15" t="s">
        <v>4973</v>
      </c>
      <c r="L666" s="60" t="str">
        <f t="shared" si="1"/>
        <v>Not in buy Zone</v>
      </c>
      <c r="M666" s="60" t="str">
        <f t="shared" si="2"/>
        <v>Not in buy Zone</v>
      </c>
      <c r="N666" s="33" t="str">
        <f t="shared" si="3"/>
        <v>No</v>
      </c>
    </row>
    <row r="667">
      <c r="A667" s="1" t="s">
        <v>695</v>
      </c>
      <c r="B667" s="1">
        <v>0.0</v>
      </c>
      <c r="C667" s="1">
        <v>0.0</v>
      </c>
      <c r="D667" s="1">
        <v>0.0</v>
      </c>
      <c r="E667" s="1">
        <v>26.93</v>
      </c>
      <c r="F667" s="54">
        <v>44364.0</v>
      </c>
      <c r="G667" s="1">
        <v>0.0</v>
      </c>
      <c r="H667" s="1">
        <v>25.28</v>
      </c>
      <c r="I667" s="14">
        <v>44393.0</v>
      </c>
      <c r="J667" s="1" t="s">
        <v>4308</v>
      </c>
      <c r="K667" s="15" t="s">
        <v>4974</v>
      </c>
      <c r="L667" s="60" t="str">
        <f t="shared" si="1"/>
        <v>Not in buy Zone</v>
      </c>
      <c r="M667" s="60" t="str">
        <f t="shared" si="2"/>
        <v>Not in buy Zone</v>
      </c>
      <c r="N667" s="33" t="str">
        <f t="shared" si="3"/>
        <v>No</v>
      </c>
    </row>
    <row r="668">
      <c r="A668" s="1" t="s">
        <v>696</v>
      </c>
      <c r="B668" s="1">
        <v>0.0</v>
      </c>
      <c r="C668" s="1">
        <v>0.0</v>
      </c>
      <c r="D668" s="1">
        <v>141.02</v>
      </c>
      <c r="E668" s="1">
        <v>0.0</v>
      </c>
      <c r="F668" s="54">
        <v>44377.0</v>
      </c>
      <c r="G668" s="1">
        <v>0.0</v>
      </c>
      <c r="H668" s="1">
        <v>141.56</v>
      </c>
      <c r="I668" s="14">
        <v>44393.0</v>
      </c>
      <c r="J668" s="1" t="s">
        <v>4308</v>
      </c>
      <c r="K668" s="15" t="s">
        <v>4975</v>
      </c>
      <c r="L668" s="60" t="str">
        <f t="shared" si="1"/>
        <v>Not in buy Zone</v>
      </c>
      <c r="M668" s="60" t="str">
        <f t="shared" si="2"/>
        <v>Not in buy Zone</v>
      </c>
      <c r="N668" s="33" t="str">
        <f t="shared" si="3"/>
        <v>No</v>
      </c>
    </row>
    <row r="669">
      <c r="A669" s="1" t="s">
        <v>697</v>
      </c>
      <c r="B669" s="1">
        <v>0.0</v>
      </c>
      <c r="C669" s="1">
        <v>0.0</v>
      </c>
      <c r="D669" s="1">
        <v>42.46</v>
      </c>
      <c r="E669" s="1">
        <v>0.0</v>
      </c>
      <c r="F669" s="54">
        <v>44336.0</v>
      </c>
      <c r="G669" s="1">
        <v>0.0</v>
      </c>
      <c r="H669" s="1">
        <v>44.7</v>
      </c>
      <c r="I669" s="14">
        <v>44393.0</v>
      </c>
      <c r="J669" s="1" t="s">
        <v>4308</v>
      </c>
      <c r="K669" s="15" t="s">
        <v>4976</v>
      </c>
      <c r="L669" s="60" t="str">
        <f t="shared" si="1"/>
        <v>Not in buy Zone</v>
      </c>
      <c r="M669" s="60" t="str">
        <f t="shared" si="2"/>
        <v>Not in buy Zone</v>
      </c>
      <c r="N669" s="33" t="str">
        <f t="shared" si="3"/>
        <v>No</v>
      </c>
    </row>
    <row r="670">
      <c r="A670" s="1" t="s">
        <v>698</v>
      </c>
      <c r="B670" s="1">
        <v>0.0</v>
      </c>
      <c r="C670" s="1">
        <v>0.0</v>
      </c>
      <c r="D670" s="1">
        <v>75.96</v>
      </c>
      <c r="E670" s="1">
        <v>0.0</v>
      </c>
      <c r="F670" s="54">
        <v>44378.0</v>
      </c>
      <c r="G670" s="1">
        <v>0.0</v>
      </c>
      <c r="H670" s="1">
        <v>76.73</v>
      </c>
      <c r="I670" s="14">
        <v>44393.0</v>
      </c>
      <c r="J670" s="1" t="s">
        <v>4308</v>
      </c>
      <c r="K670" s="15" t="s">
        <v>4977</v>
      </c>
      <c r="L670" s="60" t="str">
        <f t="shared" si="1"/>
        <v>Not in buy Zone</v>
      </c>
      <c r="M670" s="60" t="str">
        <f t="shared" si="2"/>
        <v>Not in buy Zone</v>
      </c>
      <c r="N670" s="33" t="str">
        <f t="shared" si="3"/>
        <v>No</v>
      </c>
    </row>
    <row r="671">
      <c r="A671" s="1" t="s">
        <v>699</v>
      </c>
      <c r="B671" s="1">
        <v>0.0</v>
      </c>
      <c r="C671" s="1">
        <v>0.0</v>
      </c>
      <c r="D671" s="1">
        <v>0.0</v>
      </c>
      <c r="E671" s="1">
        <v>57.5</v>
      </c>
      <c r="F671" s="54">
        <v>44341.0</v>
      </c>
      <c r="G671" s="1">
        <v>0.0</v>
      </c>
      <c r="H671" s="1">
        <v>49.01</v>
      </c>
      <c r="I671" s="14">
        <v>44393.0</v>
      </c>
      <c r="J671" s="1" t="s">
        <v>4308</v>
      </c>
      <c r="K671" s="15" t="s">
        <v>4978</v>
      </c>
      <c r="L671" s="60" t="str">
        <f t="shared" si="1"/>
        <v>Not in buy Zone</v>
      </c>
      <c r="M671" s="60" t="str">
        <f t="shared" si="2"/>
        <v>Not in buy Zone</v>
      </c>
      <c r="N671" s="33" t="str">
        <f t="shared" si="3"/>
        <v>No</v>
      </c>
    </row>
    <row r="672">
      <c r="A672" s="1" t="s">
        <v>700</v>
      </c>
      <c r="B672" s="1">
        <v>0.0</v>
      </c>
      <c r="C672" s="1">
        <v>0.0</v>
      </c>
      <c r="D672" s="1">
        <v>0.0</v>
      </c>
      <c r="E672" s="1">
        <v>27.81</v>
      </c>
      <c r="F672" s="54">
        <v>44365.0</v>
      </c>
      <c r="G672" s="1">
        <v>0.0</v>
      </c>
      <c r="H672" s="1">
        <v>27.12</v>
      </c>
      <c r="I672" s="14">
        <v>44393.0</v>
      </c>
      <c r="J672" s="1" t="s">
        <v>4308</v>
      </c>
      <c r="K672" s="15" t="s">
        <v>4979</v>
      </c>
      <c r="L672" s="60" t="str">
        <f t="shared" si="1"/>
        <v>Not in buy Zone</v>
      </c>
      <c r="M672" s="60" t="str">
        <f t="shared" si="2"/>
        <v>Not in buy Zone</v>
      </c>
      <c r="N672" s="33" t="str">
        <f t="shared" si="3"/>
        <v>No</v>
      </c>
    </row>
    <row r="673">
      <c r="A673" s="1" t="s">
        <v>701</v>
      </c>
      <c r="B673" s="1">
        <v>0.0</v>
      </c>
      <c r="C673" s="1">
        <v>0.0</v>
      </c>
      <c r="D673" s="1">
        <v>345.33</v>
      </c>
      <c r="E673" s="1">
        <v>0.0</v>
      </c>
      <c r="F673" s="54">
        <v>44358.0</v>
      </c>
      <c r="G673" s="1">
        <v>0.0</v>
      </c>
      <c r="H673" s="1">
        <v>373.66</v>
      </c>
      <c r="I673" s="14">
        <v>44393.0</v>
      </c>
      <c r="J673" s="1" t="s">
        <v>4308</v>
      </c>
      <c r="K673" s="15" t="s">
        <v>4980</v>
      </c>
      <c r="L673" s="60" t="str">
        <f t="shared" si="1"/>
        <v>Not in buy Zone</v>
      </c>
      <c r="M673" s="60" t="str">
        <f t="shared" si="2"/>
        <v>Not in buy Zone</v>
      </c>
      <c r="N673" s="33" t="str">
        <f t="shared" si="3"/>
        <v>No</v>
      </c>
    </row>
    <row r="674">
      <c r="A674" s="1" t="s">
        <v>702</v>
      </c>
      <c r="B674" s="1">
        <v>0.0</v>
      </c>
      <c r="C674" s="1">
        <v>0.0</v>
      </c>
      <c r="D674" s="1">
        <v>0.0</v>
      </c>
      <c r="E674" s="1">
        <v>24.99</v>
      </c>
      <c r="F674" s="54">
        <v>44321.0</v>
      </c>
      <c r="G674" s="1">
        <v>0.0</v>
      </c>
      <c r="H674" s="1">
        <v>23.5</v>
      </c>
      <c r="I674" s="14">
        <v>44393.0</v>
      </c>
      <c r="J674" s="1" t="s">
        <v>4308</v>
      </c>
      <c r="K674" s="15" t="s">
        <v>4981</v>
      </c>
      <c r="L674" s="60" t="str">
        <f t="shared" si="1"/>
        <v>Not in buy Zone</v>
      </c>
      <c r="M674" s="60" t="str">
        <f t="shared" si="2"/>
        <v>Not in buy Zone</v>
      </c>
      <c r="N674" s="33" t="str">
        <f t="shared" si="3"/>
        <v>No</v>
      </c>
    </row>
    <row r="675">
      <c r="A675" s="1" t="s">
        <v>703</v>
      </c>
      <c r="B675" s="1">
        <v>0.0</v>
      </c>
      <c r="C675" s="1">
        <v>34.02</v>
      </c>
      <c r="D675" s="1">
        <v>0.0</v>
      </c>
      <c r="E675" s="1">
        <v>0.0</v>
      </c>
      <c r="F675" s="54">
        <v>44393.0</v>
      </c>
      <c r="G675" s="1">
        <v>-1.0</v>
      </c>
      <c r="H675" s="1">
        <v>34.02</v>
      </c>
      <c r="I675" s="14">
        <v>44393.0</v>
      </c>
      <c r="J675" s="1" t="s">
        <v>4308</v>
      </c>
      <c r="K675" s="15" t="s">
        <v>4982</v>
      </c>
      <c r="L675" s="60" t="str">
        <f t="shared" si="1"/>
        <v>Not in buy Zone</v>
      </c>
      <c r="M675" s="60" t="str">
        <f t="shared" si="2"/>
        <v>Not in buy Zone</v>
      </c>
      <c r="N675" s="33" t="str">
        <f t="shared" si="3"/>
        <v>No</v>
      </c>
    </row>
    <row r="676">
      <c r="A676" s="1" t="s">
        <v>704</v>
      </c>
      <c r="B676" s="1">
        <v>0.0</v>
      </c>
      <c r="C676" s="1">
        <v>0.0</v>
      </c>
      <c r="D676" s="1">
        <v>0.0</v>
      </c>
      <c r="E676" s="1">
        <v>126.67</v>
      </c>
      <c r="F676" s="54">
        <v>44356.0</v>
      </c>
      <c r="G676" s="1">
        <v>0.0</v>
      </c>
      <c r="H676" s="1">
        <v>104.7</v>
      </c>
      <c r="I676" s="14">
        <v>44393.0</v>
      </c>
      <c r="J676" s="1" t="s">
        <v>4308</v>
      </c>
      <c r="K676" s="15" t="s">
        <v>4983</v>
      </c>
      <c r="L676" s="60" t="str">
        <f t="shared" si="1"/>
        <v>Not in buy Zone</v>
      </c>
      <c r="M676" s="60" t="str">
        <f t="shared" si="2"/>
        <v>Not in buy Zone</v>
      </c>
      <c r="N676" s="33" t="str">
        <f t="shared" si="3"/>
        <v>No</v>
      </c>
    </row>
    <row r="677">
      <c r="A677" s="1" t="s">
        <v>705</v>
      </c>
      <c r="B677" s="1">
        <v>0.0</v>
      </c>
      <c r="C677" s="1">
        <v>0.0</v>
      </c>
      <c r="D677" s="1">
        <v>0.0</v>
      </c>
      <c r="E677" s="1">
        <v>131.35</v>
      </c>
      <c r="F677" s="54">
        <v>44384.0</v>
      </c>
      <c r="G677" s="1">
        <v>0.0</v>
      </c>
      <c r="H677" s="1">
        <v>125.94</v>
      </c>
      <c r="I677" s="14">
        <v>44393.0</v>
      </c>
      <c r="J677" s="1" t="s">
        <v>4308</v>
      </c>
      <c r="K677" s="15" t="s">
        <v>4984</v>
      </c>
      <c r="L677" s="60" t="str">
        <f t="shared" si="1"/>
        <v>Not in buy Zone</v>
      </c>
      <c r="M677" s="60" t="str">
        <f t="shared" si="2"/>
        <v>Not in buy Zone</v>
      </c>
      <c r="N677" s="33" t="str">
        <f t="shared" si="3"/>
        <v>No</v>
      </c>
    </row>
    <row r="678">
      <c r="A678" s="1" t="s">
        <v>706</v>
      </c>
      <c r="B678" s="1">
        <v>0.0</v>
      </c>
      <c r="C678" s="1">
        <v>0.0</v>
      </c>
      <c r="D678" s="1">
        <v>68.09</v>
      </c>
      <c r="E678" s="1">
        <v>0.0</v>
      </c>
      <c r="F678" s="54">
        <v>44391.0</v>
      </c>
      <c r="G678" s="1">
        <v>0.0</v>
      </c>
      <c r="H678" s="1">
        <v>69.13</v>
      </c>
      <c r="I678" s="14">
        <v>44393.0</v>
      </c>
      <c r="J678" s="1" t="s">
        <v>4308</v>
      </c>
      <c r="K678" s="15" t="s">
        <v>4985</v>
      </c>
      <c r="L678" s="60" t="str">
        <f t="shared" si="1"/>
        <v>Not in buy Zone</v>
      </c>
      <c r="M678" s="60" t="str">
        <f t="shared" si="2"/>
        <v>Not in buy Zone</v>
      </c>
      <c r="N678" s="33" t="str">
        <f t="shared" si="3"/>
        <v>No</v>
      </c>
    </row>
    <row r="679">
      <c r="A679" s="1" t="s">
        <v>707</v>
      </c>
      <c r="B679" s="1">
        <v>0.0</v>
      </c>
      <c r="C679" s="1">
        <v>0.0</v>
      </c>
      <c r="D679" s="1">
        <v>0.0</v>
      </c>
      <c r="E679" s="1">
        <v>85.56</v>
      </c>
      <c r="F679" s="54">
        <v>44328.0</v>
      </c>
      <c r="G679" s="1">
        <v>0.0</v>
      </c>
      <c r="H679" s="1">
        <v>81.09</v>
      </c>
      <c r="I679" s="14">
        <v>44393.0</v>
      </c>
      <c r="J679" s="1" t="s">
        <v>4308</v>
      </c>
      <c r="K679" s="15" t="s">
        <v>4986</v>
      </c>
      <c r="L679" s="60" t="str">
        <f t="shared" si="1"/>
        <v>Not in buy Zone</v>
      </c>
      <c r="M679" s="60" t="str">
        <f t="shared" si="2"/>
        <v>Not in buy Zone</v>
      </c>
      <c r="N679" s="33" t="str">
        <f t="shared" si="3"/>
        <v>No</v>
      </c>
    </row>
    <row r="680">
      <c r="A680" s="1" t="s">
        <v>708</v>
      </c>
      <c r="B680" s="1">
        <v>0.0</v>
      </c>
      <c r="C680" s="1">
        <v>0.0</v>
      </c>
      <c r="D680" s="1">
        <v>78.26</v>
      </c>
      <c r="E680" s="1">
        <v>0.0</v>
      </c>
      <c r="F680" s="54">
        <v>44340.0</v>
      </c>
      <c r="G680" s="1">
        <v>0.0</v>
      </c>
      <c r="H680" s="1">
        <v>80.86</v>
      </c>
      <c r="I680" s="14">
        <v>44393.0</v>
      </c>
      <c r="J680" s="1" t="s">
        <v>4308</v>
      </c>
      <c r="K680" s="15" t="s">
        <v>4987</v>
      </c>
      <c r="L680" s="60" t="str">
        <f t="shared" si="1"/>
        <v>Not in buy Zone</v>
      </c>
      <c r="M680" s="60" t="str">
        <f t="shared" si="2"/>
        <v>Not in buy Zone</v>
      </c>
      <c r="N680" s="33" t="str">
        <f t="shared" si="3"/>
        <v>No</v>
      </c>
    </row>
    <row r="681">
      <c r="A681" s="1" t="s">
        <v>709</v>
      </c>
      <c r="B681" s="1">
        <v>0.0</v>
      </c>
      <c r="C681" s="1">
        <v>0.0</v>
      </c>
      <c r="D681" s="1">
        <v>0.0</v>
      </c>
      <c r="E681" s="1">
        <v>52.39</v>
      </c>
      <c r="F681" s="54">
        <v>44365.0</v>
      </c>
      <c r="G681" s="1">
        <v>0.0</v>
      </c>
      <c r="H681" s="1">
        <v>48.68</v>
      </c>
      <c r="I681" s="14">
        <v>44393.0</v>
      </c>
      <c r="J681" s="1" t="s">
        <v>4308</v>
      </c>
      <c r="K681" s="15" t="s">
        <v>4988</v>
      </c>
      <c r="L681" s="60" t="str">
        <f t="shared" si="1"/>
        <v>Not in buy Zone</v>
      </c>
      <c r="M681" s="60" t="str">
        <f t="shared" si="2"/>
        <v>Not in buy Zone</v>
      </c>
      <c r="N681" s="33" t="str">
        <f t="shared" si="3"/>
        <v>No</v>
      </c>
    </row>
    <row r="682">
      <c r="A682" s="1" t="s">
        <v>710</v>
      </c>
      <c r="B682" s="1">
        <v>0.0</v>
      </c>
      <c r="C682" s="1">
        <v>0.0</v>
      </c>
      <c r="D682" s="1">
        <v>37.07</v>
      </c>
      <c r="E682" s="1">
        <v>0.0</v>
      </c>
      <c r="F682" s="54">
        <v>44389.0</v>
      </c>
      <c r="G682" s="1">
        <v>0.0</v>
      </c>
      <c r="H682" s="1">
        <v>36.12</v>
      </c>
      <c r="I682" s="14">
        <v>44393.0</v>
      </c>
      <c r="J682" s="1" t="s">
        <v>4308</v>
      </c>
      <c r="K682" s="15" t="s">
        <v>4989</v>
      </c>
      <c r="L682" s="60" t="str">
        <f t="shared" si="1"/>
        <v>Not in buy Zone</v>
      </c>
      <c r="M682" s="60" t="str">
        <f t="shared" si="2"/>
        <v>Not in buy Zone</v>
      </c>
      <c r="N682" s="33" t="str">
        <f t="shared" si="3"/>
        <v>No</v>
      </c>
    </row>
    <row r="683">
      <c r="A683" s="1" t="s">
        <v>711</v>
      </c>
      <c r="B683" s="1">
        <v>0.0</v>
      </c>
      <c r="C683" s="1">
        <v>0.0</v>
      </c>
      <c r="D683" s="1">
        <v>103.13</v>
      </c>
      <c r="E683" s="1">
        <v>0.0</v>
      </c>
      <c r="F683" s="54">
        <v>44378.0</v>
      </c>
      <c r="G683" s="1">
        <v>0.0</v>
      </c>
      <c r="H683" s="1">
        <v>101.91</v>
      </c>
      <c r="I683" s="14">
        <v>44393.0</v>
      </c>
      <c r="J683" s="1" t="s">
        <v>4308</v>
      </c>
      <c r="K683" s="15" t="s">
        <v>4990</v>
      </c>
      <c r="L683" s="60" t="str">
        <f t="shared" si="1"/>
        <v>Not in buy Zone</v>
      </c>
      <c r="M683" s="60" t="str">
        <f t="shared" si="2"/>
        <v>Not in buy Zone</v>
      </c>
      <c r="N683" s="33" t="str">
        <f t="shared" si="3"/>
        <v>No</v>
      </c>
    </row>
    <row r="684">
      <c r="A684" s="1" t="s">
        <v>712</v>
      </c>
      <c r="B684" s="1">
        <v>0.0</v>
      </c>
      <c r="C684" s="1">
        <v>0.0</v>
      </c>
      <c r="D684" s="1">
        <v>138.61</v>
      </c>
      <c r="E684" s="1">
        <v>0.0</v>
      </c>
      <c r="F684" s="54">
        <v>44340.0</v>
      </c>
      <c r="G684" s="1">
        <v>0.0</v>
      </c>
      <c r="H684" s="1">
        <v>150.3</v>
      </c>
      <c r="I684" s="14">
        <v>44393.0</v>
      </c>
      <c r="J684" s="1" t="s">
        <v>4308</v>
      </c>
      <c r="K684" s="15" t="s">
        <v>4991</v>
      </c>
      <c r="L684" s="60" t="str">
        <f t="shared" si="1"/>
        <v>Not in buy Zone</v>
      </c>
      <c r="M684" s="60" t="str">
        <f t="shared" si="2"/>
        <v>Not in buy Zone</v>
      </c>
      <c r="N684" s="33" t="str">
        <f t="shared" si="3"/>
        <v>No</v>
      </c>
    </row>
    <row r="685">
      <c r="A685" s="1" t="s">
        <v>713</v>
      </c>
      <c r="B685" s="1">
        <v>0.0</v>
      </c>
      <c r="C685" s="1">
        <v>0.0</v>
      </c>
      <c r="D685" s="1">
        <v>0.0</v>
      </c>
      <c r="E685" s="1">
        <v>133.77</v>
      </c>
      <c r="F685" s="54">
        <v>44385.0</v>
      </c>
      <c r="G685" s="1">
        <v>0.0</v>
      </c>
      <c r="H685" s="1">
        <v>128.63</v>
      </c>
      <c r="I685" s="14">
        <v>44393.0</v>
      </c>
      <c r="J685" s="1" t="s">
        <v>4308</v>
      </c>
      <c r="K685" s="15" t="s">
        <v>4992</v>
      </c>
      <c r="L685" s="60" t="str">
        <f t="shared" si="1"/>
        <v>Not in buy Zone</v>
      </c>
      <c r="M685" s="60" t="str">
        <f t="shared" si="2"/>
        <v>Not in buy Zone</v>
      </c>
      <c r="N685" s="33" t="str">
        <f t="shared" si="3"/>
        <v>No</v>
      </c>
    </row>
    <row r="686">
      <c r="A686" s="1" t="s">
        <v>714</v>
      </c>
      <c r="B686" s="1">
        <v>0.0</v>
      </c>
      <c r="C686" s="1">
        <v>0.0</v>
      </c>
      <c r="D686" s="1">
        <v>70.64</v>
      </c>
      <c r="E686" s="1">
        <v>0.0</v>
      </c>
      <c r="F686" s="54">
        <v>44391.0</v>
      </c>
      <c r="G686" s="1">
        <v>0.0</v>
      </c>
      <c r="H686" s="1">
        <v>71.04</v>
      </c>
      <c r="I686" s="14">
        <v>44393.0</v>
      </c>
      <c r="J686" s="1" t="s">
        <v>4308</v>
      </c>
      <c r="K686" s="15" t="s">
        <v>4993</v>
      </c>
      <c r="L686" s="60" t="str">
        <f t="shared" si="1"/>
        <v>Not in buy Zone</v>
      </c>
      <c r="M686" s="60" t="str">
        <f t="shared" si="2"/>
        <v>Not in buy Zone</v>
      </c>
      <c r="N686" s="33" t="str">
        <f t="shared" si="3"/>
        <v>No</v>
      </c>
    </row>
    <row r="687">
      <c r="A687" s="1" t="s">
        <v>715</v>
      </c>
      <c r="B687" s="1">
        <v>0.0</v>
      </c>
      <c r="C687" s="1">
        <v>0.0</v>
      </c>
      <c r="D687" s="1">
        <v>45.91</v>
      </c>
      <c r="E687" s="1">
        <v>0.0</v>
      </c>
      <c r="F687" s="54">
        <v>44386.0</v>
      </c>
      <c r="G687" s="1">
        <v>0.0</v>
      </c>
      <c r="H687" s="1">
        <v>46.23</v>
      </c>
      <c r="I687" s="14">
        <v>44393.0</v>
      </c>
      <c r="J687" s="1" t="s">
        <v>4308</v>
      </c>
      <c r="K687" s="15" t="s">
        <v>4994</v>
      </c>
      <c r="L687" s="60" t="str">
        <f t="shared" si="1"/>
        <v>Not in buy Zone</v>
      </c>
      <c r="M687" s="60" t="str">
        <f t="shared" si="2"/>
        <v>Not in buy Zone</v>
      </c>
      <c r="N687" s="33" t="str">
        <f t="shared" si="3"/>
        <v>No</v>
      </c>
    </row>
    <row r="688">
      <c r="A688" s="1" t="s">
        <v>716</v>
      </c>
      <c r="B688" s="1">
        <v>0.0</v>
      </c>
      <c r="C688" s="1">
        <v>0.0</v>
      </c>
      <c r="D688" s="1">
        <v>65.61</v>
      </c>
      <c r="E688" s="1">
        <v>0.0</v>
      </c>
      <c r="F688" s="54">
        <v>44392.0</v>
      </c>
      <c r="G688" s="1">
        <v>0.0</v>
      </c>
      <c r="H688" s="1">
        <v>66.27</v>
      </c>
      <c r="I688" s="14">
        <v>44393.0</v>
      </c>
      <c r="J688" s="1" t="s">
        <v>4308</v>
      </c>
      <c r="K688" s="15" t="s">
        <v>4995</v>
      </c>
      <c r="L688" s="60" t="str">
        <f t="shared" si="1"/>
        <v>Not in buy Zone</v>
      </c>
      <c r="M688" s="60" t="str">
        <f t="shared" si="2"/>
        <v>Not in buy Zone</v>
      </c>
      <c r="N688" s="33" t="str">
        <f t="shared" si="3"/>
        <v>No</v>
      </c>
    </row>
    <row r="689">
      <c r="A689" s="1" t="s">
        <v>717</v>
      </c>
      <c r="B689" s="1">
        <v>0.0</v>
      </c>
      <c r="C689" s="1">
        <v>0.0</v>
      </c>
      <c r="D689" s="1">
        <v>125.44</v>
      </c>
      <c r="E689" s="1">
        <v>0.0</v>
      </c>
      <c r="F689" s="54">
        <v>44357.0</v>
      </c>
      <c r="G689" s="1">
        <v>0.0</v>
      </c>
      <c r="H689" s="1">
        <v>128.62</v>
      </c>
      <c r="I689" s="14">
        <v>44393.0</v>
      </c>
      <c r="J689" s="1" t="s">
        <v>4308</v>
      </c>
      <c r="K689" s="15" t="s">
        <v>4996</v>
      </c>
      <c r="L689" s="60" t="str">
        <f t="shared" si="1"/>
        <v>Not in buy Zone</v>
      </c>
      <c r="M689" s="60" t="str">
        <f t="shared" si="2"/>
        <v>Not in buy Zone</v>
      </c>
      <c r="N689" s="33" t="str">
        <f t="shared" si="3"/>
        <v>No</v>
      </c>
    </row>
    <row r="690">
      <c r="A690" s="1" t="s">
        <v>718</v>
      </c>
      <c r="B690" s="1">
        <v>0.0</v>
      </c>
      <c r="C690" s="1">
        <v>178.01</v>
      </c>
      <c r="D690" s="1">
        <v>0.0</v>
      </c>
      <c r="E690" s="1">
        <v>0.0</v>
      </c>
      <c r="F690" s="54">
        <v>44393.0</v>
      </c>
      <c r="G690" s="1">
        <v>-1.0</v>
      </c>
      <c r="H690" s="1">
        <v>178.01</v>
      </c>
      <c r="I690" s="14">
        <v>44393.0</v>
      </c>
      <c r="J690" s="1" t="s">
        <v>4308</v>
      </c>
      <c r="K690" s="15" t="s">
        <v>4997</v>
      </c>
      <c r="L690" s="60" t="str">
        <f t="shared" si="1"/>
        <v>Not in buy Zone</v>
      </c>
      <c r="M690" s="60" t="str">
        <f t="shared" si="2"/>
        <v>Not in buy Zone</v>
      </c>
      <c r="N690" s="33" t="str">
        <f t="shared" si="3"/>
        <v>No</v>
      </c>
    </row>
    <row r="691">
      <c r="A691" s="1" t="s">
        <v>719</v>
      </c>
      <c r="B691" s="1">
        <v>0.0</v>
      </c>
      <c r="C691" s="1">
        <v>0.0</v>
      </c>
      <c r="D691" s="1">
        <v>0.0</v>
      </c>
      <c r="E691" s="1">
        <v>61.37</v>
      </c>
      <c r="F691" s="54">
        <v>44383.0</v>
      </c>
      <c r="G691" s="1">
        <v>0.0</v>
      </c>
      <c r="H691" s="1">
        <v>57.32</v>
      </c>
      <c r="I691" s="14">
        <v>44393.0</v>
      </c>
      <c r="J691" s="1" t="s">
        <v>4308</v>
      </c>
      <c r="K691" s="15" t="s">
        <v>4998</v>
      </c>
      <c r="L691" s="60" t="str">
        <f t="shared" si="1"/>
        <v>Not in buy Zone</v>
      </c>
      <c r="M691" s="60" t="str">
        <f t="shared" si="2"/>
        <v>Not in buy Zone</v>
      </c>
      <c r="N691" s="33" t="str">
        <f t="shared" si="3"/>
        <v>No</v>
      </c>
    </row>
    <row r="692">
      <c r="A692" s="1" t="s">
        <v>720</v>
      </c>
      <c r="B692" s="1">
        <v>0.0</v>
      </c>
      <c r="C692" s="1">
        <v>0.0</v>
      </c>
      <c r="D692" s="1">
        <v>0.0</v>
      </c>
      <c r="E692" s="1">
        <v>93.23</v>
      </c>
      <c r="F692" s="54">
        <v>44383.0</v>
      </c>
      <c r="G692" s="1">
        <v>0.0</v>
      </c>
      <c r="H692" s="1">
        <v>82.32</v>
      </c>
      <c r="I692" s="14">
        <v>44393.0</v>
      </c>
      <c r="J692" s="1" t="s">
        <v>4308</v>
      </c>
      <c r="K692" s="15" t="s">
        <v>4999</v>
      </c>
      <c r="L692" s="60" t="str">
        <f t="shared" si="1"/>
        <v>Not in buy Zone</v>
      </c>
      <c r="M692" s="60" t="str">
        <f t="shared" si="2"/>
        <v>Not in buy Zone</v>
      </c>
      <c r="N692" s="33" t="str">
        <f t="shared" si="3"/>
        <v>No</v>
      </c>
    </row>
    <row r="693">
      <c r="A693" s="1" t="s">
        <v>721</v>
      </c>
      <c r="B693" s="1">
        <v>0.0</v>
      </c>
      <c r="C693" s="1">
        <v>0.0</v>
      </c>
      <c r="D693" s="1">
        <v>0.0</v>
      </c>
      <c r="E693" s="1">
        <v>65.7</v>
      </c>
      <c r="F693" s="54">
        <v>44328.0</v>
      </c>
      <c r="G693" s="1">
        <v>0.0</v>
      </c>
      <c r="H693" s="1">
        <v>61.16</v>
      </c>
      <c r="I693" s="14">
        <v>44393.0</v>
      </c>
      <c r="J693" s="1" t="s">
        <v>4308</v>
      </c>
      <c r="K693" s="15" t="s">
        <v>5000</v>
      </c>
      <c r="L693" s="60" t="str">
        <f t="shared" si="1"/>
        <v>Not in buy Zone</v>
      </c>
      <c r="M693" s="60" t="str">
        <f t="shared" si="2"/>
        <v>Not in buy Zone</v>
      </c>
      <c r="N693" s="33" t="str">
        <f t="shared" si="3"/>
        <v>No</v>
      </c>
    </row>
    <row r="694">
      <c r="A694" s="1" t="s">
        <v>722</v>
      </c>
      <c r="B694" s="1">
        <v>0.0</v>
      </c>
      <c r="C694" s="1">
        <v>0.0</v>
      </c>
      <c r="D694" s="1">
        <v>119.2</v>
      </c>
      <c r="E694" s="1">
        <v>0.0</v>
      </c>
      <c r="F694" s="54">
        <v>44375.0</v>
      </c>
      <c r="G694" s="1">
        <v>0.0</v>
      </c>
      <c r="H694" s="1">
        <v>119.36</v>
      </c>
      <c r="I694" s="14">
        <v>44393.0</v>
      </c>
      <c r="J694" s="1" t="s">
        <v>4308</v>
      </c>
      <c r="K694" s="15" t="s">
        <v>5001</v>
      </c>
      <c r="L694" s="60" t="str">
        <f t="shared" si="1"/>
        <v>Not in buy Zone</v>
      </c>
      <c r="M694" s="60" t="str">
        <f t="shared" si="2"/>
        <v>Not in buy Zone</v>
      </c>
      <c r="N694" s="33" t="str">
        <f t="shared" si="3"/>
        <v>No</v>
      </c>
    </row>
    <row r="695">
      <c r="A695" s="1" t="s">
        <v>723</v>
      </c>
      <c r="B695" s="1">
        <v>0.0</v>
      </c>
      <c r="C695" s="1">
        <v>0.0</v>
      </c>
      <c r="D695" s="1">
        <v>118.58</v>
      </c>
      <c r="E695" s="1">
        <v>0.0</v>
      </c>
      <c r="F695" s="54">
        <v>44386.0</v>
      </c>
      <c r="G695" s="1">
        <v>0.0</v>
      </c>
      <c r="H695" s="1">
        <v>115.85</v>
      </c>
      <c r="I695" s="14">
        <v>44393.0</v>
      </c>
      <c r="J695" s="1" t="s">
        <v>4308</v>
      </c>
      <c r="K695" s="15" t="s">
        <v>5002</v>
      </c>
      <c r="L695" s="60" t="str">
        <f t="shared" si="1"/>
        <v>Not in buy Zone</v>
      </c>
      <c r="M695" s="60" t="str">
        <f t="shared" si="2"/>
        <v>Not in buy Zone</v>
      </c>
      <c r="N695" s="33" t="str">
        <f t="shared" si="3"/>
        <v>No</v>
      </c>
    </row>
    <row r="696">
      <c r="A696" s="1" t="s">
        <v>724</v>
      </c>
      <c r="B696" s="1">
        <v>0.0</v>
      </c>
      <c r="C696" s="1">
        <v>0.0</v>
      </c>
      <c r="D696" s="1">
        <v>0.0</v>
      </c>
      <c r="E696" s="1">
        <v>113.77</v>
      </c>
      <c r="F696" s="54">
        <v>44385.0</v>
      </c>
      <c r="G696" s="1">
        <v>0.0</v>
      </c>
      <c r="H696" s="1">
        <v>104.15</v>
      </c>
      <c r="I696" s="14">
        <v>44393.0</v>
      </c>
      <c r="J696" s="1" t="s">
        <v>4308</v>
      </c>
      <c r="K696" s="15" t="s">
        <v>5003</v>
      </c>
      <c r="L696" s="60" t="str">
        <f t="shared" si="1"/>
        <v>Not in buy Zone</v>
      </c>
      <c r="M696" s="60" t="str">
        <f t="shared" si="2"/>
        <v>Not in buy Zone</v>
      </c>
      <c r="N696" s="33" t="str">
        <f t="shared" si="3"/>
        <v>No</v>
      </c>
    </row>
    <row r="697">
      <c r="A697" s="1" t="s">
        <v>725</v>
      </c>
      <c r="B697" s="1">
        <v>0.0</v>
      </c>
      <c r="C697" s="1">
        <v>0.0</v>
      </c>
      <c r="D697" s="1">
        <v>0.0</v>
      </c>
      <c r="E697" s="1">
        <v>159.26</v>
      </c>
      <c r="F697" s="54">
        <v>44385.0</v>
      </c>
      <c r="G697" s="1">
        <v>0.0</v>
      </c>
      <c r="H697" s="1">
        <v>153.4</v>
      </c>
      <c r="I697" s="14">
        <v>44393.0</v>
      </c>
      <c r="J697" s="1" t="s">
        <v>4308</v>
      </c>
      <c r="K697" s="15" t="s">
        <v>5004</v>
      </c>
      <c r="L697" s="60" t="str">
        <f t="shared" si="1"/>
        <v>Not in buy Zone</v>
      </c>
      <c r="M697" s="60" t="str">
        <f t="shared" si="2"/>
        <v>Not in buy Zone</v>
      </c>
      <c r="N697" s="33" t="str">
        <f t="shared" si="3"/>
        <v>No</v>
      </c>
    </row>
    <row r="698">
      <c r="A698" s="1" t="s">
        <v>726</v>
      </c>
      <c r="B698" s="1">
        <v>0.0</v>
      </c>
      <c r="C698" s="1">
        <v>0.0</v>
      </c>
      <c r="D698" s="1">
        <v>0.0</v>
      </c>
      <c r="E698" s="1">
        <v>522.62</v>
      </c>
      <c r="F698" s="54">
        <v>44392.0</v>
      </c>
      <c r="G698" s="1">
        <v>0.0</v>
      </c>
      <c r="H698" s="1">
        <v>518.33</v>
      </c>
      <c r="I698" s="14">
        <v>44393.0</v>
      </c>
      <c r="J698" s="1" t="s">
        <v>4308</v>
      </c>
      <c r="K698" s="15" t="s">
        <v>5005</v>
      </c>
      <c r="L698" s="60" t="str">
        <f t="shared" si="1"/>
        <v>Not in buy Zone</v>
      </c>
      <c r="M698" s="60" t="str">
        <f t="shared" si="2"/>
        <v>Not in buy Zone</v>
      </c>
      <c r="N698" s="33" t="str">
        <f t="shared" si="3"/>
        <v>No</v>
      </c>
    </row>
    <row r="699">
      <c r="A699" s="1" t="s">
        <v>727</v>
      </c>
      <c r="B699" s="1">
        <v>0.0</v>
      </c>
      <c r="C699" s="1">
        <v>0.0</v>
      </c>
      <c r="D699" s="1">
        <v>0.0</v>
      </c>
      <c r="E699" s="1">
        <v>51.31</v>
      </c>
      <c r="F699" s="54">
        <v>44384.0</v>
      </c>
      <c r="G699" s="1">
        <v>0.0</v>
      </c>
      <c r="H699" s="1">
        <v>49.6</v>
      </c>
      <c r="I699" s="14">
        <v>44393.0</v>
      </c>
      <c r="J699" s="1" t="s">
        <v>4308</v>
      </c>
      <c r="K699" s="15" t="s">
        <v>5006</v>
      </c>
      <c r="L699" s="60" t="str">
        <f t="shared" si="1"/>
        <v>Not in buy Zone</v>
      </c>
      <c r="M699" s="60" t="str">
        <f t="shared" si="2"/>
        <v>Not in buy Zone</v>
      </c>
      <c r="N699" s="33" t="str">
        <f t="shared" si="3"/>
        <v>No</v>
      </c>
    </row>
    <row r="700">
      <c r="A700" s="1" t="s">
        <v>728</v>
      </c>
      <c r="B700" s="1">
        <v>0.0</v>
      </c>
      <c r="C700" s="1">
        <v>0.0</v>
      </c>
      <c r="D700" s="1">
        <v>0.0</v>
      </c>
      <c r="E700" s="1">
        <v>360.61</v>
      </c>
      <c r="F700" s="54">
        <v>44391.0</v>
      </c>
      <c r="G700" s="1">
        <v>0.0</v>
      </c>
      <c r="H700" s="1">
        <v>361.97</v>
      </c>
      <c r="I700" s="14">
        <v>44393.0</v>
      </c>
      <c r="J700" s="1" t="s">
        <v>4308</v>
      </c>
      <c r="K700" s="15" t="s">
        <v>5007</v>
      </c>
      <c r="L700" s="60" t="str">
        <f t="shared" si="1"/>
        <v>Not in buy Zone</v>
      </c>
      <c r="M700" s="60" t="str">
        <f t="shared" si="2"/>
        <v>Not in buy Zone</v>
      </c>
      <c r="N700" s="33" t="str">
        <f t="shared" si="3"/>
        <v>No</v>
      </c>
    </row>
    <row r="701">
      <c r="A701" s="1" t="s">
        <v>729</v>
      </c>
      <c r="B701" s="1">
        <v>0.0</v>
      </c>
      <c r="C701" s="1">
        <v>0.0</v>
      </c>
      <c r="D701" s="1">
        <v>175.8</v>
      </c>
      <c r="E701" s="1">
        <v>0.0</v>
      </c>
      <c r="F701" s="54">
        <v>44336.0</v>
      </c>
      <c r="G701" s="1">
        <v>0.0</v>
      </c>
      <c r="H701" s="1">
        <v>199.68</v>
      </c>
      <c r="I701" s="14">
        <v>44393.0</v>
      </c>
      <c r="J701" s="1" t="s">
        <v>4308</v>
      </c>
      <c r="K701" s="15" t="s">
        <v>5008</v>
      </c>
      <c r="L701" s="60" t="str">
        <f t="shared" si="1"/>
        <v>Not in buy Zone</v>
      </c>
      <c r="M701" s="60" t="str">
        <f t="shared" si="2"/>
        <v>Not in buy Zone</v>
      </c>
      <c r="N701" s="33" t="str">
        <f t="shared" si="3"/>
        <v>No</v>
      </c>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7.43"/>
    <col customWidth="1" min="7" max="7" width="15.86"/>
    <col customWidth="1" min="8" max="12" width="26.14"/>
  </cols>
  <sheetData>
    <row r="1" ht="23.25" customHeight="1">
      <c r="A1" s="27" t="s">
        <v>1</v>
      </c>
      <c r="B1" s="27" t="s">
        <v>5009</v>
      </c>
      <c r="C1" s="27" t="s">
        <v>5010</v>
      </c>
      <c r="D1" s="27" t="s">
        <v>5011</v>
      </c>
      <c r="E1" s="61" t="s">
        <v>5012</v>
      </c>
      <c r="F1" s="6" t="s">
        <v>5013</v>
      </c>
      <c r="G1" s="2" t="s">
        <v>5014</v>
      </c>
      <c r="H1" s="2" t="s">
        <v>730</v>
      </c>
      <c r="I1" s="2" t="s">
        <v>5015</v>
      </c>
      <c r="J1" s="2" t="s">
        <v>5016</v>
      </c>
      <c r="K1" s="2" t="s">
        <v>5017</v>
      </c>
      <c r="L1" s="2"/>
    </row>
    <row r="2" ht="11.25" customHeight="1">
      <c r="A2" s="30" t="s">
        <v>32</v>
      </c>
      <c r="B2" s="30" t="s">
        <v>5018</v>
      </c>
      <c r="C2" s="62" t="s">
        <v>5019</v>
      </c>
      <c r="D2" s="30" t="s">
        <v>5020</v>
      </c>
      <c r="E2" s="63">
        <v>4.5182660608E10</v>
      </c>
      <c r="F2" s="6">
        <v>1642980.0</v>
      </c>
      <c r="G2" s="2">
        <v>0.762</v>
      </c>
      <c r="H2" s="2" t="s">
        <v>733</v>
      </c>
      <c r="I2" s="2">
        <v>49.93478</v>
      </c>
      <c r="J2" s="2">
        <v>2.99</v>
      </c>
      <c r="K2" s="2"/>
      <c r="L2" s="2"/>
    </row>
    <row r="3" ht="11.25" customHeight="1">
      <c r="A3" s="64" t="s">
        <v>33</v>
      </c>
      <c r="B3" s="64" t="s">
        <v>5021</v>
      </c>
      <c r="C3" s="65" t="s">
        <v>5022</v>
      </c>
      <c r="D3" s="64" t="s">
        <v>5023</v>
      </c>
      <c r="E3" s="66">
        <v>6.448566272E9</v>
      </c>
      <c r="F3" s="6">
        <v>7384033.0</v>
      </c>
      <c r="G3" s="2">
        <v>0.0</v>
      </c>
      <c r="H3" s="2" t="s">
        <v>733</v>
      </c>
      <c r="I3" s="2" t="s">
        <v>5024</v>
      </c>
      <c r="J3" s="2">
        <v>-0.403</v>
      </c>
      <c r="K3" s="2"/>
      <c r="L3" s="2"/>
    </row>
    <row r="4" ht="11.25" customHeight="1">
      <c r="A4" s="67" t="s">
        <v>34</v>
      </c>
      <c r="B4" s="67" t="s">
        <v>5025</v>
      </c>
      <c r="C4" s="68" t="s">
        <v>5026</v>
      </c>
      <c r="D4" s="67" t="s">
        <v>5027</v>
      </c>
      <c r="E4" s="69">
        <v>1.3122695168E10</v>
      </c>
      <c r="F4" s="6">
        <v>3.1972439E7</v>
      </c>
      <c r="G4" s="2">
        <v>0.1</v>
      </c>
      <c r="H4" s="13">
        <v>44398.0</v>
      </c>
      <c r="I4" s="2" t="s">
        <v>5024</v>
      </c>
      <c r="J4" s="2">
        <v>-14.725</v>
      </c>
      <c r="K4" s="2"/>
      <c r="L4" s="2"/>
    </row>
    <row r="5" ht="11.25" customHeight="1">
      <c r="A5" s="67" t="s">
        <v>35</v>
      </c>
      <c r="B5" s="67" t="s">
        <v>5028</v>
      </c>
      <c r="C5" s="68" t="s">
        <v>5029</v>
      </c>
      <c r="D5" s="67" t="s">
        <v>5030</v>
      </c>
      <c r="E5" s="69">
        <v>1.3680656384E10</v>
      </c>
      <c r="F5" s="6">
        <v>815550.0</v>
      </c>
      <c r="G5" s="2">
        <v>1.75</v>
      </c>
      <c r="H5" s="2" t="s">
        <v>733</v>
      </c>
      <c r="I5" s="2">
        <v>22.14094</v>
      </c>
      <c r="J5" s="2">
        <v>9.309</v>
      </c>
      <c r="K5" s="2"/>
      <c r="L5" s="2"/>
    </row>
    <row r="6" ht="11.25" customHeight="1">
      <c r="A6" s="67" t="s">
        <v>36</v>
      </c>
      <c r="B6" s="67" t="s">
        <v>5031</v>
      </c>
      <c r="C6" s="68" t="s">
        <v>5032</v>
      </c>
      <c r="D6" s="67" t="s">
        <v>5033</v>
      </c>
      <c r="E6" s="69">
        <v>2.47777460224E12</v>
      </c>
      <c r="F6" s="6">
        <v>8.3640587E7</v>
      </c>
      <c r="G6" s="2">
        <v>0.835</v>
      </c>
      <c r="H6" s="13">
        <v>44405.0</v>
      </c>
      <c r="I6" s="2">
        <v>32.857944</v>
      </c>
      <c r="J6" s="2">
        <v>4.449</v>
      </c>
      <c r="K6" s="2"/>
      <c r="L6" s="2"/>
    </row>
    <row r="7" ht="11.25" customHeight="1">
      <c r="A7" s="67" t="s">
        <v>37</v>
      </c>
      <c r="B7" s="67" t="s">
        <v>5034</v>
      </c>
      <c r="C7" s="68" t="s">
        <v>5035</v>
      </c>
      <c r="D7" s="67" t="s">
        <v>5036</v>
      </c>
      <c r="E7" s="69">
        <v>2.06965669888E11</v>
      </c>
      <c r="F7" s="6">
        <v>6390169.0</v>
      </c>
      <c r="G7" s="2">
        <v>5.08</v>
      </c>
      <c r="H7" s="13">
        <v>44406.0</v>
      </c>
      <c r="I7" s="2">
        <v>40.374184</v>
      </c>
      <c r="J7" s="2">
        <v>2.913</v>
      </c>
      <c r="K7" s="2"/>
      <c r="L7" s="2"/>
    </row>
    <row r="8" ht="11.25" customHeight="1">
      <c r="A8" s="64" t="s">
        <v>38</v>
      </c>
      <c r="B8" s="64" t="s">
        <v>5037</v>
      </c>
      <c r="C8" s="65" t="s">
        <v>5038</v>
      </c>
      <c r="D8" s="64" t="s">
        <v>5039</v>
      </c>
      <c r="E8" s="66">
        <v>2.3491371008E10</v>
      </c>
      <c r="F8" s="6">
        <v>1029420.0</v>
      </c>
      <c r="G8" s="2">
        <v>1.74</v>
      </c>
      <c r="H8" s="13">
        <v>44412.0</v>
      </c>
      <c r="I8" s="2" t="s">
        <v>5024</v>
      </c>
      <c r="J8" s="2">
        <v>-18.344</v>
      </c>
      <c r="K8" s="2"/>
      <c r="L8" s="2"/>
    </row>
    <row r="9" ht="11.25" customHeight="1">
      <c r="A9" s="67" t="s">
        <v>39</v>
      </c>
      <c r="B9" s="67" t="s">
        <v>5040</v>
      </c>
      <c r="C9" s="68" t="s">
        <v>5041</v>
      </c>
      <c r="D9" s="67" t="s">
        <v>5042</v>
      </c>
      <c r="E9" s="69">
        <v>1.4065565696E10</v>
      </c>
      <c r="F9" s="6">
        <v>271133.0</v>
      </c>
      <c r="G9" s="2">
        <v>0.0</v>
      </c>
      <c r="H9" s="13">
        <v>44412.0</v>
      </c>
      <c r="I9" s="2">
        <v>64.40688</v>
      </c>
      <c r="J9" s="2">
        <v>4.94</v>
      </c>
      <c r="K9" s="2"/>
      <c r="L9" s="2"/>
    </row>
    <row r="10" ht="11.25" customHeight="1">
      <c r="A10" s="67" t="s">
        <v>40</v>
      </c>
      <c r="B10" s="67" t="s">
        <v>5043</v>
      </c>
      <c r="C10" s="68" t="s">
        <v>5044</v>
      </c>
      <c r="D10" s="67" t="s">
        <v>5045</v>
      </c>
      <c r="E10" s="69">
        <v>2.07443738624E11</v>
      </c>
      <c r="F10" s="6">
        <v>6379512.0</v>
      </c>
      <c r="G10" s="2">
        <v>1.71</v>
      </c>
      <c r="H10" s="13">
        <v>44399.0</v>
      </c>
      <c r="I10" s="2">
        <v>36.903793</v>
      </c>
      <c r="J10" s="2">
        <v>3.191</v>
      </c>
      <c r="K10" s="2"/>
      <c r="L10" s="2"/>
    </row>
    <row r="11" ht="11.25" customHeight="1">
      <c r="A11" s="67" t="s">
        <v>41</v>
      </c>
      <c r="B11" s="67" t="s">
        <v>5046</v>
      </c>
      <c r="C11" s="68" t="s">
        <v>5047</v>
      </c>
      <c r="D11" s="67" t="s">
        <v>5048</v>
      </c>
      <c r="E11" s="69">
        <v>1.99873642496E11</v>
      </c>
      <c r="F11" s="6">
        <v>1896634.0</v>
      </c>
      <c r="G11" s="2">
        <v>4.32</v>
      </c>
      <c r="H11" s="2" t="s">
        <v>733</v>
      </c>
      <c r="I11" s="2">
        <v>34.8592</v>
      </c>
      <c r="J11" s="2">
        <v>8.949</v>
      </c>
      <c r="K11" s="2"/>
      <c r="L11" s="2"/>
    </row>
    <row r="12" ht="11.25" customHeight="1">
      <c r="A12" s="67" t="s">
        <v>42</v>
      </c>
      <c r="B12" s="67" t="s">
        <v>5049</v>
      </c>
      <c r="C12" s="68" t="s">
        <v>5050</v>
      </c>
      <c r="D12" s="67" t="s">
        <v>5051</v>
      </c>
      <c r="E12" s="69">
        <v>2.88779370496E11</v>
      </c>
      <c r="F12" s="6">
        <v>2067685.0</v>
      </c>
      <c r="G12" s="2">
        <v>0.0</v>
      </c>
      <c r="H12" s="2" t="s">
        <v>733</v>
      </c>
      <c r="I12" s="2">
        <v>52.623276</v>
      </c>
      <c r="J12" s="2">
        <v>11.539</v>
      </c>
      <c r="K12" s="2"/>
      <c r="L12" s="2"/>
    </row>
    <row r="13" ht="11.25" customHeight="1">
      <c r="A13" s="64" t="s">
        <v>43</v>
      </c>
      <c r="B13" s="64" t="s">
        <v>5052</v>
      </c>
      <c r="C13" s="65" t="s">
        <v>5053</v>
      </c>
      <c r="D13" s="64" t="s">
        <v>5054</v>
      </c>
      <c r="E13" s="66">
        <v>6.0362227712E10</v>
      </c>
      <c r="F13" s="6">
        <v>3198609.0</v>
      </c>
      <c r="G13" s="2">
        <v>2.62</v>
      </c>
      <c r="H13" s="2" t="s">
        <v>733</v>
      </c>
      <c r="I13" s="2">
        <v>38.362743</v>
      </c>
      <c r="J13" s="2">
        <v>4.19</v>
      </c>
      <c r="K13" s="2"/>
      <c r="L13" s="2"/>
    </row>
    <row r="14" ht="11.25" customHeight="1">
      <c r="A14" s="64" t="s">
        <v>44</v>
      </c>
      <c r="B14" s="64" t="s">
        <v>5055</v>
      </c>
      <c r="C14" s="65" t="s">
        <v>5056</v>
      </c>
      <c r="D14" s="64" t="s">
        <v>5057</v>
      </c>
      <c r="E14" s="66">
        <v>3.2969005056E10</v>
      </c>
      <c r="F14" s="6">
        <v>2572373.0</v>
      </c>
      <c r="G14" s="2">
        <v>1.46</v>
      </c>
      <c r="H14" s="13">
        <v>44404.0</v>
      </c>
      <c r="I14" s="2">
        <v>15.764737</v>
      </c>
      <c r="J14" s="2">
        <v>3.681</v>
      </c>
      <c r="K14" s="2"/>
      <c r="L14" s="2"/>
    </row>
    <row r="15" ht="11.25" customHeight="1">
      <c r="A15" s="67" t="s">
        <v>45</v>
      </c>
      <c r="B15" s="67" t="s">
        <v>5058</v>
      </c>
      <c r="C15" s="68" t="s">
        <v>5059</v>
      </c>
      <c r="D15" s="67" t="s">
        <v>5060</v>
      </c>
      <c r="E15" s="69">
        <v>8.8094990336E10</v>
      </c>
      <c r="F15" s="6">
        <v>1553192.0</v>
      </c>
      <c r="G15" s="2">
        <v>3.7</v>
      </c>
      <c r="H15" s="13">
        <v>44405.0</v>
      </c>
      <c r="I15" s="2">
        <v>35.814075</v>
      </c>
      <c r="J15" s="2">
        <v>5.755</v>
      </c>
      <c r="K15" s="2"/>
      <c r="L15" s="2"/>
    </row>
    <row r="16" ht="11.25" customHeight="1">
      <c r="A16" s="67" t="s">
        <v>46</v>
      </c>
      <c r="B16" s="67" t="s">
        <v>5061</v>
      </c>
      <c r="C16" s="68" t="s">
        <v>5062</v>
      </c>
      <c r="D16" s="67" t="s">
        <v>5063</v>
      </c>
      <c r="E16" s="69">
        <v>6.4857632768E10</v>
      </c>
      <c r="F16" s="6">
        <v>1095225.0</v>
      </c>
      <c r="G16" s="2">
        <v>0.0</v>
      </c>
      <c r="H16" s="2" t="s">
        <v>733</v>
      </c>
      <c r="I16" s="2">
        <v>50.34613</v>
      </c>
      <c r="J16" s="2">
        <v>5.836</v>
      </c>
      <c r="K16" s="2"/>
      <c r="L16" s="2"/>
    </row>
    <row r="17" ht="11.25" customHeight="1">
      <c r="A17" s="67" t="s">
        <v>47</v>
      </c>
      <c r="B17" s="67" t="s">
        <v>5064</v>
      </c>
      <c r="C17" s="68" t="s">
        <v>5065</v>
      </c>
      <c r="D17" s="67" t="s">
        <v>5066</v>
      </c>
      <c r="E17" s="69">
        <v>2.1507340288E10</v>
      </c>
      <c r="F17" s="6">
        <v>1346936.0</v>
      </c>
      <c r="G17" s="2">
        <v>2.11</v>
      </c>
      <c r="H17" s="13">
        <v>44413.0</v>
      </c>
      <c r="I17" s="2">
        <v>22.351728</v>
      </c>
      <c r="J17" s="2">
        <v>3.818</v>
      </c>
      <c r="K17" s="2"/>
      <c r="L17" s="2"/>
    </row>
    <row r="18" ht="11.25" customHeight="1">
      <c r="A18" s="67" t="s">
        <v>48</v>
      </c>
      <c r="B18" s="67" t="s">
        <v>5067</v>
      </c>
      <c r="C18" s="68" t="s">
        <v>5068</v>
      </c>
      <c r="D18" s="67" t="s">
        <v>5069</v>
      </c>
      <c r="E18" s="69">
        <v>5.766110208E9</v>
      </c>
      <c r="F18" s="6">
        <v>4226122.0</v>
      </c>
      <c r="G18" s="2">
        <v>0.5925</v>
      </c>
      <c r="H18" s="2" t="s">
        <v>733</v>
      </c>
      <c r="I18" s="2">
        <v>41.62531</v>
      </c>
      <c r="J18" s="2">
        <v>0.806</v>
      </c>
      <c r="K18" s="2"/>
      <c r="L18" s="2"/>
    </row>
    <row r="19" ht="11.25" customHeight="1">
      <c r="A19" s="67" t="s">
        <v>4</v>
      </c>
      <c r="B19" s="67" t="s">
        <v>5070</v>
      </c>
      <c r="C19" s="68" t="s">
        <v>5071</v>
      </c>
      <c r="D19" s="67" t="s">
        <v>5072</v>
      </c>
      <c r="E19" s="69">
        <v>4.3568205824E10</v>
      </c>
      <c r="F19" s="6">
        <v>2752053.0</v>
      </c>
      <c r="G19" s="2">
        <v>2.92</v>
      </c>
      <c r="H19" s="13">
        <v>44399.0</v>
      </c>
      <c r="I19" s="2">
        <v>19.242887</v>
      </c>
      <c r="J19" s="2">
        <v>4.57</v>
      </c>
      <c r="K19" s="2"/>
      <c r="L19" s="2"/>
    </row>
    <row r="20" ht="11.25" customHeight="1">
      <c r="A20" s="67" t="s">
        <v>49</v>
      </c>
      <c r="B20" s="67" t="s">
        <v>5073</v>
      </c>
      <c r="C20" s="68" t="s">
        <v>5074</v>
      </c>
      <c r="D20" s="67" t="s">
        <v>5075</v>
      </c>
      <c r="E20" s="69">
        <v>1.636993536E10</v>
      </c>
      <c r="F20" s="6">
        <v>5142966.0</v>
      </c>
      <c r="G20" s="2">
        <v>0.5875</v>
      </c>
      <c r="H20" s="13">
        <v>44413.0</v>
      </c>
      <c r="I20" s="2" t="s">
        <v>5024</v>
      </c>
      <c r="J20" s="2">
        <v>-0.376</v>
      </c>
      <c r="K20" s="2"/>
      <c r="L20" s="2"/>
    </row>
    <row r="21" ht="11.25" customHeight="1">
      <c r="A21" s="67" t="s">
        <v>50</v>
      </c>
      <c r="B21" s="67" t="s">
        <v>5076</v>
      </c>
      <c r="C21" s="68" t="s">
        <v>5077</v>
      </c>
      <c r="D21" s="67" t="s">
        <v>5078</v>
      </c>
      <c r="E21" s="69">
        <v>3.643015168E10</v>
      </c>
      <c r="F21" s="6">
        <v>3306201.0</v>
      </c>
      <c r="G21" s="2">
        <v>1.22</v>
      </c>
      <c r="H21" s="13">
        <v>44405.0</v>
      </c>
      <c r="I21" s="2">
        <v>6.8262434</v>
      </c>
      <c r="J21" s="2">
        <v>7.781</v>
      </c>
      <c r="K21" s="2"/>
      <c r="L21" s="2"/>
    </row>
    <row r="22" ht="11.25" customHeight="1">
      <c r="A22" s="67" t="s">
        <v>51</v>
      </c>
      <c r="B22" s="67" t="s">
        <v>5079</v>
      </c>
      <c r="C22" s="68" t="s">
        <v>5080</v>
      </c>
      <c r="D22" s="67" t="s">
        <v>5081</v>
      </c>
      <c r="E22" s="69">
        <v>6.6415874048E10</v>
      </c>
      <c r="F22" s="6">
        <v>5446071.0</v>
      </c>
      <c r="G22" s="2">
        <v>2.17699999999999</v>
      </c>
      <c r="H22" s="2" t="s">
        <v>733</v>
      </c>
      <c r="I22" s="2">
        <v>147.86353</v>
      </c>
      <c r="J22" s="2">
        <v>0.784</v>
      </c>
      <c r="K22" s="2"/>
      <c r="L22" s="2"/>
    </row>
    <row r="23" ht="11.25" customHeight="1">
      <c r="A23" s="67" t="s">
        <v>52</v>
      </c>
      <c r="B23" s="67" t="s">
        <v>5082</v>
      </c>
      <c r="C23" s="68" t="s">
        <v>5083</v>
      </c>
      <c r="D23" s="67" t="s">
        <v>5084</v>
      </c>
      <c r="E23" s="69">
        <v>5.402713088E9</v>
      </c>
      <c r="F23" s="6">
        <v>3518622.0</v>
      </c>
      <c r="G23" s="2">
        <v>0.0</v>
      </c>
      <c r="H23" s="2" t="s">
        <v>733</v>
      </c>
      <c r="I23" s="2" t="s">
        <v>5024</v>
      </c>
      <c r="J23" s="2">
        <v>-0.986</v>
      </c>
      <c r="K23" s="2"/>
      <c r="L23" s="2"/>
    </row>
    <row r="24" ht="11.25" customHeight="1">
      <c r="A24" s="67" t="s">
        <v>53</v>
      </c>
      <c r="B24" s="67" t="s">
        <v>5085</v>
      </c>
      <c r="C24" s="68" t="s">
        <v>5086</v>
      </c>
      <c r="D24" s="67" t="s">
        <v>5087</v>
      </c>
      <c r="E24" s="69">
        <v>4.127657984E10</v>
      </c>
      <c r="F24" s="6">
        <v>4037039.0</v>
      </c>
      <c r="G24" s="2">
        <v>1.28</v>
      </c>
      <c r="H24" s="13">
        <v>44410.0</v>
      </c>
      <c r="I24" s="2" t="s">
        <v>5024</v>
      </c>
      <c r="J24" s="2">
        <v>-4.44</v>
      </c>
      <c r="K24" s="2"/>
      <c r="L24" s="2"/>
    </row>
    <row r="25" ht="11.25" customHeight="1">
      <c r="A25" s="67" t="s">
        <v>54</v>
      </c>
      <c r="B25" s="67" t="s">
        <v>5088</v>
      </c>
      <c r="C25" s="68" t="s">
        <v>5089</v>
      </c>
      <c r="D25" s="67" t="s">
        <v>5090</v>
      </c>
      <c r="E25" s="69">
        <v>9.443544064E9</v>
      </c>
      <c r="F25" s="6">
        <v>342319.0</v>
      </c>
      <c r="G25" s="2">
        <v>2.61</v>
      </c>
      <c r="H25" s="13">
        <v>44411.0</v>
      </c>
      <c r="I25" s="2">
        <v>21.727997</v>
      </c>
      <c r="J25" s="2">
        <v>7.176</v>
      </c>
      <c r="K25" s="2"/>
      <c r="L25" s="2"/>
    </row>
    <row r="26" ht="11.25" customHeight="1">
      <c r="A26" s="67" t="s">
        <v>55</v>
      </c>
      <c r="B26" s="67" t="s">
        <v>5091</v>
      </c>
      <c r="C26" s="68" t="s">
        <v>5092</v>
      </c>
      <c r="D26" s="67" t="s">
        <v>5093</v>
      </c>
      <c r="E26" s="69">
        <v>2.8887617536E10</v>
      </c>
      <c r="F26" s="6">
        <v>1160041.0</v>
      </c>
      <c r="G26" s="2">
        <v>1.85999999999999</v>
      </c>
      <c r="H26" s="13">
        <v>44405.0</v>
      </c>
      <c r="I26" s="2">
        <v>32.223244</v>
      </c>
      <c r="J26" s="2">
        <v>4.354</v>
      </c>
      <c r="K26" s="2"/>
      <c r="L26" s="2"/>
    </row>
    <row r="27" ht="11.25" customHeight="1">
      <c r="A27" s="67" t="s">
        <v>56</v>
      </c>
      <c r="B27" s="67" t="s">
        <v>5094</v>
      </c>
      <c r="C27" s="68" t="s">
        <v>5095</v>
      </c>
      <c r="D27" s="67" t="s">
        <v>5096</v>
      </c>
      <c r="E27" s="69">
        <v>1.8980417536E10</v>
      </c>
      <c r="F27" s="6">
        <v>1352333.0</v>
      </c>
      <c r="G27" s="2">
        <v>0.0</v>
      </c>
      <c r="H27" s="13">
        <v>44411.0</v>
      </c>
      <c r="I27" s="2">
        <v>32.925655</v>
      </c>
      <c r="J27" s="2">
        <v>3.559</v>
      </c>
      <c r="K27" s="2"/>
      <c r="L27" s="2"/>
    </row>
    <row r="28" ht="11.25" customHeight="1">
      <c r="A28" s="67" t="s">
        <v>57</v>
      </c>
      <c r="B28" s="67" t="s">
        <v>5097</v>
      </c>
      <c r="C28" s="68" t="s">
        <v>5098</v>
      </c>
      <c r="D28" s="67" t="s">
        <v>5099</v>
      </c>
      <c r="E28" s="69">
        <v>2.1664770048E10</v>
      </c>
      <c r="F28" s="6">
        <v>985119.0</v>
      </c>
      <c r="G28" s="2">
        <v>1.55</v>
      </c>
      <c r="H28" s="13">
        <v>44412.0</v>
      </c>
      <c r="I28" s="2">
        <v>53.843834</v>
      </c>
      <c r="J28" s="2">
        <v>3.351</v>
      </c>
      <c r="K28" s="2"/>
      <c r="L28" s="2"/>
    </row>
    <row r="29" ht="11.25" customHeight="1">
      <c r="A29" s="67" t="s">
        <v>58</v>
      </c>
      <c r="B29" s="67" t="s">
        <v>5100</v>
      </c>
      <c r="C29" s="68" t="s">
        <v>5101</v>
      </c>
      <c r="D29" s="67" t="s">
        <v>5102</v>
      </c>
      <c r="E29" s="69">
        <v>4.919922688E10</v>
      </c>
      <c r="F29" s="6">
        <v>574723.0</v>
      </c>
      <c r="G29" s="2">
        <v>0.0</v>
      </c>
      <c r="H29" s="13">
        <v>44405.0</v>
      </c>
      <c r="I29" s="2">
        <v>107.542946</v>
      </c>
      <c r="J29" s="2">
        <v>5.763</v>
      </c>
      <c r="K29" s="2"/>
      <c r="L29" s="2"/>
    </row>
    <row r="30" ht="11.25" customHeight="1">
      <c r="A30" s="67" t="s">
        <v>59</v>
      </c>
      <c r="B30" s="67" t="s">
        <v>5103</v>
      </c>
      <c r="C30" s="68" t="s">
        <v>5104</v>
      </c>
      <c r="D30" s="67" t="s">
        <v>5105</v>
      </c>
      <c r="E30" s="69">
        <v>7.666966016E9</v>
      </c>
      <c r="F30" s="6">
        <v>1590495.0</v>
      </c>
      <c r="G30" s="2">
        <v>0.375</v>
      </c>
      <c r="H30" s="13">
        <v>44399.0</v>
      </c>
      <c r="I30" s="2" t="s">
        <v>5024</v>
      </c>
      <c r="J30" s="2">
        <v>-9.877</v>
      </c>
      <c r="K30" s="2"/>
      <c r="L30" s="2"/>
    </row>
    <row r="31" ht="11.25" customHeight="1">
      <c r="A31" s="67" t="s">
        <v>60</v>
      </c>
      <c r="B31" s="67" t="s">
        <v>5106</v>
      </c>
      <c r="C31" s="68" t="s">
        <v>5107</v>
      </c>
      <c r="D31" s="67" t="s">
        <v>5108</v>
      </c>
      <c r="E31" s="69">
        <v>3.909965824E10</v>
      </c>
      <c r="F31" s="6">
        <v>1777931.0</v>
      </c>
      <c r="G31" s="2">
        <v>2.7</v>
      </c>
      <c r="H31" s="13">
        <v>44412.0</v>
      </c>
      <c r="I31" s="2">
        <v>11.455657</v>
      </c>
      <c r="J31" s="2">
        <v>11.366</v>
      </c>
      <c r="K31" s="2"/>
      <c r="L31" s="2"/>
    </row>
    <row r="32" ht="11.25" customHeight="1">
      <c r="A32" s="67" t="s">
        <v>61</v>
      </c>
      <c r="B32" s="67" t="s">
        <v>5109</v>
      </c>
      <c r="C32" s="68" t="s">
        <v>5110</v>
      </c>
      <c r="D32" s="67" t="s">
        <v>5111</v>
      </c>
      <c r="E32" s="69">
        <v>1.2370188288E10</v>
      </c>
      <c r="F32" s="6">
        <v>659674.0</v>
      </c>
      <c r="G32" s="2">
        <v>1.36</v>
      </c>
      <c r="H32" s="13">
        <v>44399.0</v>
      </c>
      <c r="I32" s="2">
        <v>30.30409</v>
      </c>
      <c r="J32" s="2">
        <v>4.571</v>
      </c>
      <c r="K32" s="2"/>
      <c r="L32" s="2"/>
    </row>
    <row r="33" ht="11.25" customHeight="1">
      <c r="A33" s="67" t="s">
        <v>62</v>
      </c>
      <c r="B33" s="67" t="s">
        <v>5112</v>
      </c>
      <c r="C33" s="68" t="s">
        <v>5113</v>
      </c>
      <c r="D33" s="67" t="s">
        <v>5114</v>
      </c>
      <c r="E33" s="69">
        <v>1.891214336E10</v>
      </c>
      <c r="F33" s="6">
        <v>3632346.0</v>
      </c>
      <c r="G33" s="2">
        <v>0.76</v>
      </c>
      <c r="H33" s="13">
        <v>44397.0</v>
      </c>
      <c r="I33" s="2">
        <v>8.591767</v>
      </c>
      <c r="J33" s="2">
        <v>5.83</v>
      </c>
      <c r="K33" s="2"/>
      <c r="L33" s="2"/>
    </row>
    <row r="34" ht="11.25" customHeight="1">
      <c r="A34" s="67" t="s">
        <v>63</v>
      </c>
      <c r="B34" s="67" t="s">
        <v>5115</v>
      </c>
      <c r="C34" s="68" t="s">
        <v>5116</v>
      </c>
      <c r="D34" s="67" t="s">
        <v>5117</v>
      </c>
      <c r="E34" s="69">
        <v>3.9896141824E10</v>
      </c>
      <c r="F34" s="6">
        <v>2384201.0</v>
      </c>
      <c r="G34" s="2">
        <v>0.0</v>
      </c>
      <c r="H34" s="13">
        <v>44405.0</v>
      </c>
      <c r="I34" s="2">
        <v>58.523205</v>
      </c>
      <c r="J34" s="2">
        <v>3.081</v>
      </c>
      <c r="K34" s="2"/>
      <c r="L34" s="2"/>
    </row>
    <row r="35" ht="11.25" customHeight="1">
      <c r="A35" s="67" t="s">
        <v>64</v>
      </c>
      <c r="B35" s="67" t="s">
        <v>5118</v>
      </c>
      <c r="C35" s="68" t="s">
        <v>5119</v>
      </c>
      <c r="D35" s="67" t="s">
        <v>5120</v>
      </c>
      <c r="E35" s="69">
        <v>1.21742262272E11</v>
      </c>
      <c r="F35" s="6">
        <v>8592441.0</v>
      </c>
      <c r="G35" s="2">
        <v>0.899999999999999</v>
      </c>
      <c r="H35" s="2" t="s">
        <v>733</v>
      </c>
      <c r="I35" s="2">
        <v>26.78051</v>
      </c>
      <c r="J35" s="2">
        <v>4.802</v>
      </c>
      <c r="K35" s="2"/>
      <c r="L35" s="2"/>
    </row>
    <row r="36" ht="11.25" customHeight="1">
      <c r="A36" s="67" t="s">
        <v>65</v>
      </c>
      <c r="B36" s="67" t="s">
        <v>5121</v>
      </c>
      <c r="C36" s="68" t="s">
        <v>5122</v>
      </c>
      <c r="D36" s="67" t="s">
        <v>5123</v>
      </c>
      <c r="E36" s="69">
        <v>1.8479880192E10</v>
      </c>
      <c r="F36" s="6">
        <v>1.62317201E8</v>
      </c>
      <c r="G36" s="2">
        <v>0.03</v>
      </c>
      <c r="H36" s="13">
        <v>44412.0</v>
      </c>
      <c r="I36" s="2" t="s">
        <v>5024</v>
      </c>
      <c r="J36" s="2">
        <v>-15.589</v>
      </c>
      <c r="K36" s="2"/>
      <c r="L36" s="2"/>
    </row>
    <row r="37" ht="11.25" customHeight="1">
      <c r="A37" s="67" t="s">
        <v>66</v>
      </c>
      <c r="B37" s="67" t="s">
        <v>5124</v>
      </c>
      <c r="C37" s="68" t="s">
        <v>5125</v>
      </c>
      <c r="D37" s="67" t="s">
        <v>5126</v>
      </c>
      <c r="E37" s="69">
        <v>1.7853927424E10</v>
      </c>
      <c r="F37" s="6">
        <v>5961149.0</v>
      </c>
      <c r="G37" s="2">
        <v>0.467999999999999</v>
      </c>
      <c r="H37" s="2" t="s">
        <v>733</v>
      </c>
      <c r="I37" s="2">
        <v>20.733696</v>
      </c>
      <c r="J37" s="2">
        <v>0.552</v>
      </c>
      <c r="K37" s="2"/>
      <c r="L37" s="2"/>
    </row>
    <row r="38" ht="11.25" customHeight="1">
      <c r="A38" s="67" t="s">
        <v>67</v>
      </c>
      <c r="B38" s="67" t="s">
        <v>5127</v>
      </c>
      <c r="C38" s="68" t="s">
        <v>5128</v>
      </c>
      <c r="D38" s="67" t="s">
        <v>5129</v>
      </c>
      <c r="E38" s="69">
        <v>1.05621692416E11</v>
      </c>
      <c r="F38" s="6">
        <v>4.3149714E7</v>
      </c>
      <c r="G38" s="2">
        <v>0.0</v>
      </c>
      <c r="H38" s="13">
        <v>44403.0</v>
      </c>
      <c r="I38" s="2">
        <v>36.04114</v>
      </c>
      <c r="J38" s="2">
        <v>2.382</v>
      </c>
      <c r="K38" s="2"/>
      <c r="L38" s="2"/>
    </row>
    <row r="39" ht="11.25" customHeight="1">
      <c r="A39" s="67" t="s">
        <v>68</v>
      </c>
      <c r="B39" s="67" t="s">
        <v>5130</v>
      </c>
      <c r="C39" s="68" t="s">
        <v>5131</v>
      </c>
      <c r="D39" s="67" t="s">
        <v>5132</v>
      </c>
      <c r="E39" s="69">
        <v>3.1321853952E10</v>
      </c>
      <c r="F39" s="6">
        <v>914858.0</v>
      </c>
      <c r="G39" s="2">
        <v>0.76</v>
      </c>
      <c r="H39" s="13">
        <v>44410.0</v>
      </c>
      <c r="I39" s="2">
        <v>39.03323</v>
      </c>
      <c r="J39" s="2">
        <v>3.491</v>
      </c>
      <c r="K39" s="2"/>
      <c r="L39" s="2"/>
    </row>
    <row r="40" ht="11.25" customHeight="1">
      <c r="A40" s="67" t="s">
        <v>69</v>
      </c>
      <c r="B40" s="67" t="s">
        <v>5133</v>
      </c>
      <c r="C40" s="68" t="s">
        <v>5134</v>
      </c>
      <c r="D40" s="67" t="s">
        <v>5135</v>
      </c>
      <c r="E40" s="69">
        <v>1.41702250496E11</v>
      </c>
      <c r="F40" s="6">
        <v>2630444.0</v>
      </c>
      <c r="G40" s="2">
        <v>6.72</v>
      </c>
      <c r="H40" s="13">
        <v>44411.0</v>
      </c>
      <c r="I40" s="2">
        <v>20.565725</v>
      </c>
      <c r="J40" s="2">
        <v>12.073</v>
      </c>
      <c r="K40" s="2"/>
      <c r="L40" s="2"/>
    </row>
    <row r="41" ht="11.25" customHeight="1">
      <c r="A41" s="67" t="s">
        <v>70</v>
      </c>
      <c r="B41" s="67" t="s">
        <v>5136</v>
      </c>
      <c r="C41" s="68" t="s">
        <v>5137</v>
      </c>
      <c r="D41" s="67" t="s">
        <v>5138</v>
      </c>
      <c r="E41" s="69">
        <v>9.256928694E9</v>
      </c>
      <c r="F41" s="6">
        <v>2576742.0</v>
      </c>
      <c r="G41" s="2">
        <v>2.14</v>
      </c>
      <c r="H41" s="2" t="s">
        <v>733</v>
      </c>
      <c r="I41" s="2" t="s">
        <v>5024</v>
      </c>
      <c r="J41" s="2" t="s">
        <v>5024</v>
      </c>
      <c r="K41" s="2"/>
      <c r="L41" s="2"/>
    </row>
    <row r="42" ht="11.25" customHeight="1">
      <c r="A42" s="67" t="s">
        <v>71</v>
      </c>
      <c r="B42" s="67" t="s">
        <v>5139</v>
      </c>
      <c r="C42" s="68" t="s">
        <v>5140</v>
      </c>
      <c r="D42" s="67" t="s">
        <v>5141</v>
      </c>
      <c r="E42" s="69">
        <v>2.8869617664E10</v>
      </c>
      <c r="F42" s="6">
        <v>643796.0</v>
      </c>
      <c r="G42" s="2">
        <v>4.25</v>
      </c>
      <c r="H42" s="13">
        <v>44404.0</v>
      </c>
      <c r="I42" s="2" t="s">
        <v>5024</v>
      </c>
      <c r="J42" s="2">
        <v>-0.532</v>
      </c>
      <c r="K42" s="2"/>
      <c r="L42" s="2"/>
    </row>
    <row r="43" ht="11.25" customHeight="1">
      <c r="A43" s="67" t="s">
        <v>72</v>
      </c>
      <c r="B43" s="67" t="s">
        <v>5142</v>
      </c>
      <c r="C43" s="68" t="s">
        <v>5143</v>
      </c>
      <c r="D43" s="67" t="s">
        <v>5144</v>
      </c>
      <c r="E43" s="69">
        <v>1.27828688896E11</v>
      </c>
      <c r="F43" s="6">
        <v>1716895.0</v>
      </c>
      <c r="G43" s="2">
        <v>4.85999999999999</v>
      </c>
      <c r="H43" s="13">
        <v>44406.0</v>
      </c>
      <c r="I43" s="2">
        <v>65.87472</v>
      </c>
      <c r="J43" s="2">
        <v>4.31</v>
      </c>
      <c r="K43" s="2"/>
      <c r="L43" s="2"/>
    </row>
    <row r="44" ht="11.25" customHeight="1">
      <c r="A44" s="67" t="s">
        <v>73</v>
      </c>
      <c r="B44" s="67" t="s">
        <v>5145</v>
      </c>
      <c r="C44" s="68" t="s">
        <v>5146</v>
      </c>
      <c r="D44" s="67" t="s">
        <v>5147</v>
      </c>
      <c r="E44" s="69">
        <v>1.83130128384E12</v>
      </c>
      <c r="F44" s="6">
        <v>3585638.0</v>
      </c>
      <c r="G44" s="2">
        <v>0.0</v>
      </c>
      <c r="H44" s="13">
        <v>44405.0</v>
      </c>
      <c r="I44" s="2">
        <v>68.119934</v>
      </c>
      <c r="J44" s="2">
        <v>52.562</v>
      </c>
      <c r="K44" s="2"/>
      <c r="L44" s="2"/>
    </row>
    <row r="45" ht="11.25" customHeight="1">
      <c r="A45" s="67" t="s">
        <v>74</v>
      </c>
      <c r="B45" s="67" t="s">
        <v>5148</v>
      </c>
      <c r="C45" s="68" t="s">
        <v>5149</v>
      </c>
      <c r="D45" s="67" t="s">
        <v>5150</v>
      </c>
      <c r="E45" s="69">
        <v>2.8113897472E10</v>
      </c>
      <c r="F45" s="6">
        <v>426598.0</v>
      </c>
      <c r="G45" s="2">
        <v>0.0</v>
      </c>
      <c r="H45" s="13">
        <v>44410.0</v>
      </c>
      <c r="I45" s="2">
        <v>42.755184</v>
      </c>
      <c r="J45" s="2">
        <v>8.533</v>
      </c>
      <c r="K45" s="2"/>
      <c r="L45" s="2"/>
    </row>
    <row r="46" ht="11.25" customHeight="1">
      <c r="A46" s="67" t="s">
        <v>75</v>
      </c>
      <c r="B46" s="67" t="s">
        <v>5151</v>
      </c>
      <c r="C46" s="68" t="s">
        <v>5152</v>
      </c>
      <c r="D46" s="67" t="s">
        <v>5153</v>
      </c>
      <c r="E46" s="69">
        <v>3.0695663616E10</v>
      </c>
      <c r="F46" s="6">
        <v>404109.0</v>
      </c>
      <c r="G46" s="2">
        <v>0.0</v>
      </c>
      <c r="H46" s="13">
        <v>44411.0</v>
      </c>
      <c r="I46" s="2">
        <v>66.61784</v>
      </c>
      <c r="J46" s="2">
        <v>5.257</v>
      </c>
      <c r="K46" s="2"/>
      <c r="L46" s="2"/>
    </row>
    <row r="47" ht="11.25" customHeight="1">
      <c r="A47" s="67" t="s">
        <v>76</v>
      </c>
      <c r="B47" s="67" t="s">
        <v>5154</v>
      </c>
      <c r="C47" s="68" t="s">
        <v>5155</v>
      </c>
      <c r="D47" s="67" t="s">
        <v>5156</v>
      </c>
      <c r="E47" s="69">
        <v>9.6883580928E10</v>
      </c>
      <c r="F47" s="6">
        <v>1087201.0</v>
      </c>
      <c r="G47" s="2">
        <v>4.16</v>
      </c>
      <c r="H47" s="13">
        <v>44398.0</v>
      </c>
      <c r="I47" s="2">
        <v>21.095715</v>
      </c>
      <c r="J47" s="2">
        <v>18.691</v>
      </c>
      <c r="K47" s="2"/>
      <c r="L47" s="2"/>
    </row>
    <row r="48" ht="11.25" customHeight="1">
      <c r="A48" s="67" t="s">
        <v>77</v>
      </c>
      <c r="B48" s="67" t="s">
        <v>5157</v>
      </c>
      <c r="C48" s="68" t="s">
        <v>5158</v>
      </c>
      <c r="D48" s="67" t="s">
        <v>5159</v>
      </c>
      <c r="E48" s="69">
        <v>5.21921536E10</v>
      </c>
      <c r="F48" s="6">
        <v>1755171.0</v>
      </c>
      <c r="G48" s="2">
        <v>2.38</v>
      </c>
      <c r="H48" s="13">
        <v>44406.0</v>
      </c>
      <c r="I48" s="2">
        <v>25.352484</v>
      </c>
      <c r="J48" s="2">
        <v>9.121</v>
      </c>
      <c r="K48" s="2"/>
      <c r="L48" s="2"/>
    </row>
    <row r="49" ht="11.25" customHeight="1">
      <c r="A49" s="67" t="s">
        <v>78</v>
      </c>
      <c r="B49" s="67" t="s">
        <v>5160</v>
      </c>
      <c r="C49" s="68" t="s">
        <v>5161</v>
      </c>
      <c r="D49" s="67" t="s">
        <v>5162</v>
      </c>
      <c r="E49" s="69">
        <v>1.1342635008E10</v>
      </c>
      <c r="F49" s="6">
        <v>1040180.0</v>
      </c>
      <c r="G49" s="2">
        <v>1.28</v>
      </c>
      <c r="H49" s="13">
        <v>44406.0</v>
      </c>
      <c r="I49" s="2">
        <v>29.212828</v>
      </c>
      <c r="J49" s="2">
        <v>2.401</v>
      </c>
      <c r="K49" s="2"/>
      <c r="L49" s="2"/>
    </row>
    <row r="50" ht="11.25" customHeight="1">
      <c r="A50" s="67" t="s">
        <v>79</v>
      </c>
      <c r="B50" s="67" t="s">
        <v>5163</v>
      </c>
      <c r="C50" s="68" t="s">
        <v>5164</v>
      </c>
      <c r="D50" s="67" t="s">
        <v>5165</v>
      </c>
      <c r="E50" s="69">
        <v>6.98116096E9</v>
      </c>
      <c r="F50" s="6">
        <v>6831385.0</v>
      </c>
      <c r="G50" s="2">
        <v>0.125</v>
      </c>
      <c r="H50" s="2" t="s">
        <v>733</v>
      </c>
      <c r="I50" s="2">
        <v>853.3334</v>
      </c>
      <c r="J50" s="2">
        <v>0.021</v>
      </c>
      <c r="K50" s="2"/>
      <c r="L50" s="2"/>
    </row>
    <row r="51" ht="11.25" customHeight="1">
      <c r="A51" s="67" t="s">
        <v>80</v>
      </c>
      <c r="B51" s="67" t="s">
        <v>5166</v>
      </c>
      <c r="C51" s="68" t="s">
        <v>5167</v>
      </c>
      <c r="D51" s="67" t="s">
        <v>5168</v>
      </c>
      <c r="E51" s="69">
        <v>6.3738433536E10</v>
      </c>
      <c r="F51" s="6">
        <v>841133.0</v>
      </c>
      <c r="G51" s="2">
        <v>5.68</v>
      </c>
      <c r="H51" s="13">
        <v>44398.0</v>
      </c>
      <c r="I51" s="2">
        <v>33.68607</v>
      </c>
      <c r="J51" s="2">
        <v>8.486</v>
      </c>
      <c r="K51" s="2"/>
      <c r="L51" s="2"/>
    </row>
    <row r="52" ht="11.25" customHeight="1">
      <c r="A52" s="67" t="s">
        <v>81</v>
      </c>
      <c r="B52" s="67" t="s">
        <v>5169</v>
      </c>
      <c r="C52" s="68" t="s">
        <v>5170</v>
      </c>
      <c r="D52" s="67" t="s">
        <v>5171</v>
      </c>
      <c r="E52" s="69">
        <v>4.1319170048E10</v>
      </c>
      <c r="F52" s="6">
        <v>2576382.0</v>
      </c>
      <c r="G52" s="2">
        <v>0.849999999999999</v>
      </c>
      <c r="H52" s="13">
        <v>44397.0</v>
      </c>
      <c r="I52" s="2">
        <v>32.757793</v>
      </c>
      <c r="J52" s="2">
        <v>2.085</v>
      </c>
      <c r="K52" s="2"/>
      <c r="L52" s="2"/>
    </row>
    <row r="53" ht="11.25" customHeight="1">
      <c r="A53" s="67" t="s">
        <v>82</v>
      </c>
      <c r="B53" s="67" t="s">
        <v>5172</v>
      </c>
      <c r="C53" s="68" t="s">
        <v>5173</v>
      </c>
      <c r="D53" s="67" t="s">
        <v>5174</v>
      </c>
      <c r="E53" s="69">
        <v>1.381368832E10</v>
      </c>
      <c r="F53" s="6">
        <v>2379776.0</v>
      </c>
      <c r="G53" s="2">
        <v>2.1</v>
      </c>
      <c r="H53" s="13">
        <v>44405.0</v>
      </c>
      <c r="I53" s="2">
        <v>7.3663034</v>
      </c>
      <c r="J53" s="2">
        <v>7.704</v>
      </c>
      <c r="K53" s="2"/>
      <c r="L53" s="2"/>
    </row>
    <row r="54" ht="11.25" customHeight="1">
      <c r="A54" s="67" t="s">
        <v>83</v>
      </c>
      <c r="B54" s="67" t="s">
        <v>5175</v>
      </c>
      <c r="C54" s="68" t="s">
        <v>5176</v>
      </c>
      <c r="D54" s="67" t="s">
        <v>5177</v>
      </c>
      <c r="E54" s="69">
        <v>5.629748736E9</v>
      </c>
      <c r="F54" s="6">
        <v>3154028.0</v>
      </c>
      <c r="G54" s="2">
        <v>0.0</v>
      </c>
      <c r="H54" s="13">
        <v>44411.0</v>
      </c>
      <c r="I54" s="2">
        <v>104.38596</v>
      </c>
      <c r="J54" s="2">
        <v>0.57</v>
      </c>
      <c r="K54" s="2"/>
      <c r="L54" s="2"/>
    </row>
    <row r="55" ht="11.25" customHeight="1">
      <c r="A55" s="67" t="s">
        <v>84</v>
      </c>
      <c r="B55" s="67" t="s">
        <v>5178</v>
      </c>
      <c r="C55" s="68" t="s">
        <v>5179</v>
      </c>
      <c r="D55" s="67" t="s">
        <v>5180</v>
      </c>
      <c r="E55" s="69">
        <v>4.1499844608E10</v>
      </c>
      <c r="F55" s="6">
        <v>1339044.0</v>
      </c>
      <c r="G55" s="2">
        <v>0.22</v>
      </c>
      <c r="H55" s="13">
        <v>44405.0</v>
      </c>
      <c r="I55" s="2">
        <v>84.12177</v>
      </c>
      <c r="J55" s="2">
        <v>1.782</v>
      </c>
      <c r="K55" s="2"/>
      <c r="L55" s="2"/>
    </row>
    <row r="56" ht="11.25" customHeight="1">
      <c r="A56" s="67" t="s">
        <v>85</v>
      </c>
      <c r="B56" s="67" t="s">
        <v>5181</v>
      </c>
      <c r="C56" s="68" t="s">
        <v>5182</v>
      </c>
      <c r="D56" s="67" t="s">
        <v>5183</v>
      </c>
      <c r="E56" s="69">
        <v>2.82473984E10</v>
      </c>
      <c r="F56" s="6">
        <v>850679.0</v>
      </c>
      <c r="G56" s="2">
        <v>4.35999999999999</v>
      </c>
      <c r="H56" s="13">
        <v>44403.0</v>
      </c>
      <c r="I56" s="2">
        <v>33.834087</v>
      </c>
      <c r="J56" s="2">
        <v>5.738</v>
      </c>
      <c r="K56" s="2"/>
      <c r="L56" s="2"/>
    </row>
    <row r="57" ht="11.25" customHeight="1">
      <c r="A57" s="67" t="s">
        <v>86</v>
      </c>
      <c r="B57" s="67" t="s">
        <v>5184</v>
      </c>
      <c r="C57" s="68" t="s">
        <v>5185</v>
      </c>
      <c r="D57" s="67" t="s">
        <v>5186</v>
      </c>
      <c r="E57" s="69">
        <v>1.2016438272E10</v>
      </c>
      <c r="F57" s="6">
        <v>2086090.0</v>
      </c>
      <c r="G57" s="2">
        <v>0.0</v>
      </c>
      <c r="H57" s="2" t="s">
        <v>733</v>
      </c>
      <c r="I57" s="2" t="s">
        <v>5024</v>
      </c>
      <c r="J57" s="2">
        <v>-1.849</v>
      </c>
      <c r="K57" s="2"/>
      <c r="L57" s="2"/>
    </row>
    <row r="58" ht="11.25" customHeight="1">
      <c r="A58" s="67" t="s">
        <v>87</v>
      </c>
      <c r="B58" s="67" t="s">
        <v>5187</v>
      </c>
      <c r="C58" s="68" t="s">
        <v>5188</v>
      </c>
      <c r="D58" s="67" t="s">
        <v>5189</v>
      </c>
      <c r="E58" s="69">
        <v>2.51279303E9</v>
      </c>
      <c r="F58" s="6">
        <v>3015250.0</v>
      </c>
      <c r="G58" s="2">
        <v>0.325</v>
      </c>
      <c r="H58" s="2" t="s">
        <v>733</v>
      </c>
      <c r="I58" s="2" t="s">
        <v>5024</v>
      </c>
      <c r="J58" s="2" t="s">
        <v>5024</v>
      </c>
      <c r="K58" s="2"/>
      <c r="L58" s="2"/>
    </row>
    <row r="59" ht="11.25" customHeight="1">
      <c r="A59" s="67" t="s">
        <v>88</v>
      </c>
      <c r="B59" s="67" t="s">
        <v>5190</v>
      </c>
      <c r="C59" s="68" t="s">
        <v>5191</v>
      </c>
      <c r="D59" s="67" t="s">
        <v>5192</v>
      </c>
      <c r="E59" s="69">
        <v>2.93487378432E11</v>
      </c>
      <c r="F59" s="6">
        <v>796392.0</v>
      </c>
      <c r="G59" s="2">
        <v>1.41</v>
      </c>
      <c r="H59" s="2" t="s">
        <v>733</v>
      </c>
      <c r="I59" s="2">
        <v>54.49589</v>
      </c>
      <c r="J59" s="2">
        <v>12.656</v>
      </c>
      <c r="K59" s="2"/>
      <c r="L59" s="2"/>
    </row>
    <row r="60" ht="11.25" customHeight="1">
      <c r="A60" s="67" t="s">
        <v>89</v>
      </c>
      <c r="B60" s="67" t="s">
        <v>5193</v>
      </c>
      <c r="C60" s="68" t="s">
        <v>5194</v>
      </c>
      <c r="D60" s="67" t="s">
        <v>5195</v>
      </c>
      <c r="E60" s="69">
        <v>1.3178098688E10</v>
      </c>
      <c r="F60" s="6">
        <v>766457.0</v>
      </c>
      <c r="G60" s="2">
        <v>2.45</v>
      </c>
      <c r="H60" s="13">
        <v>44411.0</v>
      </c>
      <c r="I60" s="2">
        <v>18.351091</v>
      </c>
      <c r="J60" s="2">
        <v>5.537</v>
      </c>
      <c r="K60" s="2"/>
      <c r="L60" s="2"/>
    </row>
    <row r="61" ht="11.25" customHeight="1">
      <c r="A61" s="67" t="s">
        <v>90</v>
      </c>
      <c r="B61" s="67" t="s">
        <v>5196</v>
      </c>
      <c r="C61" s="68" t="s">
        <v>5197</v>
      </c>
      <c r="D61" s="67" t="s">
        <v>5198</v>
      </c>
      <c r="E61" s="69">
        <v>1.5518756864E10</v>
      </c>
      <c r="F61" s="6">
        <v>3426512.0</v>
      </c>
      <c r="G61" s="2">
        <v>0.0</v>
      </c>
      <c r="H61" s="13">
        <v>44405.0</v>
      </c>
      <c r="I61" s="2">
        <v>25.727411</v>
      </c>
      <c r="J61" s="2">
        <v>1.306</v>
      </c>
      <c r="K61" s="2"/>
      <c r="L61" s="2"/>
    </row>
    <row r="62" ht="11.25" customHeight="1">
      <c r="A62" s="67" t="s">
        <v>91</v>
      </c>
      <c r="B62" s="67" t="s">
        <v>5199</v>
      </c>
      <c r="C62" s="68" t="s">
        <v>5200</v>
      </c>
      <c r="D62" s="67" t="s">
        <v>5201</v>
      </c>
      <c r="E62" s="69">
        <v>7.0459899904E10</v>
      </c>
      <c r="F62" s="6">
        <v>5535474.0</v>
      </c>
      <c r="G62" s="2">
        <v>0.47</v>
      </c>
      <c r="H62" s="13">
        <v>44411.0</v>
      </c>
      <c r="I62" s="2">
        <v>31.065878</v>
      </c>
      <c r="J62" s="2">
        <v>2.96</v>
      </c>
      <c r="K62" s="2"/>
      <c r="L62" s="2"/>
    </row>
    <row r="63" ht="11.25" customHeight="1">
      <c r="A63" s="67" t="s">
        <v>9</v>
      </c>
      <c r="B63" s="67" t="s">
        <v>5202</v>
      </c>
      <c r="C63" s="68" t="s">
        <v>5203</v>
      </c>
      <c r="D63" s="67" t="s">
        <v>5204</v>
      </c>
      <c r="E63" s="69">
        <v>3.1376222208E10</v>
      </c>
      <c r="F63" s="6">
        <v>798580.0</v>
      </c>
      <c r="G63" s="2">
        <v>6.36</v>
      </c>
      <c r="H63" s="13">
        <v>44405.0</v>
      </c>
      <c r="I63" s="2">
        <v>39.515903</v>
      </c>
      <c r="J63" s="2">
        <v>5.722</v>
      </c>
      <c r="K63" s="2"/>
      <c r="L63" s="2"/>
    </row>
    <row r="64" ht="11.25" customHeight="1">
      <c r="A64" s="67" t="s">
        <v>92</v>
      </c>
      <c r="B64" s="67" t="s">
        <v>5205</v>
      </c>
      <c r="C64" s="68" t="s">
        <v>5206</v>
      </c>
      <c r="D64" s="67" t="s">
        <v>5207</v>
      </c>
      <c r="E64" s="69">
        <v>1.95833987072E11</v>
      </c>
      <c r="F64" s="6">
        <v>1803679.0</v>
      </c>
      <c r="G64" s="2">
        <v>14.05</v>
      </c>
      <c r="H64" s="2" t="s">
        <v>733</v>
      </c>
      <c r="I64" s="2">
        <v>43.472443</v>
      </c>
      <c r="J64" s="2">
        <v>10.759</v>
      </c>
      <c r="K64" s="2"/>
      <c r="L64" s="2"/>
    </row>
    <row r="65" ht="11.25" customHeight="1">
      <c r="A65" s="67" t="s">
        <v>93</v>
      </c>
      <c r="B65" s="67" t="s">
        <v>5208</v>
      </c>
      <c r="C65" s="68" t="s">
        <v>5209</v>
      </c>
      <c r="D65" s="67" t="s">
        <v>5210</v>
      </c>
      <c r="E65" s="69">
        <v>2.11461632E10</v>
      </c>
      <c r="F65" s="6">
        <v>3937157.0</v>
      </c>
      <c r="G65" s="2">
        <v>0.0</v>
      </c>
      <c r="H65" s="13">
        <v>44405.0</v>
      </c>
      <c r="I65" s="2">
        <v>124.22946</v>
      </c>
      <c r="J65" s="2">
        <v>0.292</v>
      </c>
      <c r="K65" s="2"/>
      <c r="L65" s="2"/>
    </row>
    <row r="66" ht="11.25" customHeight="1">
      <c r="A66" s="67" t="s">
        <v>94</v>
      </c>
      <c r="B66" s="67" t="s">
        <v>5211</v>
      </c>
      <c r="C66" s="68" t="s">
        <v>5212</v>
      </c>
      <c r="D66" s="67" t="s">
        <v>5213</v>
      </c>
      <c r="E66" s="69">
        <v>1.7248999424E10</v>
      </c>
      <c r="F66" s="6">
        <v>522528.0</v>
      </c>
      <c r="G66" s="2">
        <v>2.5</v>
      </c>
      <c r="H66" s="13">
        <v>44403.0</v>
      </c>
      <c r="I66" s="2">
        <v>27.094154</v>
      </c>
      <c r="J66" s="2">
        <v>7.509</v>
      </c>
      <c r="K66" s="2"/>
      <c r="L66" s="2"/>
    </row>
    <row r="67" ht="11.25" customHeight="1">
      <c r="A67" s="67" t="s">
        <v>95</v>
      </c>
      <c r="B67" s="67" t="s">
        <v>5214</v>
      </c>
      <c r="C67" s="68" t="s">
        <v>5215</v>
      </c>
      <c r="D67" s="67" t="s">
        <v>5216</v>
      </c>
      <c r="E67" s="69">
        <v>3.012022272E10</v>
      </c>
      <c r="F67" s="6">
        <v>757471.0</v>
      </c>
      <c r="G67" s="2">
        <v>2.2525</v>
      </c>
      <c r="H67" s="13">
        <v>44411.0</v>
      </c>
      <c r="I67" s="2">
        <v>42.741283</v>
      </c>
      <c r="J67" s="2">
        <v>3.958</v>
      </c>
      <c r="K67" s="2"/>
      <c r="L67" s="2"/>
    </row>
    <row r="68" ht="11.25" customHeight="1">
      <c r="A68" s="67" t="s">
        <v>96</v>
      </c>
      <c r="B68" s="67" t="s">
        <v>5217</v>
      </c>
      <c r="C68" s="68" t="s">
        <v>5218</v>
      </c>
      <c r="D68" s="67" t="s">
        <v>5219</v>
      </c>
      <c r="E68" s="69">
        <v>1.38866982912E11</v>
      </c>
      <c r="F68" s="6">
        <v>3158895.0</v>
      </c>
      <c r="G68" s="2">
        <v>1.72</v>
      </c>
      <c r="H68" s="13">
        <v>44400.0</v>
      </c>
      <c r="I68" s="2">
        <v>27.849535</v>
      </c>
      <c r="J68" s="2">
        <v>6.101</v>
      </c>
      <c r="K68" s="2"/>
      <c r="L68" s="2"/>
    </row>
    <row r="69" ht="11.25" customHeight="1">
      <c r="A69" s="67" t="s">
        <v>97</v>
      </c>
      <c r="B69" s="67" t="s">
        <v>5220</v>
      </c>
      <c r="C69" s="68" t="s">
        <v>5221</v>
      </c>
      <c r="D69" s="67" t="s">
        <v>5222</v>
      </c>
      <c r="E69" s="69">
        <v>6.913867264E9</v>
      </c>
      <c r="F69" s="6">
        <v>3359520.0</v>
      </c>
      <c r="G69" s="2">
        <v>0.0</v>
      </c>
      <c r="H69" s="13">
        <v>44404.0</v>
      </c>
      <c r="I69" s="2">
        <v>80.19444</v>
      </c>
      <c r="J69" s="2">
        <v>0.36</v>
      </c>
      <c r="K69" s="2"/>
      <c r="L69" s="2"/>
    </row>
    <row r="70" ht="11.25" customHeight="1">
      <c r="A70" s="67" t="s">
        <v>98</v>
      </c>
      <c r="B70" s="67" t="s">
        <v>5223</v>
      </c>
      <c r="C70" s="68" t="s">
        <v>5224</v>
      </c>
      <c r="D70" s="67" t="s">
        <v>5225</v>
      </c>
      <c r="E70" s="69">
        <v>3.441803264E10</v>
      </c>
      <c r="F70" s="6">
        <v>190025.0</v>
      </c>
      <c r="G70" s="2">
        <v>0.0</v>
      </c>
      <c r="H70" s="2" t="s">
        <v>733</v>
      </c>
      <c r="I70" s="2">
        <v>17.634888</v>
      </c>
      <c r="J70" s="2">
        <v>91.057</v>
      </c>
      <c r="K70" s="2"/>
      <c r="L70" s="2"/>
    </row>
    <row r="71" ht="11.25" customHeight="1">
      <c r="A71" s="67" t="s">
        <v>99</v>
      </c>
      <c r="B71" s="67" t="s">
        <v>5226</v>
      </c>
      <c r="C71" s="68" t="s">
        <v>5227</v>
      </c>
      <c r="D71" s="67" t="s">
        <v>5228</v>
      </c>
      <c r="E71" s="69">
        <v>1.3017870336E11</v>
      </c>
      <c r="F71" s="6">
        <v>1.2634876E7</v>
      </c>
      <c r="G71" s="2">
        <v>2.055</v>
      </c>
      <c r="H71" s="13">
        <v>44404.0</v>
      </c>
      <c r="I71" s="2" t="s">
        <v>5024</v>
      </c>
      <c r="J71" s="2">
        <v>-20.547</v>
      </c>
      <c r="K71" s="2"/>
      <c r="L71" s="2"/>
    </row>
    <row r="72" ht="11.25" customHeight="1">
      <c r="A72" s="67" t="s">
        <v>100</v>
      </c>
      <c r="B72" s="67" t="s">
        <v>5229</v>
      </c>
      <c r="C72" s="68" t="s">
        <v>5230</v>
      </c>
      <c r="D72" s="67" t="s">
        <v>5231</v>
      </c>
      <c r="E72" s="69">
        <v>3.32660998144E11</v>
      </c>
      <c r="F72" s="6">
        <v>4.5211049E7</v>
      </c>
      <c r="G72" s="2">
        <v>0.72</v>
      </c>
      <c r="H72" s="2" t="s">
        <v>733</v>
      </c>
      <c r="I72" s="2">
        <v>12.588333</v>
      </c>
      <c r="J72" s="2">
        <v>3.0</v>
      </c>
      <c r="K72" s="2"/>
      <c r="L72" s="2"/>
    </row>
    <row r="73" ht="11.25" customHeight="1">
      <c r="A73" s="67" t="s">
        <v>101</v>
      </c>
      <c r="B73" s="67" t="s">
        <v>5232</v>
      </c>
      <c r="C73" s="68" t="s">
        <v>5233</v>
      </c>
      <c r="D73" s="67" t="s">
        <v>5234</v>
      </c>
      <c r="E73" s="69">
        <v>4.0751128576E10</v>
      </c>
      <c r="F73" s="6">
        <v>2646769.0</v>
      </c>
      <c r="G73" s="2">
        <v>1.015</v>
      </c>
      <c r="H73" s="13">
        <v>44406.0</v>
      </c>
      <c r="I73" s="2">
        <v>39.41063</v>
      </c>
      <c r="J73" s="2">
        <v>2.07</v>
      </c>
      <c r="K73" s="2"/>
      <c r="L73" s="2"/>
    </row>
    <row r="74" ht="11.25" customHeight="1">
      <c r="A74" s="67" t="s">
        <v>102</v>
      </c>
      <c r="B74" s="67" t="s">
        <v>5235</v>
      </c>
      <c r="C74" s="68" t="s">
        <v>5236</v>
      </c>
      <c r="D74" s="67" t="s">
        <v>5237</v>
      </c>
      <c r="E74" s="69">
        <v>2.892947456E9</v>
      </c>
      <c r="F74" s="6">
        <v>7983236.0</v>
      </c>
      <c r="G74" s="2">
        <v>0.17</v>
      </c>
      <c r="H74" s="2" t="s">
        <v>733</v>
      </c>
      <c r="I74" s="2">
        <v>31.594374</v>
      </c>
      <c r="J74" s="2">
        <v>0.853</v>
      </c>
      <c r="K74" s="2"/>
      <c r="L74" s="2"/>
    </row>
    <row r="75" ht="11.25" customHeight="1">
      <c r="A75" s="67" t="s">
        <v>103</v>
      </c>
      <c r="B75" s="67" t="s">
        <v>5238</v>
      </c>
      <c r="C75" s="68" t="s">
        <v>5239</v>
      </c>
      <c r="D75" s="67" t="s">
        <v>5240</v>
      </c>
      <c r="E75" s="69">
        <v>2.8062994432E10</v>
      </c>
      <c r="F75" s="6">
        <v>2205741.0</v>
      </c>
      <c r="G75" s="2">
        <v>2.5</v>
      </c>
      <c r="H75" s="2" t="s">
        <v>733</v>
      </c>
      <c r="I75" s="2">
        <v>13.045721</v>
      </c>
      <c r="J75" s="2">
        <v>8.53</v>
      </c>
      <c r="K75" s="2"/>
      <c r="L75" s="2"/>
    </row>
    <row r="76" ht="11.25" customHeight="1">
      <c r="A76" s="67" t="s">
        <v>104</v>
      </c>
      <c r="B76" s="67" t="s">
        <v>5241</v>
      </c>
      <c r="C76" s="68" t="s">
        <v>5242</v>
      </c>
      <c r="D76" s="67" t="s">
        <v>5243</v>
      </c>
      <c r="E76" s="69">
        <v>7.1768064E10</v>
      </c>
      <c r="F76" s="6">
        <v>1445877.0</v>
      </c>
      <c r="G76" s="2">
        <v>3.28</v>
      </c>
      <c r="H76" s="13">
        <v>44413.0</v>
      </c>
      <c r="I76" s="2">
        <v>44.404846</v>
      </c>
      <c r="J76" s="2">
        <v>5.612</v>
      </c>
      <c r="K76" s="2"/>
      <c r="L76" s="2"/>
    </row>
    <row r="77" ht="11.25" customHeight="1">
      <c r="A77" s="67" t="s">
        <v>105</v>
      </c>
      <c r="B77" s="67" t="s">
        <v>5244</v>
      </c>
      <c r="C77" s="68" t="s">
        <v>5245</v>
      </c>
      <c r="D77" s="67" t="s">
        <v>5246</v>
      </c>
      <c r="E77" s="69">
        <v>1.5210382336E10</v>
      </c>
      <c r="F77" s="6">
        <v>2747006.0</v>
      </c>
      <c r="G77" s="2">
        <v>1.11</v>
      </c>
      <c r="H77" s="13">
        <v>44403.0</v>
      </c>
      <c r="I77" s="2">
        <v>13.632557</v>
      </c>
      <c r="J77" s="2">
        <v>2.15</v>
      </c>
      <c r="K77" s="2"/>
      <c r="L77" s="2"/>
    </row>
    <row r="78" ht="11.25" customHeight="1">
      <c r="A78" s="67" t="s">
        <v>106</v>
      </c>
      <c r="B78" s="67" t="s">
        <v>5247</v>
      </c>
      <c r="C78" s="68" t="s">
        <v>5248</v>
      </c>
      <c r="D78" s="67" t="s">
        <v>5249</v>
      </c>
      <c r="E78" s="69">
        <v>6.4468758528E10</v>
      </c>
      <c r="F78" s="6">
        <v>5429401.0</v>
      </c>
      <c r="G78" s="2">
        <v>0.0</v>
      </c>
      <c r="H78" s="2" t="s">
        <v>733</v>
      </c>
      <c r="I78" s="2">
        <v>8.339375</v>
      </c>
      <c r="J78" s="2">
        <v>21.516</v>
      </c>
      <c r="K78" s="2"/>
      <c r="L78" s="2"/>
    </row>
    <row r="79" ht="11.25" customHeight="1">
      <c r="A79" s="67" t="s">
        <v>107</v>
      </c>
      <c r="B79" s="67" t="s">
        <v>5250</v>
      </c>
      <c r="C79" s="68" t="s">
        <v>5251</v>
      </c>
      <c r="D79" s="67" t="s">
        <v>5252</v>
      </c>
      <c r="E79" s="69">
        <v>4.9406132224E10</v>
      </c>
      <c r="F79" s="6">
        <v>1970036.0</v>
      </c>
      <c r="G79" s="2">
        <v>0.0</v>
      </c>
      <c r="H79" s="13">
        <v>44397.0</v>
      </c>
      <c r="I79" s="2">
        <v>16.951427</v>
      </c>
      <c r="J79" s="2">
        <v>19.291</v>
      </c>
      <c r="K79" s="2"/>
      <c r="L79" s="2"/>
    </row>
    <row r="80" ht="11.25" customHeight="1">
      <c r="A80" s="67" t="s">
        <v>108</v>
      </c>
      <c r="B80" s="67" t="s">
        <v>5253</v>
      </c>
      <c r="C80" s="68" t="s">
        <v>5254</v>
      </c>
      <c r="D80" s="67" t="s">
        <v>5255</v>
      </c>
      <c r="E80" s="69">
        <v>1.9984760832E10</v>
      </c>
      <c r="F80" s="6">
        <v>130641.0</v>
      </c>
      <c r="G80" s="2">
        <v>0.0</v>
      </c>
      <c r="H80" s="13">
        <v>44405.0</v>
      </c>
      <c r="I80" s="2">
        <v>4.9745355</v>
      </c>
      <c r="J80" s="2">
        <v>135.872</v>
      </c>
      <c r="K80" s="2"/>
      <c r="L80" s="2"/>
    </row>
    <row r="81" ht="11.25" customHeight="1">
      <c r="A81" s="67" t="s">
        <v>109</v>
      </c>
      <c r="B81" s="67" t="s">
        <v>5256</v>
      </c>
      <c r="C81" s="68" t="s">
        <v>5257</v>
      </c>
      <c r="D81" s="67" t="s">
        <v>5258</v>
      </c>
      <c r="E81" s="69">
        <v>4.2627170304E10</v>
      </c>
      <c r="F81" s="6">
        <v>4712628.0</v>
      </c>
      <c r="G81" s="2">
        <v>1.24</v>
      </c>
      <c r="H81" s="2" t="s">
        <v>733</v>
      </c>
      <c r="I81" s="2">
        <v>13.190184</v>
      </c>
      <c r="J81" s="2">
        <v>3.749</v>
      </c>
      <c r="K81" s="2"/>
      <c r="L81" s="2"/>
    </row>
    <row r="82" ht="11.25" customHeight="1">
      <c r="A82" s="67" t="s">
        <v>110</v>
      </c>
      <c r="B82" s="67" t="s">
        <v>5259</v>
      </c>
      <c r="C82" s="68" t="s">
        <v>5260</v>
      </c>
      <c r="D82" s="67" t="s">
        <v>5261</v>
      </c>
      <c r="E82" s="69">
        <v>8.90595328E10</v>
      </c>
      <c r="F82" s="6">
        <v>323652.0</v>
      </c>
      <c r="G82" s="2">
        <v>0.0</v>
      </c>
      <c r="H82" s="13">
        <v>44412.0</v>
      </c>
      <c r="I82" s="2">
        <v>125.78505</v>
      </c>
      <c r="J82" s="2">
        <v>17.101</v>
      </c>
      <c r="K82" s="2"/>
      <c r="L82" s="2"/>
    </row>
    <row r="83" ht="11.25" customHeight="1">
      <c r="A83" s="67" t="s">
        <v>111</v>
      </c>
      <c r="B83" s="67" t="s">
        <v>5262</v>
      </c>
      <c r="C83" s="68" t="s">
        <v>5263</v>
      </c>
      <c r="D83" s="67" t="s">
        <v>5264</v>
      </c>
      <c r="E83" s="69">
        <v>1.641323008E10</v>
      </c>
      <c r="F83" s="6">
        <v>8763700.0</v>
      </c>
      <c r="G83" s="2">
        <v>0.72</v>
      </c>
      <c r="H83" s="13">
        <v>44398.0</v>
      </c>
      <c r="I83" s="2" t="s">
        <v>5024</v>
      </c>
      <c r="J83" s="2">
        <v>-0.241</v>
      </c>
      <c r="K83" s="2"/>
      <c r="L83" s="2"/>
    </row>
    <row r="84" ht="11.25" customHeight="1">
      <c r="A84" s="67" t="s">
        <v>112</v>
      </c>
      <c r="B84" s="67" t="s">
        <v>5265</v>
      </c>
      <c r="C84" s="68" t="s">
        <v>5266</v>
      </c>
      <c r="D84" s="67" t="s">
        <v>5267</v>
      </c>
      <c r="E84" s="69">
        <v>8.666486784E9</v>
      </c>
      <c r="F84" s="6">
        <v>3199058.0</v>
      </c>
      <c r="G84" s="2">
        <v>0.0</v>
      </c>
      <c r="H84" s="13">
        <v>44396.0</v>
      </c>
      <c r="I84" s="2">
        <v>12.120811</v>
      </c>
      <c r="J84" s="2">
        <v>3.402</v>
      </c>
      <c r="K84" s="2"/>
      <c r="L84" s="2"/>
    </row>
    <row r="85" ht="11.25" customHeight="1">
      <c r="A85" s="67" t="s">
        <v>113</v>
      </c>
      <c r="B85" s="67" t="s">
        <v>5268</v>
      </c>
      <c r="C85" s="68" t="s">
        <v>5269</v>
      </c>
      <c r="D85" s="67" t="s">
        <v>5270</v>
      </c>
      <c r="E85" s="69">
        <v>1.33928706048E11</v>
      </c>
      <c r="F85" s="6">
        <v>551373.0</v>
      </c>
      <c r="G85" s="2">
        <v>15.52</v>
      </c>
      <c r="H85" s="2" t="s">
        <v>733</v>
      </c>
      <c r="I85" s="2">
        <v>24.618563</v>
      </c>
      <c r="J85" s="2">
        <v>35.576</v>
      </c>
      <c r="K85" s="2"/>
      <c r="L85" s="2"/>
    </row>
    <row r="86" ht="11.25" customHeight="1">
      <c r="A86" s="67" t="s">
        <v>114</v>
      </c>
      <c r="B86" s="67" t="s">
        <v>5271</v>
      </c>
      <c r="C86" s="68" t="s">
        <v>5272</v>
      </c>
      <c r="D86" s="67" t="s">
        <v>5273</v>
      </c>
      <c r="E86" s="69">
        <v>2.790167552E10</v>
      </c>
      <c r="F86" s="6">
        <v>1964188.0</v>
      </c>
      <c r="G86" s="2">
        <v>0.6</v>
      </c>
      <c r="H86" s="13">
        <v>44413.0</v>
      </c>
      <c r="I86" s="2">
        <v>37.48143</v>
      </c>
      <c r="J86" s="2">
        <v>2.289</v>
      </c>
      <c r="K86" s="2"/>
      <c r="L86" s="2"/>
    </row>
    <row r="87" ht="11.25" customHeight="1">
      <c r="A87" s="67" t="s">
        <v>115</v>
      </c>
      <c r="B87" s="67" t="s">
        <v>5274</v>
      </c>
      <c r="C87" s="68" t="s">
        <v>5275</v>
      </c>
      <c r="D87" s="67" t="s">
        <v>5276</v>
      </c>
      <c r="E87" s="69">
        <v>1.50448750592E11</v>
      </c>
      <c r="F87" s="6">
        <v>1.0044492E7</v>
      </c>
      <c r="G87" s="2">
        <v>1.92</v>
      </c>
      <c r="H87" s="13">
        <v>44405.0</v>
      </c>
      <c r="I87" s="2" t="s">
        <v>5024</v>
      </c>
      <c r="J87" s="2">
        <v>-2.764</v>
      </c>
      <c r="K87" s="2"/>
      <c r="L87" s="2"/>
    </row>
    <row r="88" ht="11.25" customHeight="1">
      <c r="A88" s="67" t="s">
        <v>116</v>
      </c>
      <c r="B88" s="67" t="s">
        <v>5277</v>
      </c>
      <c r="C88" s="68" t="s">
        <v>5278</v>
      </c>
      <c r="D88" s="67" t="s">
        <v>5279</v>
      </c>
      <c r="E88" s="69">
        <v>3.7951686021E10</v>
      </c>
      <c r="F88" s="6">
        <v>6140346.0</v>
      </c>
      <c r="G88" s="2">
        <v>1.904</v>
      </c>
      <c r="H88" s="2" t="s">
        <v>733</v>
      </c>
      <c r="I88" s="2" t="s">
        <v>5024</v>
      </c>
      <c r="J88" s="2" t="s">
        <v>5024</v>
      </c>
      <c r="K88" s="2"/>
      <c r="L88" s="2"/>
    </row>
    <row r="89" ht="11.25" customHeight="1">
      <c r="A89" s="67" t="s">
        <v>117</v>
      </c>
      <c r="B89" s="67" t="s">
        <v>5280</v>
      </c>
      <c r="C89" s="68" t="s">
        <v>5281</v>
      </c>
      <c r="D89" s="67" t="s">
        <v>5282</v>
      </c>
      <c r="E89" s="69">
        <v>3.5963945E9</v>
      </c>
      <c r="F89" s="6">
        <v>2495006.0</v>
      </c>
      <c r="G89" s="2">
        <v>0.621</v>
      </c>
      <c r="H89" s="2" t="s">
        <v>733</v>
      </c>
      <c r="I89" s="2" t="s">
        <v>5024</v>
      </c>
      <c r="J89" s="2" t="s">
        <v>5024</v>
      </c>
      <c r="K89" s="2"/>
      <c r="L89" s="2"/>
    </row>
    <row r="90" ht="11.25" customHeight="1">
      <c r="A90" s="2" t="s">
        <v>118</v>
      </c>
      <c r="B90" s="2" t="s">
        <v>5283</v>
      </c>
      <c r="C90" s="26" t="s">
        <v>5284</v>
      </c>
      <c r="D90" s="2" t="s">
        <v>5285</v>
      </c>
      <c r="E90" s="70">
        <v>1.981574144E10</v>
      </c>
      <c r="F90" s="6">
        <v>493866.0</v>
      </c>
      <c r="G90" s="2">
        <v>2.3</v>
      </c>
      <c r="H90" s="2" t="s">
        <v>733</v>
      </c>
      <c r="I90" s="2">
        <v>38.607826</v>
      </c>
      <c r="J90" s="2">
        <v>4.396</v>
      </c>
      <c r="K90" s="2"/>
      <c r="L90" s="2"/>
    </row>
    <row r="91" ht="11.25" customHeight="1">
      <c r="A91" s="2" t="s">
        <v>119</v>
      </c>
      <c r="B91" s="2" t="s">
        <v>5286</v>
      </c>
      <c r="C91" s="26" t="s">
        <v>5287</v>
      </c>
      <c r="D91" s="2" t="s">
        <v>5288</v>
      </c>
      <c r="E91" s="70">
        <v>2.3625418874E10</v>
      </c>
      <c r="F91" s="6">
        <v>2248623.0</v>
      </c>
      <c r="G91" s="2">
        <v>0.924999999999999</v>
      </c>
      <c r="H91" s="2" t="s">
        <v>733</v>
      </c>
      <c r="I91" s="2" t="s">
        <v>5024</v>
      </c>
      <c r="J91" s="2" t="s">
        <v>5024</v>
      </c>
      <c r="K91" s="2"/>
      <c r="L91" s="2"/>
    </row>
    <row r="92" ht="11.25" customHeight="1">
      <c r="A92" s="2" t="s">
        <v>120</v>
      </c>
      <c r="B92" s="2" t="s">
        <v>5289</v>
      </c>
      <c r="C92" s="26" t="s">
        <v>5290</v>
      </c>
      <c r="D92" s="2" t="s">
        <v>5291</v>
      </c>
      <c r="E92" s="70">
        <v>5.9948187648E10</v>
      </c>
      <c r="F92" s="6">
        <v>7120868.0</v>
      </c>
      <c r="G92" s="2">
        <v>0.0</v>
      </c>
      <c r="H92" s="13">
        <v>44404.0</v>
      </c>
      <c r="I92" s="2">
        <v>298.97162</v>
      </c>
      <c r="J92" s="2">
        <v>0.141</v>
      </c>
      <c r="K92" s="2"/>
      <c r="L92" s="2"/>
    </row>
    <row r="93" ht="11.25" customHeight="1">
      <c r="A93" s="2" t="s">
        <v>121</v>
      </c>
      <c r="B93" s="2" t="s">
        <v>5292</v>
      </c>
      <c r="C93" s="26" t="s">
        <v>5293</v>
      </c>
      <c r="D93" s="2" t="s">
        <v>5294</v>
      </c>
      <c r="E93" s="70">
        <v>1.1366396928E10</v>
      </c>
      <c r="F93" s="6">
        <v>1798323.0</v>
      </c>
      <c r="G93" s="2">
        <v>0.68</v>
      </c>
      <c r="H93" s="13">
        <v>44412.0</v>
      </c>
      <c r="I93" s="2">
        <v>23.510204</v>
      </c>
      <c r="J93" s="2">
        <v>1.96</v>
      </c>
      <c r="K93" s="2"/>
      <c r="L93" s="2"/>
    </row>
    <row r="94" ht="11.25" customHeight="1">
      <c r="A94" s="2" t="s">
        <v>122</v>
      </c>
      <c r="B94" s="2" t="s">
        <v>5295</v>
      </c>
      <c r="C94" s="26" t="s">
        <v>5296</v>
      </c>
      <c r="D94" s="2" t="s">
        <v>5297</v>
      </c>
      <c r="E94" s="70">
        <v>7.222042624E10</v>
      </c>
      <c r="F94" s="6">
        <v>4136620.0</v>
      </c>
      <c r="G94" s="2">
        <v>2.69</v>
      </c>
      <c r="H94" s="13">
        <v>44398.0</v>
      </c>
      <c r="I94" s="2">
        <v>18.64193</v>
      </c>
      <c r="J94" s="2">
        <v>5.471</v>
      </c>
      <c r="K94" s="2"/>
      <c r="L94" s="2"/>
    </row>
    <row r="95" ht="11.25" customHeight="1">
      <c r="A95" s="2" t="s">
        <v>123</v>
      </c>
      <c r="B95" s="2" t="s">
        <v>5298</v>
      </c>
      <c r="C95" s="26" t="s">
        <v>5299</v>
      </c>
      <c r="D95" s="2" t="s">
        <v>5300</v>
      </c>
      <c r="E95" s="70">
        <v>1.8206031872E10</v>
      </c>
      <c r="F95" s="6">
        <v>1115896.0</v>
      </c>
      <c r="G95" s="2">
        <v>3.92</v>
      </c>
      <c r="H95" s="13">
        <v>44403.0</v>
      </c>
      <c r="I95" s="2">
        <v>39.62837</v>
      </c>
      <c r="J95" s="2">
        <v>2.933</v>
      </c>
      <c r="K95" s="2"/>
      <c r="L95" s="2"/>
    </row>
    <row r="96" ht="11.25" customHeight="1">
      <c r="A96" s="2" t="s">
        <v>124</v>
      </c>
      <c r="B96" s="2" t="s">
        <v>5301</v>
      </c>
      <c r="C96" s="26" t="s">
        <v>5302</v>
      </c>
      <c r="D96" s="2" t="s">
        <v>5303</v>
      </c>
      <c r="E96" s="70">
        <v>8.140867072E9</v>
      </c>
      <c r="F96" s="6">
        <v>3739339.0</v>
      </c>
      <c r="G96" s="2">
        <v>0.0</v>
      </c>
      <c r="H96" s="13">
        <v>44410.0</v>
      </c>
      <c r="I96" s="2" t="s">
        <v>5024</v>
      </c>
      <c r="J96" s="2">
        <v>-1.31</v>
      </c>
      <c r="K96" s="2"/>
      <c r="L96" s="2"/>
    </row>
    <row r="97" ht="11.25" customHeight="1">
      <c r="A97" s="2" t="s">
        <v>125</v>
      </c>
      <c r="B97" s="2" t="s">
        <v>5304</v>
      </c>
      <c r="C97" s="26" t="s">
        <v>5305</v>
      </c>
      <c r="D97" s="2" t="s">
        <v>5306</v>
      </c>
      <c r="E97" s="70">
        <v>1.41406896128E11</v>
      </c>
      <c r="F97" s="6">
        <v>2.0690782E7</v>
      </c>
      <c r="G97" s="2">
        <v>2.04</v>
      </c>
      <c r="H97" s="2" t="s">
        <v>733</v>
      </c>
      <c r="I97" s="2">
        <v>9.126766</v>
      </c>
      <c r="J97" s="2">
        <v>7.289</v>
      </c>
      <c r="K97" s="2"/>
      <c r="L97" s="2"/>
    </row>
    <row r="98" ht="11.25" customHeight="1">
      <c r="A98" s="2" t="s">
        <v>126</v>
      </c>
      <c r="B98" s="2" t="s">
        <v>5307</v>
      </c>
      <c r="C98" s="26" t="s">
        <v>5308</v>
      </c>
      <c r="D98" s="2" t="s">
        <v>5309</v>
      </c>
      <c r="E98" s="70">
        <v>1.6639761408E10</v>
      </c>
      <c r="F98" s="6">
        <v>3198379.0</v>
      </c>
      <c r="G98" s="2">
        <v>1.038</v>
      </c>
      <c r="H98" s="2" t="s">
        <v>733</v>
      </c>
      <c r="I98" s="2">
        <v>13.092105</v>
      </c>
      <c r="J98" s="2">
        <v>2.66</v>
      </c>
      <c r="K98" s="2"/>
      <c r="L98" s="2"/>
    </row>
    <row r="99" ht="11.25" customHeight="1">
      <c r="A99" s="2" t="s">
        <v>127</v>
      </c>
      <c r="B99" s="2" t="s">
        <v>5310</v>
      </c>
      <c r="C99" s="26" t="s">
        <v>5311</v>
      </c>
      <c r="D99" s="2" t="s">
        <v>5312</v>
      </c>
      <c r="E99" s="70">
        <v>1.6460095488E10</v>
      </c>
      <c r="F99" s="6">
        <v>2250811.0</v>
      </c>
      <c r="G99" s="2">
        <v>1.94879999999999</v>
      </c>
      <c r="H99" s="13">
        <v>44413.0</v>
      </c>
      <c r="I99" s="2">
        <v>14.559652</v>
      </c>
      <c r="J99" s="2">
        <v>3.906</v>
      </c>
      <c r="K99" s="2"/>
      <c r="L99" s="2"/>
    </row>
    <row r="100" ht="11.25" customHeight="1">
      <c r="A100" s="2" t="s">
        <v>128</v>
      </c>
      <c r="B100" s="2" t="s">
        <v>5313</v>
      </c>
      <c r="C100" s="26" t="s">
        <v>5314</v>
      </c>
      <c r="D100" s="2" t="s">
        <v>5315</v>
      </c>
      <c r="E100" s="70">
        <v>1.15824082944E11</v>
      </c>
      <c r="F100" s="6">
        <v>3529123.0</v>
      </c>
      <c r="G100" s="2">
        <v>5.23</v>
      </c>
      <c r="H100" s="13">
        <v>44406.0</v>
      </c>
      <c r="I100" s="2">
        <v>33.161976</v>
      </c>
      <c r="J100" s="2">
        <v>6.254</v>
      </c>
      <c r="K100" s="2"/>
      <c r="L100" s="2"/>
    </row>
    <row r="101" ht="11.25" customHeight="1">
      <c r="A101" s="2" t="s">
        <v>129</v>
      </c>
      <c r="B101" s="2" t="s">
        <v>5316</v>
      </c>
      <c r="C101" s="26" t="s">
        <v>5317</v>
      </c>
      <c r="D101" s="2" t="s">
        <v>5318</v>
      </c>
      <c r="E101" s="70">
        <v>7.4752131072E10</v>
      </c>
      <c r="F101" s="6">
        <v>2002036.0</v>
      </c>
      <c r="G101" s="2">
        <v>3.14</v>
      </c>
      <c r="H101" s="13">
        <v>44404.0</v>
      </c>
      <c r="I101" s="2">
        <v>13.528743</v>
      </c>
      <c r="J101" s="2">
        <v>12.316</v>
      </c>
      <c r="K101" s="2"/>
      <c r="L101" s="2"/>
    </row>
    <row r="102" ht="11.25" customHeight="1">
      <c r="A102" s="2" t="s">
        <v>130</v>
      </c>
      <c r="B102" s="2" t="s">
        <v>5319</v>
      </c>
      <c r="C102" s="26" t="s">
        <v>5320</v>
      </c>
      <c r="D102" s="2" t="s">
        <v>5321</v>
      </c>
      <c r="E102" s="70">
        <v>1.2457723904E10</v>
      </c>
      <c r="F102" s="6">
        <v>538568.0</v>
      </c>
      <c r="G102" s="2">
        <v>1.68</v>
      </c>
      <c r="H102" s="13">
        <v>44407.0</v>
      </c>
      <c r="I102" s="2">
        <v>28.207249</v>
      </c>
      <c r="J102" s="2">
        <v>4.111</v>
      </c>
      <c r="K102" s="2"/>
      <c r="L102" s="2"/>
    </row>
    <row r="103" ht="11.25" customHeight="1">
      <c r="A103" s="2" t="s">
        <v>131</v>
      </c>
      <c r="B103" s="2" t="s">
        <v>5322</v>
      </c>
      <c r="C103" s="26" t="s">
        <v>5323</v>
      </c>
      <c r="D103" s="2" t="s">
        <v>5324</v>
      </c>
      <c r="E103" s="70">
        <v>2.80374272E10</v>
      </c>
      <c r="F103" s="6">
        <v>1493265.0</v>
      </c>
      <c r="G103" s="2">
        <v>0.0</v>
      </c>
      <c r="H103" s="13">
        <v>44406.0</v>
      </c>
      <c r="I103" s="2">
        <v>33.46624</v>
      </c>
      <c r="J103" s="2">
        <v>2.491</v>
      </c>
      <c r="K103" s="2"/>
      <c r="L103" s="2"/>
    </row>
    <row r="104" ht="11.25" customHeight="1">
      <c r="A104" s="2" t="s">
        <v>132</v>
      </c>
      <c r="B104" s="2" t="s">
        <v>5325</v>
      </c>
      <c r="C104" s="26" t="s">
        <v>5326</v>
      </c>
      <c r="D104" s="2" t="s">
        <v>5327</v>
      </c>
      <c r="E104" s="70">
        <v>8.7462289408E10</v>
      </c>
      <c r="F104" s="6">
        <v>1558623.0</v>
      </c>
      <c r="G104" s="2">
        <v>5.19</v>
      </c>
      <c r="H104" s="13">
        <v>44404.0</v>
      </c>
      <c r="I104" s="2">
        <v>97.19331</v>
      </c>
      <c r="J104" s="2">
        <v>2.095</v>
      </c>
      <c r="K104" s="2"/>
      <c r="L104" s="2"/>
    </row>
    <row r="105" ht="11.25" customHeight="1">
      <c r="A105" s="2" t="s">
        <v>133</v>
      </c>
      <c r="B105" s="2" t="s">
        <v>5328</v>
      </c>
      <c r="C105" s="26" t="s">
        <v>5329</v>
      </c>
      <c r="D105" s="2" t="s">
        <v>5330</v>
      </c>
      <c r="E105" s="70">
        <v>2.5394061312E10</v>
      </c>
      <c r="F105" s="6">
        <v>2.6665892E7</v>
      </c>
      <c r="G105" s="2">
        <v>0.5</v>
      </c>
      <c r="H105" s="2" t="s">
        <v>733</v>
      </c>
      <c r="I105" s="2" t="s">
        <v>5024</v>
      </c>
      <c r="J105" s="2">
        <v>-9.307</v>
      </c>
      <c r="K105" s="2"/>
      <c r="L105" s="2"/>
    </row>
    <row r="106" ht="11.25" customHeight="1">
      <c r="A106" s="2" t="s">
        <v>134</v>
      </c>
      <c r="B106" s="2" t="s">
        <v>5331</v>
      </c>
      <c r="C106" s="26" t="s">
        <v>5332</v>
      </c>
      <c r="D106" s="2" t="s">
        <v>5333</v>
      </c>
      <c r="E106" s="70">
        <v>3.8275350528E10</v>
      </c>
      <c r="F106" s="6">
        <v>1564898.0</v>
      </c>
      <c r="G106" s="2">
        <v>0.0</v>
      </c>
      <c r="H106" s="13">
        <v>44396.0</v>
      </c>
      <c r="I106" s="2">
        <v>58.89316</v>
      </c>
      <c r="J106" s="2">
        <v>2.34</v>
      </c>
      <c r="K106" s="2"/>
      <c r="L106" s="2"/>
    </row>
    <row r="107" ht="11.25" customHeight="1">
      <c r="A107" s="2" t="s">
        <v>135</v>
      </c>
      <c r="B107" s="2" t="s">
        <v>5334</v>
      </c>
      <c r="C107" s="26" t="s">
        <v>5335</v>
      </c>
      <c r="D107" s="2" t="s">
        <v>5336</v>
      </c>
      <c r="E107" s="70">
        <v>2.4586174464E10</v>
      </c>
      <c r="F107" s="6">
        <v>788760.0</v>
      </c>
      <c r="G107" s="2">
        <v>1.58</v>
      </c>
      <c r="H107" s="13">
        <v>44411.0</v>
      </c>
      <c r="I107" s="2">
        <v>29.526867</v>
      </c>
      <c r="J107" s="2">
        <v>5.918</v>
      </c>
      <c r="K107" s="2"/>
      <c r="L107" s="2"/>
    </row>
    <row r="108" ht="11.25" customHeight="1">
      <c r="A108" s="2" t="s">
        <v>136</v>
      </c>
      <c r="B108" s="2" t="s">
        <v>5337</v>
      </c>
      <c r="C108" s="26" t="s">
        <v>5338</v>
      </c>
      <c r="D108" s="2" t="s">
        <v>5339</v>
      </c>
      <c r="E108" s="70">
        <v>1.7583136768E10</v>
      </c>
      <c r="F108" s="6">
        <v>741261.0</v>
      </c>
      <c r="G108" s="2">
        <v>2.6</v>
      </c>
      <c r="H108" s="13">
        <v>44399.0</v>
      </c>
      <c r="I108" s="2">
        <v>8.526511</v>
      </c>
      <c r="J108" s="2">
        <v>17.842</v>
      </c>
      <c r="K108" s="2"/>
      <c r="L108" s="2"/>
    </row>
    <row r="109" ht="11.25" customHeight="1">
      <c r="A109" s="2" t="s">
        <v>137</v>
      </c>
      <c r="B109" s="2" t="s">
        <v>5340</v>
      </c>
      <c r="C109" s="26" t="s">
        <v>5341</v>
      </c>
      <c r="D109" s="2" t="s">
        <v>5342</v>
      </c>
      <c r="E109" s="70">
        <v>2.3954700288E10</v>
      </c>
      <c r="F109" s="6">
        <v>2847601.0</v>
      </c>
      <c r="G109" s="2">
        <v>0.84</v>
      </c>
      <c r="H109" s="13">
        <v>44404.0</v>
      </c>
      <c r="I109" s="2">
        <v>29.730091</v>
      </c>
      <c r="J109" s="2">
        <v>2.612</v>
      </c>
      <c r="K109" s="2"/>
      <c r="L109" s="2"/>
    </row>
    <row r="110" ht="11.25" customHeight="1">
      <c r="A110" s="2" t="s">
        <v>138</v>
      </c>
      <c r="B110" s="2" t="s">
        <v>5343</v>
      </c>
      <c r="C110" s="26" t="s">
        <v>5344</v>
      </c>
      <c r="D110" s="2" t="s">
        <v>5345</v>
      </c>
      <c r="E110" s="70">
        <v>1.0513380352E10</v>
      </c>
      <c r="F110" s="6">
        <v>2006557.0</v>
      </c>
      <c r="G110" s="2">
        <v>1.2</v>
      </c>
      <c r="H110" s="2" t="s">
        <v>733</v>
      </c>
      <c r="I110" s="2">
        <v>25.257788</v>
      </c>
      <c r="J110" s="2">
        <v>1.862</v>
      </c>
      <c r="K110" s="2"/>
      <c r="L110" s="2"/>
    </row>
    <row r="111" ht="11.25" customHeight="1">
      <c r="A111" s="2" t="s">
        <v>139</v>
      </c>
      <c r="B111" s="2" t="s">
        <v>5346</v>
      </c>
      <c r="C111" s="26" t="s">
        <v>5347</v>
      </c>
      <c r="D111" s="2" t="s">
        <v>5348</v>
      </c>
      <c r="E111" s="70">
        <v>1.912851456E10</v>
      </c>
      <c r="F111" s="6">
        <v>4200631.0</v>
      </c>
      <c r="G111" s="2">
        <v>1.56</v>
      </c>
      <c r="H111" s="13">
        <v>44397.0</v>
      </c>
      <c r="I111" s="2">
        <v>12.050814</v>
      </c>
      <c r="J111" s="2">
        <v>3.562</v>
      </c>
      <c r="K111" s="2"/>
      <c r="L111" s="2"/>
    </row>
    <row r="112" ht="11.25" customHeight="1">
      <c r="A112" s="2" t="s">
        <v>140</v>
      </c>
      <c r="B112" s="2" t="s">
        <v>5349</v>
      </c>
      <c r="C112" s="26" t="s">
        <v>5350</v>
      </c>
      <c r="D112" s="2" t="s">
        <v>5351</v>
      </c>
      <c r="E112" s="70">
        <v>2.1179445248E10</v>
      </c>
      <c r="F112" s="6">
        <v>1392114.0</v>
      </c>
      <c r="G112" s="2">
        <v>0.9855</v>
      </c>
      <c r="H112" s="13">
        <v>44407.0</v>
      </c>
      <c r="I112" s="2">
        <v>28.428572</v>
      </c>
      <c r="J112" s="2">
        <v>3.08</v>
      </c>
      <c r="K112" s="2"/>
      <c r="L112" s="2"/>
    </row>
    <row r="113" ht="11.25" customHeight="1">
      <c r="A113" s="2" t="s">
        <v>141</v>
      </c>
      <c r="B113" s="2" t="s">
        <v>5352</v>
      </c>
      <c r="C113" s="26" t="s">
        <v>5353</v>
      </c>
      <c r="D113" s="2" t="s">
        <v>5354</v>
      </c>
      <c r="E113" s="70">
        <v>1.637930496E10</v>
      </c>
      <c r="F113" s="6">
        <v>1047607.0</v>
      </c>
      <c r="G113" s="2">
        <v>0.0</v>
      </c>
      <c r="H113" s="13">
        <v>44403.0</v>
      </c>
      <c r="I113" s="2">
        <v>20.212416</v>
      </c>
      <c r="J113" s="2">
        <v>6.073</v>
      </c>
      <c r="K113" s="2"/>
      <c r="L113" s="2"/>
    </row>
    <row r="114" ht="11.25" customHeight="1">
      <c r="A114" s="2" t="s">
        <v>142</v>
      </c>
      <c r="B114" s="2" t="s">
        <v>5355</v>
      </c>
      <c r="C114" s="26" t="s">
        <v>5356</v>
      </c>
      <c r="D114" s="2" t="s">
        <v>5357</v>
      </c>
      <c r="E114" s="70">
        <v>1.2492987392E10</v>
      </c>
      <c r="F114" s="6">
        <v>1069447.0</v>
      </c>
      <c r="G114" s="2">
        <v>2.04</v>
      </c>
      <c r="H114" s="13">
        <v>44403.0</v>
      </c>
      <c r="I114" s="2">
        <v>21.115376</v>
      </c>
      <c r="J114" s="2">
        <v>4.429</v>
      </c>
      <c r="K114" s="2"/>
      <c r="L114" s="2"/>
    </row>
    <row r="115" ht="11.25" customHeight="1">
      <c r="A115" s="2" t="s">
        <v>143</v>
      </c>
      <c r="B115" s="2" t="s">
        <v>5358</v>
      </c>
      <c r="C115" s="26" t="s">
        <v>5359</v>
      </c>
      <c r="D115" s="2" t="s">
        <v>5360</v>
      </c>
      <c r="E115" s="70">
        <v>1.32996325376E11</v>
      </c>
      <c r="F115" s="6">
        <v>857368.0</v>
      </c>
      <c r="G115" s="2">
        <v>0.0</v>
      </c>
      <c r="H115" s="13">
        <v>44407.0</v>
      </c>
      <c r="I115" s="2">
        <v>40.04804</v>
      </c>
      <c r="J115" s="2">
        <v>17.693</v>
      </c>
      <c r="K115" s="2"/>
      <c r="L115" s="2"/>
    </row>
    <row r="116" ht="11.25" customHeight="1">
      <c r="A116" s="2" t="s">
        <v>144</v>
      </c>
      <c r="B116" s="2" t="s">
        <v>5361</v>
      </c>
      <c r="C116" s="26" t="s">
        <v>5362</v>
      </c>
      <c r="D116" s="2" t="s">
        <v>5363</v>
      </c>
      <c r="E116" s="70">
        <v>3.2174045184E10</v>
      </c>
      <c r="F116" s="6">
        <v>3660447.0</v>
      </c>
      <c r="G116" s="2">
        <v>0.0</v>
      </c>
      <c r="H116" s="2" t="s">
        <v>733</v>
      </c>
      <c r="I116" s="2" t="s">
        <v>5024</v>
      </c>
      <c r="J116" s="2">
        <v>-0.014</v>
      </c>
      <c r="K116" s="2"/>
      <c r="L116" s="2"/>
    </row>
    <row r="117" ht="11.25" customHeight="1">
      <c r="A117" s="2" t="s">
        <v>145</v>
      </c>
      <c r="B117" s="2" t="s">
        <v>5364</v>
      </c>
      <c r="C117" s="26" t="s">
        <v>5365</v>
      </c>
      <c r="D117" s="2" t="s">
        <v>5366</v>
      </c>
      <c r="E117" s="70">
        <v>8.057266176E10</v>
      </c>
      <c r="F117" s="6">
        <v>1681526.0</v>
      </c>
      <c r="G117" s="2">
        <v>2.0</v>
      </c>
      <c r="H117" s="13">
        <v>44413.0</v>
      </c>
      <c r="I117" s="2">
        <v>10.055014</v>
      </c>
      <c r="J117" s="2">
        <v>23.267</v>
      </c>
      <c r="K117" s="2"/>
      <c r="L117" s="2"/>
    </row>
    <row r="118" ht="11.25" customHeight="1">
      <c r="A118" s="2" t="s">
        <v>146</v>
      </c>
      <c r="B118" s="2" t="s">
        <v>5367</v>
      </c>
      <c r="C118" s="26" t="s">
        <v>5368</v>
      </c>
      <c r="D118" s="2" t="s">
        <v>5369</v>
      </c>
      <c r="E118" s="70">
        <v>1.9088381952E10</v>
      </c>
      <c r="F118" s="6">
        <v>609253.0</v>
      </c>
      <c r="G118" s="2">
        <v>2.46</v>
      </c>
      <c r="H118" s="13">
        <v>44403.0</v>
      </c>
      <c r="I118" s="2">
        <v>6.2798347</v>
      </c>
      <c r="J118" s="2">
        <v>18.854</v>
      </c>
      <c r="K118" s="2"/>
      <c r="L118" s="2"/>
    </row>
    <row r="119" ht="11.25" customHeight="1">
      <c r="A119" s="2" t="s">
        <v>147</v>
      </c>
      <c r="B119" s="2" t="s">
        <v>5370</v>
      </c>
      <c r="C119" s="26" t="s">
        <v>5371</v>
      </c>
      <c r="D119" s="2" t="s">
        <v>5372</v>
      </c>
      <c r="E119" s="70">
        <v>7.0739935232E10</v>
      </c>
      <c r="F119" s="6">
        <v>3981179.0</v>
      </c>
      <c r="G119" s="2">
        <v>2.22</v>
      </c>
      <c r="H119" s="13">
        <v>44407.0</v>
      </c>
      <c r="I119" s="2">
        <v>27.130226</v>
      </c>
      <c r="J119" s="2">
        <v>3.11</v>
      </c>
      <c r="K119" s="2"/>
      <c r="L119" s="2"/>
    </row>
    <row r="120" ht="11.25" customHeight="1">
      <c r="A120" s="2" t="s">
        <v>148</v>
      </c>
      <c r="B120" s="2" t="s">
        <v>5373</v>
      </c>
      <c r="C120" s="26" t="s">
        <v>5374</v>
      </c>
      <c r="D120" s="2" t="s">
        <v>5375</v>
      </c>
      <c r="E120" s="70">
        <v>2.2564810752E10</v>
      </c>
      <c r="F120" s="6">
        <v>1354901.0</v>
      </c>
      <c r="G120" s="2">
        <v>5.6</v>
      </c>
      <c r="H120" s="13">
        <v>44411.0</v>
      </c>
      <c r="I120" s="2">
        <v>25.939976</v>
      </c>
      <c r="J120" s="2">
        <v>7.197</v>
      </c>
      <c r="K120" s="2"/>
      <c r="L120" s="2"/>
    </row>
    <row r="121" ht="11.25" customHeight="1">
      <c r="A121" s="2" t="s">
        <v>149</v>
      </c>
      <c r="B121" s="2" t="s">
        <v>5376</v>
      </c>
      <c r="C121" s="26" t="s">
        <v>5377</v>
      </c>
      <c r="D121" s="2" t="s">
        <v>5378</v>
      </c>
      <c r="E121" s="70">
        <v>9.624920064E9</v>
      </c>
      <c r="F121" s="6">
        <v>1481690.0</v>
      </c>
      <c r="G121" s="2">
        <v>2.72</v>
      </c>
      <c r="H121" s="13">
        <v>44398.0</v>
      </c>
      <c r="I121" s="2">
        <v>10.845277</v>
      </c>
      <c r="J121" s="2">
        <v>6.14</v>
      </c>
      <c r="K121" s="2"/>
      <c r="L121" s="2"/>
    </row>
    <row r="122" ht="11.25" customHeight="1">
      <c r="A122" s="2" t="s">
        <v>150</v>
      </c>
      <c r="B122" s="2" t="s">
        <v>5379</v>
      </c>
      <c r="C122" s="26" t="s">
        <v>5380</v>
      </c>
      <c r="D122" s="2" t="s">
        <v>5381</v>
      </c>
      <c r="E122" s="70">
        <v>2.66239115264E11</v>
      </c>
      <c r="F122" s="6">
        <v>1.6064407E7</v>
      </c>
      <c r="G122" s="2">
        <v>0.96</v>
      </c>
      <c r="H122" s="13">
        <v>44406.0</v>
      </c>
      <c r="I122" s="2">
        <v>22.774704</v>
      </c>
      <c r="J122" s="2">
        <v>2.53</v>
      </c>
      <c r="K122" s="2"/>
      <c r="L122" s="2"/>
    </row>
    <row r="123" ht="11.25" customHeight="1">
      <c r="A123" s="2" t="s">
        <v>151</v>
      </c>
      <c r="B123" s="2" t="s">
        <v>5382</v>
      </c>
      <c r="C123" s="26" t="s">
        <v>5383</v>
      </c>
      <c r="D123" s="2" t="s">
        <v>5384</v>
      </c>
      <c r="E123" s="70">
        <v>7.5561189376E10</v>
      </c>
      <c r="F123" s="6">
        <v>1222834.0</v>
      </c>
      <c r="G123" s="2">
        <v>5.99999999999999</v>
      </c>
      <c r="H123" s="13">
        <v>44405.0</v>
      </c>
      <c r="I123" s="2">
        <v>39.307693</v>
      </c>
      <c r="J123" s="2">
        <v>5.33</v>
      </c>
      <c r="K123" s="2"/>
      <c r="L123" s="2"/>
    </row>
    <row r="124" ht="11.25" customHeight="1">
      <c r="A124" s="2" t="s">
        <v>152</v>
      </c>
      <c r="B124" s="2" t="s">
        <v>5385</v>
      </c>
      <c r="C124" s="26" t="s">
        <v>5386</v>
      </c>
      <c r="D124" s="2" t="s">
        <v>5387</v>
      </c>
      <c r="E124" s="70">
        <v>4.4589830144E10</v>
      </c>
      <c r="F124" s="6">
        <v>285944.0</v>
      </c>
      <c r="G124" s="2">
        <v>0.0</v>
      </c>
      <c r="H124" s="13">
        <v>44397.0</v>
      </c>
      <c r="I124" s="2">
        <v>109.73585</v>
      </c>
      <c r="J124" s="2">
        <v>14.272</v>
      </c>
      <c r="K124" s="2"/>
      <c r="L124" s="2"/>
    </row>
    <row r="125" ht="11.25" customHeight="1">
      <c r="A125" s="2" t="s">
        <v>153</v>
      </c>
      <c r="B125" s="2" t="s">
        <v>5388</v>
      </c>
      <c r="C125" s="26" t="s">
        <v>5389</v>
      </c>
      <c r="D125" s="2" t="s">
        <v>5390</v>
      </c>
      <c r="E125" s="70">
        <v>3.5123810304E10</v>
      </c>
      <c r="F125" s="6">
        <v>1011887.0</v>
      </c>
      <c r="G125" s="2">
        <v>5.361</v>
      </c>
      <c r="H125" s="13">
        <v>44411.0</v>
      </c>
      <c r="I125" s="2">
        <v>18.867367</v>
      </c>
      <c r="J125" s="2">
        <v>12.665</v>
      </c>
      <c r="K125" s="2"/>
      <c r="L125" s="2"/>
    </row>
    <row r="126" ht="11.25" customHeight="1">
      <c r="A126" s="2" t="s">
        <v>154</v>
      </c>
      <c r="B126" s="2" t="s">
        <v>5391</v>
      </c>
      <c r="C126" s="26" t="s">
        <v>5392</v>
      </c>
      <c r="D126" s="2" t="s">
        <v>5393</v>
      </c>
      <c r="E126" s="70">
        <v>1.7822052352E10</v>
      </c>
      <c r="F126" s="6">
        <v>2436031.0</v>
      </c>
      <c r="G126" s="2">
        <v>1.686</v>
      </c>
      <c r="H126" s="13">
        <v>44410.0</v>
      </c>
      <c r="I126" s="2">
        <v>20.70549</v>
      </c>
      <c r="J126" s="2">
        <v>3.005</v>
      </c>
      <c r="K126" s="2"/>
      <c r="L126" s="2"/>
    </row>
    <row r="127" ht="11.25" customHeight="1">
      <c r="A127" s="2" t="s">
        <v>155</v>
      </c>
      <c r="B127" s="2" t="s">
        <v>5394</v>
      </c>
      <c r="C127" s="26" t="s">
        <v>5395</v>
      </c>
      <c r="D127" s="2" t="s">
        <v>5396</v>
      </c>
      <c r="E127" s="70">
        <v>4.2743611392E10</v>
      </c>
      <c r="F127" s="6">
        <v>4282541.0</v>
      </c>
      <c r="G127" s="2">
        <v>0.0</v>
      </c>
      <c r="H127" s="13">
        <v>44404.0</v>
      </c>
      <c r="I127" s="2">
        <v>17.388346</v>
      </c>
      <c r="J127" s="2">
        <v>4.187</v>
      </c>
      <c r="K127" s="2"/>
      <c r="L127" s="2"/>
    </row>
    <row r="128" ht="11.25" customHeight="1">
      <c r="A128" s="2" t="s">
        <v>156</v>
      </c>
      <c r="B128" s="2" t="s">
        <v>5397</v>
      </c>
      <c r="C128" s="26" t="s">
        <v>5398</v>
      </c>
      <c r="D128" s="2" t="s">
        <v>5399</v>
      </c>
      <c r="E128" s="70">
        <v>1.4692353024E10</v>
      </c>
      <c r="F128" s="6">
        <v>6114892.0</v>
      </c>
      <c r="G128" s="2">
        <v>0.62</v>
      </c>
      <c r="H128" s="13">
        <v>44413.0</v>
      </c>
      <c r="I128" s="2">
        <v>23.627993</v>
      </c>
      <c r="J128" s="2">
        <v>1.086</v>
      </c>
      <c r="K128" s="2"/>
      <c r="L128" s="2"/>
    </row>
    <row r="129" ht="11.25" customHeight="1">
      <c r="A129" s="2" t="s">
        <v>157</v>
      </c>
      <c r="B129" s="2" t="s">
        <v>5400</v>
      </c>
      <c r="C129" s="26" t="s">
        <v>5401</v>
      </c>
      <c r="D129" s="2" t="s">
        <v>5402</v>
      </c>
      <c r="E129" s="70">
        <v>7.2436891648E10</v>
      </c>
      <c r="F129" s="6">
        <v>3186438.0</v>
      </c>
      <c r="G129" s="2">
        <v>1.0</v>
      </c>
      <c r="H129" s="13">
        <v>44399.0</v>
      </c>
      <c r="I129" s="2">
        <v>10.288273</v>
      </c>
      <c r="J129" s="2">
        <v>15.298</v>
      </c>
      <c r="K129" s="2"/>
      <c r="L129" s="2"/>
    </row>
    <row r="130" ht="11.25" customHeight="1">
      <c r="A130" s="2" t="s">
        <v>158</v>
      </c>
      <c r="B130" s="2" t="s">
        <v>5403</v>
      </c>
      <c r="C130" s="26" t="s">
        <v>5404</v>
      </c>
      <c r="D130" s="2" t="s">
        <v>5405</v>
      </c>
      <c r="E130" s="70">
        <v>6.594456064E9</v>
      </c>
      <c r="F130" s="6">
        <v>9332071.0</v>
      </c>
      <c r="G130" s="2">
        <v>0.51</v>
      </c>
      <c r="H130" s="13">
        <v>44405.0</v>
      </c>
      <c r="I130" s="2">
        <v>23.764706</v>
      </c>
      <c r="J130" s="2">
        <v>0.68</v>
      </c>
      <c r="K130" s="2"/>
      <c r="L130" s="2"/>
    </row>
    <row r="131" ht="11.25" customHeight="1">
      <c r="A131" s="2" t="s">
        <v>159</v>
      </c>
      <c r="B131" s="2" t="s">
        <v>5406</v>
      </c>
      <c r="C131" s="26" t="s">
        <v>5407</v>
      </c>
      <c r="D131" s="2" t="s">
        <v>5408</v>
      </c>
      <c r="E131" s="70">
        <v>1.9813906432E10</v>
      </c>
      <c r="F131" s="6">
        <v>277617.0</v>
      </c>
      <c r="G131" s="2">
        <v>0.06</v>
      </c>
      <c r="H131" s="2" t="s">
        <v>733</v>
      </c>
      <c r="I131" s="2">
        <v>8.523876</v>
      </c>
      <c r="J131" s="2">
        <v>47.496</v>
      </c>
      <c r="K131" s="2"/>
      <c r="L131" s="2"/>
    </row>
    <row r="132" ht="11.25" customHeight="1">
      <c r="A132" s="2" t="s">
        <v>160</v>
      </c>
      <c r="B132" s="2" t="s">
        <v>5409</v>
      </c>
      <c r="C132" s="26" t="s">
        <v>5410</v>
      </c>
      <c r="D132" s="2" t="s">
        <v>5411</v>
      </c>
      <c r="E132" s="70">
        <v>7.6997910528E10</v>
      </c>
      <c r="F132" s="6">
        <v>8496590.0</v>
      </c>
      <c r="G132" s="2">
        <v>2.14</v>
      </c>
      <c r="H132" s="13">
        <v>44411.0</v>
      </c>
      <c r="I132" s="2">
        <v>9234.983</v>
      </c>
      <c r="J132" s="2">
        <v>0.006</v>
      </c>
      <c r="K132" s="2"/>
      <c r="L132" s="2"/>
    </row>
    <row r="133" ht="11.25" customHeight="1">
      <c r="A133" s="2" t="s">
        <v>161</v>
      </c>
      <c r="B133" s="2" t="s">
        <v>5412</v>
      </c>
      <c r="C133" s="26" t="s">
        <v>5413</v>
      </c>
      <c r="D133" s="2" t="s">
        <v>5414</v>
      </c>
      <c r="E133" s="70">
        <v>1.82052847616E11</v>
      </c>
      <c r="F133" s="6">
        <v>1947617.0</v>
      </c>
      <c r="G133" s="2">
        <v>12.8899999999999</v>
      </c>
      <c r="H133" s="2" t="s">
        <v>733</v>
      </c>
      <c r="I133" s="2">
        <v>38.711346</v>
      </c>
      <c r="J133" s="2">
        <v>10.639</v>
      </c>
      <c r="K133" s="2"/>
      <c r="L133" s="2"/>
    </row>
    <row r="134" ht="11.25" customHeight="1">
      <c r="A134" s="2" t="s">
        <v>162</v>
      </c>
      <c r="B134" s="2" t="s">
        <v>5415</v>
      </c>
      <c r="C134" s="26" t="s">
        <v>5416</v>
      </c>
      <c r="D134" s="2" t="s">
        <v>5417</v>
      </c>
      <c r="E134" s="70">
        <v>1.364335616E10</v>
      </c>
      <c r="F134" s="6">
        <v>2445858.0</v>
      </c>
      <c r="G134" s="2">
        <v>1.46</v>
      </c>
      <c r="H134" s="2" t="s">
        <v>733</v>
      </c>
      <c r="I134" s="2">
        <v>17.268238</v>
      </c>
      <c r="J134" s="2">
        <v>2.632</v>
      </c>
      <c r="K134" s="2"/>
      <c r="L134" s="2"/>
    </row>
    <row r="135" ht="11.25" customHeight="1">
      <c r="A135" s="2" t="s">
        <v>163</v>
      </c>
      <c r="B135" s="2" t="s">
        <v>5418</v>
      </c>
      <c r="C135" s="26" t="s">
        <v>5419</v>
      </c>
      <c r="D135" s="2" t="s">
        <v>5420</v>
      </c>
      <c r="E135" s="70">
        <v>3.3000265728E10</v>
      </c>
      <c r="F135" s="6">
        <v>946385.0</v>
      </c>
      <c r="G135" s="2">
        <v>0.0</v>
      </c>
      <c r="H135" s="2" t="s">
        <v>733</v>
      </c>
      <c r="I135" s="2">
        <v>39.894917</v>
      </c>
      <c r="J135" s="2">
        <v>3.521</v>
      </c>
      <c r="K135" s="2"/>
      <c r="L135" s="2"/>
    </row>
    <row r="136" ht="11.25" customHeight="1">
      <c r="A136" s="2" t="s">
        <v>164</v>
      </c>
      <c r="B136" s="2" t="s">
        <v>5421</v>
      </c>
      <c r="C136" s="26" t="s">
        <v>5422</v>
      </c>
      <c r="D136" s="2" t="s">
        <v>5423</v>
      </c>
      <c r="E136" s="70">
        <v>1.9174961152E10</v>
      </c>
      <c r="F136" s="6">
        <v>622604.0</v>
      </c>
      <c r="G136" s="2">
        <v>0.0</v>
      </c>
      <c r="H136" s="13">
        <v>44411.0</v>
      </c>
      <c r="I136" s="2">
        <v>52.246063</v>
      </c>
      <c r="J136" s="2">
        <v>7.364</v>
      </c>
      <c r="K136" s="2"/>
      <c r="L136" s="2"/>
    </row>
    <row r="137" ht="11.25" customHeight="1">
      <c r="A137" s="2" t="s">
        <v>165</v>
      </c>
      <c r="B137" s="2" t="s">
        <v>5424</v>
      </c>
      <c r="C137" s="26" t="s">
        <v>5425</v>
      </c>
      <c r="D137" s="2" t="s">
        <v>5426</v>
      </c>
      <c r="E137" s="70">
        <v>2.20008333312E11</v>
      </c>
      <c r="F137" s="6">
        <v>5656560.0</v>
      </c>
      <c r="G137" s="2">
        <v>0.0</v>
      </c>
      <c r="H137" s="2" t="s">
        <v>733</v>
      </c>
      <c r="I137" s="2">
        <v>50.210835</v>
      </c>
      <c r="J137" s="2">
        <v>4.743</v>
      </c>
      <c r="K137" s="2"/>
      <c r="L137" s="2"/>
    </row>
    <row r="138" ht="11.25" customHeight="1">
      <c r="A138" s="2" t="s">
        <v>166</v>
      </c>
      <c r="B138" s="2" t="s">
        <v>5427</v>
      </c>
      <c r="C138" s="26" t="s">
        <v>5428</v>
      </c>
      <c r="D138" s="2" t="s">
        <v>5429</v>
      </c>
      <c r="E138" s="70">
        <v>2.79051264E9</v>
      </c>
      <c r="F138" s="6">
        <v>2920122.0</v>
      </c>
      <c r="G138" s="2">
        <v>0.0</v>
      </c>
      <c r="H138" s="2" t="s">
        <v>733</v>
      </c>
      <c r="I138" s="2">
        <v>18.463474</v>
      </c>
      <c r="J138" s="2">
        <v>1.588</v>
      </c>
      <c r="K138" s="2"/>
      <c r="L138" s="2"/>
    </row>
    <row r="139" ht="11.25" customHeight="1">
      <c r="A139" s="2" t="s">
        <v>167</v>
      </c>
      <c r="B139" s="2" t="s">
        <v>5430</v>
      </c>
      <c r="C139" s="26" t="s">
        <v>5431</v>
      </c>
      <c r="D139" s="2" t="s">
        <v>5432</v>
      </c>
      <c r="E139" s="70">
        <v>5.629468672E10</v>
      </c>
      <c r="F139" s="6">
        <v>3623966.0</v>
      </c>
      <c r="G139" s="2">
        <v>0.0</v>
      </c>
      <c r="H139" s="2" t="s">
        <v>733</v>
      </c>
      <c r="I139" s="2" t="s">
        <v>5024</v>
      </c>
      <c r="J139" s="2">
        <v>-0.719</v>
      </c>
      <c r="K139" s="2"/>
      <c r="L139" s="2"/>
    </row>
    <row r="140" ht="11.25" customHeight="1">
      <c r="A140" s="2" t="s">
        <v>168</v>
      </c>
      <c r="B140" s="2" t="s">
        <v>5433</v>
      </c>
      <c r="C140" s="26" t="s">
        <v>5434</v>
      </c>
      <c r="D140" s="2" t="s">
        <v>5435</v>
      </c>
      <c r="E140" s="70">
        <v>2.26091843584E11</v>
      </c>
      <c r="F140" s="6">
        <v>1.8574169E7</v>
      </c>
      <c r="G140" s="2">
        <v>1.46</v>
      </c>
      <c r="H140" s="2" t="s">
        <v>733</v>
      </c>
      <c r="I140" s="2">
        <v>22.230013</v>
      </c>
      <c r="J140" s="2">
        <v>2.419</v>
      </c>
      <c r="K140" s="2"/>
      <c r="L140" s="2"/>
    </row>
    <row r="141" ht="11.25" customHeight="1">
      <c r="A141" s="2" t="s">
        <v>169</v>
      </c>
      <c r="B141" s="2" t="s">
        <v>5436</v>
      </c>
      <c r="C141" s="26" t="s">
        <v>5437</v>
      </c>
      <c r="D141" s="2" t="s">
        <v>5438</v>
      </c>
      <c r="E141" s="70">
        <v>3.4489675776E10</v>
      </c>
      <c r="F141" s="6">
        <v>2248771.0</v>
      </c>
      <c r="G141" s="2">
        <v>0.0</v>
      </c>
      <c r="H141" s="13">
        <v>44404.0</v>
      </c>
      <c r="I141" s="2">
        <v>149.62457</v>
      </c>
      <c r="J141" s="2">
        <v>0.586</v>
      </c>
      <c r="K141" s="2"/>
      <c r="L141" s="2"/>
    </row>
    <row r="142" ht="11.25" customHeight="1">
      <c r="A142" s="2" t="s">
        <v>170</v>
      </c>
      <c r="B142" s="2" t="s">
        <v>5439</v>
      </c>
      <c r="C142" s="26" t="s">
        <v>5440</v>
      </c>
      <c r="D142" s="2" t="s">
        <v>5441</v>
      </c>
      <c r="E142" s="70">
        <v>7.2278679552E10</v>
      </c>
      <c r="F142" s="6">
        <v>1.1562688E7</v>
      </c>
      <c r="G142" s="2">
        <v>0.4533</v>
      </c>
      <c r="H142" s="13">
        <v>44397.0</v>
      </c>
      <c r="I142" s="2">
        <v>26.760204</v>
      </c>
      <c r="J142" s="2">
        <v>1.176</v>
      </c>
      <c r="K142" s="2"/>
      <c r="L142" s="2"/>
    </row>
    <row r="143" ht="11.25" customHeight="1">
      <c r="A143" s="2" t="s">
        <v>171</v>
      </c>
      <c r="B143" s="2" t="s">
        <v>5442</v>
      </c>
      <c r="C143" s="26" t="s">
        <v>5443</v>
      </c>
      <c r="D143" s="2" t="s">
        <v>5444</v>
      </c>
      <c r="E143" s="70">
        <v>3.87803136E10</v>
      </c>
      <c r="F143" s="6">
        <v>404765.0</v>
      </c>
      <c r="G143" s="2">
        <v>5.01</v>
      </c>
      <c r="H143" s="2" t="s">
        <v>733</v>
      </c>
      <c r="I143" s="2">
        <v>42.42174</v>
      </c>
      <c r="J143" s="2">
        <v>9.136</v>
      </c>
      <c r="K143" s="2"/>
      <c r="L143" s="2"/>
    </row>
    <row r="144" ht="11.25" customHeight="1">
      <c r="A144" s="2" t="s">
        <v>172</v>
      </c>
      <c r="B144" s="2" t="s">
        <v>5445</v>
      </c>
      <c r="C144" s="26" t="s">
        <v>5446</v>
      </c>
      <c r="D144" s="2" t="s">
        <v>5447</v>
      </c>
      <c r="E144" s="70">
        <v>1.8672889856E10</v>
      </c>
      <c r="F144" s="6">
        <v>928277.0</v>
      </c>
      <c r="G144" s="2">
        <v>0.0</v>
      </c>
      <c r="H144" s="2" t="s">
        <v>733</v>
      </c>
      <c r="I144" s="2">
        <v>37.10125</v>
      </c>
      <c r="J144" s="2">
        <v>2.953</v>
      </c>
      <c r="K144" s="2"/>
      <c r="L144" s="2"/>
    </row>
    <row r="145" ht="11.25" customHeight="1">
      <c r="A145" s="2" t="s">
        <v>173</v>
      </c>
      <c r="B145" s="2" t="s">
        <v>5448</v>
      </c>
      <c r="C145" s="26" t="s">
        <v>5449</v>
      </c>
      <c r="D145" s="2" t="s">
        <v>5450</v>
      </c>
      <c r="E145" s="70">
        <v>3.6301770752E10</v>
      </c>
      <c r="F145" s="6">
        <v>4008746.0</v>
      </c>
      <c r="G145" s="2">
        <v>0.919999999999999</v>
      </c>
      <c r="H145" s="13">
        <v>44404.0</v>
      </c>
      <c r="I145" s="2">
        <v>24.047787</v>
      </c>
      <c r="J145" s="2">
        <v>2.846</v>
      </c>
      <c r="K145" s="2"/>
      <c r="L145" s="2"/>
    </row>
    <row r="146" ht="11.25" customHeight="1">
      <c r="A146" s="2" t="s">
        <v>174</v>
      </c>
      <c r="B146" s="2" t="s">
        <v>5451</v>
      </c>
      <c r="C146" s="26" t="s">
        <v>5452</v>
      </c>
      <c r="D146" s="2" t="s">
        <v>5453</v>
      </c>
      <c r="E146" s="70">
        <v>3.128993792E10</v>
      </c>
      <c r="F146" s="6">
        <v>3185611.0</v>
      </c>
      <c r="G146" s="2">
        <v>0.52</v>
      </c>
      <c r="H146" s="13">
        <v>44413.0</v>
      </c>
      <c r="I146" s="2">
        <v>31.118568</v>
      </c>
      <c r="J146" s="2">
        <v>1.341</v>
      </c>
      <c r="K146" s="2"/>
      <c r="L146" s="2"/>
    </row>
    <row r="147" ht="11.25" customHeight="1">
      <c r="A147" s="2" t="s">
        <v>175</v>
      </c>
      <c r="B147" s="2" t="s">
        <v>5454</v>
      </c>
      <c r="C147" s="26" t="s">
        <v>5455</v>
      </c>
      <c r="D147" s="2" t="s">
        <v>5456</v>
      </c>
      <c r="E147" s="70">
        <v>1.4277962752E10</v>
      </c>
      <c r="F147" s="6">
        <v>1162676.0</v>
      </c>
      <c r="G147" s="2">
        <v>1.44</v>
      </c>
      <c r="H147" s="13">
        <v>44398.0</v>
      </c>
      <c r="I147" s="2">
        <v>35.481266</v>
      </c>
      <c r="J147" s="2">
        <v>3.283</v>
      </c>
      <c r="K147" s="2"/>
      <c r="L147" s="2"/>
    </row>
    <row r="148" ht="11.25" customHeight="1">
      <c r="A148" s="2" t="s">
        <v>176</v>
      </c>
      <c r="B148" s="2" t="s">
        <v>5457</v>
      </c>
      <c r="C148" s="26" t="s">
        <v>5458</v>
      </c>
      <c r="D148" s="2" t="s">
        <v>5459</v>
      </c>
      <c r="E148" s="70">
        <v>1.07985068032E11</v>
      </c>
      <c r="F148" s="6">
        <v>6675696.0</v>
      </c>
      <c r="G148" s="2">
        <v>2.5</v>
      </c>
      <c r="H148" s="13">
        <v>44411.0</v>
      </c>
      <c r="I148" s="2">
        <v>14.525396</v>
      </c>
      <c r="J148" s="2">
        <v>5.615</v>
      </c>
      <c r="K148" s="2"/>
      <c r="L148" s="2"/>
    </row>
    <row r="149" ht="11.25" customHeight="1">
      <c r="A149" s="2" t="s">
        <v>177</v>
      </c>
      <c r="B149" s="2" t="s">
        <v>5460</v>
      </c>
      <c r="C149" s="26" t="s">
        <v>5461</v>
      </c>
      <c r="D149" s="2" t="s">
        <v>5462</v>
      </c>
      <c r="E149" s="70">
        <v>1.95216080896E11</v>
      </c>
      <c r="F149" s="6">
        <v>9759031.0</v>
      </c>
      <c r="G149" s="2">
        <v>5.21</v>
      </c>
      <c r="H149" s="13">
        <v>44407.0</v>
      </c>
      <c r="I149" s="2" t="s">
        <v>5024</v>
      </c>
      <c r="J149" s="2">
        <v>-4.124</v>
      </c>
      <c r="K149" s="2"/>
      <c r="L149" s="2"/>
    </row>
    <row r="150" ht="11.25" customHeight="1">
      <c r="A150" s="2" t="s">
        <v>178</v>
      </c>
      <c r="B150" s="2" t="s">
        <v>5463</v>
      </c>
      <c r="C150" s="26" t="s">
        <v>5464</v>
      </c>
      <c r="D150" s="2" t="s">
        <v>5465</v>
      </c>
      <c r="E150" s="70">
        <v>1.9715794944E10</v>
      </c>
      <c r="F150" s="6">
        <v>3401809.0</v>
      </c>
      <c r="G150" s="2">
        <v>0.0</v>
      </c>
      <c r="H150" s="13">
        <v>44411.0</v>
      </c>
      <c r="I150" s="2" t="s">
        <v>5024</v>
      </c>
      <c r="J150" s="2">
        <v>-12.332</v>
      </c>
      <c r="K150" s="2"/>
      <c r="L150" s="2"/>
    </row>
    <row r="151" ht="11.25" customHeight="1">
      <c r="A151" s="2" t="s">
        <v>179</v>
      </c>
      <c r="B151" s="2" t="s">
        <v>5466</v>
      </c>
      <c r="C151" s="26" t="s">
        <v>5467</v>
      </c>
      <c r="D151" s="2" t="s">
        <v>5468</v>
      </c>
      <c r="E151" s="70">
        <v>6.1384544256E10</v>
      </c>
      <c r="F151" s="6">
        <v>3383306.0</v>
      </c>
      <c r="G151" s="2">
        <v>2.83</v>
      </c>
      <c r="H151" s="13">
        <v>44406.0</v>
      </c>
      <c r="I151" s="2">
        <v>80.11904</v>
      </c>
      <c r="J151" s="2">
        <v>0.966</v>
      </c>
      <c r="K151" s="2"/>
      <c r="L151" s="2"/>
    </row>
    <row r="152" ht="11.25" customHeight="1">
      <c r="A152" s="2" t="s">
        <v>180</v>
      </c>
      <c r="B152" s="2" t="s">
        <v>5469</v>
      </c>
      <c r="C152" s="26" t="s">
        <v>5470</v>
      </c>
      <c r="D152" s="2" t="s">
        <v>5471</v>
      </c>
      <c r="E152" s="70">
        <v>2.6468591616E10</v>
      </c>
      <c r="F152" s="6">
        <v>1.1185985E7</v>
      </c>
      <c r="G152" s="2">
        <v>0.403</v>
      </c>
      <c r="H152" s="2" t="s">
        <v>733</v>
      </c>
      <c r="I152" s="2" t="s">
        <v>5024</v>
      </c>
      <c r="J152" s="2">
        <v>-10.48</v>
      </c>
      <c r="K152" s="2"/>
      <c r="L152" s="2"/>
    </row>
    <row r="153" ht="11.25" customHeight="1">
      <c r="A153" s="2" t="s">
        <v>181</v>
      </c>
      <c r="B153" s="2" t="s">
        <v>5472</v>
      </c>
      <c r="C153" s="26" t="s">
        <v>5473</v>
      </c>
      <c r="D153" s="2" t="s">
        <v>5474</v>
      </c>
      <c r="E153" s="70">
        <v>1.0992898048E10</v>
      </c>
      <c r="F153" s="6">
        <v>2045153.0</v>
      </c>
      <c r="G153" s="2">
        <v>0.0</v>
      </c>
      <c r="H153" s="13">
        <v>44411.0</v>
      </c>
      <c r="I153" s="2">
        <v>30.184246</v>
      </c>
      <c r="J153" s="2">
        <v>2.171</v>
      </c>
      <c r="K153" s="2"/>
      <c r="L153" s="2"/>
    </row>
    <row r="154" ht="11.25" customHeight="1">
      <c r="A154" s="2" t="s">
        <v>182</v>
      </c>
      <c r="B154" s="2" t="s">
        <v>5475</v>
      </c>
      <c r="C154" s="26" t="s">
        <v>5476</v>
      </c>
      <c r="D154" s="2" t="s">
        <v>5477</v>
      </c>
      <c r="E154" s="70">
        <v>1.171067392E10</v>
      </c>
      <c r="F154" s="6">
        <v>5489066.0</v>
      </c>
      <c r="G154" s="2">
        <v>0.0</v>
      </c>
      <c r="H154" s="13">
        <v>44412.0</v>
      </c>
      <c r="I154" s="2" t="s">
        <v>5024</v>
      </c>
      <c r="J154" s="2">
        <v>-0.606</v>
      </c>
      <c r="K154" s="2"/>
      <c r="L154" s="2"/>
    </row>
    <row r="155" ht="11.25" customHeight="1">
      <c r="A155" s="2" t="s">
        <v>183</v>
      </c>
      <c r="B155" s="2" t="s">
        <v>5478</v>
      </c>
      <c r="C155" s="26" t="s">
        <v>5479</v>
      </c>
      <c r="D155" s="2" t="s">
        <v>5480</v>
      </c>
      <c r="E155" s="70">
        <v>4.2289328128E10</v>
      </c>
      <c r="F155" s="6">
        <v>2845349.0</v>
      </c>
      <c r="G155" s="2">
        <v>1.5</v>
      </c>
      <c r="H155" s="13">
        <v>44405.0</v>
      </c>
      <c r="I155" s="2">
        <v>17.498278</v>
      </c>
      <c r="J155" s="2">
        <v>4.351</v>
      </c>
      <c r="K155" s="2"/>
      <c r="L155" s="2"/>
    </row>
    <row r="156" ht="11.25" customHeight="1">
      <c r="A156" s="2" t="s">
        <v>184</v>
      </c>
      <c r="B156" s="2" t="s">
        <v>5481</v>
      </c>
      <c r="C156" s="26" t="s">
        <v>5482</v>
      </c>
      <c r="D156" s="2" t="s">
        <v>5483</v>
      </c>
      <c r="E156" s="70">
        <v>3.41386496E9</v>
      </c>
      <c r="F156" s="6">
        <v>6430676.0</v>
      </c>
      <c r="G156" s="2">
        <v>0.0</v>
      </c>
      <c r="H156" s="13">
        <v>44411.0</v>
      </c>
      <c r="I156" s="2" t="s">
        <v>5024</v>
      </c>
      <c r="J156" s="2">
        <v>-0.716</v>
      </c>
      <c r="K156" s="2"/>
      <c r="L156" s="2"/>
    </row>
    <row r="157" ht="11.25" customHeight="1">
      <c r="A157" s="2" t="s">
        <v>185</v>
      </c>
      <c r="B157" s="2" t="s">
        <v>5484</v>
      </c>
      <c r="C157" s="26" t="s">
        <v>5485</v>
      </c>
      <c r="D157" s="2" t="s">
        <v>5486</v>
      </c>
      <c r="E157" s="70">
        <v>3.19114752E10</v>
      </c>
      <c r="F157" s="6">
        <v>2809314.0</v>
      </c>
      <c r="G157" s="2">
        <v>0.0</v>
      </c>
      <c r="H157" s="13">
        <v>44412.0</v>
      </c>
      <c r="I157" s="2" t="s">
        <v>5024</v>
      </c>
      <c r="J157" s="2">
        <v>-0.146</v>
      </c>
      <c r="K157" s="2"/>
      <c r="L157" s="2"/>
    </row>
    <row r="158" ht="11.25" customHeight="1">
      <c r="A158" s="2" t="s">
        <v>186</v>
      </c>
      <c r="B158" s="2" t="s">
        <v>5487</v>
      </c>
      <c r="C158" s="26" t="s">
        <v>5488</v>
      </c>
      <c r="D158" s="2" t="s">
        <v>5489</v>
      </c>
      <c r="E158" s="70">
        <v>1.07938177024E11</v>
      </c>
      <c r="F158" s="6">
        <v>1812158.0</v>
      </c>
      <c r="G158" s="2">
        <v>3.32</v>
      </c>
      <c r="H158" s="2" t="s">
        <v>733</v>
      </c>
      <c r="I158" s="2">
        <v>23.62107</v>
      </c>
      <c r="J158" s="2">
        <v>14.504</v>
      </c>
      <c r="K158" s="2"/>
      <c r="L158" s="2"/>
    </row>
    <row r="159" ht="11.25" customHeight="1">
      <c r="A159" s="2" t="s">
        <v>187</v>
      </c>
      <c r="B159" s="2" t="s">
        <v>5490</v>
      </c>
      <c r="C159" s="26" t="s">
        <v>5491</v>
      </c>
      <c r="D159" s="2" t="s">
        <v>5492</v>
      </c>
      <c r="E159" s="70">
        <v>7.1519567872E10</v>
      </c>
      <c r="F159" s="6">
        <v>2433582.0</v>
      </c>
      <c r="G159" s="2">
        <v>0.0</v>
      </c>
      <c r="H159" s="2" t="s">
        <v>733</v>
      </c>
      <c r="I159" s="2">
        <v>17.965267</v>
      </c>
      <c r="J159" s="2">
        <v>5.145</v>
      </c>
      <c r="K159" s="2"/>
      <c r="L159" s="2"/>
    </row>
    <row r="160" ht="11.25" customHeight="1">
      <c r="A160" s="2" t="s">
        <v>188</v>
      </c>
      <c r="B160" s="2" t="s">
        <v>5493</v>
      </c>
      <c r="C160" s="26" t="s">
        <v>5494</v>
      </c>
      <c r="D160" s="2" t="s">
        <v>5495</v>
      </c>
      <c r="E160" s="70">
        <v>3.7708546048E10</v>
      </c>
      <c r="F160" s="6">
        <v>1966036.0</v>
      </c>
      <c r="G160" s="2">
        <v>1.76</v>
      </c>
      <c r="H160" s="13">
        <v>44398.0</v>
      </c>
      <c r="I160" s="2">
        <v>13.544361</v>
      </c>
      <c r="J160" s="2">
        <v>8.893</v>
      </c>
      <c r="K160" s="2"/>
      <c r="L160" s="2"/>
    </row>
    <row r="161" ht="11.25" customHeight="1">
      <c r="A161" s="2" t="s">
        <v>189</v>
      </c>
      <c r="B161" s="2" t="s">
        <v>5496</v>
      </c>
      <c r="C161" s="26" t="s">
        <v>5497</v>
      </c>
      <c r="D161" s="2" t="s">
        <v>5498</v>
      </c>
      <c r="E161" s="70">
        <v>5.2461129728E10</v>
      </c>
      <c r="F161" s="6">
        <v>1819779.0</v>
      </c>
      <c r="G161" s="2">
        <v>1.56</v>
      </c>
      <c r="H161" s="2" t="s">
        <v>733</v>
      </c>
      <c r="I161" s="2">
        <v>20.399889</v>
      </c>
      <c r="J161" s="2">
        <v>10.878</v>
      </c>
      <c r="K161" s="2"/>
      <c r="L161" s="2"/>
    </row>
    <row r="162" ht="11.25" customHeight="1">
      <c r="A162" s="2" t="s">
        <v>190</v>
      </c>
      <c r="B162" s="2" t="s">
        <v>5499</v>
      </c>
      <c r="C162" s="26" t="s">
        <v>5500</v>
      </c>
      <c r="D162" s="2" t="s">
        <v>5501</v>
      </c>
      <c r="E162" s="70">
        <v>1.6314157056E10</v>
      </c>
      <c r="F162" s="6">
        <v>1140938.0</v>
      </c>
      <c r="G162" s="2">
        <v>2.36</v>
      </c>
      <c r="H162" s="13">
        <v>44399.0</v>
      </c>
      <c r="I162" s="2">
        <v>10.2132015</v>
      </c>
      <c r="J162" s="2">
        <v>13.18</v>
      </c>
      <c r="K162" s="2"/>
      <c r="L162" s="2"/>
    </row>
    <row r="163" ht="11.25" customHeight="1">
      <c r="A163" s="2" t="s">
        <v>191</v>
      </c>
      <c r="B163" s="2" t="s">
        <v>5502</v>
      </c>
      <c r="C163" s="26" t="s">
        <v>5503</v>
      </c>
      <c r="D163" s="2" t="s">
        <v>5504</v>
      </c>
      <c r="E163" s="70">
        <v>3.1398156288E10</v>
      </c>
      <c r="F163" s="6">
        <v>3368934.0</v>
      </c>
      <c r="G163" s="2">
        <v>0.775</v>
      </c>
      <c r="H163" s="13">
        <v>44399.0</v>
      </c>
      <c r="I163" s="2">
        <v>10.022026</v>
      </c>
      <c r="J163" s="2">
        <v>8.626</v>
      </c>
      <c r="K163" s="2"/>
      <c r="L163" s="2"/>
    </row>
    <row r="164" ht="11.25" customHeight="1">
      <c r="A164" s="2" t="s">
        <v>192</v>
      </c>
      <c r="B164" s="2" t="s">
        <v>5505</v>
      </c>
      <c r="C164" s="26" t="s">
        <v>5506</v>
      </c>
      <c r="D164" s="2" t="s">
        <v>5507</v>
      </c>
      <c r="E164" s="70">
        <v>2.00545517568E11</v>
      </c>
      <c r="F164" s="6">
        <v>2407190.0</v>
      </c>
      <c r="G164" s="2">
        <v>0.78</v>
      </c>
      <c r="H164" s="13">
        <v>44399.0</v>
      </c>
      <c r="I164" s="2">
        <v>44.908894</v>
      </c>
      <c r="J164" s="2">
        <v>6.366</v>
      </c>
      <c r="K164" s="2"/>
      <c r="L164" s="2"/>
    </row>
    <row r="165" ht="11.25" customHeight="1">
      <c r="A165" s="2" t="s">
        <v>193</v>
      </c>
      <c r="B165" s="2" t="s">
        <v>5508</v>
      </c>
      <c r="C165" s="26" t="s">
        <v>5509</v>
      </c>
      <c r="D165" s="2" t="s">
        <v>5510</v>
      </c>
      <c r="E165" s="70">
        <v>2.8433389568E10</v>
      </c>
      <c r="F165" s="6">
        <v>3828061.0</v>
      </c>
      <c r="G165" s="2">
        <v>4.239</v>
      </c>
      <c r="H165" s="2" t="s">
        <v>733</v>
      </c>
      <c r="I165" s="2">
        <v>3.6620522</v>
      </c>
      <c r="J165" s="2">
        <v>94.701</v>
      </c>
      <c r="K165" s="2"/>
      <c r="L165" s="2"/>
    </row>
    <row r="166" ht="11.25" customHeight="1">
      <c r="A166" s="2" t="s">
        <v>194</v>
      </c>
      <c r="B166" s="2" t="s">
        <v>5511</v>
      </c>
      <c r="C166" s="26" t="s">
        <v>5512</v>
      </c>
      <c r="D166" s="2" t="s">
        <v>5513</v>
      </c>
      <c r="E166" s="70">
        <v>3.34914715648E11</v>
      </c>
      <c r="F166" s="6">
        <v>8872695.0</v>
      </c>
      <c r="G166" s="2">
        <v>0.88</v>
      </c>
      <c r="H166" s="2" t="s">
        <v>733</v>
      </c>
      <c r="I166" s="2" t="s">
        <v>5024</v>
      </c>
      <c r="J166" s="2">
        <v>-2.491</v>
      </c>
      <c r="K166" s="2"/>
      <c r="L166" s="2"/>
    </row>
    <row r="167" ht="11.25" customHeight="1">
      <c r="A167" s="2" t="s">
        <v>195</v>
      </c>
      <c r="B167" s="2" t="s">
        <v>5514</v>
      </c>
      <c r="C167" s="26" t="s">
        <v>5515</v>
      </c>
      <c r="D167" s="2" t="s">
        <v>5516</v>
      </c>
      <c r="E167" s="70">
        <v>1.4006047744E10</v>
      </c>
      <c r="F167" s="6">
        <v>1.0510355E7</v>
      </c>
      <c r="G167" s="2">
        <v>0.0</v>
      </c>
      <c r="H167" s="13">
        <v>44411.0</v>
      </c>
      <c r="I167" s="2">
        <v>25.161146</v>
      </c>
      <c r="J167" s="2">
        <v>1.117</v>
      </c>
      <c r="K167" s="2"/>
      <c r="L167" s="2"/>
    </row>
    <row r="168" ht="11.25" customHeight="1">
      <c r="A168" s="2" t="s">
        <v>196</v>
      </c>
      <c r="B168" s="2" t="s">
        <v>5517</v>
      </c>
      <c r="C168" s="26" t="s">
        <v>5518</v>
      </c>
      <c r="D168" s="2" t="s">
        <v>5519</v>
      </c>
      <c r="E168" s="70">
        <v>2.1060706304E10</v>
      </c>
      <c r="F168" s="6">
        <v>3212180.0</v>
      </c>
      <c r="G168" s="2">
        <v>0.0</v>
      </c>
      <c r="H168" s="13">
        <v>44413.0</v>
      </c>
      <c r="I168" s="2">
        <v>10.143152</v>
      </c>
      <c r="J168" s="2">
        <v>3.877</v>
      </c>
      <c r="K168" s="2"/>
      <c r="L168" s="2"/>
    </row>
    <row r="169" ht="11.25" customHeight="1">
      <c r="A169" s="2" t="s">
        <v>197</v>
      </c>
      <c r="B169" s="2" t="s">
        <v>5520</v>
      </c>
      <c r="C169" s="26" t="s">
        <v>5521</v>
      </c>
      <c r="D169" s="2" t="s">
        <v>5522</v>
      </c>
      <c r="E169" s="70">
        <v>1.8005700608E10</v>
      </c>
      <c r="F169" s="6">
        <v>1.6051609E7</v>
      </c>
      <c r="G169" s="2">
        <v>0.0</v>
      </c>
      <c r="H169" s="2" t="s">
        <v>733</v>
      </c>
      <c r="I169" s="2" t="s">
        <v>5024</v>
      </c>
      <c r="J169" s="2">
        <v>-4.207</v>
      </c>
      <c r="K169" s="2"/>
      <c r="L169" s="2"/>
    </row>
    <row r="170" ht="11.25" customHeight="1">
      <c r="A170" s="2" t="s">
        <v>198</v>
      </c>
      <c r="B170" s="2" t="s">
        <v>5523</v>
      </c>
      <c r="C170" s="26" t="s">
        <v>5524</v>
      </c>
      <c r="D170" s="2" t="s">
        <v>5525</v>
      </c>
      <c r="E170" s="70">
        <v>4.4206501888E10</v>
      </c>
      <c r="F170" s="6">
        <v>1283380.0</v>
      </c>
      <c r="G170" s="2">
        <v>4.56</v>
      </c>
      <c r="H170" s="13">
        <v>44406.0</v>
      </c>
      <c r="I170" s="2">
        <v>101.00512</v>
      </c>
      <c r="J170" s="2">
        <v>1.562</v>
      </c>
      <c r="K170" s="2"/>
      <c r="L170" s="2"/>
    </row>
    <row r="171" ht="11.25" customHeight="1">
      <c r="A171" s="2" t="s">
        <v>199</v>
      </c>
      <c r="B171" s="2" t="s">
        <v>5526</v>
      </c>
      <c r="C171" s="26" t="s">
        <v>5527</v>
      </c>
      <c r="D171" s="2" t="s">
        <v>5528</v>
      </c>
      <c r="E171" s="70">
        <v>2.2889220096E10</v>
      </c>
      <c r="F171" s="6">
        <v>2268063.0</v>
      </c>
      <c r="G171" s="2">
        <v>0.0</v>
      </c>
      <c r="H171" s="2" t="s">
        <v>733</v>
      </c>
      <c r="I171" s="2">
        <v>15.787439</v>
      </c>
      <c r="J171" s="2">
        <v>6.21</v>
      </c>
      <c r="K171" s="2"/>
      <c r="L171" s="2"/>
    </row>
    <row r="172" ht="11.25" customHeight="1">
      <c r="A172" s="2" t="s">
        <v>200</v>
      </c>
      <c r="B172" s="2" t="s">
        <v>5529</v>
      </c>
      <c r="C172" s="26" t="s">
        <v>5530</v>
      </c>
      <c r="D172" s="2" t="s">
        <v>5531</v>
      </c>
      <c r="E172" s="70">
        <v>5.3971247104E10</v>
      </c>
      <c r="F172" s="6">
        <v>2873749.0</v>
      </c>
      <c r="G172" s="2">
        <v>0.0</v>
      </c>
      <c r="H172" s="2" t="s">
        <v>733</v>
      </c>
      <c r="I172" s="2" t="s">
        <v>5024</v>
      </c>
      <c r="J172" s="2">
        <v>-1.081</v>
      </c>
      <c r="K172" s="2"/>
      <c r="L172" s="2"/>
    </row>
    <row r="173" ht="11.25" customHeight="1">
      <c r="A173" s="2" t="s">
        <v>201</v>
      </c>
      <c r="B173" s="2" t="s">
        <v>5532</v>
      </c>
      <c r="C173" s="26" t="s">
        <v>5533</v>
      </c>
      <c r="D173" s="2" t="s">
        <v>5534</v>
      </c>
      <c r="E173" s="70">
        <v>2.2379210752E10</v>
      </c>
      <c r="F173" s="6">
        <v>660603.0</v>
      </c>
      <c r="G173" s="2">
        <v>1.98</v>
      </c>
      <c r="H173" s="13">
        <v>44397.0</v>
      </c>
      <c r="I173" s="2">
        <v>30.439302</v>
      </c>
      <c r="J173" s="2">
        <v>5.099</v>
      </c>
      <c r="K173" s="2"/>
      <c r="L173" s="2"/>
    </row>
    <row r="174" ht="11.25" customHeight="1">
      <c r="A174" s="2" t="s">
        <v>202</v>
      </c>
      <c r="B174" s="2" t="s">
        <v>5535</v>
      </c>
      <c r="C174" s="26" t="s">
        <v>5536</v>
      </c>
      <c r="D174" s="2" t="s">
        <v>5537</v>
      </c>
      <c r="E174" s="70">
        <v>4.6290907136E10</v>
      </c>
      <c r="F174" s="6">
        <v>4396619.0</v>
      </c>
      <c r="G174" s="2">
        <v>2.8</v>
      </c>
      <c r="H174" s="13">
        <v>44399.0</v>
      </c>
      <c r="I174" s="2">
        <v>22.644503</v>
      </c>
      <c r="J174" s="2">
        <v>2.647</v>
      </c>
      <c r="K174" s="2"/>
      <c r="L174" s="2"/>
    </row>
    <row r="175" ht="11.25" customHeight="1">
      <c r="A175" s="2" t="s">
        <v>203</v>
      </c>
      <c r="B175" s="2" t="s">
        <v>5538</v>
      </c>
      <c r="C175" s="26" t="s">
        <v>5539</v>
      </c>
      <c r="D175" s="2" t="s">
        <v>5540</v>
      </c>
      <c r="E175" s="70">
        <v>1.8848858112E10</v>
      </c>
      <c r="F175" s="6">
        <v>584579.0</v>
      </c>
      <c r="G175" s="2">
        <v>3.44</v>
      </c>
      <c r="H175" s="13">
        <v>44399.0</v>
      </c>
      <c r="I175" s="2">
        <v>39.183506</v>
      </c>
      <c r="J175" s="2">
        <v>12.321</v>
      </c>
      <c r="K175" s="2"/>
      <c r="L175" s="2"/>
    </row>
    <row r="176" ht="11.25" customHeight="1">
      <c r="A176" s="2" t="s">
        <v>204</v>
      </c>
      <c r="B176" s="2" t="s">
        <v>5541</v>
      </c>
      <c r="C176" s="26" t="s">
        <v>5542</v>
      </c>
      <c r="D176" s="2" t="s">
        <v>5543</v>
      </c>
      <c r="E176" s="70">
        <v>1.8854244352E10</v>
      </c>
      <c r="F176" s="6">
        <v>1897169.0</v>
      </c>
      <c r="G176" s="2">
        <v>1.0</v>
      </c>
      <c r="H176" s="13">
        <v>44404.0</v>
      </c>
      <c r="I176" s="2">
        <v>52.502598</v>
      </c>
      <c r="J176" s="2">
        <v>0.963</v>
      </c>
      <c r="K176" s="2"/>
      <c r="L176" s="2"/>
    </row>
    <row r="177" ht="11.25" customHeight="1">
      <c r="A177" s="2" t="s">
        <v>205</v>
      </c>
      <c r="B177" s="2" t="s">
        <v>5544</v>
      </c>
      <c r="C177" s="26" t="s">
        <v>5545</v>
      </c>
      <c r="D177" s="2" t="s">
        <v>5546</v>
      </c>
      <c r="E177" s="70">
        <v>1.8960459776E10</v>
      </c>
      <c r="F177" s="6">
        <v>1477373.0</v>
      </c>
      <c r="G177" s="2">
        <v>2.65</v>
      </c>
      <c r="H177" s="2" t="s">
        <v>733</v>
      </c>
      <c r="I177" s="2">
        <v>29.74665</v>
      </c>
      <c r="J177" s="2">
        <v>4.776</v>
      </c>
      <c r="K177" s="2"/>
      <c r="L177" s="2"/>
    </row>
    <row r="178" ht="11.25" customHeight="1">
      <c r="A178" s="2" t="s">
        <v>206</v>
      </c>
      <c r="B178" s="2" t="s">
        <v>5547</v>
      </c>
      <c r="C178" s="26" t="s">
        <v>5548</v>
      </c>
      <c r="D178" s="2" t="s">
        <v>5549</v>
      </c>
      <c r="E178" s="70">
        <v>2.2458771456E10</v>
      </c>
      <c r="F178" s="6">
        <v>1221240.0</v>
      </c>
      <c r="G178" s="2">
        <v>5.54233</v>
      </c>
      <c r="H178" s="13">
        <v>44403.0</v>
      </c>
      <c r="I178" s="2">
        <v>15.935588</v>
      </c>
      <c r="J178" s="2">
        <v>7.359</v>
      </c>
      <c r="K178" s="2"/>
      <c r="L178" s="2"/>
    </row>
    <row r="179" ht="11.25" customHeight="1">
      <c r="A179" s="2" t="s">
        <v>207</v>
      </c>
      <c r="B179" s="2" t="s">
        <v>5550</v>
      </c>
      <c r="C179" s="26" t="s">
        <v>5551</v>
      </c>
      <c r="D179" s="2" t="s">
        <v>5552</v>
      </c>
      <c r="E179" s="70">
        <v>7.9875702784E10</v>
      </c>
      <c r="F179" s="6">
        <v>3197455.0</v>
      </c>
      <c r="G179" s="2">
        <v>3.86</v>
      </c>
      <c r="H179" s="2" t="s">
        <v>733</v>
      </c>
      <c r="I179" s="2">
        <v>59.47905</v>
      </c>
      <c r="J179" s="2">
        <v>1.766</v>
      </c>
      <c r="K179" s="2"/>
      <c r="L179" s="2"/>
    </row>
    <row r="180" ht="11.25" customHeight="1">
      <c r="A180" s="2" t="s">
        <v>208</v>
      </c>
      <c r="B180" s="2" t="s">
        <v>5553</v>
      </c>
      <c r="C180" s="26" t="s">
        <v>5554</v>
      </c>
      <c r="D180" s="2" t="s">
        <v>5555</v>
      </c>
      <c r="E180" s="70">
        <v>1.275037184E10</v>
      </c>
      <c r="F180" s="6">
        <v>625826.0</v>
      </c>
      <c r="G180" s="2">
        <v>0.0</v>
      </c>
      <c r="H180" s="13">
        <v>44405.0</v>
      </c>
      <c r="I180" s="2">
        <v>18.54537</v>
      </c>
      <c r="J180" s="2">
        <v>6.469</v>
      </c>
      <c r="K180" s="2"/>
      <c r="L180" s="2"/>
    </row>
    <row r="181" ht="11.25" customHeight="1">
      <c r="A181" s="2" t="s">
        <v>209</v>
      </c>
      <c r="B181" s="2" t="s">
        <v>5556</v>
      </c>
      <c r="C181" s="26" t="s">
        <v>5557</v>
      </c>
      <c r="D181" s="2" t="s">
        <v>5558</v>
      </c>
      <c r="E181" s="70">
        <v>1.8019078144E10</v>
      </c>
      <c r="F181" s="6">
        <v>1.1119653E7</v>
      </c>
      <c r="G181" s="2">
        <v>1.46</v>
      </c>
      <c r="H181" s="13">
        <v>44411.0</v>
      </c>
      <c r="I181" s="2" t="s">
        <v>5024</v>
      </c>
      <c r="J181" s="2">
        <v>-1.487</v>
      </c>
      <c r="K181" s="2"/>
      <c r="L181" s="2"/>
    </row>
    <row r="182" ht="11.25" customHeight="1">
      <c r="A182" s="2" t="s">
        <v>210</v>
      </c>
      <c r="B182" s="2" t="s">
        <v>5559</v>
      </c>
      <c r="C182" s="26" t="s">
        <v>5560</v>
      </c>
      <c r="D182" s="2" t="s">
        <v>5561</v>
      </c>
      <c r="E182" s="70">
        <v>1.0064546816E10</v>
      </c>
      <c r="F182" s="6">
        <v>2341468.0</v>
      </c>
      <c r="G182" s="2">
        <v>0.21</v>
      </c>
      <c r="H182" s="13">
        <v>44412.0</v>
      </c>
      <c r="I182" s="2" t="s">
        <v>5024</v>
      </c>
      <c r="J182" s="2">
        <v>-0.59</v>
      </c>
      <c r="K182" s="2"/>
      <c r="L182" s="2"/>
    </row>
    <row r="183" ht="11.25" customHeight="1">
      <c r="A183" s="2" t="s">
        <v>211</v>
      </c>
      <c r="B183" s="2" t="s">
        <v>5562</v>
      </c>
      <c r="C183" s="26" t="s">
        <v>5563</v>
      </c>
      <c r="D183" s="2" t="s">
        <v>5564</v>
      </c>
      <c r="E183" s="70">
        <v>4.2687922176E10</v>
      </c>
      <c r="F183" s="6">
        <v>807744.0</v>
      </c>
      <c r="G183" s="2">
        <v>0.0</v>
      </c>
      <c r="H183" s="13">
        <v>44403.0</v>
      </c>
      <c r="I183" s="2">
        <v>86.20365</v>
      </c>
      <c r="J183" s="2">
        <v>5.205</v>
      </c>
      <c r="K183" s="2"/>
      <c r="L183" s="2"/>
    </row>
    <row r="184" ht="11.25" customHeight="1">
      <c r="A184" s="2" t="s">
        <v>212</v>
      </c>
      <c r="B184" s="2" t="s">
        <v>5565</v>
      </c>
      <c r="C184" s="26" t="s">
        <v>5566</v>
      </c>
      <c r="D184" s="2" t="s">
        <v>5567</v>
      </c>
      <c r="E184" s="70">
        <v>4.0762814464E10</v>
      </c>
      <c r="F184" s="6">
        <v>2146419.0</v>
      </c>
      <c r="G184" s="2">
        <v>0.51</v>
      </c>
      <c r="H184" s="13">
        <v>44412.0</v>
      </c>
      <c r="I184" s="2">
        <v>49.822304</v>
      </c>
      <c r="J184" s="2">
        <v>2.87</v>
      </c>
      <c r="K184" s="2"/>
      <c r="L184" s="2"/>
    </row>
    <row r="185" ht="11.25" customHeight="1">
      <c r="A185" s="2" t="s">
        <v>213</v>
      </c>
      <c r="B185" s="2" t="s">
        <v>5568</v>
      </c>
      <c r="C185" s="26" t="s">
        <v>5569</v>
      </c>
      <c r="D185" s="2" t="s">
        <v>5570</v>
      </c>
      <c r="E185" s="70">
        <v>4.6421192704E10</v>
      </c>
      <c r="F185" s="6">
        <v>7586346.0</v>
      </c>
      <c r="G185" s="2">
        <v>0.68</v>
      </c>
      <c r="H185" s="13">
        <v>44403.0</v>
      </c>
      <c r="I185" s="2">
        <v>16.572884</v>
      </c>
      <c r="J185" s="2">
        <v>4.123</v>
      </c>
      <c r="K185" s="2"/>
      <c r="L185" s="2"/>
    </row>
    <row r="186" ht="11.25" customHeight="1">
      <c r="A186" s="2" t="s">
        <v>214</v>
      </c>
      <c r="B186" s="2" t="s">
        <v>5571</v>
      </c>
      <c r="C186" s="26" t="s">
        <v>5572</v>
      </c>
      <c r="D186" s="2" t="s">
        <v>5573</v>
      </c>
      <c r="E186" s="70">
        <v>6.1316329472E10</v>
      </c>
      <c r="F186" s="6">
        <v>1108574.0</v>
      </c>
      <c r="G186" s="2">
        <v>1.91</v>
      </c>
      <c r="H186" s="13">
        <v>44404.0</v>
      </c>
      <c r="I186" s="2" t="s">
        <v>5024</v>
      </c>
      <c r="J186" s="2">
        <v>-4.528</v>
      </c>
      <c r="K186" s="2"/>
      <c r="L186" s="2"/>
    </row>
    <row r="187" ht="11.25" customHeight="1">
      <c r="A187" s="2" t="s">
        <v>215</v>
      </c>
      <c r="B187" s="2" t="s">
        <v>5574</v>
      </c>
      <c r="C187" s="26" t="s">
        <v>5575</v>
      </c>
      <c r="D187" s="2" t="s">
        <v>5576</v>
      </c>
      <c r="E187" s="70">
        <v>2.6272088064E10</v>
      </c>
      <c r="F187" s="6">
        <v>2024884.0</v>
      </c>
      <c r="G187" s="2">
        <v>3.08</v>
      </c>
      <c r="H187" s="13">
        <v>44412.0</v>
      </c>
      <c r="I187" s="2">
        <v>22.154028</v>
      </c>
      <c r="J187" s="2">
        <v>3.389</v>
      </c>
      <c r="K187" s="2"/>
      <c r="L187" s="2"/>
    </row>
    <row r="188" ht="11.25" customHeight="1">
      <c r="A188" s="2" t="s">
        <v>216</v>
      </c>
      <c r="B188" s="2" t="s">
        <v>5577</v>
      </c>
      <c r="C188" s="26" t="s">
        <v>5578</v>
      </c>
      <c r="D188" s="2" t="s">
        <v>5579</v>
      </c>
      <c r="E188" s="70">
        <v>4.0637124608E10</v>
      </c>
      <c r="F188" s="6">
        <v>3.2617776E7</v>
      </c>
      <c r="G188" s="2">
        <v>0.519</v>
      </c>
      <c r="H188" s="2" t="s">
        <v>733</v>
      </c>
      <c r="I188" s="2">
        <v>4.032565</v>
      </c>
      <c r="J188" s="2">
        <v>13.275</v>
      </c>
      <c r="K188" s="2"/>
      <c r="L188" s="2"/>
    </row>
    <row r="189" ht="11.25" customHeight="1">
      <c r="A189" s="2" t="s">
        <v>217</v>
      </c>
      <c r="B189" s="2" t="s">
        <v>5580</v>
      </c>
      <c r="C189" s="26" t="s">
        <v>5581</v>
      </c>
      <c r="D189" s="2" t="s">
        <v>5582</v>
      </c>
      <c r="E189" s="70">
        <v>7.4039762944E10</v>
      </c>
      <c r="F189" s="6">
        <v>2.0299398E7</v>
      </c>
      <c r="G189" s="2">
        <v>0.694</v>
      </c>
      <c r="H189" s="2" t="s">
        <v>733</v>
      </c>
      <c r="I189" s="2">
        <v>29.138123</v>
      </c>
      <c r="J189" s="2">
        <v>2.686</v>
      </c>
      <c r="K189" s="2"/>
      <c r="L189" s="2"/>
    </row>
    <row r="190" ht="11.25" customHeight="1">
      <c r="A190" s="2" t="s">
        <v>218</v>
      </c>
      <c r="B190" s="2" t="s">
        <v>5583</v>
      </c>
      <c r="C190" s="26" t="s">
        <v>5584</v>
      </c>
      <c r="D190" s="2" t="s">
        <v>5585</v>
      </c>
      <c r="E190" s="70">
        <v>3.0482950144E10</v>
      </c>
      <c r="F190" s="6">
        <v>725163.0</v>
      </c>
      <c r="G190" s="2">
        <v>1.56</v>
      </c>
      <c r="H190" s="13">
        <v>44397.0</v>
      </c>
      <c r="I190" s="2">
        <v>51.443924</v>
      </c>
      <c r="J190" s="2">
        <v>4.931</v>
      </c>
      <c r="K190" s="2"/>
      <c r="L190" s="2"/>
    </row>
    <row r="191" ht="11.25" customHeight="1">
      <c r="A191" s="2" t="s">
        <v>219</v>
      </c>
      <c r="B191" s="2" t="s">
        <v>5586</v>
      </c>
      <c r="C191" s="26" t="s">
        <v>5587</v>
      </c>
      <c r="D191" s="2" t="s">
        <v>5588</v>
      </c>
      <c r="E191" s="70">
        <v>2.1859424256E10</v>
      </c>
      <c r="F191" s="6">
        <v>1928668.0</v>
      </c>
      <c r="G191" s="2">
        <v>2.626</v>
      </c>
      <c r="H191" s="13">
        <v>44406.0</v>
      </c>
      <c r="I191" s="2">
        <v>26.931976</v>
      </c>
      <c r="J191" s="2">
        <v>2.161</v>
      </c>
      <c r="K191" s="2"/>
      <c r="L191" s="2"/>
    </row>
    <row r="192" ht="11.25" customHeight="1">
      <c r="A192" s="2" t="s">
        <v>220</v>
      </c>
      <c r="B192" s="2" t="s">
        <v>5589</v>
      </c>
      <c r="C192" s="26" t="s">
        <v>5590</v>
      </c>
      <c r="D192" s="2" t="s">
        <v>5591</v>
      </c>
      <c r="E192" s="70">
        <v>1.18595796992E11</v>
      </c>
      <c r="F192" s="6">
        <v>1220650.0</v>
      </c>
      <c r="G192" s="2">
        <v>2.07</v>
      </c>
      <c r="H192" s="2" t="s">
        <v>733</v>
      </c>
      <c r="I192" s="2">
        <v>85.89357</v>
      </c>
      <c r="J192" s="2">
        <v>3.777</v>
      </c>
      <c r="K192" s="2"/>
      <c r="L192" s="2"/>
    </row>
    <row r="193" ht="11.25" customHeight="1">
      <c r="A193" s="2" t="s">
        <v>221</v>
      </c>
      <c r="B193" s="2" t="s">
        <v>5592</v>
      </c>
      <c r="C193" s="26" t="s">
        <v>5593</v>
      </c>
      <c r="D193" s="2" t="s">
        <v>5594</v>
      </c>
      <c r="E193" s="70">
        <v>1.6190652416E10</v>
      </c>
      <c r="F193" s="6">
        <v>3510401.0</v>
      </c>
      <c r="G193" s="2">
        <v>0.0</v>
      </c>
      <c r="H193" s="13">
        <v>44405.0</v>
      </c>
      <c r="I193" s="2" t="s">
        <v>5024</v>
      </c>
      <c r="J193" s="2">
        <v>-1.238</v>
      </c>
      <c r="K193" s="2"/>
      <c r="L193" s="2"/>
    </row>
    <row r="194" ht="11.25" customHeight="1">
      <c r="A194" s="2" t="s">
        <v>222</v>
      </c>
      <c r="B194" s="2" t="s">
        <v>5595</v>
      </c>
      <c r="C194" s="26" t="s">
        <v>5596</v>
      </c>
      <c r="D194" s="2" t="s">
        <v>5597</v>
      </c>
      <c r="E194" s="70">
        <v>5.700824576E9</v>
      </c>
      <c r="F194" s="6">
        <v>2578163.0</v>
      </c>
      <c r="G194" s="2">
        <v>0.01</v>
      </c>
      <c r="H194" s="13">
        <v>44412.0</v>
      </c>
      <c r="I194" s="2">
        <v>25.888987</v>
      </c>
      <c r="J194" s="2">
        <v>1.153</v>
      </c>
      <c r="K194" s="2"/>
      <c r="L194" s="2"/>
    </row>
    <row r="195" ht="11.25" customHeight="1">
      <c r="A195" s="2" t="s">
        <v>223</v>
      </c>
      <c r="B195" s="2" t="s">
        <v>5598</v>
      </c>
      <c r="C195" s="26" t="s">
        <v>5599</v>
      </c>
      <c r="D195" s="2" t="s">
        <v>5600</v>
      </c>
      <c r="E195" s="70">
        <v>1.6484676E10</v>
      </c>
      <c r="F195" s="6">
        <v>3497830.0</v>
      </c>
      <c r="G195" s="2">
        <v>3.63</v>
      </c>
      <c r="H195" s="2" t="s">
        <v>733</v>
      </c>
      <c r="I195" s="2" t="s">
        <v>5024</v>
      </c>
      <c r="J195" s="2" t="s">
        <v>5024</v>
      </c>
      <c r="K195" s="2"/>
      <c r="L195" s="2"/>
    </row>
    <row r="196" ht="11.25" customHeight="1">
      <c r="A196" s="2" t="s">
        <v>224</v>
      </c>
      <c r="B196" s="2" t="s">
        <v>5601</v>
      </c>
      <c r="C196" s="26" t="s">
        <v>5602</v>
      </c>
      <c r="D196" s="2" t="s">
        <v>5603</v>
      </c>
      <c r="E196" s="70">
        <v>1.5375983616E10</v>
      </c>
      <c r="F196" s="6">
        <v>710890.0</v>
      </c>
      <c r="G196" s="2">
        <v>2.73</v>
      </c>
      <c r="H196" s="13">
        <v>44410.0</v>
      </c>
      <c r="I196" s="2">
        <v>30.207813</v>
      </c>
      <c r="J196" s="2">
        <v>3.609</v>
      </c>
      <c r="K196" s="2"/>
      <c r="L196" s="2"/>
    </row>
    <row r="197" ht="11.25" customHeight="1">
      <c r="A197" s="2" t="s">
        <v>225</v>
      </c>
      <c r="B197" s="2" t="s">
        <v>5604</v>
      </c>
      <c r="C197" s="26" t="s">
        <v>5605</v>
      </c>
      <c r="D197" s="2" t="s">
        <v>5606</v>
      </c>
      <c r="E197" s="70">
        <v>5.9058454528E10</v>
      </c>
      <c r="F197" s="6">
        <v>2523795.0</v>
      </c>
      <c r="G197" s="2">
        <v>2.015</v>
      </c>
      <c r="H197" s="13">
        <v>44410.0</v>
      </c>
      <c r="I197" s="2">
        <v>27.472496</v>
      </c>
      <c r="J197" s="2">
        <v>3.545</v>
      </c>
      <c r="K197" s="2"/>
      <c r="L197" s="2"/>
    </row>
    <row r="198" ht="11.25" customHeight="1">
      <c r="A198" s="2" t="s">
        <v>226</v>
      </c>
      <c r="B198" s="2" t="s">
        <v>5607</v>
      </c>
      <c r="C198" s="26" t="s">
        <v>5608</v>
      </c>
      <c r="D198" s="2" t="s">
        <v>5609</v>
      </c>
      <c r="E198" s="70">
        <v>2.2429687808E10</v>
      </c>
      <c r="F198" s="6">
        <v>3106325.0</v>
      </c>
      <c r="G198" s="2">
        <v>0.0</v>
      </c>
      <c r="H198" s="13">
        <v>44410.0</v>
      </c>
      <c r="I198" s="2">
        <v>243.93759</v>
      </c>
      <c r="J198" s="2">
        <v>0.673</v>
      </c>
      <c r="K198" s="2"/>
      <c r="L198" s="2"/>
    </row>
    <row r="199" ht="11.25" customHeight="1">
      <c r="A199" s="2" t="s">
        <v>227</v>
      </c>
      <c r="B199" s="2" t="s">
        <v>5610</v>
      </c>
      <c r="C199" s="26" t="s">
        <v>5611</v>
      </c>
      <c r="D199" s="2" t="s">
        <v>5612</v>
      </c>
      <c r="E199" s="70">
        <v>4.448821248E10</v>
      </c>
      <c r="F199" s="6">
        <v>4016607.0</v>
      </c>
      <c r="G199" s="2">
        <v>2.951</v>
      </c>
      <c r="H199" s="13">
        <v>44412.0</v>
      </c>
      <c r="I199" s="2">
        <v>683.4259</v>
      </c>
      <c r="J199" s="2">
        <v>0.108</v>
      </c>
      <c r="K199" s="2"/>
      <c r="L199" s="2"/>
    </row>
    <row r="200" ht="11.25" customHeight="1">
      <c r="A200" s="2" t="s">
        <v>228</v>
      </c>
      <c r="B200" s="2" t="s">
        <v>5613</v>
      </c>
      <c r="C200" s="26" t="s">
        <v>5614</v>
      </c>
      <c r="D200" s="2" t="s">
        <v>5615</v>
      </c>
      <c r="E200" s="70">
        <v>1.262120448E10</v>
      </c>
      <c r="F200" s="6">
        <v>3172084.0</v>
      </c>
      <c r="G200" s="2">
        <v>0.69</v>
      </c>
      <c r="H200" s="13">
        <v>44410.0</v>
      </c>
      <c r="I200" s="2" t="s">
        <v>5024</v>
      </c>
      <c r="J200" s="2">
        <v>-17.087</v>
      </c>
      <c r="K200" s="2"/>
      <c r="L200" s="2"/>
    </row>
    <row r="201" ht="11.25" customHeight="1">
      <c r="A201" s="2" t="s">
        <v>229</v>
      </c>
      <c r="B201" s="2" t="s">
        <v>5616</v>
      </c>
      <c r="C201" s="26" t="s">
        <v>5617</v>
      </c>
      <c r="D201" s="2" t="s">
        <v>5618</v>
      </c>
      <c r="E201" s="70">
        <v>7.4713219072E10</v>
      </c>
      <c r="F201" s="6">
        <v>562268.0</v>
      </c>
      <c r="G201" s="2">
        <v>11.06</v>
      </c>
      <c r="H201" s="13">
        <v>44405.0</v>
      </c>
      <c r="I201" s="2">
        <v>183.24846</v>
      </c>
      <c r="J201" s="2">
        <v>4.556</v>
      </c>
      <c r="K201" s="2"/>
      <c r="L201" s="2"/>
    </row>
    <row r="202" ht="11.25" customHeight="1">
      <c r="A202" s="2" t="s">
        <v>230</v>
      </c>
      <c r="B202" s="2" t="s">
        <v>5619</v>
      </c>
      <c r="C202" s="26" t="s">
        <v>5620</v>
      </c>
      <c r="D202" s="2" t="s">
        <v>5621</v>
      </c>
      <c r="E202" s="70">
        <v>3.1143395328E10</v>
      </c>
      <c r="F202" s="6">
        <v>2088420.0</v>
      </c>
      <c r="G202" s="2">
        <v>2.412</v>
      </c>
      <c r="H202" s="13">
        <v>44404.0</v>
      </c>
      <c r="I202" s="2">
        <v>47.202484</v>
      </c>
      <c r="J202" s="2">
        <v>1.773</v>
      </c>
      <c r="K202" s="2"/>
      <c r="L202" s="2"/>
    </row>
    <row r="203" ht="11.25" customHeight="1">
      <c r="A203" s="2" t="s">
        <v>231</v>
      </c>
      <c r="B203" s="2" t="s">
        <v>5622</v>
      </c>
      <c r="C203" s="26" t="s">
        <v>5623</v>
      </c>
      <c r="D203" s="2" t="s">
        <v>5624</v>
      </c>
      <c r="E203" s="70">
        <v>2.9606766592E10</v>
      </c>
      <c r="F203" s="6">
        <v>1582961.0</v>
      </c>
      <c r="G203" s="2">
        <v>2.3415</v>
      </c>
      <c r="H203" s="13">
        <v>44405.0</v>
      </c>
      <c r="I203" s="2">
        <v>24.267479</v>
      </c>
      <c r="J203" s="2">
        <v>3.604</v>
      </c>
      <c r="K203" s="2"/>
      <c r="L203" s="2"/>
    </row>
    <row r="204" ht="11.25" customHeight="1">
      <c r="A204" s="2" t="s">
        <v>232</v>
      </c>
      <c r="B204" s="2" t="s">
        <v>5625</v>
      </c>
      <c r="C204" s="26" t="s">
        <v>5626</v>
      </c>
      <c r="D204" s="2" t="s">
        <v>5627</v>
      </c>
      <c r="E204" s="70">
        <v>2.1231241216E10</v>
      </c>
      <c r="F204" s="6">
        <v>340377.0</v>
      </c>
      <c r="G204" s="2">
        <v>8.3355</v>
      </c>
      <c r="H204" s="13">
        <v>44406.0</v>
      </c>
      <c r="I204" s="2">
        <v>50.710094</v>
      </c>
      <c r="J204" s="2">
        <v>6.478</v>
      </c>
      <c r="K204" s="2"/>
      <c r="L204" s="2"/>
    </row>
    <row r="205" ht="11.25" customHeight="1">
      <c r="A205" s="2" t="s">
        <v>233</v>
      </c>
      <c r="B205" s="2" t="s">
        <v>5628</v>
      </c>
      <c r="C205" s="26" t="s">
        <v>5629</v>
      </c>
      <c r="D205" s="2" t="s">
        <v>5630</v>
      </c>
      <c r="E205" s="70">
        <v>6.1301256192E10</v>
      </c>
      <c r="F205" s="6">
        <v>1735342.0</v>
      </c>
      <c r="G205" s="2">
        <v>2.98</v>
      </c>
      <c r="H205" s="13">
        <v>44404.0</v>
      </c>
      <c r="I205" s="2">
        <v>43.057667</v>
      </c>
      <c r="J205" s="2">
        <v>3.555</v>
      </c>
      <c r="K205" s="2"/>
      <c r="L205" s="2"/>
    </row>
    <row r="206" ht="11.25" customHeight="1">
      <c r="A206" s="2" t="s">
        <v>234</v>
      </c>
      <c r="B206" s="2" t="s">
        <v>5631</v>
      </c>
      <c r="C206" s="26" t="s">
        <v>5632</v>
      </c>
      <c r="D206" s="2" t="s">
        <v>5633</v>
      </c>
      <c r="E206" s="70">
        <v>2.0776337408E10</v>
      </c>
      <c r="F206" s="6">
        <v>1024784.0</v>
      </c>
      <c r="G206" s="2">
        <v>3.78</v>
      </c>
      <c r="H206" s="13">
        <v>44404.0</v>
      </c>
      <c r="I206" s="2">
        <v>13.185469</v>
      </c>
      <c r="J206" s="2">
        <v>7.969</v>
      </c>
      <c r="K206" s="2"/>
      <c r="L206" s="2"/>
    </row>
    <row r="207" ht="11.25" customHeight="1">
      <c r="A207" s="2" t="s">
        <v>235</v>
      </c>
      <c r="B207" s="2" t="s">
        <v>5634</v>
      </c>
      <c r="C207" s="26" t="s">
        <v>5635</v>
      </c>
      <c r="D207" s="2" t="s">
        <v>5636</v>
      </c>
      <c r="E207" s="70">
        <v>2.317087744E10</v>
      </c>
      <c r="F207" s="6">
        <v>3056582.0</v>
      </c>
      <c r="G207" s="2">
        <v>0.0</v>
      </c>
      <c r="H207" s="13">
        <v>44411.0</v>
      </c>
      <c r="I207" s="2">
        <v>52.232323</v>
      </c>
      <c r="J207" s="2">
        <v>3.521</v>
      </c>
      <c r="K207" s="2"/>
      <c r="L207" s="2"/>
    </row>
    <row r="208" ht="11.25" customHeight="1">
      <c r="A208" s="2" t="s">
        <v>236</v>
      </c>
      <c r="B208" s="2" t="s">
        <v>5637</v>
      </c>
      <c r="C208" s="26" t="s">
        <v>5638</v>
      </c>
      <c r="D208" s="2" t="s">
        <v>5639</v>
      </c>
      <c r="E208" s="70">
        <v>1.4526420992E10</v>
      </c>
      <c r="F208" s="6">
        <v>1162952.0</v>
      </c>
      <c r="G208" s="2">
        <v>2.11</v>
      </c>
      <c r="H208" s="13">
        <v>44411.0</v>
      </c>
      <c r="I208" s="2">
        <v>19.886152</v>
      </c>
      <c r="J208" s="2">
        <v>3.25</v>
      </c>
      <c r="K208" s="2"/>
      <c r="L208" s="2"/>
    </row>
    <row r="209" ht="11.25" customHeight="1">
      <c r="A209" s="2" t="s">
        <v>237</v>
      </c>
      <c r="B209" s="2" t="s">
        <v>5640</v>
      </c>
      <c r="C209" s="26" t="s">
        <v>5641</v>
      </c>
      <c r="D209" s="2" t="s">
        <v>5642</v>
      </c>
      <c r="E209" s="70">
        <v>6.6092445696E10</v>
      </c>
      <c r="F209" s="6">
        <v>2526338.0</v>
      </c>
      <c r="G209" s="2">
        <v>0.0</v>
      </c>
      <c r="H209" s="13">
        <v>44406.0</v>
      </c>
      <c r="I209" s="2">
        <v>79.406975</v>
      </c>
      <c r="J209" s="2">
        <v>1.349</v>
      </c>
      <c r="K209" s="2"/>
      <c r="L209" s="2"/>
    </row>
    <row r="210" ht="11.25" customHeight="1">
      <c r="A210" s="2" t="s">
        <v>238</v>
      </c>
      <c r="B210" s="2" t="s">
        <v>5643</v>
      </c>
      <c r="C210" s="26" t="s">
        <v>5644</v>
      </c>
      <c r="D210" s="2" t="s">
        <v>5645</v>
      </c>
      <c r="E210" s="70">
        <v>3.483899904E9</v>
      </c>
      <c r="F210" s="6">
        <v>3070774.0</v>
      </c>
      <c r="G210" s="2">
        <v>0.385</v>
      </c>
      <c r="H210" s="2" t="s">
        <v>733</v>
      </c>
      <c r="I210" s="2">
        <v>8.40305</v>
      </c>
      <c r="J210" s="2">
        <v>4.327</v>
      </c>
      <c r="K210" s="2"/>
      <c r="L210" s="2"/>
    </row>
    <row r="211" ht="11.25" customHeight="1">
      <c r="A211" s="2" t="s">
        <v>239</v>
      </c>
      <c r="B211" s="2" t="s">
        <v>5646</v>
      </c>
      <c r="C211" s="26" t="s">
        <v>5647</v>
      </c>
      <c r="D211" s="2" t="s">
        <v>5648</v>
      </c>
      <c r="E211" s="70">
        <v>2.750699776E9</v>
      </c>
      <c r="F211" s="6">
        <v>3074088.0</v>
      </c>
      <c r="G211" s="2">
        <v>0.387</v>
      </c>
      <c r="H211" s="2" t="s">
        <v>733</v>
      </c>
      <c r="I211" s="2">
        <v>4.9710064</v>
      </c>
      <c r="J211" s="2">
        <v>6.898</v>
      </c>
      <c r="K211" s="2"/>
      <c r="L211" s="2"/>
    </row>
    <row r="212" ht="11.25" customHeight="1">
      <c r="A212" s="2" t="s">
        <v>240</v>
      </c>
      <c r="B212" s="2" t="s">
        <v>5649</v>
      </c>
      <c r="C212" s="26" t="s">
        <v>5650</v>
      </c>
      <c r="D212" s="2" t="s">
        <v>5651</v>
      </c>
      <c r="E212" s="70">
        <v>2.372038656E9</v>
      </c>
      <c r="F212" s="6">
        <v>4340984.0</v>
      </c>
      <c r="G212" s="2">
        <v>0.219</v>
      </c>
      <c r="H212" s="2" t="s">
        <v>733</v>
      </c>
      <c r="I212" s="2">
        <v>9.935306</v>
      </c>
      <c r="J212" s="2">
        <v>2.705</v>
      </c>
      <c r="K212" s="2"/>
      <c r="L212" s="2"/>
    </row>
    <row r="213" ht="11.25" customHeight="1">
      <c r="A213" s="2" t="s">
        <v>241</v>
      </c>
      <c r="B213" s="2" t="s">
        <v>5652</v>
      </c>
      <c r="C213" s="26" t="s">
        <v>5653</v>
      </c>
      <c r="D213" s="2" t="s">
        <v>5654</v>
      </c>
      <c r="E213" s="70">
        <v>1.5475571712E10</v>
      </c>
      <c r="F213" s="6">
        <v>6140128.0</v>
      </c>
      <c r="G213" s="2">
        <v>0.258</v>
      </c>
      <c r="H213" s="2" t="s">
        <v>733</v>
      </c>
      <c r="I213" s="2">
        <v>4.9781437</v>
      </c>
      <c r="J213" s="2">
        <v>13.497</v>
      </c>
      <c r="K213" s="2"/>
      <c r="L213" s="2"/>
    </row>
    <row r="214" ht="11.25" customHeight="1">
      <c r="A214" s="2" t="s">
        <v>242</v>
      </c>
      <c r="B214" s="2" t="s">
        <v>5655</v>
      </c>
      <c r="C214" s="26" t="s">
        <v>5656</v>
      </c>
      <c r="D214" s="2" t="s">
        <v>5657</v>
      </c>
      <c r="E214" s="70">
        <v>5.490149888E9</v>
      </c>
      <c r="F214" s="6">
        <v>3370680.0</v>
      </c>
      <c r="G214" s="2">
        <v>0.973</v>
      </c>
      <c r="H214" s="2" t="s">
        <v>733</v>
      </c>
      <c r="I214" s="2">
        <v>3.4262016</v>
      </c>
      <c r="J214" s="2">
        <v>18.808</v>
      </c>
      <c r="K214" s="2"/>
      <c r="L214" s="2"/>
    </row>
    <row r="215" ht="11.25" customHeight="1">
      <c r="A215" s="2" t="s">
        <v>243</v>
      </c>
      <c r="B215" s="2" t="s">
        <v>5658</v>
      </c>
      <c r="C215" s="26" t="s">
        <v>5659</v>
      </c>
      <c r="D215" s="2" t="s">
        <v>5660</v>
      </c>
      <c r="E215" s="70">
        <v>2.210279936E9</v>
      </c>
      <c r="F215" s="6">
        <v>2899006.0</v>
      </c>
      <c r="G215" s="2">
        <v>0.332</v>
      </c>
      <c r="H215" s="2" t="s">
        <v>733</v>
      </c>
      <c r="I215" s="2">
        <v>14.690488</v>
      </c>
      <c r="J215" s="2">
        <v>2.197</v>
      </c>
      <c r="K215" s="2"/>
      <c r="L215" s="2"/>
    </row>
    <row r="216" ht="11.25" customHeight="1">
      <c r="A216" s="2" t="s">
        <v>244</v>
      </c>
      <c r="B216" s="2" t="s">
        <v>5661</v>
      </c>
      <c r="C216" s="26" t="s">
        <v>5662</v>
      </c>
      <c r="D216" s="2" t="s">
        <v>5663</v>
      </c>
      <c r="E216" s="70">
        <v>6.92420352E9</v>
      </c>
      <c r="F216" s="6">
        <v>3309950.0</v>
      </c>
      <c r="G216" s="2">
        <v>0.63</v>
      </c>
      <c r="H216" s="2" t="s">
        <v>733</v>
      </c>
      <c r="I216" s="2">
        <v>2.8457997</v>
      </c>
      <c r="J216" s="2">
        <v>31.926</v>
      </c>
      <c r="K216" s="2"/>
      <c r="L216" s="2"/>
    </row>
    <row r="217" ht="11.25" customHeight="1">
      <c r="A217" s="2" t="s">
        <v>245</v>
      </c>
      <c r="B217" s="2" t="s">
        <v>5664</v>
      </c>
      <c r="C217" s="26" t="s">
        <v>5665</v>
      </c>
      <c r="D217" s="2" t="s">
        <v>5666</v>
      </c>
      <c r="E217" s="70">
        <v>7.983895552E9</v>
      </c>
      <c r="F217" s="6">
        <v>2.8754196E7</v>
      </c>
      <c r="G217" s="2">
        <v>0.276</v>
      </c>
      <c r="H217" s="2" t="s">
        <v>733</v>
      </c>
      <c r="I217" s="2" t="s">
        <v>5024</v>
      </c>
      <c r="J217" s="2">
        <v>-10.17</v>
      </c>
      <c r="K217" s="2"/>
      <c r="L217" s="2"/>
    </row>
    <row r="218" ht="11.25" customHeight="1">
      <c r="A218" s="2" t="s">
        <v>246</v>
      </c>
      <c r="B218" s="2" t="s">
        <v>5667</v>
      </c>
      <c r="C218" s="26" t="s">
        <v>5668</v>
      </c>
      <c r="D218" s="2" t="s">
        <v>5669</v>
      </c>
      <c r="E218" s="70">
        <v>4.468621312E10</v>
      </c>
      <c r="F218" s="6">
        <v>5169201.0</v>
      </c>
      <c r="G218" s="2">
        <v>1.5315</v>
      </c>
      <c r="H218" s="13">
        <v>44410.0</v>
      </c>
      <c r="I218" s="2">
        <v>41.603603</v>
      </c>
      <c r="J218" s="2">
        <v>1.11</v>
      </c>
      <c r="K218" s="2"/>
      <c r="L218" s="2"/>
    </row>
    <row r="219" ht="11.25" customHeight="1">
      <c r="A219" s="2" t="s">
        <v>247</v>
      </c>
      <c r="B219" s="2" t="s">
        <v>5670</v>
      </c>
      <c r="C219" s="26" t="s">
        <v>5671</v>
      </c>
      <c r="D219" s="2" t="s">
        <v>5672</v>
      </c>
      <c r="E219" s="70">
        <v>2.1521143808E10</v>
      </c>
      <c r="F219" s="6">
        <v>1214403.0</v>
      </c>
      <c r="G219" s="2">
        <v>1.1</v>
      </c>
      <c r="H219" s="13">
        <v>44411.0</v>
      </c>
      <c r="I219" s="2">
        <v>25.24538</v>
      </c>
      <c r="J219" s="2">
        <v>5.033</v>
      </c>
      <c r="K219" s="2"/>
      <c r="L219" s="2"/>
    </row>
    <row r="220" ht="11.25" customHeight="1">
      <c r="A220" s="2" t="s">
        <v>248</v>
      </c>
      <c r="B220" s="2" t="s">
        <v>5673</v>
      </c>
      <c r="C220" s="26" t="s">
        <v>5674</v>
      </c>
      <c r="D220" s="2" t="s">
        <v>5675</v>
      </c>
      <c r="E220" s="70">
        <v>2.3411011584E10</v>
      </c>
      <c r="F220" s="6">
        <v>2272561.0</v>
      </c>
      <c r="G220" s="2">
        <v>0.34</v>
      </c>
      <c r="H220" s="13">
        <v>44405.0</v>
      </c>
      <c r="I220" s="2" t="s">
        <v>5024</v>
      </c>
      <c r="J220" s="2">
        <v>-13.979</v>
      </c>
      <c r="K220" s="2"/>
      <c r="L220" s="2"/>
    </row>
    <row r="221" ht="11.25" customHeight="1">
      <c r="A221" s="2" t="s">
        <v>249</v>
      </c>
      <c r="B221" s="2" t="s">
        <v>5676</v>
      </c>
      <c r="C221" s="26" t="s">
        <v>5677</v>
      </c>
      <c r="D221" s="2" t="s">
        <v>5678</v>
      </c>
      <c r="E221" s="70">
        <v>2.3132268544E10</v>
      </c>
      <c r="F221" s="6">
        <v>706141.0</v>
      </c>
      <c r="G221" s="2">
        <v>3.8</v>
      </c>
      <c r="H221" s="13">
        <v>44404.0</v>
      </c>
      <c r="I221" s="2">
        <v>39.013798</v>
      </c>
      <c r="J221" s="2">
        <v>4.421</v>
      </c>
      <c r="K221" s="2"/>
      <c r="L221" s="2"/>
    </row>
    <row r="222" ht="11.25" customHeight="1">
      <c r="A222" s="2" t="s">
        <v>250</v>
      </c>
      <c r="B222" s="2" t="s">
        <v>5679</v>
      </c>
      <c r="C222" s="26" t="s">
        <v>5680</v>
      </c>
      <c r="D222" s="2" t="s">
        <v>5681</v>
      </c>
      <c r="E222" s="70">
        <v>7.500369408E9</v>
      </c>
      <c r="F222" s="6">
        <v>4119111.0</v>
      </c>
      <c r="G222" s="2">
        <v>0.623</v>
      </c>
      <c r="H222" s="2" t="s">
        <v>733</v>
      </c>
      <c r="I222" s="2">
        <v>7.471167</v>
      </c>
      <c r="J222" s="2">
        <v>6.503</v>
      </c>
      <c r="K222" s="2"/>
      <c r="L222" s="2"/>
    </row>
    <row r="223" ht="11.25" customHeight="1">
      <c r="A223" s="2" t="s">
        <v>251</v>
      </c>
      <c r="B223" s="2" t="s">
        <v>5682</v>
      </c>
      <c r="C223" s="26" t="s">
        <v>5683</v>
      </c>
      <c r="D223" s="2" t="s">
        <v>5684</v>
      </c>
      <c r="E223" s="70">
        <v>5.5922876416E10</v>
      </c>
      <c r="F223" s="6">
        <v>8.2737903E7</v>
      </c>
      <c r="G223" s="2">
        <v>0.15</v>
      </c>
      <c r="H223" s="13">
        <v>44405.0</v>
      </c>
      <c r="I223" s="2">
        <v>13.687122</v>
      </c>
      <c r="J223" s="2">
        <v>0.994</v>
      </c>
      <c r="K223" s="2"/>
      <c r="L223" s="2"/>
    </row>
    <row r="224" ht="11.25" customHeight="1">
      <c r="A224" s="2" t="s">
        <v>252</v>
      </c>
      <c r="B224" s="2" t="s">
        <v>5685</v>
      </c>
      <c r="C224" s="26" t="s">
        <v>5686</v>
      </c>
      <c r="D224" s="2" t="s">
        <v>5687</v>
      </c>
      <c r="E224" s="70">
        <v>1.4798944256E10</v>
      </c>
      <c r="F224" s="6">
        <v>2394831.0</v>
      </c>
      <c r="G224" s="2">
        <v>1.55</v>
      </c>
      <c r="H224" s="13">
        <v>44410.0</v>
      </c>
      <c r="I224" s="2" t="s">
        <v>5024</v>
      </c>
      <c r="J224" s="2">
        <v>-25.244</v>
      </c>
      <c r="K224" s="2"/>
      <c r="L224" s="2"/>
    </row>
    <row r="225" ht="11.25" customHeight="1">
      <c r="A225" s="2" t="s">
        <v>253</v>
      </c>
      <c r="B225" s="2" t="s">
        <v>5688</v>
      </c>
      <c r="C225" s="26" t="s">
        <v>5689</v>
      </c>
      <c r="D225" s="2" t="s">
        <v>5690</v>
      </c>
      <c r="E225" s="70">
        <v>3.0763958272E10</v>
      </c>
      <c r="F225" s="6">
        <v>3012314.0</v>
      </c>
      <c r="G225" s="2">
        <v>1.74</v>
      </c>
      <c r="H225" s="2" t="s">
        <v>733</v>
      </c>
      <c r="I225" s="2">
        <v>35.78</v>
      </c>
      <c r="J225" s="2">
        <v>1.5</v>
      </c>
      <c r="K225" s="2"/>
      <c r="L225" s="2"/>
    </row>
    <row r="226" ht="11.25" customHeight="1">
      <c r="A226" s="2" t="s">
        <v>254</v>
      </c>
      <c r="B226" s="2" t="s">
        <v>5691</v>
      </c>
      <c r="C226" s="26" t="s">
        <v>5692</v>
      </c>
      <c r="D226" s="2" t="s">
        <v>5693</v>
      </c>
      <c r="E226" s="70">
        <v>9.76702537728E11</v>
      </c>
      <c r="F226" s="6">
        <v>1.7037644E7</v>
      </c>
      <c r="G226" s="2">
        <v>0.0</v>
      </c>
      <c r="H226" s="13">
        <v>44405.0</v>
      </c>
      <c r="I226" s="2">
        <v>29.16374</v>
      </c>
      <c r="J226" s="2">
        <v>11.671</v>
      </c>
      <c r="K226" s="2"/>
      <c r="L226" s="2"/>
    </row>
    <row r="227" ht="11.25" customHeight="1">
      <c r="A227" s="2" t="s">
        <v>255</v>
      </c>
      <c r="B227" s="2" t="s">
        <v>5694</v>
      </c>
      <c r="C227" s="26" t="s">
        <v>5695</v>
      </c>
      <c r="D227" s="2" t="s">
        <v>5696</v>
      </c>
      <c r="E227" s="70">
        <v>1.3378865152E10</v>
      </c>
      <c r="F227" s="6">
        <v>835817.0</v>
      </c>
      <c r="G227" s="2">
        <v>1.0</v>
      </c>
      <c r="H227" s="13">
        <v>44404.0</v>
      </c>
      <c r="I227" s="2">
        <v>21.57491</v>
      </c>
      <c r="J227" s="2">
        <v>4.432</v>
      </c>
      <c r="K227" s="2"/>
      <c r="L227" s="2"/>
    </row>
    <row r="228" ht="11.25" customHeight="1">
      <c r="A228" s="2" t="s">
        <v>256</v>
      </c>
      <c r="B228" s="2" t="s">
        <v>5697</v>
      </c>
      <c r="C228" s="26" t="s">
        <v>5698</v>
      </c>
      <c r="D228" s="2" t="s">
        <v>5699</v>
      </c>
      <c r="E228" s="70">
        <v>5.042888704E10</v>
      </c>
      <c r="F228" s="6">
        <v>2.4102522E7</v>
      </c>
      <c r="G228" s="2">
        <v>0.15</v>
      </c>
      <c r="H228" s="13">
        <v>44399.0</v>
      </c>
      <c r="I228" s="2">
        <v>26.897392</v>
      </c>
      <c r="J228" s="2">
        <v>1.228</v>
      </c>
      <c r="K228" s="2"/>
      <c r="L228" s="2"/>
    </row>
    <row r="229" ht="11.25" customHeight="1">
      <c r="A229" s="2" t="s">
        <v>257</v>
      </c>
      <c r="B229" s="2" t="s">
        <v>5700</v>
      </c>
      <c r="C229" s="26" t="s">
        <v>5701</v>
      </c>
      <c r="D229" s="2" t="s">
        <v>5702</v>
      </c>
      <c r="E229" s="70">
        <v>7.8642061312E10</v>
      </c>
      <c r="F229" s="6">
        <v>2195565.0</v>
      </c>
      <c r="G229" s="2">
        <v>2.69999999999999</v>
      </c>
      <c r="H229" s="2" t="s">
        <v>733</v>
      </c>
      <c r="I229" s="2">
        <v>15.053471</v>
      </c>
      <c r="J229" s="2">
        <v>19.45</v>
      </c>
      <c r="K229" s="2"/>
      <c r="L229" s="2"/>
    </row>
    <row r="230" ht="11.25" customHeight="1">
      <c r="A230" s="2" t="s">
        <v>258</v>
      </c>
      <c r="B230" s="2" t="s">
        <v>5703</v>
      </c>
      <c r="C230" s="26" t="s">
        <v>5704</v>
      </c>
      <c r="D230" s="2" t="s">
        <v>5705</v>
      </c>
      <c r="E230" s="70">
        <v>2.0369055744E10</v>
      </c>
      <c r="F230" s="6">
        <v>2955330.0</v>
      </c>
      <c r="G230" s="2">
        <v>1.56</v>
      </c>
      <c r="H230" s="13">
        <v>44398.0</v>
      </c>
      <c r="I230" s="2">
        <v>15.36872</v>
      </c>
      <c r="J230" s="2">
        <v>2.468</v>
      </c>
      <c r="K230" s="2"/>
      <c r="L230" s="2"/>
    </row>
    <row r="231" ht="11.25" customHeight="1">
      <c r="A231" s="2" t="s">
        <v>259</v>
      </c>
      <c r="B231" s="2" t="s">
        <v>5706</v>
      </c>
      <c r="C231" s="26" t="s">
        <v>5707</v>
      </c>
      <c r="D231" s="2" t="s">
        <v>5708</v>
      </c>
      <c r="E231" s="70">
        <v>1.102875648E10</v>
      </c>
      <c r="F231" s="6">
        <v>547684.0</v>
      </c>
      <c r="G231" s="2">
        <v>0.0</v>
      </c>
      <c r="H231" s="13">
        <v>44403.0</v>
      </c>
      <c r="I231" s="2">
        <v>41.345215</v>
      </c>
      <c r="J231" s="2">
        <v>4.49</v>
      </c>
      <c r="K231" s="2"/>
      <c r="L231" s="2"/>
    </row>
    <row r="232" ht="11.25" customHeight="1">
      <c r="A232" s="2" t="s">
        <v>260</v>
      </c>
      <c r="B232" s="2" t="s">
        <v>5709</v>
      </c>
      <c r="C232" s="26" t="s">
        <v>5710</v>
      </c>
      <c r="D232" s="2" t="s">
        <v>5711</v>
      </c>
      <c r="E232" s="70">
        <v>9.2138323968E10</v>
      </c>
      <c r="F232" s="6">
        <v>2531188.0</v>
      </c>
      <c r="G232" s="2">
        <v>1.48</v>
      </c>
      <c r="H232" s="13">
        <v>44410.0</v>
      </c>
      <c r="I232" s="2" t="s">
        <v>5024</v>
      </c>
      <c r="J232" s="2">
        <v>-0.371</v>
      </c>
      <c r="K232" s="2"/>
      <c r="L232" s="2"/>
    </row>
    <row r="233" ht="11.25" customHeight="1">
      <c r="A233" s="2" t="s">
        <v>261</v>
      </c>
      <c r="B233" s="2" t="s">
        <v>5712</v>
      </c>
      <c r="C233" s="26" t="s">
        <v>5713</v>
      </c>
      <c r="D233" s="2" t="s">
        <v>5714</v>
      </c>
      <c r="E233" s="70">
        <v>7.332401152E10</v>
      </c>
      <c r="F233" s="6">
        <v>4559630.0</v>
      </c>
      <c r="G233" s="2">
        <v>0.0</v>
      </c>
      <c r="H233" s="13">
        <v>44411.0</v>
      </c>
      <c r="I233" s="2">
        <v>87.26097</v>
      </c>
      <c r="J233" s="2">
        <v>1.276</v>
      </c>
      <c r="K233" s="2"/>
      <c r="L233" s="2"/>
    </row>
    <row r="234" ht="11.25" customHeight="1">
      <c r="A234" s="2" t="s">
        <v>262</v>
      </c>
      <c r="B234" s="2" t="s">
        <v>5715</v>
      </c>
      <c r="C234" s="26" t="s">
        <v>5716</v>
      </c>
      <c r="D234" s="2" t="s">
        <v>5717</v>
      </c>
      <c r="E234" s="70">
        <v>2.6518542336E10</v>
      </c>
      <c r="F234" s="6">
        <v>4897969.0</v>
      </c>
      <c r="G234" s="2">
        <v>1.08</v>
      </c>
      <c r="H234" s="13">
        <v>44399.0</v>
      </c>
      <c r="I234" s="2">
        <v>13.359663</v>
      </c>
      <c r="J234" s="2">
        <v>2.722</v>
      </c>
      <c r="K234" s="2"/>
      <c r="L234" s="2"/>
    </row>
    <row r="235" ht="11.25" customHeight="1">
      <c r="A235" s="2" t="s">
        <v>263</v>
      </c>
      <c r="B235" s="2" t="s">
        <v>5718</v>
      </c>
      <c r="C235" s="26" t="s">
        <v>5719</v>
      </c>
      <c r="D235" s="2" t="s">
        <v>5720</v>
      </c>
      <c r="E235" s="70">
        <v>2.1428348928E10</v>
      </c>
      <c r="F235" s="6">
        <v>671758.0</v>
      </c>
      <c r="G235" s="2">
        <v>0.0</v>
      </c>
      <c r="H235" s="13">
        <v>44412.0</v>
      </c>
      <c r="I235" s="2">
        <v>29.621283</v>
      </c>
      <c r="J235" s="2">
        <v>8.608</v>
      </c>
      <c r="K235" s="2"/>
      <c r="L235" s="2"/>
    </row>
    <row r="236" ht="11.25" customHeight="1">
      <c r="A236" s="2" t="s">
        <v>264</v>
      </c>
      <c r="B236" s="2" t="s">
        <v>5721</v>
      </c>
      <c r="C236" s="26" t="s">
        <v>5722</v>
      </c>
      <c r="D236" s="2" t="s">
        <v>5723</v>
      </c>
      <c r="E236" s="70">
        <v>1.381174784E10</v>
      </c>
      <c r="F236" s="6">
        <v>784526.0</v>
      </c>
      <c r="G236" s="2">
        <v>1.88</v>
      </c>
      <c r="H236" s="13">
        <v>44411.0</v>
      </c>
      <c r="I236" s="2">
        <v>26.020306</v>
      </c>
      <c r="J236" s="2">
        <v>4.038</v>
      </c>
      <c r="K236" s="2"/>
      <c r="L236" s="2"/>
    </row>
    <row r="237" ht="11.25" customHeight="1">
      <c r="A237" s="2" t="s">
        <v>265</v>
      </c>
      <c r="B237" s="2" t="s">
        <v>5724</v>
      </c>
      <c r="C237" s="26" t="s">
        <v>5725</v>
      </c>
      <c r="D237" s="2" t="s">
        <v>5726</v>
      </c>
      <c r="E237" s="70">
        <v>2.0303065088E10</v>
      </c>
      <c r="F237" s="6">
        <v>1037642.0</v>
      </c>
      <c r="G237" s="2">
        <v>0.46</v>
      </c>
      <c r="H237" s="2" t="s">
        <v>733</v>
      </c>
      <c r="I237" s="2">
        <v>9.940406</v>
      </c>
      <c r="J237" s="2">
        <v>3.356</v>
      </c>
      <c r="K237" s="2"/>
      <c r="L237" s="2"/>
    </row>
    <row r="238" ht="11.25" customHeight="1">
      <c r="A238" s="2" t="s">
        <v>266</v>
      </c>
      <c r="B238" s="2" t="s">
        <v>5724</v>
      </c>
      <c r="C238" s="26" t="s">
        <v>5727</v>
      </c>
      <c r="D238" s="2" t="s">
        <v>5726</v>
      </c>
      <c r="E238" s="70">
        <v>2.029468672E10</v>
      </c>
      <c r="F238" s="6">
        <v>2912660.0</v>
      </c>
      <c r="G238" s="2">
        <v>0.46</v>
      </c>
      <c r="H238" s="13">
        <v>44410.0</v>
      </c>
      <c r="I238" s="2">
        <v>10.508045</v>
      </c>
      <c r="J238" s="2">
        <v>3.356</v>
      </c>
      <c r="K238" s="2"/>
      <c r="L238" s="2"/>
    </row>
    <row r="239" ht="11.25" customHeight="1">
      <c r="A239" s="2" t="s">
        <v>267</v>
      </c>
      <c r="B239" s="2" t="s">
        <v>5728</v>
      </c>
      <c r="C239" s="26" t="s">
        <v>5729</v>
      </c>
      <c r="D239" s="2" t="s">
        <v>5730</v>
      </c>
      <c r="E239" s="70">
        <v>3.5275505664E10</v>
      </c>
      <c r="F239" s="6">
        <v>660007.0</v>
      </c>
      <c r="G239" s="2">
        <v>1.04</v>
      </c>
      <c r="H239" s="2" t="s">
        <v>733</v>
      </c>
      <c r="I239" s="2">
        <v>28.061531</v>
      </c>
      <c r="J239" s="2">
        <v>6.954</v>
      </c>
      <c r="K239" s="2"/>
      <c r="L239" s="2"/>
    </row>
    <row r="240" ht="11.25" customHeight="1">
      <c r="A240" s="2" t="s">
        <v>268</v>
      </c>
      <c r="B240" s="2" t="s">
        <v>5731</v>
      </c>
      <c r="C240" s="26" t="s">
        <v>5732</v>
      </c>
      <c r="D240" s="2" t="s">
        <v>5733</v>
      </c>
      <c r="E240" s="70">
        <v>9.123580928E9</v>
      </c>
      <c r="F240" s="6">
        <v>643519.0</v>
      </c>
      <c r="G240" s="2">
        <v>4.24</v>
      </c>
      <c r="H240" s="13">
        <v>44411.0</v>
      </c>
      <c r="I240" s="2">
        <v>76.91804</v>
      </c>
      <c r="J240" s="2">
        <v>1.525</v>
      </c>
      <c r="K240" s="2"/>
      <c r="L240" s="2"/>
    </row>
    <row r="241" ht="11.25" customHeight="1">
      <c r="A241" s="2" t="s">
        <v>269</v>
      </c>
      <c r="B241" s="2" t="s">
        <v>5734</v>
      </c>
      <c r="C241" s="26" t="s">
        <v>5735</v>
      </c>
      <c r="D241" s="2" t="s">
        <v>5736</v>
      </c>
      <c r="E241" s="70">
        <v>9.100307456E9</v>
      </c>
      <c r="F241" s="6">
        <v>2241361.0</v>
      </c>
      <c r="G241" s="2">
        <v>0.0</v>
      </c>
      <c r="H241" s="13">
        <v>44412.0</v>
      </c>
      <c r="I241" s="2">
        <v>17.247934</v>
      </c>
      <c r="J241" s="2">
        <v>4.84</v>
      </c>
      <c r="K241" s="2"/>
      <c r="L241" s="2"/>
    </row>
    <row r="242" ht="11.25" customHeight="1">
      <c r="A242" s="2" t="s">
        <v>270</v>
      </c>
      <c r="B242" s="2" t="s">
        <v>5737</v>
      </c>
      <c r="C242" s="26" t="s">
        <v>5738</v>
      </c>
      <c r="D242" s="2" t="s">
        <v>5739</v>
      </c>
      <c r="E242" s="70">
        <v>5.679712768E9</v>
      </c>
      <c r="F242" s="6">
        <v>4911133.0</v>
      </c>
      <c r="G242" s="2">
        <v>0.0</v>
      </c>
      <c r="H242" s="13">
        <v>44411.0</v>
      </c>
      <c r="I242" s="2" t="s">
        <v>5024</v>
      </c>
      <c r="J242" s="2">
        <v>-1.244</v>
      </c>
      <c r="K242" s="2"/>
      <c r="L242" s="2"/>
    </row>
    <row r="243" ht="11.25" customHeight="1">
      <c r="A243" s="2" t="s">
        <v>271</v>
      </c>
      <c r="B243" s="2" t="s">
        <v>5740</v>
      </c>
      <c r="C243" s="26" t="s">
        <v>5741</v>
      </c>
      <c r="D243" s="2" t="s">
        <v>5742</v>
      </c>
      <c r="E243" s="70">
        <v>4.1858400256E10</v>
      </c>
      <c r="F243" s="6">
        <v>958606.0</v>
      </c>
      <c r="G243" s="2">
        <v>0.0</v>
      </c>
      <c r="H243" s="13">
        <v>44406.0</v>
      </c>
      <c r="I243" s="2">
        <v>87.98207</v>
      </c>
      <c r="J243" s="2">
        <v>2.956</v>
      </c>
      <c r="K243" s="2"/>
      <c r="L243" s="2"/>
    </row>
    <row r="244" ht="11.25" customHeight="1">
      <c r="A244" s="2" t="s">
        <v>272</v>
      </c>
      <c r="B244" s="2" t="s">
        <v>5743</v>
      </c>
      <c r="C244" s="26" t="s">
        <v>5744</v>
      </c>
      <c r="D244" s="2" t="s">
        <v>5745</v>
      </c>
      <c r="E244" s="70">
        <v>2.3822075904E10</v>
      </c>
      <c r="F244" s="6">
        <v>2712695.0</v>
      </c>
      <c r="G244" s="2">
        <v>0.26858</v>
      </c>
      <c r="H244" s="13">
        <v>44403.0</v>
      </c>
      <c r="I244" s="2">
        <v>14.957282</v>
      </c>
      <c r="J244" s="2">
        <v>4.682</v>
      </c>
      <c r="K244" s="2"/>
      <c r="L244" s="2"/>
    </row>
    <row r="245" ht="11.25" customHeight="1">
      <c r="A245" s="2" t="s">
        <v>273</v>
      </c>
      <c r="B245" s="2" t="s">
        <v>5746</v>
      </c>
      <c r="C245" s="26" t="s">
        <v>5747</v>
      </c>
      <c r="D245" s="2" t="s">
        <v>5748</v>
      </c>
      <c r="E245" s="70">
        <v>3.609273856E9</v>
      </c>
      <c r="F245" s="6">
        <v>1.2859204E7</v>
      </c>
      <c r="G245" s="2">
        <v>0.0</v>
      </c>
      <c r="H245" s="2" t="s">
        <v>733</v>
      </c>
      <c r="I245" s="2" t="s">
        <v>5024</v>
      </c>
      <c r="J245" s="2">
        <v>-8.789</v>
      </c>
      <c r="K245" s="2"/>
      <c r="L245" s="2"/>
    </row>
    <row r="246" ht="11.25" customHeight="1">
      <c r="A246" s="2" t="s">
        <v>274</v>
      </c>
      <c r="B246" s="2" t="s">
        <v>5749</v>
      </c>
      <c r="C246" s="26" t="s">
        <v>5750</v>
      </c>
      <c r="D246" s="2" t="s">
        <v>5751</v>
      </c>
      <c r="E246" s="70">
        <v>5.786415104E9</v>
      </c>
      <c r="F246" s="6">
        <v>1.6810923E7</v>
      </c>
      <c r="G246" s="2">
        <v>0.684</v>
      </c>
      <c r="H246" s="2" t="s">
        <v>733</v>
      </c>
      <c r="I246" s="2">
        <v>4.6490307</v>
      </c>
      <c r="J246" s="2">
        <v>9.545</v>
      </c>
      <c r="K246" s="2"/>
      <c r="L246" s="2"/>
    </row>
    <row r="247" ht="11.25" customHeight="1">
      <c r="A247" s="2" t="s">
        <v>275</v>
      </c>
      <c r="B247" s="2" t="s">
        <v>5752</v>
      </c>
      <c r="C247" s="26" t="s">
        <v>5753</v>
      </c>
      <c r="D247" s="2" t="s">
        <v>5754</v>
      </c>
      <c r="E247" s="70">
        <v>4.483382784E9</v>
      </c>
      <c r="F247" s="6">
        <v>9299031.0</v>
      </c>
      <c r="G247" s="2">
        <v>0.0</v>
      </c>
      <c r="H247" s="2" t="s">
        <v>733</v>
      </c>
      <c r="I247" s="2" t="s">
        <v>5024</v>
      </c>
      <c r="J247" s="2" t="s">
        <v>5024</v>
      </c>
      <c r="K247" s="2"/>
      <c r="L247" s="2"/>
    </row>
    <row r="248" ht="11.25" customHeight="1">
      <c r="A248" s="2" t="s">
        <v>276</v>
      </c>
      <c r="B248" s="2" t="s">
        <v>5755</v>
      </c>
      <c r="C248" s="26" t="s">
        <v>5756</v>
      </c>
      <c r="D248" s="2" t="s">
        <v>5757</v>
      </c>
      <c r="E248" s="70">
        <v>5.347885056E10</v>
      </c>
      <c r="F248" s="6">
        <v>1057847.0</v>
      </c>
      <c r="G248" s="2">
        <v>4.58</v>
      </c>
      <c r="H248" s="13">
        <v>44404.0</v>
      </c>
      <c r="I248" s="2">
        <v>17.170963</v>
      </c>
      <c r="J248" s="2">
        <v>11.055</v>
      </c>
      <c r="K248" s="2"/>
      <c r="L248" s="2"/>
    </row>
    <row r="249" ht="11.25" customHeight="1">
      <c r="A249" s="2" t="s">
        <v>277</v>
      </c>
      <c r="B249" s="2" t="s">
        <v>5758</v>
      </c>
      <c r="C249" s="26" t="s">
        <v>5759</v>
      </c>
      <c r="D249" s="2" t="s">
        <v>5760</v>
      </c>
      <c r="E249" s="70">
        <v>9.892389525E9</v>
      </c>
      <c r="F249" s="6">
        <v>2.0706984E7</v>
      </c>
      <c r="G249" s="2">
        <v>0.19</v>
      </c>
      <c r="H249" s="2" t="s">
        <v>733</v>
      </c>
      <c r="I249" s="2" t="s">
        <v>5024</v>
      </c>
      <c r="J249" s="2" t="s">
        <v>5024</v>
      </c>
      <c r="K249" s="2"/>
      <c r="L249" s="2"/>
    </row>
    <row r="250" ht="11.25" customHeight="1">
      <c r="A250" s="2" t="s">
        <v>278</v>
      </c>
      <c r="B250" s="2" t="s">
        <v>5761</v>
      </c>
      <c r="C250" s="26" t="s">
        <v>5762</v>
      </c>
      <c r="D250" s="2" t="s">
        <v>5763</v>
      </c>
      <c r="E250" s="70">
        <v>1.12191021056E11</v>
      </c>
      <c r="F250" s="6">
        <v>5.8992573E7</v>
      </c>
      <c r="G250" s="2">
        <v>0.04</v>
      </c>
      <c r="H250" s="13">
        <v>44404.0</v>
      </c>
      <c r="I250" s="2" t="s">
        <v>5024</v>
      </c>
      <c r="J250" s="2">
        <v>-0.453</v>
      </c>
      <c r="K250" s="2"/>
      <c r="L250" s="2"/>
    </row>
    <row r="251" ht="11.25" customHeight="1">
      <c r="A251" s="2" t="s">
        <v>279</v>
      </c>
      <c r="B251" s="2" t="s">
        <v>5764</v>
      </c>
      <c r="C251" s="26" t="s">
        <v>5765</v>
      </c>
      <c r="D251" s="2" t="s">
        <v>5766</v>
      </c>
      <c r="E251" s="70">
        <v>8.5660491776E10</v>
      </c>
      <c r="F251" s="6">
        <v>6893919.0</v>
      </c>
      <c r="G251" s="2">
        <v>2.78</v>
      </c>
      <c r="H251" s="13">
        <v>44405.0</v>
      </c>
      <c r="I251" s="2">
        <v>286.39584</v>
      </c>
      <c r="J251" s="2">
        <v>0.24</v>
      </c>
      <c r="K251" s="2"/>
      <c r="L251" s="2"/>
    </row>
    <row r="252" ht="11.25" customHeight="1">
      <c r="A252" s="2" t="s">
        <v>280</v>
      </c>
      <c r="B252" s="2" t="s">
        <v>5767</v>
      </c>
      <c r="C252" s="26" t="s">
        <v>5768</v>
      </c>
      <c r="D252" s="2" t="s">
        <v>5769</v>
      </c>
      <c r="E252" s="70">
        <v>3.6286869504E10</v>
      </c>
      <c r="F252" s="6">
        <v>3790161.0</v>
      </c>
      <c r="G252" s="2">
        <v>2.04</v>
      </c>
      <c r="H252" s="2" t="s">
        <v>733</v>
      </c>
      <c r="I252" s="2">
        <v>15.880952</v>
      </c>
      <c r="J252" s="2">
        <v>3.78</v>
      </c>
      <c r="K252" s="2"/>
      <c r="L252" s="2"/>
    </row>
    <row r="253" ht="11.25" customHeight="1">
      <c r="A253" s="2" t="s">
        <v>281</v>
      </c>
      <c r="B253" s="2" t="s">
        <v>5770</v>
      </c>
      <c r="C253" s="26" t="s">
        <v>5771</v>
      </c>
      <c r="D253" s="2" t="s">
        <v>5772</v>
      </c>
      <c r="E253" s="70">
        <v>9.750875136E9</v>
      </c>
      <c r="F253" s="6">
        <v>411096.0</v>
      </c>
      <c r="G253" s="2">
        <v>0.7705</v>
      </c>
      <c r="H253" s="13">
        <v>44397.0</v>
      </c>
      <c r="I253" s="2">
        <v>13.406852</v>
      </c>
      <c r="J253" s="2">
        <v>7.005</v>
      </c>
      <c r="K253" s="2"/>
      <c r="L253" s="2"/>
    </row>
    <row r="254" ht="11.25" customHeight="1">
      <c r="A254" s="2" t="s">
        <v>282</v>
      </c>
      <c r="B254" s="2" t="s">
        <v>5773</v>
      </c>
      <c r="C254" s="26" t="s">
        <v>5774</v>
      </c>
      <c r="D254" s="2" t="s">
        <v>5775</v>
      </c>
      <c r="E254" s="70">
        <v>4.4534726656E10</v>
      </c>
      <c r="F254" s="6">
        <v>8864914.0</v>
      </c>
      <c r="G254" s="2">
        <v>0.0</v>
      </c>
      <c r="H254" s="2" t="s">
        <v>733</v>
      </c>
      <c r="I254" s="2">
        <v>28.506058</v>
      </c>
      <c r="J254" s="2">
        <v>5.944</v>
      </c>
      <c r="K254" s="2"/>
      <c r="L254" s="2"/>
    </row>
    <row r="255" ht="11.25" customHeight="1">
      <c r="A255" s="2" t="s">
        <v>283</v>
      </c>
      <c r="B255" s="2" t="s">
        <v>5776</v>
      </c>
      <c r="C255" s="26" t="s">
        <v>5777</v>
      </c>
      <c r="D255" s="2" t="s">
        <v>5778</v>
      </c>
      <c r="E255" s="70">
        <v>3.4522525696E10</v>
      </c>
      <c r="F255" s="6">
        <v>4367742.0</v>
      </c>
      <c r="G255" s="2">
        <v>0.919999999999999</v>
      </c>
      <c r="H255" s="13">
        <v>44404.0</v>
      </c>
      <c r="I255" s="2">
        <v>28.290781</v>
      </c>
      <c r="J255" s="2">
        <v>1.41</v>
      </c>
      <c r="K255" s="2"/>
      <c r="L255" s="2"/>
    </row>
    <row r="256" ht="11.25" customHeight="1">
      <c r="A256" s="2" t="s">
        <v>284</v>
      </c>
      <c r="B256" s="2" t="s">
        <v>5779</v>
      </c>
      <c r="C256" s="26" t="s">
        <v>5780</v>
      </c>
      <c r="D256" s="2" t="s">
        <v>5781</v>
      </c>
      <c r="E256" s="70">
        <v>8.2644672512E10</v>
      </c>
      <c r="F256" s="6">
        <v>1.5602441E7</v>
      </c>
      <c r="G256" s="2">
        <v>0.38</v>
      </c>
      <c r="H256" s="13">
        <v>44412.0</v>
      </c>
      <c r="I256" s="2">
        <v>8.954802</v>
      </c>
      <c r="J256" s="2">
        <v>6.195</v>
      </c>
      <c r="K256" s="2"/>
      <c r="L256" s="2"/>
    </row>
    <row r="257" ht="11.25" customHeight="1">
      <c r="A257" s="2" t="s">
        <v>285</v>
      </c>
      <c r="B257" s="2" t="s">
        <v>5782</v>
      </c>
      <c r="C257" s="26" t="s">
        <v>5783</v>
      </c>
      <c r="D257" s="2" t="s">
        <v>5784</v>
      </c>
      <c r="E257" s="70">
        <v>1.2437690368E10</v>
      </c>
      <c r="F257" s="6">
        <v>6681412.0</v>
      </c>
      <c r="G257" s="2">
        <v>0.0</v>
      </c>
      <c r="H257" s="2" t="s">
        <v>733</v>
      </c>
      <c r="I257" s="2" t="s">
        <v>5024</v>
      </c>
      <c r="J257" s="2">
        <v>-1.78</v>
      </c>
      <c r="K257" s="2"/>
      <c r="L257" s="2"/>
    </row>
    <row r="258" ht="11.25" customHeight="1">
      <c r="A258" s="2" t="s">
        <v>286</v>
      </c>
      <c r="B258" s="2" t="s">
        <v>5785</v>
      </c>
      <c r="C258" s="26" t="s">
        <v>5786</v>
      </c>
      <c r="D258" s="2" t="s">
        <v>5787</v>
      </c>
      <c r="E258" s="70">
        <v>2.7294552064E10</v>
      </c>
      <c r="F258" s="6">
        <v>742390.0</v>
      </c>
      <c r="G258" s="2">
        <v>0.0</v>
      </c>
      <c r="H258" s="13">
        <v>44405.0</v>
      </c>
      <c r="I258" s="2">
        <v>60.210526</v>
      </c>
      <c r="J258" s="2">
        <v>7.125</v>
      </c>
      <c r="K258" s="2"/>
      <c r="L258" s="2"/>
    </row>
    <row r="259" ht="11.25" customHeight="1">
      <c r="A259" s="2" t="s">
        <v>287</v>
      </c>
      <c r="B259" s="2" t="s">
        <v>5788</v>
      </c>
      <c r="C259" s="26" t="s">
        <v>5789</v>
      </c>
      <c r="D259" s="2" t="s">
        <v>5790</v>
      </c>
      <c r="E259" s="70">
        <v>1.732909596672E12</v>
      </c>
      <c r="F259" s="6">
        <v>1255473.0</v>
      </c>
      <c r="G259" s="2">
        <v>0.0</v>
      </c>
      <c r="H259" s="2" t="s">
        <v>733</v>
      </c>
      <c r="I259" s="2">
        <v>35.144722</v>
      </c>
      <c r="J259" s="2">
        <v>75.04</v>
      </c>
      <c r="K259" s="2"/>
      <c r="L259" s="2"/>
    </row>
    <row r="260" ht="11.25" customHeight="1">
      <c r="A260" s="2" t="s">
        <v>288</v>
      </c>
      <c r="B260" s="2" t="s">
        <v>5788</v>
      </c>
      <c r="C260" s="26" t="s">
        <v>5791</v>
      </c>
      <c r="D260" s="2" t="s">
        <v>5790</v>
      </c>
      <c r="E260" s="70">
        <v>1.726930223104E12</v>
      </c>
      <c r="F260" s="6">
        <v>1408017.0</v>
      </c>
      <c r="G260" s="2">
        <v>0.0</v>
      </c>
      <c r="H260" s="13">
        <v>44405.0</v>
      </c>
      <c r="I260" s="2">
        <v>33.834755</v>
      </c>
      <c r="J260" s="2">
        <v>75.04</v>
      </c>
      <c r="K260" s="2"/>
      <c r="L260" s="2"/>
    </row>
    <row r="261" ht="11.25" customHeight="1">
      <c r="A261" s="2" t="s">
        <v>289</v>
      </c>
      <c r="B261" s="2" t="s">
        <v>5792</v>
      </c>
      <c r="C261" s="26" t="s">
        <v>5793</v>
      </c>
      <c r="D261" s="2" t="s">
        <v>5794</v>
      </c>
      <c r="E261" s="70">
        <v>9.465525E9</v>
      </c>
      <c r="F261" s="6">
        <v>4871453.0</v>
      </c>
      <c r="G261" s="2">
        <v>0.44</v>
      </c>
      <c r="H261" s="2" t="s">
        <v>733</v>
      </c>
      <c r="I261" s="2" t="s">
        <v>5024</v>
      </c>
      <c r="J261" s="2" t="s">
        <v>5024</v>
      </c>
      <c r="K261" s="2"/>
      <c r="L261" s="2"/>
    </row>
    <row r="262" ht="11.25" customHeight="1">
      <c r="A262" s="2" t="s">
        <v>290</v>
      </c>
      <c r="B262" s="2" t="s">
        <v>5795</v>
      </c>
      <c r="C262" s="26" t="s">
        <v>5796</v>
      </c>
      <c r="D262" s="2" t="s">
        <v>5797</v>
      </c>
      <c r="E262" s="70">
        <v>1.8625329152E10</v>
      </c>
      <c r="F262" s="6">
        <v>739693.0</v>
      </c>
      <c r="G262" s="2">
        <v>3.21</v>
      </c>
      <c r="H262" s="13">
        <v>44399.0</v>
      </c>
      <c r="I262" s="2">
        <v>349.53424</v>
      </c>
      <c r="J262" s="2">
        <v>0.365</v>
      </c>
      <c r="K262" s="2"/>
      <c r="L262" s="2"/>
    </row>
    <row r="263" ht="11.25" customHeight="1">
      <c r="A263" s="2" t="s">
        <v>291</v>
      </c>
      <c r="B263" s="2" t="s">
        <v>5798</v>
      </c>
      <c r="C263" s="26" t="s">
        <v>5799</v>
      </c>
      <c r="D263" s="2" t="s">
        <v>5800</v>
      </c>
      <c r="E263" s="70">
        <v>5.7652731904E10</v>
      </c>
      <c r="F263" s="6">
        <v>1468568.0</v>
      </c>
      <c r="G263" s="2">
        <v>0.78</v>
      </c>
      <c r="H263" s="13">
        <v>44410.0</v>
      </c>
      <c r="I263" s="2">
        <v>91.733215</v>
      </c>
      <c r="J263" s="2">
        <v>2.129</v>
      </c>
      <c r="K263" s="2"/>
      <c r="L263" s="2"/>
    </row>
    <row r="264" ht="11.25" customHeight="1">
      <c r="A264" s="2" t="s">
        <v>292</v>
      </c>
      <c r="B264" s="2" t="s">
        <v>5801</v>
      </c>
      <c r="C264" s="26" t="s">
        <v>5802</v>
      </c>
      <c r="D264" s="2" t="s">
        <v>5803</v>
      </c>
      <c r="E264" s="70">
        <v>1.1237435392E10</v>
      </c>
      <c r="F264" s="6">
        <v>6079779.0</v>
      </c>
      <c r="G264" s="2">
        <v>0.3625</v>
      </c>
      <c r="H264" s="2" t="s">
        <v>733</v>
      </c>
      <c r="I264" s="2">
        <v>24.712793</v>
      </c>
      <c r="J264" s="2">
        <v>1.149</v>
      </c>
      <c r="K264" s="2"/>
      <c r="L264" s="2"/>
    </row>
    <row r="265" ht="11.25" customHeight="1">
      <c r="A265" s="2" t="s">
        <v>293</v>
      </c>
      <c r="B265" s="2" t="s">
        <v>5804</v>
      </c>
      <c r="C265" s="26" t="s">
        <v>5805</v>
      </c>
      <c r="D265" s="2" t="s">
        <v>5806</v>
      </c>
      <c r="E265" s="70">
        <v>2.8650739712E10</v>
      </c>
      <c r="F265" s="6">
        <v>620846.0</v>
      </c>
      <c r="G265" s="2">
        <v>2.5</v>
      </c>
      <c r="H265" s="13">
        <v>44404.0</v>
      </c>
      <c r="I265" s="2">
        <v>27.357351</v>
      </c>
      <c r="J265" s="2">
        <v>5.468</v>
      </c>
      <c r="K265" s="2"/>
      <c r="L265" s="2"/>
    </row>
    <row r="266" ht="11.25" customHeight="1">
      <c r="A266" s="2" t="s">
        <v>294</v>
      </c>
      <c r="B266" s="2" t="s">
        <v>5807</v>
      </c>
      <c r="C266" s="26" t="s">
        <v>5808</v>
      </c>
      <c r="D266" s="2" t="s">
        <v>5809</v>
      </c>
      <c r="E266" s="70">
        <v>1.26778793984E11</v>
      </c>
      <c r="F266" s="6">
        <v>2816501.0</v>
      </c>
      <c r="G266" s="2">
        <v>5.0</v>
      </c>
      <c r="H266" s="2" t="s">
        <v>733</v>
      </c>
      <c r="I266" s="2">
        <v>6.6850724</v>
      </c>
      <c r="J266" s="2">
        <v>54.461</v>
      </c>
      <c r="K266" s="2"/>
      <c r="L266" s="2"/>
    </row>
    <row r="267" ht="11.25" customHeight="1">
      <c r="A267" s="2" t="s">
        <v>295</v>
      </c>
      <c r="B267" s="2" t="s">
        <v>5810</v>
      </c>
      <c r="C267" s="26" t="s">
        <v>5811</v>
      </c>
      <c r="D267" s="2" t="s">
        <v>5812</v>
      </c>
      <c r="E267" s="70">
        <v>2.38278656E10</v>
      </c>
      <c r="F267" s="6">
        <v>235690.0</v>
      </c>
      <c r="G267" s="2">
        <v>6.21</v>
      </c>
      <c r="H267" s="13">
        <v>44407.0</v>
      </c>
      <c r="I267" s="2">
        <v>32.206375</v>
      </c>
      <c r="J267" s="2">
        <v>14.091</v>
      </c>
      <c r="K267" s="2"/>
      <c r="L267" s="2"/>
    </row>
    <row r="268" ht="11.25" customHeight="1">
      <c r="A268" s="2" t="s">
        <v>296</v>
      </c>
      <c r="B268" s="2" t="s">
        <v>5813</v>
      </c>
      <c r="C268" s="26" t="s">
        <v>5814</v>
      </c>
      <c r="D268" s="2" t="s">
        <v>5815</v>
      </c>
      <c r="E268" s="70">
        <v>1.841718272E10</v>
      </c>
      <c r="F268" s="6">
        <v>8701974.0</v>
      </c>
      <c r="G268" s="2">
        <v>0.18</v>
      </c>
      <c r="H268" s="13">
        <v>44397.0</v>
      </c>
      <c r="I268" s="2" t="s">
        <v>5024</v>
      </c>
      <c r="J268" s="2">
        <v>-1.989</v>
      </c>
      <c r="K268" s="2"/>
      <c r="L268" s="2"/>
    </row>
    <row r="269" ht="11.25" customHeight="1">
      <c r="A269" s="2" t="s">
        <v>297</v>
      </c>
      <c r="B269" s="2" t="s">
        <v>5816</v>
      </c>
      <c r="C269" s="26" t="s">
        <v>5817</v>
      </c>
      <c r="D269" s="2" t="s">
        <v>5818</v>
      </c>
      <c r="E269" s="70">
        <v>1.304154112E10</v>
      </c>
      <c r="F269" s="6">
        <v>670328.0</v>
      </c>
      <c r="G269" s="2">
        <v>3.4</v>
      </c>
      <c r="H269" s="13">
        <v>44403.0</v>
      </c>
      <c r="I269" s="2">
        <v>31.70263</v>
      </c>
      <c r="J269" s="2">
        <v>2.966</v>
      </c>
      <c r="K269" s="2"/>
      <c r="L269" s="2"/>
    </row>
    <row r="270" ht="11.25" customHeight="1">
      <c r="A270" s="2" t="s">
        <v>298</v>
      </c>
      <c r="B270" s="2" t="s">
        <v>5819</v>
      </c>
      <c r="C270" s="26" t="s">
        <v>5820</v>
      </c>
      <c r="D270" s="2" t="s">
        <v>5821</v>
      </c>
      <c r="E270" s="70">
        <v>2.1062733824E10</v>
      </c>
      <c r="F270" s="6">
        <v>1.8463703E7</v>
      </c>
      <c r="G270" s="2">
        <v>0.6</v>
      </c>
      <c r="H270" s="13">
        <v>44406.0</v>
      </c>
      <c r="I270" s="2">
        <v>12.105955</v>
      </c>
      <c r="J270" s="2">
        <v>1.142</v>
      </c>
      <c r="K270" s="2"/>
      <c r="L270" s="2"/>
    </row>
    <row r="271" ht="11.25" customHeight="1">
      <c r="A271" s="2" t="s">
        <v>299</v>
      </c>
      <c r="B271" s="2" t="s">
        <v>5822</v>
      </c>
      <c r="C271" s="26" t="s">
        <v>5823</v>
      </c>
      <c r="D271" s="2" t="s">
        <v>5824</v>
      </c>
      <c r="E271" s="70">
        <v>6.284069888E9</v>
      </c>
      <c r="F271" s="6">
        <v>4278947.0</v>
      </c>
      <c r="G271" s="2">
        <v>0.6</v>
      </c>
      <c r="H271" s="13">
        <v>44405.0</v>
      </c>
      <c r="I271" s="2" t="s">
        <v>5024</v>
      </c>
      <c r="J271" s="2">
        <v>-0.944</v>
      </c>
      <c r="K271" s="2"/>
      <c r="L271" s="2"/>
    </row>
    <row r="272" ht="11.25" customHeight="1">
      <c r="A272" s="2" t="s">
        <v>300</v>
      </c>
      <c r="B272" s="2" t="s">
        <v>5825</v>
      </c>
      <c r="C272" s="26" t="s">
        <v>5826</v>
      </c>
      <c r="D272" s="2" t="s">
        <v>5827</v>
      </c>
      <c r="E272" s="70">
        <v>7.2906121216E10</v>
      </c>
      <c r="F272" s="6">
        <v>1352350.0</v>
      </c>
      <c r="G272" s="2">
        <v>1.3</v>
      </c>
      <c r="H272" s="13">
        <v>44397.0</v>
      </c>
      <c r="I272" s="2">
        <v>16.425049</v>
      </c>
      <c r="J272" s="2">
        <v>13.382</v>
      </c>
      <c r="K272" s="2"/>
      <c r="L272" s="2"/>
    </row>
    <row r="273" ht="11.25" customHeight="1">
      <c r="A273" s="2" t="s">
        <v>301</v>
      </c>
      <c r="B273" s="2" t="s">
        <v>5828</v>
      </c>
      <c r="C273" s="26" t="s">
        <v>5829</v>
      </c>
      <c r="D273" s="2" t="s">
        <v>5830</v>
      </c>
      <c r="E273" s="70">
        <v>3.43082139648E11</v>
      </c>
      <c r="F273" s="6">
        <v>3885384.0</v>
      </c>
      <c r="G273" s="2">
        <v>6.3</v>
      </c>
      <c r="H273" s="2" t="s">
        <v>733</v>
      </c>
      <c r="I273" s="2">
        <v>23.460415</v>
      </c>
      <c r="J273" s="2">
        <v>13.718</v>
      </c>
      <c r="K273" s="2"/>
      <c r="L273" s="2"/>
    </row>
    <row r="274" ht="11.25" customHeight="1">
      <c r="A274" s="2" t="s">
        <v>302</v>
      </c>
      <c r="B274" s="2" t="s">
        <v>5831</v>
      </c>
      <c r="C274" s="26" t="s">
        <v>5832</v>
      </c>
      <c r="D274" s="2" t="s">
        <v>5833</v>
      </c>
      <c r="E274" s="70">
        <v>2.4198711296E10</v>
      </c>
      <c r="F274" s="6">
        <v>1973939.0</v>
      </c>
      <c r="G274" s="2">
        <v>1.0</v>
      </c>
      <c r="H274" s="13">
        <v>44404.0</v>
      </c>
      <c r="I274" s="2" t="s">
        <v>5024</v>
      </c>
      <c r="J274" s="2">
        <v>-1.341</v>
      </c>
      <c r="K274" s="2"/>
      <c r="L274" s="2"/>
    </row>
    <row r="275" ht="11.25" customHeight="1">
      <c r="A275" s="2" t="s">
        <v>303</v>
      </c>
      <c r="B275" s="2" t="s">
        <v>5834</v>
      </c>
      <c r="C275" s="26" t="s">
        <v>5835</v>
      </c>
      <c r="D275" s="2" t="s">
        <v>5836</v>
      </c>
      <c r="E275" s="70">
        <v>4.813186048E9</v>
      </c>
      <c r="F275" s="6">
        <v>3299701.0</v>
      </c>
      <c r="G275" s="2">
        <v>1.04999999999999</v>
      </c>
      <c r="H275" s="13">
        <v>44412.0</v>
      </c>
      <c r="I275" s="2" t="s">
        <v>5024</v>
      </c>
      <c r="J275" s="2">
        <v>-0.94</v>
      </c>
      <c r="K275" s="2"/>
      <c r="L275" s="2"/>
    </row>
    <row r="276" ht="11.25" customHeight="1">
      <c r="A276" s="2" t="s">
        <v>304</v>
      </c>
      <c r="B276" s="2" t="s">
        <v>5837</v>
      </c>
      <c r="C276" s="26" t="s">
        <v>5838</v>
      </c>
      <c r="D276" s="2" t="s">
        <v>5839</v>
      </c>
      <c r="E276" s="70">
        <v>2.261733376E10</v>
      </c>
      <c r="F276" s="6">
        <v>2434193.0</v>
      </c>
      <c r="G276" s="2">
        <v>1.34999999999999</v>
      </c>
      <c r="H276" s="13">
        <v>44405.0</v>
      </c>
      <c r="I276" s="2">
        <v>13.476962</v>
      </c>
      <c r="J276" s="2">
        <v>4.688</v>
      </c>
      <c r="K276" s="2"/>
      <c r="L276" s="2"/>
    </row>
    <row r="277" ht="11.25" customHeight="1">
      <c r="A277" s="2" t="s">
        <v>305</v>
      </c>
      <c r="B277" s="2" t="s">
        <v>5840</v>
      </c>
      <c r="C277" s="26" t="s">
        <v>5841</v>
      </c>
      <c r="D277" s="2" t="s">
        <v>5842</v>
      </c>
      <c r="E277" s="70">
        <v>8.091922944E9</v>
      </c>
      <c r="F277" s="6">
        <v>255058.0</v>
      </c>
      <c r="G277" s="2">
        <v>4.45</v>
      </c>
      <c r="H277" s="13">
        <v>44412.0</v>
      </c>
      <c r="I277" s="2">
        <v>12.11462</v>
      </c>
      <c r="J277" s="2">
        <v>16.594</v>
      </c>
      <c r="K277" s="2"/>
      <c r="L277" s="2"/>
    </row>
    <row r="278" ht="11.25" customHeight="1">
      <c r="A278" s="2" t="s">
        <v>306</v>
      </c>
      <c r="B278" s="2" t="s">
        <v>5843</v>
      </c>
      <c r="C278" s="26" t="s">
        <v>5844</v>
      </c>
      <c r="D278" s="2" t="s">
        <v>5845</v>
      </c>
      <c r="E278" s="70">
        <v>3.4279180288E10</v>
      </c>
      <c r="F278" s="6">
        <v>1854619.0</v>
      </c>
      <c r="G278" s="2">
        <v>0.15</v>
      </c>
      <c r="H278" s="13">
        <v>44406.0</v>
      </c>
      <c r="I278" s="2" t="s">
        <v>5024</v>
      </c>
      <c r="J278" s="2">
        <v>-3.033</v>
      </c>
      <c r="K278" s="2"/>
      <c r="L278" s="2"/>
    </row>
    <row r="279" ht="11.25" customHeight="1">
      <c r="A279" s="2" t="s">
        <v>307</v>
      </c>
      <c r="B279" s="2" t="s">
        <v>5846</v>
      </c>
      <c r="C279" s="26" t="s">
        <v>5847</v>
      </c>
      <c r="D279" s="2" t="s">
        <v>5848</v>
      </c>
      <c r="E279" s="70">
        <v>6.749010432E9</v>
      </c>
      <c r="F279" s="6">
        <v>2204265.0</v>
      </c>
      <c r="G279" s="2">
        <v>0.34</v>
      </c>
      <c r="H279" s="13">
        <v>44398.0</v>
      </c>
      <c r="I279" s="2">
        <v>34.62621</v>
      </c>
      <c r="J279" s="2">
        <v>1.244</v>
      </c>
      <c r="K279" s="2"/>
      <c r="L279" s="2"/>
    </row>
    <row r="280" ht="11.25" customHeight="1">
      <c r="A280" s="2" t="s">
        <v>308</v>
      </c>
      <c r="B280" s="2" t="s">
        <v>5849</v>
      </c>
      <c r="C280" s="26" t="s">
        <v>5850</v>
      </c>
      <c r="D280" s="2" t="s">
        <v>5851</v>
      </c>
      <c r="E280" s="70">
        <v>1.7518649344E10</v>
      </c>
      <c r="F280" s="6">
        <v>2571765.0</v>
      </c>
      <c r="G280" s="2">
        <v>0.0</v>
      </c>
      <c r="H280" s="13">
        <v>44405.0</v>
      </c>
      <c r="I280" s="2">
        <v>9.605877</v>
      </c>
      <c r="J280" s="2">
        <v>7.282</v>
      </c>
      <c r="K280" s="2"/>
      <c r="L280" s="2"/>
    </row>
    <row r="281" ht="11.25" customHeight="1">
      <c r="A281" s="2" t="s">
        <v>309</v>
      </c>
      <c r="B281" s="2" t="s">
        <v>5852</v>
      </c>
      <c r="C281" s="26" t="s">
        <v>5853</v>
      </c>
      <c r="D281" s="2" t="s">
        <v>5854</v>
      </c>
      <c r="E281" s="70">
        <v>2.41766912E9</v>
      </c>
      <c r="F281" s="6">
        <v>2012795.0</v>
      </c>
      <c r="G281" s="2">
        <v>0.0</v>
      </c>
      <c r="H281" s="2" t="s">
        <v>733</v>
      </c>
      <c r="I281" s="2">
        <v>9.125865</v>
      </c>
      <c r="J281" s="2">
        <v>4.044</v>
      </c>
      <c r="K281" s="2"/>
      <c r="L281" s="2"/>
    </row>
    <row r="282" ht="11.25" customHeight="1">
      <c r="A282" s="2" t="s">
        <v>310</v>
      </c>
      <c r="B282" s="2" t="s">
        <v>5855</v>
      </c>
      <c r="C282" s="26" t="s">
        <v>5856</v>
      </c>
      <c r="D282" s="2" t="s">
        <v>5857</v>
      </c>
      <c r="E282" s="70">
        <v>1.6169959424E11</v>
      </c>
      <c r="F282" s="6">
        <v>2562009.0</v>
      </c>
      <c r="G282" s="2">
        <v>3.69</v>
      </c>
      <c r="H282" s="13">
        <v>44399.0</v>
      </c>
      <c r="I282" s="2">
        <v>35.237293</v>
      </c>
      <c r="J282" s="2">
        <v>6.532</v>
      </c>
      <c r="K282" s="2"/>
      <c r="L282" s="2"/>
    </row>
    <row r="283" ht="11.25" customHeight="1">
      <c r="A283" s="2" t="s">
        <v>311</v>
      </c>
      <c r="B283" s="2" t="s">
        <v>5858</v>
      </c>
      <c r="C283" s="26" t="s">
        <v>5859</v>
      </c>
      <c r="D283" s="2" t="s">
        <v>5860</v>
      </c>
      <c r="E283" s="70">
        <v>1.8413613056E10</v>
      </c>
      <c r="F283" s="6">
        <v>1.0004858E7</v>
      </c>
      <c r="G283" s="2">
        <v>0.48</v>
      </c>
      <c r="H283" s="2" t="s">
        <v>733</v>
      </c>
      <c r="I283" s="2">
        <v>28.083164</v>
      </c>
      <c r="J283" s="2">
        <v>0.493</v>
      </c>
      <c r="K283" s="2"/>
      <c r="L283" s="2"/>
    </row>
    <row r="284" ht="11.25" customHeight="1">
      <c r="A284" s="2" t="s">
        <v>312</v>
      </c>
      <c r="B284" s="2" t="s">
        <v>5861</v>
      </c>
      <c r="C284" s="26" t="s">
        <v>5862</v>
      </c>
      <c r="D284" s="2" t="s">
        <v>5863</v>
      </c>
      <c r="E284" s="70">
        <v>3.3767419904E10</v>
      </c>
      <c r="F284" s="6">
        <v>9868857.0</v>
      </c>
      <c r="G284" s="2">
        <v>0.758</v>
      </c>
      <c r="H284" s="2" t="s">
        <v>733</v>
      </c>
      <c r="I284" s="2">
        <v>9.883262</v>
      </c>
      <c r="J284" s="2">
        <v>2.784</v>
      </c>
      <c r="K284" s="2"/>
      <c r="L284" s="2"/>
    </row>
    <row r="285" ht="11.25" customHeight="1">
      <c r="A285" s="2" t="s">
        <v>313</v>
      </c>
      <c r="B285" s="2" t="s">
        <v>5864</v>
      </c>
      <c r="C285" s="26" t="s">
        <v>5865</v>
      </c>
      <c r="D285" s="2" t="s">
        <v>5866</v>
      </c>
      <c r="E285" s="70">
        <v>2.596539392E10</v>
      </c>
      <c r="F285" s="6">
        <v>2017888.0</v>
      </c>
      <c r="G285" s="2">
        <v>0.9675</v>
      </c>
      <c r="H285" s="2" t="s">
        <v>733</v>
      </c>
      <c r="I285" s="2">
        <v>29.817902</v>
      </c>
      <c r="J285" s="2">
        <v>1.62</v>
      </c>
      <c r="K285" s="2"/>
      <c r="L285" s="2"/>
    </row>
    <row r="286" ht="11.25" customHeight="1">
      <c r="A286" s="2" t="s">
        <v>314</v>
      </c>
      <c r="B286" s="2" t="s">
        <v>5867</v>
      </c>
      <c r="C286" s="26" t="s">
        <v>5868</v>
      </c>
      <c r="D286" s="2" t="s">
        <v>5869</v>
      </c>
      <c r="E286" s="70">
        <v>1.0600036352E10</v>
      </c>
      <c r="F286" s="6">
        <v>905479.0</v>
      </c>
      <c r="G286" s="2">
        <v>0.0</v>
      </c>
      <c r="H286" s="13">
        <v>44410.0</v>
      </c>
      <c r="I286" s="2">
        <v>24.568264</v>
      </c>
      <c r="J286" s="2">
        <v>3.069</v>
      </c>
      <c r="K286" s="2"/>
      <c r="L286" s="2"/>
    </row>
    <row r="287" ht="11.25" customHeight="1">
      <c r="A287" s="2" t="s">
        <v>315</v>
      </c>
      <c r="B287" s="2" t="s">
        <v>5870</v>
      </c>
      <c r="C287" s="26" t="s">
        <v>5871</v>
      </c>
      <c r="D287" s="2" t="s">
        <v>5872</v>
      </c>
      <c r="E287" s="70">
        <v>1.1551567872E10</v>
      </c>
      <c r="F287" s="6">
        <v>7878196.0</v>
      </c>
      <c r="G287" s="2">
        <v>0.2</v>
      </c>
      <c r="H287" s="13">
        <v>44405.0</v>
      </c>
      <c r="I287" s="2" t="s">
        <v>5024</v>
      </c>
      <c r="J287" s="2">
        <v>-1.257</v>
      </c>
      <c r="K287" s="2"/>
      <c r="L287" s="2"/>
    </row>
    <row r="288" ht="11.25" customHeight="1">
      <c r="A288" s="2" t="s">
        <v>316</v>
      </c>
      <c r="B288" s="2" t="s">
        <v>5873</v>
      </c>
      <c r="C288" s="26" t="s">
        <v>5874</v>
      </c>
      <c r="D288" s="2" t="s">
        <v>5875</v>
      </c>
      <c r="E288" s="70">
        <v>3.7186830336E10</v>
      </c>
      <c r="F288" s="6">
        <v>932046.0</v>
      </c>
      <c r="G288" s="2">
        <v>3.216</v>
      </c>
      <c r="H288" s="13">
        <v>44398.0</v>
      </c>
      <c r="I288" s="2">
        <v>26.80655</v>
      </c>
      <c r="J288" s="2">
        <v>6.72</v>
      </c>
      <c r="K288" s="2"/>
      <c r="L288" s="2"/>
    </row>
    <row r="289" ht="11.25" customHeight="1">
      <c r="A289" s="2" t="s">
        <v>317</v>
      </c>
      <c r="B289" s="2" t="s">
        <v>5876</v>
      </c>
      <c r="C289" s="26" t="s">
        <v>5877</v>
      </c>
      <c r="D289" s="2" t="s">
        <v>5878</v>
      </c>
      <c r="E289" s="70">
        <v>6.0203094016E10</v>
      </c>
      <c r="F289" s="6">
        <v>806063.0</v>
      </c>
      <c r="G289" s="2">
        <v>2.65</v>
      </c>
      <c r="H289" s="13">
        <v>44405.0</v>
      </c>
      <c r="I289" s="2">
        <v>16.731493</v>
      </c>
      <c r="J289" s="2">
        <v>28.152</v>
      </c>
      <c r="K289" s="2"/>
      <c r="L289" s="2"/>
    </row>
    <row r="290" ht="11.25" customHeight="1">
      <c r="A290" s="2" t="s">
        <v>318</v>
      </c>
      <c r="B290" s="2" t="s">
        <v>5879</v>
      </c>
      <c r="C290" s="26" t="s">
        <v>5880</v>
      </c>
      <c r="D290" s="2" t="s">
        <v>5881</v>
      </c>
      <c r="E290" s="70">
        <v>5.92347648E9</v>
      </c>
      <c r="F290" s="6">
        <v>2175380.0</v>
      </c>
      <c r="G290" s="2">
        <v>0.6755</v>
      </c>
      <c r="H290" s="13">
        <v>44407.0</v>
      </c>
      <c r="I290" s="2">
        <v>13.92742</v>
      </c>
      <c r="J290" s="2">
        <v>1.86</v>
      </c>
      <c r="K290" s="2"/>
      <c r="L290" s="2"/>
    </row>
    <row r="291" ht="11.25" customHeight="1">
      <c r="A291" s="2" t="s">
        <v>319</v>
      </c>
      <c r="B291" s="2" t="s">
        <v>5882</v>
      </c>
      <c r="C291" s="26" t="s">
        <v>5883</v>
      </c>
      <c r="D291" s="2" t="s">
        <v>5884</v>
      </c>
      <c r="E291" s="70">
        <v>1.3926252544E10</v>
      </c>
      <c r="F291" s="6">
        <v>3147125.0</v>
      </c>
      <c r="G291" s="2">
        <v>0.02</v>
      </c>
      <c r="H291" s="13">
        <v>44412.0</v>
      </c>
      <c r="I291" s="2">
        <v>112.375885</v>
      </c>
      <c r="J291" s="2">
        <v>0.282</v>
      </c>
      <c r="K291" s="2"/>
      <c r="L291" s="2"/>
    </row>
    <row r="292" ht="11.25" customHeight="1">
      <c r="A292" s="2" t="s">
        <v>320</v>
      </c>
      <c r="B292" s="2" t="s">
        <v>5885</v>
      </c>
      <c r="C292" s="26" t="s">
        <v>5886</v>
      </c>
      <c r="D292" s="2" t="s">
        <v>5887</v>
      </c>
      <c r="E292" s="70">
        <v>1.7173680128E10</v>
      </c>
      <c r="F292" s="6">
        <v>1.9596358E7</v>
      </c>
      <c r="G292" s="2">
        <v>3.017</v>
      </c>
      <c r="H292" s="2" t="s">
        <v>733</v>
      </c>
      <c r="I292" s="2">
        <v>9.197272</v>
      </c>
      <c r="J292" s="2">
        <v>9.53</v>
      </c>
      <c r="K292" s="2"/>
      <c r="L292" s="2"/>
    </row>
    <row r="293" ht="11.25" customHeight="1">
      <c r="A293" s="2" t="s">
        <v>321</v>
      </c>
      <c r="B293" s="2" t="s">
        <v>5888</v>
      </c>
      <c r="C293" s="26" t="s">
        <v>5889</v>
      </c>
      <c r="D293" s="2" t="s">
        <v>5890</v>
      </c>
      <c r="E293" s="70">
        <v>2.71967405E9</v>
      </c>
      <c r="F293" s="6">
        <v>2397320.0</v>
      </c>
      <c r="G293" s="2">
        <v>1.5906</v>
      </c>
      <c r="H293" s="2" t="s">
        <v>733</v>
      </c>
      <c r="I293" s="2" t="s">
        <v>5024</v>
      </c>
      <c r="J293" s="2" t="s">
        <v>5024</v>
      </c>
      <c r="K293" s="2"/>
      <c r="L293" s="2"/>
    </row>
    <row r="294" ht="11.25" customHeight="1">
      <c r="A294" s="2" t="s">
        <v>322</v>
      </c>
      <c r="B294" s="2" t="s">
        <v>5891</v>
      </c>
      <c r="C294" s="26" t="s">
        <v>5892</v>
      </c>
      <c r="D294" s="2" t="s">
        <v>5893</v>
      </c>
      <c r="E294" s="70">
        <v>3.378062336E10</v>
      </c>
      <c r="F294" s="6">
        <v>1.1235884E7</v>
      </c>
      <c r="G294" s="2">
        <v>0.0</v>
      </c>
      <c r="H294" s="2" t="s">
        <v>733</v>
      </c>
      <c r="I294" s="2">
        <v>63.146885</v>
      </c>
      <c r="J294" s="2">
        <v>0.546</v>
      </c>
      <c r="K294" s="2"/>
      <c r="L294" s="2"/>
    </row>
    <row r="295" ht="11.25" customHeight="1">
      <c r="A295" s="2" t="s">
        <v>323</v>
      </c>
      <c r="B295" s="2" t="s">
        <v>5894</v>
      </c>
      <c r="C295" s="26" t="s">
        <v>5895</v>
      </c>
      <c r="D295" s="2" t="s">
        <v>5896</v>
      </c>
      <c r="E295" s="70">
        <v>1.10997248E10</v>
      </c>
      <c r="F295" s="6">
        <v>3302707.0</v>
      </c>
      <c r="G295" s="2">
        <v>0.259</v>
      </c>
      <c r="H295" s="2" t="s">
        <v>733</v>
      </c>
      <c r="I295" s="2">
        <v>3.8447752</v>
      </c>
      <c r="J295" s="2">
        <v>41.836</v>
      </c>
      <c r="K295" s="2"/>
      <c r="L295" s="2"/>
    </row>
    <row r="296" ht="11.25" customHeight="1">
      <c r="A296" s="2" t="s">
        <v>324</v>
      </c>
      <c r="B296" s="2" t="s">
        <v>5897</v>
      </c>
      <c r="C296" s="26" t="s">
        <v>5898</v>
      </c>
      <c r="D296" s="2" t="s">
        <v>5899</v>
      </c>
      <c r="E296" s="70">
        <v>1.25432766464E11</v>
      </c>
      <c r="F296" s="6">
        <v>5022912.0</v>
      </c>
      <c r="G296" s="2">
        <v>6.52999999999999</v>
      </c>
      <c r="H296" s="13">
        <v>44396.0</v>
      </c>
      <c r="I296" s="2">
        <v>23.275343</v>
      </c>
      <c r="J296" s="2">
        <v>5.978</v>
      </c>
      <c r="K296" s="2"/>
      <c r="L296" s="2"/>
    </row>
    <row r="297" ht="11.25" customHeight="1">
      <c r="A297" s="2" t="s">
        <v>325</v>
      </c>
      <c r="B297" s="2" t="s">
        <v>5900</v>
      </c>
      <c r="C297" s="26" t="s">
        <v>5901</v>
      </c>
      <c r="D297" s="2" t="s">
        <v>5902</v>
      </c>
      <c r="E297" s="70">
        <v>6.6350112768E10</v>
      </c>
      <c r="F297" s="6">
        <v>2571715.0</v>
      </c>
      <c r="G297" s="2">
        <v>1.26</v>
      </c>
      <c r="H297" s="13">
        <v>44406.0</v>
      </c>
      <c r="I297" s="2">
        <v>31.53045</v>
      </c>
      <c r="J297" s="2">
        <v>3.744</v>
      </c>
      <c r="K297" s="2"/>
      <c r="L297" s="2"/>
    </row>
    <row r="298" ht="11.25" customHeight="1">
      <c r="A298" s="2" t="s">
        <v>326</v>
      </c>
      <c r="B298" s="2" t="s">
        <v>5903</v>
      </c>
      <c r="C298" s="26" t="s">
        <v>5904</v>
      </c>
      <c r="D298" s="2" t="s">
        <v>5905</v>
      </c>
      <c r="E298" s="70">
        <v>5.6065236992E10</v>
      </c>
      <c r="F298" s="6">
        <v>352466.0</v>
      </c>
      <c r="G298" s="2">
        <v>0.0</v>
      </c>
      <c r="H298" s="13">
        <v>44407.0</v>
      </c>
      <c r="I298" s="2">
        <v>86.08481</v>
      </c>
      <c r="J298" s="2">
        <v>7.771</v>
      </c>
      <c r="K298" s="2"/>
      <c r="L298" s="2"/>
    </row>
    <row r="299" ht="11.25" customHeight="1">
      <c r="A299" s="2" t="s">
        <v>327</v>
      </c>
      <c r="B299" s="2" t="s">
        <v>5906</v>
      </c>
      <c r="C299" s="26" t="s">
        <v>5907</v>
      </c>
      <c r="D299" s="2" t="s">
        <v>5908</v>
      </c>
      <c r="E299" s="70">
        <v>1.707908096E10</v>
      </c>
      <c r="F299" s="6">
        <v>6906000.0</v>
      </c>
      <c r="G299" s="2">
        <v>0.790999999999999</v>
      </c>
      <c r="H299" s="2" t="s">
        <v>733</v>
      </c>
      <c r="I299" s="2">
        <v>71.23021</v>
      </c>
      <c r="J299" s="2">
        <v>1.642</v>
      </c>
      <c r="K299" s="2"/>
      <c r="L299" s="2"/>
    </row>
    <row r="300" ht="11.25" customHeight="1">
      <c r="A300" s="2" t="s">
        <v>328</v>
      </c>
      <c r="B300" s="2" t="s">
        <v>5909</v>
      </c>
      <c r="C300" s="26" t="s">
        <v>5910</v>
      </c>
      <c r="D300" s="2" t="s">
        <v>5911</v>
      </c>
      <c r="E300" s="70">
        <v>6.2297356E10</v>
      </c>
      <c r="F300" s="6">
        <v>7524793.0</v>
      </c>
      <c r="G300" s="2">
        <v>0.612</v>
      </c>
      <c r="H300" s="2" t="s">
        <v>733</v>
      </c>
      <c r="I300" s="2" t="s">
        <v>5024</v>
      </c>
      <c r="J300" s="2" t="s">
        <v>5024</v>
      </c>
      <c r="K300" s="2"/>
      <c r="L300" s="2"/>
    </row>
    <row r="301" ht="11.25" customHeight="1">
      <c r="A301" s="2" t="s">
        <v>329</v>
      </c>
      <c r="B301" s="2" t="s">
        <v>5912</v>
      </c>
      <c r="C301" s="26" t="s">
        <v>5913</v>
      </c>
      <c r="D301" s="2" t="s">
        <v>5914</v>
      </c>
      <c r="E301" s="70">
        <v>7.5826208768E10</v>
      </c>
      <c r="F301" s="6">
        <v>8307696.0</v>
      </c>
      <c r="G301" s="2">
        <v>0.723</v>
      </c>
      <c r="H301" s="2" t="s">
        <v>733</v>
      </c>
      <c r="I301" s="2">
        <v>4.4232593</v>
      </c>
      <c r="J301" s="2">
        <v>14.764</v>
      </c>
      <c r="K301" s="2"/>
      <c r="L301" s="2"/>
    </row>
    <row r="302" ht="11.25" customHeight="1">
      <c r="A302" s="2" t="s">
        <v>330</v>
      </c>
      <c r="B302" s="2" t="s">
        <v>5915</v>
      </c>
      <c r="C302" s="26" t="s">
        <v>5916</v>
      </c>
      <c r="D302" s="2" t="s">
        <v>5917</v>
      </c>
      <c r="E302" s="70">
        <v>1.7054103552E10</v>
      </c>
      <c r="F302" s="6">
        <v>373063.0</v>
      </c>
      <c r="G302" s="2">
        <v>2.58</v>
      </c>
      <c r="H302" s="13">
        <v>44404.0</v>
      </c>
      <c r="I302" s="2">
        <v>44.646362</v>
      </c>
      <c r="J302" s="2">
        <v>5.09</v>
      </c>
      <c r="K302" s="2"/>
      <c r="L302" s="2"/>
    </row>
    <row r="303" ht="11.25" customHeight="1">
      <c r="A303" s="2" t="s">
        <v>331</v>
      </c>
      <c r="B303" s="2" t="s">
        <v>5918</v>
      </c>
      <c r="C303" s="26" t="s">
        <v>5919</v>
      </c>
      <c r="D303" s="2" t="s">
        <v>5920</v>
      </c>
      <c r="E303" s="70">
        <v>3.5869372416E10</v>
      </c>
      <c r="F303" s="6">
        <v>1255311.0</v>
      </c>
      <c r="G303" s="2">
        <v>3.08</v>
      </c>
      <c r="H303" s="2" t="s">
        <v>733</v>
      </c>
      <c r="I303" s="2">
        <v>102.40171</v>
      </c>
      <c r="J303" s="2">
        <v>1.399</v>
      </c>
      <c r="K303" s="2"/>
      <c r="L303" s="2"/>
    </row>
    <row r="304" ht="11.25" customHeight="1">
      <c r="A304" s="2" t="s">
        <v>332</v>
      </c>
      <c r="B304" s="2" t="s">
        <v>5921</v>
      </c>
      <c r="C304" s="26" t="s">
        <v>5922</v>
      </c>
      <c r="D304" s="2" t="s">
        <v>5923</v>
      </c>
      <c r="E304" s="70">
        <v>6.1197176832E10</v>
      </c>
      <c r="F304" s="6">
        <v>3566412.0</v>
      </c>
      <c r="G304" s="2">
        <v>0.802999999999999</v>
      </c>
      <c r="H304" s="2" t="s">
        <v>733</v>
      </c>
      <c r="I304" s="2">
        <v>2.1439912</v>
      </c>
      <c r="J304" s="2">
        <v>49.76</v>
      </c>
      <c r="K304" s="2"/>
      <c r="L304" s="2"/>
    </row>
    <row r="305" ht="11.25" customHeight="1">
      <c r="A305" s="2" t="s">
        <v>333</v>
      </c>
      <c r="B305" s="2" t="s">
        <v>5924</v>
      </c>
      <c r="C305" s="26" t="s">
        <v>5925</v>
      </c>
      <c r="D305" s="2" t="s">
        <v>5926</v>
      </c>
      <c r="E305" s="70">
        <v>6.7523538944E10</v>
      </c>
      <c r="F305" s="6">
        <v>734139.0</v>
      </c>
      <c r="G305" s="2">
        <v>0.0</v>
      </c>
      <c r="H305" s="13">
        <v>44412.0</v>
      </c>
      <c r="I305" s="2">
        <v>109.107475</v>
      </c>
      <c r="J305" s="2">
        <v>4.28</v>
      </c>
      <c r="K305" s="2"/>
      <c r="L305" s="2"/>
    </row>
    <row r="306" ht="11.25" customHeight="1">
      <c r="A306" s="2" t="s">
        <v>334</v>
      </c>
      <c r="B306" s="2" t="s">
        <v>5927</v>
      </c>
      <c r="C306" s="26" t="s">
        <v>5928</v>
      </c>
      <c r="D306" s="2" t="s">
        <v>5929</v>
      </c>
      <c r="E306" s="70">
        <v>1.7591640064E10</v>
      </c>
      <c r="F306" s="6">
        <v>1181306.0</v>
      </c>
      <c r="G306" s="2">
        <v>0.0</v>
      </c>
      <c r="H306" s="13">
        <v>44410.0</v>
      </c>
      <c r="I306" s="2">
        <v>36.185234</v>
      </c>
      <c r="J306" s="2">
        <v>2.181</v>
      </c>
      <c r="K306" s="2"/>
      <c r="L306" s="2"/>
    </row>
    <row r="307" ht="11.25" customHeight="1">
      <c r="A307" s="2" t="s">
        <v>335</v>
      </c>
      <c r="B307" s="2" t="s">
        <v>5930</v>
      </c>
      <c r="C307" s="26" t="s">
        <v>5931</v>
      </c>
      <c r="D307" s="2" t="s">
        <v>5932</v>
      </c>
      <c r="E307" s="70">
        <v>5.060089E9</v>
      </c>
      <c r="F307" s="6">
        <v>3530982.0</v>
      </c>
      <c r="G307" s="2">
        <v>0.032</v>
      </c>
      <c r="H307" s="2" t="s">
        <v>733</v>
      </c>
      <c r="I307" s="2" t="s">
        <v>5024</v>
      </c>
      <c r="J307" s="2" t="s">
        <v>5024</v>
      </c>
      <c r="K307" s="2"/>
      <c r="L307" s="2"/>
    </row>
    <row r="308" ht="11.25" customHeight="1">
      <c r="A308" s="2" t="s">
        <v>336</v>
      </c>
      <c r="B308" s="2" t="s">
        <v>5933</v>
      </c>
      <c r="C308" s="26" t="s">
        <v>5934</v>
      </c>
      <c r="D308" s="2" t="s">
        <v>5935</v>
      </c>
      <c r="E308" s="70">
        <v>4.5130850304E10</v>
      </c>
      <c r="F308" s="6">
        <v>2451107.0</v>
      </c>
      <c r="G308" s="2">
        <v>0.94</v>
      </c>
      <c r="H308" s="2" t="s">
        <v>733</v>
      </c>
      <c r="I308" s="2">
        <v>73.27133</v>
      </c>
      <c r="J308" s="2">
        <v>1.559</v>
      </c>
      <c r="K308" s="2"/>
      <c r="L308" s="2"/>
    </row>
    <row r="309" ht="11.25" customHeight="1">
      <c r="A309" s="2" t="s">
        <v>337</v>
      </c>
      <c r="B309" s="2" t="s">
        <v>5936</v>
      </c>
      <c r="C309" s="26" t="s">
        <v>5937</v>
      </c>
      <c r="D309" s="2" t="s">
        <v>5938</v>
      </c>
      <c r="E309" s="70">
        <v>2.25360789504E11</v>
      </c>
      <c r="F309" s="6">
        <v>2.4942444E7</v>
      </c>
      <c r="G309" s="2">
        <v>1.3555</v>
      </c>
      <c r="H309" s="13">
        <v>44399.0</v>
      </c>
      <c r="I309" s="2">
        <v>12.363107</v>
      </c>
      <c r="J309" s="2">
        <v>4.456</v>
      </c>
      <c r="K309" s="2"/>
      <c r="L309" s="2"/>
    </row>
    <row r="310" ht="11.25" customHeight="1">
      <c r="A310" s="2" t="s">
        <v>338</v>
      </c>
      <c r="B310" s="2" t="s">
        <v>5939</v>
      </c>
      <c r="C310" s="26" t="s">
        <v>5940</v>
      </c>
      <c r="D310" s="2" t="s">
        <v>5941</v>
      </c>
      <c r="E310" s="70">
        <v>1.37495740416E11</v>
      </c>
      <c r="F310" s="6">
        <v>1172850.0</v>
      </c>
      <c r="G310" s="2">
        <v>2.36</v>
      </c>
      <c r="H310" s="2" t="s">
        <v>733</v>
      </c>
      <c r="I310" s="2">
        <v>63.647312</v>
      </c>
      <c r="J310" s="2">
        <v>7.888</v>
      </c>
      <c r="K310" s="2"/>
      <c r="L310" s="2"/>
    </row>
    <row r="311" ht="11.25" customHeight="1">
      <c r="A311" s="2" t="s">
        <v>339</v>
      </c>
      <c r="B311" s="2" t="s">
        <v>5942</v>
      </c>
      <c r="C311" s="26" t="s">
        <v>5943</v>
      </c>
      <c r="D311" s="2" t="s">
        <v>5944</v>
      </c>
      <c r="E311" s="70">
        <v>2.260950016E10</v>
      </c>
      <c r="F311" s="6">
        <v>4015222.0</v>
      </c>
      <c r="G311" s="2">
        <v>0.64</v>
      </c>
      <c r="H311" s="13">
        <v>44410.0</v>
      </c>
      <c r="I311" s="2">
        <v>111.20833</v>
      </c>
      <c r="J311" s="2">
        <v>0.36</v>
      </c>
      <c r="K311" s="2"/>
      <c r="L311" s="2"/>
    </row>
    <row r="312" ht="11.25" customHeight="1">
      <c r="A312" s="2" t="s">
        <v>340</v>
      </c>
      <c r="B312" s="2" t="s">
        <v>5945</v>
      </c>
      <c r="C312" s="26" t="s">
        <v>5946</v>
      </c>
      <c r="D312" s="2" t="s">
        <v>5947</v>
      </c>
      <c r="E312" s="70">
        <v>2.3453413376E10</v>
      </c>
      <c r="F312" s="6">
        <v>2513980.0</v>
      </c>
      <c r="G312" s="2">
        <v>2.0515</v>
      </c>
      <c r="H312" s="13">
        <v>44406.0</v>
      </c>
      <c r="I312" s="2">
        <v>24.141518</v>
      </c>
      <c r="J312" s="2">
        <v>2.452</v>
      </c>
      <c r="K312" s="2"/>
      <c r="L312" s="2"/>
    </row>
    <row r="313" ht="11.25" customHeight="1">
      <c r="A313" s="2" t="s">
        <v>341</v>
      </c>
      <c r="B313" s="2" t="s">
        <v>5948</v>
      </c>
      <c r="C313" s="26" t="s">
        <v>5949</v>
      </c>
      <c r="D313" s="2" t="s">
        <v>5950</v>
      </c>
      <c r="E313" s="70">
        <v>1.2615568384E10</v>
      </c>
      <c r="F313" s="6">
        <v>3750355.0</v>
      </c>
      <c r="G313" s="2">
        <v>1.05</v>
      </c>
      <c r="H313" s="13">
        <v>44404.0</v>
      </c>
      <c r="I313" s="2">
        <v>28.309288</v>
      </c>
      <c r="J313" s="2">
        <v>1.109</v>
      </c>
      <c r="K313" s="2"/>
      <c r="L313" s="2"/>
    </row>
    <row r="314" ht="11.25" customHeight="1">
      <c r="A314" s="2" t="s">
        <v>342</v>
      </c>
      <c r="B314" s="2" t="s">
        <v>5951</v>
      </c>
      <c r="C314" s="26" t="s">
        <v>5952</v>
      </c>
      <c r="D314" s="2" t="s">
        <v>5953</v>
      </c>
      <c r="E314" s="70">
        <v>1.112559616E10</v>
      </c>
      <c r="F314" s="6">
        <v>320439.0</v>
      </c>
      <c r="G314" s="2">
        <v>0.0</v>
      </c>
      <c r="H314" s="13">
        <v>44410.0</v>
      </c>
      <c r="I314" s="2">
        <v>57.972973</v>
      </c>
      <c r="J314" s="2">
        <v>3.552</v>
      </c>
      <c r="K314" s="2"/>
      <c r="L314" s="2"/>
    </row>
    <row r="315" ht="11.25" customHeight="1">
      <c r="A315" s="2" t="s">
        <v>343</v>
      </c>
      <c r="B315" s="2" t="s">
        <v>5954</v>
      </c>
      <c r="C315" s="26" t="s">
        <v>5955</v>
      </c>
      <c r="D315" s="2" t="s">
        <v>5956</v>
      </c>
      <c r="E315" s="70">
        <v>4.7275102208E10</v>
      </c>
      <c r="F315" s="6">
        <v>1081430.0</v>
      </c>
      <c r="G315" s="2">
        <v>0.0</v>
      </c>
      <c r="H315" s="13">
        <v>44397.0</v>
      </c>
      <c r="I315" s="2">
        <v>118.057144</v>
      </c>
      <c r="J315" s="2">
        <v>2.1</v>
      </c>
      <c r="K315" s="2"/>
      <c r="L315" s="2"/>
    </row>
    <row r="316" ht="11.25" customHeight="1">
      <c r="A316" s="2" t="s">
        <v>344</v>
      </c>
      <c r="B316" s="2" t="s">
        <v>5957</v>
      </c>
      <c r="C316" s="26" t="s">
        <v>5958</v>
      </c>
      <c r="D316" s="2" t="s">
        <v>5959</v>
      </c>
      <c r="E316" s="70">
        <v>2.0179884032E10</v>
      </c>
      <c r="F316" s="6">
        <v>2354890.0</v>
      </c>
      <c r="G316" s="2">
        <v>0.53</v>
      </c>
      <c r="H316" s="13">
        <v>44410.0</v>
      </c>
      <c r="I316" s="2" t="s">
        <v>5024</v>
      </c>
      <c r="J316" s="2">
        <v>-0.21</v>
      </c>
      <c r="K316" s="2"/>
      <c r="L316" s="2"/>
    </row>
    <row r="317" ht="11.25" customHeight="1">
      <c r="A317" s="2" t="s">
        <v>345</v>
      </c>
      <c r="B317" s="2" t="s">
        <v>5960</v>
      </c>
      <c r="C317" s="26" t="s">
        <v>5961</v>
      </c>
      <c r="D317" s="2" t="s">
        <v>5962</v>
      </c>
      <c r="E317" s="70">
        <v>1.2724375552E10</v>
      </c>
      <c r="F317" s="6">
        <v>2369819.0</v>
      </c>
      <c r="G317" s="2">
        <v>2.474</v>
      </c>
      <c r="H317" s="13">
        <v>44412.0</v>
      </c>
      <c r="I317" s="2">
        <v>38.55111</v>
      </c>
      <c r="J317" s="2">
        <v>1.125</v>
      </c>
      <c r="K317" s="2"/>
      <c r="L317" s="2"/>
    </row>
    <row r="318" ht="11.25" customHeight="1">
      <c r="A318" s="2" t="s">
        <v>346</v>
      </c>
      <c r="B318" s="2" t="s">
        <v>5963</v>
      </c>
      <c r="C318" s="26" t="s">
        <v>5964</v>
      </c>
      <c r="D318" s="2" t="s">
        <v>5965</v>
      </c>
      <c r="E318" s="70">
        <v>1.1292573696E11</v>
      </c>
      <c r="F318" s="6">
        <v>539879.0</v>
      </c>
      <c r="G318" s="2">
        <v>0.0</v>
      </c>
      <c r="H318" s="13">
        <v>44397.0</v>
      </c>
      <c r="I318" s="2">
        <v>97.93724</v>
      </c>
      <c r="J318" s="2">
        <v>9.72</v>
      </c>
      <c r="K318" s="2"/>
      <c r="L318" s="2"/>
    </row>
    <row r="319" ht="11.25" customHeight="1">
      <c r="A319" s="2" t="s">
        <v>347</v>
      </c>
      <c r="B319" s="2" t="s">
        <v>5966</v>
      </c>
      <c r="C319" s="26" t="s">
        <v>5967</v>
      </c>
      <c r="D319" s="2" t="s">
        <v>5968</v>
      </c>
      <c r="E319" s="70">
        <v>2.185396224E10</v>
      </c>
      <c r="F319" s="6">
        <v>661852.0</v>
      </c>
      <c r="G319" s="2">
        <v>0.0</v>
      </c>
      <c r="H319" s="13">
        <v>44410.0</v>
      </c>
      <c r="I319" s="2">
        <v>63.85916</v>
      </c>
      <c r="J319" s="2">
        <v>3.962</v>
      </c>
      <c r="K319" s="2"/>
      <c r="L319" s="2"/>
    </row>
    <row r="320" ht="11.25" customHeight="1">
      <c r="A320" s="2" t="s">
        <v>348</v>
      </c>
      <c r="B320" s="2" t="s">
        <v>5969</v>
      </c>
      <c r="C320" s="26" t="s">
        <v>5970</v>
      </c>
      <c r="D320" s="2" t="s">
        <v>5971</v>
      </c>
      <c r="E320" s="70">
        <v>7.2552005632E10</v>
      </c>
      <c r="F320" s="6">
        <v>952641.0</v>
      </c>
      <c r="G320" s="2">
        <v>4.56</v>
      </c>
      <c r="H320" s="13">
        <v>44406.0</v>
      </c>
      <c r="I320" s="2">
        <v>32.835415</v>
      </c>
      <c r="J320" s="2">
        <v>6.969</v>
      </c>
      <c r="K320" s="2"/>
      <c r="L320" s="2"/>
    </row>
    <row r="321" ht="11.25" customHeight="1">
      <c r="A321" s="2" t="s">
        <v>349</v>
      </c>
      <c r="B321" s="2" t="s">
        <v>5972</v>
      </c>
      <c r="C321" s="26" t="s">
        <v>5973</v>
      </c>
      <c r="D321" s="2" t="s">
        <v>5974</v>
      </c>
      <c r="E321" s="70">
        <v>2.71412248576E11</v>
      </c>
      <c r="F321" s="6">
        <v>4419898.0</v>
      </c>
      <c r="G321" s="2">
        <v>4.427</v>
      </c>
      <c r="H321" s="2" t="s">
        <v>733</v>
      </c>
      <c r="I321" s="2">
        <v>3.1104174</v>
      </c>
      <c r="J321" s="2">
        <v>139.335</v>
      </c>
      <c r="K321" s="2"/>
      <c r="L321" s="2"/>
    </row>
    <row r="322" ht="11.25" customHeight="1">
      <c r="A322" s="2" t="s">
        <v>350</v>
      </c>
      <c r="B322" s="2" t="s">
        <v>5975</v>
      </c>
      <c r="C322" s="26" t="s">
        <v>5976</v>
      </c>
      <c r="D322" s="2" t="s">
        <v>5977</v>
      </c>
      <c r="E322" s="70">
        <v>1.191466496E10</v>
      </c>
      <c r="F322" s="6">
        <v>3976153.0</v>
      </c>
      <c r="G322" s="2">
        <v>0.635</v>
      </c>
      <c r="H322" s="13">
        <v>44403.0</v>
      </c>
      <c r="I322" s="2">
        <v>16.321125</v>
      </c>
      <c r="J322" s="2">
        <v>1.529</v>
      </c>
      <c r="K322" s="2"/>
      <c r="L322" s="2"/>
    </row>
    <row r="323" ht="11.25" customHeight="1">
      <c r="A323" s="2" t="s">
        <v>351</v>
      </c>
      <c r="B323" s="2" t="s">
        <v>5978</v>
      </c>
      <c r="C323" s="26" t="s">
        <v>5979</v>
      </c>
      <c r="D323" s="2" t="s">
        <v>5980</v>
      </c>
      <c r="E323" s="70">
        <v>4.8460869632E10</v>
      </c>
      <c r="F323" s="6">
        <v>2641704.0</v>
      </c>
      <c r="G323" s="2">
        <v>1.93</v>
      </c>
      <c r="H323" s="2" t="s">
        <v>733</v>
      </c>
      <c r="I323" s="2">
        <v>3.1214452</v>
      </c>
      <c r="J323" s="2">
        <v>50.459</v>
      </c>
      <c r="K323" s="2"/>
      <c r="L323" s="2"/>
    </row>
    <row r="324" ht="11.25" customHeight="1">
      <c r="A324" s="2" t="s">
        <v>352</v>
      </c>
      <c r="B324" s="2" t="s">
        <v>5981</v>
      </c>
      <c r="C324" s="26" t="s">
        <v>5982</v>
      </c>
      <c r="D324" s="2" t="s">
        <v>5983</v>
      </c>
      <c r="E324" s="70">
        <v>6.1181771776E10</v>
      </c>
      <c r="F324" s="6">
        <v>2.5660328E7</v>
      </c>
      <c r="G324" s="2">
        <v>1.556</v>
      </c>
      <c r="H324" s="2" t="s">
        <v>733</v>
      </c>
      <c r="I324" s="2">
        <v>2.3027873</v>
      </c>
      <c r="J324" s="2">
        <v>93.313</v>
      </c>
      <c r="K324" s="2"/>
      <c r="L324" s="2"/>
    </row>
    <row r="325" ht="11.25" customHeight="1">
      <c r="A325" s="2" t="s">
        <v>353</v>
      </c>
      <c r="B325" s="2" t="s">
        <v>5984</v>
      </c>
      <c r="C325" s="26" t="s">
        <v>5985</v>
      </c>
      <c r="D325" s="2" t="s">
        <v>5986</v>
      </c>
      <c r="E325" s="70">
        <v>5.217775616E9</v>
      </c>
      <c r="F325" s="6">
        <v>8183661.0</v>
      </c>
      <c r="G325" s="2">
        <v>1.524</v>
      </c>
      <c r="H325" s="2" t="s">
        <v>733</v>
      </c>
      <c r="I325" s="2">
        <v>5.173775</v>
      </c>
      <c r="J325" s="2">
        <v>20.515</v>
      </c>
      <c r="K325" s="2"/>
      <c r="L325" s="2"/>
    </row>
    <row r="326" ht="11.25" customHeight="1">
      <c r="A326" s="2" t="s">
        <v>354</v>
      </c>
      <c r="B326" s="2" t="s">
        <v>5987</v>
      </c>
      <c r="C326" s="26" t="s">
        <v>5988</v>
      </c>
      <c r="D326" s="2" t="s">
        <v>5989</v>
      </c>
      <c r="E326" s="70">
        <v>1.7257394176E10</v>
      </c>
      <c r="F326" s="6">
        <v>586652.0</v>
      </c>
      <c r="G326" s="2">
        <v>0.8</v>
      </c>
      <c r="H326" s="13">
        <v>44410.0</v>
      </c>
      <c r="I326" s="2">
        <v>29.138386</v>
      </c>
      <c r="J326" s="2">
        <v>4.538</v>
      </c>
      <c r="K326" s="2"/>
      <c r="L326" s="2"/>
    </row>
    <row r="327" ht="11.25" customHeight="1">
      <c r="A327" s="2" t="s">
        <v>355</v>
      </c>
      <c r="B327" s="2" t="s">
        <v>5990</v>
      </c>
      <c r="C327" s="26" t="s">
        <v>5991</v>
      </c>
      <c r="D327" s="2" t="s">
        <v>5992</v>
      </c>
      <c r="E327" s="70">
        <v>1.7727367168E10</v>
      </c>
      <c r="F327" s="6">
        <v>633217.0</v>
      </c>
      <c r="G327" s="2">
        <v>1.12</v>
      </c>
      <c r="H327" s="13">
        <v>44396.0</v>
      </c>
      <c r="I327" s="2">
        <v>32.08731</v>
      </c>
      <c r="J327" s="2">
        <v>5.131</v>
      </c>
      <c r="K327" s="2"/>
      <c r="L327" s="2"/>
    </row>
    <row r="328" ht="11.25" customHeight="1">
      <c r="A328" s="2" t="s">
        <v>356</v>
      </c>
      <c r="B328" s="2" t="s">
        <v>5993</v>
      </c>
      <c r="C328" s="26" t="s">
        <v>5994</v>
      </c>
      <c r="D328" s="2" t="s">
        <v>5995</v>
      </c>
      <c r="E328" s="70">
        <v>5.0299060224E10</v>
      </c>
      <c r="F328" s="6">
        <v>4372995.0</v>
      </c>
      <c r="G328" s="2">
        <v>1.06</v>
      </c>
      <c r="H328" s="13">
        <v>44406.0</v>
      </c>
      <c r="I328" s="2">
        <v>48.302082</v>
      </c>
      <c r="J328" s="2">
        <v>1.44</v>
      </c>
      <c r="K328" s="2"/>
      <c r="L328" s="2"/>
    </row>
    <row r="329" ht="11.25" customHeight="1">
      <c r="A329" s="2" t="s">
        <v>357</v>
      </c>
      <c r="B329" s="2" t="s">
        <v>5996</v>
      </c>
      <c r="C329" s="26" t="s">
        <v>5997</v>
      </c>
      <c r="D329" s="2" t="s">
        <v>5998</v>
      </c>
      <c r="E329" s="70">
        <v>1.20972263424E11</v>
      </c>
      <c r="F329" s="6">
        <v>1.1269263E7</v>
      </c>
      <c r="G329" s="2">
        <v>0.0</v>
      </c>
      <c r="H329" s="2" t="s">
        <v>733</v>
      </c>
      <c r="I329" s="2">
        <v>14.867693</v>
      </c>
      <c r="J329" s="2">
        <v>5.064</v>
      </c>
      <c r="K329" s="2"/>
      <c r="L329" s="2"/>
    </row>
    <row r="330" ht="11.25" customHeight="1">
      <c r="A330" s="2" t="s">
        <v>358</v>
      </c>
      <c r="B330" s="2" t="s">
        <v>5999</v>
      </c>
      <c r="C330" s="26" t="s">
        <v>6000</v>
      </c>
      <c r="D330" s="2" t="s">
        <v>6001</v>
      </c>
      <c r="E330" s="70">
        <v>8.393081344E9</v>
      </c>
      <c r="F330" s="6">
        <v>2074776.0</v>
      </c>
      <c r="G330" s="2">
        <v>0.7</v>
      </c>
      <c r="H330" s="2" t="s">
        <v>733</v>
      </c>
      <c r="I330" s="2">
        <v>6.0203714</v>
      </c>
      <c r="J330" s="2">
        <v>5.547</v>
      </c>
      <c r="K330" s="2"/>
      <c r="L330" s="2"/>
    </row>
    <row r="331" ht="11.25" customHeight="1">
      <c r="A331" s="2" t="s">
        <v>359</v>
      </c>
      <c r="B331" s="2" t="s">
        <v>6002</v>
      </c>
      <c r="C331" s="26" t="s">
        <v>6003</v>
      </c>
      <c r="D331" s="2" t="s">
        <v>6004</v>
      </c>
      <c r="E331" s="70">
        <v>1.265903104E10</v>
      </c>
      <c r="F331" s="6">
        <v>504787.0</v>
      </c>
      <c r="G331" s="2">
        <v>1.78</v>
      </c>
      <c r="H331" s="2" t="s">
        <v>733</v>
      </c>
      <c r="I331" s="2">
        <v>44.51779</v>
      </c>
      <c r="J331" s="2">
        <v>3.878</v>
      </c>
      <c r="K331" s="2"/>
      <c r="L331" s="2"/>
    </row>
    <row r="332" ht="11.25" customHeight="1">
      <c r="A332" s="2" t="s">
        <v>360</v>
      </c>
      <c r="B332" s="2" t="s">
        <v>6005</v>
      </c>
      <c r="C332" s="26" t="s">
        <v>6006</v>
      </c>
      <c r="D332" s="2" t="s">
        <v>6007</v>
      </c>
      <c r="E332" s="70">
        <v>4.43359232E11</v>
      </c>
      <c r="F332" s="6">
        <v>6851338.0</v>
      </c>
      <c r="G332" s="2">
        <v>4.09</v>
      </c>
      <c r="H332" s="13">
        <v>44398.0</v>
      </c>
      <c r="I332" s="2">
        <v>29.812756</v>
      </c>
      <c r="J332" s="2">
        <v>5.661</v>
      </c>
      <c r="K332" s="2"/>
      <c r="L332" s="2"/>
    </row>
    <row r="333" ht="11.25" customHeight="1">
      <c r="A333" s="2" t="s">
        <v>361</v>
      </c>
      <c r="B333" s="2" t="s">
        <v>6008</v>
      </c>
      <c r="C333" s="26" t="s">
        <v>6009</v>
      </c>
      <c r="D333" s="2" t="s">
        <v>6010</v>
      </c>
      <c r="E333" s="70">
        <v>9.796994048E9</v>
      </c>
      <c r="F333" s="6">
        <v>7349631.0</v>
      </c>
      <c r="G333" s="2">
        <v>3.851</v>
      </c>
      <c r="H333" s="2" t="s">
        <v>733</v>
      </c>
      <c r="I333" s="2">
        <v>10.510459</v>
      </c>
      <c r="J333" s="2">
        <v>10.422</v>
      </c>
      <c r="K333" s="2"/>
      <c r="L333" s="2"/>
    </row>
    <row r="334" ht="11.25" customHeight="1">
      <c r="A334" s="2" t="s">
        <v>362</v>
      </c>
      <c r="B334" s="2" t="s">
        <v>6011</v>
      </c>
      <c r="C334" s="26" t="s">
        <v>6012</v>
      </c>
      <c r="D334" s="2" t="s">
        <v>6013</v>
      </c>
      <c r="E334" s="70">
        <v>9.209494528E9</v>
      </c>
      <c r="F334" s="6">
        <v>3725300.0</v>
      </c>
      <c r="G334" s="2">
        <v>0.8</v>
      </c>
      <c r="H334" s="13">
        <v>44404.0</v>
      </c>
      <c r="I334" s="2">
        <v>44.773098</v>
      </c>
      <c r="J334" s="2">
        <v>0.617</v>
      </c>
      <c r="K334" s="2"/>
      <c r="L334" s="2"/>
    </row>
    <row r="335" ht="11.25" customHeight="1">
      <c r="A335" s="2" t="s">
        <v>363</v>
      </c>
      <c r="B335" s="2" t="s">
        <v>6014</v>
      </c>
      <c r="C335" s="26" t="s">
        <v>6015</v>
      </c>
      <c r="D335" s="2" t="s">
        <v>6016</v>
      </c>
      <c r="E335" s="70">
        <v>4.64545579008E11</v>
      </c>
      <c r="F335" s="6">
        <v>1.4278563E7</v>
      </c>
      <c r="G335" s="2">
        <v>3.6</v>
      </c>
      <c r="H335" s="2" t="s">
        <v>733</v>
      </c>
      <c r="I335" s="2">
        <v>10.087397</v>
      </c>
      <c r="J335" s="2">
        <v>14.989</v>
      </c>
      <c r="K335" s="2"/>
      <c r="L335" s="2"/>
    </row>
    <row r="336" ht="11.25" customHeight="1">
      <c r="A336" s="2" t="s">
        <v>364</v>
      </c>
      <c r="B336" s="2" t="s">
        <v>6017</v>
      </c>
      <c r="C336" s="26" t="s">
        <v>6018</v>
      </c>
      <c r="D336" s="2" t="s">
        <v>6019</v>
      </c>
      <c r="E336" s="70">
        <v>7.526106112E9</v>
      </c>
      <c r="F336" s="6">
        <v>2344117.0</v>
      </c>
      <c r="G336" s="2">
        <v>0.359</v>
      </c>
      <c r="H336" s="2" t="s">
        <v>733</v>
      </c>
      <c r="I336" s="2" t="s">
        <v>5024</v>
      </c>
      <c r="J336" s="2" t="s">
        <v>5024</v>
      </c>
      <c r="K336" s="2"/>
      <c r="L336" s="2"/>
    </row>
    <row r="337" ht="11.25" customHeight="1">
      <c r="A337" s="2" t="s">
        <v>365</v>
      </c>
      <c r="B337" s="2" t="s">
        <v>6020</v>
      </c>
      <c r="C337" s="26" t="s">
        <v>6021</v>
      </c>
      <c r="D337" s="2" t="s">
        <v>6022</v>
      </c>
      <c r="E337" s="70">
        <v>5.281803264E9</v>
      </c>
      <c r="F337" s="6">
        <v>3317328.0</v>
      </c>
      <c r="G337" s="2">
        <v>0.37</v>
      </c>
      <c r="H337" s="2" t="s">
        <v>733</v>
      </c>
      <c r="I337" s="2" t="s">
        <v>5024</v>
      </c>
      <c r="J337" s="2">
        <v>-2.129</v>
      </c>
      <c r="K337" s="2"/>
      <c r="L337" s="2"/>
    </row>
    <row r="338" ht="11.25" customHeight="1">
      <c r="A338" s="2" t="s">
        <v>366</v>
      </c>
      <c r="B338" s="2" t="s">
        <v>6023</v>
      </c>
      <c r="C338" s="26" t="s">
        <v>6024</v>
      </c>
      <c r="D338" s="2" t="s">
        <v>6025</v>
      </c>
      <c r="E338" s="70">
        <v>2.1767909376E10</v>
      </c>
      <c r="F338" s="6">
        <v>2415698.0</v>
      </c>
      <c r="G338" s="2">
        <v>2.28999999999999</v>
      </c>
      <c r="H338" s="13">
        <v>44413.0</v>
      </c>
      <c r="I338" s="2">
        <v>17.424118</v>
      </c>
      <c r="J338" s="2">
        <v>3.69</v>
      </c>
      <c r="K338" s="2"/>
      <c r="L338" s="2"/>
    </row>
    <row r="339" ht="11.25" customHeight="1">
      <c r="A339" s="2" t="s">
        <v>367</v>
      </c>
      <c r="B339" s="2" t="s">
        <v>6026</v>
      </c>
      <c r="C339" s="26" t="s">
        <v>6027</v>
      </c>
      <c r="D339" s="2" t="s">
        <v>6028</v>
      </c>
      <c r="E339" s="70">
        <v>2.269313E9</v>
      </c>
      <c r="F339" s="6">
        <v>2874004.0</v>
      </c>
      <c r="G339" s="2">
        <v>0.9</v>
      </c>
      <c r="H339" s="2" t="s">
        <v>733</v>
      </c>
      <c r="I339" s="2" t="s">
        <v>5024</v>
      </c>
      <c r="J339" s="2" t="s">
        <v>5024</v>
      </c>
      <c r="K339" s="2"/>
      <c r="L339" s="2"/>
    </row>
    <row r="340" ht="11.25" customHeight="1">
      <c r="A340" s="2" t="s">
        <v>368</v>
      </c>
      <c r="B340" s="2" t="s">
        <v>6029</v>
      </c>
      <c r="C340" s="26" t="s">
        <v>6030</v>
      </c>
      <c r="D340" s="2" t="s">
        <v>6031</v>
      </c>
      <c r="E340" s="70">
        <v>5.1041292288E10</v>
      </c>
      <c r="F340" s="6">
        <v>5049979.0</v>
      </c>
      <c r="G340" s="2">
        <v>0.638</v>
      </c>
      <c r="H340" s="13">
        <v>44405.0</v>
      </c>
      <c r="I340" s="2">
        <v>34.214287</v>
      </c>
      <c r="J340" s="2">
        <v>1.05</v>
      </c>
      <c r="K340" s="2"/>
      <c r="L340" s="2"/>
    </row>
    <row r="341" ht="11.25" customHeight="1">
      <c r="A341" s="2" t="s">
        <v>369</v>
      </c>
      <c r="B341" s="2" t="s">
        <v>6032</v>
      </c>
      <c r="C341" s="26" t="s">
        <v>6033</v>
      </c>
      <c r="D341" s="2" t="s">
        <v>6034</v>
      </c>
      <c r="E341" s="70">
        <v>1.9536545792E10</v>
      </c>
      <c r="F341" s="6">
        <v>7283852.0</v>
      </c>
      <c r="G341" s="2">
        <v>0.74</v>
      </c>
      <c r="H341" s="13">
        <v>44397.0</v>
      </c>
      <c r="I341" s="2">
        <v>10.938914</v>
      </c>
      <c r="J341" s="2">
        <v>1.768</v>
      </c>
      <c r="K341" s="2"/>
      <c r="L341" s="2"/>
    </row>
    <row r="342" ht="11.25" customHeight="1">
      <c r="A342" s="2" t="s">
        <v>370</v>
      </c>
      <c r="B342" s="2" t="s">
        <v>6035</v>
      </c>
      <c r="C342" s="26" t="s">
        <v>6036</v>
      </c>
      <c r="D342" s="2" t="s">
        <v>6037</v>
      </c>
      <c r="E342" s="70">
        <v>2.8875583488E10</v>
      </c>
      <c r="F342" s="6">
        <v>887828.0</v>
      </c>
      <c r="G342" s="2">
        <v>0.0</v>
      </c>
      <c r="H342" s="2" t="s">
        <v>733</v>
      </c>
      <c r="I342" s="2">
        <v>38.836044</v>
      </c>
      <c r="J342" s="2">
        <v>3.995</v>
      </c>
      <c r="K342" s="2"/>
      <c r="L342" s="2"/>
    </row>
    <row r="343" ht="11.25" customHeight="1">
      <c r="A343" s="2" t="s">
        <v>371</v>
      </c>
      <c r="B343" s="2" t="s">
        <v>6038</v>
      </c>
      <c r="C343" s="26" t="s">
        <v>6039</v>
      </c>
      <c r="D343" s="2" t="s">
        <v>6040</v>
      </c>
      <c r="E343" s="70">
        <v>4.822880256E10</v>
      </c>
      <c r="F343" s="6">
        <v>4980253.0</v>
      </c>
      <c r="G343" s="2">
        <v>1.6</v>
      </c>
      <c r="H343" s="13">
        <v>44405.0</v>
      </c>
      <c r="I343" s="2">
        <v>88.88009</v>
      </c>
      <c r="J343" s="2">
        <v>0.442</v>
      </c>
      <c r="K343" s="2"/>
      <c r="L343" s="2"/>
    </row>
    <row r="344" ht="11.25" customHeight="1">
      <c r="A344" s="2" t="s">
        <v>372</v>
      </c>
      <c r="B344" s="2" t="s">
        <v>6041</v>
      </c>
      <c r="C344" s="26" t="s">
        <v>6042</v>
      </c>
      <c r="D344" s="2" t="s">
        <v>6043</v>
      </c>
      <c r="E344" s="70">
        <v>9.194873856E9</v>
      </c>
      <c r="F344" s="6">
        <v>5017784.0</v>
      </c>
      <c r="G344" s="2">
        <v>0.6</v>
      </c>
      <c r="H344" s="13">
        <v>44406.0</v>
      </c>
      <c r="I344" s="2">
        <v>8.979678</v>
      </c>
      <c r="J344" s="2">
        <v>2.362</v>
      </c>
      <c r="K344" s="2"/>
      <c r="L344" s="2"/>
    </row>
    <row r="345" ht="11.25" customHeight="1">
      <c r="A345" s="2" t="s">
        <v>373</v>
      </c>
      <c r="B345" s="2" t="s">
        <v>6044</v>
      </c>
      <c r="C345" s="26" t="s">
        <v>6045</v>
      </c>
      <c r="D345" s="2" t="s">
        <v>6046</v>
      </c>
      <c r="E345" s="70">
        <v>3.4220240896E10</v>
      </c>
      <c r="F345" s="6">
        <v>2543400.0</v>
      </c>
      <c r="G345" s="2">
        <v>0.55</v>
      </c>
      <c r="H345" s="13">
        <v>44410.0</v>
      </c>
      <c r="I345" s="2">
        <v>7.1007795</v>
      </c>
      <c r="J345" s="2">
        <v>8.216</v>
      </c>
      <c r="K345" s="2"/>
      <c r="L345" s="2"/>
    </row>
    <row r="346" ht="11.25" customHeight="1">
      <c r="A346" s="2" t="s">
        <v>374</v>
      </c>
      <c r="B346" s="2" t="s">
        <v>6047</v>
      </c>
      <c r="C346" s="26" t="s">
        <v>6048</v>
      </c>
      <c r="D346" s="2" t="s">
        <v>6049</v>
      </c>
      <c r="E346" s="70">
        <v>4.6559408128E10</v>
      </c>
      <c r="F346" s="6">
        <v>1110782.0</v>
      </c>
      <c r="G346" s="2">
        <v>3.6</v>
      </c>
      <c r="H346" s="13">
        <v>44406.0</v>
      </c>
      <c r="I346" s="2">
        <v>24.65866</v>
      </c>
      <c r="J346" s="2">
        <v>11.909</v>
      </c>
      <c r="K346" s="2"/>
      <c r="L346" s="2"/>
    </row>
    <row r="347" ht="11.25" customHeight="1">
      <c r="A347" s="2" t="s">
        <v>375</v>
      </c>
      <c r="B347" s="2" t="s">
        <v>6050</v>
      </c>
      <c r="C347" s="26" t="s">
        <v>6051</v>
      </c>
      <c r="D347" s="2" t="s">
        <v>6052</v>
      </c>
      <c r="E347" s="70">
        <v>4.5961613312E10</v>
      </c>
      <c r="F347" s="6">
        <v>2551871.0</v>
      </c>
      <c r="G347" s="2">
        <v>4.42</v>
      </c>
      <c r="H347" s="13">
        <v>44400.0</v>
      </c>
      <c r="I347" s="2">
        <v>20.784342</v>
      </c>
      <c r="J347" s="2">
        <v>6.668</v>
      </c>
      <c r="K347" s="2"/>
      <c r="L347" s="2"/>
    </row>
    <row r="348" ht="11.25" customHeight="1">
      <c r="A348" s="2" t="s">
        <v>376</v>
      </c>
      <c r="B348" s="2" t="s">
        <v>6053</v>
      </c>
      <c r="C348" s="26" t="s">
        <v>6054</v>
      </c>
      <c r="D348" s="2" t="s">
        <v>6055</v>
      </c>
      <c r="E348" s="70">
        <v>4.0490688512E10</v>
      </c>
      <c r="F348" s="6">
        <v>1.4546539E7</v>
      </c>
      <c r="G348" s="2">
        <v>1.0585</v>
      </c>
      <c r="H348" s="13">
        <v>44397.0</v>
      </c>
      <c r="I348" s="2">
        <v>21.917809</v>
      </c>
      <c r="J348" s="2">
        <v>0.803</v>
      </c>
      <c r="K348" s="2"/>
      <c r="L348" s="2"/>
    </row>
    <row r="349" ht="11.25" customHeight="1">
      <c r="A349" s="2" t="s">
        <v>377</v>
      </c>
      <c r="B349" s="2" t="s">
        <v>6056</v>
      </c>
      <c r="C349" s="26" t="s">
        <v>6057</v>
      </c>
      <c r="D349" s="2" t="s">
        <v>6058</v>
      </c>
      <c r="E349" s="70">
        <v>2.1357520896E10</v>
      </c>
      <c r="F349" s="6">
        <v>1144479.0</v>
      </c>
      <c r="G349" s="2">
        <v>0.0</v>
      </c>
      <c r="H349" s="2" t="s">
        <v>733</v>
      </c>
      <c r="I349" s="2">
        <v>18.428751</v>
      </c>
      <c r="J349" s="2">
        <v>7.109</v>
      </c>
      <c r="K349" s="2"/>
      <c r="L349" s="2"/>
    </row>
    <row r="350" ht="11.25" customHeight="1">
      <c r="A350" s="2" t="s">
        <v>378</v>
      </c>
      <c r="B350" s="2" t="s">
        <v>6059</v>
      </c>
      <c r="C350" s="26" t="s">
        <v>6060</v>
      </c>
      <c r="D350" s="2" t="s">
        <v>6061</v>
      </c>
      <c r="E350" s="70">
        <v>2.43264978944E11</v>
      </c>
      <c r="F350" s="6">
        <v>1.4401073E7</v>
      </c>
      <c r="G350" s="2">
        <v>1.66</v>
      </c>
      <c r="H350" s="13">
        <v>44398.0</v>
      </c>
      <c r="I350" s="2">
        <v>33.763474</v>
      </c>
      <c r="J350" s="2">
        <v>1.67</v>
      </c>
      <c r="K350" s="2"/>
      <c r="L350" s="2"/>
    </row>
    <row r="351" ht="11.25" customHeight="1">
      <c r="A351" s="2" t="s">
        <v>379</v>
      </c>
      <c r="B351" s="2" t="s">
        <v>6062</v>
      </c>
      <c r="C351" s="26" t="s">
        <v>6063</v>
      </c>
      <c r="D351" s="2" t="s">
        <v>6064</v>
      </c>
      <c r="E351" s="70">
        <v>2.906756096E10</v>
      </c>
      <c r="F351" s="6">
        <v>7707765.0</v>
      </c>
      <c r="G351" s="2">
        <v>0.72</v>
      </c>
      <c r="H351" s="2" t="s">
        <v>733</v>
      </c>
      <c r="I351" s="2">
        <v>20.414722</v>
      </c>
      <c r="J351" s="2">
        <v>1.929</v>
      </c>
      <c r="K351" s="2"/>
      <c r="L351" s="2"/>
    </row>
    <row r="352" ht="11.25" customHeight="1">
      <c r="A352" s="2" t="s">
        <v>380</v>
      </c>
      <c r="B352" s="2" t="s">
        <v>6065</v>
      </c>
      <c r="C352" s="26" t="s">
        <v>6066</v>
      </c>
      <c r="D352" s="2" t="s">
        <v>6067</v>
      </c>
      <c r="E352" s="70">
        <v>2.541834E9</v>
      </c>
      <c r="F352" s="6">
        <v>9034942.0</v>
      </c>
      <c r="G352" s="2">
        <v>1.091</v>
      </c>
      <c r="H352" s="2" t="s">
        <v>733</v>
      </c>
      <c r="I352" s="2" t="s">
        <v>5024</v>
      </c>
      <c r="J352" s="2" t="s">
        <v>5024</v>
      </c>
      <c r="K352" s="2"/>
      <c r="L352" s="2"/>
    </row>
    <row r="353" ht="11.25" customHeight="1">
      <c r="A353" s="2" t="s">
        <v>381</v>
      </c>
      <c r="B353" s="2" t="s">
        <v>6068</v>
      </c>
      <c r="C353" s="26" t="s">
        <v>6069</v>
      </c>
      <c r="D353" s="2" t="s">
        <v>6070</v>
      </c>
      <c r="E353" s="70">
        <v>7.971007488E9</v>
      </c>
      <c r="F353" s="6">
        <v>3429393.0</v>
      </c>
      <c r="G353" s="2">
        <v>0.5</v>
      </c>
      <c r="H353" s="2" t="s">
        <v>733</v>
      </c>
      <c r="I353" s="2">
        <v>19.394455</v>
      </c>
      <c r="J353" s="2">
        <v>2.543</v>
      </c>
      <c r="K353" s="2"/>
      <c r="L353" s="2"/>
    </row>
    <row r="354" ht="11.25" customHeight="1">
      <c r="A354" s="2" t="s">
        <v>382</v>
      </c>
      <c r="B354" s="2" t="s">
        <v>6071</v>
      </c>
      <c r="C354" s="26" t="s">
        <v>6072</v>
      </c>
      <c r="D354" s="2" t="s">
        <v>6073</v>
      </c>
      <c r="E354" s="70">
        <v>2.4529268736E10</v>
      </c>
      <c r="F354" s="6">
        <v>1291506.0</v>
      </c>
      <c r="G354" s="2">
        <v>1.92</v>
      </c>
      <c r="H354" s="13">
        <v>44393.0</v>
      </c>
      <c r="I354" s="2">
        <v>40.2605</v>
      </c>
      <c r="J354" s="2">
        <v>6.641</v>
      </c>
      <c r="K354" s="2"/>
      <c r="L354" s="2"/>
    </row>
    <row r="355" ht="11.25" customHeight="1">
      <c r="A355" s="2" t="s">
        <v>383</v>
      </c>
      <c r="B355" s="2" t="s">
        <v>6074</v>
      </c>
      <c r="C355" s="26" t="s">
        <v>6075</v>
      </c>
      <c r="D355" s="2" t="s">
        <v>6076</v>
      </c>
      <c r="E355" s="70">
        <v>2.184779029E9</v>
      </c>
      <c r="F355" s="6">
        <v>4039836.0</v>
      </c>
      <c r="G355" s="2">
        <v>0.221</v>
      </c>
      <c r="H355" s="2" t="s">
        <v>733</v>
      </c>
      <c r="I355" s="2" t="s">
        <v>5024</v>
      </c>
      <c r="J355" s="2" t="s">
        <v>5024</v>
      </c>
      <c r="K355" s="2"/>
      <c r="L355" s="2"/>
    </row>
    <row r="356" ht="11.25" customHeight="1">
      <c r="A356" s="2" t="s">
        <v>384</v>
      </c>
      <c r="B356" s="2" t="s">
        <v>6077</v>
      </c>
      <c r="C356" s="26" t="s">
        <v>6078</v>
      </c>
      <c r="D356" s="2" t="s">
        <v>6079</v>
      </c>
      <c r="E356" s="70">
        <v>1.4358883328E10</v>
      </c>
      <c r="F356" s="6">
        <v>831828.0</v>
      </c>
      <c r="G356" s="2">
        <v>0.2515</v>
      </c>
      <c r="H356" s="13">
        <v>44410.0</v>
      </c>
      <c r="I356" s="2" t="s">
        <v>5024</v>
      </c>
      <c r="J356" s="2">
        <v>-0.143</v>
      </c>
      <c r="K356" s="2"/>
      <c r="L356" s="2"/>
    </row>
    <row r="357" ht="11.25" customHeight="1">
      <c r="A357" s="2" t="s">
        <v>385</v>
      </c>
      <c r="B357" s="2" t="s">
        <v>6080</v>
      </c>
      <c r="C357" s="26" t="s">
        <v>6081</v>
      </c>
      <c r="D357" s="2" t="s">
        <v>6082</v>
      </c>
      <c r="E357" s="70">
        <v>2.0320434176E10</v>
      </c>
      <c r="F357" s="6">
        <v>4035525.0</v>
      </c>
      <c r="G357" s="2">
        <v>0.15</v>
      </c>
      <c r="H357" s="2" t="s">
        <v>733</v>
      </c>
      <c r="I357" s="2">
        <v>14.644284</v>
      </c>
      <c r="J357" s="2">
        <v>5.004</v>
      </c>
      <c r="K357" s="2"/>
      <c r="L357" s="2"/>
    </row>
    <row r="358" ht="11.25" customHeight="1">
      <c r="A358" s="2" t="s">
        <v>386</v>
      </c>
      <c r="B358" s="2" t="s">
        <v>6083</v>
      </c>
      <c r="C358" s="26" t="s">
        <v>6084</v>
      </c>
      <c r="D358" s="2" t="s">
        <v>6085</v>
      </c>
      <c r="E358" s="70">
        <v>1.4905668608E10</v>
      </c>
      <c r="F358" s="6">
        <v>689479.0</v>
      </c>
      <c r="G358" s="2">
        <v>1.36</v>
      </c>
      <c r="H358" s="13">
        <v>44411.0</v>
      </c>
      <c r="I358" s="2">
        <v>21.391565</v>
      </c>
      <c r="J358" s="2">
        <v>4.98</v>
      </c>
      <c r="K358" s="2"/>
      <c r="L358" s="2"/>
    </row>
    <row r="359" ht="11.25" customHeight="1">
      <c r="A359" s="2" t="s">
        <v>387</v>
      </c>
      <c r="B359" s="2" t="s">
        <v>6086</v>
      </c>
      <c r="C359" s="26" t="s">
        <v>6087</v>
      </c>
      <c r="D359" s="2" t="s">
        <v>6088</v>
      </c>
      <c r="E359" s="70">
        <v>6.517757952E9</v>
      </c>
      <c r="F359" s="6">
        <v>755623.0</v>
      </c>
      <c r="G359" s="2">
        <v>1.62</v>
      </c>
      <c r="H359" s="13">
        <v>44410.0</v>
      </c>
      <c r="I359" s="2">
        <v>22.699528</v>
      </c>
      <c r="J359" s="2">
        <v>2.13</v>
      </c>
      <c r="K359" s="2"/>
      <c r="L359" s="2"/>
    </row>
    <row r="360" ht="11.25" customHeight="1">
      <c r="A360" s="2" t="s">
        <v>388</v>
      </c>
      <c r="B360" s="2" t="s">
        <v>6089</v>
      </c>
      <c r="C360" s="26" t="s">
        <v>6090</v>
      </c>
      <c r="D360" s="2" t="s">
        <v>6091</v>
      </c>
      <c r="E360" s="70">
        <v>2.9676132352E10</v>
      </c>
      <c r="F360" s="6">
        <v>2468830.0</v>
      </c>
      <c r="G360" s="2">
        <v>1.0</v>
      </c>
      <c r="H360" s="2" t="s">
        <v>733</v>
      </c>
      <c r="I360" s="2">
        <v>8.914434</v>
      </c>
      <c r="J360" s="2">
        <v>10.787</v>
      </c>
      <c r="K360" s="2"/>
      <c r="L360" s="2"/>
    </row>
    <row r="361" ht="11.25" customHeight="1">
      <c r="A361" s="2" t="s">
        <v>389</v>
      </c>
      <c r="B361" s="2" t="s">
        <v>6092</v>
      </c>
      <c r="C361" s="26" t="s">
        <v>6093</v>
      </c>
      <c r="D361" s="2" t="s">
        <v>6094</v>
      </c>
      <c r="E361" s="70">
        <v>4.756731904E9</v>
      </c>
      <c r="F361" s="6">
        <v>2163865.0</v>
      </c>
      <c r="G361" s="2">
        <v>0.0</v>
      </c>
      <c r="H361" s="2" t="s">
        <v>733</v>
      </c>
      <c r="I361" s="2">
        <v>53.95652</v>
      </c>
      <c r="J361" s="2">
        <v>0.46</v>
      </c>
      <c r="K361" s="2"/>
      <c r="L361" s="2"/>
    </row>
    <row r="362" ht="11.25" customHeight="1">
      <c r="A362" s="2" t="s">
        <v>390</v>
      </c>
      <c r="B362" s="2" t="s">
        <v>6095</v>
      </c>
      <c r="C362" s="26" t="s">
        <v>6096</v>
      </c>
      <c r="D362" s="2" t="s">
        <v>6097</v>
      </c>
      <c r="E362" s="70">
        <v>2.70716928E10</v>
      </c>
      <c r="F362" s="6">
        <v>643477.0</v>
      </c>
      <c r="G362" s="2">
        <v>0.0</v>
      </c>
      <c r="H362" s="13">
        <v>44406.0</v>
      </c>
      <c r="I362" s="2">
        <v>10.3145685</v>
      </c>
      <c r="J362" s="2">
        <v>26.894</v>
      </c>
      <c r="K362" s="2"/>
      <c r="L362" s="2"/>
    </row>
    <row r="363" ht="11.25" customHeight="1">
      <c r="A363" s="2" t="s">
        <v>391</v>
      </c>
      <c r="B363" s="2" t="s">
        <v>6098</v>
      </c>
      <c r="C363" s="26" t="s">
        <v>6099</v>
      </c>
      <c r="D363" s="2" t="s">
        <v>6100</v>
      </c>
      <c r="E363" s="70">
        <v>4.5924614144E10</v>
      </c>
      <c r="F363" s="6">
        <v>1096247.0</v>
      </c>
      <c r="G363" s="2">
        <v>3.74</v>
      </c>
      <c r="H363" s="13">
        <v>44411.0</v>
      </c>
      <c r="I363" s="2">
        <v>34.814873</v>
      </c>
      <c r="J363" s="2">
        <v>6.428</v>
      </c>
      <c r="K363" s="2"/>
      <c r="L363" s="2"/>
    </row>
    <row r="364" ht="11.25" customHeight="1">
      <c r="A364" s="2" t="s">
        <v>392</v>
      </c>
      <c r="B364" s="2" t="s">
        <v>6101</v>
      </c>
      <c r="C364" s="26" t="s">
        <v>6102</v>
      </c>
      <c r="D364" s="2" t="s">
        <v>6103</v>
      </c>
      <c r="E364" s="70">
        <v>1.51796760576E11</v>
      </c>
      <c r="F364" s="6">
        <v>2004261.0</v>
      </c>
      <c r="G364" s="2">
        <v>4.046</v>
      </c>
      <c r="H364" s="2" t="s">
        <v>733</v>
      </c>
      <c r="I364" s="2">
        <v>52.872227</v>
      </c>
      <c r="J364" s="2">
        <v>5.494</v>
      </c>
      <c r="K364" s="2"/>
      <c r="L364" s="2"/>
    </row>
    <row r="365" ht="11.25" customHeight="1">
      <c r="A365" s="2" t="s">
        <v>393</v>
      </c>
      <c r="B365" s="2" t="s">
        <v>6104</v>
      </c>
      <c r="C365" s="26" t="s">
        <v>6105</v>
      </c>
      <c r="D365" s="2" t="s">
        <v>6106</v>
      </c>
      <c r="E365" s="70">
        <v>1.5098935296E10</v>
      </c>
      <c r="F365" s="6">
        <v>1806168.0</v>
      </c>
      <c r="G365" s="2">
        <v>0.0</v>
      </c>
      <c r="H365" s="13">
        <v>44406.0</v>
      </c>
      <c r="I365" s="2">
        <v>19.855595</v>
      </c>
      <c r="J365" s="2">
        <v>2.493</v>
      </c>
      <c r="K365" s="2"/>
      <c r="L365" s="2"/>
    </row>
    <row r="366" ht="11.25" customHeight="1">
      <c r="A366" s="2" t="s">
        <v>394</v>
      </c>
      <c r="B366" s="2" t="s">
        <v>6107</v>
      </c>
      <c r="C366" s="26" t="s">
        <v>6108</v>
      </c>
      <c r="D366" s="2" t="s">
        <v>6109</v>
      </c>
      <c r="E366" s="70">
        <v>2.21937565696E11</v>
      </c>
      <c r="F366" s="6">
        <v>3479211.0</v>
      </c>
      <c r="G366" s="2">
        <v>3.17999999999999</v>
      </c>
      <c r="H366" s="13">
        <v>44411.0</v>
      </c>
      <c r="I366" s="2">
        <v>34.81587</v>
      </c>
      <c r="J366" s="2">
        <v>6.68</v>
      </c>
      <c r="K366" s="2"/>
      <c r="L366" s="2"/>
    </row>
    <row r="367" ht="11.25" customHeight="1">
      <c r="A367" s="2" t="s">
        <v>395</v>
      </c>
      <c r="B367" s="2" t="s">
        <v>6110</v>
      </c>
      <c r="C367" s="26" t="s">
        <v>6111</v>
      </c>
      <c r="D367" s="2" t="s">
        <v>6112</v>
      </c>
      <c r="E367" s="70">
        <v>5.331564032E9</v>
      </c>
      <c r="F367" s="6">
        <v>2096674.0</v>
      </c>
      <c r="G367" s="2">
        <v>0.0</v>
      </c>
      <c r="H367" s="2" t="s">
        <v>733</v>
      </c>
      <c r="I367" s="2" t="s">
        <v>5024</v>
      </c>
      <c r="J367" s="2">
        <v>-2.942</v>
      </c>
      <c r="K367" s="2"/>
      <c r="L367" s="2"/>
    </row>
    <row r="368" ht="11.25" customHeight="1">
      <c r="A368" s="2" t="s">
        <v>396</v>
      </c>
      <c r="B368" s="2" t="s">
        <v>6113</v>
      </c>
      <c r="C368" s="26" t="s">
        <v>6114</v>
      </c>
      <c r="D368" s="2" t="s">
        <v>6115</v>
      </c>
      <c r="E368" s="70">
        <v>1.05139658752E11</v>
      </c>
      <c r="F368" s="6">
        <v>1200020.0</v>
      </c>
      <c r="G368" s="2">
        <v>10.2</v>
      </c>
      <c r="H368" s="13">
        <v>44403.0</v>
      </c>
      <c r="I368" s="2">
        <v>15.221724</v>
      </c>
      <c r="J368" s="2">
        <v>24.783</v>
      </c>
      <c r="K368" s="2"/>
      <c r="L368" s="2"/>
    </row>
    <row r="369" ht="11.25" customHeight="1">
      <c r="A369" s="2" t="s">
        <v>397</v>
      </c>
      <c r="B369" s="2" t="s">
        <v>6116</v>
      </c>
      <c r="C369" s="26" t="s">
        <v>6117</v>
      </c>
      <c r="D369" s="2" t="s">
        <v>6118</v>
      </c>
      <c r="E369" s="70">
        <v>1.1757435904E10</v>
      </c>
      <c r="F369" s="6">
        <v>1327847.0</v>
      </c>
      <c r="G369" s="2">
        <v>2.06</v>
      </c>
      <c r="H369" s="13">
        <v>44412.0</v>
      </c>
      <c r="I369" s="2">
        <v>17.099827</v>
      </c>
      <c r="J369" s="2">
        <v>3.486</v>
      </c>
      <c r="K369" s="2"/>
      <c r="L369" s="2"/>
    </row>
    <row r="370" ht="11.25" customHeight="1">
      <c r="A370" s="2" t="s">
        <v>398</v>
      </c>
      <c r="B370" s="2" t="s">
        <v>6119</v>
      </c>
      <c r="C370" s="26" t="s">
        <v>6120</v>
      </c>
      <c r="D370" s="2" t="s">
        <v>6121</v>
      </c>
      <c r="E370" s="70">
        <v>1.4460305408E10</v>
      </c>
      <c r="F370" s="6">
        <v>1374968.0</v>
      </c>
      <c r="G370" s="2">
        <v>1.5655</v>
      </c>
      <c r="H370" s="13">
        <v>44412.0</v>
      </c>
      <c r="I370" s="2">
        <v>23.98858</v>
      </c>
      <c r="J370" s="2">
        <v>2.452</v>
      </c>
      <c r="K370" s="2"/>
      <c r="L370" s="2"/>
    </row>
    <row r="371" ht="11.25" customHeight="1">
      <c r="A371" s="2" t="s">
        <v>399</v>
      </c>
      <c r="B371" s="2" t="s">
        <v>6122</v>
      </c>
      <c r="C371" s="26" t="s">
        <v>6123</v>
      </c>
      <c r="D371" s="2" t="s">
        <v>6124</v>
      </c>
      <c r="E371" s="70">
        <v>1.38394927104E11</v>
      </c>
      <c r="F371" s="6">
        <v>3921542.0</v>
      </c>
      <c r="G371" s="2">
        <v>3.15</v>
      </c>
      <c r="H371" s="2" t="s">
        <v>733</v>
      </c>
      <c r="I371" s="2">
        <v>21.404886</v>
      </c>
      <c r="J371" s="2">
        <v>9.168</v>
      </c>
      <c r="K371" s="2"/>
      <c r="L371" s="2"/>
    </row>
    <row r="372" ht="11.25" customHeight="1">
      <c r="A372" s="2" t="s">
        <v>400</v>
      </c>
      <c r="B372" s="2" t="s">
        <v>6125</v>
      </c>
      <c r="C372" s="26" t="s">
        <v>6126</v>
      </c>
      <c r="D372" s="2" t="s">
        <v>6127</v>
      </c>
      <c r="E372" s="70">
        <v>5.656635904E9</v>
      </c>
      <c r="F372" s="6">
        <v>2536622.0</v>
      </c>
      <c r="G372" s="2">
        <v>0.61</v>
      </c>
      <c r="H372" s="13">
        <v>44410.0</v>
      </c>
      <c r="I372" s="2">
        <v>7.461074</v>
      </c>
      <c r="J372" s="2">
        <v>7.129</v>
      </c>
      <c r="K372" s="2"/>
      <c r="L372" s="2"/>
    </row>
    <row r="373" ht="11.25" customHeight="1">
      <c r="A373" s="2" t="s">
        <v>401</v>
      </c>
      <c r="B373" s="2" t="s">
        <v>6128</v>
      </c>
      <c r="C373" s="26" t="s">
        <v>6129</v>
      </c>
      <c r="D373" s="2" t="s">
        <v>6130</v>
      </c>
      <c r="E373" s="70">
        <v>3.966652416E10</v>
      </c>
      <c r="F373" s="6">
        <v>1.2819122E7</v>
      </c>
      <c r="G373" s="2">
        <v>2.513</v>
      </c>
      <c r="H373" s="2" t="s">
        <v>733</v>
      </c>
      <c r="I373" s="2">
        <v>14.550669</v>
      </c>
      <c r="J373" s="2">
        <v>9.278</v>
      </c>
      <c r="K373" s="2"/>
      <c r="L373" s="2"/>
    </row>
    <row r="374" ht="11.25" customHeight="1">
      <c r="A374" s="2" t="s">
        <v>402</v>
      </c>
      <c r="B374" s="2" t="s">
        <v>6131</v>
      </c>
      <c r="C374" s="26" t="s">
        <v>6132</v>
      </c>
      <c r="D374" s="2" t="s">
        <v>6133</v>
      </c>
      <c r="E374" s="70">
        <v>8.7103127552E10</v>
      </c>
      <c r="F374" s="6">
        <v>1268387.0</v>
      </c>
      <c r="G374" s="2">
        <v>5.2</v>
      </c>
      <c r="H374" s="13">
        <v>44404.0</v>
      </c>
      <c r="I374" s="2">
        <v>24.975475</v>
      </c>
      <c r="J374" s="2">
        <v>23.652</v>
      </c>
      <c r="K374" s="2"/>
      <c r="L374" s="2"/>
    </row>
    <row r="375" ht="11.25" customHeight="1">
      <c r="A375" s="2" t="s">
        <v>403</v>
      </c>
      <c r="B375" s="2" t="s">
        <v>6134</v>
      </c>
      <c r="C375" s="26" t="s">
        <v>6135</v>
      </c>
      <c r="D375" s="2" t="s">
        <v>6136</v>
      </c>
      <c r="E375" s="70">
        <v>5.091762176E10</v>
      </c>
      <c r="F375" s="6">
        <v>1038630.0</v>
      </c>
      <c r="G375" s="2">
        <v>0.0</v>
      </c>
      <c r="H375" s="2" t="s">
        <v>733</v>
      </c>
      <c r="I375" s="2">
        <v>68.97755</v>
      </c>
      <c r="J375" s="2">
        <v>5.389</v>
      </c>
      <c r="K375" s="2"/>
      <c r="L375" s="2"/>
    </row>
    <row r="376" ht="11.25" customHeight="1">
      <c r="A376" s="2" t="s">
        <v>404</v>
      </c>
      <c r="B376" s="2" t="s">
        <v>6137</v>
      </c>
      <c r="C376" s="26" t="s">
        <v>6138</v>
      </c>
      <c r="D376" s="2" t="s">
        <v>6139</v>
      </c>
      <c r="E376" s="70">
        <v>1.460114432E10</v>
      </c>
      <c r="F376" s="6">
        <v>8717550.0</v>
      </c>
      <c r="G376" s="2">
        <v>1.0</v>
      </c>
      <c r="H376" s="13">
        <v>44412.0</v>
      </c>
      <c r="I376" s="2" t="s">
        <v>5024</v>
      </c>
      <c r="J376" s="2">
        <v>-0.991</v>
      </c>
      <c r="K376" s="2"/>
      <c r="L376" s="2"/>
    </row>
    <row r="377" ht="11.25" customHeight="1">
      <c r="A377" s="2" t="s">
        <v>405</v>
      </c>
      <c r="B377" s="2" t="s">
        <v>6140</v>
      </c>
      <c r="C377" s="26" t="s">
        <v>6141</v>
      </c>
      <c r="D377" s="2" t="s">
        <v>6142</v>
      </c>
      <c r="E377" s="70">
        <v>3.0645157888E10</v>
      </c>
      <c r="F377" s="6">
        <v>6129196.0</v>
      </c>
      <c r="G377" s="2">
        <v>0.18</v>
      </c>
      <c r="H377" s="13">
        <v>44399.0</v>
      </c>
      <c r="I377" s="2" t="s">
        <v>5024</v>
      </c>
      <c r="J377" s="2">
        <v>-4.906</v>
      </c>
      <c r="K377" s="2"/>
      <c r="L377" s="2"/>
    </row>
    <row r="378" ht="11.25" customHeight="1">
      <c r="A378" s="2" t="s">
        <v>406</v>
      </c>
      <c r="B378" s="2" t="s">
        <v>6143</v>
      </c>
      <c r="C378" s="26" t="s">
        <v>6144</v>
      </c>
      <c r="D378" s="2" t="s">
        <v>6145</v>
      </c>
      <c r="E378" s="70">
        <v>3.7741109248E10</v>
      </c>
      <c r="F378" s="6">
        <v>5839950.0</v>
      </c>
      <c r="G378" s="2">
        <v>0.79</v>
      </c>
      <c r="H378" s="13">
        <v>44397.0</v>
      </c>
      <c r="I378" s="2" t="s">
        <v>5024</v>
      </c>
      <c r="J378" s="2">
        <v>-2.575</v>
      </c>
      <c r="K378" s="2"/>
      <c r="L378" s="2"/>
    </row>
    <row r="379" ht="11.25" customHeight="1">
      <c r="A379" s="2" t="s">
        <v>407</v>
      </c>
      <c r="B379" s="2" t="s">
        <v>6146</v>
      </c>
      <c r="C379" s="26" t="s">
        <v>6147</v>
      </c>
      <c r="D379" s="2" t="s">
        <v>6148</v>
      </c>
      <c r="E379" s="70">
        <v>1.149484032E10</v>
      </c>
      <c r="F379" s="6">
        <v>767652.0</v>
      </c>
      <c r="G379" s="2">
        <v>0.929999999999999</v>
      </c>
      <c r="H379" s="13">
        <v>44404.0</v>
      </c>
      <c r="I379" s="2">
        <v>45.584793</v>
      </c>
      <c r="J379" s="2">
        <v>1.71</v>
      </c>
      <c r="K379" s="2"/>
      <c r="L379" s="2"/>
    </row>
    <row r="380" ht="11.25" customHeight="1">
      <c r="A380" s="2" t="s">
        <v>408</v>
      </c>
      <c r="B380" s="2" t="s">
        <v>6149</v>
      </c>
      <c r="C380" s="26" t="s">
        <v>6150</v>
      </c>
      <c r="D380" s="2" t="s">
        <v>6151</v>
      </c>
      <c r="E380" s="70">
        <v>3.3789812736E10</v>
      </c>
      <c r="F380" s="6">
        <v>1578298.0</v>
      </c>
      <c r="G380" s="2">
        <v>4.27999999999999</v>
      </c>
      <c r="H380" s="13">
        <v>44406.0</v>
      </c>
      <c r="I380" s="2">
        <v>13.713061</v>
      </c>
      <c r="J380" s="2">
        <v>7.005</v>
      </c>
      <c r="K380" s="2"/>
      <c r="L380" s="2"/>
    </row>
    <row r="381" ht="11.25" customHeight="1">
      <c r="A381" s="2" t="s">
        <v>409</v>
      </c>
      <c r="B381" s="2" t="s">
        <v>6152</v>
      </c>
      <c r="C381" s="26" t="s">
        <v>6153</v>
      </c>
      <c r="D381" s="2" t="s">
        <v>6154</v>
      </c>
      <c r="E381" s="70">
        <v>1.8026528768E10</v>
      </c>
      <c r="F381" s="6">
        <v>6733088.0</v>
      </c>
      <c r="G381" s="2">
        <v>0.0</v>
      </c>
      <c r="H381" s="2" t="s">
        <v>733</v>
      </c>
      <c r="I381" s="2" t="s">
        <v>5024</v>
      </c>
      <c r="J381" s="2">
        <v>-5.611</v>
      </c>
      <c r="K381" s="2"/>
      <c r="L381" s="2"/>
    </row>
    <row r="382" ht="11.25" customHeight="1">
      <c r="A382" s="2" t="s">
        <v>410</v>
      </c>
      <c r="B382" s="2" t="s">
        <v>6155</v>
      </c>
      <c r="C382" s="26" t="s">
        <v>6156</v>
      </c>
      <c r="D382" s="2" t="s">
        <v>6157</v>
      </c>
      <c r="E382" s="70">
        <v>1.7531815936E10</v>
      </c>
      <c r="F382" s="6">
        <v>2114049.0</v>
      </c>
      <c r="G382" s="2">
        <v>0.0</v>
      </c>
      <c r="H382" s="13">
        <v>44411.0</v>
      </c>
      <c r="I382" s="2" t="s">
        <v>5024</v>
      </c>
      <c r="J382" s="2">
        <v>-8.596</v>
      </c>
      <c r="K382" s="2"/>
      <c r="L382" s="2"/>
    </row>
    <row r="383" ht="11.25" customHeight="1">
      <c r="A383" s="2" t="s">
        <v>411</v>
      </c>
      <c r="B383" s="2" t="s">
        <v>6158</v>
      </c>
      <c r="C383" s="26" t="s">
        <v>6159</v>
      </c>
      <c r="D383" s="2" t="s">
        <v>6160</v>
      </c>
      <c r="E383" s="70">
        <v>3.86567766016E11</v>
      </c>
      <c r="F383" s="6">
        <v>3214171.0</v>
      </c>
      <c r="G383" s="2">
        <v>1.72</v>
      </c>
      <c r="H383" s="13">
        <v>44405.0</v>
      </c>
      <c r="I383" s="2">
        <v>59.401653</v>
      </c>
      <c r="J383" s="2">
        <v>6.518</v>
      </c>
      <c r="K383" s="2"/>
      <c r="L383" s="2"/>
    </row>
    <row r="384" ht="11.25" customHeight="1">
      <c r="A384" s="2" t="s">
        <v>412</v>
      </c>
      <c r="B384" s="2" t="s">
        <v>6161</v>
      </c>
      <c r="C384" s="26" t="s">
        <v>6162</v>
      </c>
      <c r="D384" s="2" t="s">
        <v>6163</v>
      </c>
      <c r="E384" s="70">
        <v>2.1004929024E10</v>
      </c>
      <c r="F384" s="6">
        <v>598634.0</v>
      </c>
      <c r="G384" s="2">
        <v>5.13749999999999</v>
      </c>
      <c r="H384" s="13">
        <v>44404.0</v>
      </c>
      <c r="I384" s="2">
        <v>81.047676</v>
      </c>
      <c r="J384" s="2">
        <v>2.286</v>
      </c>
      <c r="K384" s="2"/>
      <c r="L384" s="2"/>
    </row>
    <row r="385" ht="11.25" customHeight="1">
      <c r="A385" s="2" t="s">
        <v>413</v>
      </c>
      <c r="B385" s="2" t="s">
        <v>6164</v>
      </c>
      <c r="C385" s="26" t="s">
        <v>6165</v>
      </c>
      <c r="D385" s="2" t="s">
        <v>6166</v>
      </c>
      <c r="E385" s="70">
        <v>4.5436411904E10</v>
      </c>
      <c r="F385" s="6">
        <v>2038576.0</v>
      </c>
      <c r="G385" s="2">
        <v>0.48</v>
      </c>
      <c r="H385" s="2" t="s">
        <v>733</v>
      </c>
      <c r="I385" s="2" t="s">
        <v>5024</v>
      </c>
      <c r="J385" s="2">
        <v>-0.947</v>
      </c>
      <c r="K385" s="2"/>
      <c r="L385" s="2"/>
    </row>
    <row r="386" ht="11.25" customHeight="1">
      <c r="A386" s="2" t="s">
        <v>414</v>
      </c>
      <c r="B386" s="2" t="s">
        <v>6167</v>
      </c>
      <c r="C386" s="26" t="s">
        <v>6168</v>
      </c>
      <c r="D386" s="2" t="s">
        <v>6169</v>
      </c>
      <c r="E386" s="70">
        <v>2.435370752E9</v>
      </c>
      <c r="F386" s="6">
        <v>1.5681807E7</v>
      </c>
      <c r="G386" s="2">
        <v>0.0</v>
      </c>
      <c r="H386" s="2" t="s">
        <v>733</v>
      </c>
      <c r="I386" s="2">
        <v>32.517384</v>
      </c>
      <c r="J386" s="2">
        <v>0.719</v>
      </c>
      <c r="K386" s="2"/>
      <c r="L386" s="2"/>
    </row>
    <row r="387" ht="11.25" customHeight="1">
      <c r="A387" s="2" t="s">
        <v>415</v>
      </c>
      <c r="B387" s="2" t="s">
        <v>6170</v>
      </c>
      <c r="C387" s="26" t="s">
        <v>6171</v>
      </c>
      <c r="D387" s="2" t="s">
        <v>6172</v>
      </c>
      <c r="E387" s="70">
        <v>1.486424576E10</v>
      </c>
      <c r="F387" s="6">
        <v>2074200.0</v>
      </c>
      <c r="G387" s="2">
        <v>0.515</v>
      </c>
      <c r="H387" s="13">
        <v>44406.0</v>
      </c>
      <c r="I387" s="2">
        <v>19.847878</v>
      </c>
      <c r="J387" s="2">
        <v>2.991</v>
      </c>
      <c r="K387" s="2"/>
      <c r="L387" s="2"/>
    </row>
    <row r="388" ht="11.25" customHeight="1">
      <c r="A388" s="2" t="s">
        <v>416</v>
      </c>
      <c r="B388" s="2" t="s">
        <v>6173</v>
      </c>
      <c r="C388" s="26" t="s">
        <v>6174</v>
      </c>
      <c r="D388" s="2" t="s">
        <v>6175</v>
      </c>
      <c r="E388" s="70">
        <v>1.76656695296E11</v>
      </c>
      <c r="F388" s="6">
        <v>2366825.0</v>
      </c>
      <c r="G388" s="2">
        <v>5.12</v>
      </c>
      <c r="H388" s="13">
        <v>44405.0</v>
      </c>
      <c r="I388" s="2">
        <v>34.154697</v>
      </c>
      <c r="J388" s="2">
        <v>6.891</v>
      </c>
      <c r="K388" s="2"/>
      <c r="L388" s="2"/>
    </row>
    <row r="389" ht="11.25" customHeight="1">
      <c r="A389" s="2" t="s">
        <v>417</v>
      </c>
      <c r="B389" s="2" t="s">
        <v>6176</v>
      </c>
      <c r="C389" s="26" t="s">
        <v>6177</v>
      </c>
      <c r="D389" s="2" t="s">
        <v>6178</v>
      </c>
      <c r="E389" s="70">
        <v>5.3757194E9</v>
      </c>
      <c r="F389" s="6">
        <v>2851993.0</v>
      </c>
      <c r="G389" s="2">
        <v>0.780999999999999</v>
      </c>
      <c r="H389" s="2" t="s">
        <v>733</v>
      </c>
      <c r="I389" s="2" t="s">
        <v>5024</v>
      </c>
      <c r="J389" s="2" t="s">
        <v>5024</v>
      </c>
      <c r="K389" s="2"/>
      <c r="L389" s="2"/>
    </row>
    <row r="390" ht="11.25" customHeight="1">
      <c r="A390" s="2" t="s">
        <v>418</v>
      </c>
      <c r="B390" s="2" t="s">
        <v>6179</v>
      </c>
      <c r="C390" s="26" t="s">
        <v>6180</v>
      </c>
      <c r="D390" s="2" t="s">
        <v>6181</v>
      </c>
      <c r="E390" s="70">
        <v>3.759683584E10</v>
      </c>
      <c r="F390" s="6">
        <v>1720058.0</v>
      </c>
      <c r="G390" s="2">
        <v>1.54</v>
      </c>
      <c r="H390" s="13">
        <v>44410.0</v>
      </c>
      <c r="I390" s="2">
        <v>103.94574</v>
      </c>
      <c r="J390" s="2">
        <v>1.29</v>
      </c>
      <c r="K390" s="2"/>
      <c r="L390" s="2"/>
    </row>
    <row r="391" ht="11.25" customHeight="1">
      <c r="A391" s="2" t="s">
        <v>419</v>
      </c>
      <c r="B391" s="2" t="s">
        <v>6182</v>
      </c>
      <c r="C391" s="26" t="s">
        <v>6183</v>
      </c>
      <c r="D391" s="2" t="s">
        <v>6184</v>
      </c>
      <c r="E391" s="70">
        <v>2.9326411776E10</v>
      </c>
      <c r="F391" s="6">
        <v>1167752.0</v>
      </c>
      <c r="G391" s="2">
        <v>1.68</v>
      </c>
      <c r="H391" s="13">
        <v>44412.0</v>
      </c>
      <c r="I391" s="2" t="s">
        <v>5024</v>
      </c>
      <c r="J391" s="2">
        <v>-28.266</v>
      </c>
      <c r="K391" s="2"/>
      <c r="L391" s="2"/>
    </row>
    <row r="392" ht="11.25" customHeight="1">
      <c r="A392" s="2" t="s">
        <v>420</v>
      </c>
      <c r="B392" s="2" t="s">
        <v>6185</v>
      </c>
      <c r="C392" s="26" t="s">
        <v>6186</v>
      </c>
      <c r="D392" s="2" t="s">
        <v>6187</v>
      </c>
      <c r="E392" s="70">
        <v>7.0070829056E10</v>
      </c>
      <c r="F392" s="6">
        <v>668071.0</v>
      </c>
      <c r="G392" s="2">
        <v>2.36</v>
      </c>
      <c r="H392" s="13">
        <v>44405.0</v>
      </c>
      <c r="I392" s="2">
        <v>35.288353</v>
      </c>
      <c r="J392" s="2">
        <v>10.716</v>
      </c>
      <c r="K392" s="2"/>
      <c r="L392" s="2"/>
    </row>
    <row r="393" ht="11.25" customHeight="1">
      <c r="A393" s="2" t="s">
        <v>421</v>
      </c>
      <c r="B393" s="2" t="s">
        <v>6188</v>
      </c>
      <c r="C393" s="26" t="s">
        <v>6189</v>
      </c>
      <c r="D393" s="2" t="s">
        <v>6190</v>
      </c>
      <c r="E393" s="70">
        <v>9.0070007808E10</v>
      </c>
      <c r="F393" s="6">
        <v>6729315.0</v>
      </c>
      <c r="G393" s="2">
        <v>1.26</v>
      </c>
      <c r="H393" s="13">
        <v>44403.0</v>
      </c>
      <c r="I393" s="2">
        <v>24.339014</v>
      </c>
      <c r="J393" s="2">
        <v>2.64</v>
      </c>
      <c r="K393" s="2"/>
      <c r="L393" s="2"/>
    </row>
    <row r="394" ht="11.25" customHeight="1">
      <c r="A394" s="2" t="s">
        <v>422</v>
      </c>
      <c r="B394" s="2" t="s">
        <v>6191</v>
      </c>
      <c r="C394" s="26" t="s">
        <v>6192</v>
      </c>
      <c r="D394" s="2" t="s">
        <v>6193</v>
      </c>
      <c r="E394" s="70">
        <v>1.68551940096E11</v>
      </c>
      <c r="F394" s="6">
        <v>4381166.0</v>
      </c>
      <c r="G394" s="2">
        <v>2.95</v>
      </c>
      <c r="H394" s="2" t="s">
        <v>733</v>
      </c>
      <c r="I394" s="2">
        <v>47.370296</v>
      </c>
      <c r="J394" s="2">
        <v>2.66</v>
      </c>
      <c r="K394" s="2"/>
      <c r="L394" s="2"/>
    </row>
    <row r="395" ht="11.25" customHeight="1">
      <c r="A395" s="2" t="s">
        <v>423</v>
      </c>
      <c r="B395" s="2" t="s">
        <v>6194</v>
      </c>
      <c r="C395" s="26" t="s">
        <v>6195</v>
      </c>
      <c r="D395" s="2" t="s">
        <v>6196</v>
      </c>
      <c r="E395" s="70">
        <v>7.5201200128E10</v>
      </c>
      <c r="F395" s="6">
        <v>409068.0</v>
      </c>
      <c r="G395" s="2">
        <v>0.0</v>
      </c>
      <c r="H395" s="2" t="s">
        <v>733</v>
      </c>
      <c r="I395" s="2" t="s">
        <v>5024</v>
      </c>
      <c r="J395" s="2">
        <v>-0.322</v>
      </c>
      <c r="K395" s="2"/>
      <c r="L395" s="2"/>
    </row>
    <row r="396" ht="11.25" customHeight="1">
      <c r="A396" s="2" t="s">
        <v>424</v>
      </c>
      <c r="B396" s="2" t="s">
        <v>6197</v>
      </c>
      <c r="C396" s="26" t="s">
        <v>6198</v>
      </c>
      <c r="D396" s="2" t="s">
        <v>6199</v>
      </c>
      <c r="E396" s="70">
        <v>5.1299315712E10</v>
      </c>
      <c r="F396" s="6">
        <v>4848993.0</v>
      </c>
      <c r="G396" s="2">
        <v>1.85999999999999</v>
      </c>
      <c r="H396" s="13">
        <v>44411.0</v>
      </c>
      <c r="I396" s="2">
        <v>46.81077</v>
      </c>
      <c r="J396" s="2">
        <v>1.226</v>
      </c>
      <c r="K396" s="2"/>
      <c r="L396" s="2"/>
    </row>
    <row r="397" ht="11.25" customHeight="1">
      <c r="A397" s="2" t="s">
        <v>425</v>
      </c>
      <c r="B397" s="2" t="s">
        <v>6200</v>
      </c>
      <c r="C397" s="26" t="s">
        <v>6201</v>
      </c>
      <c r="D397" s="2" t="s">
        <v>6202</v>
      </c>
      <c r="E397" s="70">
        <v>1.9233916928E10</v>
      </c>
      <c r="F397" s="6">
        <v>6698114.0</v>
      </c>
      <c r="G397" s="2">
        <v>0.01</v>
      </c>
      <c r="H397" s="13">
        <v>44412.0</v>
      </c>
      <c r="I397" s="2" t="s">
        <v>5024</v>
      </c>
      <c r="J397" s="2">
        <v>-4.362</v>
      </c>
      <c r="K397" s="2"/>
      <c r="L397" s="2"/>
    </row>
    <row r="398" ht="11.25" customHeight="1">
      <c r="A398" s="2" t="s">
        <v>426</v>
      </c>
      <c r="B398" s="2" t="s">
        <v>6203</v>
      </c>
      <c r="C398" s="26" t="s">
        <v>6204</v>
      </c>
      <c r="D398" s="2" t="s">
        <v>6205</v>
      </c>
      <c r="E398" s="70">
        <v>3.792320512E9</v>
      </c>
      <c r="F398" s="6">
        <v>2658538.0</v>
      </c>
      <c r="G398" s="2">
        <v>0.0</v>
      </c>
      <c r="H398" s="2" t="s">
        <v>733</v>
      </c>
      <c r="I398" s="2" t="s">
        <v>5024</v>
      </c>
      <c r="J398" s="2">
        <v>-0.507</v>
      </c>
      <c r="K398" s="2"/>
      <c r="L398" s="2"/>
    </row>
    <row r="399" ht="11.25" customHeight="1">
      <c r="A399" s="2" t="s">
        <v>427</v>
      </c>
      <c r="B399" s="2" t="s">
        <v>6206</v>
      </c>
      <c r="C399" s="26" t="s">
        <v>6207</v>
      </c>
      <c r="D399" s="2" t="s">
        <v>6208</v>
      </c>
      <c r="E399" s="70">
        <v>1.3288436736E10</v>
      </c>
      <c r="F399" s="6">
        <v>540525.0</v>
      </c>
      <c r="G399" s="2">
        <v>0.0</v>
      </c>
      <c r="H399" s="13">
        <v>44406.0</v>
      </c>
      <c r="I399" s="2">
        <v>3.726895</v>
      </c>
      <c r="J399" s="2">
        <v>49.89534</v>
      </c>
      <c r="K399" s="2"/>
      <c r="L399" s="2"/>
    </row>
    <row r="400" ht="11.25" customHeight="1">
      <c r="A400" s="2" t="s">
        <v>428</v>
      </c>
      <c r="B400" s="2" t="s">
        <v>6209</v>
      </c>
      <c r="C400" s="26" t="s">
        <v>6210</v>
      </c>
      <c r="D400" s="2" t="s">
        <v>6211</v>
      </c>
      <c r="E400" s="70">
        <v>2.3276544E10</v>
      </c>
      <c r="F400" s="6">
        <v>1287487.0</v>
      </c>
      <c r="G400" s="2">
        <v>1.33</v>
      </c>
      <c r="H400" s="2" t="s">
        <v>733</v>
      </c>
      <c r="I400" s="2">
        <v>31.444962</v>
      </c>
      <c r="J400" s="2">
        <v>2.789</v>
      </c>
      <c r="K400" s="2"/>
      <c r="L400" s="2"/>
    </row>
    <row r="401" ht="11.25" customHeight="1">
      <c r="A401" s="2" t="s">
        <v>429</v>
      </c>
      <c r="B401" s="2" t="s">
        <v>6212</v>
      </c>
      <c r="C401" s="26" t="s">
        <v>6213</v>
      </c>
      <c r="D401" s="2" t="s">
        <v>6214</v>
      </c>
      <c r="E401" s="70">
        <v>1.7269594112E10</v>
      </c>
      <c r="F401" s="6">
        <v>284022.0</v>
      </c>
      <c r="G401" s="2">
        <v>2.52</v>
      </c>
      <c r="H401" s="13">
        <v>44397.0</v>
      </c>
      <c r="I401" s="2">
        <v>57.35875</v>
      </c>
      <c r="J401" s="2">
        <v>8.0</v>
      </c>
      <c r="K401" s="2"/>
      <c r="L401" s="2"/>
    </row>
    <row r="402" ht="11.25" customHeight="1">
      <c r="A402" s="2" t="s">
        <v>430</v>
      </c>
      <c r="B402" s="2" t="s">
        <v>6215</v>
      </c>
      <c r="C402" s="26" t="s">
        <v>6216</v>
      </c>
      <c r="D402" s="2" t="s">
        <v>6217</v>
      </c>
      <c r="E402" s="70">
        <v>2.2280665088E10</v>
      </c>
      <c r="F402" s="6">
        <v>367226.0</v>
      </c>
      <c r="G402" s="2">
        <v>2.28</v>
      </c>
      <c r="H402" s="13">
        <v>44403.0</v>
      </c>
      <c r="I402" s="2">
        <v>28.96886</v>
      </c>
      <c r="J402" s="2">
        <v>12.171</v>
      </c>
      <c r="K402" s="2"/>
      <c r="L402" s="2"/>
    </row>
    <row r="403" ht="11.25" customHeight="1">
      <c r="A403" s="2" t="s">
        <v>431</v>
      </c>
      <c r="B403" s="2" t="s">
        <v>6218</v>
      </c>
      <c r="C403" s="26" t="s">
        <v>6219</v>
      </c>
      <c r="D403" s="2" t="s">
        <v>6220</v>
      </c>
      <c r="E403" s="70">
        <v>7.1692836864E10</v>
      </c>
      <c r="F403" s="6">
        <v>1836641.0</v>
      </c>
      <c r="G403" s="2">
        <v>1.86</v>
      </c>
      <c r="H403" s="13">
        <v>44399.0</v>
      </c>
      <c r="I403" s="2">
        <v>32.285713</v>
      </c>
      <c r="J403" s="2">
        <v>4.375</v>
      </c>
      <c r="K403" s="2"/>
      <c r="L403" s="2"/>
    </row>
    <row r="404" ht="11.25" customHeight="1">
      <c r="A404" s="2" t="s">
        <v>432</v>
      </c>
      <c r="B404" s="2" t="s">
        <v>6221</v>
      </c>
      <c r="C404" s="26" t="s">
        <v>6222</v>
      </c>
      <c r="D404" s="2" t="s">
        <v>6223</v>
      </c>
      <c r="E404" s="70">
        <v>1.1754070016E11</v>
      </c>
      <c r="F404" s="6">
        <v>2183574.0</v>
      </c>
      <c r="G404" s="2">
        <v>5.89999999999999</v>
      </c>
      <c r="H404" s="13">
        <v>44404.0</v>
      </c>
      <c r="I404" s="2">
        <v>20.41445</v>
      </c>
      <c r="J404" s="2">
        <v>9.772</v>
      </c>
      <c r="K404" s="2"/>
      <c r="L404" s="2"/>
    </row>
    <row r="405" ht="11.25" customHeight="1">
      <c r="A405" s="2" t="s">
        <v>433</v>
      </c>
      <c r="B405" s="2" t="s">
        <v>6224</v>
      </c>
      <c r="C405" s="26" t="s">
        <v>6225</v>
      </c>
      <c r="D405" s="2" t="s">
        <v>6226</v>
      </c>
      <c r="E405" s="70">
        <v>4.9483972608E10</v>
      </c>
      <c r="F405" s="6">
        <v>1984498.0</v>
      </c>
      <c r="G405" s="2">
        <v>0.0</v>
      </c>
      <c r="H405" s="13">
        <v>44410.0</v>
      </c>
      <c r="I405" s="2">
        <v>34.40081</v>
      </c>
      <c r="J405" s="2">
        <v>2.712</v>
      </c>
      <c r="K405" s="2"/>
      <c r="L405" s="2"/>
    </row>
    <row r="406" ht="11.25" customHeight="1">
      <c r="A406" s="2" t="s">
        <v>434</v>
      </c>
      <c r="B406" s="2" t="s">
        <v>6227</v>
      </c>
      <c r="C406" s="26" t="s">
        <v>6228</v>
      </c>
      <c r="D406" s="2" t="s">
        <v>6229</v>
      </c>
      <c r="E406" s="70">
        <v>8.7942414336E10</v>
      </c>
      <c r="F406" s="6">
        <v>8879384.0</v>
      </c>
      <c r="G406" s="2">
        <v>3.44</v>
      </c>
      <c r="H406" s="13">
        <v>44406.0</v>
      </c>
      <c r="I406" s="2">
        <v>20.253067</v>
      </c>
      <c r="J406" s="2">
        <v>2.331</v>
      </c>
      <c r="K406" s="2"/>
      <c r="L406" s="2"/>
    </row>
    <row r="407" ht="11.25" customHeight="1">
      <c r="A407" s="2" t="s">
        <v>435</v>
      </c>
      <c r="B407" s="2" t="s">
        <v>6230</v>
      </c>
      <c r="C407" s="26" t="s">
        <v>6231</v>
      </c>
      <c r="D407" s="2" t="s">
        <v>6232</v>
      </c>
      <c r="E407" s="70">
        <v>1.1579674624E10</v>
      </c>
      <c r="F407" s="6">
        <v>5422882.0</v>
      </c>
      <c r="G407" s="2">
        <v>0.224999999999999</v>
      </c>
      <c r="H407" s="13">
        <v>44410.0</v>
      </c>
      <c r="I407" s="2">
        <v>10.925306</v>
      </c>
      <c r="J407" s="2">
        <v>2.691</v>
      </c>
      <c r="K407" s="2"/>
      <c r="L407" s="2"/>
    </row>
    <row r="408" ht="11.25" customHeight="1">
      <c r="A408" s="2" t="s">
        <v>436</v>
      </c>
      <c r="B408" s="2" t="s">
        <v>6233</v>
      </c>
      <c r="C408" s="26" t="s">
        <v>6234</v>
      </c>
      <c r="D408" s="2" t="s">
        <v>6235</v>
      </c>
      <c r="E408" s="70">
        <v>5.90268928E9</v>
      </c>
      <c r="F408" s="6">
        <v>3789153.0</v>
      </c>
      <c r="G408" s="2">
        <v>0.0</v>
      </c>
      <c r="H408" s="2" t="s">
        <v>733</v>
      </c>
      <c r="I408" s="2" t="s">
        <v>5024</v>
      </c>
      <c r="J408" s="2">
        <v>-0.072</v>
      </c>
      <c r="K408" s="2"/>
      <c r="L408" s="2"/>
    </row>
    <row r="409" ht="11.25" customHeight="1">
      <c r="A409" s="2" t="s">
        <v>437</v>
      </c>
      <c r="B409" s="2" t="s">
        <v>6236</v>
      </c>
      <c r="C409" s="26" t="s">
        <v>6237</v>
      </c>
      <c r="D409" s="2" t="s">
        <v>6238</v>
      </c>
      <c r="E409" s="70">
        <v>3.539320832E10</v>
      </c>
      <c r="F409" s="6">
        <v>7126204.0</v>
      </c>
      <c r="G409" s="2">
        <v>2.32</v>
      </c>
      <c r="H409" s="13">
        <v>44412.0</v>
      </c>
      <c r="I409" s="2" t="s">
        <v>5024</v>
      </c>
      <c r="J409" s="2">
        <v>-1.285</v>
      </c>
      <c r="K409" s="2"/>
      <c r="L409" s="2"/>
    </row>
    <row r="410" ht="11.25" customHeight="1">
      <c r="A410" s="2" t="s">
        <v>438</v>
      </c>
      <c r="B410" s="2" t="s">
        <v>6239</v>
      </c>
      <c r="C410" s="26" t="s">
        <v>6240</v>
      </c>
      <c r="D410" s="2" t="s">
        <v>6241</v>
      </c>
      <c r="E410" s="70">
        <v>2.8795953152E10</v>
      </c>
      <c r="F410" s="6">
        <v>2174117.0</v>
      </c>
      <c r="G410" s="2">
        <v>2.7515</v>
      </c>
      <c r="H410" s="13">
        <v>44412.0</v>
      </c>
      <c r="I410" s="2">
        <v>10.943624</v>
      </c>
      <c r="J410" s="2">
        <v>2.501</v>
      </c>
      <c r="K410" s="2"/>
      <c r="L410" s="2"/>
    </row>
    <row r="411" ht="11.25" customHeight="1">
      <c r="A411" s="2" t="s">
        <v>439</v>
      </c>
      <c r="B411" s="2" t="s">
        <v>6242</v>
      </c>
      <c r="C411" s="26" t="s">
        <v>6243</v>
      </c>
      <c r="D411" s="2" t="s">
        <v>6244</v>
      </c>
      <c r="E411" s="70">
        <v>1.736410112E10</v>
      </c>
      <c r="F411" s="6">
        <v>342457.0</v>
      </c>
      <c r="G411" s="2">
        <v>2.2</v>
      </c>
      <c r="H411" s="13">
        <v>44403.0</v>
      </c>
      <c r="I411" s="2">
        <v>103.26448</v>
      </c>
      <c r="J411" s="2">
        <v>3.679</v>
      </c>
      <c r="K411" s="2"/>
      <c r="L411" s="2"/>
    </row>
    <row r="412" ht="11.25" customHeight="1">
      <c r="A412" s="2" t="s">
        <v>440</v>
      </c>
      <c r="B412" s="2" t="s">
        <v>6245</v>
      </c>
      <c r="C412" s="26" t="s">
        <v>6246</v>
      </c>
      <c r="D412" s="2" t="s">
        <v>6247</v>
      </c>
      <c r="E412" s="70">
        <v>1.04266776576E11</v>
      </c>
      <c r="F412" s="6">
        <v>9328073.0</v>
      </c>
      <c r="G412" s="2">
        <v>0.0</v>
      </c>
      <c r="H412" s="13">
        <v>44411.0</v>
      </c>
      <c r="I412" s="2">
        <v>190.43567</v>
      </c>
      <c r="J412" s="2">
        <v>1.492</v>
      </c>
      <c r="K412" s="2"/>
      <c r="L412" s="2"/>
    </row>
    <row r="413" ht="11.25" customHeight="1">
      <c r="A413" s="2" t="s">
        <v>441</v>
      </c>
      <c r="B413" s="2" t="s">
        <v>6248</v>
      </c>
      <c r="C413" s="26" t="s">
        <v>6249</v>
      </c>
      <c r="D413" s="2" t="s">
        <v>6250</v>
      </c>
      <c r="E413" s="70">
        <v>9.66275584E9</v>
      </c>
      <c r="F413" s="6">
        <v>1.8676733E7</v>
      </c>
      <c r="G413" s="2">
        <v>0.1</v>
      </c>
      <c r="H413" s="13">
        <v>44412.0</v>
      </c>
      <c r="I413" s="2" t="s">
        <v>5024</v>
      </c>
      <c r="J413" s="2">
        <v>-1.654</v>
      </c>
      <c r="K413" s="2"/>
      <c r="L413" s="2"/>
    </row>
    <row r="414" ht="11.25" customHeight="1">
      <c r="A414" s="2" t="s">
        <v>442</v>
      </c>
      <c r="B414" s="2" t="s">
        <v>6251</v>
      </c>
      <c r="C414" s="26" t="s">
        <v>6252</v>
      </c>
      <c r="D414" s="2" t="s">
        <v>6253</v>
      </c>
      <c r="E414" s="70">
        <v>4.564615168E10</v>
      </c>
      <c r="F414" s="6">
        <v>8348788.0</v>
      </c>
      <c r="G414" s="2">
        <v>0.24</v>
      </c>
      <c r="H414" s="2" t="s">
        <v>733</v>
      </c>
      <c r="I414" s="2" t="s">
        <v>5024</v>
      </c>
      <c r="J414" s="2">
        <v>-0.373</v>
      </c>
      <c r="K414" s="2"/>
      <c r="L414" s="2"/>
    </row>
    <row r="415" ht="11.25" customHeight="1">
      <c r="A415" s="2" t="s">
        <v>443</v>
      </c>
      <c r="B415" s="2" t="s">
        <v>6254</v>
      </c>
      <c r="C415" s="26" t="s">
        <v>6255</v>
      </c>
      <c r="D415" s="2" t="s">
        <v>6256</v>
      </c>
      <c r="E415" s="70">
        <v>1.72346441728E11</v>
      </c>
      <c r="F415" s="6">
        <v>9852115.0</v>
      </c>
      <c r="G415" s="2">
        <v>1.4</v>
      </c>
      <c r="H415" s="2" t="s">
        <v>733</v>
      </c>
      <c r="I415" s="2">
        <v>12.101669</v>
      </c>
      <c r="J415" s="2">
        <v>7.544</v>
      </c>
      <c r="K415" s="2"/>
      <c r="L415" s="2"/>
    </row>
    <row r="416" ht="11.25" customHeight="1">
      <c r="A416" s="2" t="s">
        <v>444</v>
      </c>
      <c r="B416" s="2" t="s">
        <v>6257</v>
      </c>
      <c r="C416" s="26" t="s">
        <v>6258</v>
      </c>
      <c r="D416" s="2" t="s">
        <v>6259</v>
      </c>
      <c r="E416" s="70">
        <v>4.608577536E10</v>
      </c>
      <c r="F416" s="6">
        <v>343273.0</v>
      </c>
      <c r="G416" s="2">
        <v>3.12</v>
      </c>
      <c r="H416" s="13">
        <v>44403.0</v>
      </c>
      <c r="I416" s="2">
        <v>73.09604</v>
      </c>
      <c r="J416" s="2">
        <v>7.747</v>
      </c>
      <c r="K416" s="2"/>
      <c r="L416" s="2"/>
    </row>
    <row r="417" ht="11.25" customHeight="1">
      <c r="A417" s="2" t="s">
        <v>445</v>
      </c>
      <c r="B417" s="2" t="s">
        <v>6260</v>
      </c>
      <c r="C417" s="26" t="s">
        <v>6261</v>
      </c>
      <c r="D417" s="2" t="s">
        <v>6262</v>
      </c>
      <c r="E417" s="70">
        <v>2.11659718656E12</v>
      </c>
      <c r="F417" s="6">
        <v>2.4636503E7</v>
      </c>
      <c r="G417" s="2">
        <v>2.19</v>
      </c>
      <c r="H417" s="13">
        <v>44404.0</v>
      </c>
      <c r="I417" s="2">
        <v>38.33061</v>
      </c>
      <c r="J417" s="2">
        <v>7.338</v>
      </c>
      <c r="K417" s="2"/>
      <c r="L417" s="2"/>
    </row>
    <row r="418" ht="11.25" customHeight="1">
      <c r="A418" s="2" t="s">
        <v>446</v>
      </c>
      <c r="B418" s="2" t="s">
        <v>6263</v>
      </c>
      <c r="C418" s="26" t="s">
        <v>6264</v>
      </c>
      <c r="D418" s="2" t="s">
        <v>6265</v>
      </c>
      <c r="E418" s="70">
        <v>3.7751128064E10</v>
      </c>
      <c r="F418" s="6">
        <v>665374.0</v>
      </c>
      <c r="G418" s="2">
        <v>2.77</v>
      </c>
      <c r="H418" s="13">
        <v>44412.0</v>
      </c>
      <c r="I418" s="2">
        <v>38.34233</v>
      </c>
      <c r="J418" s="2">
        <v>5.743</v>
      </c>
      <c r="K418" s="2"/>
      <c r="L418" s="2"/>
    </row>
    <row r="419" ht="11.25" customHeight="1">
      <c r="A419" s="2" t="s">
        <v>447</v>
      </c>
      <c r="B419" s="2" t="s">
        <v>6266</v>
      </c>
      <c r="C419" s="26" t="s">
        <v>6267</v>
      </c>
      <c r="D419" s="2" t="s">
        <v>6268</v>
      </c>
      <c r="E419" s="70">
        <v>1.815179264E10</v>
      </c>
      <c r="F419" s="6">
        <v>875300.0</v>
      </c>
      <c r="G419" s="2">
        <v>4.4</v>
      </c>
      <c r="H419" s="13">
        <v>44398.0</v>
      </c>
      <c r="I419" s="2">
        <v>12.040663</v>
      </c>
      <c r="J419" s="2">
        <v>11.342</v>
      </c>
      <c r="K419" s="2"/>
      <c r="L419" s="2"/>
    </row>
    <row r="420" ht="11.25" customHeight="1">
      <c r="A420" s="2" t="s">
        <v>448</v>
      </c>
      <c r="B420" s="2" t="s">
        <v>6269</v>
      </c>
      <c r="C420" s="26" t="s">
        <v>6270</v>
      </c>
      <c r="D420" s="2" t="s">
        <v>6271</v>
      </c>
      <c r="E420" s="70">
        <v>4.5020540928E10</v>
      </c>
      <c r="F420" s="6">
        <v>1991466.0</v>
      </c>
      <c r="G420" s="2">
        <v>0.0</v>
      </c>
      <c r="H420" s="13">
        <v>44410.0</v>
      </c>
      <c r="I420" s="2">
        <v>86.7388</v>
      </c>
      <c r="J420" s="2">
        <v>1.861</v>
      </c>
      <c r="K420" s="2"/>
      <c r="L420" s="2"/>
    </row>
    <row r="421" ht="11.25" customHeight="1">
      <c r="A421" s="2" t="s">
        <v>449</v>
      </c>
      <c r="B421" s="2" t="s">
        <v>6272</v>
      </c>
      <c r="C421" s="26" t="s">
        <v>6273</v>
      </c>
      <c r="D421" s="2" t="s">
        <v>6274</v>
      </c>
      <c r="E421" s="70">
        <v>3.334644736E10</v>
      </c>
      <c r="F421" s="6">
        <v>108111.0</v>
      </c>
      <c r="G421" s="2">
        <v>0.0</v>
      </c>
      <c r="H421" s="13">
        <v>44406.0</v>
      </c>
      <c r="I421" s="2">
        <v>53.314236</v>
      </c>
      <c r="J421" s="2">
        <v>27.228</v>
      </c>
      <c r="K421" s="2"/>
      <c r="L421" s="2"/>
    </row>
    <row r="422" ht="11.25" customHeight="1">
      <c r="A422" s="2" t="s">
        <v>450</v>
      </c>
      <c r="B422" s="2" t="s">
        <v>6275</v>
      </c>
      <c r="C422" s="26" t="s">
        <v>6276</v>
      </c>
      <c r="D422" s="2" t="s">
        <v>6277</v>
      </c>
      <c r="E422" s="70">
        <v>8.6592692224E10</v>
      </c>
      <c r="F422" s="6">
        <v>1.9123758E7</v>
      </c>
      <c r="G422" s="2">
        <v>0.0</v>
      </c>
      <c r="H422" s="2" t="s">
        <v>733</v>
      </c>
      <c r="I422" s="2">
        <v>20.716059</v>
      </c>
      <c r="J422" s="2">
        <v>3.624</v>
      </c>
      <c r="K422" s="2"/>
      <c r="L422" s="2"/>
    </row>
    <row r="423" ht="11.25" customHeight="1">
      <c r="A423" s="2" t="s">
        <v>451</v>
      </c>
      <c r="B423" s="2" t="s">
        <v>6278</v>
      </c>
      <c r="C423" s="26" t="s">
        <v>6279</v>
      </c>
      <c r="D423" s="2" t="s">
        <v>6280</v>
      </c>
      <c r="E423" s="70">
        <v>2.6511679488E10</v>
      </c>
      <c r="F423" s="6">
        <v>2533517.0</v>
      </c>
      <c r="G423" s="2">
        <v>0.48</v>
      </c>
      <c r="H423" s="13">
        <v>44403.0</v>
      </c>
      <c r="I423" s="2">
        <v>33.634163</v>
      </c>
      <c r="J423" s="2">
        <v>2.892</v>
      </c>
      <c r="K423" s="2"/>
      <c r="L423" s="2"/>
    </row>
    <row r="424" ht="11.25" customHeight="1">
      <c r="A424" s="2" t="s">
        <v>452</v>
      </c>
      <c r="B424" s="2" t="s">
        <v>6281</v>
      </c>
      <c r="C424" s="26" t="s">
        <v>6282</v>
      </c>
      <c r="D424" s="2" t="s">
        <v>6283</v>
      </c>
      <c r="E424" s="70">
        <v>9.078156288E9</v>
      </c>
      <c r="F424" s="6">
        <v>1.6439434E7</v>
      </c>
      <c r="G424" s="2">
        <v>0.0</v>
      </c>
      <c r="H424" s="13">
        <v>44412.0</v>
      </c>
      <c r="I424" s="2" t="s">
        <v>5024</v>
      </c>
      <c r="J424" s="2">
        <v>-12.346</v>
      </c>
      <c r="K424" s="2"/>
      <c r="L424" s="2"/>
    </row>
    <row r="425" ht="11.25" customHeight="1">
      <c r="A425" s="2" t="s">
        <v>453</v>
      </c>
      <c r="B425" s="2" t="s">
        <v>6284</v>
      </c>
      <c r="C425" s="26" t="s">
        <v>6285</v>
      </c>
      <c r="D425" s="2" t="s">
        <v>6286</v>
      </c>
      <c r="E425" s="70">
        <v>3.0422841344E10</v>
      </c>
      <c r="F425" s="6">
        <v>761215.0</v>
      </c>
      <c r="G425" s="2">
        <v>2.01</v>
      </c>
      <c r="H425" s="13">
        <v>44398.0</v>
      </c>
      <c r="I425" s="2">
        <v>29.043901</v>
      </c>
      <c r="J425" s="2">
        <v>6.15</v>
      </c>
      <c r="K425" s="2"/>
      <c r="L425" s="2"/>
    </row>
    <row r="426" ht="11.25" customHeight="1">
      <c r="A426" s="2" t="s">
        <v>454</v>
      </c>
      <c r="B426" s="2" t="s">
        <v>6287</v>
      </c>
      <c r="C426" s="26" t="s">
        <v>6288</v>
      </c>
      <c r="D426" s="2" t="s">
        <v>6289</v>
      </c>
      <c r="E426" s="70">
        <v>1.50698213376E11</v>
      </c>
      <c r="F426" s="6">
        <v>7547461.0</v>
      </c>
      <c r="G426" s="2">
        <v>1.47</v>
      </c>
      <c r="H426" s="13">
        <v>44399.0</v>
      </c>
      <c r="I426" s="2">
        <v>37.037918</v>
      </c>
      <c r="J426" s="2">
        <v>2.11</v>
      </c>
      <c r="K426" s="2"/>
      <c r="L426" s="2"/>
    </row>
    <row r="427" ht="11.25" customHeight="1">
      <c r="A427" s="2" t="s">
        <v>455</v>
      </c>
      <c r="B427" s="2" t="s">
        <v>6290</v>
      </c>
      <c r="C427" s="26" t="s">
        <v>6291</v>
      </c>
      <c r="D427" s="2" t="s">
        <v>6292</v>
      </c>
      <c r="E427" s="70">
        <v>5.0833727488E10</v>
      </c>
      <c r="F427" s="6">
        <v>6711639.0</v>
      </c>
      <c r="G427" s="2">
        <v>1.75</v>
      </c>
      <c r="H427" s="13">
        <v>44399.0</v>
      </c>
      <c r="I427" s="2">
        <v>19.268904</v>
      </c>
      <c r="J427" s="2">
        <v>3.187</v>
      </c>
      <c r="K427" s="2"/>
      <c r="L427" s="2"/>
    </row>
    <row r="428" ht="11.25" customHeight="1">
      <c r="A428" s="2" t="s">
        <v>456</v>
      </c>
      <c r="B428" s="2" t="s">
        <v>6293</v>
      </c>
      <c r="C428" s="26" t="s">
        <v>6294</v>
      </c>
      <c r="D428" s="2" t="s">
        <v>6295</v>
      </c>
      <c r="E428" s="70">
        <v>3.190750208E10</v>
      </c>
      <c r="F428" s="6">
        <v>3877266.0</v>
      </c>
      <c r="G428" s="2">
        <v>0.0</v>
      </c>
      <c r="H428" s="13">
        <v>44412.0</v>
      </c>
      <c r="I428" s="2" t="s">
        <v>5024</v>
      </c>
      <c r="J428" s="2">
        <v>-0.419</v>
      </c>
      <c r="K428" s="2"/>
      <c r="L428" s="2"/>
    </row>
    <row r="429" ht="11.25" customHeight="1">
      <c r="A429" s="2" t="s">
        <v>457</v>
      </c>
      <c r="B429" s="2" t="s">
        <v>6296</v>
      </c>
      <c r="C429" s="26" t="s">
        <v>6297</v>
      </c>
      <c r="D429" s="2" t="s">
        <v>6298</v>
      </c>
      <c r="E429" s="70">
        <v>2.40745660416E11</v>
      </c>
      <c r="F429" s="6">
        <v>4014958.0</v>
      </c>
      <c r="G429" s="2">
        <v>0.0</v>
      </c>
      <c r="H429" s="13">
        <v>44397.0</v>
      </c>
      <c r="I429" s="2">
        <v>64.04212</v>
      </c>
      <c r="J429" s="2">
        <v>8.263</v>
      </c>
      <c r="K429" s="2"/>
      <c r="L429" s="2"/>
    </row>
    <row r="430" ht="11.25" customHeight="1">
      <c r="A430" s="2" t="s">
        <v>458</v>
      </c>
      <c r="B430" s="2" t="s">
        <v>6299</v>
      </c>
      <c r="C430" s="26" t="s">
        <v>6300</v>
      </c>
      <c r="D430" s="2" t="s">
        <v>6301</v>
      </c>
      <c r="E430" s="70">
        <v>1.0013299712E10</v>
      </c>
      <c r="F430" s="6">
        <v>3540385.0</v>
      </c>
      <c r="G430" s="2">
        <v>1.08</v>
      </c>
      <c r="H430" s="13">
        <v>44411.0</v>
      </c>
      <c r="I430" s="2">
        <v>67.62402</v>
      </c>
      <c r="J430" s="2">
        <v>0.383</v>
      </c>
      <c r="K430" s="2"/>
      <c r="L430" s="2"/>
    </row>
    <row r="431" ht="11.25" customHeight="1">
      <c r="A431" s="2" t="s">
        <v>459</v>
      </c>
      <c r="B431" s="2" t="s">
        <v>6302</v>
      </c>
      <c r="C431" s="26" t="s">
        <v>6303</v>
      </c>
      <c r="D431" s="2" t="s">
        <v>6304</v>
      </c>
      <c r="E431" s="70">
        <v>2.55354748928E11</v>
      </c>
      <c r="F431" s="6">
        <v>7259293.0</v>
      </c>
      <c r="G431" s="2">
        <v>1.07</v>
      </c>
      <c r="H431" s="2" t="s">
        <v>733</v>
      </c>
      <c r="I431" s="2">
        <v>44.935394</v>
      </c>
      <c r="J431" s="2">
        <v>3.56</v>
      </c>
      <c r="K431" s="2"/>
      <c r="L431" s="2"/>
    </row>
    <row r="432" ht="11.25" customHeight="1">
      <c r="A432" s="2" t="s">
        <v>460</v>
      </c>
      <c r="B432" s="2" t="s">
        <v>6305</v>
      </c>
      <c r="C432" s="26" t="s">
        <v>6306</v>
      </c>
      <c r="D432" s="2" t="s">
        <v>6307</v>
      </c>
      <c r="E432" s="70">
        <v>1.4997379072E10</v>
      </c>
      <c r="F432" s="6">
        <v>5537103.0</v>
      </c>
      <c r="G432" s="2">
        <v>0.5</v>
      </c>
      <c r="H432" s="13">
        <v>44412.0</v>
      </c>
      <c r="I432" s="2">
        <v>28.228603</v>
      </c>
      <c r="J432" s="2">
        <v>0.923</v>
      </c>
      <c r="K432" s="2"/>
      <c r="L432" s="2"/>
    </row>
    <row r="433" ht="11.25" customHeight="1">
      <c r="A433" s="2" t="s">
        <v>461</v>
      </c>
      <c r="B433" s="2" t="s">
        <v>6308</v>
      </c>
      <c r="C433" s="26" t="s">
        <v>6309</v>
      </c>
      <c r="D433" s="2" t="s">
        <v>6310</v>
      </c>
      <c r="E433" s="70">
        <v>8.578832896E9</v>
      </c>
      <c r="F433" s="6">
        <v>2880925.0</v>
      </c>
      <c r="G433" s="2">
        <v>0.24</v>
      </c>
      <c r="H433" s="13">
        <v>44411.0</v>
      </c>
      <c r="I433" s="2">
        <v>14.621072</v>
      </c>
      <c r="J433" s="2">
        <v>1.623</v>
      </c>
      <c r="K433" s="2"/>
      <c r="L433" s="2"/>
    </row>
    <row r="434" ht="11.25" customHeight="1">
      <c r="A434" s="2" t="s">
        <v>462</v>
      </c>
      <c r="B434" s="2" t="s">
        <v>6311</v>
      </c>
      <c r="C434" s="26" t="s">
        <v>6312</v>
      </c>
      <c r="D434" s="2" t="s">
        <v>6313</v>
      </c>
      <c r="E434" s="70">
        <v>5.85785344E10</v>
      </c>
      <c r="F434" s="6">
        <v>862552.0</v>
      </c>
      <c r="G434" s="2">
        <v>5.92</v>
      </c>
      <c r="H434" s="13">
        <v>44406.0</v>
      </c>
      <c r="I434" s="2">
        <v>13.397532</v>
      </c>
      <c r="J434" s="2">
        <v>27.155</v>
      </c>
      <c r="K434" s="2"/>
      <c r="L434" s="2"/>
    </row>
    <row r="435" ht="11.25" customHeight="1">
      <c r="A435" s="2" t="s">
        <v>463</v>
      </c>
      <c r="B435" s="2" t="s">
        <v>6314</v>
      </c>
      <c r="C435" s="26" t="s">
        <v>6315</v>
      </c>
      <c r="D435" s="2" t="s">
        <v>6316</v>
      </c>
      <c r="E435" s="70">
        <v>5.402592768E9</v>
      </c>
      <c r="F435" s="6">
        <v>4682503.0</v>
      </c>
      <c r="G435" s="2">
        <v>0.05</v>
      </c>
      <c r="H435" s="13">
        <v>44404.0</v>
      </c>
      <c r="I435" s="2" t="s">
        <v>5024</v>
      </c>
      <c r="J435" s="2">
        <v>-1.593</v>
      </c>
      <c r="K435" s="2"/>
      <c r="L435" s="2"/>
    </row>
    <row r="436" ht="11.25" customHeight="1">
      <c r="A436" s="2" t="s">
        <v>464</v>
      </c>
      <c r="B436" s="2" t="s">
        <v>6317</v>
      </c>
      <c r="C436" s="26" t="s">
        <v>6318</v>
      </c>
      <c r="D436" s="2" t="s">
        <v>6319</v>
      </c>
      <c r="E436" s="70">
        <v>3.753234432E9</v>
      </c>
      <c r="F436" s="6">
        <v>2567887.0</v>
      </c>
      <c r="G436" s="2">
        <v>0.0</v>
      </c>
      <c r="H436" s="13">
        <v>44404.0</v>
      </c>
      <c r="I436" s="2" t="s">
        <v>5024</v>
      </c>
      <c r="J436" s="2">
        <v>-2.292</v>
      </c>
      <c r="K436" s="2"/>
      <c r="L436" s="2"/>
    </row>
    <row r="437" ht="11.25" customHeight="1">
      <c r="A437" s="2" t="s">
        <v>465</v>
      </c>
      <c r="B437" s="2" t="s">
        <v>6320</v>
      </c>
      <c r="C437" s="26" t="s">
        <v>6321</v>
      </c>
      <c r="D437" s="2" t="s">
        <v>6322</v>
      </c>
      <c r="E437" s="70">
        <v>1.1028852736E11</v>
      </c>
      <c r="F437" s="6">
        <v>1545415.0</v>
      </c>
      <c r="G437" s="2">
        <v>0.0</v>
      </c>
      <c r="H437" s="13">
        <v>44404.0</v>
      </c>
      <c r="I437" s="2">
        <v>732.2894</v>
      </c>
      <c r="J437" s="2">
        <v>0.76</v>
      </c>
      <c r="K437" s="2"/>
      <c r="L437" s="2"/>
    </row>
    <row r="438" ht="11.25" customHeight="1">
      <c r="A438" s="2" t="s">
        <v>466</v>
      </c>
      <c r="B438" s="2" t="s">
        <v>6323</v>
      </c>
      <c r="C438" s="26" t="s">
        <v>6324</v>
      </c>
      <c r="D438" s="2" t="s">
        <v>6325</v>
      </c>
      <c r="E438" s="70">
        <v>9.846453248E9</v>
      </c>
      <c r="F438" s="6">
        <v>3061239.0</v>
      </c>
      <c r="G438" s="2">
        <v>1.25</v>
      </c>
      <c r="H438" s="13">
        <v>44412.0</v>
      </c>
      <c r="I438" s="2">
        <v>32.464</v>
      </c>
      <c r="J438" s="2">
        <v>1.25</v>
      </c>
      <c r="K438" s="2"/>
      <c r="L438" s="2"/>
    </row>
    <row r="439" ht="11.25" customHeight="1">
      <c r="A439" s="2" t="s">
        <v>467</v>
      </c>
      <c r="B439" s="2" t="s">
        <v>6326</v>
      </c>
      <c r="C439" s="26" t="s">
        <v>6327</v>
      </c>
      <c r="D439" s="2" t="s">
        <v>6328</v>
      </c>
      <c r="E439" s="70">
        <v>6.5870938112E10</v>
      </c>
      <c r="F439" s="6">
        <v>1214042.0</v>
      </c>
      <c r="G439" s="2">
        <v>3.86</v>
      </c>
      <c r="H439" s="13">
        <v>44405.0</v>
      </c>
      <c r="I439" s="2">
        <v>28.937113</v>
      </c>
      <c r="J439" s="2">
        <v>9.032</v>
      </c>
      <c r="K439" s="2"/>
      <c r="L439" s="2"/>
    </row>
    <row r="440" ht="11.25" customHeight="1">
      <c r="A440" s="2" t="s">
        <v>468</v>
      </c>
      <c r="B440" s="2" t="s">
        <v>6329</v>
      </c>
      <c r="C440" s="26" t="s">
        <v>6330</v>
      </c>
      <c r="D440" s="2" t="s">
        <v>6331</v>
      </c>
      <c r="E440" s="70">
        <v>1.76720896E10</v>
      </c>
      <c r="F440" s="6">
        <v>1582692.0</v>
      </c>
      <c r="G440" s="2">
        <v>1.94</v>
      </c>
      <c r="H440" s="2" t="s">
        <v>733</v>
      </c>
      <c r="I440" s="2">
        <v>24.003096</v>
      </c>
      <c r="J440" s="2">
        <v>3.23</v>
      </c>
      <c r="K440" s="2"/>
      <c r="L440" s="2"/>
    </row>
    <row r="441" ht="11.25" customHeight="1">
      <c r="A441" s="2" t="s">
        <v>469</v>
      </c>
      <c r="B441" s="2" t="s">
        <v>6332</v>
      </c>
      <c r="C441" s="26" t="s">
        <v>6333</v>
      </c>
      <c r="D441" s="2" t="s">
        <v>6334</v>
      </c>
      <c r="E441" s="70">
        <v>7.687254016E10</v>
      </c>
      <c r="F441" s="6">
        <v>1993060.0</v>
      </c>
      <c r="G441" s="2">
        <v>2.04</v>
      </c>
      <c r="H441" s="2" t="s">
        <v>733</v>
      </c>
      <c r="I441" s="2">
        <v>37.739376</v>
      </c>
      <c r="J441" s="2">
        <v>2.966</v>
      </c>
      <c r="K441" s="2"/>
      <c r="L441" s="2"/>
    </row>
    <row r="442" ht="11.25" customHeight="1">
      <c r="A442" s="2" t="s">
        <v>470</v>
      </c>
      <c r="B442" s="2" t="s">
        <v>6335</v>
      </c>
      <c r="C442" s="26" t="s">
        <v>6336</v>
      </c>
      <c r="D442" s="2" t="s">
        <v>6337</v>
      </c>
      <c r="E442" s="70">
        <v>9.98345728E9</v>
      </c>
      <c r="F442" s="6">
        <v>2262690.0</v>
      </c>
      <c r="G442" s="2">
        <v>0.0</v>
      </c>
      <c r="H442" s="2" t="s">
        <v>733</v>
      </c>
      <c r="I442" s="2" t="s">
        <v>5024</v>
      </c>
      <c r="J442" s="2">
        <v>-2.471</v>
      </c>
      <c r="K442" s="2"/>
      <c r="L442" s="2"/>
    </row>
    <row r="443" ht="11.25" customHeight="1">
      <c r="A443" s="2" t="s">
        <v>471</v>
      </c>
      <c r="B443" s="2" t="s">
        <v>6338</v>
      </c>
      <c r="C443" s="26" t="s">
        <v>6339</v>
      </c>
      <c r="D443" s="2" t="s">
        <v>6340</v>
      </c>
      <c r="E443" s="70">
        <v>7.318032896E9</v>
      </c>
      <c r="F443" s="6">
        <v>2508577.0</v>
      </c>
      <c r="G443" s="2">
        <v>0.0</v>
      </c>
      <c r="H443" s="2" t="s">
        <v>733</v>
      </c>
      <c r="I443" s="2" t="s">
        <v>5024</v>
      </c>
      <c r="J443" s="2">
        <v>-4.236</v>
      </c>
      <c r="K443" s="2"/>
      <c r="L443" s="2"/>
    </row>
    <row r="444" ht="11.25" customHeight="1">
      <c r="A444" s="2" t="s">
        <v>472</v>
      </c>
      <c r="B444" s="2" t="s">
        <v>6341</v>
      </c>
      <c r="C444" s="26" t="s">
        <v>6342</v>
      </c>
      <c r="D444" s="2" t="s">
        <v>6343</v>
      </c>
      <c r="E444" s="70">
        <v>2.3700901888E10</v>
      </c>
      <c r="F444" s="6">
        <v>841160.0</v>
      </c>
      <c r="G444" s="2">
        <v>2.8</v>
      </c>
      <c r="H444" s="13">
        <v>44398.0</v>
      </c>
      <c r="I444" s="2">
        <v>20.155107</v>
      </c>
      <c r="J444" s="2">
        <v>5.609</v>
      </c>
      <c r="K444" s="2"/>
      <c r="L444" s="2"/>
    </row>
    <row r="445" ht="11.25" customHeight="1">
      <c r="A445" s="2" t="s">
        <v>473</v>
      </c>
      <c r="B445" s="2" t="s">
        <v>6344</v>
      </c>
      <c r="C445" s="26" t="s">
        <v>6345</v>
      </c>
      <c r="D445" s="2" t="s">
        <v>6346</v>
      </c>
      <c r="E445" s="70">
        <v>1.6907578368E10</v>
      </c>
      <c r="F445" s="6">
        <v>7103990.0</v>
      </c>
      <c r="G445" s="2">
        <v>0.0</v>
      </c>
      <c r="H445" s="13">
        <v>44411.0</v>
      </c>
      <c r="I445" s="2">
        <v>4582.5</v>
      </c>
      <c r="J445" s="2">
        <v>0.012</v>
      </c>
      <c r="K445" s="2"/>
      <c r="L445" s="2"/>
    </row>
    <row r="446" ht="11.25" customHeight="1">
      <c r="A446" s="2" t="s">
        <v>474</v>
      </c>
      <c r="B446" s="2" t="s">
        <v>6347</v>
      </c>
      <c r="C446" s="26" t="s">
        <v>6348</v>
      </c>
      <c r="D446" s="2" t="s">
        <v>6349</v>
      </c>
      <c r="E446" s="70">
        <v>2.8568633344E10</v>
      </c>
      <c r="F446" s="6">
        <v>3609106.0</v>
      </c>
      <c r="G446" s="2">
        <v>1.618</v>
      </c>
      <c r="H446" s="13">
        <v>44398.0</v>
      </c>
      <c r="I446" s="2">
        <v>17.066467</v>
      </c>
      <c r="J446" s="2">
        <v>5.386</v>
      </c>
      <c r="K446" s="2"/>
      <c r="L446" s="2"/>
    </row>
    <row r="447" ht="11.25" customHeight="1">
      <c r="A447" s="2" t="s">
        <v>475</v>
      </c>
      <c r="B447" s="2" t="s">
        <v>6350</v>
      </c>
      <c r="C447" s="26" t="s">
        <v>6351</v>
      </c>
      <c r="D447" s="2" t="s">
        <v>6352</v>
      </c>
      <c r="E447" s="70">
        <v>1.3273270272E10</v>
      </c>
      <c r="F447" s="6">
        <v>4063598.0</v>
      </c>
      <c r="G447" s="2">
        <v>0.0</v>
      </c>
      <c r="H447" s="2" t="s">
        <v>733</v>
      </c>
      <c r="I447" s="2" t="s">
        <v>5024</v>
      </c>
      <c r="J447" s="2">
        <v>-9.506</v>
      </c>
      <c r="K447" s="2"/>
      <c r="L447" s="2"/>
    </row>
    <row r="448" ht="11.25" customHeight="1">
      <c r="A448" s="2" t="s">
        <v>476</v>
      </c>
      <c r="B448" s="2" t="s">
        <v>6353</v>
      </c>
      <c r="C448" s="26" t="s">
        <v>6354</v>
      </c>
      <c r="D448" s="2" t="s">
        <v>6355</v>
      </c>
      <c r="E448" s="70">
        <v>4.72638980096E11</v>
      </c>
      <c r="F448" s="6">
        <v>9582971.0</v>
      </c>
      <c r="G448" s="2">
        <v>0.64</v>
      </c>
      <c r="H448" s="2" t="s">
        <v>733</v>
      </c>
      <c r="I448" s="2">
        <v>85.65366</v>
      </c>
      <c r="J448" s="2">
        <v>8.46</v>
      </c>
      <c r="K448" s="2"/>
      <c r="L448" s="2"/>
    </row>
    <row r="449" ht="11.25" customHeight="1">
      <c r="A449" s="2" t="s">
        <v>477</v>
      </c>
      <c r="B449" s="2" t="s">
        <v>6356</v>
      </c>
      <c r="C449" s="26" t="s">
        <v>6357</v>
      </c>
      <c r="D449" s="2" t="s">
        <v>6358</v>
      </c>
      <c r="E449" s="70">
        <v>1.7583208448E10</v>
      </c>
      <c r="F449" s="6">
        <v>20941.0</v>
      </c>
      <c r="G449" s="2">
        <v>0.0</v>
      </c>
      <c r="H449" s="13">
        <v>44397.0</v>
      </c>
      <c r="I449" s="2">
        <v>19.45024</v>
      </c>
      <c r="J449" s="2">
        <v>248.326</v>
      </c>
      <c r="K449" s="2"/>
      <c r="L449" s="2"/>
    </row>
    <row r="450" ht="11.25" customHeight="1">
      <c r="A450" s="2" t="s">
        <v>478</v>
      </c>
      <c r="B450" s="2" t="s">
        <v>6359</v>
      </c>
      <c r="C450" s="26" t="s">
        <v>6360</v>
      </c>
      <c r="D450" s="2" t="s">
        <v>6361</v>
      </c>
      <c r="E450" s="70">
        <v>5.617417728E9</v>
      </c>
      <c r="F450" s="6">
        <v>3533633.0</v>
      </c>
      <c r="G450" s="2">
        <v>0.0</v>
      </c>
      <c r="H450" s="13">
        <v>44410.0</v>
      </c>
      <c r="I450" s="2" t="s">
        <v>5024</v>
      </c>
      <c r="J450" s="2">
        <v>-3.876</v>
      </c>
      <c r="K450" s="2"/>
      <c r="L450" s="2"/>
    </row>
    <row r="451" ht="11.25" customHeight="1">
      <c r="A451" s="2" t="s">
        <v>479</v>
      </c>
      <c r="B451" s="2" t="s">
        <v>6362</v>
      </c>
      <c r="C451" s="26" t="s">
        <v>6363</v>
      </c>
      <c r="D451" s="2" t="s">
        <v>6364</v>
      </c>
      <c r="E451" s="70">
        <v>1.1504364544E10</v>
      </c>
      <c r="F451" s="6">
        <v>2335528.0</v>
      </c>
      <c r="G451" s="2">
        <v>0.92</v>
      </c>
      <c r="H451" s="13">
        <v>44406.0</v>
      </c>
      <c r="I451" s="2">
        <v>19.288763</v>
      </c>
      <c r="J451" s="2">
        <v>1.406</v>
      </c>
      <c r="K451" s="2"/>
      <c r="L451" s="2"/>
    </row>
    <row r="452" ht="11.25" customHeight="1">
      <c r="A452" s="2" t="s">
        <v>480</v>
      </c>
      <c r="B452" s="2" t="s">
        <v>6365</v>
      </c>
      <c r="C452" s="26" t="s">
        <v>6366</v>
      </c>
      <c r="D452" s="2" t="s">
        <v>6367</v>
      </c>
      <c r="E452" s="70">
        <v>1.4503906304E10</v>
      </c>
      <c r="F452" s="6">
        <v>473312.0</v>
      </c>
      <c r="G452" s="2">
        <v>0.2</v>
      </c>
      <c r="H452" s="2" t="s">
        <v>733</v>
      </c>
      <c r="I452" s="2" t="s">
        <v>5024</v>
      </c>
      <c r="J452" s="2">
        <v>-0.096</v>
      </c>
      <c r="K452" s="2"/>
      <c r="L452" s="2"/>
    </row>
    <row r="453" ht="11.25" customHeight="1">
      <c r="A453" s="2" t="s">
        <v>481</v>
      </c>
      <c r="B453" s="2" t="s">
        <v>6365</v>
      </c>
      <c r="C453" s="26" t="s">
        <v>6368</v>
      </c>
      <c r="D453" s="2" t="s">
        <v>6367</v>
      </c>
      <c r="E453" s="70">
        <v>1.4447101952E10</v>
      </c>
      <c r="F453" s="6">
        <v>2987119.0</v>
      </c>
      <c r="G453" s="2">
        <v>0.2</v>
      </c>
      <c r="H453" s="13">
        <v>44412.0</v>
      </c>
      <c r="I453" s="2" t="s">
        <v>5024</v>
      </c>
      <c r="J453" s="2">
        <v>-0.096</v>
      </c>
      <c r="K453" s="2"/>
      <c r="L453" s="2"/>
    </row>
    <row r="454" ht="11.25" customHeight="1">
      <c r="A454" s="2" t="s">
        <v>482</v>
      </c>
      <c r="B454" s="2" t="s">
        <v>6369</v>
      </c>
      <c r="C454" s="26" t="s">
        <v>6370</v>
      </c>
      <c r="D454" s="2" t="s">
        <v>6371</v>
      </c>
      <c r="E454" s="70">
        <v>5.360797696E10</v>
      </c>
      <c r="F454" s="6">
        <v>2658723.0</v>
      </c>
      <c r="G454" s="2">
        <v>1.876</v>
      </c>
      <c r="H454" s="13">
        <v>44403.0</v>
      </c>
      <c r="I454" s="2">
        <v>126.844215</v>
      </c>
      <c r="J454" s="2">
        <v>1.502</v>
      </c>
      <c r="K454" s="2"/>
      <c r="L454" s="2"/>
    </row>
    <row r="455" ht="11.25" customHeight="1">
      <c r="A455" s="2" t="s">
        <v>483</v>
      </c>
      <c r="B455" s="2" t="s">
        <v>6372</v>
      </c>
      <c r="C455" s="26" t="s">
        <v>6373</v>
      </c>
      <c r="D455" s="2" t="s">
        <v>6374</v>
      </c>
      <c r="E455" s="70">
        <v>2.6979377152E10</v>
      </c>
      <c r="F455" s="6">
        <v>3506749.0</v>
      </c>
      <c r="G455" s="2">
        <v>2.81299999999999</v>
      </c>
      <c r="H455" s="13">
        <v>44410.0</v>
      </c>
      <c r="I455" s="2">
        <v>72.08074</v>
      </c>
      <c r="J455" s="2">
        <v>0.966</v>
      </c>
      <c r="K455" s="2"/>
      <c r="L455" s="2"/>
    </row>
    <row r="456" ht="11.25" customHeight="1">
      <c r="A456" s="2" t="s">
        <v>484</v>
      </c>
      <c r="B456" s="2" t="s">
        <v>6375</v>
      </c>
      <c r="C456" s="26" t="s">
        <v>6376</v>
      </c>
      <c r="D456" s="2" t="s">
        <v>6377</v>
      </c>
      <c r="E456" s="70">
        <v>3.0012901376E10</v>
      </c>
      <c r="F456" s="6">
        <v>671650.0</v>
      </c>
      <c r="G456" s="2">
        <v>0.7</v>
      </c>
      <c r="H456" s="13">
        <v>44405.0</v>
      </c>
      <c r="I456" s="2">
        <v>40.53634</v>
      </c>
      <c r="J456" s="2">
        <v>6.274</v>
      </c>
      <c r="K456" s="2"/>
      <c r="L456" s="2"/>
    </row>
    <row r="457" ht="11.25" customHeight="1">
      <c r="A457" s="2" t="s">
        <v>485</v>
      </c>
      <c r="B457" s="2" t="s">
        <v>6378</v>
      </c>
      <c r="C457" s="26" t="s">
        <v>6379</v>
      </c>
      <c r="D457" s="2" t="s">
        <v>6380</v>
      </c>
      <c r="E457" s="70">
        <v>6.807917568E9</v>
      </c>
      <c r="F457" s="6">
        <v>2018644.0</v>
      </c>
      <c r="G457" s="2">
        <v>1.611</v>
      </c>
      <c r="H457" s="13">
        <v>44413.0</v>
      </c>
      <c r="I457" s="2">
        <v>18.554836</v>
      </c>
      <c r="J457" s="2">
        <v>1.851</v>
      </c>
      <c r="K457" s="2"/>
      <c r="L457" s="2"/>
    </row>
    <row r="458" ht="11.25" customHeight="1">
      <c r="A458" s="2" t="s">
        <v>486</v>
      </c>
      <c r="B458" s="2" t="s">
        <v>6381</v>
      </c>
      <c r="C458" s="26" t="s">
        <v>6382</v>
      </c>
      <c r="D458" s="2" t="s">
        <v>6383</v>
      </c>
      <c r="E458" s="70">
        <v>2.4290676736E10</v>
      </c>
      <c r="F458" s="6">
        <v>2799722.0</v>
      </c>
      <c r="G458" s="2">
        <v>3.74</v>
      </c>
      <c r="H458" s="13">
        <v>44403.0</v>
      </c>
      <c r="I458" s="2">
        <v>20.587553</v>
      </c>
      <c r="J458" s="2">
        <v>2.587</v>
      </c>
      <c r="K458" s="2"/>
      <c r="L458" s="2"/>
    </row>
    <row r="459" ht="11.25" customHeight="1">
      <c r="A459" s="2" t="s">
        <v>487</v>
      </c>
      <c r="B459" s="2" t="s">
        <v>6384</v>
      </c>
      <c r="C459" s="26" t="s">
        <v>6385</v>
      </c>
      <c r="D459" s="2" t="s">
        <v>6386</v>
      </c>
      <c r="E459" s="70">
        <v>3.636137984E10</v>
      </c>
      <c r="F459" s="6">
        <v>1865334.0</v>
      </c>
      <c r="G459" s="2">
        <v>0.0</v>
      </c>
      <c r="H459" s="2" t="s">
        <v>733</v>
      </c>
      <c r="I459" s="2" t="s">
        <v>5024</v>
      </c>
      <c r="J459" s="2">
        <v>-2.459</v>
      </c>
      <c r="K459" s="2"/>
      <c r="L459" s="2"/>
    </row>
    <row r="460" ht="11.25" customHeight="1">
      <c r="A460" s="2" t="s">
        <v>488</v>
      </c>
      <c r="B460" s="2" t="s">
        <v>6387</v>
      </c>
      <c r="C460" s="26" t="s">
        <v>6388</v>
      </c>
      <c r="D460" s="2" t="s">
        <v>6389</v>
      </c>
      <c r="E460" s="70">
        <v>1.6911817728E10</v>
      </c>
      <c r="F460" s="6">
        <v>1673071.0</v>
      </c>
      <c r="G460" s="2">
        <v>2.69999999999999</v>
      </c>
      <c r="H460" s="13">
        <v>44403.0</v>
      </c>
      <c r="I460" s="2">
        <v>17.159645</v>
      </c>
      <c r="J460" s="2">
        <v>4.51</v>
      </c>
      <c r="K460" s="2"/>
      <c r="L460" s="2"/>
    </row>
    <row r="461" ht="11.25" customHeight="1">
      <c r="A461" s="2" t="s">
        <v>489</v>
      </c>
      <c r="B461" s="2" t="s">
        <v>6390</v>
      </c>
      <c r="C461" s="26" t="s">
        <v>6391</v>
      </c>
      <c r="D461" s="2" t="s">
        <v>6392</v>
      </c>
      <c r="E461" s="70">
        <v>1.55003904E10</v>
      </c>
      <c r="F461" s="6">
        <v>5654987.0</v>
      </c>
      <c r="G461" s="2">
        <v>0.0</v>
      </c>
      <c r="H461" s="13">
        <v>44414.0</v>
      </c>
      <c r="I461" s="2">
        <v>44.739185</v>
      </c>
      <c r="J461" s="2">
        <v>0.786</v>
      </c>
      <c r="K461" s="2"/>
      <c r="L461" s="2"/>
    </row>
    <row r="462" ht="11.25" customHeight="1">
      <c r="A462" s="2" t="s">
        <v>490</v>
      </c>
      <c r="B462" s="2" t="s">
        <v>6393</v>
      </c>
      <c r="C462" s="26" t="s">
        <v>6394</v>
      </c>
      <c r="D462" s="2" t="s">
        <v>6395</v>
      </c>
      <c r="E462" s="70">
        <v>2.40865837056E11</v>
      </c>
      <c r="F462" s="6">
        <v>1.238999E7</v>
      </c>
      <c r="G462" s="2">
        <v>1.12</v>
      </c>
      <c r="H462" s="2" t="s">
        <v>733</v>
      </c>
      <c r="I462" s="2">
        <v>19.257143</v>
      </c>
      <c r="J462" s="2">
        <v>4.55</v>
      </c>
      <c r="K462" s="2"/>
      <c r="L462" s="2"/>
    </row>
    <row r="463" ht="11.25" customHeight="1">
      <c r="A463" s="2" t="s">
        <v>491</v>
      </c>
      <c r="B463" s="2" t="s">
        <v>6396</v>
      </c>
      <c r="C463" s="26" t="s">
        <v>6397</v>
      </c>
      <c r="D463" s="2" t="s">
        <v>6398</v>
      </c>
      <c r="E463" s="70">
        <v>4.1679822848E10</v>
      </c>
      <c r="F463" s="6">
        <v>473938.0</v>
      </c>
      <c r="G463" s="2">
        <v>0.0</v>
      </c>
      <c r="H463" s="13">
        <v>44405.0</v>
      </c>
      <c r="I463" s="2">
        <v>22.514917</v>
      </c>
      <c r="J463" s="2">
        <v>26.645</v>
      </c>
      <c r="K463" s="2"/>
      <c r="L463" s="2"/>
    </row>
    <row r="464" ht="11.25" customHeight="1">
      <c r="A464" s="2" t="s">
        <v>492</v>
      </c>
      <c r="B464" s="2" t="s">
        <v>6399</v>
      </c>
      <c r="C464" s="26" t="s">
        <v>6400</v>
      </c>
      <c r="D464" s="2" t="s">
        <v>6401</v>
      </c>
      <c r="E464" s="70">
        <v>7.22830848E9</v>
      </c>
      <c r="F464" s="6">
        <v>2408980.0</v>
      </c>
      <c r="G464" s="2">
        <v>0.375299999999999</v>
      </c>
      <c r="H464" s="13">
        <v>44403.0</v>
      </c>
      <c r="I464" s="2" t="s">
        <v>5024</v>
      </c>
      <c r="J464" s="2">
        <v>-23.895</v>
      </c>
      <c r="K464" s="2"/>
      <c r="L464" s="2"/>
    </row>
    <row r="465" ht="11.25" customHeight="1">
      <c r="A465" s="2" t="s">
        <v>493</v>
      </c>
      <c r="B465" s="2" t="s">
        <v>6402</v>
      </c>
      <c r="C465" s="26" t="s">
        <v>6403</v>
      </c>
      <c r="D465" s="2" t="s">
        <v>6404</v>
      </c>
      <c r="E465" s="70">
        <v>2.5426333696E10</v>
      </c>
      <c r="F465" s="6">
        <v>1.7630307E7</v>
      </c>
      <c r="G465" s="2">
        <v>0.04</v>
      </c>
      <c r="H465" s="2" t="s">
        <v>733</v>
      </c>
      <c r="I465" s="2" t="s">
        <v>5024</v>
      </c>
      <c r="J465" s="2">
        <v>-14.866</v>
      </c>
      <c r="K465" s="2"/>
      <c r="L465" s="2"/>
    </row>
    <row r="466" ht="11.25" customHeight="1">
      <c r="A466" s="2" t="s">
        <v>494</v>
      </c>
      <c r="B466" s="2" t="s">
        <v>6405</v>
      </c>
      <c r="C466" s="26" t="s">
        <v>6406</v>
      </c>
      <c r="D466" s="2" t="s">
        <v>6407</v>
      </c>
      <c r="E466" s="70">
        <v>5.356070912E9</v>
      </c>
      <c r="F466" s="6">
        <v>2453182.0</v>
      </c>
      <c r="G466" s="2">
        <v>0.0</v>
      </c>
      <c r="H466" s="13">
        <v>44410.0</v>
      </c>
      <c r="I466" s="2" t="s">
        <v>5024</v>
      </c>
      <c r="J466" s="2">
        <v>-0.339</v>
      </c>
      <c r="K466" s="2"/>
      <c r="L466" s="2"/>
    </row>
    <row r="467" ht="11.25" customHeight="1">
      <c r="A467" s="2" t="s">
        <v>495</v>
      </c>
      <c r="B467" s="2" t="s">
        <v>6408</v>
      </c>
      <c r="C467" s="26" t="s">
        <v>6409</v>
      </c>
      <c r="D467" s="2" t="s">
        <v>6410</v>
      </c>
      <c r="E467" s="70">
        <v>2.228045824E10</v>
      </c>
      <c r="F467" s="6">
        <v>390679.0</v>
      </c>
      <c r="G467" s="2">
        <v>0.0</v>
      </c>
      <c r="H467" s="13">
        <v>44410.0</v>
      </c>
      <c r="I467" s="2">
        <v>149.78716</v>
      </c>
      <c r="J467" s="2">
        <v>2.49</v>
      </c>
      <c r="K467" s="2"/>
      <c r="L467" s="2"/>
    </row>
    <row r="468" ht="11.25" customHeight="1">
      <c r="A468" s="2" t="s">
        <v>496</v>
      </c>
      <c r="B468" s="2" t="s">
        <v>6411</v>
      </c>
      <c r="C468" s="26" t="s">
        <v>6412</v>
      </c>
      <c r="D468" s="2" t="s">
        <v>6413</v>
      </c>
      <c r="E468" s="70">
        <v>4.053866496E10</v>
      </c>
      <c r="F468" s="6">
        <v>1525906.0</v>
      </c>
      <c r="G468" s="2">
        <v>3.18</v>
      </c>
      <c r="H468" s="2" t="s">
        <v>733</v>
      </c>
      <c r="I468" s="2">
        <v>36.963696</v>
      </c>
      <c r="J468" s="2">
        <v>3.03</v>
      </c>
      <c r="K468" s="2"/>
      <c r="L468" s="2"/>
    </row>
    <row r="469" ht="11.25" customHeight="1">
      <c r="A469" s="2" t="s">
        <v>497</v>
      </c>
      <c r="B469" s="2" t="s">
        <v>6414</v>
      </c>
      <c r="C469" s="26" t="s">
        <v>6415</v>
      </c>
      <c r="D469" s="2" t="s">
        <v>6416</v>
      </c>
      <c r="E469" s="70">
        <v>7.015800832E9</v>
      </c>
      <c r="F469" s="6">
        <v>3818795.0</v>
      </c>
      <c r="G469" s="2">
        <v>0.722499999999999</v>
      </c>
      <c r="H469" s="13">
        <v>44399.0</v>
      </c>
      <c r="I469" s="2">
        <v>30.98646</v>
      </c>
      <c r="J469" s="2">
        <v>0.517</v>
      </c>
      <c r="K469" s="2"/>
      <c r="L469" s="2"/>
    </row>
    <row r="470" ht="11.25" customHeight="1">
      <c r="A470" s="2" t="s">
        <v>498</v>
      </c>
      <c r="B470" s="2" t="s">
        <v>6417</v>
      </c>
      <c r="C470" s="26" t="s">
        <v>6418</v>
      </c>
      <c r="D470" s="2" t="s">
        <v>6419</v>
      </c>
      <c r="E470" s="70">
        <v>3.0667759616E10</v>
      </c>
      <c r="F470" s="6">
        <v>1749642.0</v>
      </c>
      <c r="G470" s="2">
        <v>2.0</v>
      </c>
      <c r="H470" s="13">
        <v>44404.0</v>
      </c>
      <c r="I470" s="2">
        <v>21.622753</v>
      </c>
      <c r="J470" s="2">
        <v>4.061</v>
      </c>
      <c r="K470" s="2"/>
      <c r="L470" s="2"/>
    </row>
    <row r="471" ht="11.25" customHeight="1">
      <c r="A471" s="2" t="s">
        <v>499</v>
      </c>
      <c r="B471" s="2" t="s">
        <v>6420</v>
      </c>
      <c r="C471" s="26" t="s">
        <v>6421</v>
      </c>
      <c r="D471" s="2" t="s">
        <v>6422</v>
      </c>
      <c r="E471" s="70">
        <v>1.38789322752E11</v>
      </c>
      <c r="F471" s="6">
        <v>6603539.0</v>
      </c>
      <c r="G471" s="2">
        <v>0.0</v>
      </c>
      <c r="H471" s="2" t="s">
        <v>733</v>
      </c>
      <c r="I471" s="2" t="s">
        <v>5024</v>
      </c>
      <c r="J471" s="2">
        <v>-0.76</v>
      </c>
      <c r="K471" s="2"/>
      <c r="L471" s="2"/>
    </row>
    <row r="472" ht="11.25" customHeight="1">
      <c r="A472" s="2" t="s">
        <v>500</v>
      </c>
      <c r="B472" s="2" t="s">
        <v>6423</v>
      </c>
      <c r="C472" s="26" t="s">
        <v>6424</v>
      </c>
      <c r="D472" s="2" t="s">
        <v>6425</v>
      </c>
      <c r="E472" s="70">
        <v>1.8997424128E10</v>
      </c>
      <c r="F472" s="6">
        <v>3099776.0</v>
      </c>
      <c r="G472" s="2">
        <v>1.33999999999999</v>
      </c>
      <c r="H472" s="13">
        <v>44411.0</v>
      </c>
      <c r="I472" s="2">
        <v>69.270424</v>
      </c>
      <c r="J472" s="2">
        <v>0.514</v>
      </c>
      <c r="K472" s="2"/>
      <c r="L472" s="2"/>
    </row>
    <row r="473" ht="11.25" customHeight="1">
      <c r="A473" s="2" t="s">
        <v>501</v>
      </c>
      <c r="B473" s="2" t="s">
        <v>6426</v>
      </c>
      <c r="C473" s="26" t="s">
        <v>6427</v>
      </c>
      <c r="D473" s="2" t="s">
        <v>6428</v>
      </c>
      <c r="E473" s="70">
        <v>3.090504704E10</v>
      </c>
      <c r="F473" s="6">
        <v>2017973.0</v>
      </c>
      <c r="G473" s="2">
        <v>2.0</v>
      </c>
      <c r="H473" s="13">
        <v>44406.0</v>
      </c>
      <c r="I473" s="2">
        <v>14.895433</v>
      </c>
      <c r="J473" s="2">
        <v>4.16</v>
      </c>
      <c r="K473" s="2"/>
      <c r="L473" s="2"/>
    </row>
    <row r="474" ht="11.25" customHeight="1">
      <c r="A474" s="2" t="s">
        <v>502</v>
      </c>
      <c r="B474" s="2" t="s">
        <v>6429</v>
      </c>
      <c r="C474" s="26" t="s">
        <v>6430</v>
      </c>
      <c r="D474" s="2" t="s">
        <v>6431</v>
      </c>
      <c r="E474" s="70">
        <v>1.0762121216E10</v>
      </c>
      <c r="F474" s="6">
        <v>4492233.0</v>
      </c>
      <c r="G474" s="2">
        <v>0.0</v>
      </c>
      <c r="H474" s="13">
        <v>44412.0</v>
      </c>
      <c r="I474" s="2">
        <v>315.88513</v>
      </c>
      <c r="J474" s="2">
        <v>0.209</v>
      </c>
      <c r="K474" s="2"/>
      <c r="L474" s="2"/>
    </row>
    <row r="475" ht="11.25" customHeight="1">
      <c r="A475" s="2" t="s">
        <v>503</v>
      </c>
      <c r="B475" s="2" t="s">
        <v>6432</v>
      </c>
      <c r="C475" s="26" t="s">
        <v>6433</v>
      </c>
      <c r="D475" s="2" t="s">
        <v>6434</v>
      </c>
      <c r="E475" s="70">
        <v>2.1457256448E11</v>
      </c>
      <c r="F475" s="6">
        <v>5023620.0</v>
      </c>
      <c r="G475" s="2">
        <v>4.14399999999999</v>
      </c>
      <c r="H475" s="2" t="s">
        <v>733</v>
      </c>
      <c r="I475" s="2">
        <v>26.27153</v>
      </c>
      <c r="J475" s="2">
        <v>5.922</v>
      </c>
      <c r="K475" s="2"/>
      <c r="L475" s="2"/>
    </row>
    <row r="476" ht="11.25" customHeight="1">
      <c r="A476" s="2" t="s">
        <v>504</v>
      </c>
      <c r="B476" s="2" t="s">
        <v>6435</v>
      </c>
      <c r="C476" s="26" t="s">
        <v>6436</v>
      </c>
      <c r="D476" s="2" t="s">
        <v>6437</v>
      </c>
      <c r="E476" s="70">
        <v>2.24411385856E11</v>
      </c>
      <c r="F476" s="6">
        <v>2.5498614E7</v>
      </c>
      <c r="G476" s="2">
        <v>1.89106199999999</v>
      </c>
      <c r="H476" s="13">
        <v>44405.0</v>
      </c>
      <c r="I476" s="2">
        <v>20.422998</v>
      </c>
      <c r="J476" s="2">
        <v>1.974</v>
      </c>
      <c r="K476" s="2"/>
      <c r="L476" s="2"/>
    </row>
    <row r="477" ht="11.25" customHeight="1">
      <c r="A477" s="2" t="s">
        <v>505</v>
      </c>
      <c r="B477" s="2" t="s">
        <v>6438</v>
      </c>
      <c r="C477" s="26" t="s">
        <v>6439</v>
      </c>
      <c r="D477" s="2" t="s">
        <v>6440</v>
      </c>
      <c r="E477" s="70">
        <v>1.637813248E10</v>
      </c>
      <c r="F477" s="6">
        <v>3447195.0</v>
      </c>
      <c r="G477" s="2">
        <v>1.446</v>
      </c>
      <c r="H477" s="2" t="s">
        <v>733</v>
      </c>
      <c r="I477" s="2">
        <v>4.8512273</v>
      </c>
      <c r="J477" s="2">
        <v>8.066</v>
      </c>
      <c r="K477" s="2"/>
      <c r="L477" s="2"/>
    </row>
    <row r="478" ht="11.25" customHeight="1">
      <c r="A478" s="2" t="s">
        <v>506</v>
      </c>
      <c r="B478" s="2" t="s">
        <v>6441</v>
      </c>
      <c r="C478" s="26" t="s">
        <v>6442</v>
      </c>
      <c r="D478" s="2" t="s">
        <v>6443</v>
      </c>
      <c r="E478" s="70">
        <v>1.6755938304E10</v>
      </c>
      <c r="F478" s="6">
        <v>1339584.0</v>
      </c>
      <c r="G478" s="2">
        <v>2.29</v>
      </c>
      <c r="H478" s="13">
        <v>44404.0</v>
      </c>
      <c r="I478" s="2">
        <v>10.358843</v>
      </c>
      <c r="J478" s="2">
        <v>5.88</v>
      </c>
      <c r="K478" s="2"/>
      <c r="L478" s="2"/>
    </row>
    <row r="479" ht="11.25" customHeight="1">
      <c r="A479" s="2" t="s">
        <v>507</v>
      </c>
      <c r="B479" s="2" t="s">
        <v>6444</v>
      </c>
      <c r="C479" s="26" t="s">
        <v>6445</v>
      </c>
      <c r="D479" s="2" t="s">
        <v>6446</v>
      </c>
      <c r="E479" s="70">
        <v>3.40695678976E11</v>
      </c>
      <c r="F479" s="6">
        <v>8531276.0</v>
      </c>
      <c r="G479" s="2">
        <v>3.2428</v>
      </c>
      <c r="H479" s="13">
        <v>44407.0</v>
      </c>
      <c r="I479" s="2">
        <v>25.835632</v>
      </c>
      <c r="J479" s="2">
        <v>5.439</v>
      </c>
      <c r="K479" s="2"/>
      <c r="L479" s="2"/>
    </row>
    <row r="480" ht="11.25" customHeight="1">
      <c r="A480" s="2" t="s">
        <v>508</v>
      </c>
      <c r="B480" s="2" t="s">
        <v>6447</v>
      </c>
      <c r="C480" s="26" t="s">
        <v>6448</v>
      </c>
      <c r="D480" s="2" t="s">
        <v>6449</v>
      </c>
      <c r="E480" s="70">
        <v>5.561520128E10</v>
      </c>
      <c r="F480" s="6">
        <v>2904031.0</v>
      </c>
      <c r="G480" s="2">
        <v>4.89999999999999</v>
      </c>
      <c r="H480" s="2" t="s">
        <v>733</v>
      </c>
      <c r="I480" s="2">
        <v>10.330427</v>
      </c>
      <c r="J480" s="2">
        <v>9.291</v>
      </c>
      <c r="K480" s="2"/>
      <c r="L480" s="2"/>
    </row>
    <row r="481" ht="11.25" customHeight="1">
      <c r="A481" s="2" t="s">
        <v>509</v>
      </c>
      <c r="B481" s="2" t="s">
        <v>6450</v>
      </c>
      <c r="C481" s="26" t="s">
        <v>6451</v>
      </c>
      <c r="D481" s="2" t="s">
        <v>6452</v>
      </c>
      <c r="E481" s="70">
        <v>3.948726272E10</v>
      </c>
      <c r="F481" s="6">
        <v>862903.0</v>
      </c>
      <c r="G481" s="2">
        <v>3.67</v>
      </c>
      <c r="H481" s="13">
        <v>44413.0</v>
      </c>
      <c r="I481" s="2">
        <v>25.451422</v>
      </c>
      <c r="J481" s="2">
        <v>11.785</v>
      </c>
      <c r="K481" s="2"/>
      <c r="L481" s="2"/>
    </row>
    <row r="482" ht="11.25" customHeight="1">
      <c r="A482" s="2" t="s">
        <v>510</v>
      </c>
      <c r="B482" s="2" t="s">
        <v>6453</v>
      </c>
      <c r="C482" s="26" t="s">
        <v>6454</v>
      </c>
      <c r="D482" s="2" t="s">
        <v>6455</v>
      </c>
      <c r="E482" s="70">
        <v>1.3548008448E10</v>
      </c>
      <c r="F482" s="6">
        <v>2874904.0</v>
      </c>
      <c r="G482" s="2">
        <v>0.54</v>
      </c>
      <c r="H482" s="13">
        <v>44404.0</v>
      </c>
      <c r="I482" s="2">
        <v>9.160236</v>
      </c>
      <c r="J482" s="2">
        <v>5.573</v>
      </c>
      <c r="K482" s="2"/>
      <c r="L482" s="2"/>
    </row>
    <row r="483" ht="11.25" customHeight="1">
      <c r="A483" s="2" t="s">
        <v>511</v>
      </c>
      <c r="B483" s="2" t="s">
        <v>6456</v>
      </c>
      <c r="C483" s="26" t="s">
        <v>6457</v>
      </c>
      <c r="D483" s="2" t="s">
        <v>6458</v>
      </c>
      <c r="E483" s="70">
        <v>4.458663936E10</v>
      </c>
      <c r="F483" s="6">
        <v>1.2342285E7</v>
      </c>
      <c r="G483" s="2">
        <v>0.0</v>
      </c>
      <c r="H483" s="13">
        <v>44406.0</v>
      </c>
      <c r="I483" s="2" t="s">
        <v>5024</v>
      </c>
      <c r="J483" s="2">
        <v>-0.014</v>
      </c>
      <c r="K483" s="2"/>
      <c r="L483" s="2"/>
    </row>
    <row r="484" ht="11.25" customHeight="1">
      <c r="A484" s="2" t="s">
        <v>512</v>
      </c>
      <c r="B484" s="2" t="s">
        <v>6459</v>
      </c>
      <c r="C484" s="26" t="s">
        <v>6460</v>
      </c>
      <c r="D484" s="2" t="s">
        <v>6461</v>
      </c>
      <c r="E484" s="70">
        <v>1.2977143808E10</v>
      </c>
      <c r="F484" s="6">
        <v>546709.0</v>
      </c>
      <c r="G484" s="2">
        <v>3.79</v>
      </c>
      <c r="H484" s="13">
        <v>44403.0</v>
      </c>
      <c r="I484" s="2">
        <v>26.461477</v>
      </c>
      <c r="J484" s="2">
        <v>5.101</v>
      </c>
      <c r="K484" s="2"/>
      <c r="L484" s="2"/>
    </row>
    <row r="485" ht="11.25" customHeight="1">
      <c r="A485" s="2" t="s">
        <v>513</v>
      </c>
      <c r="B485" s="2" t="s">
        <v>6462</v>
      </c>
      <c r="C485" s="26" t="s">
        <v>6463</v>
      </c>
      <c r="D485" s="2" t="s">
        <v>6464</v>
      </c>
      <c r="E485" s="70">
        <v>1.715552768E10</v>
      </c>
      <c r="F485" s="6">
        <v>786203.0</v>
      </c>
      <c r="G485" s="2">
        <v>0.35</v>
      </c>
      <c r="H485" s="13">
        <v>44405.0</v>
      </c>
      <c r="I485" s="2">
        <v>16.129234</v>
      </c>
      <c r="J485" s="2">
        <v>9.564</v>
      </c>
      <c r="K485" s="2"/>
      <c r="L485" s="2"/>
    </row>
    <row r="486" ht="11.25" customHeight="1">
      <c r="A486" s="2" t="s">
        <v>514</v>
      </c>
      <c r="B486" s="2" t="s">
        <v>6465</v>
      </c>
      <c r="C486" s="26" t="s">
        <v>6466</v>
      </c>
      <c r="D486" s="2" t="s">
        <v>6467</v>
      </c>
      <c r="E486" s="70">
        <v>7.614350848E9</v>
      </c>
      <c r="F486" s="6">
        <v>2244614.0</v>
      </c>
      <c r="G486" s="2">
        <v>0.0</v>
      </c>
      <c r="H486" s="2" t="s">
        <v>733</v>
      </c>
      <c r="I486" s="2" t="s">
        <v>5024</v>
      </c>
      <c r="J486" s="2">
        <v>-1.173</v>
      </c>
      <c r="K486" s="2"/>
      <c r="L486" s="2"/>
    </row>
    <row r="487" ht="11.25" customHeight="1">
      <c r="A487" s="2" t="s">
        <v>515</v>
      </c>
      <c r="B487" s="2" t="s">
        <v>6468</v>
      </c>
      <c r="C487" s="26" t="s">
        <v>6469</v>
      </c>
      <c r="D487" s="2" t="s">
        <v>6470</v>
      </c>
      <c r="E487" s="70">
        <v>9.3906788352E10</v>
      </c>
      <c r="F487" s="6">
        <v>2476011.0</v>
      </c>
      <c r="G487" s="2">
        <v>2.42</v>
      </c>
      <c r="H487" s="13">
        <v>44396.0</v>
      </c>
      <c r="I487" s="2">
        <v>70.62258</v>
      </c>
      <c r="J487" s="2">
        <v>1.815</v>
      </c>
      <c r="K487" s="2"/>
      <c r="L487" s="2"/>
    </row>
    <row r="488" ht="11.25" customHeight="1">
      <c r="A488" s="2" t="s">
        <v>516</v>
      </c>
      <c r="B488" s="2" t="s">
        <v>6471</v>
      </c>
      <c r="C488" s="26" t="s">
        <v>6472</v>
      </c>
      <c r="D488" s="2" t="s">
        <v>6473</v>
      </c>
      <c r="E488" s="70">
        <v>1.5219556352E10</v>
      </c>
      <c r="F488" s="6">
        <v>3.4431031E7</v>
      </c>
      <c r="G488" s="2">
        <v>0.0</v>
      </c>
      <c r="H488" s="13">
        <v>44412.0</v>
      </c>
      <c r="I488" s="2" t="s">
        <v>5024</v>
      </c>
      <c r="J488" s="2">
        <v>-1.523</v>
      </c>
      <c r="K488" s="2"/>
      <c r="L488" s="2"/>
    </row>
    <row r="489" ht="11.25" customHeight="1">
      <c r="A489" s="2" t="s">
        <v>517</v>
      </c>
      <c r="B489" s="2" t="s">
        <v>6474</v>
      </c>
      <c r="C489" s="26" t="s">
        <v>6475</v>
      </c>
      <c r="D489" s="2" t="s">
        <v>6476</v>
      </c>
      <c r="E489" s="70">
        <v>1.54685095936E11</v>
      </c>
      <c r="F489" s="6">
        <v>4672300.0</v>
      </c>
      <c r="G489" s="2">
        <v>4.8</v>
      </c>
      <c r="H489" s="13">
        <v>44397.0</v>
      </c>
      <c r="I489" s="2">
        <v>17.857014</v>
      </c>
      <c r="J489" s="2">
        <v>5.539</v>
      </c>
      <c r="K489" s="2"/>
      <c r="L489" s="2"/>
    </row>
    <row r="490" ht="11.25" customHeight="1">
      <c r="A490" s="2" t="s">
        <v>518</v>
      </c>
      <c r="B490" s="2" t="s">
        <v>6477</v>
      </c>
      <c r="C490" s="26" t="s">
        <v>6478</v>
      </c>
      <c r="D490" s="2" t="s">
        <v>6479</v>
      </c>
      <c r="E490" s="70">
        <v>8.051908608E10</v>
      </c>
      <c r="F490" s="6">
        <v>1730358.0</v>
      </c>
      <c r="G490" s="2">
        <v>5.85</v>
      </c>
      <c r="H490" s="2" t="s">
        <v>733</v>
      </c>
      <c r="I490" s="2">
        <v>13.897945</v>
      </c>
      <c r="J490" s="2">
        <v>13.189</v>
      </c>
      <c r="K490" s="2"/>
      <c r="L490" s="2"/>
    </row>
    <row r="491" ht="11.25" customHeight="1">
      <c r="A491" s="2" t="s">
        <v>519</v>
      </c>
      <c r="B491" s="2" t="s">
        <v>6480</v>
      </c>
      <c r="C491" s="26" t="s">
        <v>6481</v>
      </c>
      <c r="D491" s="2" t="s">
        <v>6482</v>
      </c>
      <c r="E491" s="70">
        <v>1.1654084608E10</v>
      </c>
      <c r="F491" s="6">
        <v>996874.0</v>
      </c>
      <c r="G491" s="2">
        <v>0.78</v>
      </c>
      <c r="H491" s="13">
        <v>44398.0</v>
      </c>
      <c r="I491" s="2">
        <v>27.851372</v>
      </c>
      <c r="J491" s="2">
        <v>2.476</v>
      </c>
      <c r="K491" s="2"/>
      <c r="L491" s="2"/>
    </row>
    <row r="492" ht="11.25" customHeight="1">
      <c r="A492" s="2" t="s">
        <v>520</v>
      </c>
      <c r="B492" s="2" t="s">
        <v>6483</v>
      </c>
      <c r="C492" s="26" t="s">
        <v>6484</v>
      </c>
      <c r="D492" s="2" t="s">
        <v>6485</v>
      </c>
      <c r="E492" s="70">
        <v>9.539862528E9</v>
      </c>
      <c r="F492" s="6">
        <v>873953.0</v>
      </c>
      <c r="G492" s="2">
        <v>4.103</v>
      </c>
      <c r="H492" s="13">
        <v>44413.0</v>
      </c>
      <c r="I492" s="2">
        <v>17.645384</v>
      </c>
      <c r="J492" s="2">
        <v>4.918</v>
      </c>
      <c r="K492" s="2"/>
      <c r="L492" s="2"/>
    </row>
    <row r="493" ht="11.25" customHeight="1">
      <c r="A493" s="2" t="s">
        <v>521</v>
      </c>
      <c r="B493" s="2" t="s">
        <v>6486</v>
      </c>
      <c r="C493" s="26" t="s">
        <v>6487</v>
      </c>
      <c r="D493" s="2" t="s">
        <v>6488</v>
      </c>
      <c r="E493" s="70">
        <v>1.8453221376E10</v>
      </c>
      <c r="F493" s="6">
        <v>263193.0</v>
      </c>
      <c r="G493" s="2">
        <v>2.54</v>
      </c>
      <c r="H493" s="13">
        <v>44398.0</v>
      </c>
      <c r="I493" s="2">
        <v>43.294346</v>
      </c>
      <c r="J493" s="2">
        <v>10.644</v>
      </c>
      <c r="K493" s="2"/>
      <c r="L493" s="2"/>
    </row>
    <row r="494" ht="11.25" customHeight="1">
      <c r="A494" s="2" t="s">
        <v>522</v>
      </c>
      <c r="B494" s="2" t="s">
        <v>6489</v>
      </c>
      <c r="C494" s="26" t="s">
        <v>6490</v>
      </c>
      <c r="D494" s="2" t="s">
        <v>6491</v>
      </c>
      <c r="E494" s="70">
        <v>4.063739904E10</v>
      </c>
      <c r="F494" s="6">
        <v>1201746.0</v>
      </c>
      <c r="G494" s="2">
        <v>2.16</v>
      </c>
      <c r="H494" s="13">
        <v>44396.0</v>
      </c>
      <c r="I494" s="2">
        <v>33.94695</v>
      </c>
      <c r="J494" s="2">
        <v>5.014</v>
      </c>
      <c r="K494" s="2"/>
      <c r="L494" s="2"/>
    </row>
    <row r="495" ht="11.25" customHeight="1">
      <c r="A495" s="2" t="s">
        <v>523</v>
      </c>
      <c r="B495" s="2" t="s">
        <v>6492</v>
      </c>
      <c r="C495" s="26" t="s">
        <v>6493</v>
      </c>
      <c r="D495" s="2" t="s">
        <v>6494</v>
      </c>
      <c r="E495" s="70">
        <v>2.1690175488E10</v>
      </c>
      <c r="F495" s="6">
        <v>4780596.0</v>
      </c>
      <c r="G495" s="2">
        <v>1.66</v>
      </c>
      <c r="H495" s="2" t="s">
        <v>733</v>
      </c>
      <c r="I495" s="2" t="s">
        <v>5024</v>
      </c>
      <c r="J495" s="2">
        <v>-1.21</v>
      </c>
      <c r="K495" s="2"/>
      <c r="L495" s="2"/>
    </row>
    <row r="496" ht="11.25" customHeight="1">
      <c r="A496" s="2" t="s">
        <v>524</v>
      </c>
      <c r="B496" s="2" t="s">
        <v>6495</v>
      </c>
      <c r="C496" s="26" t="s">
        <v>6496</v>
      </c>
      <c r="D496" s="2" t="s">
        <v>6497</v>
      </c>
      <c r="E496" s="70">
        <v>6.192667136E9</v>
      </c>
      <c r="F496" s="6">
        <v>1135023.0</v>
      </c>
      <c r="G496" s="2">
        <v>0.929999999999999</v>
      </c>
      <c r="H496" s="13">
        <v>44411.0</v>
      </c>
      <c r="I496" s="2" t="s">
        <v>5024</v>
      </c>
      <c r="J496" s="2">
        <v>-1.706</v>
      </c>
      <c r="K496" s="2"/>
      <c r="L496" s="2"/>
    </row>
    <row r="497" ht="11.25" customHeight="1">
      <c r="A497" s="2" t="s">
        <v>525</v>
      </c>
      <c r="B497" s="2" t="s">
        <v>6498</v>
      </c>
      <c r="C497" s="26" t="s">
        <v>6499</v>
      </c>
      <c r="D497" s="2" t="s">
        <v>6500</v>
      </c>
      <c r="E497" s="70">
        <v>4.7304003E9</v>
      </c>
      <c r="F497" s="6">
        <v>2029803.0</v>
      </c>
      <c r="G497" s="2">
        <v>0.21</v>
      </c>
      <c r="H497" s="2" t="s">
        <v>733</v>
      </c>
      <c r="I497" s="2" t="s">
        <v>5024</v>
      </c>
      <c r="J497" s="2" t="s">
        <v>5024</v>
      </c>
      <c r="K497" s="2"/>
      <c r="L497" s="2"/>
    </row>
    <row r="498" ht="11.25" customHeight="1">
      <c r="A498" s="2" t="s">
        <v>526</v>
      </c>
      <c r="B498" s="2" t="s">
        <v>6501</v>
      </c>
      <c r="C498" s="26" t="s">
        <v>6502</v>
      </c>
      <c r="D498" s="2" t="s">
        <v>6503</v>
      </c>
      <c r="E498" s="70">
        <v>3.9498498048E10</v>
      </c>
      <c r="F498" s="6">
        <v>1932892.0</v>
      </c>
      <c r="G498" s="2">
        <v>4.5</v>
      </c>
      <c r="H498" s="13">
        <v>44411.0</v>
      </c>
      <c r="I498" s="2">
        <v>14.644078</v>
      </c>
      <c r="J498" s="2">
        <v>6.729</v>
      </c>
      <c r="K498" s="2"/>
      <c r="L498" s="2"/>
    </row>
    <row r="499" ht="11.25" customHeight="1">
      <c r="A499" s="2" t="s">
        <v>527</v>
      </c>
      <c r="B499" s="2" t="s">
        <v>6504</v>
      </c>
      <c r="C499" s="26" t="s">
        <v>6505</v>
      </c>
      <c r="D499" s="2" t="s">
        <v>6506</v>
      </c>
      <c r="E499" s="70">
        <v>5.4808358912E10</v>
      </c>
      <c r="F499" s="6">
        <v>698831.0</v>
      </c>
      <c r="G499" s="2">
        <v>8.0</v>
      </c>
      <c r="H499" s="13">
        <v>44411.0</v>
      </c>
      <c r="I499" s="2">
        <v>46.902668</v>
      </c>
      <c r="J499" s="2">
        <v>6.709</v>
      </c>
      <c r="K499" s="2"/>
      <c r="L499" s="2"/>
    </row>
    <row r="500" ht="11.25" customHeight="1">
      <c r="A500" s="2" t="s">
        <v>528</v>
      </c>
      <c r="B500" s="2" t="s">
        <v>6507</v>
      </c>
      <c r="C500" s="26" t="s">
        <v>6508</v>
      </c>
      <c r="D500" s="2" t="s">
        <v>6509</v>
      </c>
      <c r="E500" s="70">
        <v>3.3763926016E10</v>
      </c>
      <c r="F500" s="6">
        <v>2902403.0</v>
      </c>
      <c r="G500" s="2">
        <v>3.6</v>
      </c>
      <c r="H500" s="13">
        <v>44411.0</v>
      </c>
      <c r="I500" s="2" t="s">
        <v>5024</v>
      </c>
      <c r="J500" s="2">
        <v>-4.878</v>
      </c>
      <c r="K500" s="2"/>
      <c r="L500" s="2"/>
    </row>
    <row r="501" ht="11.25" customHeight="1">
      <c r="A501" s="2" t="s">
        <v>529</v>
      </c>
      <c r="B501" s="2" t="s">
        <v>6510</v>
      </c>
      <c r="C501" s="26" t="s">
        <v>6511</v>
      </c>
      <c r="D501" s="2" t="s">
        <v>6512</v>
      </c>
      <c r="E501" s="70">
        <v>1.6509274112E10</v>
      </c>
      <c r="F501" s="6">
        <v>983452.0</v>
      </c>
      <c r="G501" s="2">
        <v>0.0</v>
      </c>
      <c r="H501" s="13">
        <v>44404.0</v>
      </c>
      <c r="I501" s="2">
        <v>74.48698</v>
      </c>
      <c r="J501" s="2">
        <v>1.881</v>
      </c>
      <c r="K501" s="2"/>
      <c r="L501" s="2"/>
    </row>
    <row r="502" ht="11.25" customHeight="1">
      <c r="A502" s="2" t="s">
        <v>530</v>
      </c>
      <c r="B502" s="2" t="s">
        <v>6513</v>
      </c>
      <c r="C502" s="26" t="s">
        <v>6514</v>
      </c>
      <c r="D502" s="2" t="s">
        <v>6515</v>
      </c>
      <c r="E502" s="70">
        <v>3.3167198208E10</v>
      </c>
      <c r="F502" s="6">
        <v>1.3491638E7</v>
      </c>
      <c r="G502" s="2">
        <v>0.0</v>
      </c>
      <c r="H502" s="2" t="s">
        <v>733</v>
      </c>
      <c r="I502" s="2">
        <v>170.60466</v>
      </c>
      <c r="J502" s="2">
        <v>0.645</v>
      </c>
      <c r="K502" s="2"/>
      <c r="L502" s="2"/>
    </row>
    <row r="503" ht="11.25" customHeight="1">
      <c r="A503" s="2" t="s">
        <v>531</v>
      </c>
      <c r="B503" s="2" t="s">
        <v>6516</v>
      </c>
      <c r="C503" s="26" t="s">
        <v>6517</v>
      </c>
      <c r="D503" s="2" t="s">
        <v>6518</v>
      </c>
      <c r="E503" s="70">
        <v>7.182353408E9</v>
      </c>
      <c r="F503" s="6">
        <v>898823.0</v>
      </c>
      <c r="G503" s="2">
        <v>0.038</v>
      </c>
      <c r="H503" s="2" t="s">
        <v>733</v>
      </c>
      <c r="I503" s="2">
        <v>114.589195</v>
      </c>
      <c r="J503" s="2">
        <v>0.852</v>
      </c>
      <c r="K503" s="2"/>
      <c r="L503" s="2"/>
    </row>
    <row r="504" ht="11.25" customHeight="1">
      <c r="A504" s="2" t="s">
        <v>532</v>
      </c>
      <c r="B504" s="2" t="s">
        <v>6519</v>
      </c>
      <c r="C504" s="26" t="s">
        <v>6520</v>
      </c>
      <c r="D504" s="2" t="s">
        <v>6521</v>
      </c>
      <c r="E504" s="70">
        <v>1.2323760128E10</v>
      </c>
      <c r="F504" s="6">
        <v>1078725.0</v>
      </c>
      <c r="G504" s="2">
        <v>0.229999999999999</v>
      </c>
      <c r="H504" s="13">
        <v>44412.0</v>
      </c>
      <c r="I504" s="2">
        <v>25.507563</v>
      </c>
      <c r="J504" s="2">
        <v>3.438</v>
      </c>
      <c r="K504" s="2"/>
      <c r="L504" s="2"/>
    </row>
    <row r="505" ht="11.25" customHeight="1">
      <c r="A505" s="2" t="s">
        <v>533</v>
      </c>
      <c r="B505" s="2" t="s">
        <v>6522</v>
      </c>
      <c r="C505" s="26" t="s">
        <v>6523</v>
      </c>
      <c r="D505" s="2" t="s">
        <v>6524</v>
      </c>
      <c r="E505" s="70">
        <v>3.5968282624E10</v>
      </c>
      <c r="F505" s="6">
        <v>2478839.0</v>
      </c>
      <c r="G505" s="2">
        <v>2.22</v>
      </c>
      <c r="H505" s="13">
        <v>44410.0</v>
      </c>
      <c r="I505" s="2" t="s">
        <v>5024</v>
      </c>
      <c r="J505" s="2">
        <v>-3.182</v>
      </c>
      <c r="K505" s="2"/>
      <c r="L505" s="2"/>
    </row>
    <row r="506" ht="11.25" customHeight="1">
      <c r="A506" s="2" t="s">
        <v>534</v>
      </c>
      <c r="B506" s="2" t="s">
        <v>6525</v>
      </c>
      <c r="C506" s="26" t="s">
        <v>6526</v>
      </c>
      <c r="D506" s="2" t="s">
        <v>6527</v>
      </c>
      <c r="E506" s="70">
        <v>3.48319186944E11</v>
      </c>
      <c r="F506" s="6">
        <v>6471365.0</v>
      </c>
      <c r="G506" s="2">
        <v>0.0</v>
      </c>
      <c r="H506" s="13">
        <v>44405.0</v>
      </c>
      <c r="I506" s="2">
        <v>67.22955</v>
      </c>
      <c r="J506" s="2">
        <v>4.388</v>
      </c>
      <c r="K506" s="2"/>
      <c r="L506" s="2"/>
    </row>
    <row r="507" ht="11.25" customHeight="1">
      <c r="A507" s="2" t="s">
        <v>535</v>
      </c>
      <c r="B507" s="2" t="s">
        <v>6528</v>
      </c>
      <c r="C507" s="26" t="s">
        <v>6529</v>
      </c>
      <c r="D507" s="2" t="s">
        <v>6530</v>
      </c>
      <c r="E507" s="70">
        <v>1.5956688896E11</v>
      </c>
      <c r="F507" s="6">
        <v>8317566.0</v>
      </c>
      <c r="G507" s="2">
        <v>2.63</v>
      </c>
      <c r="H507" s="13">
        <v>44405.0</v>
      </c>
      <c r="I507" s="2">
        <v>20.040829</v>
      </c>
      <c r="J507" s="2">
        <v>6.983</v>
      </c>
      <c r="K507" s="2"/>
      <c r="L507" s="2"/>
    </row>
    <row r="508" ht="11.25" customHeight="1">
      <c r="A508" s="2" t="s">
        <v>536</v>
      </c>
      <c r="B508" s="2" t="s">
        <v>6531</v>
      </c>
      <c r="C508" s="26" t="s">
        <v>6532</v>
      </c>
      <c r="D508" s="2" t="s">
        <v>6533</v>
      </c>
      <c r="E508" s="70">
        <v>2.01537E9</v>
      </c>
      <c r="F508" s="6">
        <v>2743625.0</v>
      </c>
      <c r="G508" s="2">
        <v>0.0045</v>
      </c>
      <c r="H508" s="2" t="s">
        <v>733</v>
      </c>
      <c r="I508" s="2" t="s">
        <v>5024</v>
      </c>
      <c r="J508" s="2" t="s">
        <v>5024</v>
      </c>
      <c r="K508" s="2"/>
      <c r="L508" s="2"/>
    </row>
    <row r="509" ht="11.25" customHeight="1">
      <c r="A509" s="2" t="s">
        <v>537</v>
      </c>
      <c r="B509" s="2" t="s">
        <v>6534</v>
      </c>
      <c r="C509" s="26" t="s">
        <v>6535</v>
      </c>
      <c r="D509" s="2" t="s">
        <v>6536</v>
      </c>
      <c r="E509" s="70">
        <v>1.41720403968E11</v>
      </c>
      <c r="F509" s="6">
        <v>3.9394626E7</v>
      </c>
      <c r="G509" s="2">
        <v>1.74124</v>
      </c>
      <c r="H509" s="2" t="s">
        <v>733</v>
      </c>
      <c r="I509" s="2">
        <v>4.198683</v>
      </c>
      <c r="J509" s="2">
        <v>85.191</v>
      </c>
      <c r="K509" s="2"/>
      <c r="L509" s="2"/>
    </row>
    <row r="510" ht="11.25" customHeight="1">
      <c r="A510" s="2" t="s">
        <v>538</v>
      </c>
      <c r="B510" s="2" t="s">
        <v>6537</v>
      </c>
      <c r="C510" s="26" t="s">
        <v>6538</v>
      </c>
      <c r="D510" s="2" t="s">
        <v>6539</v>
      </c>
      <c r="E510" s="70">
        <v>2.1245478912E10</v>
      </c>
      <c r="F510" s="6">
        <v>1087087.0</v>
      </c>
      <c r="G510" s="2">
        <v>0.0</v>
      </c>
      <c r="H510" s="13">
        <v>44404.0</v>
      </c>
      <c r="I510" s="2">
        <v>29.80063</v>
      </c>
      <c r="J510" s="2">
        <v>6.32</v>
      </c>
      <c r="K510" s="2"/>
      <c r="L510" s="2"/>
    </row>
    <row r="511" ht="11.25" customHeight="1">
      <c r="A511" s="2" t="s">
        <v>539</v>
      </c>
      <c r="B511" s="2" t="s">
        <v>6540</v>
      </c>
      <c r="C511" s="26" t="s">
        <v>6541</v>
      </c>
      <c r="D511" s="2" t="s">
        <v>6542</v>
      </c>
      <c r="E511" s="70">
        <v>1.890444288E10</v>
      </c>
      <c r="F511" s="6">
        <v>3700750.0</v>
      </c>
      <c r="G511" s="2">
        <v>0.78</v>
      </c>
      <c r="H511" s="2" t="s">
        <v>733</v>
      </c>
      <c r="I511" s="2" t="s">
        <v>5024</v>
      </c>
      <c r="J511" s="2">
        <v>-24.619</v>
      </c>
      <c r="K511" s="2"/>
      <c r="L511" s="2"/>
    </row>
    <row r="512" ht="11.25" customHeight="1">
      <c r="A512" s="2" t="s">
        <v>540</v>
      </c>
      <c r="B512" s="2" t="s">
        <v>6543</v>
      </c>
      <c r="C512" s="26" t="s">
        <v>6544</v>
      </c>
      <c r="D512" s="2" t="s">
        <v>6545</v>
      </c>
      <c r="E512" s="70">
        <v>9.867355136E9</v>
      </c>
      <c r="F512" s="6">
        <v>339636.0</v>
      </c>
      <c r="G512" s="2">
        <v>6.2</v>
      </c>
      <c r="H512" s="13">
        <v>44405.0</v>
      </c>
      <c r="I512" s="2">
        <v>11.751563</v>
      </c>
      <c r="J512" s="2">
        <v>20.947</v>
      </c>
      <c r="K512" s="2"/>
      <c r="L512" s="2"/>
    </row>
    <row r="513" ht="11.25" customHeight="1">
      <c r="A513" s="2" t="s">
        <v>541</v>
      </c>
      <c r="B513" s="2" t="s">
        <v>6546</v>
      </c>
      <c r="C513" s="26" t="s">
        <v>6547</v>
      </c>
      <c r="D513" s="2" t="s">
        <v>6548</v>
      </c>
      <c r="E513" s="70">
        <v>1.1032536064E10</v>
      </c>
      <c r="F513" s="6">
        <v>996096.0</v>
      </c>
      <c r="G513" s="2">
        <v>2.38</v>
      </c>
      <c r="H513" s="13">
        <v>44413.0</v>
      </c>
      <c r="I513" s="2">
        <v>73.99088</v>
      </c>
      <c r="J513" s="2">
        <v>0.877</v>
      </c>
      <c r="K513" s="2"/>
      <c r="L513" s="2"/>
    </row>
    <row r="514" ht="11.25" customHeight="1">
      <c r="A514" s="2" t="s">
        <v>542</v>
      </c>
      <c r="B514" s="2" t="s">
        <v>6549</v>
      </c>
      <c r="C514" s="26" t="s">
        <v>6550</v>
      </c>
      <c r="D514" s="2" t="s">
        <v>6551</v>
      </c>
      <c r="E514" s="70">
        <v>6.2788509696E10</v>
      </c>
      <c r="F514" s="6">
        <v>792546.0</v>
      </c>
      <c r="G514" s="2">
        <v>0.0</v>
      </c>
      <c r="H514" s="13">
        <v>44411.0</v>
      </c>
      <c r="I514" s="2">
        <v>16.650537</v>
      </c>
      <c r="J514" s="2">
        <v>35.128</v>
      </c>
      <c r="K514" s="2"/>
      <c r="L514" s="2"/>
    </row>
    <row r="515" ht="11.25" customHeight="1">
      <c r="A515" s="2" t="s">
        <v>543</v>
      </c>
      <c r="B515" s="2" t="s">
        <v>6552</v>
      </c>
      <c r="C515" s="26" t="s">
        <v>6553</v>
      </c>
      <c r="D515" s="2" t="s">
        <v>6554</v>
      </c>
      <c r="E515" s="70">
        <v>1.8966153216E10</v>
      </c>
      <c r="F515" s="6">
        <v>7203071.0</v>
      </c>
      <c r="G515" s="2">
        <v>0.62</v>
      </c>
      <c r="H515" s="13">
        <v>44400.0</v>
      </c>
      <c r="I515" s="2">
        <v>12.472057</v>
      </c>
      <c r="J515" s="2">
        <v>1.521</v>
      </c>
      <c r="K515" s="2"/>
      <c r="L515" s="2"/>
    </row>
    <row r="516" ht="11.25" customHeight="1">
      <c r="A516" s="2" t="s">
        <v>544</v>
      </c>
      <c r="B516" s="2" t="s">
        <v>6555</v>
      </c>
      <c r="C516" s="26" t="s">
        <v>6556</v>
      </c>
      <c r="D516" s="2" t="s">
        <v>6557</v>
      </c>
      <c r="E516" s="70">
        <v>9.755556864E9</v>
      </c>
      <c r="F516" s="6">
        <v>837233.0</v>
      </c>
      <c r="G516" s="2">
        <v>1.44</v>
      </c>
      <c r="H516" s="13">
        <v>44398.0</v>
      </c>
      <c r="I516" s="2">
        <v>29.833796</v>
      </c>
      <c r="J516" s="2">
        <v>2.888</v>
      </c>
      <c r="K516" s="2"/>
      <c r="L516" s="2"/>
    </row>
    <row r="517" ht="11.25" customHeight="1">
      <c r="A517" s="2" t="s">
        <v>545</v>
      </c>
      <c r="B517" s="2" t="s">
        <v>6558</v>
      </c>
      <c r="C517" s="26" t="s">
        <v>6559</v>
      </c>
      <c r="D517" s="2" t="s">
        <v>6560</v>
      </c>
      <c r="E517" s="70">
        <v>2.707559424E9</v>
      </c>
      <c r="F517" s="6">
        <v>1.6365574E7</v>
      </c>
      <c r="G517" s="2">
        <v>0.0</v>
      </c>
      <c r="H517" s="2" t="s">
        <v>733</v>
      </c>
      <c r="I517" s="2" t="s">
        <v>5024</v>
      </c>
      <c r="J517" s="2">
        <v>-0.016</v>
      </c>
      <c r="K517" s="2"/>
      <c r="L517" s="2"/>
    </row>
    <row r="518" ht="11.25" customHeight="1">
      <c r="A518" s="2" t="s">
        <v>546</v>
      </c>
      <c r="B518" s="2" t="s">
        <v>6561</v>
      </c>
      <c r="C518" s="26" t="s">
        <v>6562</v>
      </c>
      <c r="D518" s="2" t="s">
        <v>6563</v>
      </c>
      <c r="E518" s="70">
        <v>1.8092453888E10</v>
      </c>
      <c r="F518" s="6">
        <v>581819.0</v>
      </c>
      <c r="G518" s="2">
        <v>1.54</v>
      </c>
      <c r="H518" s="13">
        <v>44404.0</v>
      </c>
      <c r="I518" s="2">
        <v>17.187124</v>
      </c>
      <c r="J518" s="2">
        <v>7.487</v>
      </c>
      <c r="K518" s="2"/>
      <c r="L518" s="2"/>
    </row>
    <row r="519" ht="11.25" customHeight="1">
      <c r="A519" s="2" t="s">
        <v>547</v>
      </c>
      <c r="B519" s="2" t="s">
        <v>6564</v>
      </c>
      <c r="C519" s="26" t="s">
        <v>6565</v>
      </c>
      <c r="D519" s="2" t="s">
        <v>6566</v>
      </c>
      <c r="E519" s="70">
        <v>8.208634368E9</v>
      </c>
      <c r="F519" s="6">
        <v>950260.0</v>
      </c>
      <c r="G519" s="2">
        <v>0.688</v>
      </c>
      <c r="H519" s="13">
        <v>44410.0</v>
      </c>
      <c r="I519" s="2" t="s">
        <v>5024</v>
      </c>
      <c r="J519" s="2">
        <v>-1.65</v>
      </c>
      <c r="K519" s="2"/>
      <c r="L519" s="2"/>
    </row>
    <row r="520" ht="11.25" customHeight="1">
      <c r="A520" s="2" t="s">
        <v>548</v>
      </c>
      <c r="B520" s="2" t="s">
        <v>6567</v>
      </c>
      <c r="C520" s="26" t="s">
        <v>6568</v>
      </c>
      <c r="D520" s="2" t="s">
        <v>6569</v>
      </c>
      <c r="E520" s="70">
        <v>3.6373680128E10</v>
      </c>
      <c r="F520" s="6">
        <v>628530.0</v>
      </c>
      <c r="G520" s="2">
        <v>1.56</v>
      </c>
      <c r="H520" s="13">
        <v>44411.0</v>
      </c>
      <c r="I520" s="2">
        <v>80.95878</v>
      </c>
      <c r="J520" s="2">
        <v>3.129</v>
      </c>
      <c r="K520" s="2"/>
      <c r="L520" s="2"/>
    </row>
    <row r="521" ht="11.25" customHeight="1">
      <c r="A521" s="2" t="s">
        <v>549</v>
      </c>
      <c r="B521" s="2" t="s">
        <v>6570</v>
      </c>
      <c r="C521" s="26" t="s">
        <v>6571</v>
      </c>
      <c r="D521" s="2" t="s">
        <v>6572</v>
      </c>
      <c r="E521" s="70">
        <v>3.4075564032E10</v>
      </c>
      <c r="F521" s="6">
        <v>727939.0</v>
      </c>
      <c r="G521" s="2">
        <v>4.23</v>
      </c>
      <c r="H521" s="13">
        <v>44403.0</v>
      </c>
      <c r="I521" s="2">
        <v>21.692953</v>
      </c>
      <c r="J521" s="2">
        <v>13.568</v>
      </c>
      <c r="K521" s="2"/>
      <c r="L521" s="2"/>
    </row>
    <row r="522" ht="11.25" customHeight="1">
      <c r="A522" s="2" t="s">
        <v>550</v>
      </c>
      <c r="B522" s="2" t="s">
        <v>6573</v>
      </c>
      <c r="C522" s="26" t="s">
        <v>6574</v>
      </c>
      <c r="D522" s="2" t="s">
        <v>6575</v>
      </c>
      <c r="E522" s="70">
        <v>5.3753995264E10</v>
      </c>
      <c r="F522" s="6">
        <v>4157720.0</v>
      </c>
      <c r="G522" s="2">
        <v>0.0</v>
      </c>
      <c r="H522" s="13">
        <v>44411.0</v>
      </c>
      <c r="I522" s="2">
        <v>457.5316</v>
      </c>
      <c r="J522" s="2">
        <v>0.871</v>
      </c>
      <c r="K522" s="2"/>
      <c r="L522" s="2"/>
    </row>
    <row r="523" ht="11.25" customHeight="1">
      <c r="A523" s="2" t="s">
        <v>551</v>
      </c>
      <c r="B523" s="2" t="s">
        <v>6576</v>
      </c>
      <c r="C523" s="26" t="s">
        <v>6577</v>
      </c>
      <c r="D523" s="2" t="s">
        <v>6578</v>
      </c>
      <c r="E523" s="70">
        <v>1.7495007232E10</v>
      </c>
      <c r="F523" s="6">
        <v>1256844.0</v>
      </c>
      <c r="G523" s="2">
        <v>0.353333</v>
      </c>
      <c r="H523" s="13">
        <v>44405.0</v>
      </c>
      <c r="I523" s="2">
        <v>57.3254</v>
      </c>
      <c r="J523" s="2">
        <v>0.63</v>
      </c>
      <c r="K523" s="2"/>
      <c r="L523" s="2"/>
    </row>
    <row r="524" ht="11.25" customHeight="1">
      <c r="A524" s="2" t="s">
        <v>552</v>
      </c>
      <c r="B524" s="2" t="s">
        <v>6579</v>
      </c>
      <c r="C524" s="26" t="s">
        <v>6580</v>
      </c>
      <c r="D524" s="2" t="s">
        <v>6581</v>
      </c>
      <c r="E524" s="70">
        <v>5.1281911808E10</v>
      </c>
      <c r="F524" s="6">
        <v>413106.0</v>
      </c>
      <c r="G524" s="2">
        <v>2.20099999999999</v>
      </c>
      <c r="H524" s="13">
        <v>44400.0</v>
      </c>
      <c r="I524" s="2">
        <v>51.548088</v>
      </c>
      <c r="J524" s="2">
        <v>9.431</v>
      </c>
      <c r="K524" s="2"/>
      <c r="L524" s="2"/>
    </row>
    <row r="525" ht="11.25" customHeight="1">
      <c r="A525" s="2" t="s">
        <v>553</v>
      </c>
      <c r="B525" s="2" t="s">
        <v>6582</v>
      </c>
      <c r="C525" s="26" t="s">
        <v>6583</v>
      </c>
      <c r="D525" s="2" t="s">
        <v>6584</v>
      </c>
      <c r="E525" s="70">
        <v>4.4175863808E10</v>
      </c>
      <c r="F525" s="6">
        <v>2017388.0</v>
      </c>
      <c r="G525" s="2">
        <v>0.57</v>
      </c>
      <c r="H525" s="2" t="s">
        <v>733</v>
      </c>
      <c r="I525" s="2">
        <v>49.02499</v>
      </c>
      <c r="J525" s="2">
        <v>2.441</v>
      </c>
      <c r="K525" s="2"/>
      <c r="L525" s="2"/>
    </row>
    <row r="526" ht="11.25" customHeight="1">
      <c r="A526" s="2" t="s">
        <v>554</v>
      </c>
      <c r="B526" s="2" t="s">
        <v>6585</v>
      </c>
      <c r="C526" s="26" t="s">
        <v>6586</v>
      </c>
      <c r="D526" s="2" t="s">
        <v>6587</v>
      </c>
      <c r="E526" s="70">
        <v>3.6538847232E10</v>
      </c>
      <c r="F526" s="6">
        <v>1126715.0</v>
      </c>
      <c r="G526" s="2">
        <v>1.7</v>
      </c>
      <c r="H526" s="13">
        <v>44406.0</v>
      </c>
      <c r="I526" s="2">
        <v>36.3239</v>
      </c>
      <c r="J526" s="2">
        <v>3.18</v>
      </c>
      <c r="K526" s="2"/>
      <c r="L526" s="2"/>
    </row>
    <row r="527" ht="11.25" customHeight="1">
      <c r="A527" s="2" t="s">
        <v>555</v>
      </c>
      <c r="B527" s="2" t="s">
        <v>6588</v>
      </c>
      <c r="C527" s="26" t="s">
        <v>6589</v>
      </c>
      <c r="D527" s="2" t="s">
        <v>6590</v>
      </c>
      <c r="E527" s="70">
        <v>2.3399835648E10</v>
      </c>
      <c r="F527" s="6">
        <v>2497909.0</v>
      </c>
      <c r="G527" s="2">
        <v>1.088</v>
      </c>
      <c r="H527" s="2" t="s">
        <v>733</v>
      </c>
      <c r="I527" s="2">
        <v>3.6617236</v>
      </c>
      <c r="J527" s="2">
        <v>40.795</v>
      </c>
      <c r="K527" s="2"/>
      <c r="L527" s="2"/>
    </row>
    <row r="528" ht="11.25" customHeight="1">
      <c r="A528" s="2" t="s">
        <v>556</v>
      </c>
      <c r="B528" s="2" t="s">
        <v>6591</v>
      </c>
      <c r="C528" s="26" t="s">
        <v>6592</v>
      </c>
      <c r="D528" s="2" t="s">
        <v>6593</v>
      </c>
      <c r="E528" s="70">
        <v>1.2875235328E11</v>
      </c>
      <c r="F528" s="6">
        <v>6044988.0</v>
      </c>
      <c r="G528" s="2">
        <v>1.935</v>
      </c>
      <c r="H528" s="13">
        <v>44404.0</v>
      </c>
      <c r="I528" s="2" t="s">
        <v>5024</v>
      </c>
      <c r="J528" s="2">
        <v>-1.764</v>
      </c>
      <c r="K528" s="2"/>
      <c r="L528" s="2"/>
    </row>
    <row r="529" ht="11.25" customHeight="1">
      <c r="A529" s="2" t="s">
        <v>557</v>
      </c>
      <c r="B529" s="2" t="s">
        <v>6594</v>
      </c>
      <c r="C529" s="26" t="s">
        <v>6595</v>
      </c>
      <c r="D529" s="2" t="s">
        <v>6596</v>
      </c>
      <c r="E529" s="70">
        <v>9.6071424E9</v>
      </c>
      <c r="F529" s="6">
        <v>7454741.0</v>
      </c>
      <c r="G529" s="2">
        <v>0.0</v>
      </c>
      <c r="H529" s="2" t="s">
        <v>733</v>
      </c>
      <c r="I529" s="2" t="s">
        <v>5024</v>
      </c>
      <c r="J529" s="2">
        <v>-1.06</v>
      </c>
      <c r="K529" s="2"/>
      <c r="L529" s="2"/>
    </row>
    <row r="530" ht="11.25" customHeight="1">
      <c r="A530" s="2" t="s">
        <v>558</v>
      </c>
      <c r="B530" s="2" t="s">
        <v>6597</v>
      </c>
      <c r="C530" s="26" t="s">
        <v>6598</v>
      </c>
      <c r="D530" s="2" t="s">
        <v>6599</v>
      </c>
      <c r="E530" s="70">
        <v>3.297917184E9</v>
      </c>
      <c r="F530" s="6">
        <v>2214846.0</v>
      </c>
      <c r="G530" s="2">
        <v>0.0</v>
      </c>
      <c r="H530" s="2" t="s">
        <v>733</v>
      </c>
      <c r="I530" s="2" t="s">
        <v>5024</v>
      </c>
      <c r="J530" s="2">
        <v>-0.296</v>
      </c>
      <c r="K530" s="2"/>
      <c r="L530" s="2"/>
    </row>
    <row r="531" ht="11.25" customHeight="1">
      <c r="A531" s="2" t="s">
        <v>559</v>
      </c>
      <c r="B531" s="2" t="s">
        <v>6600</v>
      </c>
      <c r="C531" s="26" t="s">
        <v>6601</v>
      </c>
      <c r="D531" s="2" t="s">
        <v>6602</v>
      </c>
      <c r="E531" s="70">
        <v>3.021163776E9</v>
      </c>
      <c r="F531" s="6">
        <v>3493203.0</v>
      </c>
      <c r="G531" s="2">
        <v>0.0</v>
      </c>
      <c r="H531" s="13">
        <v>44405.0</v>
      </c>
      <c r="I531" s="2" t="s">
        <v>5024</v>
      </c>
      <c r="J531" s="2">
        <v>-5.578</v>
      </c>
      <c r="K531" s="2"/>
      <c r="L531" s="2"/>
    </row>
    <row r="532" ht="11.25" customHeight="1">
      <c r="A532" s="2" t="s">
        <v>560</v>
      </c>
      <c r="B532" s="2" t="s">
        <v>6603</v>
      </c>
      <c r="C532" s="26" t="s">
        <v>6604</v>
      </c>
      <c r="D532" s="2" t="s">
        <v>6605</v>
      </c>
      <c r="E532" s="70">
        <v>3.6337532928E10</v>
      </c>
      <c r="F532" s="6">
        <v>622176.0</v>
      </c>
      <c r="G532" s="2">
        <v>2.09</v>
      </c>
      <c r="H532" s="13">
        <v>44403.0</v>
      </c>
      <c r="I532" s="2">
        <v>271.6761</v>
      </c>
      <c r="J532" s="2">
        <v>1.235</v>
      </c>
      <c r="K532" s="2"/>
      <c r="L532" s="2"/>
    </row>
    <row r="533" ht="11.25" customHeight="1">
      <c r="A533" s="2" t="s">
        <v>561</v>
      </c>
      <c r="B533" s="2" t="s">
        <v>6606</v>
      </c>
      <c r="C533" s="26" t="s">
        <v>6607</v>
      </c>
      <c r="D533" s="2" t="s">
        <v>6608</v>
      </c>
      <c r="E533" s="70">
        <v>1.40182355968E11</v>
      </c>
      <c r="F533" s="6">
        <v>5474098.0</v>
      </c>
      <c r="G533" s="2">
        <v>1.76</v>
      </c>
      <c r="H533" s="13">
        <v>44404.0</v>
      </c>
      <c r="I533" s="2">
        <v>139.98822</v>
      </c>
      <c r="J533" s="2">
        <v>0.849</v>
      </c>
      <c r="K533" s="2"/>
      <c r="L533" s="2"/>
    </row>
    <row r="534" ht="11.25" customHeight="1">
      <c r="A534" s="2" t="s">
        <v>562</v>
      </c>
      <c r="B534" s="2" t="s">
        <v>6609</v>
      </c>
      <c r="C534" s="26" t="s">
        <v>6610</v>
      </c>
      <c r="D534" s="2" t="s">
        <v>6611</v>
      </c>
      <c r="E534" s="70">
        <v>1.7604972E10</v>
      </c>
      <c r="F534" s="6">
        <v>2725057.0</v>
      </c>
      <c r="G534" s="2">
        <v>0.51</v>
      </c>
      <c r="H534" s="2" t="s">
        <v>733</v>
      </c>
      <c r="I534" s="2" t="s">
        <v>5024</v>
      </c>
      <c r="J534" s="2" t="s">
        <v>5024</v>
      </c>
      <c r="K534" s="2"/>
      <c r="L534" s="2"/>
    </row>
    <row r="535" ht="11.25" customHeight="1">
      <c r="A535" s="2" t="s">
        <v>563</v>
      </c>
      <c r="B535" s="2" t="s">
        <v>6612</v>
      </c>
      <c r="C535" s="26" t="s">
        <v>6613</v>
      </c>
      <c r="D535" s="2" t="s">
        <v>6614</v>
      </c>
      <c r="E535" s="70">
        <v>7.314448896E9</v>
      </c>
      <c r="F535" s="6">
        <v>2526461.0</v>
      </c>
      <c r="G535" s="2">
        <v>0.785</v>
      </c>
      <c r="H535" s="2" t="s">
        <v>733</v>
      </c>
      <c r="I535" s="2" t="s">
        <v>5024</v>
      </c>
      <c r="J535" s="2" t="s">
        <v>5024</v>
      </c>
      <c r="K535" s="2"/>
      <c r="L535" s="2"/>
    </row>
    <row r="536" ht="11.25" customHeight="1">
      <c r="A536" s="2" t="s">
        <v>564</v>
      </c>
      <c r="B536" s="2" t="s">
        <v>6615</v>
      </c>
      <c r="C536" s="26" t="s">
        <v>6616</v>
      </c>
      <c r="D536" s="2" t="s">
        <v>6617</v>
      </c>
      <c r="E536" s="70">
        <v>1.33081997312E11</v>
      </c>
      <c r="F536" s="6">
        <v>7636623.0</v>
      </c>
      <c r="G536" s="2">
        <v>0.72</v>
      </c>
      <c r="H536" s="2" t="s">
        <v>733</v>
      </c>
      <c r="I536" s="2">
        <v>29.620363</v>
      </c>
      <c r="J536" s="2">
        <v>2.318</v>
      </c>
      <c r="K536" s="2"/>
      <c r="L536" s="2"/>
    </row>
    <row r="537" ht="11.25" customHeight="1">
      <c r="A537" s="2" t="s">
        <v>565</v>
      </c>
      <c r="B537" s="2" t="s">
        <v>6618</v>
      </c>
      <c r="C537" s="26" t="s">
        <v>6619</v>
      </c>
      <c r="D537" s="2" t="s">
        <v>6620</v>
      </c>
      <c r="E537" s="70">
        <v>8.680148992E9</v>
      </c>
      <c r="F537" s="6">
        <v>1310103.0</v>
      </c>
      <c r="G537" s="2">
        <v>0.68</v>
      </c>
      <c r="H537" s="13">
        <v>44411.0</v>
      </c>
      <c r="I537" s="2">
        <v>18.016714</v>
      </c>
      <c r="J537" s="2">
        <v>3.111</v>
      </c>
      <c r="K537" s="2"/>
      <c r="L537" s="2"/>
    </row>
    <row r="538" ht="11.25" customHeight="1">
      <c r="A538" s="2" t="s">
        <v>566</v>
      </c>
      <c r="B538" s="2" t="s">
        <v>6621</v>
      </c>
      <c r="C538" s="26" t="s">
        <v>6622</v>
      </c>
      <c r="D538" s="2" t="s">
        <v>6623</v>
      </c>
      <c r="E538" s="70">
        <v>3.007640576E9</v>
      </c>
      <c r="F538" s="6">
        <v>2273750.0</v>
      </c>
      <c r="G538" s="2">
        <v>0.0</v>
      </c>
      <c r="H538" s="13">
        <v>44404.0</v>
      </c>
      <c r="I538" s="2">
        <v>10.933645</v>
      </c>
      <c r="J538" s="2">
        <v>2.351</v>
      </c>
      <c r="K538" s="2"/>
      <c r="L538" s="2"/>
    </row>
    <row r="539" ht="11.25" customHeight="1">
      <c r="A539" s="2" t="s">
        <v>567</v>
      </c>
      <c r="B539" s="2" t="s">
        <v>6624</v>
      </c>
      <c r="C539" s="26" t="s">
        <v>6625</v>
      </c>
      <c r="D539" s="2" t="s">
        <v>6626</v>
      </c>
      <c r="E539" s="70">
        <v>2.6127243264E10</v>
      </c>
      <c r="F539" s="6">
        <v>812260.0</v>
      </c>
      <c r="G539" s="2">
        <v>0.0</v>
      </c>
      <c r="H539" s="13">
        <v>44405.0</v>
      </c>
      <c r="I539" s="2">
        <v>40.61663</v>
      </c>
      <c r="J539" s="2">
        <v>3.584</v>
      </c>
      <c r="K539" s="2"/>
      <c r="L539" s="2"/>
    </row>
    <row r="540" ht="11.25" customHeight="1">
      <c r="A540" s="2" t="s">
        <v>568</v>
      </c>
      <c r="B540" s="2" t="s">
        <v>6627</v>
      </c>
      <c r="C540" s="26" t="s">
        <v>6628</v>
      </c>
      <c r="D540" s="2" t="s">
        <v>6629</v>
      </c>
      <c r="E540" s="70">
        <v>7.4231963648E10</v>
      </c>
      <c r="F540" s="6">
        <v>1164744.0</v>
      </c>
      <c r="G540" s="2">
        <v>1.993334</v>
      </c>
      <c r="H540" s="13">
        <v>44404.0</v>
      </c>
      <c r="I540" s="2">
        <v>36.602898</v>
      </c>
      <c r="J540" s="2">
        <v>7.736</v>
      </c>
      <c r="K540" s="2"/>
      <c r="L540" s="2"/>
    </row>
    <row r="541" ht="11.25" customHeight="1">
      <c r="A541" s="2" t="s">
        <v>569</v>
      </c>
      <c r="B541" s="2" t="s">
        <v>6630</v>
      </c>
      <c r="C541" s="26" t="s">
        <v>6631</v>
      </c>
      <c r="D541" s="2" t="s">
        <v>6632</v>
      </c>
      <c r="E541" s="70">
        <v>1.8041659392E10</v>
      </c>
      <c r="F541" s="6">
        <v>2510680.0</v>
      </c>
      <c r="G541" s="2">
        <v>0.327</v>
      </c>
      <c r="H541" s="2" t="s">
        <v>733</v>
      </c>
      <c r="I541" s="2">
        <v>62.550797</v>
      </c>
      <c r="J541" s="2">
        <v>1.378</v>
      </c>
      <c r="K541" s="2"/>
      <c r="L541" s="2"/>
    </row>
    <row r="542" ht="11.25" customHeight="1">
      <c r="A542" s="2" t="s">
        <v>570</v>
      </c>
      <c r="B542" s="2" t="s">
        <v>6633</v>
      </c>
      <c r="C542" s="26" t="s">
        <v>6634</v>
      </c>
      <c r="D542" s="2" t="s">
        <v>6635</v>
      </c>
      <c r="E542" s="70">
        <v>2.6344558592E10</v>
      </c>
      <c r="F542" s="6">
        <v>2.0136688E7</v>
      </c>
      <c r="G542" s="2">
        <v>0.057641</v>
      </c>
      <c r="H542" s="13">
        <v>44404.0</v>
      </c>
      <c r="I542" s="2">
        <v>492.30768</v>
      </c>
      <c r="J542" s="2">
        <v>0.013</v>
      </c>
      <c r="K542" s="2"/>
      <c r="L542" s="2"/>
    </row>
    <row r="543" ht="11.25" customHeight="1">
      <c r="A543" s="2" t="s">
        <v>571</v>
      </c>
      <c r="B543" s="2" t="s">
        <v>6636</v>
      </c>
      <c r="C543" s="26" t="s">
        <v>6637</v>
      </c>
      <c r="D543" s="2" t="s">
        <v>6638</v>
      </c>
      <c r="E543" s="70">
        <v>3.1542407168E10</v>
      </c>
      <c r="F543" s="6">
        <v>416771.0</v>
      </c>
      <c r="G543" s="2">
        <v>0.0</v>
      </c>
      <c r="H543" s="13">
        <v>44399.0</v>
      </c>
      <c r="I543" s="2">
        <v>18.347431</v>
      </c>
      <c r="J543" s="2">
        <v>30.383</v>
      </c>
      <c r="K543" s="2"/>
      <c r="L543" s="2"/>
    </row>
    <row r="544" ht="11.25" customHeight="1">
      <c r="A544" s="2" t="s">
        <v>572</v>
      </c>
      <c r="B544" s="2" t="s">
        <v>6639</v>
      </c>
      <c r="C544" s="26" t="s">
        <v>6640</v>
      </c>
      <c r="D544" s="2" t="s">
        <v>6641</v>
      </c>
      <c r="E544" s="70">
        <v>1.4305951744E10</v>
      </c>
      <c r="F544" s="6">
        <v>837998.0</v>
      </c>
      <c r="G544" s="2">
        <v>3.6</v>
      </c>
      <c r="H544" s="2" t="s">
        <v>733</v>
      </c>
      <c r="I544" s="2">
        <v>17.094994</v>
      </c>
      <c r="J544" s="2">
        <v>7.79</v>
      </c>
      <c r="K544" s="2"/>
      <c r="L544" s="2"/>
    </row>
    <row r="545" ht="11.25" customHeight="1">
      <c r="A545" s="2" t="s">
        <v>573</v>
      </c>
      <c r="B545" s="2" t="s">
        <v>6642</v>
      </c>
      <c r="C545" s="26" t="s">
        <v>6643</v>
      </c>
      <c r="D545" s="2" t="s">
        <v>6644</v>
      </c>
      <c r="E545" s="70">
        <v>3.265935E9</v>
      </c>
      <c r="F545" s="6">
        <v>4396936.0</v>
      </c>
      <c r="G545" s="2">
        <v>0.982</v>
      </c>
      <c r="H545" s="2" t="s">
        <v>733</v>
      </c>
      <c r="I545" s="2" t="s">
        <v>5024</v>
      </c>
      <c r="J545" s="2" t="s">
        <v>5024</v>
      </c>
      <c r="K545" s="2"/>
      <c r="L545" s="2"/>
    </row>
    <row r="546" ht="11.25" customHeight="1">
      <c r="A546" s="2" t="s">
        <v>574</v>
      </c>
      <c r="B546" s="2" t="s">
        <v>6645</v>
      </c>
      <c r="C546" s="26" t="s">
        <v>6646</v>
      </c>
      <c r="D546" s="2" t="s">
        <v>6647</v>
      </c>
      <c r="E546" s="70">
        <v>4.017401856E10</v>
      </c>
      <c r="F546" s="6">
        <v>1.2416647E7</v>
      </c>
      <c r="G546" s="2">
        <v>0.5</v>
      </c>
      <c r="H546" s="13">
        <v>44400.0</v>
      </c>
      <c r="I546" s="2" t="s">
        <v>5024</v>
      </c>
      <c r="J546" s="2">
        <v>-2.043</v>
      </c>
      <c r="K546" s="2"/>
      <c r="L546" s="2"/>
    </row>
    <row r="547" ht="11.25" customHeight="1">
      <c r="A547" s="2" t="s">
        <v>575</v>
      </c>
      <c r="B547" s="2" t="s">
        <v>6648</v>
      </c>
      <c r="C547" s="26" t="s">
        <v>6649</v>
      </c>
      <c r="D547" s="2" t="s">
        <v>6650</v>
      </c>
      <c r="E547" s="70">
        <v>2.942584064E9</v>
      </c>
      <c r="F547" s="6">
        <v>3977466.0</v>
      </c>
      <c r="G547" s="2">
        <v>1.502</v>
      </c>
      <c r="H547" s="2" t="s">
        <v>733</v>
      </c>
      <c r="I547" s="2" t="s">
        <v>5024</v>
      </c>
      <c r="J547" s="2" t="s">
        <v>5024</v>
      </c>
      <c r="K547" s="2"/>
      <c r="L547" s="2"/>
    </row>
    <row r="548" ht="11.25" customHeight="1">
      <c r="A548" s="2" t="s">
        <v>576</v>
      </c>
      <c r="B548" s="2" t="s">
        <v>6651</v>
      </c>
      <c r="C548" s="26" t="s">
        <v>6652</v>
      </c>
      <c r="D548" s="2" t="s">
        <v>6653</v>
      </c>
      <c r="E548" s="70">
        <v>1.2093369344E10</v>
      </c>
      <c r="F548" s="6">
        <v>417349.0</v>
      </c>
      <c r="G548" s="2">
        <v>4.77</v>
      </c>
      <c r="H548" s="13">
        <v>44406.0</v>
      </c>
      <c r="I548" s="2">
        <v>17.603373</v>
      </c>
      <c r="J548" s="2">
        <v>12.455</v>
      </c>
      <c r="K548" s="2"/>
      <c r="L548" s="2"/>
    </row>
    <row r="549" ht="11.25" customHeight="1">
      <c r="A549" s="2" t="s">
        <v>577</v>
      </c>
      <c r="B549" s="2" t="s">
        <v>6654</v>
      </c>
      <c r="C549" s="26" t="s">
        <v>6655</v>
      </c>
      <c r="D549" s="2" t="s">
        <v>6656</v>
      </c>
      <c r="E549" s="70">
        <v>9.504247808E10</v>
      </c>
      <c r="F549" s="6">
        <v>1.9889179E7</v>
      </c>
      <c r="G549" s="2">
        <v>0.0</v>
      </c>
      <c r="H549" s="13">
        <v>44396.0</v>
      </c>
      <c r="I549" s="2" t="s">
        <v>5024</v>
      </c>
      <c r="J549" s="2">
        <v>-0.628</v>
      </c>
      <c r="K549" s="2"/>
      <c r="L549" s="2"/>
    </row>
    <row r="550" ht="11.25" customHeight="1">
      <c r="A550" s="2" t="s">
        <v>578</v>
      </c>
      <c r="B550" s="2" t="s">
        <v>6657</v>
      </c>
      <c r="C550" s="26" t="s">
        <v>6658</v>
      </c>
      <c r="D550" s="2" t="s">
        <v>6659</v>
      </c>
      <c r="E550" s="70">
        <v>7.43211008E10</v>
      </c>
      <c r="F550" s="6">
        <v>4265539.0</v>
      </c>
      <c r="G550" s="2">
        <v>0.0</v>
      </c>
      <c r="H550" s="2" t="s">
        <v>733</v>
      </c>
      <c r="I550" s="2" t="s">
        <v>5024</v>
      </c>
      <c r="J550" s="2">
        <v>-3.229</v>
      </c>
      <c r="K550" s="2"/>
      <c r="L550" s="2"/>
    </row>
    <row r="551" ht="11.25" customHeight="1">
      <c r="A551" s="2" t="s">
        <v>579</v>
      </c>
      <c r="B551" s="2" t="s">
        <v>6660</v>
      </c>
      <c r="C551" s="26" t="s">
        <v>6661</v>
      </c>
      <c r="D551" s="2" t="s">
        <v>6662</v>
      </c>
      <c r="E551" s="70">
        <v>4.2367025152E10</v>
      </c>
      <c r="F551" s="6">
        <v>850480.0</v>
      </c>
      <c r="G551" s="2">
        <v>0.0</v>
      </c>
      <c r="H551" s="2" t="s">
        <v>733</v>
      </c>
      <c r="I551" s="2">
        <v>53.822502</v>
      </c>
      <c r="J551" s="2">
        <v>5.138</v>
      </c>
      <c r="K551" s="2"/>
      <c r="L551" s="2"/>
    </row>
    <row r="552" ht="11.25" customHeight="1">
      <c r="A552" s="2" t="s">
        <v>580</v>
      </c>
      <c r="B552" s="2" t="s">
        <v>6663</v>
      </c>
      <c r="C552" s="26" t="s">
        <v>6664</v>
      </c>
      <c r="D552" s="2" t="s">
        <v>6665</v>
      </c>
      <c r="E552" s="70">
        <v>6.6344341504E10</v>
      </c>
      <c r="F552" s="6">
        <v>3932515.0</v>
      </c>
      <c r="G552" s="2">
        <v>2.58</v>
      </c>
      <c r="H552" s="13">
        <v>44406.0</v>
      </c>
      <c r="I552" s="2">
        <v>19.918238</v>
      </c>
      <c r="J552" s="2">
        <v>3.18</v>
      </c>
      <c r="K552" s="2"/>
      <c r="L552" s="2"/>
    </row>
    <row r="553" ht="11.25" customHeight="1">
      <c r="A553" s="2" t="s">
        <v>581</v>
      </c>
      <c r="B553" s="2" t="s">
        <v>6666</v>
      </c>
      <c r="C553" s="26" t="s">
        <v>6667</v>
      </c>
      <c r="D553" s="2" t="s">
        <v>6668</v>
      </c>
      <c r="E553" s="70">
        <v>4.146621184E9</v>
      </c>
      <c r="F553" s="6">
        <v>2148576.0</v>
      </c>
      <c r="G553" s="2">
        <v>0.0</v>
      </c>
      <c r="H553" s="13">
        <v>44411.0</v>
      </c>
      <c r="I553" s="2">
        <v>35.04329</v>
      </c>
      <c r="J553" s="2">
        <v>0.924</v>
      </c>
      <c r="K553" s="2"/>
      <c r="L553" s="2"/>
    </row>
    <row r="554" ht="11.25" customHeight="1">
      <c r="A554" s="2" t="s">
        <v>582</v>
      </c>
      <c r="B554" s="2" t="s">
        <v>6669</v>
      </c>
      <c r="C554" s="26" t="s">
        <v>6670</v>
      </c>
      <c r="D554" s="2" t="s">
        <v>6671</v>
      </c>
      <c r="E554" s="70">
        <v>7.643689984E9</v>
      </c>
      <c r="F554" s="6">
        <v>3.8231923E7</v>
      </c>
      <c r="G554" s="2">
        <v>0.0</v>
      </c>
      <c r="H554" s="13">
        <v>44410.0</v>
      </c>
      <c r="I554" s="2" t="s">
        <v>5024</v>
      </c>
      <c r="J554" s="2">
        <v>-1.752</v>
      </c>
      <c r="K554" s="2"/>
      <c r="L554" s="2"/>
    </row>
    <row r="555" ht="11.25" customHeight="1">
      <c r="A555" s="2" t="s">
        <v>583</v>
      </c>
      <c r="B555" s="2" t="s">
        <v>6672</v>
      </c>
      <c r="C555" s="26" t="s">
        <v>6673</v>
      </c>
      <c r="D555" s="2" t="s">
        <v>6674</v>
      </c>
      <c r="E555" s="70">
        <v>4.1573326848E10</v>
      </c>
      <c r="F555" s="6">
        <v>2439253.0</v>
      </c>
      <c r="G555" s="2">
        <v>5.3</v>
      </c>
      <c r="H555" s="2" t="s">
        <v>733</v>
      </c>
      <c r="I555" s="2">
        <v>35.19415</v>
      </c>
      <c r="J555" s="2">
        <v>3.554</v>
      </c>
      <c r="K555" s="2"/>
      <c r="L555" s="2"/>
    </row>
    <row r="556" ht="11.25" customHeight="1">
      <c r="A556" s="2" t="s">
        <v>584</v>
      </c>
      <c r="B556" s="2" t="s">
        <v>6675</v>
      </c>
      <c r="C556" s="26" t="s">
        <v>6676</v>
      </c>
      <c r="D556" s="2" t="s">
        <v>6677</v>
      </c>
      <c r="E556" s="70">
        <v>9.9135168512E10</v>
      </c>
      <c r="F556" s="6">
        <v>1347838.0</v>
      </c>
      <c r="G556" s="2">
        <v>2.88</v>
      </c>
      <c r="H556" s="13">
        <v>44406.0</v>
      </c>
      <c r="I556" s="2">
        <v>40.83678</v>
      </c>
      <c r="J556" s="2">
        <v>10.158</v>
      </c>
      <c r="K556" s="2"/>
      <c r="L556" s="2"/>
    </row>
    <row r="557" ht="11.25" customHeight="1">
      <c r="A557" s="2" t="s">
        <v>585</v>
      </c>
      <c r="B557" s="2" t="s">
        <v>6678</v>
      </c>
      <c r="C557" s="26" t="s">
        <v>6679</v>
      </c>
      <c r="D557" s="2" t="s">
        <v>6680</v>
      </c>
      <c r="E557" s="70">
        <v>4.404297449E9</v>
      </c>
      <c r="F557" s="6">
        <v>3355255.0</v>
      </c>
      <c r="G557" s="2">
        <v>0.507</v>
      </c>
      <c r="H557" s="2" t="s">
        <v>733</v>
      </c>
      <c r="I557" s="2" t="s">
        <v>5024</v>
      </c>
      <c r="J557" s="2" t="s">
        <v>5024</v>
      </c>
      <c r="K557" s="2"/>
      <c r="L557" s="2"/>
    </row>
    <row r="558" ht="11.25" customHeight="1">
      <c r="A558" s="2" t="s">
        <v>586</v>
      </c>
      <c r="B558" s="2" t="s">
        <v>6681</v>
      </c>
      <c r="C558" s="26" t="s">
        <v>6682</v>
      </c>
      <c r="D558" s="2" t="s">
        <v>6683</v>
      </c>
      <c r="E558" s="70">
        <v>2.1896032256E10</v>
      </c>
      <c r="F558" s="6">
        <v>2508320.0</v>
      </c>
      <c r="G558" s="2">
        <v>0.0</v>
      </c>
      <c r="H558" s="2" t="s">
        <v>733</v>
      </c>
      <c r="I558" s="2" t="s">
        <v>5024</v>
      </c>
      <c r="J558" s="2">
        <v>-6.661</v>
      </c>
      <c r="K558" s="2"/>
      <c r="L558" s="2"/>
    </row>
    <row r="559" ht="11.25" customHeight="1">
      <c r="A559" s="2" t="s">
        <v>587</v>
      </c>
      <c r="B559" s="2" t="s">
        <v>6684</v>
      </c>
      <c r="C559" s="26" t="s">
        <v>6685</v>
      </c>
      <c r="D559" s="2" t="s">
        <v>6686</v>
      </c>
      <c r="E559" s="70">
        <v>1.0350774E10</v>
      </c>
      <c r="F559" s="6">
        <v>2794576.0</v>
      </c>
      <c r="G559" s="2">
        <v>0.743</v>
      </c>
      <c r="H559" s="2" t="s">
        <v>733</v>
      </c>
      <c r="I559" s="2" t="s">
        <v>5024</v>
      </c>
      <c r="J559" s="2" t="s">
        <v>5024</v>
      </c>
      <c r="K559" s="2"/>
      <c r="L559" s="2"/>
    </row>
    <row r="560" ht="11.25" customHeight="1">
      <c r="A560" s="2" t="s">
        <v>588</v>
      </c>
      <c r="B560" s="2" t="s">
        <v>6687</v>
      </c>
      <c r="C560" s="26" t="s">
        <v>6688</v>
      </c>
      <c r="D560" s="2" t="s">
        <v>6689</v>
      </c>
      <c r="E560" s="70">
        <v>4.054243328E9</v>
      </c>
      <c r="F560" s="6">
        <v>4081417.0</v>
      </c>
      <c r="G560" s="2">
        <v>0.0</v>
      </c>
      <c r="H560" s="13">
        <v>44411.0</v>
      </c>
      <c r="I560" s="2">
        <v>10.026548</v>
      </c>
      <c r="J560" s="2">
        <v>2.26</v>
      </c>
      <c r="K560" s="2"/>
      <c r="L560" s="2"/>
    </row>
    <row r="561" ht="11.25" customHeight="1">
      <c r="A561" s="2" t="s">
        <v>589</v>
      </c>
      <c r="B561" s="2" t="s">
        <v>6690</v>
      </c>
      <c r="C561" s="26" t="s">
        <v>6691</v>
      </c>
      <c r="D561" s="2" t="s">
        <v>6692</v>
      </c>
      <c r="E561" s="70">
        <v>3.99005745152E11</v>
      </c>
      <c r="F561" s="6">
        <v>6.7863361E7</v>
      </c>
      <c r="G561" s="2">
        <v>5.573</v>
      </c>
      <c r="H561" s="2" t="s">
        <v>733</v>
      </c>
      <c r="I561" s="2">
        <v>2.9946983</v>
      </c>
      <c r="J561" s="2">
        <v>144.108</v>
      </c>
      <c r="K561" s="2"/>
      <c r="L561" s="2"/>
    </row>
    <row r="562" ht="11.25" customHeight="1">
      <c r="A562" s="2" t="s">
        <v>590</v>
      </c>
      <c r="B562" s="2" t="s">
        <v>6693</v>
      </c>
      <c r="C562" s="26" t="s">
        <v>6694</v>
      </c>
      <c r="D562" s="2" t="s">
        <v>6695</v>
      </c>
      <c r="E562" s="70">
        <v>3.540859904E9</v>
      </c>
      <c r="F562" s="6">
        <v>3297703.0</v>
      </c>
      <c r="G562" s="2">
        <v>0.627</v>
      </c>
      <c r="H562" s="2" t="s">
        <v>733</v>
      </c>
      <c r="I562" s="2" t="s">
        <v>5024</v>
      </c>
      <c r="J562" s="2">
        <v>-0.916</v>
      </c>
      <c r="K562" s="2"/>
      <c r="L562" s="2"/>
    </row>
    <row r="563" ht="11.25" customHeight="1">
      <c r="A563" s="2" t="s">
        <v>591</v>
      </c>
      <c r="B563" s="2" t="s">
        <v>6696</v>
      </c>
      <c r="C563" s="26" t="s">
        <v>6697</v>
      </c>
      <c r="D563" s="2" t="s">
        <v>6698</v>
      </c>
      <c r="E563" s="70">
        <v>1.07084570624E11</v>
      </c>
      <c r="F563" s="6">
        <v>8981047.0</v>
      </c>
      <c r="G563" s="2">
        <v>0.0</v>
      </c>
      <c r="H563" s="13">
        <v>44410.0</v>
      </c>
      <c r="I563" s="2">
        <v>331.5105</v>
      </c>
      <c r="J563" s="2">
        <v>0.715</v>
      </c>
      <c r="K563" s="2"/>
      <c r="L563" s="2"/>
    </row>
    <row r="564" ht="11.25" customHeight="1">
      <c r="A564" s="2" t="s">
        <v>592</v>
      </c>
      <c r="B564" s="2" t="s">
        <v>6699</v>
      </c>
      <c r="C564" s="26" t="s">
        <v>6700</v>
      </c>
      <c r="D564" s="2" t="s">
        <v>6701</v>
      </c>
      <c r="E564" s="70">
        <v>4.0133996544E10</v>
      </c>
      <c r="F564" s="6">
        <v>1623561.0</v>
      </c>
      <c r="G564" s="2">
        <v>4.29</v>
      </c>
      <c r="H564" s="13">
        <v>44411.0</v>
      </c>
      <c r="I564" s="2">
        <v>10.246519</v>
      </c>
      <c r="J564" s="2">
        <v>13.143</v>
      </c>
      <c r="K564" s="2"/>
      <c r="L564" s="2"/>
    </row>
    <row r="565" ht="11.25" customHeight="1">
      <c r="A565" s="2" t="s">
        <v>593</v>
      </c>
      <c r="B565" s="2" t="s">
        <v>6702</v>
      </c>
      <c r="C565" s="26" t="s">
        <v>6703</v>
      </c>
      <c r="D565" s="2" t="s">
        <v>6704</v>
      </c>
      <c r="E565" s="70">
        <v>2.0587245568E10</v>
      </c>
      <c r="F565" s="6">
        <v>722092.0</v>
      </c>
      <c r="G565" s="2">
        <v>1.6</v>
      </c>
      <c r="H565" s="13">
        <v>44410.0</v>
      </c>
      <c r="I565" s="2">
        <v>44.99892</v>
      </c>
      <c r="J565" s="2">
        <v>4.63</v>
      </c>
      <c r="K565" s="2"/>
      <c r="L565" s="2"/>
    </row>
    <row r="566" ht="11.25" customHeight="1">
      <c r="A566" s="2" t="s">
        <v>594</v>
      </c>
      <c r="B566" s="2" t="s">
        <v>6705</v>
      </c>
      <c r="C566" s="26" t="s">
        <v>6706</v>
      </c>
      <c r="D566" s="2" t="s">
        <v>6707</v>
      </c>
      <c r="E566" s="70">
        <v>3.322447104E9</v>
      </c>
      <c r="F566" s="6">
        <v>2914820.0</v>
      </c>
      <c r="G566" s="2">
        <v>0.0</v>
      </c>
      <c r="H566" s="2" t="s">
        <v>733</v>
      </c>
      <c r="I566" s="2" t="s">
        <v>5024</v>
      </c>
      <c r="J566" s="2">
        <v>-21.536</v>
      </c>
      <c r="K566" s="2"/>
      <c r="L566" s="2"/>
    </row>
    <row r="567" ht="11.25" customHeight="1">
      <c r="A567" s="2" t="s">
        <v>595</v>
      </c>
      <c r="B567" s="2" t="s">
        <v>6708</v>
      </c>
      <c r="C567" s="26" t="s">
        <v>6709</v>
      </c>
      <c r="D567" s="2" t="s">
        <v>6710</v>
      </c>
      <c r="E567" s="70">
        <v>1.3015315456E10</v>
      </c>
      <c r="F567" s="6">
        <v>2386660.0</v>
      </c>
      <c r="G567" s="2">
        <v>1.02</v>
      </c>
      <c r="H567" s="13">
        <v>44396.0</v>
      </c>
      <c r="I567" s="2">
        <v>16.007086</v>
      </c>
      <c r="J567" s="2">
        <v>3.74</v>
      </c>
      <c r="K567" s="2"/>
      <c r="L567" s="2"/>
    </row>
    <row r="568" ht="11.25" customHeight="1">
      <c r="A568" s="2" t="s">
        <v>596</v>
      </c>
      <c r="B568" s="2" t="s">
        <v>6711</v>
      </c>
      <c r="C568" s="26" t="s">
        <v>6712</v>
      </c>
      <c r="D568" s="2" t="s">
        <v>6713</v>
      </c>
      <c r="E568" s="70">
        <v>2.8506544128E10</v>
      </c>
      <c r="F568" s="6">
        <v>2205795.0</v>
      </c>
      <c r="G568" s="2">
        <v>30.205</v>
      </c>
      <c r="H568" s="13">
        <v>44393.0</v>
      </c>
      <c r="I568" s="2">
        <v>13.955519</v>
      </c>
      <c r="J568" s="2">
        <v>6.07</v>
      </c>
      <c r="K568" s="2"/>
      <c r="L568" s="2"/>
    </row>
    <row r="569" ht="11.25" customHeight="1">
      <c r="A569" s="2" t="s">
        <v>597</v>
      </c>
      <c r="B569" s="2" t="s">
        <v>6714</v>
      </c>
      <c r="C569" s="26" t="s">
        <v>6715</v>
      </c>
      <c r="D569" s="2" t="s">
        <v>6716</v>
      </c>
      <c r="E569" s="70">
        <v>1.9717408768E10</v>
      </c>
      <c r="F569" s="6">
        <v>3123555.0</v>
      </c>
      <c r="G569" s="2">
        <v>2.66</v>
      </c>
      <c r="H569" s="13">
        <v>44403.0</v>
      </c>
      <c r="I569" s="2">
        <v>21.288855</v>
      </c>
      <c r="J569" s="2">
        <v>3.957</v>
      </c>
      <c r="K569" s="2"/>
      <c r="L569" s="2"/>
    </row>
    <row r="570" ht="11.25" customHeight="1">
      <c r="A570" s="2" t="s">
        <v>598</v>
      </c>
      <c r="B570" s="2" t="s">
        <v>6717</v>
      </c>
      <c r="C570" s="26" t="s">
        <v>6718</v>
      </c>
      <c r="D570" s="2" t="s">
        <v>6719</v>
      </c>
      <c r="E570" s="70">
        <v>4.3231014912E10</v>
      </c>
      <c r="F570" s="6">
        <v>980785.0</v>
      </c>
      <c r="G570" s="2">
        <v>3.01</v>
      </c>
      <c r="H570" s="2" t="s">
        <v>733</v>
      </c>
      <c r="I570" s="2">
        <v>34.257084</v>
      </c>
      <c r="J570" s="2">
        <v>6.543</v>
      </c>
      <c r="K570" s="2"/>
      <c r="L570" s="2"/>
    </row>
    <row r="571" ht="11.25" customHeight="1">
      <c r="A571" s="2" t="s">
        <v>599</v>
      </c>
      <c r="B571" s="2" t="s">
        <v>6720</v>
      </c>
      <c r="C571" s="26" t="s">
        <v>6721</v>
      </c>
      <c r="D571" s="2" t="s">
        <v>6722</v>
      </c>
      <c r="E571" s="70">
        <v>3.3402013696E10</v>
      </c>
      <c r="F571" s="6">
        <v>1081715.0</v>
      </c>
      <c r="G571" s="2">
        <v>2.8</v>
      </c>
      <c r="H571" s="13">
        <v>44404.0</v>
      </c>
      <c r="I571" s="2">
        <v>20.652967</v>
      </c>
      <c r="J571" s="2">
        <v>9.844</v>
      </c>
      <c r="K571" s="2"/>
      <c r="L571" s="2"/>
    </row>
    <row r="572" ht="11.25" customHeight="1">
      <c r="A572" s="2" t="s">
        <v>600</v>
      </c>
      <c r="B572" s="2" t="s">
        <v>6723</v>
      </c>
      <c r="C572" s="26" t="s">
        <v>6724</v>
      </c>
      <c r="D572" s="2" t="s">
        <v>6725</v>
      </c>
      <c r="E572" s="70">
        <v>3.1446913024E10</v>
      </c>
      <c r="F572" s="6">
        <v>1816833.0</v>
      </c>
      <c r="G572" s="2">
        <v>2.0</v>
      </c>
      <c r="H572" s="13">
        <v>44398.0</v>
      </c>
      <c r="I572" s="2">
        <v>26.054817</v>
      </c>
      <c r="J572" s="2">
        <v>7.224</v>
      </c>
      <c r="K572" s="2"/>
      <c r="L572" s="2"/>
    </row>
    <row r="573" ht="11.25" customHeight="1">
      <c r="A573" s="2" t="s">
        <v>601</v>
      </c>
      <c r="B573" s="2" t="s">
        <v>6726</v>
      </c>
      <c r="C573" s="26" t="s">
        <v>6727</v>
      </c>
      <c r="D573" s="2" t="s">
        <v>6728</v>
      </c>
      <c r="E573" s="70">
        <v>2.7753904128E10</v>
      </c>
      <c r="F573" s="6">
        <v>5669423.0</v>
      </c>
      <c r="G573" s="2">
        <v>0.88</v>
      </c>
      <c r="H573" s="13">
        <v>44397.0</v>
      </c>
      <c r="I573" s="2">
        <v>13.148594</v>
      </c>
      <c r="J573" s="2">
        <v>3.558</v>
      </c>
      <c r="K573" s="2"/>
      <c r="L573" s="2"/>
    </row>
    <row r="574" ht="11.25" customHeight="1">
      <c r="A574" s="2" t="s">
        <v>602</v>
      </c>
      <c r="B574" s="2" t="s">
        <v>6729</v>
      </c>
      <c r="C574" s="26" t="s">
        <v>6730</v>
      </c>
      <c r="D574" s="2" t="s">
        <v>6731</v>
      </c>
      <c r="E574" s="70">
        <v>9.6843071488E10</v>
      </c>
      <c r="F574" s="6">
        <v>1073074.0</v>
      </c>
      <c r="G574" s="2">
        <v>2.465</v>
      </c>
      <c r="H574" s="13">
        <v>44404.0</v>
      </c>
      <c r="I574" s="2">
        <v>69.89295</v>
      </c>
      <c r="J574" s="2">
        <v>3.69</v>
      </c>
      <c r="K574" s="2"/>
      <c r="L574" s="2"/>
    </row>
    <row r="575" ht="11.25" customHeight="1">
      <c r="A575" s="2" t="s">
        <v>603</v>
      </c>
      <c r="B575" s="2" t="s">
        <v>6732</v>
      </c>
      <c r="C575" s="26" t="s">
        <v>6733</v>
      </c>
      <c r="D575" s="2" t="s">
        <v>6734</v>
      </c>
      <c r="E575" s="70">
        <v>3.7135736832E10</v>
      </c>
      <c r="F575" s="6">
        <v>2264965.0</v>
      </c>
      <c r="G575" s="2">
        <v>1.81999999999999</v>
      </c>
      <c r="H575" s="2" t="s">
        <v>733</v>
      </c>
      <c r="I575" s="2" t="s">
        <v>5024</v>
      </c>
      <c r="J575" s="2">
        <v>-0.481</v>
      </c>
      <c r="K575" s="2"/>
      <c r="L575" s="2"/>
    </row>
    <row r="576" ht="11.25" customHeight="1">
      <c r="A576" s="2" t="s">
        <v>604</v>
      </c>
      <c r="B576" s="2" t="s">
        <v>6735</v>
      </c>
      <c r="C576" s="26" t="s">
        <v>6736</v>
      </c>
      <c r="D576" s="2" t="s">
        <v>6737</v>
      </c>
      <c r="E576" s="70">
        <v>2.02990190592E11</v>
      </c>
      <c r="F576" s="6">
        <v>4.4479973E7</v>
      </c>
      <c r="G576" s="2">
        <v>2.08</v>
      </c>
      <c r="H576" s="13">
        <v>44399.0</v>
      </c>
      <c r="I576" s="2" t="s">
        <v>5024</v>
      </c>
      <c r="J576" s="2">
        <v>-0.345</v>
      </c>
      <c r="K576" s="2"/>
      <c r="L576" s="2"/>
    </row>
    <row r="577" ht="11.25" customHeight="1">
      <c r="A577" s="2" t="s">
        <v>605</v>
      </c>
      <c r="B577" s="2" t="s">
        <v>6738</v>
      </c>
      <c r="C577" s="26" t="s">
        <v>6739</v>
      </c>
      <c r="D577" s="2" t="s">
        <v>6740</v>
      </c>
      <c r="E577" s="70">
        <v>1.1101966336E10</v>
      </c>
      <c r="F577" s="6">
        <v>1911704.0</v>
      </c>
      <c r="G577" s="2">
        <v>0.57</v>
      </c>
      <c r="H577" s="13">
        <v>44406.0</v>
      </c>
      <c r="I577" s="2" t="s">
        <v>5024</v>
      </c>
      <c r="J577" s="2">
        <v>-3.449</v>
      </c>
      <c r="K577" s="2"/>
      <c r="L577" s="2"/>
    </row>
    <row r="578" ht="11.25" customHeight="1">
      <c r="A578" s="2" t="s">
        <v>606</v>
      </c>
      <c r="B578" s="2" t="s">
        <v>6741</v>
      </c>
      <c r="C578" s="26" t="s">
        <v>6742</v>
      </c>
      <c r="D578" s="2" t="s">
        <v>6743</v>
      </c>
      <c r="E578" s="70">
        <v>2.035672064E10</v>
      </c>
      <c r="F578" s="6">
        <v>4170049.0</v>
      </c>
      <c r="G578" s="2">
        <v>0.0</v>
      </c>
      <c r="H578" s="2" t="s">
        <v>733</v>
      </c>
      <c r="I578" s="2">
        <v>30.422535</v>
      </c>
      <c r="J578" s="2">
        <v>0.994</v>
      </c>
      <c r="K578" s="2"/>
      <c r="L578" s="2"/>
    </row>
    <row r="579" ht="11.25" customHeight="1">
      <c r="A579" s="2" t="s">
        <v>607</v>
      </c>
      <c r="B579" s="2" t="s">
        <v>6744</v>
      </c>
      <c r="C579" s="26" t="s">
        <v>6745</v>
      </c>
      <c r="D579" s="2" t="s">
        <v>6746</v>
      </c>
      <c r="E579" s="70">
        <v>3.494211584E10</v>
      </c>
      <c r="F579" s="6">
        <v>280533.0</v>
      </c>
      <c r="G579" s="2">
        <v>32.5</v>
      </c>
      <c r="H579" s="13">
        <v>44410.0</v>
      </c>
      <c r="I579" s="2">
        <v>233.6561</v>
      </c>
      <c r="J579" s="2">
        <v>2.716</v>
      </c>
      <c r="K579" s="2"/>
      <c r="L579" s="2"/>
    </row>
    <row r="580" ht="11.25" customHeight="1">
      <c r="A580" s="2" t="s">
        <v>608</v>
      </c>
      <c r="B580" s="2" t="s">
        <v>6747</v>
      </c>
      <c r="C580" s="26" t="s">
        <v>6748</v>
      </c>
      <c r="D580" s="2" t="s">
        <v>6749</v>
      </c>
      <c r="E580" s="70">
        <v>2.2593247232E10</v>
      </c>
      <c r="F580" s="6">
        <v>2959076.0</v>
      </c>
      <c r="G580" s="2">
        <v>0.0</v>
      </c>
      <c r="H580" s="13">
        <v>44404.0</v>
      </c>
      <c r="I580" s="2" t="s">
        <v>5024</v>
      </c>
      <c r="J580" s="2">
        <v>-5.944</v>
      </c>
      <c r="K580" s="2"/>
      <c r="L580" s="2"/>
    </row>
    <row r="581" ht="11.25" customHeight="1">
      <c r="A581" s="2" t="s">
        <v>609</v>
      </c>
      <c r="B581" s="2" t="s">
        <v>6750</v>
      </c>
      <c r="C581" s="26" t="s">
        <v>6751</v>
      </c>
      <c r="D581" s="2" t="s">
        <v>6752</v>
      </c>
      <c r="E581" s="70">
        <v>2.0310695936E10</v>
      </c>
      <c r="F581" s="6">
        <v>307680.0</v>
      </c>
      <c r="G581" s="2">
        <v>0.0</v>
      </c>
      <c r="H581" s="13">
        <v>44397.0</v>
      </c>
      <c r="I581" s="2">
        <v>40.798836</v>
      </c>
      <c r="J581" s="2">
        <v>10.678</v>
      </c>
      <c r="K581" s="2"/>
      <c r="L581" s="2"/>
    </row>
    <row r="582" ht="11.25" customHeight="1">
      <c r="A582" s="2" t="s">
        <v>610</v>
      </c>
      <c r="B582" s="2" t="s">
        <v>6753</v>
      </c>
      <c r="C582" s="26" t="s">
        <v>6754</v>
      </c>
      <c r="D582" s="2" t="s">
        <v>6755</v>
      </c>
      <c r="E582" s="70">
        <v>6.4856076288E10</v>
      </c>
      <c r="F582" s="6">
        <v>1310409.0</v>
      </c>
      <c r="G582" s="2">
        <v>0.0</v>
      </c>
      <c r="H582" s="13">
        <v>44405.0</v>
      </c>
      <c r="I582" s="2" t="s">
        <v>5024</v>
      </c>
      <c r="J582" s="2">
        <v>-3.494</v>
      </c>
      <c r="K582" s="2"/>
      <c r="L582" s="2"/>
    </row>
    <row r="583" ht="11.25" customHeight="1">
      <c r="A583" s="2" t="s">
        <v>611</v>
      </c>
      <c r="B583" s="2" t="s">
        <v>6756</v>
      </c>
      <c r="C583" s="26" t="s">
        <v>6757</v>
      </c>
      <c r="D583" s="2" t="s">
        <v>6758</v>
      </c>
      <c r="E583" s="70">
        <v>4.5201199104E10</v>
      </c>
      <c r="F583" s="6">
        <v>1461749.0</v>
      </c>
      <c r="G583" s="2">
        <v>1.94</v>
      </c>
      <c r="H583" s="13">
        <v>44404.0</v>
      </c>
      <c r="I583" s="2">
        <v>41.577644</v>
      </c>
      <c r="J583" s="2">
        <v>3.239</v>
      </c>
      <c r="K583" s="2"/>
      <c r="L583" s="2"/>
    </row>
    <row r="584" ht="11.25" customHeight="1">
      <c r="A584" s="2" t="s">
        <v>612</v>
      </c>
      <c r="B584" s="2" t="s">
        <v>6759</v>
      </c>
      <c r="C584" s="26" t="s">
        <v>6760</v>
      </c>
      <c r="D584" s="2" t="s">
        <v>6761</v>
      </c>
      <c r="E584" s="70">
        <v>2.0472332288E10</v>
      </c>
      <c r="F584" s="6">
        <v>1415314.0</v>
      </c>
      <c r="G584" s="2">
        <v>0.4</v>
      </c>
      <c r="H584" s="13">
        <v>44396.0</v>
      </c>
      <c r="I584" s="2">
        <v>27.301048</v>
      </c>
      <c r="J584" s="2">
        <v>4.398</v>
      </c>
      <c r="K584" s="2"/>
      <c r="L584" s="2"/>
    </row>
    <row r="585" ht="11.25" customHeight="1">
      <c r="A585" s="2" t="s">
        <v>613</v>
      </c>
      <c r="B585" s="2" t="s">
        <v>6762</v>
      </c>
      <c r="C585" s="26" t="s">
        <v>6763</v>
      </c>
      <c r="D585" s="2" t="s">
        <v>6764</v>
      </c>
      <c r="E585" s="70">
        <v>7.5123326976E10</v>
      </c>
      <c r="F585" s="6">
        <v>5663417.0</v>
      </c>
      <c r="G585" s="2">
        <v>1.8</v>
      </c>
      <c r="H585" s="2" t="s">
        <v>733</v>
      </c>
      <c r="I585" s="2">
        <v>14.178637</v>
      </c>
      <c r="J585" s="2">
        <v>3.829</v>
      </c>
      <c r="K585" s="2"/>
      <c r="L585" s="2"/>
    </row>
    <row r="586" ht="11.25" customHeight="1">
      <c r="A586" s="2" t="s">
        <v>614</v>
      </c>
      <c r="B586" s="2" t="s">
        <v>6765</v>
      </c>
      <c r="C586" s="26" t="s">
        <v>6766</v>
      </c>
      <c r="D586" s="2" t="s">
        <v>6767</v>
      </c>
      <c r="E586" s="70">
        <v>1.7580843008E10</v>
      </c>
      <c r="F586" s="6">
        <v>266634.0</v>
      </c>
      <c r="G586" s="2">
        <v>1.36</v>
      </c>
      <c r="H586" s="13">
        <v>44405.0</v>
      </c>
      <c r="I586" s="2">
        <v>66.191444</v>
      </c>
      <c r="J586" s="2">
        <v>5.892</v>
      </c>
      <c r="K586" s="2"/>
      <c r="L586" s="2"/>
    </row>
    <row r="587" ht="11.25" customHeight="1">
      <c r="A587" s="2" t="s">
        <v>615</v>
      </c>
      <c r="B587" s="2" t="s">
        <v>6768</v>
      </c>
      <c r="C587" s="26" t="s">
        <v>6769</v>
      </c>
      <c r="D587" s="2" t="s">
        <v>6770</v>
      </c>
      <c r="E587" s="70">
        <v>1.25130539008E11</v>
      </c>
      <c r="F587" s="6">
        <v>3160019.0</v>
      </c>
      <c r="G587" s="2">
        <v>2.72</v>
      </c>
      <c r="H587" s="2" t="s">
        <v>733</v>
      </c>
      <c r="I587" s="2">
        <v>20.54866</v>
      </c>
      <c r="J587" s="2">
        <v>12.248</v>
      </c>
      <c r="K587" s="2"/>
      <c r="L587" s="2"/>
    </row>
    <row r="588" ht="11.25" customHeight="1">
      <c r="A588" s="2" t="s">
        <v>616</v>
      </c>
      <c r="B588" s="2" t="s">
        <v>6771</v>
      </c>
      <c r="C588" s="26" t="s">
        <v>6772</v>
      </c>
      <c r="D588" s="2" t="s">
        <v>6773</v>
      </c>
      <c r="E588" s="70">
        <v>2.2923300864E10</v>
      </c>
      <c r="F588" s="6">
        <v>3149884.0</v>
      </c>
      <c r="G588" s="2">
        <v>1.191</v>
      </c>
      <c r="H588" s="2" t="s">
        <v>733</v>
      </c>
      <c r="I588" s="2">
        <v>14.494383</v>
      </c>
      <c r="J588" s="2">
        <v>8.9</v>
      </c>
      <c r="K588" s="2"/>
      <c r="L588" s="2"/>
    </row>
    <row r="589" ht="11.25" customHeight="1">
      <c r="A589" s="2" t="s">
        <v>617</v>
      </c>
      <c r="B589" s="2" t="s">
        <v>6774</v>
      </c>
      <c r="C589" s="26" t="s">
        <v>6775</v>
      </c>
      <c r="D589" s="2" t="s">
        <v>6776</v>
      </c>
      <c r="E589" s="70">
        <v>8.2125774848E10</v>
      </c>
      <c r="F589" s="6">
        <v>6329150.0</v>
      </c>
      <c r="G589" s="2">
        <v>0.52</v>
      </c>
      <c r="H589" s="2" t="s">
        <v>733</v>
      </c>
      <c r="I589" s="2">
        <v>54.56311</v>
      </c>
      <c r="J589" s="2">
        <v>1.236</v>
      </c>
      <c r="K589" s="2"/>
      <c r="L589" s="2"/>
    </row>
    <row r="590" ht="11.25" customHeight="1">
      <c r="A590" s="2" t="s">
        <v>618</v>
      </c>
      <c r="B590" s="2" t="s">
        <v>6777</v>
      </c>
      <c r="C590" s="26" t="s">
        <v>6778</v>
      </c>
      <c r="D590" s="2" t="s">
        <v>6779</v>
      </c>
      <c r="E590" s="70">
        <v>1.6289353728E10</v>
      </c>
      <c r="F590" s="6">
        <v>1.4478826E7</v>
      </c>
      <c r="G590" s="2">
        <v>2.161</v>
      </c>
      <c r="H590" s="2" t="s">
        <v>733</v>
      </c>
      <c r="I590" s="2" t="s">
        <v>5024</v>
      </c>
      <c r="J590" s="2">
        <v>-11.779</v>
      </c>
      <c r="K590" s="2"/>
      <c r="L590" s="2"/>
    </row>
    <row r="591" ht="11.25" customHeight="1">
      <c r="A591" s="2" t="s">
        <v>619</v>
      </c>
      <c r="B591" s="2" t="s">
        <v>6780</v>
      </c>
      <c r="C591" s="26" t="s">
        <v>6781</v>
      </c>
      <c r="D591" s="2" t="s">
        <v>6782</v>
      </c>
      <c r="E591" s="70">
        <v>2.02205036544E11</v>
      </c>
      <c r="F591" s="6">
        <v>1741138.0</v>
      </c>
      <c r="G591" s="2">
        <v>0.96</v>
      </c>
      <c r="H591" s="13">
        <v>44397.0</v>
      </c>
      <c r="I591" s="2">
        <v>26.190813</v>
      </c>
      <c r="J591" s="2">
        <v>19.873</v>
      </c>
      <c r="K591" s="2"/>
      <c r="L591" s="2"/>
    </row>
    <row r="592" ht="11.25" customHeight="1">
      <c r="A592" s="2" t="s">
        <v>620</v>
      </c>
      <c r="B592" s="2" t="s">
        <v>6783</v>
      </c>
      <c r="C592" s="26" t="s">
        <v>6784</v>
      </c>
      <c r="D592" s="2" t="s">
        <v>6785</v>
      </c>
      <c r="E592" s="70">
        <v>1.84959205376E11</v>
      </c>
      <c r="F592" s="6">
        <v>3948107.0</v>
      </c>
      <c r="G592" s="2">
        <v>0.0</v>
      </c>
      <c r="H592" s="13">
        <v>44412.0</v>
      </c>
      <c r="I592" s="2">
        <v>61.626755</v>
      </c>
      <c r="J592" s="2">
        <v>2.422</v>
      </c>
      <c r="K592" s="2"/>
      <c r="L592" s="2"/>
    </row>
    <row r="593" ht="11.25" customHeight="1">
      <c r="A593" s="2" t="s">
        <v>621</v>
      </c>
      <c r="B593" s="2" t="s">
        <v>6786</v>
      </c>
      <c r="C593" s="26" t="s">
        <v>6787</v>
      </c>
      <c r="D593" s="2" t="s">
        <v>6788</v>
      </c>
      <c r="E593" s="70">
        <v>1.1324423168E10</v>
      </c>
      <c r="F593" s="6">
        <v>3416452.0</v>
      </c>
      <c r="G593" s="2">
        <v>0.338</v>
      </c>
      <c r="H593" s="2" t="s">
        <v>733</v>
      </c>
      <c r="I593" s="2">
        <v>32.305786</v>
      </c>
      <c r="J593" s="2">
        <v>1.21</v>
      </c>
      <c r="K593" s="2"/>
      <c r="L593" s="2"/>
    </row>
    <row r="594" ht="11.25" customHeight="1">
      <c r="A594" s="2" t="s">
        <v>622</v>
      </c>
      <c r="B594" s="2" t="s">
        <v>6789</v>
      </c>
      <c r="C594" s="26" t="s">
        <v>6790</v>
      </c>
      <c r="D594" s="2" t="s">
        <v>6791</v>
      </c>
      <c r="E594" s="70">
        <v>1.53633905E10</v>
      </c>
      <c r="F594" s="6">
        <v>3.0560893E7</v>
      </c>
      <c r="G594" s="2">
        <v>0.031</v>
      </c>
      <c r="H594" s="2" t="s">
        <v>733</v>
      </c>
      <c r="I594" s="2" t="s">
        <v>5024</v>
      </c>
      <c r="J594" s="2" t="s">
        <v>5024</v>
      </c>
      <c r="K594" s="2"/>
      <c r="L594" s="2"/>
    </row>
    <row r="595" ht="11.25" customHeight="1">
      <c r="A595" s="2" t="s">
        <v>623</v>
      </c>
      <c r="B595" s="2" t="s">
        <v>6792</v>
      </c>
      <c r="C595" s="26" t="s">
        <v>6793</v>
      </c>
      <c r="D595" s="2" t="s">
        <v>6794</v>
      </c>
      <c r="E595" s="70">
        <v>9.598937088E9</v>
      </c>
      <c r="F595" s="6">
        <v>2706749.0</v>
      </c>
      <c r="G595" s="2">
        <v>0.4</v>
      </c>
      <c r="H595" s="2" t="s">
        <v>733</v>
      </c>
      <c r="I595" s="2">
        <v>45.512676</v>
      </c>
      <c r="J595" s="2">
        <v>0.907</v>
      </c>
      <c r="K595" s="2"/>
      <c r="L595" s="2"/>
    </row>
    <row r="596" ht="11.25" customHeight="1">
      <c r="A596" s="2" t="s">
        <v>624</v>
      </c>
      <c r="B596" s="2" t="s">
        <v>6795</v>
      </c>
      <c r="C596" s="26" t="s">
        <v>6796</v>
      </c>
      <c r="D596" s="2" t="s">
        <v>6797</v>
      </c>
      <c r="E596" s="70">
        <v>4.960249344E9</v>
      </c>
      <c r="F596" s="6">
        <v>2832153.0</v>
      </c>
      <c r="G596" s="2">
        <v>3.5</v>
      </c>
      <c r="H596" s="13">
        <v>44412.0</v>
      </c>
      <c r="I596" s="2" t="s">
        <v>5024</v>
      </c>
      <c r="J596" s="2">
        <v>-2.62</v>
      </c>
      <c r="K596" s="2"/>
      <c r="L596" s="2"/>
    </row>
    <row r="597" ht="11.25" customHeight="1">
      <c r="A597" s="2" t="s">
        <v>625</v>
      </c>
      <c r="B597" s="2" t="s">
        <v>6798</v>
      </c>
      <c r="C597" s="26" t="s">
        <v>6799</v>
      </c>
      <c r="D597" s="2" t="s">
        <v>6800</v>
      </c>
      <c r="E597" s="70">
        <v>2.0313106432E10</v>
      </c>
      <c r="F597" s="6">
        <v>1199236.0</v>
      </c>
      <c r="G597" s="2">
        <v>0.0</v>
      </c>
      <c r="H597" s="13">
        <v>44411.0</v>
      </c>
      <c r="I597" s="2">
        <v>45.285713</v>
      </c>
      <c r="J597" s="2">
        <v>1.75</v>
      </c>
      <c r="K597" s="2"/>
      <c r="L597" s="2"/>
    </row>
    <row r="598" ht="11.25" customHeight="1">
      <c r="A598" s="2" t="s">
        <v>626</v>
      </c>
      <c r="B598" s="2" t="s">
        <v>6801</v>
      </c>
      <c r="C598" s="26" t="s">
        <v>6802</v>
      </c>
      <c r="D598" s="2" t="s">
        <v>6803</v>
      </c>
      <c r="E598" s="70">
        <v>4.6376169472E10</v>
      </c>
      <c r="F598" s="6">
        <v>1012987.0</v>
      </c>
      <c r="G598" s="2">
        <v>6.96</v>
      </c>
      <c r="H598" s="13">
        <v>44406.0</v>
      </c>
      <c r="I598" s="2">
        <v>17.286005</v>
      </c>
      <c r="J598" s="2">
        <v>11.776</v>
      </c>
      <c r="K598" s="2"/>
      <c r="L598" s="2"/>
    </row>
    <row r="599" ht="11.25" customHeight="1">
      <c r="A599" s="2" t="s">
        <v>627</v>
      </c>
      <c r="B599" s="2" t="s">
        <v>6804</v>
      </c>
      <c r="C599" s="26" t="s">
        <v>6805</v>
      </c>
      <c r="D599" s="2" t="s">
        <v>6806</v>
      </c>
      <c r="E599" s="70">
        <v>3.912292352E10</v>
      </c>
      <c r="F599" s="6">
        <v>1119015.0</v>
      </c>
      <c r="G599" s="2">
        <v>3.43</v>
      </c>
      <c r="H599" s="13">
        <v>44397.0</v>
      </c>
      <c r="I599" s="2">
        <v>14.119508</v>
      </c>
      <c r="J599" s="2">
        <v>11.062</v>
      </c>
      <c r="K599" s="2"/>
      <c r="L599" s="2"/>
    </row>
    <row r="600" ht="11.25" customHeight="1">
      <c r="A600" s="2" t="s">
        <v>628</v>
      </c>
      <c r="B600" s="2" t="s">
        <v>6807</v>
      </c>
      <c r="C600" s="26" t="s">
        <v>6808</v>
      </c>
      <c r="D600" s="2" t="s">
        <v>6809</v>
      </c>
      <c r="E600" s="70">
        <v>2.177992704E10</v>
      </c>
      <c r="F600" s="6">
        <v>1005988.0</v>
      </c>
      <c r="G600" s="2">
        <v>1.83999999999999</v>
      </c>
      <c r="H600" s="13">
        <v>44396.0</v>
      </c>
      <c r="I600" s="2">
        <v>26.27701</v>
      </c>
      <c r="J600" s="2">
        <v>7.22</v>
      </c>
      <c r="K600" s="2"/>
      <c r="L600" s="2"/>
    </row>
    <row r="601" ht="11.25" customHeight="1">
      <c r="A601" s="2" t="s">
        <v>629</v>
      </c>
      <c r="B601" s="2" t="s">
        <v>6810</v>
      </c>
      <c r="C601" s="26" t="s">
        <v>6811</v>
      </c>
      <c r="D601" s="2" t="s">
        <v>6812</v>
      </c>
      <c r="E601" s="70">
        <v>6.26742460416E11</v>
      </c>
      <c r="F601" s="6">
        <v>2.7316044E7</v>
      </c>
      <c r="G601" s="2">
        <v>0.0</v>
      </c>
      <c r="H601" s="13">
        <v>44397.0</v>
      </c>
      <c r="I601" s="2">
        <v>644.0581</v>
      </c>
      <c r="J601" s="2">
        <v>0.998</v>
      </c>
      <c r="K601" s="2"/>
      <c r="L601" s="2"/>
    </row>
    <row r="602" ht="11.25" customHeight="1">
      <c r="A602" s="2" t="s">
        <v>630</v>
      </c>
      <c r="B602" s="2" t="s">
        <v>6813</v>
      </c>
      <c r="C602" s="26" t="s">
        <v>6814</v>
      </c>
      <c r="D602" s="2" t="s">
        <v>6815</v>
      </c>
      <c r="E602" s="70">
        <v>2.618047488E10</v>
      </c>
      <c r="F602" s="6">
        <v>1757838.0</v>
      </c>
      <c r="G602" s="2">
        <v>1.755</v>
      </c>
      <c r="H602" s="13">
        <v>44410.0</v>
      </c>
      <c r="I602" s="2">
        <v>12.304251</v>
      </c>
      <c r="J602" s="2">
        <v>5.811</v>
      </c>
      <c r="K602" s="2"/>
      <c r="L602" s="2"/>
    </row>
    <row r="603" ht="11.25" customHeight="1">
      <c r="A603" s="2" t="s">
        <v>631</v>
      </c>
      <c r="B603" s="2" t="s">
        <v>6816</v>
      </c>
      <c r="C603" s="26" t="s">
        <v>6817</v>
      </c>
      <c r="D603" s="2" t="s">
        <v>6818</v>
      </c>
      <c r="E603" s="70">
        <v>4.5961854976E10</v>
      </c>
      <c r="F603" s="6">
        <v>1077231.0</v>
      </c>
      <c r="G603" s="2">
        <v>2.24</v>
      </c>
      <c r="H603" s="13">
        <v>44404.0</v>
      </c>
      <c r="I603" s="2">
        <v>41.87024</v>
      </c>
      <c r="J603" s="2">
        <v>4.593</v>
      </c>
      <c r="K603" s="2"/>
      <c r="L603" s="2"/>
    </row>
    <row r="604" ht="11.25" customHeight="1">
      <c r="A604" s="2" t="s">
        <v>632</v>
      </c>
      <c r="B604" s="2" t="s">
        <v>6819</v>
      </c>
      <c r="C604" s="26" t="s">
        <v>6820</v>
      </c>
      <c r="D604" s="2" t="s">
        <v>6821</v>
      </c>
      <c r="E604" s="70">
        <v>3.4250897408E10</v>
      </c>
      <c r="F604" s="6">
        <v>9691058.0</v>
      </c>
      <c r="G604" s="2">
        <v>0.0</v>
      </c>
      <c r="H604" s="13">
        <v>44412.0</v>
      </c>
      <c r="I604" s="2">
        <v>144.46721</v>
      </c>
      <c r="J604" s="2">
        <v>0.488</v>
      </c>
      <c r="K604" s="2"/>
      <c r="L604" s="2"/>
    </row>
    <row r="605" ht="11.25" customHeight="1">
      <c r="A605" s="2" t="s">
        <v>633</v>
      </c>
      <c r="B605" s="2" t="s">
        <v>6822</v>
      </c>
      <c r="C605" s="26" t="s">
        <v>6823</v>
      </c>
      <c r="D605" s="2" t="s">
        <v>6824</v>
      </c>
      <c r="E605" s="70">
        <v>1.9544608768E10</v>
      </c>
      <c r="F605" s="6">
        <v>1265292.0</v>
      </c>
      <c r="G605" s="2">
        <v>0.0</v>
      </c>
      <c r="H605" s="13">
        <v>44410.0</v>
      </c>
      <c r="I605" s="2">
        <v>33.430256</v>
      </c>
      <c r="J605" s="2">
        <v>5.09</v>
      </c>
      <c r="K605" s="2"/>
      <c r="L605" s="2"/>
    </row>
    <row r="606" ht="11.25" customHeight="1">
      <c r="A606" s="2" t="s">
        <v>634</v>
      </c>
      <c r="B606" s="2" t="s">
        <v>6825</v>
      </c>
      <c r="C606" s="26" t="s">
        <v>6826</v>
      </c>
      <c r="D606" s="2" t="s">
        <v>6827</v>
      </c>
      <c r="E606" s="70">
        <v>6.325336064E10</v>
      </c>
      <c r="F606" s="6">
        <v>2009328.0</v>
      </c>
      <c r="G606" s="2">
        <v>0.0</v>
      </c>
      <c r="H606" s="13">
        <v>44410.0</v>
      </c>
      <c r="I606" s="2" t="s">
        <v>5024</v>
      </c>
      <c r="J606" s="2">
        <v>-3.922</v>
      </c>
      <c r="K606" s="2"/>
      <c r="L606" s="2"/>
    </row>
    <row r="607" ht="11.25" customHeight="1">
      <c r="A607" s="2" t="s">
        <v>635</v>
      </c>
      <c r="B607" s="2" t="s">
        <v>6828</v>
      </c>
      <c r="C607" s="26" t="s">
        <v>6829</v>
      </c>
      <c r="D607" s="2" t="s">
        <v>6830</v>
      </c>
      <c r="E607" s="70">
        <v>5.432850432E10</v>
      </c>
      <c r="F607" s="6">
        <v>1.662455E7</v>
      </c>
      <c r="G607" s="2">
        <v>0.0</v>
      </c>
      <c r="H607" s="13">
        <v>44399.0</v>
      </c>
      <c r="I607" s="2" t="s">
        <v>5024</v>
      </c>
      <c r="J607" s="2">
        <v>-1.338</v>
      </c>
      <c r="K607" s="2"/>
      <c r="L607" s="2"/>
    </row>
    <row r="608" ht="11.25" customHeight="1">
      <c r="A608" s="2" t="s">
        <v>636</v>
      </c>
      <c r="B608" s="2" t="s">
        <v>6831</v>
      </c>
      <c r="C608" s="26" t="s">
        <v>6832</v>
      </c>
      <c r="D608" s="2" t="s">
        <v>6833</v>
      </c>
      <c r="E608" s="70">
        <v>1.73862617088E11</v>
      </c>
      <c r="F608" s="6">
        <v>4099382.0</v>
      </c>
      <c r="G608" s="2">
        <v>3.96</v>
      </c>
      <c r="H608" s="13">
        <v>44398.0</v>
      </c>
      <c r="I608" s="2">
        <v>28.200819</v>
      </c>
      <c r="J608" s="2">
        <v>6.603</v>
      </c>
      <c r="K608" s="2"/>
      <c r="L608" s="2"/>
    </row>
    <row r="609" ht="11.25" customHeight="1">
      <c r="A609" s="2" t="s">
        <v>637</v>
      </c>
      <c r="B609" s="2" t="s">
        <v>6834</v>
      </c>
      <c r="C609" s="26" t="s">
        <v>6835</v>
      </c>
      <c r="D609" s="2" t="s">
        <v>6836</v>
      </c>
      <c r="E609" s="70">
        <v>1.5099931648E10</v>
      </c>
      <c r="F609" s="6">
        <v>1243080.0</v>
      </c>
      <c r="G609" s="2">
        <v>0.08</v>
      </c>
      <c r="H609" s="13">
        <v>44406.0</v>
      </c>
      <c r="I609" s="2">
        <v>35.266098</v>
      </c>
      <c r="J609" s="2">
        <v>1.879</v>
      </c>
      <c r="K609" s="2"/>
      <c r="L609" s="2"/>
    </row>
    <row r="610" ht="11.25" customHeight="1">
      <c r="A610" s="2" t="s">
        <v>638</v>
      </c>
      <c r="B610" s="2" t="s">
        <v>6837</v>
      </c>
      <c r="C610" s="26" t="s">
        <v>6838</v>
      </c>
      <c r="D610" s="2" t="s">
        <v>6839</v>
      </c>
      <c r="E610" s="70">
        <v>1.9371251712E10</v>
      </c>
      <c r="F610" s="6">
        <v>237266.0</v>
      </c>
      <c r="G610" s="2">
        <v>0.0</v>
      </c>
      <c r="H610" s="13">
        <v>44404.0</v>
      </c>
      <c r="I610" s="2">
        <v>107.89814</v>
      </c>
      <c r="J610" s="2">
        <v>4.408</v>
      </c>
      <c r="K610" s="2"/>
      <c r="L610" s="2"/>
    </row>
    <row r="611" ht="11.25" customHeight="1">
      <c r="A611" s="2" t="s">
        <v>639</v>
      </c>
      <c r="B611" s="2" t="s">
        <v>6840</v>
      </c>
      <c r="C611" s="26" t="s">
        <v>6841</v>
      </c>
      <c r="D611" s="2" t="s">
        <v>6842</v>
      </c>
      <c r="E611" s="70">
        <v>8.654717952E9</v>
      </c>
      <c r="F611" s="6">
        <v>3436633.0</v>
      </c>
      <c r="G611" s="2">
        <v>0.0</v>
      </c>
      <c r="H611" s="2" t="s">
        <v>733</v>
      </c>
      <c r="I611" s="2">
        <v>66.24031</v>
      </c>
      <c r="J611" s="2">
        <v>0.258</v>
      </c>
      <c r="K611" s="2"/>
      <c r="L611" s="2"/>
    </row>
    <row r="612" ht="11.25" customHeight="1">
      <c r="A612" s="2" t="s">
        <v>640</v>
      </c>
      <c r="B612" s="2" t="s">
        <v>6840</v>
      </c>
      <c r="C612" s="26" t="s">
        <v>6843</v>
      </c>
      <c r="D612" s="2" t="s">
        <v>6842</v>
      </c>
      <c r="E612" s="70">
        <v>8.623235072E9</v>
      </c>
      <c r="F612" s="6">
        <v>5087244.0</v>
      </c>
      <c r="G612" s="2">
        <v>0.0</v>
      </c>
      <c r="H612" s="13">
        <v>44406.0</v>
      </c>
      <c r="I612" s="2">
        <v>74.57365</v>
      </c>
      <c r="J612" s="2">
        <v>0.258</v>
      </c>
      <c r="K612" s="2"/>
      <c r="L612" s="2"/>
    </row>
    <row r="613" ht="11.25" customHeight="1">
      <c r="A613" s="2" t="s">
        <v>641</v>
      </c>
      <c r="B613" s="2" t="s">
        <v>6844</v>
      </c>
      <c r="C613" s="26" t="s">
        <v>6845</v>
      </c>
      <c r="D613" s="2" t="s">
        <v>6846</v>
      </c>
      <c r="E613" s="70">
        <v>1.5439480832E10</v>
      </c>
      <c r="F613" s="6">
        <v>1.285093E7</v>
      </c>
      <c r="G613" s="2">
        <v>0.0</v>
      </c>
      <c r="H613" s="13">
        <v>44396.0</v>
      </c>
      <c r="I613" s="2" t="s">
        <v>5024</v>
      </c>
      <c r="J613" s="2">
        <v>-22.677</v>
      </c>
      <c r="K613" s="2"/>
      <c r="L613" s="2"/>
    </row>
    <row r="614" ht="11.25" customHeight="1">
      <c r="A614" s="2" t="s">
        <v>642</v>
      </c>
      <c r="B614" s="2" t="s">
        <v>6847</v>
      </c>
      <c r="C614" s="26" t="s">
        <v>6848</v>
      </c>
      <c r="D614" s="2" t="s">
        <v>6849</v>
      </c>
      <c r="E614" s="70">
        <v>8.7175831552E10</v>
      </c>
      <c r="F614" s="6">
        <v>2.0517795E7</v>
      </c>
      <c r="G614" s="2">
        <v>0.0</v>
      </c>
      <c r="H614" s="13">
        <v>44412.0</v>
      </c>
      <c r="I614" s="2" t="s">
        <v>5024</v>
      </c>
      <c r="J614" s="2">
        <v>-2.209</v>
      </c>
      <c r="K614" s="2"/>
      <c r="L614" s="2"/>
    </row>
    <row r="615" ht="11.25" customHeight="1">
      <c r="A615" s="2" t="s">
        <v>643</v>
      </c>
      <c r="B615" s="2" t="s">
        <v>6850</v>
      </c>
      <c r="C615" s="26" t="s">
        <v>6851</v>
      </c>
      <c r="D615" s="2" t="s">
        <v>6852</v>
      </c>
      <c r="E615" s="70">
        <v>1.5664616448E10</v>
      </c>
      <c r="F615" s="6">
        <v>1867871.0</v>
      </c>
      <c r="G615" s="2">
        <v>1.4455</v>
      </c>
      <c r="H615" s="13">
        <v>44405.0</v>
      </c>
      <c r="I615" s="2">
        <v>271.78574</v>
      </c>
      <c r="J615" s="2">
        <v>0.196</v>
      </c>
      <c r="K615" s="2"/>
      <c r="L615" s="2"/>
    </row>
    <row r="616" ht="11.25" customHeight="1">
      <c r="A616" s="2" t="s">
        <v>644</v>
      </c>
      <c r="B616" s="2" t="s">
        <v>6853</v>
      </c>
      <c r="C616" s="26" t="s">
        <v>6854</v>
      </c>
      <c r="D616" s="2" t="s">
        <v>6855</v>
      </c>
      <c r="E616" s="70">
        <v>1.3052029952E10</v>
      </c>
      <c r="F616" s="6">
        <v>681109.0</v>
      </c>
      <c r="G616" s="2">
        <v>0.4</v>
      </c>
      <c r="H616" s="13">
        <v>44403.0</v>
      </c>
      <c r="I616" s="2">
        <v>12.859141</v>
      </c>
      <c r="J616" s="2">
        <v>11.792</v>
      </c>
      <c r="K616" s="2"/>
      <c r="L616" s="2"/>
    </row>
    <row r="617" ht="11.25" customHeight="1">
      <c r="A617" s="2" t="s">
        <v>645</v>
      </c>
      <c r="B617" s="2" t="s">
        <v>6856</v>
      </c>
      <c r="C617" s="26" t="s">
        <v>6857</v>
      </c>
      <c r="D617" s="2" t="s">
        <v>6858</v>
      </c>
      <c r="E617" s="70">
        <v>1.8670698496E10</v>
      </c>
      <c r="F617" s="6">
        <v>685003.0</v>
      </c>
      <c r="G617" s="2">
        <v>0.0</v>
      </c>
      <c r="H617" s="2" t="s">
        <v>733</v>
      </c>
      <c r="I617" s="2">
        <v>38.70541</v>
      </c>
      <c r="J617" s="2">
        <v>8.578</v>
      </c>
      <c r="K617" s="2"/>
      <c r="L617" s="2"/>
    </row>
    <row r="618" ht="11.25" customHeight="1">
      <c r="A618" s="2" t="s">
        <v>646</v>
      </c>
      <c r="B618" s="2" t="s">
        <v>6859</v>
      </c>
      <c r="C618" s="26" t="s">
        <v>6860</v>
      </c>
      <c r="D618" s="2" t="s">
        <v>6861</v>
      </c>
      <c r="E618" s="70">
        <v>3.9640203264E11</v>
      </c>
      <c r="F618" s="6">
        <v>2991544.0</v>
      </c>
      <c r="G618" s="2">
        <v>5.2</v>
      </c>
      <c r="H618" s="2" t="s">
        <v>733</v>
      </c>
      <c r="I618" s="2">
        <v>23.918015</v>
      </c>
      <c r="J618" s="2">
        <v>17.588</v>
      </c>
      <c r="K618" s="2"/>
      <c r="L618" s="2"/>
    </row>
    <row r="619" ht="11.25" customHeight="1">
      <c r="A619" s="2" t="s">
        <v>647</v>
      </c>
      <c r="B619" s="2" t="s">
        <v>6862</v>
      </c>
      <c r="C619" s="26" t="s">
        <v>6863</v>
      </c>
      <c r="D619" s="2" t="s">
        <v>6864</v>
      </c>
      <c r="E619" s="70">
        <v>5.635009024E9</v>
      </c>
      <c r="F619" s="6">
        <v>1740939.0</v>
      </c>
      <c r="G619" s="2">
        <v>1.14</v>
      </c>
      <c r="H619" s="13">
        <v>44411.0</v>
      </c>
      <c r="I619" s="2">
        <v>7.009613</v>
      </c>
      <c r="J619" s="2">
        <v>3.849</v>
      </c>
      <c r="K619" s="2"/>
      <c r="L619" s="2"/>
    </row>
    <row r="620" ht="11.25" customHeight="1">
      <c r="A620" s="2" t="s">
        <v>648</v>
      </c>
      <c r="B620" s="2" t="s">
        <v>6865</v>
      </c>
      <c r="C620" s="26" t="s">
        <v>6866</v>
      </c>
      <c r="D620" s="2" t="s">
        <v>6867</v>
      </c>
      <c r="E620" s="70">
        <v>1.46106793984E11</v>
      </c>
      <c r="F620" s="6">
        <v>2742280.0</v>
      </c>
      <c r="G620" s="2">
        <v>3.97999999999999</v>
      </c>
      <c r="H620" s="13">
        <v>44399.0</v>
      </c>
      <c r="I620" s="2">
        <v>28.296879</v>
      </c>
      <c r="J620" s="2">
        <v>7.727</v>
      </c>
      <c r="K620" s="2"/>
      <c r="L620" s="2"/>
    </row>
    <row r="621" ht="11.25" customHeight="1">
      <c r="A621" s="2" t="s">
        <v>649</v>
      </c>
      <c r="B621" s="2" t="s">
        <v>6868</v>
      </c>
      <c r="C621" s="26" t="s">
        <v>6869</v>
      </c>
      <c r="D621" s="2" t="s">
        <v>6870</v>
      </c>
      <c r="E621" s="70">
        <v>1.8530164736E11</v>
      </c>
      <c r="F621" s="6">
        <v>3549526.0</v>
      </c>
      <c r="G621" s="2">
        <v>4.06</v>
      </c>
      <c r="H621" s="13">
        <v>44404.0</v>
      </c>
      <c r="I621" s="2">
        <v>35.57075</v>
      </c>
      <c r="J621" s="2">
        <v>5.922</v>
      </c>
      <c r="K621" s="2"/>
      <c r="L621" s="2"/>
    </row>
    <row r="622" ht="11.25" customHeight="1">
      <c r="A622" s="2" t="s">
        <v>650</v>
      </c>
      <c r="B622" s="2" t="s">
        <v>6871</v>
      </c>
      <c r="C622" s="26" t="s">
        <v>6872</v>
      </c>
      <c r="D622" s="2" t="s">
        <v>6873</v>
      </c>
      <c r="E622" s="70">
        <v>8.697096192E9</v>
      </c>
      <c r="F622" s="6">
        <v>4514517.0</v>
      </c>
      <c r="G622" s="2">
        <v>0.0</v>
      </c>
      <c r="H622" s="2" t="s">
        <v>733</v>
      </c>
      <c r="I622" s="2">
        <v>406.60623</v>
      </c>
      <c r="J622" s="2">
        <v>0.274</v>
      </c>
      <c r="K622" s="2"/>
      <c r="L622" s="2"/>
    </row>
    <row r="623" ht="11.25" customHeight="1">
      <c r="A623" s="2" t="s">
        <v>651</v>
      </c>
      <c r="B623" s="2" t="s">
        <v>6874</v>
      </c>
      <c r="C623" s="26" t="s">
        <v>6875</v>
      </c>
      <c r="D623" s="2" t="s">
        <v>6876</v>
      </c>
      <c r="E623" s="70">
        <v>2.2778109952E10</v>
      </c>
      <c r="F623" s="6">
        <v>737885.0</v>
      </c>
      <c r="G623" s="2">
        <v>0.0</v>
      </c>
      <c r="H623" s="13">
        <v>44404.0</v>
      </c>
      <c r="I623" s="2">
        <v>24.137306</v>
      </c>
      <c r="J623" s="2">
        <v>12.687</v>
      </c>
      <c r="K623" s="2"/>
      <c r="L623" s="2"/>
    </row>
    <row r="624" ht="11.25" customHeight="1">
      <c r="A624" s="2" t="s">
        <v>652</v>
      </c>
      <c r="B624" s="2" t="s">
        <v>6877</v>
      </c>
      <c r="C624" s="26" t="s">
        <v>6878</v>
      </c>
      <c r="D624" s="2" t="s">
        <v>6879</v>
      </c>
      <c r="E624" s="70">
        <v>8.7622975488E10</v>
      </c>
      <c r="F624" s="6">
        <v>6267941.0</v>
      </c>
      <c r="G624" s="2">
        <v>1.68</v>
      </c>
      <c r="H624" s="2" t="s">
        <v>733</v>
      </c>
      <c r="I624" s="2">
        <v>15.093692</v>
      </c>
      <c r="J624" s="2">
        <v>3.789</v>
      </c>
      <c r="K624" s="2"/>
      <c r="L624" s="2"/>
    </row>
    <row r="625" ht="11.25" customHeight="1">
      <c r="A625" s="2" t="s">
        <v>653</v>
      </c>
      <c r="B625" s="2" t="s">
        <v>6880</v>
      </c>
      <c r="C625" s="26" t="s">
        <v>6881</v>
      </c>
      <c r="D625" s="2" t="s">
        <v>6882</v>
      </c>
      <c r="E625" s="70">
        <v>2.5418211E10</v>
      </c>
      <c r="F625" s="6">
        <v>2921239.0</v>
      </c>
      <c r="G625" s="2">
        <v>0.889</v>
      </c>
      <c r="H625" s="2" t="s">
        <v>733</v>
      </c>
      <c r="I625" s="2" t="s">
        <v>5024</v>
      </c>
      <c r="J625" s="2" t="s">
        <v>5024</v>
      </c>
      <c r="K625" s="2"/>
      <c r="L625" s="2"/>
    </row>
    <row r="626" ht="11.25" customHeight="1">
      <c r="A626" s="2" t="s">
        <v>654</v>
      </c>
      <c r="B626" s="2" t="s">
        <v>6883</v>
      </c>
      <c r="C626" s="26" t="s">
        <v>6884</v>
      </c>
      <c r="D626" s="2" t="s">
        <v>6885</v>
      </c>
      <c r="E626" s="70">
        <v>5.840664064E9</v>
      </c>
      <c r="F626" s="6">
        <v>5302100.0</v>
      </c>
      <c r="G626" s="2">
        <v>0.0</v>
      </c>
      <c r="H626" s="2" t="s">
        <v>733</v>
      </c>
      <c r="I626" s="2">
        <v>14.8472</v>
      </c>
      <c r="J626" s="2">
        <v>3.305</v>
      </c>
      <c r="K626" s="2"/>
      <c r="L626" s="2"/>
    </row>
    <row r="627" ht="11.25" customHeight="1">
      <c r="A627" s="2" t="s">
        <v>655</v>
      </c>
      <c r="B627" s="2" t="s">
        <v>6886</v>
      </c>
      <c r="C627" s="26" t="s">
        <v>6887</v>
      </c>
      <c r="D627" s="2" t="s">
        <v>6888</v>
      </c>
      <c r="E627" s="70">
        <v>5.46901950464E11</v>
      </c>
      <c r="F627" s="6">
        <v>6776042.0</v>
      </c>
      <c r="G627" s="2">
        <v>1.26</v>
      </c>
      <c r="H627" s="13">
        <v>44404.0</v>
      </c>
      <c r="I627" s="2">
        <v>51.26912</v>
      </c>
      <c r="J627" s="2">
        <v>4.838</v>
      </c>
      <c r="K627" s="2"/>
      <c r="L627" s="2"/>
    </row>
    <row r="628" ht="11.25" customHeight="1">
      <c r="A628" s="2" t="s">
        <v>656</v>
      </c>
      <c r="B628" s="2" t="s">
        <v>6889</v>
      </c>
      <c r="C628" s="26" t="s">
        <v>6890</v>
      </c>
      <c r="D628" s="2" t="s">
        <v>6891</v>
      </c>
      <c r="E628" s="70">
        <v>3.76317645E9</v>
      </c>
      <c r="F628" s="6">
        <v>3050461.0</v>
      </c>
      <c r="G628" s="2">
        <v>2.398</v>
      </c>
      <c r="H628" s="2" t="s">
        <v>733</v>
      </c>
      <c r="I628" s="2" t="s">
        <v>5024</v>
      </c>
      <c r="J628" s="2" t="s">
        <v>5024</v>
      </c>
      <c r="K628" s="2"/>
      <c r="L628" s="2"/>
    </row>
    <row r="629" ht="11.25" customHeight="1">
      <c r="A629" s="2" t="s">
        <v>657</v>
      </c>
      <c r="B629" s="2" t="s">
        <v>6892</v>
      </c>
      <c r="C629" s="26" t="s">
        <v>6893</v>
      </c>
      <c r="D629" s="2" t="s">
        <v>6894</v>
      </c>
      <c r="E629" s="70">
        <v>2.3879823559E10</v>
      </c>
      <c r="F629" s="6">
        <v>2661887.0</v>
      </c>
      <c r="G629" s="2">
        <v>1.513</v>
      </c>
      <c r="H629" s="2" t="s">
        <v>733</v>
      </c>
      <c r="I629" s="2" t="s">
        <v>5024</v>
      </c>
      <c r="J629" s="2" t="s">
        <v>5024</v>
      </c>
      <c r="K629" s="2"/>
      <c r="L629" s="2"/>
    </row>
    <row r="630" ht="11.25" customHeight="1">
      <c r="A630" s="2" t="s">
        <v>658</v>
      </c>
      <c r="B630" s="2" t="s">
        <v>6895</v>
      </c>
      <c r="C630" s="26" t="s">
        <v>6896</v>
      </c>
      <c r="D630" s="2" t="s">
        <v>6897</v>
      </c>
      <c r="E630" s="70">
        <v>7.2401444965E10</v>
      </c>
      <c r="F630" s="6">
        <v>7973571.0</v>
      </c>
      <c r="G630" s="2">
        <v>0.867</v>
      </c>
      <c r="H630" s="2" t="s">
        <v>733</v>
      </c>
      <c r="I630" s="2" t="s">
        <v>5024</v>
      </c>
      <c r="J630" s="2" t="s">
        <v>5024</v>
      </c>
      <c r="K630" s="2"/>
      <c r="L630" s="2"/>
    </row>
    <row r="631" ht="11.25" customHeight="1">
      <c r="A631" s="2" t="s">
        <v>659</v>
      </c>
      <c r="B631" s="2" t="s">
        <v>6898</v>
      </c>
      <c r="C631" s="26" t="s">
        <v>6899</v>
      </c>
      <c r="D631" s="2" t="s">
        <v>6900</v>
      </c>
      <c r="E631" s="70">
        <v>1.1021152256E10</v>
      </c>
      <c r="F631" s="6">
        <v>2214557.0</v>
      </c>
      <c r="G631" s="2">
        <v>1.694</v>
      </c>
      <c r="H631" s="13">
        <v>44412.0</v>
      </c>
      <c r="I631" s="2">
        <v>54.544434</v>
      </c>
      <c r="J631" s="2">
        <v>0.889</v>
      </c>
      <c r="K631" s="2"/>
      <c r="L631" s="2"/>
    </row>
    <row r="632" ht="11.25" customHeight="1">
      <c r="A632" s="2" t="s">
        <v>660</v>
      </c>
      <c r="B632" s="2" t="s">
        <v>6901</v>
      </c>
      <c r="C632" s="26" t="s">
        <v>6902</v>
      </c>
      <c r="D632" s="2" t="s">
        <v>6903</v>
      </c>
      <c r="E632" s="70">
        <v>2.9152077824E10</v>
      </c>
      <c r="F632" s="6">
        <v>2058514.0</v>
      </c>
      <c r="G632" s="2">
        <v>0.958</v>
      </c>
      <c r="H632" s="2" t="s">
        <v>733</v>
      </c>
      <c r="I632" s="2">
        <v>3.3795846</v>
      </c>
      <c r="J632" s="2">
        <v>18.486</v>
      </c>
      <c r="K632" s="2"/>
      <c r="L632" s="2"/>
    </row>
    <row r="633" ht="11.25" customHeight="1">
      <c r="A633" s="2" t="s">
        <v>661</v>
      </c>
      <c r="B633" s="2" t="s">
        <v>6904</v>
      </c>
      <c r="C633" s="26" t="s">
        <v>6905</v>
      </c>
      <c r="D633" s="2" t="s">
        <v>6906</v>
      </c>
      <c r="E633" s="70">
        <v>3.1294314496E10</v>
      </c>
      <c r="F633" s="6">
        <v>2534334.0</v>
      </c>
      <c r="G633" s="2">
        <v>1.95</v>
      </c>
      <c r="H633" s="13">
        <v>44406.0</v>
      </c>
      <c r="I633" s="2">
        <v>74.07656</v>
      </c>
      <c r="J633" s="2">
        <v>1.045</v>
      </c>
      <c r="K633" s="2"/>
      <c r="L633" s="2"/>
    </row>
    <row r="634" ht="11.25" customHeight="1">
      <c r="A634" s="2" t="s">
        <v>662</v>
      </c>
      <c r="B634" s="2" t="s">
        <v>6907</v>
      </c>
      <c r="C634" s="26" t="s">
        <v>6908</v>
      </c>
      <c r="D634" s="2" t="s">
        <v>6909</v>
      </c>
      <c r="E634" s="70">
        <v>1.8987677696E10</v>
      </c>
      <c r="F634" s="6">
        <v>4560352.0</v>
      </c>
      <c r="G634" s="2">
        <v>1.33</v>
      </c>
      <c r="H634" s="2" t="s">
        <v>733</v>
      </c>
      <c r="I634" s="2" t="s">
        <v>5024</v>
      </c>
      <c r="J634" s="2">
        <v>-6.747</v>
      </c>
      <c r="K634" s="2"/>
      <c r="L634" s="2"/>
    </row>
    <row r="635" ht="11.25" customHeight="1">
      <c r="A635" s="2" t="s">
        <v>663</v>
      </c>
      <c r="B635" s="2" t="s">
        <v>6910</v>
      </c>
      <c r="C635" s="26" t="s">
        <v>6911</v>
      </c>
      <c r="D635" s="2" t="s">
        <v>6912</v>
      </c>
      <c r="E635" s="70">
        <v>2.6815875072E10</v>
      </c>
      <c r="F635" s="6">
        <v>2.248315E7</v>
      </c>
      <c r="G635" s="2">
        <v>0.96</v>
      </c>
      <c r="H635" s="13">
        <v>44413.0</v>
      </c>
      <c r="I635" s="2">
        <v>8.8673</v>
      </c>
      <c r="J635" s="2">
        <v>4.529</v>
      </c>
      <c r="K635" s="2"/>
      <c r="L635" s="2"/>
    </row>
    <row r="636" ht="11.25" customHeight="1">
      <c r="A636" s="2" t="s">
        <v>664</v>
      </c>
      <c r="B636" s="2" t="s">
        <v>6913</v>
      </c>
      <c r="C636" s="26" t="s">
        <v>6914</v>
      </c>
      <c r="D636" s="2" t="s">
        <v>6915</v>
      </c>
      <c r="E636" s="70">
        <v>1.6847039488E10</v>
      </c>
      <c r="F636" s="6">
        <v>4427849.0</v>
      </c>
      <c r="G636" s="2">
        <v>1.32</v>
      </c>
      <c r="H636" s="13">
        <v>44405.0</v>
      </c>
      <c r="I636" s="2">
        <v>13.953592</v>
      </c>
      <c r="J636" s="2">
        <v>2.241</v>
      </c>
      <c r="K636" s="2"/>
      <c r="L636" s="2"/>
    </row>
    <row r="637" ht="11.25" customHeight="1">
      <c r="A637" s="2" t="s">
        <v>665</v>
      </c>
      <c r="B637" s="2" t="s">
        <v>6916</v>
      </c>
      <c r="C637" s="26" t="s">
        <v>6917</v>
      </c>
      <c r="D637" s="2" t="s">
        <v>6918</v>
      </c>
      <c r="E637" s="70">
        <v>2.7305168896E10</v>
      </c>
      <c r="F637" s="6">
        <v>3949425.0</v>
      </c>
      <c r="G637" s="2">
        <v>3.92</v>
      </c>
      <c r="H637" s="13">
        <v>44406.0</v>
      </c>
      <c r="I637" s="2" t="s">
        <v>5024</v>
      </c>
      <c r="J637" s="2">
        <v>-0.686</v>
      </c>
      <c r="K637" s="2"/>
      <c r="L637" s="2"/>
    </row>
    <row r="638" ht="11.25" customHeight="1">
      <c r="A638" s="2" t="s">
        <v>666</v>
      </c>
      <c r="B638" s="2" t="s">
        <v>6919</v>
      </c>
      <c r="C638" s="26" t="s">
        <v>6920</v>
      </c>
      <c r="D638" s="2" t="s">
        <v>6921</v>
      </c>
      <c r="E638" s="70">
        <v>2.3436599296E10</v>
      </c>
      <c r="F638" s="6">
        <v>800412.0</v>
      </c>
      <c r="G638" s="2">
        <v>1.42</v>
      </c>
      <c r="H638" s="13">
        <v>44410.0</v>
      </c>
      <c r="I638" s="2">
        <v>34.199455</v>
      </c>
      <c r="J638" s="2">
        <v>5.134</v>
      </c>
      <c r="K638" s="2"/>
      <c r="L638" s="2"/>
    </row>
    <row r="639" ht="11.25" customHeight="1">
      <c r="A639" s="2" t="s">
        <v>667</v>
      </c>
      <c r="B639" s="2" t="s">
        <v>6922</v>
      </c>
      <c r="C639" s="26" t="s">
        <v>6923</v>
      </c>
      <c r="D639" s="2" t="s">
        <v>6924</v>
      </c>
      <c r="E639" s="70">
        <v>8.709742592E9</v>
      </c>
      <c r="F639" s="6">
        <v>1446706.0</v>
      </c>
      <c r="G639" s="2">
        <v>2.12</v>
      </c>
      <c r="H639" s="13">
        <v>44410.0</v>
      </c>
      <c r="I639" s="2" t="s">
        <v>5024</v>
      </c>
      <c r="J639" s="2">
        <v>-1.839</v>
      </c>
      <c r="K639" s="2"/>
      <c r="L639" s="2"/>
    </row>
    <row r="640" ht="11.25" customHeight="1">
      <c r="A640" s="2" t="s">
        <v>668</v>
      </c>
      <c r="B640" s="2" t="s">
        <v>6925</v>
      </c>
      <c r="C640" s="26" t="s">
        <v>6926</v>
      </c>
      <c r="D640" s="2" t="s">
        <v>6927</v>
      </c>
      <c r="E640" s="70">
        <v>3.9009673216E10</v>
      </c>
      <c r="F640" s="6">
        <v>4331261.0</v>
      </c>
      <c r="G640" s="2">
        <v>2.454</v>
      </c>
      <c r="H640" s="2" t="s">
        <v>733</v>
      </c>
      <c r="I640" s="2" t="s">
        <v>5024</v>
      </c>
      <c r="J640" s="2">
        <v>-5.095</v>
      </c>
      <c r="K640" s="2"/>
      <c r="L640" s="2"/>
    </row>
    <row r="641" ht="11.25" customHeight="1">
      <c r="A641" s="2" t="s">
        <v>669</v>
      </c>
      <c r="B641" s="2" t="s">
        <v>6928</v>
      </c>
      <c r="C641" s="26" t="s">
        <v>6929</v>
      </c>
      <c r="D641" s="2" t="s">
        <v>6930</v>
      </c>
      <c r="E641" s="70">
        <v>1.1115311858E11</v>
      </c>
      <c r="F641" s="6">
        <v>3864152.0</v>
      </c>
      <c r="G641" s="2">
        <v>3.955</v>
      </c>
      <c r="H641" s="2" t="s">
        <v>733</v>
      </c>
      <c r="I641" s="2">
        <v>8.278006</v>
      </c>
      <c r="J641" s="2">
        <v>47.92</v>
      </c>
      <c r="K641" s="2"/>
      <c r="L641" s="2"/>
    </row>
    <row r="642" ht="11.25" customHeight="1">
      <c r="A642" s="2" t="s">
        <v>670</v>
      </c>
      <c r="B642" s="2" t="s">
        <v>6931</v>
      </c>
      <c r="C642" s="26" t="s">
        <v>6932</v>
      </c>
      <c r="D642" s="2" t="s">
        <v>6933</v>
      </c>
      <c r="E642" s="70">
        <v>5.254920192E9</v>
      </c>
      <c r="F642" s="6">
        <v>2207022.0</v>
      </c>
      <c r="G642" s="2">
        <v>0.0</v>
      </c>
      <c r="H642" s="2" t="s">
        <v>733</v>
      </c>
      <c r="I642" s="2" t="s">
        <v>5024</v>
      </c>
      <c r="J642" s="2">
        <v>-2.273</v>
      </c>
      <c r="K642" s="2"/>
      <c r="L642" s="2"/>
    </row>
    <row r="643" ht="11.25" customHeight="1">
      <c r="A643" s="2" t="s">
        <v>671</v>
      </c>
      <c r="B643" s="2" t="s">
        <v>6934</v>
      </c>
      <c r="C643" s="26" t="s">
        <v>6935</v>
      </c>
      <c r="D643" s="2" t="s">
        <v>6936</v>
      </c>
      <c r="E643" s="70">
        <v>2.994793472E10</v>
      </c>
      <c r="F643" s="6">
        <v>848826.0</v>
      </c>
      <c r="G643" s="2">
        <v>1.12</v>
      </c>
      <c r="H643" s="13">
        <v>44410.0</v>
      </c>
      <c r="I643" s="2">
        <v>43.588367</v>
      </c>
      <c r="J643" s="2">
        <v>4.3</v>
      </c>
      <c r="K643" s="2"/>
      <c r="L643" s="2"/>
    </row>
    <row r="644" ht="11.25" customHeight="1">
      <c r="A644" s="2" t="s">
        <v>672</v>
      </c>
      <c r="B644" s="2" t="s">
        <v>6937</v>
      </c>
      <c r="C644" s="26" t="s">
        <v>6938</v>
      </c>
      <c r="D644" s="2" t="s">
        <v>6939</v>
      </c>
      <c r="E644" s="70">
        <v>2.58134016E10</v>
      </c>
      <c r="F644" s="6">
        <v>532133.0</v>
      </c>
      <c r="G644" s="2">
        <v>0.0</v>
      </c>
      <c r="H644" s="13">
        <v>44399.0</v>
      </c>
      <c r="I644" s="2">
        <v>41.69656</v>
      </c>
      <c r="J644" s="2">
        <v>5.523</v>
      </c>
      <c r="K644" s="2"/>
      <c r="L644" s="2"/>
    </row>
    <row r="645" ht="11.25" customHeight="1">
      <c r="A645" s="2" t="s">
        <v>673</v>
      </c>
      <c r="B645" s="2" t="s">
        <v>6940</v>
      </c>
      <c r="C645" s="26" t="s">
        <v>6941</v>
      </c>
      <c r="D645" s="2" t="s">
        <v>6942</v>
      </c>
      <c r="E645" s="70">
        <v>9.329964032E9</v>
      </c>
      <c r="F645" s="6">
        <v>2670582.0</v>
      </c>
      <c r="G645" s="2">
        <v>0.01</v>
      </c>
      <c r="H645" s="13">
        <v>44411.0</v>
      </c>
      <c r="I645" s="2" t="s">
        <v>5024</v>
      </c>
      <c r="J645" s="2">
        <v>-0.261</v>
      </c>
      <c r="K645" s="2"/>
      <c r="L645" s="2"/>
    </row>
    <row r="646" ht="11.25" customHeight="1">
      <c r="A646" s="2" t="s">
        <v>674</v>
      </c>
      <c r="B646" s="2" t="s">
        <v>6943</v>
      </c>
      <c r="C646" s="26" t="s">
        <v>6944</v>
      </c>
      <c r="D646" s="2" t="s">
        <v>6945</v>
      </c>
      <c r="E646" s="70">
        <v>5.1796496384E10</v>
      </c>
      <c r="F646" s="6">
        <v>2104306.0</v>
      </c>
      <c r="G646" s="2">
        <v>0.0</v>
      </c>
      <c r="H646" s="13">
        <v>44405.0</v>
      </c>
      <c r="I646" s="2">
        <v>19.252691</v>
      </c>
      <c r="J646" s="2">
        <v>10.491</v>
      </c>
      <c r="K646" s="2"/>
      <c r="L646" s="2"/>
    </row>
    <row r="647" ht="11.25" customHeight="1">
      <c r="A647" s="2" t="s">
        <v>675</v>
      </c>
      <c r="B647" s="2" t="s">
        <v>6946</v>
      </c>
      <c r="C647" s="26" t="s">
        <v>6947</v>
      </c>
      <c r="D647" s="2" t="s">
        <v>6948</v>
      </c>
      <c r="E647" s="70">
        <v>1.2971533757E10</v>
      </c>
      <c r="F647" s="6">
        <v>2041220.0</v>
      </c>
      <c r="G647" s="2">
        <v>1.208</v>
      </c>
      <c r="H647" s="2" t="s">
        <v>733</v>
      </c>
      <c r="I647" s="2" t="s">
        <v>5024</v>
      </c>
      <c r="J647" s="2" t="s">
        <v>5024</v>
      </c>
      <c r="K647" s="2"/>
      <c r="L647" s="2"/>
    </row>
    <row r="648" ht="11.25" customHeight="1">
      <c r="A648" s="2" t="s">
        <v>676</v>
      </c>
      <c r="B648" s="2" t="s">
        <v>6949</v>
      </c>
      <c r="C648" s="26" t="s">
        <v>6950</v>
      </c>
      <c r="D648" s="2" t="s">
        <v>6951</v>
      </c>
      <c r="E648" s="70">
        <v>4.64824336384E11</v>
      </c>
      <c r="F648" s="6">
        <v>3648087.0</v>
      </c>
      <c r="G648" s="2">
        <v>2.128</v>
      </c>
      <c r="H648" s="2" t="s">
        <v>733</v>
      </c>
      <c r="I648" s="2">
        <v>10.562625</v>
      </c>
      <c r="J648" s="2">
        <v>21.062</v>
      </c>
      <c r="K648" s="2"/>
      <c r="L648" s="2"/>
    </row>
    <row r="649" ht="11.25" customHeight="1">
      <c r="A649" s="2" t="s">
        <v>677</v>
      </c>
      <c r="B649" s="2" t="s">
        <v>6952</v>
      </c>
      <c r="C649" s="26" t="s">
        <v>6953</v>
      </c>
      <c r="D649" s="2" t="s">
        <v>6954</v>
      </c>
      <c r="E649" s="70">
        <v>6.096952141E9</v>
      </c>
      <c r="F649" s="6">
        <v>2292352.0</v>
      </c>
      <c r="G649" s="2">
        <v>1.188</v>
      </c>
      <c r="H649" s="2" t="s">
        <v>733</v>
      </c>
      <c r="I649" s="2" t="s">
        <v>5024</v>
      </c>
      <c r="J649" s="2" t="s">
        <v>5024</v>
      </c>
      <c r="K649" s="2"/>
      <c r="L649" s="2"/>
    </row>
    <row r="650" ht="11.25" customHeight="1">
      <c r="A650" s="2" t="s">
        <v>678</v>
      </c>
      <c r="B650" s="2" t="s">
        <v>6955</v>
      </c>
      <c r="C650" s="26" t="s">
        <v>6956</v>
      </c>
      <c r="D650" s="2" t="s">
        <v>6957</v>
      </c>
      <c r="E650" s="70">
        <v>2.225299456E10</v>
      </c>
      <c r="F650" s="6">
        <v>2280593.0</v>
      </c>
      <c r="G650" s="2">
        <v>1.8</v>
      </c>
      <c r="H650" s="13">
        <v>44413.0</v>
      </c>
      <c r="I650" s="2" t="s">
        <v>5024</v>
      </c>
      <c r="J650" s="2">
        <v>-0.244</v>
      </c>
      <c r="K650" s="2"/>
      <c r="L650" s="2"/>
    </row>
    <row r="651" ht="11.25" customHeight="1">
      <c r="A651" s="2" t="s">
        <v>679</v>
      </c>
      <c r="B651" s="2" t="s">
        <v>6958</v>
      </c>
      <c r="C651" s="26" t="s">
        <v>6959</v>
      </c>
      <c r="D651" s="2" t="s">
        <v>6960</v>
      </c>
      <c r="E651" s="70">
        <v>1.6776200192E10</v>
      </c>
      <c r="F651" s="6">
        <v>8392806.0</v>
      </c>
      <c r="G651" s="2">
        <v>0.11</v>
      </c>
      <c r="H651" s="2" t="s">
        <v>733</v>
      </c>
      <c r="I651" s="2" t="s">
        <v>5024</v>
      </c>
      <c r="J651" s="2">
        <v>-2.233</v>
      </c>
      <c r="K651" s="2"/>
      <c r="L651" s="2"/>
    </row>
    <row r="652" ht="11.25" customHeight="1">
      <c r="A652" s="2" t="s">
        <v>680</v>
      </c>
      <c r="B652" s="2" t="s">
        <v>6961</v>
      </c>
      <c r="C652" s="26" t="s">
        <v>6962</v>
      </c>
      <c r="D652" s="2" t="s">
        <v>6963</v>
      </c>
      <c r="E652" s="70">
        <v>5.856360448E10</v>
      </c>
      <c r="F652" s="6">
        <v>2836896.0</v>
      </c>
      <c r="G652" s="2">
        <v>2.211</v>
      </c>
      <c r="H652" s="2" t="s">
        <v>733</v>
      </c>
      <c r="I652" s="2">
        <v>69.477684</v>
      </c>
      <c r="J652" s="2">
        <v>1.972</v>
      </c>
      <c r="K652" s="2"/>
      <c r="L652" s="2"/>
    </row>
    <row r="653" ht="11.25" customHeight="1">
      <c r="A653" s="2" t="s">
        <v>681</v>
      </c>
      <c r="B653" s="2" t="s">
        <v>6964</v>
      </c>
      <c r="C653" s="26" t="s">
        <v>6965</v>
      </c>
      <c r="D653" s="2" t="s">
        <v>6966</v>
      </c>
      <c r="E653" s="70">
        <v>7.5656699904E10</v>
      </c>
      <c r="F653" s="6">
        <v>8036250.0</v>
      </c>
      <c r="G653" s="2">
        <v>0.794999999999999</v>
      </c>
      <c r="H653" s="2" t="s">
        <v>733</v>
      </c>
      <c r="I653" s="2">
        <v>3.4421751</v>
      </c>
      <c r="J653" s="2">
        <v>15.374</v>
      </c>
      <c r="K653" s="2"/>
      <c r="L653" s="2"/>
    </row>
    <row r="654" ht="11.25" customHeight="1">
      <c r="A654" s="2" t="s">
        <v>682</v>
      </c>
      <c r="B654" s="2" t="s">
        <v>6967</v>
      </c>
      <c r="C654" s="26" t="s">
        <v>6968</v>
      </c>
      <c r="D654" s="2" t="s">
        <v>6969</v>
      </c>
      <c r="E654" s="70">
        <v>1.2294335907E10</v>
      </c>
      <c r="F654" s="6">
        <v>2850890.0</v>
      </c>
      <c r="G654" s="2">
        <v>1.599</v>
      </c>
      <c r="H654" s="2" t="s">
        <v>733</v>
      </c>
      <c r="I654" s="2" t="s">
        <v>5024</v>
      </c>
      <c r="J654" s="2" t="s">
        <v>5024</v>
      </c>
      <c r="K654" s="2"/>
      <c r="L654" s="2"/>
    </row>
    <row r="655" ht="11.25" customHeight="1">
      <c r="A655" s="2" t="s">
        <v>683</v>
      </c>
      <c r="B655" s="2" t="s">
        <v>6970</v>
      </c>
      <c r="C655" s="26" t="s">
        <v>6971</v>
      </c>
      <c r="D655" s="2" t="s">
        <v>6972</v>
      </c>
      <c r="E655" s="70">
        <v>2.34120953856E11</v>
      </c>
      <c r="F655" s="6">
        <v>1.6246242E7</v>
      </c>
      <c r="G655" s="2">
        <v>2.511</v>
      </c>
      <c r="H655" s="13">
        <v>44398.0</v>
      </c>
      <c r="I655" s="2">
        <v>12.3922415</v>
      </c>
      <c r="J655" s="2">
        <v>4.562</v>
      </c>
      <c r="K655" s="2"/>
      <c r="L655" s="2"/>
    </row>
    <row r="656" ht="11.25" customHeight="1">
      <c r="A656" s="2" t="s">
        <v>684</v>
      </c>
      <c r="B656" s="2" t="s">
        <v>6973</v>
      </c>
      <c r="C656" s="26" t="s">
        <v>6974</v>
      </c>
      <c r="D656" s="2" t="s">
        <v>6975</v>
      </c>
      <c r="E656" s="70">
        <v>1.55658752E10</v>
      </c>
      <c r="F656" s="6">
        <v>1215473.0</v>
      </c>
      <c r="G656" s="2">
        <v>0.48</v>
      </c>
      <c r="H656" s="13">
        <v>44406.0</v>
      </c>
      <c r="I656" s="2">
        <v>37.396885</v>
      </c>
      <c r="J656" s="2">
        <v>2.182</v>
      </c>
      <c r="K656" s="2"/>
      <c r="L656" s="2"/>
    </row>
    <row r="657" ht="11.25" customHeight="1">
      <c r="A657" s="2" t="s">
        <v>685</v>
      </c>
      <c r="B657" s="2" t="s">
        <v>6976</v>
      </c>
      <c r="C657" s="26" t="s">
        <v>6977</v>
      </c>
      <c r="D657" s="2" t="s">
        <v>6978</v>
      </c>
      <c r="E657" s="70">
        <v>2.2968629248E10</v>
      </c>
      <c r="F657" s="6">
        <v>408233.0</v>
      </c>
      <c r="G657" s="2">
        <v>0.0</v>
      </c>
      <c r="H657" s="13">
        <v>44403.0</v>
      </c>
      <c r="I657" s="2">
        <v>37.596962</v>
      </c>
      <c r="J657" s="2">
        <v>9.875</v>
      </c>
      <c r="K657" s="2"/>
      <c r="L657" s="2"/>
    </row>
    <row r="658" ht="11.25" customHeight="1">
      <c r="A658" s="2" t="s">
        <v>686</v>
      </c>
      <c r="B658" s="2" t="s">
        <v>6979</v>
      </c>
      <c r="C658" s="26" t="s">
        <v>6980</v>
      </c>
      <c r="D658" s="2" t="s">
        <v>6981</v>
      </c>
      <c r="E658" s="70">
        <v>4.0005648384E10</v>
      </c>
      <c r="F658" s="6">
        <v>5573965.0</v>
      </c>
      <c r="G658" s="2">
        <v>1.8715</v>
      </c>
      <c r="H658" s="2" t="s">
        <v>733</v>
      </c>
      <c r="I658" s="2">
        <v>17.390661</v>
      </c>
      <c r="J658" s="2">
        <v>2.645</v>
      </c>
      <c r="K658" s="2"/>
      <c r="L658" s="2"/>
    </row>
    <row r="659" ht="11.25" customHeight="1">
      <c r="A659" s="2" t="s">
        <v>687</v>
      </c>
      <c r="B659" s="2" t="s">
        <v>6982</v>
      </c>
      <c r="C659" s="26" t="s">
        <v>6983</v>
      </c>
      <c r="D659" s="2" t="s">
        <v>6984</v>
      </c>
      <c r="E659" s="70">
        <v>5.648889856E10</v>
      </c>
      <c r="F659" s="6">
        <v>1554144.0</v>
      </c>
      <c r="G659" s="2">
        <v>0.0</v>
      </c>
      <c r="H659" s="2" t="s">
        <v>733</v>
      </c>
      <c r="I659" s="2" t="s">
        <v>5024</v>
      </c>
      <c r="J659" s="2">
        <v>-0.712</v>
      </c>
      <c r="K659" s="2"/>
      <c r="L659" s="2"/>
    </row>
    <row r="660" ht="11.25" customHeight="1">
      <c r="A660" s="2" t="s">
        <v>688</v>
      </c>
      <c r="B660" s="2" t="s">
        <v>6985</v>
      </c>
      <c r="C660" s="26" t="s">
        <v>6986</v>
      </c>
      <c r="D660" s="2" t="s">
        <v>6987</v>
      </c>
      <c r="E660" s="70">
        <v>2.050477056E10</v>
      </c>
      <c r="F660" s="6">
        <v>4033873.0</v>
      </c>
      <c r="G660" s="2">
        <v>0.5</v>
      </c>
      <c r="H660" s="13">
        <v>44411.0</v>
      </c>
      <c r="I660" s="2">
        <v>56.027996</v>
      </c>
      <c r="J660" s="2">
        <v>1.143</v>
      </c>
      <c r="K660" s="2"/>
      <c r="L660" s="2"/>
    </row>
    <row r="661" ht="11.25" customHeight="1">
      <c r="A661" s="2" t="s">
        <v>689</v>
      </c>
      <c r="B661" s="2" t="s">
        <v>6988</v>
      </c>
      <c r="C661" s="26" t="s">
        <v>6989</v>
      </c>
      <c r="D661" s="2" t="s">
        <v>6990</v>
      </c>
      <c r="E661" s="70">
        <v>2.988746752E10</v>
      </c>
      <c r="F661" s="6">
        <v>1176412.0</v>
      </c>
      <c r="G661" s="2">
        <v>2.6215</v>
      </c>
      <c r="H661" s="13">
        <v>44410.0</v>
      </c>
      <c r="I661" s="2">
        <v>24.167044</v>
      </c>
      <c r="J661" s="2">
        <v>3.969</v>
      </c>
      <c r="K661" s="2"/>
      <c r="L661" s="2"/>
    </row>
    <row r="662" ht="11.25" customHeight="1">
      <c r="A662" s="2" t="s">
        <v>690</v>
      </c>
      <c r="B662" s="2" t="s">
        <v>6991</v>
      </c>
      <c r="C662" s="26" t="s">
        <v>6992</v>
      </c>
      <c r="D662" s="2" t="s">
        <v>6993</v>
      </c>
      <c r="E662" s="70">
        <v>3.6992360448E10</v>
      </c>
      <c r="F662" s="6">
        <v>1989944.0</v>
      </c>
      <c r="G662" s="2">
        <v>2.44</v>
      </c>
      <c r="H662" s="13">
        <v>44411.0</v>
      </c>
      <c r="I662" s="2">
        <v>51.190067</v>
      </c>
      <c r="J662" s="2">
        <v>1.752</v>
      </c>
      <c r="K662" s="2"/>
      <c r="L662" s="2"/>
    </row>
    <row r="663" ht="11.25" customHeight="1">
      <c r="A663" s="2" t="s">
        <v>691</v>
      </c>
      <c r="B663" s="2" t="s">
        <v>6994</v>
      </c>
      <c r="C663" s="26" t="s">
        <v>6995</v>
      </c>
      <c r="D663" s="2" t="s">
        <v>6996</v>
      </c>
      <c r="E663" s="70">
        <v>1.86010648576E11</v>
      </c>
      <c r="F663" s="6">
        <v>2.7713728E7</v>
      </c>
      <c r="G663" s="2">
        <v>0.4</v>
      </c>
      <c r="H663" s="2" t="s">
        <v>733</v>
      </c>
      <c r="I663" s="2">
        <v>11.817086</v>
      </c>
      <c r="J663" s="2">
        <v>3.734</v>
      </c>
      <c r="K663" s="2"/>
      <c r="L663" s="2"/>
    </row>
    <row r="664" ht="11.25" customHeight="1">
      <c r="A664" s="2" t="s">
        <v>692</v>
      </c>
      <c r="B664" s="2" t="s">
        <v>6997</v>
      </c>
      <c r="C664" s="26" t="s">
        <v>6998</v>
      </c>
      <c r="D664" s="2" t="s">
        <v>6999</v>
      </c>
      <c r="E664" s="70">
        <v>1.396219904E10</v>
      </c>
      <c r="F664" s="6">
        <v>617395.0</v>
      </c>
      <c r="G664" s="2">
        <v>5.1</v>
      </c>
      <c r="H664" s="13">
        <v>44398.0</v>
      </c>
      <c r="I664" s="2">
        <v>10.271972</v>
      </c>
      <c r="J664" s="2">
        <v>21.436</v>
      </c>
      <c r="K664" s="2"/>
      <c r="L664" s="2"/>
    </row>
    <row r="665" ht="11.25" customHeight="1">
      <c r="A665" s="2" t="s">
        <v>693</v>
      </c>
      <c r="B665" s="2" t="s">
        <v>7000</v>
      </c>
      <c r="C665" s="26" t="s">
        <v>7001</v>
      </c>
      <c r="D665" s="2" t="s">
        <v>7002</v>
      </c>
      <c r="E665" s="70">
        <v>2.8621287424E10</v>
      </c>
      <c r="F665" s="6">
        <v>1062134.0</v>
      </c>
      <c r="G665" s="2">
        <v>2.81</v>
      </c>
      <c r="H665" s="13">
        <v>44405.0</v>
      </c>
      <c r="I665" s="2">
        <v>20.300732</v>
      </c>
      <c r="J665" s="2">
        <v>10.94</v>
      </c>
      <c r="K665" s="2"/>
      <c r="L665" s="2"/>
    </row>
    <row r="666" ht="11.25" customHeight="1">
      <c r="A666" s="2" t="s">
        <v>694</v>
      </c>
      <c r="B666" s="2" t="s">
        <v>7003</v>
      </c>
      <c r="C666" s="26" t="s">
        <v>7004</v>
      </c>
      <c r="D666" s="2" t="s">
        <v>7005</v>
      </c>
      <c r="E666" s="70">
        <v>6.1360381952E10</v>
      </c>
      <c r="F666" s="6">
        <v>1318400.0</v>
      </c>
      <c r="G666" s="2">
        <v>2.23999999999999</v>
      </c>
      <c r="H666" s="13">
        <v>44404.0</v>
      </c>
      <c r="I666" s="2">
        <v>40.00273</v>
      </c>
      <c r="J666" s="2">
        <v>3.66</v>
      </c>
      <c r="K666" s="2"/>
      <c r="L666" s="2"/>
    </row>
    <row r="667" ht="11.25" customHeight="1">
      <c r="A667" s="2" t="s">
        <v>695</v>
      </c>
      <c r="B667" s="2" t="s">
        <v>7006</v>
      </c>
      <c r="C667" s="26" t="s">
        <v>7007</v>
      </c>
      <c r="D667" s="2" t="s">
        <v>7008</v>
      </c>
      <c r="E667" s="70">
        <v>3.1049263104E10</v>
      </c>
      <c r="F667" s="6">
        <v>7210269.0</v>
      </c>
      <c r="G667" s="2">
        <v>1.62</v>
      </c>
      <c r="H667" s="13">
        <v>44410.0</v>
      </c>
      <c r="I667" s="2">
        <v>26.650843</v>
      </c>
      <c r="J667" s="2">
        <v>0.948</v>
      </c>
      <c r="K667" s="2"/>
      <c r="L667" s="2"/>
    </row>
    <row r="668" ht="11.25" customHeight="1">
      <c r="A668" s="2" t="s">
        <v>696</v>
      </c>
      <c r="B668" s="2" t="s">
        <v>7009</v>
      </c>
      <c r="C668" s="26" t="s">
        <v>7010</v>
      </c>
      <c r="D668" s="2" t="s">
        <v>7011</v>
      </c>
      <c r="E668" s="70">
        <v>3.96952567808E11</v>
      </c>
      <c r="F668" s="6">
        <v>7758707.0</v>
      </c>
      <c r="G668" s="2">
        <v>2.18</v>
      </c>
      <c r="H668" s="2" t="s">
        <v>733</v>
      </c>
      <c r="I668" s="2">
        <v>32.82986</v>
      </c>
      <c r="J668" s="2">
        <v>4.32</v>
      </c>
      <c r="K668" s="2"/>
      <c r="L668" s="2"/>
    </row>
    <row r="669" ht="11.25" customHeight="1">
      <c r="A669" s="2" t="s">
        <v>697</v>
      </c>
      <c r="B669" s="2" t="s">
        <v>7012</v>
      </c>
      <c r="C669" s="26" t="s">
        <v>7013</v>
      </c>
      <c r="D669" s="2" t="s">
        <v>7014</v>
      </c>
      <c r="E669" s="70">
        <v>2.6149888E10</v>
      </c>
      <c r="F669" s="6">
        <v>4503707.0</v>
      </c>
      <c r="G669" s="2">
        <v>0.0</v>
      </c>
      <c r="H669" s="2" t="s">
        <v>733</v>
      </c>
      <c r="I669" s="2" t="s">
        <v>5024</v>
      </c>
      <c r="J669" s="2">
        <v>-0.442</v>
      </c>
      <c r="K669" s="2"/>
      <c r="L669" s="2"/>
    </row>
    <row r="670" ht="11.25" customHeight="1">
      <c r="A670" s="2" t="s">
        <v>698</v>
      </c>
      <c r="B670" s="2" t="s">
        <v>7015</v>
      </c>
      <c r="C670" s="26" t="s">
        <v>7016</v>
      </c>
      <c r="D670" s="2" t="s">
        <v>7017</v>
      </c>
      <c r="E670" s="70">
        <v>1.3564324864E10</v>
      </c>
      <c r="F670" s="6">
        <v>609115.0</v>
      </c>
      <c r="G670" s="2">
        <v>0.99</v>
      </c>
      <c r="H670" s="13">
        <v>44399.0</v>
      </c>
      <c r="I670" s="2">
        <v>18.878506</v>
      </c>
      <c r="J670" s="2">
        <v>4.066</v>
      </c>
      <c r="K670" s="2"/>
      <c r="L670" s="2"/>
    </row>
    <row r="671" ht="11.25" customHeight="1">
      <c r="A671" s="2" t="s">
        <v>699</v>
      </c>
      <c r="B671" s="2" t="s">
        <v>7018</v>
      </c>
      <c r="C671" s="26" t="s">
        <v>7019</v>
      </c>
      <c r="D671" s="2" t="s">
        <v>7020</v>
      </c>
      <c r="E671" s="70">
        <v>1.338297344E10</v>
      </c>
      <c r="F671" s="6">
        <v>1746733.0</v>
      </c>
      <c r="G671" s="2">
        <v>0.84</v>
      </c>
      <c r="H671" s="13">
        <v>44413.0</v>
      </c>
      <c r="I671" s="2" t="s">
        <v>5024</v>
      </c>
      <c r="J671" s="2">
        <v>-2.731</v>
      </c>
      <c r="K671" s="2"/>
      <c r="L671" s="2"/>
    </row>
    <row r="672" ht="11.25" customHeight="1">
      <c r="A672" s="2" t="s">
        <v>700</v>
      </c>
      <c r="B672" s="2" t="s">
        <v>7021</v>
      </c>
      <c r="C672" s="26" t="s">
        <v>7022</v>
      </c>
      <c r="D672" s="2" t="s">
        <v>7023</v>
      </c>
      <c r="E672" s="70">
        <v>6.379004416E9</v>
      </c>
      <c r="F672" s="6">
        <v>2011792.0</v>
      </c>
      <c r="G672" s="2">
        <v>0.0</v>
      </c>
      <c r="H672" s="2" t="s">
        <v>733</v>
      </c>
      <c r="I672" s="2" t="s">
        <v>5024</v>
      </c>
      <c r="J672" s="2">
        <v>-0.219</v>
      </c>
      <c r="K672" s="2"/>
      <c r="L672" s="2"/>
    </row>
    <row r="673" ht="11.25" customHeight="1">
      <c r="A673" s="2" t="s">
        <v>701</v>
      </c>
      <c r="B673" s="2" t="s">
        <v>7024</v>
      </c>
      <c r="C673" s="26" t="s">
        <v>7025</v>
      </c>
      <c r="D673" s="2" t="s">
        <v>7026</v>
      </c>
      <c r="E673" s="70">
        <v>2.745946112E10</v>
      </c>
      <c r="F673" s="6">
        <v>385855.0</v>
      </c>
      <c r="G673" s="2">
        <v>0.84</v>
      </c>
      <c r="H673" s="13">
        <v>44398.0</v>
      </c>
      <c r="I673" s="2">
        <v>67.26383</v>
      </c>
      <c r="J673" s="2">
        <v>5.568</v>
      </c>
      <c r="K673" s="2"/>
      <c r="L673" s="2"/>
    </row>
    <row r="674" ht="11.25" customHeight="1">
      <c r="A674" s="2" t="s">
        <v>702</v>
      </c>
      <c r="B674" s="2" t="s">
        <v>7027</v>
      </c>
      <c r="C674" s="26" t="s">
        <v>7028</v>
      </c>
      <c r="D674" s="2" t="s">
        <v>7029</v>
      </c>
      <c r="E674" s="70">
        <v>9.592866816E9</v>
      </c>
      <c r="F674" s="6">
        <v>4010396.0</v>
      </c>
      <c r="G674" s="2">
        <v>0.919999999999999</v>
      </c>
      <c r="H674" s="13">
        <v>44410.0</v>
      </c>
      <c r="I674" s="2">
        <v>12.986188</v>
      </c>
      <c r="J674" s="2">
        <v>1.81</v>
      </c>
      <c r="K674" s="2"/>
      <c r="L674" s="2"/>
    </row>
    <row r="675" ht="11.25" customHeight="1">
      <c r="A675" s="2" t="s">
        <v>703</v>
      </c>
      <c r="B675" s="2" t="s">
        <v>7030</v>
      </c>
      <c r="C675" s="26" t="s">
        <v>7031</v>
      </c>
      <c r="D675" s="2" t="s">
        <v>7032</v>
      </c>
      <c r="E675" s="70">
        <v>2.5945315328E10</v>
      </c>
      <c r="F675" s="6">
        <v>5663946.0</v>
      </c>
      <c r="G675" s="2">
        <v>0.51</v>
      </c>
      <c r="H675" s="13">
        <v>44407.0</v>
      </c>
      <c r="I675" s="2">
        <v>19.217785</v>
      </c>
      <c r="J675" s="2">
        <v>1.777</v>
      </c>
      <c r="K675" s="2"/>
      <c r="L675" s="2"/>
    </row>
    <row r="676" ht="11.25" customHeight="1">
      <c r="A676" s="2" t="s">
        <v>704</v>
      </c>
      <c r="B676" s="2" t="s">
        <v>7033</v>
      </c>
      <c r="C676" s="26" t="s">
        <v>7034</v>
      </c>
      <c r="D676" s="2" t="s">
        <v>7035</v>
      </c>
      <c r="E676" s="70">
        <v>1.2517665792E10</v>
      </c>
      <c r="F676" s="6">
        <v>2334793.0</v>
      </c>
      <c r="G676" s="2">
        <v>1.0</v>
      </c>
      <c r="H676" s="13">
        <v>44410.0</v>
      </c>
      <c r="I676" s="2" t="s">
        <v>5024</v>
      </c>
      <c r="J676" s="2">
        <v>-18.05</v>
      </c>
      <c r="K676" s="2"/>
      <c r="L676" s="2"/>
    </row>
    <row r="677" ht="11.25" customHeight="1">
      <c r="A677" s="2" t="s">
        <v>705</v>
      </c>
      <c r="B677" s="2" t="s">
        <v>7036</v>
      </c>
      <c r="C677" s="26" t="s">
        <v>7037</v>
      </c>
      <c r="D677" s="2" t="s">
        <v>7038</v>
      </c>
      <c r="E677" s="70">
        <v>4.33318E9</v>
      </c>
      <c r="F677" s="6">
        <v>6473134.0</v>
      </c>
      <c r="G677" s="2">
        <v>0.305</v>
      </c>
      <c r="H677" s="2" t="s">
        <v>733</v>
      </c>
      <c r="I677" s="2" t="s">
        <v>5024</v>
      </c>
      <c r="J677" s="2" t="s">
        <v>5024</v>
      </c>
      <c r="K677" s="2"/>
      <c r="L677" s="2"/>
    </row>
    <row r="678" ht="11.25" customHeight="1">
      <c r="A678" s="2" t="s">
        <v>706</v>
      </c>
      <c r="B678" s="2" t="s">
        <v>7039</v>
      </c>
      <c r="C678" s="26" t="s">
        <v>7040</v>
      </c>
      <c r="D678" s="2" t="s">
        <v>7041</v>
      </c>
      <c r="E678" s="70">
        <v>3.6985585664E10</v>
      </c>
      <c r="F678" s="6">
        <v>2694952.0</v>
      </c>
      <c r="G678" s="2">
        <v>1.77549999999999</v>
      </c>
      <c r="H678" s="13">
        <v>44405.0</v>
      </c>
      <c r="I678" s="2">
        <v>23.963436</v>
      </c>
      <c r="J678" s="2">
        <v>2.899</v>
      </c>
      <c r="K678" s="2"/>
      <c r="L678" s="2"/>
    </row>
    <row r="679" ht="11.25" customHeight="1">
      <c r="A679" s="2" t="s">
        <v>707</v>
      </c>
      <c r="B679" s="2" t="s">
        <v>7042</v>
      </c>
      <c r="C679" s="26" t="s">
        <v>7043</v>
      </c>
      <c r="D679" s="2" t="s">
        <v>7044</v>
      </c>
      <c r="E679" s="70">
        <v>5.921478144E9</v>
      </c>
      <c r="F679" s="6">
        <v>6999422.0</v>
      </c>
      <c r="G679" s="2">
        <v>0.995</v>
      </c>
      <c r="H679" s="2" t="s">
        <v>733</v>
      </c>
      <c r="I679" s="2">
        <v>3.1897638</v>
      </c>
      <c r="J679" s="2">
        <v>25.4</v>
      </c>
      <c r="K679" s="2"/>
      <c r="L679" s="2"/>
    </row>
    <row r="680" ht="11.25" customHeight="1">
      <c r="A680" s="2" t="s">
        <v>708</v>
      </c>
      <c r="B680" s="2" t="s">
        <v>7045</v>
      </c>
      <c r="C680" s="26" t="s">
        <v>7046</v>
      </c>
      <c r="D680" s="2" t="s">
        <v>7047</v>
      </c>
      <c r="E680" s="70">
        <v>0.0</v>
      </c>
      <c r="F680" s="6">
        <v>4071733.0</v>
      </c>
      <c r="G680" s="2">
        <v>0.364</v>
      </c>
      <c r="H680" s="2" t="s">
        <v>733</v>
      </c>
      <c r="I680" s="2" t="s">
        <v>5024</v>
      </c>
      <c r="J680" s="2" t="s">
        <v>5024</v>
      </c>
      <c r="K680" s="2"/>
      <c r="L680" s="2"/>
    </row>
    <row r="681" ht="11.25" customHeight="1">
      <c r="A681" s="2" t="s">
        <v>709</v>
      </c>
      <c r="B681" s="2" t="s">
        <v>7048</v>
      </c>
      <c r="C681" s="26" t="s">
        <v>7049</v>
      </c>
      <c r="D681" s="2" t="s">
        <v>7050</v>
      </c>
      <c r="E681" s="70">
        <v>9.33984256E9</v>
      </c>
      <c r="F681" s="6">
        <v>2.8778187E7</v>
      </c>
      <c r="G681" s="2">
        <v>1.584</v>
      </c>
      <c r="H681" s="2" t="s">
        <v>733</v>
      </c>
      <c r="I681" s="2">
        <v>3.040718</v>
      </c>
      <c r="J681" s="2">
        <v>15.988</v>
      </c>
      <c r="K681" s="2"/>
      <c r="L681" s="2"/>
    </row>
    <row r="682" ht="11.25" customHeight="1">
      <c r="A682" s="2" t="s">
        <v>710</v>
      </c>
      <c r="B682" s="2" t="s">
        <v>7051</v>
      </c>
      <c r="C682" s="26" t="s">
        <v>7052</v>
      </c>
      <c r="D682" s="2" t="s">
        <v>7053</v>
      </c>
      <c r="E682" s="70">
        <v>3.235175424E10</v>
      </c>
      <c r="F682" s="6">
        <v>5.2963203E7</v>
      </c>
      <c r="G682" s="2">
        <v>0.438</v>
      </c>
      <c r="H682" s="2" t="s">
        <v>733</v>
      </c>
      <c r="I682" s="2">
        <v>3.745844</v>
      </c>
      <c r="J682" s="2">
        <v>9.624</v>
      </c>
      <c r="K682" s="2"/>
      <c r="L682" s="2"/>
    </row>
    <row r="683" ht="11.25" customHeight="1">
      <c r="A683" s="2" t="s">
        <v>711</v>
      </c>
      <c r="B683" s="2" t="s">
        <v>7054</v>
      </c>
      <c r="C683" s="26" t="s">
        <v>7055</v>
      </c>
      <c r="D683" s="2" t="s">
        <v>7056</v>
      </c>
      <c r="E683" s="70">
        <v>1.4047885312E10</v>
      </c>
      <c r="F683" s="6">
        <v>1.2111874E7</v>
      </c>
      <c r="G683" s="2">
        <v>0.966999999999999</v>
      </c>
      <c r="H683" s="2" t="s">
        <v>733</v>
      </c>
      <c r="I683" s="2">
        <v>3.4977014</v>
      </c>
      <c r="J683" s="2">
        <v>29.152</v>
      </c>
      <c r="K683" s="2"/>
      <c r="L683" s="2"/>
    </row>
    <row r="684" ht="11.25" customHeight="1">
      <c r="A684" s="2" t="s">
        <v>712</v>
      </c>
      <c r="B684" s="2" t="s">
        <v>7057</v>
      </c>
      <c r="C684" s="26" t="s">
        <v>7058</v>
      </c>
      <c r="D684" s="2" t="s">
        <v>7059</v>
      </c>
      <c r="E684" s="70">
        <v>4.1298100224E10</v>
      </c>
      <c r="F684" s="6">
        <v>6779523.0</v>
      </c>
      <c r="G684" s="2">
        <v>1.077</v>
      </c>
      <c r="H684" s="2" t="s">
        <v>733</v>
      </c>
      <c r="I684" s="2">
        <v>2.7394617</v>
      </c>
      <c r="J684" s="2">
        <v>54.894</v>
      </c>
      <c r="K684" s="2"/>
      <c r="L684" s="2"/>
    </row>
    <row r="685" ht="11.25" customHeight="1">
      <c r="A685" s="2" t="s">
        <v>713</v>
      </c>
      <c r="B685" s="2" t="s">
        <v>7060</v>
      </c>
      <c r="C685" s="26" t="s">
        <v>7061</v>
      </c>
      <c r="D685" s="2" t="s">
        <v>7062</v>
      </c>
      <c r="E685" s="70">
        <v>3.189270528E10</v>
      </c>
      <c r="F685" s="6">
        <v>2058965.0</v>
      </c>
      <c r="G685" s="2">
        <v>0.76</v>
      </c>
      <c r="H685" s="13">
        <v>44405.0</v>
      </c>
      <c r="I685" s="2">
        <v>49.082066</v>
      </c>
      <c r="J685" s="2">
        <v>2.62</v>
      </c>
      <c r="K685" s="2"/>
      <c r="L685" s="2"/>
    </row>
    <row r="686" ht="11.25" customHeight="1">
      <c r="A686" s="2" t="s">
        <v>714</v>
      </c>
      <c r="B686" s="2" t="s">
        <v>7063</v>
      </c>
      <c r="C686" s="26" t="s">
        <v>7064</v>
      </c>
      <c r="D686" s="2" t="s">
        <v>7065</v>
      </c>
      <c r="E686" s="70">
        <v>1.490749952E10</v>
      </c>
      <c r="F686" s="6">
        <v>9905206.0</v>
      </c>
      <c r="G686" s="2">
        <v>1.298</v>
      </c>
      <c r="H686" s="2" t="s">
        <v>733</v>
      </c>
      <c r="I686" s="2">
        <v>3.4406312</v>
      </c>
      <c r="J686" s="2">
        <v>20.659</v>
      </c>
      <c r="K686" s="2"/>
      <c r="L686" s="2"/>
    </row>
    <row r="687" ht="11.25" customHeight="1">
      <c r="A687" s="2" t="s">
        <v>715</v>
      </c>
      <c r="B687" s="2" t="s">
        <v>7066</v>
      </c>
      <c r="C687" s="26" t="s">
        <v>7067</v>
      </c>
      <c r="D687" s="2" t="s">
        <v>7068</v>
      </c>
      <c r="E687" s="70">
        <v>3.11583E9</v>
      </c>
      <c r="F687" s="6">
        <v>4551766.0</v>
      </c>
      <c r="G687" s="2">
        <v>1.061</v>
      </c>
      <c r="H687" s="2" t="s">
        <v>733</v>
      </c>
      <c r="I687" s="2" t="s">
        <v>5024</v>
      </c>
      <c r="J687" s="2" t="s">
        <v>5024</v>
      </c>
      <c r="K687" s="2"/>
      <c r="L687" s="2"/>
    </row>
    <row r="688" ht="11.25" customHeight="1">
      <c r="A688" s="2" t="s">
        <v>716</v>
      </c>
      <c r="B688" s="2" t="s">
        <v>7069</v>
      </c>
      <c r="C688" s="26" t="s">
        <v>7070</v>
      </c>
      <c r="D688" s="2" t="s">
        <v>7071</v>
      </c>
      <c r="E688" s="70">
        <v>1.071240704E10</v>
      </c>
      <c r="F688" s="6">
        <v>1.0818082E7</v>
      </c>
      <c r="G688" s="2">
        <v>1.482</v>
      </c>
      <c r="H688" s="2" t="s">
        <v>733</v>
      </c>
      <c r="I688" s="2">
        <v>6.6519995</v>
      </c>
      <c r="J688" s="2">
        <v>10.0</v>
      </c>
      <c r="K688" s="2"/>
      <c r="L688" s="2"/>
    </row>
    <row r="689" ht="11.25" customHeight="1">
      <c r="A689" s="2" t="s">
        <v>717</v>
      </c>
      <c r="B689" s="2" t="s">
        <v>7072</v>
      </c>
      <c r="C689" s="26" t="s">
        <v>7073</v>
      </c>
      <c r="D689" s="2" t="s">
        <v>7074</v>
      </c>
      <c r="E689" s="70">
        <v>2.5324396544E10</v>
      </c>
      <c r="F689" s="6">
        <v>9168785.0</v>
      </c>
      <c r="G689" s="2">
        <v>1.28</v>
      </c>
      <c r="H689" s="2" t="s">
        <v>733</v>
      </c>
      <c r="I689" s="2">
        <v>4.1336713</v>
      </c>
      <c r="J689" s="2">
        <v>31.166</v>
      </c>
      <c r="K689" s="2"/>
      <c r="L689" s="2"/>
    </row>
    <row r="690" ht="11.25" customHeight="1">
      <c r="A690" s="2" t="s">
        <v>718</v>
      </c>
      <c r="B690" s="2" t="s">
        <v>7075</v>
      </c>
      <c r="C690" s="26" t="s">
        <v>7076</v>
      </c>
      <c r="D690" s="2" t="s">
        <v>7077</v>
      </c>
      <c r="E690" s="70">
        <v>2.1673197568E10</v>
      </c>
      <c r="F690" s="6">
        <v>3828352.0</v>
      </c>
      <c r="G690" s="2">
        <v>0.866</v>
      </c>
      <c r="H690" s="2" t="s">
        <v>733</v>
      </c>
      <c r="I690" s="2">
        <v>2.7463584</v>
      </c>
      <c r="J690" s="2">
        <v>64.875</v>
      </c>
      <c r="K690" s="2"/>
      <c r="L690" s="2"/>
    </row>
    <row r="691" ht="11.25" customHeight="1">
      <c r="A691" s="2" t="s">
        <v>719</v>
      </c>
      <c r="B691" s="2" t="s">
        <v>7078</v>
      </c>
      <c r="C691" s="26" t="s">
        <v>7079</v>
      </c>
      <c r="D691" s="2" t="s">
        <v>7080</v>
      </c>
      <c r="E691" s="70">
        <v>2.49567199232E11</v>
      </c>
      <c r="F691" s="6">
        <v>2.3627926E7</v>
      </c>
      <c r="G691" s="2">
        <v>3.48</v>
      </c>
      <c r="H691" s="13">
        <v>44407.0</v>
      </c>
      <c r="I691" s="2" t="s">
        <v>5024</v>
      </c>
      <c r="J691" s="2">
        <v>-4.471</v>
      </c>
      <c r="K691" s="2"/>
      <c r="L691" s="2"/>
    </row>
    <row r="692" ht="11.25" customHeight="1">
      <c r="A692" s="2" t="s">
        <v>720</v>
      </c>
      <c r="B692" s="2" t="s">
        <v>7081</v>
      </c>
      <c r="C692" s="26" t="s">
        <v>7082</v>
      </c>
      <c r="D692" s="2" t="s">
        <v>7083</v>
      </c>
      <c r="E692" s="70">
        <v>6.043259904E9</v>
      </c>
      <c r="F692" s="6">
        <v>6911820.0</v>
      </c>
      <c r="G692" s="2">
        <v>1.04</v>
      </c>
      <c r="H692" s="2" t="s">
        <v>733</v>
      </c>
      <c r="I692" s="2" t="s">
        <v>5024</v>
      </c>
      <c r="J692" s="2">
        <v>-26.076</v>
      </c>
      <c r="K692" s="2"/>
      <c r="L692" s="2"/>
    </row>
    <row r="693" ht="11.25" customHeight="1">
      <c r="A693" s="2" t="s">
        <v>721</v>
      </c>
      <c r="B693" s="2" t="s">
        <v>7084</v>
      </c>
      <c r="C693" s="26" t="s">
        <v>7085</v>
      </c>
      <c r="D693" s="2" t="s">
        <v>7086</v>
      </c>
      <c r="E693" s="70">
        <v>1.3492051968E10</v>
      </c>
      <c r="F693" s="6">
        <v>1382815.0</v>
      </c>
      <c r="G693" s="2">
        <v>0.41</v>
      </c>
      <c r="H693" s="13">
        <v>44413.0</v>
      </c>
      <c r="I693" s="2">
        <v>77.88437</v>
      </c>
      <c r="J693" s="2">
        <v>0.787</v>
      </c>
      <c r="K693" s="2"/>
      <c r="L693" s="2"/>
    </row>
    <row r="694" ht="11.25" customHeight="1">
      <c r="A694" s="2" t="s">
        <v>722</v>
      </c>
      <c r="B694" s="2" t="s">
        <v>7087</v>
      </c>
      <c r="C694" s="26" t="s">
        <v>7088</v>
      </c>
      <c r="D694" s="2" t="s">
        <v>7089</v>
      </c>
      <c r="E694" s="70">
        <v>2.160684032E10</v>
      </c>
      <c r="F694" s="6">
        <v>783147.0</v>
      </c>
      <c r="G694" s="2">
        <v>1.08</v>
      </c>
      <c r="H694" s="13">
        <v>44405.0</v>
      </c>
      <c r="I694" s="2">
        <v>71.49701</v>
      </c>
      <c r="J694" s="2">
        <v>1.67</v>
      </c>
      <c r="K694" s="2"/>
      <c r="L694" s="2"/>
    </row>
    <row r="695" ht="11.25" customHeight="1">
      <c r="A695" s="2" t="s">
        <v>723</v>
      </c>
      <c r="B695" s="2" t="s">
        <v>7090</v>
      </c>
      <c r="C695" s="26" t="s">
        <v>7091</v>
      </c>
      <c r="D695" s="2" t="s">
        <v>7092</v>
      </c>
      <c r="E695" s="70">
        <v>3.4851434496E10</v>
      </c>
      <c r="F695" s="6">
        <v>1540963.0</v>
      </c>
      <c r="G695" s="2">
        <v>1.94</v>
      </c>
      <c r="H695" s="13">
        <v>44406.0</v>
      </c>
      <c r="I695" s="2">
        <v>31.053757</v>
      </c>
      <c r="J695" s="2">
        <v>3.739</v>
      </c>
      <c r="K695" s="2"/>
      <c r="L695" s="2"/>
    </row>
    <row r="696" ht="11.25" customHeight="1">
      <c r="A696" s="2" t="s">
        <v>724</v>
      </c>
      <c r="B696" s="2" t="s">
        <v>7093</v>
      </c>
      <c r="C696" s="26" t="s">
        <v>7094</v>
      </c>
      <c r="D696" s="2" t="s">
        <v>7095</v>
      </c>
      <c r="E696" s="70">
        <v>2.6062084096E10</v>
      </c>
      <c r="F696" s="6">
        <v>3148853.0</v>
      </c>
      <c r="G696" s="2">
        <v>0.0</v>
      </c>
      <c r="H696" s="2" t="s">
        <v>733</v>
      </c>
      <c r="I696" s="2">
        <v>453.9738</v>
      </c>
      <c r="J696" s="2">
        <v>0.229</v>
      </c>
      <c r="K696" s="2"/>
      <c r="L696" s="2"/>
    </row>
    <row r="697" ht="11.25" customHeight="1">
      <c r="A697" s="2" t="s">
        <v>725</v>
      </c>
      <c r="B697" s="2" t="s">
        <v>7096</v>
      </c>
      <c r="C697" s="26" t="s">
        <v>7097</v>
      </c>
      <c r="D697" s="2" t="s">
        <v>7098</v>
      </c>
      <c r="E697" s="70">
        <v>3.1918596096E10</v>
      </c>
      <c r="F697" s="6">
        <v>1167655.0</v>
      </c>
      <c r="G697" s="2">
        <v>0.96</v>
      </c>
      <c r="H697" s="13">
        <v>44411.0</v>
      </c>
      <c r="I697" s="2">
        <v>56.430668</v>
      </c>
      <c r="J697" s="2">
        <v>2.726</v>
      </c>
      <c r="K697" s="2"/>
      <c r="L697" s="2"/>
    </row>
    <row r="698" ht="11.25" customHeight="1">
      <c r="A698" s="2" t="s">
        <v>726</v>
      </c>
      <c r="B698" s="2" t="s">
        <v>7099</v>
      </c>
      <c r="C698" s="26" t="s">
        <v>7100</v>
      </c>
      <c r="D698" s="2" t="s">
        <v>7101</v>
      </c>
      <c r="E698" s="70">
        <v>2.796607488E10</v>
      </c>
      <c r="F698" s="6">
        <v>269311.0</v>
      </c>
      <c r="G698" s="2">
        <v>0.0</v>
      </c>
      <c r="H698" s="13">
        <v>44411.0</v>
      </c>
      <c r="I698" s="2">
        <v>43.567177</v>
      </c>
      <c r="J698" s="2">
        <v>11.931</v>
      </c>
      <c r="K698" s="2"/>
      <c r="L698" s="2"/>
    </row>
    <row r="699" ht="11.25" customHeight="1">
      <c r="A699" s="2" t="s">
        <v>727</v>
      </c>
      <c r="B699" s="2" t="s">
        <v>7102</v>
      </c>
      <c r="C699" s="26" t="s">
        <v>7103</v>
      </c>
      <c r="D699" s="2" t="s">
        <v>7104</v>
      </c>
      <c r="E699" s="70">
        <v>8.464372224E9</v>
      </c>
      <c r="F699" s="6">
        <v>1306904.0</v>
      </c>
      <c r="G699" s="2">
        <v>1.36</v>
      </c>
      <c r="H699" s="13">
        <v>44396.0</v>
      </c>
      <c r="I699" s="2">
        <v>10.06607</v>
      </c>
      <c r="J699" s="2">
        <v>4.919</v>
      </c>
      <c r="K699" s="2"/>
      <c r="L699" s="2"/>
    </row>
    <row r="700" ht="11.25" customHeight="1">
      <c r="A700" s="2" t="s">
        <v>728</v>
      </c>
      <c r="B700" s="2" t="s">
        <v>7105</v>
      </c>
      <c r="C700" s="26" t="s">
        <v>7106</v>
      </c>
      <c r="D700" s="2" t="s">
        <v>7107</v>
      </c>
      <c r="E700" s="70">
        <v>1.051326464E11</v>
      </c>
      <c r="F700" s="6">
        <v>2981055.0</v>
      </c>
      <c r="G700" s="2">
        <v>0.0</v>
      </c>
      <c r="H700" s="2" t="s">
        <v>733</v>
      </c>
      <c r="I700" s="2">
        <v>124.77586</v>
      </c>
      <c r="J700" s="2">
        <v>2.9</v>
      </c>
      <c r="K700" s="2"/>
      <c r="L700" s="2"/>
    </row>
    <row r="701" ht="11.25" customHeight="1">
      <c r="A701" s="2" t="s">
        <v>729</v>
      </c>
      <c r="B701" s="2" t="s">
        <v>7108</v>
      </c>
      <c r="C701" s="26" t="s">
        <v>7109</v>
      </c>
      <c r="D701" s="2" t="s">
        <v>7110</v>
      </c>
      <c r="E701" s="70">
        <v>9.5067348992E10</v>
      </c>
      <c r="F701" s="6">
        <v>1785292.0</v>
      </c>
      <c r="G701" s="2">
        <v>1.15</v>
      </c>
      <c r="H701" s="13">
        <v>44413.0</v>
      </c>
      <c r="I701" s="2">
        <v>53.795174</v>
      </c>
      <c r="J701" s="2">
        <v>3.71</v>
      </c>
      <c r="K701" s="2"/>
      <c r="L701" s="2"/>
    </row>
    <row r="702">
      <c r="A702" s="8"/>
      <c r="B702" s="8"/>
      <c r="C702" s="8"/>
      <c r="D702" s="8"/>
      <c r="E702" s="71"/>
      <c r="F702" s="10"/>
      <c r="G702" s="8"/>
      <c r="H702" s="8"/>
      <c r="I702" s="8"/>
      <c r="J702" s="8"/>
      <c r="K702" s="8"/>
      <c r="L702" s="8"/>
    </row>
    <row r="703">
      <c r="A703" s="8"/>
      <c r="B703" s="8"/>
      <c r="C703" s="8"/>
      <c r="D703" s="8"/>
      <c r="E703" s="71"/>
      <c r="F703" s="10"/>
      <c r="G703" s="8"/>
      <c r="H703" s="8"/>
      <c r="I703" s="8"/>
      <c r="J703" s="8"/>
      <c r="K703" s="8"/>
      <c r="L703" s="8"/>
    </row>
    <row r="704">
      <c r="A704" s="8"/>
      <c r="B704" s="8"/>
      <c r="C704" s="8"/>
      <c r="D704" s="8"/>
      <c r="E704" s="71"/>
      <c r="F704" s="10"/>
      <c r="G704" s="8"/>
      <c r="H704" s="8"/>
      <c r="I704" s="8"/>
      <c r="J704" s="8"/>
      <c r="K704" s="8"/>
      <c r="L704" s="8"/>
    </row>
    <row r="705">
      <c r="A705" s="8"/>
      <c r="B705" s="8"/>
      <c r="C705" s="8"/>
      <c r="D705" s="8"/>
      <c r="E705" s="71"/>
      <c r="F705" s="10"/>
      <c r="G705" s="8"/>
      <c r="H705" s="8"/>
      <c r="I705" s="8"/>
      <c r="J705" s="8"/>
      <c r="K705" s="8"/>
      <c r="L705" s="8"/>
    </row>
    <row r="706">
      <c r="A706" s="8"/>
      <c r="B706" s="8"/>
      <c r="C706" s="8"/>
      <c r="D706" s="8"/>
      <c r="E706" s="71"/>
      <c r="F706" s="10"/>
      <c r="G706" s="8"/>
      <c r="H706" s="8"/>
      <c r="I706" s="8"/>
      <c r="J706" s="8"/>
      <c r="K706" s="8"/>
      <c r="L706" s="8"/>
    </row>
    <row r="707">
      <c r="A707" s="8"/>
      <c r="B707" s="8"/>
      <c r="C707" s="8"/>
      <c r="D707" s="8"/>
      <c r="E707" s="71"/>
      <c r="F707" s="10"/>
      <c r="G707" s="8"/>
      <c r="H707" s="8"/>
      <c r="I707" s="8"/>
      <c r="J707" s="8"/>
      <c r="K707" s="8"/>
      <c r="L707" s="8"/>
    </row>
    <row r="708">
      <c r="A708" s="8"/>
      <c r="B708" s="8"/>
      <c r="C708" s="8"/>
      <c r="D708" s="8"/>
      <c r="E708" s="71"/>
      <c r="F708" s="10"/>
      <c r="G708" s="8"/>
      <c r="H708" s="8"/>
      <c r="I708" s="8"/>
      <c r="J708" s="8"/>
      <c r="K708" s="8"/>
      <c r="L708" s="8"/>
    </row>
    <row r="709">
      <c r="A709" s="8"/>
      <c r="B709" s="8"/>
      <c r="C709" s="8"/>
      <c r="D709" s="8"/>
      <c r="E709" s="71"/>
      <c r="F709" s="10"/>
      <c r="G709" s="8"/>
      <c r="H709" s="8"/>
      <c r="I709" s="8"/>
      <c r="J709" s="8"/>
      <c r="K709" s="8"/>
      <c r="L709" s="8"/>
    </row>
    <row r="710">
      <c r="A710" s="8"/>
      <c r="B710" s="8"/>
      <c r="C710" s="8"/>
      <c r="D710" s="8"/>
      <c r="E710" s="71"/>
      <c r="F710" s="10"/>
      <c r="G710" s="8"/>
      <c r="H710" s="8"/>
      <c r="I710" s="8"/>
      <c r="J710" s="8"/>
      <c r="K710" s="8"/>
      <c r="L710" s="8"/>
    </row>
    <row r="711">
      <c r="A711" s="8"/>
      <c r="B711" s="8"/>
      <c r="C711" s="8"/>
      <c r="D711" s="8"/>
      <c r="E711" s="71"/>
      <c r="F711" s="10"/>
      <c r="G711" s="8"/>
      <c r="H711" s="8"/>
      <c r="I711" s="8"/>
      <c r="J711" s="8"/>
      <c r="K711" s="8"/>
      <c r="L711" s="8"/>
    </row>
    <row r="712">
      <c r="A712" s="8"/>
      <c r="B712" s="8"/>
      <c r="C712" s="8"/>
      <c r="D712" s="8"/>
      <c r="E712" s="71"/>
      <c r="F712" s="10"/>
      <c r="G712" s="8"/>
      <c r="H712" s="8"/>
      <c r="I712" s="8"/>
      <c r="J712" s="8"/>
      <c r="K712" s="8"/>
      <c r="L712" s="8"/>
    </row>
    <row r="713">
      <c r="A713" s="8"/>
      <c r="B713" s="8"/>
      <c r="C713" s="8"/>
      <c r="D713" s="8"/>
      <c r="E713" s="71"/>
      <c r="F713" s="10"/>
      <c r="G713" s="8"/>
      <c r="H713" s="8"/>
      <c r="I713" s="8"/>
      <c r="J713" s="8"/>
      <c r="K713" s="8"/>
      <c r="L713" s="8"/>
    </row>
    <row r="714">
      <c r="A714" s="8"/>
      <c r="B714" s="8"/>
      <c r="C714" s="8"/>
      <c r="D714" s="8"/>
      <c r="E714" s="71"/>
      <c r="F714" s="10"/>
      <c r="G714" s="8"/>
      <c r="H714" s="8"/>
      <c r="I714" s="8"/>
      <c r="J714" s="8"/>
      <c r="K714" s="8"/>
      <c r="L714" s="8"/>
    </row>
    <row r="715">
      <c r="A715" s="8"/>
      <c r="B715" s="8"/>
      <c r="C715" s="8"/>
      <c r="D715" s="8"/>
      <c r="E715" s="71"/>
      <c r="F715" s="10"/>
      <c r="G715" s="8"/>
      <c r="H715" s="8"/>
      <c r="I715" s="8"/>
      <c r="J715" s="8"/>
      <c r="K715" s="8"/>
      <c r="L715" s="8"/>
    </row>
    <row r="716">
      <c r="A716" s="8"/>
      <c r="B716" s="8"/>
      <c r="C716" s="8"/>
      <c r="D716" s="8"/>
      <c r="E716" s="71"/>
      <c r="F716" s="10"/>
      <c r="G716" s="8"/>
      <c r="H716" s="8"/>
      <c r="I716" s="8"/>
      <c r="J716" s="8"/>
      <c r="K716" s="8"/>
      <c r="L716" s="8"/>
    </row>
    <row r="717">
      <c r="A717" s="8"/>
      <c r="B717" s="8"/>
      <c r="C717" s="8"/>
      <c r="D717" s="8"/>
      <c r="E717" s="71"/>
      <c r="F717" s="10"/>
      <c r="G717" s="8"/>
      <c r="H717" s="8"/>
      <c r="I717" s="8"/>
      <c r="J717" s="8"/>
      <c r="K717" s="8"/>
      <c r="L717" s="8"/>
    </row>
    <row r="718">
      <c r="A718" s="8"/>
      <c r="B718" s="8"/>
      <c r="C718" s="8"/>
      <c r="D718" s="8"/>
      <c r="E718" s="71"/>
      <c r="F718" s="10"/>
      <c r="G718" s="8"/>
      <c r="H718" s="8"/>
      <c r="I718" s="8"/>
      <c r="J718" s="8"/>
      <c r="K718" s="8"/>
      <c r="L718" s="8"/>
    </row>
    <row r="719">
      <c r="A719" s="8"/>
      <c r="B719" s="8"/>
      <c r="C719" s="8"/>
      <c r="D719" s="8"/>
      <c r="E719" s="71"/>
      <c r="F719" s="10"/>
      <c r="G719" s="8"/>
      <c r="H719" s="8"/>
      <c r="I719" s="8"/>
      <c r="J719" s="8"/>
      <c r="K719" s="8"/>
      <c r="L719" s="8"/>
    </row>
    <row r="720">
      <c r="A720" s="8"/>
      <c r="B720" s="8"/>
      <c r="C720" s="8"/>
      <c r="D720" s="8"/>
      <c r="E720" s="71"/>
      <c r="F720" s="10"/>
      <c r="G720" s="8"/>
      <c r="H720" s="8"/>
      <c r="I720" s="8"/>
      <c r="J720" s="8"/>
      <c r="K720" s="8"/>
      <c r="L720" s="8"/>
    </row>
    <row r="721">
      <c r="A721" s="8"/>
      <c r="B721" s="8"/>
      <c r="C721" s="8"/>
      <c r="D721" s="8"/>
      <c r="E721" s="71"/>
      <c r="F721" s="10"/>
      <c r="G721" s="8"/>
      <c r="H721" s="8"/>
      <c r="I721" s="8"/>
      <c r="J721" s="8"/>
      <c r="K721" s="8"/>
      <c r="L721" s="8"/>
    </row>
    <row r="722">
      <c r="A722" s="8"/>
      <c r="B722" s="8"/>
      <c r="C722" s="8"/>
      <c r="D722" s="8"/>
      <c r="E722" s="71"/>
      <c r="F722" s="10"/>
      <c r="G722" s="8"/>
      <c r="H722" s="8"/>
      <c r="I722" s="8"/>
      <c r="J722" s="8"/>
      <c r="K722" s="8"/>
      <c r="L722" s="8"/>
    </row>
    <row r="723">
      <c r="A723" s="8"/>
      <c r="B723" s="8"/>
      <c r="C723" s="8"/>
      <c r="D723" s="8"/>
      <c r="E723" s="71"/>
      <c r="F723" s="10"/>
      <c r="G723" s="8"/>
      <c r="H723" s="8"/>
      <c r="I723" s="8"/>
      <c r="J723" s="8"/>
      <c r="K723" s="8"/>
      <c r="L723" s="8"/>
    </row>
    <row r="724">
      <c r="A724" s="8"/>
      <c r="B724" s="8"/>
      <c r="C724" s="8"/>
      <c r="D724" s="8"/>
      <c r="E724" s="71"/>
      <c r="F724" s="10"/>
      <c r="G724" s="8"/>
      <c r="H724" s="8"/>
      <c r="I724" s="8"/>
      <c r="J724" s="8"/>
      <c r="K724" s="8"/>
      <c r="L724" s="8"/>
    </row>
    <row r="725">
      <c r="A725" s="8"/>
      <c r="B725" s="8"/>
      <c r="C725" s="8"/>
      <c r="D725" s="8"/>
      <c r="E725" s="71"/>
      <c r="F725" s="10"/>
      <c r="G725" s="8"/>
      <c r="H725" s="8"/>
      <c r="I725" s="8"/>
      <c r="J725" s="8"/>
      <c r="K725" s="8"/>
      <c r="L725" s="8"/>
    </row>
    <row r="726">
      <c r="A726" s="8"/>
      <c r="B726" s="8"/>
      <c r="C726" s="8"/>
      <c r="D726" s="8"/>
      <c r="E726" s="71"/>
      <c r="F726" s="10"/>
      <c r="G726" s="8"/>
      <c r="H726" s="8"/>
      <c r="I726" s="8"/>
      <c r="J726" s="8"/>
      <c r="K726" s="8"/>
      <c r="L726" s="8"/>
    </row>
    <row r="727">
      <c r="A727" s="8"/>
      <c r="B727" s="8"/>
      <c r="C727" s="8"/>
      <c r="D727" s="8"/>
      <c r="E727" s="71"/>
      <c r="F727" s="10"/>
      <c r="G727" s="8"/>
      <c r="H727" s="8"/>
      <c r="I727" s="8"/>
      <c r="J727" s="8"/>
      <c r="K727" s="8"/>
      <c r="L727" s="8"/>
    </row>
    <row r="728">
      <c r="A728" s="8"/>
      <c r="B728" s="8"/>
      <c r="C728" s="8"/>
      <c r="D728" s="8"/>
      <c r="E728" s="71"/>
      <c r="F728" s="10"/>
      <c r="G728" s="8"/>
      <c r="H728" s="8"/>
      <c r="I728" s="8"/>
      <c r="J728" s="8"/>
      <c r="K728" s="8"/>
      <c r="L728" s="8"/>
    </row>
    <row r="729">
      <c r="A729" s="8"/>
      <c r="B729" s="8"/>
      <c r="C729" s="8"/>
      <c r="D729" s="8"/>
      <c r="E729" s="71"/>
      <c r="F729" s="10"/>
      <c r="G729" s="8"/>
      <c r="H729" s="8"/>
      <c r="I729" s="8"/>
      <c r="J729" s="8"/>
      <c r="K729" s="8"/>
      <c r="L729" s="8"/>
    </row>
    <row r="730">
      <c r="A730" s="8"/>
      <c r="B730" s="8"/>
      <c r="C730" s="8"/>
      <c r="D730" s="8"/>
      <c r="E730" s="71"/>
      <c r="F730" s="10"/>
      <c r="G730" s="8"/>
      <c r="H730" s="8"/>
      <c r="I730" s="8"/>
      <c r="J730" s="8"/>
      <c r="K730" s="8"/>
      <c r="L730" s="8"/>
    </row>
    <row r="731">
      <c r="A731" s="8"/>
      <c r="B731" s="8"/>
      <c r="C731" s="8"/>
      <c r="D731" s="8"/>
      <c r="E731" s="71"/>
      <c r="F731" s="10"/>
      <c r="G731" s="8"/>
      <c r="H731" s="8"/>
      <c r="I731" s="8"/>
      <c r="J731" s="8"/>
      <c r="K731" s="8"/>
      <c r="L731" s="8"/>
    </row>
    <row r="732">
      <c r="A732" s="8"/>
      <c r="B732" s="8"/>
      <c r="C732" s="8"/>
      <c r="D732" s="8"/>
      <c r="E732" s="71"/>
      <c r="F732" s="10"/>
      <c r="G732" s="8"/>
      <c r="H732" s="8"/>
      <c r="I732" s="8"/>
      <c r="J732" s="8"/>
      <c r="K732" s="8"/>
      <c r="L732" s="8"/>
    </row>
    <row r="733">
      <c r="A733" s="8"/>
      <c r="B733" s="8"/>
      <c r="C733" s="8"/>
      <c r="D733" s="8"/>
      <c r="E733" s="71"/>
      <c r="F733" s="10"/>
      <c r="G733" s="8"/>
      <c r="H733" s="8"/>
      <c r="I733" s="8"/>
      <c r="J733" s="8"/>
      <c r="K733" s="8"/>
      <c r="L733" s="8"/>
    </row>
    <row r="734">
      <c r="A734" s="8"/>
      <c r="B734" s="8"/>
      <c r="C734" s="8"/>
      <c r="D734" s="8"/>
      <c r="E734" s="71"/>
      <c r="F734" s="10"/>
      <c r="G734" s="8"/>
      <c r="H734" s="8"/>
      <c r="I734" s="8"/>
      <c r="J734" s="8"/>
      <c r="K734" s="8"/>
      <c r="L734" s="8"/>
    </row>
    <row r="735">
      <c r="A735" s="8"/>
      <c r="B735" s="8"/>
      <c r="C735" s="8"/>
      <c r="D735" s="8"/>
      <c r="E735" s="71"/>
      <c r="F735" s="10"/>
      <c r="G735" s="8"/>
      <c r="H735" s="8"/>
      <c r="I735" s="8"/>
      <c r="J735" s="8"/>
      <c r="K735" s="8"/>
      <c r="L735" s="8"/>
    </row>
    <row r="736">
      <c r="A736" s="8"/>
      <c r="B736" s="8"/>
      <c r="C736" s="8"/>
      <c r="D736" s="8"/>
      <c r="E736" s="71"/>
      <c r="F736" s="10"/>
      <c r="G736" s="8"/>
      <c r="H736" s="8"/>
      <c r="I736" s="8"/>
      <c r="J736" s="8"/>
      <c r="K736" s="8"/>
      <c r="L736" s="8"/>
    </row>
    <row r="737">
      <c r="A737" s="8"/>
      <c r="B737" s="8"/>
      <c r="C737" s="8"/>
      <c r="D737" s="8"/>
      <c r="E737" s="71"/>
      <c r="F737" s="10"/>
      <c r="G737" s="8"/>
      <c r="H737" s="8"/>
      <c r="I737" s="8"/>
      <c r="J737" s="8"/>
      <c r="K737" s="8"/>
      <c r="L737" s="8"/>
    </row>
    <row r="738">
      <c r="A738" s="8"/>
      <c r="B738" s="8"/>
      <c r="C738" s="8"/>
      <c r="D738" s="8"/>
      <c r="E738" s="71"/>
      <c r="F738" s="10"/>
      <c r="G738" s="8"/>
      <c r="H738" s="8"/>
      <c r="I738" s="8"/>
      <c r="J738" s="8"/>
      <c r="K738" s="8"/>
      <c r="L738" s="8"/>
    </row>
    <row r="739">
      <c r="A739" s="8"/>
      <c r="B739" s="8"/>
      <c r="C739" s="8"/>
      <c r="D739" s="8"/>
      <c r="E739" s="71"/>
      <c r="F739" s="10"/>
      <c r="G739" s="8"/>
      <c r="H739" s="8"/>
      <c r="I739" s="8"/>
      <c r="J739" s="8"/>
      <c r="K739" s="8"/>
      <c r="L739" s="8"/>
    </row>
    <row r="740">
      <c r="A740" s="8"/>
      <c r="B740" s="8"/>
      <c r="C740" s="8"/>
      <c r="D740" s="8"/>
      <c r="E740" s="71"/>
      <c r="F740" s="10"/>
      <c r="G740" s="8"/>
      <c r="H740" s="8"/>
      <c r="I740" s="8"/>
      <c r="J740" s="8"/>
      <c r="K740" s="8"/>
      <c r="L740" s="8"/>
    </row>
    <row r="741">
      <c r="A741" s="8"/>
      <c r="B741" s="8"/>
      <c r="C741" s="8"/>
      <c r="D741" s="8"/>
      <c r="E741" s="71"/>
      <c r="F741" s="10"/>
      <c r="G741" s="8"/>
      <c r="H741" s="8"/>
      <c r="I741" s="8"/>
      <c r="J741" s="8"/>
      <c r="K741" s="8"/>
      <c r="L741" s="8"/>
    </row>
    <row r="742">
      <c r="A742" s="8"/>
      <c r="B742" s="8"/>
      <c r="C742" s="8"/>
      <c r="D742" s="8"/>
      <c r="E742" s="71"/>
      <c r="F742" s="10"/>
      <c r="G742" s="8"/>
      <c r="H742" s="8"/>
      <c r="I742" s="8"/>
      <c r="J742" s="8"/>
      <c r="K742" s="8"/>
      <c r="L742" s="8"/>
    </row>
    <row r="743">
      <c r="A743" s="8"/>
      <c r="B743" s="8"/>
      <c r="C743" s="8"/>
      <c r="D743" s="8"/>
      <c r="E743" s="71"/>
      <c r="F743" s="10"/>
      <c r="G743" s="8"/>
      <c r="H743" s="8"/>
      <c r="I743" s="8"/>
      <c r="J743" s="8"/>
      <c r="K743" s="8"/>
      <c r="L743" s="8"/>
    </row>
    <row r="744">
      <c r="A744" s="8"/>
      <c r="B744" s="8"/>
      <c r="C744" s="8"/>
      <c r="D744" s="8"/>
      <c r="E744" s="71"/>
      <c r="F744" s="10"/>
      <c r="G744" s="8"/>
      <c r="H744" s="8"/>
      <c r="I744" s="8"/>
      <c r="J744" s="8"/>
      <c r="K744" s="8"/>
      <c r="L744" s="8"/>
    </row>
    <row r="745">
      <c r="A745" s="8"/>
      <c r="B745" s="8"/>
      <c r="C745" s="8"/>
      <c r="D745" s="8"/>
      <c r="E745" s="71"/>
      <c r="F745" s="10"/>
      <c r="G745" s="8"/>
      <c r="H745" s="8"/>
      <c r="I745" s="8"/>
      <c r="J745" s="8"/>
      <c r="K745" s="8"/>
      <c r="L745" s="8"/>
    </row>
    <row r="746">
      <c r="A746" s="8"/>
      <c r="B746" s="8"/>
      <c r="C746" s="8"/>
      <c r="D746" s="8"/>
      <c r="E746" s="71"/>
      <c r="F746" s="10"/>
      <c r="G746" s="8"/>
      <c r="H746" s="8"/>
      <c r="I746" s="8"/>
      <c r="J746" s="8"/>
      <c r="K746" s="8"/>
      <c r="L746" s="8"/>
    </row>
    <row r="747">
      <c r="A747" s="8"/>
      <c r="B747" s="8"/>
      <c r="C747" s="8"/>
      <c r="D747" s="8"/>
      <c r="E747" s="71"/>
      <c r="F747" s="10"/>
      <c r="G747" s="8"/>
      <c r="H747" s="8"/>
      <c r="I747" s="8"/>
      <c r="J747" s="8"/>
      <c r="K747" s="8"/>
      <c r="L747" s="8"/>
    </row>
    <row r="748">
      <c r="A748" s="8"/>
      <c r="B748" s="8"/>
      <c r="C748" s="8"/>
      <c r="D748" s="8"/>
      <c r="E748" s="71"/>
      <c r="F748" s="10"/>
      <c r="G748" s="8"/>
      <c r="H748" s="8"/>
      <c r="I748" s="8"/>
      <c r="J748" s="8"/>
      <c r="K748" s="8"/>
      <c r="L748" s="8"/>
    </row>
    <row r="749">
      <c r="A749" s="8"/>
      <c r="B749" s="8"/>
      <c r="C749" s="8"/>
      <c r="D749" s="8"/>
      <c r="E749" s="71"/>
      <c r="F749" s="10"/>
      <c r="G749" s="8"/>
      <c r="H749" s="8"/>
      <c r="I749" s="8"/>
      <c r="J749" s="8"/>
      <c r="K749" s="8"/>
      <c r="L749" s="8"/>
    </row>
    <row r="750">
      <c r="A750" s="8"/>
      <c r="B750" s="8"/>
      <c r="C750" s="8"/>
      <c r="D750" s="8"/>
      <c r="E750" s="71"/>
      <c r="F750" s="10"/>
      <c r="G750" s="8"/>
      <c r="H750" s="8"/>
      <c r="I750" s="8"/>
      <c r="J750" s="8"/>
      <c r="K750" s="8"/>
      <c r="L750" s="8"/>
    </row>
    <row r="751">
      <c r="A751" s="8"/>
      <c r="B751" s="8"/>
      <c r="C751" s="8"/>
      <c r="D751" s="8"/>
      <c r="E751" s="71"/>
      <c r="F751" s="10"/>
      <c r="G751" s="8"/>
      <c r="H751" s="8"/>
      <c r="I751" s="8"/>
      <c r="J751" s="8"/>
      <c r="K751" s="8"/>
      <c r="L751" s="8"/>
    </row>
    <row r="752">
      <c r="A752" s="8"/>
      <c r="B752" s="8"/>
      <c r="C752" s="8"/>
      <c r="D752" s="8"/>
      <c r="E752" s="71"/>
      <c r="F752" s="10"/>
      <c r="G752" s="8"/>
      <c r="H752" s="8"/>
      <c r="I752" s="8"/>
      <c r="J752" s="8"/>
      <c r="K752" s="8"/>
      <c r="L752" s="8"/>
    </row>
    <row r="753">
      <c r="A753" s="8"/>
      <c r="B753" s="8"/>
      <c r="C753" s="8"/>
      <c r="D753" s="8"/>
      <c r="E753" s="71"/>
      <c r="F753" s="10"/>
      <c r="G753" s="8"/>
      <c r="H753" s="8"/>
      <c r="I753" s="8"/>
      <c r="J753" s="8"/>
      <c r="K753" s="8"/>
      <c r="L753" s="8"/>
    </row>
    <row r="754">
      <c r="A754" s="8"/>
      <c r="B754" s="8"/>
      <c r="C754" s="8"/>
      <c r="D754" s="8"/>
      <c r="E754" s="71"/>
      <c r="F754" s="10"/>
      <c r="G754" s="8"/>
      <c r="H754" s="8"/>
      <c r="I754" s="8"/>
      <c r="J754" s="8"/>
      <c r="K754" s="8"/>
      <c r="L754" s="8"/>
    </row>
    <row r="755">
      <c r="A755" s="8"/>
      <c r="B755" s="8"/>
      <c r="C755" s="8"/>
      <c r="D755" s="8"/>
      <c r="E755" s="71"/>
      <c r="F755" s="10"/>
      <c r="G755" s="8"/>
      <c r="H755" s="8"/>
      <c r="I755" s="8"/>
      <c r="J755" s="8"/>
      <c r="K755" s="8"/>
      <c r="L755" s="8"/>
    </row>
    <row r="756">
      <c r="A756" s="8"/>
      <c r="B756" s="8"/>
      <c r="C756" s="8"/>
      <c r="D756" s="8"/>
      <c r="E756" s="71"/>
      <c r="F756" s="10"/>
      <c r="G756" s="8"/>
      <c r="H756" s="8"/>
      <c r="I756" s="8"/>
      <c r="J756" s="8"/>
      <c r="K756" s="8"/>
      <c r="L756" s="8"/>
    </row>
    <row r="757">
      <c r="A757" s="8"/>
      <c r="B757" s="8"/>
      <c r="C757" s="8"/>
      <c r="D757" s="8"/>
      <c r="E757" s="71"/>
      <c r="F757" s="10"/>
      <c r="G757" s="8"/>
      <c r="H757" s="8"/>
      <c r="I757" s="8"/>
      <c r="J757" s="8"/>
      <c r="K757" s="8"/>
      <c r="L757" s="8"/>
    </row>
    <row r="758">
      <c r="A758" s="8"/>
      <c r="B758" s="8"/>
      <c r="C758" s="8"/>
      <c r="D758" s="8"/>
      <c r="E758" s="71"/>
      <c r="F758" s="10"/>
      <c r="G758" s="8"/>
      <c r="H758" s="8"/>
      <c r="I758" s="8"/>
      <c r="J758" s="8"/>
      <c r="K758" s="8"/>
      <c r="L758" s="8"/>
    </row>
    <row r="759">
      <c r="A759" s="8"/>
      <c r="B759" s="8"/>
      <c r="C759" s="8"/>
      <c r="D759" s="8"/>
      <c r="E759" s="71"/>
      <c r="F759" s="10"/>
      <c r="G759" s="8"/>
      <c r="H759" s="8"/>
      <c r="I759" s="8"/>
      <c r="J759" s="8"/>
      <c r="K759" s="8"/>
      <c r="L759" s="8"/>
    </row>
    <row r="760">
      <c r="A760" s="8"/>
      <c r="B760" s="8"/>
      <c r="C760" s="8"/>
      <c r="D760" s="8"/>
      <c r="E760" s="71"/>
      <c r="F760" s="10"/>
      <c r="G760" s="8"/>
      <c r="H760" s="8"/>
      <c r="I760" s="8"/>
      <c r="J760" s="8"/>
      <c r="K760" s="8"/>
      <c r="L760" s="8"/>
    </row>
    <row r="761">
      <c r="A761" s="8"/>
      <c r="B761" s="8"/>
      <c r="C761" s="8"/>
      <c r="D761" s="8"/>
      <c r="E761" s="71"/>
      <c r="F761" s="10"/>
      <c r="G761" s="8"/>
      <c r="H761" s="8"/>
      <c r="I761" s="8"/>
      <c r="J761" s="8"/>
      <c r="K761" s="8"/>
      <c r="L761" s="8"/>
    </row>
    <row r="762">
      <c r="A762" s="8"/>
      <c r="B762" s="8"/>
      <c r="C762" s="8"/>
      <c r="D762" s="8"/>
      <c r="E762" s="71"/>
      <c r="F762" s="10"/>
      <c r="G762" s="8"/>
      <c r="H762" s="8"/>
      <c r="I762" s="8"/>
      <c r="J762" s="8"/>
      <c r="K762" s="8"/>
      <c r="L762" s="8"/>
    </row>
    <row r="763">
      <c r="A763" s="8"/>
      <c r="B763" s="8"/>
      <c r="C763" s="8"/>
      <c r="D763" s="8"/>
      <c r="E763" s="71"/>
      <c r="F763" s="10"/>
      <c r="G763" s="8"/>
      <c r="H763" s="8"/>
      <c r="I763" s="8"/>
      <c r="J763" s="8"/>
      <c r="K763" s="8"/>
      <c r="L763" s="8"/>
    </row>
    <row r="764">
      <c r="A764" s="8"/>
      <c r="B764" s="8"/>
      <c r="C764" s="8"/>
      <c r="D764" s="8"/>
      <c r="E764" s="71"/>
      <c r="F764" s="10"/>
      <c r="G764" s="8"/>
      <c r="H764" s="8"/>
      <c r="I764" s="8"/>
      <c r="J764" s="8"/>
      <c r="K764" s="8"/>
      <c r="L764" s="8"/>
    </row>
    <row r="765">
      <c r="A765" s="8"/>
      <c r="B765" s="8"/>
      <c r="C765" s="8"/>
      <c r="D765" s="8"/>
      <c r="E765" s="71"/>
      <c r="F765" s="10"/>
      <c r="G765" s="8"/>
      <c r="H765" s="8"/>
      <c r="I765" s="8"/>
      <c r="J765" s="8"/>
      <c r="K765" s="8"/>
      <c r="L765" s="8"/>
    </row>
    <row r="766">
      <c r="A766" s="8"/>
      <c r="B766" s="8"/>
      <c r="C766" s="8"/>
      <c r="D766" s="8"/>
      <c r="E766" s="71"/>
      <c r="F766" s="10"/>
      <c r="G766" s="8"/>
      <c r="H766" s="8"/>
      <c r="I766" s="8"/>
      <c r="J766" s="8"/>
      <c r="K766" s="8"/>
      <c r="L766" s="8"/>
    </row>
    <row r="767">
      <c r="A767" s="8"/>
      <c r="B767" s="8"/>
      <c r="C767" s="8"/>
      <c r="D767" s="8"/>
      <c r="E767" s="71"/>
      <c r="F767" s="10"/>
      <c r="G767" s="8"/>
      <c r="H767" s="8"/>
      <c r="I767" s="8"/>
      <c r="J767" s="8"/>
      <c r="K767" s="8"/>
      <c r="L767" s="8"/>
    </row>
    <row r="768">
      <c r="A768" s="8"/>
      <c r="B768" s="8"/>
      <c r="C768" s="8"/>
      <c r="D768" s="8"/>
      <c r="E768" s="71"/>
      <c r="F768" s="10"/>
      <c r="G768" s="8"/>
      <c r="H768" s="8"/>
      <c r="I768" s="8"/>
      <c r="J768" s="8"/>
      <c r="K768" s="8"/>
      <c r="L768" s="8"/>
    </row>
    <row r="769">
      <c r="A769" s="8"/>
      <c r="B769" s="8"/>
      <c r="C769" s="8"/>
      <c r="D769" s="8"/>
      <c r="E769" s="71"/>
      <c r="F769" s="10"/>
      <c r="G769" s="8"/>
      <c r="H769" s="8"/>
      <c r="I769" s="8"/>
      <c r="J769" s="8"/>
      <c r="K769" s="8"/>
      <c r="L769" s="8"/>
    </row>
    <row r="770">
      <c r="A770" s="8"/>
      <c r="B770" s="8"/>
      <c r="C770" s="8"/>
      <c r="D770" s="8"/>
      <c r="E770" s="71"/>
      <c r="F770" s="10"/>
      <c r="G770" s="8"/>
      <c r="H770" s="8"/>
      <c r="I770" s="8"/>
      <c r="J770" s="8"/>
      <c r="K770" s="8"/>
      <c r="L770" s="8"/>
    </row>
    <row r="771">
      <c r="A771" s="8"/>
      <c r="B771" s="8"/>
      <c r="C771" s="8"/>
      <c r="D771" s="8"/>
      <c r="E771" s="71"/>
      <c r="F771" s="10"/>
      <c r="G771" s="8"/>
      <c r="H771" s="8"/>
      <c r="I771" s="8"/>
      <c r="J771" s="8"/>
      <c r="K771" s="8"/>
      <c r="L771" s="8"/>
    </row>
    <row r="772">
      <c r="A772" s="8"/>
      <c r="B772" s="8"/>
      <c r="C772" s="8"/>
      <c r="D772" s="8"/>
      <c r="E772" s="71"/>
      <c r="F772" s="10"/>
      <c r="G772" s="8"/>
      <c r="H772" s="8"/>
      <c r="I772" s="8"/>
      <c r="J772" s="8"/>
      <c r="K772" s="8"/>
      <c r="L772" s="8"/>
    </row>
    <row r="773">
      <c r="A773" s="8"/>
      <c r="B773" s="8"/>
      <c r="C773" s="8"/>
      <c r="D773" s="8"/>
      <c r="E773" s="71"/>
      <c r="F773" s="10"/>
      <c r="G773" s="8"/>
      <c r="H773" s="8"/>
      <c r="I773" s="8"/>
      <c r="J773" s="8"/>
      <c r="K773" s="8"/>
      <c r="L773" s="8"/>
    </row>
    <row r="774">
      <c r="A774" s="8"/>
      <c r="B774" s="8"/>
      <c r="C774" s="8"/>
      <c r="D774" s="8"/>
      <c r="E774" s="71"/>
      <c r="F774" s="10"/>
      <c r="G774" s="8"/>
      <c r="H774" s="8"/>
      <c r="I774" s="8"/>
      <c r="J774" s="8"/>
      <c r="K774" s="8"/>
      <c r="L774" s="8"/>
    </row>
    <row r="775">
      <c r="A775" s="8"/>
      <c r="B775" s="8"/>
      <c r="C775" s="8"/>
      <c r="D775" s="8"/>
      <c r="E775" s="71"/>
      <c r="F775" s="10"/>
      <c r="G775" s="8"/>
      <c r="H775" s="8"/>
      <c r="I775" s="8"/>
      <c r="J775" s="8"/>
      <c r="K775" s="8"/>
      <c r="L775" s="8"/>
    </row>
    <row r="776">
      <c r="A776" s="8"/>
      <c r="B776" s="8"/>
      <c r="C776" s="8"/>
      <c r="D776" s="8"/>
      <c r="E776" s="71"/>
      <c r="F776" s="10"/>
      <c r="G776" s="8"/>
      <c r="H776" s="8"/>
      <c r="I776" s="8"/>
      <c r="J776" s="8"/>
      <c r="K776" s="8"/>
      <c r="L776" s="8"/>
    </row>
    <row r="777">
      <c r="A777" s="8"/>
      <c r="B777" s="8"/>
      <c r="C777" s="8"/>
      <c r="D777" s="8"/>
      <c r="E777" s="71"/>
      <c r="F777" s="10"/>
      <c r="G777" s="8"/>
      <c r="H777" s="8"/>
      <c r="I777" s="8"/>
      <c r="J777" s="8"/>
      <c r="K777" s="8"/>
      <c r="L777" s="8"/>
    </row>
    <row r="778">
      <c r="A778" s="8"/>
      <c r="B778" s="8"/>
      <c r="C778" s="8"/>
      <c r="D778" s="8"/>
      <c r="E778" s="71"/>
      <c r="F778" s="10"/>
      <c r="G778" s="8"/>
      <c r="H778" s="8"/>
      <c r="I778" s="8"/>
      <c r="J778" s="8"/>
      <c r="K778" s="8"/>
      <c r="L778" s="8"/>
    </row>
    <row r="779">
      <c r="A779" s="8"/>
      <c r="B779" s="8"/>
      <c r="C779" s="8"/>
      <c r="D779" s="8"/>
      <c r="E779" s="71"/>
      <c r="F779" s="10"/>
      <c r="G779" s="8"/>
      <c r="H779" s="8"/>
      <c r="I779" s="8"/>
      <c r="J779" s="8"/>
      <c r="K779" s="8"/>
      <c r="L779" s="8"/>
    </row>
    <row r="780">
      <c r="A780" s="8"/>
      <c r="B780" s="8"/>
      <c r="C780" s="8"/>
      <c r="D780" s="8"/>
      <c r="E780" s="71"/>
      <c r="F780" s="10"/>
      <c r="G780" s="8"/>
      <c r="H780" s="8"/>
      <c r="I780" s="8"/>
      <c r="J780" s="8"/>
      <c r="K780" s="8"/>
      <c r="L780" s="8"/>
    </row>
    <row r="781">
      <c r="A781" s="8"/>
      <c r="B781" s="8"/>
      <c r="C781" s="8"/>
      <c r="D781" s="8"/>
      <c r="E781" s="71"/>
      <c r="F781" s="10"/>
      <c r="G781" s="8"/>
      <c r="H781" s="8"/>
      <c r="I781" s="8"/>
      <c r="J781" s="8"/>
      <c r="K781" s="8"/>
      <c r="L781" s="8"/>
    </row>
    <row r="782">
      <c r="A782" s="8"/>
      <c r="B782" s="8"/>
      <c r="C782" s="8"/>
      <c r="D782" s="8"/>
      <c r="E782" s="71"/>
      <c r="F782" s="10"/>
      <c r="G782" s="8"/>
      <c r="H782" s="8"/>
      <c r="I782" s="8"/>
      <c r="J782" s="8"/>
      <c r="K782" s="8"/>
      <c r="L782" s="8"/>
    </row>
    <row r="783">
      <c r="A783" s="8"/>
      <c r="B783" s="8"/>
      <c r="C783" s="8"/>
      <c r="D783" s="8"/>
      <c r="E783" s="71"/>
      <c r="F783" s="10"/>
      <c r="G783" s="8"/>
      <c r="H783" s="8"/>
      <c r="I783" s="8"/>
      <c r="J783" s="8"/>
      <c r="K783" s="8"/>
      <c r="L783" s="8"/>
    </row>
    <row r="784">
      <c r="A784" s="8"/>
      <c r="B784" s="8"/>
      <c r="C784" s="8"/>
      <c r="D784" s="8"/>
      <c r="E784" s="71"/>
      <c r="F784" s="10"/>
      <c r="G784" s="8"/>
      <c r="H784" s="8"/>
      <c r="I784" s="8"/>
      <c r="J784" s="8"/>
      <c r="K784" s="8"/>
      <c r="L784" s="8"/>
    </row>
    <row r="785">
      <c r="A785" s="8"/>
      <c r="B785" s="8"/>
      <c r="C785" s="8"/>
      <c r="D785" s="8"/>
      <c r="E785" s="71"/>
      <c r="F785" s="10"/>
      <c r="G785" s="8"/>
      <c r="H785" s="8"/>
      <c r="I785" s="8"/>
      <c r="J785" s="8"/>
      <c r="K785" s="8"/>
      <c r="L785" s="8"/>
    </row>
    <row r="786">
      <c r="A786" s="8"/>
      <c r="B786" s="8"/>
      <c r="C786" s="8"/>
      <c r="D786" s="8"/>
      <c r="E786" s="71"/>
      <c r="F786" s="10"/>
      <c r="G786" s="8"/>
      <c r="H786" s="8"/>
      <c r="I786" s="8"/>
      <c r="J786" s="8"/>
      <c r="K786" s="8"/>
      <c r="L786" s="8"/>
    </row>
    <row r="787">
      <c r="A787" s="8"/>
      <c r="B787" s="8"/>
      <c r="C787" s="8"/>
      <c r="D787" s="8"/>
      <c r="E787" s="71"/>
      <c r="F787" s="10"/>
      <c r="G787" s="8"/>
      <c r="H787" s="8"/>
      <c r="I787" s="8"/>
      <c r="J787" s="8"/>
      <c r="K787" s="8"/>
      <c r="L787" s="8"/>
    </row>
    <row r="788">
      <c r="A788" s="8"/>
      <c r="B788" s="8"/>
      <c r="C788" s="8"/>
      <c r="D788" s="8"/>
      <c r="E788" s="71"/>
      <c r="F788" s="10"/>
      <c r="G788" s="8"/>
      <c r="H788" s="8"/>
      <c r="I788" s="8"/>
      <c r="J788" s="8"/>
      <c r="K788" s="8"/>
      <c r="L788" s="8"/>
    </row>
    <row r="789">
      <c r="A789" s="8"/>
      <c r="B789" s="8"/>
      <c r="C789" s="8"/>
      <c r="D789" s="8"/>
      <c r="E789" s="71"/>
      <c r="F789" s="10"/>
      <c r="G789" s="8"/>
      <c r="H789" s="8"/>
      <c r="I789" s="8"/>
      <c r="J789" s="8"/>
      <c r="K789" s="8"/>
      <c r="L789" s="8"/>
    </row>
    <row r="790">
      <c r="A790" s="8"/>
      <c r="B790" s="8"/>
      <c r="C790" s="8"/>
      <c r="D790" s="8"/>
      <c r="E790" s="71"/>
      <c r="F790" s="10"/>
      <c r="G790" s="8"/>
      <c r="H790" s="8"/>
      <c r="I790" s="8"/>
      <c r="J790" s="8"/>
      <c r="K790" s="8"/>
      <c r="L790" s="8"/>
    </row>
    <row r="791">
      <c r="A791" s="8"/>
      <c r="B791" s="8"/>
      <c r="C791" s="8"/>
      <c r="D791" s="8"/>
      <c r="E791" s="71"/>
      <c r="F791" s="10"/>
      <c r="G791" s="8"/>
      <c r="H791" s="8"/>
      <c r="I791" s="8"/>
      <c r="J791" s="8"/>
      <c r="K791" s="8"/>
      <c r="L791" s="8"/>
    </row>
    <row r="792">
      <c r="A792" s="8"/>
      <c r="B792" s="8"/>
      <c r="C792" s="8"/>
      <c r="D792" s="8"/>
      <c r="E792" s="71"/>
      <c r="F792" s="10"/>
      <c r="G792" s="8"/>
      <c r="H792" s="8"/>
      <c r="I792" s="8"/>
      <c r="J792" s="8"/>
      <c r="K792" s="8"/>
      <c r="L792" s="8"/>
    </row>
    <row r="793">
      <c r="A793" s="8"/>
      <c r="B793" s="8"/>
      <c r="C793" s="8"/>
      <c r="D793" s="8"/>
      <c r="E793" s="71"/>
      <c r="F793" s="10"/>
      <c r="G793" s="8"/>
      <c r="H793" s="8"/>
      <c r="I793" s="8"/>
      <c r="J793" s="8"/>
      <c r="K793" s="8"/>
      <c r="L793" s="8"/>
    </row>
    <row r="794">
      <c r="A794" s="8"/>
      <c r="B794" s="8"/>
      <c r="C794" s="8"/>
      <c r="D794" s="8"/>
      <c r="E794" s="71"/>
      <c r="F794" s="10"/>
      <c r="G794" s="8"/>
      <c r="H794" s="8"/>
      <c r="I794" s="8"/>
      <c r="J794" s="8"/>
      <c r="K794" s="8"/>
      <c r="L794" s="8"/>
    </row>
    <row r="795">
      <c r="A795" s="8"/>
      <c r="B795" s="8"/>
      <c r="C795" s="8"/>
      <c r="D795" s="8"/>
      <c r="E795" s="71"/>
      <c r="F795" s="10"/>
      <c r="G795" s="8"/>
      <c r="H795" s="8"/>
      <c r="I795" s="8"/>
      <c r="J795" s="8"/>
      <c r="K795" s="8"/>
      <c r="L795" s="8"/>
    </row>
    <row r="796">
      <c r="A796" s="8"/>
      <c r="B796" s="8"/>
      <c r="C796" s="8"/>
      <c r="D796" s="8"/>
      <c r="E796" s="71"/>
      <c r="F796" s="10"/>
      <c r="G796" s="8"/>
      <c r="H796" s="8"/>
      <c r="I796" s="8"/>
      <c r="J796" s="8"/>
      <c r="K796" s="8"/>
      <c r="L796" s="8"/>
    </row>
    <row r="797">
      <c r="A797" s="8"/>
      <c r="B797" s="8"/>
      <c r="C797" s="8"/>
      <c r="D797" s="8"/>
      <c r="E797" s="71"/>
      <c r="F797" s="10"/>
      <c r="G797" s="8"/>
      <c r="H797" s="8"/>
      <c r="I797" s="8"/>
      <c r="J797" s="8"/>
      <c r="K797" s="8"/>
      <c r="L797" s="8"/>
    </row>
    <row r="798">
      <c r="A798" s="8"/>
      <c r="B798" s="8"/>
      <c r="C798" s="8"/>
      <c r="D798" s="8"/>
      <c r="E798" s="71"/>
      <c r="F798" s="10"/>
      <c r="G798" s="8"/>
      <c r="H798" s="8"/>
      <c r="I798" s="8"/>
      <c r="J798" s="8"/>
      <c r="K798" s="8"/>
      <c r="L798" s="8"/>
    </row>
    <row r="799">
      <c r="A799" s="8"/>
      <c r="B799" s="8"/>
      <c r="C799" s="8"/>
      <c r="D799" s="8"/>
      <c r="E799" s="71"/>
      <c r="F799" s="10"/>
      <c r="G799" s="8"/>
      <c r="H799" s="8"/>
      <c r="I799" s="8"/>
      <c r="J799" s="8"/>
      <c r="K799" s="8"/>
      <c r="L799" s="8"/>
    </row>
    <row r="800">
      <c r="A800" s="8"/>
      <c r="B800" s="8"/>
      <c r="C800" s="8"/>
      <c r="D800" s="8"/>
      <c r="E800" s="71"/>
      <c r="F800" s="10"/>
      <c r="G800" s="8"/>
      <c r="H800" s="8"/>
      <c r="I800" s="8"/>
      <c r="J800" s="8"/>
      <c r="K800" s="8"/>
      <c r="L800" s="8"/>
    </row>
    <row r="801">
      <c r="A801" s="8"/>
      <c r="B801" s="8"/>
      <c r="C801" s="8"/>
      <c r="D801" s="8"/>
      <c r="E801" s="71"/>
      <c r="F801" s="10"/>
      <c r="G801" s="8"/>
      <c r="H801" s="8"/>
      <c r="I801" s="8"/>
      <c r="J801" s="8"/>
      <c r="K801" s="8"/>
      <c r="L801" s="8"/>
    </row>
    <row r="802">
      <c r="A802" s="8"/>
      <c r="B802" s="8"/>
      <c r="C802" s="8"/>
      <c r="D802" s="8"/>
      <c r="E802" s="71"/>
      <c r="F802" s="10"/>
      <c r="G802" s="8"/>
      <c r="H802" s="8"/>
      <c r="I802" s="8"/>
      <c r="J802" s="8"/>
      <c r="K802" s="8"/>
      <c r="L802" s="8"/>
    </row>
    <row r="803">
      <c r="A803" s="8"/>
      <c r="B803" s="8"/>
      <c r="C803" s="8"/>
      <c r="D803" s="8"/>
      <c r="E803" s="71"/>
      <c r="F803" s="10"/>
      <c r="G803" s="8"/>
      <c r="H803" s="8"/>
      <c r="I803" s="8"/>
      <c r="J803" s="8"/>
      <c r="K803" s="8"/>
      <c r="L803" s="8"/>
    </row>
    <row r="804">
      <c r="A804" s="8"/>
      <c r="B804" s="8"/>
      <c r="C804" s="8"/>
      <c r="D804" s="8"/>
      <c r="E804" s="71"/>
      <c r="F804" s="10"/>
      <c r="G804" s="8"/>
      <c r="H804" s="8"/>
      <c r="I804" s="8"/>
      <c r="J804" s="8"/>
      <c r="K804" s="8"/>
      <c r="L804" s="8"/>
    </row>
    <row r="805">
      <c r="A805" s="8"/>
      <c r="B805" s="8"/>
      <c r="C805" s="8"/>
      <c r="D805" s="8"/>
      <c r="E805" s="71"/>
      <c r="F805" s="10"/>
      <c r="G805" s="8"/>
      <c r="H805" s="8"/>
      <c r="I805" s="8"/>
      <c r="J805" s="8"/>
      <c r="K805" s="8"/>
      <c r="L805" s="8"/>
    </row>
    <row r="806">
      <c r="A806" s="8"/>
      <c r="B806" s="8"/>
      <c r="C806" s="8"/>
      <c r="D806" s="8"/>
      <c r="E806" s="71"/>
      <c r="F806" s="10"/>
      <c r="G806" s="8"/>
      <c r="H806" s="8"/>
      <c r="I806" s="8"/>
      <c r="J806" s="8"/>
      <c r="K806" s="8"/>
      <c r="L806" s="8"/>
    </row>
    <row r="807">
      <c r="A807" s="8"/>
      <c r="B807" s="8"/>
      <c r="C807" s="8"/>
      <c r="D807" s="8"/>
      <c r="E807" s="71"/>
      <c r="F807" s="10"/>
      <c r="G807" s="8"/>
      <c r="H807" s="8"/>
      <c r="I807" s="8"/>
      <c r="J807" s="8"/>
      <c r="K807" s="8"/>
      <c r="L807" s="8"/>
    </row>
    <row r="808">
      <c r="A808" s="8"/>
      <c r="B808" s="8"/>
      <c r="C808" s="8"/>
      <c r="D808" s="8"/>
      <c r="E808" s="71"/>
      <c r="F808" s="10"/>
      <c r="G808" s="8"/>
      <c r="H808" s="8"/>
      <c r="I808" s="8"/>
      <c r="J808" s="8"/>
      <c r="K808" s="8"/>
      <c r="L808" s="8"/>
    </row>
    <row r="809">
      <c r="A809" s="8"/>
      <c r="B809" s="8"/>
      <c r="C809" s="8"/>
      <c r="D809" s="8"/>
      <c r="E809" s="71"/>
      <c r="F809" s="10"/>
      <c r="G809" s="8"/>
      <c r="H809" s="8"/>
      <c r="I809" s="8"/>
      <c r="J809" s="8"/>
      <c r="K809" s="8"/>
      <c r="L809" s="8"/>
    </row>
    <row r="810">
      <c r="A810" s="8"/>
      <c r="B810" s="8"/>
      <c r="C810" s="8"/>
      <c r="D810" s="8"/>
      <c r="E810" s="71"/>
      <c r="F810" s="10"/>
      <c r="G810" s="8"/>
      <c r="H810" s="8"/>
      <c r="I810" s="8"/>
      <c r="J810" s="8"/>
      <c r="K810" s="8"/>
      <c r="L810" s="8"/>
    </row>
    <row r="811">
      <c r="A811" s="8"/>
      <c r="B811" s="8"/>
      <c r="C811" s="8"/>
      <c r="D811" s="8"/>
      <c r="E811" s="71"/>
      <c r="F811" s="10"/>
      <c r="G811" s="8"/>
      <c r="H811" s="8"/>
      <c r="I811" s="8"/>
      <c r="J811" s="8"/>
      <c r="K811" s="8"/>
      <c r="L811" s="8"/>
    </row>
    <row r="812">
      <c r="A812" s="8"/>
      <c r="B812" s="8"/>
      <c r="C812" s="8"/>
      <c r="D812" s="8"/>
      <c r="E812" s="71"/>
      <c r="F812" s="10"/>
      <c r="G812" s="8"/>
      <c r="H812" s="8"/>
      <c r="I812" s="8"/>
      <c r="J812" s="8"/>
      <c r="K812" s="8"/>
      <c r="L812" s="8"/>
    </row>
    <row r="813">
      <c r="A813" s="8"/>
      <c r="B813" s="8"/>
      <c r="C813" s="8"/>
      <c r="D813" s="8"/>
      <c r="E813" s="71"/>
      <c r="F813" s="10"/>
      <c r="G813" s="8"/>
      <c r="H813" s="8"/>
      <c r="I813" s="8"/>
      <c r="J813" s="8"/>
      <c r="K813" s="8"/>
      <c r="L813" s="8"/>
    </row>
    <row r="814">
      <c r="A814" s="8"/>
      <c r="B814" s="8"/>
      <c r="C814" s="8"/>
      <c r="D814" s="8"/>
      <c r="E814" s="71"/>
      <c r="F814" s="10"/>
      <c r="G814" s="8"/>
      <c r="H814" s="8"/>
      <c r="I814" s="8"/>
      <c r="J814" s="8"/>
      <c r="K814" s="8"/>
      <c r="L814" s="8"/>
    </row>
    <row r="815">
      <c r="A815" s="8"/>
      <c r="B815" s="8"/>
      <c r="C815" s="8"/>
      <c r="D815" s="8"/>
      <c r="E815" s="71"/>
      <c r="F815" s="10"/>
      <c r="G815" s="8"/>
      <c r="H815" s="8"/>
      <c r="I815" s="8"/>
      <c r="J815" s="8"/>
      <c r="K815" s="8"/>
      <c r="L815" s="8"/>
    </row>
    <row r="816">
      <c r="A816" s="8"/>
      <c r="B816" s="8"/>
      <c r="C816" s="8"/>
      <c r="D816" s="8"/>
      <c r="E816" s="71"/>
      <c r="F816" s="10"/>
      <c r="G816" s="8"/>
      <c r="H816" s="8"/>
      <c r="I816" s="8"/>
      <c r="J816" s="8"/>
      <c r="K816" s="8"/>
      <c r="L816" s="8"/>
    </row>
    <row r="817">
      <c r="A817" s="8"/>
      <c r="B817" s="8"/>
      <c r="C817" s="8"/>
      <c r="D817" s="8"/>
      <c r="E817" s="71"/>
      <c r="F817" s="10"/>
      <c r="G817" s="8"/>
      <c r="H817" s="8"/>
      <c r="I817" s="8"/>
      <c r="J817" s="8"/>
      <c r="K817" s="8"/>
      <c r="L817" s="8"/>
    </row>
    <row r="818">
      <c r="A818" s="8"/>
      <c r="B818" s="8"/>
      <c r="C818" s="8"/>
      <c r="D818" s="8"/>
      <c r="E818" s="71"/>
      <c r="F818" s="10"/>
      <c r="G818" s="8"/>
      <c r="H818" s="8"/>
      <c r="I818" s="8"/>
      <c r="J818" s="8"/>
      <c r="K818" s="8"/>
      <c r="L818" s="8"/>
    </row>
    <row r="819">
      <c r="A819" s="8"/>
      <c r="B819" s="8"/>
      <c r="C819" s="8"/>
      <c r="D819" s="8"/>
      <c r="E819" s="71"/>
      <c r="F819" s="10"/>
      <c r="G819" s="8"/>
      <c r="H819" s="8"/>
      <c r="I819" s="8"/>
      <c r="J819" s="8"/>
      <c r="K819" s="8"/>
      <c r="L819" s="8"/>
    </row>
    <row r="820">
      <c r="A820" s="8"/>
      <c r="B820" s="8"/>
      <c r="C820" s="8"/>
      <c r="D820" s="8"/>
      <c r="E820" s="71"/>
      <c r="F820" s="10"/>
      <c r="G820" s="8"/>
      <c r="H820" s="8"/>
      <c r="I820" s="8"/>
      <c r="J820" s="8"/>
      <c r="K820" s="8"/>
      <c r="L820" s="8"/>
    </row>
    <row r="821">
      <c r="A821" s="8"/>
      <c r="B821" s="8"/>
      <c r="C821" s="8"/>
      <c r="D821" s="8"/>
      <c r="E821" s="71"/>
      <c r="F821" s="10"/>
      <c r="G821" s="8"/>
      <c r="H821" s="8"/>
      <c r="I821" s="8"/>
      <c r="J821" s="8"/>
      <c r="K821" s="8"/>
      <c r="L821" s="8"/>
    </row>
    <row r="822">
      <c r="A822" s="8"/>
      <c r="B822" s="8"/>
      <c r="C822" s="8"/>
      <c r="D822" s="8"/>
      <c r="E822" s="71"/>
      <c r="F822" s="10"/>
      <c r="G822" s="8"/>
      <c r="H822" s="8"/>
      <c r="I822" s="8"/>
      <c r="J822" s="8"/>
      <c r="K822" s="8"/>
      <c r="L822" s="8"/>
    </row>
    <row r="823">
      <c r="A823" s="8"/>
      <c r="B823" s="8"/>
      <c r="C823" s="8"/>
      <c r="D823" s="8"/>
      <c r="E823" s="71"/>
      <c r="F823" s="10"/>
      <c r="G823" s="8"/>
      <c r="H823" s="8"/>
      <c r="I823" s="8"/>
      <c r="J823" s="8"/>
      <c r="K823" s="8"/>
      <c r="L823" s="8"/>
    </row>
    <row r="824">
      <c r="A824" s="8"/>
      <c r="B824" s="8"/>
      <c r="C824" s="8"/>
      <c r="D824" s="8"/>
      <c r="E824" s="71"/>
      <c r="F824" s="10"/>
      <c r="G824" s="8"/>
      <c r="H824" s="8"/>
      <c r="I824" s="8"/>
      <c r="J824" s="8"/>
      <c r="K824" s="8"/>
      <c r="L824" s="8"/>
    </row>
    <row r="825">
      <c r="A825" s="8"/>
      <c r="B825" s="8"/>
      <c r="C825" s="8"/>
      <c r="D825" s="8"/>
      <c r="E825" s="71"/>
      <c r="F825" s="10"/>
      <c r="G825" s="8"/>
      <c r="H825" s="8"/>
      <c r="I825" s="8"/>
      <c r="J825" s="8"/>
      <c r="K825" s="8"/>
      <c r="L825" s="8"/>
    </row>
    <row r="826">
      <c r="A826" s="8"/>
      <c r="B826" s="8"/>
      <c r="C826" s="8"/>
      <c r="D826" s="8"/>
      <c r="E826" s="71"/>
      <c r="F826" s="10"/>
      <c r="G826" s="8"/>
      <c r="H826" s="8"/>
      <c r="I826" s="8"/>
      <c r="J826" s="8"/>
      <c r="K826" s="8"/>
      <c r="L826" s="8"/>
    </row>
    <row r="827">
      <c r="A827" s="8"/>
      <c r="B827" s="8"/>
      <c r="C827" s="8"/>
      <c r="D827" s="8"/>
      <c r="E827" s="71"/>
      <c r="F827" s="10"/>
      <c r="G827" s="8"/>
      <c r="H827" s="8"/>
      <c r="I827" s="8"/>
      <c r="J827" s="8"/>
      <c r="K827" s="8"/>
      <c r="L827" s="8"/>
    </row>
    <row r="828">
      <c r="A828" s="8"/>
      <c r="B828" s="8"/>
      <c r="C828" s="8"/>
      <c r="D828" s="8"/>
      <c r="E828" s="71"/>
      <c r="F828" s="10"/>
      <c r="G828" s="8"/>
      <c r="H828" s="8"/>
      <c r="I828" s="8"/>
      <c r="J828" s="8"/>
      <c r="K828" s="8"/>
      <c r="L828" s="8"/>
    </row>
    <row r="829">
      <c r="A829" s="8"/>
      <c r="B829" s="8"/>
      <c r="C829" s="8"/>
      <c r="D829" s="8"/>
      <c r="E829" s="71"/>
      <c r="F829" s="10"/>
      <c r="G829" s="8"/>
      <c r="H829" s="8"/>
      <c r="I829" s="8"/>
      <c r="J829" s="8"/>
      <c r="K829" s="8"/>
      <c r="L829" s="8"/>
    </row>
    <row r="830">
      <c r="A830" s="8"/>
      <c r="B830" s="8"/>
      <c r="C830" s="8"/>
      <c r="D830" s="8"/>
      <c r="E830" s="71"/>
      <c r="F830" s="10"/>
      <c r="G830" s="8"/>
      <c r="H830" s="8"/>
      <c r="I830" s="8"/>
      <c r="J830" s="8"/>
      <c r="K830" s="8"/>
      <c r="L830" s="8"/>
    </row>
    <row r="831">
      <c r="A831" s="8"/>
      <c r="B831" s="8"/>
      <c r="C831" s="8"/>
      <c r="D831" s="8"/>
      <c r="E831" s="71"/>
      <c r="F831" s="10"/>
      <c r="G831" s="8"/>
      <c r="H831" s="8"/>
      <c r="I831" s="8"/>
      <c r="J831" s="8"/>
      <c r="K831" s="8"/>
      <c r="L831" s="8"/>
    </row>
    <row r="832">
      <c r="A832" s="8"/>
      <c r="B832" s="8"/>
      <c r="C832" s="8"/>
      <c r="D832" s="8"/>
      <c r="E832" s="71"/>
      <c r="F832" s="10"/>
      <c r="G832" s="8"/>
      <c r="H832" s="8"/>
      <c r="I832" s="8"/>
      <c r="J832" s="8"/>
      <c r="K832" s="8"/>
      <c r="L832" s="8"/>
    </row>
    <row r="833">
      <c r="A833" s="8"/>
      <c r="B833" s="8"/>
      <c r="C833" s="8"/>
      <c r="D833" s="8"/>
      <c r="E833" s="71"/>
      <c r="F833" s="10"/>
      <c r="G833" s="8"/>
      <c r="H833" s="8"/>
      <c r="I833" s="8"/>
      <c r="J833" s="8"/>
      <c r="K833" s="8"/>
      <c r="L833" s="8"/>
    </row>
    <row r="834">
      <c r="A834" s="8"/>
      <c r="B834" s="8"/>
      <c r="C834" s="8"/>
      <c r="D834" s="8"/>
      <c r="E834" s="71"/>
      <c r="F834" s="10"/>
      <c r="G834" s="8"/>
      <c r="H834" s="8"/>
      <c r="I834" s="8"/>
      <c r="J834" s="8"/>
      <c r="K834" s="8"/>
      <c r="L834" s="8"/>
    </row>
    <row r="835">
      <c r="A835" s="8"/>
      <c r="B835" s="8"/>
      <c r="C835" s="8"/>
      <c r="D835" s="8"/>
      <c r="E835" s="71"/>
      <c r="F835" s="10"/>
      <c r="G835" s="8"/>
      <c r="H835" s="8"/>
      <c r="I835" s="8"/>
      <c r="J835" s="8"/>
      <c r="K835" s="8"/>
      <c r="L835" s="8"/>
    </row>
    <row r="836">
      <c r="A836" s="8"/>
      <c r="B836" s="8"/>
      <c r="C836" s="8"/>
      <c r="D836" s="8"/>
      <c r="E836" s="71"/>
      <c r="F836" s="10"/>
      <c r="G836" s="8"/>
      <c r="H836" s="8"/>
      <c r="I836" s="8"/>
      <c r="J836" s="8"/>
      <c r="K836" s="8"/>
      <c r="L836" s="8"/>
    </row>
    <row r="837">
      <c r="A837" s="8"/>
      <c r="B837" s="8"/>
      <c r="C837" s="8"/>
      <c r="D837" s="8"/>
      <c r="E837" s="71"/>
      <c r="F837" s="10"/>
      <c r="G837" s="8"/>
      <c r="H837" s="8"/>
      <c r="I837" s="8"/>
      <c r="J837" s="8"/>
      <c r="K837" s="8"/>
      <c r="L837" s="8"/>
    </row>
    <row r="838">
      <c r="A838" s="8"/>
      <c r="B838" s="8"/>
      <c r="C838" s="8"/>
      <c r="D838" s="8"/>
      <c r="E838" s="71"/>
      <c r="F838" s="10"/>
      <c r="G838" s="8"/>
      <c r="H838" s="8"/>
      <c r="I838" s="8"/>
      <c r="J838" s="8"/>
      <c r="K838" s="8"/>
      <c r="L838" s="8"/>
    </row>
    <row r="839">
      <c r="A839" s="8"/>
      <c r="B839" s="8"/>
      <c r="C839" s="8"/>
      <c r="D839" s="8"/>
      <c r="E839" s="71"/>
      <c r="F839" s="10"/>
      <c r="G839" s="8"/>
      <c r="H839" s="8"/>
      <c r="I839" s="8"/>
      <c r="J839" s="8"/>
      <c r="K839" s="8"/>
      <c r="L839" s="8"/>
    </row>
    <row r="840">
      <c r="A840" s="8"/>
      <c r="B840" s="8"/>
      <c r="C840" s="8"/>
      <c r="D840" s="8"/>
      <c r="E840" s="71"/>
      <c r="F840" s="10"/>
      <c r="G840" s="8"/>
      <c r="H840" s="8"/>
      <c r="I840" s="8"/>
      <c r="J840" s="8"/>
      <c r="K840" s="8"/>
      <c r="L840" s="8"/>
    </row>
    <row r="841">
      <c r="A841" s="8"/>
      <c r="B841" s="8"/>
      <c r="C841" s="8"/>
      <c r="D841" s="8"/>
      <c r="E841" s="71"/>
      <c r="F841" s="10"/>
      <c r="G841" s="8"/>
      <c r="H841" s="8"/>
      <c r="I841" s="8"/>
      <c r="J841" s="8"/>
      <c r="K841" s="8"/>
      <c r="L841" s="8"/>
    </row>
    <row r="842">
      <c r="A842" s="8"/>
      <c r="B842" s="8"/>
      <c r="C842" s="8"/>
      <c r="D842" s="8"/>
      <c r="E842" s="71"/>
      <c r="F842" s="10"/>
      <c r="G842" s="8"/>
      <c r="H842" s="8"/>
      <c r="I842" s="8"/>
      <c r="J842" s="8"/>
      <c r="K842" s="8"/>
      <c r="L842" s="8"/>
    </row>
    <row r="843">
      <c r="A843" s="8"/>
      <c r="B843" s="8"/>
      <c r="C843" s="8"/>
      <c r="D843" s="8"/>
      <c r="E843" s="71"/>
      <c r="F843" s="10"/>
      <c r="G843" s="8"/>
      <c r="H843" s="8"/>
      <c r="I843" s="8"/>
      <c r="J843" s="8"/>
      <c r="K843" s="8"/>
      <c r="L843" s="8"/>
    </row>
    <row r="844">
      <c r="A844" s="8"/>
      <c r="B844" s="8"/>
      <c r="C844" s="8"/>
      <c r="D844" s="8"/>
      <c r="E844" s="71"/>
      <c r="F844" s="10"/>
      <c r="G844" s="8"/>
      <c r="H844" s="8"/>
      <c r="I844" s="8"/>
      <c r="J844" s="8"/>
      <c r="K844" s="8"/>
      <c r="L844" s="8"/>
    </row>
    <row r="845">
      <c r="A845" s="8"/>
      <c r="B845" s="8"/>
      <c r="C845" s="8"/>
      <c r="D845" s="8"/>
      <c r="E845" s="71"/>
      <c r="F845" s="10"/>
      <c r="G845" s="8"/>
      <c r="H845" s="8"/>
      <c r="I845" s="8"/>
      <c r="J845" s="8"/>
      <c r="K845" s="8"/>
      <c r="L845" s="8"/>
    </row>
    <row r="846">
      <c r="A846" s="8"/>
      <c r="B846" s="8"/>
      <c r="C846" s="8"/>
      <c r="D846" s="8"/>
      <c r="E846" s="71"/>
      <c r="F846" s="10"/>
      <c r="G846" s="8"/>
      <c r="H846" s="8"/>
      <c r="I846" s="8"/>
      <c r="J846" s="8"/>
      <c r="K846" s="8"/>
      <c r="L846" s="8"/>
    </row>
    <row r="847">
      <c r="A847" s="8"/>
      <c r="B847" s="8"/>
      <c r="C847" s="8"/>
      <c r="D847" s="8"/>
      <c r="E847" s="71"/>
      <c r="F847" s="10"/>
      <c r="G847" s="8"/>
      <c r="H847" s="8"/>
      <c r="I847" s="8"/>
      <c r="J847" s="8"/>
      <c r="K847" s="8"/>
      <c r="L847" s="8"/>
    </row>
    <row r="848">
      <c r="A848" s="8"/>
      <c r="B848" s="8"/>
      <c r="C848" s="8"/>
      <c r="D848" s="8"/>
      <c r="E848" s="71"/>
      <c r="F848" s="10"/>
      <c r="G848" s="8"/>
      <c r="H848" s="8"/>
      <c r="I848" s="8"/>
      <c r="J848" s="8"/>
      <c r="K848" s="8"/>
      <c r="L848" s="8"/>
    </row>
    <row r="849">
      <c r="A849" s="8"/>
      <c r="B849" s="8"/>
      <c r="C849" s="8"/>
      <c r="D849" s="8"/>
      <c r="E849" s="71"/>
      <c r="F849" s="10"/>
      <c r="G849" s="8"/>
      <c r="H849" s="8"/>
      <c r="I849" s="8"/>
      <c r="J849" s="8"/>
      <c r="K849" s="8"/>
      <c r="L849" s="8"/>
    </row>
    <row r="850">
      <c r="A850" s="8"/>
      <c r="B850" s="8"/>
      <c r="C850" s="8"/>
      <c r="D850" s="8"/>
      <c r="E850" s="71"/>
      <c r="F850" s="10"/>
      <c r="G850" s="8"/>
      <c r="H850" s="8"/>
      <c r="I850" s="8"/>
      <c r="J850" s="8"/>
      <c r="K850" s="8"/>
      <c r="L850" s="8"/>
    </row>
    <row r="851">
      <c r="A851" s="8"/>
      <c r="B851" s="8"/>
      <c r="C851" s="8"/>
      <c r="D851" s="8"/>
      <c r="E851" s="71"/>
      <c r="F851" s="10"/>
      <c r="G851" s="8"/>
      <c r="H851" s="8"/>
      <c r="I851" s="8"/>
      <c r="J851" s="8"/>
      <c r="K851" s="8"/>
      <c r="L851" s="8"/>
    </row>
    <row r="852">
      <c r="A852" s="8"/>
      <c r="B852" s="8"/>
      <c r="C852" s="8"/>
      <c r="D852" s="8"/>
      <c r="E852" s="71"/>
      <c r="F852" s="10"/>
      <c r="G852" s="8"/>
      <c r="H852" s="8"/>
      <c r="I852" s="8"/>
      <c r="J852" s="8"/>
      <c r="K852" s="8"/>
      <c r="L852" s="8"/>
    </row>
    <row r="853">
      <c r="A853" s="8"/>
      <c r="B853" s="8"/>
      <c r="C853" s="8"/>
      <c r="D853" s="8"/>
      <c r="E853" s="71"/>
      <c r="F853" s="10"/>
      <c r="G853" s="8"/>
      <c r="H853" s="8"/>
      <c r="I853" s="8"/>
      <c r="J853" s="8"/>
      <c r="K853" s="8"/>
      <c r="L853" s="8"/>
    </row>
    <row r="854">
      <c r="A854" s="8"/>
      <c r="B854" s="8"/>
      <c r="C854" s="8"/>
      <c r="D854" s="8"/>
      <c r="E854" s="71"/>
      <c r="F854" s="10"/>
      <c r="G854" s="8"/>
      <c r="H854" s="8"/>
      <c r="I854" s="8"/>
      <c r="J854" s="8"/>
      <c r="K854" s="8"/>
      <c r="L854" s="8"/>
    </row>
    <row r="855">
      <c r="A855" s="8"/>
      <c r="B855" s="8"/>
      <c r="C855" s="8"/>
      <c r="D855" s="8"/>
      <c r="E855" s="71"/>
      <c r="F855" s="10"/>
      <c r="G855" s="8"/>
      <c r="H855" s="8"/>
      <c r="I855" s="8"/>
      <c r="J855" s="8"/>
      <c r="K855" s="8"/>
      <c r="L855" s="8"/>
    </row>
    <row r="856">
      <c r="A856" s="8"/>
      <c r="B856" s="8"/>
      <c r="C856" s="8"/>
      <c r="D856" s="8"/>
      <c r="E856" s="71"/>
      <c r="F856" s="10"/>
      <c r="G856" s="8"/>
      <c r="H856" s="8"/>
      <c r="I856" s="8"/>
      <c r="J856" s="8"/>
      <c r="K856" s="8"/>
      <c r="L856" s="8"/>
    </row>
    <row r="857">
      <c r="A857" s="8"/>
      <c r="B857" s="8"/>
      <c r="C857" s="8"/>
      <c r="D857" s="8"/>
      <c r="E857" s="71"/>
      <c r="F857" s="10"/>
      <c r="G857" s="8"/>
      <c r="H857" s="8"/>
      <c r="I857" s="8"/>
      <c r="J857" s="8"/>
      <c r="K857" s="8"/>
      <c r="L857" s="8"/>
    </row>
    <row r="858">
      <c r="A858" s="8"/>
      <c r="B858" s="8"/>
      <c r="C858" s="8"/>
      <c r="D858" s="8"/>
      <c r="E858" s="71"/>
      <c r="F858" s="10"/>
      <c r="G858" s="8"/>
      <c r="H858" s="8"/>
      <c r="I858" s="8"/>
      <c r="J858" s="8"/>
      <c r="K858" s="8"/>
      <c r="L858" s="8"/>
    </row>
    <row r="859">
      <c r="A859" s="8"/>
      <c r="B859" s="8"/>
      <c r="C859" s="8"/>
      <c r="D859" s="8"/>
      <c r="E859" s="71"/>
      <c r="F859" s="10"/>
      <c r="G859" s="8"/>
      <c r="H859" s="8"/>
      <c r="I859" s="8"/>
      <c r="J859" s="8"/>
      <c r="K859" s="8"/>
      <c r="L859" s="8"/>
    </row>
    <row r="860">
      <c r="A860" s="8"/>
      <c r="B860" s="8"/>
      <c r="C860" s="8"/>
      <c r="D860" s="8"/>
      <c r="E860" s="71"/>
      <c r="F860" s="10"/>
      <c r="G860" s="8"/>
      <c r="H860" s="8"/>
      <c r="I860" s="8"/>
      <c r="J860" s="8"/>
      <c r="K860" s="8"/>
      <c r="L860" s="8"/>
    </row>
    <row r="861">
      <c r="A861" s="8"/>
      <c r="B861" s="8"/>
      <c r="C861" s="8"/>
      <c r="D861" s="8"/>
      <c r="E861" s="71"/>
      <c r="F861" s="10"/>
      <c r="G861" s="8"/>
      <c r="H861" s="8"/>
      <c r="I861" s="8"/>
      <c r="J861" s="8"/>
      <c r="K861" s="8"/>
      <c r="L861" s="8"/>
    </row>
    <row r="862">
      <c r="A862" s="8"/>
      <c r="B862" s="8"/>
      <c r="C862" s="8"/>
      <c r="D862" s="8"/>
      <c r="E862" s="71"/>
      <c r="F862" s="10"/>
      <c r="G862" s="8"/>
      <c r="H862" s="8"/>
      <c r="I862" s="8"/>
      <c r="J862" s="8"/>
      <c r="K862" s="8"/>
      <c r="L862" s="8"/>
    </row>
    <row r="863">
      <c r="A863" s="8"/>
      <c r="B863" s="8"/>
      <c r="C863" s="8"/>
      <c r="D863" s="8"/>
      <c r="E863" s="71"/>
      <c r="F863" s="10"/>
      <c r="G863" s="8"/>
      <c r="H863" s="8"/>
      <c r="I863" s="8"/>
      <c r="J863" s="8"/>
      <c r="K863" s="8"/>
      <c r="L863" s="8"/>
    </row>
    <row r="864">
      <c r="A864" s="8"/>
      <c r="B864" s="8"/>
      <c r="C864" s="8"/>
      <c r="D864" s="8"/>
      <c r="E864" s="71"/>
      <c r="F864" s="10"/>
      <c r="G864" s="8"/>
      <c r="H864" s="8"/>
      <c r="I864" s="8"/>
      <c r="J864" s="8"/>
      <c r="K864" s="8"/>
      <c r="L864" s="8"/>
    </row>
    <row r="865">
      <c r="A865" s="8"/>
      <c r="B865" s="8"/>
      <c r="C865" s="8"/>
      <c r="D865" s="8"/>
      <c r="E865" s="71"/>
      <c r="F865" s="10"/>
      <c r="G865" s="8"/>
      <c r="H865" s="8"/>
      <c r="I865" s="8"/>
      <c r="J865" s="8"/>
      <c r="K865" s="8"/>
      <c r="L865" s="8"/>
    </row>
    <row r="866">
      <c r="A866" s="8"/>
      <c r="B866" s="8"/>
      <c r="C866" s="8"/>
      <c r="D866" s="8"/>
      <c r="E866" s="71"/>
      <c r="F866" s="10"/>
      <c r="G866" s="8"/>
      <c r="H866" s="8"/>
      <c r="I866" s="8"/>
      <c r="J866" s="8"/>
      <c r="K866" s="8"/>
      <c r="L866" s="8"/>
    </row>
    <row r="867">
      <c r="A867" s="8"/>
      <c r="B867" s="8"/>
      <c r="C867" s="8"/>
      <c r="D867" s="8"/>
      <c r="E867" s="71"/>
      <c r="F867" s="10"/>
      <c r="G867" s="8"/>
      <c r="H867" s="8"/>
      <c r="I867" s="8"/>
      <c r="J867" s="8"/>
      <c r="K867" s="8"/>
      <c r="L867" s="8"/>
    </row>
    <row r="868">
      <c r="A868" s="8"/>
      <c r="B868" s="8"/>
      <c r="C868" s="8"/>
      <c r="D868" s="8"/>
      <c r="E868" s="71"/>
      <c r="F868" s="10"/>
      <c r="G868" s="8"/>
      <c r="H868" s="8"/>
      <c r="I868" s="8"/>
      <c r="J868" s="8"/>
      <c r="K868" s="8"/>
      <c r="L868" s="8"/>
    </row>
    <row r="869">
      <c r="A869" s="8"/>
      <c r="B869" s="8"/>
      <c r="C869" s="8"/>
      <c r="D869" s="8"/>
      <c r="E869" s="71"/>
      <c r="F869" s="10"/>
      <c r="G869" s="8"/>
      <c r="H869" s="8"/>
      <c r="I869" s="8"/>
      <c r="J869" s="8"/>
      <c r="K869" s="8"/>
      <c r="L869" s="8"/>
    </row>
    <row r="870">
      <c r="A870" s="8"/>
      <c r="B870" s="8"/>
      <c r="C870" s="8"/>
      <c r="D870" s="8"/>
      <c r="E870" s="71"/>
      <c r="F870" s="10"/>
      <c r="G870" s="8"/>
      <c r="H870" s="8"/>
      <c r="I870" s="8"/>
      <c r="J870" s="8"/>
      <c r="K870" s="8"/>
      <c r="L870" s="8"/>
    </row>
    <row r="871">
      <c r="A871" s="8"/>
      <c r="B871" s="8"/>
      <c r="C871" s="8"/>
      <c r="D871" s="8"/>
      <c r="E871" s="71"/>
      <c r="F871" s="10"/>
      <c r="G871" s="8"/>
      <c r="H871" s="8"/>
      <c r="I871" s="8"/>
      <c r="J871" s="8"/>
      <c r="K871" s="8"/>
      <c r="L871" s="8"/>
    </row>
    <row r="872">
      <c r="A872" s="8"/>
      <c r="B872" s="8"/>
      <c r="C872" s="8"/>
      <c r="D872" s="8"/>
      <c r="E872" s="71"/>
      <c r="F872" s="10"/>
      <c r="G872" s="8"/>
      <c r="H872" s="8"/>
      <c r="I872" s="8"/>
      <c r="J872" s="8"/>
      <c r="K872" s="8"/>
      <c r="L872" s="8"/>
    </row>
    <row r="873">
      <c r="A873" s="8"/>
      <c r="B873" s="8"/>
      <c r="C873" s="8"/>
      <c r="D873" s="8"/>
      <c r="E873" s="71"/>
      <c r="F873" s="10"/>
      <c r="G873" s="8"/>
      <c r="H873" s="8"/>
      <c r="I873" s="8"/>
      <c r="J873" s="8"/>
      <c r="K873" s="8"/>
      <c r="L873" s="8"/>
    </row>
    <row r="874">
      <c r="A874" s="8"/>
      <c r="B874" s="8"/>
      <c r="C874" s="8"/>
      <c r="D874" s="8"/>
      <c r="E874" s="71"/>
      <c r="F874" s="10"/>
      <c r="G874" s="8"/>
      <c r="H874" s="8"/>
      <c r="I874" s="8"/>
      <c r="J874" s="8"/>
      <c r="K874" s="8"/>
      <c r="L874" s="8"/>
    </row>
    <row r="875">
      <c r="A875" s="8"/>
      <c r="B875" s="8"/>
      <c r="C875" s="8"/>
      <c r="D875" s="8"/>
      <c r="E875" s="71"/>
      <c r="F875" s="10"/>
      <c r="G875" s="8"/>
      <c r="H875" s="8"/>
      <c r="I875" s="8"/>
      <c r="J875" s="8"/>
      <c r="K875" s="8"/>
      <c r="L875" s="8"/>
    </row>
    <row r="876">
      <c r="A876" s="8"/>
      <c r="B876" s="8"/>
      <c r="C876" s="8"/>
      <c r="D876" s="8"/>
      <c r="E876" s="71"/>
      <c r="F876" s="10"/>
      <c r="G876" s="8"/>
      <c r="H876" s="8"/>
      <c r="I876" s="8"/>
      <c r="J876" s="8"/>
      <c r="K876" s="8"/>
      <c r="L876" s="8"/>
    </row>
    <row r="877">
      <c r="A877" s="8"/>
      <c r="B877" s="8"/>
      <c r="C877" s="8"/>
      <c r="D877" s="8"/>
      <c r="E877" s="71"/>
      <c r="F877" s="10"/>
      <c r="G877" s="8"/>
      <c r="H877" s="8"/>
      <c r="I877" s="8"/>
      <c r="J877" s="8"/>
      <c r="K877" s="8"/>
      <c r="L877" s="8"/>
    </row>
    <row r="878">
      <c r="A878" s="8"/>
      <c r="B878" s="8"/>
      <c r="C878" s="8"/>
      <c r="D878" s="8"/>
      <c r="E878" s="71"/>
      <c r="F878" s="10"/>
      <c r="G878" s="8"/>
      <c r="H878" s="8"/>
      <c r="I878" s="8"/>
      <c r="J878" s="8"/>
      <c r="K878" s="8"/>
      <c r="L878" s="8"/>
    </row>
    <row r="879">
      <c r="A879" s="8"/>
      <c r="B879" s="8"/>
      <c r="C879" s="8"/>
      <c r="D879" s="8"/>
      <c r="E879" s="71"/>
      <c r="F879" s="10"/>
      <c r="G879" s="8"/>
      <c r="H879" s="8"/>
      <c r="I879" s="8"/>
      <c r="J879" s="8"/>
      <c r="K879" s="8"/>
      <c r="L879" s="8"/>
    </row>
    <row r="880">
      <c r="A880" s="8"/>
      <c r="B880" s="8"/>
      <c r="C880" s="8"/>
      <c r="D880" s="8"/>
      <c r="E880" s="71"/>
      <c r="F880" s="10"/>
      <c r="G880" s="8"/>
      <c r="H880" s="8"/>
      <c r="I880" s="8"/>
      <c r="J880" s="8"/>
      <c r="K880" s="8"/>
      <c r="L880" s="8"/>
    </row>
    <row r="881">
      <c r="A881" s="8"/>
      <c r="B881" s="8"/>
      <c r="C881" s="8"/>
      <c r="D881" s="8"/>
      <c r="E881" s="71"/>
      <c r="F881" s="10"/>
      <c r="G881" s="8"/>
      <c r="H881" s="8"/>
      <c r="I881" s="8"/>
      <c r="J881" s="8"/>
      <c r="K881" s="8"/>
      <c r="L881" s="8"/>
    </row>
    <row r="882">
      <c r="A882" s="8"/>
      <c r="B882" s="8"/>
      <c r="C882" s="8"/>
      <c r="D882" s="8"/>
      <c r="E882" s="71"/>
      <c r="F882" s="10"/>
      <c r="G882" s="8"/>
      <c r="H882" s="8"/>
      <c r="I882" s="8"/>
      <c r="J882" s="8"/>
      <c r="K882" s="8"/>
      <c r="L882" s="8"/>
    </row>
    <row r="883">
      <c r="A883" s="8"/>
      <c r="B883" s="8"/>
      <c r="C883" s="8"/>
      <c r="D883" s="8"/>
      <c r="E883" s="71"/>
      <c r="F883" s="10"/>
      <c r="G883" s="8"/>
      <c r="H883" s="8"/>
      <c r="I883" s="8"/>
      <c r="J883" s="8"/>
      <c r="K883" s="8"/>
      <c r="L883" s="8"/>
    </row>
    <row r="884">
      <c r="A884" s="8"/>
      <c r="B884" s="8"/>
      <c r="C884" s="8"/>
      <c r="D884" s="8"/>
      <c r="E884" s="71"/>
      <c r="F884" s="10"/>
      <c r="G884" s="8"/>
      <c r="H884" s="8"/>
      <c r="I884" s="8"/>
      <c r="J884" s="8"/>
      <c r="K884" s="8"/>
      <c r="L884" s="8"/>
    </row>
    <row r="885">
      <c r="A885" s="8"/>
      <c r="B885" s="8"/>
      <c r="C885" s="8"/>
      <c r="D885" s="8"/>
      <c r="E885" s="71"/>
      <c r="F885" s="10"/>
      <c r="G885" s="8"/>
      <c r="H885" s="8"/>
      <c r="I885" s="8"/>
      <c r="J885" s="8"/>
      <c r="K885" s="8"/>
      <c r="L885" s="8"/>
    </row>
    <row r="886">
      <c r="A886" s="8"/>
      <c r="B886" s="8"/>
      <c r="C886" s="8"/>
      <c r="D886" s="8"/>
      <c r="E886" s="71"/>
      <c r="F886" s="10"/>
      <c r="G886" s="8"/>
      <c r="H886" s="8"/>
      <c r="I886" s="8"/>
      <c r="J886" s="8"/>
      <c r="K886" s="8"/>
      <c r="L886" s="8"/>
    </row>
    <row r="887">
      <c r="A887" s="8"/>
      <c r="B887" s="8"/>
      <c r="C887" s="8"/>
      <c r="D887" s="8"/>
      <c r="E887" s="71"/>
      <c r="F887" s="10"/>
      <c r="G887" s="8"/>
      <c r="H887" s="8"/>
      <c r="I887" s="8"/>
      <c r="J887" s="8"/>
      <c r="K887" s="8"/>
      <c r="L887" s="8"/>
    </row>
    <row r="888">
      <c r="A888" s="8"/>
      <c r="B888" s="8"/>
      <c r="C888" s="8"/>
      <c r="D888" s="8"/>
      <c r="E888" s="71"/>
      <c r="F888" s="10"/>
      <c r="G888" s="8"/>
      <c r="H888" s="8"/>
      <c r="I888" s="8"/>
      <c r="J888" s="8"/>
      <c r="K888" s="8"/>
      <c r="L888" s="8"/>
    </row>
    <row r="889">
      <c r="A889" s="8"/>
      <c r="B889" s="8"/>
      <c r="C889" s="8"/>
      <c r="D889" s="8"/>
      <c r="E889" s="71"/>
      <c r="F889" s="10"/>
      <c r="G889" s="8"/>
      <c r="H889" s="8"/>
      <c r="I889" s="8"/>
      <c r="J889" s="8"/>
      <c r="K889" s="8"/>
      <c r="L889" s="8"/>
    </row>
    <row r="890">
      <c r="A890" s="8"/>
      <c r="B890" s="8"/>
      <c r="C890" s="8"/>
      <c r="D890" s="8"/>
      <c r="E890" s="71"/>
      <c r="F890" s="10"/>
      <c r="G890" s="8"/>
      <c r="H890" s="8"/>
      <c r="I890" s="8"/>
      <c r="J890" s="8"/>
      <c r="K890" s="8"/>
      <c r="L890" s="8"/>
    </row>
    <row r="891">
      <c r="A891" s="8"/>
      <c r="B891" s="8"/>
      <c r="C891" s="8"/>
      <c r="D891" s="8"/>
      <c r="E891" s="71"/>
      <c r="F891" s="10"/>
      <c r="G891" s="8"/>
      <c r="H891" s="8"/>
      <c r="I891" s="8"/>
      <c r="J891" s="8"/>
      <c r="K891" s="8"/>
      <c r="L891" s="8"/>
    </row>
    <row r="892">
      <c r="A892" s="8"/>
      <c r="B892" s="8"/>
      <c r="C892" s="8"/>
      <c r="D892" s="8"/>
      <c r="E892" s="71"/>
      <c r="F892" s="10"/>
      <c r="G892" s="8"/>
      <c r="H892" s="8"/>
      <c r="I892" s="8"/>
      <c r="J892" s="8"/>
      <c r="K892" s="8"/>
      <c r="L892" s="8"/>
    </row>
    <row r="893">
      <c r="A893" s="8"/>
      <c r="B893" s="8"/>
      <c r="C893" s="8"/>
      <c r="D893" s="8"/>
      <c r="E893" s="71"/>
      <c r="F893" s="10"/>
      <c r="G893" s="8"/>
      <c r="H893" s="8"/>
      <c r="I893" s="8"/>
      <c r="J893" s="8"/>
      <c r="K893" s="8"/>
      <c r="L893" s="8"/>
    </row>
    <row r="894">
      <c r="A894" s="8"/>
      <c r="B894" s="8"/>
      <c r="C894" s="8"/>
      <c r="D894" s="8"/>
      <c r="E894" s="71"/>
      <c r="F894" s="10"/>
      <c r="G894" s="8"/>
      <c r="H894" s="8"/>
      <c r="I894" s="8"/>
      <c r="J894" s="8"/>
      <c r="K894" s="8"/>
      <c r="L894" s="8"/>
    </row>
    <row r="895">
      <c r="A895" s="8"/>
      <c r="B895" s="8"/>
      <c r="C895" s="8"/>
      <c r="D895" s="8"/>
      <c r="E895" s="71"/>
      <c r="F895" s="10"/>
      <c r="G895" s="8"/>
      <c r="H895" s="8"/>
      <c r="I895" s="8"/>
      <c r="J895" s="8"/>
      <c r="K895" s="8"/>
      <c r="L895" s="8"/>
    </row>
    <row r="896">
      <c r="A896" s="8"/>
      <c r="B896" s="8"/>
      <c r="C896" s="8"/>
      <c r="D896" s="8"/>
      <c r="E896" s="71"/>
      <c r="F896" s="10"/>
      <c r="G896" s="8"/>
      <c r="H896" s="8"/>
      <c r="I896" s="8"/>
      <c r="J896" s="8"/>
      <c r="K896" s="8"/>
      <c r="L896" s="8"/>
    </row>
    <row r="897">
      <c r="A897" s="8"/>
      <c r="B897" s="8"/>
      <c r="C897" s="8"/>
      <c r="D897" s="8"/>
      <c r="E897" s="71"/>
      <c r="F897" s="10"/>
      <c r="G897" s="8"/>
      <c r="H897" s="8"/>
      <c r="I897" s="8"/>
      <c r="J897" s="8"/>
      <c r="K897" s="8"/>
      <c r="L897" s="8"/>
    </row>
    <row r="898">
      <c r="A898" s="8"/>
      <c r="B898" s="8"/>
      <c r="C898" s="8"/>
      <c r="D898" s="8"/>
      <c r="E898" s="71"/>
      <c r="F898" s="10"/>
      <c r="G898" s="8"/>
      <c r="H898" s="8"/>
      <c r="I898" s="8"/>
      <c r="J898" s="8"/>
      <c r="K898" s="8"/>
      <c r="L898" s="8"/>
    </row>
    <row r="899">
      <c r="A899" s="8"/>
      <c r="B899" s="8"/>
      <c r="C899" s="8"/>
      <c r="D899" s="8"/>
      <c r="E899" s="71"/>
      <c r="F899" s="10"/>
      <c r="G899" s="8"/>
      <c r="H899" s="8"/>
      <c r="I899" s="8"/>
      <c r="J899" s="8"/>
      <c r="K899" s="8"/>
      <c r="L899" s="8"/>
    </row>
    <row r="900">
      <c r="A900" s="8"/>
      <c r="B900" s="8"/>
      <c r="C900" s="8"/>
      <c r="D900" s="8"/>
      <c r="E900" s="71"/>
      <c r="F900" s="10"/>
      <c r="G900" s="8"/>
      <c r="H900" s="8"/>
      <c r="I900" s="8"/>
      <c r="J900" s="8"/>
      <c r="K900" s="8"/>
      <c r="L900" s="8"/>
    </row>
    <row r="901">
      <c r="A901" s="8"/>
      <c r="B901" s="8"/>
      <c r="C901" s="8"/>
      <c r="D901" s="8"/>
      <c r="E901" s="71"/>
      <c r="F901" s="10"/>
      <c r="G901" s="8"/>
      <c r="H901" s="8"/>
      <c r="I901" s="8"/>
      <c r="J901" s="8"/>
      <c r="K901" s="8"/>
      <c r="L901" s="8"/>
    </row>
    <row r="902">
      <c r="A902" s="8"/>
      <c r="B902" s="8"/>
      <c r="C902" s="8"/>
      <c r="D902" s="8"/>
      <c r="E902" s="71"/>
      <c r="F902" s="10"/>
      <c r="G902" s="8"/>
      <c r="H902" s="8"/>
      <c r="I902" s="8"/>
      <c r="J902" s="8"/>
      <c r="K902" s="8"/>
      <c r="L902" s="8"/>
    </row>
    <row r="903">
      <c r="A903" s="8"/>
      <c r="B903" s="8"/>
      <c r="C903" s="8"/>
      <c r="D903" s="8"/>
      <c r="E903" s="71"/>
      <c r="F903" s="10"/>
      <c r="G903" s="8"/>
      <c r="H903" s="8"/>
      <c r="I903" s="8"/>
      <c r="J903" s="8"/>
      <c r="K903" s="8"/>
      <c r="L903" s="8"/>
    </row>
    <row r="904">
      <c r="A904" s="8"/>
      <c r="B904" s="8"/>
      <c r="C904" s="8"/>
      <c r="D904" s="8"/>
      <c r="E904" s="71"/>
      <c r="F904" s="10"/>
      <c r="G904" s="8"/>
      <c r="H904" s="8"/>
      <c r="I904" s="8"/>
      <c r="J904" s="8"/>
      <c r="K904" s="8"/>
      <c r="L904" s="8"/>
    </row>
    <row r="905">
      <c r="A905" s="8"/>
      <c r="B905" s="8"/>
      <c r="C905" s="8"/>
      <c r="D905" s="8"/>
      <c r="E905" s="71"/>
      <c r="F905" s="10"/>
      <c r="G905" s="8"/>
      <c r="H905" s="8"/>
      <c r="I905" s="8"/>
      <c r="J905" s="8"/>
      <c r="K905" s="8"/>
      <c r="L905" s="8"/>
    </row>
    <row r="906">
      <c r="A906" s="8"/>
      <c r="B906" s="8"/>
      <c r="C906" s="8"/>
      <c r="D906" s="8"/>
      <c r="E906" s="71"/>
      <c r="F906" s="10"/>
      <c r="G906" s="8"/>
      <c r="H906" s="8"/>
      <c r="I906" s="8"/>
      <c r="J906" s="8"/>
      <c r="K906" s="8"/>
      <c r="L906" s="8"/>
    </row>
    <row r="907">
      <c r="A907" s="8"/>
      <c r="B907" s="8"/>
      <c r="C907" s="8"/>
      <c r="D907" s="8"/>
      <c r="E907" s="71"/>
      <c r="F907" s="10"/>
      <c r="G907" s="8"/>
      <c r="H907" s="8"/>
      <c r="I907" s="8"/>
      <c r="J907" s="8"/>
      <c r="K907" s="8"/>
      <c r="L907" s="8"/>
    </row>
    <row r="908">
      <c r="A908" s="8"/>
      <c r="B908" s="8"/>
      <c r="C908" s="8"/>
      <c r="D908" s="8"/>
      <c r="E908" s="71"/>
      <c r="F908" s="10"/>
      <c r="G908" s="8"/>
      <c r="H908" s="8"/>
      <c r="I908" s="8"/>
      <c r="J908" s="8"/>
      <c r="K908" s="8"/>
      <c r="L908" s="8"/>
    </row>
    <row r="909">
      <c r="A909" s="8"/>
      <c r="B909" s="8"/>
      <c r="C909" s="8"/>
      <c r="D909" s="8"/>
      <c r="E909" s="71"/>
      <c r="F909" s="10"/>
      <c r="G909" s="8"/>
      <c r="H909" s="8"/>
      <c r="I909" s="8"/>
      <c r="J909" s="8"/>
      <c r="K909" s="8"/>
      <c r="L909" s="8"/>
    </row>
    <row r="910">
      <c r="A910" s="8"/>
      <c r="B910" s="8"/>
      <c r="C910" s="8"/>
      <c r="D910" s="8"/>
      <c r="E910" s="71"/>
      <c r="F910" s="10"/>
      <c r="G910" s="8"/>
      <c r="H910" s="8"/>
      <c r="I910" s="8"/>
      <c r="J910" s="8"/>
      <c r="K910" s="8"/>
      <c r="L910" s="8"/>
    </row>
    <row r="911">
      <c r="A911" s="8"/>
      <c r="B911" s="8"/>
      <c r="C911" s="8"/>
      <c r="D911" s="8"/>
      <c r="E911" s="71"/>
      <c r="F911" s="10"/>
      <c r="G911" s="8"/>
      <c r="H911" s="8"/>
      <c r="I911" s="8"/>
      <c r="J911" s="8"/>
      <c r="K911" s="8"/>
      <c r="L911" s="8"/>
    </row>
    <row r="912">
      <c r="A912" s="8"/>
      <c r="B912" s="8"/>
      <c r="C912" s="8"/>
      <c r="D912" s="8"/>
      <c r="E912" s="71"/>
      <c r="F912" s="10"/>
      <c r="G912" s="8"/>
      <c r="H912" s="8"/>
      <c r="I912" s="8"/>
      <c r="J912" s="8"/>
      <c r="K912" s="8"/>
      <c r="L912" s="8"/>
    </row>
    <row r="913">
      <c r="A913" s="8"/>
      <c r="B913" s="8"/>
      <c r="C913" s="8"/>
      <c r="D913" s="8"/>
      <c r="E913" s="71"/>
      <c r="F913" s="10"/>
      <c r="G913" s="8"/>
      <c r="H913" s="8"/>
      <c r="I913" s="8"/>
      <c r="J913" s="8"/>
      <c r="K913" s="8"/>
      <c r="L913" s="8"/>
    </row>
    <row r="914">
      <c r="A914" s="8"/>
      <c r="B914" s="8"/>
      <c r="C914" s="8"/>
      <c r="D914" s="8"/>
      <c r="E914" s="71"/>
      <c r="F914" s="10"/>
      <c r="G914" s="8"/>
      <c r="H914" s="8"/>
      <c r="I914" s="8"/>
      <c r="J914" s="8"/>
      <c r="K914" s="8"/>
      <c r="L914" s="8"/>
    </row>
    <row r="915">
      <c r="A915" s="8"/>
      <c r="B915" s="8"/>
      <c r="C915" s="8"/>
      <c r="D915" s="8"/>
      <c r="E915" s="71"/>
      <c r="F915" s="10"/>
      <c r="G915" s="8"/>
      <c r="H915" s="8"/>
      <c r="I915" s="8"/>
      <c r="J915" s="8"/>
      <c r="K915" s="8"/>
      <c r="L915" s="8"/>
    </row>
    <row r="916">
      <c r="A916" s="8"/>
      <c r="B916" s="8"/>
      <c r="C916" s="8"/>
      <c r="D916" s="8"/>
      <c r="E916" s="71"/>
      <c r="F916" s="10"/>
      <c r="G916" s="8"/>
      <c r="H916" s="8"/>
      <c r="I916" s="8"/>
      <c r="J916" s="8"/>
      <c r="K916" s="8"/>
      <c r="L916" s="8"/>
    </row>
    <row r="917">
      <c r="A917" s="8"/>
      <c r="B917" s="8"/>
      <c r="C917" s="8"/>
      <c r="D917" s="8"/>
      <c r="E917" s="71"/>
      <c r="F917" s="10"/>
      <c r="G917" s="8"/>
      <c r="H917" s="8"/>
      <c r="I917" s="8"/>
      <c r="J917" s="8"/>
      <c r="K917" s="8"/>
      <c r="L917" s="8"/>
    </row>
    <row r="918">
      <c r="A918" s="8"/>
      <c r="B918" s="8"/>
      <c r="C918" s="8"/>
      <c r="D918" s="8"/>
      <c r="E918" s="71"/>
      <c r="F918" s="10"/>
      <c r="G918" s="8"/>
      <c r="H918" s="8"/>
      <c r="I918" s="8"/>
      <c r="J918" s="8"/>
      <c r="K918" s="8"/>
      <c r="L918" s="8"/>
    </row>
    <row r="919">
      <c r="A919" s="8"/>
      <c r="B919" s="8"/>
      <c r="C919" s="8"/>
      <c r="D919" s="8"/>
      <c r="E919" s="71"/>
      <c r="F919" s="10"/>
      <c r="G919" s="8"/>
      <c r="H919" s="8"/>
      <c r="I919" s="8"/>
      <c r="J919" s="8"/>
      <c r="K919" s="8"/>
      <c r="L919" s="8"/>
    </row>
    <row r="920">
      <c r="A920" s="8"/>
      <c r="B920" s="8"/>
      <c r="C920" s="8"/>
      <c r="D920" s="8"/>
      <c r="E920" s="71"/>
      <c r="F920" s="10"/>
      <c r="G920" s="8"/>
      <c r="H920" s="8"/>
      <c r="I920" s="8"/>
      <c r="J920" s="8"/>
      <c r="K920" s="8"/>
      <c r="L920" s="8"/>
    </row>
    <row r="921">
      <c r="A921" s="8"/>
      <c r="B921" s="8"/>
      <c r="C921" s="8"/>
      <c r="D921" s="8"/>
      <c r="E921" s="71"/>
      <c r="F921" s="10"/>
      <c r="G921" s="8"/>
      <c r="H921" s="8"/>
      <c r="I921" s="8"/>
      <c r="J921" s="8"/>
      <c r="K921" s="8"/>
      <c r="L921" s="8"/>
    </row>
    <row r="922">
      <c r="A922" s="8"/>
      <c r="B922" s="8"/>
      <c r="C922" s="8"/>
      <c r="D922" s="8"/>
      <c r="E922" s="71"/>
      <c r="F922" s="10"/>
      <c r="G922" s="8"/>
      <c r="H922" s="8"/>
      <c r="I922" s="8"/>
      <c r="J922" s="8"/>
      <c r="K922" s="8"/>
      <c r="L922" s="8"/>
    </row>
    <row r="923">
      <c r="A923" s="8"/>
      <c r="B923" s="8"/>
      <c r="C923" s="8"/>
      <c r="D923" s="8"/>
      <c r="E923" s="71"/>
      <c r="F923" s="10"/>
      <c r="G923" s="8"/>
      <c r="H923" s="8"/>
      <c r="I923" s="8"/>
      <c r="J923" s="8"/>
      <c r="K923" s="8"/>
      <c r="L923" s="8"/>
    </row>
    <row r="924">
      <c r="A924" s="8"/>
      <c r="B924" s="8"/>
      <c r="C924" s="8"/>
      <c r="D924" s="8"/>
      <c r="E924" s="71"/>
      <c r="F924" s="10"/>
      <c r="G924" s="8"/>
      <c r="H924" s="8"/>
      <c r="I924" s="8"/>
      <c r="J924" s="8"/>
      <c r="K924" s="8"/>
      <c r="L924" s="8"/>
    </row>
    <row r="925">
      <c r="A925" s="8"/>
      <c r="B925" s="8"/>
      <c r="C925" s="8"/>
      <c r="D925" s="8"/>
      <c r="E925" s="71"/>
      <c r="F925" s="10"/>
      <c r="G925" s="8"/>
      <c r="H925" s="8"/>
      <c r="I925" s="8"/>
      <c r="J925" s="8"/>
      <c r="K925" s="8"/>
      <c r="L925" s="8"/>
    </row>
    <row r="926">
      <c r="A926" s="8"/>
      <c r="B926" s="8"/>
      <c r="C926" s="8"/>
      <c r="D926" s="8"/>
      <c r="E926" s="71"/>
      <c r="F926" s="10"/>
      <c r="G926" s="8"/>
      <c r="H926" s="8"/>
      <c r="I926" s="8"/>
      <c r="J926" s="8"/>
      <c r="K926" s="8"/>
      <c r="L926" s="8"/>
    </row>
    <row r="927">
      <c r="A927" s="8"/>
      <c r="B927" s="8"/>
      <c r="C927" s="8"/>
      <c r="D927" s="8"/>
      <c r="E927" s="71"/>
      <c r="F927" s="10"/>
      <c r="G927" s="8"/>
      <c r="H927" s="8"/>
      <c r="I927" s="8"/>
      <c r="J927" s="8"/>
      <c r="K927" s="8"/>
      <c r="L927" s="8"/>
    </row>
    <row r="928">
      <c r="A928" s="8"/>
      <c r="B928" s="8"/>
      <c r="C928" s="8"/>
      <c r="D928" s="8"/>
      <c r="E928" s="71"/>
      <c r="F928" s="10"/>
      <c r="G928" s="8"/>
      <c r="H928" s="8"/>
      <c r="I928" s="8"/>
      <c r="J928" s="8"/>
      <c r="K928" s="8"/>
      <c r="L928" s="8"/>
    </row>
    <row r="929">
      <c r="A929" s="8"/>
      <c r="B929" s="8"/>
      <c r="C929" s="8"/>
      <c r="D929" s="8"/>
      <c r="E929" s="71"/>
      <c r="F929" s="10"/>
      <c r="G929" s="8"/>
      <c r="H929" s="8"/>
      <c r="I929" s="8"/>
      <c r="J929" s="8"/>
      <c r="K929" s="8"/>
      <c r="L929" s="8"/>
    </row>
    <row r="930">
      <c r="A930" s="8"/>
      <c r="B930" s="8"/>
      <c r="C930" s="8"/>
      <c r="D930" s="8"/>
      <c r="E930" s="71"/>
      <c r="F930" s="10"/>
      <c r="G930" s="8"/>
      <c r="H930" s="8"/>
      <c r="I930" s="8"/>
      <c r="J930" s="8"/>
      <c r="K930" s="8"/>
      <c r="L930" s="8"/>
    </row>
    <row r="931">
      <c r="A931" s="8"/>
      <c r="B931" s="8"/>
      <c r="C931" s="8"/>
      <c r="D931" s="8"/>
      <c r="E931" s="71"/>
      <c r="F931" s="10"/>
      <c r="G931" s="8"/>
      <c r="H931" s="8"/>
      <c r="I931" s="8"/>
      <c r="J931" s="8"/>
      <c r="K931" s="8"/>
      <c r="L931" s="8"/>
    </row>
    <row r="932">
      <c r="A932" s="8"/>
      <c r="B932" s="8"/>
      <c r="C932" s="8"/>
      <c r="D932" s="8"/>
      <c r="E932" s="71"/>
      <c r="F932" s="10"/>
      <c r="G932" s="8"/>
      <c r="H932" s="8"/>
      <c r="I932" s="8"/>
      <c r="J932" s="8"/>
      <c r="K932" s="8"/>
      <c r="L932" s="8"/>
    </row>
    <row r="933">
      <c r="A933" s="8"/>
      <c r="B933" s="8"/>
      <c r="C933" s="8"/>
      <c r="D933" s="8"/>
      <c r="E933" s="71"/>
      <c r="F933" s="10"/>
      <c r="G933" s="8"/>
      <c r="H933" s="8"/>
      <c r="I933" s="8"/>
      <c r="J933" s="8"/>
      <c r="K933" s="8"/>
      <c r="L933" s="8"/>
    </row>
    <row r="934">
      <c r="A934" s="8"/>
      <c r="B934" s="8"/>
      <c r="C934" s="8"/>
      <c r="D934" s="8"/>
      <c r="E934" s="71"/>
      <c r="F934" s="10"/>
      <c r="G934" s="8"/>
      <c r="H934" s="8"/>
      <c r="I934" s="8"/>
      <c r="J934" s="8"/>
      <c r="K934" s="8"/>
      <c r="L934" s="8"/>
    </row>
    <row r="935">
      <c r="A935" s="8"/>
      <c r="B935" s="8"/>
      <c r="C935" s="8"/>
      <c r="D935" s="8"/>
      <c r="E935" s="71"/>
      <c r="F935" s="10"/>
      <c r="G935" s="8"/>
      <c r="H935" s="8"/>
      <c r="I935" s="8"/>
      <c r="J935" s="8"/>
      <c r="K935" s="8"/>
      <c r="L935" s="8"/>
    </row>
    <row r="936">
      <c r="A936" s="8"/>
      <c r="B936" s="8"/>
      <c r="C936" s="8"/>
      <c r="D936" s="8"/>
      <c r="E936" s="71"/>
      <c r="F936" s="10"/>
      <c r="G936" s="8"/>
      <c r="H936" s="8"/>
      <c r="I936" s="8"/>
      <c r="J936" s="8"/>
      <c r="K936" s="8"/>
      <c r="L936" s="8"/>
    </row>
    <row r="937">
      <c r="A937" s="8"/>
      <c r="B937" s="8"/>
      <c r="C937" s="8"/>
      <c r="D937" s="8"/>
      <c r="E937" s="71"/>
      <c r="F937" s="10"/>
      <c r="G937" s="8"/>
      <c r="H937" s="8"/>
      <c r="I937" s="8"/>
      <c r="J937" s="8"/>
      <c r="K937" s="8"/>
      <c r="L937" s="8"/>
    </row>
    <row r="938">
      <c r="A938" s="8"/>
      <c r="B938" s="8"/>
      <c r="C938" s="8"/>
      <c r="D938" s="8"/>
      <c r="E938" s="71"/>
      <c r="F938" s="10"/>
      <c r="G938" s="8"/>
      <c r="H938" s="8"/>
      <c r="I938" s="8"/>
      <c r="J938" s="8"/>
      <c r="K938" s="8"/>
      <c r="L938" s="8"/>
    </row>
    <row r="939">
      <c r="A939" s="8"/>
      <c r="B939" s="8"/>
      <c r="C939" s="8"/>
      <c r="D939" s="8"/>
      <c r="E939" s="71"/>
      <c r="F939" s="10"/>
      <c r="G939" s="8"/>
      <c r="H939" s="8"/>
      <c r="I939" s="8"/>
      <c r="J939" s="8"/>
      <c r="K939" s="8"/>
      <c r="L939" s="8"/>
    </row>
    <row r="940">
      <c r="A940" s="8"/>
      <c r="B940" s="8"/>
      <c r="C940" s="8"/>
      <c r="D940" s="8"/>
      <c r="E940" s="71"/>
      <c r="F940" s="10"/>
      <c r="G940" s="8"/>
      <c r="H940" s="8"/>
      <c r="I940" s="8"/>
      <c r="J940" s="8"/>
      <c r="K940" s="8"/>
      <c r="L940" s="8"/>
    </row>
    <row r="941">
      <c r="A941" s="8"/>
      <c r="B941" s="8"/>
      <c r="C941" s="8"/>
      <c r="D941" s="8"/>
      <c r="E941" s="71"/>
      <c r="F941" s="10"/>
      <c r="G941" s="8"/>
      <c r="H941" s="8"/>
      <c r="I941" s="8"/>
      <c r="J941" s="8"/>
      <c r="K941" s="8"/>
      <c r="L941" s="8"/>
    </row>
    <row r="942">
      <c r="A942" s="8"/>
      <c r="B942" s="8"/>
      <c r="C942" s="8"/>
      <c r="D942" s="8"/>
      <c r="E942" s="71"/>
      <c r="F942" s="10"/>
      <c r="G942" s="8"/>
      <c r="H942" s="8"/>
      <c r="I942" s="8"/>
      <c r="J942" s="8"/>
      <c r="K942" s="8"/>
      <c r="L942" s="8"/>
    </row>
    <row r="943">
      <c r="A943" s="8"/>
      <c r="B943" s="8"/>
      <c r="C943" s="8"/>
      <c r="D943" s="8"/>
      <c r="E943" s="71"/>
      <c r="F943" s="10"/>
      <c r="G943" s="8"/>
      <c r="H943" s="8"/>
      <c r="I943" s="8"/>
      <c r="J943" s="8"/>
      <c r="K943" s="8"/>
      <c r="L943" s="8"/>
    </row>
    <row r="944">
      <c r="A944" s="8"/>
      <c r="B944" s="8"/>
      <c r="C944" s="8"/>
      <c r="D944" s="8"/>
      <c r="E944" s="71"/>
      <c r="F944" s="10"/>
      <c r="G944" s="8"/>
      <c r="H944" s="8"/>
      <c r="I944" s="8"/>
      <c r="J944" s="8"/>
      <c r="K944" s="8"/>
      <c r="L944" s="8"/>
    </row>
    <row r="945">
      <c r="A945" s="8"/>
      <c r="B945" s="8"/>
      <c r="C945" s="8"/>
      <c r="D945" s="8"/>
      <c r="E945" s="71"/>
      <c r="F945" s="10"/>
      <c r="G945" s="8"/>
      <c r="H945" s="8"/>
      <c r="I945" s="8"/>
      <c r="J945" s="8"/>
      <c r="K945" s="8"/>
      <c r="L945" s="8"/>
    </row>
    <row r="946">
      <c r="A946" s="8"/>
      <c r="B946" s="8"/>
      <c r="C946" s="8"/>
      <c r="D946" s="8"/>
      <c r="E946" s="71"/>
      <c r="F946" s="10"/>
      <c r="G946" s="8"/>
      <c r="H946" s="8"/>
      <c r="I946" s="8"/>
      <c r="J946" s="8"/>
      <c r="K946" s="8"/>
      <c r="L946" s="8"/>
    </row>
    <row r="947">
      <c r="A947" s="8"/>
      <c r="B947" s="8"/>
      <c r="C947" s="8"/>
      <c r="D947" s="8"/>
      <c r="E947" s="71"/>
      <c r="F947" s="10"/>
      <c r="G947" s="8"/>
      <c r="H947" s="8"/>
      <c r="I947" s="8"/>
      <c r="J947" s="8"/>
      <c r="K947" s="8"/>
      <c r="L947" s="8"/>
    </row>
    <row r="948">
      <c r="A948" s="8"/>
      <c r="B948" s="8"/>
      <c r="C948" s="8"/>
      <c r="D948" s="8"/>
      <c r="E948" s="71"/>
      <c r="F948" s="10"/>
      <c r="G948" s="8"/>
      <c r="H948" s="8"/>
      <c r="I948" s="8"/>
      <c r="J948" s="8"/>
      <c r="K948" s="8"/>
      <c r="L948" s="8"/>
    </row>
    <row r="949">
      <c r="A949" s="8"/>
      <c r="B949" s="8"/>
      <c r="C949" s="8"/>
      <c r="D949" s="8"/>
      <c r="E949" s="71"/>
      <c r="F949" s="10"/>
      <c r="G949" s="8"/>
      <c r="H949" s="8"/>
      <c r="I949" s="8"/>
      <c r="J949" s="8"/>
      <c r="K949" s="8"/>
      <c r="L949" s="8"/>
    </row>
    <row r="950">
      <c r="A950" s="8"/>
      <c r="B950" s="8"/>
      <c r="C950" s="8"/>
      <c r="D950" s="8"/>
      <c r="E950" s="71"/>
      <c r="F950" s="10"/>
      <c r="G950" s="8"/>
      <c r="H950" s="8"/>
      <c r="I950" s="8"/>
      <c r="J950" s="8"/>
      <c r="K950" s="8"/>
      <c r="L950" s="8"/>
    </row>
    <row r="951">
      <c r="A951" s="8"/>
      <c r="B951" s="8"/>
      <c r="C951" s="8"/>
      <c r="D951" s="8"/>
      <c r="E951" s="71"/>
      <c r="F951" s="10"/>
      <c r="G951" s="8"/>
      <c r="H951" s="8"/>
      <c r="I951" s="8"/>
      <c r="J951" s="8"/>
      <c r="K951" s="8"/>
      <c r="L951" s="8"/>
    </row>
    <row r="952">
      <c r="A952" s="8"/>
      <c r="B952" s="8"/>
      <c r="C952" s="8"/>
      <c r="D952" s="8"/>
      <c r="E952" s="71"/>
      <c r="F952" s="10"/>
      <c r="G952" s="8"/>
      <c r="H952" s="8"/>
      <c r="I952" s="8"/>
      <c r="J952" s="8"/>
      <c r="K952" s="8"/>
      <c r="L952" s="8"/>
    </row>
    <row r="953">
      <c r="A953" s="8"/>
      <c r="B953" s="8"/>
      <c r="C953" s="8"/>
      <c r="D953" s="8"/>
      <c r="E953" s="71"/>
      <c r="F953" s="10"/>
      <c r="G953" s="8"/>
      <c r="H953" s="8"/>
      <c r="I953" s="8"/>
      <c r="J953" s="8"/>
      <c r="K953" s="8"/>
      <c r="L953" s="8"/>
    </row>
    <row r="954">
      <c r="A954" s="8"/>
      <c r="B954" s="8"/>
      <c r="C954" s="8"/>
      <c r="D954" s="8"/>
      <c r="E954" s="71"/>
      <c r="F954" s="10"/>
      <c r="G954" s="8"/>
      <c r="H954" s="8"/>
      <c r="I954" s="8"/>
      <c r="J954" s="8"/>
      <c r="K954" s="8"/>
      <c r="L954" s="8"/>
    </row>
    <row r="955">
      <c r="A955" s="8"/>
      <c r="B955" s="8"/>
      <c r="C955" s="8"/>
      <c r="D955" s="8"/>
      <c r="E955" s="71"/>
      <c r="F955" s="10"/>
      <c r="G955" s="8"/>
      <c r="H955" s="8"/>
      <c r="I955" s="8"/>
      <c r="J955" s="8"/>
      <c r="K955" s="8"/>
      <c r="L955" s="8"/>
    </row>
    <row r="956">
      <c r="A956" s="8"/>
      <c r="B956" s="8"/>
      <c r="C956" s="8"/>
      <c r="D956" s="8"/>
      <c r="E956" s="71"/>
      <c r="F956" s="10"/>
      <c r="G956" s="8"/>
      <c r="H956" s="8"/>
      <c r="I956" s="8"/>
      <c r="J956" s="8"/>
      <c r="K956" s="8"/>
      <c r="L956" s="8"/>
    </row>
    <row r="957">
      <c r="A957" s="8"/>
      <c r="B957" s="8"/>
      <c r="C957" s="8"/>
      <c r="D957" s="8"/>
      <c r="E957" s="71"/>
      <c r="F957" s="10"/>
      <c r="G957" s="8"/>
      <c r="H957" s="8"/>
      <c r="I957" s="8"/>
      <c r="J957" s="8"/>
      <c r="K957" s="8"/>
      <c r="L957" s="8"/>
    </row>
    <row r="958">
      <c r="A958" s="8"/>
      <c r="B958" s="8"/>
      <c r="C958" s="8"/>
      <c r="D958" s="8"/>
      <c r="E958" s="71"/>
      <c r="F958" s="10"/>
      <c r="G958" s="8"/>
      <c r="H958" s="8"/>
      <c r="I958" s="8"/>
      <c r="J958" s="8"/>
      <c r="K958" s="8"/>
      <c r="L958" s="8"/>
    </row>
    <row r="959">
      <c r="A959" s="8"/>
      <c r="B959" s="8"/>
      <c r="C959" s="8"/>
      <c r="D959" s="8"/>
      <c r="E959" s="71"/>
      <c r="F959" s="10"/>
      <c r="G959" s="8"/>
      <c r="H959" s="8"/>
      <c r="I959" s="8"/>
      <c r="J959" s="8"/>
      <c r="K959" s="8"/>
      <c r="L959" s="8"/>
    </row>
    <row r="960">
      <c r="A960" s="8"/>
      <c r="B960" s="8"/>
      <c r="C960" s="8"/>
      <c r="D960" s="8"/>
      <c r="E960" s="71"/>
      <c r="F960" s="10"/>
      <c r="G960" s="8"/>
      <c r="H960" s="8"/>
      <c r="I960" s="8"/>
      <c r="J960" s="8"/>
      <c r="K960" s="8"/>
      <c r="L960" s="8"/>
    </row>
    <row r="961">
      <c r="A961" s="8"/>
      <c r="B961" s="8"/>
      <c r="C961" s="8"/>
      <c r="D961" s="8"/>
      <c r="E961" s="71"/>
      <c r="F961" s="10"/>
      <c r="G961" s="8"/>
      <c r="H961" s="8"/>
      <c r="I961" s="8"/>
      <c r="J961" s="8"/>
      <c r="K961" s="8"/>
      <c r="L961" s="8"/>
    </row>
    <row r="962">
      <c r="A962" s="8"/>
      <c r="B962" s="8"/>
      <c r="C962" s="8"/>
      <c r="D962" s="8"/>
      <c r="E962" s="71"/>
      <c r="F962" s="10"/>
      <c r="G962" s="8"/>
      <c r="H962" s="8"/>
      <c r="I962" s="8"/>
      <c r="J962" s="8"/>
      <c r="K962" s="8"/>
      <c r="L962" s="8"/>
    </row>
    <row r="963">
      <c r="A963" s="8"/>
      <c r="B963" s="8"/>
      <c r="C963" s="8"/>
      <c r="D963" s="8"/>
      <c r="E963" s="71"/>
      <c r="F963" s="10"/>
      <c r="G963" s="8"/>
      <c r="H963" s="8"/>
      <c r="I963" s="8"/>
      <c r="J963" s="8"/>
      <c r="K963" s="8"/>
      <c r="L963" s="8"/>
    </row>
    <row r="964">
      <c r="A964" s="8"/>
      <c r="B964" s="8"/>
      <c r="C964" s="8"/>
      <c r="D964" s="8"/>
      <c r="E964" s="71"/>
      <c r="F964" s="10"/>
      <c r="G964" s="8"/>
      <c r="H964" s="8"/>
      <c r="I964" s="8"/>
      <c r="J964" s="8"/>
      <c r="K964" s="8"/>
      <c r="L964" s="8"/>
    </row>
    <row r="965">
      <c r="A965" s="8"/>
      <c r="B965" s="8"/>
      <c r="C965" s="8"/>
      <c r="D965" s="8"/>
      <c r="E965" s="71"/>
      <c r="F965" s="10"/>
      <c r="G965" s="8"/>
      <c r="H965" s="8"/>
      <c r="I965" s="8"/>
      <c r="J965" s="8"/>
      <c r="K965" s="8"/>
      <c r="L965" s="8"/>
    </row>
    <row r="966">
      <c r="A966" s="8"/>
      <c r="B966" s="8"/>
      <c r="C966" s="8"/>
      <c r="D966" s="8"/>
      <c r="E966" s="71"/>
      <c r="F966" s="10"/>
      <c r="G966" s="8"/>
      <c r="H966" s="8"/>
      <c r="I966" s="8"/>
      <c r="J966" s="8"/>
      <c r="K966" s="8"/>
      <c r="L966" s="8"/>
    </row>
    <row r="967">
      <c r="A967" s="8"/>
      <c r="B967" s="8"/>
      <c r="C967" s="8"/>
      <c r="D967" s="8"/>
      <c r="E967" s="71"/>
      <c r="F967" s="10"/>
      <c r="G967" s="8"/>
      <c r="H967" s="8"/>
      <c r="I967" s="8"/>
      <c r="J967" s="8"/>
      <c r="K967" s="8"/>
      <c r="L967" s="8"/>
    </row>
    <row r="968">
      <c r="A968" s="8"/>
      <c r="B968" s="8"/>
      <c r="C968" s="8"/>
      <c r="D968" s="8"/>
      <c r="E968" s="71"/>
      <c r="F968" s="10"/>
      <c r="G968" s="8"/>
      <c r="H968" s="8"/>
      <c r="I968" s="8"/>
      <c r="J968" s="8"/>
      <c r="K968" s="8"/>
      <c r="L968" s="8"/>
    </row>
    <row r="969">
      <c r="A969" s="8"/>
      <c r="B969" s="8"/>
      <c r="C969" s="8"/>
      <c r="D969" s="8"/>
      <c r="E969" s="71"/>
      <c r="F969" s="10"/>
      <c r="G969" s="8"/>
      <c r="H969" s="8"/>
      <c r="I969" s="8"/>
      <c r="J969" s="8"/>
      <c r="K969" s="8"/>
      <c r="L969" s="8"/>
    </row>
    <row r="970">
      <c r="A970" s="8"/>
      <c r="B970" s="8"/>
      <c r="C970" s="8"/>
      <c r="D970" s="8"/>
      <c r="E970" s="71"/>
      <c r="F970" s="10"/>
      <c r="G970" s="8"/>
      <c r="H970" s="8"/>
      <c r="I970" s="8"/>
      <c r="J970" s="8"/>
      <c r="K970" s="8"/>
      <c r="L970" s="8"/>
    </row>
    <row r="971">
      <c r="A971" s="8"/>
      <c r="B971" s="8"/>
      <c r="C971" s="8"/>
      <c r="D971" s="8"/>
      <c r="E971" s="71"/>
      <c r="F971" s="10"/>
      <c r="G971" s="8"/>
      <c r="H971" s="8"/>
      <c r="I971" s="8"/>
      <c r="J971" s="8"/>
      <c r="K971" s="8"/>
      <c r="L971" s="8"/>
    </row>
    <row r="972">
      <c r="A972" s="8"/>
      <c r="B972" s="8"/>
      <c r="C972" s="8"/>
      <c r="D972" s="8"/>
      <c r="E972" s="71"/>
      <c r="F972" s="10"/>
      <c r="G972" s="8"/>
      <c r="H972" s="8"/>
      <c r="I972" s="8"/>
      <c r="J972" s="8"/>
      <c r="K972" s="8"/>
      <c r="L972" s="8"/>
    </row>
    <row r="973">
      <c r="A973" s="8"/>
      <c r="B973" s="8"/>
      <c r="C973" s="8"/>
      <c r="D973" s="8"/>
      <c r="E973" s="71"/>
      <c r="F973" s="10"/>
      <c r="G973" s="8"/>
      <c r="H973" s="8"/>
      <c r="I973" s="8"/>
      <c r="J973" s="8"/>
      <c r="K973" s="8"/>
      <c r="L973" s="8"/>
    </row>
    <row r="974">
      <c r="A974" s="8"/>
      <c r="B974" s="8"/>
      <c r="C974" s="8"/>
      <c r="D974" s="8"/>
      <c r="E974" s="71"/>
      <c r="F974" s="10"/>
      <c r="G974" s="8"/>
      <c r="H974" s="8"/>
      <c r="I974" s="8"/>
      <c r="J974" s="8"/>
      <c r="K974" s="8"/>
      <c r="L974" s="8"/>
    </row>
    <row r="975">
      <c r="A975" s="8"/>
      <c r="B975" s="8"/>
      <c r="C975" s="8"/>
      <c r="D975" s="8"/>
      <c r="E975" s="71"/>
      <c r="F975" s="10"/>
      <c r="G975" s="8"/>
      <c r="H975" s="8"/>
      <c r="I975" s="8"/>
      <c r="J975" s="8"/>
      <c r="K975" s="8"/>
      <c r="L975" s="8"/>
    </row>
    <row r="976">
      <c r="A976" s="8"/>
      <c r="B976" s="8"/>
      <c r="C976" s="8"/>
      <c r="D976" s="8"/>
      <c r="E976" s="71"/>
      <c r="F976" s="10"/>
      <c r="G976" s="8"/>
      <c r="H976" s="8"/>
      <c r="I976" s="8"/>
      <c r="J976" s="8"/>
      <c r="K976" s="8"/>
      <c r="L976" s="8"/>
    </row>
    <row r="977">
      <c r="A977" s="8"/>
      <c r="B977" s="8"/>
      <c r="C977" s="8"/>
      <c r="D977" s="8"/>
      <c r="E977" s="71"/>
      <c r="F977" s="10"/>
      <c r="G977" s="8"/>
      <c r="H977" s="8"/>
      <c r="I977" s="8"/>
      <c r="J977" s="8"/>
      <c r="K977" s="8"/>
      <c r="L977" s="8"/>
    </row>
    <row r="978">
      <c r="A978" s="8"/>
      <c r="B978" s="8"/>
      <c r="C978" s="8"/>
      <c r="D978" s="8"/>
      <c r="E978" s="71"/>
      <c r="F978" s="10"/>
      <c r="G978" s="8"/>
      <c r="H978" s="8"/>
      <c r="I978" s="8"/>
      <c r="J978" s="8"/>
      <c r="K978" s="8"/>
      <c r="L978" s="8"/>
    </row>
    <row r="979">
      <c r="A979" s="8"/>
      <c r="B979" s="8"/>
      <c r="C979" s="8"/>
      <c r="D979" s="8"/>
      <c r="E979" s="71"/>
      <c r="F979" s="10"/>
      <c r="G979" s="8"/>
      <c r="H979" s="8"/>
      <c r="I979" s="8"/>
      <c r="J979" s="8"/>
      <c r="K979" s="8"/>
      <c r="L979" s="8"/>
    </row>
    <row r="980">
      <c r="A980" s="8"/>
      <c r="B980" s="8"/>
      <c r="C980" s="8"/>
      <c r="D980" s="8"/>
      <c r="E980" s="71"/>
      <c r="F980" s="10"/>
      <c r="G980" s="8"/>
      <c r="H980" s="8"/>
      <c r="I980" s="8"/>
      <c r="J980" s="8"/>
      <c r="K980" s="8"/>
      <c r="L980" s="8"/>
    </row>
    <row r="981">
      <c r="A981" s="8"/>
      <c r="B981" s="8"/>
      <c r="C981" s="8"/>
      <c r="D981" s="8"/>
      <c r="E981" s="71"/>
      <c r="F981" s="10"/>
      <c r="G981" s="8"/>
      <c r="H981" s="8"/>
      <c r="I981" s="8"/>
      <c r="J981" s="8"/>
      <c r="K981" s="8"/>
      <c r="L981" s="8"/>
    </row>
    <row r="982">
      <c r="A982" s="8"/>
      <c r="B982" s="8"/>
      <c r="C982" s="8"/>
      <c r="D982" s="8"/>
      <c r="E982" s="71"/>
      <c r="F982" s="10"/>
      <c r="G982" s="8"/>
      <c r="H982" s="8"/>
      <c r="I982" s="8"/>
      <c r="J982" s="8"/>
      <c r="K982" s="8"/>
      <c r="L982" s="8"/>
    </row>
    <row r="983">
      <c r="A983" s="8"/>
      <c r="B983" s="8"/>
      <c r="C983" s="8"/>
      <c r="D983" s="8"/>
      <c r="E983" s="71"/>
      <c r="F983" s="10"/>
      <c r="G983" s="8"/>
      <c r="H983" s="8"/>
      <c r="I983" s="8"/>
      <c r="J983" s="8"/>
      <c r="K983" s="8"/>
      <c r="L983" s="8"/>
    </row>
    <row r="984">
      <c r="A984" s="8"/>
      <c r="B984" s="8"/>
      <c r="C984" s="8"/>
      <c r="D984" s="8"/>
      <c r="E984" s="71"/>
      <c r="F984" s="10"/>
      <c r="G984" s="8"/>
      <c r="H984" s="8"/>
      <c r="I984" s="8"/>
      <c r="J984" s="8"/>
      <c r="K984" s="8"/>
      <c r="L984" s="8"/>
    </row>
    <row r="985">
      <c r="A985" s="8"/>
      <c r="B985" s="8"/>
      <c r="C985" s="8"/>
      <c r="D985" s="8"/>
      <c r="E985" s="71"/>
      <c r="F985" s="10"/>
      <c r="G985" s="8"/>
      <c r="H985" s="8"/>
      <c r="I985" s="8"/>
      <c r="J985" s="8"/>
      <c r="K985" s="8"/>
      <c r="L985" s="8"/>
    </row>
    <row r="986">
      <c r="A986" s="8"/>
      <c r="B986" s="8"/>
      <c r="C986" s="8"/>
      <c r="D986" s="8"/>
      <c r="E986" s="71"/>
      <c r="F986" s="10"/>
      <c r="G986" s="8"/>
      <c r="H986" s="8"/>
      <c r="I986" s="8"/>
      <c r="J986" s="8"/>
      <c r="K986" s="8"/>
      <c r="L986" s="8"/>
    </row>
    <row r="987">
      <c r="A987" s="8"/>
      <c r="B987" s="8"/>
      <c r="C987" s="8"/>
      <c r="D987" s="8"/>
      <c r="E987" s="71"/>
      <c r="F987" s="10"/>
      <c r="G987" s="8"/>
      <c r="H987" s="8"/>
      <c r="I987" s="8"/>
      <c r="J987" s="8"/>
      <c r="K987" s="8"/>
      <c r="L987" s="8"/>
    </row>
    <row r="988">
      <c r="A988" s="8"/>
      <c r="B988" s="8"/>
      <c r="C988" s="8"/>
      <c r="D988" s="8"/>
      <c r="E988" s="71"/>
      <c r="F988" s="10"/>
      <c r="G988" s="8"/>
      <c r="H988" s="8"/>
      <c r="I988" s="8"/>
      <c r="J988" s="8"/>
      <c r="K988" s="8"/>
      <c r="L988" s="8"/>
    </row>
    <row r="989">
      <c r="A989" s="8"/>
      <c r="B989" s="8"/>
      <c r="C989" s="8"/>
      <c r="D989" s="8"/>
      <c r="E989" s="71"/>
      <c r="F989" s="10"/>
      <c r="G989" s="8"/>
      <c r="H989" s="8"/>
      <c r="I989" s="8"/>
      <c r="J989" s="8"/>
      <c r="K989" s="8"/>
      <c r="L989" s="8"/>
    </row>
    <row r="990">
      <c r="A990" s="8"/>
      <c r="B990" s="8"/>
      <c r="C990" s="8"/>
      <c r="D990" s="8"/>
      <c r="E990" s="71"/>
      <c r="F990" s="10"/>
      <c r="G990" s="8"/>
      <c r="H990" s="8"/>
      <c r="I990" s="8"/>
      <c r="J990" s="8"/>
      <c r="K990" s="8"/>
      <c r="L990" s="8"/>
    </row>
    <row r="991">
      <c r="A991" s="8"/>
      <c r="B991" s="8"/>
      <c r="C991" s="8"/>
      <c r="D991" s="8"/>
      <c r="E991" s="71"/>
      <c r="F991" s="10"/>
      <c r="G991" s="8"/>
      <c r="H991" s="8"/>
      <c r="I991" s="8"/>
      <c r="J991" s="8"/>
      <c r="K991" s="8"/>
      <c r="L991" s="8"/>
    </row>
    <row r="992">
      <c r="A992" s="8"/>
      <c r="B992" s="8"/>
      <c r="C992" s="8"/>
      <c r="D992" s="8"/>
      <c r="E992" s="71"/>
      <c r="F992" s="10"/>
      <c r="G992" s="8"/>
      <c r="H992" s="8"/>
      <c r="I992" s="8"/>
      <c r="J992" s="8"/>
      <c r="K992" s="8"/>
      <c r="L992" s="8"/>
    </row>
    <row r="993">
      <c r="A993" s="8"/>
      <c r="B993" s="8"/>
      <c r="C993" s="8"/>
      <c r="D993" s="8"/>
      <c r="E993" s="71"/>
      <c r="F993" s="10"/>
      <c r="G993" s="8"/>
      <c r="H993" s="8"/>
      <c r="I993" s="8"/>
      <c r="J993" s="8"/>
      <c r="K993" s="8"/>
      <c r="L993" s="8"/>
    </row>
    <row r="994">
      <c r="A994" s="8"/>
      <c r="B994" s="8"/>
      <c r="C994" s="8"/>
      <c r="D994" s="8"/>
      <c r="E994" s="71"/>
      <c r="F994" s="10"/>
      <c r="G994" s="8"/>
      <c r="H994" s="8"/>
      <c r="I994" s="8"/>
      <c r="J994" s="8"/>
      <c r="K994" s="8"/>
      <c r="L994" s="8"/>
    </row>
    <row r="995">
      <c r="A995" s="8"/>
      <c r="B995" s="8"/>
      <c r="C995" s="8"/>
      <c r="D995" s="8"/>
      <c r="E995" s="71"/>
      <c r="F995" s="10"/>
      <c r="G995" s="8"/>
      <c r="H995" s="8"/>
      <c r="I995" s="8"/>
      <c r="J995" s="8"/>
      <c r="K995" s="8"/>
      <c r="L995" s="8"/>
    </row>
    <row r="996">
      <c r="A996" s="8"/>
      <c r="B996" s="8"/>
      <c r="C996" s="8"/>
      <c r="D996" s="8"/>
      <c r="E996" s="71"/>
      <c r="F996" s="10"/>
      <c r="G996" s="8"/>
      <c r="H996" s="8"/>
      <c r="I996" s="8"/>
      <c r="J996" s="8"/>
      <c r="K996" s="8"/>
      <c r="L996" s="8"/>
    </row>
    <row r="997">
      <c r="A997" s="8"/>
      <c r="B997" s="8"/>
      <c r="C997" s="8"/>
      <c r="D997" s="8"/>
      <c r="E997" s="71"/>
      <c r="F997" s="10"/>
      <c r="G997" s="8"/>
      <c r="H997" s="8"/>
      <c r="I997" s="8"/>
      <c r="J997" s="8"/>
      <c r="K997" s="8"/>
      <c r="L997" s="8"/>
    </row>
    <row r="998">
      <c r="A998" s="8"/>
      <c r="B998" s="8"/>
      <c r="C998" s="8"/>
      <c r="D998" s="8"/>
      <c r="E998" s="71"/>
      <c r="F998" s="10"/>
      <c r="G998" s="8"/>
      <c r="H998" s="8"/>
      <c r="I998" s="8"/>
      <c r="J998" s="8"/>
      <c r="K998" s="8"/>
      <c r="L998" s="8"/>
    </row>
    <row r="999">
      <c r="A999" s="8"/>
      <c r="B999" s="8"/>
      <c r="C999" s="8"/>
      <c r="D999" s="8"/>
      <c r="E999" s="71"/>
      <c r="F999" s="10"/>
      <c r="G999" s="8"/>
      <c r="H999" s="8"/>
      <c r="I999" s="8"/>
      <c r="J999" s="8"/>
      <c r="K999" s="8"/>
      <c r="L999" s="8"/>
    </row>
    <row r="1000">
      <c r="A1000" s="8"/>
      <c r="B1000" s="8"/>
      <c r="C1000" s="8"/>
      <c r="D1000" s="8"/>
      <c r="E1000" s="71"/>
      <c r="F1000" s="10"/>
      <c r="G1000" s="8"/>
      <c r="H1000" s="8"/>
      <c r="I1000" s="8"/>
      <c r="J1000" s="8"/>
      <c r="K1000" s="8"/>
      <c r="L1000" s="8"/>
    </row>
    <row r="1001">
      <c r="A1001" s="8"/>
      <c r="B1001" s="8"/>
      <c r="C1001" s="8"/>
      <c r="D1001" s="8"/>
      <c r="E1001" s="71"/>
      <c r="F1001" s="10"/>
      <c r="G1001" s="8"/>
      <c r="H1001" s="8"/>
      <c r="I1001" s="8"/>
      <c r="J1001" s="8"/>
      <c r="K1001" s="8"/>
      <c r="L1001" s="8"/>
    </row>
    <row r="1002">
      <c r="A1002" s="8"/>
      <c r="B1002" s="8"/>
      <c r="C1002" s="8"/>
      <c r="D1002" s="8"/>
      <c r="E1002" s="71"/>
      <c r="F1002" s="10"/>
      <c r="G1002" s="8"/>
      <c r="H1002" s="8"/>
      <c r="I1002" s="8"/>
      <c r="J1002" s="8"/>
      <c r="K1002" s="8"/>
      <c r="L1002" s="8"/>
    </row>
    <row r="1003">
      <c r="A1003" s="8"/>
      <c r="B1003" s="8"/>
      <c r="C1003" s="8"/>
      <c r="D1003" s="8"/>
      <c r="E1003" s="71"/>
      <c r="F1003" s="10"/>
      <c r="G1003" s="8"/>
      <c r="H1003" s="8"/>
      <c r="I1003" s="8"/>
      <c r="J1003" s="8"/>
      <c r="K1003" s="8"/>
      <c r="L1003" s="8"/>
    </row>
    <row r="1004">
      <c r="A1004" s="8"/>
      <c r="B1004" s="8"/>
      <c r="C1004" s="8"/>
      <c r="D1004" s="8"/>
      <c r="E1004" s="71"/>
      <c r="F1004" s="10"/>
      <c r="G1004" s="8"/>
      <c r="H1004" s="8"/>
      <c r="I1004" s="8"/>
      <c r="J1004" s="8"/>
      <c r="K1004" s="8"/>
      <c r="L1004" s="8"/>
    </row>
    <row r="1005">
      <c r="A1005" s="8"/>
      <c r="B1005" s="8"/>
      <c r="C1005" s="8"/>
      <c r="D1005" s="8"/>
      <c r="E1005" s="71"/>
      <c r="F1005" s="10"/>
      <c r="G1005" s="8"/>
      <c r="H1005" s="8"/>
      <c r="I1005" s="8"/>
      <c r="J1005" s="8"/>
      <c r="K1005" s="8"/>
      <c r="L1005" s="8"/>
    </row>
    <row r="1006">
      <c r="A1006" s="8"/>
      <c r="B1006" s="8"/>
      <c r="C1006" s="8"/>
      <c r="D1006" s="8"/>
      <c r="E1006" s="71"/>
      <c r="F1006" s="10"/>
      <c r="G1006" s="8"/>
      <c r="H1006" s="8"/>
      <c r="I1006" s="8"/>
      <c r="J1006" s="8"/>
      <c r="K1006" s="8"/>
      <c r="L1006" s="8"/>
    </row>
    <row r="1007">
      <c r="A1007" s="8"/>
      <c r="B1007" s="8"/>
      <c r="C1007" s="8"/>
      <c r="D1007" s="8"/>
      <c r="E1007" s="71"/>
      <c r="F1007" s="10"/>
      <c r="G1007" s="8"/>
      <c r="H1007" s="8"/>
      <c r="I1007" s="8"/>
      <c r="J1007" s="8"/>
      <c r="K1007" s="8"/>
      <c r="L1007" s="8"/>
    </row>
    <row r="1008">
      <c r="A1008" s="8"/>
      <c r="B1008" s="8"/>
      <c r="C1008" s="8"/>
      <c r="D1008" s="8"/>
      <c r="E1008" s="71"/>
      <c r="F1008" s="10"/>
      <c r="G1008" s="8"/>
      <c r="H1008" s="8"/>
      <c r="I1008" s="8"/>
      <c r="J1008" s="8"/>
      <c r="K1008" s="8"/>
      <c r="L1008" s="8"/>
    </row>
    <row r="1009">
      <c r="A1009" s="8"/>
      <c r="B1009" s="8"/>
      <c r="C1009" s="8"/>
      <c r="D1009" s="8"/>
      <c r="E1009" s="71"/>
      <c r="F1009" s="10"/>
      <c r="G1009" s="8"/>
      <c r="H1009" s="8"/>
      <c r="I1009" s="8"/>
      <c r="J1009" s="8"/>
      <c r="K1009" s="8"/>
      <c r="L1009" s="8"/>
    </row>
    <row r="1010">
      <c r="A1010" s="8"/>
      <c r="B1010" s="8"/>
      <c r="C1010" s="8"/>
      <c r="D1010" s="8"/>
      <c r="E1010" s="71"/>
      <c r="F1010" s="10"/>
      <c r="G1010" s="8"/>
      <c r="H1010" s="8"/>
      <c r="I1010" s="8"/>
      <c r="J1010" s="8"/>
      <c r="K1010" s="8"/>
      <c r="L1010" s="8"/>
    </row>
    <row r="1011">
      <c r="A1011" s="8"/>
      <c r="B1011" s="8"/>
      <c r="C1011" s="8"/>
      <c r="D1011" s="8"/>
      <c r="E1011" s="71"/>
      <c r="F1011" s="10"/>
      <c r="G1011" s="8"/>
      <c r="H1011" s="8"/>
      <c r="I1011" s="8"/>
      <c r="J1011" s="8"/>
      <c r="K1011" s="8"/>
      <c r="L1011" s="8"/>
    </row>
    <row r="1012">
      <c r="A1012" s="8"/>
      <c r="B1012" s="8"/>
      <c r="C1012" s="8"/>
      <c r="D1012" s="8"/>
      <c r="E1012" s="71"/>
      <c r="F1012" s="10"/>
      <c r="G1012" s="8"/>
      <c r="H1012" s="8"/>
      <c r="I1012" s="8"/>
      <c r="J1012" s="8"/>
      <c r="K1012" s="8"/>
      <c r="L1012" s="8"/>
    </row>
    <row r="1013">
      <c r="A1013" s="8"/>
      <c r="B1013" s="8"/>
      <c r="C1013" s="8"/>
      <c r="D1013" s="8"/>
      <c r="E1013" s="71"/>
      <c r="F1013" s="10"/>
      <c r="G1013" s="8"/>
      <c r="H1013" s="8"/>
      <c r="I1013" s="8"/>
      <c r="J1013" s="8"/>
      <c r="K1013" s="8"/>
      <c r="L1013" s="8"/>
    </row>
    <row r="1014">
      <c r="A1014" s="8"/>
      <c r="B1014" s="8"/>
      <c r="C1014" s="8"/>
      <c r="D1014" s="8"/>
      <c r="E1014" s="71"/>
      <c r="F1014" s="10"/>
      <c r="G1014" s="8"/>
      <c r="H1014" s="8"/>
      <c r="I1014" s="8"/>
      <c r="J1014" s="8"/>
      <c r="K1014" s="8"/>
      <c r="L1014" s="8"/>
    </row>
    <row r="1015">
      <c r="A1015" s="8"/>
      <c r="B1015" s="8"/>
      <c r="C1015" s="8"/>
      <c r="D1015" s="8"/>
      <c r="E1015" s="71"/>
      <c r="F1015" s="10"/>
      <c r="G1015" s="8"/>
      <c r="H1015" s="8"/>
      <c r="I1015" s="8"/>
      <c r="J1015" s="8"/>
      <c r="K1015" s="8"/>
      <c r="L1015" s="8"/>
    </row>
    <row r="1016">
      <c r="A1016" s="8"/>
      <c r="B1016" s="8"/>
      <c r="C1016" s="8"/>
      <c r="D1016" s="8"/>
      <c r="E1016" s="71"/>
      <c r="F1016" s="10"/>
      <c r="G1016" s="8"/>
      <c r="H1016" s="8"/>
      <c r="I1016" s="8"/>
      <c r="J1016" s="8"/>
      <c r="K1016" s="8"/>
      <c r="L1016" s="8"/>
    </row>
    <row r="1017">
      <c r="A1017" s="8"/>
      <c r="B1017" s="8"/>
      <c r="C1017" s="8"/>
      <c r="D1017" s="8"/>
      <c r="E1017" s="71"/>
      <c r="F1017" s="10"/>
      <c r="G1017" s="8"/>
      <c r="H1017" s="8"/>
      <c r="I1017" s="8"/>
      <c r="J1017" s="8"/>
      <c r="K1017" s="8"/>
      <c r="L1017" s="8"/>
    </row>
    <row r="1018">
      <c r="A1018" s="8"/>
      <c r="B1018" s="8"/>
      <c r="C1018" s="8"/>
      <c r="D1018" s="8"/>
      <c r="E1018" s="71"/>
      <c r="F1018" s="10"/>
      <c r="G1018" s="8"/>
      <c r="H1018" s="8"/>
      <c r="I1018" s="8"/>
      <c r="J1018" s="8"/>
      <c r="K1018" s="8"/>
      <c r="L1018" s="8"/>
    </row>
    <row r="1019">
      <c r="A1019" s="8"/>
      <c r="B1019" s="8"/>
      <c r="C1019" s="8"/>
      <c r="D1019" s="8"/>
      <c r="E1019" s="71"/>
      <c r="F1019" s="10"/>
      <c r="G1019" s="8"/>
      <c r="H1019" s="8"/>
      <c r="I1019" s="8"/>
      <c r="J1019" s="8"/>
      <c r="K1019" s="8"/>
      <c r="L1019" s="8"/>
    </row>
    <row r="1020">
      <c r="A1020" s="8"/>
      <c r="B1020" s="8"/>
      <c r="C1020" s="8"/>
      <c r="D1020" s="8"/>
      <c r="E1020" s="71"/>
      <c r="F1020" s="10"/>
      <c r="G1020" s="8"/>
      <c r="H1020" s="8"/>
      <c r="I1020" s="8"/>
      <c r="J1020" s="8"/>
      <c r="K1020" s="8"/>
      <c r="L1020" s="8"/>
    </row>
    <row r="1021">
      <c r="A1021" s="8"/>
      <c r="B1021" s="8"/>
      <c r="C1021" s="8"/>
      <c r="D1021" s="8"/>
      <c r="E1021" s="71"/>
      <c r="F1021" s="10"/>
      <c r="G1021" s="8"/>
      <c r="H1021" s="8"/>
      <c r="I1021" s="8"/>
      <c r="J1021" s="8"/>
      <c r="K1021" s="8"/>
      <c r="L1021" s="8"/>
    </row>
    <row r="1022">
      <c r="A1022" s="8"/>
      <c r="B1022" s="8"/>
      <c r="C1022" s="8"/>
      <c r="D1022" s="8"/>
      <c r="E1022" s="71"/>
      <c r="F1022" s="10"/>
      <c r="G1022" s="8"/>
      <c r="H1022" s="8"/>
      <c r="I1022" s="8"/>
      <c r="J1022" s="8"/>
      <c r="K1022" s="8"/>
      <c r="L1022" s="8"/>
    </row>
    <row r="1023">
      <c r="A1023" s="8"/>
      <c r="B1023" s="8"/>
      <c r="C1023" s="8"/>
      <c r="D1023" s="8"/>
      <c r="E1023" s="71"/>
      <c r="F1023" s="10"/>
      <c r="G1023" s="8"/>
      <c r="H1023" s="8"/>
      <c r="I1023" s="8"/>
      <c r="J1023" s="8"/>
      <c r="K1023" s="8"/>
      <c r="L1023" s="8"/>
    </row>
    <row r="1024">
      <c r="A1024" s="8"/>
      <c r="B1024" s="8"/>
      <c r="C1024" s="8"/>
      <c r="D1024" s="8"/>
      <c r="E1024" s="71"/>
      <c r="F1024" s="10"/>
      <c r="G1024" s="8"/>
      <c r="H1024" s="8"/>
      <c r="I1024" s="8"/>
      <c r="J1024" s="8"/>
      <c r="K1024" s="8"/>
      <c r="L1024" s="8"/>
    </row>
    <row r="1025">
      <c r="A1025" s="8"/>
      <c r="B1025" s="8"/>
      <c r="C1025" s="8"/>
      <c r="D1025" s="8"/>
      <c r="E1025" s="71"/>
      <c r="F1025" s="10"/>
      <c r="G1025" s="8"/>
      <c r="H1025" s="8"/>
      <c r="I1025" s="8"/>
      <c r="J1025" s="8"/>
      <c r="K1025" s="8"/>
      <c r="L1025" s="8"/>
    </row>
    <row r="1026">
      <c r="A1026" s="8"/>
      <c r="B1026" s="8"/>
      <c r="C1026" s="8"/>
      <c r="D1026" s="8"/>
      <c r="E1026" s="71"/>
      <c r="F1026" s="10"/>
      <c r="G1026" s="8"/>
      <c r="H1026" s="8"/>
      <c r="I1026" s="8"/>
      <c r="J1026" s="8"/>
      <c r="K1026" s="8"/>
      <c r="L1026" s="8"/>
    </row>
    <row r="1027">
      <c r="A1027" s="8"/>
      <c r="B1027" s="8"/>
      <c r="C1027" s="8"/>
      <c r="D1027" s="8"/>
      <c r="E1027" s="71"/>
      <c r="F1027" s="10"/>
      <c r="G1027" s="8"/>
      <c r="H1027" s="8"/>
      <c r="I1027" s="8"/>
      <c r="J1027" s="8"/>
      <c r="K1027" s="8"/>
      <c r="L1027" s="8"/>
    </row>
    <row r="1028">
      <c r="A1028" s="8"/>
      <c r="B1028" s="8"/>
      <c r="C1028" s="8"/>
      <c r="D1028" s="8"/>
      <c r="E1028" s="71"/>
      <c r="F1028" s="10"/>
      <c r="G1028" s="8"/>
      <c r="H1028" s="8"/>
      <c r="I1028" s="8"/>
      <c r="J1028" s="8"/>
      <c r="K1028" s="8"/>
      <c r="L1028" s="8"/>
    </row>
    <row r="1029">
      <c r="A1029" s="8"/>
      <c r="B1029" s="8"/>
      <c r="C1029" s="8"/>
      <c r="D1029" s="8"/>
      <c r="E1029" s="71"/>
      <c r="F1029" s="10"/>
      <c r="G1029" s="8"/>
      <c r="H1029" s="8"/>
      <c r="I1029" s="8"/>
      <c r="J1029" s="8"/>
      <c r="K1029" s="8"/>
      <c r="L1029" s="8"/>
    </row>
    <row r="1030">
      <c r="A1030" s="8"/>
      <c r="B1030" s="8"/>
      <c r="C1030" s="8"/>
      <c r="D1030" s="8"/>
      <c r="E1030" s="71"/>
      <c r="F1030" s="10"/>
      <c r="G1030" s="8"/>
      <c r="H1030" s="8"/>
      <c r="I1030" s="8"/>
      <c r="J1030" s="8"/>
      <c r="K1030" s="8"/>
      <c r="L1030" s="8"/>
    </row>
    <row r="1031">
      <c r="A1031" s="8"/>
      <c r="B1031" s="8"/>
      <c r="C1031" s="8"/>
      <c r="D1031" s="8"/>
      <c r="E1031" s="71"/>
      <c r="F1031" s="10"/>
      <c r="G1031" s="8"/>
      <c r="H1031" s="8"/>
      <c r="I1031" s="8"/>
      <c r="J1031" s="8"/>
      <c r="K1031" s="8"/>
      <c r="L1031" s="8"/>
    </row>
    <row r="1032">
      <c r="A1032" s="8"/>
      <c r="B1032" s="8"/>
      <c r="C1032" s="8"/>
      <c r="D1032" s="8"/>
      <c r="E1032" s="71"/>
      <c r="F1032" s="10"/>
      <c r="G1032" s="8"/>
      <c r="H1032" s="8"/>
      <c r="I1032" s="8"/>
      <c r="J1032" s="8"/>
      <c r="K1032" s="8"/>
      <c r="L1032" s="8"/>
    </row>
    <row r="1033">
      <c r="A1033" s="8"/>
      <c r="B1033" s="8"/>
      <c r="C1033" s="8"/>
      <c r="D1033" s="8"/>
      <c r="E1033" s="71"/>
      <c r="F1033" s="10"/>
      <c r="G1033" s="8"/>
      <c r="H1033" s="8"/>
      <c r="I1033" s="8"/>
      <c r="J1033" s="8"/>
      <c r="K1033" s="8"/>
      <c r="L1033" s="8"/>
    </row>
    <row r="1034">
      <c r="A1034" s="8"/>
      <c r="B1034" s="8"/>
      <c r="C1034" s="8"/>
      <c r="D1034" s="8"/>
      <c r="E1034" s="71"/>
      <c r="F1034" s="10"/>
      <c r="G1034" s="8"/>
      <c r="H1034" s="8"/>
      <c r="I1034" s="8"/>
      <c r="J1034" s="8"/>
      <c r="K1034" s="8"/>
      <c r="L1034" s="8"/>
    </row>
    <row r="1035">
      <c r="A1035" s="8"/>
      <c r="B1035" s="8"/>
      <c r="C1035" s="8"/>
      <c r="D1035" s="8"/>
      <c r="E1035" s="71"/>
      <c r="F1035" s="10"/>
      <c r="G1035" s="8"/>
      <c r="H1035" s="8"/>
      <c r="I1035" s="8"/>
      <c r="J1035" s="8"/>
      <c r="K1035" s="8"/>
      <c r="L1035" s="8"/>
    </row>
    <row r="1036">
      <c r="A1036" s="8"/>
      <c r="B1036" s="8"/>
      <c r="C1036" s="8"/>
      <c r="D1036" s="8"/>
      <c r="E1036" s="71"/>
      <c r="F1036" s="10"/>
      <c r="G1036" s="8"/>
      <c r="H1036" s="8"/>
      <c r="I1036" s="8"/>
      <c r="J1036" s="8"/>
      <c r="K1036" s="8"/>
      <c r="L1036" s="8"/>
    </row>
    <row r="1037">
      <c r="A1037" s="8"/>
      <c r="B1037" s="8"/>
      <c r="C1037" s="8"/>
      <c r="D1037" s="8"/>
      <c r="E1037" s="71"/>
      <c r="F1037" s="10"/>
      <c r="G1037" s="8"/>
      <c r="H1037" s="8"/>
      <c r="I1037" s="8"/>
      <c r="J1037" s="8"/>
      <c r="K1037" s="8"/>
      <c r="L1037" s="8"/>
    </row>
    <row r="1038">
      <c r="A1038" s="8"/>
      <c r="B1038" s="8"/>
      <c r="C1038" s="8"/>
      <c r="D1038" s="8"/>
      <c r="E1038" s="71"/>
      <c r="F1038" s="10"/>
      <c r="G1038" s="8"/>
      <c r="H1038" s="8"/>
      <c r="I1038" s="8"/>
      <c r="J1038" s="8"/>
      <c r="K1038" s="8"/>
      <c r="L1038" s="8"/>
    </row>
    <row r="1039">
      <c r="A1039" s="8"/>
      <c r="B1039" s="8"/>
      <c r="C1039" s="8"/>
      <c r="D1039" s="8"/>
      <c r="E1039" s="71"/>
      <c r="F1039" s="10"/>
      <c r="G1039" s="8"/>
      <c r="H1039" s="8"/>
      <c r="I1039" s="8"/>
      <c r="J1039" s="8"/>
      <c r="K1039" s="8"/>
      <c r="L1039" s="8"/>
    </row>
    <row r="1040">
      <c r="A1040" s="8"/>
      <c r="B1040" s="8"/>
      <c r="C1040" s="8"/>
      <c r="D1040" s="8"/>
      <c r="E1040" s="71"/>
      <c r="F1040" s="10"/>
      <c r="G1040" s="8"/>
      <c r="H1040" s="8"/>
      <c r="I1040" s="8"/>
      <c r="J1040" s="8"/>
      <c r="K1040" s="8"/>
      <c r="L1040" s="8"/>
    </row>
    <row r="1041">
      <c r="A1041" s="8"/>
      <c r="B1041" s="8"/>
      <c r="C1041" s="8"/>
      <c r="D1041" s="8"/>
      <c r="E1041" s="71"/>
      <c r="F1041" s="10"/>
      <c r="G1041" s="8"/>
      <c r="H1041" s="8"/>
      <c r="I1041" s="8"/>
      <c r="J1041" s="8"/>
      <c r="K1041" s="8"/>
      <c r="L1041" s="8"/>
    </row>
    <row r="1042">
      <c r="A1042" s="8"/>
      <c r="B1042" s="8"/>
      <c r="C1042" s="8"/>
      <c r="D1042" s="8"/>
      <c r="E1042" s="71"/>
      <c r="F1042" s="10"/>
      <c r="G1042" s="8"/>
      <c r="H1042" s="8"/>
      <c r="I1042" s="8"/>
      <c r="J1042" s="8"/>
      <c r="K1042" s="8"/>
      <c r="L1042" s="8"/>
    </row>
    <row r="1043">
      <c r="A1043" s="8"/>
      <c r="B1043" s="8"/>
      <c r="C1043" s="8"/>
      <c r="D1043" s="8"/>
      <c r="E1043" s="71"/>
      <c r="F1043" s="10"/>
      <c r="G1043" s="8"/>
      <c r="H1043" s="8"/>
      <c r="I1043" s="8"/>
      <c r="J1043" s="8"/>
      <c r="K1043" s="8"/>
      <c r="L1043" s="8"/>
    </row>
    <row r="1044">
      <c r="A1044" s="8"/>
      <c r="B1044" s="8"/>
      <c r="C1044" s="8"/>
      <c r="D1044" s="8"/>
      <c r="E1044" s="71"/>
      <c r="F1044" s="10"/>
      <c r="G1044" s="8"/>
      <c r="H1044" s="8"/>
      <c r="I1044" s="8"/>
      <c r="J1044" s="8"/>
      <c r="K1044" s="8"/>
      <c r="L1044" s="8"/>
    </row>
    <row r="1045">
      <c r="A1045" s="8"/>
      <c r="B1045" s="8"/>
      <c r="C1045" s="8"/>
      <c r="D1045" s="8"/>
      <c r="E1045" s="71"/>
      <c r="F1045" s="10"/>
      <c r="G1045" s="8"/>
      <c r="H1045" s="8"/>
      <c r="I1045" s="8"/>
      <c r="J1045" s="8"/>
      <c r="K1045" s="8"/>
      <c r="L1045" s="8"/>
    </row>
    <row r="1046">
      <c r="A1046" s="8"/>
      <c r="B1046" s="8"/>
      <c r="C1046" s="8"/>
      <c r="D1046" s="8"/>
      <c r="E1046" s="71"/>
      <c r="F1046" s="10"/>
      <c r="G1046" s="8"/>
      <c r="H1046" s="8"/>
      <c r="I1046" s="8"/>
      <c r="J1046" s="8"/>
      <c r="K1046" s="8"/>
      <c r="L1046" s="8"/>
    </row>
    <row r="1047">
      <c r="A1047" s="8"/>
      <c r="B1047" s="8"/>
      <c r="C1047" s="8"/>
      <c r="D1047" s="8"/>
      <c r="E1047" s="71"/>
      <c r="F1047" s="10"/>
      <c r="G1047" s="8"/>
      <c r="H1047" s="8"/>
      <c r="I1047" s="8"/>
      <c r="J1047" s="8"/>
      <c r="K1047" s="8"/>
      <c r="L1047" s="8"/>
    </row>
    <row r="1048">
      <c r="A1048" s="8"/>
      <c r="B1048" s="8"/>
      <c r="C1048" s="8"/>
      <c r="D1048" s="8"/>
      <c r="E1048" s="71"/>
      <c r="F1048" s="10"/>
      <c r="G1048" s="8"/>
      <c r="H1048" s="8"/>
      <c r="I1048" s="8"/>
      <c r="J1048" s="8"/>
      <c r="K1048" s="8"/>
      <c r="L1048" s="8"/>
    </row>
    <row r="1049">
      <c r="A1049" s="8"/>
      <c r="B1049" s="8"/>
      <c r="C1049" s="8"/>
      <c r="D1049" s="8"/>
      <c r="E1049" s="71"/>
      <c r="F1049" s="10"/>
      <c r="G1049" s="8"/>
      <c r="H1049" s="8"/>
      <c r="I1049" s="8"/>
      <c r="J1049" s="8"/>
      <c r="K1049" s="8"/>
      <c r="L1049" s="8"/>
    </row>
    <row r="1050">
      <c r="A1050" s="8"/>
      <c r="B1050" s="8"/>
      <c r="C1050" s="8"/>
      <c r="D1050" s="8"/>
      <c r="E1050" s="71"/>
      <c r="F1050" s="10"/>
      <c r="G1050" s="8"/>
      <c r="H1050" s="8"/>
      <c r="I1050" s="8"/>
      <c r="J1050" s="8"/>
      <c r="K1050" s="8"/>
      <c r="L1050" s="8"/>
    </row>
    <row r="1051">
      <c r="A1051" s="8"/>
      <c r="B1051" s="8"/>
      <c r="C1051" s="8"/>
      <c r="D1051" s="8"/>
      <c r="E1051" s="71"/>
      <c r="F1051" s="10"/>
      <c r="G1051" s="8"/>
      <c r="H1051" s="8"/>
      <c r="I1051" s="8"/>
      <c r="J1051" s="8"/>
      <c r="K1051" s="8"/>
      <c r="L1051" s="8"/>
    </row>
    <row r="1052">
      <c r="A1052" s="8"/>
      <c r="B1052" s="8"/>
      <c r="C1052" s="8"/>
      <c r="D1052" s="8"/>
      <c r="E1052" s="71"/>
      <c r="F1052" s="10"/>
      <c r="G1052" s="8"/>
      <c r="H1052" s="8"/>
      <c r="I1052" s="8"/>
      <c r="J1052" s="8"/>
      <c r="K1052" s="8"/>
      <c r="L1052" s="8"/>
    </row>
    <row r="1053">
      <c r="A1053" s="8"/>
      <c r="B1053" s="8"/>
      <c r="C1053" s="8"/>
      <c r="D1053" s="8"/>
      <c r="E1053" s="71"/>
      <c r="F1053" s="10"/>
      <c r="G1053" s="8"/>
      <c r="H1053" s="8"/>
      <c r="I1053" s="8"/>
      <c r="J1053" s="8"/>
      <c r="K1053" s="8"/>
      <c r="L1053" s="8"/>
    </row>
    <row r="1054">
      <c r="A1054" s="8"/>
      <c r="B1054" s="8"/>
      <c r="C1054" s="8"/>
      <c r="D1054" s="8"/>
      <c r="E1054" s="71"/>
      <c r="F1054" s="10"/>
      <c r="G1054" s="8"/>
      <c r="H1054" s="8"/>
      <c r="I1054" s="8"/>
      <c r="J1054" s="8"/>
      <c r="K1054" s="8"/>
      <c r="L1054" s="8"/>
    </row>
    <row r="1055">
      <c r="A1055" s="8"/>
      <c r="B1055" s="8"/>
      <c r="C1055" s="8"/>
      <c r="D1055" s="8"/>
      <c r="E1055" s="71"/>
      <c r="F1055" s="10"/>
      <c r="G1055" s="8"/>
      <c r="H1055" s="8"/>
      <c r="I1055" s="8"/>
      <c r="J1055" s="8"/>
      <c r="K1055" s="8"/>
      <c r="L1055" s="8"/>
    </row>
    <row r="1056">
      <c r="A1056" s="8"/>
      <c r="B1056" s="8"/>
      <c r="C1056" s="8"/>
      <c r="D1056" s="8"/>
      <c r="E1056" s="71"/>
      <c r="F1056" s="10"/>
      <c r="G1056" s="8"/>
      <c r="H1056" s="8"/>
      <c r="I1056" s="8"/>
      <c r="J1056" s="8"/>
      <c r="K1056" s="8"/>
      <c r="L1056" s="8"/>
    </row>
    <row r="1057">
      <c r="A1057" s="8"/>
      <c r="B1057" s="8"/>
      <c r="C1057" s="8"/>
      <c r="D1057" s="8"/>
      <c r="E1057" s="71"/>
      <c r="F1057" s="10"/>
      <c r="G1057" s="8"/>
      <c r="H1057" s="8"/>
      <c r="I1057" s="8"/>
      <c r="J1057" s="8"/>
      <c r="K1057" s="8"/>
      <c r="L1057" s="8"/>
    </row>
    <row r="1058">
      <c r="A1058" s="8"/>
      <c r="B1058" s="8"/>
      <c r="C1058" s="8"/>
      <c r="D1058" s="8"/>
      <c r="E1058" s="71"/>
      <c r="F1058" s="10"/>
      <c r="G1058" s="8"/>
      <c r="H1058" s="8"/>
      <c r="I1058" s="8"/>
      <c r="J1058" s="8"/>
      <c r="K1058" s="8"/>
      <c r="L1058" s="8"/>
    </row>
    <row r="1059">
      <c r="A1059" s="8"/>
      <c r="B1059" s="8"/>
      <c r="C1059" s="8"/>
      <c r="D1059" s="8"/>
      <c r="E1059" s="71"/>
      <c r="F1059" s="10"/>
      <c r="G1059" s="8"/>
      <c r="H1059" s="8"/>
      <c r="I1059" s="8"/>
      <c r="J1059" s="8"/>
      <c r="K1059" s="8"/>
      <c r="L1059" s="8"/>
    </row>
    <row r="1060">
      <c r="A1060" s="8"/>
      <c r="B1060" s="8"/>
      <c r="C1060" s="8"/>
      <c r="D1060" s="8"/>
      <c r="E1060" s="71"/>
      <c r="F1060" s="10"/>
      <c r="G1060" s="8"/>
      <c r="H1060" s="8"/>
      <c r="I1060" s="8"/>
      <c r="J1060" s="8"/>
      <c r="K1060" s="8"/>
      <c r="L1060" s="8"/>
    </row>
    <row r="1061">
      <c r="A1061" s="8"/>
      <c r="B1061" s="8"/>
      <c r="C1061" s="8"/>
      <c r="D1061" s="8"/>
      <c r="E1061" s="71"/>
      <c r="F1061" s="10"/>
      <c r="G1061" s="8"/>
      <c r="H1061" s="8"/>
      <c r="I1061" s="8"/>
      <c r="J1061" s="8"/>
      <c r="K1061" s="8"/>
      <c r="L1061" s="8"/>
    </row>
    <row r="1062">
      <c r="A1062" s="8"/>
      <c r="B1062" s="8"/>
      <c r="C1062" s="8"/>
      <c r="D1062" s="8"/>
      <c r="E1062" s="71"/>
      <c r="F1062" s="10"/>
      <c r="G1062" s="8"/>
      <c r="H1062" s="8"/>
      <c r="I1062" s="8"/>
      <c r="J1062" s="8"/>
      <c r="K1062" s="8"/>
      <c r="L1062" s="8"/>
    </row>
    <row r="1063">
      <c r="A1063" s="8"/>
      <c r="B1063" s="8"/>
      <c r="C1063" s="8"/>
      <c r="D1063" s="8"/>
      <c r="E1063" s="71"/>
      <c r="F1063" s="10"/>
      <c r="G1063" s="8"/>
      <c r="H1063" s="8"/>
      <c r="I1063" s="8"/>
      <c r="J1063" s="8"/>
      <c r="K1063" s="8"/>
      <c r="L1063" s="8"/>
    </row>
    <row r="1064">
      <c r="A1064" s="8"/>
      <c r="B1064" s="8"/>
      <c r="C1064" s="8"/>
      <c r="D1064" s="8"/>
      <c r="E1064" s="71"/>
      <c r="F1064" s="10"/>
      <c r="G1064" s="8"/>
      <c r="H1064" s="8"/>
      <c r="I1064" s="8"/>
      <c r="J1064" s="8"/>
      <c r="K1064" s="8"/>
      <c r="L1064" s="8"/>
    </row>
    <row r="1065">
      <c r="A1065" s="8"/>
      <c r="B1065" s="8"/>
      <c r="C1065" s="8"/>
      <c r="D1065" s="8"/>
      <c r="E1065" s="71"/>
      <c r="F1065" s="10"/>
      <c r="G1065" s="8"/>
      <c r="H1065" s="8"/>
      <c r="I1065" s="8"/>
      <c r="J1065" s="8"/>
      <c r="K1065" s="8"/>
      <c r="L1065" s="8"/>
    </row>
    <row r="1066">
      <c r="A1066" s="8"/>
      <c r="B1066" s="8"/>
      <c r="C1066" s="8"/>
      <c r="D1066" s="8"/>
      <c r="E1066" s="71"/>
      <c r="F1066" s="10"/>
      <c r="G1066" s="8"/>
      <c r="H1066" s="8"/>
      <c r="I1066" s="8"/>
      <c r="J1066" s="8"/>
      <c r="K1066" s="8"/>
      <c r="L1066" s="8"/>
    </row>
    <row r="1067">
      <c r="A1067" s="8"/>
      <c r="B1067" s="8"/>
      <c r="C1067" s="8"/>
      <c r="D1067" s="8"/>
      <c r="E1067" s="71"/>
      <c r="F1067" s="10"/>
      <c r="G1067" s="8"/>
      <c r="H1067" s="8"/>
      <c r="I1067" s="8"/>
      <c r="J1067" s="8"/>
      <c r="K1067" s="8"/>
      <c r="L1067" s="8"/>
    </row>
    <row r="1068">
      <c r="A1068" s="8"/>
      <c r="B1068" s="8"/>
      <c r="C1068" s="8"/>
      <c r="D1068" s="8"/>
      <c r="E1068" s="71"/>
      <c r="F1068" s="10"/>
      <c r="G1068" s="8"/>
      <c r="H1068" s="8"/>
      <c r="I1068" s="8"/>
      <c r="J1068" s="8"/>
      <c r="K1068" s="8"/>
      <c r="L1068" s="8"/>
    </row>
    <row r="1069">
      <c r="A1069" s="8"/>
      <c r="B1069" s="8"/>
      <c r="C1069" s="8"/>
      <c r="D1069" s="8"/>
      <c r="E1069" s="71"/>
      <c r="F1069" s="10"/>
      <c r="G1069" s="8"/>
      <c r="H1069" s="8"/>
      <c r="I1069" s="8"/>
      <c r="J1069" s="8"/>
      <c r="K1069" s="8"/>
      <c r="L1069" s="8"/>
    </row>
    <row r="1070">
      <c r="A1070" s="8"/>
      <c r="B1070" s="8"/>
      <c r="C1070" s="8"/>
      <c r="D1070" s="8"/>
      <c r="E1070" s="71"/>
      <c r="F1070" s="10"/>
      <c r="G1070" s="8"/>
      <c r="H1070" s="8"/>
      <c r="I1070" s="8"/>
      <c r="J1070" s="8"/>
      <c r="K1070" s="8"/>
      <c r="L1070" s="8"/>
    </row>
    <row r="1071">
      <c r="A1071" s="8"/>
      <c r="B1071" s="8"/>
      <c r="C1071" s="8"/>
      <c r="D1071" s="8"/>
      <c r="E1071" s="71"/>
      <c r="F1071" s="10"/>
      <c r="G1071" s="8"/>
      <c r="H1071" s="8"/>
      <c r="I1071" s="8"/>
      <c r="J1071" s="8"/>
      <c r="K1071" s="8"/>
      <c r="L1071" s="8"/>
    </row>
    <row r="1072">
      <c r="A1072" s="8"/>
      <c r="B1072" s="8"/>
      <c r="C1072" s="8"/>
      <c r="D1072" s="8"/>
      <c r="E1072" s="71"/>
      <c r="F1072" s="10"/>
      <c r="G1072" s="8"/>
      <c r="H1072" s="8"/>
      <c r="I1072" s="8"/>
      <c r="J1072" s="8"/>
      <c r="K1072" s="8"/>
      <c r="L1072" s="8"/>
    </row>
    <row r="1073">
      <c r="A1073" s="8"/>
      <c r="B1073" s="8"/>
      <c r="C1073" s="8"/>
      <c r="D1073" s="8"/>
      <c r="E1073" s="71"/>
      <c r="F1073" s="10"/>
      <c r="G1073" s="8"/>
      <c r="H1073" s="8"/>
      <c r="I1073" s="8"/>
      <c r="J1073" s="8"/>
      <c r="K1073" s="8"/>
      <c r="L1073" s="8"/>
    </row>
    <row r="1074">
      <c r="A1074" s="8"/>
      <c r="B1074" s="8"/>
      <c r="C1074" s="8"/>
      <c r="D1074" s="8"/>
      <c r="E1074" s="71"/>
      <c r="F1074" s="10"/>
      <c r="G1074" s="8"/>
      <c r="H1074" s="8"/>
      <c r="I1074" s="8"/>
      <c r="J1074" s="8"/>
      <c r="K1074" s="8"/>
      <c r="L1074" s="8"/>
    </row>
    <row r="1075">
      <c r="A1075" s="8"/>
      <c r="B1075" s="8"/>
      <c r="C1075" s="8"/>
      <c r="D1075" s="8"/>
      <c r="E1075" s="71"/>
      <c r="F1075" s="10"/>
      <c r="G1075" s="8"/>
      <c r="H1075" s="8"/>
      <c r="I1075" s="8"/>
      <c r="J1075" s="8"/>
      <c r="K1075" s="8"/>
      <c r="L1075" s="8"/>
    </row>
    <row r="1076">
      <c r="A1076" s="8"/>
      <c r="B1076" s="8"/>
      <c r="C1076" s="8"/>
      <c r="D1076" s="8"/>
      <c r="E1076" s="71"/>
      <c r="F1076" s="10"/>
      <c r="G1076" s="8"/>
      <c r="H1076" s="8"/>
      <c r="I1076" s="8"/>
      <c r="J1076" s="8"/>
      <c r="K1076" s="8"/>
      <c r="L1076" s="8"/>
    </row>
    <row r="1077">
      <c r="A1077" s="8"/>
      <c r="B1077" s="8"/>
      <c r="C1077" s="8"/>
      <c r="D1077" s="8"/>
      <c r="E1077" s="71"/>
      <c r="F1077" s="10"/>
      <c r="G1077" s="8"/>
      <c r="H1077" s="8"/>
      <c r="I1077" s="8"/>
      <c r="J1077" s="8"/>
      <c r="K1077" s="8"/>
      <c r="L1077" s="8"/>
    </row>
    <row r="1078">
      <c r="A1078" s="8"/>
      <c r="B1078" s="8"/>
      <c r="C1078" s="8"/>
      <c r="D1078" s="8"/>
      <c r="E1078" s="71"/>
      <c r="F1078" s="10"/>
      <c r="G1078" s="8"/>
      <c r="H1078" s="8"/>
      <c r="I1078" s="8"/>
      <c r="J1078" s="8"/>
      <c r="K1078" s="8"/>
      <c r="L1078" s="8"/>
    </row>
    <row r="1079">
      <c r="A1079" s="8"/>
      <c r="B1079" s="8"/>
      <c r="C1079" s="8"/>
      <c r="D1079" s="8"/>
      <c r="E1079" s="71"/>
      <c r="F1079" s="10"/>
      <c r="G1079" s="8"/>
      <c r="H1079" s="8"/>
      <c r="I1079" s="8"/>
      <c r="J1079" s="8"/>
      <c r="K1079" s="8"/>
      <c r="L1079" s="8"/>
    </row>
    <row r="1080">
      <c r="A1080" s="8"/>
      <c r="B1080" s="8"/>
      <c r="C1080" s="8"/>
      <c r="D1080" s="8"/>
      <c r="E1080" s="71"/>
      <c r="F1080" s="10"/>
      <c r="G1080" s="8"/>
      <c r="H1080" s="8"/>
      <c r="I1080" s="8"/>
      <c r="J1080" s="8"/>
      <c r="K1080" s="8"/>
      <c r="L1080" s="8"/>
    </row>
    <row r="1081">
      <c r="A1081" s="8"/>
      <c r="B1081" s="8"/>
      <c r="C1081" s="8"/>
      <c r="D1081" s="8"/>
      <c r="E1081" s="71"/>
      <c r="F1081" s="10"/>
      <c r="G1081" s="8"/>
      <c r="H1081" s="8"/>
      <c r="I1081" s="8"/>
      <c r="J1081" s="8"/>
      <c r="K1081" s="8"/>
      <c r="L1081" s="8"/>
    </row>
    <row r="1082">
      <c r="A1082" s="8"/>
      <c r="B1082" s="8"/>
      <c r="C1082" s="8"/>
      <c r="D1082" s="8"/>
      <c r="E1082" s="71"/>
      <c r="F1082" s="10"/>
      <c r="G1082" s="8"/>
      <c r="H1082" s="8"/>
      <c r="I1082" s="8"/>
      <c r="J1082" s="8"/>
      <c r="K1082" s="8"/>
      <c r="L1082" s="8"/>
    </row>
    <row r="1083">
      <c r="A1083" s="8"/>
      <c r="B1083" s="8"/>
      <c r="C1083" s="8"/>
      <c r="D1083" s="8"/>
      <c r="E1083" s="71"/>
      <c r="F1083" s="10"/>
      <c r="G1083" s="8"/>
      <c r="H1083" s="8"/>
      <c r="I1083" s="8"/>
      <c r="J1083" s="8"/>
      <c r="K1083" s="8"/>
      <c r="L1083" s="8"/>
    </row>
    <row r="1084">
      <c r="A1084" s="8"/>
      <c r="B1084" s="8"/>
      <c r="C1084" s="8"/>
      <c r="D1084" s="8"/>
      <c r="E1084" s="71"/>
      <c r="F1084" s="10"/>
      <c r="G1084" s="8"/>
      <c r="H1084" s="8"/>
      <c r="I1084" s="8"/>
      <c r="J1084" s="8"/>
      <c r="K1084" s="8"/>
      <c r="L1084" s="8"/>
    </row>
    <row r="1085">
      <c r="A1085" s="8"/>
      <c r="B1085" s="8"/>
      <c r="C1085" s="8"/>
      <c r="D1085" s="8"/>
      <c r="E1085" s="71"/>
      <c r="F1085" s="10"/>
      <c r="G1085" s="8"/>
      <c r="H1085" s="8"/>
      <c r="I1085" s="8"/>
      <c r="J1085" s="8"/>
      <c r="K1085" s="8"/>
      <c r="L1085" s="8"/>
    </row>
    <row r="1086">
      <c r="A1086" s="8"/>
      <c r="B1086" s="8"/>
      <c r="C1086" s="8"/>
      <c r="D1086" s="8"/>
      <c r="E1086" s="71"/>
      <c r="F1086" s="10"/>
      <c r="G1086" s="8"/>
      <c r="H1086" s="8"/>
      <c r="I1086" s="8"/>
      <c r="J1086" s="8"/>
      <c r="K1086" s="8"/>
      <c r="L1086" s="8"/>
    </row>
    <row r="1087">
      <c r="A1087" s="8"/>
      <c r="B1087" s="8"/>
      <c r="C1087" s="8"/>
      <c r="D1087" s="8"/>
      <c r="E1087" s="71"/>
      <c r="F1087" s="10"/>
      <c r="G1087" s="8"/>
      <c r="H1087" s="8"/>
      <c r="I1087" s="8"/>
      <c r="J1087" s="8"/>
      <c r="K1087" s="8"/>
      <c r="L1087" s="8"/>
    </row>
    <row r="1088">
      <c r="A1088" s="8"/>
      <c r="B1088" s="8"/>
      <c r="C1088" s="8"/>
      <c r="D1088" s="8"/>
      <c r="E1088" s="71"/>
      <c r="F1088" s="10"/>
      <c r="G1088" s="8"/>
      <c r="H1088" s="8"/>
      <c r="I1088" s="8"/>
      <c r="J1088" s="8"/>
      <c r="K1088" s="8"/>
      <c r="L1088" s="8"/>
    </row>
    <row r="1089">
      <c r="A1089" s="8"/>
      <c r="B1089" s="8"/>
      <c r="C1089" s="8"/>
      <c r="D1089" s="8"/>
      <c r="E1089" s="71"/>
      <c r="F1089" s="10"/>
      <c r="G1089" s="8"/>
      <c r="H1089" s="8"/>
      <c r="I1089" s="8"/>
      <c r="J1089" s="8"/>
      <c r="K1089" s="8"/>
      <c r="L1089" s="8"/>
    </row>
    <row r="1090">
      <c r="A1090" s="8"/>
      <c r="B1090" s="8"/>
      <c r="C1090" s="8"/>
      <c r="D1090" s="8"/>
      <c r="E1090" s="71"/>
      <c r="F1090" s="10"/>
      <c r="G1090" s="8"/>
      <c r="H1090" s="8"/>
      <c r="I1090" s="8"/>
      <c r="J1090" s="8"/>
      <c r="K1090" s="8"/>
      <c r="L1090" s="8"/>
    </row>
    <row r="1091">
      <c r="A1091" s="8"/>
      <c r="B1091" s="8"/>
      <c r="C1091" s="8"/>
      <c r="D1091" s="8"/>
      <c r="E1091" s="71"/>
      <c r="F1091" s="10"/>
      <c r="G1091" s="8"/>
      <c r="H1091" s="8"/>
      <c r="I1091" s="8"/>
      <c r="J1091" s="8"/>
      <c r="K1091" s="8"/>
      <c r="L1091" s="8"/>
    </row>
    <row r="1092">
      <c r="A1092" s="8"/>
      <c r="B1092" s="8"/>
      <c r="C1092" s="8"/>
      <c r="D1092" s="8"/>
      <c r="E1092" s="71"/>
      <c r="F1092" s="10"/>
      <c r="G1092" s="8"/>
      <c r="H1092" s="8"/>
      <c r="I1092" s="8"/>
      <c r="J1092" s="8"/>
      <c r="K1092" s="8"/>
      <c r="L1092" s="8"/>
    </row>
    <row r="1093">
      <c r="A1093" s="8"/>
      <c r="B1093" s="8"/>
      <c r="C1093" s="8"/>
      <c r="D1093" s="8"/>
      <c r="E1093" s="71"/>
      <c r="F1093" s="10"/>
      <c r="G1093" s="8"/>
      <c r="H1093" s="8"/>
      <c r="I1093" s="8"/>
      <c r="J1093" s="8"/>
      <c r="K1093" s="8"/>
      <c r="L1093" s="8"/>
    </row>
    <row r="1094">
      <c r="A1094" s="8"/>
      <c r="B1094" s="8"/>
      <c r="C1094" s="8"/>
      <c r="D1094" s="8"/>
      <c r="E1094" s="71"/>
      <c r="F1094" s="10"/>
      <c r="G1094" s="8"/>
      <c r="H1094" s="8"/>
      <c r="I1094" s="8"/>
      <c r="J1094" s="8"/>
      <c r="K1094" s="8"/>
      <c r="L1094" s="8"/>
    </row>
    <row r="1095">
      <c r="A1095" s="8"/>
      <c r="B1095" s="8"/>
      <c r="C1095" s="8"/>
      <c r="D1095" s="8"/>
      <c r="E1095" s="71"/>
      <c r="F1095" s="10"/>
      <c r="G1095" s="8"/>
      <c r="H1095" s="8"/>
      <c r="I1095" s="8"/>
      <c r="J1095" s="8"/>
      <c r="K1095" s="8"/>
      <c r="L1095" s="8"/>
    </row>
    <row r="1096">
      <c r="A1096" s="8"/>
      <c r="B1096" s="8"/>
      <c r="C1096" s="8"/>
      <c r="D1096" s="8"/>
      <c r="E1096" s="71"/>
      <c r="F1096" s="10"/>
      <c r="G1096" s="8"/>
      <c r="H1096" s="8"/>
      <c r="I1096" s="8"/>
      <c r="J1096" s="8"/>
      <c r="K1096" s="8"/>
      <c r="L1096" s="8"/>
    </row>
    <row r="1097">
      <c r="A1097" s="8"/>
      <c r="B1097" s="8"/>
      <c r="C1097" s="8"/>
      <c r="D1097" s="8"/>
      <c r="E1097" s="71"/>
      <c r="F1097" s="10"/>
      <c r="G1097" s="8"/>
      <c r="H1097" s="8"/>
      <c r="I1097" s="8"/>
      <c r="J1097" s="8"/>
      <c r="K1097" s="8"/>
      <c r="L1097" s="8"/>
    </row>
    <row r="1098">
      <c r="A1098" s="8"/>
      <c r="B1098" s="8"/>
      <c r="C1098" s="8"/>
      <c r="D1098" s="8"/>
      <c r="E1098" s="71"/>
      <c r="F1098" s="10"/>
      <c r="G1098" s="8"/>
      <c r="H1098" s="8"/>
      <c r="I1098" s="8"/>
      <c r="J1098" s="8"/>
      <c r="K1098" s="8"/>
      <c r="L1098" s="8"/>
    </row>
    <row r="1099">
      <c r="A1099" s="8"/>
      <c r="B1099" s="8"/>
      <c r="C1099" s="8"/>
      <c r="D1099" s="8"/>
      <c r="E1099" s="71"/>
      <c r="F1099" s="10"/>
      <c r="G1099" s="8"/>
      <c r="H1099" s="8"/>
      <c r="I1099" s="8"/>
      <c r="J1099" s="8"/>
      <c r="K1099" s="8"/>
      <c r="L1099" s="8"/>
    </row>
    <row r="1100">
      <c r="A1100" s="8"/>
      <c r="B1100" s="8"/>
      <c r="C1100" s="8"/>
      <c r="D1100" s="8"/>
      <c r="E1100" s="71"/>
      <c r="F1100" s="10"/>
      <c r="G1100" s="8"/>
      <c r="H1100" s="8"/>
      <c r="I1100" s="8"/>
      <c r="J1100" s="8"/>
      <c r="K1100" s="8"/>
      <c r="L1100" s="8"/>
    </row>
    <row r="1101">
      <c r="A1101" s="8"/>
      <c r="B1101" s="8"/>
      <c r="C1101" s="8"/>
      <c r="D1101" s="8"/>
      <c r="E1101" s="71"/>
      <c r="F1101" s="10"/>
      <c r="G1101" s="8"/>
      <c r="H1101" s="8"/>
      <c r="I1101" s="8"/>
      <c r="J1101" s="8"/>
      <c r="K1101" s="8"/>
      <c r="L1101" s="8"/>
    </row>
    <row r="1102">
      <c r="A1102" s="8"/>
      <c r="B1102" s="8"/>
      <c r="C1102" s="8"/>
      <c r="D1102" s="8"/>
      <c r="E1102" s="71"/>
      <c r="F1102" s="10"/>
      <c r="G1102" s="8"/>
      <c r="H1102" s="8"/>
      <c r="I1102" s="8"/>
      <c r="J1102" s="8"/>
      <c r="K1102" s="8"/>
      <c r="L1102" s="8"/>
    </row>
    <row r="1103">
      <c r="A1103" s="8"/>
      <c r="B1103" s="8"/>
      <c r="C1103" s="8"/>
      <c r="D1103" s="8"/>
      <c r="E1103" s="71"/>
      <c r="F1103" s="10"/>
      <c r="G1103" s="8"/>
      <c r="H1103" s="8"/>
      <c r="I1103" s="8"/>
      <c r="J1103" s="8"/>
      <c r="K1103" s="8"/>
      <c r="L1103" s="8"/>
    </row>
    <row r="1104">
      <c r="A1104" s="8"/>
      <c r="B1104" s="8"/>
      <c r="C1104" s="8"/>
      <c r="D1104" s="8"/>
      <c r="E1104" s="71"/>
      <c r="F1104" s="10"/>
      <c r="G1104" s="8"/>
      <c r="H1104" s="8"/>
      <c r="I1104" s="8"/>
      <c r="J1104" s="8"/>
      <c r="K1104" s="8"/>
      <c r="L1104" s="8"/>
    </row>
    <row r="1105">
      <c r="A1105" s="8"/>
      <c r="B1105" s="8"/>
      <c r="C1105" s="8"/>
      <c r="D1105" s="8"/>
      <c r="E1105" s="71"/>
      <c r="F1105" s="10"/>
      <c r="G1105" s="8"/>
      <c r="H1105" s="8"/>
      <c r="I1105" s="8"/>
      <c r="J1105" s="8"/>
      <c r="K1105" s="8"/>
      <c r="L1105" s="8"/>
    </row>
    <row r="1106">
      <c r="A1106" s="8"/>
      <c r="B1106" s="8"/>
      <c r="C1106" s="8"/>
      <c r="D1106" s="8"/>
      <c r="E1106" s="71"/>
      <c r="F1106" s="10"/>
      <c r="G1106" s="8"/>
      <c r="H1106" s="8"/>
      <c r="I1106" s="8"/>
      <c r="J1106" s="8"/>
      <c r="K1106" s="8"/>
      <c r="L1106" s="8"/>
    </row>
    <row r="1107">
      <c r="A1107" s="8"/>
      <c r="B1107" s="8"/>
      <c r="C1107" s="8"/>
      <c r="D1107" s="8"/>
      <c r="E1107" s="71"/>
      <c r="F1107" s="10"/>
      <c r="G1107" s="8"/>
      <c r="H1107" s="8"/>
      <c r="I1107" s="8"/>
      <c r="J1107" s="8"/>
      <c r="K1107" s="8"/>
      <c r="L1107" s="8"/>
    </row>
    <row r="1108">
      <c r="A1108" s="8"/>
      <c r="B1108" s="8"/>
      <c r="C1108" s="8"/>
      <c r="D1108" s="8"/>
      <c r="E1108" s="71"/>
      <c r="F1108" s="10"/>
      <c r="G1108" s="8"/>
      <c r="H1108" s="8"/>
      <c r="I1108" s="8"/>
      <c r="J1108" s="8"/>
      <c r="K1108" s="8"/>
      <c r="L1108" s="8"/>
    </row>
    <row r="1109">
      <c r="A1109" s="8"/>
      <c r="B1109" s="8"/>
      <c r="C1109" s="8"/>
      <c r="D1109" s="8"/>
      <c r="E1109" s="71"/>
      <c r="F1109" s="10"/>
      <c r="G1109" s="8"/>
      <c r="H1109" s="8"/>
      <c r="I1109" s="8"/>
      <c r="J1109" s="8"/>
      <c r="K1109" s="8"/>
      <c r="L1109" s="8"/>
    </row>
    <row r="1110">
      <c r="A1110" s="8"/>
      <c r="B1110" s="8"/>
      <c r="C1110" s="8"/>
      <c r="D1110" s="8"/>
      <c r="E1110" s="71"/>
      <c r="F1110" s="10"/>
      <c r="G1110" s="8"/>
      <c r="H1110" s="8"/>
      <c r="I1110" s="8"/>
      <c r="J1110" s="8"/>
      <c r="K1110" s="8"/>
      <c r="L1110" s="8"/>
    </row>
    <row r="1111">
      <c r="A1111" s="8"/>
      <c r="B1111" s="8"/>
      <c r="C1111" s="8"/>
      <c r="D1111" s="8"/>
      <c r="E1111" s="71"/>
      <c r="F1111" s="10"/>
      <c r="G1111" s="8"/>
      <c r="H1111" s="8"/>
      <c r="I1111" s="8"/>
      <c r="J1111" s="8"/>
      <c r="K1111" s="8"/>
      <c r="L1111" s="8"/>
    </row>
    <row r="1112">
      <c r="A1112" s="8"/>
      <c r="B1112" s="8"/>
      <c r="C1112" s="8"/>
      <c r="D1112" s="8"/>
      <c r="E1112" s="71"/>
      <c r="F1112" s="10"/>
      <c r="G1112" s="8"/>
      <c r="H1112" s="8"/>
      <c r="I1112" s="8"/>
      <c r="J1112" s="8"/>
      <c r="K1112" s="8"/>
      <c r="L1112" s="8"/>
    </row>
    <row r="1113">
      <c r="A1113" s="8"/>
      <c r="B1113" s="8"/>
      <c r="C1113" s="8"/>
      <c r="D1113" s="8"/>
      <c r="E1113" s="71"/>
      <c r="F1113" s="10"/>
      <c r="G1113" s="8"/>
      <c r="H1113" s="8"/>
      <c r="I1113" s="8"/>
      <c r="J1113" s="8"/>
      <c r="K1113" s="8"/>
      <c r="L1113" s="8"/>
    </row>
    <row r="1114">
      <c r="A1114" s="8"/>
      <c r="B1114" s="8"/>
      <c r="C1114" s="8"/>
      <c r="D1114" s="8"/>
      <c r="E1114" s="71"/>
      <c r="F1114" s="10"/>
      <c r="G1114" s="8"/>
      <c r="H1114" s="8"/>
      <c r="I1114" s="8"/>
      <c r="J1114" s="8"/>
      <c r="K1114" s="8"/>
      <c r="L1114" s="8"/>
    </row>
    <row r="1115">
      <c r="A1115" s="8"/>
      <c r="B1115" s="8"/>
      <c r="C1115" s="8"/>
      <c r="D1115" s="8"/>
      <c r="E1115" s="71"/>
      <c r="F1115" s="10"/>
      <c r="G1115" s="8"/>
      <c r="H1115" s="8"/>
      <c r="I1115" s="8"/>
      <c r="J1115" s="8"/>
      <c r="K1115" s="8"/>
      <c r="L1115" s="8"/>
    </row>
    <row r="1116">
      <c r="A1116" s="8"/>
      <c r="B1116" s="8"/>
      <c r="C1116" s="8"/>
      <c r="D1116" s="8"/>
      <c r="E1116" s="71"/>
      <c r="F1116" s="10"/>
      <c r="G1116" s="8"/>
      <c r="H1116" s="8"/>
      <c r="I1116" s="8"/>
      <c r="J1116" s="8"/>
      <c r="K1116" s="8"/>
      <c r="L1116" s="8"/>
    </row>
    <row r="1117">
      <c r="A1117" s="8"/>
      <c r="B1117" s="8"/>
      <c r="C1117" s="8"/>
      <c r="D1117" s="8"/>
      <c r="E1117" s="71"/>
      <c r="F1117" s="10"/>
      <c r="G1117" s="8"/>
      <c r="H1117" s="8"/>
      <c r="I1117" s="8"/>
      <c r="J1117" s="8"/>
      <c r="K1117" s="8"/>
      <c r="L1117" s="8"/>
    </row>
    <row r="1118">
      <c r="A1118" s="8"/>
      <c r="B1118" s="8"/>
      <c r="C1118" s="8"/>
      <c r="D1118" s="8"/>
      <c r="E1118" s="71"/>
      <c r="F1118" s="10"/>
      <c r="G1118" s="8"/>
      <c r="H1118" s="8"/>
      <c r="I1118" s="8"/>
      <c r="J1118" s="8"/>
      <c r="K1118" s="8"/>
      <c r="L1118" s="8"/>
    </row>
    <row r="1119">
      <c r="A1119" s="8"/>
      <c r="B1119" s="8"/>
      <c r="C1119" s="8"/>
      <c r="D1119" s="8"/>
      <c r="E1119" s="71"/>
      <c r="F1119" s="10"/>
      <c r="G1119" s="8"/>
      <c r="H1119" s="8"/>
      <c r="I1119" s="8"/>
      <c r="J1119" s="8"/>
      <c r="K1119" s="8"/>
      <c r="L1119" s="8"/>
    </row>
    <row r="1120">
      <c r="A1120" s="8"/>
      <c r="B1120" s="8"/>
      <c r="C1120" s="8"/>
      <c r="D1120" s="8"/>
      <c r="E1120" s="71"/>
      <c r="F1120" s="10"/>
      <c r="G1120" s="8"/>
      <c r="H1120" s="8"/>
      <c r="I1120" s="8"/>
      <c r="J1120" s="8"/>
      <c r="K1120" s="8"/>
      <c r="L1120" s="8"/>
    </row>
    <row r="1121">
      <c r="A1121" s="8"/>
      <c r="B1121" s="8"/>
      <c r="C1121" s="8"/>
      <c r="D1121" s="8"/>
      <c r="E1121" s="71"/>
      <c r="F1121" s="10"/>
      <c r="G1121" s="8"/>
      <c r="H1121" s="8"/>
      <c r="I1121" s="8"/>
      <c r="J1121" s="8"/>
      <c r="K1121" s="8"/>
      <c r="L1121" s="8"/>
    </row>
    <row r="1122">
      <c r="A1122" s="8"/>
      <c r="B1122" s="8"/>
      <c r="C1122" s="8"/>
      <c r="D1122" s="8"/>
      <c r="E1122" s="71"/>
      <c r="F1122" s="10"/>
      <c r="G1122" s="8"/>
      <c r="H1122" s="8"/>
      <c r="I1122" s="8"/>
      <c r="J1122" s="8"/>
      <c r="K1122" s="8"/>
      <c r="L1122" s="8"/>
    </row>
    <row r="1123">
      <c r="A1123" s="8"/>
      <c r="B1123" s="8"/>
      <c r="C1123" s="8"/>
      <c r="D1123" s="8"/>
      <c r="E1123" s="71"/>
      <c r="F1123" s="10"/>
      <c r="G1123" s="8"/>
      <c r="H1123" s="8"/>
      <c r="I1123" s="8"/>
      <c r="J1123" s="8"/>
      <c r="K1123" s="8"/>
      <c r="L1123" s="8"/>
    </row>
    <row r="1124">
      <c r="A1124" s="8"/>
      <c r="B1124" s="8"/>
      <c r="C1124" s="8"/>
      <c r="D1124" s="8"/>
      <c r="E1124" s="71"/>
      <c r="F1124" s="10"/>
      <c r="G1124" s="8"/>
      <c r="H1124" s="8"/>
      <c r="I1124" s="8"/>
      <c r="J1124" s="8"/>
      <c r="K1124" s="8"/>
      <c r="L1124" s="8"/>
    </row>
    <row r="1125">
      <c r="A1125" s="8"/>
      <c r="B1125" s="8"/>
      <c r="C1125" s="8"/>
      <c r="D1125" s="8"/>
      <c r="E1125" s="71"/>
      <c r="F1125" s="10"/>
      <c r="G1125" s="8"/>
      <c r="H1125" s="8"/>
      <c r="I1125" s="8"/>
      <c r="J1125" s="8"/>
      <c r="K1125" s="8"/>
      <c r="L1125" s="8"/>
    </row>
    <row r="1126">
      <c r="A1126" s="8"/>
      <c r="B1126" s="8"/>
      <c r="C1126" s="8"/>
      <c r="D1126" s="8"/>
      <c r="E1126" s="71"/>
      <c r="F1126" s="10"/>
      <c r="G1126" s="8"/>
      <c r="H1126" s="8"/>
      <c r="I1126" s="8"/>
      <c r="J1126" s="8"/>
      <c r="K1126" s="8"/>
      <c r="L1126" s="8"/>
    </row>
    <row r="1127">
      <c r="A1127" s="8"/>
      <c r="B1127" s="8"/>
      <c r="C1127" s="8"/>
      <c r="D1127" s="8"/>
      <c r="E1127" s="71"/>
      <c r="F1127" s="10"/>
      <c r="G1127" s="8"/>
      <c r="H1127" s="8"/>
      <c r="I1127" s="8"/>
      <c r="J1127" s="8"/>
      <c r="K1127" s="8"/>
      <c r="L1127" s="8"/>
    </row>
    <row r="1128">
      <c r="A1128" s="8"/>
      <c r="B1128" s="8"/>
      <c r="C1128" s="8"/>
      <c r="D1128" s="8"/>
      <c r="E1128" s="71"/>
      <c r="F1128" s="10"/>
      <c r="G1128" s="8"/>
      <c r="H1128" s="8"/>
      <c r="I1128" s="8"/>
      <c r="J1128" s="8"/>
      <c r="K1128" s="8"/>
      <c r="L1128" s="8"/>
    </row>
    <row r="1129">
      <c r="A1129" s="8"/>
      <c r="B1129" s="8"/>
      <c r="C1129" s="8"/>
      <c r="D1129" s="8"/>
      <c r="E1129" s="71"/>
      <c r="F1129" s="10"/>
      <c r="G1129" s="8"/>
      <c r="H1129" s="8"/>
      <c r="I1129" s="8"/>
      <c r="J1129" s="8"/>
      <c r="K1129" s="8"/>
      <c r="L1129" s="8"/>
    </row>
    <row r="1130">
      <c r="A1130" s="8"/>
      <c r="B1130" s="8"/>
      <c r="C1130" s="8"/>
      <c r="D1130" s="8"/>
      <c r="E1130" s="71"/>
      <c r="F1130" s="10"/>
      <c r="G1130" s="8"/>
      <c r="H1130" s="8"/>
      <c r="I1130" s="8"/>
      <c r="J1130" s="8"/>
      <c r="K1130" s="8"/>
      <c r="L1130" s="8"/>
    </row>
    <row r="1131">
      <c r="A1131" s="8"/>
      <c r="B1131" s="8"/>
      <c r="C1131" s="8"/>
      <c r="D1131" s="8"/>
      <c r="E1131" s="71"/>
      <c r="F1131" s="10"/>
      <c r="G1131" s="8"/>
      <c r="H1131" s="8"/>
      <c r="I1131" s="8"/>
      <c r="J1131" s="8"/>
      <c r="K1131" s="8"/>
      <c r="L1131" s="8"/>
    </row>
    <row r="1132">
      <c r="A1132" s="8"/>
      <c r="B1132" s="8"/>
      <c r="C1132" s="8"/>
      <c r="D1132" s="8"/>
      <c r="E1132" s="71"/>
      <c r="F1132" s="10"/>
      <c r="G1132" s="8"/>
      <c r="H1132" s="8"/>
      <c r="I1132" s="8"/>
      <c r="J1132" s="8"/>
      <c r="K1132" s="8"/>
      <c r="L1132" s="8"/>
    </row>
    <row r="1133">
      <c r="A1133" s="8"/>
      <c r="B1133" s="8"/>
      <c r="C1133" s="8"/>
      <c r="D1133" s="8"/>
      <c r="E1133" s="71"/>
      <c r="F1133" s="10"/>
      <c r="G1133" s="8"/>
      <c r="H1133" s="8"/>
      <c r="I1133" s="8"/>
      <c r="J1133" s="8"/>
      <c r="K1133" s="8"/>
      <c r="L1133" s="8"/>
    </row>
    <row r="1134">
      <c r="A1134" s="8"/>
      <c r="B1134" s="8"/>
      <c r="C1134" s="8"/>
      <c r="D1134" s="8"/>
      <c r="E1134" s="71"/>
      <c r="F1134" s="10"/>
      <c r="G1134" s="8"/>
      <c r="H1134" s="8"/>
      <c r="I1134" s="8"/>
      <c r="J1134" s="8"/>
      <c r="K1134" s="8"/>
      <c r="L1134" s="8"/>
    </row>
    <row r="1135">
      <c r="A1135" s="8"/>
      <c r="B1135" s="8"/>
      <c r="C1135" s="8"/>
      <c r="D1135" s="8"/>
      <c r="E1135" s="71"/>
      <c r="F1135" s="10"/>
      <c r="G1135" s="8"/>
      <c r="H1135" s="8"/>
      <c r="I1135" s="8"/>
      <c r="J1135" s="8"/>
      <c r="K1135" s="8"/>
      <c r="L1135" s="8"/>
    </row>
    <row r="1136">
      <c r="A1136" s="8"/>
      <c r="B1136" s="8"/>
      <c r="C1136" s="8"/>
      <c r="D1136" s="8"/>
      <c r="E1136" s="71"/>
      <c r="F1136" s="10"/>
      <c r="G1136" s="8"/>
      <c r="H1136" s="8"/>
      <c r="I1136" s="8"/>
      <c r="J1136" s="8"/>
      <c r="K1136" s="8"/>
      <c r="L1136" s="8"/>
    </row>
    <row r="1137">
      <c r="A1137" s="8"/>
      <c r="B1137" s="8"/>
      <c r="C1137" s="8"/>
      <c r="D1137" s="8"/>
      <c r="E1137" s="71"/>
      <c r="F1137" s="10"/>
      <c r="G1137" s="8"/>
      <c r="H1137" s="8"/>
      <c r="I1137" s="8"/>
      <c r="J1137" s="8"/>
      <c r="K1137" s="8"/>
      <c r="L1137" s="8"/>
    </row>
    <row r="1138">
      <c r="A1138" s="8"/>
      <c r="B1138" s="8"/>
      <c r="C1138" s="8"/>
      <c r="D1138" s="8"/>
      <c r="E1138" s="71"/>
      <c r="F1138" s="10"/>
      <c r="G1138" s="8"/>
      <c r="H1138" s="8"/>
      <c r="I1138" s="8"/>
      <c r="J1138" s="8"/>
      <c r="K1138" s="8"/>
      <c r="L1138" s="8"/>
    </row>
    <row r="1139">
      <c r="A1139" s="8"/>
      <c r="B1139" s="8"/>
      <c r="C1139" s="8"/>
      <c r="D1139" s="8"/>
      <c r="E1139" s="71"/>
      <c r="F1139" s="10"/>
      <c r="G1139" s="8"/>
      <c r="H1139" s="8"/>
      <c r="I1139" s="8"/>
      <c r="J1139" s="8"/>
      <c r="K1139" s="8"/>
      <c r="L1139" s="8"/>
    </row>
    <row r="1140">
      <c r="A1140" s="8"/>
      <c r="B1140" s="8"/>
      <c r="C1140" s="8"/>
      <c r="D1140" s="8"/>
      <c r="E1140" s="71"/>
      <c r="F1140" s="10"/>
      <c r="G1140" s="8"/>
      <c r="H1140" s="8"/>
      <c r="I1140" s="8"/>
      <c r="J1140" s="8"/>
      <c r="K1140" s="8"/>
      <c r="L1140" s="8"/>
    </row>
    <row r="1141">
      <c r="A1141" s="8"/>
      <c r="B1141" s="8"/>
      <c r="C1141" s="8"/>
      <c r="D1141" s="8"/>
      <c r="E1141" s="71"/>
      <c r="F1141" s="10"/>
      <c r="G1141" s="8"/>
      <c r="H1141" s="8"/>
      <c r="I1141" s="8"/>
      <c r="J1141" s="8"/>
      <c r="K1141" s="8"/>
      <c r="L1141" s="8"/>
    </row>
    <row r="1142">
      <c r="A1142" s="8"/>
      <c r="B1142" s="8"/>
      <c r="C1142" s="8"/>
      <c r="D1142" s="8"/>
      <c r="E1142" s="71"/>
      <c r="F1142" s="10"/>
      <c r="G1142" s="8"/>
      <c r="H1142" s="8"/>
      <c r="I1142" s="8"/>
      <c r="J1142" s="8"/>
      <c r="K1142" s="8"/>
      <c r="L1142" s="8"/>
    </row>
    <row r="1143">
      <c r="A1143" s="8"/>
      <c r="B1143" s="8"/>
      <c r="C1143" s="8"/>
      <c r="D1143" s="8"/>
      <c r="E1143" s="71"/>
      <c r="F1143" s="10"/>
      <c r="G1143" s="8"/>
      <c r="H1143" s="8"/>
      <c r="I1143" s="8"/>
      <c r="J1143" s="8"/>
      <c r="K1143" s="8"/>
      <c r="L1143" s="8"/>
    </row>
    <row r="1144">
      <c r="A1144" s="8"/>
      <c r="B1144" s="8"/>
      <c r="C1144" s="8"/>
      <c r="D1144" s="8"/>
      <c r="E1144" s="71"/>
      <c r="F1144" s="10"/>
      <c r="G1144" s="8"/>
      <c r="H1144" s="8"/>
      <c r="I1144" s="8"/>
      <c r="J1144" s="8"/>
      <c r="K1144" s="8"/>
      <c r="L1144" s="8"/>
    </row>
    <row r="1145">
      <c r="A1145" s="8"/>
      <c r="B1145" s="8"/>
      <c r="C1145" s="8"/>
      <c r="D1145" s="8"/>
      <c r="E1145" s="71"/>
      <c r="F1145" s="10"/>
      <c r="G1145" s="8"/>
      <c r="H1145" s="8"/>
      <c r="I1145" s="8"/>
      <c r="J1145" s="8"/>
      <c r="K1145" s="8"/>
      <c r="L1145" s="8"/>
    </row>
    <row r="1146">
      <c r="A1146" s="8"/>
      <c r="B1146" s="8"/>
      <c r="C1146" s="8"/>
      <c r="D1146" s="8"/>
      <c r="E1146" s="71"/>
      <c r="F1146" s="10"/>
      <c r="G1146" s="8"/>
      <c r="H1146" s="8"/>
      <c r="I1146" s="8"/>
      <c r="J1146" s="8"/>
      <c r="K1146" s="8"/>
      <c r="L1146" s="8"/>
    </row>
    <row r="1147">
      <c r="A1147" s="8"/>
      <c r="B1147" s="8"/>
      <c r="C1147" s="8"/>
      <c r="D1147" s="8"/>
      <c r="E1147" s="71"/>
      <c r="F1147" s="10"/>
      <c r="G1147" s="8"/>
      <c r="H1147" s="8"/>
      <c r="I1147" s="8"/>
      <c r="J1147" s="8"/>
      <c r="K1147" s="8"/>
      <c r="L1147" s="8"/>
    </row>
    <row r="1148">
      <c r="A1148" s="8"/>
      <c r="B1148" s="8"/>
      <c r="C1148" s="8"/>
      <c r="D1148" s="8"/>
      <c r="E1148" s="71"/>
      <c r="F1148" s="10"/>
      <c r="G1148" s="8"/>
      <c r="H1148" s="8"/>
      <c r="I1148" s="8"/>
      <c r="J1148" s="8"/>
      <c r="K1148" s="8"/>
      <c r="L1148" s="8"/>
    </row>
    <row r="1149">
      <c r="A1149" s="8"/>
      <c r="B1149" s="8"/>
      <c r="C1149" s="8"/>
      <c r="D1149" s="8"/>
      <c r="E1149" s="71"/>
      <c r="F1149" s="10"/>
      <c r="G1149" s="8"/>
      <c r="H1149" s="8"/>
      <c r="I1149" s="8"/>
      <c r="J1149" s="8"/>
      <c r="K1149" s="8"/>
      <c r="L1149" s="8"/>
    </row>
    <row r="1150">
      <c r="A1150" s="8"/>
      <c r="B1150" s="8"/>
      <c r="C1150" s="8"/>
      <c r="D1150" s="8"/>
      <c r="E1150" s="71"/>
      <c r="F1150" s="10"/>
      <c r="G1150" s="8"/>
      <c r="H1150" s="8"/>
      <c r="I1150" s="8"/>
      <c r="J1150" s="8"/>
      <c r="K1150" s="8"/>
      <c r="L1150" s="8"/>
    </row>
    <row r="1151">
      <c r="A1151" s="8"/>
      <c r="B1151" s="8"/>
      <c r="C1151" s="8"/>
      <c r="D1151" s="8"/>
      <c r="E1151" s="71"/>
      <c r="F1151" s="10"/>
      <c r="G1151" s="8"/>
      <c r="H1151" s="8"/>
      <c r="I1151" s="8"/>
      <c r="J1151" s="8"/>
      <c r="K1151" s="8"/>
      <c r="L1151" s="8"/>
    </row>
    <row r="1152">
      <c r="A1152" s="8"/>
      <c r="B1152" s="8"/>
      <c r="C1152" s="8"/>
      <c r="D1152" s="8"/>
      <c r="E1152" s="71"/>
      <c r="F1152" s="10"/>
      <c r="G1152" s="8"/>
      <c r="H1152" s="8"/>
      <c r="I1152" s="8"/>
      <c r="J1152" s="8"/>
      <c r="K1152" s="8"/>
      <c r="L1152" s="8"/>
    </row>
    <row r="1153">
      <c r="A1153" s="8"/>
      <c r="B1153" s="8"/>
      <c r="C1153" s="8"/>
      <c r="D1153" s="8"/>
      <c r="E1153" s="71"/>
      <c r="F1153" s="10"/>
      <c r="G1153" s="8"/>
      <c r="H1153" s="8"/>
      <c r="I1153" s="8"/>
      <c r="J1153" s="8"/>
      <c r="K1153" s="8"/>
      <c r="L1153" s="8"/>
    </row>
    <row r="1154">
      <c r="A1154" s="8"/>
      <c r="B1154" s="8"/>
      <c r="C1154" s="8"/>
      <c r="D1154" s="8"/>
      <c r="E1154" s="71"/>
      <c r="F1154" s="10"/>
      <c r="G1154" s="8"/>
      <c r="H1154" s="8"/>
      <c r="I1154" s="8"/>
      <c r="J1154" s="8"/>
      <c r="K1154" s="8"/>
      <c r="L1154" s="8"/>
    </row>
    <row r="1155">
      <c r="A1155" s="8"/>
      <c r="B1155" s="8"/>
      <c r="C1155" s="8"/>
      <c r="D1155" s="8"/>
      <c r="E1155" s="71"/>
      <c r="F1155" s="10"/>
      <c r="G1155" s="8"/>
      <c r="H1155" s="8"/>
      <c r="I1155" s="8"/>
      <c r="J1155" s="8"/>
      <c r="K1155" s="8"/>
      <c r="L1155" s="8"/>
    </row>
    <row r="1156">
      <c r="A1156" s="8"/>
      <c r="B1156" s="8"/>
      <c r="C1156" s="8"/>
      <c r="D1156" s="8"/>
      <c r="E1156" s="71"/>
      <c r="F1156" s="10"/>
      <c r="G1156" s="8"/>
      <c r="H1156" s="8"/>
      <c r="I1156" s="8"/>
      <c r="J1156" s="8"/>
      <c r="K1156" s="8"/>
      <c r="L1156" s="8"/>
    </row>
    <row r="1157">
      <c r="A1157" s="8"/>
      <c r="B1157" s="8"/>
      <c r="C1157" s="8"/>
      <c r="D1157" s="8"/>
      <c r="E1157" s="71"/>
      <c r="F1157" s="10"/>
      <c r="G1157" s="8"/>
      <c r="H1157" s="8"/>
      <c r="I1157" s="8"/>
      <c r="J1157" s="8"/>
      <c r="K1157" s="8"/>
      <c r="L1157" s="8"/>
    </row>
    <row r="1158">
      <c r="A1158" s="8"/>
      <c r="B1158" s="8"/>
      <c r="C1158" s="8"/>
      <c r="D1158" s="8"/>
      <c r="E1158" s="71"/>
      <c r="F1158" s="10"/>
      <c r="G1158" s="8"/>
      <c r="H1158" s="8"/>
      <c r="I1158" s="8"/>
      <c r="J1158" s="8"/>
      <c r="K1158" s="8"/>
      <c r="L1158" s="8"/>
    </row>
    <row r="1159">
      <c r="A1159" s="8"/>
      <c r="B1159" s="8"/>
      <c r="C1159" s="8"/>
      <c r="D1159" s="8"/>
      <c r="E1159" s="71"/>
      <c r="F1159" s="10"/>
      <c r="G1159" s="8"/>
      <c r="H1159" s="8"/>
      <c r="I1159" s="8"/>
      <c r="J1159" s="8"/>
      <c r="K1159" s="8"/>
      <c r="L1159" s="8"/>
    </row>
    <row r="1160">
      <c r="A1160" s="8"/>
      <c r="B1160" s="8"/>
      <c r="C1160" s="8"/>
      <c r="D1160" s="8"/>
      <c r="E1160" s="71"/>
      <c r="F1160" s="10"/>
      <c r="G1160" s="8"/>
      <c r="H1160" s="8"/>
      <c r="I1160" s="8"/>
      <c r="J1160" s="8"/>
      <c r="K1160" s="8"/>
      <c r="L1160" s="8"/>
    </row>
    <row r="1161">
      <c r="A1161" s="8"/>
      <c r="B1161" s="8"/>
      <c r="C1161" s="8"/>
      <c r="D1161" s="8"/>
      <c r="E1161" s="71"/>
      <c r="F1161" s="10"/>
      <c r="G1161" s="8"/>
      <c r="H1161" s="8"/>
      <c r="I1161" s="8"/>
      <c r="J1161" s="8"/>
      <c r="K1161" s="8"/>
      <c r="L1161" s="8"/>
    </row>
    <row r="1162">
      <c r="A1162" s="8"/>
      <c r="B1162" s="8"/>
      <c r="C1162" s="8"/>
      <c r="D1162" s="8"/>
      <c r="E1162" s="71"/>
      <c r="F1162" s="10"/>
      <c r="G1162" s="8"/>
      <c r="H1162" s="8"/>
      <c r="I1162" s="8"/>
      <c r="J1162" s="8"/>
      <c r="K1162" s="8"/>
      <c r="L1162" s="8"/>
    </row>
    <row r="1163">
      <c r="A1163" s="8"/>
      <c r="B1163" s="8"/>
      <c r="C1163" s="8"/>
      <c r="D1163" s="8"/>
      <c r="E1163" s="71"/>
      <c r="F1163" s="10"/>
      <c r="G1163" s="8"/>
      <c r="H1163" s="8"/>
      <c r="I1163" s="8"/>
      <c r="J1163" s="8"/>
      <c r="K1163" s="8"/>
      <c r="L1163" s="8"/>
    </row>
    <row r="1164">
      <c r="A1164" s="8"/>
      <c r="B1164" s="8"/>
      <c r="C1164" s="8"/>
      <c r="D1164" s="8"/>
      <c r="E1164" s="71"/>
      <c r="F1164" s="10"/>
      <c r="G1164" s="8"/>
      <c r="H1164" s="8"/>
      <c r="I1164" s="8"/>
      <c r="J1164" s="8"/>
      <c r="K1164" s="8"/>
      <c r="L1164" s="8"/>
    </row>
    <row r="1165">
      <c r="A1165" s="8"/>
      <c r="B1165" s="8"/>
      <c r="C1165" s="8"/>
      <c r="D1165" s="8"/>
      <c r="E1165" s="71"/>
      <c r="F1165" s="10"/>
      <c r="G1165" s="8"/>
      <c r="H1165" s="8"/>
      <c r="I1165" s="8"/>
      <c r="J1165" s="8"/>
      <c r="K1165" s="8"/>
      <c r="L1165" s="8"/>
    </row>
    <row r="1166">
      <c r="A1166" s="8"/>
      <c r="B1166" s="8"/>
      <c r="C1166" s="8"/>
      <c r="D1166" s="8"/>
      <c r="E1166" s="71"/>
      <c r="F1166" s="10"/>
      <c r="G1166" s="8"/>
      <c r="H1166" s="8"/>
      <c r="I1166" s="8"/>
      <c r="J1166" s="8"/>
      <c r="K1166" s="8"/>
      <c r="L1166" s="8"/>
    </row>
    <row r="1167">
      <c r="A1167" s="8"/>
      <c r="B1167" s="8"/>
      <c r="C1167" s="8"/>
      <c r="D1167" s="8"/>
      <c r="E1167" s="71"/>
      <c r="F1167" s="10"/>
      <c r="G1167" s="8"/>
      <c r="H1167" s="8"/>
      <c r="I1167" s="8"/>
      <c r="J1167" s="8"/>
      <c r="K1167" s="8"/>
      <c r="L1167" s="8"/>
    </row>
    <row r="1168">
      <c r="A1168" s="8"/>
      <c r="B1168" s="8"/>
      <c r="C1168" s="8"/>
      <c r="D1168" s="8"/>
      <c r="E1168" s="71"/>
      <c r="F1168" s="10"/>
      <c r="G1168" s="8"/>
      <c r="H1168" s="8"/>
      <c r="I1168" s="8"/>
      <c r="J1168" s="8"/>
      <c r="K1168" s="8"/>
      <c r="L1168" s="8"/>
    </row>
    <row r="1169">
      <c r="A1169" s="8"/>
      <c r="B1169" s="8"/>
      <c r="C1169" s="8"/>
      <c r="D1169" s="8"/>
      <c r="E1169" s="71"/>
      <c r="F1169" s="10"/>
      <c r="G1169" s="8"/>
      <c r="H1169" s="8"/>
      <c r="I1169" s="8"/>
      <c r="J1169" s="8"/>
      <c r="K1169" s="8"/>
      <c r="L1169" s="8"/>
    </row>
    <row r="1170">
      <c r="A1170" s="8"/>
      <c r="B1170" s="8"/>
      <c r="C1170" s="8"/>
      <c r="D1170" s="8"/>
      <c r="E1170" s="71"/>
      <c r="F1170" s="10"/>
      <c r="G1170" s="8"/>
      <c r="H1170" s="8"/>
      <c r="I1170" s="8"/>
      <c r="J1170" s="8"/>
      <c r="K1170" s="8"/>
      <c r="L1170" s="8"/>
    </row>
    <row r="1171">
      <c r="A1171" s="8"/>
      <c r="B1171" s="8"/>
      <c r="C1171" s="8"/>
      <c r="D1171" s="8"/>
      <c r="E1171" s="71"/>
      <c r="F1171" s="10"/>
      <c r="G1171" s="8"/>
      <c r="H1171" s="8"/>
      <c r="I1171" s="8"/>
      <c r="J1171" s="8"/>
      <c r="K1171" s="8"/>
      <c r="L1171" s="8"/>
    </row>
    <row r="1172">
      <c r="A1172" s="8"/>
      <c r="B1172" s="8"/>
      <c r="C1172" s="8"/>
      <c r="D1172" s="8"/>
      <c r="E1172" s="71"/>
      <c r="F1172" s="10"/>
      <c r="G1172" s="8"/>
      <c r="H1172" s="8"/>
      <c r="I1172" s="8"/>
      <c r="J1172" s="8"/>
      <c r="K1172" s="8"/>
      <c r="L1172" s="8"/>
    </row>
    <row r="1173">
      <c r="A1173" s="8"/>
      <c r="B1173" s="8"/>
      <c r="C1173" s="8"/>
      <c r="D1173" s="8"/>
      <c r="E1173" s="71"/>
      <c r="F1173" s="10"/>
      <c r="G1173" s="8"/>
      <c r="H1173" s="8"/>
      <c r="I1173" s="8"/>
      <c r="J1173" s="8"/>
      <c r="K1173" s="8"/>
      <c r="L1173" s="8"/>
    </row>
    <row r="1174">
      <c r="A1174" s="8"/>
      <c r="B1174" s="8"/>
      <c r="C1174" s="8"/>
      <c r="D1174" s="8"/>
      <c r="E1174" s="71"/>
      <c r="F1174" s="10"/>
      <c r="G1174" s="8"/>
      <c r="H1174" s="8"/>
      <c r="I1174" s="8"/>
      <c r="J1174" s="8"/>
      <c r="K1174" s="8"/>
      <c r="L1174" s="8"/>
    </row>
    <row r="1175">
      <c r="A1175" s="8"/>
      <c r="B1175" s="8"/>
      <c r="C1175" s="8"/>
      <c r="D1175" s="8"/>
      <c r="E1175" s="71"/>
      <c r="F1175" s="10"/>
      <c r="G1175" s="8"/>
      <c r="H1175" s="8"/>
      <c r="I1175" s="8"/>
      <c r="J1175" s="8"/>
      <c r="K1175" s="8"/>
      <c r="L1175" s="8"/>
    </row>
    <row r="1176">
      <c r="A1176" s="8"/>
      <c r="B1176" s="8"/>
      <c r="C1176" s="8"/>
      <c r="D1176" s="8"/>
      <c r="E1176" s="71"/>
      <c r="F1176" s="10"/>
      <c r="G1176" s="8"/>
      <c r="H1176" s="8"/>
      <c r="I1176" s="8"/>
      <c r="J1176" s="8"/>
      <c r="K1176" s="8"/>
      <c r="L1176" s="8"/>
    </row>
    <row r="1177">
      <c r="A1177" s="8"/>
      <c r="B1177" s="8"/>
      <c r="C1177" s="8"/>
      <c r="D1177" s="8"/>
      <c r="E1177" s="71"/>
      <c r="F1177" s="10"/>
      <c r="G1177" s="8"/>
      <c r="H1177" s="8"/>
      <c r="I1177" s="8"/>
      <c r="J1177" s="8"/>
      <c r="K1177" s="8"/>
      <c r="L1177" s="8"/>
    </row>
    <row r="1178">
      <c r="A1178" s="8"/>
      <c r="B1178" s="8"/>
      <c r="C1178" s="8"/>
      <c r="D1178" s="8"/>
      <c r="E1178" s="71"/>
      <c r="F1178" s="10"/>
      <c r="G1178" s="8"/>
      <c r="H1178" s="8"/>
      <c r="I1178" s="8"/>
      <c r="J1178" s="8"/>
      <c r="K1178" s="8"/>
      <c r="L1178" s="8"/>
    </row>
    <row r="1179">
      <c r="A1179" s="8"/>
      <c r="B1179" s="8"/>
      <c r="C1179" s="8"/>
      <c r="D1179" s="8"/>
      <c r="E1179" s="71"/>
      <c r="F1179" s="10"/>
      <c r="G1179" s="8"/>
      <c r="H1179" s="8"/>
      <c r="I1179" s="8"/>
      <c r="J1179" s="8"/>
      <c r="K1179" s="8"/>
      <c r="L1179" s="8"/>
    </row>
    <row r="1180">
      <c r="A1180" s="8"/>
      <c r="B1180" s="8"/>
      <c r="C1180" s="8"/>
      <c r="D1180" s="8"/>
      <c r="E1180" s="71"/>
      <c r="F1180" s="10"/>
      <c r="G1180" s="8"/>
      <c r="H1180" s="8"/>
      <c r="I1180" s="8"/>
      <c r="J1180" s="8"/>
      <c r="K1180" s="8"/>
      <c r="L1180" s="8"/>
    </row>
    <row r="1181">
      <c r="A1181" s="8"/>
      <c r="B1181" s="8"/>
      <c r="C1181" s="8"/>
      <c r="D1181" s="8"/>
      <c r="E1181" s="71"/>
      <c r="F1181" s="10"/>
      <c r="G1181" s="8"/>
      <c r="H1181" s="8"/>
      <c r="I1181" s="8"/>
      <c r="J1181" s="8"/>
      <c r="K1181" s="8"/>
      <c r="L1181" s="8"/>
    </row>
    <row r="1182">
      <c r="A1182" s="8"/>
      <c r="B1182" s="8"/>
      <c r="C1182" s="8"/>
      <c r="D1182" s="8"/>
      <c r="E1182" s="71"/>
      <c r="F1182" s="10"/>
      <c r="G1182" s="8"/>
      <c r="H1182" s="8"/>
      <c r="I1182" s="8"/>
      <c r="J1182" s="8"/>
      <c r="K1182" s="8"/>
      <c r="L1182" s="8"/>
    </row>
    <row r="1183">
      <c r="A1183" s="8"/>
      <c r="B1183" s="8"/>
      <c r="C1183" s="8"/>
      <c r="D1183" s="8"/>
      <c r="E1183" s="71"/>
      <c r="F1183" s="10"/>
      <c r="G1183" s="8"/>
      <c r="H1183" s="8"/>
      <c r="I1183" s="8"/>
      <c r="J1183" s="8"/>
      <c r="K1183" s="8"/>
      <c r="L1183" s="8"/>
    </row>
    <row r="1184">
      <c r="A1184" s="8"/>
      <c r="B1184" s="8"/>
      <c r="C1184" s="8"/>
      <c r="D1184" s="8"/>
      <c r="E1184" s="71"/>
      <c r="F1184" s="10"/>
      <c r="G1184" s="8"/>
      <c r="H1184" s="8"/>
      <c r="I1184" s="8"/>
      <c r="J1184" s="8"/>
      <c r="K1184" s="8"/>
      <c r="L1184" s="8"/>
    </row>
    <row r="1185">
      <c r="A1185" s="8"/>
      <c r="B1185" s="8"/>
      <c r="C1185" s="8"/>
      <c r="D1185" s="8"/>
      <c r="E1185" s="71"/>
      <c r="F1185" s="10"/>
      <c r="G1185" s="8"/>
      <c r="H1185" s="8"/>
      <c r="I1185" s="8"/>
      <c r="J1185" s="8"/>
      <c r="K1185" s="8"/>
      <c r="L1185" s="8"/>
    </row>
    <row r="1186">
      <c r="A1186" s="8"/>
      <c r="B1186" s="8"/>
      <c r="C1186" s="8"/>
      <c r="D1186" s="8"/>
      <c r="E1186" s="71"/>
      <c r="F1186" s="10"/>
      <c r="G1186" s="8"/>
      <c r="H1186" s="8"/>
      <c r="I1186" s="8"/>
      <c r="J1186" s="8"/>
      <c r="K1186" s="8"/>
      <c r="L1186" s="8"/>
    </row>
    <row r="1187">
      <c r="A1187" s="8"/>
      <c r="B1187" s="8"/>
      <c r="C1187" s="8"/>
      <c r="D1187" s="8"/>
      <c r="E1187" s="71"/>
      <c r="F1187" s="10"/>
      <c r="G1187" s="8"/>
      <c r="H1187" s="8"/>
      <c r="I1187" s="8"/>
      <c r="J1187" s="8"/>
      <c r="K1187" s="8"/>
      <c r="L1187" s="8"/>
    </row>
    <row r="1188">
      <c r="A1188" s="8"/>
      <c r="B1188" s="8"/>
      <c r="C1188" s="8"/>
      <c r="D1188" s="8"/>
      <c r="E1188" s="71"/>
      <c r="F1188" s="10"/>
      <c r="G1188" s="8"/>
      <c r="H1188" s="8"/>
      <c r="I1188" s="8"/>
      <c r="J1188" s="8"/>
      <c r="K1188" s="8"/>
      <c r="L1188" s="8"/>
    </row>
    <row r="1189">
      <c r="A1189" s="8"/>
      <c r="B1189" s="8"/>
      <c r="C1189" s="8"/>
      <c r="D1189" s="8"/>
      <c r="E1189" s="71"/>
      <c r="F1189" s="10"/>
      <c r="G1189" s="8"/>
      <c r="H1189" s="8"/>
      <c r="I1189" s="8"/>
      <c r="J1189" s="8"/>
      <c r="K1189" s="8"/>
      <c r="L1189" s="8"/>
    </row>
    <row r="1190">
      <c r="A1190" s="8"/>
      <c r="B1190" s="8"/>
      <c r="C1190" s="8"/>
      <c r="D1190" s="8"/>
      <c r="E1190" s="71"/>
      <c r="F1190" s="10"/>
      <c r="G1190" s="8"/>
      <c r="H1190" s="8"/>
      <c r="I1190" s="8"/>
      <c r="J1190" s="8"/>
      <c r="K1190" s="8"/>
      <c r="L1190" s="8"/>
    </row>
    <row r="1191">
      <c r="A1191" s="8"/>
      <c r="B1191" s="8"/>
      <c r="C1191" s="8"/>
      <c r="D1191" s="8"/>
      <c r="E1191" s="71"/>
      <c r="F1191" s="10"/>
      <c r="G1191" s="8"/>
      <c r="H1191" s="8"/>
      <c r="I1191" s="8"/>
      <c r="J1191" s="8"/>
      <c r="K1191" s="8"/>
      <c r="L1191" s="8"/>
    </row>
    <row r="1192">
      <c r="A1192" s="8"/>
      <c r="B1192" s="8"/>
      <c r="C1192" s="8"/>
      <c r="D1192" s="8"/>
      <c r="E1192" s="71"/>
      <c r="F1192" s="10"/>
      <c r="G1192" s="8"/>
      <c r="H1192" s="8"/>
      <c r="I1192" s="8"/>
      <c r="J1192" s="8"/>
      <c r="K1192" s="8"/>
      <c r="L1192" s="8"/>
    </row>
    <row r="1193">
      <c r="A1193" s="8"/>
      <c r="B1193" s="8"/>
      <c r="C1193" s="8"/>
      <c r="D1193" s="8"/>
      <c r="E1193" s="71"/>
      <c r="F1193" s="10"/>
      <c r="G1193" s="8"/>
      <c r="H1193" s="8"/>
      <c r="I1193" s="8"/>
      <c r="J1193" s="8"/>
      <c r="K1193" s="8"/>
      <c r="L1193" s="8"/>
    </row>
    <row r="1194">
      <c r="A1194" s="8"/>
      <c r="B1194" s="8"/>
      <c r="C1194" s="8"/>
      <c r="D1194" s="8"/>
      <c r="E1194" s="71"/>
      <c r="F1194" s="10"/>
      <c r="G1194" s="8"/>
      <c r="H1194" s="8"/>
      <c r="I1194" s="8"/>
      <c r="J1194" s="8"/>
      <c r="K1194" s="8"/>
      <c r="L1194" s="8"/>
    </row>
    <row r="1195">
      <c r="A1195" s="8"/>
      <c r="B1195" s="8"/>
      <c r="C1195" s="8"/>
      <c r="D1195" s="8"/>
      <c r="E1195" s="71"/>
      <c r="F1195" s="10"/>
      <c r="G1195" s="8"/>
      <c r="H1195" s="8"/>
      <c r="I1195" s="8"/>
      <c r="J1195" s="8"/>
      <c r="K1195" s="8"/>
      <c r="L1195" s="8"/>
    </row>
    <row r="1196">
      <c r="A1196" s="8"/>
      <c r="B1196" s="8"/>
      <c r="C1196" s="8"/>
      <c r="D1196" s="8"/>
      <c r="E1196" s="71"/>
      <c r="F1196" s="10"/>
      <c r="G1196" s="8"/>
      <c r="H1196" s="8"/>
      <c r="I1196" s="8"/>
      <c r="J1196" s="8"/>
      <c r="K1196" s="8"/>
      <c r="L1196" s="8"/>
    </row>
    <row r="1197">
      <c r="A1197" s="8"/>
      <c r="B1197" s="8"/>
      <c r="C1197" s="8"/>
      <c r="D1197" s="8"/>
      <c r="E1197" s="71"/>
      <c r="F1197" s="10"/>
      <c r="G1197" s="8"/>
      <c r="H1197" s="8"/>
      <c r="I1197" s="8"/>
      <c r="J1197" s="8"/>
      <c r="K1197" s="8"/>
      <c r="L1197" s="8"/>
    </row>
    <row r="1198">
      <c r="A1198" s="8"/>
      <c r="B1198" s="8"/>
      <c r="C1198" s="8"/>
      <c r="D1198" s="8"/>
      <c r="E1198" s="71"/>
      <c r="F1198" s="10"/>
      <c r="G1198" s="8"/>
      <c r="H1198" s="8"/>
      <c r="I1198" s="8"/>
      <c r="J1198" s="8"/>
      <c r="K1198" s="8"/>
      <c r="L1198" s="8"/>
    </row>
    <row r="1199">
      <c r="A1199" s="8"/>
      <c r="B1199" s="8"/>
      <c r="C1199" s="8"/>
      <c r="D1199" s="8"/>
      <c r="E1199" s="71"/>
      <c r="F1199" s="10"/>
      <c r="G1199" s="8"/>
      <c r="H1199" s="8"/>
      <c r="I1199" s="8"/>
      <c r="J1199" s="8"/>
      <c r="K1199" s="8"/>
      <c r="L1199" s="8"/>
    </row>
    <row r="1200">
      <c r="A1200" s="8"/>
      <c r="B1200" s="8"/>
      <c r="C1200" s="8"/>
      <c r="D1200" s="8"/>
      <c r="E1200" s="71"/>
      <c r="F1200" s="10"/>
      <c r="G1200" s="8"/>
      <c r="H1200" s="8"/>
      <c r="I1200" s="8"/>
      <c r="J1200" s="8"/>
      <c r="K1200" s="8"/>
      <c r="L1200" s="8"/>
    </row>
    <row r="1201">
      <c r="A1201" s="8"/>
      <c r="B1201" s="8"/>
      <c r="C1201" s="8"/>
      <c r="D1201" s="8"/>
      <c r="E1201" s="71"/>
      <c r="F1201" s="10"/>
      <c r="G1201" s="8"/>
      <c r="H1201" s="8"/>
      <c r="I1201" s="8"/>
      <c r="J1201" s="8"/>
      <c r="K1201" s="8"/>
      <c r="L1201" s="8"/>
    </row>
    <row r="1202">
      <c r="A1202" s="8"/>
      <c r="B1202" s="8"/>
      <c r="C1202" s="8"/>
      <c r="D1202" s="8"/>
      <c r="E1202" s="71"/>
      <c r="F1202" s="10"/>
      <c r="G1202" s="8"/>
      <c r="H1202" s="8"/>
      <c r="I1202" s="8"/>
      <c r="J1202" s="8"/>
      <c r="K1202" s="8"/>
      <c r="L1202" s="8"/>
    </row>
    <row r="1203">
      <c r="A1203" s="8"/>
      <c r="B1203" s="8"/>
      <c r="C1203" s="8"/>
      <c r="D1203" s="8"/>
      <c r="E1203" s="71"/>
      <c r="F1203" s="10"/>
      <c r="G1203" s="8"/>
      <c r="H1203" s="8"/>
      <c r="I1203" s="8"/>
      <c r="J1203" s="8"/>
      <c r="K1203" s="8"/>
      <c r="L1203" s="8"/>
    </row>
    <row r="1204">
      <c r="A1204" s="8"/>
      <c r="B1204" s="8"/>
      <c r="C1204" s="8"/>
      <c r="D1204" s="8"/>
      <c r="E1204" s="71"/>
      <c r="F1204" s="10"/>
      <c r="G1204" s="8"/>
      <c r="H1204" s="8"/>
      <c r="I1204" s="8"/>
      <c r="J1204" s="8"/>
      <c r="K1204" s="8"/>
      <c r="L1204" s="8"/>
    </row>
    <row r="1205">
      <c r="A1205" s="8"/>
      <c r="B1205" s="8"/>
      <c r="C1205" s="8"/>
      <c r="D1205" s="8"/>
      <c r="E1205" s="71"/>
      <c r="F1205" s="10"/>
      <c r="G1205" s="8"/>
      <c r="H1205" s="8"/>
      <c r="I1205" s="8"/>
      <c r="J1205" s="8"/>
      <c r="K1205" s="8"/>
      <c r="L1205" s="8"/>
    </row>
    <row r="1206">
      <c r="A1206" s="8"/>
      <c r="B1206" s="8"/>
      <c r="C1206" s="8"/>
      <c r="D1206" s="8"/>
      <c r="E1206" s="71"/>
      <c r="F1206" s="10"/>
      <c r="G1206" s="8"/>
      <c r="H1206" s="8"/>
      <c r="I1206" s="8"/>
      <c r="J1206" s="8"/>
      <c r="K1206" s="8"/>
      <c r="L1206" s="8"/>
    </row>
    <row r="1207">
      <c r="A1207" s="8"/>
      <c r="B1207" s="8"/>
      <c r="C1207" s="8"/>
      <c r="D1207" s="8"/>
      <c r="E1207" s="71"/>
      <c r="F1207" s="10"/>
      <c r="G1207" s="8"/>
      <c r="H1207" s="8"/>
      <c r="I1207" s="8"/>
      <c r="J1207" s="8"/>
      <c r="K1207" s="8"/>
      <c r="L1207" s="8"/>
    </row>
    <row r="1208">
      <c r="A1208" s="8"/>
      <c r="B1208" s="8"/>
      <c r="C1208" s="8"/>
      <c r="D1208" s="8"/>
      <c r="E1208" s="71"/>
      <c r="F1208" s="10"/>
      <c r="G1208" s="8"/>
      <c r="H1208" s="8"/>
      <c r="I1208" s="8"/>
      <c r="J1208" s="8"/>
      <c r="K1208" s="8"/>
      <c r="L1208" s="8"/>
    </row>
    <row r="1209">
      <c r="A1209" s="8"/>
      <c r="B1209" s="8"/>
      <c r="C1209" s="8"/>
      <c r="D1209" s="8"/>
      <c r="E1209" s="71"/>
      <c r="F1209" s="10"/>
      <c r="G1209" s="8"/>
      <c r="H1209" s="8"/>
      <c r="I1209" s="8"/>
      <c r="J1209" s="8"/>
      <c r="K1209" s="8"/>
      <c r="L1209" s="8"/>
    </row>
    <row r="1210">
      <c r="A1210" s="8"/>
      <c r="B1210" s="8"/>
      <c r="C1210" s="8"/>
      <c r="D1210" s="8"/>
      <c r="E1210" s="71"/>
      <c r="F1210" s="10"/>
      <c r="G1210" s="8"/>
      <c r="H1210" s="8"/>
      <c r="I1210" s="8"/>
      <c r="J1210" s="8"/>
      <c r="K1210" s="8"/>
      <c r="L1210" s="8"/>
    </row>
    <row r="1211">
      <c r="A1211" s="8"/>
      <c r="B1211" s="8"/>
      <c r="C1211" s="8"/>
      <c r="D1211" s="8"/>
      <c r="E1211" s="71"/>
      <c r="F1211" s="10"/>
      <c r="G1211" s="8"/>
      <c r="H1211" s="8"/>
      <c r="I1211" s="8"/>
      <c r="J1211" s="8"/>
      <c r="K1211" s="8"/>
      <c r="L1211" s="8"/>
    </row>
    <row r="1212">
      <c r="A1212" s="8"/>
      <c r="B1212" s="8"/>
      <c r="C1212" s="8"/>
      <c r="D1212" s="8"/>
      <c r="E1212" s="71"/>
      <c r="F1212" s="10"/>
      <c r="G1212" s="8"/>
      <c r="H1212" s="8"/>
      <c r="I1212" s="8"/>
      <c r="J1212" s="8"/>
      <c r="K1212" s="8"/>
      <c r="L1212" s="8"/>
    </row>
    <row r="1213">
      <c r="A1213" s="8"/>
      <c r="B1213" s="8"/>
      <c r="C1213" s="8"/>
      <c r="D1213" s="8"/>
      <c r="E1213" s="71"/>
      <c r="F1213" s="10"/>
      <c r="G1213" s="8"/>
      <c r="H1213" s="8"/>
      <c r="I1213" s="8"/>
      <c r="J1213" s="8"/>
      <c r="K1213" s="8"/>
      <c r="L1213" s="8"/>
    </row>
    <row r="1214">
      <c r="A1214" s="8"/>
      <c r="B1214" s="8"/>
      <c r="C1214" s="8"/>
      <c r="D1214" s="8"/>
      <c r="E1214" s="71"/>
      <c r="F1214" s="10"/>
      <c r="G1214" s="8"/>
      <c r="H1214" s="8"/>
      <c r="I1214" s="8"/>
      <c r="J1214" s="8"/>
      <c r="K1214" s="8"/>
      <c r="L1214" s="8"/>
    </row>
    <row r="1215">
      <c r="A1215" s="8"/>
      <c r="B1215" s="8"/>
      <c r="C1215" s="8"/>
      <c r="D1215" s="8"/>
      <c r="E1215" s="71"/>
      <c r="F1215" s="10"/>
      <c r="G1215" s="8"/>
      <c r="H1215" s="8"/>
      <c r="I1215" s="8"/>
      <c r="J1215" s="8"/>
      <c r="K1215" s="8"/>
      <c r="L1215" s="8"/>
    </row>
    <row r="1216">
      <c r="A1216" s="8"/>
      <c r="B1216" s="8"/>
      <c r="C1216" s="8"/>
      <c r="D1216" s="8"/>
      <c r="E1216" s="71"/>
      <c r="F1216" s="10"/>
      <c r="G1216" s="8"/>
      <c r="H1216" s="8"/>
      <c r="I1216" s="8"/>
      <c r="J1216" s="8"/>
      <c r="K1216" s="8"/>
      <c r="L1216" s="8"/>
    </row>
    <row r="1217">
      <c r="A1217" s="8"/>
      <c r="B1217" s="8"/>
      <c r="C1217" s="8"/>
      <c r="D1217" s="8"/>
      <c r="E1217" s="71"/>
      <c r="F1217" s="10"/>
      <c r="G1217" s="8"/>
      <c r="H1217" s="8"/>
      <c r="I1217" s="8"/>
      <c r="J1217" s="8"/>
      <c r="K1217" s="8"/>
      <c r="L1217" s="8"/>
    </row>
    <row r="1218">
      <c r="A1218" s="8"/>
      <c r="B1218" s="8"/>
      <c r="C1218" s="8"/>
      <c r="D1218" s="8"/>
      <c r="E1218" s="71"/>
      <c r="F1218" s="10"/>
      <c r="G1218" s="8"/>
      <c r="H1218" s="8"/>
      <c r="I1218" s="8"/>
      <c r="J1218" s="8"/>
      <c r="K1218" s="8"/>
      <c r="L1218" s="8"/>
    </row>
    <row r="1219">
      <c r="A1219" s="8"/>
      <c r="B1219" s="8"/>
      <c r="C1219" s="8"/>
      <c r="D1219" s="8"/>
      <c r="E1219" s="71"/>
      <c r="F1219" s="10"/>
      <c r="G1219" s="8"/>
      <c r="H1219" s="8"/>
      <c r="I1219" s="8"/>
      <c r="J1219" s="8"/>
      <c r="K1219" s="8"/>
      <c r="L1219" s="8"/>
    </row>
    <row r="1220">
      <c r="A1220" s="8"/>
      <c r="B1220" s="8"/>
      <c r="C1220" s="8"/>
      <c r="D1220" s="8"/>
      <c r="E1220" s="71"/>
      <c r="F1220" s="10"/>
      <c r="G1220" s="8"/>
      <c r="H1220" s="8"/>
      <c r="I1220" s="8"/>
      <c r="J1220" s="8"/>
      <c r="K1220" s="8"/>
      <c r="L1220" s="8"/>
    </row>
    <row r="1221">
      <c r="A1221" s="8"/>
      <c r="B1221" s="8"/>
      <c r="C1221" s="8"/>
      <c r="D1221" s="8"/>
      <c r="E1221" s="71"/>
      <c r="F1221" s="10"/>
      <c r="G1221" s="8"/>
      <c r="H1221" s="8"/>
      <c r="I1221" s="8"/>
      <c r="J1221" s="8"/>
      <c r="K1221" s="8"/>
      <c r="L1221" s="8"/>
    </row>
    <row r="1222">
      <c r="A1222" s="8"/>
      <c r="B1222" s="8"/>
      <c r="C1222" s="8"/>
      <c r="D1222" s="8"/>
      <c r="E1222" s="71"/>
      <c r="F1222" s="10"/>
      <c r="G1222" s="8"/>
      <c r="H1222" s="8"/>
      <c r="I1222" s="8"/>
      <c r="J1222" s="8"/>
      <c r="K1222" s="8"/>
      <c r="L1222" s="8"/>
    </row>
    <row r="1223">
      <c r="A1223" s="8"/>
      <c r="B1223" s="8"/>
      <c r="C1223" s="8"/>
      <c r="D1223" s="8"/>
      <c r="E1223" s="71"/>
      <c r="F1223" s="10"/>
      <c r="G1223" s="8"/>
      <c r="H1223" s="8"/>
      <c r="I1223" s="8"/>
      <c r="J1223" s="8"/>
      <c r="K1223" s="8"/>
      <c r="L1223" s="8"/>
    </row>
    <row r="1224">
      <c r="A1224" s="8"/>
      <c r="B1224" s="8"/>
      <c r="C1224" s="8"/>
      <c r="D1224" s="8"/>
      <c r="E1224" s="71"/>
      <c r="F1224" s="10"/>
      <c r="G1224" s="8"/>
      <c r="H1224" s="8"/>
      <c r="I1224" s="8"/>
      <c r="J1224" s="8"/>
      <c r="K1224" s="8"/>
      <c r="L1224" s="8"/>
    </row>
    <row r="1225">
      <c r="A1225" s="8"/>
      <c r="B1225" s="8"/>
      <c r="C1225" s="8"/>
      <c r="D1225" s="8"/>
      <c r="E1225" s="71"/>
      <c r="F1225" s="10"/>
      <c r="G1225" s="8"/>
      <c r="H1225" s="8"/>
      <c r="I1225" s="8"/>
      <c r="J1225" s="8"/>
      <c r="K1225" s="8"/>
      <c r="L1225" s="8"/>
    </row>
    <row r="1226">
      <c r="A1226" s="8"/>
      <c r="B1226" s="8"/>
      <c r="C1226" s="8"/>
      <c r="D1226" s="8"/>
      <c r="E1226" s="71"/>
      <c r="F1226" s="10"/>
      <c r="G1226" s="8"/>
      <c r="H1226" s="8"/>
      <c r="I1226" s="8"/>
      <c r="J1226" s="8"/>
      <c r="K1226" s="8"/>
      <c r="L1226" s="8"/>
    </row>
    <row r="1227">
      <c r="A1227" s="8"/>
      <c r="B1227" s="8"/>
      <c r="C1227" s="8"/>
      <c r="D1227" s="8"/>
      <c r="E1227" s="71"/>
      <c r="F1227" s="10"/>
      <c r="G1227" s="8"/>
      <c r="H1227" s="8"/>
      <c r="I1227" s="8"/>
      <c r="J1227" s="8"/>
      <c r="K1227" s="8"/>
      <c r="L1227" s="8"/>
    </row>
    <row r="1228">
      <c r="A1228" s="8"/>
      <c r="B1228" s="8"/>
      <c r="C1228" s="8"/>
      <c r="D1228" s="8"/>
      <c r="E1228" s="71"/>
      <c r="F1228" s="10"/>
      <c r="G1228" s="8"/>
      <c r="H1228" s="8"/>
      <c r="I1228" s="8"/>
      <c r="J1228" s="8"/>
      <c r="K1228" s="8"/>
      <c r="L1228" s="8"/>
    </row>
    <row r="1229">
      <c r="A1229" s="8"/>
      <c r="B1229" s="8"/>
      <c r="C1229" s="8"/>
      <c r="D1229" s="8"/>
      <c r="E1229" s="71"/>
      <c r="F1229" s="10"/>
      <c r="G1229" s="8"/>
      <c r="H1229" s="8"/>
      <c r="I1229" s="8"/>
      <c r="J1229" s="8"/>
      <c r="K1229" s="8"/>
      <c r="L1229" s="8"/>
    </row>
    <row r="1230">
      <c r="A1230" s="8"/>
      <c r="B1230" s="8"/>
      <c r="C1230" s="8"/>
      <c r="D1230" s="8"/>
      <c r="E1230" s="71"/>
      <c r="F1230" s="10"/>
      <c r="G1230" s="8"/>
      <c r="H1230" s="8"/>
      <c r="I1230" s="8"/>
      <c r="J1230" s="8"/>
      <c r="K1230" s="8"/>
      <c r="L1230" s="8"/>
    </row>
    <row r="1231">
      <c r="A1231" s="8"/>
      <c r="B1231" s="8"/>
      <c r="C1231" s="8"/>
      <c r="D1231" s="8"/>
      <c r="E1231" s="71"/>
      <c r="F1231" s="10"/>
      <c r="G1231" s="8"/>
      <c r="H1231" s="8"/>
      <c r="I1231" s="8"/>
      <c r="J1231" s="8"/>
      <c r="K1231" s="8"/>
      <c r="L1231" s="8"/>
    </row>
    <row r="1232">
      <c r="A1232" s="8"/>
      <c r="B1232" s="8"/>
      <c r="C1232" s="8"/>
      <c r="D1232" s="8"/>
      <c r="E1232" s="71"/>
      <c r="F1232" s="10"/>
      <c r="G1232" s="8"/>
      <c r="H1232" s="8"/>
      <c r="I1232" s="8"/>
      <c r="J1232" s="8"/>
      <c r="K1232" s="8"/>
      <c r="L1232" s="8"/>
    </row>
    <row r="1233">
      <c r="A1233" s="8"/>
      <c r="B1233" s="8"/>
      <c r="C1233" s="8"/>
      <c r="D1233" s="8"/>
      <c r="E1233" s="71"/>
      <c r="F1233" s="10"/>
      <c r="G1233" s="8"/>
      <c r="H1233" s="8"/>
      <c r="I1233" s="8"/>
      <c r="J1233" s="8"/>
      <c r="K1233" s="8"/>
      <c r="L1233" s="8"/>
    </row>
    <row r="1234">
      <c r="A1234" s="8"/>
      <c r="B1234" s="8"/>
      <c r="C1234" s="8"/>
      <c r="D1234" s="8"/>
      <c r="E1234" s="71"/>
      <c r="F1234" s="10"/>
      <c r="G1234" s="8"/>
      <c r="H1234" s="8"/>
      <c r="I1234" s="8"/>
      <c r="J1234" s="8"/>
      <c r="K1234" s="8"/>
      <c r="L1234" s="8"/>
    </row>
    <row r="1235">
      <c r="A1235" s="8"/>
      <c r="B1235" s="8"/>
      <c r="C1235" s="8"/>
      <c r="D1235" s="8"/>
      <c r="E1235" s="71"/>
      <c r="F1235" s="10"/>
      <c r="G1235" s="8"/>
      <c r="H1235" s="8"/>
      <c r="I1235" s="8"/>
      <c r="J1235" s="8"/>
      <c r="K1235" s="8"/>
      <c r="L1235" s="8"/>
    </row>
    <row r="1236">
      <c r="A1236" s="8"/>
      <c r="B1236" s="8"/>
      <c r="C1236" s="8"/>
      <c r="D1236" s="8"/>
      <c r="E1236" s="71"/>
      <c r="F1236" s="10"/>
      <c r="G1236" s="8"/>
      <c r="H1236" s="8"/>
      <c r="I1236" s="8"/>
      <c r="J1236" s="8"/>
      <c r="K1236" s="8"/>
      <c r="L1236" s="8"/>
    </row>
    <row r="1237">
      <c r="A1237" s="8"/>
      <c r="B1237" s="8"/>
      <c r="C1237" s="8"/>
      <c r="D1237" s="8"/>
      <c r="E1237" s="71"/>
      <c r="F1237" s="10"/>
      <c r="G1237" s="8"/>
      <c r="H1237" s="8"/>
      <c r="I1237" s="8"/>
      <c r="J1237" s="8"/>
      <c r="K1237" s="8"/>
      <c r="L1237" s="8"/>
    </row>
    <row r="1238">
      <c r="A1238" s="8"/>
      <c r="B1238" s="8"/>
      <c r="C1238" s="8"/>
      <c r="D1238" s="8"/>
      <c r="E1238" s="71"/>
      <c r="F1238" s="10"/>
      <c r="G1238" s="8"/>
      <c r="H1238" s="8"/>
      <c r="I1238" s="8"/>
      <c r="J1238" s="8"/>
      <c r="K1238" s="8"/>
      <c r="L1238" s="8"/>
    </row>
    <row r="1239">
      <c r="A1239" s="8"/>
      <c r="B1239" s="8"/>
      <c r="C1239" s="8"/>
      <c r="D1239" s="8"/>
      <c r="E1239" s="71"/>
      <c r="F1239" s="10"/>
      <c r="G1239" s="8"/>
      <c r="H1239" s="8"/>
      <c r="I1239" s="8"/>
      <c r="J1239" s="8"/>
      <c r="K1239" s="8"/>
      <c r="L1239" s="8"/>
    </row>
    <row r="1240">
      <c r="A1240" s="8"/>
      <c r="B1240" s="8"/>
      <c r="C1240" s="8"/>
      <c r="D1240" s="8"/>
      <c r="E1240" s="71"/>
      <c r="F1240" s="10"/>
      <c r="G1240" s="8"/>
      <c r="H1240" s="8"/>
      <c r="I1240" s="8"/>
      <c r="J1240" s="8"/>
      <c r="K1240" s="8"/>
      <c r="L1240" s="8"/>
    </row>
    <row r="1241">
      <c r="A1241" s="8"/>
      <c r="B1241" s="8"/>
      <c r="C1241" s="8"/>
      <c r="D1241" s="8"/>
      <c r="E1241" s="71"/>
      <c r="F1241" s="10"/>
      <c r="G1241" s="8"/>
      <c r="H1241" s="8"/>
      <c r="I1241" s="8"/>
      <c r="J1241" s="8"/>
      <c r="K1241" s="8"/>
      <c r="L1241" s="8"/>
    </row>
    <row r="1242">
      <c r="A1242" s="8"/>
      <c r="B1242" s="8"/>
      <c r="C1242" s="8"/>
      <c r="D1242" s="8"/>
      <c r="E1242" s="71"/>
      <c r="F1242" s="10"/>
      <c r="G1242" s="8"/>
      <c r="H1242" s="8"/>
      <c r="I1242" s="8"/>
      <c r="J1242" s="8"/>
      <c r="K1242" s="8"/>
      <c r="L1242" s="8"/>
    </row>
    <row r="1243">
      <c r="A1243" s="8"/>
      <c r="B1243" s="8"/>
      <c r="C1243" s="8"/>
      <c r="D1243" s="8"/>
      <c r="E1243" s="71"/>
      <c r="F1243" s="10"/>
      <c r="G1243" s="8"/>
      <c r="H1243" s="8"/>
      <c r="I1243" s="8"/>
      <c r="J1243" s="8"/>
      <c r="K1243" s="8"/>
      <c r="L1243" s="8"/>
    </row>
    <row r="1244">
      <c r="A1244" s="8"/>
      <c r="B1244" s="8"/>
      <c r="C1244" s="8"/>
      <c r="D1244" s="8"/>
      <c r="E1244" s="71"/>
      <c r="F1244" s="10"/>
      <c r="G1244" s="8"/>
      <c r="H1244" s="8"/>
      <c r="I1244" s="8"/>
      <c r="J1244" s="8"/>
      <c r="K1244" s="8"/>
      <c r="L1244" s="8"/>
    </row>
    <row r="1245">
      <c r="A1245" s="8"/>
      <c r="B1245" s="8"/>
      <c r="C1245" s="8"/>
      <c r="D1245" s="8"/>
      <c r="E1245" s="71"/>
      <c r="F1245" s="10"/>
      <c r="G1245" s="8"/>
      <c r="H1245" s="8"/>
      <c r="I1245" s="8"/>
      <c r="J1245" s="8"/>
      <c r="K1245" s="8"/>
      <c r="L1245" s="8"/>
    </row>
    <row r="1246">
      <c r="A1246" s="8"/>
      <c r="B1246" s="8"/>
      <c r="C1246" s="8"/>
      <c r="D1246" s="8"/>
      <c r="E1246" s="71"/>
      <c r="F1246" s="10"/>
      <c r="G1246" s="8"/>
      <c r="H1246" s="8"/>
      <c r="I1246" s="8"/>
      <c r="J1246" s="8"/>
      <c r="K1246" s="8"/>
      <c r="L1246" s="8"/>
    </row>
    <row r="1247">
      <c r="A1247" s="8"/>
      <c r="B1247" s="8"/>
      <c r="C1247" s="8"/>
      <c r="D1247" s="8"/>
      <c r="E1247" s="71"/>
      <c r="F1247" s="10"/>
      <c r="G1247" s="8"/>
      <c r="H1247" s="8"/>
      <c r="I1247" s="8"/>
      <c r="J1247" s="8"/>
      <c r="K1247" s="8"/>
      <c r="L1247" s="8"/>
    </row>
    <row r="1248">
      <c r="A1248" s="8"/>
      <c r="B1248" s="8"/>
      <c r="C1248" s="8"/>
      <c r="D1248" s="8"/>
      <c r="E1248" s="71"/>
      <c r="F1248" s="10"/>
      <c r="G1248" s="8"/>
      <c r="H1248" s="8"/>
      <c r="I1248" s="8"/>
      <c r="J1248" s="8"/>
      <c r="K1248" s="8"/>
      <c r="L1248" s="8"/>
    </row>
    <row r="1249">
      <c r="A1249" s="8"/>
      <c r="B1249" s="8"/>
      <c r="C1249" s="8"/>
      <c r="D1249" s="8"/>
      <c r="E1249" s="71"/>
      <c r="F1249" s="10"/>
      <c r="G1249" s="8"/>
      <c r="H1249" s="8"/>
      <c r="I1249" s="8"/>
      <c r="J1249" s="8"/>
      <c r="K1249" s="8"/>
      <c r="L1249" s="8"/>
    </row>
    <row r="1250">
      <c r="A1250" s="8"/>
      <c r="B1250" s="8"/>
      <c r="C1250" s="8"/>
      <c r="D1250" s="8"/>
      <c r="E1250" s="71"/>
      <c r="F1250" s="10"/>
      <c r="G1250" s="8"/>
      <c r="H1250" s="8"/>
      <c r="I1250" s="8"/>
      <c r="J1250" s="8"/>
      <c r="K1250" s="8"/>
      <c r="L1250" s="8"/>
    </row>
    <row r="1251">
      <c r="A1251" s="8"/>
      <c r="B1251" s="8"/>
      <c r="C1251" s="8"/>
      <c r="D1251" s="8"/>
      <c r="E1251" s="71"/>
      <c r="F1251" s="10"/>
      <c r="G1251" s="8"/>
      <c r="H1251" s="8"/>
      <c r="I1251" s="8"/>
      <c r="J1251" s="8"/>
      <c r="K1251" s="8"/>
      <c r="L1251" s="8"/>
    </row>
    <row r="1252">
      <c r="A1252" s="8"/>
      <c r="B1252" s="8"/>
      <c r="C1252" s="8"/>
      <c r="D1252" s="8"/>
      <c r="E1252" s="71"/>
      <c r="F1252" s="10"/>
      <c r="G1252" s="8"/>
      <c r="H1252" s="8"/>
      <c r="I1252" s="8"/>
      <c r="J1252" s="8"/>
      <c r="K1252" s="8"/>
      <c r="L1252" s="8"/>
    </row>
    <row r="1253">
      <c r="A1253" s="8"/>
      <c r="B1253" s="8"/>
      <c r="C1253" s="8"/>
      <c r="D1253" s="8"/>
      <c r="E1253" s="71"/>
      <c r="F1253" s="10"/>
      <c r="G1253" s="8"/>
      <c r="H1253" s="8"/>
      <c r="I1253" s="8"/>
      <c r="J1253" s="8"/>
      <c r="K1253" s="8"/>
      <c r="L1253" s="8"/>
    </row>
    <row r="1254">
      <c r="A1254" s="8"/>
      <c r="B1254" s="8"/>
      <c r="C1254" s="8"/>
      <c r="D1254" s="8"/>
      <c r="E1254" s="71"/>
      <c r="F1254" s="10"/>
      <c r="G1254" s="8"/>
      <c r="H1254" s="8"/>
      <c r="I1254" s="8"/>
      <c r="J1254" s="8"/>
      <c r="K1254" s="8"/>
      <c r="L1254" s="8"/>
    </row>
    <row r="1255">
      <c r="A1255" s="8"/>
      <c r="B1255" s="8"/>
      <c r="C1255" s="8"/>
      <c r="D1255" s="8"/>
      <c r="E1255" s="71"/>
      <c r="F1255" s="10"/>
      <c r="G1255" s="8"/>
      <c r="H1255" s="8"/>
      <c r="I1255" s="8"/>
      <c r="J1255" s="8"/>
      <c r="K1255" s="8"/>
      <c r="L1255" s="8"/>
    </row>
    <row r="1256">
      <c r="A1256" s="8"/>
      <c r="B1256" s="8"/>
      <c r="C1256" s="8"/>
      <c r="D1256" s="8"/>
      <c r="E1256" s="71"/>
      <c r="F1256" s="10"/>
      <c r="G1256" s="8"/>
      <c r="H1256" s="8"/>
      <c r="I1256" s="8"/>
      <c r="J1256" s="8"/>
      <c r="K1256" s="8"/>
      <c r="L1256" s="8"/>
    </row>
    <row r="1257">
      <c r="A1257" s="8"/>
      <c r="B1257" s="8"/>
      <c r="C1257" s="8"/>
      <c r="D1257" s="8"/>
      <c r="E1257" s="71"/>
      <c r="F1257" s="10"/>
      <c r="G1257" s="8"/>
      <c r="H1257" s="8"/>
      <c r="I1257" s="8"/>
      <c r="J1257" s="8"/>
      <c r="K1257" s="8"/>
      <c r="L1257" s="8"/>
    </row>
    <row r="1258">
      <c r="A1258" s="8"/>
      <c r="B1258" s="8"/>
      <c r="C1258" s="8"/>
      <c r="D1258" s="8"/>
      <c r="E1258" s="71"/>
      <c r="F1258" s="10"/>
      <c r="G1258" s="8"/>
      <c r="H1258" s="8"/>
      <c r="I1258" s="8"/>
      <c r="J1258" s="8"/>
      <c r="K1258" s="8"/>
      <c r="L1258" s="8"/>
    </row>
    <row r="1259">
      <c r="A1259" s="8"/>
      <c r="B1259" s="8"/>
      <c r="C1259" s="8"/>
      <c r="D1259" s="8"/>
      <c r="E1259" s="71"/>
      <c r="F1259" s="10"/>
      <c r="G1259" s="8"/>
      <c r="H1259" s="8"/>
      <c r="I1259" s="8"/>
      <c r="J1259" s="8"/>
      <c r="K1259" s="8"/>
      <c r="L1259" s="8"/>
    </row>
    <row r="1260">
      <c r="A1260" s="8"/>
      <c r="B1260" s="8"/>
      <c r="C1260" s="8"/>
      <c r="D1260" s="8"/>
      <c r="E1260" s="71"/>
      <c r="F1260" s="10"/>
      <c r="G1260" s="8"/>
      <c r="H1260" s="8"/>
      <c r="I1260" s="8"/>
      <c r="J1260" s="8"/>
      <c r="K1260" s="8"/>
      <c r="L1260" s="8"/>
    </row>
    <row r="1261">
      <c r="A1261" s="8"/>
      <c r="B1261" s="8"/>
      <c r="C1261" s="8"/>
      <c r="D1261" s="8"/>
      <c r="E1261" s="71"/>
      <c r="F1261" s="10"/>
      <c r="G1261" s="8"/>
      <c r="H1261" s="8"/>
      <c r="I1261" s="8"/>
      <c r="J1261" s="8"/>
      <c r="K1261" s="8"/>
      <c r="L1261" s="8"/>
    </row>
    <row r="1262">
      <c r="A1262" s="8"/>
      <c r="B1262" s="8"/>
      <c r="C1262" s="8"/>
      <c r="D1262" s="8"/>
      <c r="E1262" s="71"/>
      <c r="F1262" s="10"/>
      <c r="G1262" s="8"/>
      <c r="H1262" s="8"/>
      <c r="I1262" s="8"/>
      <c r="J1262" s="8"/>
      <c r="K1262" s="8"/>
      <c r="L1262" s="8"/>
    </row>
    <row r="1263">
      <c r="A1263" s="8"/>
      <c r="B1263" s="8"/>
      <c r="C1263" s="8"/>
      <c r="D1263" s="8"/>
      <c r="E1263" s="71"/>
      <c r="F1263" s="10"/>
      <c r="G1263" s="8"/>
      <c r="H1263" s="8"/>
      <c r="I1263" s="8"/>
      <c r="J1263" s="8"/>
      <c r="K1263" s="8"/>
      <c r="L1263" s="8"/>
    </row>
    <row r="1264">
      <c r="A1264" s="8"/>
      <c r="B1264" s="8"/>
      <c r="C1264" s="8"/>
      <c r="D1264" s="8"/>
      <c r="E1264" s="71"/>
      <c r="F1264" s="10"/>
      <c r="G1264" s="8"/>
      <c r="H1264" s="8"/>
      <c r="I1264" s="8"/>
      <c r="J1264" s="8"/>
      <c r="K1264" s="8"/>
      <c r="L1264" s="8"/>
    </row>
    <row r="1265">
      <c r="A1265" s="8"/>
      <c r="B1265" s="8"/>
      <c r="C1265" s="8"/>
      <c r="D1265" s="8"/>
      <c r="E1265" s="71"/>
      <c r="F1265" s="10"/>
      <c r="G1265" s="8"/>
      <c r="H1265" s="8"/>
      <c r="I1265" s="8"/>
      <c r="J1265" s="8"/>
      <c r="K1265" s="8"/>
      <c r="L1265" s="8"/>
    </row>
    <row r="1266">
      <c r="A1266" s="8"/>
      <c r="B1266" s="8"/>
      <c r="C1266" s="8"/>
      <c r="D1266" s="8"/>
      <c r="E1266" s="71"/>
      <c r="F1266" s="10"/>
      <c r="G1266" s="8"/>
      <c r="H1266" s="8"/>
      <c r="I1266" s="8"/>
      <c r="J1266" s="8"/>
      <c r="K1266" s="8"/>
      <c r="L1266" s="8"/>
    </row>
    <row r="1267">
      <c r="A1267" s="8"/>
      <c r="B1267" s="8"/>
      <c r="C1267" s="8"/>
      <c r="D1267" s="8"/>
      <c r="E1267" s="71"/>
      <c r="F1267" s="10"/>
      <c r="G1267" s="8"/>
      <c r="H1267" s="8"/>
      <c r="I1267" s="8"/>
      <c r="J1267" s="8"/>
      <c r="K1267" s="8"/>
      <c r="L1267" s="8"/>
    </row>
    <row r="1268">
      <c r="A1268" s="8"/>
      <c r="B1268" s="8"/>
      <c r="C1268" s="8"/>
      <c r="D1268" s="8"/>
      <c r="E1268" s="71"/>
      <c r="F1268" s="10"/>
      <c r="G1268" s="8"/>
      <c r="H1268" s="8"/>
      <c r="I1268" s="8"/>
      <c r="J1268" s="8"/>
      <c r="K1268" s="8"/>
      <c r="L1268" s="8"/>
    </row>
    <row r="1269">
      <c r="A1269" s="8"/>
      <c r="B1269" s="8"/>
      <c r="C1269" s="8"/>
      <c r="D1269" s="8"/>
      <c r="E1269" s="71"/>
      <c r="F1269" s="10"/>
      <c r="G1269" s="8"/>
      <c r="H1269" s="8"/>
      <c r="I1269" s="8"/>
      <c r="J1269" s="8"/>
      <c r="K1269" s="8"/>
      <c r="L1269" s="8"/>
    </row>
    <row r="1270">
      <c r="A1270" s="8"/>
      <c r="B1270" s="8"/>
      <c r="C1270" s="8"/>
      <c r="D1270" s="8"/>
      <c r="E1270" s="71"/>
      <c r="F1270" s="10"/>
      <c r="G1270" s="8"/>
      <c r="H1270" s="8"/>
      <c r="I1270" s="8"/>
      <c r="J1270" s="8"/>
      <c r="K1270" s="8"/>
      <c r="L1270" s="8"/>
    </row>
    <row r="1271">
      <c r="A1271" s="8"/>
      <c r="B1271" s="8"/>
      <c r="C1271" s="8"/>
      <c r="D1271" s="8"/>
      <c r="E1271" s="71"/>
      <c r="F1271" s="10"/>
      <c r="G1271" s="8"/>
      <c r="H1271" s="8"/>
      <c r="I1271" s="8"/>
      <c r="J1271" s="8"/>
      <c r="K1271" s="8"/>
      <c r="L1271" s="8"/>
    </row>
    <row r="1272">
      <c r="A1272" s="8"/>
      <c r="B1272" s="8"/>
      <c r="C1272" s="8"/>
      <c r="D1272" s="8"/>
      <c r="E1272" s="71"/>
      <c r="F1272" s="10"/>
      <c r="G1272" s="8"/>
      <c r="H1272" s="8"/>
      <c r="I1272" s="8"/>
      <c r="J1272" s="8"/>
      <c r="K1272" s="8"/>
      <c r="L1272" s="8"/>
    </row>
    <row r="1273">
      <c r="A1273" s="8"/>
      <c r="B1273" s="8"/>
      <c r="C1273" s="8"/>
      <c r="D1273" s="8"/>
      <c r="E1273" s="71"/>
      <c r="F1273" s="10"/>
      <c r="G1273" s="8"/>
      <c r="H1273" s="8"/>
      <c r="I1273" s="8"/>
      <c r="J1273" s="8"/>
      <c r="K1273" s="8"/>
      <c r="L1273" s="8"/>
    </row>
    <row r="1274">
      <c r="A1274" s="8"/>
      <c r="B1274" s="8"/>
      <c r="C1274" s="8"/>
      <c r="D1274" s="8"/>
      <c r="E1274" s="71"/>
      <c r="F1274" s="10"/>
      <c r="G1274" s="8"/>
      <c r="H1274" s="8"/>
      <c r="I1274" s="8"/>
      <c r="J1274" s="8"/>
      <c r="K1274" s="8"/>
      <c r="L1274" s="8"/>
    </row>
    <row r="1275">
      <c r="A1275" s="8"/>
      <c r="B1275" s="8"/>
      <c r="C1275" s="8"/>
      <c r="D1275" s="8"/>
      <c r="E1275" s="71"/>
      <c r="F1275" s="10"/>
      <c r="G1275" s="8"/>
      <c r="H1275" s="8"/>
      <c r="I1275" s="8"/>
      <c r="J1275" s="8"/>
      <c r="K1275" s="8"/>
      <c r="L1275" s="8"/>
    </row>
    <row r="1276">
      <c r="A1276" s="8"/>
      <c r="B1276" s="8"/>
      <c r="C1276" s="8"/>
      <c r="D1276" s="8"/>
      <c r="E1276" s="71"/>
      <c r="F1276" s="10"/>
      <c r="G1276" s="8"/>
      <c r="H1276" s="8"/>
      <c r="I1276" s="8"/>
      <c r="J1276" s="8"/>
      <c r="K1276" s="8"/>
      <c r="L1276" s="8"/>
    </row>
    <row r="1277">
      <c r="A1277" s="8"/>
      <c r="B1277" s="8"/>
      <c r="C1277" s="8"/>
      <c r="D1277" s="8"/>
      <c r="E1277" s="71"/>
      <c r="F1277" s="10"/>
      <c r="G1277" s="8"/>
      <c r="H1277" s="8"/>
      <c r="I1277" s="8"/>
      <c r="J1277" s="8"/>
      <c r="K1277" s="8"/>
      <c r="L1277" s="8"/>
    </row>
    <row r="1278">
      <c r="A1278" s="8"/>
      <c r="B1278" s="8"/>
      <c r="C1278" s="8"/>
      <c r="D1278" s="8"/>
      <c r="E1278" s="71"/>
      <c r="F1278" s="10"/>
      <c r="G1278" s="8"/>
      <c r="H1278" s="8"/>
      <c r="I1278" s="8"/>
      <c r="J1278" s="8"/>
      <c r="K1278" s="8"/>
      <c r="L1278" s="8"/>
    </row>
    <row r="1279">
      <c r="A1279" s="8"/>
      <c r="B1279" s="8"/>
      <c r="C1279" s="8"/>
      <c r="D1279" s="8"/>
      <c r="E1279" s="71"/>
      <c r="F1279" s="10"/>
      <c r="G1279" s="8"/>
      <c r="H1279" s="8"/>
      <c r="I1279" s="8"/>
      <c r="J1279" s="8"/>
      <c r="K1279" s="8"/>
      <c r="L1279" s="8"/>
    </row>
    <row r="1280">
      <c r="A1280" s="8"/>
      <c r="B1280" s="8"/>
      <c r="C1280" s="8"/>
      <c r="D1280" s="8"/>
      <c r="E1280" s="71"/>
      <c r="F1280" s="10"/>
      <c r="G1280" s="8"/>
      <c r="H1280" s="8"/>
      <c r="I1280" s="8"/>
      <c r="J1280" s="8"/>
      <c r="K1280" s="8"/>
      <c r="L1280" s="8"/>
    </row>
    <row r="1281">
      <c r="A1281" s="8"/>
      <c r="B1281" s="8"/>
      <c r="C1281" s="8"/>
      <c r="D1281" s="8"/>
      <c r="E1281" s="71"/>
      <c r="F1281" s="10"/>
      <c r="G1281" s="8"/>
      <c r="H1281" s="8"/>
      <c r="I1281" s="8"/>
      <c r="J1281" s="8"/>
      <c r="K1281" s="8"/>
      <c r="L1281" s="8"/>
    </row>
    <row r="1282">
      <c r="A1282" s="8"/>
      <c r="B1282" s="8"/>
      <c r="C1282" s="8"/>
      <c r="D1282" s="8"/>
      <c r="E1282" s="71"/>
      <c r="F1282" s="10"/>
      <c r="G1282" s="8"/>
      <c r="H1282" s="8"/>
      <c r="I1282" s="8"/>
      <c r="J1282" s="8"/>
      <c r="K1282" s="8"/>
      <c r="L1282" s="8"/>
    </row>
    <row r="1283">
      <c r="A1283" s="8"/>
      <c r="B1283" s="8"/>
      <c r="C1283" s="8"/>
      <c r="D1283" s="8"/>
      <c r="E1283" s="71"/>
      <c r="F1283" s="10"/>
      <c r="G1283" s="8"/>
      <c r="H1283" s="8"/>
      <c r="I1283" s="8"/>
      <c r="J1283" s="8"/>
      <c r="K1283" s="8"/>
      <c r="L1283" s="8"/>
    </row>
    <row r="1284">
      <c r="A1284" s="8"/>
      <c r="B1284" s="8"/>
      <c r="C1284" s="8"/>
      <c r="D1284" s="8"/>
      <c r="E1284" s="71"/>
      <c r="F1284" s="10"/>
      <c r="G1284" s="8"/>
      <c r="H1284" s="8"/>
      <c r="I1284" s="8"/>
      <c r="J1284" s="8"/>
      <c r="K1284" s="8"/>
      <c r="L1284" s="8"/>
    </row>
    <row r="1285">
      <c r="A1285" s="8"/>
      <c r="B1285" s="8"/>
      <c r="C1285" s="8"/>
      <c r="D1285" s="8"/>
      <c r="E1285" s="71"/>
      <c r="F1285" s="10"/>
      <c r="G1285" s="8"/>
      <c r="H1285" s="8"/>
      <c r="I1285" s="8"/>
      <c r="J1285" s="8"/>
      <c r="K1285" s="8"/>
      <c r="L1285" s="8"/>
    </row>
    <row r="1286">
      <c r="A1286" s="8"/>
      <c r="B1286" s="8"/>
      <c r="C1286" s="8"/>
      <c r="D1286" s="8"/>
      <c r="E1286" s="71"/>
      <c r="F1286" s="10"/>
      <c r="G1286" s="8"/>
      <c r="H1286" s="8"/>
      <c r="I1286" s="8"/>
      <c r="J1286" s="8"/>
      <c r="K1286" s="8"/>
      <c r="L1286" s="8"/>
    </row>
    <row r="1287">
      <c r="A1287" s="8"/>
      <c r="B1287" s="8"/>
      <c r="C1287" s="8"/>
      <c r="D1287" s="8"/>
      <c r="E1287" s="71"/>
      <c r="F1287" s="10"/>
      <c r="G1287" s="8"/>
      <c r="H1287" s="8"/>
      <c r="I1287" s="8"/>
      <c r="J1287" s="8"/>
      <c r="K1287" s="8"/>
      <c r="L1287" s="8"/>
    </row>
    <row r="1288">
      <c r="A1288" s="8"/>
      <c r="B1288" s="8"/>
      <c r="C1288" s="8"/>
      <c r="D1288" s="8"/>
      <c r="E1288" s="71"/>
      <c r="F1288" s="10"/>
      <c r="G1288" s="8"/>
      <c r="H1288" s="8"/>
      <c r="I1288" s="8"/>
      <c r="J1288" s="8"/>
      <c r="K1288" s="8"/>
      <c r="L1288" s="8"/>
    </row>
    <row r="1289">
      <c r="A1289" s="8"/>
      <c r="B1289" s="8"/>
      <c r="C1289" s="8"/>
      <c r="D1289" s="8"/>
      <c r="E1289" s="71"/>
      <c r="F1289" s="10"/>
      <c r="G1289" s="8"/>
      <c r="H1289" s="8"/>
      <c r="I1289" s="8"/>
      <c r="J1289" s="8"/>
      <c r="K1289" s="8"/>
      <c r="L1289" s="8"/>
    </row>
    <row r="1290">
      <c r="A1290" s="8"/>
      <c r="B1290" s="8"/>
      <c r="C1290" s="8"/>
      <c r="D1290" s="8"/>
      <c r="E1290" s="71"/>
      <c r="F1290" s="10"/>
      <c r="G1290" s="8"/>
      <c r="H1290" s="8"/>
      <c r="I1290" s="8"/>
      <c r="J1290" s="8"/>
      <c r="K1290" s="8"/>
      <c r="L1290" s="8"/>
    </row>
    <row r="1291">
      <c r="A1291" s="8"/>
      <c r="B1291" s="8"/>
      <c r="C1291" s="8"/>
      <c r="D1291" s="8"/>
      <c r="E1291" s="71"/>
      <c r="F1291" s="10"/>
      <c r="G1291" s="8"/>
      <c r="H1291" s="8"/>
      <c r="I1291" s="8"/>
      <c r="J1291" s="8"/>
      <c r="K1291" s="8"/>
      <c r="L1291" s="8"/>
    </row>
    <row r="1292">
      <c r="A1292" s="8"/>
      <c r="B1292" s="8"/>
      <c r="C1292" s="8"/>
      <c r="D1292" s="8"/>
      <c r="E1292" s="71"/>
      <c r="F1292" s="10"/>
      <c r="G1292" s="8"/>
      <c r="H1292" s="8"/>
      <c r="I1292" s="8"/>
      <c r="J1292" s="8"/>
      <c r="K1292" s="8"/>
      <c r="L1292" s="8"/>
    </row>
    <row r="1293">
      <c r="A1293" s="8"/>
      <c r="B1293" s="8"/>
      <c r="C1293" s="8"/>
      <c r="D1293" s="8"/>
      <c r="E1293" s="71"/>
      <c r="F1293" s="10"/>
      <c r="G1293" s="8"/>
      <c r="H1293" s="8"/>
      <c r="I1293" s="8"/>
      <c r="J1293" s="8"/>
      <c r="K1293" s="8"/>
      <c r="L1293" s="8"/>
    </row>
    <row r="1294">
      <c r="A1294" s="8"/>
      <c r="B1294" s="8"/>
      <c r="C1294" s="8"/>
      <c r="D1294" s="8"/>
      <c r="E1294" s="71"/>
      <c r="F1294" s="10"/>
      <c r="G1294" s="8"/>
      <c r="H1294" s="8"/>
      <c r="I1294" s="8"/>
      <c r="J1294" s="8"/>
      <c r="K1294" s="8"/>
      <c r="L1294" s="8"/>
    </row>
    <row r="1295">
      <c r="A1295" s="8"/>
      <c r="B1295" s="8"/>
      <c r="C1295" s="8"/>
      <c r="D1295" s="8"/>
      <c r="E1295" s="71"/>
      <c r="F1295" s="10"/>
      <c r="G1295" s="8"/>
      <c r="H1295" s="8"/>
      <c r="I1295" s="8"/>
      <c r="J1295" s="8"/>
      <c r="K1295" s="8"/>
      <c r="L1295" s="8"/>
    </row>
    <row r="1296">
      <c r="A1296" s="8"/>
      <c r="B1296" s="8"/>
      <c r="C1296" s="8"/>
      <c r="D1296" s="8"/>
      <c r="E1296" s="71"/>
      <c r="F1296" s="10"/>
      <c r="G1296" s="8"/>
      <c r="H1296" s="8"/>
      <c r="I1296" s="8"/>
      <c r="J1296" s="8"/>
      <c r="K1296" s="8"/>
      <c r="L1296" s="8"/>
    </row>
    <row r="1297">
      <c r="A1297" s="8"/>
      <c r="B1297" s="8"/>
      <c r="C1297" s="8"/>
      <c r="D1297" s="8"/>
      <c r="E1297" s="71"/>
      <c r="F1297" s="10"/>
      <c r="G1297" s="8"/>
      <c r="H1297" s="8"/>
      <c r="I1297" s="8"/>
      <c r="J1297" s="8"/>
      <c r="K1297" s="8"/>
      <c r="L1297" s="8"/>
    </row>
    <row r="1298">
      <c r="A1298" s="8"/>
      <c r="B1298" s="8"/>
      <c r="C1298" s="8"/>
      <c r="D1298" s="8"/>
      <c r="E1298" s="71"/>
      <c r="F1298" s="10"/>
      <c r="G1298" s="8"/>
      <c r="H1298" s="8"/>
      <c r="I1298" s="8"/>
      <c r="J1298" s="8"/>
      <c r="K1298" s="8"/>
      <c r="L1298" s="8"/>
    </row>
    <row r="1299">
      <c r="A1299" s="8"/>
      <c r="B1299" s="8"/>
      <c r="C1299" s="8"/>
      <c r="D1299" s="8"/>
      <c r="E1299" s="71"/>
      <c r="F1299" s="10"/>
      <c r="G1299" s="8"/>
      <c r="H1299" s="8"/>
      <c r="I1299" s="8"/>
      <c r="J1299" s="8"/>
      <c r="K1299" s="8"/>
      <c r="L1299" s="8"/>
    </row>
    <row r="1300">
      <c r="A1300" s="8"/>
      <c r="B1300" s="8"/>
      <c r="C1300" s="8"/>
      <c r="D1300" s="8"/>
      <c r="E1300" s="71"/>
      <c r="F1300" s="10"/>
      <c r="G1300" s="8"/>
      <c r="H1300" s="8"/>
      <c r="I1300" s="8"/>
      <c r="J1300" s="8"/>
      <c r="K1300" s="8"/>
      <c r="L1300" s="8"/>
    </row>
    <row r="1301">
      <c r="A1301" s="8"/>
      <c r="B1301" s="8"/>
      <c r="C1301" s="8"/>
      <c r="D1301" s="8"/>
      <c r="E1301" s="71"/>
      <c r="F1301" s="10"/>
      <c r="G1301" s="8"/>
      <c r="H1301" s="8"/>
      <c r="I1301" s="8"/>
      <c r="J1301" s="8"/>
      <c r="K1301" s="8"/>
      <c r="L1301" s="8"/>
    </row>
    <row r="1302">
      <c r="A1302" s="8"/>
      <c r="B1302" s="8"/>
      <c r="C1302" s="8"/>
      <c r="D1302" s="8"/>
      <c r="E1302" s="71"/>
      <c r="F1302" s="10"/>
      <c r="G1302" s="8"/>
      <c r="H1302" s="8"/>
      <c r="I1302" s="8"/>
      <c r="J1302" s="8"/>
      <c r="K1302" s="8"/>
      <c r="L1302" s="8"/>
    </row>
    <row r="1303">
      <c r="A1303" s="8"/>
      <c r="B1303" s="8"/>
      <c r="C1303" s="8"/>
      <c r="D1303" s="8"/>
      <c r="E1303" s="71"/>
      <c r="F1303" s="10"/>
      <c r="G1303" s="8"/>
      <c r="H1303" s="8"/>
      <c r="I1303" s="8"/>
      <c r="J1303" s="8"/>
      <c r="K1303" s="8"/>
      <c r="L1303" s="8"/>
    </row>
    <row r="1304">
      <c r="A1304" s="8"/>
      <c r="B1304" s="8"/>
      <c r="C1304" s="8"/>
      <c r="D1304" s="8"/>
      <c r="E1304" s="71"/>
      <c r="F1304" s="10"/>
      <c r="G1304" s="8"/>
      <c r="H1304" s="8"/>
      <c r="I1304" s="8"/>
      <c r="J1304" s="8"/>
      <c r="K1304" s="8"/>
      <c r="L1304" s="8"/>
    </row>
    <row r="1305">
      <c r="A1305" s="8"/>
      <c r="B1305" s="8"/>
      <c r="C1305" s="8"/>
      <c r="D1305" s="8"/>
      <c r="E1305" s="71"/>
      <c r="F1305" s="10"/>
      <c r="G1305" s="8"/>
      <c r="H1305" s="8"/>
      <c r="I1305" s="8"/>
      <c r="J1305" s="8"/>
      <c r="K1305" s="8"/>
      <c r="L1305" s="8"/>
    </row>
    <row r="1306">
      <c r="A1306" s="8"/>
      <c r="B1306" s="8"/>
      <c r="C1306" s="8"/>
      <c r="D1306" s="8"/>
      <c r="E1306" s="71"/>
      <c r="F1306" s="10"/>
      <c r="G1306" s="8"/>
      <c r="H1306" s="8"/>
      <c r="I1306" s="8"/>
      <c r="J1306" s="8"/>
      <c r="K1306" s="8"/>
      <c r="L1306" s="8"/>
    </row>
    <row r="1307">
      <c r="A1307" s="8"/>
      <c r="B1307" s="8"/>
      <c r="C1307" s="8"/>
      <c r="D1307" s="8"/>
      <c r="E1307" s="71"/>
      <c r="F1307" s="10"/>
      <c r="G1307" s="8"/>
      <c r="H1307" s="8"/>
      <c r="I1307" s="8"/>
      <c r="J1307" s="8"/>
      <c r="K1307" s="8"/>
      <c r="L1307" s="8"/>
    </row>
    <row r="1308">
      <c r="A1308" s="8"/>
      <c r="B1308" s="8"/>
      <c r="C1308" s="8"/>
      <c r="D1308" s="8"/>
      <c r="E1308" s="71"/>
      <c r="F1308" s="10"/>
      <c r="G1308" s="8"/>
      <c r="H1308" s="8"/>
      <c r="I1308" s="8"/>
      <c r="J1308" s="8"/>
      <c r="K1308" s="8"/>
      <c r="L1308" s="8"/>
    </row>
    <row r="1309">
      <c r="A1309" s="8"/>
      <c r="B1309" s="8"/>
      <c r="C1309" s="8"/>
      <c r="D1309" s="8"/>
      <c r="E1309" s="71"/>
      <c r="F1309" s="10"/>
      <c r="G1309" s="8"/>
      <c r="H1309" s="8"/>
      <c r="I1309" s="8"/>
      <c r="J1309" s="8"/>
      <c r="K1309" s="8"/>
      <c r="L1309" s="8"/>
    </row>
    <row r="1310">
      <c r="A1310" s="8"/>
      <c r="B1310" s="8"/>
      <c r="C1310" s="8"/>
      <c r="D1310" s="8"/>
      <c r="E1310" s="71"/>
      <c r="F1310" s="10"/>
      <c r="G1310" s="8"/>
      <c r="H1310" s="8"/>
      <c r="I1310" s="8"/>
      <c r="J1310" s="8"/>
      <c r="K1310" s="8"/>
      <c r="L1310" s="8"/>
    </row>
    <row r="1311">
      <c r="A1311" s="8"/>
      <c r="B1311" s="8"/>
      <c r="C1311" s="8"/>
      <c r="D1311" s="8"/>
      <c r="E1311" s="71"/>
      <c r="F1311" s="10"/>
      <c r="G1311" s="8"/>
      <c r="H1311" s="8"/>
      <c r="I1311" s="8"/>
      <c r="J1311" s="8"/>
      <c r="K1311" s="8"/>
      <c r="L1311" s="8"/>
    </row>
    <row r="1312">
      <c r="A1312" s="8"/>
      <c r="B1312" s="8"/>
      <c r="C1312" s="8"/>
      <c r="D1312" s="8"/>
      <c r="E1312" s="71"/>
      <c r="F1312" s="10"/>
      <c r="G1312" s="8"/>
      <c r="H1312" s="8"/>
      <c r="I1312" s="8"/>
      <c r="J1312" s="8"/>
      <c r="K1312" s="8"/>
      <c r="L1312" s="8"/>
    </row>
    <row r="1313">
      <c r="A1313" s="8"/>
      <c r="B1313" s="8"/>
      <c r="C1313" s="8"/>
      <c r="D1313" s="8"/>
      <c r="E1313" s="71"/>
      <c r="F1313" s="10"/>
      <c r="G1313" s="8"/>
      <c r="H1313" s="8"/>
      <c r="I1313" s="8"/>
      <c r="J1313" s="8"/>
      <c r="K1313" s="8"/>
      <c r="L1313" s="8"/>
    </row>
    <row r="1314">
      <c r="A1314" s="8"/>
      <c r="B1314" s="8"/>
      <c r="C1314" s="8"/>
      <c r="D1314" s="8"/>
      <c r="E1314" s="71"/>
      <c r="F1314" s="10"/>
      <c r="G1314" s="8"/>
      <c r="H1314" s="8"/>
      <c r="I1314" s="8"/>
      <c r="J1314" s="8"/>
      <c r="K1314" s="8"/>
      <c r="L1314" s="8"/>
    </row>
    <row r="1315">
      <c r="A1315" s="8"/>
      <c r="B1315" s="8"/>
      <c r="C1315" s="8"/>
      <c r="D1315" s="8"/>
      <c r="E1315" s="71"/>
      <c r="F1315" s="10"/>
      <c r="G1315" s="8"/>
      <c r="H1315" s="8"/>
      <c r="I1315" s="8"/>
      <c r="J1315" s="8"/>
      <c r="K1315" s="8"/>
      <c r="L1315" s="8"/>
    </row>
    <row r="1316">
      <c r="A1316" s="8"/>
      <c r="B1316" s="8"/>
      <c r="C1316" s="8"/>
      <c r="D1316" s="8"/>
      <c r="E1316" s="71"/>
      <c r="F1316" s="10"/>
      <c r="G1316" s="8"/>
      <c r="H1316" s="8"/>
      <c r="I1316" s="8"/>
      <c r="J1316" s="8"/>
      <c r="K1316" s="8"/>
      <c r="L1316" s="8"/>
    </row>
    <row r="1317">
      <c r="A1317" s="8"/>
      <c r="B1317" s="8"/>
      <c r="C1317" s="8"/>
      <c r="D1317" s="8"/>
      <c r="E1317" s="71"/>
      <c r="F1317" s="10"/>
      <c r="G1317" s="8"/>
      <c r="H1317" s="8"/>
      <c r="I1317" s="8"/>
      <c r="J1317" s="8"/>
      <c r="K1317" s="8"/>
      <c r="L1317" s="8"/>
    </row>
    <row r="1318">
      <c r="A1318" s="8"/>
      <c r="B1318" s="8"/>
      <c r="C1318" s="8"/>
      <c r="D1318" s="8"/>
      <c r="E1318" s="71"/>
      <c r="F1318" s="10"/>
      <c r="G1318" s="8"/>
      <c r="H1318" s="8"/>
      <c r="I1318" s="8"/>
      <c r="J1318" s="8"/>
      <c r="K1318" s="8"/>
      <c r="L1318" s="8"/>
    </row>
    <row r="1319">
      <c r="A1319" s="8"/>
      <c r="B1319" s="8"/>
      <c r="C1319" s="8"/>
      <c r="D1319" s="8"/>
      <c r="E1319" s="71"/>
      <c r="F1319" s="10"/>
      <c r="G1319" s="8"/>
      <c r="H1319" s="8"/>
      <c r="I1319" s="8"/>
      <c r="J1319" s="8"/>
      <c r="K1319" s="8"/>
      <c r="L1319" s="8"/>
    </row>
    <row r="1320">
      <c r="A1320" s="8"/>
      <c r="B1320" s="8"/>
      <c r="C1320" s="8"/>
      <c r="D1320" s="8"/>
      <c r="E1320" s="71"/>
      <c r="F1320" s="10"/>
      <c r="G1320" s="8"/>
      <c r="H1320" s="8"/>
      <c r="I1320" s="8"/>
      <c r="J1320" s="8"/>
      <c r="K1320" s="8"/>
      <c r="L1320" s="8"/>
    </row>
    <row r="1321">
      <c r="A1321" s="8"/>
      <c r="B1321" s="8"/>
      <c r="C1321" s="8"/>
      <c r="D1321" s="8"/>
      <c r="E1321" s="71"/>
      <c r="F1321" s="10"/>
      <c r="G1321" s="8"/>
      <c r="H1321" s="8"/>
      <c r="I1321" s="8"/>
      <c r="J1321" s="8"/>
      <c r="K1321" s="8"/>
      <c r="L1321" s="8"/>
    </row>
    <row r="1322">
      <c r="A1322" s="8"/>
      <c r="B1322" s="8"/>
      <c r="C1322" s="8"/>
      <c r="D1322" s="8"/>
      <c r="E1322" s="71"/>
      <c r="F1322" s="10"/>
      <c r="G1322" s="8"/>
      <c r="H1322" s="8"/>
      <c r="I1322" s="8"/>
      <c r="J1322" s="8"/>
      <c r="K1322" s="8"/>
      <c r="L1322" s="8"/>
    </row>
    <row r="1323">
      <c r="A1323" s="8"/>
      <c r="B1323" s="8"/>
      <c r="C1323" s="8"/>
      <c r="D1323" s="8"/>
      <c r="E1323" s="71"/>
      <c r="F1323" s="10"/>
      <c r="G1323" s="8"/>
      <c r="H1323" s="8"/>
      <c r="I1323" s="8"/>
      <c r="J1323" s="8"/>
      <c r="K1323" s="8"/>
      <c r="L1323" s="8"/>
    </row>
    <row r="1324">
      <c r="A1324" s="8"/>
      <c r="B1324" s="8"/>
      <c r="C1324" s="8"/>
      <c r="D1324" s="8"/>
      <c r="E1324" s="71"/>
      <c r="F1324" s="10"/>
      <c r="G1324" s="8"/>
      <c r="H1324" s="8"/>
      <c r="I1324" s="8"/>
      <c r="J1324" s="8"/>
      <c r="K1324" s="8"/>
      <c r="L1324" s="8"/>
    </row>
    <row r="1325">
      <c r="A1325" s="8"/>
      <c r="B1325" s="8"/>
      <c r="C1325" s="8"/>
      <c r="D1325" s="8"/>
      <c r="E1325" s="71"/>
      <c r="F1325" s="10"/>
      <c r="G1325" s="8"/>
      <c r="H1325" s="8"/>
      <c r="I1325" s="8"/>
      <c r="J1325" s="8"/>
      <c r="K1325" s="8"/>
      <c r="L1325" s="8"/>
    </row>
    <row r="1326">
      <c r="A1326" s="8"/>
      <c r="B1326" s="8"/>
      <c r="C1326" s="8"/>
      <c r="D1326" s="8"/>
      <c r="E1326" s="71"/>
      <c r="F1326" s="10"/>
      <c r="G1326" s="8"/>
      <c r="H1326" s="8"/>
      <c r="I1326" s="8"/>
      <c r="J1326" s="8"/>
      <c r="K1326" s="8"/>
      <c r="L1326" s="8"/>
    </row>
    <row r="1327">
      <c r="A1327" s="8"/>
      <c r="B1327" s="8"/>
      <c r="C1327" s="8"/>
      <c r="D1327" s="8"/>
      <c r="E1327" s="71"/>
      <c r="F1327" s="10"/>
      <c r="G1327" s="8"/>
      <c r="H1327" s="8"/>
      <c r="I1327" s="8"/>
      <c r="J1327" s="8"/>
      <c r="K1327" s="8"/>
      <c r="L1327" s="8"/>
    </row>
    <row r="1328">
      <c r="A1328" s="8"/>
      <c r="B1328" s="8"/>
      <c r="C1328" s="8"/>
      <c r="D1328" s="8"/>
      <c r="E1328" s="71"/>
      <c r="F1328" s="10"/>
      <c r="G1328" s="8"/>
      <c r="H1328" s="8"/>
      <c r="I1328" s="8"/>
      <c r="J1328" s="8"/>
      <c r="K1328" s="8"/>
      <c r="L1328" s="8"/>
    </row>
    <row r="1329">
      <c r="A1329" s="8"/>
      <c r="B1329" s="8"/>
      <c r="C1329" s="8"/>
      <c r="D1329" s="8"/>
      <c r="E1329" s="71"/>
      <c r="F1329" s="10"/>
      <c r="G1329" s="8"/>
      <c r="H1329" s="8"/>
      <c r="I1329" s="8"/>
      <c r="J1329" s="8"/>
      <c r="K1329" s="8"/>
      <c r="L1329" s="8"/>
    </row>
    <row r="1330">
      <c r="A1330" s="8"/>
      <c r="B1330" s="8"/>
      <c r="C1330" s="8"/>
      <c r="D1330" s="8"/>
      <c r="E1330" s="71"/>
      <c r="F1330" s="10"/>
      <c r="G1330" s="8"/>
      <c r="H1330" s="8"/>
      <c r="I1330" s="8"/>
      <c r="J1330" s="8"/>
      <c r="K1330" s="8"/>
      <c r="L1330" s="8"/>
    </row>
    <row r="1331">
      <c r="A1331" s="8"/>
      <c r="B1331" s="8"/>
      <c r="C1331" s="8"/>
      <c r="D1331" s="8"/>
      <c r="E1331" s="71"/>
      <c r="F1331" s="10"/>
      <c r="G1331" s="8"/>
      <c r="H1331" s="8"/>
      <c r="I1331" s="8"/>
      <c r="J1331" s="8"/>
      <c r="K1331" s="8"/>
      <c r="L1331" s="8"/>
    </row>
    <row r="1332">
      <c r="A1332" s="8"/>
      <c r="B1332" s="8"/>
      <c r="C1332" s="8"/>
      <c r="D1332" s="8"/>
      <c r="E1332" s="71"/>
      <c r="F1332" s="10"/>
      <c r="G1332" s="8"/>
      <c r="H1332" s="8"/>
      <c r="I1332" s="8"/>
      <c r="J1332" s="8"/>
      <c r="K1332" s="8"/>
      <c r="L1332" s="8"/>
    </row>
    <row r="1333">
      <c r="A1333" s="8"/>
      <c r="B1333" s="8"/>
      <c r="C1333" s="8"/>
      <c r="D1333" s="8"/>
      <c r="E1333" s="71"/>
      <c r="F1333" s="10"/>
      <c r="G1333" s="8"/>
      <c r="H1333" s="8"/>
      <c r="I1333" s="8"/>
      <c r="J1333" s="8"/>
      <c r="K1333" s="8"/>
      <c r="L1333" s="8"/>
    </row>
    <row r="1334">
      <c r="A1334" s="8"/>
      <c r="B1334" s="8"/>
      <c r="C1334" s="8"/>
      <c r="D1334" s="8"/>
      <c r="E1334" s="71"/>
      <c r="F1334" s="10"/>
      <c r="G1334" s="8"/>
      <c r="H1334" s="8"/>
      <c r="I1334" s="8"/>
      <c r="J1334" s="8"/>
      <c r="K1334" s="8"/>
      <c r="L1334" s="8"/>
    </row>
    <row r="1335">
      <c r="A1335" s="8"/>
      <c r="B1335" s="8"/>
      <c r="C1335" s="8"/>
      <c r="D1335" s="8"/>
      <c r="E1335" s="71"/>
      <c r="F1335" s="10"/>
      <c r="G1335" s="8"/>
      <c r="H1335" s="8"/>
      <c r="I1335" s="8"/>
      <c r="J1335" s="8"/>
      <c r="K1335" s="8"/>
      <c r="L1335" s="8"/>
    </row>
    <row r="1336">
      <c r="A1336" s="8"/>
      <c r="B1336" s="8"/>
      <c r="C1336" s="8"/>
      <c r="D1336" s="8"/>
      <c r="E1336" s="71"/>
      <c r="F1336" s="10"/>
      <c r="G1336" s="8"/>
      <c r="H1336" s="8"/>
      <c r="I1336" s="8"/>
      <c r="J1336" s="8"/>
      <c r="K1336" s="8"/>
      <c r="L1336" s="8"/>
    </row>
    <row r="1337">
      <c r="A1337" s="8"/>
      <c r="B1337" s="8"/>
      <c r="C1337" s="8"/>
      <c r="D1337" s="8"/>
      <c r="E1337" s="71"/>
      <c r="F1337" s="10"/>
      <c r="G1337" s="8"/>
      <c r="H1337" s="8"/>
      <c r="I1337" s="8"/>
      <c r="J1337" s="8"/>
      <c r="K1337" s="8"/>
      <c r="L1337" s="8"/>
    </row>
    <row r="1338">
      <c r="A1338" s="8"/>
      <c r="B1338" s="8"/>
      <c r="C1338" s="8"/>
      <c r="D1338" s="8"/>
      <c r="E1338" s="71"/>
      <c r="F1338" s="10"/>
      <c r="G1338" s="8"/>
      <c r="H1338" s="8"/>
      <c r="I1338" s="8"/>
      <c r="J1338" s="8"/>
      <c r="K1338" s="8"/>
      <c r="L1338" s="8"/>
    </row>
    <row r="1339">
      <c r="A1339" s="8"/>
      <c r="B1339" s="8"/>
      <c r="C1339" s="8"/>
      <c r="D1339" s="8"/>
      <c r="E1339" s="71"/>
      <c r="F1339" s="10"/>
      <c r="G1339" s="8"/>
      <c r="H1339" s="8"/>
      <c r="I1339" s="8"/>
      <c r="J1339" s="8"/>
      <c r="K1339" s="8"/>
      <c r="L1339" s="8"/>
    </row>
    <row r="1340">
      <c r="A1340" s="8"/>
      <c r="B1340" s="8"/>
      <c r="C1340" s="8"/>
      <c r="D1340" s="8"/>
      <c r="E1340" s="71"/>
      <c r="F1340" s="10"/>
      <c r="G1340" s="8"/>
      <c r="H1340" s="8"/>
      <c r="I1340" s="8"/>
      <c r="J1340" s="8"/>
      <c r="K1340" s="8"/>
      <c r="L1340" s="8"/>
    </row>
    <row r="1341">
      <c r="A1341" s="8"/>
      <c r="B1341" s="8"/>
      <c r="C1341" s="8"/>
      <c r="D1341" s="8"/>
      <c r="E1341" s="71"/>
      <c r="F1341" s="10"/>
      <c r="G1341" s="8"/>
      <c r="H1341" s="8"/>
      <c r="I1341" s="8"/>
      <c r="J1341" s="8"/>
      <c r="K1341" s="8"/>
      <c r="L1341" s="8"/>
    </row>
    <row r="1342">
      <c r="A1342" s="8"/>
      <c r="B1342" s="8"/>
      <c r="C1342" s="8"/>
      <c r="D1342" s="8"/>
      <c r="E1342" s="71"/>
      <c r="F1342" s="10"/>
      <c r="G1342" s="8"/>
      <c r="H1342" s="8"/>
      <c r="I1342" s="8"/>
      <c r="J1342" s="8"/>
      <c r="K1342" s="8"/>
      <c r="L1342" s="8"/>
    </row>
    <row r="1343">
      <c r="A1343" s="8"/>
      <c r="B1343" s="8"/>
      <c r="C1343" s="8"/>
      <c r="D1343" s="8"/>
      <c r="E1343" s="71"/>
      <c r="F1343" s="10"/>
      <c r="G1343" s="8"/>
      <c r="H1343" s="8"/>
      <c r="I1343" s="8"/>
      <c r="J1343" s="8"/>
      <c r="K1343" s="8"/>
      <c r="L1343" s="8"/>
    </row>
    <row r="1344">
      <c r="A1344" s="8"/>
      <c r="B1344" s="8"/>
      <c r="C1344" s="8"/>
      <c r="D1344" s="8"/>
      <c r="E1344" s="71"/>
      <c r="F1344" s="10"/>
      <c r="G1344" s="8"/>
      <c r="H1344" s="8"/>
      <c r="I1344" s="8"/>
      <c r="J1344" s="8"/>
      <c r="K1344" s="8"/>
      <c r="L1344" s="8"/>
    </row>
    <row r="1345">
      <c r="A1345" s="8"/>
      <c r="B1345" s="8"/>
      <c r="C1345" s="8"/>
      <c r="D1345" s="8"/>
      <c r="E1345" s="71"/>
      <c r="F1345" s="10"/>
      <c r="G1345" s="8"/>
      <c r="H1345" s="8"/>
      <c r="I1345" s="8"/>
      <c r="J1345" s="8"/>
      <c r="K1345" s="8"/>
      <c r="L1345" s="8"/>
    </row>
    <row r="1346">
      <c r="A1346" s="8"/>
      <c r="B1346" s="8"/>
      <c r="C1346" s="8"/>
      <c r="D1346" s="8"/>
      <c r="E1346" s="71"/>
      <c r="F1346" s="10"/>
      <c r="G1346" s="8"/>
      <c r="H1346" s="8"/>
      <c r="I1346" s="8"/>
      <c r="J1346" s="8"/>
      <c r="K1346" s="8"/>
      <c r="L1346" s="8"/>
    </row>
    <row r="1347">
      <c r="A1347" s="8"/>
      <c r="B1347" s="8"/>
      <c r="C1347" s="8"/>
      <c r="D1347" s="8"/>
      <c r="E1347" s="71"/>
      <c r="F1347" s="10"/>
      <c r="G1347" s="8"/>
      <c r="H1347" s="8"/>
      <c r="I1347" s="8"/>
      <c r="J1347" s="8"/>
      <c r="K1347" s="8"/>
      <c r="L1347" s="8"/>
    </row>
    <row r="1348">
      <c r="A1348" s="8"/>
      <c r="B1348" s="8"/>
      <c r="C1348" s="8"/>
      <c r="D1348" s="8"/>
      <c r="E1348" s="71"/>
      <c r="F1348" s="10"/>
      <c r="G1348" s="8"/>
      <c r="H1348" s="8"/>
      <c r="I1348" s="8"/>
      <c r="J1348" s="8"/>
      <c r="K1348" s="8"/>
      <c r="L1348" s="8"/>
    </row>
    <row r="1349">
      <c r="A1349" s="8"/>
      <c r="B1349" s="8"/>
      <c r="C1349" s="8"/>
      <c r="D1349" s="8"/>
      <c r="E1349" s="71"/>
      <c r="F1349" s="10"/>
      <c r="G1349" s="8"/>
      <c r="H1349" s="8"/>
      <c r="I1349" s="8"/>
      <c r="J1349" s="8"/>
      <c r="K1349" s="8"/>
      <c r="L1349" s="8"/>
    </row>
    <row r="1350">
      <c r="A1350" s="8"/>
      <c r="B1350" s="8"/>
      <c r="C1350" s="8"/>
      <c r="D1350" s="8"/>
      <c r="E1350" s="71"/>
      <c r="F1350" s="10"/>
      <c r="G1350" s="8"/>
      <c r="H1350" s="8"/>
      <c r="I1350" s="8"/>
      <c r="J1350" s="8"/>
      <c r="K1350" s="8"/>
      <c r="L1350" s="8"/>
    </row>
    <row r="1351">
      <c r="A1351" s="8"/>
      <c r="B1351" s="8"/>
      <c r="C1351" s="8"/>
      <c r="D1351" s="8"/>
      <c r="E1351" s="71"/>
      <c r="F1351" s="10"/>
      <c r="G1351" s="8"/>
      <c r="H1351" s="8"/>
      <c r="I1351" s="8"/>
      <c r="J1351" s="8"/>
      <c r="K1351" s="8"/>
      <c r="L1351" s="8"/>
    </row>
    <row r="1352">
      <c r="A1352" s="8"/>
      <c r="B1352" s="8"/>
      <c r="C1352" s="8"/>
      <c r="D1352" s="8"/>
      <c r="E1352" s="71"/>
      <c r="F1352" s="10"/>
      <c r="G1352" s="8"/>
      <c r="H1352" s="8"/>
      <c r="I1352" s="8"/>
      <c r="J1352" s="8"/>
      <c r="K1352" s="8"/>
      <c r="L1352" s="8"/>
    </row>
    <row r="1353">
      <c r="A1353" s="8"/>
      <c r="B1353" s="8"/>
      <c r="C1353" s="8"/>
      <c r="D1353" s="8"/>
      <c r="E1353" s="71"/>
      <c r="F1353" s="10"/>
      <c r="G1353" s="8"/>
      <c r="H1353" s="8"/>
      <c r="I1353" s="8"/>
      <c r="J1353" s="8"/>
      <c r="K1353" s="8"/>
      <c r="L1353" s="8"/>
    </row>
    <row r="1354">
      <c r="A1354" s="8"/>
      <c r="B1354" s="8"/>
      <c r="C1354" s="8"/>
      <c r="D1354" s="8"/>
      <c r="E1354" s="71"/>
      <c r="F1354" s="10"/>
      <c r="G1354" s="8"/>
      <c r="H1354" s="8"/>
      <c r="I1354" s="8"/>
      <c r="J1354" s="8"/>
      <c r="K1354" s="8"/>
      <c r="L1354" s="8"/>
    </row>
    <row r="1355">
      <c r="A1355" s="8"/>
      <c r="B1355" s="8"/>
      <c r="C1355" s="8"/>
      <c r="D1355" s="8"/>
      <c r="E1355" s="71"/>
      <c r="F1355" s="10"/>
      <c r="G1355" s="8"/>
      <c r="H1355" s="8"/>
      <c r="I1355" s="8"/>
      <c r="J1355" s="8"/>
      <c r="K1355" s="8"/>
      <c r="L1355" s="8"/>
    </row>
    <row r="1356">
      <c r="A1356" s="8"/>
      <c r="B1356" s="8"/>
      <c r="C1356" s="8"/>
      <c r="D1356" s="8"/>
      <c r="E1356" s="71"/>
      <c r="F1356" s="10"/>
      <c r="G1356" s="8"/>
      <c r="H1356" s="8"/>
      <c r="I1356" s="8"/>
      <c r="J1356" s="8"/>
      <c r="K1356" s="8"/>
      <c r="L1356" s="8"/>
    </row>
    <row r="1357">
      <c r="A1357" s="8"/>
      <c r="B1357" s="8"/>
      <c r="C1357" s="8"/>
      <c r="D1357" s="8"/>
      <c r="E1357" s="71"/>
      <c r="F1357" s="10"/>
      <c r="G1357" s="8"/>
      <c r="H1357" s="8"/>
      <c r="I1357" s="8"/>
      <c r="J1357" s="8"/>
      <c r="K1357" s="8"/>
      <c r="L1357" s="8"/>
    </row>
    <row r="1358">
      <c r="A1358" s="8"/>
      <c r="B1358" s="8"/>
      <c r="C1358" s="8"/>
      <c r="D1358" s="8"/>
      <c r="E1358" s="71"/>
      <c r="F1358" s="10"/>
      <c r="G1358" s="8"/>
      <c r="H1358" s="8"/>
      <c r="I1358" s="8"/>
      <c r="J1358" s="8"/>
      <c r="K1358" s="8"/>
      <c r="L1358" s="8"/>
    </row>
    <row r="1359">
      <c r="A1359" s="8"/>
      <c r="B1359" s="8"/>
      <c r="C1359" s="8"/>
      <c r="D1359" s="8"/>
      <c r="E1359" s="71"/>
      <c r="F1359" s="10"/>
      <c r="G1359" s="8"/>
      <c r="H1359" s="8"/>
      <c r="I1359" s="8"/>
      <c r="J1359" s="8"/>
      <c r="K1359" s="8"/>
      <c r="L1359" s="8"/>
    </row>
    <row r="1360">
      <c r="A1360" s="8"/>
      <c r="B1360" s="8"/>
      <c r="C1360" s="8"/>
      <c r="D1360" s="8"/>
      <c r="E1360" s="71"/>
      <c r="F1360" s="10"/>
      <c r="G1360" s="8"/>
      <c r="H1360" s="8"/>
      <c r="I1360" s="8"/>
      <c r="J1360" s="8"/>
      <c r="K1360" s="8"/>
      <c r="L1360" s="8"/>
    </row>
    <row r="1361">
      <c r="A1361" s="8"/>
      <c r="B1361" s="8"/>
      <c r="C1361" s="8"/>
      <c r="D1361" s="8"/>
      <c r="E1361" s="71"/>
      <c r="F1361" s="10"/>
      <c r="G1361" s="8"/>
      <c r="H1361" s="8"/>
      <c r="I1361" s="8"/>
      <c r="J1361" s="8"/>
      <c r="K1361" s="8"/>
      <c r="L1361" s="8"/>
    </row>
    <row r="1362">
      <c r="A1362" s="8"/>
      <c r="B1362" s="8"/>
      <c r="C1362" s="8"/>
      <c r="D1362" s="8"/>
      <c r="E1362" s="71"/>
      <c r="F1362" s="10"/>
      <c r="G1362" s="8"/>
      <c r="H1362" s="8"/>
      <c r="I1362" s="8"/>
      <c r="J1362" s="8"/>
      <c r="K1362" s="8"/>
      <c r="L1362" s="8"/>
    </row>
    <row r="1363">
      <c r="A1363" s="8"/>
      <c r="B1363" s="8"/>
      <c r="C1363" s="8"/>
      <c r="D1363" s="8"/>
      <c r="E1363" s="71"/>
      <c r="F1363" s="10"/>
      <c r="G1363" s="8"/>
      <c r="H1363" s="8"/>
      <c r="I1363" s="8"/>
      <c r="J1363" s="8"/>
      <c r="K1363" s="8"/>
      <c r="L1363" s="8"/>
    </row>
    <row r="1364">
      <c r="A1364" s="8"/>
      <c r="B1364" s="8"/>
      <c r="C1364" s="8"/>
      <c r="D1364" s="8"/>
      <c r="E1364" s="71"/>
      <c r="F1364" s="10"/>
      <c r="G1364" s="8"/>
      <c r="H1364" s="8"/>
      <c r="I1364" s="8"/>
      <c r="J1364" s="8"/>
      <c r="K1364" s="8"/>
      <c r="L1364" s="8"/>
    </row>
    <row r="1365">
      <c r="A1365" s="8"/>
      <c r="B1365" s="8"/>
      <c r="C1365" s="8"/>
      <c r="D1365" s="8"/>
      <c r="E1365" s="71"/>
      <c r="F1365" s="10"/>
      <c r="G1365" s="8"/>
      <c r="H1365" s="8"/>
      <c r="I1365" s="8"/>
      <c r="J1365" s="8"/>
      <c r="K1365" s="8"/>
      <c r="L1365" s="8"/>
    </row>
    <row r="1366">
      <c r="A1366" s="8"/>
      <c r="B1366" s="8"/>
      <c r="C1366" s="8"/>
      <c r="D1366" s="8"/>
      <c r="E1366" s="71"/>
      <c r="F1366" s="10"/>
      <c r="G1366" s="8"/>
      <c r="H1366" s="8"/>
      <c r="I1366" s="8"/>
      <c r="J1366" s="8"/>
      <c r="K1366" s="8"/>
      <c r="L1366" s="8"/>
    </row>
    <row r="1367">
      <c r="A1367" s="8"/>
      <c r="B1367" s="8"/>
      <c r="C1367" s="8"/>
      <c r="D1367" s="8"/>
      <c r="E1367" s="71"/>
      <c r="F1367" s="10"/>
      <c r="G1367" s="8"/>
      <c r="H1367" s="8"/>
      <c r="I1367" s="8"/>
      <c r="J1367" s="8"/>
      <c r="K1367" s="8"/>
      <c r="L1367" s="8"/>
    </row>
    <row r="1368">
      <c r="A1368" s="8"/>
      <c r="B1368" s="8"/>
      <c r="C1368" s="8"/>
      <c r="D1368" s="8"/>
      <c r="E1368" s="71"/>
      <c r="F1368" s="10"/>
      <c r="G1368" s="8"/>
      <c r="H1368" s="8"/>
      <c r="I1368" s="8"/>
      <c r="J1368" s="8"/>
      <c r="K1368" s="8"/>
      <c r="L1368" s="8"/>
    </row>
    <row r="1369">
      <c r="A1369" s="8"/>
      <c r="B1369" s="8"/>
      <c r="C1369" s="8"/>
      <c r="D1369" s="8"/>
      <c r="E1369" s="71"/>
      <c r="F1369" s="10"/>
      <c r="G1369" s="8"/>
      <c r="H1369" s="8"/>
      <c r="I1369" s="8"/>
      <c r="J1369" s="8"/>
      <c r="K1369" s="8"/>
      <c r="L1369" s="8"/>
    </row>
    <row r="1370">
      <c r="A1370" s="8"/>
      <c r="B1370" s="8"/>
      <c r="C1370" s="8"/>
      <c r="D1370" s="8"/>
      <c r="E1370" s="71"/>
      <c r="F1370" s="10"/>
      <c r="G1370" s="8"/>
      <c r="H1370" s="8"/>
      <c r="I1370" s="8"/>
      <c r="J1370" s="8"/>
      <c r="K1370" s="8"/>
      <c r="L1370" s="8"/>
    </row>
    <row r="1371">
      <c r="A1371" s="8"/>
      <c r="B1371" s="8"/>
      <c r="C1371" s="8"/>
      <c r="D1371" s="8"/>
      <c r="E1371" s="71"/>
      <c r="F1371" s="10"/>
      <c r="G1371" s="8"/>
      <c r="H1371" s="8"/>
      <c r="I1371" s="8"/>
      <c r="J1371" s="8"/>
      <c r="K1371" s="8"/>
      <c r="L1371" s="8"/>
    </row>
    <row r="1372">
      <c r="A1372" s="8"/>
      <c r="B1372" s="8"/>
      <c r="C1372" s="8"/>
      <c r="D1372" s="8"/>
      <c r="E1372" s="71"/>
      <c r="F1372" s="10"/>
      <c r="G1372" s="8"/>
      <c r="H1372" s="8"/>
      <c r="I1372" s="8"/>
      <c r="J1372" s="8"/>
      <c r="K1372" s="8"/>
      <c r="L1372" s="8"/>
    </row>
    <row r="1373">
      <c r="A1373" s="8"/>
      <c r="B1373" s="8"/>
      <c r="C1373" s="8"/>
      <c r="D1373" s="8"/>
      <c r="E1373" s="71"/>
      <c r="F1373" s="10"/>
      <c r="G1373" s="8"/>
      <c r="H1373" s="8"/>
      <c r="I1373" s="8"/>
      <c r="J1373" s="8"/>
      <c r="K1373" s="8"/>
      <c r="L1373" s="8"/>
    </row>
    <row r="1374">
      <c r="A1374" s="8"/>
      <c r="B1374" s="8"/>
      <c r="C1374" s="8"/>
      <c r="D1374" s="8"/>
      <c r="E1374" s="71"/>
      <c r="F1374" s="10"/>
      <c r="G1374" s="8"/>
      <c r="H1374" s="8"/>
      <c r="I1374" s="8"/>
      <c r="J1374" s="8"/>
      <c r="K1374" s="8"/>
      <c r="L1374" s="8"/>
    </row>
    <row r="1375">
      <c r="A1375" s="8"/>
      <c r="B1375" s="8"/>
      <c r="C1375" s="8"/>
      <c r="D1375" s="8"/>
      <c r="E1375" s="71"/>
      <c r="F1375" s="10"/>
      <c r="G1375" s="8"/>
      <c r="H1375" s="8"/>
      <c r="I1375" s="8"/>
      <c r="J1375" s="8"/>
      <c r="K1375" s="8"/>
      <c r="L1375" s="8"/>
    </row>
    <row r="1376">
      <c r="A1376" s="8"/>
      <c r="B1376" s="8"/>
      <c r="C1376" s="8"/>
      <c r="D1376" s="8"/>
      <c r="E1376" s="71"/>
      <c r="F1376" s="10"/>
      <c r="G1376" s="8"/>
      <c r="H1376" s="8"/>
      <c r="I1376" s="8"/>
      <c r="J1376" s="8"/>
      <c r="K1376" s="8"/>
      <c r="L1376" s="8"/>
    </row>
    <row r="1377">
      <c r="A1377" s="8"/>
      <c r="B1377" s="8"/>
      <c r="C1377" s="8"/>
      <c r="D1377" s="8"/>
      <c r="E1377" s="71"/>
      <c r="F1377" s="10"/>
      <c r="G1377" s="8"/>
      <c r="H1377" s="8"/>
      <c r="I1377" s="8"/>
      <c r="J1377" s="8"/>
      <c r="K1377" s="8"/>
      <c r="L1377" s="8"/>
    </row>
    <row r="1378">
      <c r="A1378" s="8"/>
      <c r="B1378" s="8"/>
      <c r="C1378" s="8"/>
      <c r="D1378" s="8"/>
      <c r="E1378" s="71"/>
      <c r="F1378" s="10"/>
      <c r="G1378" s="8"/>
      <c r="H1378" s="8"/>
      <c r="I1378" s="8"/>
      <c r="J1378" s="8"/>
      <c r="K1378" s="8"/>
      <c r="L1378" s="8"/>
    </row>
    <row r="1379">
      <c r="A1379" s="8"/>
      <c r="B1379" s="8"/>
      <c r="C1379" s="8"/>
      <c r="D1379" s="8"/>
      <c r="E1379" s="71"/>
      <c r="F1379" s="10"/>
      <c r="G1379" s="8"/>
      <c r="H1379" s="8"/>
      <c r="I1379" s="8"/>
      <c r="J1379" s="8"/>
      <c r="K1379" s="8"/>
      <c r="L1379" s="8"/>
    </row>
    <row r="1380">
      <c r="A1380" s="8"/>
      <c r="B1380" s="8"/>
      <c r="C1380" s="8"/>
      <c r="D1380" s="8"/>
      <c r="E1380" s="71"/>
      <c r="F1380" s="10"/>
      <c r="G1380" s="8"/>
      <c r="H1380" s="8"/>
      <c r="I1380" s="8"/>
      <c r="J1380" s="8"/>
      <c r="K1380" s="8"/>
      <c r="L1380" s="8"/>
    </row>
    <row r="1381">
      <c r="A1381" s="8"/>
      <c r="B1381" s="8"/>
      <c r="C1381" s="8"/>
      <c r="D1381" s="8"/>
      <c r="E1381" s="71"/>
      <c r="F1381" s="10"/>
      <c r="G1381" s="8"/>
      <c r="H1381" s="8"/>
      <c r="I1381" s="8"/>
      <c r="J1381" s="8"/>
      <c r="K1381" s="8"/>
      <c r="L1381" s="8"/>
    </row>
    <row r="1382">
      <c r="A1382" s="8"/>
      <c r="B1382" s="8"/>
      <c r="C1382" s="8"/>
      <c r="D1382" s="8"/>
      <c r="E1382" s="71"/>
      <c r="F1382" s="10"/>
      <c r="G1382" s="8"/>
      <c r="H1382" s="8"/>
      <c r="I1382" s="8"/>
      <c r="J1382" s="8"/>
      <c r="K1382" s="8"/>
      <c r="L1382" s="8"/>
    </row>
    <row r="1383">
      <c r="A1383" s="8"/>
      <c r="B1383" s="8"/>
      <c r="C1383" s="8"/>
      <c r="D1383" s="8"/>
      <c r="E1383" s="71"/>
      <c r="F1383" s="10"/>
      <c r="G1383" s="8"/>
      <c r="H1383" s="8"/>
      <c r="I1383" s="8"/>
      <c r="J1383" s="8"/>
      <c r="K1383" s="8"/>
      <c r="L1383" s="8"/>
    </row>
    <row r="1384">
      <c r="A1384" s="8"/>
      <c r="B1384" s="8"/>
      <c r="C1384" s="8"/>
      <c r="D1384" s="8"/>
      <c r="E1384" s="71"/>
      <c r="F1384" s="10"/>
      <c r="G1384" s="8"/>
      <c r="H1384" s="8"/>
      <c r="I1384" s="8"/>
      <c r="J1384" s="8"/>
      <c r="K1384" s="8"/>
      <c r="L1384" s="8"/>
    </row>
    <row r="1385">
      <c r="A1385" s="8"/>
      <c r="B1385" s="8"/>
      <c r="C1385" s="8"/>
      <c r="D1385" s="8"/>
      <c r="E1385" s="71"/>
      <c r="F1385" s="10"/>
      <c r="G1385" s="8"/>
      <c r="H1385" s="8"/>
      <c r="I1385" s="8"/>
      <c r="J1385" s="8"/>
      <c r="K1385" s="8"/>
      <c r="L1385" s="8"/>
    </row>
    <row r="1386">
      <c r="A1386" s="8"/>
      <c r="B1386" s="8"/>
      <c r="C1386" s="8"/>
      <c r="D1386" s="8"/>
      <c r="E1386" s="71"/>
      <c r="F1386" s="10"/>
      <c r="G1386" s="8"/>
      <c r="H1386" s="8"/>
      <c r="I1386" s="8"/>
      <c r="J1386" s="8"/>
      <c r="K1386" s="8"/>
      <c r="L1386" s="8"/>
    </row>
    <row r="1387">
      <c r="A1387" s="8"/>
      <c r="B1387" s="8"/>
      <c r="C1387" s="8"/>
      <c r="D1387" s="8"/>
      <c r="E1387" s="71"/>
      <c r="F1387" s="10"/>
      <c r="G1387" s="8"/>
      <c r="H1387" s="8"/>
      <c r="I1387" s="8"/>
      <c r="J1387" s="8"/>
      <c r="K1387" s="8"/>
      <c r="L1387" s="8"/>
    </row>
    <row r="1388">
      <c r="A1388" s="8"/>
      <c r="B1388" s="8"/>
      <c r="C1388" s="8"/>
      <c r="D1388" s="8"/>
      <c r="E1388" s="71"/>
      <c r="F1388" s="10"/>
      <c r="G1388" s="8"/>
      <c r="H1388" s="8"/>
      <c r="I1388" s="8"/>
      <c r="J1388" s="8"/>
      <c r="K1388" s="8"/>
      <c r="L1388" s="8"/>
    </row>
    <row r="1389">
      <c r="A1389" s="8"/>
      <c r="B1389" s="8"/>
      <c r="C1389" s="8"/>
      <c r="D1389" s="8"/>
      <c r="E1389" s="71"/>
      <c r="F1389" s="10"/>
      <c r="G1389" s="8"/>
      <c r="H1389" s="8"/>
      <c r="I1389" s="8"/>
      <c r="J1389" s="8"/>
      <c r="K1389" s="8"/>
      <c r="L1389" s="8"/>
    </row>
    <row r="1390">
      <c r="A1390" s="8"/>
      <c r="B1390" s="8"/>
      <c r="C1390" s="8"/>
      <c r="D1390" s="8"/>
      <c r="E1390" s="71"/>
      <c r="F1390" s="10"/>
      <c r="G1390" s="8"/>
      <c r="H1390" s="8"/>
      <c r="I1390" s="8"/>
      <c r="J1390" s="8"/>
      <c r="K1390" s="8"/>
      <c r="L1390" s="8"/>
    </row>
    <row r="1391">
      <c r="A1391" s="8"/>
      <c r="B1391" s="8"/>
      <c r="C1391" s="8"/>
      <c r="D1391" s="8"/>
      <c r="E1391" s="71"/>
      <c r="F1391" s="10"/>
      <c r="G1391" s="8"/>
      <c r="H1391" s="8"/>
      <c r="I1391" s="8"/>
      <c r="J1391" s="8"/>
      <c r="K1391" s="8"/>
      <c r="L1391" s="8"/>
    </row>
    <row r="1392">
      <c r="A1392" s="8"/>
      <c r="B1392" s="8"/>
      <c r="C1392" s="8"/>
      <c r="D1392" s="8"/>
      <c r="E1392" s="71"/>
      <c r="F1392" s="10"/>
      <c r="G1392" s="8"/>
      <c r="H1392" s="8"/>
      <c r="I1392" s="8"/>
      <c r="J1392" s="8"/>
      <c r="K1392" s="8"/>
      <c r="L1392" s="8"/>
    </row>
    <row r="1393">
      <c r="A1393" s="8"/>
      <c r="B1393" s="8"/>
      <c r="C1393" s="8"/>
      <c r="D1393" s="8"/>
      <c r="E1393" s="71"/>
      <c r="F1393" s="10"/>
      <c r="G1393" s="8"/>
      <c r="H1393" s="8"/>
      <c r="I1393" s="8"/>
      <c r="J1393" s="8"/>
      <c r="K1393" s="8"/>
      <c r="L1393" s="8"/>
    </row>
    <row r="1394">
      <c r="A1394" s="8"/>
      <c r="B1394" s="8"/>
      <c r="C1394" s="8"/>
      <c r="D1394" s="8"/>
      <c r="E1394" s="71"/>
      <c r="F1394" s="10"/>
      <c r="G1394" s="8"/>
      <c r="H1394" s="8"/>
      <c r="I1394" s="8"/>
      <c r="J1394" s="8"/>
      <c r="K1394" s="8"/>
      <c r="L1394" s="8"/>
    </row>
    <row r="1395">
      <c r="A1395" s="8"/>
      <c r="B1395" s="8"/>
      <c r="C1395" s="8"/>
      <c r="D1395" s="8"/>
      <c r="E1395" s="71"/>
      <c r="F1395" s="10"/>
      <c r="G1395" s="8"/>
      <c r="H1395" s="8"/>
      <c r="I1395" s="8"/>
      <c r="J1395" s="8"/>
      <c r="K1395" s="8"/>
      <c r="L1395" s="8"/>
    </row>
    <row r="1396">
      <c r="A1396" s="8"/>
      <c r="B1396" s="8"/>
      <c r="C1396" s="8"/>
      <c r="D1396" s="8"/>
      <c r="E1396" s="71"/>
      <c r="F1396" s="10"/>
      <c r="G1396" s="8"/>
      <c r="H1396" s="8"/>
      <c r="I1396" s="8"/>
      <c r="J1396" s="8"/>
      <c r="K1396" s="8"/>
      <c r="L1396" s="8"/>
    </row>
    <row r="1397">
      <c r="A1397" s="8"/>
      <c r="B1397" s="8"/>
      <c r="C1397" s="8"/>
      <c r="D1397" s="8"/>
      <c r="E1397" s="71"/>
      <c r="F1397" s="10"/>
      <c r="G1397" s="8"/>
      <c r="H1397" s="8"/>
      <c r="I1397" s="8"/>
      <c r="J1397" s="8"/>
      <c r="K1397" s="8"/>
      <c r="L1397" s="8"/>
    </row>
    <row r="1398">
      <c r="A1398" s="8"/>
      <c r="B1398" s="8"/>
      <c r="C1398" s="8"/>
      <c r="D1398" s="8"/>
      <c r="E1398" s="71"/>
      <c r="F1398" s="10"/>
      <c r="G1398" s="8"/>
      <c r="H1398" s="8"/>
      <c r="I1398" s="8"/>
      <c r="J1398" s="8"/>
      <c r="K1398" s="8"/>
      <c r="L1398" s="8"/>
    </row>
    <row r="1399">
      <c r="A1399" s="8"/>
      <c r="B1399" s="8"/>
      <c r="C1399" s="8"/>
      <c r="D1399" s="8"/>
      <c r="E1399" s="71"/>
      <c r="F1399" s="10"/>
      <c r="G1399" s="8"/>
      <c r="H1399" s="8"/>
      <c r="I1399" s="8"/>
      <c r="J1399" s="8"/>
      <c r="K1399" s="8"/>
      <c r="L1399" s="8"/>
    </row>
    <row r="1400">
      <c r="A1400" s="8"/>
      <c r="B1400" s="8"/>
      <c r="C1400" s="8"/>
      <c r="D1400" s="8"/>
      <c r="E1400" s="71"/>
      <c r="F1400" s="10"/>
      <c r="G1400" s="8"/>
      <c r="H1400" s="8"/>
      <c r="I1400" s="8"/>
      <c r="J1400" s="8"/>
      <c r="K1400" s="8"/>
      <c r="L1400" s="8"/>
    </row>
    <row r="1401">
      <c r="A1401" s="8"/>
      <c r="B1401" s="8"/>
      <c r="C1401" s="8"/>
      <c r="D1401" s="8"/>
      <c r="E1401" s="71"/>
      <c r="F1401" s="10"/>
      <c r="G1401" s="8"/>
      <c r="H1401" s="8"/>
      <c r="I1401" s="8"/>
      <c r="J1401" s="8"/>
      <c r="K1401" s="8"/>
      <c r="L1401" s="8"/>
    </row>
    <row r="1402">
      <c r="A1402" s="8"/>
      <c r="B1402" s="8"/>
      <c r="C1402" s="8"/>
      <c r="D1402" s="8"/>
      <c r="E1402" s="71"/>
      <c r="F1402" s="10"/>
      <c r="G1402" s="8"/>
      <c r="H1402" s="8"/>
      <c r="I1402" s="8"/>
      <c r="J1402" s="8"/>
      <c r="K1402" s="8"/>
      <c r="L1402" s="8"/>
    </row>
    <row r="1403">
      <c r="A1403" s="8"/>
      <c r="B1403" s="8"/>
      <c r="C1403" s="8"/>
      <c r="D1403" s="8"/>
      <c r="E1403" s="71"/>
      <c r="F1403" s="10"/>
      <c r="G1403" s="8"/>
      <c r="H1403" s="8"/>
      <c r="I1403" s="8"/>
      <c r="J1403" s="8"/>
      <c r="K1403" s="8"/>
      <c r="L1403" s="8"/>
    </row>
    <row r="1404">
      <c r="A1404" s="8"/>
      <c r="B1404" s="8"/>
      <c r="C1404" s="8"/>
      <c r="D1404" s="8"/>
      <c r="E1404" s="71"/>
      <c r="F1404" s="10"/>
      <c r="G1404" s="8"/>
      <c r="H1404" s="8"/>
      <c r="I1404" s="8"/>
      <c r="J1404" s="8"/>
      <c r="K1404" s="8"/>
      <c r="L1404" s="8"/>
    </row>
    <row r="1405">
      <c r="A1405" s="8"/>
      <c r="B1405" s="8"/>
      <c r="C1405" s="8"/>
      <c r="D1405" s="8"/>
      <c r="E1405" s="71"/>
      <c r="F1405" s="10"/>
      <c r="G1405" s="8"/>
      <c r="H1405" s="8"/>
      <c r="I1405" s="8"/>
      <c r="J1405" s="8"/>
      <c r="K1405" s="8"/>
      <c r="L1405" s="8"/>
    </row>
    <row r="1406">
      <c r="A1406" s="8"/>
      <c r="B1406" s="8"/>
      <c r="C1406" s="8"/>
      <c r="D1406" s="8"/>
      <c r="E1406" s="71"/>
      <c r="F1406" s="10"/>
      <c r="G1406" s="8"/>
      <c r="H1406" s="8"/>
      <c r="I1406" s="8"/>
      <c r="J1406" s="8"/>
      <c r="K1406" s="8"/>
      <c r="L1406" s="8"/>
    </row>
    <row r="1407">
      <c r="A1407" s="8"/>
      <c r="B1407" s="8"/>
      <c r="C1407" s="8"/>
      <c r="D1407" s="8"/>
      <c r="E1407" s="71"/>
      <c r="F1407" s="10"/>
      <c r="G1407" s="8"/>
      <c r="H1407" s="8"/>
      <c r="I1407" s="8"/>
      <c r="J1407" s="8"/>
      <c r="K1407" s="8"/>
      <c r="L1407" s="8"/>
    </row>
    <row r="1408">
      <c r="A1408" s="8"/>
      <c r="B1408" s="8"/>
      <c r="C1408" s="8"/>
      <c r="D1408" s="8"/>
      <c r="E1408" s="71"/>
      <c r="F1408" s="10"/>
      <c r="G1408" s="8"/>
      <c r="H1408" s="8"/>
      <c r="I1408" s="8"/>
      <c r="J1408" s="8"/>
      <c r="K1408" s="8"/>
      <c r="L1408" s="8"/>
    </row>
    <row r="1409">
      <c r="A1409" s="8"/>
      <c r="B1409" s="8"/>
      <c r="C1409" s="8"/>
      <c r="D1409" s="8"/>
      <c r="E1409" s="71"/>
      <c r="F1409" s="10"/>
      <c r="G1409" s="8"/>
      <c r="H1409" s="8"/>
      <c r="I1409" s="8"/>
      <c r="J1409" s="8"/>
      <c r="K1409" s="8"/>
      <c r="L1409" s="8"/>
    </row>
    <row r="1410">
      <c r="A1410" s="8"/>
      <c r="B1410" s="8"/>
      <c r="C1410" s="8"/>
      <c r="D1410" s="8"/>
      <c r="E1410" s="71"/>
      <c r="F1410" s="10"/>
      <c r="G1410" s="8"/>
      <c r="H1410" s="8"/>
      <c r="I1410" s="8"/>
      <c r="J1410" s="8"/>
      <c r="K1410" s="8"/>
      <c r="L1410" s="8"/>
    </row>
    <row r="1411">
      <c r="A1411" s="8"/>
      <c r="B1411" s="8"/>
      <c r="C1411" s="8"/>
      <c r="D1411" s="8"/>
      <c r="E1411" s="71"/>
      <c r="F1411" s="10"/>
      <c r="G1411" s="8"/>
      <c r="H1411" s="8"/>
      <c r="I1411" s="8"/>
      <c r="J1411" s="8"/>
      <c r="K1411" s="8"/>
      <c r="L1411" s="8"/>
    </row>
    <row r="1412">
      <c r="A1412" s="8"/>
      <c r="B1412" s="8"/>
      <c r="C1412" s="8"/>
      <c r="D1412" s="8"/>
      <c r="E1412" s="71"/>
      <c r="F1412" s="10"/>
      <c r="G1412" s="8"/>
      <c r="H1412" s="8"/>
      <c r="I1412" s="8"/>
      <c r="J1412" s="8"/>
      <c r="K1412" s="8"/>
      <c r="L1412" s="8"/>
    </row>
    <row r="1413">
      <c r="A1413" s="8"/>
      <c r="B1413" s="8"/>
      <c r="C1413" s="8"/>
      <c r="D1413" s="8"/>
      <c r="E1413" s="71"/>
      <c r="F1413" s="10"/>
      <c r="G1413" s="8"/>
      <c r="H1413" s="8"/>
      <c r="I1413" s="8"/>
      <c r="J1413" s="8"/>
      <c r="K1413" s="8"/>
      <c r="L1413" s="8"/>
    </row>
    <row r="1414">
      <c r="A1414" s="8"/>
      <c r="B1414" s="8"/>
      <c r="C1414" s="8"/>
      <c r="D1414" s="8"/>
      <c r="E1414" s="71"/>
      <c r="F1414" s="10"/>
      <c r="G1414" s="8"/>
      <c r="H1414" s="8"/>
      <c r="I1414" s="8"/>
      <c r="J1414" s="8"/>
      <c r="K1414" s="8"/>
      <c r="L1414" s="8"/>
    </row>
    <row r="1415">
      <c r="A1415" s="8"/>
      <c r="B1415" s="8"/>
      <c r="C1415" s="8"/>
      <c r="D1415" s="8"/>
      <c r="E1415" s="71"/>
      <c r="F1415" s="10"/>
      <c r="G1415" s="8"/>
      <c r="H1415" s="8"/>
      <c r="I1415" s="8"/>
      <c r="J1415" s="8"/>
      <c r="K1415" s="8"/>
      <c r="L1415" s="8"/>
    </row>
    <row r="1416">
      <c r="A1416" s="8"/>
      <c r="B1416" s="8"/>
      <c r="C1416" s="8"/>
      <c r="D1416" s="8"/>
      <c r="E1416" s="71"/>
      <c r="F1416" s="10"/>
      <c r="G1416" s="8"/>
      <c r="H1416" s="8"/>
      <c r="I1416" s="8"/>
      <c r="J1416" s="8"/>
      <c r="K1416" s="8"/>
      <c r="L1416" s="8"/>
    </row>
    <row r="1417">
      <c r="A1417" s="8"/>
      <c r="B1417" s="8"/>
      <c r="C1417" s="8"/>
      <c r="D1417" s="8"/>
      <c r="E1417" s="71"/>
      <c r="F1417" s="10"/>
      <c r="G1417" s="8"/>
      <c r="H1417" s="8"/>
      <c r="I1417" s="8"/>
      <c r="J1417" s="8"/>
      <c r="K1417" s="8"/>
      <c r="L1417" s="8"/>
    </row>
    <row r="1418">
      <c r="A1418" s="8"/>
      <c r="B1418" s="8"/>
      <c r="C1418" s="8"/>
      <c r="D1418" s="8"/>
      <c r="E1418" s="71"/>
      <c r="F1418" s="10"/>
      <c r="G1418" s="8"/>
      <c r="H1418" s="8"/>
      <c r="I1418" s="8"/>
      <c r="J1418" s="8"/>
      <c r="K1418" s="8"/>
      <c r="L1418" s="8"/>
    </row>
    <row r="1419">
      <c r="A1419" s="8"/>
      <c r="B1419" s="8"/>
      <c r="C1419" s="8"/>
      <c r="D1419" s="8"/>
      <c r="E1419" s="71"/>
      <c r="F1419" s="10"/>
      <c r="G1419" s="8"/>
      <c r="H1419" s="8"/>
      <c r="I1419" s="8"/>
      <c r="J1419" s="8"/>
      <c r="K1419" s="8"/>
      <c r="L1419" s="8"/>
    </row>
    <row r="1420">
      <c r="A1420" s="8"/>
      <c r="B1420" s="8"/>
      <c r="C1420" s="8"/>
      <c r="D1420" s="8"/>
      <c r="E1420" s="71"/>
      <c r="F1420" s="10"/>
      <c r="G1420" s="8"/>
      <c r="H1420" s="8"/>
      <c r="I1420" s="8"/>
      <c r="J1420" s="8"/>
      <c r="K1420" s="8"/>
      <c r="L1420" s="8"/>
    </row>
    <row r="1421">
      <c r="A1421" s="8"/>
      <c r="B1421" s="8"/>
      <c r="C1421" s="8"/>
      <c r="D1421" s="8"/>
      <c r="E1421" s="71"/>
      <c r="F1421" s="10"/>
      <c r="G1421" s="8"/>
      <c r="H1421" s="8"/>
      <c r="I1421" s="8"/>
      <c r="J1421" s="8"/>
      <c r="K1421" s="8"/>
      <c r="L1421" s="8"/>
    </row>
    <row r="1422">
      <c r="A1422" s="8"/>
      <c r="B1422" s="8"/>
      <c r="C1422" s="8"/>
      <c r="D1422" s="8"/>
      <c r="E1422" s="71"/>
      <c r="F1422" s="10"/>
      <c r="G1422" s="8"/>
      <c r="H1422" s="8"/>
      <c r="I1422" s="8"/>
      <c r="J1422" s="8"/>
      <c r="K1422" s="8"/>
      <c r="L1422" s="8"/>
    </row>
    <row r="1423">
      <c r="A1423" s="8"/>
      <c r="B1423" s="8"/>
      <c r="C1423" s="8"/>
      <c r="D1423" s="8"/>
      <c r="E1423" s="71"/>
      <c r="F1423" s="10"/>
      <c r="G1423" s="8"/>
      <c r="H1423" s="8"/>
      <c r="I1423" s="8"/>
      <c r="J1423" s="8"/>
      <c r="K1423" s="8"/>
      <c r="L1423" s="8"/>
    </row>
    <row r="1424">
      <c r="A1424" s="8"/>
      <c r="B1424" s="8"/>
      <c r="C1424" s="8"/>
      <c r="D1424" s="8"/>
      <c r="E1424" s="71"/>
      <c r="F1424" s="10"/>
      <c r="G1424" s="8"/>
      <c r="H1424" s="8"/>
      <c r="I1424" s="8"/>
      <c r="J1424" s="8"/>
      <c r="K1424" s="8"/>
      <c r="L1424" s="8"/>
    </row>
    <row r="1425">
      <c r="A1425" s="8"/>
      <c r="B1425" s="8"/>
      <c r="C1425" s="8"/>
      <c r="D1425" s="8"/>
      <c r="E1425" s="71"/>
      <c r="F1425" s="10"/>
      <c r="G1425" s="8"/>
      <c r="H1425" s="8"/>
      <c r="I1425" s="8"/>
      <c r="J1425" s="8"/>
      <c r="K1425" s="8"/>
      <c r="L1425" s="8"/>
    </row>
    <row r="1426">
      <c r="A1426" s="8"/>
      <c r="B1426" s="8"/>
      <c r="C1426" s="8"/>
      <c r="D1426" s="8"/>
      <c r="E1426" s="71"/>
      <c r="F1426" s="10"/>
      <c r="G1426" s="8"/>
      <c r="H1426" s="8"/>
      <c r="I1426" s="8"/>
      <c r="J1426" s="8"/>
      <c r="K1426" s="8"/>
      <c r="L1426" s="8"/>
    </row>
    <row r="1427">
      <c r="A1427" s="8"/>
      <c r="B1427" s="8"/>
      <c r="C1427" s="8"/>
      <c r="D1427" s="8"/>
      <c r="E1427" s="71"/>
      <c r="F1427" s="10"/>
      <c r="G1427" s="8"/>
      <c r="H1427" s="8"/>
      <c r="I1427" s="8"/>
      <c r="J1427" s="8"/>
      <c r="K1427" s="8"/>
      <c r="L1427" s="8"/>
    </row>
    <row r="1428">
      <c r="A1428" s="8"/>
      <c r="B1428" s="8"/>
      <c r="C1428" s="8"/>
      <c r="D1428" s="8"/>
      <c r="E1428" s="71"/>
      <c r="F1428" s="10"/>
      <c r="G1428" s="8"/>
      <c r="H1428" s="8"/>
      <c r="I1428" s="8"/>
      <c r="J1428" s="8"/>
      <c r="K1428" s="8"/>
      <c r="L1428" s="8"/>
    </row>
    <row r="1429">
      <c r="A1429" s="8"/>
      <c r="B1429" s="8"/>
      <c r="C1429" s="8"/>
      <c r="D1429" s="8"/>
      <c r="E1429" s="71"/>
      <c r="F1429" s="10"/>
      <c r="G1429" s="8"/>
      <c r="H1429" s="8"/>
      <c r="I1429" s="8"/>
      <c r="J1429" s="8"/>
      <c r="K1429" s="8"/>
      <c r="L1429" s="8"/>
    </row>
    <row r="1430">
      <c r="A1430" s="8"/>
      <c r="B1430" s="8"/>
      <c r="C1430" s="8"/>
      <c r="D1430" s="8"/>
      <c r="E1430" s="71"/>
      <c r="F1430" s="10"/>
      <c r="G1430" s="8"/>
      <c r="H1430" s="8"/>
      <c r="I1430" s="8"/>
      <c r="J1430" s="8"/>
      <c r="K1430" s="8"/>
      <c r="L1430" s="8"/>
    </row>
    <row r="1431">
      <c r="A1431" s="8"/>
      <c r="B1431" s="8"/>
      <c r="C1431" s="8"/>
      <c r="D1431" s="8"/>
      <c r="E1431" s="71"/>
      <c r="F1431" s="10"/>
      <c r="G1431" s="8"/>
      <c r="H1431" s="8"/>
      <c r="I1431" s="8"/>
      <c r="J1431" s="8"/>
      <c r="K1431" s="8"/>
      <c r="L1431" s="8"/>
    </row>
    <row r="1432">
      <c r="A1432" s="8"/>
      <c r="B1432" s="8"/>
      <c r="C1432" s="8"/>
      <c r="D1432" s="8"/>
      <c r="E1432" s="71"/>
      <c r="F1432" s="10"/>
      <c r="G1432" s="8"/>
      <c r="H1432" s="8"/>
      <c r="I1432" s="8"/>
      <c r="J1432" s="8"/>
      <c r="K1432" s="8"/>
      <c r="L1432" s="8"/>
    </row>
    <row r="1433">
      <c r="A1433" s="8"/>
      <c r="B1433" s="8"/>
      <c r="C1433" s="8"/>
      <c r="D1433" s="8"/>
      <c r="E1433" s="71"/>
      <c r="F1433" s="10"/>
      <c r="G1433" s="8"/>
      <c r="H1433" s="8"/>
      <c r="I1433" s="8"/>
      <c r="J1433" s="8"/>
      <c r="K1433" s="8"/>
      <c r="L1433" s="8"/>
    </row>
    <row r="1434">
      <c r="A1434" s="8"/>
      <c r="B1434" s="8"/>
      <c r="C1434" s="8"/>
      <c r="D1434" s="8"/>
      <c r="E1434" s="71"/>
      <c r="F1434" s="10"/>
      <c r="G1434" s="8"/>
      <c r="H1434" s="8"/>
      <c r="I1434" s="8"/>
      <c r="J1434" s="8"/>
      <c r="K1434" s="8"/>
      <c r="L1434" s="8"/>
    </row>
    <row r="1435">
      <c r="A1435" s="8"/>
      <c r="B1435" s="8"/>
      <c r="C1435" s="8"/>
      <c r="D1435" s="8"/>
      <c r="E1435" s="71"/>
      <c r="F1435" s="10"/>
      <c r="G1435" s="8"/>
      <c r="H1435" s="8"/>
      <c r="I1435" s="8"/>
      <c r="J1435" s="8"/>
      <c r="K1435" s="8"/>
      <c r="L1435" s="8"/>
    </row>
    <row r="1436">
      <c r="A1436" s="8"/>
      <c r="B1436" s="8"/>
      <c r="C1436" s="8"/>
      <c r="D1436" s="8"/>
      <c r="E1436" s="71"/>
      <c r="F1436" s="10"/>
      <c r="G1436" s="8"/>
      <c r="H1436" s="8"/>
      <c r="I1436" s="8"/>
      <c r="J1436" s="8"/>
      <c r="K1436" s="8"/>
      <c r="L1436" s="8"/>
    </row>
    <row r="1437">
      <c r="A1437" s="8"/>
      <c r="B1437" s="8"/>
      <c r="C1437" s="8"/>
      <c r="D1437" s="8"/>
      <c r="E1437" s="71"/>
      <c r="F1437" s="10"/>
      <c r="G1437" s="8"/>
      <c r="H1437" s="8"/>
      <c r="I1437" s="8"/>
      <c r="J1437" s="8"/>
      <c r="K1437" s="8"/>
      <c r="L1437" s="8"/>
    </row>
    <row r="1438">
      <c r="A1438" s="8"/>
      <c r="B1438" s="8"/>
      <c r="C1438" s="8"/>
      <c r="D1438" s="8"/>
      <c r="E1438" s="71"/>
      <c r="F1438" s="10"/>
      <c r="G1438" s="8"/>
      <c r="H1438" s="8"/>
      <c r="I1438" s="8"/>
      <c r="J1438" s="8"/>
      <c r="K1438" s="8"/>
      <c r="L1438" s="8"/>
    </row>
    <row r="1439">
      <c r="A1439" s="8"/>
      <c r="B1439" s="8"/>
      <c r="C1439" s="8"/>
      <c r="D1439" s="8"/>
      <c r="E1439" s="71"/>
      <c r="F1439" s="10"/>
      <c r="G1439" s="8"/>
      <c r="H1439" s="8"/>
      <c r="I1439" s="8"/>
      <c r="J1439" s="8"/>
      <c r="K1439" s="8"/>
      <c r="L1439" s="8"/>
    </row>
    <row r="1440">
      <c r="A1440" s="8"/>
      <c r="B1440" s="8"/>
      <c r="C1440" s="8"/>
      <c r="D1440" s="8"/>
      <c r="E1440" s="71"/>
      <c r="F1440" s="10"/>
      <c r="G1440" s="8"/>
      <c r="H1440" s="8"/>
      <c r="I1440" s="8"/>
      <c r="J1440" s="8"/>
      <c r="K1440" s="8"/>
      <c r="L1440" s="8"/>
    </row>
    <row r="1441">
      <c r="A1441" s="8"/>
      <c r="B1441" s="8"/>
      <c r="C1441" s="8"/>
      <c r="D1441" s="8"/>
      <c r="E1441" s="71"/>
      <c r="F1441" s="10"/>
      <c r="G1441" s="8"/>
      <c r="H1441" s="8"/>
      <c r="I1441" s="8"/>
      <c r="J1441" s="8"/>
      <c r="K1441" s="8"/>
      <c r="L1441" s="8"/>
    </row>
    <row r="1442">
      <c r="A1442" s="8"/>
      <c r="B1442" s="8"/>
      <c r="C1442" s="8"/>
      <c r="D1442" s="8"/>
      <c r="E1442" s="71"/>
      <c r="F1442" s="10"/>
      <c r="G1442" s="8"/>
      <c r="H1442" s="8"/>
      <c r="I1442" s="8"/>
      <c r="J1442" s="8"/>
      <c r="K1442" s="8"/>
      <c r="L1442" s="8"/>
    </row>
    <row r="1443">
      <c r="A1443" s="8"/>
      <c r="B1443" s="8"/>
      <c r="C1443" s="8"/>
      <c r="D1443" s="8"/>
      <c r="E1443" s="71"/>
      <c r="F1443" s="10"/>
      <c r="G1443" s="8"/>
      <c r="H1443" s="8"/>
      <c r="I1443" s="8"/>
      <c r="J1443" s="8"/>
      <c r="K1443" s="8"/>
      <c r="L1443" s="8"/>
    </row>
    <row r="1444">
      <c r="A1444" s="8"/>
      <c r="B1444" s="8"/>
      <c r="C1444" s="8"/>
      <c r="D1444" s="8"/>
      <c r="E1444" s="71"/>
      <c r="F1444" s="10"/>
      <c r="G1444" s="8"/>
      <c r="H1444" s="8"/>
      <c r="I1444" s="8"/>
      <c r="J1444" s="8"/>
      <c r="K1444" s="8"/>
      <c r="L1444" s="8"/>
    </row>
    <row r="1445">
      <c r="A1445" s="8"/>
      <c r="B1445" s="8"/>
      <c r="C1445" s="8"/>
      <c r="D1445" s="8"/>
      <c r="E1445" s="71"/>
      <c r="F1445" s="10"/>
      <c r="G1445" s="8"/>
      <c r="H1445" s="8"/>
      <c r="I1445" s="8"/>
      <c r="J1445" s="8"/>
      <c r="K1445" s="8"/>
      <c r="L1445" s="8"/>
    </row>
    <row r="1446">
      <c r="A1446" s="8"/>
      <c r="B1446" s="8"/>
      <c r="C1446" s="8"/>
      <c r="D1446" s="8"/>
      <c r="E1446" s="71"/>
      <c r="F1446" s="10"/>
      <c r="G1446" s="8"/>
      <c r="H1446" s="8"/>
      <c r="I1446" s="8"/>
      <c r="J1446" s="8"/>
      <c r="K1446" s="8"/>
      <c r="L1446" s="8"/>
    </row>
    <row r="1447">
      <c r="A1447" s="8"/>
      <c r="B1447" s="8"/>
      <c r="C1447" s="8"/>
      <c r="D1447" s="8"/>
      <c r="E1447" s="71"/>
      <c r="F1447" s="10"/>
      <c r="G1447" s="8"/>
      <c r="H1447" s="8"/>
      <c r="I1447" s="8"/>
      <c r="J1447" s="8"/>
      <c r="K1447" s="8"/>
      <c r="L1447" s="8"/>
    </row>
    <row r="1448">
      <c r="A1448" s="8"/>
      <c r="B1448" s="8"/>
      <c r="C1448" s="8"/>
      <c r="D1448" s="8"/>
      <c r="E1448" s="71"/>
      <c r="F1448" s="10"/>
      <c r="G1448" s="8"/>
      <c r="H1448" s="8"/>
      <c r="I1448" s="8"/>
      <c r="J1448" s="8"/>
      <c r="K1448" s="8"/>
      <c r="L1448" s="8"/>
    </row>
    <row r="1449">
      <c r="A1449" s="8"/>
      <c r="B1449" s="8"/>
      <c r="C1449" s="8"/>
      <c r="D1449" s="8"/>
      <c r="E1449" s="71"/>
      <c r="F1449" s="10"/>
      <c r="G1449" s="8"/>
      <c r="H1449" s="8"/>
      <c r="I1449" s="8"/>
      <c r="J1449" s="8"/>
      <c r="K1449" s="8"/>
      <c r="L1449" s="8"/>
    </row>
    <row r="1450">
      <c r="A1450" s="8"/>
      <c r="B1450" s="8"/>
      <c r="C1450" s="8"/>
      <c r="D1450" s="8"/>
      <c r="E1450" s="71"/>
      <c r="F1450" s="10"/>
      <c r="G1450" s="8"/>
      <c r="H1450" s="8"/>
      <c r="I1450" s="8"/>
      <c r="J1450" s="8"/>
      <c r="K1450" s="8"/>
      <c r="L1450" s="8"/>
    </row>
    <row r="1451">
      <c r="A1451" s="8"/>
      <c r="B1451" s="8"/>
      <c r="C1451" s="8"/>
      <c r="D1451" s="8"/>
      <c r="E1451" s="71"/>
      <c r="F1451" s="10"/>
      <c r="G1451" s="8"/>
      <c r="H1451" s="8"/>
      <c r="I1451" s="8"/>
      <c r="J1451" s="8"/>
      <c r="K1451" s="8"/>
      <c r="L1451" s="8"/>
    </row>
    <row r="1452">
      <c r="A1452" s="8"/>
      <c r="B1452" s="8"/>
      <c r="C1452" s="8"/>
      <c r="D1452" s="8"/>
      <c r="E1452" s="71"/>
      <c r="F1452" s="10"/>
      <c r="G1452" s="8"/>
      <c r="H1452" s="8"/>
      <c r="I1452" s="8"/>
      <c r="J1452" s="8"/>
      <c r="K1452" s="8"/>
      <c r="L1452" s="8"/>
    </row>
    <row r="1453">
      <c r="A1453" s="8"/>
      <c r="B1453" s="8"/>
      <c r="C1453" s="8"/>
      <c r="D1453" s="8"/>
      <c r="E1453" s="71"/>
      <c r="F1453" s="10"/>
      <c r="G1453" s="8"/>
      <c r="H1453" s="8"/>
      <c r="I1453" s="8"/>
      <c r="J1453" s="8"/>
      <c r="K1453" s="8"/>
      <c r="L1453" s="8"/>
    </row>
    <row r="1454">
      <c r="A1454" s="8"/>
      <c r="B1454" s="8"/>
      <c r="C1454" s="8"/>
      <c r="D1454" s="8"/>
      <c r="E1454" s="71"/>
      <c r="F1454" s="10"/>
      <c r="G1454" s="8"/>
      <c r="H1454" s="8"/>
      <c r="I1454" s="8"/>
      <c r="J1454" s="8"/>
      <c r="K1454" s="8"/>
      <c r="L1454" s="8"/>
    </row>
    <row r="1455">
      <c r="A1455" s="8"/>
      <c r="B1455" s="8"/>
      <c r="C1455" s="8"/>
      <c r="D1455" s="8"/>
      <c r="E1455" s="71"/>
      <c r="F1455" s="10"/>
      <c r="G1455" s="8"/>
      <c r="H1455" s="8"/>
      <c r="I1455" s="8"/>
      <c r="J1455" s="8"/>
      <c r="K1455" s="8"/>
      <c r="L1455" s="8"/>
    </row>
    <row r="1456">
      <c r="A1456" s="8"/>
      <c r="B1456" s="8"/>
      <c r="C1456" s="8"/>
      <c r="D1456" s="8"/>
      <c r="E1456" s="71"/>
      <c r="F1456" s="10"/>
      <c r="G1456" s="8"/>
      <c r="H1456" s="8"/>
      <c r="I1456" s="8"/>
      <c r="J1456" s="8"/>
      <c r="K1456" s="8"/>
      <c r="L1456" s="8"/>
    </row>
    <row r="1457">
      <c r="A1457" s="8"/>
      <c r="B1457" s="8"/>
      <c r="C1457" s="8"/>
      <c r="D1457" s="8"/>
      <c r="E1457" s="71"/>
      <c r="F1457" s="10"/>
      <c r="G1457" s="8"/>
      <c r="H1457" s="8"/>
      <c r="I1457" s="8"/>
      <c r="J1457" s="8"/>
      <c r="K1457" s="8"/>
      <c r="L1457" s="8"/>
    </row>
    <row r="1458">
      <c r="A1458" s="8"/>
      <c r="B1458" s="8"/>
      <c r="C1458" s="8"/>
      <c r="D1458" s="8"/>
      <c r="E1458" s="71"/>
      <c r="F1458" s="10"/>
      <c r="G1458" s="8"/>
      <c r="H1458" s="8"/>
      <c r="I1458" s="8"/>
      <c r="J1458" s="8"/>
      <c r="K1458" s="8"/>
      <c r="L1458" s="8"/>
    </row>
    <row r="1459">
      <c r="A1459" s="8"/>
      <c r="B1459" s="8"/>
      <c r="C1459" s="8"/>
      <c r="D1459" s="8"/>
      <c r="E1459" s="71"/>
      <c r="F1459" s="10"/>
      <c r="G1459" s="8"/>
      <c r="H1459" s="8"/>
      <c r="I1459" s="8"/>
      <c r="J1459" s="8"/>
      <c r="K1459" s="8"/>
      <c r="L1459" s="8"/>
    </row>
    <row r="1460">
      <c r="A1460" s="8"/>
      <c r="B1460" s="8"/>
      <c r="C1460" s="8"/>
      <c r="D1460" s="8"/>
      <c r="E1460" s="71"/>
      <c r="F1460" s="10"/>
      <c r="G1460" s="8"/>
      <c r="H1460" s="8"/>
      <c r="I1460" s="8"/>
      <c r="J1460" s="8"/>
      <c r="K1460" s="8"/>
      <c r="L1460" s="8"/>
    </row>
    <row r="1461">
      <c r="A1461" s="8"/>
      <c r="B1461" s="8"/>
      <c r="C1461" s="8"/>
      <c r="D1461" s="8"/>
      <c r="E1461" s="71"/>
      <c r="F1461" s="10"/>
      <c r="G1461" s="8"/>
      <c r="H1461" s="8"/>
      <c r="I1461" s="8"/>
      <c r="J1461" s="8"/>
      <c r="K1461" s="8"/>
      <c r="L1461" s="8"/>
    </row>
    <row r="1462">
      <c r="A1462" s="8"/>
      <c r="B1462" s="8"/>
      <c r="C1462" s="8"/>
      <c r="D1462" s="8"/>
      <c r="E1462" s="71"/>
      <c r="F1462" s="10"/>
      <c r="G1462" s="8"/>
      <c r="H1462" s="8"/>
      <c r="I1462" s="8"/>
      <c r="J1462" s="8"/>
      <c r="K1462" s="8"/>
      <c r="L1462" s="8"/>
    </row>
    <row r="1463">
      <c r="A1463" s="8"/>
      <c r="B1463" s="8"/>
      <c r="C1463" s="8"/>
      <c r="D1463" s="8"/>
      <c r="E1463" s="71"/>
      <c r="F1463" s="10"/>
      <c r="G1463" s="8"/>
      <c r="H1463" s="8"/>
      <c r="I1463" s="8"/>
      <c r="J1463" s="8"/>
      <c r="K1463" s="8"/>
      <c r="L1463" s="8"/>
    </row>
    <row r="1464">
      <c r="A1464" s="8"/>
      <c r="B1464" s="8"/>
      <c r="C1464" s="8"/>
      <c r="D1464" s="8"/>
      <c r="E1464" s="71"/>
      <c r="F1464" s="10"/>
      <c r="G1464" s="8"/>
      <c r="H1464" s="8"/>
      <c r="I1464" s="8"/>
      <c r="J1464" s="8"/>
      <c r="K1464" s="8"/>
      <c r="L1464" s="8"/>
    </row>
    <row r="1465">
      <c r="A1465" s="8"/>
      <c r="B1465" s="8"/>
      <c r="C1465" s="8"/>
      <c r="D1465" s="8"/>
      <c r="E1465" s="71"/>
      <c r="F1465" s="10"/>
      <c r="G1465" s="8"/>
      <c r="H1465" s="8"/>
      <c r="I1465" s="8"/>
      <c r="J1465" s="8"/>
      <c r="K1465" s="8"/>
      <c r="L1465" s="8"/>
    </row>
    <row r="1466">
      <c r="A1466" s="8"/>
      <c r="B1466" s="8"/>
      <c r="C1466" s="8"/>
      <c r="D1466" s="8"/>
      <c r="E1466" s="71"/>
      <c r="F1466" s="10"/>
      <c r="G1466" s="8"/>
      <c r="H1466" s="8"/>
      <c r="I1466" s="8"/>
      <c r="J1466" s="8"/>
      <c r="K1466" s="8"/>
      <c r="L1466" s="8"/>
    </row>
    <row r="1467">
      <c r="A1467" s="8"/>
      <c r="B1467" s="8"/>
      <c r="C1467" s="8"/>
      <c r="D1467" s="8"/>
      <c r="E1467" s="71"/>
      <c r="F1467" s="10"/>
      <c r="G1467" s="8"/>
      <c r="H1467" s="8"/>
      <c r="I1467" s="8"/>
      <c r="J1467" s="8"/>
      <c r="K1467" s="8"/>
      <c r="L1467" s="8"/>
    </row>
    <row r="1468">
      <c r="A1468" s="8"/>
      <c r="B1468" s="8"/>
      <c r="C1468" s="8"/>
      <c r="D1468" s="8"/>
      <c r="E1468" s="71"/>
      <c r="F1468" s="10"/>
      <c r="G1468" s="8"/>
      <c r="H1468" s="8"/>
      <c r="I1468" s="8"/>
      <c r="J1468" s="8"/>
      <c r="K1468" s="8"/>
      <c r="L1468" s="8"/>
    </row>
    <row r="1469">
      <c r="A1469" s="8"/>
      <c r="B1469" s="8"/>
      <c r="C1469" s="8"/>
      <c r="D1469" s="8"/>
      <c r="E1469" s="71"/>
      <c r="F1469" s="10"/>
      <c r="G1469" s="8"/>
      <c r="H1469" s="8"/>
      <c r="I1469" s="8"/>
      <c r="J1469" s="8"/>
      <c r="K1469" s="8"/>
      <c r="L1469" s="8"/>
    </row>
    <row r="1470">
      <c r="A1470" s="8"/>
      <c r="B1470" s="8"/>
      <c r="C1470" s="8"/>
      <c r="D1470" s="8"/>
      <c r="E1470" s="71"/>
      <c r="F1470" s="10"/>
      <c r="G1470" s="8"/>
      <c r="H1470" s="8"/>
      <c r="I1470" s="8"/>
      <c r="J1470" s="8"/>
      <c r="K1470" s="8"/>
      <c r="L1470" s="8"/>
    </row>
    <row r="1471">
      <c r="A1471" s="8"/>
      <c r="B1471" s="8"/>
      <c r="C1471" s="8"/>
      <c r="D1471" s="8"/>
      <c r="E1471" s="71"/>
      <c r="F1471" s="10"/>
      <c r="G1471" s="8"/>
      <c r="H1471" s="8"/>
      <c r="I1471" s="8"/>
      <c r="J1471" s="8"/>
      <c r="K1471" s="8"/>
      <c r="L1471" s="8"/>
    </row>
    <row r="1472">
      <c r="A1472" s="8"/>
      <c r="B1472" s="8"/>
      <c r="C1472" s="8"/>
      <c r="D1472" s="8"/>
      <c r="E1472" s="71"/>
      <c r="F1472" s="10"/>
      <c r="G1472" s="8"/>
      <c r="H1472" s="8"/>
      <c r="I1472" s="8"/>
      <c r="J1472" s="8"/>
      <c r="K1472" s="8"/>
      <c r="L1472" s="8"/>
    </row>
    <row r="1473">
      <c r="A1473" s="8"/>
      <c r="B1473" s="8"/>
      <c r="C1473" s="8"/>
      <c r="D1473" s="8"/>
      <c r="E1473" s="71"/>
      <c r="F1473" s="10"/>
      <c r="G1473" s="8"/>
      <c r="H1473" s="8"/>
      <c r="I1473" s="8"/>
      <c r="J1473" s="8"/>
      <c r="K1473" s="8"/>
      <c r="L1473" s="8"/>
    </row>
    <row r="1474">
      <c r="A1474" s="8"/>
      <c r="B1474" s="8"/>
      <c r="C1474" s="8"/>
      <c r="D1474" s="8"/>
      <c r="E1474" s="71"/>
      <c r="F1474" s="10"/>
      <c r="G1474" s="8"/>
      <c r="H1474" s="8"/>
      <c r="I1474" s="8"/>
      <c r="J1474" s="8"/>
      <c r="K1474" s="8"/>
      <c r="L1474" s="8"/>
    </row>
    <row r="1475">
      <c r="A1475" s="8"/>
      <c r="B1475" s="8"/>
      <c r="C1475" s="8"/>
      <c r="D1475" s="8"/>
      <c r="E1475" s="71"/>
      <c r="F1475" s="10"/>
      <c r="G1475" s="8"/>
      <c r="H1475" s="8"/>
      <c r="I1475" s="8"/>
      <c r="J1475" s="8"/>
      <c r="K1475" s="8"/>
      <c r="L1475" s="8"/>
    </row>
    <row r="1476">
      <c r="A1476" s="8"/>
      <c r="B1476" s="8"/>
      <c r="C1476" s="8"/>
      <c r="D1476" s="8"/>
      <c r="E1476" s="71"/>
      <c r="F1476" s="10"/>
      <c r="G1476" s="8"/>
      <c r="H1476" s="8"/>
      <c r="I1476" s="8"/>
      <c r="J1476" s="8"/>
      <c r="K1476" s="8"/>
      <c r="L1476" s="8"/>
    </row>
    <row r="1477">
      <c r="A1477" s="8"/>
      <c r="B1477" s="8"/>
      <c r="C1477" s="8"/>
      <c r="D1477" s="8"/>
      <c r="E1477" s="71"/>
      <c r="F1477" s="10"/>
      <c r="G1477" s="8"/>
      <c r="H1477" s="8"/>
      <c r="I1477" s="8"/>
      <c r="J1477" s="8"/>
      <c r="K1477" s="8"/>
      <c r="L1477" s="8"/>
    </row>
    <row r="1478">
      <c r="A1478" s="8"/>
      <c r="B1478" s="8"/>
      <c r="C1478" s="8"/>
      <c r="D1478" s="8"/>
      <c r="E1478" s="71"/>
      <c r="F1478" s="10"/>
      <c r="G1478" s="8"/>
      <c r="H1478" s="8"/>
      <c r="I1478" s="8"/>
      <c r="J1478" s="8"/>
      <c r="K1478" s="8"/>
      <c r="L1478" s="8"/>
    </row>
    <row r="1479">
      <c r="A1479" s="8"/>
      <c r="B1479" s="8"/>
      <c r="C1479" s="8"/>
      <c r="D1479" s="8"/>
      <c r="E1479" s="71"/>
      <c r="F1479" s="10"/>
      <c r="G1479" s="8"/>
      <c r="H1479" s="8"/>
      <c r="I1479" s="8"/>
      <c r="J1479" s="8"/>
      <c r="K1479" s="8"/>
      <c r="L1479" s="8"/>
    </row>
    <row r="1480">
      <c r="A1480" s="8"/>
      <c r="B1480" s="8"/>
      <c r="C1480" s="8"/>
      <c r="D1480" s="8"/>
      <c r="E1480" s="71"/>
      <c r="F1480" s="10"/>
      <c r="G1480" s="8"/>
      <c r="H1480" s="8"/>
      <c r="I1480" s="8"/>
      <c r="J1480" s="8"/>
      <c r="K1480" s="8"/>
      <c r="L1480" s="8"/>
    </row>
    <row r="1481">
      <c r="A1481" s="8"/>
      <c r="B1481" s="8"/>
      <c r="C1481" s="8"/>
      <c r="D1481" s="8"/>
      <c r="E1481" s="71"/>
      <c r="F1481" s="10"/>
      <c r="G1481" s="8"/>
      <c r="H1481" s="8"/>
      <c r="I1481" s="8"/>
      <c r="J1481" s="8"/>
      <c r="K1481" s="8"/>
      <c r="L1481" s="8"/>
    </row>
    <row r="1482">
      <c r="A1482" s="8"/>
      <c r="B1482" s="8"/>
      <c r="C1482" s="8"/>
      <c r="D1482" s="8"/>
      <c r="E1482" s="71"/>
      <c r="F1482" s="10"/>
      <c r="G1482" s="8"/>
      <c r="H1482" s="8"/>
      <c r="I1482" s="8"/>
      <c r="J1482" s="8"/>
      <c r="K1482" s="8"/>
      <c r="L1482" s="8"/>
    </row>
    <row r="1483">
      <c r="A1483" s="8"/>
      <c r="B1483" s="8"/>
      <c r="C1483" s="8"/>
      <c r="D1483" s="8"/>
      <c r="E1483" s="71"/>
      <c r="F1483" s="10"/>
      <c r="G1483" s="8"/>
      <c r="H1483" s="8"/>
      <c r="I1483" s="8"/>
      <c r="J1483" s="8"/>
      <c r="K1483" s="8"/>
      <c r="L1483" s="8"/>
    </row>
    <row r="1484">
      <c r="A1484" s="8"/>
      <c r="B1484" s="8"/>
      <c r="C1484" s="8"/>
      <c r="D1484" s="8"/>
      <c r="E1484" s="71"/>
      <c r="F1484" s="10"/>
      <c r="G1484" s="8"/>
      <c r="H1484" s="8"/>
      <c r="I1484" s="8"/>
      <c r="J1484" s="8"/>
      <c r="K1484" s="8"/>
      <c r="L1484" s="8"/>
    </row>
    <row r="1485">
      <c r="A1485" s="8"/>
      <c r="B1485" s="8"/>
      <c r="C1485" s="8"/>
      <c r="D1485" s="8"/>
      <c r="E1485" s="71"/>
      <c r="F1485" s="10"/>
      <c r="G1485" s="8"/>
      <c r="H1485" s="8"/>
      <c r="I1485" s="8"/>
      <c r="J1485" s="8"/>
      <c r="K1485" s="8"/>
      <c r="L1485" s="8"/>
    </row>
    <row r="1486">
      <c r="A1486" s="8"/>
      <c r="B1486" s="8"/>
      <c r="C1486" s="8"/>
      <c r="D1486" s="8"/>
      <c r="E1486" s="71"/>
      <c r="F1486" s="10"/>
      <c r="G1486" s="8"/>
      <c r="H1486" s="8"/>
      <c r="I1486" s="8"/>
      <c r="J1486" s="8"/>
      <c r="K1486" s="8"/>
      <c r="L1486" s="8"/>
    </row>
    <row r="1487">
      <c r="A1487" s="8"/>
      <c r="B1487" s="8"/>
      <c r="C1487" s="8"/>
      <c r="D1487" s="8"/>
      <c r="E1487" s="71"/>
      <c r="F1487" s="10"/>
      <c r="G1487" s="8"/>
      <c r="H1487" s="8"/>
      <c r="I1487" s="8"/>
      <c r="J1487" s="8"/>
      <c r="K1487" s="8"/>
      <c r="L1487" s="8"/>
    </row>
    <row r="1488">
      <c r="A1488" s="8"/>
      <c r="B1488" s="8"/>
      <c r="C1488" s="8"/>
      <c r="D1488" s="8"/>
      <c r="E1488" s="71"/>
      <c r="F1488" s="10"/>
      <c r="G1488" s="8"/>
      <c r="H1488" s="8"/>
      <c r="I1488" s="8"/>
      <c r="J1488" s="8"/>
      <c r="K1488" s="8"/>
      <c r="L1488" s="8"/>
    </row>
    <row r="1489">
      <c r="A1489" s="8"/>
      <c r="B1489" s="8"/>
      <c r="C1489" s="8"/>
      <c r="D1489" s="8"/>
      <c r="E1489" s="71"/>
      <c r="F1489" s="10"/>
      <c r="G1489" s="8"/>
      <c r="H1489" s="8"/>
      <c r="I1489" s="8"/>
      <c r="J1489" s="8"/>
      <c r="K1489" s="8"/>
      <c r="L1489" s="8"/>
    </row>
    <row r="1490">
      <c r="A1490" s="8"/>
      <c r="B1490" s="8"/>
      <c r="C1490" s="8"/>
      <c r="D1490" s="8"/>
      <c r="E1490" s="71"/>
      <c r="F1490" s="10"/>
      <c r="G1490" s="8"/>
      <c r="H1490" s="8"/>
      <c r="I1490" s="8"/>
      <c r="J1490" s="8"/>
      <c r="K1490" s="8"/>
      <c r="L1490" s="8"/>
    </row>
    <row r="1491">
      <c r="A1491" s="8"/>
      <c r="B1491" s="8"/>
      <c r="C1491" s="8"/>
      <c r="D1491" s="8"/>
      <c r="E1491" s="71"/>
      <c r="F1491" s="10"/>
      <c r="G1491" s="8"/>
      <c r="H1491" s="8"/>
      <c r="I1491" s="8"/>
      <c r="J1491" s="8"/>
      <c r="K1491" s="8"/>
      <c r="L1491" s="8"/>
    </row>
    <row r="1492">
      <c r="A1492" s="8"/>
      <c r="B1492" s="8"/>
      <c r="C1492" s="8"/>
      <c r="D1492" s="8"/>
      <c r="E1492" s="71"/>
      <c r="F1492" s="10"/>
      <c r="G1492" s="8"/>
      <c r="H1492" s="8"/>
      <c r="I1492" s="8"/>
      <c r="J1492" s="8"/>
      <c r="K1492" s="8"/>
      <c r="L1492" s="8"/>
    </row>
    <row r="1493">
      <c r="A1493" s="8"/>
      <c r="B1493" s="8"/>
      <c r="C1493" s="8"/>
      <c r="D1493" s="8"/>
      <c r="E1493" s="71"/>
      <c r="F1493" s="10"/>
      <c r="G1493" s="8"/>
      <c r="H1493" s="8"/>
      <c r="I1493" s="8"/>
      <c r="J1493" s="8"/>
      <c r="K1493" s="8"/>
      <c r="L1493" s="8"/>
    </row>
    <row r="1494">
      <c r="A1494" s="8"/>
      <c r="B1494" s="8"/>
      <c r="C1494" s="8"/>
      <c r="D1494" s="8"/>
      <c r="E1494" s="71"/>
      <c r="F1494" s="10"/>
      <c r="G1494" s="8"/>
      <c r="H1494" s="8"/>
      <c r="I1494" s="8"/>
      <c r="J1494" s="8"/>
      <c r="K1494" s="8"/>
      <c r="L1494" s="8"/>
    </row>
    <row r="1495">
      <c r="A1495" s="8"/>
      <c r="B1495" s="8"/>
      <c r="C1495" s="8"/>
      <c r="D1495" s="8"/>
      <c r="E1495" s="71"/>
      <c r="F1495" s="10"/>
      <c r="G1495" s="8"/>
      <c r="H1495" s="8"/>
      <c r="I1495" s="8"/>
      <c r="J1495" s="8"/>
      <c r="K1495" s="8"/>
      <c r="L1495" s="8"/>
    </row>
    <row r="1496">
      <c r="A1496" s="8"/>
      <c r="B1496" s="8"/>
      <c r="C1496" s="8"/>
      <c r="D1496" s="8"/>
      <c r="E1496" s="71"/>
      <c r="F1496" s="10"/>
      <c r="G1496" s="8"/>
      <c r="H1496" s="8"/>
      <c r="I1496" s="8"/>
      <c r="J1496" s="8"/>
      <c r="K1496" s="8"/>
      <c r="L1496" s="8"/>
    </row>
    <row r="1497">
      <c r="A1497" s="8"/>
      <c r="B1497" s="8"/>
      <c r="C1497" s="8"/>
      <c r="D1497" s="8"/>
      <c r="E1497" s="71"/>
      <c r="F1497" s="10"/>
      <c r="G1497" s="8"/>
      <c r="H1497" s="8"/>
      <c r="I1497" s="8"/>
      <c r="J1497" s="8"/>
      <c r="K1497" s="8"/>
      <c r="L1497" s="8"/>
    </row>
    <row r="1498">
      <c r="A1498" s="8"/>
      <c r="B1498" s="8"/>
      <c r="C1498" s="8"/>
      <c r="D1498" s="8"/>
      <c r="E1498" s="71"/>
      <c r="F1498" s="10"/>
      <c r="G1498" s="8"/>
      <c r="H1498" s="8"/>
      <c r="I1498" s="8"/>
      <c r="J1498" s="8"/>
      <c r="K1498" s="8"/>
      <c r="L1498" s="8"/>
    </row>
    <row r="1499">
      <c r="A1499" s="8"/>
      <c r="B1499" s="8"/>
      <c r="C1499" s="8"/>
      <c r="D1499" s="8"/>
      <c r="E1499" s="71"/>
      <c r="F1499" s="10"/>
      <c r="G1499" s="8"/>
      <c r="H1499" s="8"/>
      <c r="I1499" s="8"/>
      <c r="J1499" s="8"/>
      <c r="K1499" s="8"/>
      <c r="L1499" s="8"/>
    </row>
    <row r="1500">
      <c r="A1500" s="8"/>
      <c r="B1500" s="8"/>
      <c r="C1500" s="8"/>
      <c r="D1500" s="8"/>
      <c r="E1500" s="71"/>
      <c r="F1500" s="10"/>
      <c r="G1500" s="8"/>
      <c r="H1500" s="8"/>
      <c r="I1500" s="8"/>
      <c r="J1500" s="8"/>
      <c r="K1500" s="8"/>
      <c r="L1500" s="8"/>
    </row>
    <row r="1501">
      <c r="A1501" s="8"/>
      <c r="B1501" s="8"/>
      <c r="C1501" s="8"/>
      <c r="D1501" s="8"/>
      <c r="E1501" s="71"/>
      <c r="F1501" s="10"/>
      <c r="G1501" s="8"/>
      <c r="H1501" s="8"/>
      <c r="I1501" s="8"/>
      <c r="J1501" s="8"/>
      <c r="K1501" s="8"/>
      <c r="L1501" s="8"/>
    </row>
    <row r="1502">
      <c r="A1502" s="8"/>
      <c r="B1502" s="8"/>
      <c r="C1502" s="8"/>
      <c r="D1502" s="8"/>
      <c r="E1502" s="71"/>
      <c r="F1502" s="10"/>
      <c r="G1502" s="8"/>
      <c r="H1502" s="8"/>
      <c r="I1502" s="8"/>
      <c r="J1502" s="8"/>
      <c r="K1502" s="8"/>
      <c r="L1502" s="8"/>
    </row>
    <row r="1503">
      <c r="A1503" s="8"/>
      <c r="B1503" s="8"/>
      <c r="C1503" s="8"/>
      <c r="D1503" s="8"/>
      <c r="E1503" s="71"/>
      <c r="F1503" s="10"/>
      <c r="G1503" s="8"/>
      <c r="H1503" s="8"/>
      <c r="I1503" s="8"/>
      <c r="J1503" s="8"/>
      <c r="K1503" s="8"/>
      <c r="L1503" s="8"/>
    </row>
    <row r="1504">
      <c r="A1504" s="8"/>
      <c r="B1504" s="8"/>
      <c r="C1504" s="8"/>
      <c r="D1504" s="8"/>
      <c r="E1504" s="71"/>
      <c r="F1504" s="10"/>
      <c r="G1504" s="8"/>
      <c r="H1504" s="8"/>
      <c r="I1504" s="8"/>
      <c r="J1504" s="8"/>
      <c r="K1504" s="8"/>
      <c r="L1504" s="8"/>
    </row>
    <row r="1505">
      <c r="A1505" s="8"/>
      <c r="B1505" s="8"/>
      <c r="C1505" s="8"/>
      <c r="D1505" s="8"/>
      <c r="E1505" s="71"/>
      <c r="F1505" s="10"/>
      <c r="G1505" s="8"/>
      <c r="H1505" s="8"/>
      <c r="I1505" s="8"/>
      <c r="J1505" s="8"/>
      <c r="K1505" s="8"/>
      <c r="L1505" s="8"/>
    </row>
    <row r="1506">
      <c r="A1506" s="8"/>
      <c r="B1506" s="8"/>
      <c r="C1506" s="8"/>
      <c r="D1506" s="8"/>
      <c r="E1506" s="71"/>
      <c r="F1506" s="10"/>
      <c r="G1506" s="8"/>
      <c r="H1506" s="8"/>
      <c r="I1506" s="8"/>
      <c r="J1506" s="8"/>
      <c r="K1506" s="8"/>
      <c r="L1506" s="8"/>
    </row>
    <row r="1507">
      <c r="A1507" s="8"/>
      <c r="B1507" s="8"/>
      <c r="C1507" s="8"/>
      <c r="D1507" s="8"/>
      <c r="E1507" s="71"/>
      <c r="F1507" s="10"/>
      <c r="G1507" s="8"/>
      <c r="H1507" s="8"/>
      <c r="I1507" s="8"/>
      <c r="J1507" s="8"/>
      <c r="K1507" s="8"/>
      <c r="L1507" s="8"/>
    </row>
    <row r="1508">
      <c r="A1508" s="8"/>
      <c r="B1508" s="8"/>
      <c r="C1508" s="8"/>
      <c r="D1508" s="8"/>
      <c r="E1508" s="71"/>
      <c r="F1508" s="10"/>
      <c r="G1508" s="8"/>
      <c r="H1508" s="8"/>
      <c r="I1508" s="8"/>
      <c r="J1508" s="8"/>
      <c r="K1508" s="8"/>
      <c r="L1508" s="8"/>
    </row>
    <row r="1509">
      <c r="A1509" s="8"/>
      <c r="B1509" s="8"/>
      <c r="C1509" s="8"/>
      <c r="D1509" s="8"/>
      <c r="E1509" s="71"/>
      <c r="F1509" s="10"/>
      <c r="G1509" s="8"/>
      <c r="H1509" s="8"/>
      <c r="I1509" s="8"/>
      <c r="J1509" s="8"/>
      <c r="K1509" s="8"/>
      <c r="L1509" s="8"/>
    </row>
    <row r="1510">
      <c r="A1510" s="8"/>
      <c r="B1510" s="8"/>
      <c r="C1510" s="8"/>
      <c r="D1510" s="8"/>
      <c r="E1510" s="71"/>
      <c r="F1510" s="10"/>
      <c r="G1510" s="8"/>
      <c r="H1510" s="8"/>
      <c r="I1510" s="8"/>
      <c r="J1510" s="8"/>
      <c r="K1510" s="8"/>
      <c r="L1510" s="8"/>
    </row>
    <row r="1511">
      <c r="A1511" s="8"/>
      <c r="B1511" s="8"/>
      <c r="C1511" s="8"/>
      <c r="D1511" s="8"/>
      <c r="E1511" s="71"/>
      <c r="F1511" s="10"/>
      <c r="G1511" s="8"/>
      <c r="H1511" s="8"/>
      <c r="I1511" s="8"/>
      <c r="J1511" s="8"/>
      <c r="K1511" s="8"/>
      <c r="L1511" s="8"/>
    </row>
    <row r="1512">
      <c r="A1512" s="8"/>
      <c r="B1512" s="8"/>
      <c r="C1512" s="8"/>
      <c r="D1512" s="8"/>
      <c r="E1512" s="71"/>
      <c r="F1512" s="10"/>
      <c r="G1512" s="8"/>
      <c r="H1512" s="8"/>
      <c r="I1512" s="8"/>
      <c r="J1512" s="8"/>
      <c r="K1512" s="8"/>
      <c r="L1512" s="8"/>
    </row>
    <row r="1513">
      <c r="A1513" s="8"/>
      <c r="B1513" s="8"/>
      <c r="C1513" s="8"/>
      <c r="D1513" s="8"/>
      <c r="E1513" s="71"/>
      <c r="F1513" s="10"/>
      <c r="G1513" s="8"/>
      <c r="H1513" s="8"/>
      <c r="I1513" s="8"/>
      <c r="J1513" s="8"/>
      <c r="K1513" s="8"/>
      <c r="L1513" s="8"/>
    </row>
    <row r="1514">
      <c r="A1514" s="8"/>
      <c r="B1514" s="8"/>
      <c r="C1514" s="8"/>
      <c r="D1514" s="8"/>
      <c r="E1514" s="71"/>
      <c r="F1514" s="10"/>
      <c r="G1514" s="8"/>
      <c r="H1514" s="8"/>
      <c r="I1514" s="8"/>
      <c r="J1514" s="8"/>
      <c r="K1514" s="8"/>
      <c r="L1514" s="8"/>
    </row>
    <row r="1515">
      <c r="A1515" s="8"/>
      <c r="B1515" s="8"/>
      <c r="C1515" s="8"/>
      <c r="D1515" s="8"/>
      <c r="E1515" s="71"/>
      <c r="F1515" s="10"/>
      <c r="G1515" s="8"/>
      <c r="H1515" s="8"/>
      <c r="I1515" s="8"/>
      <c r="J1515" s="8"/>
      <c r="K1515" s="8"/>
      <c r="L1515" s="8"/>
    </row>
    <row r="1516">
      <c r="A1516" s="8"/>
      <c r="B1516" s="8"/>
      <c r="C1516" s="8"/>
      <c r="D1516" s="8"/>
      <c r="E1516" s="71"/>
      <c r="F1516" s="10"/>
      <c r="G1516" s="8"/>
      <c r="H1516" s="8"/>
      <c r="I1516" s="8"/>
      <c r="J1516" s="8"/>
      <c r="K1516" s="8"/>
      <c r="L1516" s="8"/>
    </row>
    <row r="1517">
      <c r="A1517" s="8"/>
      <c r="B1517" s="8"/>
      <c r="C1517" s="8"/>
      <c r="D1517" s="8"/>
      <c r="E1517" s="71"/>
      <c r="F1517" s="10"/>
      <c r="G1517" s="8"/>
      <c r="H1517" s="8"/>
      <c r="I1517" s="8"/>
      <c r="J1517" s="8"/>
      <c r="K1517" s="8"/>
      <c r="L1517" s="8"/>
    </row>
    <row r="1518">
      <c r="A1518" s="8"/>
      <c r="B1518" s="8"/>
      <c r="C1518" s="8"/>
      <c r="D1518" s="8"/>
      <c r="E1518" s="71"/>
      <c r="F1518" s="10"/>
      <c r="G1518" s="8"/>
      <c r="H1518" s="8"/>
      <c r="I1518" s="8"/>
      <c r="J1518" s="8"/>
      <c r="K1518" s="8"/>
      <c r="L1518" s="8"/>
    </row>
    <row r="1519">
      <c r="A1519" s="8"/>
      <c r="B1519" s="8"/>
      <c r="C1519" s="8"/>
      <c r="D1519" s="8"/>
      <c r="E1519" s="71"/>
      <c r="F1519" s="10"/>
      <c r="G1519" s="8"/>
      <c r="H1519" s="8"/>
      <c r="I1519" s="8"/>
      <c r="J1519" s="8"/>
      <c r="K1519" s="8"/>
      <c r="L1519" s="8"/>
    </row>
    <row r="1520">
      <c r="A1520" s="8"/>
      <c r="B1520" s="8"/>
      <c r="C1520" s="8"/>
      <c r="D1520" s="8"/>
      <c r="E1520" s="71"/>
      <c r="F1520" s="10"/>
      <c r="G1520" s="8"/>
      <c r="H1520" s="8"/>
      <c r="I1520" s="8"/>
      <c r="J1520" s="8"/>
      <c r="K1520" s="8"/>
      <c r="L1520" s="8"/>
    </row>
    <row r="1521">
      <c r="A1521" s="8"/>
      <c r="B1521" s="8"/>
      <c r="C1521" s="8"/>
      <c r="D1521" s="8"/>
      <c r="E1521" s="71"/>
      <c r="F1521" s="10"/>
      <c r="G1521" s="8"/>
      <c r="H1521" s="8"/>
      <c r="I1521" s="8"/>
      <c r="J1521" s="8"/>
      <c r="K1521" s="8"/>
      <c r="L1521" s="8"/>
    </row>
    <row r="1522">
      <c r="A1522" s="8"/>
      <c r="B1522" s="8"/>
      <c r="C1522" s="8"/>
      <c r="D1522" s="8"/>
      <c r="E1522" s="71"/>
      <c r="F1522" s="10"/>
      <c r="G1522" s="8"/>
      <c r="H1522" s="8"/>
      <c r="I1522" s="8"/>
      <c r="J1522" s="8"/>
      <c r="K1522" s="8"/>
      <c r="L1522" s="8"/>
    </row>
    <row r="1523">
      <c r="A1523" s="8"/>
      <c r="B1523" s="8"/>
      <c r="C1523" s="8"/>
      <c r="D1523" s="8"/>
      <c r="E1523" s="71"/>
      <c r="F1523" s="10"/>
      <c r="G1523" s="8"/>
      <c r="H1523" s="8"/>
      <c r="I1523" s="8"/>
      <c r="J1523" s="8"/>
      <c r="K1523" s="8"/>
      <c r="L1523" s="8"/>
    </row>
    <row r="1524">
      <c r="A1524" s="8"/>
      <c r="B1524" s="8"/>
      <c r="C1524" s="8"/>
      <c r="D1524" s="8"/>
      <c r="E1524" s="71"/>
      <c r="F1524" s="10"/>
      <c r="G1524" s="8"/>
      <c r="H1524" s="8"/>
      <c r="I1524" s="8"/>
      <c r="J1524" s="8"/>
      <c r="K1524" s="8"/>
      <c r="L1524" s="8"/>
    </row>
    <row r="1525">
      <c r="A1525" s="8"/>
      <c r="B1525" s="8"/>
      <c r="C1525" s="8"/>
      <c r="D1525" s="8"/>
      <c r="E1525" s="71"/>
      <c r="F1525" s="10"/>
      <c r="G1525" s="8"/>
      <c r="H1525" s="8"/>
      <c r="I1525" s="8"/>
      <c r="J1525" s="8"/>
      <c r="K1525" s="8"/>
      <c r="L1525" s="8"/>
    </row>
    <row r="1526">
      <c r="A1526" s="8"/>
      <c r="B1526" s="8"/>
      <c r="C1526" s="8"/>
      <c r="D1526" s="8"/>
      <c r="E1526" s="71"/>
      <c r="F1526" s="10"/>
      <c r="G1526" s="8"/>
      <c r="H1526" s="8"/>
      <c r="I1526" s="8"/>
      <c r="J1526" s="8"/>
      <c r="K1526" s="8"/>
      <c r="L1526" s="8"/>
    </row>
    <row r="1527">
      <c r="A1527" s="8"/>
      <c r="B1527" s="8"/>
      <c r="C1527" s="8"/>
      <c r="D1527" s="8"/>
      <c r="E1527" s="71"/>
      <c r="F1527" s="10"/>
      <c r="G1527" s="8"/>
      <c r="H1527" s="8"/>
      <c r="I1527" s="8"/>
      <c r="J1527" s="8"/>
      <c r="K1527" s="8"/>
      <c r="L1527" s="8"/>
    </row>
    <row r="1528">
      <c r="A1528" s="8"/>
      <c r="B1528" s="8"/>
      <c r="C1528" s="8"/>
      <c r="D1528" s="8"/>
      <c r="E1528" s="71"/>
      <c r="F1528" s="10"/>
      <c r="G1528" s="8"/>
      <c r="H1528" s="8"/>
      <c r="I1528" s="8"/>
      <c r="J1528" s="8"/>
      <c r="K1528" s="8"/>
      <c r="L1528" s="8"/>
    </row>
    <row r="1529">
      <c r="A1529" s="8"/>
      <c r="B1529" s="8"/>
      <c r="C1529" s="8"/>
      <c r="D1529" s="8"/>
      <c r="E1529" s="71"/>
      <c r="F1529" s="10"/>
      <c r="G1529" s="8"/>
      <c r="H1529" s="8"/>
      <c r="I1529" s="8"/>
      <c r="J1529" s="8"/>
      <c r="K1529" s="8"/>
      <c r="L1529" s="8"/>
    </row>
    <row r="1530">
      <c r="A1530" s="8"/>
      <c r="B1530" s="8"/>
      <c r="C1530" s="8"/>
      <c r="D1530" s="8"/>
      <c r="E1530" s="71"/>
      <c r="F1530" s="10"/>
      <c r="G1530" s="8"/>
      <c r="H1530" s="8"/>
      <c r="I1530" s="8"/>
      <c r="J1530" s="8"/>
      <c r="K1530" s="8"/>
      <c r="L1530" s="8"/>
    </row>
    <row r="1531">
      <c r="A1531" s="8"/>
      <c r="B1531" s="8"/>
      <c r="C1531" s="8"/>
      <c r="D1531" s="8"/>
      <c r="E1531" s="71"/>
      <c r="F1531" s="10"/>
      <c r="G1531" s="8"/>
      <c r="H1531" s="8"/>
      <c r="I1531" s="8"/>
      <c r="J1531" s="8"/>
      <c r="K1531" s="8"/>
      <c r="L1531" s="8"/>
    </row>
    <row r="1532">
      <c r="A1532" s="8"/>
      <c r="B1532" s="8"/>
      <c r="C1532" s="8"/>
      <c r="D1532" s="8"/>
      <c r="E1532" s="71"/>
      <c r="F1532" s="10"/>
      <c r="G1532" s="8"/>
      <c r="H1532" s="8"/>
      <c r="I1532" s="8"/>
      <c r="J1532" s="8"/>
      <c r="K1532" s="8"/>
      <c r="L1532" s="8"/>
    </row>
    <row r="1533">
      <c r="A1533" s="8"/>
      <c r="B1533" s="8"/>
      <c r="C1533" s="8"/>
      <c r="D1533" s="8"/>
      <c r="E1533" s="71"/>
      <c r="F1533" s="10"/>
      <c r="G1533" s="8"/>
      <c r="H1533" s="8"/>
      <c r="I1533" s="8"/>
      <c r="J1533" s="8"/>
      <c r="K1533" s="8"/>
      <c r="L1533" s="8"/>
    </row>
    <row r="1534">
      <c r="A1534" s="8"/>
      <c r="B1534" s="8"/>
      <c r="C1534" s="8"/>
      <c r="D1534" s="8"/>
      <c r="E1534" s="71"/>
      <c r="F1534" s="10"/>
      <c r="G1534" s="8"/>
      <c r="H1534" s="8"/>
      <c r="I1534" s="8"/>
      <c r="J1534" s="8"/>
      <c r="K1534" s="8"/>
      <c r="L1534" s="8"/>
    </row>
    <row r="1535">
      <c r="A1535" s="8"/>
      <c r="B1535" s="8"/>
      <c r="C1535" s="8"/>
      <c r="D1535" s="8"/>
      <c r="E1535" s="71"/>
      <c r="F1535" s="10"/>
      <c r="G1535" s="8"/>
      <c r="H1535" s="8"/>
      <c r="I1535" s="8"/>
      <c r="J1535" s="8"/>
      <c r="K1535" s="8"/>
      <c r="L1535" s="8"/>
    </row>
    <row r="1536">
      <c r="A1536" s="8"/>
      <c r="B1536" s="8"/>
      <c r="C1536" s="8"/>
      <c r="D1536" s="8"/>
      <c r="E1536" s="71"/>
      <c r="F1536" s="10"/>
      <c r="G1536" s="8"/>
      <c r="H1536" s="8"/>
      <c r="I1536" s="8"/>
      <c r="J1536" s="8"/>
      <c r="K1536" s="8"/>
      <c r="L1536" s="8"/>
    </row>
    <row r="1537">
      <c r="A1537" s="8"/>
      <c r="B1537" s="8"/>
      <c r="C1537" s="8"/>
      <c r="D1537" s="8"/>
      <c r="E1537" s="71"/>
      <c r="F1537" s="10"/>
      <c r="G1537" s="8"/>
      <c r="H1537" s="8"/>
      <c r="I1537" s="8"/>
      <c r="J1537" s="8"/>
      <c r="K1537" s="8"/>
      <c r="L1537" s="8"/>
    </row>
    <row r="1538">
      <c r="A1538" s="8"/>
      <c r="B1538" s="8"/>
      <c r="C1538" s="8"/>
      <c r="D1538" s="8"/>
      <c r="E1538" s="71"/>
      <c r="F1538" s="10"/>
      <c r="G1538" s="8"/>
      <c r="H1538" s="8"/>
      <c r="I1538" s="8"/>
      <c r="J1538" s="8"/>
      <c r="K1538" s="8"/>
      <c r="L1538" s="8"/>
    </row>
    <row r="1539">
      <c r="A1539" s="8"/>
      <c r="B1539" s="8"/>
      <c r="C1539" s="8"/>
      <c r="D1539" s="8"/>
      <c r="E1539" s="71"/>
      <c r="F1539" s="10"/>
      <c r="G1539" s="8"/>
      <c r="H1539" s="8"/>
      <c r="I1539" s="8"/>
      <c r="J1539" s="8"/>
      <c r="K1539" s="8"/>
      <c r="L1539" s="8"/>
    </row>
    <row r="1540">
      <c r="A1540" s="8"/>
      <c r="B1540" s="8"/>
      <c r="C1540" s="8"/>
      <c r="D1540" s="8"/>
      <c r="E1540" s="71"/>
      <c r="F1540" s="10"/>
      <c r="G1540" s="8"/>
      <c r="H1540" s="8"/>
      <c r="I1540" s="8"/>
      <c r="J1540" s="8"/>
      <c r="K1540" s="8"/>
      <c r="L1540" s="8"/>
    </row>
    <row r="1541">
      <c r="A1541" s="8"/>
      <c r="B1541" s="8"/>
      <c r="C1541" s="8"/>
      <c r="D1541" s="8"/>
      <c r="E1541" s="71"/>
      <c r="F1541" s="10"/>
      <c r="G1541" s="8"/>
      <c r="H1541" s="8"/>
      <c r="I1541" s="8"/>
      <c r="J1541" s="8"/>
      <c r="K1541" s="8"/>
      <c r="L1541" s="8"/>
    </row>
    <row r="1542">
      <c r="A1542" s="8"/>
      <c r="B1542" s="8"/>
      <c r="C1542" s="8"/>
      <c r="D1542" s="8"/>
      <c r="E1542" s="71"/>
      <c r="F1542" s="10"/>
      <c r="G1542" s="8"/>
      <c r="H1542" s="8"/>
      <c r="I1542" s="8"/>
      <c r="J1542" s="8"/>
      <c r="K1542" s="8"/>
      <c r="L1542" s="8"/>
    </row>
    <row r="1543">
      <c r="A1543" s="8"/>
      <c r="B1543" s="8"/>
      <c r="C1543" s="8"/>
      <c r="D1543" s="8"/>
      <c r="E1543" s="71"/>
      <c r="F1543" s="10"/>
      <c r="G1543" s="8"/>
      <c r="H1543" s="8"/>
      <c r="I1543" s="8"/>
      <c r="J1543" s="8"/>
      <c r="K1543" s="8"/>
      <c r="L1543" s="8"/>
    </row>
    <row r="1544">
      <c r="A1544" s="8"/>
      <c r="B1544" s="8"/>
      <c r="C1544" s="8"/>
      <c r="D1544" s="8"/>
      <c r="E1544" s="71"/>
      <c r="F1544" s="10"/>
      <c r="G1544" s="8"/>
      <c r="H1544" s="8"/>
      <c r="I1544" s="8"/>
      <c r="J1544" s="8"/>
      <c r="K1544" s="8"/>
      <c r="L1544" s="8"/>
    </row>
    <row r="1545">
      <c r="A1545" s="8"/>
      <c r="B1545" s="8"/>
      <c r="C1545" s="8"/>
      <c r="D1545" s="8"/>
      <c r="E1545" s="71"/>
      <c r="F1545" s="10"/>
      <c r="G1545" s="8"/>
      <c r="H1545" s="8"/>
      <c r="I1545" s="8"/>
      <c r="J1545" s="8"/>
      <c r="K1545" s="8"/>
      <c r="L1545" s="8"/>
    </row>
    <row r="1546">
      <c r="A1546" s="8"/>
      <c r="B1546" s="8"/>
      <c r="C1546" s="8"/>
      <c r="D1546" s="8"/>
      <c r="E1546" s="71"/>
      <c r="F1546" s="10"/>
      <c r="G1546" s="8"/>
      <c r="H1546" s="8"/>
      <c r="I1546" s="8"/>
      <c r="J1546" s="8"/>
      <c r="K1546" s="8"/>
      <c r="L1546" s="8"/>
    </row>
    <row r="1547">
      <c r="A1547" s="8"/>
      <c r="B1547" s="8"/>
      <c r="C1547" s="8"/>
      <c r="D1547" s="8"/>
      <c r="E1547" s="71"/>
      <c r="F1547" s="10"/>
      <c r="G1547" s="8"/>
      <c r="H1547" s="8"/>
      <c r="I1547" s="8"/>
      <c r="J1547" s="8"/>
      <c r="K1547" s="8"/>
      <c r="L1547" s="8"/>
    </row>
    <row r="1548">
      <c r="A1548" s="8"/>
      <c r="B1548" s="8"/>
      <c r="C1548" s="8"/>
      <c r="D1548" s="8"/>
      <c r="E1548" s="71"/>
      <c r="F1548" s="10"/>
      <c r="G1548" s="8"/>
      <c r="H1548" s="8"/>
      <c r="I1548" s="8"/>
      <c r="J1548" s="8"/>
      <c r="K1548" s="8"/>
      <c r="L1548" s="8"/>
    </row>
    <row r="1549">
      <c r="A1549" s="8"/>
      <c r="B1549" s="8"/>
      <c r="C1549" s="8"/>
      <c r="D1549" s="8"/>
      <c r="E1549" s="71"/>
      <c r="F1549" s="10"/>
      <c r="G1549" s="8"/>
      <c r="H1549" s="8"/>
      <c r="I1549" s="8"/>
      <c r="J1549" s="8"/>
      <c r="K1549" s="8"/>
      <c r="L1549" s="8"/>
    </row>
    <row r="1550">
      <c r="A1550" s="8"/>
      <c r="B1550" s="8"/>
      <c r="C1550" s="8"/>
      <c r="D1550" s="8"/>
      <c r="E1550" s="71"/>
      <c r="F1550" s="10"/>
      <c r="G1550" s="8"/>
      <c r="H1550" s="8"/>
      <c r="I1550" s="8"/>
      <c r="J1550" s="8"/>
      <c r="K1550" s="8"/>
      <c r="L1550" s="8"/>
    </row>
    <row r="1551">
      <c r="A1551" s="8"/>
      <c r="B1551" s="8"/>
      <c r="C1551" s="8"/>
      <c r="D1551" s="8"/>
      <c r="E1551" s="71"/>
      <c r="F1551" s="10"/>
      <c r="G1551" s="8"/>
      <c r="H1551" s="8"/>
      <c r="I1551" s="8"/>
      <c r="J1551" s="8"/>
      <c r="K1551" s="8"/>
      <c r="L1551" s="8"/>
    </row>
    <row r="1552">
      <c r="A1552" s="8"/>
      <c r="B1552" s="8"/>
      <c r="C1552" s="8"/>
      <c r="D1552" s="8"/>
      <c r="E1552" s="71"/>
      <c r="F1552" s="10"/>
      <c r="G1552" s="8"/>
      <c r="H1552" s="8"/>
      <c r="I1552" s="8"/>
      <c r="J1552" s="8"/>
      <c r="K1552" s="8"/>
      <c r="L1552" s="8"/>
    </row>
    <row r="1553">
      <c r="A1553" s="8"/>
      <c r="B1553" s="8"/>
      <c r="C1553" s="8"/>
      <c r="D1553" s="8"/>
      <c r="E1553" s="71"/>
      <c r="F1553" s="10"/>
      <c r="G1553" s="8"/>
      <c r="H1553" s="8"/>
      <c r="I1553" s="8"/>
      <c r="J1553" s="8"/>
      <c r="K1553" s="8"/>
      <c r="L1553" s="8"/>
    </row>
    <row r="1554">
      <c r="A1554" s="8"/>
      <c r="B1554" s="8"/>
      <c r="C1554" s="8"/>
      <c r="D1554" s="8"/>
      <c r="E1554" s="71"/>
      <c r="F1554" s="10"/>
      <c r="G1554" s="8"/>
      <c r="H1554" s="8"/>
      <c r="I1554" s="8"/>
      <c r="J1554" s="8"/>
      <c r="K1554" s="8"/>
      <c r="L1554" s="8"/>
    </row>
    <row r="1555">
      <c r="A1555" s="8"/>
      <c r="B1555" s="8"/>
      <c r="C1555" s="8"/>
      <c r="D1555" s="8"/>
      <c r="E1555" s="71"/>
      <c r="F1555" s="10"/>
      <c r="G1555" s="8"/>
      <c r="H1555" s="8"/>
      <c r="I1555" s="8"/>
      <c r="J1555" s="8"/>
      <c r="K1555" s="8"/>
      <c r="L1555" s="8"/>
    </row>
    <row r="1556">
      <c r="A1556" s="8"/>
      <c r="B1556" s="8"/>
      <c r="C1556" s="8"/>
      <c r="D1556" s="8"/>
      <c r="E1556" s="71"/>
      <c r="F1556" s="10"/>
      <c r="G1556" s="8"/>
      <c r="H1556" s="8"/>
      <c r="I1556" s="8"/>
      <c r="J1556" s="8"/>
      <c r="K1556" s="8"/>
      <c r="L1556" s="8"/>
    </row>
    <row r="1557">
      <c r="A1557" s="8"/>
      <c r="B1557" s="8"/>
      <c r="C1557" s="8"/>
      <c r="D1557" s="8"/>
      <c r="E1557" s="71"/>
      <c r="F1557" s="10"/>
      <c r="G1557" s="8"/>
      <c r="H1557" s="8"/>
      <c r="I1557" s="8"/>
      <c r="J1557" s="8"/>
      <c r="K1557" s="8"/>
      <c r="L1557" s="8"/>
    </row>
    <row r="1558">
      <c r="A1558" s="8"/>
      <c r="B1558" s="8"/>
      <c r="C1558" s="8"/>
      <c r="D1558" s="8"/>
      <c r="E1558" s="71"/>
      <c r="F1558" s="10"/>
      <c r="G1558" s="8"/>
      <c r="H1558" s="8"/>
      <c r="I1558" s="8"/>
      <c r="J1558" s="8"/>
      <c r="K1558" s="8"/>
      <c r="L1558" s="8"/>
    </row>
    <row r="1559">
      <c r="A1559" s="8"/>
      <c r="B1559" s="8"/>
      <c r="C1559" s="8"/>
      <c r="D1559" s="8"/>
      <c r="E1559" s="71"/>
      <c r="F1559" s="10"/>
      <c r="G1559" s="8"/>
      <c r="H1559" s="8"/>
      <c r="I1559" s="8"/>
      <c r="J1559" s="8"/>
      <c r="K1559" s="8"/>
      <c r="L1559" s="8"/>
    </row>
    <row r="1560">
      <c r="A1560" s="8"/>
      <c r="B1560" s="8"/>
      <c r="C1560" s="8"/>
      <c r="D1560" s="8"/>
      <c r="E1560" s="71"/>
      <c r="F1560" s="10"/>
      <c r="G1560" s="8"/>
      <c r="H1560" s="8"/>
      <c r="I1560" s="8"/>
      <c r="J1560" s="8"/>
      <c r="K1560" s="8"/>
      <c r="L1560" s="8"/>
    </row>
    <row r="1561">
      <c r="A1561" s="8"/>
      <c r="B1561" s="8"/>
      <c r="C1561" s="8"/>
      <c r="D1561" s="8"/>
      <c r="E1561" s="71"/>
      <c r="F1561" s="10"/>
      <c r="G1561" s="8"/>
      <c r="H1561" s="8"/>
      <c r="I1561" s="8"/>
      <c r="J1561" s="8"/>
      <c r="K1561" s="8"/>
      <c r="L1561" s="8"/>
    </row>
    <row r="1562">
      <c r="A1562" s="8"/>
      <c r="B1562" s="8"/>
      <c r="C1562" s="8"/>
      <c r="D1562" s="8"/>
      <c r="E1562" s="71"/>
      <c r="F1562" s="10"/>
      <c r="G1562" s="8"/>
      <c r="H1562" s="8"/>
      <c r="I1562" s="8"/>
      <c r="J1562" s="8"/>
      <c r="K1562" s="8"/>
      <c r="L1562" s="8"/>
    </row>
    <row r="1563">
      <c r="A1563" s="8"/>
      <c r="B1563" s="8"/>
      <c r="C1563" s="8"/>
      <c r="D1563" s="8"/>
      <c r="E1563" s="71"/>
      <c r="F1563" s="10"/>
      <c r="G1563" s="8"/>
      <c r="H1563" s="8"/>
      <c r="I1563" s="8"/>
      <c r="J1563" s="8"/>
      <c r="K1563" s="8"/>
      <c r="L1563" s="8"/>
    </row>
    <row r="1564">
      <c r="A1564" s="8"/>
      <c r="B1564" s="8"/>
      <c r="C1564" s="8"/>
      <c r="D1564" s="8"/>
      <c r="E1564" s="71"/>
      <c r="F1564" s="10"/>
      <c r="G1564" s="8"/>
      <c r="H1564" s="8"/>
      <c r="I1564" s="8"/>
      <c r="J1564" s="8"/>
      <c r="K1564" s="8"/>
      <c r="L1564" s="8"/>
    </row>
    <row r="1565">
      <c r="A1565" s="8"/>
      <c r="B1565" s="8"/>
      <c r="C1565" s="8"/>
      <c r="D1565" s="8"/>
      <c r="E1565" s="71"/>
      <c r="F1565" s="10"/>
      <c r="G1565" s="8"/>
      <c r="H1565" s="8"/>
      <c r="I1565" s="8"/>
      <c r="J1565" s="8"/>
      <c r="K1565" s="8"/>
      <c r="L1565" s="8"/>
    </row>
    <row r="1566">
      <c r="A1566" s="8"/>
      <c r="B1566" s="8"/>
      <c r="C1566" s="8"/>
      <c r="D1566" s="8"/>
      <c r="E1566" s="71"/>
      <c r="F1566" s="10"/>
      <c r="G1566" s="8"/>
      <c r="H1566" s="8"/>
      <c r="I1566" s="8"/>
      <c r="J1566" s="8"/>
      <c r="K1566" s="8"/>
      <c r="L1566" s="8"/>
    </row>
    <row r="1567">
      <c r="A1567" s="8"/>
      <c r="B1567" s="8"/>
      <c r="C1567" s="8"/>
      <c r="D1567" s="8"/>
      <c r="E1567" s="71"/>
      <c r="F1567" s="10"/>
      <c r="G1567" s="8"/>
      <c r="H1567" s="8"/>
      <c r="I1567" s="8"/>
      <c r="J1567" s="8"/>
      <c r="K1567" s="8"/>
      <c r="L1567" s="8"/>
    </row>
    <row r="1568">
      <c r="A1568" s="8"/>
      <c r="B1568" s="8"/>
      <c r="C1568" s="8"/>
      <c r="D1568" s="8"/>
      <c r="E1568" s="71"/>
      <c r="F1568" s="10"/>
      <c r="G1568" s="8"/>
      <c r="H1568" s="8"/>
      <c r="I1568" s="8"/>
      <c r="J1568" s="8"/>
      <c r="K1568" s="8"/>
      <c r="L1568" s="8"/>
    </row>
    <row r="1569">
      <c r="A1569" s="8"/>
      <c r="B1569" s="8"/>
      <c r="C1569" s="8"/>
      <c r="D1569" s="8"/>
      <c r="E1569" s="71"/>
      <c r="F1569" s="10"/>
      <c r="G1569" s="8"/>
      <c r="H1569" s="8"/>
      <c r="I1569" s="8"/>
      <c r="J1569" s="8"/>
      <c r="K1569" s="8"/>
      <c r="L1569" s="8"/>
    </row>
    <row r="1570">
      <c r="A1570" s="8"/>
      <c r="B1570" s="8"/>
      <c r="C1570" s="8"/>
      <c r="D1570" s="8"/>
      <c r="E1570" s="71"/>
      <c r="F1570" s="10"/>
      <c r="G1570" s="8"/>
      <c r="H1570" s="8"/>
      <c r="I1570" s="8"/>
      <c r="J1570" s="8"/>
      <c r="K1570" s="8"/>
      <c r="L1570" s="8"/>
    </row>
    <row r="1571">
      <c r="A1571" s="8"/>
      <c r="B1571" s="8"/>
      <c r="C1571" s="8"/>
      <c r="D1571" s="8"/>
      <c r="E1571" s="71"/>
      <c r="F1571" s="10"/>
      <c r="G1571" s="8"/>
      <c r="H1571" s="8"/>
      <c r="I1571" s="8"/>
      <c r="J1571" s="8"/>
      <c r="K1571" s="8"/>
      <c r="L1571" s="8"/>
    </row>
    <row r="1572">
      <c r="A1572" s="8"/>
      <c r="B1572" s="8"/>
      <c r="C1572" s="8"/>
      <c r="D1572" s="8"/>
      <c r="E1572" s="71"/>
      <c r="F1572" s="10"/>
      <c r="G1572" s="8"/>
      <c r="H1572" s="8"/>
      <c r="I1572" s="8"/>
      <c r="J1572" s="8"/>
      <c r="K1572" s="8"/>
      <c r="L1572" s="8"/>
    </row>
    <row r="1573">
      <c r="A1573" s="8"/>
      <c r="B1573" s="8"/>
      <c r="C1573" s="8"/>
      <c r="D1573" s="8"/>
      <c r="E1573" s="71"/>
      <c r="F1573" s="10"/>
      <c r="G1573" s="8"/>
      <c r="H1573" s="8"/>
      <c r="I1573" s="8"/>
      <c r="J1573" s="8"/>
      <c r="K1573" s="8"/>
      <c r="L1573" s="8"/>
    </row>
    <row r="1574">
      <c r="A1574" s="8"/>
      <c r="B1574" s="8"/>
      <c r="C1574" s="8"/>
      <c r="D1574" s="8"/>
      <c r="E1574" s="71"/>
      <c r="F1574" s="10"/>
      <c r="G1574" s="8"/>
      <c r="H1574" s="8"/>
      <c r="I1574" s="8"/>
      <c r="J1574" s="8"/>
      <c r="K1574" s="8"/>
      <c r="L1574" s="8"/>
    </row>
    <row r="1575">
      <c r="A1575" s="8"/>
      <c r="B1575" s="8"/>
      <c r="C1575" s="8"/>
      <c r="D1575" s="8"/>
      <c r="E1575" s="71"/>
      <c r="F1575" s="10"/>
      <c r="G1575" s="8"/>
      <c r="H1575" s="8"/>
      <c r="I1575" s="8"/>
      <c r="J1575" s="8"/>
      <c r="K1575" s="8"/>
      <c r="L1575" s="8"/>
    </row>
    <row r="1576">
      <c r="A1576" s="8"/>
      <c r="B1576" s="8"/>
      <c r="C1576" s="8"/>
      <c r="D1576" s="8"/>
      <c r="E1576" s="71"/>
      <c r="F1576" s="10"/>
      <c r="G1576" s="8"/>
      <c r="H1576" s="8"/>
      <c r="I1576" s="8"/>
      <c r="J1576" s="8"/>
      <c r="K1576" s="8"/>
      <c r="L1576" s="8"/>
    </row>
    <row r="1577">
      <c r="A1577" s="8"/>
      <c r="B1577" s="8"/>
      <c r="C1577" s="8"/>
      <c r="D1577" s="8"/>
      <c r="E1577" s="71"/>
      <c r="F1577" s="10"/>
      <c r="G1577" s="8"/>
      <c r="H1577" s="8"/>
      <c r="I1577" s="8"/>
      <c r="J1577" s="8"/>
      <c r="K1577" s="8"/>
      <c r="L1577" s="8"/>
    </row>
    <row r="1578">
      <c r="A1578" s="8"/>
      <c r="B1578" s="8"/>
      <c r="C1578" s="8"/>
      <c r="D1578" s="8"/>
      <c r="E1578" s="71"/>
      <c r="F1578" s="10"/>
      <c r="G1578" s="8"/>
      <c r="H1578" s="8"/>
      <c r="I1578" s="8"/>
      <c r="J1578" s="8"/>
      <c r="K1578" s="8"/>
      <c r="L1578" s="8"/>
    </row>
    <row r="1579">
      <c r="A1579" s="8"/>
      <c r="B1579" s="8"/>
      <c r="C1579" s="8"/>
      <c r="D1579" s="8"/>
      <c r="E1579" s="71"/>
      <c r="F1579" s="10"/>
      <c r="G1579" s="8"/>
      <c r="H1579" s="8"/>
      <c r="I1579" s="8"/>
      <c r="J1579" s="8"/>
      <c r="K1579" s="8"/>
      <c r="L1579" s="8"/>
    </row>
    <row r="1580">
      <c r="A1580" s="8"/>
      <c r="B1580" s="8"/>
      <c r="C1580" s="8"/>
      <c r="D1580" s="8"/>
      <c r="E1580" s="71"/>
      <c r="F1580" s="10"/>
      <c r="G1580" s="8"/>
      <c r="H1580" s="8"/>
      <c r="I1580" s="8"/>
      <c r="J1580" s="8"/>
      <c r="K1580" s="8"/>
      <c r="L1580" s="8"/>
    </row>
    <row r="1581">
      <c r="A1581" s="8"/>
      <c r="B1581" s="8"/>
      <c r="C1581" s="8"/>
      <c r="D1581" s="8"/>
      <c r="E1581" s="71"/>
      <c r="F1581" s="10"/>
      <c r="G1581" s="8"/>
      <c r="H1581" s="8"/>
      <c r="I1581" s="8"/>
      <c r="J1581" s="8"/>
      <c r="K1581" s="8"/>
      <c r="L1581" s="8"/>
    </row>
    <row r="1582">
      <c r="A1582" s="8"/>
      <c r="B1582" s="8"/>
      <c r="C1582" s="8"/>
      <c r="D1582" s="8"/>
      <c r="E1582" s="71"/>
      <c r="F1582" s="10"/>
      <c r="G1582" s="8"/>
      <c r="H1582" s="8"/>
      <c r="I1582" s="8"/>
      <c r="J1582" s="8"/>
      <c r="K1582" s="8"/>
      <c r="L1582" s="8"/>
    </row>
    <row r="1583">
      <c r="A1583" s="8"/>
      <c r="B1583" s="8"/>
      <c r="C1583" s="8"/>
      <c r="D1583" s="8"/>
      <c r="E1583" s="71"/>
      <c r="F1583" s="10"/>
      <c r="G1583" s="8"/>
      <c r="H1583" s="8"/>
      <c r="I1583" s="8"/>
      <c r="J1583" s="8"/>
      <c r="K1583" s="8"/>
      <c r="L1583" s="8"/>
    </row>
    <row r="1584">
      <c r="A1584" s="8"/>
      <c r="B1584" s="8"/>
      <c r="C1584" s="8"/>
      <c r="D1584" s="8"/>
      <c r="E1584" s="71"/>
      <c r="F1584" s="10"/>
      <c r="G1584" s="8"/>
      <c r="H1584" s="8"/>
      <c r="I1584" s="8"/>
      <c r="J1584" s="8"/>
      <c r="K1584" s="8"/>
      <c r="L1584" s="8"/>
    </row>
    <row r="1585">
      <c r="A1585" s="8"/>
      <c r="B1585" s="8"/>
      <c r="C1585" s="8"/>
      <c r="D1585" s="8"/>
      <c r="E1585" s="71"/>
      <c r="F1585" s="10"/>
      <c r="G1585" s="8"/>
      <c r="H1585" s="8"/>
      <c r="I1585" s="8"/>
      <c r="J1585" s="8"/>
      <c r="K1585" s="8"/>
      <c r="L1585" s="8"/>
    </row>
    <row r="1586">
      <c r="A1586" s="8"/>
      <c r="B1586" s="8"/>
      <c r="C1586" s="8"/>
      <c r="D1586" s="8"/>
      <c r="E1586" s="71"/>
      <c r="F1586" s="10"/>
      <c r="G1586" s="8"/>
      <c r="H1586" s="8"/>
      <c r="I1586" s="8"/>
      <c r="J1586" s="8"/>
      <c r="K1586" s="8"/>
      <c r="L1586" s="8"/>
    </row>
    <row r="1587">
      <c r="A1587" s="8"/>
      <c r="B1587" s="8"/>
      <c r="C1587" s="8"/>
      <c r="D1587" s="8"/>
      <c r="E1587" s="71"/>
      <c r="F1587" s="10"/>
      <c r="G1587" s="8"/>
      <c r="H1587" s="8"/>
      <c r="I1587" s="8"/>
      <c r="J1587" s="8"/>
      <c r="K1587" s="8"/>
      <c r="L1587" s="8"/>
    </row>
    <row r="1588">
      <c r="A1588" s="8"/>
      <c r="B1588" s="8"/>
      <c r="C1588" s="8"/>
      <c r="D1588" s="8"/>
      <c r="E1588" s="71"/>
      <c r="F1588" s="10"/>
      <c r="G1588" s="8"/>
      <c r="H1588" s="8"/>
      <c r="I1588" s="8"/>
      <c r="J1588" s="8"/>
      <c r="K1588" s="8"/>
      <c r="L1588" s="8"/>
    </row>
    <row r="1589">
      <c r="A1589" s="8"/>
      <c r="B1589" s="8"/>
      <c r="C1589" s="8"/>
      <c r="D1589" s="8"/>
      <c r="E1589" s="71"/>
      <c r="F1589" s="10"/>
      <c r="G1589" s="8"/>
      <c r="H1589" s="8"/>
      <c r="I1589" s="8"/>
      <c r="J1589" s="8"/>
      <c r="K1589" s="8"/>
      <c r="L1589" s="8"/>
    </row>
    <row r="1590">
      <c r="A1590" s="8"/>
      <c r="B1590" s="8"/>
      <c r="C1590" s="8"/>
      <c r="D1590" s="8"/>
      <c r="E1590" s="71"/>
      <c r="F1590" s="10"/>
      <c r="G1590" s="8"/>
      <c r="H1590" s="8"/>
      <c r="I1590" s="8"/>
      <c r="J1590" s="8"/>
      <c r="K1590" s="8"/>
      <c r="L1590" s="8"/>
    </row>
    <row r="1591">
      <c r="A1591" s="8"/>
      <c r="B1591" s="8"/>
      <c r="C1591" s="8"/>
      <c r="D1591" s="8"/>
      <c r="E1591" s="71"/>
      <c r="F1591" s="10"/>
      <c r="G1591" s="8"/>
      <c r="H1591" s="8"/>
      <c r="I1591" s="8"/>
      <c r="J1591" s="8"/>
      <c r="K1591" s="8"/>
      <c r="L1591" s="8"/>
    </row>
    <row r="1592">
      <c r="A1592" s="8"/>
      <c r="B1592" s="8"/>
      <c r="C1592" s="8"/>
      <c r="D1592" s="8"/>
      <c r="E1592" s="71"/>
      <c r="F1592" s="10"/>
      <c r="G1592" s="8"/>
      <c r="H1592" s="8"/>
      <c r="I1592" s="8"/>
      <c r="J1592" s="8"/>
      <c r="K1592" s="8"/>
      <c r="L1592" s="8"/>
    </row>
    <row r="1593">
      <c r="A1593" s="8"/>
      <c r="B1593" s="8"/>
      <c r="C1593" s="8"/>
      <c r="D1593" s="8"/>
      <c r="E1593" s="71"/>
      <c r="F1593" s="10"/>
      <c r="G1593" s="8"/>
      <c r="H1593" s="8"/>
      <c r="I1593" s="8"/>
      <c r="J1593" s="8"/>
      <c r="K1593" s="8"/>
      <c r="L1593" s="8"/>
    </row>
    <row r="1594">
      <c r="A1594" s="8"/>
      <c r="B1594" s="8"/>
      <c r="C1594" s="8"/>
      <c r="D1594" s="8"/>
      <c r="E1594" s="71"/>
      <c r="F1594" s="10"/>
      <c r="G1594" s="8"/>
      <c r="H1594" s="8"/>
      <c r="I1594" s="8"/>
      <c r="J1594" s="8"/>
      <c r="K1594" s="8"/>
      <c r="L1594" s="8"/>
    </row>
    <row r="1595">
      <c r="A1595" s="8"/>
      <c r="B1595" s="8"/>
      <c r="C1595" s="8"/>
      <c r="D1595" s="8"/>
      <c r="E1595" s="71"/>
      <c r="F1595" s="10"/>
      <c r="G1595" s="8"/>
      <c r="H1595" s="8"/>
      <c r="I1595" s="8"/>
      <c r="J1595" s="8"/>
      <c r="K1595" s="8"/>
      <c r="L1595" s="8"/>
    </row>
    <row r="1596">
      <c r="A1596" s="8"/>
      <c r="B1596" s="8"/>
      <c r="C1596" s="8"/>
      <c r="D1596" s="8"/>
      <c r="E1596" s="71"/>
      <c r="F1596" s="10"/>
      <c r="G1596" s="8"/>
      <c r="H1596" s="8"/>
      <c r="I1596" s="8"/>
      <c r="J1596" s="8"/>
      <c r="K1596" s="8"/>
      <c r="L1596" s="8"/>
    </row>
    <row r="1597">
      <c r="A1597" s="8"/>
      <c r="B1597" s="8"/>
      <c r="C1597" s="8"/>
      <c r="D1597" s="8"/>
      <c r="E1597" s="71"/>
      <c r="F1597" s="10"/>
      <c r="G1597" s="8"/>
      <c r="H1597" s="8"/>
      <c r="I1597" s="8"/>
      <c r="J1597" s="8"/>
      <c r="K1597" s="8"/>
      <c r="L1597" s="8"/>
    </row>
    <row r="1598">
      <c r="A1598" s="8"/>
      <c r="B1598" s="8"/>
      <c r="C1598" s="8"/>
      <c r="D1598" s="8"/>
      <c r="E1598" s="71"/>
      <c r="F1598" s="10"/>
      <c r="G1598" s="8"/>
      <c r="H1598" s="8"/>
      <c r="I1598" s="8"/>
      <c r="J1598" s="8"/>
      <c r="K1598" s="8"/>
      <c r="L1598" s="8"/>
    </row>
    <row r="1599">
      <c r="A1599" s="8"/>
      <c r="B1599" s="8"/>
      <c r="C1599" s="8"/>
      <c r="D1599" s="8"/>
      <c r="E1599" s="71"/>
      <c r="F1599" s="10"/>
      <c r="G1599" s="8"/>
      <c r="H1599" s="8"/>
      <c r="I1599" s="8"/>
      <c r="J1599" s="8"/>
      <c r="K1599" s="8"/>
      <c r="L1599" s="8"/>
    </row>
    <row r="1600">
      <c r="A1600" s="8"/>
      <c r="B1600" s="8"/>
      <c r="C1600" s="8"/>
      <c r="D1600" s="8"/>
      <c r="E1600" s="71"/>
      <c r="F1600" s="10"/>
      <c r="G1600" s="8"/>
      <c r="H1600" s="8"/>
      <c r="I1600" s="8"/>
      <c r="J1600" s="8"/>
      <c r="K1600" s="8"/>
      <c r="L1600" s="8"/>
    </row>
    <row r="1601">
      <c r="A1601" s="8"/>
      <c r="B1601" s="8"/>
      <c r="C1601" s="8"/>
      <c r="D1601" s="8"/>
      <c r="E1601" s="71"/>
      <c r="F1601" s="10"/>
      <c r="G1601" s="8"/>
      <c r="H1601" s="8"/>
      <c r="I1601" s="8"/>
      <c r="J1601" s="8"/>
      <c r="K1601" s="8"/>
      <c r="L1601" s="8"/>
    </row>
    <row r="1602">
      <c r="A1602" s="8"/>
      <c r="B1602" s="8"/>
      <c r="C1602" s="8"/>
      <c r="D1602" s="8"/>
      <c r="E1602" s="71"/>
      <c r="F1602" s="10"/>
      <c r="G1602" s="8"/>
      <c r="H1602" s="8"/>
      <c r="I1602" s="8"/>
      <c r="J1602" s="8"/>
      <c r="K1602" s="8"/>
      <c r="L1602" s="8"/>
    </row>
    <row r="1603">
      <c r="A1603" s="8"/>
      <c r="B1603" s="8"/>
      <c r="C1603" s="8"/>
      <c r="D1603" s="8"/>
      <c r="E1603" s="71"/>
      <c r="F1603" s="10"/>
      <c r="G1603" s="8"/>
      <c r="H1603" s="8"/>
      <c r="I1603" s="8"/>
      <c r="J1603" s="8"/>
      <c r="K1603" s="8"/>
      <c r="L1603" s="8"/>
    </row>
    <row r="1604">
      <c r="A1604" s="8"/>
      <c r="B1604" s="8"/>
      <c r="C1604" s="8"/>
      <c r="D1604" s="8"/>
      <c r="E1604" s="71"/>
      <c r="F1604" s="10"/>
      <c r="G1604" s="8"/>
      <c r="H1604" s="8"/>
      <c r="I1604" s="8"/>
      <c r="J1604" s="8"/>
      <c r="K1604" s="8"/>
      <c r="L1604" s="8"/>
    </row>
    <row r="1605">
      <c r="A1605" s="8"/>
      <c r="B1605" s="8"/>
      <c r="C1605" s="8"/>
      <c r="D1605" s="8"/>
      <c r="E1605" s="71"/>
      <c r="F1605" s="10"/>
      <c r="G1605" s="8"/>
      <c r="H1605" s="8"/>
      <c r="I1605" s="8"/>
      <c r="J1605" s="8"/>
      <c r="K1605" s="8"/>
      <c r="L1605" s="8"/>
    </row>
    <row r="1606">
      <c r="A1606" s="8"/>
      <c r="B1606" s="8"/>
      <c r="C1606" s="8"/>
      <c r="D1606" s="8"/>
      <c r="E1606" s="71"/>
      <c r="F1606" s="10"/>
      <c r="G1606" s="8"/>
      <c r="H1606" s="8"/>
      <c r="I1606" s="8"/>
      <c r="J1606" s="8"/>
      <c r="K1606" s="8"/>
      <c r="L1606" s="8"/>
    </row>
    <row r="1607">
      <c r="A1607" s="8"/>
      <c r="B1607" s="8"/>
      <c r="C1607" s="8"/>
      <c r="D1607" s="8"/>
      <c r="E1607" s="71"/>
      <c r="F1607" s="10"/>
      <c r="G1607" s="8"/>
      <c r="H1607" s="8"/>
      <c r="I1607" s="8"/>
      <c r="J1607" s="8"/>
      <c r="K1607" s="8"/>
      <c r="L1607" s="8"/>
    </row>
    <row r="1608">
      <c r="A1608" s="8"/>
      <c r="B1608" s="8"/>
      <c r="C1608" s="8"/>
      <c r="D1608" s="8"/>
      <c r="E1608" s="71"/>
      <c r="F1608" s="10"/>
      <c r="G1608" s="8"/>
      <c r="H1608" s="8"/>
      <c r="I1608" s="8"/>
      <c r="J1608" s="8"/>
      <c r="K1608" s="8"/>
      <c r="L1608" s="8"/>
    </row>
    <row r="1609">
      <c r="A1609" s="8"/>
      <c r="B1609" s="8"/>
      <c r="C1609" s="8"/>
      <c r="D1609" s="8"/>
      <c r="E1609" s="71"/>
      <c r="F1609" s="10"/>
      <c r="G1609" s="8"/>
      <c r="H1609" s="8"/>
      <c r="I1609" s="8"/>
      <c r="J1609" s="8"/>
      <c r="K1609" s="8"/>
      <c r="L1609" s="8"/>
    </row>
    <row r="1610">
      <c r="A1610" s="8"/>
      <c r="B1610" s="8"/>
      <c r="C1610" s="8"/>
      <c r="D1610" s="8"/>
      <c r="E1610" s="71"/>
      <c r="F1610" s="10"/>
      <c r="G1610" s="8"/>
      <c r="H1610" s="8"/>
      <c r="I1610" s="8"/>
      <c r="J1610" s="8"/>
      <c r="K1610" s="8"/>
      <c r="L1610" s="8"/>
    </row>
    <row r="1611">
      <c r="A1611" s="8"/>
      <c r="B1611" s="8"/>
      <c r="C1611" s="8"/>
      <c r="D1611" s="8"/>
      <c r="E1611" s="71"/>
      <c r="F1611" s="10"/>
      <c r="G1611" s="8"/>
      <c r="H1611" s="8"/>
      <c r="I1611" s="8"/>
      <c r="J1611" s="8"/>
      <c r="K1611" s="8"/>
      <c r="L1611" s="8"/>
    </row>
    <row r="1612">
      <c r="A1612" s="8"/>
      <c r="B1612" s="8"/>
      <c r="C1612" s="8"/>
      <c r="D1612" s="8"/>
      <c r="E1612" s="71"/>
      <c r="F1612" s="10"/>
      <c r="G1612" s="8"/>
      <c r="H1612" s="8"/>
      <c r="I1612" s="8"/>
      <c r="J1612" s="8"/>
      <c r="K1612" s="8"/>
      <c r="L1612" s="8"/>
    </row>
    <row r="1613">
      <c r="A1613" s="8"/>
      <c r="B1613" s="8"/>
      <c r="C1613" s="8"/>
      <c r="D1613" s="8"/>
      <c r="E1613" s="71"/>
      <c r="F1613" s="10"/>
      <c r="G1613" s="8"/>
      <c r="H1613" s="8"/>
      <c r="I1613" s="8"/>
      <c r="J1613" s="8"/>
      <c r="K1613" s="8"/>
      <c r="L1613" s="8"/>
    </row>
    <row r="1614">
      <c r="A1614" s="8"/>
      <c r="B1614" s="8"/>
      <c r="C1614" s="8"/>
      <c r="D1614" s="8"/>
      <c r="E1614" s="71"/>
      <c r="F1614" s="10"/>
      <c r="G1614" s="8"/>
      <c r="H1614" s="8"/>
      <c r="I1614" s="8"/>
      <c r="J1614" s="8"/>
      <c r="K1614" s="8"/>
      <c r="L1614" s="8"/>
    </row>
    <row r="1615">
      <c r="A1615" s="8"/>
      <c r="B1615" s="8"/>
      <c r="C1615" s="8"/>
      <c r="D1615" s="8"/>
      <c r="E1615" s="71"/>
      <c r="F1615" s="10"/>
      <c r="G1615" s="8"/>
      <c r="H1615" s="8"/>
      <c r="I1615" s="8"/>
      <c r="J1615" s="8"/>
      <c r="K1615" s="8"/>
      <c r="L1615" s="8"/>
    </row>
    <row r="1616">
      <c r="A1616" s="8"/>
      <c r="B1616" s="8"/>
      <c r="C1616" s="8"/>
      <c r="D1616" s="8"/>
      <c r="E1616" s="71"/>
      <c r="F1616" s="10"/>
      <c r="G1616" s="8"/>
      <c r="H1616" s="8"/>
      <c r="I1616" s="8"/>
      <c r="J1616" s="8"/>
      <c r="K1616" s="8"/>
      <c r="L1616" s="8"/>
    </row>
    <row r="1617">
      <c r="A1617" s="8"/>
      <c r="B1617" s="8"/>
      <c r="C1617" s="8"/>
      <c r="D1617" s="8"/>
      <c r="E1617" s="71"/>
      <c r="F1617" s="10"/>
      <c r="G1617" s="8"/>
      <c r="H1617" s="8"/>
      <c r="I1617" s="8"/>
      <c r="J1617" s="8"/>
      <c r="K1617" s="8"/>
      <c r="L1617" s="8"/>
    </row>
    <row r="1618">
      <c r="A1618" s="8"/>
      <c r="B1618" s="8"/>
      <c r="C1618" s="8"/>
      <c r="D1618" s="8"/>
      <c r="E1618" s="71"/>
      <c r="F1618" s="10"/>
      <c r="G1618" s="8"/>
      <c r="H1618" s="8"/>
      <c r="I1618" s="8"/>
      <c r="J1618" s="8"/>
      <c r="K1618" s="8"/>
      <c r="L1618" s="8"/>
    </row>
    <row r="1619">
      <c r="A1619" s="8"/>
      <c r="B1619" s="8"/>
      <c r="C1619" s="8"/>
      <c r="D1619" s="8"/>
      <c r="E1619" s="71"/>
      <c r="F1619" s="10"/>
      <c r="G1619" s="8"/>
      <c r="H1619" s="8"/>
      <c r="I1619" s="8"/>
      <c r="J1619" s="8"/>
      <c r="K1619" s="8"/>
      <c r="L1619" s="8"/>
    </row>
    <row r="1620">
      <c r="A1620" s="8"/>
      <c r="B1620" s="8"/>
      <c r="C1620" s="8"/>
      <c r="D1620" s="8"/>
      <c r="E1620" s="71"/>
      <c r="F1620" s="10"/>
      <c r="G1620" s="8"/>
      <c r="H1620" s="8"/>
      <c r="I1620" s="8"/>
      <c r="J1620" s="8"/>
      <c r="K1620" s="8"/>
      <c r="L1620" s="8"/>
    </row>
    <row r="1621">
      <c r="A1621" s="8"/>
      <c r="B1621" s="8"/>
      <c r="C1621" s="8"/>
      <c r="D1621" s="8"/>
      <c r="E1621" s="71"/>
      <c r="F1621" s="10"/>
      <c r="G1621" s="8"/>
      <c r="H1621" s="8"/>
      <c r="I1621" s="8"/>
      <c r="J1621" s="8"/>
      <c r="K1621" s="8"/>
      <c r="L1621" s="8"/>
    </row>
    <row r="1622">
      <c r="A1622" s="8"/>
      <c r="B1622" s="8"/>
      <c r="C1622" s="8"/>
      <c r="D1622" s="8"/>
      <c r="E1622" s="71"/>
      <c r="F1622" s="10"/>
      <c r="G1622" s="8"/>
      <c r="H1622" s="8"/>
      <c r="I1622" s="8"/>
      <c r="J1622" s="8"/>
      <c r="K1622" s="8"/>
      <c r="L1622" s="8"/>
    </row>
    <row r="1623">
      <c r="A1623" s="8"/>
      <c r="B1623" s="8"/>
      <c r="C1623" s="8"/>
      <c r="D1623" s="8"/>
      <c r="E1623" s="71"/>
      <c r="F1623" s="10"/>
      <c r="G1623" s="8"/>
      <c r="H1623" s="8"/>
      <c r="I1623" s="8"/>
      <c r="J1623" s="8"/>
      <c r="K1623" s="8"/>
      <c r="L1623" s="8"/>
    </row>
    <row r="1624">
      <c r="A1624" s="8"/>
      <c r="B1624" s="8"/>
      <c r="C1624" s="8"/>
      <c r="D1624" s="8"/>
      <c r="E1624" s="71"/>
      <c r="F1624" s="10"/>
      <c r="G1624" s="8"/>
      <c r="H1624" s="8"/>
      <c r="I1624" s="8"/>
      <c r="J1624" s="8"/>
      <c r="K1624" s="8"/>
      <c r="L1624" s="8"/>
    </row>
    <row r="1625">
      <c r="A1625" s="8"/>
      <c r="B1625" s="8"/>
      <c r="C1625" s="8"/>
      <c r="D1625" s="8"/>
      <c r="E1625" s="71"/>
      <c r="F1625" s="10"/>
      <c r="G1625" s="8"/>
      <c r="H1625" s="8"/>
      <c r="I1625" s="8"/>
      <c r="J1625" s="8"/>
      <c r="K1625" s="8"/>
      <c r="L1625" s="8"/>
    </row>
    <row r="1626">
      <c r="A1626" s="8"/>
      <c r="B1626" s="8"/>
      <c r="C1626" s="8"/>
      <c r="D1626" s="8"/>
      <c r="E1626" s="71"/>
      <c r="F1626" s="10"/>
      <c r="G1626" s="8"/>
      <c r="H1626" s="8"/>
      <c r="I1626" s="8"/>
      <c r="J1626" s="8"/>
      <c r="K1626" s="8"/>
      <c r="L1626" s="8"/>
    </row>
    <row r="1627">
      <c r="A1627" s="8"/>
      <c r="B1627" s="8"/>
      <c r="C1627" s="8"/>
      <c r="D1627" s="8"/>
      <c r="E1627" s="71"/>
      <c r="F1627" s="10"/>
      <c r="G1627" s="8"/>
      <c r="H1627" s="8"/>
      <c r="I1627" s="8"/>
      <c r="J1627" s="8"/>
      <c r="K1627" s="8"/>
      <c r="L1627" s="8"/>
    </row>
    <row r="1628">
      <c r="A1628" s="8"/>
      <c r="B1628" s="8"/>
      <c r="C1628" s="8"/>
      <c r="D1628" s="8"/>
      <c r="E1628" s="71"/>
      <c r="F1628" s="10"/>
      <c r="G1628" s="8"/>
      <c r="H1628" s="8"/>
      <c r="I1628" s="8"/>
      <c r="J1628" s="8"/>
      <c r="K1628" s="8"/>
      <c r="L1628" s="8"/>
    </row>
    <row r="1629">
      <c r="A1629" s="8"/>
      <c r="B1629" s="8"/>
      <c r="C1629" s="8"/>
      <c r="D1629" s="8"/>
      <c r="E1629" s="71"/>
      <c r="F1629" s="10"/>
      <c r="G1629" s="8"/>
      <c r="H1629" s="8"/>
      <c r="I1629" s="8"/>
      <c r="J1629" s="8"/>
      <c r="K1629" s="8"/>
      <c r="L1629" s="8"/>
    </row>
    <row r="1630">
      <c r="A1630" s="8"/>
      <c r="B1630" s="8"/>
      <c r="C1630" s="8"/>
      <c r="D1630" s="8"/>
      <c r="E1630" s="71"/>
      <c r="F1630" s="10"/>
      <c r="G1630" s="8"/>
      <c r="H1630" s="8"/>
      <c r="I1630" s="8"/>
      <c r="J1630" s="8"/>
      <c r="K1630" s="8"/>
      <c r="L1630" s="8"/>
    </row>
    <row r="1631">
      <c r="A1631" s="8"/>
      <c r="B1631" s="8"/>
      <c r="C1631" s="8"/>
      <c r="D1631" s="8"/>
      <c r="E1631" s="71"/>
      <c r="F1631" s="10"/>
      <c r="G1631" s="8"/>
      <c r="H1631" s="8"/>
      <c r="I1631" s="8"/>
      <c r="J1631" s="8"/>
      <c r="K1631" s="8"/>
      <c r="L1631" s="8"/>
    </row>
    <row r="1632">
      <c r="A1632" s="8"/>
      <c r="B1632" s="8"/>
      <c r="C1632" s="8"/>
      <c r="D1632" s="8"/>
      <c r="E1632" s="71"/>
      <c r="F1632" s="10"/>
      <c r="G1632" s="8"/>
      <c r="H1632" s="8"/>
      <c r="I1632" s="8"/>
      <c r="J1632" s="8"/>
      <c r="K1632" s="8"/>
      <c r="L1632" s="8"/>
    </row>
    <row r="1633">
      <c r="A1633" s="8"/>
      <c r="B1633" s="8"/>
      <c r="C1633" s="8"/>
      <c r="D1633" s="8"/>
      <c r="E1633" s="71"/>
      <c r="F1633" s="10"/>
      <c r="G1633" s="8"/>
      <c r="H1633" s="8"/>
      <c r="I1633" s="8"/>
      <c r="J1633" s="8"/>
      <c r="K1633" s="8"/>
      <c r="L1633" s="8"/>
    </row>
    <row r="1634">
      <c r="A1634" s="8"/>
      <c r="B1634" s="8"/>
      <c r="C1634" s="8"/>
      <c r="D1634" s="8"/>
      <c r="E1634" s="71"/>
      <c r="F1634" s="10"/>
      <c r="G1634" s="8"/>
      <c r="H1634" s="8"/>
      <c r="I1634" s="8"/>
      <c r="J1634" s="8"/>
      <c r="K1634" s="8"/>
      <c r="L1634" s="8"/>
    </row>
    <row r="1635">
      <c r="A1635" s="8"/>
      <c r="B1635" s="8"/>
      <c r="C1635" s="8"/>
      <c r="D1635" s="8"/>
      <c r="E1635" s="71"/>
      <c r="F1635" s="10"/>
      <c r="G1635" s="8"/>
      <c r="H1635" s="8"/>
      <c r="I1635" s="8"/>
      <c r="J1635" s="8"/>
      <c r="K1635" s="8"/>
      <c r="L1635" s="8"/>
    </row>
    <row r="1636">
      <c r="A1636" s="8"/>
      <c r="B1636" s="8"/>
      <c r="C1636" s="8"/>
      <c r="D1636" s="8"/>
      <c r="E1636" s="71"/>
      <c r="F1636" s="10"/>
      <c r="G1636" s="8"/>
      <c r="H1636" s="8"/>
      <c r="I1636" s="8"/>
      <c r="J1636" s="8"/>
      <c r="K1636" s="8"/>
      <c r="L1636" s="8"/>
    </row>
    <row r="1637">
      <c r="A1637" s="8"/>
      <c r="B1637" s="8"/>
      <c r="C1637" s="8"/>
      <c r="D1637" s="8"/>
      <c r="E1637" s="71"/>
      <c r="F1637" s="10"/>
      <c r="G1637" s="8"/>
      <c r="H1637" s="8"/>
      <c r="I1637" s="8"/>
      <c r="J1637" s="8"/>
      <c r="K1637" s="8"/>
      <c r="L1637" s="8"/>
    </row>
    <row r="1638">
      <c r="A1638" s="8"/>
      <c r="B1638" s="8"/>
      <c r="C1638" s="8"/>
      <c r="D1638" s="8"/>
      <c r="E1638" s="71"/>
      <c r="F1638" s="10"/>
      <c r="G1638" s="8"/>
      <c r="H1638" s="8"/>
      <c r="I1638" s="8"/>
      <c r="J1638" s="8"/>
      <c r="K1638" s="8"/>
      <c r="L1638" s="8"/>
    </row>
    <row r="1639">
      <c r="A1639" s="8"/>
      <c r="B1639" s="8"/>
      <c r="C1639" s="8"/>
      <c r="D1639" s="8"/>
      <c r="E1639" s="71"/>
      <c r="F1639" s="10"/>
      <c r="G1639" s="8"/>
      <c r="H1639" s="8"/>
      <c r="I1639" s="8"/>
      <c r="J1639" s="8"/>
      <c r="K1639" s="8"/>
      <c r="L1639" s="8"/>
    </row>
    <row r="1640">
      <c r="A1640" s="8"/>
      <c r="B1640" s="8"/>
      <c r="C1640" s="8"/>
      <c r="D1640" s="8"/>
      <c r="E1640" s="71"/>
      <c r="F1640" s="10"/>
      <c r="G1640" s="8"/>
      <c r="H1640" s="8"/>
      <c r="I1640" s="8"/>
      <c r="J1640" s="8"/>
      <c r="K1640" s="8"/>
      <c r="L1640" s="8"/>
    </row>
    <row r="1641">
      <c r="A1641" s="8"/>
      <c r="B1641" s="8"/>
      <c r="C1641" s="8"/>
      <c r="D1641" s="8"/>
      <c r="E1641" s="71"/>
      <c r="F1641" s="10"/>
      <c r="G1641" s="8"/>
      <c r="H1641" s="8"/>
      <c r="I1641" s="8"/>
      <c r="J1641" s="8"/>
      <c r="K1641" s="8"/>
      <c r="L1641" s="8"/>
    </row>
    <row r="1642">
      <c r="A1642" s="8"/>
      <c r="B1642" s="8"/>
      <c r="C1642" s="8"/>
      <c r="D1642" s="8"/>
      <c r="E1642" s="71"/>
      <c r="F1642" s="10"/>
      <c r="G1642" s="8"/>
      <c r="H1642" s="8"/>
      <c r="I1642" s="8"/>
      <c r="J1642" s="8"/>
      <c r="K1642" s="8"/>
      <c r="L1642" s="8"/>
    </row>
    <row r="1643">
      <c r="A1643" s="8"/>
      <c r="B1643" s="8"/>
      <c r="C1643" s="8"/>
      <c r="D1643" s="8"/>
      <c r="E1643" s="71"/>
      <c r="F1643" s="10"/>
      <c r="G1643" s="8"/>
      <c r="H1643" s="8"/>
      <c r="I1643" s="8"/>
      <c r="J1643" s="8"/>
      <c r="K1643" s="8"/>
      <c r="L1643" s="8"/>
    </row>
    <row r="1644">
      <c r="A1644" s="8"/>
      <c r="B1644" s="8"/>
      <c r="C1644" s="8"/>
      <c r="D1644" s="8"/>
      <c r="E1644" s="71"/>
      <c r="F1644" s="10"/>
      <c r="G1644" s="8"/>
      <c r="H1644" s="8"/>
      <c r="I1644" s="8"/>
      <c r="J1644" s="8"/>
      <c r="K1644" s="8"/>
      <c r="L1644" s="8"/>
    </row>
    <row r="1645">
      <c r="A1645" s="8"/>
      <c r="B1645" s="8"/>
      <c r="C1645" s="8"/>
      <c r="D1645" s="8"/>
      <c r="E1645" s="71"/>
      <c r="F1645" s="10"/>
      <c r="G1645" s="8"/>
      <c r="H1645" s="8"/>
      <c r="I1645" s="8"/>
      <c r="J1645" s="8"/>
      <c r="K1645" s="8"/>
      <c r="L1645" s="8"/>
    </row>
    <row r="1646">
      <c r="A1646" s="8"/>
      <c r="B1646" s="8"/>
      <c r="C1646" s="8"/>
      <c r="D1646" s="8"/>
      <c r="E1646" s="71"/>
      <c r="F1646" s="10"/>
      <c r="G1646" s="8"/>
      <c r="H1646" s="8"/>
      <c r="I1646" s="8"/>
      <c r="J1646" s="8"/>
      <c r="K1646" s="8"/>
      <c r="L1646" s="8"/>
    </row>
    <row r="1647">
      <c r="A1647" s="8"/>
      <c r="B1647" s="8"/>
      <c r="C1647" s="8"/>
      <c r="D1647" s="8"/>
      <c r="E1647" s="71"/>
      <c r="F1647" s="10"/>
      <c r="G1647" s="8"/>
      <c r="H1647" s="8"/>
      <c r="I1647" s="8"/>
      <c r="J1647" s="8"/>
      <c r="K1647" s="8"/>
      <c r="L1647" s="8"/>
    </row>
    <row r="1648">
      <c r="A1648" s="8"/>
      <c r="B1648" s="8"/>
      <c r="C1648" s="8"/>
      <c r="D1648" s="8"/>
      <c r="E1648" s="71"/>
      <c r="F1648" s="10"/>
      <c r="G1648" s="8"/>
      <c r="H1648" s="8"/>
      <c r="I1648" s="8"/>
      <c r="J1648" s="8"/>
      <c r="K1648" s="8"/>
      <c r="L1648" s="8"/>
    </row>
    <row r="1649">
      <c r="A1649" s="8"/>
      <c r="B1649" s="8"/>
      <c r="C1649" s="8"/>
      <c r="D1649" s="8"/>
      <c r="E1649" s="71"/>
      <c r="F1649" s="10"/>
      <c r="G1649" s="8"/>
      <c r="H1649" s="8"/>
      <c r="I1649" s="8"/>
      <c r="J1649" s="8"/>
      <c r="K1649" s="8"/>
      <c r="L1649" s="8"/>
    </row>
    <row r="1650">
      <c r="A1650" s="8"/>
      <c r="B1650" s="8"/>
      <c r="C1650" s="8"/>
      <c r="D1650" s="8"/>
      <c r="E1650" s="71"/>
      <c r="F1650" s="10"/>
      <c r="G1650" s="8"/>
      <c r="H1650" s="8"/>
      <c r="I1650" s="8"/>
      <c r="J1650" s="8"/>
      <c r="K1650" s="8"/>
      <c r="L1650" s="8"/>
    </row>
    <row r="1651">
      <c r="A1651" s="8"/>
      <c r="B1651" s="8"/>
      <c r="C1651" s="8"/>
      <c r="D1651" s="8"/>
      <c r="E1651" s="71"/>
      <c r="F1651" s="10"/>
      <c r="G1651" s="8"/>
      <c r="H1651" s="8"/>
      <c r="I1651" s="8"/>
      <c r="J1651" s="8"/>
      <c r="K1651" s="8"/>
      <c r="L1651" s="8"/>
    </row>
    <row r="1652">
      <c r="A1652" s="8"/>
      <c r="B1652" s="8"/>
      <c r="C1652" s="8"/>
      <c r="D1652" s="8"/>
      <c r="E1652" s="71"/>
      <c r="F1652" s="10"/>
      <c r="G1652" s="8"/>
      <c r="H1652" s="8"/>
      <c r="I1652" s="8"/>
      <c r="J1652" s="8"/>
      <c r="K1652" s="8"/>
      <c r="L1652" s="8"/>
    </row>
    <row r="1653">
      <c r="A1653" s="8"/>
      <c r="B1653" s="8"/>
      <c r="C1653" s="8"/>
      <c r="D1653" s="8"/>
      <c r="E1653" s="71"/>
      <c r="F1653" s="10"/>
      <c r="G1653" s="8"/>
      <c r="H1653" s="8"/>
      <c r="I1653" s="8"/>
      <c r="J1653" s="8"/>
      <c r="K1653" s="8"/>
      <c r="L1653" s="8"/>
    </row>
    <row r="1654">
      <c r="A1654" s="8"/>
      <c r="B1654" s="8"/>
      <c r="C1654" s="8"/>
      <c r="D1654" s="8"/>
      <c r="E1654" s="71"/>
      <c r="F1654" s="10"/>
      <c r="G1654" s="8"/>
      <c r="H1654" s="8"/>
      <c r="I1654" s="8"/>
      <c r="J1654" s="8"/>
      <c r="K1654" s="8"/>
      <c r="L1654" s="8"/>
    </row>
    <row r="1655">
      <c r="A1655" s="8"/>
      <c r="B1655" s="8"/>
      <c r="C1655" s="8"/>
      <c r="D1655" s="8"/>
      <c r="E1655" s="71"/>
      <c r="F1655" s="10"/>
      <c r="G1655" s="8"/>
      <c r="H1655" s="8"/>
      <c r="I1655" s="8"/>
      <c r="J1655" s="8"/>
      <c r="K1655" s="8"/>
      <c r="L1655" s="8"/>
    </row>
    <row r="1656">
      <c r="A1656" s="8"/>
      <c r="B1656" s="8"/>
      <c r="C1656" s="8"/>
      <c r="D1656" s="8"/>
      <c r="E1656" s="71"/>
      <c r="F1656" s="10"/>
      <c r="G1656" s="8"/>
      <c r="H1656" s="8"/>
      <c r="I1656" s="8"/>
      <c r="J1656" s="8"/>
      <c r="K1656" s="8"/>
      <c r="L1656" s="8"/>
    </row>
    <row r="1657">
      <c r="A1657" s="8"/>
      <c r="B1657" s="8"/>
      <c r="C1657" s="8"/>
      <c r="D1657" s="8"/>
      <c r="E1657" s="71"/>
      <c r="F1657" s="10"/>
      <c r="G1657" s="8"/>
      <c r="H1657" s="8"/>
      <c r="I1657" s="8"/>
      <c r="J1657" s="8"/>
      <c r="K1657" s="8"/>
      <c r="L1657" s="8"/>
    </row>
    <row r="1658">
      <c r="A1658" s="8"/>
      <c r="B1658" s="8"/>
      <c r="C1658" s="8"/>
      <c r="D1658" s="8"/>
      <c r="E1658" s="71"/>
      <c r="F1658" s="10"/>
      <c r="G1658" s="8"/>
      <c r="H1658" s="8"/>
      <c r="I1658" s="8"/>
      <c r="J1658" s="8"/>
      <c r="K1658" s="8"/>
      <c r="L1658" s="8"/>
    </row>
    <row r="1659">
      <c r="A1659" s="8"/>
      <c r="B1659" s="8"/>
      <c r="C1659" s="8"/>
      <c r="D1659" s="8"/>
      <c r="E1659" s="71"/>
      <c r="F1659" s="10"/>
      <c r="G1659" s="8"/>
      <c r="H1659" s="8"/>
      <c r="I1659" s="8"/>
      <c r="J1659" s="8"/>
      <c r="K1659" s="8"/>
      <c r="L1659" s="8"/>
    </row>
    <row r="1660">
      <c r="A1660" s="8"/>
      <c r="B1660" s="8"/>
      <c r="C1660" s="8"/>
      <c r="D1660" s="8"/>
      <c r="E1660" s="71"/>
      <c r="F1660" s="10"/>
      <c r="G1660" s="8"/>
      <c r="H1660" s="8"/>
      <c r="I1660" s="8"/>
      <c r="J1660" s="8"/>
      <c r="K1660" s="8"/>
      <c r="L1660" s="8"/>
    </row>
    <row r="1661">
      <c r="A1661" s="8"/>
      <c r="B1661" s="8"/>
      <c r="C1661" s="8"/>
      <c r="D1661" s="8"/>
      <c r="E1661" s="71"/>
      <c r="F1661" s="10"/>
      <c r="G1661" s="8"/>
      <c r="H1661" s="8"/>
      <c r="I1661" s="8"/>
      <c r="J1661" s="8"/>
      <c r="K1661" s="8"/>
      <c r="L1661" s="8"/>
    </row>
    <row r="1662">
      <c r="A1662" s="8"/>
      <c r="B1662" s="8"/>
      <c r="C1662" s="8"/>
      <c r="D1662" s="8"/>
      <c r="E1662" s="71"/>
      <c r="F1662" s="10"/>
      <c r="G1662" s="8"/>
      <c r="H1662" s="8"/>
      <c r="I1662" s="8"/>
      <c r="J1662" s="8"/>
      <c r="K1662" s="8"/>
      <c r="L1662" s="8"/>
    </row>
    <row r="1663">
      <c r="A1663" s="8"/>
      <c r="B1663" s="8"/>
      <c r="C1663" s="8"/>
      <c r="D1663" s="8"/>
      <c r="E1663" s="71"/>
      <c r="F1663" s="10"/>
      <c r="G1663" s="8"/>
      <c r="H1663" s="8"/>
      <c r="I1663" s="8"/>
      <c r="J1663" s="8"/>
      <c r="K1663" s="8"/>
      <c r="L1663" s="8"/>
    </row>
    <row r="1664">
      <c r="A1664" s="8"/>
      <c r="B1664" s="8"/>
      <c r="C1664" s="8"/>
      <c r="D1664" s="8"/>
      <c r="E1664" s="71"/>
      <c r="F1664" s="10"/>
      <c r="G1664" s="8"/>
      <c r="H1664" s="8"/>
      <c r="I1664" s="8"/>
      <c r="J1664" s="8"/>
      <c r="K1664" s="8"/>
      <c r="L1664" s="8"/>
    </row>
    <row r="1665">
      <c r="A1665" s="8"/>
      <c r="B1665" s="8"/>
      <c r="C1665" s="8"/>
      <c r="D1665" s="8"/>
      <c r="E1665" s="71"/>
      <c r="F1665" s="10"/>
      <c r="G1665" s="8"/>
      <c r="H1665" s="8"/>
      <c r="I1665" s="8"/>
      <c r="J1665" s="8"/>
      <c r="K1665" s="8"/>
      <c r="L1665" s="8"/>
    </row>
    <row r="1666">
      <c r="A1666" s="8"/>
      <c r="B1666" s="8"/>
      <c r="C1666" s="8"/>
      <c r="D1666" s="8"/>
      <c r="E1666" s="71"/>
      <c r="F1666" s="10"/>
      <c r="G1666" s="8"/>
      <c r="H1666" s="8"/>
      <c r="I1666" s="8"/>
      <c r="J1666" s="8"/>
      <c r="K1666" s="8"/>
      <c r="L1666" s="8"/>
    </row>
    <row r="1667">
      <c r="A1667" s="8"/>
      <c r="B1667" s="8"/>
      <c r="C1667" s="8"/>
      <c r="D1667" s="8"/>
      <c r="E1667" s="71"/>
      <c r="F1667" s="10"/>
      <c r="G1667" s="8"/>
      <c r="H1667" s="8"/>
      <c r="I1667" s="8"/>
      <c r="J1667" s="8"/>
      <c r="K1667" s="8"/>
      <c r="L1667" s="8"/>
    </row>
    <row r="1668">
      <c r="A1668" s="8"/>
      <c r="B1668" s="8"/>
      <c r="C1668" s="8"/>
      <c r="D1668" s="8"/>
      <c r="E1668" s="71"/>
      <c r="F1668" s="10"/>
      <c r="G1668" s="8"/>
      <c r="H1668" s="8"/>
      <c r="I1668" s="8"/>
      <c r="J1668" s="8"/>
      <c r="K1668" s="8"/>
      <c r="L1668" s="8"/>
    </row>
    <row r="1669">
      <c r="A1669" s="8"/>
      <c r="B1669" s="8"/>
      <c r="C1669" s="8"/>
      <c r="D1669" s="8"/>
      <c r="E1669" s="71"/>
      <c r="F1669" s="10"/>
      <c r="G1669" s="8"/>
      <c r="H1669" s="8"/>
      <c r="I1669" s="8"/>
      <c r="J1669" s="8"/>
      <c r="K1669" s="8"/>
      <c r="L1669" s="8"/>
    </row>
    <row r="1670">
      <c r="A1670" s="8"/>
      <c r="B1670" s="8"/>
      <c r="C1670" s="8"/>
      <c r="D1670" s="8"/>
      <c r="E1670" s="71"/>
      <c r="F1670" s="10"/>
      <c r="G1670" s="8"/>
      <c r="H1670" s="8"/>
      <c r="I1670" s="8"/>
      <c r="J1670" s="8"/>
      <c r="K1670" s="8"/>
      <c r="L1670" s="8"/>
    </row>
    <row r="1671">
      <c r="A1671" s="8"/>
      <c r="B1671" s="8"/>
      <c r="C1671" s="8"/>
      <c r="D1671" s="8"/>
      <c r="E1671" s="71"/>
      <c r="F1671" s="10"/>
      <c r="G1671" s="8"/>
      <c r="H1671" s="8"/>
      <c r="I1671" s="8"/>
      <c r="J1671" s="8"/>
      <c r="K1671" s="8"/>
      <c r="L1671" s="8"/>
    </row>
    <row r="1672">
      <c r="A1672" s="8"/>
      <c r="B1672" s="8"/>
      <c r="C1672" s="8"/>
      <c r="D1672" s="8"/>
      <c r="E1672" s="71"/>
      <c r="F1672" s="10"/>
      <c r="G1672" s="8"/>
      <c r="H1672" s="8"/>
      <c r="I1672" s="8"/>
      <c r="J1672" s="8"/>
      <c r="K1672" s="8"/>
      <c r="L1672" s="8"/>
    </row>
    <row r="1673">
      <c r="A1673" s="8"/>
      <c r="B1673" s="8"/>
      <c r="C1673" s="8"/>
      <c r="D1673" s="8"/>
      <c r="E1673" s="71"/>
      <c r="F1673" s="10"/>
      <c r="G1673" s="8"/>
      <c r="H1673" s="8"/>
      <c r="I1673" s="8"/>
      <c r="J1673" s="8"/>
      <c r="K1673" s="8"/>
      <c r="L1673" s="8"/>
    </row>
    <row r="1674">
      <c r="A1674" s="8"/>
      <c r="B1674" s="8"/>
      <c r="C1674" s="8"/>
      <c r="D1674" s="8"/>
      <c r="E1674" s="71"/>
      <c r="F1674" s="10"/>
      <c r="G1674" s="8"/>
      <c r="H1674" s="8"/>
      <c r="I1674" s="8"/>
      <c r="J1674" s="8"/>
      <c r="K1674" s="8"/>
      <c r="L1674" s="8"/>
    </row>
    <row r="1675">
      <c r="A1675" s="8"/>
      <c r="B1675" s="8"/>
      <c r="C1675" s="8"/>
      <c r="D1675" s="8"/>
      <c r="E1675" s="71"/>
      <c r="F1675" s="10"/>
      <c r="G1675" s="8"/>
      <c r="H1675" s="8"/>
      <c r="I1675" s="8"/>
      <c r="J1675" s="8"/>
      <c r="K1675" s="8"/>
      <c r="L1675" s="8"/>
    </row>
    <row r="1676">
      <c r="A1676" s="8"/>
      <c r="B1676" s="8"/>
      <c r="C1676" s="8"/>
      <c r="D1676" s="8"/>
      <c r="E1676" s="71"/>
      <c r="F1676" s="10"/>
      <c r="G1676" s="8"/>
      <c r="H1676" s="8"/>
      <c r="I1676" s="8"/>
      <c r="J1676" s="8"/>
      <c r="K1676" s="8"/>
      <c r="L1676" s="8"/>
    </row>
    <row r="1677">
      <c r="A1677" s="8"/>
      <c r="B1677" s="8"/>
      <c r="C1677" s="8"/>
      <c r="D1677" s="8"/>
      <c r="E1677" s="71"/>
      <c r="F1677" s="10"/>
      <c r="G1677" s="8"/>
      <c r="H1677" s="8"/>
      <c r="I1677" s="8"/>
      <c r="J1677" s="8"/>
      <c r="K1677" s="8"/>
      <c r="L1677" s="8"/>
    </row>
    <row r="1678">
      <c r="A1678" s="8"/>
      <c r="B1678" s="8"/>
      <c r="C1678" s="8"/>
      <c r="D1678" s="8"/>
      <c r="E1678" s="71"/>
      <c r="F1678" s="10"/>
      <c r="G1678" s="8"/>
      <c r="H1678" s="8"/>
      <c r="I1678" s="8"/>
      <c r="J1678" s="8"/>
      <c r="K1678" s="8"/>
      <c r="L1678" s="8"/>
    </row>
    <row r="1679">
      <c r="A1679" s="8"/>
      <c r="B1679" s="8"/>
      <c r="C1679" s="8"/>
      <c r="D1679" s="8"/>
      <c r="E1679" s="71"/>
      <c r="F1679" s="10"/>
      <c r="G1679" s="8"/>
      <c r="H1679" s="8"/>
      <c r="I1679" s="8"/>
      <c r="J1679" s="8"/>
      <c r="K1679" s="8"/>
      <c r="L1679" s="8"/>
    </row>
    <row r="1680">
      <c r="A1680" s="8"/>
      <c r="B1680" s="8"/>
      <c r="C1680" s="8"/>
      <c r="D1680" s="8"/>
      <c r="E1680" s="71"/>
      <c r="F1680" s="10"/>
      <c r="G1680" s="8"/>
      <c r="H1680" s="8"/>
      <c r="I1680" s="8"/>
      <c r="J1680" s="8"/>
      <c r="K1680" s="8"/>
      <c r="L1680" s="8"/>
    </row>
    <row r="1681">
      <c r="A1681" s="8"/>
      <c r="B1681" s="8"/>
      <c r="C1681" s="8"/>
      <c r="D1681" s="8"/>
      <c r="E1681" s="71"/>
      <c r="F1681" s="10"/>
      <c r="G1681" s="8"/>
      <c r="H1681" s="8"/>
      <c r="I1681" s="8"/>
      <c r="J1681" s="8"/>
      <c r="K1681" s="8"/>
      <c r="L1681" s="8"/>
    </row>
    <row r="1682">
      <c r="A1682" s="8"/>
      <c r="B1682" s="8"/>
      <c r="C1682" s="8"/>
      <c r="D1682" s="8"/>
      <c r="E1682" s="71"/>
      <c r="F1682" s="10"/>
      <c r="G1682" s="8"/>
      <c r="H1682" s="8"/>
      <c r="I1682" s="8"/>
      <c r="J1682" s="8"/>
      <c r="K1682" s="8"/>
      <c r="L1682" s="8"/>
    </row>
    <row r="1683">
      <c r="A1683" s="8"/>
      <c r="B1683" s="8"/>
      <c r="C1683" s="8"/>
      <c r="D1683" s="8"/>
      <c r="E1683" s="71"/>
      <c r="F1683" s="10"/>
      <c r="G1683" s="8"/>
      <c r="H1683" s="8"/>
      <c r="I1683" s="8"/>
      <c r="J1683" s="8"/>
      <c r="K1683" s="8"/>
      <c r="L1683" s="8"/>
    </row>
    <row r="1684">
      <c r="A1684" s="8"/>
      <c r="B1684" s="8"/>
      <c r="C1684" s="8"/>
      <c r="D1684" s="8"/>
      <c r="E1684" s="71"/>
      <c r="F1684" s="10"/>
      <c r="G1684" s="8"/>
      <c r="H1684" s="8"/>
      <c r="I1684" s="8"/>
      <c r="J1684" s="8"/>
      <c r="K1684" s="8"/>
      <c r="L1684" s="8"/>
    </row>
    <row r="1685">
      <c r="A1685" s="8"/>
      <c r="B1685" s="8"/>
      <c r="C1685" s="8"/>
      <c r="D1685" s="8"/>
      <c r="E1685" s="71"/>
      <c r="F1685" s="10"/>
      <c r="G1685" s="8"/>
      <c r="H1685" s="8"/>
      <c r="I1685" s="8"/>
      <c r="J1685" s="8"/>
      <c r="K1685" s="8"/>
      <c r="L1685" s="8"/>
    </row>
    <row r="1686">
      <c r="A1686" s="8"/>
      <c r="B1686" s="8"/>
      <c r="C1686" s="8"/>
      <c r="D1686" s="8"/>
      <c r="E1686" s="71"/>
      <c r="F1686" s="10"/>
      <c r="G1686" s="8"/>
      <c r="H1686" s="8"/>
      <c r="I1686" s="8"/>
      <c r="J1686" s="8"/>
      <c r="K1686" s="8"/>
      <c r="L1686" s="8"/>
    </row>
    <row r="1687">
      <c r="A1687" s="8"/>
      <c r="B1687" s="8"/>
      <c r="C1687" s="8"/>
      <c r="D1687" s="8"/>
      <c r="E1687" s="71"/>
      <c r="F1687" s="10"/>
      <c r="G1687" s="8"/>
      <c r="H1687" s="8"/>
      <c r="I1687" s="8"/>
      <c r="J1687" s="8"/>
      <c r="K1687" s="8"/>
      <c r="L1687" s="8"/>
    </row>
    <row r="1688">
      <c r="A1688" s="8"/>
      <c r="B1688" s="8"/>
      <c r="C1688" s="8"/>
      <c r="D1688" s="8"/>
      <c r="E1688" s="71"/>
      <c r="F1688" s="10"/>
      <c r="G1688" s="8"/>
      <c r="H1688" s="8"/>
      <c r="I1688" s="8"/>
      <c r="J1688" s="8"/>
      <c r="K1688" s="8"/>
      <c r="L1688" s="8"/>
    </row>
    <row r="1689">
      <c r="A1689" s="8"/>
      <c r="B1689" s="8"/>
      <c r="C1689" s="8"/>
      <c r="D1689" s="8"/>
      <c r="E1689" s="71"/>
      <c r="F1689" s="10"/>
      <c r="G1689" s="8"/>
      <c r="H1689" s="8"/>
      <c r="I1689" s="8"/>
      <c r="J1689" s="8"/>
      <c r="K1689" s="8"/>
      <c r="L1689" s="8"/>
    </row>
    <row r="1690">
      <c r="A1690" s="8"/>
      <c r="B1690" s="8"/>
      <c r="C1690" s="8"/>
      <c r="D1690" s="8"/>
      <c r="E1690" s="71"/>
      <c r="F1690" s="10"/>
      <c r="G1690" s="8"/>
      <c r="H1690" s="8"/>
      <c r="I1690" s="8"/>
      <c r="J1690" s="8"/>
      <c r="K1690" s="8"/>
      <c r="L1690" s="8"/>
    </row>
    <row r="1691">
      <c r="A1691" s="8"/>
      <c r="B1691" s="8"/>
      <c r="C1691" s="8"/>
      <c r="D1691" s="8"/>
      <c r="E1691" s="71"/>
      <c r="F1691" s="10"/>
      <c r="G1691" s="8"/>
      <c r="H1691" s="8"/>
      <c r="I1691" s="8"/>
      <c r="J1691" s="8"/>
      <c r="K1691" s="8"/>
      <c r="L1691" s="8"/>
    </row>
    <row r="1692">
      <c r="A1692" s="8"/>
      <c r="B1692" s="8"/>
      <c r="C1692" s="8"/>
      <c r="D1692" s="8"/>
      <c r="E1692" s="71"/>
      <c r="F1692" s="10"/>
      <c r="G1692" s="8"/>
      <c r="H1692" s="8"/>
      <c r="I1692" s="8"/>
      <c r="J1692" s="8"/>
      <c r="K1692" s="8"/>
      <c r="L1692" s="8"/>
    </row>
    <row r="1693">
      <c r="A1693" s="8"/>
      <c r="B1693" s="8"/>
      <c r="C1693" s="8"/>
      <c r="D1693" s="8"/>
      <c r="E1693" s="71"/>
      <c r="F1693" s="10"/>
      <c r="G1693" s="8"/>
      <c r="H1693" s="8"/>
      <c r="I1693" s="8"/>
      <c r="J1693" s="8"/>
      <c r="K1693" s="8"/>
      <c r="L1693" s="8"/>
    </row>
    <row r="1694">
      <c r="A1694" s="8"/>
      <c r="B1694" s="8"/>
      <c r="C1694" s="8"/>
      <c r="D1694" s="8"/>
      <c r="E1694" s="71"/>
      <c r="F1694" s="10"/>
      <c r="G1694" s="8"/>
      <c r="H1694" s="8"/>
      <c r="I1694" s="8"/>
      <c r="J1694" s="8"/>
      <c r="K1694" s="8"/>
      <c r="L1694" s="8"/>
    </row>
    <row r="1695">
      <c r="A1695" s="8"/>
      <c r="B1695" s="8"/>
      <c r="C1695" s="8"/>
      <c r="D1695" s="8"/>
      <c r="E1695" s="71"/>
      <c r="F1695" s="10"/>
      <c r="G1695" s="8"/>
      <c r="H1695" s="8"/>
      <c r="I1695" s="8"/>
      <c r="J1695" s="8"/>
      <c r="K1695" s="8"/>
      <c r="L1695" s="8"/>
    </row>
    <row r="1696">
      <c r="A1696" s="8"/>
      <c r="B1696" s="8"/>
      <c r="C1696" s="8"/>
      <c r="D1696" s="8"/>
      <c r="E1696" s="71"/>
      <c r="F1696" s="10"/>
      <c r="G1696" s="8"/>
      <c r="H1696" s="8"/>
      <c r="I1696" s="8"/>
      <c r="J1696" s="8"/>
      <c r="K1696" s="8"/>
      <c r="L1696" s="8"/>
    </row>
    <row r="1697">
      <c r="A1697" s="8"/>
      <c r="B1697" s="8"/>
      <c r="C1697" s="8"/>
      <c r="D1697" s="8"/>
      <c r="E1697" s="71"/>
      <c r="F1697" s="10"/>
      <c r="G1697" s="8"/>
      <c r="H1697" s="8"/>
      <c r="I1697" s="8"/>
      <c r="J1697" s="8"/>
      <c r="K1697" s="8"/>
      <c r="L1697" s="8"/>
    </row>
    <row r="1698">
      <c r="A1698" s="8"/>
      <c r="B1698" s="8"/>
      <c r="C1698" s="8"/>
      <c r="D1698" s="8"/>
      <c r="E1698" s="71"/>
      <c r="F1698" s="10"/>
      <c r="G1698" s="8"/>
      <c r="H1698" s="8"/>
      <c r="I1698" s="8"/>
      <c r="J1698" s="8"/>
      <c r="K1698" s="8"/>
      <c r="L1698" s="8"/>
    </row>
    <row r="1699">
      <c r="A1699" s="8"/>
      <c r="B1699" s="8"/>
      <c r="C1699" s="8"/>
      <c r="D1699" s="8"/>
      <c r="E1699" s="71"/>
      <c r="F1699" s="10"/>
      <c r="G1699" s="8"/>
      <c r="H1699" s="8"/>
      <c r="I1699" s="8"/>
      <c r="J1699" s="8"/>
      <c r="K1699" s="8"/>
      <c r="L1699" s="8"/>
    </row>
    <row r="1700">
      <c r="A1700" s="8"/>
      <c r="B1700" s="8"/>
      <c r="C1700" s="8"/>
      <c r="D1700" s="8"/>
      <c r="E1700" s="71"/>
      <c r="F1700" s="10"/>
      <c r="G1700" s="8"/>
      <c r="H1700" s="8"/>
      <c r="I1700" s="8"/>
      <c r="J1700" s="8"/>
      <c r="K1700" s="8"/>
      <c r="L1700" s="8"/>
    </row>
    <row r="1701">
      <c r="A1701" s="8"/>
      <c r="B1701" s="8"/>
      <c r="C1701" s="8"/>
      <c r="D1701" s="8"/>
      <c r="E1701" s="71"/>
      <c r="F1701" s="10"/>
      <c r="G1701" s="8"/>
      <c r="H1701" s="8"/>
      <c r="I1701" s="8"/>
      <c r="J1701" s="8"/>
      <c r="K1701" s="8"/>
      <c r="L1701" s="8"/>
    </row>
    <row r="1702">
      <c r="A1702" s="8"/>
      <c r="B1702" s="8"/>
      <c r="C1702" s="8"/>
      <c r="D1702" s="8"/>
      <c r="E1702" s="71"/>
      <c r="F1702" s="10"/>
      <c r="G1702" s="8"/>
      <c r="H1702" s="8"/>
      <c r="I1702" s="8"/>
      <c r="J1702" s="8"/>
      <c r="K1702" s="8"/>
      <c r="L1702" s="8"/>
    </row>
    <row r="1703">
      <c r="A1703" s="8"/>
      <c r="B1703" s="8"/>
      <c r="C1703" s="8"/>
      <c r="D1703" s="8"/>
      <c r="E1703" s="71"/>
      <c r="F1703" s="10"/>
      <c r="G1703" s="8"/>
      <c r="H1703" s="8"/>
      <c r="I1703" s="8"/>
      <c r="J1703" s="8"/>
      <c r="K1703" s="8"/>
      <c r="L1703" s="8"/>
    </row>
    <row r="1704">
      <c r="A1704" s="8"/>
      <c r="B1704" s="8"/>
      <c r="C1704" s="8"/>
      <c r="D1704" s="8"/>
      <c r="E1704" s="71"/>
      <c r="F1704" s="10"/>
      <c r="G1704" s="8"/>
      <c r="H1704" s="8"/>
      <c r="I1704" s="8"/>
      <c r="J1704" s="8"/>
      <c r="K1704" s="8"/>
      <c r="L1704" s="8"/>
    </row>
    <row r="1705">
      <c r="A1705" s="8"/>
      <c r="B1705" s="8"/>
      <c r="C1705" s="8"/>
      <c r="D1705" s="8"/>
      <c r="E1705" s="71"/>
      <c r="F1705" s="10"/>
      <c r="G1705" s="8"/>
      <c r="H1705" s="8"/>
      <c r="I1705" s="8"/>
      <c r="J1705" s="8"/>
      <c r="K1705" s="8"/>
      <c r="L1705" s="8"/>
    </row>
    <row r="1706">
      <c r="A1706" s="8"/>
      <c r="B1706" s="8"/>
      <c r="C1706" s="8"/>
      <c r="D1706" s="8"/>
      <c r="E1706" s="71"/>
      <c r="F1706" s="10"/>
      <c r="G1706" s="8"/>
      <c r="H1706" s="8"/>
      <c r="I1706" s="8"/>
      <c r="J1706" s="8"/>
      <c r="K1706" s="8"/>
      <c r="L1706" s="8"/>
    </row>
    <row r="1707">
      <c r="A1707" s="8"/>
      <c r="B1707" s="8"/>
      <c r="C1707" s="8"/>
      <c r="D1707" s="8"/>
      <c r="E1707" s="71"/>
      <c r="F1707" s="10"/>
      <c r="G1707" s="8"/>
      <c r="H1707" s="8"/>
      <c r="I1707" s="8"/>
      <c r="J1707" s="8"/>
      <c r="K1707" s="8"/>
      <c r="L1707" s="8"/>
    </row>
    <row r="1708">
      <c r="A1708" s="8"/>
      <c r="B1708" s="8"/>
      <c r="C1708" s="8"/>
      <c r="D1708" s="8"/>
      <c r="E1708" s="71"/>
      <c r="F1708" s="10"/>
      <c r="G1708" s="8"/>
      <c r="H1708" s="8"/>
      <c r="I1708" s="8"/>
      <c r="J1708" s="8"/>
      <c r="K1708" s="8"/>
      <c r="L1708" s="8"/>
    </row>
    <row r="1709">
      <c r="A1709" s="8"/>
      <c r="B1709" s="8"/>
      <c r="C1709" s="8"/>
      <c r="D1709" s="8"/>
      <c r="E1709" s="71"/>
      <c r="F1709" s="10"/>
      <c r="G1709" s="8"/>
      <c r="H1709" s="8"/>
      <c r="I1709" s="8"/>
      <c r="J1709" s="8"/>
      <c r="K1709" s="8"/>
      <c r="L1709" s="8"/>
    </row>
    <row r="1710">
      <c r="A1710" s="8"/>
      <c r="B1710" s="8"/>
      <c r="C1710" s="8"/>
      <c r="D1710" s="8"/>
      <c r="E1710" s="71"/>
      <c r="F1710" s="10"/>
      <c r="G1710" s="8"/>
      <c r="H1710" s="8"/>
      <c r="I1710" s="8"/>
      <c r="J1710" s="8"/>
      <c r="K1710" s="8"/>
      <c r="L1710" s="8"/>
    </row>
    <row r="1711">
      <c r="A1711" s="8"/>
      <c r="B1711" s="8"/>
      <c r="C1711" s="8"/>
      <c r="D1711" s="8"/>
      <c r="E1711" s="71"/>
      <c r="F1711" s="10"/>
      <c r="G1711" s="8"/>
      <c r="H1711" s="8"/>
      <c r="I1711" s="8"/>
      <c r="J1711" s="8"/>
      <c r="K1711" s="8"/>
      <c r="L1711" s="8"/>
    </row>
    <row r="1712">
      <c r="A1712" s="8"/>
      <c r="B1712" s="8"/>
      <c r="C1712" s="8"/>
      <c r="D1712" s="8"/>
      <c r="E1712" s="71"/>
      <c r="F1712" s="10"/>
      <c r="G1712" s="8"/>
      <c r="H1712" s="8"/>
      <c r="I1712" s="8"/>
      <c r="J1712" s="8"/>
      <c r="K1712" s="8"/>
      <c r="L1712" s="8"/>
    </row>
    <row r="1713">
      <c r="A1713" s="8"/>
      <c r="B1713" s="8"/>
      <c r="C1713" s="8"/>
      <c r="D1713" s="8"/>
      <c r="E1713" s="71"/>
      <c r="F1713" s="10"/>
      <c r="G1713" s="8"/>
      <c r="H1713" s="8"/>
      <c r="I1713" s="8"/>
      <c r="J1713" s="8"/>
      <c r="K1713" s="8"/>
      <c r="L1713" s="8"/>
    </row>
    <row r="1714">
      <c r="A1714" s="8"/>
      <c r="B1714" s="8"/>
      <c r="C1714" s="8"/>
      <c r="D1714" s="8"/>
      <c r="E1714" s="71"/>
      <c r="F1714" s="10"/>
      <c r="G1714" s="8"/>
      <c r="H1714" s="8"/>
      <c r="I1714" s="8"/>
      <c r="J1714" s="8"/>
      <c r="K1714" s="8"/>
      <c r="L1714" s="8"/>
    </row>
    <row r="1715">
      <c r="A1715" s="8"/>
      <c r="B1715" s="8"/>
      <c r="C1715" s="8"/>
      <c r="D1715" s="8"/>
      <c r="E1715" s="71"/>
      <c r="F1715" s="10"/>
      <c r="G1715" s="8"/>
      <c r="H1715" s="8"/>
      <c r="I1715" s="8"/>
      <c r="J1715" s="8"/>
      <c r="K1715" s="8"/>
      <c r="L1715" s="8"/>
    </row>
    <row r="1716">
      <c r="A1716" s="8"/>
      <c r="B1716" s="8"/>
      <c r="C1716" s="8"/>
      <c r="D1716" s="8"/>
      <c r="E1716" s="71"/>
      <c r="F1716" s="10"/>
      <c r="G1716" s="8"/>
      <c r="H1716" s="8"/>
      <c r="I1716" s="8"/>
      <c r="J1716" s="8"/>
      <c r="K1716" s="8"/>
      <c r="L1716" s="8"/>
    </row>
    <row r="1717">
      <c r="A1717" s="8"/>
      <c r="B1717" s="8"/>
      <c r="C1717" s="8"/>
      <c r="D1717" s="8"/>
      <c r="E1717" s="71"/>
      <c r="F1717" s="10"/>
      <c r="G1717" s="8"/>
      <c r="H1717" s="8"/>
      <c r="I1717" s="8"/>
      <c r="J1717" s="8"/>
      <c r="K1717" s="8"/>
      <c r="L1717" s="8"/>
    </row>
    <row r="1718">
      <c r="A1718" s="8"/>
      <c r="B1718" s="8"/>
      <c r="C1718" s="8"/>
      <c r="D1718" s="8"/>
      <c r="E1718" s="71"/>
      <c r="F1718" s="10"/>
      <c r="G1718" s="8"/>
      <c r="H1718" s="8"/>
      <c r="I1718" s="8"/>
      <c r="J1718" s="8"/>
      <c r="K1718" s="8"/>
      <c r="L1718" s="8"/>
    </row>
    <row r="1719">
      <c r="A1719" s="8"/>
      <c r="B1719" s="8"/>
      <c r="C1719" s="8"/>
      <c r="D1719" s="8"/>
      <c r="E1719" s="71"/>
      <c r="F1719" s="10"/>
      <c r="G1719" s="8"/>
      <c r="H1719" s="8"/>
      <c r="I1719" s="8"/>
      <c r="J1719" s="8"/>
      <c r="K1719" s="8"/>
      <c r="L1719" s="8"/>
    </row>
    <row r="1720">
      <c r="A1720" s="8"/>
      <c r="B1720" s="8"/>
      <c r="C1720" s="8"/>
      <c r="D1720" s="8"/>
      <c r="E1720" s="71"/>
      <c r="F1720" s="10"/>
      <c r="G1720" s="8"/>
      <c r="H1720" s="8"/>
      <c r="I1720" s="8"/>
      <c r="J1720" s="8"/>
      <c r="K1720" s="8"/>
      <c r="L1720" s="8"/>
    </row>
    <row r="1721">
      <c r="A1721" s="8"/>
      <c r="B1721" s="8"/>
      <c r="C1721" s="8"/>
      <c r="D1721" s="8"/>
      <c r="E1721" s="71"/>
      <c r="F1721" s="10"/>
      <c r="G1721" s="8"/>
      <c r="H1721" s="8"/>
      <c r="I1721" s="8"/>
      <c r="J1721" s="8"/>
      <c r="K1721" s="8"/>
      <c r="L1721" s="8"/>
    </row>
    <row r="1722">
      <c r="A1722" s="8"/>
      <c r="B1722" s="8"/>
      <c r="C1722" s="8"/>
      <c r="D1722" s="8"/>
      <c r="E1722" s="71"/>
      <c r="F1722" s="10"/>
      <c r="G1722" s="8"/>
      <c r="H1722" s="8"/>
      <c r="I1722" s="8"/>
      <c r="J1722" s="8"/>
      <c r="K1722" s="8"/>
      <c r="L1722" s="8"/>
    </row>
    <row r="1723">
      <c r="A1723" s="8"/>
      <c r="B1723" s="8"/>
      <c r="C1723" s="8"/>
      <c r="D1723" s="8"/>
      <c r="E1723" s="71"/>
      <c r="F1723" s="10"/>
      <c r="G1723" s="8"/>
      <c r="H1723" s="8"/>
      <c r="I1723" s="8"/>
      <c r="J1723" s="8"/>
      <c r="K1723" s="8"/>
      <c r="L1723" s="8"/>
    </row>
    <row r="1724">
      <c r="A1724" s="8"/>
      <c r="B1724" s="8"/>
      <c r="C1724" s="8"/>
      <c r="D1724" s="8"/>
      <c r="E1724" s="71"/>
      <c r="F1724" s="10"/>
      <c r="G1724" s="8"/>
      <c r="H1724" s="8"/>
      <c r="I1724" s="8"/>
      <c r="J1724" s="8"/>
      <c r="K1724" s="8"/>
      <c r="L1724" s="8"/>
    </row>
    <row r="1725">
      <c r="A1725" s="8"/>
      <c r="B1725" s="8"/>
      <c r="C1725" s="8"/>
      <c r="D1725" s="8"/>
      <c r="E1725" s="71"/>
      <c r="F1725" s="10"/>
      <c r="G1725" s="8"/>
      <c r="H1725" s="8"/>
      <c r="I1725" s="8"/>
      <c r="J1725" s="8"/>
      <c r="K1725" s="8"/>
      <c r="L1725" s="8"/>
    </row>
    <row r="1726">
      <c r="A1726" s="8"/>
      <c r="B1726" s="8"/>
      <c r="C1726" s="8"/>
      <c r="D1726" s="8"/>
      <c r="E1726" s="71"/>
      <c r="F1726" s="10"/>
      <c r="G1726" s="8"/>
      <c r="H1726" s="8"/>
      <c r="I1726" s="8"/>
      <c r="J1726" s="8"/>
      <c r="K1726" s="8"/>
      <c r="L1726" s="8"/>
    </row>
    <row r="1727">
      <c r="A1727" s="8"/>
      <c r="B1727" s="8"/>
      <c r="C1727" s="8"/>
      <c r="D1727" s="8"/>
      <c r="E1727" s="71"/>
      <c r="F1727" s="10"/>
      <c r="G1727" s="8"/>
      <c r="H1727" s="8"/>
      <c r="I1727" s="8"/>
      <c r="J1727" s="8"/>
      <c r="K1727" s="8"/>
      <c r="L1727" s="8"/>
    </row>
    <row r="1728">
      <c r="A1728" s="8"/>
      <c r="B1728" s="8"/>
      <c r="C1728" s="8"/>
      <c r="D1728" s="8"/>
      <c r="E1728" s="71"/>
      <c r="F1728" s="10"/>
      <c r="G1728" s="8"/>
      <c r="H1728" s="8"/>
      <c r="I1728" s="8"/>
      <c r="J1728" s="8"/>
      <c r="K1728" s="8"/>
      <c r="L1728" s="8"/>
    </row>
    <row r="1729">
      <c r="A1729" s="8"/>
      <c r="B1729" s="8"/>
      <c r="C1729" s="8"/>
      <c r="D1729" s="8"/>
      <c r="E1729" s="71"/>
      <c r="F1729" s="10"/>
      <c r="G1729" s="8"/>
      <c r="H1729" s="8"/>
      <c r="I1729" s="8"/>
      <c r="J1729" s="8"/>
      <c r="K1729" s="8"/>
      <c r="L1729" s="8"/>
    </row>
    <row r="1730">
      <c r="A1730" s="8"/>
      <c r="B1730" s="8"/>
      <c r="C1730" s="8"/>
      <c r="D1730" s="8"/>
      <c r="E1730" s="71"/>
      <c r="F1730" s="10"/>
      <c r="G1730" s="8"/>
      <c r="H1730" s="8"/>
      <c r="I1730" s="8"/>
      <c r="J1730" s="8"/>
      <c r="K1730" s="8"/>
      <c r="L1730" s="8"/>
    </row>
    <row r="1731">
      <c r="A1731" s="8"/>
      <c r="B1731" s="8"/>
      <c r="C1731" s="8"/>
      <c r="D1731" s="8"/>
      <c r="E1731" s="71"/>
      <c r="F1731" s="10"/>
      <c r="G1731" s="8"/>
      <c r="H1731" s="8"/>
      <c r="I1731" s="8"/>
      <c r="J1731" s="8"/>
      <c r="K1731" s="8"/>
      <c r="L1731" s="8"/>
    </row>
    <row r="1732">
      <c r="A1732" s="8"/>
      <c r="B1732" s="8"/>
      <c r="C1732" s="8"/>
      <c r="D1732" s="8"/>
      <c r="E1732" s="71"/>
      <c r="F1732" s="10"/>
      <c r="G1732" s="8"/>
      <c r="H1732" s="8"/>
      <c r="I1732" s="8"/>
      <c r="J1732" s="8"/>
      <c r="K1732" s="8"/>
      <c r="L1732" s="8"/>
    </row>
    <row r="1733">
      <c r="A1733" s="8"/>
      <c r="B1733" s="8"/>
      <c r="C1733" s="8"/>
      <c r="D1733" s="8"/>
      <c r="E1733" s="71"/>
      <c r="F1733" s="10"/>
      <c r="G1733" s="8"/>
      <c r="H1733" s="8"/>
      <c r="I1733" s="8"/>
      <c r="J1733" s="8"/>
      <c r="K1733" s="8"/>
      <c r="L1733" s="8"/>
    </row>
    <row r="1734">
      <c r="A1734" s="8"/>
      <c r="B1734" s="8"/>
      <c r="C1734" s="8"/>
      <c r="D1734" s="8"/>
      <c r="E1734" s="71"/>
      <c r="F1734" s="10"/>
      <c r="G1734" s="8"/>
      <c r="H1734" s="8"/>
      <c r="I1734" s="8"/>
      <c r="J1734" s="8"/>
      <c r="K1734" s="8"/>
      <c r="L1734" s="8"/>
    </row>
    <row r="1735">
      <c r="A1735" s="8"/>
      <c r="B1735" s="8"/>
      <c r="C1735" s="8"/>
      <c r="D1735" s="8"/>
      <c r="E1735" s="71"/>
      <c r="F1735" s="10"/>
      <c r="G1735" s="8"/>
      <c r="H1735" s="8"/>
      <c r="I1735" s="8"/>
      <c r="J1735" s="8"/>
      <c r="K1735" s="8"/>
      <c r="L1735" s="8"/>
    </row>
    <row r="1736">
      <c r="A1736" s="8"/>
      <c r="B1736" s="8"/>
      <c r="C1736" s="8"/>
      <c r="D1736" s="8"/>
      <c r="E1736" s="71"/>
      <c r="F1736" s="10"/>
      <c r="G1736" s="8"/>
      <c r="H1736" s="8"/>
      <c r="I1736" s="8"/>
      <c r="J1736" s="8"/>
      <c r="K1736" s="8"/>
      <c r="L1736" s="8"/>
    </row>
    <row r="1737">
      <c r="A1737" s="8"/>
      <c r="B1737" s="8"/>
      <c r="C1737" s="8"/>
      <c r="D1737" s="8"/>
      <c r="E1737" s="71"/>
      <c r="F1737" s="10"/>
      <c r="G1737" s="8"/>
      <c r="H1737" s="8"/>
      <c r="I1737" s="8"/>
      <c r="J1737" s="8"/>
      <c r="K1737" s="8"/>
      <c r="L1737" s="8"/>
    </row>
    <row r="1738">
      <c r="A1738" s="8"/>
      <c r="B1738" s="8"/>
      <c r="C1738" s="8"/>
      <c r="D1738" s="8"/>
      <c r="E1738" s="71"/>
      <c r="F1738" s="10"/>
      <c r="G1738" s="8"/>
      <c r="H1738" s="8"/>
      <c r="I1738" s="8"/>
      <c r="J1738" s="8"/>
      <c r="K1738" s="8"/>
      <c r="L1738" s="8"/>
    </row>
    <row r="1739">
      <c r="A1739" s="8"/>
      <c r="B1739" s="8"/>
      <c r="C1739" s="8"/>
      <c r="D1739" s="8"/>
      <c r="E1739" s="71"/>
      <c r="F1739" s="10"/>
      <c r="G1739" s="8"/>
      <c r="H1739" s="8"/>
      <c r="I1739" s="8"/>
      <c r="J1739" s="8"/>
      <c r="K1739" s="8"/>
      <c r="L1739" s="8"/>
    </row>
    <row r="1740">
      <c r="A1740" s="8"/>
      <c r="B1740" s="8"/>
      <c r="C1740" s="8"/>
      <c r="D1740" s="8"/>
      <c r="E1740" s="71"/>
      <c r="F1740" s="10"/>
      <c r="G1740" s="8"/>
      <c r="H1740" s="8"/>
      <c r="I1740" s="8"/>
      <c r="J1740" s="8"/>
      <c r="K1740" s="8"/>
      <c r="L1740" s="8"/>
    </row>
    <row r="1741">
      <c r="A1741" s="8"/>
      <c r="B1741" s="8"/>
      <c r="C1741" s="8"/>
      <c r="D1741" s="8"/>
      <c r="E1741" s="71"/>
      <c r="F1741" s="10"/>
      <c r="G1741" s="8"/>
      <c r="H1741" s="8"/>
      <c r="I1741" s="8"/>
      <c r="J1741" s="8"/>
      <c r="K1741" s="8"/>
      <c r="L1741" s="8"/>
    </row>
    <row r="1742">
      <c r="A1742" s="8"/>
      <c r="B1742" s="8"/>
      <c r="C1742" s="8"/>
      <c r="D1742" s="8"/>
      <c r="E1742" s="71"/>
      <c r="F1742" s="10"/>
      <c r="G1742" s="8"/>
      <c r="H1742" s="8"/>
      <c r="I1742" s="8"/>
      <c r="J1742" s="8"/>
      <c r="K1742" s="8"/>
      <c r="L1742" s="8"/>
    </row>
    <row r="1743">
      <c r="A1743" s="8"/>
      <c r="B1743" s="8"/>
      <c r="C1743" s="8"/>
      <c r="D1743" s="8"/>
      <c r="E1743" s="71"/>
      <c r="F1743" s="10"/>
      <c r="G1743" s="8"/>
      <c r="H1743" s="8"/>
      <c r="I1743" s="8"/>
      <c r="J1743" s="8"/>
      <c r="K1743" s="8"/>
      <c r="L1743" s="8"/>
    </row>
    <row r="1744">
      <c r="A1744" s="8"/>
      <c r="B1744" s="8"/>
      <c r="C1744" s="8"/>
      <c r="D1744" s="8"/>
      <c r="E1744" s="71"/>
      <c r="F1744" s="10"/>
      <c r="G1744" s="8"/>
      <c r="H1744" s="8"/>
      <c r="I1744" s="8"/>
      <c r="J1744" s="8"/>
      <c r="K1744" s="8"/>
      <c r="L1744" s="8"/>
    </row>
    <row r="1745">
      <c r="A1745" s="8"/>
      <c r="B1745" s="8"/>
      <c r="C1745" s="8"/>
      <c r="D1745" s="8"/>
      <c r="E1745" s="71"/>
      <c r="F1745" s="10"/>
      <c r="G1745" s="8"/>
      <c r="H1745" s="8"/>
      <c r="I1745" s="8"/>
      <c r="J1745" s="8"/>
      <c r="K1745" s="8"/>
      <c r="L1745" s="8"/>
    </row>
    <row r="1746">
      <c r="A1746" s="8"/>
      <c r="B1746" s="8"/>
      <c r="C1746" s="8"/>
      <c r="D1746" s="8"/>
      <c r="E1746" s="71"/>
      <c r="F1746" s="10"/>
      <c r="G1746" s="8"/>
      <c r="H1746" s="8"/>
      <c r="I1746" s="8"/>
      <c r="J1746" s="8"/>
      <c r="K1746" s="8"/>
      <c r="L1746" s="8"/>
    </row>
    <row r="1747">
      <c r="A1747" s="8"/>
      <c r="B1747" s="8"/>
      <c r="C1747" s="8"/>
      <c r="D1747" s="8"/>
      <c r="E1747" s="71"/>
      <c r="F1747" s="10"/>
      <c r="G1747" s="8"/>
      <c r="H1747" s="8"/>
      <c r="I1747" s="8"/>
      <c r="J1747" s="8"/>
      <c r="K1747" s="8"/>
      <c r="L1747" s="8"/>
    </row>
    <row r="1748">
      <c r="A1748" s="8"/>
      <c r="B1748" s="8"/>
      <c r="C1748" s="8"/>
      <c r="D1748" s="8"/>
      <c r="E1748" s="71"/>
      <c r="F1748" s="10"/>
      <c r="G1748" s="8"/>
      <c r="H1748" s="8"/>
      <c r="I1748" s="8"/>
      <c r="J1748" s="8"/>
      <c r="K1748" s="8"/>
      <c r="L1748" s="8"/>
    </row>
    <row r="1749">
      <c r="A1749" s="8"/>
      <c r="B1749" s="8"/>
      <c r="C1749" s="8"/>
      <c r="D1749" s="8"/>
      <c r="E1749" s="71"/>
      <c r="F1749" s="10"/>
      <c r="G1749" s="8"/>
      <c r="H1749" s="8"/>
      <c r="I1749" s="8"/>
      <c r="J1749" s="8"/>
      <c r="K1749" s="8"/>
      <c r="L1749" s="8"/>
    </row>
    <row r="1750">
      <c r="A1750" s="8"/>
      <c r="B1750" s="8"/>
      <c r="C1750" s="8"/>
      <c r="D1750" s="8"/>
      <c r="E1750" s="71"/>
      <c r="F1750" s="10"/>
      <c r="G1750" s="8"/>
      <c r="H1750" s="8"/>
      <c r="I1750" s="8"/>
      <c r="J1750" s="8"/>
      <c r="K1750" s="8"/>
      <c r="L1750" s="8"/>
    </row>
    <row r="1751">
      <c r="A1751" s="8"/>
      <c r="B1751" s="8"/>
      <c r="C1751" s="8"/>
      <c r="D1751" s="8"/>
      <c r="E1751" s="71"/>
      <c r="F1751" s="10"/>
      <c r="G1751" s="8"/>
      <c r="H1751" s="8"/>
      <c r="I1751" s="8"/>
      <c r="J1751" s="8"/>
      <c r="K1751" s="8"/>
      <c r="L1751" s="8"/>
    </row>
    <row r="1752">
      <c r="A1752" s="8"/>
      <c r="B1752" s="8"/>
      <c r="C1752" s="8"/>
      <c r="D1752" s="8"/>
      <c r="E1752" s="71"/>
      <c r="F1752" s="10"/>
      <c r="G1752" s="8"/>
      <c r="H1752" s="8"/>
      <c r="I1752" s="8"/>
      <c r="J1752" s="8"/>
      <c r="K1752" s="8"/>
      <c r="L1752" s="8"/>
    </row>
    <row r="1753">
      <c r="A1753" s="8"/>
      <c r="B1753" s="8"/>
      <c r="C1753" s="8"/>
      <c r="D1753" s="8"/>
      <c r="E1753" s="71"/>
      <c r="F1753" s="10"/>
      <c r="G1753" s="8"/>
      <c r="H1753" s="8"/>
      <c r="I1753" s="8"/>
      <c r="J1753" s="8"/>
      <c r="K1753" s="8"/>
      <c r="L1753" s="8"/>
    </row>
    <row r="1754">
      <c r="A1754" s="8"/>
      <c r="B1754" s="8"/>
      <c r="C1754" s="8"/>
      <c r="D1754" s="8"/>
      <c r="E1754" s="71"/>
      <c r="F1754" s="10"/>
      <c r="G1754" s="8"/>
      <c r="H1754" s="8"/>
      <c r="I1754" s="8"/>
      <c r="J1754" s="8"/>
      <c r="K1754" s="8"/>
      <c r="L1754" s="8"/>
    </row>
    <row r="1755">
      <c r="A1755" s="8"/>
      <c r="B1755" s="8"/>
      <c r="C1755" s="8"/>
      <c r="D1755" s="8"/>
      <c r="E1755" s="71"/>
      <c r="F1755" s="10"/>
      <c r="G1755" s="8"/>
      <c r="H1755" s="8"/>
      <c r="I1755" s="8"/>
      <c r="J1755" s="8"/>
      <c r="K1755" s="8"/>
      <c r="L1755" s="8"/>
    </row>
    <row r="1756">
      <c r="A1756" s="8"/>
      <c r="B1756" s="8"/>
      <c r="C1756" s="8"/>
      <c r="D1756" s="8"/>
      <c r="E1756" s="71"/>
      <c r="F1756" s="10"/>
      <c r="G1756" s="8"/>
      <c r="H1756" s="8"/>
      <c r="I1756" s="8"/>
      <c r="J1756" s="8"/>
      <c r="K1756" s="8"/>
      <c r="L1756" s="8"/>
    </row>
    <row r="1757">
      <c r="A1757" s="8"/>
      <c r="B1757" s="8"/>
      <c r="C1757" s="8"/>
      <c r="D1757" s="8"/>
      <c r="E1757" s="71"/>
      <c r="F1757" s="10"/>
      <c r="G1757" s="8"/>
      <c r="H1757" s="8"/>
      <c r="I1757" s="8"/>
      <c r="J1757" s="8"/>
      <c r="K1757" s="8"/>
      <c r="L1757" s="8"/>
    </row>
    <row r="1758">
      <c r="A1758" s="8"/>
      <c r="B1758" s="8"/>
      <c r="C1758" s="8"/>
      <c r="D1758" s="8"/>
      <c r="E1758" s="71"/>
      <c r="F1758" s="10"/>
      <c r="G1758" s="8"/>
      <c r="H1758" s="8"/>
      <c r="I1758" s="8"/>
      <c r="J1758" s="8"/>
      <c r="K1758" s="8"/>
      <c r="L1758" s="8"/>
    </row>
    <row r="1759">
      <c r="A1759" s="8"/>
      <c r="B1759" s="8"/>
      <c r="C1759" s="8"/>
      <c r="D1759" s="8"/>
      <c r="E1759" s="71"/>
      <c r="F1759" s="10"/>
      <c r="G1759" s="8"/>
      <c r="H1759" s="8"/>
      <c r="I1759" s="8"/>
      <c r="J1759" s="8"/>
      <c r="K1759" s="8"/>
      <c r="L1759" s="8"/>
    </row>
    <row r="1760">
      <c r="A1760" s="8"/>
      <c r="B1760" s="8"/>
      <c r="C1760" s="8"/>
      <c r="D1760" s="8"/>
      <c r="E1760" s="71"/>
      <c r="F1760" s="10"/>
      <c r="G1760" s="8"/>
      <c r="H1760" s="8"/>
      <c r="I1760" s="8"/>
      <c r="J1760" s="8"/>
      <c r="K1760" s="8"/>
      <c r="L1760" s="8"/>
    </row>
    <row r="1761">
      <c r="A1761" s="8"/>
      <c r="B1761" s="8"/>
      <c r="C1761" s="8"/>
      <c r="D1761" s="8"/>
      <c r="E1761" s="71"/>
      <c r="F1761" s="10"/>
      <c r="G1761" s="8"/>
      <c r="H1761" s="8"/>
      <c r="I1761" s="8"/>
      <c r="J1761" s="8"/>
      <c r="K1761" s="8"/>
      <c r="L1761" s="8"/>
    </row>
    <row r="1762">
      <c r="A1762" s="8"/>
      <c r="B1762" s="8"/>
      <c r="C1762" s="8"/>
      <c r="D1762" s="8"/>
      <c r="E1762" s="71"/>
      <c r="F1762" s="10"/>
      <c r="G1762" s="8"/>
      <c r="H1762" s="8"/>
      <c r="I1762" s="8"/>
      <c r="J1762" s="8"/>
      <c r="K1762" s="8"/>
      <c r="L1762" s="8"/>
    </row>
    <row r="1763">
      <c r="A1763" s="8"/>
      <c r="B1763" s="8"/>
      <c r="C1763" s="8"/>
      <c r="D1763" s="8"/>
      <c r="E1763" s="71"/>
      <c r="F1763" s="10"/>
      <c r="G1763" s="8"/>
      <c r="H1763" s="8"/>
      <c r="I1763" s="8"/>
      <c r="J1763" s="8"/>
      <c r="K1763" s="8"/>
      <c r="L1763" s="8"/>
    </row>
    <row r="1764">
      <c r="A1764" s="8"/>
      <c r="B1764" s="8"/>
      <c r="C1764" s="8"/>
      <c r="D1764" s="8"/>
      <c r="E1764" s="71"/>
      <c r="F1764" s="10"/>
      <c r="G1764" s="8"/>
      <c r="H1764" s="8"/>
      <c r="I1764" s="8"/>
      <c r="J1764" s="8"/>
      <c r="K1764" s="8"/>
      <c r="L1764" s="8"/>
    </row>
    <row r="1765">
      <c r="A1765" s="8"/>
      <c r="B1765" s="8"/>
      <c r="C1765" s="8"/>
      <c r="D1765" s="8"/>
      <c r="E1765" s="71"/>
      <c r="F1765" s="10"/>
      <c r="G1765" s="8"/>
      <c r="H1765" s="8"/>
      <c r="I1765" s="8"/>
      <c r="J1765" s="8"/>
      <c r="K1765" s="8"/>
      <c r="L1765" s="8"/>
    </row>
    <row r="1766">
      <c r="A1766" s="8"/>
      <c r="B1766" s="8"/>
      <c r="C1766" s="8"/>
      <c r="D1766" s="8"/>
      <c r="E1766" s="71"/>
      <c r="F1766" s="10"/>
      <c r="G1766" s="8"/>
      <c r="H1766" s="8"/>
      <c r="I1766" s="8"/>
      <c r="J1766" s="8"/>
      <c r="K1766" s="8"/>
      <c r="L1766" s="8"/>
    </row>
    <row r="1767">
      <c r="A1767" s="8"/>
      <c r="B1767" s="8"/>
      <c r="C1767" s="8"/>
      <c r="D1767" s="8"/>
      <c r="E1767" s="71"/>
      <c r="F1767" s="10"/>
      <c r="G1767" s="8"/>
      <c r="H1767" s="8"/>
      <c r="I1767" s="8"/>
      <c r="J1767" s="8"/>
      <c r="K1767" s="8"/>
      <c r="L1767" s="8"/>
    </row>
    <row r="1768">
      <c r="A1768" s="8"/>
      <c r="B1768" s="8"/>
      <c r="C1768" s="8"/>
      <c r="D1768" s="8"/>
      <c r="E1768" s="71"/>
      <c r="F1768" s="10"/>
      <c r="G1768" s="8"/>
      <c r="H1768" s="8"/>
      <c r="I1768" s="8"/>
      <c r="J1768" s="8"/>
      <c r="K1768" s="8"/>
      <c r="L1768" s="8"/>
    </row>
    <row r="1769">
      <c r="A1769" s="8"/>
      <c r="B1769" s="8"/>
      <c r="C1769" s="8"/>
      <c r="D1769" s="8"/>
      <c r="E1769" s="71"/>
      <c r="F1769" s="10"/>
      <c r="G1769" s="8"/>
      <c r="H1769" s="8"/>
      <c r="I1769" s="8"/>
      <c r="J1769" s="8"/>
      <c r="K1769" s="8"/>
      <c r="L1769" s="8"/>
    </row>
    <row r="1770">
      <c r="A1770" s="8"/>
      <c r="B1770" s="8"/>
      <c r="C1770" s="8"/>
      <c r="D1770" s="8"/>
      <c r="E1770" s="71"/>
      <c r="F1770" s="10"/>
      <c r="G1770" s="8"/>
      <c r="H1770" s="8"/>
      <c r="I1770" s="8"/>
      <c r="J1770" s="8"/>
      <c r="K1770" s="8"/>
      <c r="L1770" s="8"/>
    </row>
    <row r="1771">
      <c r="A1771" s="8"/>
      <c r="B1771" s="8"/>
      <c r="C1771" s="8"/>
      <c r="D1771" s="8"/>
      <c r="E1771" s="71"/>
      <c r="F1771" s="10"/>
      <c r="G1771" s="8"/>
      <c r="H1771" s="8"/>
      <c r="I1771" s="8"/>
      <c r="J1771" s="8"/>
      <c r="K1771" s="8"/>
      <c r="L1771" s="8"/>
    </row>
    <row r="1772">
      <c r="A1772" s="8"/>
      <c r="B1772" s="8"/>
      <c r="C1772" s="8"/>
      <c r="D1772" s="8"/>
      <c r="E1772" s="71"/>
      <c r="F1772" s="10"/>
      <c r="G1772" s="8"/>
      <c r="H1772" s="8"/>
      <c r="I1772" s="8"/>
      <c r="J1772" s="8"/>
      <c r="K1772" s="8"/>
      <c r="L1772" s="8"/>
    </row>
    <row r="1773">
      <c r="A1773" s="8"/>
      <c r="B1773" s="8"/>
      <c r="C1773" s="8"/>
      <c r="D1773" s="8"/>
      <c r="E1773" s="71"/>
      <c r="F1773" s="10"/>
      <c r="G1773" s="8"/>
      <c r="H1773" s="8"/>
      <c r="I1773" s="8"/>
      <c r="J1773" s="8"/>
      <c r="K1773" s="8"/>
      <c r="L1773" s="8"/>
    </row>
    <row r="1774">
      <c r="A1774" s="8"/>
      <c r="B1774" s="8"/>
      <c r="C1774" s="8"/>
      <c r="D1774" s="8"/>
      <c r="E1774" s="71"/>
      <c r="F1774" s="10"/>
      <c r="G1774" s="8"/>
      <c r="H1774" s="8"/>
      <c r="I1774" s="8"/>
      <c r="J1774" s="8"/>
      <c r="K1774" s="8"/>
      <c r="L1774" s="8"/>
    </row>
    <row r="1775">
      <c r="A1775" s="8"/>
      <c r="B1775" s="8"/>
      <c r="C1775" s="8"/>
      <c r="D1775" s="8"/>
      <c r="E1775" s="71"/>
      <c r="F1775" s="10"/>
      <c r="G1775" s="8"/>
      <c r="H1775" s="8"/>
      <c r="I1775" s="8"/>
      <c r="J1775" s="8"/>
      <c r="K1775" s="8"/>
      <c r="L1775" s="8"/>
    </row>
    <row r="1776">
      <c r="A1776" s="8"/>
      <c r="B1776" s="8"/>
      <c r="C1776" s="8"/>
      <c r="D1776" s="8"/>
      <c r="E1776" s="71"/>
      <c r="F1776" s="10"/>
      <c r="G1776" s="8"/>
      <c r="H1776" s="8"/>
      <c r="I1776" s="8"/>
      <c r="J1776" s="8"/>
      <c r="K1776" s="8"/>
      <c r="L1776" s="8"/>
    </row>
    <row r="1777">
      <c r="A1777" s="8"/>
      <c r="B1777" s="8"/>
      <c r="C1777" s="8"/>
      <c r="D1777" s="8"/>
      <c r="E1777" s="71"/>
      <c r="F1777" s="10"/>
      <c r="G1777" s="8"/>
      <c r="H1777" s="8"/>
      <c r="I1777" s="8"/>
      <c r="J1777" s="8"/>
      <c r="K1777" s="8"/>
      <c r="L1777" s="8"/>
    </row>
    <row r="1778">
      <c r="A1778" s="8"/>
      <c r="B1778" s="8"/>
      <c r="C1778" s="8"/>
      <c r="D1778" s="8"/>
      <c r="E1778" s="71"/>
      <c r="F1778" s="10"/>
      <c r="G1778" s="8"/>
      <c r="H1778" s="8"/>
      <c r="I1778" s="8"/>
      <c r="J1778" s="8"/>
      <c r="K1778" s="8"/>
      <c r="L1778" s="8"/>
    </row>
    <row r="1779">
      <c r="A1779" s="8"/>
      <c r="B1779" s="8"/>
      <c r="C1779" s="8"/>
      <c r="D1779" s="8"/>
      <c r="E1779" s="71"/>
      <c r="F1779" s="10"/>
      <c r="G1779" s="8"/>
      <c r="H1779" s="8"/>
      <c r="I1779" s="8"/>
      <c r="J1779" s="8"/>
      <c r="K1779" s="8"/>
      <c r="L1779" s="8"/>
    </row>
    <row r="1780">
      <c r="A1780" s="8"/>
      <c r="B1780" s="8"/>
      <c r="C1780" s="8"/>
      <c r="D1780" s="8"/>
      <c r="E1780" s="71"/>
      <c r="F1780" s="10"/>
      <c r="G1780" s="8"/>
      <c r="H1780" s="8"/>
      <c r="I1780" s="8"/>
      <c r="J1780" s="8"/>
      <c r="K1780" s="8"/>
      <c r="L1780" s="8"/>
    </row>
    <row r="1781">
      <c r="A1781" s="8"/>
      <c r="B1781" s="8"/>
      <c r="C1781" s="8"/>
      <c r="D1781" s="8"/>
      <c r="E1781" s="71"/>
      <c r="F1781" s="10"/>
      <c r="G1781" s="8"/>
      <c r="H1781" s="8"/>
      <c r="I1781" s="8"/>
      <c r="J1781" s="8"/>
      <c r="K1781" s="8"/>
      <c r="L1781" s="8"/>
    </row>
    <row r="1782">
      <c r="A1782" s="8"/>
      <c r="B1782" s="8"/>
      <c r="C1782" s="8"/>
      <c r="D1782" s="8"/>
      <c r="E1782" s="71"/>
      <c r="F1782" s="10"/>
      <c r="G1782" s="8"/>
      <c r="H1782" s="8"/>
      <c r="I1782" s="8"/>
      <c r="J1782" s="8"/>
      <c r="K1782" s="8"/>
      <c r="L1782" s="8"/>
    </row>
    <row r="1783">
      <c r="A1783" s="8"/>
      <c r="B1783" s="8"/>
      <c r="C1783" s="8"/>
      <c r="D1783" s="8"/>
      <c r="E1783" s="71"/>
      <c r="F1783" s="10"/>
      <c r="G1783" s="8"/>
      <c r="H1783" s="8"/>
      <c r="I1783" s="8"/>
      <c r="J1783" s="8"/>
      <c r="K1783" s="8"/>
      <c r="L1783" s="8"/>
    </row>
    <row r="1784">
      <c r="A1784" s="8"/>
      <c r="B1784" s="8"/>
      <c r="C1784" s="8"/>
      <c r="D1784" s="8"/>
      <c r="E1784" s="71"/>
      <c r="F1784" s="10"/>
      <c r="G1784" s="8"/>
      <c r="H1784" s="8"/>
      <c r="I1784" s="8"/>
      <c r="J1784" s="8"/>
      <c r="K1784" s="8"/>
      <c r="L1784" s="8"/>
    </row>
    <row r="1785">
      <c r="A1785" s="8"/>
      <c r="B1785" s="8"/>
      <c r="C1785" s="8"/>
      <c r="D1785" s="8"/>
      <c r="E1785" s="71"/>
      <c r="F1785" s="10"/>
      <c r="G1785" s="8"/>
      <c r="H1785" s="8"/>
      <c r="I1785" s="8"/>
      <c r="J1785" s="8"/>
      <c r="K1785" s="8"/>
      <c r="L1785" s="8"/>
    </row>
    <row r="1786">
      <c r="A1786" s="8"/>
      <c r="B1786" s="8"/>
      <c r="C1786" s="8"/>
      <c r="D1786" s="8"/>
      <c r="E1786" s="71"/>
      <c r="F1786" s="10"/>
      <c r="G1786" s="8"/>
      <c r="H1786" s="8"/>
      <c r="I1786" s="8"/>
      <c r="J1786" s="8"/>
      <c r="K1786" s="8"/>
      <c r="L1786" s="8"/>
    </row>
    <row r="1787">
      <c r="A1787" s="8"/>
      <c r="B1787" s="8"/>
      <c r="C1787" s="8"/>
      <c r="D1787" s="8"/>
      <c r="E1787" s="71"/>
      <c r="F1787" s="10"/>
      <c r="G1787" s="8"/>
      <c r="H1787" s="8"/>
      <c r="I1787" s="8"/>
      <c r="J1787" s="8"/>
      <c r="K1787" s="8"/>
      <c r="L1787" s="8"/>
    </row>
    <row r="1788">
      <c r="A1788" s="8"/>
      <c r="B1788" s="8"/>
      <c r="C1788" s="8"/>
      <c r="D1788" s="8"/>
      <c r="E1788" s="71"/>
      <c r="F1788" s="10"/>
      <c r="G1788" s="8"/>
      <c r="H1788" s="8"/>
      <c r="I1788" s="8"/>
      <c r="J1788" s="8"/>
      <c r="K1788" s="8"/>
      <c r="L1788" s="8"/>
    </row>
    <row r="1789">
      <c r="A1789" s="8"/>
      <c r="B1789" s="8"/>
      <c r="C1789" s="8"/>
      <c r="D1789" s="8"/>
      <c r="E1789" s="71"/>
      <c r="F1789" s="10"/>
      <c r="G1789" s="8"/>
      <c r="H1789" s="8"/>
      <c r="I1789" s="8"/>
      <c r="J1789" s="8"/>
      <c r="K1789" s="8"/>
      <c r="L1789" s="8"/>
    </row>
    <row r="1790">
      <c r="A1790" s="8"/>
      <c r="B1790" s="8"/>
      <c r="C1790" s="8"/>
      <c r="D1790" s="8"/>
      <c r="E1790" s="71"/>
      <c r="F1790" s="10"/>
      <c r="G1790" s="8"/>
      <c r="H1790" s="8"/>
      <c r="I1790" s="8"/>
      <c r="J1790" s="8"/>
      <c r="K1790" s="8"/>
      <c r="L1790" s="8"/>
    </row>
    <row r="1791">
      <c r="A1791" s="8"/>
      <c r="B1791" s="8"/>
      <c r="C1791" s="8"/>
      <c r="D1791" s="8"/>
      <c r="E1791" s="71"/>
      <c r="F1791" s="10"/>
      <c r="G1791" s="8"/>
      <c r="H1791" s="8"/>
      <c r="I1791" s="8"/>
      <c r="J1791" s="8"/>
      <c r="K1791" s="8"/>
      <c r="L1791" s="8"/>
    </row>
    <row r="1792">
      <c r="A1792" s="8"/>
      <c r="B1792" s="8"/>
      <c r="C1792" s="8"/>
      <c r="D1792" s="8"/>
      <c r="E1792" s="71"/>
      <c r="F1792" s="10"/>
      <c r="G1792" s="8"/>
      <c r="H1792" s="8"/>
      <c r="I1792" s="8"/>
      <c r="J1792" s="8"/>
      <c r="K1792" s="8"/>
      <c r="L1792" s="8"/>
    </row>
    <row r="1793">
      <c r="A1793" s="8"/>
      <c r="B1793" s="8"/>
      <c r="C1793" s="8"/>
      <c r="D1793" s="8"/>
      <c r="E1793" s="71"/>
      <c r="F1793" s="10"/>
      <c r="G1793" s="8"/>
      <c r="H1793" s="8"/>
      <c r="I1793" s="8"/>
      <c r="J1793" s="8"/>
      <c r="K1793" s="8"/>
      <c r="L1793" s="8"/>
    </row>
    <row r="1794">
      <c r="A1794" s="8"/>
      <c r="B1794" s="8"/>
      <c r="C1794" s="8"/>
      <c r="D1794" s="8"/>
      <c r="E1794" s="71"/>
      <c r="F1794" s="10"/>
      <c r="G1794" s="8"/>
      <c r="H1794" s="8"/>
      <c r="I1794" s="8"/>
      <c r="J1794" s="8"/>
      <c r="K1794" s="8"/>
      <c r="L1794" s="8"/>
    </row>
    <row r="1795">
      <c r="A1795" s="8"/>
      <c r="B1795" s="8"/>
      <c r="C1795" s="8"/>
      <c r="D1795" s="8"/>
      <c r="E1795" s="71"/>
      <c r="F1795" s="10"/>
      <c r="G1795" s="8"/>
      <c r="H1795" s="8"/>
      <c r="I1795" s="8"/>
      <c r="J1795" s="8"/>
      <c r="K1795" s="8"/>
      <c r="L1795" s="8"/>
    </row>
    <row r="1796">
      <c r="A1796" s="8"/>
      <c r="B1796" s="8"/>
      <c r="C1796" s="8"/>
      <c r="D1796" s="8"/>
      <c r="E1796" s="71"/>
      <c r="F1796" s="10"/>
      <c r="G1796" s="8"/>
      <c r="H1796" s="8"/>
      <c r="I1796" s="8"/>
      <c r="J1796" s="8"/>
      <c r="K1796" s="8"/>
      <c r="L1796" s="8"/>
    </row>
    <row r="1797">
      <c r="A1797" s="8"/>
      <c r="B1797" s="8"/>
      <c r="C1797" s="8"/>
      <c r="D1797" s="8"/>
      <c r="E1797" s="71"/>
      <c r="F1797" s="10"/>
      <c r="G1797" s="8"/>
      <c r="H1797" s="8"/>
      <c r="I1797" s="8"/>
      <c r="J1797" s="8"/>
      <c r="K1797" s="8"/>
      <c r="L1797" s="8"/>
    </row>
    <row r="1798">
      <c r="A1798" s="8"/>
      <c r="B1798" s="8"/>
      <c r="C1798" s="8"/>
      <c r="D1798" s="8"/>
      <c r="E1798" s="71"/>
      <c r="F1798" s="10"/>
      <c r="G1798" s="8"/>
      <c r="H1798" s="8"/>
      <c r="I1798" s="8"/>
      <c r="J1798" s="8"/>
      <c r="K1798" s="8"/>
      <c r="L1798" s="8"/>
    </row>
    <row r="1799">
      <c r="A1799" s="8"/>
      <c r="B1799" s="8"/>
      <c r="C1799" s="8"/>
      <c r="D1799" s="8"/>
      <c r="E1799" s="71"/>
      <c r="F1799" s="10"/>
      <c r="G1799" s="8"/>
      <c r="H1799" s="8"/>
      <c r="I1799" s="8"/>
      <c r="J1799" s="8"/>
      <c r="K1799" s="8"/>
      <c r="L1799" s="8"/>
    </row>
    <row r="1800">
      <c r="A1800" s="8"/>
      <c r="B1800" s="8"/>
      <c r="C1800" s="8"/>
      <c r="D1800" s="8"/>
      <c r="E1800" s="71"/>
      <c r="F1800" s="10"/>
      <c r="G1800" s="8"/>
      <c r="H1800" s="8"/>
      <c r="I1800" s="8"/>
      <c r="J1800" s="8"/>
      <c r="K1800" s="8"/>
      <c r="L1800" s="8"/>
    </row>
    <row r="1801">
      <c r="A1801" s="8"/>
      <c r="B1801" s="8"/>
      <c r="C1801" s="8"/>
      <c r="D1801" s="8"/>
      <c r="E1801" s="71"/>
      <c r="F1801" s="10"/>
      <c r="G1801" s="8"/>
      <c r="H1801" s="8"/>
      <c r="I1801" s="8"/>
      <c r="J1801" s="8"/>
      <c r="K1801" s="8"/>
      <c r="L1801" s="8"/>
    </row>
    <row r="1802">
      <c r="A1802" s="8"/>
      <c r="B1802" s="8"/>
      <c r="C1802" s="8"/>
      <c r="D1802" s="8"/>
      <c r="E1802" s="71"/>
      <c r="F1802" s="10"/>
      <c r="G1802" s="8"/>
      <c r="H1802" s="8"/>
      <c r="I1802" s="8"/>
      <c r="J1802" s="8"/>
      <c r="K1802" s="8"/>
      <c r="L1802" s="8"/>
    </row>
    <row r="1803">
      <c r="A1803" s="8"/>
      <c r="B1803" s="8"/>
      <c r="C1803" s="8"/>
      <c r="D1803" s="8"/>
      <c r="E1803" s="71"/>
      <c r="F1803" s="10"/>
      <c r="G1803" s="8"/>
      <c r="H1803" s="8"/>
      <c r="I1803" s="8"/>
      <c r="J1803" s="8"/>
      <c r="K1803" s="8"/>
      <c r="L1803" s="8"/>
    </row>
    <row r="1804">
      <c r="A1804" s="8"/>
      <c r="B1804" s="8"/>
      <c r="C1804" s="8"/>
      <c r="D1804" s="8"/>
      <c r="E1804" s="71"/>
      <c r="F1804" s="10"/>
      <c r="G1804" s="8"/>
      <c r="H1804" s="8"/>
      <c r="I1804" s="8"/>
      <c r="J1804" s="8"/>
      <c r="K1804" s="8"/>
      <c r="L1804" s="8"/>
    </row>
    <row r="1805">
      <c r="A1805" s="8"/>
      <c r="B1805" s="8"/>
      <c r="C1805" s="8"/>
      <c r="D1805" s="8"/>
      <c r="E1805" s="71"/>
      <c r="F1805" s="10"/>
      <c r="G1805" s="8"/>
      <c r="H1805" s="8"/>
      <c r="I1805" s="8"/>
      <c r="J1805" s="8"/>
      <c r="K1805" s="8"/>
      <c r="L1805" s="8"/>
    </row>
    <row r="1806">
      <c r="A1806" s="8"/>
      <c r="B1806" s="8"/>
      <c r="C1806" s="8"/>
      <c r="D1806" s="8"/>
      <c r="E1806" s="71"/>
      <c r="F1806" s="10"/>
      <c r="G1806" s="8"/>
      <c r="H1806" s="8"/>
      <c r="I1806" s="8"/>
      <c r="J1806" s="8"/>
      <c r="K1806" s="8"/>
      <c r="L1806" s="8"/>
    </row>
    <row r="1807">
      <c r="A1807" s="8"/>
      <c r="B1807" s="8"/>
      <c r="C1807" s="8"/>
      <c r="D1807" s="8"/>
      <c r="E1807" s="71"/>
      <c r="F1807" s="10"/>
      <c r="G1807" s="8"/>
      <c r="H1807" s="8"/>
      <c r="I1807" s="8"/>
      <c r="J1807" s="8"/>
      <c r="K1807" s="8"/>
      <c r="L1807" s="8"/>
    </row>
    <row r="1808">
      <c r="A1808" s="8"/>
      <c r="B1808" s="8"/>
      <c r="C1808" s="8"/>
      <c r="D1808" s="8"/>
      <c r="E1808" s="71"/>
      <c r="F1808" s="10"/>
      <c r="G1808" s="8"/>
      <c r="H1808" s="8"/>
      <c r="I1808" s="8"/>
      <c r="J1808" s="8"/>
      <c r="K1808" s="8"/>
      <c r="L1808" s="8"/>
    </row>
    <row r="1809">
      <c r="A1809" s="8"/>
      <c r="B1809" s="8"/>
      <c r="C1809" s="8"/>
      <c r="D1809" s="8"/>
      <c r="E1809" s="71"/>
      <c r="F1809" s="10"/>
      <c r="G1809" s="8"/>
      <c r="H1809" s="8"/>
      <c r="I1809" s="8"/>
      <c r="J1809" s="8"/>
      <c r="K1809" s="8"/>
      <c r="L1809" s="8"/>
    </row>
    <row r="1810">
      <c r="A1810" s="8"/>
      <c r="B1810" s="8"/>
      <c r="C1810" s="8"/>
      <c r="D1810" s="8"/>
      <c r="E1810" s="71"/>
      <c r="F1810" s="10"/>
      <c r="G1810" s="8"/>
      <c r="H1810" s="8"/>
      <c r="I1810" s="8"/>
      <c r="J1810" s="8"/>
      <c r="K1810" s="8"/>
      <c r="L1810" s="8"/>
    </row>
    <row r="1811">
      <c r="A1811" s="8"/>
      <c r="B1811" s="8"/>
      <c r="C1811" s="8"/>
      <c r="D1811" s="8"/>
      <c r="E1811" s="71"/>
      <c r="F1811" s="10"/>
      <c r="G1811" s="8"/>
      <c r="H1811" s="8"/>
      <c r="I1811" s="8"/>
      <c r="J1811" s="8"/>
      <c r="K1811" s="8"/>
      <c r="L1811" s="8"/>
    </row>
    <row r="1812">
      <c r="A1812" s="8"/>
      <c r="B1812" s="8"/>
      <c r="C1812" s="8"/>
      <c r="D1812" s="8"/>
      <c r="E1812" s="71"/>
      <c r="F1812" s="10"/>
      <c r="G1812" s="8"/>
      <c r="H1812" s="8"/>
      <c r="I1812" s="8"/>
      <c r="J1812" s="8"/>
      <c r="K1812" s="8"/>
      <c r="L1812" s="8"/>
    </row>
    <row r="1813">
      <c r="A1813" s="8"/>
      <c r="B1813" s="8"/>
      <c r="C1813" s="8"/>
      <c r="D1813" s="8"/>
      <c r="E1813" s="71"/>
      <c r="F1813" s="10"/>
      <c r="G1813" s="8"/>
      <c r="H1813" s="8"/>
      <c r="I1813" s="8"/>
      <c r="J1813" s="8"/>
      <c r="K1813" s="8"/>
      <c r="L1813" s="8"/>
    </row>
    <row r="1814">
      <c r="A1814" s="8"/>
      <c r="B1814" s="8"/>
      <c r="C1814" s="8"/>
      <c r="D1814" s="8"/>
      <c r="E1814" s="71"/>
      <c r="F1814" s="10"/>
      <c r="G1814" s="8"/>
      <c r="H1814" s="8"/>
      <c r="I1814" s="8"/>
      <c r="J1814" s="8"/>
      <c r="K1814" s="8"/>
      <c r="L1814" s="8"/>
    </row>
    <row r="1815">
      <c r="A1815" s="8"/>
      <c r="B1815" s="8"/>
      <c r="C1815" s="8"/>
      <c r="D1815" s="8"/>
      <c r="E1815" s="71"/>
      <c r="F1815" s="10"/>
      <c r="G1815" s="8"/>
      <c r="H1815" s="8"/>
      <c r="I1815" s="8"/>
      <c r="J1815" s="8"/>
      <c r="K1815" s="8"/>
      <c r="L1815" s="8"/>
    </row>
    <row r="1816">
      <c r="A1816" s="8"/>
      <c r="B1816" s="8"/>
      <c r="C1816" s="8"/>
      <c r="D1816" s="8"/>
      <c r="E1816" s="71"/>
      <c r="F1816" s="10"/>
      <c r="G1816" s="8"/>
      <c r="H1816" s="8"/>
      <c r="I1816" s="8"/>
      <c r="J1816" s="8"/>
      <c r="K1816" s="8"/>
      <c r="L1816" s="8"/>
    </row>
    <row r="1817">
      <c r="A1817" s="8"/>
      <c r="B1817" s="8"/>
      <c r="C1817" s="8"/>
      <c r="D1817" s="8"/>
      <c r="E1817" s="71"/>
      <c r="F1817" s="10"/>
      <c r="G1817" s="8"/>
      <c r="H1817" s="8"/>
      <c r="I1817" s="8"/>
      <c r="J1817" s="8"/>
      <c r="K1817" s="8"/>
      <c r="L1817" s="8"/>
    </row>
    <row r="1818">
      <c r="A1818" s="8"/>
      <c r="B1818" s="8"/>
      <c r="C1818" s="8"/>
      <c r="D1818" s="8"/>
      <c r="E1818" s="71"/>
      <c r="F1818" s="10"/>
      <c r="G1818" s="8"/>
      <c r="H1818" s="8"/>
      <c r="I1818" s="8"/>
      <c r="J1818" s="8"/>
      <c r="K1818" s="8"/>
      <c r="L1818" s="8"/>
    </row>
    <row r="1819">
      <c r="A1819" s="8"/>
      <c r="B1819" s="8"/>
      <c r="C1819" s="8"/>
      <c r="D1819" s="8"/>
      <c r="E1819" s="71"/>
      <c r="F1819" s="10"/>
      <c r="G1819" s="8"/>
      <c r="H1819" s="8"/>
      <c r="I1819" s="8"/>
      <c r="J1819" s="8"/>
      <c r="K1819" s="8"/>
      <c r="L1819" s="8"/>
    </row>
    <row r="1820">
      <c r="A1820" s="8"/>
      <c r="B1820" s="8"/>
      <c r="C1820" s="8"/>
      <c r="D1820" s="8"/>
      <c r="E1820" s="71"/>
      <c r="F1820" s="10"/>
      <c r="G1820" s="8"/>
      <c r="H1820" s="8"/>
      <c r="I1820" s="8"/>
      <c r="J1820" s="8"/>
      <c r="K1820" s="8"/>
      <c r="L1820" s="8"/>
    </row>
    <row r="1821">
      <c r="A1821" s="8"/>
      <c r="B1821" s="8"/>
      <c r="C1821" s="8"/>
      <c r="D1821" s="8"/>
      <c r="E1821" s="71"/>
      <c r="F1821" s="10"/>
      <c r="G1821" s="8"/>
      <c r="H1821" s="8"/>
      <c r="I1821" s="8"/>
      <c r="J1821" s="8"/>
      <c r="K1821" s="8"/>
      <c r="L1821" s="8"/>
    </row>
    <row r="1822">
      <c r="A1822" s="8"/>
      <c r="B1822" s="8"/>
      <c r="C1822" s="8"/>
      <c r="D1822" s="8"/>
      <c r="E1822" s="71"/>
      <c r="F1822" s="10"/>
      <c r="G1822" s="8"/>
      <c r="H1822" s="8"/>
      <c r="I1822" s="8"/>
      <c r="J1822" s="8"/>
      <c r="K1822" s="8"/>
      <c r="L1822" s="8"/>
    </row>
    <row r="1823">
      <c r="A1823" s="8"/>
      <c r="B1823" s="8"/>
      <c r="C1823" s="8"/>
      <c r="D1823" s="8"/>
      <c r="E1823" s="71"/>
      <c r="F1823" s="10"/>
      <c r="G1823" s="8"/>
      <c r="H1823" s="8"/>
      <c r="I1823" s="8"/>
      <c r="J1823" s="8"/>
      <c r="K1823" s="8"/>
      <c r="L1823" s="8"/>
    </row>
    <row r="1824">
      <c r="A1824" s="8"/>
      <c r="B1824" s="8"/>
      <c r="C1824" s="8"/>
      <c r="D1824" s="8"/>
      <c r="E1824" s="71"/>
      <c r="F1824" s="10"/>
      <c r="G1824" s="8"/>
      <c r="H1824" s="8"/>
      <c r="I1824" s="8"/>
      <c r="J1824" s="8"/>
      <c r="K1824" s="8"/>
      <c r="L1824" s="8"/>
    </row>
    <row r="1825">
      <c r="A1825" s="8"/>
      <c r="B1825" s="8"/>
      <c r="C1825" s="8"/>
      <c r="D1825" s="8"/>
      <c r="E1825" s="71"/>
      <c r="F1825" s="10"/>
      <c r="G1825" s="8"/>
      <c r="H1825" s="8"/>
      <c r="I1825" s="8"/>
      <c r="J1825" s="8"/>
      <c r="K1825" s="8"/>
      <c r="L1825" s="8"/>
    </row>
    <row r="1826">
      <c r="A1826" s="8"/>
      <c r="B1826" s="8"/>
      <c r="C1826" s="8"/>
      <c r="D1826" s="8"/>
      <c r="E1826" s="71"/>
      <c r="F1826" s="10"/>
      <c r="G1826" s="8"/>
      <c r="H1826" s="8"/>
      <c r="I1826" s="8"/>
      <c r="J1826" s="8"/>
      <c r="K1826" s="8"/>
      <c r="L1826" s="8"/>
    </row>
    <row r="1827">
      <c r="A1827" s="8"/>
      <c r="B1827" s="8"/>
      <c r="C1827" s="8"/>
      <c r="D1827" s="8"/>
      <c r="E1827" s="71"/>
      <c r="F1827" s="10"/>
      <c r="G1827" s="8"/>
      <c r="H1827" s="8"/>
      <c r="I1827" s="8"/>
      <c r="J1827" s="8"/>
      <c r="K1827" s="8"/>
      <c r="L1827" s="8"/>
    </row>
    <row r="1828">
      <c r="A1828" s="8"/>
      <c r="B1828" s="8"/>
      <c r="C1828" s="8"/>
      <c r="D1828" s="8"/>
      <c r="E1828" s="71"/>
      <c r="F1828" s="10"/>
      <c r="G1828" s="8"/>
      <c r="H1828" s="8"/>
      <c r="I1828" s="8"/>
      <c r="J1828" s="8"/>
      <c r="K1828" s="8"/>
      <c r="L1828" s="8"/>
    </row>
    <row r="1829">
      <c r="A1829" s="8"/>
      <c r="B1829" s="8"/>
      <c r="C1829" s="8"/>
      <c r="D1829" s="8"/>
      <c r="E1829" s="71"/>
      <c r="F1829" s="10"/>
      <c r="G1829" s="8"/>
      <c r="H1829" s="8"/>
      <c r="I1829" s="8"/>
      <c r="J1829" s="8"/>
      <c r="K1829" s="8"/>
      <c r="L1829" s="8"/>
    </row>
    <row r="1830">
      <c r="A1830" s="8"/>
      <c r="B1830" s="8"/>
      <c r="C1830" s="8"/>
      <c r="D1830" s="8"/>
      <c r="E1830" s="71"/>
      <c r="F1830" s="10"/>
      <c r="G1830" s="8"/>
      <c r="H1830" s="8"/>
      <c r="I1830" s="8"/>
      <c r="J1830" s="8"/>
      <c r="K1830" s="8"/>
      <c r="L1830" s="8"/>
    </row>
    <row r="1831">
      <c r="A1831" s="8"/>
      <c r="B1831" s="8"/>
      <c r="C1831" s="8"/>
      <c r="D1831" s="8"/>
      <c r="E1831" s="71"/>
      <c r="F1831" s="10"/>
      <c r="G1831" s="8"/>
      <c r="H1831" s="8"/>
      <c r="I1831" s="8"/>
      <c r="J1831" s="8"/>
      <c r="K1831" s="8"/>
      <c r="L1831" s="8"/>
    </row>
    <row r="1832">
      <c r="A1832" s="8"/>
      <c r="B1832" s="8"/>
      <c r="C1832" s="8"/>
      <c r="D1832" s="8"/>
      <c r="E1832" s="71"/>
      <c r="F1832" s="10"/>
      <c r="G1832" s="8"/>
      <c r="H1832" s="8"/>
      <c r="I1832" s="8"/>
      <c r="J1832" s="8"/>
      <c r="K1832" s="8"/>
      <c r="L1832" s="8"/>
    </row>
    <row r="1833">
      <c r="A1833" s="8"/>
      <c r="B1833" s="8"/>
      <c r="C1833" s="8"/>
      <c r="D1833" s="8"/>
      <c r="E1833" s="71"/>
      <c r="F1833" s="10"/>
      <c r="G1833" s="8"/>
      <c r="H1833" s="8"/>
      <c r="I1833" s="8"/>
      <c r="J1833" s="8"/>
      <c r="K1833" s="8"/>
      <c r="L1833" s="8"/>
    </row>
    <row r="1834">
      <c r="A1834" s="8"/>
      <c r="B1834" s="8"/>
      <c r="C1834" s="8"/>
      <c r="D1834" s="8"/>
      <c r="E1834" s="71"/>
      <c r="F1834" s="10"/>
      <c r="G1834" s="8"/>
      <c r="H1834" s="8"/>
      <c r="I1834" s="8"/>
      <c r="J1834" s="8"/>
      <c r="K1834" s="8"/>
      <c r="L1834" s="8"/>
    </row>
    <row r="1835">
      <c r="A1835" s="8"/>
      <c r="B1835" s="8"/>
      <c r="C1835" s="8"/>
      <c r="D1835" s="8"/>
      <c r="E1835" s="71"/>
      <c r="F1835" s="10"/>
      <c r="G1835" s="8"/>
      <c r="H1835" s="8"/>
      <c r="I1835" s="8"/>
      <c r="J1835" s="8"/>
      <c r="K1835" s="8"/>
      <c r="L1835" s="8"/>
    </row>
    <row r="1836">
      <c r="A1836" s="8"/>
      <c r="B1836" s="8"/>
      <c r="C1836" s="8"/>
      <c r="D1836" s="8"/>
      <c r="E1836" s="71"/>
      <c r="F1836" s="10"/>
      <c r="G1836" s="8"/>
      <c r="H1836" s="8"/>
      <c r="I1836" s="8"/>
      <c r="J1836" s="8"/>
      <c r="K1836" s="8"/>
      <c r="L1836" s="8"/>
    </row>
    <row r="1837">
      <c r="A1837" s="8"/>
      <c r="B1837" s="8"/>
      <c r="C1837" s="8"/>
      <c r="D1837" s="8"/>
      <c r="E1837" s="71"/>
      <c r="F1837" s="10"/>
      <c r="G1837" s="8"/>
      <c r="H1837" s="8"/>
      <c r="I1837" s="8"/>
      <c r="J1837" s="8"/>
      <c r="K1837" s="8"/>
      <c r="L1837" s="8"/>
    </row>
    <row r="1838">
      <c r="A1838" s="8"/>
      <c r="B1838" s="8"/>
      <c r="C1838" s="8"/>
      <c r="D1838" s="8"/>
      <c r="E1838" s="71"/>
      <c r="F1838" s="10"/>
      <c r="G1838" s="8"/>
      <c r="H1838" s="8"/>
      <c r="I1838" s="8"/>
      <c r="J1838" s="8"/>
      <c r="K1838" s="8"/>
      <c r="L1838" s="8"/>
    </row>
    <row r="1839">
      <c r="A1839" s="8"/>
      <c r="B1839" s="8"/>
      <c r="C1839" s="8"/>
      <c r="D1839" s="8"/>
      <c r="E1839" s="71"/>
      <c r="F1839" s="10"/>
      <c r="G1839" s="8"/>
      <c r="H1839" s="8"/>
      <c r="I1839" s="8"/>
      <c r="J1839" s="8"/>
      <c r="K1839" s="8"/>
      <c r="L1839" s="8"/>
    </row>
    <row r="1840">
      <c r="A1840" s="8"/>
      <c r="B1840" s="8"/>
      <c r="C1840" s="8"/>
      <c r="D1840" s="8"/>
      <c r="E1840" s="71"/>
      <c r="F1840" s="10"/>
      <c r="G1840" s="8"/>
      <c r="H1840" s="8"/>
      <c r="I1840" s="8"/>
      <c r="J1840" s="8"/>
      <c r="K1840" s="8"/>
      <c r="L1840" s="8"/>
    </row>
    <row r="1841">
      <c r="A1841" s="8"/>
      <c r="B1841" s="8"/>
      <c r="C1841" s="8"/>
      <c r="D1841" s="8"/>
      <c r="E1841" s="71"/>
      <c r="F1841" s="10"/>
      <c r="G1841" s="8"/>
      <c r="H1841" s="8"/>
      <c r="I1841" s="8"/>
      <c r="J1841" s="8"/>
      <c r="K1841" s="8"/>
      <c r="L1841" s="8"/>
    </row>
    <row r="1842">
      <c r="A1842" s="8"/>
      <c r="B1842" s="8"/>
      <c r="C1842" s="8"/>
      <c r="D1842" s="8"/>
      <c r="E1842" s="71"/>
      <c r="F1842" s="10"/>
      <c r="G1842" s="8"/>
      <c r="H1842" s="8"/>
      <c r="I1842" s="8"/>
      <c r="J1842" s="8"/>
      <c r="K1842" s="8"/>
      <c r="L1842" s="8"/>
    </row>
    <row r="1843">
      <c r="A1843" s="8"/>
      <c r="B1843" s="8"/>
      <c r="C1843" s="8"/>
      <c r="D1843" s="8"/>
      <c r="E1843" s="71"/>
      <c r="F1843" s="10"/>
      <c r="G1843" s="8"/>
      <c r="H1843" s="8"/>
      <c r="I1843" s="8"/>
      <c r="J1843" s="8"/>
      <c r="K1843" s="8"/>
      <c r="L1843" s="8"/>
    </row>
    <row r="1844">
      <c r="A1844" s="8"/>
      <c r="B1844" s="8"/>
      <c r="C1844" s="8"/>
      <c r="D1844" s="8"/>
      <c r="E1844" s="71"/>
      <c r="F1844" s="10"/>
      <c r="G1844" s="8"/>
      <c r="H1844" s="8"/>
      <c r="I1844" s="8"/>
      <c r="J1844" s="8"/>
      <c r="K1844" s="8"/>
      <c r="L1844" s="8"/>
    </row>
    <row r="1845">
      <c r="A1845" s="8"/>
      <c r="B1845" s="8"/>
      <c r="C1845" s="8"/>
      <c r="D1845" s="8"/>
      <c r="E1845" s="71"/>
      <c r="F1845" s="10"/>
      <c r="G1845" s="8"/>
      <c r="H1845" s="8"/>
      <c r="I1845" s="8"/>
      <c r="J1845" s="8"/>
      <c r="K1845" s="8"/>
      <c r="L1845" s="8"/>
    </row>
    <row r="1846">
      <c r="A1846" s="8"/>
      <c r="B1846" s="8"/>
      <c r="C1846" s="8"/>
      <c r="D1846" s="8"/>
      <c r="E1846" s="71"/>
      <c r="F1846" s="10"/>
      <c r="G1846" s="8"/>
      <c r="H1846" s="8"/>
      <c r="I1846" s="8"/>
      <c r="J1846" s="8"/>
      <c r="K1846" s="8"/>
      <c r="L1846" s="8"/>
    </row>
    <row r="1847">
      <c r="A1847" s="8"/>
      <c r="B1847" s="8"/>
      <c r="C1847" s="8"/>
      <c r="D1847" s="8"/>
      <c r="E1847" s="71"/>
      <c r="F1847" s="10"/>
      <c r="G1847" s="8"/>
      <c r="H1847" s="8"/>
      <c r="I1847" s="8"/>
      <c r="J1847" s="8"/>
      <c r="K1847" s="8"/>
      <c r="L1847" s="8"/>
    </row>
    <row r="1848">
      <c r="A1848" s="8"/>
      <c r="B1848" s="8"/>
      <c r="C1848" s="8"/>
      <c r="D1848" s="8"/>
      <c r="E1848" s="71"/>
      <c r="F1848" s="10"/>
      <c r="G1848" s="8"/>
      <c r="H1848" s="8"/>
      <c r="I1848" s="8"/>
      <c r="J1848" s="8"/>
      <c r="K1848" s="8"/>
      <c r="L1848" s="8"/>
    </row>
    <row r="1849">
      <c r="A1849" s="8"/>
      <c r="B1849" s="8"/>
      <c r="C1849" s="8"/>
      <c r="D1849" s="8"/>
      <c r="E1849" s="71"/>
      <c r="F1849" s="10"/>
      <c r="G1849" s="8"/>
      <c r="H1849" s="8"/>
      <c r="I1849" s="8"/>
      <c r="J1849" s="8"/>
      <c r="K1849" s="8"/>
      <c r="L1849" s="8"/>
    </row>
    <row r="1850">
      <c r="A1850" s="8"/>
      <c r="B1850" s="8"/>
      <c r="C1850" s="8"/>
      <c r="D1850" s="8"/>
      <c r="E1850" s="71"/>
      <c r="F1850" s="10"/>
      <c r="G1850" s="8"/>
      <c r="H1850" s="8"/>
      <c r="I1850" s="8"/>
      <c r="J1850" s="8"/>
      <c r="K1850" s="8"/>
      <c r="L1850" s="8"/>
    </row>
    <row r="1851">
      <c r="A1851" s="8"/>
      <c r="B1851" s="8"/>
      <c r="C1851" s="8"/>
      <c r="D1851" s="8"/>
      <c r="E1851" s="71"/>
      <c r="F1851" s="10"/>
      <c r="G1851" s="8"/>
      <c r="H1851" s="8"/>
      <c r="I1851" s="8"/>
      <c r="J1851" s="8"/>
      <c r="K1851" s="8"/>
      <c r="L1851" s="8"/>
    </row>
    <row r="1852">
      <c r="A1852" s="8"/>
      <c r="B1852" s="8"/>
      <c r="C1852" s="8"/>
      <c r="D1852" s="8"/>
      <c r="E1852" s="71"/>
      <c r="F1852" s="10"/>
      <c r="G1852" s="8"/>
      <c r="H1852" s="8"/>
      <c r="I1852" s="8"/>
      <c r="J1852" s="8"/>
      <c r="K1852" s="8"/>
      <c r="L1852" s="8"/>
    </row>
    <row r="1853">
      <c r="A1853" s="8"/>
      <c r="B1853" s="8"/>
      <c r="C1853" s="8"/>
      <c r="D1853" s="8"/>
      <c r="E1853" s="71"/>
      <c r="F1853" s="10"/>
      <c r="G1853" s="8"/>
      <c r="H1853" s="8"/>
      <c r="I1853" s="8"/>
      <c r="J1853" s="8"/>
      <c r="K1853" s="8"/>
      <c r="L1853" s="8"/>
    </row>
    <row r="1854">
      <c r="A1854" s="8"/>
      <c r="B1854" s="8"/>
      <c r="C1854" s="8"/>
      <c r="D1854" s="8"/>
      <c r="E1854" s="71"/>
      <c r="F1854" s="10"/>
      <c r="G1854" s="8"/>
      <c r="H1854" s="8"/>
      <c r="I1854" s="8"/>
      <c r="J1854" s="8"/>
      <c r="K1854" s="8"/>
      <c r="L1854" s="8"/>
    </row>
    <row r="1855">
      <c r="A1855" s="8"/>
      <c r="B1855" s="8"/>
      <c r="C1855" s="8"/>
      <c r="D1855" s="8"/>
      <c r="E1855" s="71"/>
      <c r="F1855" s="10"/>
      <c r="G1855" s="8"/>
      <c r="H1855" s="8"/>
      <c r="I1855" s="8"/>
      <c r="J1855" s="8"/>
      <c r="K1855" s="8"/>
      <c r="L1855" s="8"/>
    </row>
    <row r="1856">
      <c r="A1856" s="8"/>
      <c r="B1856" s="8"/>
      <c r="C1856" s="8"/>
      <c r="D1856" s="8"/>
      <c r="E1856" s="71"/>
      <c r="F1856" s="10"/>
      <c r="G1856" s="8"/>
      <c r="H1856" s="8"/>
      <c r="I1856" s="8"/>
      <c r="J1856" s="8"/>
      <c r="K1856" s="8"/>
      <c r="L1856" s="8"/>
    </row>
    <row r="1857">
      <c r="A1857" s="8"/>
      <c r="B1857" s="8"/>
      <c r="C1857" s="8"/>
      <c r="D1857" s="8"/>
      <c r="E1857" s="71"/>
      <c r="F1857" s="10"/>
      <c r="G1857" s="8"/>
      <c r="H1857" s="8"/>
      <c r="I1857" s="8"/>
      <c r="J1857" s="8"/>
      <c r="K1857" s="8"/>
      <c r="L1857" s="8"/>
    </row>
    <row r="1858">
      <c r="A1858" s="8"/>
      <c r="B1858" s="8"/>
      <c r="C1858" s="8"/>
      <c r="D1858" s="8"/>
      <c r="E1858" s="71"/>
      <c r="F1858" s="10"/>
      <c r="G1858" s="8"/>
      <c r="H1858" s="8"/>
      <c r="I1858" s="8"/>
      <c r="J1858" s="8"/>
      <c r="K1858" s="8"/>
      <c r="L1858" s="8"/>
    </row>
    <row r="1859">
      <c r="A1859" s="8"/>
      <c r="B1859" s="8"/>
      <c r="C1859" s="8"/>
      <c r="D1859" s="8"/>
      <c r="E1859" s="71"/>
      <c r="F1859" s="10"/>
      <c r="G1859" s="8"/>
      <c r="H1859" s="8"/>
      <c r="I1859" s="8"/>
      <c r="J1859" s="8"/>
      <c r="K1859" s="8"/>
      <c r="L1859" s="8"/>
    </row>
    <row r="1860">
      <c r="A1860" s="8"/>
      <c r="B1860" s="8"/>
      <c r="C1860" s="8"/>
      <c r="D1860" s="8"/>
      <c r="E1860" s="71"/>
      <c r="F1860" s="10"/>
      <c r="G1860" s="8"/>
      <c r="H1860" s="8"/>
      <c r="I1860" s="8"/>
      <c r="J1860" s="8"/>
      <c r="K1860" s="8"/>
      <c r="L1860" s="8"/>
    </row>
    <row r="1861">
      <c r="A1861" s="8"/>
      <c r="B1861" s="8"/>
      <c r="C1861" s="8"/>
      <c r="D1861" s="8"/>
      <c r="E1861" s="71"/>
      <c r="F1861" s="10"/>
      <c r="G1861" s="8"/>
      <c r="H1861" s="8"/>
      <c r="I1861" s="8"/>
      <c r="J1861" s="8"/>
      <c r="K1861" s="8"/>
      <c r="L1861" s="8"/>
    </row>
    <row r="1862">
      <c r="A1862" s="8"/>
      <c r="B1862" s="8"/>
      <c r="C1862" s="8"/>
      <c r="D1862" s="8"/>
      <c r="E1862" s="71"/>
      <c r="F1862" s="10"/>
      <c r="G1862" s="8"/>
      <c r="H1862" s="8"/>
      <c r="I1862" s="8"/>
      <c r="J1862" s="8"/>
      <c r="K1862" s="8"/>
      <c r="L1862" s="8"/>
    </row>
    <row r="1863">
      <c r="A1863" s="8"/>
      <c r="B1863" s="8"/>
      <c r="C1863" s="8"/>
      <c r="D1863" s="8"/>
      <c r="E1863" s="71"/>
      <c r="F1863" s="10"/>
      <c r="G1863" s="8"/>
      <c r="H1863" s="8"/>
      <c r="I1863" s="8"/>
      <c r="J1863" s="8"/>
      <c r="K1863" s="8"/>
      <c r="L1863" s="8"/>
    </row>
    <row r="1864">
      <c r="A1864" s="8"/>
      <c r="B1864" s="8"/>
      <c r="C1864" s="8"/>
      <c r="D1864" s="8"/>
      <c r="E1864" s="71"/>
      <c r="F1864" s="10"/>
      <c r="G1864" s="8"/>
      <c r="H1864" s="8"/>
      <c r="I1864" s="8"/>
      <c r="J1864" s="8"/>
      <c r="K1864" s="8"/>
      <c r="L1864" s="8"/>
    </row>
    <row r="1865">
      <c r="A1865" s="8"/>
      <c r="B1865" s="8"/>
      <c r="C1865" s="8"/>
      <c r="D1865" s="8"/>
      <c r="E1865" s="71"/>
      <c r="F1865" s="10"/>
      <c r="G1865" s="8"/>
      <c r="H1865" s="8"/>
      <c r="I1865" s="8"/>
      <c r="J1865" s="8"/>
      <c r="K1865" s="8"/>
      <c r="L1865" s="8"/>
    </row>
    <row r="1866">
      <c r="A1866" s="8"/>
      <c r="B1866" s="8"/>
      <c r="C1866" s="8"/>
      <c r="D1866" s="8"/>
      <c r="E1866" s="71"/>
      <c r="F1866" s="10"/>
      <c r="G1866" s="8"/>
      <c r="H1866" s="8"/>
      <c r="I1866" s="8"/>
      <c r="J1866" s="8"/>
      <c r="K1866" s="8"/>
      <c r="L1866" s="8"/>
    </row>
    <row r="1867">
      <c r="A1867" s="8"/>
      <c r="B1867" s="8"/>
      <c r="C1867" s="8"/>
      <c r="D1867" s="8"/>
      <c r="E1867" s="71"/>
      <c r="F1867" s="10"/>
      <c r="G1867" s="8"/>
      <c r="H1867" s="8"/>
      <c r="I1867" s="8"/>
      <c r="J1867" s="8"/>
      <c r="K1867" s="8"/>
      <c r="L1867" s="8"/>
    </row>
    <row r="1868">
      <c r="A1868" s="8"/>
      <c r="B1868" s="8"/>
      <c r="C1868" s="8"/>
      <c r="D1868" s="8"/>
      <c r="E1868" s="71"/>
      <c r="F1868" s="10"/>
      <c r="G1868" s="8"/>
      <c r="H1868" s="8"/>
      <c r="I1868" s="8"/>
      <c r="J1868" s="8"/>
      <c r="K1868" s="8"/>
      <c r="L1868" s="8"/>
    </row>
    <row r="1869">
      <c r="A1869" s="8"/>
      <c r="B1869" s="8"/>
      <c r="C1869" s="8"/>
      <c r="D1869" s="8"/>
      <c r="E1869" s="71"/>
      <c r="F1869" s="10"/>
      <c r="G1869" s="8"/>
      <c r="H1869" s="8"/>
      <c r="I1869" s="8"/>
      <c r="J1869" s="8"/>
      <c r="K1869" s="8"/>
      <c r="L1869" s="8"/>
    </row>
    <row r="1870">
      <c r="A1870" s="8"/>
      <c r="B1870" s="8"/>
      <c r="C1870" s="8"/>
      <c r="D1870" s="8"/>
      <c r="E1870" s="71"/>
      <c r="F1870" s="10"/>
      <c r="G1870" s="8"/>
      <c r="H1870" s="8"/>
      <c r="I1870" s="8"/>
      <c r="J1870" s="8"/>
      <c r="K1870" s="8"/>
      <c r="L1870" s="8"/>
    </row>
    <row r="1871">
      <c r="A1871" s="8"/>
      <c r="B1871" s="8"/>
      <c r="C1871" s="8"/>
      <c r="D1871" s="8"/>
      <c r="E1871" s="71"/>
      <c r="F1871" s="10"/>
      <c r="G1871" s="8"/>
      <c r="H1871" s="8"/>
      <c r="I1871" s="8"/>
      <c r="J1871" s="8"/>
      <c r="K1871" s="8"/>
      <c r="L1871" s="8"/>
    </row>
    <row r="1872">
      <c r="A1872" s="8"/>
      <c r="B1872" s="8"/>
      <c r="C1872" s="8"/>
      <c r="D1872" s="8"/>
      <c r="E1872" s="71"/>
      <c r="F1872" s="10"/>
      <c r="G1872" s="8"/>
      <c r="H1872" s="8"/>
      <c r="I1872" s="8"/>
      <c r="J1872" s="8"/>
      <c r="K1872" s="8"/>
      <c r="L1872" s="8"/>
    </row>
    <row r="1873">
      <c r="A1873" s="8"/>
      <c r="B1873" s="8"/>
      <c r="C1873" s="8"/>
      <c r="D1873" s="8"/>
      <c r="E1873" s="71"/>
      <c r="F1873" s="10"/>
      <c r="G1873" s="8"/>
      <c r="H1873" s="8"/>
      <c r="I1873" s="8"/>
      <c r="J1873" s="8"/>
      <c r="K1873" s="8"/>
      <c r="L1873" s="8"/>
    </row>
    <row r="1874">
      <c r="A1874" s="8"/>
      <c r="B1874" s="8"/>
      <c r="C1874" s="8"/>
      <c r="D1874" s="8"/>
      <c r="E1874" s="71"/>
      <c r="F1874" s="10"/>
      <c r="G1874" s="8"/>
      <c r="H1874" s="8"/>
      <c r="I1874" s="8"/>
      <c r="J1874" s="8"/>
      <c r="K1874" s="8"/>
      <c r="L1874" s="8"/>
    </row>
    <row r="1875">
      <c r="A1875" s="8"/>
      <c r="B1875" s="8"/>
      <c r="C1875" s="8"/>
      <c r="D1875" s="8"/>
      <c r="E1875" s="71"/>
      <c r="F1875" s="10"/>
      <c r="G1875" s="8"/>
      <c r="H1875" s="8"/>
      <c r="I1875" s="8"/>
      <c r="J1875" s="8"/>
      <c r="K1875" s="8"/>
      <c r="L1875" s="8"/>
    </row>
    <row r="1876">
      <c r="A1876" s="8"/>
      <c r="B1876" s="8"/>
      <c r="C1876" s="8"/>
      <c r="D1876" s="8"/>
      <c r="E1876" s="71"/>
      <c r="F1876" s="10"/>
      <c r="G1876" s="8"/>
      <c r="H1876" s="8"/>
      <c r="I1876" s="8"/>
      <c r="J1876" s="8"/>
      <c r="K1876" s="8"/>
      <c r="L1876" s="8"/>
    </row>
    <row r="1877">
      <c r="A1877" s="8"/>
      <c r="B1877" s="8"/>
      <c r="C1877" s="8"/>
      <c r="D1877" s="8"/>
      <c r="E1877" s="71"/>
      <c r="F1877" s="10"/>
      <c r="G1877" s="8"/>
      <c r="H1877" s="8"/>
      <c r="I1877" s="8"/>
      <c r="J1877" s="8"/>
      <c r="K1877" s="8"/>
      <c r="L1877" s="8"/>
    </row>
    <row r="1878">
      <c r="A1878" s="8"/>
      <c r="B1878" s="8"/>
      <c r="C1878" s="8"/>
      <c r="D1878" s="8"/>
      <c r="E1878" s="71"/>
      <c r="F1878" s="10"/>
      <c r="G1878" s="8"/>
      <c r="H1878" s="8"/>
      <c r="I1878" s="8"/>
      <c r="J1878" s="8"/>
      <c r="K1878" s="8"/>
      <c r="L1878" s="8"/>
    </row>
    <row r="1879">
      <c r="A1879" s="8"/>
      <c r="B1879" s="8"/>
      <c r="C1879" s="8"/>
      <c r="D1879" s="8"/>
      <c r="E1879" s="71"/>
      <c r="F1879" s="10"/>
      <c r="G1879" s="8"/>
      <c r="H1879" s="8"/>
      <c r="I1879" s="8"/>
      <c r="J1879" s="8"/>
      <c r="K1879" s="8"/>
      <c r="L1879" s="8"/>
    </row>
    <row r="1880">
      <c r="A1880" s="8"/>
      <c r="B1880" s="8"/>
      <c r="C1880" s="8"/>
      <c r="D1880" s="8"/>
      <c r="E1880" s="71"/>
      <c r="F1880" s="10"/>
      <c r="G1880" s="8"/>
      <c r="H1880" s="8"/>
      <c r="I1880" s="8"/>
      <c r="J1880" s="8"/>
      <c r="K1880" s="8"/>
      <c r="L1880" s="8"/>
    </row>
    <row r="1881">
      <c r="A1881" s="8"/>
      <c r="B1881" s="8"/>
      <c r="C1881" s="8"/>
      <c r="D1881" s="8"/>
      <c r="E1881" s="71"/>
      <c r="F1881" s="10"/>
      <c r="G1881" s="8"/>
      <c r="H1881" s="8"/>
      <c r="I1881" s="8"/>
      <c r="J1881" s="8"/>
      <c r="K1881" s="8"/>
      <c r="L1881" s="8"/>
    </row>
    <row r="1882">
      <c r="A1882" s="8"/>
      <c r="B1882" s="8"/>
      <c r="C1882" s="8"/>
      <c r="D1882" s="8"/>
      <c r="E1882" s="71"/>
      <c r="F1882" s="10"/>
      <c r="G1882" s="8"/>
      <c r="H1882" s="8"/>
      <c r="I1882" s="8"/>
      <c r="J1882" s="8"/>
      <c r="K1882" s="8"/>
      <c r="L1882" s="8"/>
    </row>
    <row r="1883">
      <c r="A1883" s="8"/>
      <c r="B1883" s="8"/>
      <c r="C1883" s="8"/>
      <c r="D1883" s="8"/>
      <c r="E1883" s="71"/>
      <c r="F1883" s="10"/>
      <c r="G1883" s="8"/>
      <c r="H1883" s="8"/>
      <c r="I1883" s="8"/>
      <c r="J1883" s="8"/>
      <c r="K1883" s="8"/>
      <c r="L1883" s="8"/>
    </row>
    <row r="1884">
      <c r="A1884" s="8"/>
      <c r="B1884" s="8"/>
      <c r="C1884" s="8"/>
      <c r="D1884" s="8"/>
      <c r="E1884" s="71"/>
      <c r="F1884" s="10"/>
      <c r="G1884" s="8"/>
      <c r="H1884" s="8"/>
      <c r="I1884" s="8"/>
      <c r="J1884" s="8"/>
      <c r="K1884" s="8"/>
      <c r="L1884" s="8"/>
    </row>
    <row r="1885">
      <c r="A1885" s="8"/>
      <c r="B1885" s="8"/>
      <c r="C1885" s="8"/>
      <c r="D1885" s="8"/>
      <c r="E1885" s="71"/>
      <c r="F1885" s="10"/>
      <c r="G1885" s="8"/>
      <c r="H1885" s="8"/>
      <c r="I1885" s="8"/>
      <c r="J1885" s="8"/>
      <c r="K1885" s="8"/>
      <c r="L1885" s="8"/>
    </row>
    <row r="1886">
      <c r="A1886" s="8"/>
      <c r="B1886" s="8"/>
      <c r="C1886" s="8"/>
      <c r="D1886" s="8"/>
      <c r="E1886" s="71"/>
      <c r="F1886" s="10"/>
      <c r="G1886" s="8"/>
      <c r="H1886" s="8"/>
      <c r="I1886" s="8"/>
      <c r="J1886" s="8"/>
      <c r="K1886" s="8"/>
      <c r="L1886" s="8"/>
    </row>
    <row r="1887">
      <c r="A1887" s="8"/>
      <c r="B1887" s="8"/>
      <c r="C1887" s="8"/>
      <c r="D1887" s="8"/>
      <c r="E1887" s="71"/>
      <c r="F1887" s="10"/>
      <c r="G1887" s="8"/>
      <c r="H1887" s="8"/>
      <c r="I1887" s="8"/>
      <c r="J1887" s="8"/>
      <c r="K1887" s="8"/>
      <c r="L1887" s="8"/>
    </row>
    <row r="1888">
      <c r="A1888" s="8"/>
      <c r="B1888" s="8"/>
      <c r="C1888" s="8"/>
      <c r="D1888" s="8"/>
      <c r="E1888" s="71"/>
      <c r="F1888" s="10"/>
      <c r="G1888" s="8"/>
      <c r="H1888" s="8"/>
      <c r="I1888" s="8"/>
      <c r="J1888" s="8"/>
      <c r="K1888" s="8"/>
      <c r="L1888" s="8"/>
    </row>
    <row r="1889">
      <c r="A1889" s="8"/>
      <c r="B1889" s="8"/>
      <c r="C1889" s="8"/>
      <c r="D1889" s="8"/>
      <c r="E1889" s="71"/>
      <c r="F1889" s="10"/>
      <c r="G1889" s="8"/>
      <c r="H1889" s="8"/>
      <c r="I1889" s="8"/>
      <c r="J1889" s="8"/>
      <c r="K1889" s="8"/>
      <c r="L1889" s="8"/>
    </row>
    <row r="1890">
      <c r="A1890" s="8"/>
      <c r="B1890" s="8"/>
      <c r="C1890" s="8"/>
      <c r="D1890" s="8"/>
      <c r="E1890" s="71"/>
      <c r="F1890" s="10"/>
      <c r="G1890" s="8"/>
      <c r="H1890" s="8"/>
      <c r="I1890" s="8"/>
      <c r="J1890" s="8"/>
      <c r="K1890" s="8"/>
      <c r="L1890" s="8"/>
    </row>
    <row r="1891">
      <c r="A1891" s="8"/>
      <c r="B1891" s="8"/>
      <c r="C1891" s="8"/>
      <c r="D1891" s="8"/>
      <c r="E1891" s="71"/>
      <c r="F1891" s="10"/>
      <c r="G1891" s="8"/>
      <c r="H1891" s="8"/>
      <c r="I1891" s="8"/>
      <c r="J1891" s="8"/>
      <c r="K1891" s="8"/>
      <c r="L1891" s="8"/>
    </row>
    <row r="1892">
      <c r="A1892" s="8"/>
      <c r="B1892" s="8"/>
      <c r="C1892" s="8"/>
      <c r="D1892" s="8"/>
      <c r="E1892" s="71"/>
      <c r="F1892" s="10"/>
      <c r="G1892" s="8"/>
      <c r="H1892" s="8"/>
      <c r="I1892" s="8"/>
      <c r="J1892" s="8"/>
      <c r="K1892" s="8"/>
      <c r="L1892" s="8"/>
    </row>
    <row r="1893">
      <c r="A1893" s="8"/>
      <c r="B1893" s="8"/>
      <c r="C1893" s="8"/>
      <c r="D1893" s="8"/>
      <c r="E1893" s="71"/>
      <c r="F1893" s="10"/>
      <c r="G1893" s="8"/>
      <c r="H1893" s="8"/>
      <c r="I1893" s="8"/>
      <c r="J1893" s="8"/>
      <c r="K1893" s="8"/>
      <c r="L1893" s="8"/>
    </row>
    <row r="1894">
      <c r="A1894" s="8"/>
      <c r="B1894" s="8"/>
      <c r="C1894" s="8"/>
      <c r="D1894" s="8"/>
      <c r="E1894" s="71"/>
      <c r="F1894" s="10"/>
      <c r="G1894" s="8"/>
      <c r="H1894" s="8"/>
      <c r="I1894" s="8"/>
      <c r="J1894" s="8"/>
      <c r="K1894" s="8"/>
      <c r="L1894" s="8"/>
    </row>
    <row r="1895">
      <c r="A1895" s="8"/>
      <c r="B1895" s="8"/>
      <c r="C1895" s="8"/>
      <c r="D1895" s="8"/>
      <c r="E1895" s="71"/>
      <c r="F1895" s="10"/>
      <c r="G1895" s="8"/>
      <c r="H1895" s="8"/>
      <c r="I1895" s="8"/>
      <c r="J1895" s="8"/>
      <c r="K1895" s="8"/>
      <c r="L1895" s="8"/>
    </row>
    <row r="1896">
      <c r="A1896" s="8"/>
      <c r="B1896" s="8"/>
      <c r="C1896" s="8"/>
      <c r="D1896" s="8"/>
      <c r="E1896" s="71"/>
      <c r="F1896" s="10"/>
      <c r="G1896" s="8"/>
      <c r="H1896" s="8"/>
      <c r="I1896" s="8"/>
      <c r="J1896" s="8"/>
      <c r="K1896" s="8"/>
      <c r="L1896" s="8"/>
    </row>
    <row r="1897">
      <c r="A1897" s="8"/>
      <c r="B1897" s="8"/>
      <c r="C1897" s="8"/>
      <c r="D1897" s="8"/>
      <c r="E1897" s="71"/>
      <c r="F1897" s="10"/>
      <c r="G1897" s="8"/>
      <c r="H1897" s="8"/>
      <c r="I1897" s="8"/>
      <c r="J1897" s="8"/>
      <c r="K1897" s="8"/>
      <c r="L1897" s="8"/>
    </row>
    <row r="1898">
      <c r="A1898" s="8"/>
      <c r="B1898" s="8"/>
      <c r="C1898" s="8"/>
      <c r="D1898" s="8"/>
      <c r="E1898" s="71"/>
      <c r="F1898" s="10"/>
      <c r="G1898" s="8"/>
      <c r="H1898" s="8"/>
      <c r="I1898" s="8"/>
      <c r="J1898" s="8"/>
      <c r="K1898" s="8"/>
      <c r="L1898" s="8"/>
    </row>
    <row r="1899">
      <c r="A1899" s="8"/>
      <c r="B1899" s="8"/>
      <c r="C1899" s="8"/>
      <c r="D1899" s="8"/>
      <c r="E1899" s="71"/>
      <c r="F1899" s="10"/>
      <c r="G1899" s="8"/>
      <c r="H1899" s="8"/>
      <c r="I1899" s="8"/>
      <c r="J1899" s="8"/>
      <c r="K1899" s="8"/>
      <c r="L1899" s="8"/>
    </row>
    <row r="1900">
      <c r="A1900" s="8"/>
      <c r="B1900" s="8"/>
      <c r="C1900" s="8"/>
      <c r="D1900" s="8"/>
      <c r="E1900" s="71"/>
      <c r="F1900" s="10"/>
      <c r="G1900" s="8"/>
      <c r="H1900" s="8"/>
      <c r="I1900" s="8"/>
      <c r="J1900" s="8"/>
      <c r="K1900" s="8"/>
      <c r="L1900" s="8"/>
    </row>
    <row r="1901">
      <c r="A1901" s="8"/>
      <c r="B1901" s="8"/>
      <c r="C1901" s="8"/>
      <c r="D1901" s="8"/>
      <c r="E1901" s="71"/>
      <c r="F1901" s="10"/>
      <c r="G1901" s="8"/>
      <c r="H1901" s="8"/>
      <c r="I1901" s="8"/>
      <c r="J1901" s="8"/>
      <c r="K1901" s="8"/>
      <c r="L1901" s="8"/>
    </row>
    <row r="1902">
      <c r="A1902" s="8"/>
      <c r="B1902" s="8"/>
      <c r="C1902" s="8"/>
      <c r="D1902" s="8"/>
      <c r="E1902" s="71"/>
      <c r="F1902" s="10"/>
      <c r="G1902" s="8"/>
      <c r="H1902" s="8"/>
      <c r="I1902" s="8"/>
      <c r="J1902" s="8"/>
      <c r="K1902" s="8"/>
      <c r="L1902" s="8"/>
    </row>
    <row r="1903">
      <c r="A1903" s="8"/>
      <c r="B1903" s="8"/>
      <c r="C1903" s="8"/>
      <c r="D1903" s="8"/>
      <c r="E1903" s="71"/>
      <c r="F1903" s="10"/>
      <c r="G1903" s="8"/>
      <c r="H1903" s="8"/>
      <c r="I1903" s="8"/>
      <c r="J1903" s="8"/>
      <c r="K1903" s="8"/>
      <c r="L1903" s="8"/>
    </row>
    <row r="1904">
      <c r="A1904" s="8"/>
      <c r="B1904" s="8"/>
      <c r="C1904" s="8"/>
      <c r="D1904" s="8"/>
      <c r="E1904" s="71"/>
      <c r="F1904" s="10"/>
      <c r="G1904" s="8"/>
      <c r="H1904" s="8"/>
      <c r="I1904" s="8"/>
      <c r="J1904" s="8"/>
      <c r="K1904" s="8"/>
      <c r="L1904" s="8"/>
    </row>
    <row r="1905">
      <c r="A1905" s="8"/>
      <c r="B1905" s="8"/>
      <c r="C1905" s="8"/>
      <c r="D1905" s="8"/>
      <c r="E1905" s="71"/>
      <c r="F1905" s="10"/>
      <c r="G1905" s="8"/>
      <c r="H1905" s="8"/>
      <c r="I1905" s="8"/>
      <c r="J1905" s="8"/>
      <c r="K1905" s="8"/>
      <c r="L1905" s="8"/>
    </row>
    <row r="1906">
      <c r="A1906" s="8"/>
      <c r="B1906" s="8"/>
      <c r="C1906" s="8"/>
      <c r="D1906" s="8"/>
      <c r="E1906" s="71"/>
      <c r="F1906" s="10"/>
      <c r="G1906" s="8"/>
      <c r="H1906" s="8"/>
      <c r="I1906" s="8"/>
      <c r="J1906" s="8"/>
      <c r="K1906" s="8"/>
      <c r="L1906" s="8"/>
    </row>
    <row r="1907">
      <c r="A1907" s="8"/>
      <c r="B1907" s="8"/>
      <c r="C1907" s="8"/>
      <c r="D1907" s="8"/>
      <c r="E1907" s="71"/>
      <c r="F1907" s="10"/>
      <c r="G1907" s="8"/>
      <c r="H1907" s="8"/>
      <c r="I1907" s="8"/>
      <c r="J1907" s="8"/>
      <c r="K1907" s="8"/>
      <c r="L1907" s="8"/>
    </row>
    <row r="1908">
      <c r="A1908" s="8"/>
      <c r="B1908" s="8"/>
      <c r="C1908" s="8"/>
      <c r="D1908" s="8"/>
      <c r="E1908" s="71"/>
      <c r="F1908" s="10"/>
      <c r="G1908" s="8"/>
      <c r="H1908" s="8"/>
      <c r="I1908" s="8"/>
      <c r="J1908" s="8"/>
      <c r="K1908" s="8"/>
      <c r="L1908" s="8"/>
    </row>
    <row r="1909">
      <c r="A1909" s="8"/>
      <c r="B1909" s="8"/>
      <c r="C1909" s="8"/>
      <c r="D1909" s="8"/>
      <c r="E1909" s="71"/>
      <c r="F1909" s="10"/>
      <c r="G1909" s="8"/>
      <c r="H1909" s="8"/>
      <c r="I1909" s="8"/>
      <c r="J1909" s="8"/>
      <c r="K1909" s="8"/>
      <c r="L1909" s="8"/>
    </row>
    <row r="1910">
      <c r="A1910" s="8"/>
      <c r="B1910" s="8"/>
      <c r="C1910" s="8"/>
      <c r="D1910" s="8"/>
      <c r="E1910" s="71"/>
      <c r="F1910" s="10"/>
      <c r="G1910" s="8"/>
      <c r="H1910" s="8"/>
      <c r="I1910" s="8"/>
      <c r="J1910" s="8"/>
      <c r="K1910" s="8"/>
      <c r="L1910" s="8"/>
    </row>
    <row r="1911">
      <c r="A1911" s="8"/>
      <c r="B1911" s="8"/>
      <c r="C1911" s="8"/>
      <c r="D1911" s="8"/>
      <c r="E1911" s="71"/>
      <c r="F1911" s="10"/>
      <c r="G1911" s="8"/>
      <c r="H1911" s="8"/>
      <c r="I1911" s="8"/>
      <c r="J1911" s="8"/>
      <c r="K1911" s="8"/>
      <c r="L1911" s="8"/>
    </row>
    <row r="1912">
      <c r="A1912" s="8"/>
      <c r="B1912" s="8"/>
      <c r="C1912" s="8"/>
      <c r="D1912" s="8"/>
      <c r="E1912" s="71"/>
      <c r="F1912" s="10"/>
      <c r="G1912" s="8"/>
      <c r="H1912" s="8"/>
      <c r="I1912" s="8"/>
      <c r="J1912" s="8"/>
      <c r="K1912" s="8"/>
      <c r="L1912" s="8"/>
    </row>
    <row r="1913">
      <c r="A1913" s="8"/>
      <c r="B1913" s="8"/>
      <c r="C1913" s="8"/>
      <c r="D1913" s="8"/>
      <c r="E1913" s="71"/>
      <c r="F1913" s="10"/>
      <c r="G1913" s="8"/>
      <c r="H1913" s="8"/>
      <c r="I1913" s="8"/>
      <c r="J1913" s="8"/>
      <c r="K1913" s="8"/>
      <c r="L1913" s="8"/>
    </row>
    <row r="1914">
      <c r="A1914" s="8"/>
      <c r="B1914" s="8"/>
      <c r="C1914" s="8"/>
      <c r="D1914" s="8"/>
      <c r="E1914" s="71"/>
      <c r="F1914" s="10"/>
      <c r="G1914" s="8"/>
      <c r="H1914" s="8"/>
      <c r="I1914" s="8"/>
      <c r="J1914" s="8"/>
      <c r="K1914" s="8"/>
      <c r="L1914" s="8"/>
    </row>
    <row r="1915">
      <c r="A1915" s="8"/>
      <c r="B1915" s="8"/>
      <c r="C1915" s="8"/>
      <c r="D1915" s="8"/>
      <c r="E1915" s="71"/>
      <c r="F1915" s="10"/>
      <c r="G1915" s="8"/>
      <c r="H1915" s="8"/>
      <c r="I1915" s="8"/>
      <c r="J1915" s="8"/>
      <c r="K1915" s="8"/>
      <c r="L1915" s="8"/>
    </row>
    <row r="1916">
      <c r="A1916" s="8"/>
      <c r="B1916" s="8"/>
      <c r="C1916" s="8"/>
      <c r="D1916" s="8"/>
      <c r="E1916" s="71"/>
      <c r="F1916" s="10"/>
      <c r="G1916" s="8"/>
      <c r="H1916" s="8"/>
      <c r="I1916" s="8"/>
      <c r="J1916" s="8"/>
      <c r="K1916" s="8"/>
      <c r="L1916" s="8"/>
    </row>
    <row r="1917">
      <c r="A1917" s="8"/>
      <c r="B1917" s="8"/>
      <c r="C1917" s="8"/>
      <c r="D1917" s="8"/>
      <c r="E1917" s="71"/>
      <c r="F1917" s="10"/>
      <c r="G1917" s="8"/>
      <c r="H1917" s="8"/>
      <c r="I1917" s="8"/>
      <c r="J1917" s="8"/>
      <c r="K1917" s="8"/>
      <c r="L1917" s="8"/>
    </row>
    <row r="1918">
      <c r="A1918" s="8"/>
      <c r="B1918" s="8"/>
      <c r="C1918" s="8"/>
      <c r="D1918" s="8"/>
      <c r="E1918" s="71"/>
      <c r="F1918" s="10"/>
      <c r="G1918" s="8"/>
      <c r="H1918" s="8"/>
      <c r="I1918" s="8"/>
      <c r="J1918" s="8"/>
      <c r="K1918" s="8"/>
      <c r="L1918" s="8"/>
    </row>
    <row r="1919">
      <c r="A1919" s="8"/>
      <c r="B1919" s="8"/>
      <c r="C1919" s="8"/>
      <c r="D1919" s="8"/>
      <c r="E1919" s="71"/>
      <c r="F1919" s="10"/>
      <c r="G1919" s="8"/>
      <c r="H1919" s="8"/>
      <c r="I1919" s="8"/>
      <c r="J1919" s="8"/>
      <c r="K1919" s="8"/>
      <c r="L1919" s="8"/>
    </row>
    <row r="1920">
      <c r="A1920" s="8"/>
      <c r="B1920" s="8"/>
      <c r="C1920" s="8"/>
      <c r="D1920" s="8"/>
      <c r="E1920" s="71"/>
      <c r="F1920" s="10"/>
      <c r="G1920" s="8"/>
      <c r="H1920" s="8"/>
      <c r="I1920" s="8"/>
      <c r="J1920" s="8"/>
      <c r="K1920" s="8"/>
      <c r="L1920" s="8"/>
    </row>
    <row r="1921">
      <c r="A1921" s="8"/>
      <c r="B1921" s="8"/>
      <c r="C1921" s="8"/>
      <c r="D1921" s="8"/>
      <c r="E1921" s="71"/>
      <c r="F1921" s="10"/>
      <c r="G1921" s="8"/>
      <c r="H1921" s="8"/>
      <c r="I1921" s="8"/>
      <c r="J1921" s="8"/>
      <c r="K1921" s="8"/>
      <c r="L1921" s="8"/>
    </row>
    <row r="1922">
      <c r="A1922" s="8"/>
      <c r="B1922" s="8"/>
      <c r="C1922" s="8"/>
      <c r="D1922" s="8"/>
      <c r="E1922" s="71"/>
      <c r="F1922" s="10"/>
      <c r="G1922" s="8"/>
      <c r="H1922" s="8"/>
      <c r="I1922" s="8"/>
      <c r="J1922" s="8"/>
      <c r="K1922" s="8"/>
      <c r="L1922" s="8"/>
    </row>
    <row r="1923">
      <c r="A1923" s="8"/>
      <c r="B1923" s="8"/>
      <c r="C1923" s="8"/>
      <c r="D1923" s="8"/>
      <c r="E1923" s="71"/>
      <c r="F1923" s="10"/>
      <c r="G1923" s="8"/>
      <c r="H1923" s="8"/>
      <c r="I1923" s="8"/>
      <c r="J1923" s="8"/>
      <c r="K1923" s="8"/>
      <c r="L1923" s="8"/>
    </row>
    <row r="1924">
      <c r="A1924" s="8"/>
      <c r="B1924" s="8"/>
      <c r="C1924" s="8"/>
      <c r="D1924" s="8"/>
      <c r="E1924" s="71"/>
      <c r="F1924" s="10"/>
      <c r="G1924" s="8"/>
      <c r="H1924" s="8"/>
      <c r="I1924" s="8"/>
      <c r="J1924" s="8"/>
      <c r="K1924" s="8"/>
      <c r="L1924" s="8"/>
    </row>
    <row r="1925">
      <c r="A1925" s="8"/>
      <c r="B1925" s="8"/>
      <c r="C1925" s="8"/>
      <c r="D1925" s="8"/>
      <c r="E1925" s="71"/>
      <c r="F1925" s="10"/>
      <c r="G1925" s="8"/>
      <c r="H1925" s="8"/>
      <c r="I1925" s="8"/>
      <c r="J1925" s="8"/>
      <c r="K1925" s="8"/>
      <c r="L1925" s="8"/>
    </row>
    <row r="1926">
      <c r="A1926" s="8"/>
      <c r="B1926" s="8"/>
      <c r="C1926" s="8"/>
      <c r="D1926" s="8"/>
      <c r="E1926" s="71"/>
      <c r="F1926" s="10"/>
      <c r="G1926" s="8"/>
      <c r="H1926" s="8"/>
      <c r="I1926" s="8"/>
      <c r="J1926" s="8"/>
      <c r="K1926" s="8"/>
      <c r="L1926" s="8"/>
    </row>
    <row r="1927">
      <c r="A1927" s="8"/>
      <c r="B1927" s="8"/>
      <c r="C1927" s="8"/>
      <c r="D1927" s="8"/>
      <c r="E1927" s="71"/>
      <c r="F1927" s="10"/>
      <c r="G1927" s="8"/>
      <c r="H1927" s="8"/>
      <c r="I1927" s="8"/>
      <c r="J1927" s="8"/>
      <c r="K1927" s="8"/>
      <c r="L1927" s="8"/>
    </row>
    <row r="1928">
      <c r="A1928" s="8"/>
      <c r="B1928" s="8"/>
      <c r="C1928" s="8"/>
      <c r="D1928" s="8"/>
      <c r="E1928" s="71"/>
      <c r="F1928" s="10"/>
      <c r="G1928" s="8"/>
      <c r="H1928" s="8"/>
      <c r="I1928" s="8"/>
      <c r="J1928" s="8"/>
      <c r="K1928" s="8"/>
      <c r="L1928" s="8"/>
    </row>
    <row r="1929">
      <c r="A1929" s="8"/>
      <c r="B1929" s="8"/>
      <c r="C1929" s="8"/>
      <c r="D1929" s="8"/>
      <c r="E1929" s="71"/>
      <c r="F1929" s="10"/>
      <c r="G1929" s="8"/>
      <c r="H1929" s="8"/>
      <c r="I1929" s="8"/>
      <c r="J1929" s="8"/>
      <c r="K1929" s="8"/>
      <c r="L1929" s="8"/>
    </row>
    <row r="1930">
      <c r="A1930" s="8"/>
      <c r="B1930" s="8"/>
      <c r="C1930" s="8"/>
      <c r="D1930" s="8"/>
      <c r="E1930" s="71"/>
      <c r="F1930" s="10"/>
      <c r="G1930" s="8"/>
      <c r="H1930" s="8"/>
      <c r="I1930" s="8"/>
      <c r="J1930" s="8"/>
      <c r="K1930" s="8"/>
      <c r="L1930" s="8"/>
    </row>
    <row r="1931">
      <c r="A1931" s="8"/>
      <c r="B1931" s="8"/>
      <c r="C1931" s="8"/>
      <c r="D1931" s="8"/>
      <c r="E1931" s="71"/>
      <c r="F1931" s="10"/>
      <c r="G1931" s="8"/>
      <c r="H1931" s="8"/>
      <c r="I1931" s="8"/>
      <c r="J1931" s="8"/>
      <c r="K1931" s="8"/>
      <c r="L1931" s="8"/>
    </row>
    <row r="1932">
      <c r="A1932" s="8"/>
      <c r="B1932" s="8"/>
      <c r="C1932" s="8"/>
      <c r="D1932" s="8"/>
      <c r="E1932" s="71"/>
      <c r="F1932" s="10"/>
      <c r="G1932" s="8"/>
      <c r="H1932" s="8"/>
      <c r="I1932" s="8"/>
      <c r="J1932" s="8"/>
      <c r="K1932" s="8"/>
      <c r="L1932" s="8"/>
    </row>
    <row r="1933">
      <c r="A1933" s="8"/>
      <c r="B1933" s="8"/>
      <c r="C1933" s="8"/>
      <c r="D1933" s="8"/>
      <c r="E1933" s="71"/>
      <c r="F1933" s="10"/>
      <c r="G1933" s="8"/>
      <c r="H1933" s="8"/>
      <c r="I1933" s="8"/>
      <c r="J1933" s="8"/>
      <c r="K1933" s="8"/>
      <c r="L1933" s="8"/>
    </row>
    <row r="1934">
      <c r="A1934" s="8"/>
      <c r="B1934" s="8"/>
      <c r="C1934" s="8"/>
      <c r="D1934" s="8"/>
      <c r="E1934" s="71"/>
      <c r="F1934" s="10"/>
      <c r="G1934" s="8"/>
      <c r="H1934" s="8"/>
      <c r="I1934" s="8"/>
      <c r="J1934" s="8"/>
      <c r="K1934" s="8"/>
      <c r="L1934" s="8"/>
    </row>
    <row r="1935">
      <c r="A1935" s="8"/>
      <c r="B1935" s="8"/>
      <c r="C1935" s="8"/>
      <c r="D1935" s="8"/>
      <c r="E1935" s="71"/>
      <c r="F1935" s="10"/>
      <c r="G1935" s="8"/>
      <c r="H1935" s="8"/>
      <c r="I1935" s="8"/>
      <c r="J1935" s="8"/>
      <c r="K1935" s="8"/>
      <c r="L1935" s="8"/>
    </row>
    <row r="1936">
      <c r="A1936" s="8"/>
      <c r="B1936" s="8"/>
      <c r="C1936" s="8"/>
      <c r="D1936" s="8"/>
      <c r="E1936" s="71"/>
      <c r="F1936" s="10"/>
      <c r="G1936" s="8"/>
      <c r="H1936" s="8"/>
      <c r="I1936" s="8"/>
      <c r="J1936" s="8"/>
      <c r="K1936" s="8"/>
      <c r="L1936" s="8"/>
    </row>
    <row r="1937">
      <c r="A1937" s="8"/>
      <c r="B1937" s="8"/>
      <c r="C1937" s="8"/>
      <c r="D1937" s="8"/>
      <c r="E1937" s="71"/>
      <c r="F1937" s="10"/>
      <c r="G1937" s="8"/>
      <c r="H1937" s="8"/>
      <c r="I1937" s="8"/>
      <c r="J1937" s="8"/>
      <c r="K1937" s="8"/>
      <c r="L1937" s="8"/>
    </row>
    <row r="1938">
      <c r="A1938" s="8"/>
      <c r="B1938" s="8"/>
      <c r="C1938" s="8"/>
      <c r="D1938" s="8"/>
      <c r="E1938" s="71"/>
      <c r="F1938" s="10"/>
      <c r="G1938" s="8"/>
      <c r="H1938" s="8"/>
      <c r="I1938" s="8"/>
      <c r="J1938" s="8"/>
      <c r="K1938" s="8"/>
      <c r="L1938" s="8"/>
    </row>
    <row r="1939">
      <c r="A1939" s="8"/>
      <c r="B1939" s="8"/>
      <c r="C1939" s="8"/>
      <c r="D1939" s="8"/>
      <c r="E1939" s="71"/>
      <c r="F1939" s="10"/>
      <c r="G1939" s="8"/>
      <c r="H1939" s="8"/>
      <c r="I1939" s="8"/>
      <c r="J1939" s="8"/>
      <c r="K1939" s="8"/>
      <c r="L1939" s="8"/>
    </row>
    <row r="1940">
      <c r="A1940" s="8"/>
      <c r="B1940" s="8"/>
      <c r="C1940" s="8"/>
      <c r="D1940" s="8"/>
      <c r="E1940" s="71"/>
      <c r="F1940" s="10"/>
      <c r="G1940" s="8"/>
      <c r="H1940" s="8"/>
      <c r="I1940" s="8"/>
      <c r="J1940" s="8"/>
      <c r="K1940" s="8"/>
      <c r="L1940" s="8"/>
    </row>
    <row r="1941">
      <c r="A1941" s="8"/>
      <c r="B1941" s="8"/>
      <c r="C1941" s="8"/>
      <c r="D1941" s="8"/>
      <c r="E1941" s="71"/>
      <c r="F1941" s="10"/>
      <c r="G1941" s="8"/>
      <c r="H1941" s="8"/>
      <c r="I1941" s="8"/>
      <c r="J1941" s="8"/>
      <c r="K1941" s="8"/>
      <c r="L1941" s="8"/>
    </row>
    <row r="1942">
      <c r="A1942" s="8"/>
      <c r="B1942" s="8"/>
      <c r="C1942" s="8"/>
      <c r="D1942" s="8"/>
      <c r="E1942" s="71"/>
      <c r="F1942" s="10"/>
      <c r="G1942" s="8"/>
      <c r="H1942" s="8"/>
      <c r="I1942" s="8"/>
      <c r="J1942" s="8"/>
      <c r="K1942" s="8"/>
      <c r="L1942" s="8"/>
    </row>
    <row r="1943">
      <c r="A1943" s="8"/>
      <c r="B1943" s="8"/>
      <c r="C1943" s="8"/>
      <c r="D1943" s="8"/>
      <c r="E1943" s="71"/>
      <c r="F1943" s="10"/>
      <c r="G1943" s="8"/>
      <c r="H1943" s="8"/>
      <c r="I1943" s="8"/>
      <c r="J1943" s="8"/>
      <c r="K1943" s="8"/>
      <c r="L1943" s="8"/>
    </row>
    <row r="1944">
      <c r="A1944" s="8"/>
      <c r="B1944" s="8"/>
      <c r="C1944" s="8"/>
      <c r="D1944" s="8"/>
      <c r="E1944" s="71"/>
      <c r="F1944" s="10"/>
      <c r="G1944" s="8"/>
      <c r="H1944" s="8"/>
      <c r="I1944" s="8"/>
      <c r="J1944" s="8"/>
      <c r="K1944" s="8"/>
      <c r="L1944" s="8"/>
    </row>
    <row r="1945">
      <c r="A1945" s="8"/>
      <c r="B1945" s="8"/>
      <c r="C1945" s="8"/>
      <c r="D1945" s="8"/>
      <c r="E1945" s="71"/>
      <c r="F1945" s="10"/>
      <c r="G1945" s="8"/>
      <c r="H1945" s="8"/>
      <c r="I1945" s="8"/>
      <c r="J1945" s="8"/>
      <c r="K1945" s="8"/>
      <c r="L1945" s="8"/>
    </row>
    <row r="1946">
      <c r="A1946" s="8"/>
      <c r="B1946" s="8"/>
      <c r="C1946" s="8"/>
      <c r="D1946" s="8"/>
      <c r="E1946" s="71"/>
      <c r="F1946" s="10"/>
      <c r="G1946" s="8"/>
      <c r="H1946" s="8"/>
      <c r="I1946" s="8"/>
      <c r="J1946" s="8"/>
      <c r="K1946" s="8"/>
      <c r="L1946" s="8"/>
    </row>
    <row r="1947">
      <c r="A1947" s="8"/>
      <c r="B1947" s="8"/>
      <c r="C1947" s="8"/>
      <c r="D1947" s="8"/>
      <c r="E1947" s="71"/>
      <c r="F1947" s="10"/>
      <c r="G1947" s="8"/>
      <c r="H1947" s="8"/>
      <c r="I1947" s="8"/>
      <c r="J1947" s="8"/>
      <c r="K1947" s="8"/>
      <c r="L1947" s="8"/>
    </row>
    <row r="1948">
      <c r="A1948" s="8"/>
      <c r="B1948" s="8"/>
      <c r="C1948" s="8"/>
      <c r="D1948" s="8"/>
      <c r="E1948" s="71"/>
      <c r="F1948" s="10"/>
      <c r="G1948" s="8"/>
      <c r="H1948" s="8"/>
      <c r="I1948" s="8"/>
      <c r="J1948" s="8"/>
      <c r="K1948" s="8"/>
      <c r="L1948" s="8"/>
    </row>
    <row r="1949">
      <c r="A1949" s="8"/>
      <c r="B1949" s="8"/>
      <c r="C1949" s="8"/>
      <c r="D1949" s="8"/>
      <c r="E1949" s="71"/>
      <c r="F1949" s="10"/>
      <c r="G1949" s="8"/>
      <c r="H1949" s="8"/>
      <c r="I1949" s="8"/>
      <c r="J1949" s="8"/>
      <c r="K1949" s="8"/>
      <c r="L1949" s="8"/>
    </row>
    <row r="1950">
      <c r="A1950" s="8"/>
      <c r="B1950" s="8"/>
      <c r="C1950" s="8"/>
      <c r="D1950" s="8"/>
      <c r="E1950" s="71"/>
      <c r="F1950" s="10"/>
      <c r="G1950" s="8"/>
      <c r="H1950" s="8"/>
      <c r="I1950" s="8"/>
      <c r="J1950" s="8"/>
      <c r="K1950" s="8"/>
      <c r="L1950" s="8"/>
    </row>
    <row r="1951">
      <c r="A1951" s="8"/>
      <c r="B1951" s="8"/>
      <c r="C1951" s="8"/>
      <c r="D1951" s="8"/>
      <c r="E1951" s="71"/>
      <c r="F1951" s="10"/>
      <c r="G1951" s="8"/>
      <c r="H1951" s="8"/>
      <c r="I1951" s="8"/>
      <c r="J1951" s="8"/>
      <c r="K1951" s="8"/>
      <c r="L1951" s="8"/>
    </row>
    <row r="1952">
      <c r="A1952" s="8"/>
      <c r="B1952" s="8"/>
      <c r="C1952" s="8"/>
      <c r="D1952" s="8"/>
      <c r="E1952" s="71"/>
      <c r="F1952" s="10"/>
      <c r="G1952" s="8"/>
      <c r="H1952" s="8"/>
      <c r="I1952" s="8"/>
      <c r="J1952" s="8"/>
      <c r="K1952" s="8"/>
      <c r="L1952" s="8"/>
    </row>
    <row r="1953">
      <c r="A1953" s="8"/>
      <c r="B1953" s="8"/>
      <c r="C1953" s="8"/>
      <c r="D1953" s="8"/>
      <c r="E1953" s="71"/>
      <c r="F1953" s="10"/>
      <c r="G1953" s="8"/>
      <c r="H1953" s="8"/>
      <c r="I1953" s="8"/>
      <c r="J1953" s="8"/>
      <c r="K1953" s="8"/>
      <c r="L1953" s="8"/>
    </row>
    <row r="1954">
      <c r="A1954" s="8"/>
      <c r="B1954" s="8"/>
      <c r="C1954" s="8"/>
      <c r="D1954" s="8"/>
      <c r="E1954" s="71"/>
      <c r="F1954" s="10"/>
      <c r="G1954" s="8"/>
      <c r="H1954" s="8"/>
      <c r="I1954" s="8"/>
      <c r="J1954" s="8"/>
      <c r="K1954" s="8"/>
      <c r="L1954" s="8"/>
    </row>
    <row r="1955">
      <c r="A1955" s="8"/>
      <c r="B1955" s="8"/>
      <c r="C1955" s="8"/>
      <c r="D1955" s="8"/>
      <c r="E1955" s="71"/>
      <c r="F1955" s="10"/>
      <c r="G1955" s="8"/>
      <c r="H1955" s="8"/>
      <c r="I1955" s="8"/>
      <c r="J1955" s="8"/>
      <c r="K1955" s="8"/>
      <c r="L1955" s="8"/>
    </row>
    <row r="1956">
      <c r="A1956" s="8"/>
      <c r="B1956" s="8"/>
      <c r="C1956" s="8"/>
      <c r="D1956" s="8"/>
      <c r="E1956" s="71"/>
      <c r="F1956" s="10"/>
      <c r="G1956" s="8"/>
      <c r="H1956" s="8"/>
      <c r="I1956" s="8"/>
      <c r="J1956" s="8"/>
      <c r="K1956" s="8"/>
      <c r="L1956" s="8"/>
    </row>
    <row r="1957">
      <c r="A1957" s="8"/>
      <c r="B1957" s="8"/>
      <c r="C1957" s="8"/>
      <c r="D1957" s="8"/>
      <c r="E1957" s="71"/>
      <c r="F1957" s="10"/>
      <c r="G1957" s="8"/>
      <c r="H1957" s="8"/>
      <c r="I1957" s="8"/>
      <c r="J1957" s="8"/>
      <c r="K1957" s="8"/>
      <c r="L1957" s="8"/>
    </row>
    <row r="1958">
      <c r="A1958" s="8"/>
      <c r="B1958" s="8"/>
      <c r="C1958" s="8"/>
      <c r="D1958" s="8"/>
      <c r="E1958" s="71"/>
      <c r="F1958" s="10"/>
      <c r="G1958" s="8"/>
      <c r="H1958" s="8"/>
      <c r="I1958" s="8"/>
      <c r="J1958" s="8"/>
      <c r="K1958" s="8"/>
      <c r="L1958" s="8"/>
    </row>
    <row r="1959">
      <c r="A1959" s="8"/>
      <c r="B1959" s="8"/>
      <c r="C1959" s="8"/>
      <c r="D1959" s="8"/>
      <c r="E1959" s="71"/>
      <c r="F1959" s="10"/>
      <c r="G1959" s="8"/>
      <c r="H1959" s="8"/>
      <c r="I1959" s="8"/>
      <c r="J1959" s="8"/>
      <c r="K1959" s="8"/>
      <c r="L1959" s="8"/>
    </row>
    <row r="1960">
      <c r="A1960" s="8"/>
      <c r="B1960" s="8"/>
      <c r="C1960" s="8"/>
      <c r="D1960" s="8"/>
      <c r="E1960" s="71"/>
      <c r="F1960" s="10"/>
      <c r="G1960" s="8"/>
      <c r="H1960" s="8"/>
      <c r="I1960" s="8"/>
      <c r="J1960" s="8"/>
      <c r="K1960" s="8"/>
      <c r="L1960" s="8"/>
    </row>
    <row r="1961">
      <c r="A1961" s="8"/>
      <c r="B1961" s="8"/>
      <c r="C1961" s="8"/>
      <c r="D1961" s="8"/>
      <c r="E1961" s="71"/>
      <c r="F1961" s="10"/>
      <c r="G1961" s="8"/>
      <c r="H1961" s="8"/>
      <c r="I1961" s="8"/>
      <c r="J1961" s="8"/>
      <c r="K1961" s="8"/>
      <c r="L1961" s="8"/>
    </row>
    <row r="1962">
      <c r="A1962" s="8"/>
      <c r="B1962" s="8"/>
      <c r="C1962" s="8"/>
      <c r="D1962" s="8"/>
      <c r="E1962" s="71"/>
      <c r="F1962" s="10"/>
      <c r="G1962" s="8"/>
      <c r="H1962" s="8"/>
      <c r="I1962" s="8"/>
      <c r="J1962" s="8"/>
      <c r="K1962" s="8"/>
      <c r="L1962" s="8"/>
    </row>
    <row r="1963">
      <c r="A1963" s="8"/>
      <c r="B1963" s="8"/>
      <c r="C1963" s="8"/>
      <c r="D1963" s="8"/>
      <c r="E1963" s="71"/>
      <c r="F1963" s="10"/>
      <c r="G1963" s="8"/>
      <c r="H1963" s="8"/>
      <c r="I1963" s="8"/>
      <c r="J1963" s="8"/>
      <c r="K1963" s="8"/>
      <c r="L1963" s="8"/>
    </row>
    <row r="1964">
      <c r="A1964" s="8"/>
      <c r="B1964" s="8"/>
      <c r="C1964" s="8"/>
      <c r="D1964" s="8"/>
      <c r="E1964" s="71"/>
      <c r="F1964" s="10"/>
      <c r="G1964" s="8"/>
      <c r="H1964" s="8"/>
      <c r="I1964" s="8"/>
      <c r="J1964" s="8"/>
      <c r="K1964" s="8"/>
      <c r="L1964" s="8"/>
    </row>
    <row r="1965">
      <c r="A1965" s="8"/>
      <c r="B1965" s="8"/>
      <c r="C1965" s="8"/>
      <c r="D1965" s="8"/>
      <c r="E1965" s="71"/>
      <c r="F1965" s="10"/>
      <c r="G1965" s="8"/>
      <c r="H1965" s="8"/>
      <c r="I1965" s="8"/>
      <c r="J1965" s="8"/>
      <c r="K1965" s="8"/>
      <c r="L1965" s="8"/>
    </row>
    <row r="1966">
      <c r="A1966" s="8"/>
      <c r="B1966" s="8"/>
      <c r="C1966" s="8"/>
      <c r="D1966" s="8"/>
      <c r="E1966" s="71"/>
      <c r="F1966" s="10"/>
      <c r="G1966" s="8"/>
      <c r="H1966" s="8"/>
      <c r="I1966" s="8"/>
      <c r="J1966" s="8"/>
      <c r="K1966" s="8"/>
      <c r="L1966" s="8"/>
    </row>
    <row r="1967">
      <c r="A1967" s="8"/>
      <c r="B1967" s="8"/>
      <c r="C1967" s="8"/>
      <c r="D1967" s="8"/>
      <c r="E1967" s="71"/>
      <c r="F1967" s="10"/>
      <c r="G1967" s="8"/>
      <c r="H1967" s="8"/>
      <c r="I1967" s="8"/>
      <c r="J1967" s="8"/>
      <c r="K1967" s="8"/>
      <c r="L1967" s="8"/>
    </row>
    <row r="1968">
      <c r="A1968" s="8"/>
      <c r="B1968" s="8"/>
      <c r="C1968" s="8"/>
      <c r="D1968" s="8"/>
      <c r="E1968" s="71"/>
      <c r="F1968" s="10"/>
      <c r="G1968" s="8"/>
      <c r="H1968" s="8"/>
      <c r="I1968" s="8"/>
      <c r="J1968" s="8"/>
      <c r="K1968" s="8"/>
      <c r="L1968" s="8"/>
    </row>
    <row r="1969">
      <c r="A1969" s="8"/>
      <c r="B1969" s="8"/>
      <c r="C1969" s="8"/>
      <c r="D1969" s="8"/>
      <c r="E1969" s="71"/>
      <c r="F1969" s="10"/>
      <c r="G1969" s="8"/>
      <c r="H1969" s="8"/>
      <c r="I1969" s="8"/>
      <c r="J1969" s="8"/>
      <c r="K1969" s="8"/>
      <c r="L1969" s="8"/>
    </row>
    <row r="1970">
      <c r="A1970" s="8"/>
      <c r="B1970" s="8"/>
      <c r="C1970" s="8"/>
      <c r="D1970" s="8"/>
      <c r="E1970" s="71"/>
      <c r="F1970" s="10"/>
      <c r="G1970" s="8"/>
      <c r="H1970" s="8"/>
      <c r="I1970" s="8"/>
      <c r="J1970" s="8"/>
      <c r="K1970" s="8"/>
      <c r="L1970" s="8"/>
    </row>
    <row r="1971">
      <c r="A1971" s="8"/>
      <c r="B1971" s="8"/>
      <c r="C1971" s="8"/>
      <c r="D1971" s="8"/>
      <c r="E1971" s="71"/>
      <c r="F1971" s="10"/>
      <c r="G1971" s="8"/>
      <c r="H1971" s="8"/>
      <c r="I1971" s="8"/>
      <c r="J1971" s="8"/>
      <c r="K1971" s="8"/>
      <c r="L1971" s="8"/>
    </row>
    <row r="1972">
      <c r="A1972" s="8"/>
      <c r="B1972" s="8"/>
      <c r="C1972" s="8"/>
      <c r="D1972" s="8"/>
      <c r="E1972" s="71"/>
      <c r="F1972" s="10"/>
      <c r="G1972" s="8"/>
      <c r="H1972" s="8"/>
      <c r="I1972" s="8"/>
      <c r="J1972" s="8"/>
      <c r="K1972" s="8"/>
      <c r="L1972" s="8"/>
    </row>
    <row r="1973">
      <c r="A1973" s="8"/>
      <c r="B1973" s="8"/>
      <c r="C1973" s="8"/>
      <c r="D1973" s="8"/>
      <c r="E1973" s="71"/>
      <c r="F1973" s="10"/>
      <c r="G1973" s="8"/>
      <c r="H1973" s="8"/>
      <c r="I1973" s="8"/>
      <c r="J1973" s="8"/>
      <c r="K1973" s="8"/>
      <c r="L1973" s="8"/>
    </row>
    <row r="1974">
      <c r="A1974" s="8"/>
      <c r="B1974" s="8"/>
      <c r="C1974" s="8"/>
      <c r="D1974" s="8"/>
      <c r="E1974" s="71"/>
      <c r="F1974" s="10"/>
      <c r="G1974" s="8"/>
      <c r="H1974" s="8"/>
      <c r="I1974" s="8"/>
      <c r="J1974" s="8"/>
      <c r="K1974" s="8"/>
      <c r="L1974" s="8"/>
    </row>
    <row r="1975">
      <c r="A1975" s="8"/>
      <c r="B1975" s="8"/>
      <c r="C1975" s="8"/>
      <c r="D1975" s="8"/>
      <c r="E1975" s="71"/>
      <c r="F1975" s="10"/>
      <c r="G1975" s="8"/>
      <c r="H1975" s="8"/>
      <c r="I1975" s="8"/>
      <c r="J1975" s="8"/>
      <c r="K1975" s="8"/>
      <c r="L1975" s="8"/>
    </row>
    <row r="1976">
      <c r="A1976" s="8"/>
      <c r="B1976" s="8"/>
      <c r="C1976" s="8"/>
      <c r="D1976" s="8"/>
      <c r="E1976" s="71"/>
      <c r="F1976" s="10"/>
      <c r="G1976" s="8"/>
      <c r="H1976" s="8"/>
      <c r="I1976" s="8"/>
      <c r="J1976" s="8"/>
      <c r="K1976" s="8"/>
      <c r="L1976" s="8"/>
    </row>
    <row r="1977">
      <c r="A1977" s="8"/>
      <c r="B1977" s="8"/>
      <c r="C1977" s="8"/>
      <c r="D1977" s="8"/>
      <c r="E1977" s="71"/>
      <c r="F1977" s="10"/>
      <c r="G1977" s="8"/>
      <c r="H1977" s="8"/>
      <c r="I1977" s="8"/>
      <c r="J1977" s="8"/>
      <c r="K1977" s="8"/>
      <c r="L1977" s="8"/>
    </row>
    <row r="1978">
      <c r="A1978" s="8"/>
      <c r="B1978" s="8"/>
      <c r="C1978" s="8"/>
      <c r="D1978" s="8"/>
      <c r="E1978" s="71"/>
      <c r="F1978" s="10"/>
      <c r="G1978" s="8"/>
      <c r="H1978" s="8"/>
      <c r="I1978" s="8"/>
      <c r="J1978" s="8"/>
      <c r="K1978" s="8"/>
      <c r="L1978" s="8"/>
    </row>
    <row r="1979">
      <c r="A1979" s="8"/>
      <c r="B1979" s="8"/>
      <c r="C1979" s="8"/>
      <c r="D1979" s="8"/>
      <c r="E1979" s="71"/>
      <c r="F1979" s="10"/>
      <c r="G1979" s="8"/>
      <c r="H1979" s="8"/>
      <c r="I1979" s="8"/>
      <c r="J1979" s="8"/>
      <c r="K1979" s="8"/>
      <c r="L1979" s="8"/>
    </row>
    <row r="1980">
      <c r="A1980" s="8"/>
      <c r="B1980" s="8"/>
      <c r="C1980" s="8"/>
      <c r="D1980" s="8"/>
      <c r="E1980" s="71"/>
      <c r="F1980" s="10"/>
      <c r="G1980" s="8"/>
      <c r="H1980" s="8"/>
      <c r="I1980" s="8"/>
      <c r="J1980" s="8"/>
      <c r="K1980" s="8"/>
      <c r="L1980" s="8"/>
    </row>
    <row r="1981">
      <c r="A1981" s="8"/>
      <c r="B1981" s="8"/>
      <c r="C1981" s="8"/>
      <c r="D1981" s="8"/>
      <c r="E1981" s="71"/>
      <c r="F1981" s="10"/>
      <c r="G1981" s="8"/>
      <c r="H1981" s="8"/>
      <c r="I1981" s="8"/>
      <c r="J1981" s="8"/>
      <c r="K1981" s="8"/>
      <c r="L1981" s="8"/>
    </row>
    <row r="1982">
      <c r="A1982" s="8"/>
      <c r="B1982" s="8"/>
      <c r="C1982" s="8"/>
      <c r="D1982" s="8"/>
      <c r="E1982" s="71"/>
      <c r="F1982" s="10"/>
      <c r="G1982" s="8"/>
      <c r="H1982" s="8"/>
      <c r="I1982" s="8"/>
      <c r="J1982" s="8"/>
      <c r="K1982" s="8"/>
      <c r="L1982" s="8"/>
    </row>
    <row r="1983">
      <c r="A1983" s="8"/>
      <c r="B1983" s="8"/>
      <c r="C1983" s="8"/>
      <c r="D1983" s="8"/>
      <c r="E1983" s="71"/>
      <c r="F1983" s="10"/>
      <c r="G1983" s="8"/>
      <c r="H1983" s="8"/>
      <c r="I1983" s="8"/>
      <c r="J1983" s="8"/>
      <c r="K1983" s="8"/>
      <c r="L1983" s="8"/>
    </row>
    <row r="1984">
      <c r="A1984" s="8"/>
      <c r="B1984" s="8"/>
      <c r="C1984" s="8"/>
      <c r="D1984" s="8"/>
      <c r="E1984" s="71"/>
      <c r="F1984" s="10"/>
      <c r="G1984" s="8"/>
      <c r="H1984" s="8"/>
      <c r="I1984" s="8"/>
      <c r="J1984" s="8"/>
      <c r="K1984" s="8"/>
      <c r="L1984" s="8"/>
    </row>
    <row r="1985">
      <c r="A1985" s="8"/>
      <c r="B1985" s="8"/>
      <c r="C1985" s="8"/>
      <c r="D1985" s="8"/>
      <c r="E1985" s="71"/>
      <c r="F1985" s="10"/>
      <c r="G1985" s="8"/>
      <c r="H1985" s="8"/>
      <c r="I1985" s="8"/>
      <c r="J1985" s="8"/>
      <c r="K1985" s="8"/>
      <c r="L1985" s="8"/>
    </row>
    <row r="1986">
      <c r="A1986" s="8"/>
      <c r="B1986" s="8"/>
      <c r="C1986" s="8"/>
      <c r="D1986" s="8"/>
      <c r="E1986" s="71"/>
      <c r="F1986" s="10"/>
      <c r="G1986" s="8"/>
      <c r="H1986" s="8"/>
      <c r="I1986" s="8"/>
      <c r="J1986" s="8"/>
      <c r="K1986" s="8"/>
      <c r="L1986" s="8"/>
    </row>
    <row r="1987">
      <c r="A1987" s="8"/>
      <c r="B1987" s="8"/>
      <c r="C1987" s="8"/>
      <c r="D1987" s="8"/>
      <c r="E1987" s="71"/>
      <c r="F1987" s="10"/>
      <c r="G1987" s="8"/>
      <c r="H1987" s="8"/>
      <c r="I1987" s="8"/>
      <c r="J1987" s="8"/>
      <c r="K1987" s="8"/>
      <c r="L1987" s="8"/>
    </row>
    <row r="1988">
      <c r="A1988" s="8"/>
      <c r="B1988" s="8"/>
      <c r="C1988" s="8"/>
      <c r="D1988" s="8"/>
      <c r="E1988" s="71"/>
      <c r="F1988" s="10"/>
      <c r="G1988" s="8"/>
      <c r="H1988" s="8"/>
      <c r="I1988" s="8"/>
      <c r="J1988" s="8"/>
      <c r="K1988" s="8"/>
      <c r="L1988" s="8"/>
    </row>
    <row r="1989">
      <c r="A1989" s="8"/>
      <c r="B1989" s="8"/>
      <c r="C1989" s="8"/>
      <c r="D1989" s="8"/>
      <c r="E1989" s="71"/>
      <c r="F1989" s="10"/>
      <c r="G1989" s="8"/>
      <c r="H1989" s="8"/>
      <c r="I1989" s="8"/>
      <c r="J1989" s="8"/>
      <c r="K1989" s="8"/>
      <c r="L1989" s="8"/>
    </row>
    <row r="1990">
      <c r="A1990" s="8"/>
      <c r="B1990" s="8"/>
      <c r="C1990" s="8"/>
      <c r="D1990" s="8"/>
      <c r="E1990" s="71"/>
      <c r="F1990" s="10"/>
      <c r="G1990" s="8"/>
      <c r="H1990" s="8"/>
      <c r="I1990" s="8"/>
      <c r="J1990" s="8"/>
      <c r="K1990" s="8"/>
      <c r="L1990" s="8"/>
    </row>
    <row r="1991">
      <c r="A1991" s="8"/>
      <c r="B1991" s="8"/>
      <c r="C1991" s="8"/>
      <c r="D1991" s="8"/>
      <c r="E1991" s="71"/>
      <c r="F1991" s="10"/>
      <c r="G1991" s="8"/>
      <c r="H1991" s="8"/>
      <c r="I1991" s="8"/>
      <c r="J1991" s="8"/>
      <c r="K1991" s="8"/>
      <c r="L1991" s="8"/>
    </row>
    <row r="1992">
      <c r="A1992" s="8"/>
      <c r="B1992" s="8"/>
      <c r="C1992" s="8"/>
      <c r="D1992" s="8"/>
      <c r="E1992" s="71"/>
      <c r="F1992" s="10"/>
      <c r="G1992" s="8"/>
      <c r="H1992" s="8"/>
      <c r="I1992" s="8"/>
      <c r="J1992" s="8"/>
      <c r="K1992" s="8"/>
      <c r="L1992" s="8"/>
    </row>
    <row r="1993">
      <c r="A1993" s="8"/>
      <c r="B1993" s="8"/>
      <c r="C1993" s="8"/>
      <c r="D1993" s="8"/>
      <c r="E1993" s="71"/>
      <c r="F1993" s="10"/>
      <c r="G1993" s="8"/>
      <c r="H1993" s="8"/>
      <c r="I1993" s="8"/>
      <c r="J1993" s="8"/>
      <c r="K1993" s="8"/>
      <c r="L1993" s="8"/>
    </row>
    <row r="1994">
      <c r="A1994" s="8"/>
      <c r="B1994" s="8"/>
      <c r="C1994" s="8"/>
      <c r="D1994" s="8"/>
      <c r="E1994" s="71"/>
      <c r="F1994" s="10"/>
      <c r="G1994" s="8"/>
      <c r="H1994" s="8"/>
      <c r="I1994" s="8"/>
      <c r="J1994" s="8"/>
      <c r="K1994" s="8"/>
      <c r="L1994" s="8"/>
    </row>
    <row r="1995">
      <c r="A1995" s="8"/>
      <c r="B1995" s="8"/>
      <c r="C1995" s="8"/>
      <c r="D1995" s="8"/>
      <c r="E1995" s="71"/>
      <c r="F1995" s="10"/>
      <c r="G1995" s="8"/>
      <c r="H1995" s="8"/>
      <c r="I1995" s="8"/>
      <c r="J1995" s="8"/>
      <c r="K1995" s="8"/>
      <c r="L1995" s="8"/>
    </row>
    <row r="1996">
      <c r="A1996" s="8"/>
      <c r="B1996" s="8"/>
      <c r="C1996" s="8"/>
      <c r="D1996" s="8"/>
      <c r="E1996" s="71"/>
      <c r="F1996" s="10"/>
      <c r="G1996" s="8"/>
      <c r="H1996" s="8"/>
      <c r="I1996" s="8"/>
      <c r="J1996" s="8"/>
      <c r="K1996" s="8"/>
      <c r="L1996" s="8"/>
    </row>
    <row r="1997">
      <c r="A1997" s="8"/>
      <c r="B1997" s="8"/>
      <c r="C1997" s="8"/>
      <c r="D1997" s="8"/>
      <c r="E1997" s="71"/>
      <c r="F1997" s="10"/>
      <c r="G1997" s="8"/>
      <c r="H1997" s="8"/>
      <c r="I1997" s="8"/>
      <c r="J1997" s="8"/>
      <c r="K1997" s="8"/>
      <c r="L1997" s="8"/>
    </row>
    <row r="1998">
      <c r="A1998" s="8"/>
      <c r="B1998" s="8"/>
      <c r="C1998" s="8"/>
      <c r="D1998" s="8"/>
      <c r="E1998" s="71"/>
      <c r="F1998" s="10"/>
      <c r="G1998" s="8"/>
      <c r="H1998" s="8"/>
      <c r="I1998" s="8"/>
      <c r="J1998" s="8"/>
      <c r="K1998" s="8"/>
      <c r="L1998" s="8"/>
    </row>
    <row r="1999">
      <c r="A1999" s="8"/>
      <c r="B1999" s="8"/>
      <c r="C1999" s="8"/>
      <c r="D1999" s="8"/>
      <c r="E1999" s="71"/>
      <c r="F1999" s="10"/>
      <c r="G1999" s="8"/>
      <c r="H1999" s="8"/>
      <c r="I1999" s="8"/>
      <c r="J1999" s="8"/>
      <c r="K1999" s="8"/>
      <c r="L1999" s="8"/>
    </row>
    <row r="2000">
      <c r="A2000" s="8"/>
      <c r="B2000" s="8"/>
      <c r="C2000" s="8"/>
      <c r="D2000" s="8"/>
      <c r="E2000" s="71"/>
      <c r="F2000" s="10"/>
      <c r="G2000" s="8"/>
      <c r="H2000" s="8"/>
      <c r="I2000" s="8"/>
      <c r="J2000" s="8"/>
      <c r="K2000" s="8"/>
      <c r="L2000" s="8"/>
    </row>
    <row r="2001">
      <c r="A2001" s="8"/>
      <c r="B2001" s="8"/>
      <c r="C2001" s="8"/>
      <c r="D2001" s="8"/>
      <c r="E2001" s="71"/>
      <c r="F2001" s="10"/>
      <c r="G2001" s="8"/>
      <c r="H2001" s="8"/>
      <c r="I2001" s="8"/>
      <c r="J2001" s="8"/>
      <c r="K2001" s="8"/>
      <c r="L2001" s="8"/>
    </row>
    <row r="2002">
      <c r="A2002" s="8"/>
      <c r="B2002" s="8"/>
      <c r="C2002" s="8"/>
      <c r="D2002" s="8"/>
      <c r="E2002" s="71"/>
      <c r="F2002" s="10"/>
      <c r="G2002" s="8"/>
      <c r="H2002" s="8"/>
      <c r="I2002" s="8"/>
      <c r="J2002" s="8"/>
      <c r="K2002" s="8"/>
      <c r="L2002" s="8"/>
    </row>
    <row r="2003">
      <c r="A2003" s="8"/>
      <c r="B2003" s="8"/>
      <c r="C2003" s="8"/>
      <c r="D2003" s="8"/>
      <c r="E2003" s="71"/>
      <c r="F2003" s="10"/>
      <c r="G2003" s="8"/>
      <c r="H2003" s="8"/>
      <c r="I2003" s="8"/>
      <c r="J2003" s="8"/>
      <c r="K2003" s="8"/>
      <c r="L2003" s="8"/>
    </row>
    <row r="2004">
      <c r="A2004" s="8"/>
      <c r="B2004" s="8"/>
      <c r="C2004" s="8"/>
      <c r="D2004" s="8"/>
      <c r="E2004" s="71"/>
      <c r="F2004" s="10"/>
      <c r="G2004" s="8"/>
      <c r="H2004" s="8"/>
      <c r="I2004" s="8"/>
      <c r="J2004" s="8"/>
      <c r="K2004" s="8"/>
      <c r="L2004" s="8"/>
    </row>
    <row r="2005">
      <c r="A2005" s="8"/>
      <c r="B2005" s="8"/>
      <c r="C2005" s="8"/>
      <c r="D2005" s="8"/>
      <c r="E2005" s="71"/>
      <c r="F2005" s="10"/>
      <c r="G2005" s="8"/>
      <c r="H2005" s="8"/>
      <c r="I2005" s="8"/>
      <c r="J2005" s="8"/>
      <c r="K2005" s="8"/>
      <c r="L2005" s="8"/>
    </row>
    <row r="2006">
      <c r="A2006" s="8"/>
      <c r="B2006" s="8"/>
      <c r="C2006" s="8"/>
      <c r="D2006" s="8"/>
      <c r="E2006" s="71"/>
      <c r="F2006" s="10"/>
      <c r="G2006" s="8"/>
      <c r="H2006" s="8"/>
      <c r="I2006" s="8"/>
      <c r="J2006" s="8"/>
      <c r="K2006" s="8"/>
      <c r="L2006" s="8"/>
    </row>
    <row r="2007">
      <c r="A2007" s="8"/>
      <c r="B2007" s="8"/>
      <c r="C2007" s="8"/>
      <c r="D2007" s="8"/>
      <c r="E2007" s="71"/>
      <c r="F2007" s="10"/>
      <c r="G2007" s="8"/>
      <c r="H2007" s="8"/>
      <c r="I2007" s="8"/>
      <c r="J2007" s="8"/>
      <c r="K2007" s="8"/>
      <c r="L2007" s="8"/>
    </row>
    <row r="2008">
      <c r="A2008" s="8"/>
      <c r="B2008" s="8"/>
      <c r="C2008" s="8"/>
      <c r="D2008" s="8"/>
      <c r="E2008" s="71"/>
      <c r="F2008" s="10"/>
      <c r="G2008" s="8"/>
      <c r="H2008" s="8"/>
      <c r="I2008" s="8"/>
      <c r="J2008" s="8"/>
      <c r="K2008" s="8"/>
      <c r="L2008" s="8"/>
    </row>
    <row r="2009">
      <c r="A2009" s="8"/>
      <c r="B2009" s="8"/>
      <c r="C2009" s="8"/>
      <c r="D2009" s="8"/>
      <c r="E2009" s="71"/>
      <c r="F2009" s="10"/>
      <c r="G2009" s="8"/>
      <c r="H2009" s="8"/>
      <c r="I2009" s="8"/>
      <c r="J2009" s="8"/>
      <c r="K2009" s="8"/>
      <c r="L2009" s="8"/>
    </row>
    <row r="2010">
      <c r="A2010" s="8"/>
      <c r="B2010" s="8"/>
      <c r="C2010" s="8"/>
      <c r="D2010" s="8"/>
      <c r="E2010" s="71"/>
      <c r="F2010" s="10"/>
      <c r="G2010" s="8"/>
      <c r="H2010" s="8"/>
      <c r="I2010" s="8"/>
      <c r="J2010" s="8"/>
      <c r="K2010" s="8"/>
      <c r="L2010" s="8"/>
    </row>
    <row r="2011">
      <c r="A2011" s="8"/>
      <c r="B2011" s="8"/>
      <c r="C2011" s="8"/>
      <c r="D2011" s="8"/>
      <c r="E2011" s="71"/>
      <c r="F2011" s="10"/>
      <c r="G2011" s="8"/>
      <c r="H2011" s="8"/>
      <c r="I2011" s="8"/>
      <c r="J2011" s="8"/>
      <c r="K2011" s="8"/>
      <c r="L2011" s="8"/>
    </row>
    <row r="2012">
      <c r="A2012" s="8"/>
      <c r="B2012" s="8"/>
      <c r="C2012" s="8"/>
      <c r="D2012" s="8"/>
      <c r="E2012" s="71"/>
      <c r="F2012" s="10"/>
      <c r="G2012" s="8"/>
      <c r="H2012" s="8"/>
      <c r="I2012" s="8"/>
      <c r="J2012" s="8"/>
      <c r="K2012" s="8"/>
      <c r="L2012" s="8"/>
    </row>
    <row r="2013">
      <c r="A2013" s="8"/>
      <c r="B2013" s="8"/>
      <c r="C2013" s="8"/>
      <c r="D2013" s="8"/>
      <c r="E2013" s="71"/>
      <c r="F2013" s="10"/>
      <c r="G2013" s="8"/>
      <c r="H2013" s="8"/>
      <c r="I2013" s="8"/>
      <c r="J2013" s="8"/>
      <c r="K2013" s="8"/>
      <c r="L2013" s="8"/>
    </row>
    <row r="2014">
      <c r="A2014" s="8"/>
      <c r="B2014" s="8"/>
      <c r="C2014" s="8"/>
      <c r="D2014" s="8"/>
      <c r="E2014" s="71"/>
      <c r="F2014" s="10"/>
      <c r="G2014" s="8"/>
      <c r="H2014" s="8"/>
      <c r="I2014" s="8"/>
      <c r="J2014" s="8"/>
      <c r="K2014" s="8"/>
      <c r="L2014" s="8"/>
    </row>
    <row r="2015">
      <c r="A2015" s="8"/>
      <c r="B2015" s="8"/>
      <c r="C2015" s="8"/>
      <c r="D2015" s="8"/>
      <c r="E2015" s="71"/>
      <c r="F2015" s="10"/>
      <c r="G2015" s="8"/>
      <c r="H2015" s="8"/>
      <c r="I2015" s="8"/>
      <c r="J2015" s="8"/>
      <c r="K2015" s="8"/>
      <c r="L2015" s="8"/>
    </row>
    <row r="2016">
      <c r="A2016" s="8"/>
      <c r="B2016" s="8"/>
      <c r="C2016" s="8"/>
      <c r="D2016" s="8"/>
      <c r="E2016" s="71"/>
      <c r="F2016" s="10"/>
      <c r="G2016" s="8"/>
      <c r="H2016" s="8"/>
      <c r="I2016" s="8"/>
      <c r="J2016" s="8"/>
      <c r="K2016" s="8"/>
      <c r="L2016" s="8"/>
    </row>
    <row r="2017">
      <c r="A2017" s="8"/>
      <c r="B2017" s="8"/>
      <c r="C2017" s="8"/>
      <c r="D2017" s="8"/>
      <c r="E2017" s="71"/>
      <c r="F2017" s="10"/>
      <c r="G2017" s="8"/>
      <c r="H2017" s="8"/>
      <c r="I2017" s="8"/>
      <c r="J2017" s="8"/>
      <c r="K2017" s="8"/>
      <c r="L2017" s="8"/>
    </row>
    <row r="2018">
      <c r="A2018" s="8"/>
      <c r="B2018" s="8"/>
      <c r="C2018" s="8"/>
      <c r="D2018" s="8"/>
      <c r="E2018" s="71"/>
      <c r="F2018" s="10"/>
      <c r="G2018" s="8"/>
      <c r="H2018" s="8"/>
      <c r="I2018" s="8"/>
      <c r="J2018" s="8"/>
      <c r="K2018" s="8"/>
      <c r="L2018" s="8"/>
    </row>
    <row r="2019">
      <c r="A2019" s="8"/>
      <c r="B2019" s="8"/>
      <c r="C2019" s="8"/>
      <c r="D2019" s="8"/>
      <c r="E2019" s="71"/>
      <c r="F2019" s="10"/>
      <c r="G2019" s="8"/>
      <c r="H2019" s="8"/>
      <c r="I2019" s="8"/>
      <c r="J2019" s="8"/>
      <c r="K2019" s="8"/>
      <c r="L2019" s="8"/>
    </row>
    <row r="2020">
      <c r="A2020" s="8"/>
      <c r="B2020" s="8"/>
      <c r="C2020" s="8"/>
      <c r="D2020" s="8"/>
      <c r="E2020" s="71"/>
      <c r="F2020" s="10"/>
      <c r="G2020" s="8"/>
      <c r="H2020" s="8"/>
      <c r="I2020" s="8"/>
      <c r="J2020" s="8"/>
      <c r="K2020" s="8"/>
      <c r="L2020" s="8"/>
    </row>
    <row r="2021">
      <c r="A2021" s="8"/>
      <c r="B2021" s="8"/>
      <c r="C2021" s="8"/>
      <c r="D2021" s="8"/>
      <c r="E2021" s="71"/>
      <c r="F2021" s="10"/>
      <c r="G2021" s="8"/>
      <c r="H2021" s="8"/>
      <c r="I2021" s="8"/>
      <c r="J2021" s="8"/>
      <c r="K2021" s="8"/>
      <c r="L2021" s="8"/>
    </row>
    <row r="2022">
      <c r="A2022" s="8"/>
      <c r="B2022" s="8"/>
      <c r="C2022" s="8"/>
      <c r="D2022" s="8"/>
      <c r="E2022" s="71"/>
      <c r="F2022" s="10"/>
      <c r="G2022" s="8"/>
      <c r="H2022" s="8"/>
      <c r="I2022" s="8"/>
      <c r="J2022" s="8"/>
      <c r="K2022" s="8"/>
      <c r="L2022" s="8"/>
    </row>
    <row r="2023">
      <c r="A2023" s="8"/>
      <c r="B2023" s="8"/>
      <c r="C2023" s="8"/>
      <c r="D2023" s="8"/>
      <c r="E2023" s="71"/>
      <c r="F2023" s="10"/>
      <c r="G2023" s="8"/>
      <c r="H2023" s="8"/>
      <c r="I2023" s="8"/>
      <c r="J2023" s="8"/>
      <c r="K2023" s="8"/>
      <c r="L2023" s="8"/>
    </row>
    <row r="2024">
      <c r="A2024" s="8"/>
      <c r="B2024" s="8"/>
      <c r="C2024" s="8"/>
      <c r="D2024" s="8"/>
      <c r="E2024" s="71"/>
      <c r="F2024" s="10"/>
      <c r="G2024" s="8"/>
      <c r="H2024" s="8"/>
      <c r="I2024" s="8"/>
      <c r="J2024" s="8"/>
      <c r="K2024" s="8"/>
      <c r="L2024" s="8"/>
    </row>
    <row r="2025">
      <c r="A2025" s="8"/>
      <c r="B2025" s="8"/>
      <c r="C2025" s="8"/>
      <c r="D2025" s="8"/>
      <c r="E2025" s="71"/>
      <c r="F2025" s="10"/>
      <c r="G2025" s="8"/>
      <c r="H2025" s="8"/>
      <c r="I2025" s="8"/>
      <c r="J2025" s="8"/>
      <c r="K2025" s="8"/>
      <c r="L2025" s="8"/>
    </row>
    <row r="2026">
      <c r="A2026" s="8"/>
      <c r="B2026" s="8"/>
      <c r="C2026" s="8"/>
      <c r="D2026" s="8"/>
      <c r="E2026" s="71"/>
      <c r="F2026" s="10"/>
      <c r="G2026" s="8"/>
      <c r="H2026" s="8"/>
      <c r="I2026" s="8"/>
      <c r="J2026" s="8"/>
      <c r="K2026" s="8"/>
      <c r="L2026" s="8"/>
    </row>
    <row r="2027">
      <c r="A2027" s="8"/>
      <c r="B2027" s="8"/>
      <c r="C2027" s="8"/>
      <c r="D2027" s="8"/>
      <c r="E2027" s="71"/>
      <c r="F2027" s="10"/>
      <c r="G2027" s="8"/>
      <c r="H2027" s="8"/>
      <c r="I2027" s="8"/>
      <c r="J2027" s="8"/>
      <c r="K2027" s="8"/>
      <c r="L2027" s="8"/>
    </row>
    <row r="2028">
      <c r="A2028" s="8"/>
      <c r="B2028" s="8"/>
      <c r="C2028" s="8"/>
      <c r="D2028" s="8"/>
      <c r="E2028" s="71"/>
      <c r="F2028" s="10"/>
      <c r="G2028" s="8"/>
      <c r="H2028" s="8"/>
      <c r="I2028" s="8"/>
      <c r="J2028" s="8"/>
      <c r="K2028" s="8"/>
      <c r="L2028" s="8"/>
    </row>
    <row r="2029">
      <c r="A2029" s="8"/>
      <c r="B2029" s="8"/>
      <c r="C2029" s="8"/>
      <c r="D2029" s="8"/>
      <c r="E2029" s="71"/>
      <c r="F2029" s="10"/>
      <c r="G2029" s="8"/>
      <c r="H2029" s="8"/>
      <c r="I2029" s="8"/>
      <c r="J2029" s="8"/>
      <c r="K2029" s="8"/>
      <c r="L2029" s="8"/>
    </row>
    <row r="2030">
      <c r="A2030" s="8"/>
      <c r="B2030" s="8"/>
      <c r="C2030" s="8"/>
      <c r="D2030" s="8"/>
      <c r="E2030" s="71"/>
      <c r="F2030" s="10"/>
      <c r="G2030" s="8"/>
      <c r="H2030" s="8"/>
      <c r="I2030" s="8"/>
      <c r="J2030" s="8"/>
      <c r="K2030" s="8"/>
      <c r="L2030" s="8"/>
    </row>
    <row r="2031">
      <c r="A2031" s="8"/>
      <c r="B2031" s="8"/>
      <c r="C2031" s="8"/>
      <c r="D2031" s="8"/>
      <c r="E2031" s="71"/>
      <c r="F2031" s="10"/>
      <c r="G2031" s="8"/>
      <c r="H2031" s="8"/>
      <c r="I2031" s="8"/>
      <c r="J2031" s="8"/>
      <c r="K2031" s="8"/>
      <c r="L2031" s="8"/>
    </row>
    <row r="2032">
      <c r="A2032" s="8"/>
      <c r="B2032" s="8"/>
      <c r="C2032" s="8"/>
      <c r="D2032" s="8"/>
      <c r="E2032" s="71"/>
      <c r="F2032" s="10"/>
      <c r="G2032" s="8"/>
      <c r="H2032" s="8"/>
      <c r="I2032" s="8"/>
      <c r="J2032" s="8"/>
      <c r="K2032" s="8"/>
      <c r="L2032" s="8"/>
    </row>
    <row r="2033">
      <c r="A2033" s="8"/>
      <c r="B2033" s="8"/>
      <c r="C2033" s="8"/>
      <c r="D2033" s="8"/>
      <c r="E2033" s="71"/>
      <c r="F2033" s="10"/>
      <c r="G2033" s="8"/>
      <c r="H2033" s="8"/>
      <c r="I2033" s="8"/>
      <c r="J2033" s="8"/>
      <c r="K2033" s="8"/>
      <c r="L2033" s="8"/>
    </row>
    <row r="2034">
      <c r="A2034" s="8"/>
      <c r="B2034" s="8"/>
      <c r="C2034" s="8"/>
      <c r="D2034" s="8"/>
      <c r="E2034" s="71"/>
      <c r="F2034" s="10"/>
      <c r="G2034" s="8"/>
      <c r="H2034" s="8"/>
      <c r="I2034" s="8"/>
      <c r="J2034" s="8"/>
      <c r="K2034" s="8"/>
      <c r="L2034" s="8"/>
    </row>
    <row r="2035">
      <c r="A2035" s="8"/>
      <c r="B2035" s="8"/>
      <c r="C2035" s="8"/>
      <c r="D2035" s="8"/>
      <c r="E2035" s="71"/>
      <c r="F2035" s="10"/>
      <c r="G2035" s="8"/>
      <c r="H2035" s="8"/>
      <c r="I2035" s="8"/>
      <c r="J2035" s="8"/>
      <c r="K2035" s="8"/>
      <c r="L2035" s="8"/>
    </row>
    <row r="2036">
      <c r="A2036" s="8"/>
      <c r="B2036" s="8"/>
      <c r="C2036" s="8"/>
      <c r="D2036" s="8"/>
      <c r="E2036" s="71"/>
      <c r="F2036" s="10"/>
      <c r="G2036" s="8"/>
      <c r="H2036" s="8"/>
      <c r="I2036" s="8"/>
      <c r="J2036" s="8"/>
      <c r="K2036" s="8"/>
      <c r="L2036" s="8"/>
    </row>
    <row r="2037">
      <c r="A2037" s="8"/>
      <c r="B2037" s="8"/>
      <c r="C2037" s="8"/>
      <c r="D2037" s="8"/>
      <c r="E2037" s="71"/>
      <c r="F2037" s="10"/>
      <c r="G2037" s="8"/>
      <c r="H2037" s="8"/>
      <c r="I2037" s="8"/>
      <c r="J2037" s="8"/>
      <c r="K2037" s="8"/>
      <c r="L2037" s="8"/>
    </row>
    <row r="2038">
      <c r="A2038" s="8"/>
      <c r="B2038" s="8"/>
      <c r="C2038" s="8"/>
      <c r="D2038" s="8"/>
      <c r="E2038" s="71"/>
      <c r="F2038" s="10"/>
      <c r="G2038" s="8"/>
      <c r="H2038" s="8"/>
      <c r="I2038" s="8"/>
      <c r="J2038" s="8"/>
      <c r="K2038" s="8"/>
      <c r="L2038" s="8"/>
    </row>
    <row r="2039">
      <c r="A2039" s="8"/>
      <c r="B2039" s="8"/>
      <c r="C2039" s="8"/>
      <c r="D2039" s="8"/>
      <c r="E2039" s="71"/>
      <c r="F2039" s="10"/>
      <c r="G2039" s="8"/>
      <c r="H2039" s="8"/>
      <c r="I2039" s="8"/>
      <c r="J2039" s="8"/>
      <c r="K2039" s="8"/>
      <c r="L2039" s="8"/>
    </row>
    <row r="2040">
      <c r="A2040" s="8"/>
      <c r="B2040" s="8"/>
      <c r="C2040" s="8"/>
      <c r="D2040" s="8"/>
      <c r="E2040" s="71"/>
      <c r="F2040" s="10"/>
      <c r="G2040" s="8"/>
      <c r="H2040" s="8"/>
      <c r="I2040" s="8"/>
      <c r="J2040" s="8"/>
      <c r="K2040" s="8"/>
      <c r="L2040" s="8"/>
    </row>
    <row r="2041">
      <c r="A2041" s="8"/>
      <c r="B2041" s="8"/>
      <c r="C2041" s="8"/>
      <c r="D2041" s="8"/>
      <c r="E2041" s="71"/>
      <c r="F2041" s="10"/>
      <c r="G2041" s="8"/>
      <c r="H2041" s="8"/>
      <c r="I2041" s="8"/>
      <c r="J2041" s="8"/>
      <c r="K2041" s="8"/>
      <c r="L2041" s="8"/>
    </row>
    <row r="2042">
      <c r="A2042" s="8"/>
      <c r="B2042" s="8"/>
      <c r="C2042" s="8"/>
      <c r="D2042" s="8"/>
      <c r="E2042" s="71"/>
      <c r="F2042" s="10"/>
      <c r="G2042" s="8"/>
      <c r="H2042" s="8"/>
      <c r="I2042" s="8"/>
      <c r="J2042" s="8"/>
      <c r="K2042" s="8"/>
      <c r="L2042" s="8"/>
    </row>
    <row r="2043">
      <c r="A2043" s="8"/>
      <c r="B2043" s="8"/>
      <c r="C2043" s="8"/>
      <c r="D2043" s="8"/>
      <c r="E2043" s="71"/>
      <c r="F2043" s="10"/>
      <c r="G2043" s="8"/>
      <c r="H2043" s="8"/>
      <c r="I2043" s="8"/>
      <c r="J2043" s="8"/>
      <c r="K2043" s="8"/>
      <c r="L2043" s="8"/>
    </row>
    <row r="2044">
      <c r="A2044" s="8"/>
      <c r="B2044" s="8"/>
      <c r="C2044" s="8"/>
      <c r="D2044" s="8"/>
      <c r="E2044" s="71"/>
      <c r="F2044" s="10"/>
      <c r="G2044" s="8"/>
      <c r="H2044" s="8"/>
      <c r="I2044" s="8"/>
      <c r="J2044" s="8"/>
      <c r="K2044" s="8"/>
      <c r="L2044" s="8"/>
    </row>
    <row r="2045">
      <c r="A2045" s="8"/>
      <c r="B2045" s="8"/>
      <c r="C2045" s="8"/>
      <c r="D2045" s="8"/>
      <c r="E2045" s="71"/>
      <c r="F2045" s="10"/>
      <c r="G2045" s="8"/>
      <c r="H2045" s="8"/>
      <c r="I2045" s="8"/>
      <c r="J2045" s="8"/>
      <c r="K2045" s="8"/>
      <c r="L2045" s="8"/>
    </row>
    <row r="2046">
      <c r="A2046" s="8"/>
      <c r="B2046" s="8"/>
      <c r="C2046" s="8"/>
      <c r="D2046" s="8"/>
      <c r="E2046" s="71"/>
      <c r="F2046" s="10"/>
      <c r="G2046" s="8"/>
      <c r="H2046" s="8"/>
      <c r="I2046" s="8"/>
      <c r="J2046" s="8"/>
      <c r="K2046" s="8"/>
      <c r="L2046" s="8"/>
    </row>
    <row r="2047">
      <c r="A2047" s="8"/>
      <c r="B2047" s="8"/>
      <c r="C2047" s="8"/>
      <c r="D2047" s="8"/>
      <c r="E2047" s="71"/>
      <c r="F2047" s="10"/>
      <c r="G2047" s="8"/>
      <c r="H2047" s="8"/>
      <c r="I2047" s="8"/>
      <c r="J2047" s="8"/>
      <c r="K2047" s="8"/>
      <c r="L2047" s="8"/>
    </row>
    <row r="2048">
      <c r="A2048" s="8"/>
      <c r="B2048" s="8"/>
      <c r="C2048" s="8"/>
      <c r="D2048" s="8"/>
      <c r="E2048" s="71"/>
      <c r="F2048" s="10"/>
      <c r="G2048" s="8"/>
      <c r="H2048" s="8"/>
      <c r="I2048" s="8"/>
      <c r="J2048" s="8"/>
      <c r="K2048" s="8"/>
      <c r="L2048" s="8"/>
    </row>
    <row r="2049">
      <c r="A2049" s="8"/>
      <c r="B2049" s="8"/>
      <c r="C2049" s="8"/>
      <c r="D2049" s="8"/>
      <c r="E2049" s="71"/>
      <c r="F2049" s="10"/>
      <c r="G2049" s="8"/>
      <c r="H2049" s="8"/>
      <c r="I2049" s="8"/>
      <c r="J2049" s="8"/>
      <c r="K2049" s="8"/>
      <c r="L2049" s="8"/>
    </row>
    <row r="2050">
      <c r="A2050" s="8"/>
      <c r="B2050" s="8"/>
      <c r="C2050" s="8"/>
      <c r="D2050" s="8"/>
      <c r="E2050" s="71"/>
      <c r="F2050" s="10"/>
      <c r="G2050" s="8"/>
      <c r="H2050" s="8"/>
      <c r="I2050" s="8"/>
      <c r="J2050" s="8"/>
      <c r="K2050" s="8"/>
      <c r="L2050" s="8"/>
    </row>
    <row r="2051">
      <c r="A2051" s="8"/>
      <c r="B2051" s="8"/>
      <c r="C2051" s="8"/>
      <c r="D2051" s="8"/>
      <c r="E2051" s="71"/>
      <c r="F2051" s="10"/>
      <c r="G2051" s="8"/>
      <c r="H2051" s="8"/>
      <c r="I2051" s="8"/>
      <c r="J2051" s="8"/>
      <c r="K2051" s="8"/>
      <c r="L2051" s="8"/>
    </row>
    <row r="2052">
      <c r="A2052" s="8"/>
      <c r="B2052" s="8"/>
      <c r="C2052" s="8"/>
      <c r="D2052" s="8"/>
      <c r="E2052" s="71"/>
      <c r="F2052" s="10"/>
      <c r="G2052" s="8"/>
      <c r="H2052" s="8"/>
      <c r="I2052" s="8"/>
      <c r="J2052" s="8"/>
      <c r="K2052" s="8"/>
      <c r="L2052" s="8"/>
    </row>
    <row r="2053">
      <c r="A2053" s="8"/>
      <c r="B2053" s="8"/>
      <c r="C2053" s="8"/>
      <c r="D2053" s="8"/>
      <c r="E2053" s="71"/>
      <c r="F2053" s="10"/>
      <c r="G2053" s="8"/>
      <c r="H2053" s="8"/>
      <c r="I2053" s="8"/>
      <c r="J2053" s="8"/>
      <c r="K2053" s="8"/>
      <c r="L2053" s="8"/>
    </row>
    <row r="2054">
      <c r="A2054" s="8"/>
      <c r="B2054" s="8"/>
      <c r="C2054" s="8"/>
      <c r="D2054" s="8"/>
      <c r="E2054" s="71"/>
      <c r="F2054" s="10"/>
      <c r="G2054" s="8"/>
      <c r="H2054" s="8"/>
      <c r="I2054" s="8"/>
      <c r="J2054" s="8"/>
      <c r="K2054" s="8"/>
      <c r="L2054" s="8"/>
    </row>
    <row r="2055">
      <c r="A2055" s="8"/>
      <c r="B2055" s="8"/>
      <c r="C2055" s="8"/>
      <c r="D2055" s="8"/>
      <c r="E2055" s="71"/>
      <c r="F2055" s="10"/>
      <c r="G2055" s="8"/>
      <c r="H2055" s="8"/>
      <c r="I2055" s="8"/>
      <c r="J2055" s="8"/>
      <c r="K2055" s="8"/>
      <c r="L2055" s="8"/>
    </row>
    <row r="2056">
      <c r="A2056" s="8"/>
      <c r="B2056" s="8"/>
      <c r="C2056" s="8"/>
      <c r="D2056" s="8"/>
      <c r="E2056" s="71"/>
      <c r="F2056" s="10"/>
      <c r="G2056" s="8"/>
      <c r="H2056" s="8"/>
      <c r="I2056" s="8"/>
      <c r="J2056" s="8"/>
      <c r="K2056" s="8"/>
      <c r="L2056" s="8"/>
    </row>
    <row r="2057">
      <c r="A2057" s="8"/>
      <c r="B2057" s="8"/>
      <c r="C2057" s="8"/>
      <c r="D2057" s="8"/>
      <c r="E2057" s="71"/>
      <c r="F2057" s="10"/>
      <c r="G2057" s="8"/>
      <c r="H2057" s="8"/>
      <c r="I2057" s="8"/>
      <c r="J2057" s="8"/>
      <c r="K2057" s="8"/>
      <c r="L2057" s="8"/>
    </row>
    <row r="2058">
      <c r="A2058" s="8"/>
      <c r="B2058" s="8"/>
      <c r="C2058" s="8"/>
      <c r="D2058" s="8"/>
      <c r="E2058" s="71"/>
      <c r="F2058" s="10"/>
      <c r="G2058" s="8"/>
      <c r="H2058" s="8"/>
      <c r="I2058" s="8"/>
      <c r="J2058" s="8"/>
      <c r="K2058" s="8"/>
      <c r="L2058" s="8"/>
    </row>
    <row r="2059">
      <c r="A2059" s="8"/>
      <c r="B2059" s="8"/>
      <c r="C2059" s="8"/>
      <c r="D2059" s="8"/>
      <c r="E2059" s="71"/>
      <c r="F2059" s="10"/>
      <c r="G2059" s="8"/>
      <c r="H2059" s="8"/>
      <c r="I2059" s="8"/>
      <c r="J2059" s="8"/>
      <c r="K2059" s="8"/>
      <c r="L2059" s="8"/>
    </row>
    <row r="2060">
      <c r="A2060" s="8"/>
      <c r="B2060" s="8"/>
      <c r="C2060" s="8"/>
      <c r="D2060" s="8"/>
      <c r="E2060" s="71"/>
      <c r="F2060" s="10"/>
      <c r="G2060" s="8"/>
      <c r="H2060" s="8"/>
      <c r="I2060" s="8"/>
      <c r="J2060" s="8"/>
      <c r="K2060" s="8"/>
      <c r="L2060" s="8"/>
    </row>
    <row r="2061">
      <c r="A2061" s="8"/>
      <c r="B2061" s="8"/>
      <c r="C2061" s="8"/>
      <c r="D2061" s="8"/>
      <c r="E2061" s="71"/>
      <c r="F2061" s="10"/>
      <c r="G2061" s="8"/>
      <c r="H2061" s="8"/>
      <c r="I2061" s="8"/>
      <c r="J2061" s="8"/>
      <c r="K2061" s="8"/>
      <c r="L2061" s="8"/>
    </row>
    <row r="2062">
      <c r="A2062" s="8"/>
      <c r="B2062" s="8"/>
      <c r="C2062" s="8"/>
      <c r="D2062" s="8"/>
      <c r="E2062" s="71"/>
      <c r="F2062" s="10"/>
      <c r="G2062" s="8"/>
      <c r="H2062" s="8"/>
      <c r="I2062" s="8"/>
      <c r="J2062" s="8"/>
      <c r="K2062" s="8"/>
      <c r="L2062" s="8"/>
    </row>
    <row r="2063">
      <c r="A2063" s="8"/>
      <c r="B2063" s="8"/>
      <c r="C2063" s="8"/>
      <c r="D2063" s="8"/>
      <c r="E2063" s="71"/>
      <c r="F2063" s="10"/>
      <c r="G2063" s="8"/>
      <c r="H2063" s="8"/>
      <c r="I2063" s="8"/>
      <c r="J2063" s="8"/>
      <c r="K2063" s="8"/>
      <c r="L2063" s="8"/>
    </row>
    <row r="2064">
      <c r="A2064" s="8"/>
      <c r="B2064" s="8"/>
      <c r="C2064" s="8"/>
      <c r="D2064" s="8"/>
      <c r="E2064" s="71"/>
      <c r="F2064" s="10"/>
      <c r="G2064" s="8"/>
      <c r="H2064" s="8"/>
      <c r="I2064" s="8"/>
      <c r="J2064" s="8"/>
      <c r="K2064" s="8"/>
      <c r="L2064" s="8"/>
    </row>
    <row r="2065">
      <c r="A2065" s="8"/>
      <c r="B2065" s="8"/>
      <c r="C2065" s="8"/>
      <c r="D2065" s="8"/>
      <c r="E2065" s="71"/>
      <c r="F2065" s="10"/>
      <c r="G2065" s="8"/>
      <c r="H2065" s="8"/>
      <c r="I2065" s="8"/>
      <c r="J2065" s="8"/>
      <c r="K2065" s="8"/>
      <c r="L2065" s="8"/>
    </row>
    <row r="2066">
      <c r="A2066" s="8"/>
      <c r="B2066" s="8"/>
      <c r="C2066" s="8"/>
      <c r="D2066" s="8"/>
      <c r="E2066" s="71"/>
      <c r="F2066" s="10"/>
      <c r="G2066" s="8"/>
      <c r="H2066" s="8"/>
      <c r="I2066" s="8"/>
      <c r="J2066" s="8"/>
      <c r="K2066" s="8"/>
      <c r="L2066" s="8"/>
    </row>
    <row r="2067">
      <c r="A2067" s="8"/>
      <c r="B2067" s="8"/>
      <c r="C2067" s="8"/>
      <c r="D2067" s="8"/>
      <c r="E2067" s="71"/>
      <c r="F2067" s="10"/>
      <c r="G2067" s="8"/>
      <c r="H2067" s="8"/>
      <c r="I2067" s="8"/>
      <c r="J2067" s="8"/>
      <c r="K2067" s="8"/>
      <c r="L2067" s="8"/>
    </row>
    <row r="2068">
      <c r="A2068" s="8"/>
      <c r="B2068" s="8"/>
      <c r="C2068" s="8"/>
      <c r="D2068" s="8"/>
      <c r="E2068" s="71"/>
      <c r="F2068" s="10"/>
      <c r="G2068" s="8"/>
      <c r="H2068" s="8"/>
      <c r="I2068" s="8"/>
      <c r="J2068" s="8"/>
      <c r="K2068" s="8"/>
      <c r="L2068" s="8"/>
    </row>
    <row r="2069">
      <c r="A2069" s="8"/>
      <c r="B2069" s="8"/>
      <c r="C2069" s="8"/>
      <c r="D2069" s="8"/>
      <c r="E2069" s="71"/>
      <c r="F2069" s="10"/>
      <c r="G2069" s="8"/>
      <c r="H2069" s="8"/>
      <c r="I2069" s="8"/>
      <c r="J2069" s="8"/>
      <c r="K2069" s="8"/>
      <c r="L2069" s="8"/>
    </row>
    <row r="2070">
      <c r="A2070" s="8"/>
      <c r="B2070" s="8"/>
      <c r="C2070" s="8"/>
      <c r="D2070" s="8"/>
      <c r="E2070" s="71"/>
      <c r="F2070" s="10"/>
      <c r="G2070" s="8"/>
      <c r="H2070" s="8"/>
      <c r="I2070" s="8"/>
      <c r="J2070" s="8"/>
      <c r="K2070" s="8"/>
      <c r="L2070" s="8"/>
    </row>
    <row r="2071">
      <c r="A2071" s="8"/>
      <c r="B2071" s="8"/>
      <c r="C2071" s="8"/>
      <c r="D2071" s="8"/>
      <c r="E2071" s="71"/>
      <c r="F2071" s="10"/>
      <c r="G2071" s="8"/>
      <c r="H2071" s="8"/>
      <c r="I2071" s="8"/>
      <c r="J2071" s="8"/>
      <c r="K2071" s="8"/>
      <c r="L2071" s="8"/>
    </row>
    <row r="2072">
      <c r="A2072" s="8"/>
      <c r="B2072" s="8"/>
      <c r="C2072" s="8"/>
      <c r="D2072" s="8"/>
      <c r="E2072" s="71"/>
      <c r="F2072" s="10"/>
      <c r="G2072" s="8"/>
      <c r="H2072" s="8"/>
      <c r="I2072" s="8"/>
      <c r="J2072" s="8"/>
      <c r="K2072" s="8"/>
      <c r="L2072" s="8"/>
    </row>
    <row r="2073">
      <c r="A2073" s="8"/>
      <c r="B2073" s="8"/>
      <c r="C2073" s="8"/>
      <c r="D2073" s="8"/>
      <c r="E2073" s="71"/>
      <c r="F2073" s="10"/>
      <c r="G2073" s="8"/>
      <c r="H2073" s="8"/>
      <c r="I2073" s="8"/>
      <c r="J2073" s="8"/>
      <c r="K2073" s="8"/>
      <c r="L2073" s="8"/>
    </row>
    <row r="2074">
      <c r="A2074" s="8"/>
      <c r="B2074" s="8"/>
      <c r="C2074" s="8"/>
      <c r="D2074" s="8"/>
      <c r="E2074" s="71"/>
      <c r="F2074" s="10"/>
      <c r="G2074" s="8"/>
      <c r="H2074" s="8"/>
      <c r="I2074" s="8"/>
      <c r="J2074" s="8"/>
      <c r="K2074" s="8"/>
      <c r="L2074" s="8"/>
    </row>
    <row r="2075">
      <c r="A2075" s="8"/>
      <c r="B2075" s="8"/>
      <c r="C2075" s="8"/>
      <c r="D2075" s="8"/>
      <c r="E2075" s="71"/>
      <c r="F2075" s="10"/>
      <c r="G2075" s="8"/>
      <c r="H2075" s="8"/>
      <c r="I2075" s="8"/>
      <c r="J2075" s="8"/>
      <c r="K2075" s="8"/>
      <c r="L2075" s="8"/>
    </row>
    <row r="2076">
      <c r="A2076" s="8"/>
      <c r="B2076" s="8"/>
      <c r="C2076" s="8"/>
      <c r="D2076" s="8"/>
      <c r="E2076" s="71"/>
      <c r="F2076" s="10"/>
      <c r="G2076" s="8"/>
      <c r="H2076" s="8"/>
      <c r="I2076" s="8"/>
      <c r="J2076" s="8"/>
      <c r="K2076" s="8"/>
      <c r="L2076" s="8"/>
    </row>
    <row r="2077">
      <c r="A2077" s="8"/>
      <c r="B2077" s="8"/>
      <c r="C2077" s="8"/>
      <c r="D2077" s="8"/>
      <c r="E2077" s="71"/>
      <c r="F2077" s="10"/>
      <c r="G2077" s="8"/>
      <c r="H2077" s="8"/>
      <c r="I2077" s="8"/>
      <c r="J2077" s="8"/>
      <c r="K2077" s="8"/>
      <c r="L2077" s="8"/>
    </row>
    <row r="2078">
      <c r="A2078" s="8"/>
      <c r="B2078" s="8"/>
      <c r="C2078" s="8"/>
      <c r="D2078" s="8"/>
      <c r="E2078" s="71"/>
      <c r="F2078" s="10"/>
      <c r="G2078" s="8"/>
      <c r="H2078" s="8"/>
      <c r="I2078" s="8"/>
      <c r="J2078" s="8"/>
      <c r="K2078" s="8"/>
      <c r="L2078" s="8"/>
    </row>
    <row r="2079">
      <c r="A2079" s="8"/>
      <c r="B2079" s="8"/>
      <c r="C2079" s="8"/>
      <c r="D2079" s="8"/>
      <c r="E2079" s="71"/>
      <c r="F2079" s="10"/>
      <c r="G2079" s="8"/>
      <c r="H2079" s="8"/>
      <c r="I2079" s="8"/>
      <c r="J2079" s="8"/>
      <c r="K2079" s="8"/>
      <c r="L2079" s="8"/>
    </row>
    <row r="2080">
      <c r="A2080" s="8"/>
      <c r="B2080" s="8"/>
      <c r="C2080" s="8"/>
      <c r="D2080" s="8"/>
      <c r="E2080" s="71"/>
      <c r="F2080" s="10"/>
      <c r="G2080" s="8"/>
      <c r="H2080" s="8"/>
      <c r="I2080" s="8"/>
      <c r="J2080" s="8"/>
      <c r="K2080" s="8"/>
      <c r="L2080" s="8"/>
    </row>
    <row r="2081">
      <c r="A2081" s="8"/>
      <c r="B2081" s="8"/>
      <c r="C2081" s="8"/>
      <c r="D2081" s="8"/>
      <c r="E2081" s="71"/>
      <c r="F2081" s="10"/>
      <c r="G2081" s="8"/>
      <c r="H2081" s="8"/>
      <c r="I2081" s="8"/>
      <c r="J2081" s="8"/>
      <c r="K2081" s="8"/>
      <c r="L2081" s="8"/>
    </row>
    <row r="2082">
      <c r="A2082" s="8"/>
      <c r="B2082" s="8"/>
      <c r="C2082" s="8"/>
      <c r="D2082" s="8"/>
      <c r="E2082" s="71"/>
      <c r="F2082" s="10"/>
      <c r="G2082" s="8"/>
      <c r="H2082" s="8"/>
      <c r="I2082" s="8"/>
      <c r="J2082" s="8"/>
      <c r="K2082" s="8"/>
      <c r="L2082" s="8"/>
    </row>
    <row r="2083">
      <c r="A2083" s="8"/>
      <c r="B2083" s="8"/>
      <c r="C2083" s="8"/>
      <c r="D2083" s="8"/>
      <c r="E2083" s="71"/>
      <c r="F2083" s="10"/>
      <c r="G2083" s="8"/>
      <c r="H2083" s="8"/>
      <c r="I2083" s="8"/>
      <c r="J2083" s="8"/>
      <c r="K2083" s="8"/>
      <c r="L2083" s="8"/>
    </row>
    <row r="2084">
      <c r="A2084" s="8"/>
      <c r="B2084" s="8"/>
      <c r="C2084" s="8"/>
      <c r="D2084" s="8"/>
      <c r="E2084" s="71"/>
      <c r="F2084" s="10"/>
      <c r="G2084" s="8"/>
      <c r="H2084" s="8"/>
      <c r="I2084" s="8"/>
      <c r="J2084" s="8"/>
      <c r="K2084" s="8"/>
      <c r="L2084" s="8"/>
    </row>
    <row r="2085">
      <c r="A2085" s="8"/>
      <c r="B2085" s="8"/>
      <c r="C2085" s="8"/>
      <c r="D2085" s="8"/>
      <c r="E2085" s="71"/>
      <c r="F2085" s="10"/>
      <c r="G2085" s="8"/>
      <c r="H2085" s="8"/>
      <c r="I2085" s="8"/>
      <c r="J2085" s="8"/>
      <c r="K2085" s="8"/>
      <c r="L2085" s="8"/>
    </row>
    <row r="2086">
      <c r="A2086" s="8"/>
      <c r="B2086" s="8"/>
      <c r="C2086" s="8"/>
      <c r="D2086" s="8"/>
      <c r="E2086" s="71"/>
      <c r="F2086" s="10"/>
      <c r="G2086" s="8"/>
      <c r="H2086" s="8"/>
      <c r="I2086" s="8"/>
      <c r="J2086" s="8"/>
      <c r="K2086" s="8"/>
      <c r="L2086" s="8"/>
    </row>
    <row r="2087">
      <c r="A2087" s="8"/>
      <c r="B2087" s="8"/>
      <c r="C2087" s="8"/>
      <c r="D2087" s="8"/>
      <c r="E2087" s="71"/>
      <c r="F2087" s="10"/>
      <c r="G2087" s="8"/>
      <c r="H2087" s="8"/>
      <c r="I2087" s="8"/>
      <c r="J2087" s="8"/>
      <c r="K2087" s="8"/>
      <c r="L2087" s="8"/>
    </row>
    <row r="2088">
      <c r="A2088" s="8"/>
      <c r="B2088" s="8"/>
      <c r="C2088" s="8"/>
      <c r="D2088" s="8"/>
      <c r="E2088" s="71"/>
      <c r="F2088" s="10"/>
      <c r="G2088" s="8"/>
      <c r="H2088" s="8"/>
      <c r="I2088" s="8"/>
      <c r="J2088" s="8"/>
      <c r="K2088" s="8"/>
      <c r="L2088" s="8"/>
    </row>
    <row r="2089">
      <c r="A2089" s="8"/>
      <c r="B2089" s="8"/>
      <c r="C2089" s="8"/>
      <c r="D2089" s="8"/>
      <c r="E2089" s="71"/>
      <c r="F2089" s="10"/>
      <c r="G2089" s="8"/>
      <c r="H2089" s="8"/>
      <c r="I2089" s="8"/>
      <c r="J2089" s="8"/>
      <c r="K2089" s="8"/>
      <c r="L2089" s="8"/>
    </row>
    <row r="2090">
      <c r="A2090" s="8"/>
      <c r="B2090" s="8"/>
      <c r="C2090" s="8"/>
      <c r="D2090" s="8"/>
      <c r="E2090" s="71"/>
      <c r="F2090" s="10"/>
      <c r="G2090" s="8"/>
      <c r="H2090" s="8"/>
      <c r="I2090" s="8"/>
      <c r="J2090" s="8"/>
      <c r="K2090" s="8"/>
      <c r="L2090" s="8"/>
    </row>
    <row r="2091">
      <c r="A2091" s="8"/>
      <c r="B2091" s="8"/>
      <c r="C2091" s="8"/>
      <c r="D2091" s="8"/>
      <c r="E2091" s="71"/>
      <c r="F2091" s="10"/>
      <c r="G2091" s="8"/>
      <c r="H2091" s="8"/>
      <c r="I2091" s="8"/>
      <c r="J2091" s="8"/>
      <c r="K2091" s="8"/>
      <c r="L2091" s="8"/>
    </row>
    <row r="2092">
      <c r="A2092" s="8"/>
      <c r="B2092" s="8"/>
      <c r="C2092" s="8"/>
      <c r="D2092" s="8"/>
      <c r="E2092" s="71"/>
      <c r="F2092" s="10"/>
      <c r="G2092" s="8"/>
      <c r="H2092" s="8"/>
      <c r="I2092" s="8"/>
      <c r="J2092" s="8"/>
      <c r="K2092" s="8"/>
      <c r="L2092" s="8"/>
    </row>
    <row r="2093">
      <c r="A2093" s="8"/>
      <c r="B2093" s="8"/>
      <c r="C2093" s="8"/>
      <c r="D2093" s="8"/>
      <c r="E2093" s="71"/>
      <c r="F2093" s="10"/>
      <c r="G2093" s="8"/>
      <c r="H2093" s="8"/>
      <c r="I2093" s="8"/>
      <c r="J2093" s="8"/>
      <c r="K2093" s="8"/>
      <c r="L2093" s="8"/>
    </row>
    <row r="2094">
      <c r="A2094" s="8"/>
      <c r="B2094" s="8"/>
      <c r="C2094" s="8"/>
      <c r="D2094" s="8"/>
      <c r="E2094" s="71"/>
      <c r="F2094" s="10"/>
      <c r="G2094" s="8"/>
      <c r="H2094" s="8"/>
      <c r="I2094" s="8"/>
      <c r="J2094" s="8"/>
      <c r="K2094" s="8"/>
      <c r="L2094" s="8"/>
    </row>
    <row r="2095">
      <c r="A2095" s="8"/>
      <c r="B2095" s="8"/>
      <c r="C2095" s="8"/>
      <c r="D2095" s="8"/>
      <c r="E2095" s="71"/>
      <c r="F2095" s="10"/>
      <c r="G2095" s="8"/>
      <c r="H2095" s="8"/>
      <c r="I2095" s="8"/>
      <c r="J2095" s="8"/>
      <c r="K2095" s="8"/>
      <c r="L2095" s="8"/>
    </row>
    <row r="2096">
      <c r="A2096" s="8"/>
      <c r="B2096" s="8"/>
      <c r="C2096" s="8"/>
      <c r="D2096" s="8"/>
      <c r="E2096" s="71"/>
      <c r="F2096" s="10"/>
      <c r="G2096" s="8"/>
      <c r="H2096" s="8"/>
      <c r="I2096" s="8"/>
      <c r="J2096" s="8"/>
      <c r="K2096" s="8"/>
      <c r="L2096" s="8"/>
    </row>
    <row r="2097">
      <c r="A2097" s="8"/>
      <c r="B2097" s="8"/>
      <c r="C2097" s="8"/>
      <c r="D2097" s="8"/>
      <c r="E2097" s="71"/>
      <c r="F2097" s="10"/>
      <c r="G2097" s="8"/>
      <c r="H2097" s="8"/>
      <c r="I2097" s="8"/>
      <c r="J2097" s="8"/>
      <c r="K2097" s="8"/>
      <c r="L2097" s="8"/>
    </row>
    <row r="2098">
      <c r="A2098" s="8"/>
      <c r="B2098" s="8"/>
      <c r="C2098" s="8"/>
      <c r="D2098" s="8"/>
      <c r="E2098" s="71"/>
      <c r="F2098" s="10"/>
      <c r="G2098" s="8"/>
      <c r="H2098" s="8"/>
      <c r="I2098" s="8"/>
      <c r="J2098" s="8"/>
      <c r="K2098" s="8"/>
      <c r="L2098" s="8"/>
    </row>
    <row r="2099">
      <c r="A2099" s="8"/>
      <c r="B2099" s="8"/>
      <c r="C2099" s="8"/>
      <c r="D2099" s="8"/>
      <c r="E2099" s="71"/>
      <c r="F2099" s="10"/>
      <c r="G2099" s="8"/>
      <c r="H2099" s="8"/>
      <c r="I2099" s="8"/>
      <c r="J2099" s="8"/>
      <c r="K2099" s="8"/>
      <c r="L2099" s="8"/>
    </row>
    <row r="2100">
      <c r="A2100" s="8"/>
      <c r="B2100" s="8"/>
      <c r="C2100" s="8"/>
      <c r="D2100" s="8"/>
      <c r="E2100" s="71"/>
      <c r="F2100" s="10"/>
      <c r="G2100" s="8"/>
      <c r="H2100" s="8"/>
      <c r="I2100" s="8"/>
      <c r="J2100" s="8"/>
      <c r="K2100" s="8"/>
      <c r="L2100" s="8"/>
    </row>
    <row r="2101">
      <c r="A2101" s="8"/>
      <c r="B2101" s="8"/>
      <c r="C2101" s="8"/>
      <c r="D2101" s="8"/>
      <c r="E2101" s="71"/>
      <c r="F2101" s="10"/>
      <c r="G2101" s="8"/>
      <c r="H2101" s="8"/>
      <c r="I2101" s="8"/>
      <c r="J2101" s="8"/>
      <c r="K2101" s="8"/>
      <c r="L2101" s="8"/>
    </row>
    <row r="2102">
      <c r="A2102" s="8"/>
      <c r="B2102" s="8"/>
      <c r="C2102" s="8"/>
      <c r="D2102" s="8"/>
      <c r="E2102" s="71"/>
      <c r="F2102" s="10"/>
      <c r="G2102" s="8"/>
      <c r="H2102" s="8"/>
      <c r="I2102" s="8"/>
      <c r="J2102" s="8"/>
      <c r="K2102" s="8"/>
      <c r="L2102" s="8"/>
    </row>
    <row r="2103">
      <c r="A2103" s="8"/>
      <c r="B2103" s="8"/>
      <c r="C2103" s="8"/>
      <c r="D2103" s="8"/>
      <c r="E2103" s="71"/>
      <c r="F2103" s="10"/>
      <c r="G2103" s="8"/>
      <c r="H2103" s="8"/>
      <c r="I2103" s="8"/>
      <c r="J2103" s="8"/>
      <c r="K2103" s="8"/>
      <c r="L2103" s="8"/>
    </row>
    <row r="2104">
      <c r="A2104" s="8"/>
      <c r="B2104" s="8"/>
      <c r="C2104" s="8"/>
      <c r="D2104" s="8"/>
      <c r="E2104" s="71"/>
      <c r="F2104" s="10"/>
      <c r="G2104" s="8"/>
      <c r="H2104" s="8"/>
      <c r="I2104" s="8"/>
      <c r="J2104" s="8"/>
      <c r="K2104" s="8"/>
      <c r="L2104" s="8"/>
    </row>
    <row r="2105">
      <c r="A2105" s="8"/>
      <c r="B2105" s="8"/>
      <c r="C2105" s="8"/>
      <c r="D2105" s="8"/>
      <c r="E2105" s="71"/>
      <c r="F2105" s="10"/>
      <c r="G2105" s="8"/>
      <c r="H2105" s="8"/>
      <c r="I2105" s="8"/>
      <c r="J2105" s="8"/>
      <c r="K2105" s="8"/>
      <c r="L2105" s="8"/>
    </row>
    <row r="2106">
      <c r="A2106" s="8"/>
      <c r="B2106" s="8"/>
      <c r="C2106" s="8"/>
      <c r="D2106" s="8"/>
      <c r="E2106" s="71"/>
      <c r="F2106" s="10"/>
      <c r="G2106" s="8"/>
      <c r="H2106" s="8"/>
      <c r="I2106" s="8"/>
      <c r="J2106" s="8"/>
      <c r="K2106" s="8"/>
      <c r="L2106" s="8"/>
    </row>
    <row r="2107">
      <c r="A2107" s="8"/>
      <c r="B2107" s="8"/>
      <c r="C2107" s="8"/>
      <c r="D2107" s="8"/>
      <c r="E2107" s="71"/>
      <c r="F2107" s="10"/>
      <c r="G2107" s="8"/>
      <c r="H2107" s="8"/>
      <c r="I2107" s="8"/>
      <c r="J2107" s="8"/>
      <c r="K2107" s="8"/>
      <c r="L2107" s="8"/>
    </row>
    <row r="2108">
      <c r="A2108" s="8"/>
      <c r="B2108" s="8"/>
      <c r="C2108" s="8"/>
      <c r="D2108" s="8"/>
      <c r="E2108" s="71"/>
      <c r="F2108" s="10"/>
      <c r="G2108" s="8"/>
      <c r="H2108" s="8"/>
      <c r="I2108" s="8"/>
      <c r="J2108" s="8"/>
      <c r="K2108" s="8"/>
      <c r="L2108" s="8"/>
    </row>
    <row r="2109">
      <c r="A2109" s="8"/>
      <c r="B2109" s="8"/>
      <c r="C2109" s="8"/>
      <c r="D2109" s="8"/>
      <c r="E2109" s="71"/>
      <c r="F2109" s="10"/>
      <c r="G2109" s="8"/>
      <c r="H2109" s="8"/>
      <c r="I2109" s="8"/>
      <c r="J2109" s="8"/>
      <c r="K2109" s="8"/>
      <c r="L2109" s="8"/>
    </row>
    <row r="2110">
      <c r="A2110" s="8"/>
      <c r="B2110" s="8"/>
      <c r="C2110" s="8"/>
      <c r="D2110" s="8"/>
      <c r="E2110" s="71"/>
      <c r="F2110" s="10"/>
      <c r="G2110" s="8"/>
      <c r="H2110" s="8"/>
      <c r="I2110" s="8"/>
      <c r="J2110" s="8"/>
      <c r="K2110" s="8"/>
      <c r="L2110" s="8"/>
    </row>
    <row r="2111">
      <c r="A2111" s="8"/>
      <c r="B2111" s="8"/>
      <c r="C2111" s="8"/>
      <c r="D2111" s="8"/>
      <c r="E2111" s="71"/>
      <c r="F2111" s="10"/>
      <c r="G2111" s="8"/>
      <c r="H2111" s="8"/>
      <c r="I2111" s="8"/>
      <c r="J2111" s="8"/>
      <c r="K2111" s="8"/>
      <c r="L2111" s="8"/>
    </row>
    <row r="2112">
      <c r="A2112" s="8"/>
      <c r="B2112" s="8"/>
      <c r="C2112" s="8"/>
      <c r="D2112" s="8"/>
      <c r="E2112" s="71"/>
      <c r="F2112" s="10"/>
      <c r="G2112" s="8"/>
      <c r="H2112" s="8"/>
      <c r="I2112" s="8"/>
      <c r="J2112" s="8"/>
      <c r="K2112" s="8"/>
      <c r="L2112" s="8"/>
    </row>
    <row r="2113">
      <c r="A2113" s="8"/>
      <c r="B2113" s="8"/>
      <c r="C2113" s="8"/>
      <c r="D2113" s="8"/>
      <c r="E2113" s="71"/>
      <c r="F2113" s="10"/>
      <c r="G2113" s="8"/>
      <c r="H2113" s="8"/>
      <c r="I2113" s="8"/>
      <c r="J2113" s="8"/>
      <c r="K2113" s="8"/>
      <c r="L2113" s="8"/>
    </row>
    <row r="2114">
      <c r="A2114" s="8"/>
      <c r="B2114" s="8"/>
      <c r="C2114" s="8"/>
      <c r="D2114" s="8"/>
      <c r="E2114" s="71"/>
      <c r="F2114" s="10"/>
      <c r="G2114" s="8"/>
      <c r="H2114" s="8"/>
      <c r="I2114" s="8"/>
      <c r="J2114" s="8"/>
      <c r="K2114" s="8"/>
      <c r="L2114" s="8"/>
    </row>
    <row r="2115">
      <c r="A2115" s="8"/>
      <c r="B2115" s="8"/>
      <c r="C2115" s="8"/>
      <c r="D2115" s="8"/>
      <c r="E2115" s="71"/>
      <c r="F2115" s="10"/>
      <c r="G2115" s="8"/>
      <c r="H2115" s="8"/>
      <c r="I2115" s="8"/>
      <c r="J2115" s="8"/>
      <c r="K2115" s="8"/>
      <c r="L2115" s="8"/>
    </row>
    <row r="2116">
      <c r="A2116" s="8"/>
      <c r="B2116" s="8"/>
      <c r="C2116" s="8"/>
      <c r="D2116" s="8"/>
      <c r="E2116" s="71"/>
      <c r="F2116" s="10"/>
      <c r="G2116" s="8"/>
      <c r="H2116" s="8"/>
      <c r="I2116" s="8"/>
      <c r="J2116" s="8"/>
      <c r="K2116" s="8"/>
      <c r="L2116" s="8"/>
    </row>
    <row r="2117">
      <c r="A2117" s="8"/>
      <c r="B2117" s="8"/>
      <c r="C2117" s="8"/>
      <c r="D2117" s="8"/>
      <c r="E2117" s="71"/>
      <c r="F2117" s="10"/>
      <c r="G2117" s="8"/>
      <c r="H2117" s="8"/>
      <c r="I2117" s="8"/>
      <c r="J2117" s="8"/>
      <c r="K2117" s="8"/>
      <c r="L2117" s="8"/>
    </row>
    <row r="2118">
      <c r="A2118" s="8"/>
      <c r="B2118" s="8"/>
      <c r="C2118" s="8"/>
      <c r="D2118" s="8"/>
      <c r="E2118" s="71"/>
      <c r="F2118" s="10"/>
      <c r="G2118" s="8"/>
      <c r="H2118" s="8"/>
      <c r="I2118" s="8"/>
      <c r="J2118" s="8"/>
      <c r="K2118" s="8"/>
      <c r="L2118" s="8"/>
    </row>
    <row r="2119">
      <c r="A2119" s="8"/>
      <c r="B2119" s="8"/>
      <c r="C2119" s="8"/>
      <c r="D2119" s="8"/>
      <c r="E2119" s="71"/>
      <c r="F2119" s="10"/>
      <c r="G2119" s="8"/>
      <c r="H2119" s="8"/>
      <c r="I2119" s="8"/>
      <c r="J2119" s="8"/>
      <c r="K2119" s="8"/>
      <c r="L2119" s="8"/>
    </row>
    <row r="2120">
      <c r="A2120" s="8"/>
      <c r="B2120" s="8"/>
      <c r="C2120" s="8"/>
      <c r="D2120" s="8"/>
      <c r="E2120" s="71"/>
      <c r="F2120" s="10"/>
      <c r="G2120" s="8"/>
      <c r="H2120" s="8"/>
      <c r="I2120" s="8"/>
      <c r="J2120" s="8"/>
      <c r="K2120" s="8"/>
      <c r="L2120" s="8"/>
    </row>
    <row r="2121">
      <c r="A2121" s="8"/>
      <c r="B2121" s="8"/>
      <c r="C2121" s="8"/>
      <c r="D2121" s="8"/>
      <c r="E2121" s="71"/>
      <c r="F2121" s="10"/>
      <c r="G2121" s="8"/>
      <c r="H2121" s="8"/>
      <c r="I2121" s="8"/>
      <c r="J2121" s="8"/>
      <c r="K2121" s="8"/>
      <c r="L2121" s="8"/>
    </row>
    <row r="2122">
      <c r="A2122" s="8"/>
      <c r="B2122" s="8"/>
      <c r="C2122" s="8"/>
      <c r="D2122" s="8"/>
      <c r="E2122" s="71"/>
      <c r="F2122" s="10"/>
      <c r="G2122" s="8"/>
      <c r="H2122" s="8"/>
      <c r="I2122" s="8"/>
      <c r="J2122" s="8"/>
      <c r="K2122" s="8"/>
      <c r="L2122" s="8"/>
    </row>
    <row r="2123">
      <c r="A2123" s="8"/>
      <c r="B2123" s="8"/>
      <c r="C2123" s="8"/>
      <c r="D2123" s="8"/>
      <c r="E2123" s="71"/>
      <c r="F2123" s="10"/>
      <c r="G2123" s="8"/>
      <c r="H2123" s="8"/>
      <c r="I2123" s="8"/>
      <c r="J2123" s="8"/>
      <c r="K2123" s="8"/>
      <c r="L2123" s="8"/>
    </row>
    <row r="2124">
      <c r="A2124" s="8"/>
      <c r="B2124" s="8"/>
      <c r="C2124" s="8"/>
      <c r="D2124" s="8"/>
      <c r="E2124" s="71"/>
      <c r="F2124" s="10"/>
      <c r="G2124" s="8"/>
      <c r="H2124" s="8"/>
      <c r="I2124" s="8"/>
      <c r="J2124" s="8"/>
      <c r="K2124" s="8"/>
      <c r="L2124" s="8"/>
    </row>
    <row r="2125">
      <c r="A2125" s="8"/>
      <c r="B2125" s="8"/>
      <c r="C2125" s="8"/>
      <c r="D2125" s="8"/>
      <c r="E2125" s="71"/>
      <c r="F2125" s="10"/>
      <c r="G2125" s="8"/>
      <c r="H2125" s="8"/>
      <c r="I2125" s="8"/>
      <c r="J2125" s="8"/>
      <c r="K2125" s="8"/>
      <c r="L2125" s="8"/>
    </row>
    <row r="2126">
      <c r="A2126" s="8"/>
      <c r="B2126" s="8"/>
      <c r="C2126" s="8"/>
      <c r="D2126" s="8"/>
      <c r="E2126" s="71"/>
      <c r="F2126" s="10"/>
      <c r="G2126" s="8"/>
      <c r="H2126" s="8"/>
      <c r="I2126" s="8"/>
      <c r="J2126" s="8"/>
      <c r="K2126" s="8"/>
      <c r="L2126" s="8"/>
    </row>
    <row r="2127">
      <c r="A2127" s="8"/>
      <c r="B2127" s="8"/>
      <c r="C2127" s="8"/>
      <c r="D2127" s="8"/>
      <c r="E2127" s="71"/>
      <c r="F2127" s="10"/>
      <c r="G2127" s="8"/>
      <c r="H2127" s="8"/>
      <c r="I2127" s="8"/>
      <c r="J2127" s="8"/>
      <c r="K2127" s="8"/>
      <c r="L2127" s="8"/>
    </row>
    <row r="2128">
      <c r="A2128" s="8"/>
      <c r="B2128" s="8"/>
      <c r="C2128" s="8"/>
      <c r="D2128" s="8"/>
      <c r="E2128" s="71"/>
      <c r="F2128" s="10"/>
      <c r="G2128" s="8"/>
      <c r="H2128" s="8"/>
      <c r="I2128" s="8"/>
      <c r="J2128" s="8"/>
      <c r="K2128" s="8"/>
      <c r="L2128" s="8"/>
    </row>
    <row r="2129">
      <c r="A2129" s="8"/>
      <c r="B2129" s="8"/>
      <c r="C2129" s="8"/>
      <c r="D2129" s="8"/>
      <c r="E2129" s="71"/>
      <c r="F2129" s="10"/>
      <c r="G2129" s="8"/>
      <c r="H2129" s="8"/>
      <c r="I2129" s="8"/>
      <c r="J2129" s="8"/>
      <c r="K2129" s="8"/>
      <c r="L2129" s="8"/>
    </row>
    <row r="2130">
      <c r="A2130" s="8"/>
      <c r="B2130" s="8"/>
      <c r="C2130" s="8"/>
      <c r="D2130" s="8"/>
      <c r="E2130" s="71"/>
      <c r="F2130" s="10"/>
      <c r="G2130" s="8"/>
      <c r="H2130" s="8"/>
      <c r="I2130" s="8"/>
      <c r="J2130" s="8"/>
      <c r="K2130" s="8"/>
      <c r="L2130" s="8"/>
    </row>
    <row r="2131">
      <c r="A2131" s="8"/>
      <c r="B2131" s="8"/>
      <c r="C2131" s="8"/>
      <c r="D2131" s="8"/>
      <c r="E2131" s="71"/>
      <c r="F2131" s="10"/>
      <c r="G2131" s="8"/>
      <c r="H2131" s="8"/>
      <c r="I2131" s="8"/>
      <c r="J2131" s="8"/>
      <c r="K2131" s="8"/>
      <c r="L2131" s="8"/>
    </row>
    <row r="2132">
      <c r="A2132" s="8"/>
      <c r="B2132" s="8"/>
      <c r="C2132" s="8"/>
      <c r="D2132" s="8"/>
      <c r="E2132" s="71"/>
      <c r="F2132" s="10"/>
      <c r="G2132" s="8"/>
      <c r="H2132" s="8"/>
      <c r="I2132" s="8"/>
      <c r="J2132" s="8"/>
      <c r="K2132" s="8"/>
      <c r="L2132" s="8"/>
    </row>
    <row r="2133">
      <c r="A2133" s="8"/>
      <c r="B2133" s="8"/>
      <c r="C2133" s="8"/>
      <c r="D2133" s="8"/>
      <c r="E2133" s="71"/>
      <c r="F2133" s="10"/>
      <c r="G2133" s="8"/>
      <c r="H2133" s="8"/>
      <c r="I2133" s="8"/>
      <c r="J2133" s="8"/>
      <c r="K2133" s="8"/>
      <c r="L2133" s="8"/>
    </row>
    <row r="2134">
      <c r="A2134" s="8"/>
      <c r="B2134" s="8"/>
      <c r="C2134" s="8"/>
      <c r="D2134" s="8"/>
      <c r="E2134" s="71"/>
      <c r="F2134" s="10"/>
      <c r="G2134" s="8"/>
      <c r="H2134" s="8"/>
      <c r="I2134" s="8"/>
      <c r="J2134" s="8"/>
      <c r="K2134" s="8"/>
      <c r="L2134" s="8"/>
    </row>
    <row r="2135">
      <c r="A2135" s="8"/>
      <c r="B2135" s="8"/>
      <c r="C2135" s="8"/>
      <c r="D2135" s="8"/>
      <c r="E2135" s="71"/>
      <c r="F2135" s="10"/>
      <c r="G2135" s="8"/>
      <c r="H2135" s="8"/>
      <c r="I2135" s="8"/>
      <c r="J2135" s="8"/>
      <c r="K2135" s="8"/>
      <c r="L2135" s="8"/>
    </row>
    <row r="2136">
      <c r="A2136" s="8"/>
      <c r="B2136" s="8"/>
      <c r="C2136" s="8"/>
      <c r="D2136" s="8"/>
      <c r="E2136" s="71"/>
      <c r="F2136" s="10"/>
      <c r="G2136" s="8"/>
      <c r="H2136" s="8"/>
      <c r="I2136" s="8"/>
      <c r="J2136" s="8"/>
      <c r="K2136" s="8"/>
      <c r="L2136" s="8"/>
    </row>
    <row r="2137">
      <c r="A2137" s="8"/>
      <c r="B2137" s="8"/>
      <c r="C2137" s="8"/>
      <c r="D2137" s="8"/>
      <c r="E2137" s="71"/>
      <c r="F2137" s="10"/>
      <c r="G2137" s="8"/>
      <c r="H2137" s="8"/>
      <c r="I2137" s="8"/>
      <c r="J2137" s="8"/>
      <c r="K2137" s="8"/>
      <c r="L2137" s="8"/>
    </row>
    <row r="2138">
      <c r="A2138" s="8"/>
      <c r="B2138" s="8"/>
      <c r="C2138" s="8"/>
      <c r="D2138" s="8"/>
      <c r="E2138" s="71"/>
      <c r="F2138" s="10"/>
      <c r="G2138" s="8"/>
      <c r="H2138" s="8"/>
      <c r="I2138" s="8"/>
      <c r="J2138" s="8"/>
      <c r="K2138" s="8"/>
      <c r="L2138" s="8"/>
    </row>
    <row r="2139">
      <c r="A2139" s="8"/>
      <c r="B2139" s="8"/>
      <c r="C2139" s="8"/>
      <c r="D2139" s="8"/>
      <c r="E2139" s="71"/>
      <c r="F2139" s="10"/>
      <c r="G2139" s="8"/>
      <c r="H2139" s="8"/>
      <c r="I2139" s="8"/>
      <c r="J2139" s="8"/>
      <c r="K2139" s="8"/>
      <c r="L2139" s="8"/>
    </row>
    <row r="2140">
      <c r="A2140" s="8"/>
      <c r="B2140" s="8"/>
      <c r="C2140" s="8"/>
      <c r="D2140" s="8"/>
      <c r="E2140" s="71"/>
      <c r="F2140" s="10"/>
      <c r="G2140" s="8"/>
      <c r="H2140" s="8"/>
      <c r="I2140" s="8"/>
      <c r="J2140" s="8"/>
      <c r="K2140" s="8"/>
      <c r="L2140" s="8"/>
    </row>
    <row r="2141">
      <c r="A2141" s="8"/>
      <c r="B2141" s="8"/>
      <c r="C2141" s="8"/>
      <c r="D2141" s="8"/>
      <c r="E2141" s="71"/>
      <c r="F2141" s="10"/>
      <c r="G2141" s="8"/>
      <c r="H2141" s="8"/>
      <c r="I2141" s="8"/>
      <c r="J2141" s="8"/>
      <c r="K2141" s="8"/>
      <c r="L2141" s="8"/>
    </row>
    <row r="2142">
      <c r="A2142" s="8"/>
      <c r="B2142" s="8"/>
      <c r="C2142" s="8"/>
      <c r="D2142" s="8"/>
      <c r="E2142" s="71"/>
      <c r="F2142" s="10"/>
      <c r="G2142" s="8"/>
      <c r="H2142" s="8"/>
      <c r="I2142" s="8"/>
      <c r="J2142" s="8"/>
      <c r="K2142" s="8"/>
      <c r="L2142" s="8"/>
    </row>
    <row r="2143">
      <c r="A2143" s="8"/>
      <c r="B2143" s="8"/>
      <c r="C2143" s="8"/>
      <c r="D2143" s="8"/>
      <c r="E2143" s="71"/>
      <c r="F2143" s="10"/>
      <c r="G2143" s="8"/>
      <c r="H2143" s="8"/>
      <c r="I2143" s="8"/>
      <c r="J2143" s="8"/>
      <c r="K2143" s="8"/>
      <c r="L2143" s="8"/>
    </row>
    <row r="2144">
      <c r="A2144" s="8"/>
      <c r="B2144" s="8"/>
      <c r="C2144" s="8"/>
      <c r="D2144" s="8"/>
      <c r="E2144" s="71"/>
      <c r="F2144" s="10"/>
      <c r="G2144" s="8"/>
      <c r="H2144" s="8"/>
      <c r="I2144" s="8"/>
      <c r="J2144" s="8"/>
      <c r="K2144" s="8"/>
      <c r="L2144" s="8"/>
    </row>
    <row r="2145">
      <c r="A2145" s="8"/>
      <c r="B2145" s="8"/>
      <c r="C2145" s="8"/>
      <c r="D2145" s="8"/>
      <c r="E2145" s="71"/>
      <c r="F2145" s="10"/>
      <c r="G2145" s="8"/>
      <c r="H2145" s="8"/>
      <c r="I2145" s="8"/>
      <c r="J2145" s="8"/>
      <c r="K2145" s="8"/>
      <c r="L2145" s="8"/>
    </row>
    <row r="2146">
      <c r="A2146" s="8"/>
      <c r="B2146" s="8"/>
      <c r="C2146" s="8"/>
      <c r="D2146" s="8"/>
      <c r="E2146" s="71"/>
      <c r="F2146" s="10"/>
      <c r="G2146" s="8"/>
      <c r="H2146" s="8"/>
      <c r="I2146" s="8"/>
      <c r="J2146" s="8"/>
      <c r="K2146" s="8"/>
      <c r="L2146" s="8"/>
    </row>
    <row r="2147">
      <c r="A2147" s="8"/>
      <c r="B2147" s="8"/>
      <c r="C2147" s="8"/>
      <c r="D2147" s="8"/>
      <c r="E2147" s="71"/>
      <c r="F2147" s="10"/>
      <c r="G2147" s="8"/>
      <c r="H2147" s="8"/>
      <c r="I2147" s="8"/>
      <c r="J2147" s="8"/>
      <c r="K2147" s="8"/>
      <c r="L2147" s="8"/>
    </row>
    <row r="2148">
      <c r="A2148" s="8"/>
      <c r="B2148" s="8"/>
      <c r="C2148" s="8"/>
      <c r="D2148" s="8"/>
      <c r="E2148" s="71"/>
      <c r="F2148" s="10"/>
      <c r="G2148" s="8"/>
      <c r="H2148" s="8"/>
      <c r="I2148" s="8"/>
      <c r="J2148" s="8"/>
      <c r="K2148" s="8"/>
      <c r="L2148" s="8"/>
    </row>
    <row r="2149">
      <c r="A2149" s="8"/>
      <c r="B2149" s="8"/>
      <c r="C2149" s="8"/>
      <c r="D2149" s="8"/>
      <c r="E2149" s="71"/>
      <c r="F2149" s="10"/>
      <c r="G2149" s="8"/>
      <c r="H2149" s="8"/>
      <c r="I2149" s="8"/>
      <c r="J2149" s="8"/>
      <c r="K2149" s="8"/>
      <c r="L2149" s="8"/>
    </row>
    <row r="2150">
      <c r="A2150" s="8"/>
      <c r="B2150" s="8"/>
      <c r="C2150" s="8"/>
      <c r="D2150" s="8"/>
      <c r="E2150" s="71"/>
      <c r="F2150" s="10"/>
      <c r="G2150" s="8"/>
      <c r="H2150" s="8"/>
      <c r="I2150" s="8"/>
      <c r="J2150" s="8"/>
      <c r="K2150" s="8"/>
      <c r="L2150" s="8"/>
    </row>
    <row r="2151">
      <c r="A2151" s="8"/>
      <c r="B2151" s="8"/>
      <c r="C2151" s="8"/>
      <c r="D2151" s="8"/>
      <c r="E2151" s="71"/>
      <c r="F2151" s="10"/>
      <c r="G2151" s="8"/>
      <c r="H2151" s="8"/>
      <c r="I2151" s="8"/>
      <c r="J2151" s="8"/>
      <c r="K2151" s="8"/>
      <c r="L2151" s="8"/>
    </row>
    <row r="2152">
      <c r="A2152" s="8"/>
      <c r="B2152" s="8"/>
      <c r="C2152" s="8"/>
      <c r="D2152" s="8"/>
      <c r="E2152" s="71"/>
      <c r="F2152" s="10"/>
      <c r="G2152" s="8"/>
      <c r="H2152" s="8"/>
      <c r="I2152" s="8"/>
      <c r="J2152" s="8"/>
      <c r="K2152" s="8"/>
      <c r="L2152" s="8"/>
    </row>
    <row r="2153">
      <c r="A2153" s="8"/>
      <c r="B2153" s="8"/>
      <c r="C2153" s="8"/>
      <c r="D2153" s="8"/>
      <c r="E2153" s="71"/>
      <c r="F2153" s="10"/>
      <c r="G2153" s="8"/>
      <c r="H2153" s="8"/>
      <c r="I2153" s="8"/>
      <c r="J2153" s="8"/>
      <c r="K2153" s="8"/>
      <c r="L2153" s="8"/>
    </row>
    <row r="2154">
      <c r="A2154" s="8"/>
      <c r="B2154" s="8"/>
      <c r="C2154" s="8"/>
      <c r="D2154" s="8"/>
      <c r="E2154" s="71"/>
      <c r="F2154" s="10"/>
      <c r="G2154" s="8"/>
      <c r="H2154" s="8"/>
      <c r="I2154" s="8"/>
      <c r="J2154" s="8"/>
      <c r="K2154" s="8"/>
      <c r="L2154" s="8"/>
    </row>
    <row r="2155">
      <c r="A2155" s="8"/>
      <c r="B2155" s="8"/>
      <c r="C2155" s="8"/>
      <c r="D2155" s="8"/>
      <c r="E2155" s="71"/>
      <c r="F2155" s="10"/>
      <c r="G2155" s="8"/>
      <c r="H2155" s="8"/>
      <c r="I2155" s="8"/>
      <c r="J2155" s="8"/>
      <c r="K2155" s="8"/>
      <c r="L2155" s="8"/>
    </row>
    <row r="2156">
      <c r="A2156" s="8"/>
      <c r="B2156" s="8"/>
      <c r="C2156" s="8"/>
      <c r="D2156" s="8"/>
      <c r="E2156" s="71"/>
      <c r="F2156" s="10"/>
      <c r="G2156" s="8"/>
      <c r="H2156" s="8"/>
      <c r="I2156" s="8"/>
      <c r="J2156" s="8"/>
      <c r="K2156" s="8"/>
      <c r="L2156" s="8"/>
    </row>
    <row r="2157">
      <c r="A2157" s="8"/>
      <c r="B2157" s="8"/>
      <c r="C2157" s="8"/>
      <c r="D2157" s="8"/>
      <c r="E2157" s="71"/>
      <c r="F2157" s="10"/>
      <c r="G2157" s="8"/>
      <c r="H2157" s="8"/>
      <c r="I2157" s="8"/>
      <c r="J2157" s="8"/>
      <c r="K2157" s="8"/>
      <c r="L2157" s="8"/>
    </row>
    <row r="2158">
      <c r="A2158" s="8"/>
      <c r="B2158" s="8"/>
      <c r="C2158" s="8"/>
      <c r="D2158" s="8"/>
      <c r="E2158" s="71"/>
      <c r="F2158" s="10"/>
      <c r="G2158" s="8"/>
      <c r="H2158" s="8"/>
      <c r="I2158" s="8"/>
      <c r="J2158" s="8"/>
      <c r="K2158" s="8"/>
      <c r="L2158" s="8"/>
    </row>
    <row r="2159">
      <c r="A2159" s="8"/>
      <c r="B2159" s="8"/>
      <c r="C2159" s="8"/>
      <c r="D2159" s="8"/>
      <c r="E2159" s="71"/>
      <c r="F2159" s="10"/>
      <c r="G2159" s="8"/>
      <c r="H2159" s="8"/>
      <c r="I2159" s="8"/>
      <c r="J2159" s="8"/>
      <c r="K2159" s="8"/>
      <c r="L2159" s="8"/>
    </row>
    <row r="2160">
      <c r="A2160" s="8"/>
      <c r="B2160" s="8"/>
      <c r="C2160" s="8"/>
      <c r="D2160" s="8"/>
      <c r="E2160" s="71"/>
      <c r="F2160" s="10"/>
      <c r="G2160" s="8"/>
      <c r="H2160" s="8"/>
      <c r="I2160" s="8"/>
      <c r="J2160" s="8"/>
      <c r="K2160" s="8"/>
      <c r="L2160" s="8"/>
    </row>
    <row r="2161">
      <c r="A2161" s="8"/>
      <c r="B2161" s="8"/>
      <c r="C2161" s="8"/>
      <c r="D2161" s="8"/>
      <c r="E2161" s="71"/>
      <c r="F2161" s="10"/>
      <c r="G2161" s="8"/>
      <c r="H2161" s="8"/>
      <c r="I2161" s="8"/>
      <c r="J2161" s="8"/>
      <c r="K2161" s="8"/>
      <c r="L2161" s="8"/>
    </row>
    <row r="2162">
      <c r="A2162" s="8"/>
      <c r="B2162" s="8"/>
      <c r="C2162" s="8"/>
      <c r="D2162" s="8"/>
      <c r="E2162" s="71"/>
      <c r="F2162" s="10"/>
      <c r="G2162" s="8"/>
      <c r="H2162" s="8"/>
      <c r="I2162" s="8"/>
      <c r="J2162" s="8"/>
      <c r="K2162" s="8"/>
      <c r="L2162" s="8"/>
    </row>
    <row r="2163">
      <c r="A2163" s="8"/>
      <c r="B2163" s="8"/>
      <c r="C2163" s="8"/>
      <c r="D2163" s="8"/>
      <c r="E2163" s="71"/>
      <c r="F2163" s="10"/>
      <c r="G2163" s="8"/>
      <c r="H2163" s="8"/>
      <c r="I2163" s="8"/>
      <c r="J2163" s="8"/>
      <c r="K2163" s="8"/>
      <c r="L2163" s="8"/>
    </row>
    <row r="2164">
      <c r="A2164" s="8"/>
      <c r="B2164" s="8"/>
      <c r="C2164" s="8"/>
      <c r="D2164" s="8"/>
      <c r="E2164" s="71"/>
      <c r="F2164" s="10"/>
      <c r="G2164" s="8"/>
      <c r="H2164" s="8"/>
      <c r="I2164" s="8"/>
      <c r="J2164" s="8"/>
      <c r="K2164" s="8"/>
      <c r="L2164" s="8"/>
    </row>
    <row r="2165">
      <c r="A2165" s="8"/>
      <c r="B2165" s="8"/>
      <c r="C2165" s="8"/>
      <c r="D2165" s="8"/>
      <c r="E2165" s="71"/>
      <c r="F2165" s="10"/>
      <c r="G2165" s="8"/>
      <c r="H2165" s="8"/>
      <c r="I2165" s="8"/>
      <c r="J2165" s="8"/>
      <c r="K2165" s="8"/>
      <c r="L2165" s="8"/>
    </row>
    <row r="2166">
      <c r="A2166" s="8"/>
      <c r="B2166" s="8"/>
      <c r="C2166" s="8"/>
      <c r="D2166" s="8"/>
      <c r="E2166" s="71"/>
      <c r="F2166" s="10"/>
      <c r="G2166" s="8"/>
      <c r="H2166" s="8"/>
      <c r="I2166" s="8"/>
      <c r="J2166" s="8"/>
      <c r="K2166" s="8"/>
      <c r="L2166" s="8"/>
    </row>
    <row r="2167">
      <c r="A2167" s="8"/>
      <c r="B2167" s="8"/>
      <c r="C2167" s="8"/>
      <c r="D2167" s="8"/>
      <c r="E2167" s="71"/>
      <c r="F2167" s="10"/>
      <c r="G2167" s="8"/>
      <c r="H2167" s="8"/>
      <c r="I2167" s="8"/>
      <c r="J2167" s="8"/>
      <c r="K2167" s="8"/>
      <c r="L2167" s="8"/>
    </row>
    <row r="2168">
      <c r="A2168" s="8"/>
      <c r="B2168" s="8"/>
      <c r="C2168" s="8"/>
      <c r="D2168" s="8"/>
      <c r="E2168" s="71"/>
      <c r="F2168" s="10"/>
      <c r="G2168" s="8"/>
      <c r="H2168" s="8"/>
      <c r="I2168" s="8"/>
      <c r="J2168" s="8"/>
      <c r="K2168" s="8"/>
      <c r="L2168" s="8"/>
    </row>
    <row r="2169">
      <c r="A2169" s="8"/>
      <c r="B2169" s="8"/>
      <c r="C2169" s="8"/>
      <c r="D2169" s="8"/>
      <c r="E2169" s="71"/>
      <c r="F2169" s="10"/>
      <c r="G2169" s="8"/>
      <c r="H2169" s="8"/>
      <c r="I2169" s="8"/>
      <c r="J2169" s="8"/>
      <c r="K2169" s="8"/>
      <c r="L2169" s="8"/>
    </row>
    <row r="2170">
      <c r="A2170" s="8"/>
      <c r="B2170" s="8"/>
      <c r="C2170" s="8"/>
      <c r="D2170" s="8"/>
      <c r="E2170" s="71"/>
      <c r="F2170" s="10"/>
      <c r="G2170" s="8"/>
      <c r="H2170" s="8"/>
      <c r="I2170" s="8"/>
      <c r="J2170" s="8"/>
      <c r="K2170" s="8"/>
      <c r="L2170" s="8"/>
    </row>
    <row r="2171">
      <c r="A2171" s="8"/>
      <c r="B2171" s="8"/>
      <c r="C2171" s="8"/>
      <c r="D2171" s="8"/>
      <c r="E2171" s="71"/>
      <c r="F2171" s="10"/>
      <c r="G2171" s="8"/>
      <c r="H2171" s="8"/>
      <c r="I2171" s="8"/>
      <c r="J2171" s="8"/>
      <c r="K2171" s="8"/>
      <c r="L2171" s="8"/>
    </row>
    <row r="2172">
      <c r="A2172" s="8"/>
      <c r="B2172" s="8"/>
      <c r="C2172" s="8"/>
      <c r="D2172" s="8"/>
      <c r="E2172" s="71"/>
      <c r="F2172" s="10"/>
      <c r="G2172" s="8"/>
      <c r="H2172" s="8"/>
      <c r="I2172" s="8"/>
      <c r="J2172" s="8"/>
      <c r="K2172" s="8"/>
      <c r="L2172" s="8"/>
    </row>
    <row r="2173">
      <c r="A2173" s="8"/>
      <c r="B2173" s="8"/>
      <c r="C2173" s="8"/>
      <c r="D2173" s="8"/>
      <c r="E2173" s="71"/>
      <c r="F2173" s="10"/>
      <c r="G2173" s="8"/>
      <c r="H2173" s="8"/>
      <c r="I2173" s="8"/>
      <c r="J2173" s="8"/>
      <c r="K2173" s="8"/>
      <c r="L2173" s="8"/>
    </row>
    <row r="2174">
      <c r="A2174" s="8"/>
      <c r="B2174" s="8"/>
      <c r="C2174" s="8"/>
      <c r="D2174" s="8"/>
      <c r="E2174" s="71"/>
      <c r="F2174" s="10"/>
      <c r="G2174" s="8"/>
      <c r="H2174" s="8"/>
      <c r="I2174" s="8"/>
      <c r="J2174" s="8"/>
      <c r="K2174" s="8"/>
      <c r="L2174" s="8"/>
    </row>
    <row r="2175">
      <c r="A2175" s="8"/>
      <c r="B2175" s="8"/>
      <c r="C2175" s="8"/>
      <c r="D2175" s="8"/>
      <c r="E2175" s="71"/>
      <c r="F2175" s="10"/>
      <c r="G2175" s="8"/>
      <c r="H2175" s="8"/>
      <c r="I2175" s="8"/>
      <c r="J2175" s="8"/>
      <c r="K2175" s="8"/>
      <c r="L2175" s="8"/>
    </row>
    <row r="2176">
      <c r="A2176" s="8"/>
      <c r="B2176" s="8"/>
      <c r="C2176" s="8"/>
      <c r="D2176" s="8"/>
      <c r="E2176" s="71"/>
      <c r="F2176" s="10"/>
      <c r="G2176" s="8"/>
      <c r="H2176" s="8"/>
      <c r="I2176" s="8"/>
      <c r="J2176" s="8"/>
      <c r="K2176" s="8"/>
      <c r="L2176" s="8"/>
    </row>
    <row r="2177">
      <c r="A2177" s="8"/>
      <c r="B2177" s="8"/>
      <c r="C2177" s="8"/>
      <c r="D2177" s="8"/>
      <c r="E2177" s="71"/>
      <c r="F2177" s="10"/>
      <c r="G2177" s="8"/>
      <c r="H2177" s="8"/>
      <c r="I2177" s="8"/>
      <c r="J2177" s="8"/>
      <c r="K2177" s="8"/>
      <c r="L2177" s="8"/>
    </row>
    <row r="2178">
      <c r="A2178" s="8"/>
      <c r="B2178" s="8"/>
      <c r="C2178" s="8"/>
      <c r="D2178" s="8"/>
      <c r="E2178" s="71"/>
      <c r="F2178" s="10"/>
      <c r="G2178" s="8"/>
      <c r="H2178" s="8"/>
      <c r="I2178" s="8"/>
      <c r="J2178" s="8"/>
      <c r="K2178" s="8"/>
      <c r="L2178" s="8"/>
    </row>
    <row r="2179">
      <c r="A2179" s="8"/>
      <c r="B2179" s="8"/>
      <c r="C2179" s="8"/>
      <c r="D2179" s="8"/>
      <c r="E2179" s="71"/>
      <c r="F2179" s="10"/>
      <c r="G2179" s="8"/>
      <c r="H2179" s="8"/>
      <c r="I2179" s="8"/>
      <c r="J2179" s="8"/>
      <c r="K2179" s="8"/>
      <c r="L2179" s="8"/>
    </row>
    <row r="2180">
      <c r="A2180" s="8"/>
      <c r="B2180" s="8"/>
      <c r="C2180" s="8"/>
      <c r="D2180" s="8"/>
      <c r="E2180" s="71"/>
      <c r="F2180" s="10"/>
      <c r="G2180" s="8"/>
      <c r="H2180" s="8"/>
      <c r="I2180" s="8"/>
      <c r="J2180" s="8"/>
      <c r="K2180" s="8"/>
      <c r="L2180" s="8"/>
    </row>
    <row r="2181">
      <c r="A2181" s="8"/>
      <c r="B2181" s="8"/>
      <c r="C2181" s="8"/>
      <c r="D2181" s="8"/>
      <c r="E2181" s="71"/>
      <c r="F2181" s="10"/>
      <c r="G2181" s="8"/>
      <c r="H2181" s="8"/>
      <c r="I2181" s="8"/>
      <c r="J2181" s="8"/>
      <c r="K2181" s="8"/>
      <c r="L2181" s="8"/>
    </row>
    <row r="2182">
      <c r="A2182" s="8"/>
      <c r="B2182" s="8"/>
      <c r="C2182" s="8"/>
      <c r="D2182" s="8"/>
      <c r="E2182" s="71"/>
      <c r="F2182" s="10"/>
      <c r="G2182" s="8"/>
      <c r="H2182" s="8"/>
      <c r="I2182" s="8"/>
      <c r="J2182" s="8"/>
      <c r="K2182" s="8"/>
      <c r="L2182" s="8"/>
    </row>
    <row r="2183">
      <c r="A2183" s="8"/>
      <c r="B2183" s="8"/>
      <c r="C2183" s="8"/>
      <c r="D2183" s="8"/>
      <c r="E2183" s="71"/>
      <c r="F2183" s="10"/>
      <c r="G2183" s="8"/>
      <c r="H2183" s="8"/>
      <c r="I2183" s="8"/>
      <c r="J2183" s="8"/>
      <c r="K2183" s="8"/>
      <c r="L2183" s="8"/>
    </row>
    <row r="2184">
      <c r="A2184" s="8"/>
      <c r="B2184" s="8"/>
      <c r="C2184" s="8"/>
      <c r="D2184" s="8"/>
      <c r="E2184" s="71"/>
      <c r="F2184" s="10"/>
      <c r="G2184" s="8"/>
      <c r="H2184" s="8"/>
      <c r="I2184" s="8"/>
      <c r="J2184" s="8"/>
      <c r="K2184" s="8"/>
      <c r="L2184" s="8"/>
    </row>
    <row r="2185">
      <c r="A2185" s="8"/>
      <c r="B2185" s="8"/>
      <c r="C2185" s="8"/>
      <c r="D2185" s="8"/>
      <c r="E2185" s="71"/>
      <c r="F2185" s="10"/>
      <c r="G2185" s="8"/>
      <c r="H2185" s="8"/>
      <c r="I2185" s="8"/>
      <c r="J2185" s="8"/>
      <c r="K2185" s="8"/>
      <c r="L2185" s="8"/>
    </row>
    <row r="2186">
      <c r="A2186" s="8"/>
      <c r="B2186" s="8"/>
      <c r="C2186" s="8"/>
      <c r="D2186" s="8"/>
      <c r="E2186" s="71"/>
      <c r="F2186" s="10"/>
      <c r="G2186" s="8"/>
      <c r="H2186" s="8"/>
      <c r="I2186" s="8"/>
      <c r="J2186" s="8"/>
      <c r="K2186" s="8"/>
      <c r="L2186" s="8"/>
    </row>
    <row r="2187">
      <c r="A2187" s="8"/>
      <c r="B2187" s="8"/>
      <c r="C2187" s="8"/>
      <c r="D2187" s="8"/>
      <c r="E2187" s="71"/>
      <c r="F2187" s="10"/>
      <c r="G2187" s="8"/>
      <c r="H2187" s="8"/>
      <c r="I2187" s="8"/>
      <c r="J2187" s="8"/>
      <c r="K2187" s="8"/>
      <c r="L2187" s="8"/>
    </row>
    <row r="2188">
      <c r="A2188" s="8"/>
      <c r="B2188" s="8"/>
      <c r="C2188" s="8"/>
      <c r="D2188" s="8"/>
      <c r="E2188" s="71"/>
      <c r="F2188" s="10"/>
      <c r="G2188" s="8"/>
      <c r="H2188" s="8"/>
      <c r="I2188" s="8"/>
      <c r="J2188" s="8"/>
      <c r="K2188" s="8"/>
      <c r="L2188" s="8"/>
    </row>
    <row r="2189">
      <c r="A2189" s="8"/>
      <c r="B2189" s="8"/>
      <c r="C2189" s="8"/>
      <c r="D2189" s="8"/>
      <c r="E2189" s="71"/>
      <c r="F2189" s="10"/>
      <c r="G2189" s="8"/>
      <c r="H2189" s="8"/>
      <c r="I2189" s="8"/>
      <c r="J2189" s="8"/>
      <c r="K2189" s="8"/>
      <c r="L2189" s="8"/>
    </row>
    <row r="2190">
      <c r="A2190" s="8"/>
      <c r="B2190" s="8"/>
      <c r="C2190" s="8"/>
      <c r="D2190" s="8"/>
      <c r="E2190" s="71"/>
      <c r="F2190" s="10"/>
      <c r="G2190" s="8"/>
      <c r="H2190" s="8"/>
      <c r="I2190" s="8"/>
      <c r="J2190" s="8"/>
      <c r="K2190" s="8"/>
      <c r="L2190" s="8"/>
    </row>
    <row r="2191">
      <c r="A2191" s="8"/>
      <c r="B2191" s="8"/>
      <c r="C2191" s="8"/>
      <c r="D2191" s="8"/>
      <c r="E2191" s="71"/>
      <c r="F2191" s="10"/>
      <c r="G2191" s="8"/>
      <c r="H2191" s="8"/>
      <c r="I2191" s="8"/>
      <c r="J2191" s="8"/>
      <c r="K2191" s="8"/>
      <c r="L2191" s="8"/>
    </row>
    <row r="2192">
      <c r="A2192" s="8"/>
      <c r="B2192" s="8"/>
      <c r="C2192" s="8"/>
      <c r="D2192" s="8"/>
      <c r="E2192" s="71"/>
      <c r="F2192" s="10"/>
      <c r="G2192" s="8"/>
      <c r="H2192" s="8"/>
      <c r="I2192" s="8"/>
      <c r="J2192" s="8"/>
      <c r="K2192" s="8"/>
      <c r="L2192" s="8"/>
    </row>
    <row r="2193">
      <c r="A2193" s="8"/>
      <c r="B2193" s="8"/>
      <c r="C2193" s="8"/>
      <c r="D2193" s="8"/>
      <c r="E2193" s="71"/>
      <c r="F2193" s="10"/>
      <c r="G2193" s="8"/>
      <c r="H2193" s="8"/>
      <c r="I2193" s="8"/>
      <c r="J2193" s="8"/>
      <c r="K2193" s="8"/>
      <c r="L2193" s="8"/>
    </row>
    <row r="2194">
      <c r="A2194" s="8"/>
      <c r="B2194" s="8"/>
      <c r="C2194" s="8"/>
      <c r="D2194" s="8"/>
      <c r="E2194" s="71"/>
      <c r="F2194" s="10"/>
      <c r="G2194" s="8"/>
      <c r="H2194" s="8"/>
      <c r="I2194" s="8"/>
      <c r="J2194" s="8"/>
      <c r="K2194" s="8"/>
      <c r="L2194" s="8"/>
    </row>
    <row r="2195">
      <c r="A2195" s="8"/>
      <c r="B2195" s="8"/>
      <c r="C2195" s="8"/>
      <c r="D2195" s="8"/>
      <c r="E2195" s="71"/>
      <c r="F2195" s="10"/>
      <c r="G2195" s="8"/>
      <c r="H2195" s="8"/>
      <c r="I2195" s="8"/>
      <c r="J2195" s="8"/>
      <c r="K2195" s="8"/>
      <c r="L2195" s="8"/>
    </row>
    <row r="2196">
      <c r="A2196" s="8"/>
      <c r="B2196" s="8"/>
      <c r="C2196" s="8"/>
      <c r="D2196" s="8"/>
      <c r="E2196" s="71"/>
      <c r="F2196" s="10"/>
      <c r="G2196" s="8"/>
      <c r="H2196" s="8"/>
      <c r="I2196" s="8"/>
      <c r="J2196" s="8"/>
      <c r="K2196" s="8"/>
      <c r="L2196" s="8"/>
    </row>
    <row r="2197">
      <c r="A2197" s="8"/>
      <c r="B2197" s="8"/>
      <c r="C2197" s="8"/>
      <c r="D2197" s="8"/>
      <c r="E2197" s="71"/>
      <c r="F2197" s="10"/>
      <c r="G2197" s="8"/>
      <c r="H2197" s="8"/>
      <c r="I2197" s="8"/>
      <c r="J2197" s="8"/>
      <c r="K2197" s="8"/>
      <c r="L2197" s="8"/>
    </row>
    <row r="2198">
      <c r="A2198" s="8"/>
      <c r="B2198" s="8"/>
      <c r="C2198" s="8"/>
      <c r="D2198" s="8"/>
      <c r="E2198" s="71"/>
      <c r="F2198" s="10"/>
      <c r="G2198" s="8"/>
      <c r="H2198" s="8"/>
      <c r="I2198" s="8"/>
      <c r="J2198" s="8"/>
      <c r="K2198" s="8"/>
      <c r="L2198" s="8"/>
    </row>
    <row r="2199">
      <c r="A2199" s="8"/>
      <c r="B2199" s="8"/>
      <c r="C2199" s="8"/>
      <c r="D2199" s="8"/>
      <c r="E2199" s="71"/>
      <c r="F2199" s="10"/>
      <c r="G2199" s="8"/>
      <c r="H2199" s="8"/>
      <c r="I2199" s="8"/>
      <c r="J2199" s="8"/>
      <c r="K2199" s="8"/>
      <c r="L2199" s="8"/>
    </row>
    <row r="2200">
      <c r="A2200" s="8"/>
      <c r="B2200" s="8"/>
      <c r="C2200" s="8"/>
      <c r="D2200" s="8"/>
      <c r="E2200" s="71"/>
      <c r="F2200" s="10"/>
      <c r="G2200" s="8"/>
      <c r="H2200" s="8"/>
      <c r="I2200" s="8"/>
      <c r="J2200" s="8"/>
      <c r="K2200" s="8"/>
      <c r="L2200" s="8"/>
    </row>
    <row r="2201">
      <c r="A2201" s="8"/>
      <c r="B2201" s="8"/>
      <c r="C2201" s="8"/>
      <c r="D2201" s="8"/>
      <c r="E2201" s="71"/>
      <c r="F2201" s="10"/>
      <c r="G2201" s="8"/>
      <c r="H2201" s="8"/>
      <c r="I2201" s="8"/>
      <c r="J2201" s="8"/>
      <c r="K2201" s="8"/>
      <c r="L2201" s="8"/>
    </row>
    <row r="2202">
      <c r="A2202" s="8"/>
      <c r="B2202" s="8"/>
      <c r="C2202" s="8"/>
      <c r="D2202" s="8"/>
      <c r="E2202" s="71"/>
      <c r="F2202" s="10"/>
      <c r="G2202" s="8"/>
      <c r="H2202" s="8"/>
      <c r="I2202" s="8"/>
      <c r="J2202" s="8"/>
      <c r="K2202" s="8"/>
      <c r="L2202" s="8"/>
    </row>
    <row r="2203">
      <c r="A2203" s="8"/>
      <c r="B2203" s="8"/>
      <c r="C2203" s="8"/>
      <c r="D2203" s="8"/>
      <c r="E2203" s="71"/>
      <c r="F2203" s="10"/>
      <c r="G2203" s="8"/>
      <c r="H2203" s="8"/>
      <c r="I2203" s="8"/>
      <c r="J2203" s="8"/>
      <c r="K2203" s="8"/>
      <c r="L2203" s="8"/>
    </row>
    <row r="2204">
      <c r="A2204" s="8"/>
      <c r="B2204" s="8"/>
      <c r="C2204" s="8"/>
      <c r="D2204" s="8"/>
      <c r="E2204" s="71"/>
      <c r="F2204" s="10"/>
      <c r="G2204" s="8"/>
      <c r="H2204" s="8"/>
      <c r="I2204" s="8"/>
      <c r="J2204" s="8"/>
      <c r="K2204" s="8"/>
      <c r="L2204" s="8"/>
    </row>
    <row r="2205">
      <c r="A2205" s="8"/>
      <c r="B2205" s="8"/>
      <c r="C2205" s="8"/>
      <c r="D2205" s="8"/>
      <c r="E2205" s="71"/>
      <c r="F2205" s="10"/>
      <c r="G2205" s="8"/>
      <c r="H2205" s="8"/>
      <c r="I2205" s="8"/>
      <c r="J2205" s="8"/>
      <c r="K2205" s="8"/>
      <c r="L2205" s="8"/>
    </row>
    <row r="2206">
      <c r="A2206" s="8"/>
      <c r="B2206" s="8"/>
      <c r="C2206" s="8"/>
      <c r="D2206" s="8"/>
      <c r="E2206" s="71"/>
      <c r="F2206" s="10"/>
      <c r="G2206" s="8"/>
      <c r="H2206" s="8"/>
      <c r="I2206" s="8"/>
      <c r="J2206" s="8"/>
      <c r="K2206" s="8"/>
      <c r="L2206" s="8"/>
    </row>
    <row r="2207">
      <c r="A2207" s="8"/>
      <c r="B2207" s="8"/>
      <c r="C2207" s="8"/>
      <c r="D2207" s="8"/>
      <c r="E2207" s="71"/>
      <c r="F2207" s="10"/>
      <c r="G2207" s="8"/>
      <c r="H2207" s="8"/>
      <c r="I2207" s="8"/>
      <c r="J2207" s="8"/>
      <c r="K2207" s="8"/>
      <c r="L2207" s="8"/>
    </row>
    <row r="2208">
      <c r="A2208" s="8"/>
      <c r="B2208" s="8"/>
      <c r="C2208" s="8"/>
      <c r="D2208" s="8"/>
      <c r="E2208" s="71"/>
      <c r="F2208" s="10"/>
      <c r="G2208" s="8"/>
      <c r="H2208" s="8"/>
      <c r="I2208" s="8"/>
      <c r="J2208" s="8"/>
      <c r="K2208" s="8"/>
      <c r="L2208" s="8"/>
    </row>
    <row r="2209">
      <c r="A2209" s="8"/>
      <c r="B2209" s="8"/>
      <c r="C2209" s="8"/>
      <c r="D2209" s="8"/>
      <c r="E2209" s="71"/>
      <c r="F2209" s="10"/>
      <c r="G2209" s="8"/>
      <c r="H2209" s="8"/>
      <c r="I2209" s="8"/>
      <c r="J2209" s="8"/>
      <c r="K2209" s="8"/>
      <c r="L2209" s="8"/>
    </row>
    <row r="2210">
      <c r="A2210" s="8"/>
      <c r="B2210" s="8"/>
      <c r="C2210" s="8"/>
      <c r="D2210" s="8"/>
      <c r="E2210" s="71"/>
      <c r="F2210" s="10"/>
      <c r="G2210" s="8"/>
      <c r="H2210" s="8"/>
      <c r="I2210" s="8"/>
      <c r="J2210" s="8"/>
      <c r="K2210" s="8"/>
      <c r="L2210" s="8"/>
    </row>
    <row r="2211">
      <c r="A2211" s="8"/>
      <c r="B2211" s="8"/>
      <c r="C2211" s="8"/>
      <c r="D2211" s="8"/>
      <c r="E2211" s="71"/>
      <c r="F2211" s="10"/>
      <c r="G2211" s="8"/>
      <c r="H2211" s="8"/>
      <c r="I2211" s="8"/>
      <c r="J2211" s="8"/>
      <c r="K2211" s="8"/>
      <c r="L2211" s="8"/>
    </row>
    <row r="2212">
      <c r="A2212" s="8"/>
      <c r="B2212" s="8"/>
      <c r="C2212" s="8"/>
      <c r="D2212" s="8"/>
      <c r="E2212" s="71"/>
      <c r="F2212" s="10"/>
      <c r="G2212" s="8"/>
      <c r="H2212" s="8"/>
      <c r="I2212" s="8"/>
      <c r="J2212" s="8"/>
      <c r="K2212" s="8"/>
      <c r="L2212" s="8"/>
    </row>
    <row r="2213">
      <c r="A2213" s="8"/>
      <c r="B2213" s="8"/>
      <c r="C2213" s="8"/>
      <c r="D2213" s="8"/>
      <c r="E2213" s="71"/>
      <c r="F2213" s="10"/>
      <c r="G2213" s="8"/>
      <c r="H2213" s="8"/>
      <c r="I2213" s="8"/>
      <c r="J2213" s="8"/>
      <c r="K2213" s="8"/>
      <c r="L2213" s="8"/>
    </row>
    <row r="2214">
      <c r="A2214" s="8"/>
      <c r="B2214" s="8"/>
      <c r="C2214" s="8"/>
      <c r="D2214" s="8"/>
      <c r="E2214" s="71"/>
      <c r="F2214" s="10"/>
      <c r="G2214" s="8"/>
      <c r="H2214" s="8"/>
      <c r="I2214" s="8"/>
      <c r="J2214" s="8"/>
      <c r="K2214" s="8"/>
      <c r="L2214" s="8"/>
    </row>
    <row r="2215">
      <c r="A2215" s="8"/>
      <c r="B2215" s="8"/>
      <c r="C2215" s="8"/>
      <c r="D2215" s="8"/>
      <c r="E2215" s="71"/>
      <c r="F2215" s="10"/>
      <c r="G2215" s="8"/>
      <c r="H2215" s="8"/>
      <c r="I2215" s="8"/>
      <c r="J2215" s="8"/>
      <c r="K2215" s="8"/>
      <c r="L2215" s="8"/>
    </row>
    <row r="2216">
      <c r="A2216" s="8"/>
      <c r="B2216" s="8"/>
      <c r="C2216" s="8"/>
      <c r="D2216" s="8"/>
      <c r="E2216" s="71"/>
      <c r="F2216" s="10"/>
      <c r="G2216" s="8"/>
      <c r="H2216" s="8"/>
      <c r="I2216" s="8"/>
      <c r="J2216" s="8"/>
      <c r="K2216" s="8"/>
      <c r="L2216" s="8"/>
    </row>
    <row r="2217">
      <c r="A2217" s="8"/>
      <c r="B2217" s="8"/>
      <c r="C2217" s="8"/>
      <c r="D2217" s="8"/>
      <c r="E2217" s="71"/>
      <c r="F2217" s="10"/>
      <c r="G2217" s="8"/>
      <c r="H2217" s="8"/>
      <c r="I2217" s="8"/>
      <c r="J2217" s="8"/>
      <c r="K2217" s="8"/>
      <c r="L2217" s="8"/>
    </row>
    <row r="2218">
      <c r="A2218" s="8"/>
      <c r="B2218" s="8"/>
      <c r="C2218" s="8"/>
      <c r="D2218" s="8"/>
      <c r="E2218" s="71"/>
      <c r="F2218" s="10"/>
      <c r="G2218" s="8"/>
      <c r="H2218" s="8"/>
      <c r="I2218" s="8"/>
      <c r="J2218" s="8"/>
      <c r="K2218" s="8"/>
      <c r="L2218" s="8"/>
    </row>
    <row r="2219">
      <c r="A2219" s="8"/>
      <c r="B2219" s="8"/>
      <c r="C2219" s="8"/>
      <c r="D2219" s="8"/>
      <c r="E2219" s="71"/>
      <c r="F2219" s="10"/>
      <c r="G2219" s="8"/>
      <c r="H2219" s="8"/>
      <c r="I2219" s="8"/>
      <c r="J2219" s="8"/>
      <c r="K2219" s="8"/>
      <c r="L2219" s="8"/>
    </row>
    <row r="2220">
      <c r="A2220" s="8"/>
      <c r="B2220" s="8"/>
      <c r="C2220" s="8"/>
      <c r="D2220" s="8"/>
      <c r="E2220" s="71"/>
      <c r="F2220" s="10"/>
      <c r="G2220" s="8"/>
      <c r="H2220" s="8"/>
      <c r="I2220" s="8"/>
      <c r="J2220" s="8"/>
      <c r="K2220" s="8"/>
      <c r="L2220" s="8"/>
    </row>
    <row r="2221">
      <c r="A2221" s="8"/>
      <c r="B2221" s="8"/>
      <c r="C2221" s="8"/>
      <c r="D2221" s="8"/>
      <c r="E2221" s="71"/>
      <c r="F2221" s="10"/>
      <c r="G2221" s="8"/>
      <c r="H2221" s="8"/>
      <c r="I2221" s="8"/>
      <c r="J2221" s="8"/>
      <c r="K2221" s="8"/>
      <c r="L2221" s="8"/>
    </row>
    <row r="2222">
      <c r="A2222" s="8"/>
      <c r="B2222" s="8"/>
      <c r="C2222" s="8"/>
      <c r="D2222" s="8"/>
      <c r="E2222" s="71"/>
      <c r="F2222" s="10"/>
      <c r="G2222" s="8"/>
      <c r="H2222" s="8"/>
      <c r="I2222" s="8"/>
      <c r="J2222" s="8"/>
      <c r="K2222" s="8"/>
      <c r="L2222" s="8"/>
    </row>
    <row r="2223">
      <c r="A2223" s="8"/>
      <c r="B2223" s="8"/>
      <c r="C2223" s="8"/>
      <c r="D2223" s="8"/>
      <c r="E2223" s="71"/>
      <c r="F2223" s="10"/>
      <c r="G2223" s="8"/>
      <c r="H2223" s="8"/>
      <c r="I2223" s="8"/>
      <c r="J2223" s="8"/>
      <c r="K2223" s="8"/>
      <c r="L2223" s="8"/>
    </row>
    <row r="2224">
      <c r="A2224" s="8"/>
      <c r="B2224" s="8"/>
      <c r="C2224" s="8"/>
      <c r="D2224" s="8"/>
      <c r="E2224" s="71"/>
      <c r="F2224" s="10"/>
      <c r="G2224" s="8"/>
      <c r="H2224" s="8"/>
      <c r="I2224" s="8"/>
      <c r="J2224" s="8"/>
      <c r="K2224" s="8"/>
      <c r="L2224" s="8"/>
    </row>
    <row r="2225">
      <c r="A2225" s="8"/>
      <c r="B2225" s="8"/>
      <c r="C2225" s="8"/>
      <c r="D2225" s="8"/>
      <c r="E2225" s="71"/>
      <c r="F2225" s="10"/>
      <c r="G2225" s="8"/>
      <c r="H2225" s="8"/>
      <c r="I2225" s="8"/>
      <c r="J2225" s="8"/>
      <c r="K2225" s="8"/>
      <c r="L2225" s="8"/>
    </row>
    <row r="2226">
      <c r="A2226" s="8"/>
      <c r="B2226" s="8"/>
      <c r="C2226" s="8"/>
      <c r="D2226" s="8"/>
      <c r="E2226" s="71"/>
      <c r="F2226" s="10"/>
      <c r="G2226" s="8"/>
      <c r="H2226" s="8"/>
      <c r="I2226" s="8"/>
      <c r="J2226" s="8"/>
      <c r="K2226" s="8"/>
      <c r="L2226" s="8"/>
    </row>
    <row r="2227">
      <c r="A2227" s="8"/>
      <c r="B2227" s="8"/>
      <c r="C2227" s="8"/>
      <c r="D2227" s="8"/>
      <c r="E2227" s="71"/>
      <c r="F2227" s="10"/>
      <c r="G2227" s="8"/>
      <c r="H2227" s="8"/>
      <c r="I2227" s="8"/>
      <c r="J2227" s="8"/>
      <c r="K2227" s="8"/>
      <c r="L2227" s="8"/>
    </row>
    <row r="2228">
      <c r="A2228" s="8"/>
      <c r="B2228" s="8"/>
      <c r="C2228" s="8"/>
      <c r="D2228" s="8"/>
      <c r="E2228" s="71"/>
      <c r="F2228" s="10"/>
      <c r="G2228" s="8"/>
      <c r="H2228" s="8"/>
      <c r="I2228" s="8"/>
      <c r="J2228" s="8"/>
      <c r="K2228" s="8"/>
      <c r="L2228" s="8"/>
    </row>
    <row r="2229">
      <c r="A2229" s="8"/>
      <c r="B2229" s="8"/>
      <c r="C2229" s="8"/>
      <c r="D2229" s="8"/>
      <c r="E2229" s="71"/>
      <c r="F2229" s="10"/>
      <c r="G2229" s="8"/>
      <c r="H2229" s="8"/>
      <c r="I2229" s="8"/>
      <c r="J2229" s="8"/>
      <c r="K2229" s="8"/>
      <c r="L2229" s="8"/>
    </row>
    <row r="2230">
      <c r="A2230" s="8"/>
      <c r="B2230" s="8"/>
      <c r="C2230" s="8"/>
      <c r="D2230" s="8"/>
      <c r="E2230" s="71"/>
      <c r="F2230" s="10"/>
      <c r="G2230" s="8"/>
      <c r="H2230" s="8"/>
      <c r="I2230" s="8"/>
      <c r="J2230" s="8"/>
      <c r="K2230" s="8"/>
      <c r="L2230" s="8"/>
    </row>
    <row r="2231">
      <c r="A2231" s="8"/>
      <c r="B2231" s="8"/>
      <c r="C2231" s="8"/>
      <c r="D2231" s="8"/>
      <c r="E2231" s="71"/>
      <c r="F2231" s="10"/>
      <c r="G2231" s="8"/>
      <c r="H2231" s="8"/>
      <c r="I2231" s="8"/>
      <c r="J2231" s="8"/>
      <c r="K2231" s="8"/>
      <c r="L2231" s="8"/>
    </row>
    <row r="2232">
      <c r="A2232" s="8"/>
      <c r="B2232" s="8"/>
      <c r="C2232" s="8"/>
      <c r="D2232" s="8"/>
      <c r="E2232" s="71"/>
      <c r="F2232" s="10"/>
      <c r="G2232" s="8"/>
      <c r="H2232" s="8"/>
      <c r="I2232" s="8"/>
      <c r="J2232" s="8"/>
      <c r="K2232" s="8"/>
      <c r="L2232" s="8"/>
    </row>
    <row r="2233">
      <c r="A2233" s="8"/>
      <c r="B2233" s="8"/>
      <c r="C2233" s="8"/>
      <c r="D2233" s="8"/>
      <c r="E2233" s="71"/>
      <c r="F2233" s="10"/>
      <c r="G2233" s="8"/>
      <c r="H2233" s="8"/>
      <c r="I2233" s="8"/>
      <c r="J2233" s="8"/>
      <c r="K2233" s="8"/>
      <c r="L2233" s="8"/>
    </row>
    <row r="2234">
      <c r="A2234" s="8"/>
      <c r="B2234" s="8"/>
      <c r="C2234" s="8"/>
      <c r="D2234" s="8"/>
      <c r="E2234" s="71"/>
      <c r="F2234" s="10"/>
      <c r="G2234" s="8"/>
      <c r="H2234" s="8"/>
      <c r="I2234" s="8"/>
      <c r="J2234" s="8"/>
      <c r="K2234" s="8"/>
      <c r="L2234" s="8"/>
    </row>
    <row r="2235">
      <c r="A2235" s="8"/>
      <c r="B2235" s="8"/>
      <c r="C2235" s="8"/>
      <c r="D2235" s="8"/>
      <c r="E2235" s="71"/>
      <c r="F2235" s="10"/>
      <c r="G2235" s="8"/>
      <c r="H2235" s="8"/>
      <c r="I2235" s="8"/>
      <c r="J2235" s="8"/>
      <c r="K2235" s="8"/>
      <c r="L2235" s="8"/>
    </row>
    <row r="2236">
      <c r="A2236" s="8"/>
      <c r="B2236" s="8"/>
      <c r="C2236" s="8"/>
      <c r="D2236" s="8"/>
      <c r="E2236" s="71"/>
      <c r="F2236" s="10"/>
      <c r="G2236" s="8"/>
      <c r="H2236" s="8"/>
      <c r="I2236" s="8"/>
      <c r="J2236" s="8"/>
      <c r="K2236" s="8"/>
      <c r="L2236" s="8"/>
    </row>
    <row r="2237">
      <c r="A2237" s="8"/>
      <c r="B2237" s="8"/>
      <c r="C2237" s="8"/>
      <c r="D2237" s="8"/>
      <c r="E2237" s="71"/>
      <c r="F2237" s="10"/>
      <c r="G2237" s="8"/>
      <c r="H2237" s="8"/>
      <c r="I2237" s="8"/>
      <c r="J2237" s="8"/>
      <c r="K2237" s="8"/>
      <c r="L2237" s="8"/>
    </row>
    <row r="2238">
      <c r="A2238" s="8"/>
      <c r="B2238" s="8"/>
      <c r="C2238" s="8"/>
      <c r="D2238" s="8"/>
      <c r="E2238" s="71"/>
      <c r="F2238" s="10"/>
      <c r="G2238" s="8"/>
      <c r="H2238" s="8"/>
      <c r="I2238" s="8"/>
      <c r="J2238" s="8"/>
      <c r="K2238" s="8"/>
      <c r="L2238" s="8"/>
    </row>
    <row r="2239">
      <c r="A2239" s="8"/>
      <c r="B2239" s="8"/>
      <c r="C2239" s="8"/>
      <c r="D2239" s="8"/>
      <c r="E2239" s="71"/>
      <c r="F2239" s="10"/>
      <c r="G2239" s="8"/>
      <c r="H2239" s="8"/>
      <c r="I2239" s="8"/>
      <c r="J2239" s="8"/>
      <c r="K2239" s="8"/>
      <c r="L2239" s="8"/>
    </row>
    <row r="2240">
      <c r="A2240" s="8"/>
      <c r="B2240" s="8"/>
      <c r="C2240" s="8"/>
      <c r="D2240" s="8"/>
      <c r="E2240" s="71"/>
      <c r="F2240" s="10"/>
      <c r="G2240" s="8"/>
      <c r="H2240" s="8"/>
      <c r="I2240" s="8"/>
      <c r="J2240" s="8"/>
      <c r="K2240" s="8"/>
      <c r="L2240" s="8"/>
    </row>
    <row r="2241">
      <c r="A2241" s="8"/>
      <c r="B2241" s="8"/>
      <c r="C2241" s="8"/>
      <c r="D2241" s="8"/>
      <c r="E2241" s="71"/>
      <c r="F2241" s="10"/>
      <c r="G2241" s="8"/>
      <c r="H2241" s="8"/>
      <c r="I2241" s="8"/>
      <c r="J2241" s="8"/>
      <c r="K2241" s="8"/>
      <c r="L2241" s="8"/>
    </row>
    <row r="2242">
      <c r="A2242" s="8"/>
      <c r="B2242" s="8"/>
      <c r="C2242" s="8"/>
      <c r="D2242" s="8"/>
      <c r="E2242" s="71"/>
      <c r="F2242" s="10"/>
      <c r="G2242" s="8"/>
      <c r="H2242" s="8"/>
      <c r="I2242" s="8"/>
      <c r="J2242" s="8"/>
      <c r="K2242" s="8"/>
      <c r="L2242" s="8"/>
    </row>
    <row r="2243">
      <c r="A2243" s="8"/>
      <c r="B2243" s="8"/>
      <c r="C2243" s="8"/>
      <c r="D2243" s="8"/>
      <c r="E2243" s="71"/>
      <c r="F2243" s="10"/>
      <c r="G2243" s="8"/>
      <c r="H2243" s="8"/>
      <c r="I2243" s="8"/>
      <c r="J2243" s="8"/>
      <c r="K2243" s="8"/>
      <c r="L2243" s="8"/>
    </row>
    <row r="2244">
      <c r="A2244" s="8"/>
      <c r="B2244" s="8"/>
      <c r="C2244" s="8"/>
      <c r="D2244" s="8"/>
      <c r="E2244" s="71"/>
      <c r="F2244" s="10"/>
      <c r="G2244" s="8"/>
      <c r="H2244" s="8"/>
      <c r="I2244" s="8"/>
      <c r="J2244" s="8"/>
      <c r="K2244" s="8"/>
      <c r="L2244" s="8"/>
    </row>
    <row r="2245">
      <c r="A2245" s="8"/>
      <c r="B2245" s="8"/>
      <c r="C2245" s="8"/>
      <c r="D2245" s="8"/>
      <c r="E2245" s="71"/>
      <c r="F2245" s="10"/>
      <c r="G2245" s="8"/>
      <c r="H2245" s="8"/>
      <c r="I2245" s="8"/>
      <c r="J2245" s="8"/>
      <c r="K2245" s="8"/>
      <c r="L2245" s="8"/>
    </row>
    <row r="2246">
      <c r="A2246" s="8"/>
      <c r="B2246" s="8"/>
      <c r="C2246" s="8"/>
      <c r="D2246" s="8"/>
      <c r="E2246" s="71"/>
      <c r="F2246" s="10"/>
      <c r="G2246" s="8"/>
      <c r="H2246" s="8"/>
      <c r="I2246" s="8"/>
      <c r="J2246" s="8"/>
      <c r="K2246" s="8"/>
      <c r="L2246" s="8"/>
    </row>
    <row r="2247">
      <c r="A2247" s="8"/>
      <c r="B2247" s="8"/>
      <c r="C2247" s="8"/>
      <c r="D2247" s="8"/>
      <c r="E2247" s="71"/>
      <c r="F2247" s="10"/>
      <c r="G2247" s="8"/>
      <c r="H2247" s="8"/>
      <c r="I2247" s="8"/>
      <c r="J2247" s="8"/>
      <c r="K2247" s="8"/>
      <c r="L2247" s="8"/>
    </row>
    <row r="2248">
      <c r="A2248" s="8"/>
      <c r="B2248" s="8"/>
      <c r="C2248" s="8"/>
      <c r="D2248" s="8"/>
      <c r="E2248" s="71"/>
      <c r="F2248" s="10"/>
      <c r="G2248" s="8"/>
      <c r="H2248" s="8"/>
      <c r="I2248" s="8"/>
      <c r="J2248" s="8"/>
      <c r="K2248" s="8"/>
      <c r="L2248" s="8"/>
    </row>
    <row r="2249">
      <c r="A2249" s="8"/>
      <c r="B2249" s="8"/>
      <c r="C2249" s="8"/>
      <c r="D2249" s="8"/>
      <c r="E2249" s="71"/>
      <c r="F2249" s="10"/>
      <c r="G2249" s="8"/>
      <c r="H2249" s="8"/>
      <c r="I2249" s="8"/>
      <c r="J2249" s="8"/>
      <c r="K2249" s="8"/>
      <c r="L2249" s="8"/>
    </row>
    <row r="2250">
      <c r="A2250" s="8"/>
      <c r="B2250" s="8"/>
      <c r="C2250" s="8"/>
      <c r="D2250" s="8"/>
      <c r="E2250" s="71"/>
      <c r="F2250" s="10"/>
      <c r="G2250" s="8"/>
      <c r="H2250" s="8"/>
      <c r="I2250" s="8"/>
      <c r="J2250" s="8"/>
      <c r="K2250" s="8"/>
      <c r="L2250" s="8"/>
    </row>
    <row r="2251">
      <c r="A2251" s="8"/>
      <c r="B2251" s="8"/>
      <c r="C2251" s="8"/>
      <c r="D2251" s="8"/>
      <c r="E2251" s="71"/>
      <c r="F2251" s="10"/>
      <c r="G2251" s="8"/>
      <c r="H2251" s="8"/>
      <c r="I2251" s="8"/>
      <c r="J2251" s="8"/>
      <c r="K2251" s="8"/>
      <c r="L2251" s="8"/>
    </row>
    <row r="2252">
      <c r="A2252" s="8"/>
      <c r="B2252" s="8"/>
      <c r="C2252" s="8"/>
      <c r="D2252" s="8"/>
      <c r="E2252" s="71"/>
      <c r="F2252" s="10"/>
      <c r="G2252" s="8"/>
      <c r="H2252" s="8"/>
      <c r="I2252" s="8"/>
      <c r="J2252" s="8"/>
      <c r="K2252" s="8"/>
      <c r="L2252" s="8"/>
    </row>
    <row r="2253">
      <c r="A2253" s="8"/>
      <c r="B2253" s="8"/>
      <c r="C2253" s="8"/>
      <c r="D2253" s="8"/>
      <c r="E2253" s="71"/>
      <c r="F2253" s="10"/>
      <c r="G2253" s="8"/>
      <c r="H2253" s="8"/>
      <c r="I2253" s="8"/>
      <c r="J2253" s="8"/>
      <c r="K2253" s="8"/>
      <c r="L2253" s="8"/>
    </row>
    <row r="2254">
      <c r="A2254" s="8"/>
      <c r="B2254" s="8"/>
      <c r="C2254" s="8"/>
      <c r="D2254" s="8"/>
      <c r="E2254" s="71"/>
      <c r="F2254" s="10"/>
      <c r="G2254" s="8"/>
      <c r="H2254" s="8"/>
      <c r="I2254" s="8"/>
      <c r="J2254" s="8"/>
      <c r="K2254" s="8"/>
      <c r="L2254" s="8"/>
    </row>
    <row r="2255">
      <c r="A2255" s="8"/>
      <c r="B2255" s="8"/>
      <c r="C2255" s="8"/>
      <c r="D2255" s="8"/>
      <c r="E2255" s="71"/>
      <c r="F2255" s="10"/>
      <c r="G2255" s="8"/>
      <c r="H2255" s="8"/>
      <c r="I2255" s="8"/>
      <c r="J2255" s="8"/>
      <c r="K2255" s="8"/>
      <c r="L2255" s="8"/>
    </row>
    <row r="2256">
      <c r="A2256" s="8"/>
      <c r="B2256" s="8"/>
      <c r="C2256" s="8"/>
      <c r="D2256" s="8"/>
      <c r="E2256" s="71"/>
      <c r="F2256" s="10"/>
      <c r="G2256" s="8"/>
      <c r="H2256" s="8"/>
      <c r="I2256" s="8"/>
      <c r="J2256" s="8"/>
      <c r="K2256" s="8"/>
      <c r="L2256" s="8"/>
    </row>
    <row r="2257">
      <c r="A2257" s="8"/>
      <c r="B2257" s="8"/>
      <c r="C2257" s="8"/>
      <c r="D2257" s="8"/>
      <c r="E2257" s="71"/>
      <c r="F2257" s="10"/>
      <c r="G2257" s="8"/>
      <c r="H2257" s="8"/>
      <c r="I2257" s="8"/>
      <c r="J2257" s="8"/>
      <c r="K2257" s="8"/>
      <c r="L2257" s="8"/>
    </row>
    <row r="2258">
      <c r="A2258" s="8"/>
      <c r="B2258" s="8"/>
      <c r="C2258" s="8"/>
      <c r="D2258" s="8"/>
      <c r="E2258" s="71"/>
      <c r="F2258" s="10"/>
      <c r="G2258" s="8"/>
      <c r="H2258" s="8"/>
      <c r="I2258" s="8"/>
      <c r="J2258" s="8"/>
      <c r="K2258" s="8"/>
      <c r="L2258" s="8"/>
    </row>
    <row r="2259">
      <c r="A2259" s="8"/>
      <c r="B2259" s="8"/>
      <c r="C2259" s="8"/>
      <c r="D2259" s="8"/>
      <c r="E2259" s="71"/>
      <c r="F2259" s="10"/>
      <c r="G2259" s="8"/>
      <c r="H2259" s="8"/>
      <c r="I2259" s="8"/>
      <c r="J2259" s="8"/>
      <c r="K2259" s="8"/>
      <c r="L2259" s="8"/>
    </row>
    <row r="2260">
      <c r="A2260" s="8"/>
      <c r="B2260" s="8"/>
      <c r="C2260" s="8"/>
      <c r="D2260" s="8"/>
      <c r="E2260" s="71"/>
      <c r="F2260" s="10"/>
      <c r="G2260" s="8"/>
      <c r="H2260" s="8"/>
      <c r="I2260" s="8"/>
      <c r="J2260" s="8"/>
      <c r="K2260" s="8"/>
      <c r="L2260" s="8"/>
    </row>
    <row r="2261">
      <c r="A2261" s="8"/>
      <c r="B2261" s="8"/>
      <c r="C2261" s="8"/>
      <c r="D2261" s="8"/>
      <c r="E2261" s="71"/>
      <c r="F2261" s="10"/>
      <c r="G2261" s="8"/>
      <c r="H2261" s="8"/>
      <c r="I2261" s="8"/>
      <c r="J2261" s="8"/>
      <c r="K2261" s="8"/>
      <c r="L2261" s="8"/>
    </row>
    <row r="2262">
      <c r="A2262" s="8"/>
      <c r="B2262" s="8"/>
      <c r="C2262" s="8"/>
      <c r="D2262" s="8"/>
      <c r="E2262" s="71"/>
      <c r="F2262" s="10"/>
      <c r="G2262" s="8"/>
      <c r="H2262" s="8"/>
      <c r="I2262" s="8"/>
      <c r="J2262" s="8"/>
      <c r="K2262" s="8"/>
      <c r="L2262" s="8"/>
    </row>
    <row r="2263">
      <c r="A2263" s="8"/>
      <c r="B2263" s="8"/>
      <c r="C2263" s="8"/>
      <c r="D2263" s="8"/>
      <c r="E2263" s="71"/>
      <c r="F2263" s="10"/>
      <c r="G2263" s="8"/>
      <c r="H2263" s="8"/>
      <c r="I2263" s="8"/>
      <c r="J2263" s="8"/>
      <c r="K2263" s="8"/>
      <c r="L2263" s="8"/>
    </row>
    <row r="2264">
      <c r="A2264" s="8"/>
      <c r="B2264" s="8"/>
      <c r="C2264" s="8"/>
      <c r="D2264" s="8"/>
      <c r="E2264" s="71"/>
      <c r="F2264" s="10"/>
      <c r="G2264" s="8"/>
      <c r="H2264" s="8"/>
      <c r="I2264" s="8"/>
      <c r="J2264" s="8"/>
      <c r="K2264" s="8"/>
      <c r="L2264" s="8"/>
    </row>
    <row r="2265">
      <c r="A2265" s="8"/>
      <c r="B2265" s="8"/>
      <c r="C2265" s="8"/>
      <c r="D2265" s="8"/>
      <c r="E2265" s="71"/>
      <c r="F2265" s="10"/>
      <c r="G2265" s="8"/>
      <c r="H2265" s="8"/>
      <c r="I2265" s="8"/>
      <c r="J2265" s="8"/>
      <c r="K2265" s="8"/>
      <c r="L2265" s="8"/>
    </row>
    <row r="2266">
      <c r="A2266" s="8"/>
      <c r="B2266" s="8"/>
      <c r="C2266" s="8"/>
      <c r="D2266" s="8"/>
      <c r="E2266" s="71"/>
      <c r="F2266" s="10"/>
      <c r="G2266" s="8"/>
      <c r="H2266" s="8"/>
      <c r="I2266" s="8"/>
      <c r="J2266" s="8"/>
      <c r="K2266" s="8"/>
      <c r="L2266" s="8"/>
    </row>
    <row r="2267">
      <c r="A2267" s="8"/>
      <c r="B2267" s="8"/>
      <c r="C2267" s="8"/>
      <c r="D2267" s="8"/>
      <c r="E2267" s="71"/>
      <c r="F2267" s="10"/>
      <c r="G2267" s="8"/>
      <c r="H2267" s="8"/>
      <c r="I2267" s="8"/>
      <c r="J2267" s="8"/>
      <c r="K2267" s="8"/>
      <c r="L2267" s="8"/>
    </row>
    <row r="2268">
      <c r="A2268" s="8"/>
      <c r="B2268" s="8"/>
      <c r="C2268" s="8"/>
      <c r="D2268" s="8"/>
      <c r="E2268" s="71"/>
      <c r="F2268" s="10"/>
      <c r="G2268" s="8"/>
      <c r="H2268" s="8"/>
      <c r="I2268" s="8"/>
      <c r="J2268" s="8"/>
      <c r="K2268" s="8"/>
      <c r="L2268" s="8"/>
    </row>
    <row r="2269">
      <c r="A2269" s="8"/>
      <c r="B2269" s="8"/>
      <c r="C2269" s="8"/>
      <c r="D2269" s="8"/>
      <c r="E2269" s="71"/>
      <c r="F2269" s="10"/>
      <c r="G2269" s="8"/>
      <c r="H2269" s="8"/>
      <c r="I2269" s="8"/>
      <c r="J2269" s="8"/>
      <c r="K2269" s="8"/>
      <c r="L2269" s="8"/>
    </row>
    <row r="2270">
      <c r="A2270" s="8"/>
      <c r="B2270" s="8"/>
      <c r="C2270" s="8"/>
      <c r="D2270" s="8"/>
      <c r="E2270" s="71"/>
      <c r="F2270" s="10"/>
      <c r="G2270" s="8"/>
      <c r="H2270" s="8"/>
      <c r="I2270" s="8"/>
      <c r="J2270" s="8"/>
      <c r="K2270" s="8"/>
      <c r="L2270" s="8"/>
    </row>
    <row r="2271">
      <c r="A2271" s="8"/>
      <c r="B2271" s="8"/>
      <c r="C2271" s="8"/>
      <c r="D2271" s="8"/>
      <c r="E2271" s="71"/>
      <c r="F2271" s="10"/>
      <c r="G2271" s="8"/>
      <c r="H2271" s="8"/>
      <c r="I2271" s="8"/>
      <c r="J2271" s="8"/>
      <c r="K2271" s="8"/>
      <c r="L2271" s="8"/>
    </row>
    <row r="2272">
      <c r="A2272" s="8"/>
      <c r="B2272" s="8"/>
      <c r="C2272" s="8"/>
      <c r="D2272" s="8"/>
      <c r="E2272" s="71"/>
      <c r="F2272" s="10"/>
      <c r="G2272" s="8"/>
      <c r="H2272" s="8"/>
      <c r="I2272" s="8"/>
      <c r="J2272" s="8"/>
      <c r="K2272" s="8"/>
      <c r="L2272" s="8"/>
    </row>
    <row r="2273">
      <c r="A2273" s="8"/>
      <c r="B2273" s="8"/>
      <c r="C2273" s="8"/>
      <c r="D2273" s="8"/>
      <c r="E2273" s="71"/>
      <c r="F2273" s="10"/>
      <c r="G2273" s="8"/>
      <c r="H2273" s="8"/>
      <c r="I2273" s="8"/>
      <c r="J2273" s="8"/>
      <c r="K2273" s="8"/>
      <c r="L2273" s="8"/>
    </row>
    <row r="2274">
      <c r="A2274" s="8"/>
      <c r="B2274" s="8"/>
      <c r="C2274" s="8"/>
      <c r="D2274" s="8"/>
      <c r="E2274" s="71"/>
      <c r="F2274" s="10"/>
      <c r="G2274" s="8"/>
      <c r="H2274" s="8"/>
      <c r="I2274" s="8"/>
      <c r="J2274" s="8"/>
      <c r="K2274" s="8"/>
      <c r="L2274" s="8"/>
    </row>
    <row r="2275">
      <c r="A2275" s="8"/>
      <c r="B2275" s="8"/>
      <c r="C2275" s="8"/>
      <c r="D2275" s="8"/>
      <c r="E2275" s="71"/>
      <c r="F2275" s="10"/>
      <c r="G2275" s="8"/>
      <c r="H2275" s="8"/>
      <c r="I2275" s="8"/>
      <c r="J2275" s="8"/>
      <c r="K2275" s="8"/>
      <c r="L2275" s="8"/>
    </row>
    <row r="2276">
      <c r="A2276" s="8"/>
      <c r="B2276" s="8"/>
      <c r="C2276" s="8"/>
      <c r="D2276" s="8"/>
      <c r="E2276" s="71"/>
      <c r="F2276" s="10"/>
      <c r="G2276" s="8"/>
      <c r="H2276" s="8"/>
      <c r="I2276" s="8"/>
      <c r="J2276" s="8"/>
      <c r="K2276" s="8"/>
      <c r="L2276" s="8"/>
    </row>
    <row r="2277">
      <c r="A2277" s="8"/>
      <c r="B2277" s="8"/>
      <c r="C2277" s="8"/>
      <c r="D2277" s="8"/>
      <c r="E2277" s="71"/>
      <c r="F2277" s="10"/>
      <c r="G2277" s="8"/>
      <c r="H2277" s="8"/>
      <c r="I2277" s="8"/>
      <c r="J2277" s="8"/>
      <c r="K2277" s="8"/>
      <c r="L2277" s="8"/>
    </row>
    <row r="2278">
      <c r="A2278" s="8"/>
      <c r="B2278" s="8"/>
      <c r="C2278" s="8"/>
      <c r="D2278" s="8"/>
      <c r="E2278" s="71"/>
      <c r="F2278" s="10"/>
      <c r="G2278" s="8"/>
      <c r="H2278" s="8"/>
      <c r="I2278" s="8"/>
      <c r="J2278" s="8"/>
      <c r="K2278" s="8"/>
      <c r="L2278" s="8"/>
    </row>
    <row r="2279">
      <c r="A2279" s="8"/>
      <c r="B2279" s="8"/>
      <c r="C2279" s="8"/>
      <c r="D2279" s="8"/>
      <c r="E2279" s="71"/>
      <c r="F2279" s="10"/>
      <c r="G2279" s="8"/>
      <c r="H2279" s="8"/>
      <c r="I2279" s="8"/>
      <c r="J2279" s="8"/>
      <c r="K2279" s="8"/>
      <c r="L2279" s="8"/>
    </row>
    <row r="2280">
      <c r="A2280" s="8"/>
      <c r="B2280" s="8"/>
      <c r="C2280" s="8"/>
      <c r="D2280" s="8"/>
      <c r="E2280" s="71"/>
      <c r="F2280" s="10"/>
      <c r="G2280" s="8"/>
      <c r="H2280" s="8"/>
      <c r="I2280" s="8"/>
      <c r="J2280" s="8"/>
      <c r="K2280" s="8"/>
      <c r="L2280" s="8"/>
    </row>
    <row r="2281">
      <c r="A2281" s="8"/>
      <c r="B2281" s="8"/>
      <c r="C2281" s="8"/>
      <c r="D2281" s="8"/>
      <c r="E2281" s="71"/>
      <c r="F2281" s="10"/>
      <c r="G2281" s="8"/>
      <c r="H2281" s="8"/>
      <c r="I2281" s="8"/>
      <c r="J2281" s="8"/>
      <c r="K2281" s="8"/>
      <c r="L2281" s="8"/>
    </row>
    <row r="2282">
      <c r="A2282" s="8"/>
      <c r="B2282" s="8"/>
      <c r="C2282" s="8"/>
      <c r="D2282" s="8"/>
      <c r="E2282" s="71"/>
      <c r="F2282" s="10"/>
      <c r="G2282" s="8"/>
      <c r="H2282" s="8"/>
      <c r="I2282" s="8"/>
      <c r="J2282" s="8"/>
      <c r="K2282" s="8"/>
      <c r="L2282" s="8"/>
    </row>
    <row r="2283">
      <c r="A2283" s="8"/>
      <c r="B2283" s="8"/>
      <c r="C2283" s="8"/>
      <c r="D2283" s="8"/>
      <c r="E2283" s="71"/>
      <c r="F2283" s="10"/>
      <c r="G2283" s="8"/>
      <c r="H2283" s="8"/>
      <c r="I2283" s="8"/>
      <c r="J2283" s="8"/>
      <c r="K2283" s="8"/>
      <c r="L2283" s="8"/>
    </row>
    <row r="2284">
      <c r="A2284" s="8"/>
      <c r="B2284" s="8"/>
      <c r="C2284" s="8"/>
      <c r="D2284" s="8"/>
      <c r="E2284" s="71"/>
      <c r="F2284" s="10"/>
      <c r="G2284" s="8"/>
      <c r="H2284" s="8"/>
      <c r="I2284" s="8"/>
      <c r="J2284" s="8"/>
      <c r="K2284" s="8"/>
      <c r="L2284" s="8"/>
    </row>
    <row r="2285">
      <c r="A2285" s="8"/>
      <c r="B2285" s="8"/>
      <c r="C2285" s="8"/>
      <c r="D2285" s="8"/>
      <c r="E2285" s="71"/>
      <c r="F2285" s="10"/>
      <c r="G2285" s="8"/>
      <c r="H2285" s="8"/>
      <c r="I2285" s="8"/>
      <c r="J2285" s="8"/>
      <c r="K2285" s="8"/>
      <c r="L2285" s="8"/>
    </row>
    <row r="2286">
      <c r="A2286" s="8"/>
      <c r="B2286" s="8"/>
      <c r="C2286" s="8"/>
      <c r="D2286" s="8"/>
      <c r="E2286" s="71"/>
      <c r="F2286" s="10"/>
      <c r="G2286" s="8"/>
      <c r="H2286" s="8"/>
      <c r="I2286" s="8"/>
      <c r="J2286" s="8"/>
      <c r="K2286" s="8"/>
      <c r="L2286" s="8"/>
    </row>
    <row r="2287">
      <c r="A2287" s="8"/>
      <c r="B2287" s="8"/>
      <c r="C2287" s="8"/>
      <c r="D2287" s="8"/>
      <c r="E2287" s="71"/>
      <c r="F2287" s="10"/>
      <c r="G2287" s="8"/>
      <c r="H2287" s="8"/>
      <c r="I2287" s="8"/>
      <c r="J2287" s="8"/>
      <c r="K2287" s="8"/>
      <c r="L2287" s="8"/>
    </row>
    <row r="2288">
      <c r="A2288" s="8"/>
      <c r="B2288" s="8"/>
      <c r="C2288" s="8"/>
      <c r="D2288" s="8"/>
      <c r="E2288" s="71"/>
      <c r="F2288" s="10"/>
      <c r="G2288" s="8"/>
      <c r="H2288" s="8"/>
      <c r="I2288" s="8"/>
      <c r="J2288" s="8"/>
      <c r="K2288" s="8"/>
      <c r="L2288" s="8"/>
    </row>
    <row r="2289">
      <c r="A2289" s="8"/>
      <c r="B2289" s="8"/>
      <c r="C2289" s="8"/>
      <c r="D2289" s="8"/>
      <c r="E2289" s="71"/>
      <c r="F2289" s="10"/>
      <c r="G2289" s="8"/>
      <c r="H2289" s="8"/>
      <c r="I2289" s="8"/>
      <c r="J2289" s="8"/>
      <c r="K2289" s="8"/>
      <c r="L2289" s="8"/>
    </row>
    <row r="2290">
      <c r="A2290" s="8"/>
      <c r="B2290" s="8"/>
      <c r="C2290" s="8"/>
      <c r="D2290" s="8"/>
      <c r="E2290" s="71"/>
      <c r="F2290" s="10"/>
      <c r="G2290" s="8"/>
      <c r="H2290" s="8"/>
      <c r="I2290" s="8"/>
      <c r="J2290" s="8"/>
      <c r="K2290" s="8"/>
      <c r="L2290" s="8"/>
    </row>
    <row r="2291">
      <c r="A2291" s="8"/>
      <c r="B2291" s="8"/>
      <c r="C2291" s="8"/>
      <c r="D2291" s="8"/>
      <c r="E2291" s="71"/>
      <c r="F2291" s="10"/>
      <c r="G2291" s="8"/>
      <c r="H2291" s="8"/>
      <c r="I2291" s="8"/>
      <c r="J2291" s="8"/>
      <c r="K2291" s="8"/>
      <c r="L2291" s="8"/>
    </row>
    <row r="2292">
      <c r="A2292" s="8"/>
      <c r="B2292" s="8"/>
      <c r="C2292" s="8"/>
      <c r="D2292" s="8"/>
      <c r="E2292" s="71"/>
      <c r="F2292" s="10"/>
      <c r="G2292" s="8"/>
      <c r="H2292" s="8"/>
      <c r="I2292" s="8"/>
      <c r="J2292" s="8"/>
      <c r="K2292" s="8"/>
      <c r="L2292" s="8"/>
    </row>
    <row r="2293">
      <c r="A2293" s="8"/>
      <c r="B2293" s="8"/>
      <c r="C2293" s="8"/>
      <c r="D2293" s="8"/>
      <c r="E2293" s="71"/>
      <c r="F2293" s="10"/>
      <c r="G2293" s="8"/>
      <c r="H2293" s="8"/>
      <c r="I2293" s="8"/>
      <c r="J2293" s="8"/>
      <c r="K2293" s="8"/>
      <c r="L2293" s="8"/>
    </row>
    <row r="2294">
      <c r="A2294" s="8"/>
      <c r="B2294" s="8"/>
      <c r="C2294" s="8"/>
      <c r="D2294" s="8"/>
      <c r="E2294" s="71"/>
      <c r="F2294" s="10"/>
      <c r="G2294" s="8"/>
      <c r="H2294" s="8"/>
      <c r="I2294" s="8"/>
      <c r="J2294" s="8"/>
      <c r="K2294" s="8"/>
      <c r="L2294" s="8"/>
    </row>
    <row r="2295">
      <c r="A2295" s="8"/>
      <c r="B2295" s="8"/>
      <c r="C2295" s="8"/>
      <c r="D2295" s="8"/>
      <c r="E2295" s="71"/>
      <c r="F2295" s="10"/>
      <c r="G2295" s="8"/>
      <c r="H2295" s="8"/>
      <c r="I2295" s="8"/>
      <c r="J2295" s="8"/>
      <c r="K2295" s="8"/>
      <c r="L2295" s="8"/>
    </row>
    <row r="2296">
      <c r="A2296" s="8"/>
      <c r="B2296" s="8"/>
      <c r="C2296" s="8"/>
      <c r="D2296" s="8"/>
      <c r="E2296" s="71"/>
      <c r="F2296" s="10"/>
      <c r="G2296" s="8"/>
      <c r="H2296" s="8"/>
      <c r="I2296" s="8"/>
      <c r="J2296" s="8"/>
      <c r="K2296" s="8"/>
      <c r="L2296" s="8"/>
    </row>
    <row r="2297">
      <c r="A2297" s="8"/>
      <c r="B2297" s="8"/>
      <c r="C2297" s="8"/>
      <c r="D2297" s="8"/>
      <c r="E2297" s="71"/>
      <c r="F2297" s="10"/>
      <c r="G2297" s="8"/>
      <c r="H2297" s="8"/>
      <c r="I2297" s="8"/>
      <c r="J2297" s="8"/>
      <c r="K2297" s="8"/>
      <c r="L2297" s="8"/>
    </row>
    <row r="2298">
      <c r="A2298" s="8"/>
      <c r="B2298" s="8"/>
      <c r="C2298" s="8"/>
      <c r="D2298" s="8"/>
      <c r="E2298" s="71"/>
      <c r="F2298" s="10"/>
      <c r="G2298" s="8"/>
      <c r="H2298" s="8"/>
      <c r="I2298" s="8"/>
      <c r="J2298" s="8"/>
      <c r="K2298" s="8"/>
      <c r="L2298" s="8"/>
    </row>
    <row r="2299">
      <c r="A2299" s="8"/>
      <c r="B2299" s="8"/>
      <c r="C2299" s="8"/>
      <c r="D2299" s="8"/>
      <c r="E2299" s="71"/>
      <c r="F2299" s="10"/>
      <c r="G2299" s="8"/>
      <c r="H2299" s="8"/>
      <c r="I2299" s="8"/>
      <c r="J2299" s="8"/>
      <c r="K2299" s="8"/>
      <c r="L2299" s="8"/>
    </row>
    <row r="2300">
      <c r="A2300" s="8"/>
      <c r="B2300" s="8"/>
      <c r="C2300" s="8"/>
      <c r="D2300" s="8"/>
      <c r="E2300" s="71"/>
      <c r="F2300" s="10"/>
      <c r="G2300" s="8"/>
      <c r="H2300" s="8"/>
      <c r="I2300" s="8"/>
      <c r="J2300" s="8"/>
      <c r="K2300" s="8"/>
      <c r="L2300" s="8"/>
    </row>
    <row r="2301">
      <c r="A2301" s="8"/>
      <c r="B2301" s="8"/>
      <c r="C2301" s="8"/>
      <c r="D2301" s="8"/>
      <c r="E2301" s="71"/>
      <c r="F2301" s="10"/>
      <c r="G2301" s="8"/>
      <c r="H2301" s="8"/>
      <c r="I2301" s="8"/>
      <c r="J2301" s="8"/>
      <c r="K2301" s="8"/>
      <c r="L2301" s="8"/>
    </row>
    <row r="2302">
      <c r="A2302" s="8"/>
      <c r="B2302" s="8"/>
      <c r="C2302" s="8"/>
      <c r="D2302" s="8"/>
      <c r="E2302" s="71"/>
      <c r="F2302" s="10"/>
      <c r="G2302" s="8"/>
      <c r="H2302" s="8"/>
      <c r="I2302" s="8"/>
      <c r="J2302" s="8"/>
      <c r="K2302" s="8"/>
      <c r="L2302" s="8"/>
    </row>
    <row r="2303">
      <c r="A2303" s="8"/>
      <c r="B2303" s="8"/>
      <c r="C2303" s="8"/>
      <c r="D2303" s="8"/>
      <c r="E2303" s="71"/>
      <c r="F2303" s="10"/>
      <c r="G2303" s="8"/>
      <c r="H2303" s="8"/>
      <c r="I2303" s="8"/>
      <c r="J2303" s="8"/>
      <c r="K2303" s="8"/>
      <c r="L2303" s="8"/>
    </row>
    <row r="2304">
      <c r="A2304" s="8"/>
      <c r="B2304" s="8"/>
      <c r="C2304" s="8"/>
      <c r="D2304" s="8"/>
      <c r="E2304" s="71"/>
      <c r="F2304" s="10"/>
      <c r="G2304" s="8"/>
      <c r="H2304" s="8"/>
      <c r="I2304" s="8"/>
      <c r="J2304" s="8"/>
      <c r="K2304" s="8"/>
      <c r="L2304" s="8"/>
    </row>
    <row r="2305">
      <c r="A2305" s="8"/>
      <c r="B2305" s="8"/>
      <c r="C2305" s="8"/>
      <c r="D2305" s="8"/>
      <c r="E2305" s="71"/>
      <c r="F2305" s="10"/>
      <c r="G2305" s="8"/>
      <c r="H2305" s="8"/>
      <c r="I2305" s="8"/>
      <c r="J2305" s="8"/>
      <c r="K2305" s="8"/>
      <c r="L2305" s="8"/>
    </row>
    <row r="2306">
      <c r="A2306" s="8"/>
      <c r="B2306" s="8"/>
      <c r="C2306" s="8"/>
      <c r="D2306" s="8"/>
      <c r="E2306" s="71"/>
      <c r="F2306" s="10"/>
      <c r="G2306" s="8"/>
      <c r="H2306" s="8"/>
      <c r="I2306" s="8"/>
      <c r="J2306" s="8"/>
      <c r="K2306" s="8"/>
      <c r="L2306" s="8"/>
    </row>
    <row r="2307">
      <c r="A2307" s="8"/>
      <c r="B2307" s="8"/>
      <c r="C2307" s="8"/>
      <c r="D2307" s="8"/>
      <c r="E2307" s="71"/>
      <c r="F2307" s="10"/>
      <c r="G2307" s="8"/>
      <c r="H2307" s="8"/>
      <c r="I2307" s="8"/>
      <c r="J2307" s="8"/>
      <c r="K2307" s="8"/>
      <c r="L2307" s="8"/>
    </row>
    <row r="2308">
      <c r="A2308" s="8"/>
      <c r="B2308" s="8"/>
      <c r="C2308" s="8"/>
      <c r="D2308" s="8"/>
      <c r="E2308" s="71"/>
      <c r="F2308" s="10"/>
      <c r="G2308" s="8"/>
      <c r="H2308" s="8"/>
      <c r="I2308" s="8"/>
      <c r="J2308" s="8"/>
      <c r="K2308" s="8"/>
      <c r="L2308" s="8"/>
    </row>
    <row r="2309">
      <c r="A2309" s="8"/>
      <c r="B2309" s="8"/>
      <c r="C2309" s="8"/>
      <c r="D2309" s="8"/>
      <c r="E2309" s="71"/>
      <c r="F2309" s="10"/>
      <c r="G2309" s="8"/>
      <c r="H2309" s="8"/>
      <c r="I2309" s="8"/>
      <c r="J2309" s="8"/>
      <c r="K2309" s="8"/>
      <c r="L2309" s="8"/>
    </row>
    <row r="2310">
      <c r="A2310" s="8"/>
      <c r="B2310" s="8"/>
      <c r="C2310" s="8"/>
      <c r="D2310" s="8"/>
      <c r="E2310" s="71"/>
      <c r="F2310" s="10"/>
      <c r="G2310" s="8"/>
      <c r="H2310" s="8"/>
      <c r="I2310" s="8"/>
      <c r="J2310" s="8"/>
      <c r="K2310" s="8"/>
      <c r="L2310" s="8"/>
    </row>
    <row r="2311">
      <c r="A2311" s="8"/>
      <c r="B2311" s="8"/>
      <c r="C2311" s="8"/>
      <c r="D2311" s="8"/>
      <c r="E2311" s="71"/>
      <c r="F2311" s="10"/>
      <c r="G2311" s="8"/>
      <c r="H2311" s="8"/>
      <c r="I2311" s="8"/>
      <c r="J2311" s="8"/>
      <c r="K2311" s="8"/>
      <c r="L2311" s="8"/>
    </row>
    <row r="2312">
      <c r="A2312" s="8"/>
      <c r="B2312" s="8"/>
      <c r="C2312" s="8"/>
      <c r="D2312" s="8"/>
      <c r="E2312" s="71"/>
      <c r="F2312" s="10"/>
      <c r="G2312" s="8"/>
      <c r="H2312" s="8"/>
      <c r="I2312" s="8"/>
      <c r="J2312" s="8"/>
      <c r="K2312" s="8"/>
      <c r="L2312" s="8"/>
    </row>
    <row r="2313">
      <c r="A2313" s="8"/>
      <c r="B2313" s="8"/>
      <c r="C2313" s="8"/>
      <c r="D2313" s="8"/>
      <c r="E2313" s="71"/>
      <c r="F2313" s="10"/>
      <c r="G2313" s="8"/>
      <c r="H2313" s="8"/>
      <c r="I2313" s="8"/>
      <c r="J2313" s="8"/>
      <c r="K2313" s="8"/>
      <c r="L2313" s="8"/>
    </row>
    <row r="2314">
      <c r="A2314" s="8"/>
      <c r="B2314" s="8"/>
      <c r="C2314" s="8"/>
      <c r="D2314" s="8"/>
      <c r="E2314" s="71"/>
      <c r="F2314" s="10"/>
      <c r="G2314" s="8"/>
      <c r="H2314" s="8"/>
      <c r="I2314" s="8"/>
      <c r="J2314" s="8"/>
      <c r="K2314" s="8"/>
      <c r="L2314" s="8"/>
    </row>
    <row r="2315">
      <c r="A2315" s="8"/>
      <c r="B2315" s="8"/>
      <c r="C2315" s="8"/>
      <c r="D2315" s="8"/>
      <c r="E2315" s="71"/>
      <c r="F2315" s="10"/>
      <c r="G2315" s="8"/>
      <c r="H2315" s="8"/>
      <c r="I2315" s="8"/>
      <c r="J2315" s="8"/>
      <c r="K2315" s="8"/>
      <c r="L2315" s="8"/>
    </row>
    <row r="2316">
      <c r="A2316" s="8"/>
      <c r="B2316" s="8"/>
      <c r="C2316" s="8"/>
      <c r="D2316" s="8"/>
      <c r="E2316" s="71"/>
      <c r="F2316" s="10"/>
      <c r="G2316" s="8"/>
      <c r="H2316" s="8"/>
      <c r="I2316" s="8"/>
      <c r="J2316" s="8"/>
      <c r="K2316" s="8"/>
      <c r="L2316" s="8"/>
    </row>
    <row r="2317">
      <c r="A2317" s="8"/>
      <c r="B2317" s="8"/>
      <c r="C2317" s="8"/>
      <c r="D2317" s="8"/>
      <c r="E2317" s="71"/>
      <c r="F2317" s="10"/>
      <c r="G2317" s="8"/>
      <c r="H2317" s="8"/>
      <c r="I2317" s="8"/>
      <c r="J2317" s="8"/>
      <c r="K2317" s="8"/>
      <c r="L2317" s="8"/>
    </row>
    <row r="2318">
      <c r="A2318" s="8"/>
      <c r="B2318" s="8"/>
      <c r="C2318" s="8"/>
      <c r="D2318" s="8"/>
      <c r="E2318" s="71"/>
      <c r="F2318" s="10"/>
      <c r="G2318" s="8"/>
      <c r="H2318" s="8"/>
      <c r="I2318" s="8"/>
      <c r="J2318" s="8"/>
      <c r="K2318" s="8"/>
      <c r="L2318" s="8"/>
    </row>
    <row r="2319">
      <c r="A2319" s="8"/>
      <c r="B2319" s="8"/>
      <c r="C2319" s="8"/>
      <c r="D2319" s="8"/>
      <c r="E2319" s="71"/>
      <c r="F2319" s="10"/>
      <c r="G2319" s="8"/>
      <c r="H2319" s="8"/>
      <c r="I2319" s="8"/>
      <c r="J2319" s="8"/>
      <c r="K2319" s="8"/>
      <c r="L2319" s="8"/>
    </row>
    <row r="2320">
      <c r="A2320" s="8"/>
      <c r="B2320" s="8"/>
      <c r="C2320" s="8"/>
      <c r="D2320" s="8"/>
      <c r="E2320" s="71"/>
      <c r="F2320" s="10"/>
      <c r="G2320" s="8"/>
      <c r="H2320" s="8"/>
      <c r="I2320" s="8"/>
      <c r="J2320" s="8"/>
      <c r="K2320" s="8"/>
      <c r="L2320" s="8"/>
    </row>
    <row r="2321">
      <c r="A2321" s="8"/>
      <c r="B2321" s="8"/>
      <c r="C2321" s="8"/>
      <c r="D2321" s="8"/>
      <c r="E2321" s="71"/>
      <c r="F2321" s="10"/>
      <c r="G2321" s="8"/>
      <c r="H2321" s="8"/>
      <c r="I2321" s="8"/>
      <c r="J2321" s="8"/>
      <c r="K2321" s="8"/>
      <c r="L2321" s="8"/>
    </row>
    <row r="2322">
      <c r="A2322" s="8"/>
      <c r="B2322" s="8"/>
      <c r="C2322" s="8"/>
      <c r="D2322" s="8"/>
      <c r="E2322" s="71"/>
      <c r="F2322" s="10"/>
      <c r="G2322" s="8"/>
      <c r="H2322" s="8"/>
      <c r="I2322" s="8"/>
      <c r="J2322" s="8"/>
      <c r="K2322" s="8"/>
      <c r="L2322" s="8"/>
    </row>
    <row r="2323">
      <c r="A2323" s="8"/>
      <c r="B2323" s="8"/>
      <c r="C2323" s="8"/>
      <c r="D2323" s="8"/>
      <c r="E2323" s="71"/>
      <c r="F2323" s="10"/>
      <c r="G2323" s="8"/>
      <c r="H2323" s="8"/>
      <c r="I2323" s="8"/>
      <c r="J2323" s="8"/>
      <c r="K2323" s="8"/>
      <c r="L2323" s="8"/>
    </row>
    <row r="2324">
      <c r="A2324" s="8"/>
      <c r="B2324" s="8"/>
      <c r="C2324" s="8"/>
      <c r="D2324" s="8"/>
      <c r="E2324" s="71"/>
      <c r="F2324" s="10"/>
      <c r="G2324" s="8"/>
      <c r="H2324" s="8"/>
      <c r="I2324" s="8"/>
      <c r="J2324" s="8"/>
      <c r="K2324" s="8"/>
      <c r="L2324" s="8"/>
    </row>
    <row r="2325">
      <c r="A2325" s="8"/>
      <c r="B2325" s="8"/>
      <c r="C2325" s="8"/>
      <c r="D2325" s="8"/>
      <c r="E2325" s="71"/>
      <c r="F2325" s="10"/>
      <c r="G2325" s="8"/>
      <c r="H2325" s="8"/>
      <c r="I2325" s="8"/>
      <c r="J2325" s="8"/>
      <c r="K2325" s="8"/>
      <c r="L2325" s="8"/>
    </row>
    <row r="2326">
      <c r="A2326" s="8"/>
      <c r="B2326" s="8"/>
      <c r="C2326" s="8"/>
      <c r="D2326" s="8"/>
      <c r="E2326" s="71"/>
      <c r="F2326" s="10"/>
      <c r="G2326" s="8"/>
      <c r="H2326" s="8"/>
      <c r="I2326" s="8"/>
      <c r="J2326" s="8"/>
      <c r="K2326" s="8"/>
      <c r="L2326" s="8"/>
    </row>
    <row r="2327">
      <c r="A2327" s="8"/>
      <c r="B2327" s="8"/>
      <c r="C2327" s="8"/>
      <c r="D2327" s="8"/>
      <c r="E2327" s="71"/>
      <c r="F2327" s="10"/>
      <c r="G2327" s="8"/>
      <c r="H2327" s="8"/>
      <c r="I2327" s="8"/>
      <c r="J2327" s="8"/>
      <c r="K2327" s="8"/>
      <c r="L2327" s="8"/>
    </row>
    <row r="2328">
      <c r="A2328" s="8"/>
      <c r="B2328" s="8"/>
      <c r="C2328" s="8"/>
      <c r="D2328" s="8"/>
      <c r="E2328" s="71"/>
      <c r="F2328" s="10"/>
      <c r="G2328" s="8"/>
      <c r="H2328" s="8"/>
      <c r="I2328" s="8"/>
      <c r="J2328" s="8"/>
      <c r="K2328" s="8"/>
      <c r="L2328" s="8"/>
    </row>
    <row r="2329">
      <c r="A2329" s="8"/>
      <c r="B2329" s="8"/>
      <c r="C2329" s="8"/>
      <c r="D2329" s="8"/>
      <c r="E2329" s="71"/>
      <c r="F2329" s="10"/>
      <c r="G2329" s="8"/>
      <c r="H2329" s="8"/>
      <c r="I2329" s="8"/>
      <c r="J2329" s="8"/>
      <c r="K2329" s="8"/>
      <c r="L2329" s="8"/>
    </row>
    <row r="2330">
      <c r="A2330" s="8"/>
      <c r="B2330" s="8"/>
      <c r="C2330" s="8"/>
      <c r="D2330" s="8"/>
      <c r="E2330" s="71"/>
      <c r="F2330" s="10"/>
      <c r="G2330" s="8"/>
      <c r="H2330" s="8"/>
      <c r="I2330" s="8"/>
      <c r="J2330" s="8"/>
      <c r="K2330" s="8"/>
      <c r="L2330" s="8"/>
    </row>
    <row r="2331">
      <c r="A2331" s="8"/>
      <c r="B2331" s="8"/>
      <c r="C2331" s="8"/>
      <c r="D2331" s="8"/>
      <c r="E2331" s="71"/>
      <c r="F2331" s="10"/>
      <c r="G2331" s="8"/>
      <c r="H2331" s="8"/>
      <c r="I2331" s="8"/>
      <c r="J2331" s="8"/>
      <c r="K2331" s="8"/>
      <c r="L2331" s="8"/>
    </row>
    <row r="2332">
      <c r="A2332" s="8"/>
      <c r="B2332" s="8"/>
      <c r="C2332" s="8"/>
      <c r="D2332" s="8"/>
      <c r="E2332" s="71"/>
      <c r="F2332" s="10"/>
      <c r="G2332" s="8"/>
      <c r="H2332" s="8"/>
      <c r="I2332" s="8"/>
      <c r="J2332" s="8"/>
      <c r="K2332" s="8"/>
      <c r="L2332" s="8"/>
    </row>
    <row r="2333">
      <c r="A2333" s="8"/>
      <c r="B2333" s="8"/>
      <c r="C2333" s="8"/>
      <c r="D2333" s="8"/>
      <c r="E2333" s="71"/>
      <c r="F2333" s="10"/>
      <c r="G2333" s="8"/>
      <c r="H2333" s="8"/>
      <c r="I2333" s="8"/>
      <c r="J2333" s="8"/>
      <c r="K2333" s="8"/>
      <c r="L2333" s="8"/>
    </row>
    <row r="2334">
      <c r="A2334" s="8"/>
      <c r="B2334" s="8"/>
      <c r="C2334" s="8"/>
      <c r="D2334" s="8"/>
      <c r="E2334" s="71"/>
      <c r="F2334" s="10"/>
      <c r="G2334" s="8"/>
      <c r="H2334" s="8"/>
      <c r="I2334" s="8"/>
      <c r="J2334" s="8"/>
      <c r="K2334" s="8"/>
      <c r="L2334" s="8"/>
    </row>
    <row r="2335">
      <c r="A2335" s="8"/>
      <c r="B2335" s="8"/>
      <c r="C2335" s="8"/>
      <c r="D2335" s="8"/>
      <c r="E2335" s="71"/>
      <c r="F2335" s="10"/>
      <c r="G2335" s="8"/>
      <c r="H2335" s="8"/>
      <c r="I2335" s="8"/>
      <c r="J2335" s="8"/>
      <c r="K2335" s="8"/>
      <c r="L2335" s="8"/>
    </row>
    <row r="2336">
      <c r="A2336" s="8"/>
      <c r="B2336" s="8"/>
      <c r="C2336" s="8"/>
      <c r="D2336" s="8"/>
      <c r="E2336" s="71"/>
      <c r="F2336" s="10"/>
      <c r="G2336" s="8"/>
      <c r="H2336" s="8"/>
      <c r="I2336" s="8"/>
      <c r="J2336" s="8"/>
      <c r="K2336" s="8"/>
      <c r="L2336" s="8"/>
    </row>
    <row r="2337">
      <c r="A2337" s="8"/>
      <c r="B2337" s="8"/>
      <c r="C2337" s="8"/>
      <c r="D2337" s="8"/>
      <c r="E2337" s="71"/>
      <c r="F2337" s="10"/>
      <c r="G2337" s="8"/>
      <c r="H2337" s="8"/>
      <c r="I2337" s="8"/>
      <c r="J2337" s="8"/>
      <c r="K2337" s="8"/>
      <c r="L2337" s="8"/>
    </row>
    <row r="2338">
      <c r="A2338" s="8"/>
      <c r="B2338" s="8"/>
      <c r="C2338" s="8"/>
      <c r="D2338" s="8"/>
      <c r="E2338" s="71"/>
      <c r="F2338" s="10"/>
      <c r="G2338" s="8"/>
      <c r="H2338" s="8"/>
      <c r="I2338" s="8"/>
      <c r="J2338" s="8"/>
      <c r="K2338" s="8"/>
      <c r="L2338" s="8"/>
    </row>
    <row r="2339">
      <c r="A2339" s="8"/>
      <c r="B2339" s="8"/>
      <c r="C2339" s="8"/>
      <c r="D2339" s="8"/>
      <c r="E2339" s="71"/>
      <c r="F2339" s="10"/>
      <c r="G2339" s="8"/>
      <c r="H2339" s="8"/>
      <c r="I2339" s="8"/>
      <c r="J2339" s="8"/>
      <c r="K2339" s="8"/>
      <c r="L2339" s="8"/>
    </row>
    <row r="2340">
      <c r="A2340" s="8"/>
      <c r="B2340" s="8"/>
      <c r="C2340" s="8"/>
      <c r="D2340" s="8"/>
      <c r="E2340" s="71"/>
      <c r="F2340" s="10"/>
      <c r="G2340" s="8"/>
      <c r="H2340" s="8"/>
      <c r="I2340" s="8"/>
      <c r="J2340" s="8"/>
      <c r="K2340" s="8"/>
      <c r="L2340" s="8"/>
    </row>
    <row r="2341">
      <c r="A2341" s="8"/>
      <c r="B2341" s="8"/>
      <c r="C2341" s="8"/>
      <c r="D2341" s="8"/>
      <c r="E2341" s="71"/>
      <c r="F2341" s="10"/>
      <c r="G2341" s="8"/>
      <c r="H2341" s="8"/>
      <c r="I2341" s="8"/>
      <c r="J2341" s="8"/>
      <c r="K2341" s="8"/>
      <c r="L2341" s="8"/>
    </row>
    <row r="2342">
      <c r="A2342" s="8"/>
      <c r="B2342" s="8"/>
      <c r="C2342" s="8"/>
      <c r="D2342" s="8"/>
      <c r="E2342" s="71"/>
      <c r="F2342" s="10"/>
      <c r="G2342" s="8"/>
      <c r="H2342" s="8"/>
      <c r="I2342" s="8"/>
      <c r="J2342" s="8"/>
      <c r="K2342" s="8"/>
      <c r="L2342" s="8"/>
    </row>
    <row r="2343">
      <c r="A2343" s="8"/>
      <c r="B2343" s="8"/>
      <c r="C2343" s="8"/>
      <c r="D2343" s="8"/>
      <c r="E2343" s="71"/>
      <c r="F2343" s="10"/>
      <c r="G2343" s="8"/>
      <c r="H2343" s="8"/>
      <c r="I2343" s="8"/>
      <c r="J2343" s="8"/>
      <c r="K2343" s="8"/>
      <c r="L2343" s="8"/>
    </row>
    <row r="2344">
      <c r="A2344" s="8"/>
      <c r="B2344" s="8"/>
      <c r="C2344" s="8"/>
      <c r="D2344" s="8"/>
      <c r="E2344" s="71"/>
      <c r="F2344" s="10"/>
      <c r="G2344" s="8"/>
      <c r="H2344" s="8"/>
      <c r="I2344" s="8"/>
      <c r="J2344" s="8"/>
      <c r="K2344" s="8"/>
      <c r="L2344" s="8"/>
    </row>
    <row r="2345">
      <c r="A2345" s="8"/>
      <c r="B2345" s="8"/>
      <c r="C2345" s="8"/>
      <c r="D2345" s="8"/>
      <c r="E2345" s="71"/>
      <c r="F2345" s="10"/>
      <c r="G2345" s="8"/>
      <c r="H2345" s="8"/>
      <c r="I2345" s="8"/>
      <c r="J2345" s="8"/>
      <c r="K2345" s="8"/>
      <c r="L2345" s="8"/>
    </row>
    <row r="2346">
      <c r="A2346" s="8"/>
      <c r="B2346" s="8"/>
      <c r="C2346" s="8"/>
      <c r="D2346" s="8"/>
      <c r="E2346" s="71"/>
      <c r="F2346" s="10"/>
      <c r="G2346" s="8"/>
      <c r="H2346" s="8"/>
      <c r="I2346" s="8"/>
      <c r="J2346" s="8"/>
      <c r="K2346" s="8"/>
      <c r="L2346" s="8"/>
    </row>
    <row r="2347">
      <c r="A2347" s="8"/>
      <c r="B2347" s="8"/>
      <c r="C2347" s="8"/>
      <c r="D2347" s="8"/>
      <c r="E2347" s="71"/>
      <c r="F2347" s="10"/>
      <c r="G2347" s="8"/>
      <c r="H2347" s="8"/>
      <c r="I2347" s="8"/>
      <c r="J2347" s="8"/>
      <c r="K2347" s="8"/>
      <c r="L2347" s="8"/>
    </row>
    <row r="2348">
      <c r="A2348" s="8"/>
      <c r="B2348" s="8"/>
      <c r="C2348" s="8"/>
      <c r="D2348" s="8"/>
      <c r="E2348" s="71"/>
      <c r="F2348" s="10"/>
      <c r="G2348" s="8"/>
      <c r="H2348" s="8"/>
      <c r="I2348" s="8"/>
      <c r="J2348" s="8"/>
      <c r="K2348" s="8"/>
      <c r="L2348" s="8"/>
    </row>
    <row r="2349">
      <c r="A2349" s="8"/>
      <c r="B2349" s="8"/>
      <c r="C2349" s="8"/>
      <c r="D2349" s="8"/>
      <c r="E2349" s="71"/>
      <c r="F2349" s="10"/>
      <c r="G2349" s="8"/>
      <c r="H2349" s="8"/>
      <c r="I2349" s="8"/>
      <c r="J2349" s="8"/>
      <c r="K2349" s="8"/>
      <c r="L2349" s="8"/>
    </row>
    <row r="2350">
      <c r="A2350" s="8"/>
      <c r="B2350" s="8"/>
      <c r="C2350" s="8"/>
      <c r="D2350" s="8"/>
      <c r="E2350" s="71"/>
      <c r="F2350" s="10"/>
      <c r="G2350" s="8"/>
      <c r="H2350" s="8"/>
      <c r="I2350" s="8"/>
      <c r="J2350" s="8"/>
      <c r="K2350" s="8"/>
      <c r="L2350" s="8"/>
    </row>
    <row r="2351">
      <c r="A2351" s="8"/>
      <c r="B2351" s="8"/>
      <c r="C2351" s="8"/>
      <c r="D2351" s="8"/>
      <c r="E2351" s="71"/>
      <c r="F2351" s="10"/>
      <c r="G2351" s="8"/>
      <c r="H2351" s="8"/>
      <c r="I2351" s="8"/>
      <c r="J2351" s="8"/>
      <c r="K2351" s="8"/>
      <c r="L2351" s="8"/>
    </row>
    <row r="2352">
      <c r="A2352" s="8"/>
      <c r="B2352" s="8"/>
      <c r="C2352" s="8"/>
      <c r="D2352" s="8"/>
      <c r="E2352" s="71"/>
      <c r="F2352" s="10"/>
      <c r="G2352" s="8"/>
      <c r="H2352" s="8"/>
      <c r="I2352" s="8"/>
      <c r="J2352" s="8"/>
      <c r="K2352" s="8"/>
      <c r="L2352" s="8"/>
    </row>
    <row r="2353">
      <c r="A2353" s="8"/>
      <c r="B2353" s="8"/>
      <c r="C2353" s="8"/>
      <c r="D2353" s="8"/>
      <c r="E2353" s="71"/>
      <c r="F2353" s="10"/>
      <c r="G2353" s="8"/>
      <c r="H2353" s="8"/>
      <c r="I2353" s="8"/>
      <c r="J2353" s="8"/>
      <c r="K2353" s="8"/>
      <c r="L2353" s="8"/>
    </row>
    <row r="2354">
      <c r="A2354" s="8"/>
      <c r="B2354" s="8"/>
      <c r="C2354" s="8"/>
      <c r="D2354" s="8"/>
      <c r="E2354" s="71"/>
      <c r="F2354" s="10"/>
      <c r="G2354" s="8"/>
      <c r="H2354" s="8"/>
      <c r="I2354" s="8"/>
      <c r="J2354" s="8"/>
      <c r="K2354" s="8"/>
      <c r="L2354" s="8"/>
    </row>
    <row r="2355">
      <c r="A2355" s="8"/>
      <c r="B2355" s="8"/>
      <c r="C2355" s="8"/>
      <c r="D2355" s="8"/>
      <c r="E2355" s="71"/>
      <c r="F2355" s="10"/>
      <c r="G2355" s="8"/>
      <c r="H2355" s="8"/>
      <c r="I2355" s="8"/>
      <c r="J2355" s="8"/>
      <c r="K2355" s="8"/>
      <c r="L2355" s="8"/>
    </row>
    <row r="2356">
      <c r="A2356" s="8"/>
      <c r="B2356" s="8"/>
      <c r="C2356" s="8"/>
      <c r="D2356" s="8"/>
      <c r="E2356" s="71"/>
      <c r="F2356" s="10"/>
      <c r="G2356" s="8"/>
      <c r="H2356" s="8"/>
      <c r="I2356" s="8"/>
      <c r="J2356" s="8"/>
      <c r="K2356" s="8"/>
      <c r="L2356" s="8"/>
    </row>
    <row r="2357">
      <c r="A2357" s="8"/>
      <c r="B2357" s="8"/>
      <c r="C2357" s="8"/>
      <c r="D2357" s="8"/>
      <c r="E2357" s="71"/>
      <c r="F2357" s="10"/>
      <c r="G2357" s="8"/>
      <c r="H2357" s="8"/>
      <c r="I2357" s="8"/>
      <c r="J2357" s="8"/>
      <c r="K2357" s="8"/>
      <c r="L2357" s="8"/>
    </row>
    <row r="2358">
      <c r="A2358" s="8"/>
      <c r="B2358" s="8"/>
      <c r="C2358" s="8"/>
      <c r="D2358" s="8"/>
      <c r="E2358" s="71"/>
      <c r="F2358" s="10"/>
      <c r="G2358" s="8"/>
      <c r="H2358" s="8"/>
      <c r="I2358" s="8"/>
      <c r="J2358" s="8"/>
      <c r="K2358" s="8"/>
      <c r="L2358" s="8"/>
    </row>
    <row r="2359">
      <c r="A2359" s="8"/>
      <c r="B2359" s="8"/>
      <c r="C2359" s="8"/>
      <c r="D2359" s="8"/>
      <c r="E2359" s="71"/>
      <c r="F2359" s="10"/>
      <c r="G2359" s="8"/>
      <c r="H2359" s="8"/>
      <c r="I2359" s="8"/>
      <c r="J2359" s="8"/>
      <c r="K2359" s="8"/>
      <c r="L2359" s="8"/>
    </row>
    <row r="2360">
      <c r="A2360" s="8"/>
      <c r="B2360" s="8"/>
      <c r="C2360" s="8"/>
      <c r="D2360" s="8"/>
      <c r="E2360" s="71"/>
      <c r="F2360" s="10"/>
      <c r="G2360" s="8"/>
      <c r="H2360" s="8"/>
      <c r="I2360" s="8"/>
      <c r="J2360" s="8"/>
      <c r="K2360" s="8"/>
      <c r="L2360" s="8"/>
    </row>
    <row r="2361">
      <c r="A2361" s="8"/>
      <c r="B2361" s="8"/>
      <c r="C2361" s="8"/>
      <c r="D2361" s="8"/>
      <c r="E2361" s="71"/>
      <c r="F2361" s="10"/>
      <c r="G2361" s="8"/>
      <c r="H2361" s="8"/>
      <c r="I2361" s="8"/>
      <c r="J2361" s="8"/>
      <c r="K2361" s="8"/>
      <c r="L2361" s="8"/>
    </row>
    <row r="2362">
      <c r="A2362" s="8"/>
      <c r="B2362" s="8"/>
      <c r="C2362" s="8"/>
      <c r="D2362" s="8"/>
      <c r="E2362" s="71"/>
      <c r="F2362" s="10"/>
      <c r="G2362" s="8"/>
      <c r="H2362" s="8"/>
      <c r="I2362" s="8"/>
      <c r="J2362" s="8"/>
      <c r="K2362" s="8"/>
      <c r="L2362" s="8"/>
    </row>
    <row r="2363">
      <c r="A2363" s="8"/>
      <c r="B2363" s="8"/>
      <c r="C2363" s="8"/>
      <c r="D2363" s="8"/>
      <c r="E2363" s="71"/>
      <c r="F2363" s="10"/>
      <c r="G2363" s="8"/>
      <c r="H2363" s="8"/>
      <c r="I2363" s="8"/>
      <c r="J2363" s="8"/>
      <c r="K2363" s="8"/>
      <c r="L2363" s="8"/>
    </row>
    <row r="2364">
      <c r="A2364" s="8"/>
      <c r="B2364" s="8"/>
      <c r="C2364" s="8"/>
      <c r="D2364" s="8"/>
      <c r="E2364" s="71"/>
      <c r="F2364" s="10"/>
      <c r="G2364" s="8"/>
      <c r="H2364" s="8"/>
      <c r="I2364" s="8"/>
      <c r="J2364" s="8"/>
      <c r="K2364" s="8"/>
      <c r="L2364" s="8"/>
    </row>
    <row r="2365">
      <c r="A2365" s="8"/>
      <c r="B2365" s="8"/>
      <c r="C2365" s="8"/>
      <c r="D2365" s="8"/>
      <c r="E2365" s="71"/>
      <c r="F2365" s="10"/>
      <c r="G2365" s="8"/>
      <c r="H2365" s="8"/>
      <c r="I2365" s="8"/>
      <c r="J2365" s="8"/>
      <c r="K2365" s="8"/>
      <c r="L2365" s="8"/>
    </row>
    <row r="2366">
      <c r="A2366" s="8"/>
      <c r="B2366" s="8"/>
      <c r="C2366" s="8"/>
      <c r="D2366" s="8"/>
      <c r="E2366" s="71"/>
      <c r="F2366" s="10"/>
      <c r="G2366" s="8"/>
      <c r="H2366" s="8"/>
      <c r="I2366" s="8"/>
      <c r="J2366" s="8"/>
      <c r="K2366" s="8"/>
      <c r="L2366" s="8"/>
    </row>
    <row r="2367">
      <c r="A2367" s="8"/>
      <c r="B2367" s="8"/>
      <c r="C2367" s="8"/>
      <c r="D2367" s="8"/>
      <c r="E2367" s="71"/>
      <c r="F2367" s="10"/>
      <c r="G2367" s="8"/>
      <c r="H2367" s="8"/>
      <c r="I2367" s="8"/>
      <c r="J2367" s="8"/>
      <c r="K2367" s="8"/>
      <c r="L2367" s="8"/>
    </row>
    <row r="2368">
      <c r="A2368" s="8"/>
      <c r="B2368" s="8"/>
      <c r="C2368" s="8"/>
      <c r="D2368" s="8"/>
      <c r="E2368" s="71"/>
      <c r="F2368" s="10"/>
      <c r="G2368" s="8"/>
      <c r="H2368" s="8"/>
      <c r="I2368" s="8"/>
      <c r="J2368" s="8"/>
      <c r="K2368" s="8"/>
      <c r="L2368" s="8"/>
    </row>
    <row r="2369">
      <c r="A2369" s="8"/>
      <c r="B2369" s="8"/>
      <c r="C2369" s="8"/>
      <c r="D2369" s="8"/>
      <c r="E2369" s="71"/>
      <c r="F2369" s="10"/>
      <c r="G2369" s="8"/>
      <c r="H2369" s="8"/>
      <c r="I2369" s="8"/>
      <c r="J2369" s="8"/>
      <c r="K2369" s="8"/>
      <c r="L2369" s="8"/>
    </row>
    <row r="2370">
      <c r="A2370" s="8"/>
      <c r="B2370" s="8"/>
      <c r="C2370" s="8"/>
      <c r="D2370" s="8"/>
      <c r="E2370" s="71"/>
      <c r="F2370" s="10"/>
      <c r="G2370" s="8"/>
      <c r="H2370" s="8"/>
      <c r="I2370" s="8"/>
      <c r="J2370" s="8"/>
      <c r="K2370" s="8"/>
      <c r="L2370" s="8"/>
    </row>
    <row r="2371">
      <c r="A2371" s="8"/>
      <c r="B2371" s="8"/>
      <c r="C2371" s="8"/>
      <c r="D2371" s="8"/>
      <c r="E2371" s="71"/>
      <c r="F2371" s="10"/>
      <c r="G2371" s="8"/>
      <c r="H2371" s="8"/>
      <c r="I2371" s="8"/>
      <c r="J2371" s="8"/>
      <c r="K2371" s="8"/>
      <c r="L2371" s="8"/>
    </row>
    <row r="2372">
      <c r="A2372" s="8"/>
      <c r="B2372" s="8"/>
      <c r="C2372" s="8"/>
      <c r="D2372" s="8"/>
      <c r="E2372" s="71"/>
      <c r="F2372" s="10"/>
      <c r="G2372" s="8"/>
      <c r="H2372" s="8"/>
      <c r="I2372" s="8"/>
      <c r="J2372" s="8"/>
      <c r="K2372" s="8"/>
      <c r="L2372" s="8"/>
    </row>
    <row r="2373">
      <c r="A2373" s="8"/>
      <c r="B2373" s="8"/>
      <c r="C2373" s="8"/>
      <c r="D2373" s="8"/>
      <c r="E2373" s="71"/>
      <c r="F2373" s="10"/>
      <c r="G2373" s="8"/>
      <c r="H2373" s="8"/>
      <c r="I2373" s="8"/>
      <c r="J2373" s="8"/>
      <c r="K2373" s="8"/>
      <c r="L2373" s="8"/>
    </row>
    <row r="2374">
      <c r="A2374" s="8"/>
      <c r="B2374" s="8"/>
      <c r="C2374" s="8"/>
      <c r="D2374" s="8"/>
      <c r="E2374" s="71"/>
      <c r="F2374" s="10"/>
      <c r="G2374" s="8"/>
      <c r="H2374" s="8"/>
      <c r="I2374" s="8"/>
      <c r="J2374" s="8"/>
      <c r="K2374" s="8"/>
      <c r="L2374" s="8"/>
    </row>
    <row r="2375">
      <c r="A2375" s="8"/>
      <c r="B2375" s="8"/>
      <c r="C2375" s="8"/>
      <c r="D2375" s="8"/>
      <c r="E2375" s="71"/>
      <c r="F2375" s="10"/>
      <c r="G2375" s="8"/>
      <c r="H2375" s="8"/>
      <c r="I2375" s="8"/>
      <c r="J2375" s="8"/>
      <c r="K2375" s="8"/>
      <c r="L2375" s="8"/>
    </row>
    <row r="2376">
      <c r="A2376" s="8"/>
      <c r="B2376" s="8"/>
      <c r="C2376" s="8"/>
      <c r="D2376" s="8"/>
      <c r="E2376" s="71"/>
      <c r="F2376" s="10"/>
      <c r="G2376" s="8"/>
      <c r="H2376" s="8"/>
      <c r="I2376" s="8"/>
      <c r="J2376" s="8"/>
      <c r="K2376" s="8"/>
      <c r="L2376" s="8"/>
    </row>
    <row r="2377">
      <c r="A2377" s="8"/>
      <c r="B2377" s="8"/>
      <c r="C2377" s="8"/>
      <c r="D2377" s="8"/>
      <c r="E2377" s="71"/>
      <c r="F2377" s="10"/>
      <c r="G2377" s="8"/>
      <c r="H2377" s="8"/>
      <c r="I2377" s="8"/>
      <c r="J2377" s="8"/>
      <c r="K2377" s="8"/>
      <c r="L2377" s="8"/>
    </row>
    <row r="2378">
      <c r="A2378" s="8"/>
      <c r="B2378" s="8"/>
      <c r="C2378" s="8"/>
      <c r="D2378" s="8"/>
      <c r="E2378" s="71"/>
      <c r="F2378" s="10"/>
      <c r="G2378" s="8"/>
      <c r="H2378" s="8"/>
      <c r="I2378" s="8"/>
      <c r="J2378" s="8"/>
      <c r="K2378" s="8"/>
      <c r="L2378" s="8"/>
    </row>
    <row r="2379">
      <c r="A2379" s="8"/>
      <c r="B2379" s="8"/>
      <c r="C2379" s="8"/>
      <c r="D2379" s="8"/>
      <c r="E2379" s="71"/>
      <c r="F2379" s="10"/>
      <c r="G2379" s="8"/>
      <c r="H2379" s="8"/>
      <c r="I2379" s="8"/>
      <c r="J2379" s="8"/>
      <c r="K2379" s="8"/>
      <c r="L2379" s="8"/>
    </row>
    <row r="2380">
      <c r="A2380" s="8"/>
      <c r="B2380" s="8"/>
      <c r="C2380" s="8"/>
      <c r="D2380" s="8"/>
      <c r="E2380" s="71"/>
      <c r="F2380" s="10"/>
      <c r="G2380" s="8"/>
      <c r="H2380" s="8"/>
      <c r="I2380" s="8"/>
      <c r="J2380" s="8"/>
      <c r="K2380" s="8"/>
      <c r="L2380" s="8"/>
    </row>
    <row r="2381">
      <c r="A2381" s="8"/>
      <c r="B2381" s="8"/>
      <c r="C2381" s="8"/>
      <c r="D2381" s="8"/>
      <c r="E2381" s="71"/>
      <c r="F2381" s="10"/>
      <c r="G2381" s="8"/>
      <c r="H2381" s="8"/>
      <c r="I2381" s="8"/>
      <c r="J2381" s="8"/>
      <c r="K2381" s="8"/>
      <c r="L2381" s="8"/>
    </row>
    <row r="2382">
      <c r="A2382" s="8"/>
      <c r="B2382" s="8"/>
      <c r="C2382" s="8"/>
      <c r="D2382" s="8"/>
      <c r="E2382" s="71"/>
      <c r="F2382" s="10"/>
      <c r="G2382" s="8"/>
      <c r="H2382" s="8"/>
      <c r="I2382" s="8"/>
      <c r="J2382" s="8"/>
      <c r="K2382" s="8"/>
      <c r="L2382" s="8"/>
    </row>
    <row r="2383">
      <c r="A2383" s="8"/>
      <c r="B2383" s="8"/>
      <c r="C2383" s="8"/>
      <c r="D2383" s="8"/>
      <c r="E2383" s="71"/>
      <c r="F2383" s="10"/>
      <c r="G2383" s="8"/>
      <c r="H2383" s="8"/>
      <c r="I2383" s="8"/>
      <c r="J2383" s="8"/>
      <c r="K2383" s="8"/>
      <c r="L2383" s="8"/>
    </row>
    <row r="2384">
      <c r="A2384" s="8"/>
      <c r="B2384" s="8"/>
      <c r="C2384" s="8"/>
      <c r="D2384" s="8"/>
      <c r="E2384" s="71"/>
      <c r="F2384" s="10"/>
      <c r="G2384" s="8"/>
      <c r="H2384" s="8"/>
      <c r="I2384" s="8"/>
      <c r="J2384" s="8"/>
      <c r="K2384" s="8"/>
      <c r="L2384" s="8"/>
    </row>
    <row r="2385">
      <c r="A2385" s="8"/>
      <c r="B2385" s="8"/>
      <c r="C2385" s="8"/>
      <c r="D2385" s="8"/>
      <c r="E2385" s="71"/>
      <c r="F2385" s="10"/>
      <c r="G2385" s="8"/>
      <c r="H2385" s="8"/>
      <c r="I2385" s="8"/>
      <c r="J2385" s="8"/>
      <c r="K2385" s="8"/>
      <c r="L2385" s="8"/>
    </row>
    <row r="2386">
      <c r="A2386" s="8"/>
      <c r="B2386" s="8"/>
      <c r="C2386" s="8"/>
      <c r="D2386" s="8"/>
      <c r="E2386" s="71"/>
      <c r="F2386" s="10"/>
      <c r="G2386" s="8"/>
      <c r="H2386" s="8"/>
      <c r="I2386" s="8"/>
      <c r="J2386" s="8"/>
      <c r="K2386" s="8"/>
      <c r="L2386" s="8"/>
    </row>
    <row r="2387">
      <c r="A2387" s="8"/>
      <c r="B2387" s="8"/>
      <c r="C2387" s="8"/>
      <c r="D2387" s="8"/>
      <c r="E2387" s="71"/>
      <c r="F2387" s="10"/>
      <c r="G2387" s="8"/>
      <c r="H2387" s="8"/>
      <c r="I2387" s="8"/>
      <c r="J2387" s="8"/>
      <c r="K2387" s="8"/>
      <c r="L2387" s="8"/>
    </row>
    <row r="2388">
      <c r="A2388" s="8"/>
      <c r="B2388" s="8"/>
      <c r="C2388" s="8"/>
      <c r="D2388" s="8"/>
      <c r="E2388" s="71"/>
      <c r="F2388" s="10"/>
      <c r="G2388" s="8"/>
      <c r="H2388" s="8"/>
      <c r="I2388" s="8"/>
      <c r="J2388" s="8"/>
      <c r="K2388" s="8"/>
      <c r="L2388" s="8"/>
    </row>
    <row r="2389">
      <c r="A2389" s="8"/>
      <c r="B2389" s="8"/>
      <c r="C2389" s="8"/>
      <c r="D2389" s="8"/>
      <c r="E2389" s="71"/>
      <c r="F2389" s="10"/>
      <c r="G2389" s="8"/>
      <c r="H2389" s="8"/>
      <c r="I2389" s="8"/>
      <c r="J2389" s="8"/>
      <c r="K2389" s="8"/>
      <c r="L2389" s="8"/>
    </row>
    <row r="2390">
      <c r="A2390" s="8"/>
      <c r="B2390" s="8"/>
      <c r="C2390" s="8"/>
      <c r="D2390" s="8"/>
      <c r="E2390" s="71"/>
      <c r="F2390" s="10"/>
      <c r="G2390" s="8"/>
      <c r="H2390" s="8"/>
      <c r="I2390" s="8"/>
      <c r="J2390" s="8"/>
      <c r="K2390" s="8"/>
      <c r="L2390" s="8"/>
    </row>
    <row r="2391">
      <c r="A2391" s="8"/>
      <c r="B2391" s="8"/>
      <c r="C2391" s="8"/>
      <c r="D2391" s="8"/>
      <c r="E2391" s="71"/>
      <c r="F2391" s="10"/>
      <c r="G2391" s="8"/>
      <c r="H2391" s="8"/>
      <c r="I2391" s="8"/>
      <c r="J2391" s="8"/>
      <c r="K2391" s="8"/>
      <c r="L2391" s="8"/>
    </row>
    <row r="2392">
      <c r="A2392" s="8"/>
      <c r="B2392" s="8"/>
      <c r="C2392" s="8"/>
      <c r="D2392" s="8"/>
      <c r="E2392" s="71"/>
      <c r="F2392" s="10"/>
      <c r="G2392" s="8"/>
      <c r="H2392" s="8"/>
      <c r="I2392" s="8"/>
      <c r="J2392" s="8"/>
      <c r="K2392" s="8"/>
      <c r="L2392" s="8"/>
    </row>
    <row r="2393">
      <c r="A2393" s="8"/>
      <c r="B2393" s="8"/>
      <c r="C2393" s="8"/>
      <c r="D2393" s="8"/>
      <c r="E2393" s="71"/>
      <c r="F2393" s="10"/>
      <c r="G2393" s="8"/>
      <c r="H2393" s="8"/>
      <c r="I2393" s="8"/>
      <c r="J2393" s="8"/>
      <c r="K2393" s="8"/>
      <c r="L2393" s="8"/>
    </row>
    <row r="2394">
      <c r="A2394" s="8"/>
      <c r="B2394" s="8"/>
      <c r="C2394" s="8"/>
      <c r="D2394" s="8"/>
      <c r="E2394" s="71"/>
      <c r="F2394" s="10"/>
      <c r="G2394" s="8"/>
      <c r="H2394" s="8"/>
      <c r="I2394" s="8"/>
      <c r="J2394" s="8"/>
      <c r="K2394" s="8"/>
      <c r="L2394" s="8"/>
    </row>
    <row r="2395">
      <c r="A2395" s="8"/>
      <c r="B2395" s="8"/>
      <c r="C2395" s="8"/>
      <c r="D2395" s="8"/>
      <c r="E2395" s="71"/>
      <c r="F2395" s="10"/>
      <c r="G2395" s="8"/>
      <c r="H2395" s="8"/>
      <c r="I2395" s="8"/>
      <c r="J2395" s="8"/>
      <c r="K2395" s="8"/>
      <c r="L2395" s="8"/>
    </row>
    <row r="2396">
      <c r="A2396" s="8"/>
      <c r="B2396" s="8"/>
      <c r="C2396" s="8"/>
      <c r="D2396" s="8"/>
      <c r="E2396" s="71"/>
      <c r="F2396" s="10"/>
      <c r="G2396" s="8"/>
      <c r="H2396" s="8"/>
      <c r="I2396" s="8"/>
      <c r="J2396" s="8"/>
      <c r="K2396" s="8"/>
      <c r="L2396" s="8"/>
    </row>
    <row r="2397">
      <c r="A2397" s="8"/>
      <c r="B2397" s="8"/>
      <c r="C2397" s="8"/>
      <c r="D2397" s="8"/>
      <c r="E2397" s="71"/>
      <c r="F2397" s="10"/>
      <c r="G2397" s="8"/>
      <c r="H2397" s="8"/>
      <c r="I2397" s="8"/>
      <c r="J2397" s="8"/>
      <c r="K2397" s="8"/>
      <c r="L2397" s="8"/>
    </row>
    <row r="2398">
      <c r="A2398" s="8"/>
      <c r="B2398" s="8"/>
      <c r="C2398" s="8"/>
      <c r="D2398" s="8"/>
      <c r="E2398" s="71"/>
      <c r="F2398" s="10"/>
      <c r="G2398" s="8"/>
      <c r="H2398" s="8"/>
      <c r="I2398" s="8"/>
      <c r="J2398" s="8"/>
      <c r="K2398" s="8"/>
      <c r="L2398" s="8"/>
    </row>
    <row r="2399">
      <c r="A2399" s="8"/>
      <c r="B2399" s="8"/>
      <c r="C2399" s="8"/>
      <c r="D2399" s="8"/>
      <c r="E2399" s="71"/>
      <c r="F2399" s="10"/>
      <c r="G2399" s="8"/>
      <c r="H2399" s="8"/>
      <c r="I2399" s="8"/>
      <c r="J2399" s="8"/>
      <c r="K2399" s="8"/>
      <c r="L2399" s="8"/>
    </row>
    <row r="2400">
      <c r="A2400" s="8"/>
      <c r="B2400" s="8"/>
      <c r="C2400" s="8"/>
      <c r="D2400" s="8"/>
      <c r="E2400" s="71"/>
      <c r="F2400" s="10"/>
      <c r="G2400" s="8"/>
      <c r="H2400" s="8"/>
      <c r="I2400" s="8"/>
      <c r="J2400" s="8"/>
      <c r="K2400" s="8"/>
      <c r="L2400" s="8"/>
    </row>
    <row r="2401">
      <c r="A2401" s="8"/>
      <c r="B2401" s="8"/>
      <c r="C2401" s="8"/>
      <c r="D2401" s="8"/>
      <c r="E2401" s="71"/>
      <c r="F2401" s="10"/>
      <c r="G2401" s="8"/>
      <c r="H2401" s="8"/>
      <c r="I2401" s="8"/>
      <c r="J2401" s="8"/>
      <c r="K2401" s="8"/>
      <c r="L2401" s="8"/>
    </row>
    <row r="2402">
      <c r="A2402" s="8"/>
      <c r="B2402" s="8"/>
      <c r="C2402" s="8"/>
      <c r="D2402" s="8"/>
      <c r="E2402" s="71"/>
      <c r="F2402" s="10"/>
      <c r="G2402" s="8"/>
      <c r="H2402" s="8"/>
      <c r="I2402" s="8"/>
      <c r="J2402" s="8"/>
      <c r="K2402" s="8"/>
      <c r="L2402" s="8"/>
    </row>
    <row r="2403">
      <c r="A2403" s="8"/>
      <c r="B2403" s="8"/>
      <c r="C2403" s="8"/>
      <c r="D2403" s="8"/>
      <c r="E2403" s="71"/>
      <c r="F2403" s="10"/>
      <c r="G2403" s="8"/>
      <c r="H2403" s="8"/>
      <c r="I2403" s="8"/>
      <c r="J2403" s="8"/>
      <c r="K2403" s="8"/>
      <c r="L2403" s="8"/>
    </row>
    <row r="2404">
      <c r="A2404" s="8"/>
      <c r="B2404" s="8"/>
      <c r="C2404" s="8"/>
      <c r="D2404" s="8"/>
      <c r="E2404" s="71"/>
      <c r="F2404" s="10"/>
      <c r="G2404" s="8"/>
      <c r="H2404" s="8"/>
      <c r="I2404" s="8"/>
      <c r="J2404" s="8"/>
      <c r="K2404" s="8"/>
      <c r="L2404" s="8"/>
    </row>
    <row r="2405">
      <c r="A2405" s="8"/>
      <c r="B2405" s="8"/>
      <c r="C2405" s="8"/>
      <c r="D2405" s="8"/>
      <c r="E2405" s="71"/>
      <c r="F2405" s="10"/>
      <c r="G2405" s="8"/>
      <c r="H2405" s="8"/>
      <c r="I2405" s="8"/>
      <c r="J2405" s="8"/>
      <c r="K2405" s="8"/>
      <c r="L2405" s="8"/>
    </row>
    <row r="2406">
      <c r="A2406" s="8"/>
      <c r="B2406" s="8"/>
      <c r="C2406" s="8"/>
      <c r="D2406" s="8"/>
      <c r="E2406" s="71"/>
      <c r="F2406" s="10"/>
      <c r="G2406" s="8"/>
      <c r="H2406" s="8"/>
      <c r="I2406" s="8"/>
      <c r="J2406" s="8"/>
      <c r="K2406" s="8"/>
      <c r="L2406" s="8"/>
    </row>
    <row r="2407">
      <c r="A2407" s="8"/>
      <c r="B2407" s="8"/>
      <c r="C2407" s="8"/>
      <c r="D2407" s="8"/>
      <c r="E2407" s="71"/>
      <c r="F2407" s="10"/>
      <c r="G2407" s="8"/>
      <c r="H2407" s="8"/>
      <c r="I2407" s="8"/>
      <c r="J2407" s="8"/>
      <c r="K2407" s="8"/>
      <c r="L2407" s="8"/>
    </row>
    <row r="2408">
      <c r="A2408" s="8"/>
      <c r="B2408" s="8"/>
      <c r="C2408" s="8"/>
      <c r="D2408" s="8"/>
      <c r="E2408" s="71"/>
      <c r="F2408" s="10"/>
      <c r="G2408" s="8"/>
      <c r="H2408" s="8"/>
      <c r="I2408" s="8"/>
      <c r="J2408" s="8"/>
      <c r="K2408" s="8"/>
      <c r="L2408" s="8"/>
    </row>
    <row r="2409">
      <c r="A2409" s="8"/>
      <c r="B2409" s="8"/>
      <c r="C2409" s="8"/>
      <c r="D2409" s="8"/>
      <c r="E2409" s="71"/>
      <c r="F2409" s="10"/>
      <c r="G2409" s="8"/>
      <c r="H2409" s="8"/>
      <c r="I2409" s="8"/>
      <c r="J2409" s="8"/>
      <c r="K2409" s="8"/>
      <c r="L2409" s="8"/>
    </row>
    <row r="2410">
      <c r="A2410" s="8"/>
      <c r="B2410" s="8"/>
      <c r="C2410" s="8"/>
      <c r="D2410" s="8"/>
      <c r="E2410" s="71"/>
      <c r="F2410" s="10"/>
      <c r="G2410" s="8"/>
      <c r="H2410" s="8"/>
      <c r="I2410" s="8"/>
      <c r="J2410" s="8"/>
      <c r="K2410" s="8"/>
      <c r="L2410" s="8"/>
    </row>
    <row r="2411">
      <c r="A2411" s="8"/>
      <c r="B2411" s="8"/>
      <c r="C2411" s="8"/>
      <c r="D2411" s="8"/>
      <c r="E2411" s="71"/>
      <c r="F2411" s="10"/>
      <c r="G2411" s="8"/>
      <c r="H2411" s="8"/>
      <c r="I2411" s="8"/>
      <c r="J2411" s="8"/>
      <c r="K2411" s="8"/>
      <c r="L2411" s="8"/>
    </row>
    <row r="2412">
      <c r="A2412" s="8"/>
      <c r="B2412" s="8"/>
      <c r="C2412" s="8"/>
      <c r="D2412" s="8"/>
      <c r="E2412" s="71"/>
      <c r="F2412" s="10"/>
      <c r="G2412" s="8"/>
      <c r="H2412" s="8"/>
      <c r="I2412" s="8"/>
      <c r="J2412" s="8"/>
      <c r="K2412" s="8"/>
      <c r="L2412" s="8"/>
    </row>
    <row r="2413">
      <c r="A2413" s="8"/>
      <c r="B2413" s="8"/>
      <c r="C2413" s="8"/>
      <c r="D2413" s="8"/>
      <c r="E2413" s="71"/>
      <c r="F2413" s="10"/>
      <c r="G2413" s="8"/>
      <c r="H2413" s="8"/>
      <c r="I2413" s="8"/>
      <c r="J2413" s="8"/>
      <c r="K2413" s="8"/>
      <c r="L2413" s="8"/>
    </row>
    <row r="2414">
      <c r="A2414" s="8"/>
      <c r="B2414" s="8"/>
      <c r="C2414" s="8"/>
      <c r="D2414" s="8"/>
      <c r="E2414" s="71"/>
      <c r="F2414" s="10"/>
      <c r="G2414" s="8"/>
      <c r="H2414" s="8"/>
      <c r="I2414" s="8"/>
      <c r="J2414" s="8"/>
      <c r="K2414" s="8"/>
      <c r="L2414" s="8"/>
    </row>
    <row r="2415">
      <c r="A2415" s="8"/>
      <c r="B2415" s="8"/>
      <c r="C2415" s="8"/>
      <c r="D2415" s="8"/>
      <c r="E2415" s="71"/>
      <c r="F2415" s="10"/>
      <c r="G2415" s="8"/>
      <c r="H2415" s="8"/>
      <c r="I2415" s="8"/>
      <c r="J2415" s="8"/>
      <c r="K2415" s="8"/>
      <c r="L2415" s="8"/>
    </row>
    <row r="2416">
      <c r="A2416" s="8"/>
      <c r="B2416" s="8"/>
      <c r="C2416" s="8"/>
      <c r="D2416" s="8"/>
      <c r="E2416" s="71"/>
      <c r="F2416" s="10"/>
      <c r="G2416" s="8"/>
      <c r="H2416" s="8"/>
      <c r="I2416" s="8"/>
      <c r="J2416" s="8"/>
      <c r="K2416" s="8"/>
      <c r="L2416" s="8"/>
    </row>
    <row r="2417">
      <c r="A2417" s="8"/>
      <c r="B2417" s="8"/>
      <c r="C2417" s="8"/>
      <c r="D2417" s="8"/>
      <c r="E2417" s="71"/>
      <c r="F2417" s="10"/>
      <c r="G2417" s="8"/>
      <c r="H2417" s="8"/>
      <c r="I2417" s="8"/>
      <c r="J2417" s="8"/>
      <c r="K2417" s="8"/>
      <c r="L2417" s="8"/>
    </row>
    <row r="2418">
      <c r="A2418" s="8"/>
      <c r="B2418" s="8"/>
      <c r="C2418" s="8"/>
      <c r="D2418" s="8"/>
      <c r="E2418" s="71"/>
      <c r="F2418" s="10"/>
      <c r="G2418" s="8"/>
      <c r="H2418" s="8"/>
      <c r="I2418" s="8"/>
      <c r="J2418" s="8"/>
      <c r="K2418" s="8"/>
      <c r="L2418" s="8"/>
    </row>
    <row r="2419">
      <c r="A2419" s="8"/>
      <c r="B2419" s="8"/>
      <c r="C2419" s="8"/>
      <c r="D2419" s="8"/>
      <c r="E2419" s="71"/>
      <c r="F2419" s="10"/>
      <c r="G2419" s="8"/>
      <c r="H2419" s="8"/>
      <c r="I2419" s="8"/>
      <c r="J2419" s="8"/>
      <c r="K2419" s="8"/>
      <c r="L2419" s="8"/>
    </row>
    <row r="2420">
      <c r="A2420" s="8"/>
      <c r="B2420" s="8"/>
      <c r="C2420" s="8"/>
      <c r="D2420" s="8"/>
      <c r="E2420" s="71"/>
      <c r="F2420" s="10"/>
      <c r="G2420" s="8"/>
      <c r="H2420" s="8"/>
      <c r="I2420" s="8"/>
      <c r="J2420" s="8"/>
      <c r="K2420" s="8"/>
      <c r="L2420" s="8"/>
    </row>
    <row r="2421">
      <c r="A2421" s="8"/>
      <c r="B2421" s="8"/>
      <c r="C2421" s="8"/>
      <c r="D2421" s="8"/>
      <c r="E2421" s="71"/>
      <c r="F2421" s="10"/>
      <c r="G2421" s="8"/>
      <c r="H2421" s="8"/>
      <c r="I2421" s="8"/>
      <c r="J2421" s="8"/>
      <c r="K2421" s="8"/>
      <c r="L2421" s="8"/>
    </row>
    <row r="2422">
      <c r="A2422" s="8"/>
      <c r="B2422" s="8"/>
      <c r="C2422" s="8"/>
      <c r="D2422" s="8"/>
      <c r="E2422" s="71"/>
      <c r="F2422" s="10"/>
      <c r="G2422" s="8"/>
      <c r="H2422" s="8"/>
      <c r="I2422" s="8"/>
      <c r="J2422" s="8"/>
      <c r="K2422" s="8"/>
      <c r="L2422" s="8"/>
    </row>
    <row r="2423">
      <c r="A2423" s="8"/>
      <c r="B2423" s="8"/>
      <c r="C2423" s="8"/>
      <c r="D2423" s="8"/>
      <c r="E2423" s="71"/>
      <c r="F2423" s="10"/>
      <c r="G2423" s="8"/>
      <c r="H2423" s="8"/>
      <c r="I2423" s="8"/>
      <c r="J2423" s="8"/>
      <c r="K2423" s="8"/>
      <c r="L2423" s="8"/>
    </row>
    <row r="2424">
      <c r="A2424" s="8"/>
      <c r="B2424" s="8"/>
      <c r="C2424" s="8"/>
      <c r="D2424" s="8"/>
      <c r="E2424" s="71"/>
      <c r="F2424" s="10"/>
      <c r="G2424" s="8"/>
      <c r="H2424" s="8"/>
      <c r="I2424" s="8"/>
      <c r="J2424" s="8"/>
      <c r="K2424" s="8"/>
      <c r="L2424" s="8"/>
    </row>
    <row r="2425">
      <c r="A2425" s="8"/>
      <c r="B2425" s="8"/>
      <c r="C2425" s="8"/>
      <c r="D2425" s="8"/>
      <c r="E2425" s="71"/>
      <c r="F2425" s="10"/>
      <c r="G2425" s="8"/>
      <c r="H2425" s="8"/>
      <c r="I2425" s="8"/>
      <c r="J2425" s="8"/>
      <c r="K2425" s="8"/>
      <c r="L2425" s="8"/>
    </row>
    <row r="2426">
      <c r="A2426" s="8"/>
      <c r="B2426" s="8"/>
      <c r="C2426" s="8"/>
      <c r="D2426" s="8"/>
      <c r="E2426" s="71"/>
      <c r="F2426" s="10"/>
      <c r="G2426" s="8"/>
      <c r="H2426" s="8"/>
      <c r="I2426" s="8"/>
      <c r="J2426" s="8"/>
      <c r="K2426" s="8"/>
      <c r="L2426" s="8"/>
    </row>
    <row r="2427">
      <c r="A2427" s="8"/>
      <c r="B2427" s="8"/>
      <c r="C2427" s="8"/>
      <c r="D2427" s="8"/>
      <c r="E2427" s="71"/>
      <c r="F2427" s="10"/>
      <c r="G2427" s="8"/>
      <c r="H2427" s="8"/>
      <c r="I2427" s="8"/>
      <c r="J2427" s="8"/>
      <c r="K2427" s="8"/>
      <c r="L2427" s="8"/>
    </row>
    <row r="2428">
      <c r="A2428" s="8"/>
      <c r="B2428" s="8"/>
      <c r="C2428" s="8"/>
      <c r="D2428" s="8"/>
      <c r="E2428" s="71"/>
      <c r="F2428" s="10"/>
      <c r="G2428" s="8"/>
      <c r="H2428" s="8"/>
      <c r="I2428" s="8"/>
      <c r="J2428" s="8"/>
      <c r="K2428" s="8"/>
      <c r="L2428" s="8"/>
    </row>
    <row r="2429">
      <c r="A2429" s="8"/>
      <c r="B2429" s="8"/>
      <c r="C2429" s="8"/>
      <c r="D2429" s="8"/>
      <c r="E2429" s="71"/>
      <c r="F2429" s="10"/>
      <c r="G2429" s="8"/>
      <c r="H2429" s="8"/>
      <c r="I2429" s="8"/>
      <c r="J2429" s="8"/>
      <c r="K2429" s="8"/>
      <c r="L2429" s="8"/>
    </row>
    <row r="2430">
      <c r="A2430" s="8"/>
      <c r="B2430" s="8"/>
      <c r="C2430" s="8"/>
      <c r="D2430" s="8"/>
      <c r="E2430" s="71"/>
      <c r="F2430" s="10"/>
      <c r="G2430" s="8"/>
      <c r="H2430" s="8"/>
      <c r="I2430" s="8"/>
      <c r="J2430" s="8"/>
      <c r="K2430" s="8"/>
      <c r="L2430" s="8"/>
    </row>
    <row r="2431">
      <c r="A2431" s="8"/>
      <c r="B2431" s="8"/>
      <c r="C2431" s="8"/>
      <c r="D2431" s="8"/>
      <c r="E2431" s="71"/>
      <c r="F2431" s="10"/>
      <c r="G2431" s="8"/>
      <c r="H2431" s="8"/>
      <c r="I2431" s="8"/>
      <c r="J2431" s="8"/>
      <c r="K2431" s="8"/>
      <c r="L2431" s="8"/>
    </row>
    <row r="2432">
      <c r="A2432" s="8"/>
      <c r="B2432" s="8"/>
      <c r="C2432" s="8"/>
      <c r="D2432" s="8"/>
      <c r="E2432" s="71"/>
      <c r="F2432" s="10"/>
      <c r="G2432" s="8"/>
      <c r="H2432" s="8"/>
      <c r="I2432" s="8"/>
      <c r="J2432" s="8"/>
      <c r="K2432" s="8"/>
      <c r="L2432" s="8"/>
    </row>
    <row r="2433">
      <c r="A2433" s="8"/>
      <c r="B2433" s="8"/>
      <c r="C2433" s="8"/>
      <c r="D2433" s="8"/>
      <c r="E2433" s="71"/>
      <c r="F2433" s="10"/>
      <c r="G2433" s="8"/>
      <c r="H2433" s="8"/>
      <c r="I2433" s="8"/>
      <c r="J2433" s="8"/>
      <c r="K2433" s="8"/>
      <c r="L2433" s="8"/>
    </row>
    <row r="2434">
      <c r="A2434" s="8"/>
      <c r="B2434" s="8"/>
      <c r="C2434" s="8"/>
      <c r="D2434" s="8"/>
      <c r="E2434" s="71"/>
      <c r="F2434" s="10"/>
      <c r="G2434" s="8"/>
      <c r="H2434" s="8"/>
      <c r="I2434" s="8"/>
      <c r="J2434" s="8"/>
      <c r="K2434" s="8"/>
      <c r="L2434" s="8"/>
    </row>
    <row r="2435">
      <c r="A2435" s="8"/>
      <c r="B2435" s="8"/>
      <c r="C2435" s="8"/>
      <c r="D2435" s="8"/>
      <c r="E2435" s="71"/>
      <c r="F2435" s="10"/>
      <c r="G2435" s="8"/>
      <c r="H2435" s="8"/>
      <c r="I2435" s="8"/>
      <c r="J2435" s="8"/>
      <c r="K2435" s="8"/>
      <c r="L2435" s="8"/>
    </row>
    <row r="2436">
      <c r="A2436" s="8"/>
      <c r="B2436" s="8"/>
      <c r="C2436" s="8"/>
      <c r="D2436" s="8"/>
      <c r="E2436" s="71"/>
      <c r="F2436" s="10"/>
      <c r="G2436" s="8"/>
      <c r="H2436" s="8"/>
      <c r="I2436" s="8"/>
      <c r="J2436" s="8"/>
      <c r="K2436" s="8"/>
      <c r="L2436" s="8"/>
    </row>
    <row r="2437">
      <c r="A2437" s="8"/>
      <c r="B2437" s="8"/>
      <c r="C2437" s="8"/>
      <c r="D2437" s="8"/>
      <c r="E2437" s="71"/>
      <c r="F2437" s="10"/>
      <c r="G2437" s="8"/>
      <c r="H2437" s="8"/>
      <c r="I2437" s="8"/>
      <c r="J2437" s="8"/>
      <c r="K2437" s="8"/>
      <c r="L2437" s="8"/>
    </row>
    <row r="2438">
      <c r="A2438" s="8"/>
      <c r="B2438" s="8"/>
      <c r="C2438" s="8"/>
      <c r="D2438" s="8"/>
      <c r="E2438" s="71"/>
      <c r="F2438" s="10"/>
      <c r="G2438" s="8"/>
      <c r="H2438" s="8"/>
      <c r="I2438" s="8"/>
      <c r="J2438" s="8"/>
      <c r="K2438" s="8"/>
      <c r="L2438" s="8"/>
    </row>
    <row r="2439">
      <c r="A2439" s="8"/>
      <c r="B2439" s="8"/>
      <c r="C2439" s="8"/>
      <c r="D2439" s="8"/>
      <c r="E2439" s="71"/>
      <c r="F2439" s="10"/>
      <c r="G2439" s="8"/>
      <c r="H2439" s="8"/>
      <c r="I2439" s="8"/>
      <c r="J2439" s="8"/>
      <c r="K2439" s="8"/>
      <c r="L2439" s="8"/>
    </row>
    <row r="2440">
      <c r="A2440" s="8"/>
      <c r="B2440" s="8"/>
      <c r="C2440" s="8"/>
      <c r="D2440" s="8"/>
      <c r="E2440" s="71"/>
      <c r="F2440" s="10"/>
      <c r="G2440" s="8"/>
      <c r="H2440" s="8"/>
      <c r="I2440" s="8"/>
      <c r="J2440" s="8"/>
      <c r="K2440" s="8"/>
      <c r="L2440" s="8"/>
    </row>
    <row r="2441">
      <c r="A2441" s="8"/>
      <c r="B2441" s="8"/>
      <c r="C2441" s="8"/>
      <c r="D2441" s="8"/>
      <c r="E2441" s="71"/>
      <c r="F2441" s="10"/>
      <c r="G2441" s="8"/>
      <c r="H2441" s="8"/>
      <c r="I2441" s="8"/>
      <c r="J2441" s="8"/>
      <c r="K2441" s="8"/>
      <c r="L2441" s="8"/>
    </row>
    <row r="2442">
      <c r="A2442" s="8"/>
      <c r="B2442" s="8"/>
      <c r="C2442" s="8"/>
      <c r="D2442" s="8"/>
      <c r="E2442" s="71"/>
      <c r="F2442" s="10"/>
      <c r="G2442" s="8"/>
      <c r="H2442" s="8"/>
      <c r="I2442" s="8"/>
      <c r="J2442" s="8"/>
      <c r="K2442" s="8"/>
      <c r="L2442" s="8"/>
    </row>
    <row r="2443">
      <c r="A2443" s="8"/>
      <c r="B2443" s="8"/>
      <c r="C2443" s="8"/>
      <c r="D2443" s="8"/>
      <c r="E2443" s="71"/>
      <c r="F2443" s="10"/>
      <c r="G2443" s="8"/>
      <c r="H2443" s="8"/>
      <c r="I2443" s="8"/>
      <c r="J2443" s="8"/>
      <c r="K2443" s="8"/>
      <c r="L2443" s="8"/>
    </row>
    <row r="2444">
      <c r="A2444" s="8"/>
      <c r="B2444" s="8"/>
      <c r="C2444" s="8"/>
      <c r="D2444" s="8"/>
      <c r="E2444" s="71"/>
      <c r="F2444" s="10"/>
      <c r="G2444" s="8"/>
      <c r="H2444" s="8"/>
      <c r="I2444" s="8"/>
      <c r="J2444" s="8"/>
      <c r="K2444" s="8"/>
      <c r="L2444" s="8"/>
    </row>
    <row r="2445">
      <c r="A2445" s="8"/>
      <c r="B2445" s="8"/>
      <c r="C2445" s="8"/>
      <c r="D2445" s="8"/>
      <c r="E2445" s="71"/>
      <c r="F2445" s="10"/>
      <c r="G2445" s="8"/>
      <c r="H2445" s="8"/>
      <c r="I2445" s="8"/>
      <c r="J2445" s="8"/>
      <c r="K2445" s="8"/>
      <c r="L2445" s="8"/>
    </row>
    <row r="2446">
      <c r="A2446" s="8"/>
      <c r="B2446" s="8"/>
      <c r="C2446" s="8"/>
      <c r="D2446" s="8"/>
      <c r="E2446" s="71"/>
      <c r="F2446" s="10"/>
      <c r="G2446" s="8"/>
      <c r="H2446" s="8"/>
      <c r="I2446" s="8"/>
      <c r="J2446" s="8"/>
      <c r="K2446" s="8"/>
      <c r="L2446" s="8"/>
    </row>
    <row r="2447">
      <c r="A2447" s="8"/>
      <c r="B2447" s="8"/>
      <c r="C2447" s="8"/>
      <c r="D2447" s="8"/>
      <c r="E2447" s="71"/>
      <c r="F2447" s="10"/>
      <c r="G2447" s="8"/>
      <c r="H2447" s="8"/>
      <c r="I2447" s="8"/>
      <c r="J2447" s="8"/>
      <c r="K2447" s="8"/>
      <c r="L2447" s="8"/>
    </row>
    <row r="2448">
      <c r="A2448" s="8"/>
      <c r="B2448" s="8"/>
      <c r="C2448" s="8"/>
      <c r="D2448" s="8"/>
      <c r="E2448" s="71"/>
      <c r="F2448" s="10"/>
      <c r="G2448" s="8"/>
      <c r="H2448" s="8"/>
      <c r="I2448" s="8"/>
      <c r="J2448" s="8"/>
      <c r="K2448" s="8"/>
      <c r="L2448" s="8"/>
    </row>
    <row r="2449">
      <c r="A2449" s="8"/>
      <c r="B2449" s="8"/>
      <c r="C2449" s="8"/>
      <c r="D2449" s="8"/>
      <c r="E2449" s="71"/>
      <c r="F2449" s="10"/>
      <c r="G2449" s="8"/>
      <c r="H2449" s="8"/>
      <c r="I2449" s="8"/>
      <c r="J2449" s="8"/>
      <c r="K2449" s="8"/>
      <c r="L2449" s="8"/>
    </row>
    <row r="2450">
      <c r="A2450" s="8"/>
      <c r="B2450" s="8"/>
      <c r="C2450" s="8"/>
      <c r="D2450" s="8"/>
      <c r="E2450" s="71"/>
      <c r="F2450" s="10"/>
      <c r="G2450" s="8"/>
      <c r="H2450" s="8"/>
      <c r="I2450" s="8"/>
      <c r="J2450" s="8"/>
      <c r="K2450" s="8"/>
      <c r="L2450" s="8"/>
    </row>
    <row r="2451">
      <c r="A2451" s="8"/>
      <c r="B2451" s="8"/>
      <c r="C2451" s="8"/>
      <c r="D2451" s="8"/>
      <c r="E2451" s="71"/>
      <c r="F2451" s="10"/>
      <c r="G2451" s="8"/>
      <c r="H2451" s="8"/>
      <c r="I2451" s="8"/>
      <c r="J2451" s="8"/>
      <c r="K2451" s="8"/>
      <c r="L2451" s="8"/>
    </row>
    <row r="2452">
      <c r="A2452" s="8"/>
      <c r="B2452" s="8"/>
      <c r="C2452" s="8"/>
      <c r="D2452" s="8"/>
      <c r="E2452" s="71"/>
      <c r="F2452" s="10"/>
      <c r="G2452" s="8"/>
      <c r="H2452" s="8"/>
      <c r="I2452" s="8"/>
      <c r="J2452" s="8"/>
      <c r="K2452" s="8"/>
      <c r="L2452" s="8"/>
    </row>
    <row r="2453">
      <c r="A2453" s="8"/>
      <c r="B2453" s="8"/>
      <c r="C2453" s="8"/>
      <c r="D2453" s="8"/>
      <c r="E2453" s="71"/>
      <c r="F2453" s="10"/>
      <c r="G2453" s="8"/>
      <c r="H2453" s="8"/>
      <c r="I2453" s="8"/>
      <c r="J2453" s="8"/>
      <c r="K2453" s="8"/>
      <c r="L2453" s="8"/>
    </row>
    <row r="2454">
      <c r="A2454" s="8"/>
      <c r="B2454" s="8"/>
      <c r="C2454" s="8"/>
      <c r="D2454" s="8"/>
      <c r="E2454" s="71"/>
      <c r="F2454" s="10"/>
      <c r="G2454" s="8"/>
      <c r="H2454" s="8"/>
      <c r="I2454" s="8"/>
      <c r="J2454" s="8"/>
      <c r="K2454" s="8"/>
      <c r="L2454" s="8"/>
    </row>
    <row r="2455">
      <c r="A2455" s="8"/>
      <c r="B2455" s="8"/>
      <c r="C2455" s="8"/>
      <c r="D2455" s="8"/>
      <c r="E2455" s="71"/>
      <c r="F2455" s="10"/>
      <c r="G2455" s="8"/>
      <c r="H2455" s="8"/>
      <c r="I2455" s="8"/>
      <c r="J2455" s="8"/>
      <c r="K2455" s="8"/>
      <c r="L2455" s="8"/>
    </row>
    <row r="2456">
      <c r="A2456" s="8"/>
      <c r="B2456" s="8"/>
      <c r="C2456" s="8"/>
      <c r="D2456" s="8"/>
      <c r="E2456" s="71"/>
      <c r="F2456" s="10"/>
      <c r="G2456" s="8"/>
      <c r="H2456" s="8"/>
      <c r="I2456" s="8"/>
      <c r="J2456" s="8"/>
      <c r="K2456" s="8"/>
      <c r="L2456" s="8"/>
    </row>
    <row r="2457">
      <c r="A2457" s="8"/>
      <c r="B2457" s="8"/>
      <c r="C2457" s="8"/>
      <c r="D2457" s="8"/>
      <c r="E2457" s="71"/>
      <c r="F2457" s="10"/>
      <c r="G2457" s="8"/>
      <c r="H2457" s="8"/>
      <c r="I2457" s="8"/>
      <c r="J2457" s="8"/>
      <c r="K2457" s="8"/>
      <c r="L2457" s="8"/>
    </row>
    <row r="2458">
      <c r="A2458" s="8"/>
      <c r="B2458" s="8"/>
      <c r="C2458" s="8"/>
      <c r="D2458" s="8"/>
      <c r="E2458" s="71"/>
      <c r="F2458" s="10"/>
      <c r="G2458" s="8"/>
      <c r="H2458" s="8"/>
      <c r="I2458" s="8"/>
      <c r="J2458" s="8"/>
      <c r="K2458" s="8"/>
      <c r="L2458" s="8"/>
    </row>
    <row r="2459">
      <c r="A2459" s="8"/>
      <c r="B2459" s="8"/>
      <c r="C2459" s="8"/>
      <c r="D2459" s="8"/>
      <c r="E2459" s="71"/>
      <c r="F2459" s="10"/>
      <c r="G2459" s="8"/>
      <c r="H2459" s="8"/>
      <c r="I2459" s="8"/>
      <c r="J2459" s="8"/>
      <c r="K2459" s="8"/>
      <c r="L2459" s="8"/>
    </row>
    <row r="2460">
      <c r="A2460" s="8"/>
      <c r="B2460" s="8"/>
      <c r="C2460" s="8"/>
      <c r="D2460" s="8"/>
      <c r="E2460" s="71"/>
      <c r="F2460" s="10"/>
      <c r="G2460" s="8"/>
      <c r="H2460" s="8"/>
      <c r="I2460" s="8"/>
      <c r="J2460" s="8"/>
      <c r="K2460" s="8"/>
      <c r="L2460" s="8"/>
    </row>
    <row r="2461">
      <c r="A2461" s="8"/>
      <c r="B2461" s="8"/>
      <c r="C2461" s="8"/>
      <c r="D2461" s="8"/>
      <c r="E2461" s="71"/>
      <c r="F2461" s="10"/>
      <c r="G2461" s="8"/>
      <c r="H2461" s="8"/>
      <c r="I2461" s="8"/>
      <c r="J2461" s="8"/>
      <c r="K2461" s="8"/>
      <c r="L2461" s="8"/>
    </row>
    <row r="2462">
      <c r="A2462" s="8"/>
      <c r="B2462" s="8"/>
      <c r="C2462" s="8"/>
      <c r="D2462" s="8"/>
      <c r="E2462" s="71"/>
      <c r="F2462" s="10"/>
      <c r="G2462" s="8"/>
      <c r="H2462" s="8"/>
      <c r="I2462" s="8"/>
      <c r="J2462" s="8"/>
      <c r="K2462" s="8"/>
      <c r="L2462" s="8"/>
    </row>
    <row r="2463">
      <c r="A2463" s="8"/>
      <c r="B2463" s="8"/>
      <c r="C2463" s="8"/>
      <c r="D2463" s="8"/>
      <c r="E2463" s="71"/>
      <c r="F2463" s="10"/>
      <c r="G2463" s="8"/>
      <c r="H2463" s="8"/>
      <c r="I2463" s="8"/>
      <c r="J2463" s="8"/>
      <c r="K2463" s="8"/>
      <c r="L2463" s="8"/>
    </row>
    <row r="2464">
      <c r="A2464" s="8"/>
      <c r="B2464" s="8"/>
      <c r="C2464" s="8"/>
      <c r="D2464" s="8"/>
      <c r="E2464" s="71"/>
      <c r="F2464" s="10"/>
      <c r="G2464" s="8"/>
      <c r="H2464" s="8"/>
      <c r="I2464" s="8"/>
      <c r="J2464" s="8"/>
      <c r="K2464" s="8"/>
      <c r="L2464" s="8"/>
    </row>
    <row r="2465">
      <c r="A2465" s="8"/>
      <c r="B2465" s="8"/>
      <c r="C2465" s="8"/>
      <c r="D2465" s="8"/>
      <c r="E2465" s="71"/>
      <c r="F2465" s="10"/>
      <c r="G2465" s="8"/>
      <c r="H2465" s="8"/>
      <c r="I2465" s="8"/>
      <c r="J2465" s="8"/>
      <c r="K2465" s="8"/>
      <c r="L2465" s="8"/>
    </row>
    <row r="2466">
      <c r="A2466" s="8"/>
      <c r="B2466" s="8"/>
      <c r="C2466" s="8"/>
      <c r="D2466" s="8"/>
      <c r="E2466" s="71"/>
      <c r="F2466" s="10"/>
      <c r="G2466" s="8"/>
      <c r="H2466" s="8"/>
      <c r="I2466" s="8"/>
      <c r="J2466" s="8"/>
      <c r="K2466" s="8"/>
      <c r="L2466" s="8"/>
    </row>
    <row r="2467">
      <c r="A2467" s="8"/>
      <c r="B2467" s="8"/>
      <c r="C2467" s="8"/>
      <c r="D2467" s="8"/>
      <c r="E2467" s="71"/>
      <c r="F2467" s="10"/>
      <c r="G2467" s="8"/>
      <c r="H2467" s="8"/>
      <c r="I2467" s="8"/>
      <c r="J2467" s="8"/>
      <c r="K2467" s="8"/>
      <c r="L2467" s="8"/>
    </row>
    <row r="2468">
      <c r="A2468" s="8"/>
      <c r="B2468" s="8"/>
      <c r="C2468" s="8"/>
      <c r="D2468" s="8"/>
      <c r="E2468" s="71"/>
      <c r="F2468" s="10"/>
      <c r="G2468" s="8"/>
      <c r="H2468" s="8"/>
      <c r="I2468" s="8"/>
      <c r="J2468" s="8"/>
      <c r="K2468" s="8"/>
      <c r="L2468" s="8"/>
    </row>
    <row r="2469">
      <c r="A2469" s="8"/>
      <c r="B2469" s="8"/>
      <c r="C2469" s="8"/>
      <c r="D2469" s="8"/>
      <c r="E2469" s="71"/>
      <c r="F2469" s="10"/>
      <c r="G2469" s="8"/>
      <c r="H2469" s="8"/>
      <c r="I2469" s="8"/>
      <c r="J2469" s="8"/>
      <c r="K2469" s="8"/>
      <c r="L2469" s="8"/>
    </row>
    <row r="2470">
      <c r="A2470" s="8"/>
      <c r="B2470" s="8"/>
      <c r="C2470" s="8"/>
      <c r="D2470" s="8"/>
      <c r="E2470" s="71"/>
      <c r="F2470" s="10"/>
      <c r="G2470" s="8"/>
      <c r="H2470" s="8"/>
      <c r="I2470" s="8"/>
      <c r="J2470" s="8"/>
      <c r="K2470" s="8"/>
      <c r="L2470" s="8"/>
    </row>
    <row r="2471">
      <c r="A2471" s="8"/>
      <c r="B2471" s="8"/>
      <c r="C2471" s="8"/>
      <c r="D2471" s="8"/>
      <c r="E2471" s="71"/>
      <c r="F2471" s="10"/>
      <c r="G2471" s="8"/>
      <c r="H2471" s="8"/>
      <c r="I2471" s="8"/>
      <c r="J2471" s="8"/>
      <c r="K2471" s="8"/>
      <c r="L2471" s="8"/>
    </row>
    <row r="2472">
      <c r="A2472" s="8"/>
      <c r="B2472" s="8"/>
      <c r="C2472" s="8"/>
      <c r="D2472" s="8"/>
      <c r="E2472" s="71"/>
      <c r="F2472" s="10"/>
      <c r="G2472" s="8"/>
      <c r="H2472" s="8"/>
      <c r="I2472" s="8"/>
      <c r="J2472" s="8"/>
      <c r="K2472" s="8"/>
      <c r="L2472" s="8"/>
    </row>
    <row r="2473">
      <c r="A2473" s="8"/>
      <c r="B2473" s="8"/>
      <c r="C2473" s="8"/>
      <c r="D2473" s="8"/>
      <c r="E2473" s="71"/>
      <c r="F2473" s="10"/>
      <c r="G2473" s="8"/>
      <c r="H2473" s="8"/>
      <c r="I2473" s="8"/>
      <c r="J2473" s="8"/>
      <c r="K2473" s="8"/>
      <c r="L2473" s="8"/>
    </row>
    <row r="2474">
      <c r="A2474" s="8"/>
      <c r="B2474" s="8"/>
      <c r="C2474" s="8"/>
      <c r="D2474" s="8"/>
      <c r="E2474" s="71"/>
      <c r="F2474" s="10"/>
      <c r="G2474" s="8"/>
      <c r="H2474" s="8"/>
      <c r="I2474" s="8"/>
      <c r="J2474" s="8"/>
      <c r="K2474" s="8"/>
      <c r="L2474" s="8"/>
    </row>
    <row r="2475">
      <c r="A2475" s="8"/>
      <c r="B2475" s="8"/>
      <c r="C2475" s="8"/>
      <c r="D2475" s="8"/>
      <c r="E2475" s="71"/>
      <c r="F2475" s="10"/>
      <c r="G2475" s="8"/>
      <c r="H2475" s="8"/>
      <c r="I2475" s="8"/>
      <c r="J2475" s="8"/>
      <c r="K2475" s="8"/>
      <c r="L2475" s="8"/>
    </row>
    <row r="2476">
      <c r="A2476" s="8"/>
      <c r="B2476" s="8"/>
      <c r="C2476" s="8"/>
      <c r="D2476" s="8"/>
      <c r="E2476" s="71"/>
      <c r="F2476" s="10"/>
      <c r="G2476" s="8"/>
      <c r="H2476" s="8"/>
      <c r="I2476" s="8"/>
      <c r="J2476" s="8"/>
      <c r="K2476" s="8"/>
      <c r="L2476" s="8"/>
    </row>
    <row r="2477">
      <c r="A2477" s="8"/>
      <c r="B2477" s="8"/>
      <c r="C2477" s="8"/>
      <c r="D2477" s="8"/>
      <c r="E2477" s="71"/>
      <c r="F2477" s="10"/>
      <c r="G2477" s="8"/>
      <c r="H2477" s="8"/>
      <c r="I2477" s="8"/>
      <c r="J2477" s="8"/>
      <c r="K2477" s="8"/>
      <c r="L2477" s="8"/>
    </row>
    <row r="2478">
      <c r="A2478" s="8"/>
      <c r="B2478" s="8"/>
      <c r="C2478" s="8"/>
      <c r="D2478" s="8"/>
      <c r="E2478" s="71"/>
      <c r="F2478" s="10"/>
      <c r="G2478" s="8"/>
      <c r="H2478" s="8"/>
      <c r="I2478" s="8"/>
      <c r="J2478" s="8"/>
      <c r="K2478" s="8"/>
      <c r="L2478" s="8"/>
    </row>
    <row r="2479">
      <c r="A2479" s="8"/>
      <c r="B2479" s="8"/>
      <c r="C2479" s="8"/>
      <c r="D2479" s="8"/>
      <c r="E2479" s="71"/>
      <c r="F2479" s="10"/>
      <c r="G2479" s="8"/>
      <c r="H2479" s="8"/>
      <c r="I2479" s="8"/>
      <c r="J2479" s="8"/>
      <c r="K2479" s="8"/>
      <c r="L2479" s="8"/>
    </row>
    <row r="2480">
      <c r="A2480" s="8"/>
      <c r="B2480" s="8"/>
      <c r="C2480" s="8"/>
      <c r="D2480" s="8"/>
      <c r="E2480" s="71"/>
      <c r="F2480" s="10"/>
      <c r="G2480" s="8"/>
      <c r="H2480" s="8"/>
      <c r="I2480" s="8"/>
      <c r="J2480" s="8"/>
      <c r="K2480" s="8"/>
      <c r="L2480" s="8"/>
    </row>
    <row r="2481">
      <c r="A2481" s="8"/>
      <c r="B2481" s="8"/>
      <c r="C2481" s="8"/>
      <c r="D2481" s="8"/>
      <c r="E2481" s="71"/>
      <c r="F2481" s="10"/>
      <c r="G2481" s="8"/>
      <c r="H2481" s="8"/>
      <c r="I2481" s="8"/>
      <c r="J2481" s="8"/>
      <c r="K2481" s="8"/>
      <c r="L2481" s="8"/>
    </row>
    <row r="2482">
      <c r="A2482" s="8"/>
      <c r="B2482" s="8"/>
      <c r="C2482" s="8"/>
      <c r="D2482" s="8"/>
      <c r="E2482" s="71"/>
      <c r="F2482" s="10"/>
      <c r="G2482" s="8"/>
      <c r="H2482" s="8"/>
      <c r="I2482" s="8"/>
      <c r="J2482" s="8"/>
      <c r="K2482" s="8"/>
      <c r="L2482" s="8"/>
    </row>
    <row r="2483">
      <c r="A2483" s="8"/>
      <c r="B2483" s="8"/>
      <c r="C2483" s="8"/>
      <c r="D2483" s="8"/>
      <c r="E2483" s="71"/>
      <c r="F2483" s="10"/>
      <c r="G2483" s="8"/>
      <c r="H2483" s="8"/>
      <c r="I2483" s="8"/>
      <c r="J2483" s="8"/>
      <c r="K2483" s="8"/>
      <c r="L2483" s="8"/>
    </row>
    <row r="2484">
      <c r="A2484" s="8"/>
      <c r="B2484" s="8"/>
      <c r="C2484" s="8"/>
      <c r="D2484" s="8"/>
      <c r="E2484" s="71"/>
      <c r="F2484" s="10"/>
      <c r="G2484" s="8"/>
      <c r="H2484" s="8"/>
      <c r="I2484" s="8"/>
      <c r="J2484" s="8"/>
      <c r="K2484" s="8"/>
      <c r="L2484" s="8"/>
    </row>
    <row r="2485">
      <c r="A2485" s="8"/>
      <c r="B2485" s="8"/>
      <c r="C2485" s="8"/>
      <c r="D2485" s="8"/>
      <c r="E2485" s="71"/>
      <c r="F2485" s="10"/>
      <c r="G2485" s="8"/>
      <c r="H2485" s="8"/>
      <c r="I2485" s="8"/>
      <c r="J2485" s="8"/>
      <c r="K2485" s="8"/>
      <c r="L2485" s="8"/>
    </row>
    <row r="2486">
      <c r="A2486" s="8"/>
      <c r="B2486" s="8"/>
      <c r="C2486" s="8"/>
      <c r="D2486" s="8"/>
      <c r="E2486" s="71"/>
      <c r="F2486" s="10"/>
      <c r="G2486" s="8"/>
      <c r="H2486" s="8"/>
      <c r="I2486" s="8"/>
      <c r="J2486" s="8"/>
      <c r="K2486" s="8"/>
      <c r="L2486" s="8"/>
    </row>
    <row r="2487">
      <c r="A2487" s="8"/>
      <c r="B2487" s="8"/>
      <c r="C2487" s="8"/>
      <c r="D2487" s="8"/>
      <c r="E2487" s="71"/>
      <c r="F2487" s="10"/>
      <c r="G2487" s="8"/>
      <c r="H2487" s="8"/>
      <c r="I2487" s="8"/>
      <c r="J2487" s="8"/>
      <c r="K2487" s="8"/>
      <c r="L2487" s="8"/>
    </row>
    <row r="2488">
      <c r="A2488" s="8"/>
      <c r="B2488" s="8"/>
      <c r="C2488" s="8"/>
      <c r="D2488" s="8"/>
      <c r="E2488" s="71"/>
      <c r="F2488" s="10"/>
      <c r="G2488" s="8"/>
      <c r="H2488" s="8"/>
      <c r="I2488" s="8"/>
      <c r="J2488" s="8"/>
      <c r="K2488" s="8"/>
      <c r="L2488" s="8"/>
    </row>
    <row r="2489">
      <c r="A2489" s="8"/>
      <c r="B2489" s="8"/>
      <c r="C2489" s="8"/>
      <c r="D2489" s="8"/>
      <c r="E2489" s="71"/>
      <c r="F2489" s="10"/>
      <c r="G2489" s="8"/>
      <c r="H2489" s="8"/>
      <c r="I2489" s="8"/>
      <c r="J2489" s="8"/>
      <c r="K2489" s="8"/>
      <c r="L2489" s="8"/>
    </row>
    <row r="2490">
      <c r="A2490" s="8"/>
      <c r="B2490" s="8"/>
      <c r="C2490" s="8"/>
      <c r="D2490" s="8"/>
      <c r="E2490" s="71"/>
      <c r="F2490" s="10"/>
      <c r="G2490" s="8"/>
      <c r="H2490" s="8"/>
      <c r="I2490" s="8"/>
      <c r="J2490" s="8"/>
      <c r="K2490" s="8"/>
      <c r="L2490" s="8"/>
    </row>
    <row r="2491">
      <c r="A2491" s="8"/>
      <c r="B2491" s="8"/>
      <c r="C2491" s="8"/>
      <c r="D2491" s="8"/>
      <c r="E2491" s="71"/>
      <c r="F2491" s="10"/>
      <c r="G2491" s="8"/>
      <c r="H2491" s="8"/>
      <c r="I2491" s="8"/>
      <c r="J2491" s="8"/>
      <c r="K2491" s="8"/>
      <c r="L2491" s="8"/>
    </row>
    <row r="2492">
      <c r="A2492" s="8"/>
      <c r="B2492" s="8"/>
      <c r="C2492" s="8"/>
      <c r="D2492" s="8"/>
      <c r="E2492" s="71"/>
      <c r="F2492" s="10"/>
      <c r="G2492" s="8"/>
      <c r="H2492" s="8"/>
      <c r="I2492" s="8"/>
      <c r="J2492" s="8"/>
      <c r="K2492" s="8"/>
      <c r="L2492" s="8"/>
    </row>
    <row r="2493">
      <c r="A2493" s="8"/>
      <c r="B2493" s="8"/>
      <c r="C2493" s="8"/>
      <c r="D2493" s="8"/>
      <c r="E2493" s="71"/>
      <c r="F2493" s="10"/>
      <c r="G2493" s="8"/>
      <c r="H2493" s="8"/>
      <c r="I2493" s="8"/>
      <c r="J2493" s="8"/>
      <c r="K2493" s="8"/>
      <c r="L2493" s="8"/>
    </row>
    <row r="2494">
      <c r="A2494" s="8"/>
      <c r="B2494" s="8"/>
      <c r="C2494" s="8"/>
      <c r="D2494" s="8"/>
      <c r="E2494" s="71"/>
      <c r="F2494" s="10"/>
      <c r="G2494" s="8"/>
      <c r="H2494" s="8"/>
      <c r="I2494" s="8"/>
      <c r="J2494" s="8"/>
      <c r="K2494" s="8"/>
      <c r="L2494" s="8"/>
    </row>
    <row r="2495">
      <c r="A2495" s="8"/>
      <c r="B2495" s="8"/>
      <c r="C2495" s="8"/>
      <c r="D2495" s="8"/>
      <c r="E2495" s="71"/>
      <c r="F2495" s="10"/>
      <c r="G2495" s="8"/>
      <c r="H2495" s="8"/>
      <c r="I2495" s="8"/>
      <c r="J2495" s="8"/>
      <c r="K2495" s="8"/>
      <c r="L2495" s="8"/>
    </row>
    <row r="2496">
      <c r="A2496" s="8"/>
      <c r="B2496" s="8"/>
      <c r="C2496" s="8"/>
      <c r="D2496" s="8"/>
      <c r="E2496" s="71"/>
      <c r="F2496" s="10"/>
      <c r="G2496" s="8"/>
      <c r="H2496" s="8"/>
      <c r="I2496" s="8"/>
      <c r="J2496" s="8"/>
      <c r="K2496" s="8"/>
      <c r="L2496" s="8"/>
    </row>
    <row r="2497">
      <c r="A2497" s="8"/>
      <c r="B2497" s="8"/>
      <c r="C2497" s="8"/>
      <c r="D2497" s="8"/>
      <c r="E2497" s="71"/>
      <c r="F2497" s="10"/>
      <c r="G2497" s="8"/>
      <c r="H2497" s="8"/>
      <c r="I2497" s="8"/>
      <c r="J2497" s="8"/>
      <c r="K2497" s="8"/>
      <c r="L2497" s="8"/>
    </row>
    <row r="2498">
      <c r="A2498" s="8"/>
      <c r="B2498" s="8"/>
      <c r="C2498" s="8"/>
      <c r="D2498" s="8"/>
      <c r="E2498" s="71"/>
      <c r="F2498" s="10"/>
      <c r="G2498" s="8"/>
      <c r="H2498" s="8"/>
      <c r="I2498" s="8"/>
      <c r="J2498" s="8"/>
      <c r="K2498" s="8"/>
      <c r="L2498" s="8"/>
    </row>
    <row r="2499">
      <c r="A2499" s="8"/>
      <c r="B2499" s="8"/>
      <c r="C2499" s="8"/>
      <c r="D2499" s="8"/>
      <c r="E2499" s="71"/>
      <c r="F2499" s="10"/>
      <c r="G2499" s="8"/>
      <c r="H2499" s="8"/>
      <c r="I2499" s="8"/>
      <c r="J2499" s="8"/>
      <c r="K2499" s="8"/>
      <c r="L2499" s="8"/>
    </row>
    <row r="2500">
      <c r="A2500" s="8"/>
      <c r="B2500" s="8"/>
      <c r="C2500" s="8"/>
      <c r="D2500" s="8"/>
      <c r="E2500" s="71"/>
      <c r="F2500" s="10"/>
      <c r="G2500" s="8"/>
      <c r="H2500" s="8"/>
      <c r="I2500" s="8"/>
      <c r="J2500" s="8"/>
      <c r="K2500" s="8"/>
      <c r="L2500" s="8"/>
    </row>
    <row r="2501">
      <c r="A2501" s="8"/>
      <c r="B2501" s="8"/>
      <c r="C2501" s="8"/>
      <c r="D2501" s="8"/>
      <c r="E2501" s="71"/>
      <c r="F2501" s="10"/>
      <c r="G2501" s="8"/>
      <c r="H2501" s="8"/>
      <c r="I2501" s="8"/>
      <c r="J2501" s="8"/>
      <c r="K2501" s="8"/>
      <c r="L2501" s="8"/>
    </row>
    <row r="2502">
      <c r="A2502" s="8"/>
      <c r="B2502" s="8"/>
      <c r="C2502" s="8"/>
      <c r="D2502" s="8"/>
      <c r="E2502" s="71"/>
      <c r="F2502" s="10"/>
      <c r="G2502" s="8"/>
      <c r="H2502" s="8"/>
      <c r="I2502" s="8"/>
      <c r="J2502" s="8"/>
      <c r="K2502" s="8"/>
      <c r="L2502" s="8"/>
    </row>
    <row r="2503">
      <c r="A2503" s="8"/>
      <c r="B2503" s="8"/>
      <c r="C2503" s="8"/>
      <c r="D2503" s="8"/>
      <c r="E2503" s="71"/>
      <c r="F2503" s="10"/>
      <c r="G2503" s="8"/>
      <c r="H2503" s="8"/>
      <c r="I2503" s="8"/>
      <c r="J2503" s="8"/>
      <c r="K2503" s="8"/>
      <c r="L2503" s="8"/>
    </row>
    <row r="2504">
      <c r="A2504" s="8"/>
      <c r="B2504" s="8"/>
      <c r="C2504" s="8"/>
      <c r="D2504" s="8"/>
      <c r="E2504" s="71"/>
      <c r="F2504" s="10"/>
      <c r="G2504" s="8"/>
      <c r="H2504" s="8"/>
      <c r="I2504" s="8"/>
      <c r="J2504" s="8"/>
      <c r="K2504" s="8"/>
      <c r="L2504" s="8"/>
    </row>
    <row r="2505">
      <c r="A2505" s="8"/>
      <c r="B2505" s="8"/>
      <c r="C2505" s="8"/>
      <c r="D2505" s="8"/>
      <c r="E2505" s="71"/>
      <c r="F2505" s="10"/>
      <c r="G2505" s="8"/>
      <c r="H2505" s="8"/>
      <c r="I2505" s="8"/>
      <c r="J2505" s="8"/>
      <c r="K2505" s="8"/>
      <c r="L2505" s="8"/>
    </row>
    <row r="2506">
      <c r="A2506" s="8"/>
      <c r="B2506" s="8"/>
      <c r="C2506" s="8"/>
      <c r="D2506" s="8"/>
      <c r="E2506" s="71"/>
      <c r="F2506" s="10"/>
      <c r="G2506" s="8"/>
      <c r="H2506" s="8"/>
      <c r="I2506" s="8"/>
      <c r="J2506" s="8"/>
      <c r="K2506" s="8"/>
      <c r="L2506" s="8"/>
    </row>
    <row r="2507">
      <c r="A2507" s="8"/>
      <c r="B2507" s="8"/>
      <c r="C2507" s="8"/>
      <c r="D2507" s="8"/>
      <c r="E2507" s="71"/>
      <c r="F2507" s="10"/>
      <c r="G2507" s="8"/>
      <c r="H2507" s="8"/>
      <c r="I2507" s="8"/>
      <c r="J2507" s="8"/>
      <c r="K2507" s="8"/>
      <c r="L2507" s="8"/>
    </row>
    <row r="2508">
      <c r="A2508" s="8"/>
      <c r="B2508" s="8"/>
      <c r="C2508" s="8"/>
      <c r="D2508" s="8"/>
      <c r="E2508" s="71"/>
      <c r="F2508" s="10"/>
      <c r="G2508" s="8"/>
      <c r="H2508" s="8"/>
      <c r="I2508" s="8"/>
      <c r="J2508" s="8"/>
      <c r="K2508" s="8"/>
      <c r="L2508" s="8"/>
    </row>
    <row r="2509">
      <c r="A2509" s="8"/>
      <c r="B2509" s="8"/>
      <c r="C2509" s="8"/>
      <c r="D2509" s="8"/>
      <c r="E2509" s="71"/>
      <c r="F2509" s="10"/>
      <c r="G2509" s="8"/>
      <c r="H2509" s="8"/>
      <c r="I2509" s="8"/>
      <c r="J2509" s="8"/>
      <c r="K2509" s="8"/>
      <c r="L2509" s="8"/>
    </row>
    <row r="2510">
      <c r="A2510" s="8"/>
      <c r="B2510" s="8"/>
      <c r="C2510" s="8"/>
      <c r="D2510" s="8"/>
      <c r="E2510" s="71"/>
      <c r="F2510" s="10"/>
      <c r="G2510" s="8"/>
      <c r="H2510" s="8"/>
      <c r="I2510" s="8"/>
      <c r="J2510" s="8"/>
      <c r="K2510" s="8"/>
      <c r="L2510" s="8"/>
    </row>
    <row r="2511">
      <c r="A2511" s="8"/>
      <c r="B2511" s="8"/>
      <c r="C2511" s="8"/>
      <c r="D2511" s="8"/>
      <c r="E2511" s="71"/>
      <c r="F2511" s="10"/>
      <c r="G2511" s="8"/>
      <c r="H2511" s="8"/>
      <c r="I2511" s="8"/>
      <c r="J2511" s="8"/>
      <c r="K2511" s="8"/>
      <c r="L2511" s="8"/>
    </row>
    <row r="2512">
      <c r="A2512" s="8"/>
      <c r="B2512" s="8"/>
      <c r="C2512" s="8"/>
      <c r="D2512" s="8"/>
      <c r="E2512" s="71"/>
      <c r="F2512" s="10"/>
      <c r="G2512" s="8"/>
      <c r="H2512" s="8"/>
      <c r="I2512" s="8"/>
      <c r="J2512" s="8"/>
      <c r="K2512" s="8"/>
      <c r="L2512" s="8"/>
    </row>
    <row r="2513">
      <c r="A2513" s="8"/>
      <c r="B2513" s="8"/>
      <c r="C2513" s="8"/>
      <c r="D2513" s="8"/>
      <c r="E2513" s="71"/>
      <c r="F2513" s="10"/>
      <c r="G2513" s="8"/>
      <c r="H2513" s="8"/>
      <c r="I2513" s="8"/>
      <c r="J2513" s="8"/>
      <c r="K2513" s="8"/>
      <c r="L2513" s="8"/>
    </row>
    <row r="2514">
      <c r="A2514" s="8"/>
      <c r="B2514" s="8"/>
      <c r="C2514" s="8"/>
      <c r="D2514" s="8"/>
      <c r="E2514" s="71"/>
      <c r="F2514" s="10"/>
      <c r="G2514" s="8"/>
      <c r="H2514" s="8"/>
      <c r="I2514" s="8"/>
      <c r="J2514" s="8"/>
      <c r="K2514" s="8"/>
      <c r="L2514" s="8"/>
    </row>
    <row r="2515">
      <c r="A2515" s="8"/>
      <c r="B2515" s="8"/>
      <c r="C2515" s="8"/>
      <c r="D2515" s="8"/>
      <c r="E2515" s="71"/>
      <c r="F2515" s="10"/>
      <c r="G2515" s="8"/>
      <c r="H2515" s="8"/>
      <c r="I2515" s="8"/>
      <c r="J2515" s="8"/>
      <c r="K2515" s="8"/>
      <c r="L2515" s="8"/>
    </row>
    <row r="2516">
      <c r="A2516" s="8"/>
      <c r="B2516" s="8"/>
      <c r="C2516" s="8"/>
      <c r="D2516" s="8"/>
      <c r="E2516" s="71"/>
      <c r="F2516" s="10"/>
      <c r="G2516" s="8"/>
      <c r="H2516" s="8"/>
      <c r="I2516" s="8"/>
      <c r="J2516" s="8"/>
      <c r="K2516" s="8"/>
      <c r="L2516" s="8"/>
    </row>
    <row r="2517">
      <c r="A2517" s="8"/>
      <c r="B2517" s="8"/>
      <c r="C2517" s="8"/>
      <c r="D2517" s="8"/>
      <c r="E2517" s="71"/>
      <c r="F2517" s="10"/>
      <c r="G2517" s="8"/>
      <c r="H2517" s="8"/>
      <c r="I2517" s="8"/>
      <c r="J2517" s="8"/>
      <c r="K2517" s="8"/>
      <c r="L2517" s="8"/>
    </row>
    <row r="2518">
      <c r="A2518" s="8"/>
      <c r="B2518" s="8"/>
      <c r="C2518" s="8"/>
      <c r="D2518" s="8"/>
      <c r="E2518" s="71"/>
      <c r="F2518" s="10"/>
      <c r="G2518" s="8"/>
      <c r="H2518" s="8"/>
      <c r="I2518" s="8"/>
      <c r="J2518" s="8"/>
      <c r="K2518" s="8"/>
      <c r="L2518" s="8"/>
    </row>
    <row r="2519">
      <c r="A2519" s="8"/>
      <c r="B2519" s="8"/>
      <c r="C2519" s="8"/>
      <c r="D2519" s="8"/>
      <c r="E2519" s="71"/>
      <c r="F2519" s="10"/>
      <c r="G2519" s="8"/>
      <c r="H2519" s="8"/>
      <c r="I2519" s="8"/>
      <c r="J2519" s="8"/>
      <c r="K2519" s="8"/>
      <c r="L2519" s="8"/>
    </row>
    <row r="2520">
      <c r="A2520" s="8"/>
      <c r="B2520" s="8"/>
      <c r="C2520" s="8"/>
      <c r="D2520" s="8"/>
      <c r="E2520" s="71"/>
      <c r="F2520" s="10"/>
      <c r="G2520" s="8"/>
      <c r="H2520" s="8"/>
      <c r="I2520" s="8"/>
      <c r="J2520" s="8"/>
      <c r="K2520" s="8"/>
      <c r="L2520" s="8"/>
    </row>
    <row r="2521">
      <c r="A2521" s="8"/>
      <c r="B2521" s="8"/>
      <c r="C2521" s="8"/>
      <c r="D2521" s="8"/>
      <c r="E2521" s="71"/>
      <c r="F2521" s="10"/>
      <c r="G2521" s="8"/>
      <c r="H2521" s="8"/>
      <c r="I2521" s="8"/>
      <c r="J2521" s="8"/>
      <c r="K2521" s="8"/>
      <c r="L2521" s="8"/>
    </row>
    <row r="2522">
      <c r="A2522" s="8"/>
      <c r="B2522" s="8"/>
      <c r="C2522" s="8"/>
      <c r="D2522" s="8"/>
      <c r="E2522" s="71"/>
      <c r="F2522" s="10"/>
      <c r="G2522" s="8"/>
      <c r="H2522" s="8"/>
      <c r="I2522" s="8"/>
      <c r="J2522" s="8"/>
      <c r="K2522" s="8"/>
      <c r="L2522" s="8"/>
    </row>
    <row r="2523">
      <c r="A2523" s="8"/>
      <c r="B2523" s="8"/>
      <c r="C2523" s="8"/>
      <c r="D2523" s="8"/>
      <c r="E2523" s="71"/>
      <c r="F2523" s="10"/>
      <c r="G2523" s="8"/>
      <c r="H2523" s="8"/>
      <c r="I2523" s="8"/>
      <c r="J2523" s="8"/>
      <c r="K2523" s="8"/>
      <c r="L2523" s="8"/>
    </row>
    <row r="2524">
      <c r="A2524" s="8"/>
      <c r="B2524" s="8"/>
      <c r="C2524" s="8"/>
      <c r="D2524" s="8"/>
      <c r="E2524" s="71"/>
      <c r="F2524" s="10"/>
      <c r="G2524" s="8"/>
      <c r="H2524" s="8"/>
      <c r="I2524" s="8"/>
      <c r="J2524" s="8"/>
      <c r="K2524" s="8"/>
      <c r="L2524" s="8"/>
    </row>
    <row r="2525">
      <c r="A2525" s="8"/>
      <c r="B2525" s="8"/>
      <c r="C2525" s="8"/>
      <c r="D2525" s="8"/>
      <c r="E2525" s="71"/>
      <c r="F2525" s="10"/>
      <c r="G2525" s="8"/>
      <c r="H2525" s="8"/>
      <c r="I2525" s="8"/>
      <c r="J2525" s="8"/>
      <c r="K2525" s="8"/>
      <c r="L2525" s="8"/>
    </row>
    <row r="2526">
      <c r="A2526" s="8"/>
      <c r="B2526" s="8"/>
      <c r="C2526" s="8"/>
      <c r="D2526" s="8"/>
      <c r="E2526" s="71"/>
      <c r="F2526" s="10"/>
      <c r="G2526" s="8"/>
      <c r="H2526" s="8"/>
      <c r="I2526" s="8"/>
      <c r="J2526" s="8"/>
      <c r="K2526" s="8"/>
      <c r="L2526" s="8"/>
    </row>
    <row r="2527">
      <c r="A2527" s="8"/>
      <c r="B2527" s="8"/>
      <c r="C2527" s="8"/>
      <c r="D2527" s="8"/>
      <c r="E2527" s="71"/>
      <c r="F2527" s="10"/>
      <c r="G2527" s="8"/>
      <c r="H2527" s="8"/>
      <c r="I2527" s="8"/>
      <c r="J2527" s="8"/>
      <c r="K2527" s="8"/>
      <c r="L2527" s="8"/>
    </row>
    <row r="2528">
      <c r="A2528" s="8"/>
      <c r="B2528" s="8"/>
      <c r="C2528" s="8"/>
      <c r="D2528" s="8"/>
      <c r="E2528" s="71"/>
      <c r="F2528" s="10"/>
      <c r="G2528" s="8"/>
      <c r="H2528" s="8"/>
      <c r="I2528" s="8"/>
      <c r="J2528" s="8"/>
      <c r="K2528" s="8"/>
      <c r="L2528" s="8"/>
    </row>
    <row r="2529">
      <c r="A2529" s="8"/>
      <c r="B2529" s="8"/>
      <c r="C2529" s="8"/>
      <c r="D2529" s="8"/>
      <c r="E2529" s="71"/>
      <c r="F2529" s="10"/>
      <c r="G2529" s="8"/>
      <c r="H2529" s="8"/>
      <c r="I2529" s="8"/>
      <c r="J2529" s="8"/>
      <c r="K2529" s="8"/>
      <c r="L2529" s="8"/>
    </row>
    <row r="2530">
      <c r="A2530" s="8"/>
      <c r="B2530" s="8"/>
      <c r="C2530" s="8"/>
      <c r="D2530" s="8"/>
      <c r="E2530" s="71"/>
      <c r="F2530" s="10"/>
      <c r="G2530" s="8"/>
      <c r="H2530" s="8"/>
      <c r="I2530" s="8"/>
      <c r="J2530" s="8"/>
      <c r="K2530" s="8"/>
      <c r="L2530" s="8"/>
    </row>
    <row r="2531">
      <c r="A2531" s="8"/>
      <c r="B2531" s="8"/>
      <c r="C2531" s="8"/>
      <c r="D2531" s="8"/>
      <c r="E2531" s="71"/>
      <c r="F2531" s="10"/>
      <c r="G2531" s="8"/>
      <c r="H2531" s="8"/>
      <c r="I2531" s="8"/>
      <c r="J2531" s="8"/>
      <c r="K2531" s="8"/>
      <c r="L2531" s="8"/>
    </row>
    <row r="2532">
      <c r="A2532" s="8"/>
      <c r="B2532" s="8"/>
      <c r="C2532" s="8"/>
      <c r="D2532" s="8"/>
      <c r="E2532" s="71"/>
      <c r="F2532" s="10"/>
      <c r="G2532" s="8"/>
      <c r="H2532" s="8"/>
      <c r="I2532" s="8"/>
      <c r="J2532" s="8"/>
      <c r="K2532" s="8"/>
      <c r="L2532" s="8"/>
    </row>
    <row r="2533">
      <c r="A2533" s="8"/>
      <c r="B2533" s="8"/>
      <c r="C2533" s="8"/>
      <c r="D2533" s="8"/>
      <c r="E2533" s="71"/>
      <c r="F2533" s="10"/>
      <c r="G2533" s="8"/>
      <c r="H2533" s="8"/>
      <c r="I2533" s="8"/>
      <c r="J2533" s="8"/>
      <c r="K2533" s="8"/>
      <c r="L2533" s="8"/>
    </row>
    <row r="2534">
      <c r="A2534" s="8"/>
      <c r="B2534" s="8"/>
      <c r="C2534" s="8"/>
      <c r="D2534" s="8"/>
      <c r="E2534" s="71"/>
      <c r="F2534" s="10"/>
      <c r="G2534" s="8"/>
      <c r="H2534" s="8"/>
      <c r="I2534" s="8"/>
      <c r="J2534" s="8"/>
      <c r="K2534" s="8"/>
      <c r="L2534" s="8"/>
    </row>
    <row r="2535">
      <c r="A2535" s="8"/>
      <c r="B2535" s="8"/>
      <c r="C2535" s="8"/>
      <c r="D2535" s="8"/>
      <c r="E2535" s="71"/>
      <c r="F2535" s="10"/>
      <c r="G2535" s="8"/>
      <c r="H2535" s="8"/>
      <c r="I2535" s="8"/>
      <c r="J2535" s="8"/>
      <c r="K2535" s="8"/>
      <c r="L2535" s="8"/>
    </row>
    <row r="2536">
      <c r="A2536" s="8"/>
      <c r="B2536" s="8"/>
      <c r="C2536" s="8"/>
      <c r="D2536" s="8"/>
      <c r="E2536" s="71"/>
      <c r="F2536" s="10"/>
      <c r="G2536" s="8"/>
      <c r="H2536" s="8"/>
      <c r="I2536" s="8"/>
      <c r="J2536" s="8"/>
      <c r="K2536" s="8"/>
      <c r="L2536" s="8"/>
    </row>
    <row r="2537">
      <c r="A2537" s="8"/>
      <c r="B2537" s="8"/>
      <c r="C2537" s="8"/>
      <c r="D2537" s="8"/>
      <c r="E2537" s="71"/>
      <c r="F2537" s="10"/>
      <c r="G2537" s="8"/>
      <c r="H2537" s="8"/>
      <c r="I2537" s="8"/>
      <c r="J2537" s="8"/>
      <c r="K2537" s="8"/>
      <c r="L2537" s="8"/>
    </row>
    <row r="2538">
      <c r="A2538" s="8"/>
      <c r="B2538" s="8"/>
      <c r="C2538" s="8"/>
      <c r="D2538" s="8"/>
      <c r="E2538" s="71"/>
      <c r="F2538" s="10"/>
      <c r="G2538" s="8"/>
      <c r="H2538" s="8"/>
      <c r="I2538" s="8"/>
      <c r="J2538" s="8"/>
      <c r="K2538" s="8"/>
      <c r="L2538" s="8"/>
    </row>
    <row r="2539">
      <c r="A2539" s="8"/>
      <c r="B2539" s="8"/>
      <c r="C2539" s="8"/>
      <c r="D2539" s="8"/>
      <c r="E2539" s="71"/>
      <c r="F2539" s="10"/>
      <c r="G2539" s="8"/>
      <c r="H2539" s="8"/>
      <c r="I2539" s="8"/>
      <c r="J2539" s="8"/>
      <c r="K2539" s="8"/>
      <c r="L2539" s="8"/>
    </row>
    <row r="2540">
      <c r="A2540" s="8"/>
      <c r="B2540" s="8"/>
      <c r="C2540" s="8"/>
      <c r="D2540" s="8"/>
      <c r="E2540" s="71"/>
      <c r="F2540" s="10"/>
      <c r="G2540" s="8"/>
      <c r="H2540" s="8"/>
      <c r="I2540" s="8"/>
      <c r="J2540" s="8"/>
      <c r="K2540" s="8"/>
      <c r="L2540" s="8"/>
    </row>
    <row r="2541">
      <c r="A2541" s="8"/>
      <c r="B2541" s="8"/>
      <c r="C2541" s="8"/>
      <c r="D2541" s="8"/>
      <c r="E2541" s="71"/>
      <c r="F2541" s="10"/>
      <c r="G2541" s="8"/>
      <c r="H2541" s="8"/>
      <c r="I2541" s="8"/>
      <c r="J2541" s="8"/>
      <c r="K2541" s="8"/>
      <c r="L2541" s="8"/>
    </row>
    <row r="2542">
      <c r="A2542" s="8"/>
      <c r="B2542" s="8"/>
      <c r="C2542" s="8"/>
      <c r="D2542" s="8"/>
      <c r="E2542" s="71"/>
      <c r="F2542" s="10"/>
      <c r="G2542" s="8"/>
      <c r="H2542" s="8"/>
      <c r="I2542" s="8"/>
      <c r="J2542" s="8"/>
      <c r="K2542" s="8"/>
      <c r="L2542" s="8"/>
    </row>
    <row r="2543">
      <c r="A2543" s="8"/>
      <c r="B2543" s="8"/>
      <c r="C2543" s="8"/>
      <c r="D2543" s="8"/>
      <c r="E2543" s="71"/>
      <c r="F2543" s="10"/>
      <c r="G2543" s="8"/>
      <c r="H2543" s="8"/>
      <c r="I2543" s="8"/>
      <c r="J2543" s="8"/>
      <c r="K2543" s="8"/>
      <c r="L2543" s="8"/>
    </row>
    <row r="2544">
      <c r="A2544" s="8"/>
      <c r="B2544" s="8"/>
      <c r="C2544" s="8"/>
      <c r="D2544" s="8"/>
      <c r="E2544" s="71"/>
      <c r="F2544" s="10"/>
      <c r="G2544" s="8"/>
      <c r="H2544" s="8"/>
      <c r="I2544" s="8"/>
      <c r="J2544" s="8"/>
      <c r="K2544" s="8"/>
      <c r="L2544" s="8"/>
    </row>
    <row r="2545">
      <c r="A2545" s="8"/>
      <c r="B2545" s="8"/>
      <c r="C2545" s="8"/>
      <c r="D2545" s="8"/>
      <c r="E2545" s="71"/>
      <c r="F2545" s="10"/>
      <c r="G2545" s="8"/>
      <c r="H2545" s="8"/>
      <c r="I2545" s="8"/>
      <c r="J2545" s="8"/>
      <c r="K2545" s="8"/>
      <c r="L2545" s="8"/>
    </row>
    <row r="2546">
      <c r="A2546" s="8"/>
      <c r="B2546" s="8"/>
      <c r="C2546" s="8"/>
      <c r="D2546" s="8"/>
      <c r="E2546" s="71"/>
      <c r="F2546" s="10"/>
      <c r="G2546" s="8"/>
      <c r="H2546" s="8"/>
      <c r="I2546" s="8"/>
      <c r="J2546" s="8"/>
      <c r="K2546" s="8"/>
      <c r="L2546" s="8"/>
    </row>
    <row r="2547">
      <c r="A2547" s="8"/>
      <c r="B2547" s="8"/>
      <c r="C2547" s="8"/>
      <c r="D2547" s="8"/>
      <c r="E2547" s="71"/>
      <c r="F2547" s="10"/>
      <c r="G2547" s="8"/>
      <c r="H2547" s="8"/>
      <c r="I2547" s="8"/>
      <c r="J2547" s="8"/>
      <c r="K2547" s="8"/>
      <c r="L2547" s="8"/>
    </row>
    <row r="2548">
      <c r="A2548" s="8"/>
      <c r="B2548" s="8"/>
      <c r="C2548" s="8"/>
      <c r="D2548" s="8"/>
      <c r="E2548" s="71"/>
      <c r="F2548" s="10"/>
      <c r="G2548" s="8"/>
      <c r="H2548" s="8"/>
      <c r="I2548" s="8"/>
      <c r="J2548" s="8"/>
      <c r="K2548" s="8"/>
      <c r="L2548" s="8"/>
    </row>
    <row r="2549">
      <c r="A2549" s="8"/>
      <c r="B2549" s="8"/>
      <c r="C2549" s="8"/>
      <c r="D2549" s="8"/>
      <c r="E2549" s="71"/>
      <c r="F2549" s="10"/>
      <c r="G2549" s="8"/>
      <c r="H2549" s="8"/>
      <c r="I2549" s="8"/>
      <c r="J2549" s="8"/>
      <c r="K2549" s="8"/>
      <c r="L2549" s="8"/>
    </row>
    <row r="2550">
      <c r="A2550" s="8"/>
      <c r="B2550" s="8"/>
      <c r="C2550" s="8"/>
      <c r="D2550" s="8"/>
      <c r="E2550" s="71"/>
      <c r="F2550" s="10"/>
      <c r="G2550" s="8"/>
      <c r="H2550" s="8"/>
      <c r="I2550" s="8"/>
      <c r="J2550" s="8"/>
      <c r="K2550" s="8"/>
      <c r="L2550" s="8"/>
    </row>
    <row r="2551">
      <c r="A2551" s="8"/>
      <c r="B2551" s="8"/>
      <c r="C2551" s="8"/>
      <c r="D2551" s="8"/>
      <c r="E2551" s="71"/>
      <c r="F2551" s="10"/>
      <c r="G2551" s="8"/>
      <c r="H2551" s="8"/>
      <c r="I2551" s="8"/>
      <c r="J2551" s="8"/>
      <c r="K2551" s="8"/>
      <c r="L2551" s="8"/>
    </row>
    <row r="2552">
      <c r="A2552" s="8"/>
      <c r="B2552" s="8"/>
      <c r="C2552" s="8"/>
      <c r="D2552" s="8"/>
      <c r="E2552" s="71"/>
      <c r="F2552" s="10"/>
      <c r="G2552" s="8"/>
      <c r="H2552" s="8"/>
      <c r="I2552" s="8"/>
      <c r="J2552" s="8"/>
      <c r="K2552" s="8"/>
      <c r="L2552" s="8"/>
    </row>
    <row r="2553">
      <c r="A2553" s="8"/>
      <c r="B2553" s="8"/>
      <c r="C2553" s="8"/>
      <c r="D2553" s="8"/>
      <c r="E2553" s="71"/>
      <c r="F2553" s="10"/>
      <c r="G2553" s="8"/>
      <c r="H2553" s="8"/>
      <c r="I2553" s="8"/>
      <c r="J2553" s="8"/>
      <c r="K2553" s="8"/>
      <c r="L2553" s="8"/>
    </row>
    <row r="2554">
      <c r="A2554" s="8"/>
      <c r="B2554" s="8"/>
      <c r="C2554" s="8"/>
      <c r="D2554" s="8"/>
      <c r="E2554" s="71"/>
      <c r="F2554" s="10"/>
      <c r="G2554" s="8"/>
      <c r="H2554" s="8"/>
      <c r="I2554" s="8"/>
      <c r="J2554" s="8"/>
      <c r="K2554" s="8"/>
      <c r="L2554" s="8"/>
    </row>
    <row r="2555">
      <c r="A2555" s="8"/>
      <c r="B2555" s="8"/>
      <c r="C2555" s="8"/>
      <c r="D2555" s="8"/>
      <c r="E2555" s="71"/>
      <c r="F2555" s="10"/>
      <c r="G2555" s="8"/>
      <c r="H2555" s="8"/>
      <c r="I2555" s="8"/>
      <c r="J2555" s="8"/>
      <c r="K2555" s="8"/>
      <c r="L2555" s="8"/>
    </row>
    <row r="2556">
      <c r="A2556" s="8"/>
      <c r="B2556" s="8"/>
      <c r="C2556" s="8"/>
      <c r="D2556" s="8"/>
      <c r="E2556" s="71"/>
      <c r="F2556" s="10"/>
      <c r="G2556" s="8"/>
      <c r="H2556" s="8"/>
      <c r="I2556" s="8"/>
      <c r="J2556" s="8"/>
      <c r="K2556" s="8"/>
      <c r="L2556" s="8"/>
    </row>
    <row r="2557">
      <c r="A2557" s="8"/>
      <c r="B2557" s="8"/>
      <c r="C2557" s="8"/>
      <c r="D2557" s="8"/>
      <c r="E2557" s="71"/>
      <c r="F2557" s="10"/>
      <c r="G2557" s="8"/>
      <c r="H2557" s="8"/>
      <c r="I2557" s="8"/>
      <c r="J2557" s="8"/>
      <c r="K2557" s="8"/>
      <c r="L2557" s="8"/>
    </row>
    <row r="2558">
      <c r="A2558" s="8"/>
      <c r="B2558" s="8"/>
      <c r="C2558" s="8"/>
      <c r="D2558" s="8"/>
      <c r="E2558" s="71"/>
      <c r="F2558" s="10"/>
      <c r="G2558" s="8"/>
      <c r="H2558" s="8"/>
      <c r="I2558" s="8"/>
      <c r="J2558" s="8"/>
      <c r="K2558" s="8"/>
      <c r="L2558" s="8"/>
    </row>
    <row r="2559">
      <c r="A2559" s="8"/>
      <c r="B2559" s="8"/>
      <c r="C2559" s="8"/>
      <c r="D2559" s="8"/>
      <c r="E2559" s="71"/>
      <c r="F2559" s="10"/>
      <c r="G2559" s="8"/>
      <c r="H2559" s="8"/>
      <c r="I2559" s="8"/>
      <c r="J2559" s="8"/>
      <c r="K2559" s="8"/>
      <c r="L2559" s="8"/>
    </row>
    <row r="2560">
      <c r="A2560" s="8"/>
      <c r="B2560" s="8"/>
      <c r="C2560" s="8"/>
      <c r="D2560" s="8"/>
      <c r="E2560" s="71"/>
      <c r="F2560" s="10"/>
      <c r="G2560" s="8"/>
      <c r="H2560" s="8"/>
      <c r="I2560" s="8"/>
      <c r="J2560" s="8"/>
      <c r="K2560" s="8"/>
      <c r="L2560" s="8"/>
    </row>
    <row r="2561">
      <c r="A2561" s="8"/>
      <c r="B2561" s="8"/>
      <c r="C2561" s="8"/>
      <c r="D2561" s="8"/>
      <c r="E2561" s="71"/>
      <c r="F2561" s="10"/>
      <c r="G2561" s="8"/>
      <c r="H2561" s="8"/>
      <c r="I2561" s="8"/>
      <c r="J2561" s="8"/>
      <c r="K2561" s="8"/>
      <c r="L2561" s="8"/>
    </row>
    <row r="2562">
      <c r="A2562" s="8"/>
      <c r="B2562" s="8"/>
      <c r="C2562" s="8"/>
      <c r="D2562" s="8"/>
      <c r="E2562" s="71"/>
      <c r="F2562" s="10"/>
      <c r="G2562" s="8"/>
      <c r="H2562" s="8"/>
      <c r="I2562" s="8"/>
      <c r="J2562" s="8"/>
      <c r="K2562" s="8"/>
      <c r="L2562" s="8"/>
    </row>
    <row r="2563">
      <c r="A2563" s="8"/>
      <c r="B2563" s="8"/>
      <c r="C2563" s="8"/>
      <c r="D2563" s="8"/>
      <c r="E2563" s="71"/>
      <c r="F2563" s="10"/>
      <c r="G2563" s="8"/>
      <c r="H2563" s="8"/>
      <c r="I2563" s="8"/>
      <c r="J2563" s="8"/>
      <c r="K2563" s="8"/>
      <c r="L2563" s="8"/>
    </row>
    <row r="2564">
      <c r="A2564" s="8"/>
      <c r="B2564" s="8"/>
      <c r="C2564" s="8"/>
      <c r="D2564" s="8"/>
      <c r="E2564" s="71"/>
      <c r="F2564" s="10"/>
      <c r="G2564" s="8"/>
      <c r="H2564" s="8"/>
      <c r="I2564" s="8"/>
      <c r="J2564" s="8"/>
      <c r="K2564" s="8"/>
      <c r="L2564" s="8"/>
    </row>
    <row r="2565">
      <c r="A2565" s="8"/>
      <c r="B2565" s="8"/>
      <c r="C2565" s="8"/>
      <c r="D2565" s="8"/>
      <c r="E2565" s="71"/>
      <c r="F2565" s="10"/>
      <c r="G2565" s="8"/>
      <c r="H2565" s="8"/>
      <c r="I2565" s="8"/>
      <c r="J2565" s="8"/>
      <c r="K2565" s="8"/>
      <c r="L2565" s="8"/>
    </row>
    <row r="2566">
      <c r="A2566" s="8"/>
      <c r="B2566" s="8"/>
      <c r="C2566" s="8"/>
      <c r="D2566" s="8"/>
      <c r="E2566" s="71"/>
      <c r="F2566" s="10"/>
      <c r="G2566" s="8"/>
      <c r="H2566" s="8"/>
      <c r="I2566" s="8"/>
      <c r="J2566" s="8"/>
      <c r="K2566" s="8"/>
      <c r="L2566" s="8"/>
    </row>
    <row r="2567">
      <c r="A2567" s="8"/>
      <c r="B2567" s="8"/>
      <c r="C2567" s="8"/>
      <c r="D2567" s="8"/>
      <c r="E2567" s="71"/>
      <c r="F2567" s="10"/>
      <c r="G2567" s="8"/>
      <c r="H2567" s="8"/>
      <c r="I2567" s="8"/>
      <c r="J2567" s="8"/>
      <c r="K2567" s="8"/>
      <c r="L2567" s="8"/>
    </row>
    <row r="2568">
      <c r="A2568" s="8"/>
      <c r="B2568" s="8"/>
      <c r="C2568" s="8"/>
      <c r="D2568" s="8"/>
      <c r="E2568" s="71"/>
      <c r="F2568" s="10"/>
      <c r="G2568" s="8"/>
      <c r="H2568" s="8"/>
      <c r="I2568" s="8"/>
      <c r="J2568" s="8"/>
      <c r="K2568" s="8"/>
      <c r="L2568" s="8"/>
    </row>
    <row r="2569">
      <c r="A2569" s="8"/>
      <c r="B2569" s="8"/>
      <c r="C2569" s="8"/>
      <c r="D2569" s="8"/>
      <c r="E2569" s="71"/>
      <c r="F2569" s="10"/>
      <c r="G2569" s="8"/>
      <c r="H2569" s="8"/>
      <c r="I2569" s="8"/>
      <c r="J2569" s="8"/>
      <c r="K2569" s="8"/>
      <c r="L2569" s="8"/>
    </row>
    <row r="2570">
      <c r="A2570" s="8"/>
      <c r="B2570" s="8"/>
      <c r="C2570" s="8"/>
      <c r="D2570" s="8"/>
      <c r="E2570" s="71"/>
      <c r="F2570" s="10"/>
      <c r="G2570" s="8"/>
      <c r="H2570" s="8"/>
      <c r="I2570" s="8"/>
      <c r="J2570" s="8"/>
      <c r="K2570" s="8"/>
      <c r="L2570" s="8"/>
    </row>
    <row r="2571">
      <c r="A2571" s="8"/>
      <c r="B2571" s="8"/>
      <c r="C2571" s="8"/>
      <c r="D2571" s="8"/>
      <c r="E2571" s="71"/>
      <c r="F2571" s="10"/>
      <c r="G2571" s="8"/>
      <c r="H2571" s="8"/>
      <c r="I2571" s="8"/>
      <c r="J2571" s="8"/>
      <c r="K2571" s="8"/>
      <c r="L2571" s="8"/>
    </row>
    <row r="2572">
      <c r="A2572" s="8"/>
      <c r="B2572" s="8"/>
      <c r="C2572" s="8"/>
      <c r="D2572" s="8"/>
      <c r="E2572" s="71"/>
      <c r="F2572" s="10"/>
      <c r="G2572" s="8"/>
      <c r="H2572" s="8"/>
      <c r="I2572" s="8"/>
      <c r="J2572" s="8"/>
      <c r="K2572" s="8"/>
      <c r="L2572" s="8"/>
    </row>
    <row r="2573">
      <c r="A2573" s="8"/>
      <c r="B2573" s="8"/>
      <c r="C2573" s="8"/>
      <c r="D2573" s="8"/>
      <c r="E2573" s="71"/>
      <c r="F2573" s="10"/>
      <c r="G2573" s="8"/>
      <c r="H2573" s="8"/>
      <c r="I2573" s="8"/>
      <c r="J2573" s="8"/>
      <c r="K2573" s="8"/>
      <c r="L2573" s="8"/>
    </row>
    <row r="2574">
      <c r="A2574" s="8"/>
      <c r="B2574" s="8"/>
      <c r="C2574" s="8"/>
      <c r="D2574" s="8"/>
      <c r="E2574" s="71"/>
      <c r="F2574" s="10"/>
      <c r="G2574" s="8"/>
      <c r="H2574" s="8"/>
      <c r="I2574" s="8"/>
      <c r="J2574" s="8"/>
      <c r="K2574" s="8"/>
      <c r="L2574" s="8"/>
    </row>
    <row r="2575">
      <c r="A2575" s="8"/>
      <c r="B2575" s="8"/>
      <c r="C2575" s="8"/>
      <c r="D2575" s="8"/>
      <c r="E2575" s="71"/>
      <c r="F2575" s="10"/>
      <c r="G2575" s="8"/>
      <c r="H2575" s="8"/>
      <c r="I2575" s="8"/>
      <c r="J2575" s="8"/>
      <c r="K2575" s="8"/>
      <c r="L2575" s="8"/>
    </row>
    <row r="2576">
      <c r="A2576" s="8"/>
      <c r="B2576" s="8"/>
      <c r="C2576" s="8"/>
      <c r="D2576" s="8"/>
      <c r="E2576" s="71"/>
      <c r="F2576" s="10"/>
      <c r="G2576" s="8"/>
      <c r="H2576" s="8"/>
      <c r="I2576" s="8"/>
      <c r="J2576" s="8"/>
      <c r="K2576" s="8"/>
      <c r="L2576" s="8"/>
    </row>
    <row r="2577">
      <c r="A2577" s="8"/>
      <c r="B2577" s="8"/>
      <c r="C2577" s="8"/>
      <c r="D2577" s="8"/>
      <c r="E2577" s="71"/>
      <c r="F2577" s="10"/>
      <c r="G2577" s="8"/>
      <c r="H2577" s="8"/>
      <c r="I2577" s="8"/>
      <c r="J2577" s="8"/>
      <c r="K2577" s="8"/>
      <c r="L2577" s="8"/>
    </row>
    <row r="2578">
      <c r="A2578" s="8"/>
      <c r="B2578" s="8"/>
      <c r="C2578" s="8"/>
      <c r="D2578" s="8"/>
      <c r="E2578" s="71"/>
      <c r="F2578" s="10"/>
      <c r="G2578" s="8"/>
      <c r="H2578" s="8"/>
      <c r="I2578" s="8"/>
      <c r="J2578" s="8"/>
      <c r="K2578" s="8"/>
      <c r="L2578" s="8"/>
    </row>
    <row r="2579">
      <c r="A2579" s="8"/>
      <c r="B2579" s="8"/>
      <c r="C2579" s="8"/>
      <c r="D2579" s="8"/>
      <c r="E2579" s="71"/>
      <c r="F2579" s="10"/>
      <c r="G2579" s="8"/>
      <c r="H2579" s="8"/>
      <c r="I2579" s="8"/>
      <c r="J2579" s="8"/>
      <c r="K2579" s="8"/>
      <c r="L2579" s="8"/>
    </row>
    <row r="2580">
      <c r="A2580" s="8"/>
      <c r="B2580" s="8"/>
      <c r="C2580" s="8"/>
      <c r="D2580" s="8"/>
      <c r="E2580" s="71"/>
      <c r="F2580" s="10"/>
      <c r="G2580" s="8"/>
      <c r="H2580" s="8"/>
      <c r="I2580" s="8"/>
      <c r="J2580" s="8"/>
      <c r="K2580" s="8"/>
      <c r="L2580" s="8"/>
    </row>
    <row r="2581">
      <c r="A2581" s="8"/>
      <c r="B2581" s="8"/>
      <c r="C2581" s="8"/>
      <c r="D2581" s="8"/>
      <c r="E2581" s="71"/>
      <c r="F2581" s="10"/>
      <c r="G2581" s="8"/>
      <c r="H2581" s="8"/>
      <c r="I2581" s="8"/>
      <c r="J2581" s="8"/>
      <c r="K2581" s="8"/>
      <c r="L2581" s="8"/>
    </row>
    <row r="2582">
      <c r="A2582" s="8"/>
      <c r="B2582" s="8"/>
      <c r="C2582" s="8"/>
      <c r="D2582" s="8"/>
      <c r="E2582" s="71"/>
      <c r="F2582" s="10"/>
      <c r="G2582" s="8"/>
      <c r="H2582" s="8"/>
      <c r="I2582" s="8"/>
      <c r="J2582" s="8"/>
      <c r="K2582" s="8"/>
      <c r="L2582" s="8"/>
    </row>
    <row r="2583">
      <c r="A2583" s="8"/>
      <c r="B2583" s="8"/>
      <c r="C2583" s="8"/>
      <c r="D2583" s="8"/>
      <c r="E2583" s="71"/>
      <c r="F2583" s="10"/>
      <c r="G2583" s="8"/>
      <c r="H2583" s="8"/>
      <c r="I2583" s="8"/>
      <c r="J2583" s="8"/>
      <c r="K2583" s="8"/>
      <c r="L2583" s="8"/>
    </row>
    <row r="2584">
      <c r="A2584" s="8"/>
      <c r="B2584" s="8"/>
      <c r="C2584" s="8"/>
      <c r="D2584" s="8"/>
      <c r="E2584" s="71"/>
      <c r="F2584" s="10"/>
      <c r="G2584" s="8"/>
      <c r="H2584" s="8"/>
      <c r="I2584" s="8"/>
      <c r="J2584" s="8"/>
      <c r="K2584" s="8"/>
      <c r="L2584" s="8"/>
    </row>
    <row r="2585">
      <c r="A2585" s="8"/>
      <c r="B2585" s="8"/>
      <c r="C2585" s="8"/>
      <c r="D2585" s="8"/>
      <c r="E2585" s="71"/>
      <c r="F2585" s="10"/>
      <c r="G2585" s="8"/>
      <c r="H2585" s="8"/>
      <c r="I2585" s="8"/>
      <c r="J2585" s="8"/>
      <c r="K2585" s="8"/>
      <c r="L2585" s="8"/>
    </row>
    <row r="2586">
      <c r="A2586" s="8"/>
      <c r="B2586" s="8"/>
      <c r="C2586" s="8"/>
      <c r="D2586" s="8"/>
      <c r="E2586" s="71"/>
      <c r="F2586" s="10"/>
      <c r="G2586" s="8"/>
      <c r="H2586" s="8"/>
      <c r="I2586" s="8"/>
      <c r="J2586" s="8"/>
      <c r="K2586" s="8"/>
      <c r="L2586" s="8"/>
    </row>
    <row r="2587">
      <c r="A2587" s="8"/>
      <c r="B2587" s="8"/>
      <c r="C2587" s="8"/>
      <c r="D2587" s="8"/>
      <c r="E2587" s="71"/>
      <c r="F2587" s="10"/>
      <c r="G2587" s="8"/>
      <c r="H2587" s="8"/>
      <c r="I2587" s="8"/>
      <c r="J2587" s="8"/>
      <c r="K2587" s="8"/>
      <c r="L2587" s="8"/>
    </row>
    <row r="2588">
      <c r="A2588" s="8"/>
      <c r="B2588" s="8"/>
      <c r="C2588" s="8"/>
      <c r="D2588" s="8"/>
      <c r="E2588" s="71"/>
      <c r="F2588" s="10"/>
      <c r="G2588" s="8"/>
      <c r="H2588" s="8"/>
      <c r="I2588" s="8"/>
      <c r="J2588" s="8"/>
      <c r="K2588" s="8"/>
      <c r="L2588" s="8"/>
    </row>
    <row r="2589">
      <c r="A2589" s="8"/>
      <c r="B2589" s="8"/>
      <c r="C2589" s="8"/>
      <c r="D2589" s="8"/>
      <c r="E2589" s="71"/>
      <c r="F2589" s="10"/>
      <c r="G2589" s="8"/>
      <c r="H2589" s="8"/>
      <c r="I2589" s="8"/>
      <c r="J2589" s="8"/>
      <c r="K2589" s="8"/>
      <c r="L2589" s="8"/>
    </row>
    <row r="2590">
      <c r="A2590" s="8"/>
      <c r="B2590" s="8"/>
      <c r="C2590" s="8"/>
      <c r="D2590" s="8"/>
      <c r="E2590" s="71"/>
      <c r="F2590" s="10"/>
      <c r="G2590" s="8"/>
      <c r="H2590" s="8"/>
      <c r="I2590" s="8"/>
      <c r="J2590" s="8"/>
      <c r="K2590" s="8"/>
      <c r="L2590" s="8"/>
    </row>
    <row r="2591">
      <c r="A2591" s="8"/>
      <c r="B2591" s="8"/>
      <c r="C2591" s="8"/>
      <c r="D2591" s="8"/>
      <c r="E2591" s="71"/>
      <c r="F2591" s="10"/>
      <c r="G2591" s="8"/>
      <c r="H2591" s="8"/>
      <c r="I2591" s="8"/>
      <c r="J2591" s="8"/>
      <c r="K2591" s="8"/>
      <c r="L2591" s="8"/>
    </row>
    <row r="2592">
      <c r="A2592" s="8"/>
      <c r="B2592" s="8"/>
      <c r="C2592" s="8"/>
      <c r="D2592" s="8"/>
      <c r="E2592" s="71"/>
      <c r="F2592" s="10"/>
      <c r="G2592" s="8"/>
      <c r="H2592" s="8"/>
      <c r="I2592" s="8"/>
      <c r="J2592" s="8"/>
      <c r="K2592" s="8"/>
      <c r="L2592" s="8"/>
    </row>
    <row r="2593">
      <c r="A2593" s="8"/>
      <c r="B2593" s="8"/>
      <c r="C2593" s="8"/>
      <c r="D2593" s="8"/>
      <c r="E2593" s="71"/>
      <c r="F2593" s="10"/>
      <c r="G2593" s="8"/>
      <c r="H2593" s="8"/>
      <c r="I2593" s="8"/>
      <c r="J2593" s="8"/>
      <c r="K2593" s="8"/>
      <c r="L2593" s="8"/>
    </row>
    <row r="2594">
      <c r="A2594" s="8"/>
      <c r="B2594" s="8"/>
      <c r="C2594" s="8"/>
      <c r="D2594" s="8"/>
      <c r="E2594" s="71"/>
      <c r="F2594" s="10"/>
      <c r="G2594" s="8"/>
      <c r="H2594" s="8"/>
      <c r="I2594" s="8"/>
      <c r="J2594" s="8"/>
      <c r="K2594" s="8"/>
      <c r="L2594" s="8"/>
    </row>
    <row r="2595">
      <c r="A2595" s="8"/>
      <c r="B2595" s="8"/>
      <c r="C2595" s="8"/>
      <c r="D2595" s="8"/>
      <c r="E2595" s="71"/>
      <c r="F2595" s="10"/>
      <c r="G2595" s="8"/>
      <c r="H2595" s="8"/>
      <c r="I2595" s="8"/>
      <c r="J2595" s="8"/>
      <c r="K2595" s="8"/>
      <c r="L2595" s="8"/>
    </row>
    <row r="2596">
      <c r="A2596" s="8"/>
      <c r="B2596" s="8"/>
      <c r="C2596" s="8"/>
      <c r="D2596" s="8"/>
      <c r="E2596" s="71"/>
      <c r="F2596" s="10"/>
      <c r="G2596" s="8"/>
      <c r="H2596" s="8"/>
      <c r="I2596" s="8"/>
      <c r="J2596" s="8"/>
      <c r="K2596" s="8"/>
      <c r="L2596" s="8"/>
    </row>
    <row r="2597">
      <c r="A2597" s="8"/>
      <c r="B2597" s="8"/>
      <c r="C2597" s="8"/>
      <c r="D2597" s="8"/>
      <c r="E2597" s="71"/>
      <c r="F2597" s="10"/>
      <c r="G2597" s="8"/>
      <c r="H2597" s="8"/>
      <c r="I2597" s="8"/>
      <c r="J2597" s="8"/>
      <c r="K2597" s="8"/>
      <c r="L2597" s="8"/>
    </row>
    <row r="2598">
      <c r="A2598" s="8"/>
      <c r="B2598" s="8"/>
      <c r="C2598" s="8"/>
      <c r="D2598" s="8"/>
      <c r="E2598" s="71"/>
      <c r="F2598" s="10"/>
      <c r="G2598" s="8"/>
      <c r="H2598" s="8"/>
      <c r="I2598" s="8"/>
      <c r="J2598" s="8"/>
      <c r="K2598" s="8"/>
      <c r="L2598" s="8"/>
    </row>
    <row r="2599">
      <c r="A2599" s="8"/>
      <c r="B2599" s="8"/>
      <c r="C2599" s="8"/>
      <c r="D2599" s="8"/>
      <c r="E2599" s="71"/>
      <c r="F2599" s="10"/>
      <c r="G2599" s="8"/>
      <c r="H2599" s="8"/>
      <c r="I2599" s="8"/>
      <c r="J2599" s="8"/>
      <c r="K2599" s="8"/>
      <c r="L2599" s="8"/>
    </row>
    <row r="2600">
      <c r="A2600" s="8"/>
      <c r="B2600" s="8"/>
      <c r="C2600" s="8"/>
      <c r="D2600" s="8"/>
      <c r="E2600" s="71"/>
      <c r="F2600" s="10"/>
      <c r="G2600" s="8"/>
      <c r="H2600" s="8"/>
      <c r="I2600" s="8"/>
      <c r="J2600" s="8"/>
      <c r="K2600" s="8"/>
      <c r="L2600" s="8"/>
    </row>
    <row r="2601">
      <c r="A2601" s="8"/>
      <c r="B2601" s="8"/>
      <c r="C2601" s="8"/>
      <c r="D2601" s="8"/>
      <c r="E2601" s="71"/>
      <c r="F2601" s="10"/>
      <c r="G2601" s="8"/>
      <c r="H2601" s="8"/>
      <c r="I2601" s="8"/>
      <c r="J2601" s="8"/>
      <c r="K2601" s="8"/>
      <c r="L2601" s="8"/>
    </row>
    <row r="2602">
      <c r="A2602" s="8"/>
      <c r="B2602" s="8"/>
      <c r="C2602" s="8"/>
      <c r="D2602" s="8"/>
      <c r="E2602" s="71"/>
      <c r="F2602" s="10"/>
      <c r="G2602" s="8"/>
      <c r="H2602" s="8"/>
      <c r="I2602" s="8"/>
      <c r="J2602" s="8"/>
      <c r="K2602" s="8"/>
      <c r="L2602" s="8"/>
    </row>
    <row r="2603">
      <c r="A2603" s="8"/>
      <c r="B2603" s="8"/>
      <c r="C2603" s="8"/>
      <c r="D2603" s="8"/>
      <c r="E2603" s="71"/>
      <c r="F2603" s="10"/>
      <c r="G2603" s="8"/>
      <c r="H2603" s="8"/>
      <c r="I2603" s="8"/>
      <c r="J2603" s="8"/>
      <c r="K2603" s="8"/>
      <c r="L2603" s="8"/>
    </row>
    <row r="2604">
      <c r="A2604" s="8"/>
      <c r="B2604" s="8"/>
      <c r="C2604" s="8"/>
      <c r="D2604" s="8"/>
      <c r="E2604" s="71"/>
      <c r="F2604" s="10"/>
      <c r="G2604" s="8"/>
      <c r="H2604" s="8"/>
      <c r="I2604" s="8"/>
      <c r="J2604" s="8"/>
      <c r="K2604" s="8"/>
      <c r="L2604" s="8"/>
    </row>
    <row r="2605">
      <c r="A2605" s="8"/>
      <c r="B2605" s="8"/>
      <c r="C2605" s="8"/>
      <c r="D2605" s="8"/>
      <c r="E2605" s="71"/>
      <c r="F2605" s="10"/>
      <c r="G2605" s="8"/>
      <c r="H2605" s="8"/>
      <c r="I2605" s="8"/>
      <c r="J2605" s="8"/>
      <c r="K2605" s="8"/>
      <c r="L2605" s="8"/>
    </row>
    <row r="2606">
      <c r="A2606" s="8"/>
      <c r="B2606" s="8"/>
      <c r="C2606" s="8"/>
      <c r="D2606" s="8"/>
      <c r="E2606" s="71"/>
      <c r="F2606" s="10"/>
      <c r="G2606" s="8"/>
      <c r="H2606" s="8"/>
      <c r="I2606" s="8"/>
      <c r="J2606" s="8"/>
      <c r="K2606" s="8"/>
      <c r="L2606" s="8"/>
    </row>
    <row r="2607">
      <c r="A2607" s="8"/>
      <c r="B2607" s="8"/>
      <c r="C2607" s="8"/>
      <c r="D2607" s="8"/>
      <c r="E2607" s="71"/>
      <c r="F2607" s="10"/>
      <c r="G2607" s="8"/>
      <c r="H2607" s="8"/>
      <c r="I2607" s="8"/>
      <c r="J2607" s="8"/>
      <c r="K2607" s="8"/>
      <c r="L2607" s="8"/>
    </row>
    <row r="2608">
      <c r="A2608" s="8"/>
      <c r="B2608" s="8"/>
      <c r="C2608" s="8"/>
      <c r="D2608" s="8"/>
      <c r="E2608" s="71"/>
      <c r="F2608" s="10"/>
      <c r="G2608" s="8"/>
      <c r="H2608" s="8"/>
      <c r="I2608" s="8"/>
      <c r="J2608" s="8"/>
      <c r="K2608" s="8"/>
      <c r="L2608" s="8"/>
    </row>
    <row r="2609">
      <c r="A2609" s="8"/>
      <c r="B2609" s="8"/>
      <c r="C2609" s="8"/>
      <c r="D2609" s="8"/>
      <c r="E2609" s="71"/>
      <c r="F2609" s="10"/>
      <c r="G2609" s="8"/>
      <c r="H2609" s="8"/>
      <c r="I2609" s="8"/>
      <c r="J2609" s="8"/>
      <c r="K2609" s="8"/>
      <c r="L2609" s="8"/>
    </row>
    <row r="2610">
      <c r="A2610" s="8"/>
      <c r="B2610" s="8"/>
      <c r="C2610" s="8"/>
      <c r="D2610" s="8"/>
      <c r="E2610" s="71"/>
      <c r="F2610" s="10"/>
      <c r="G2610" s="8"/>
      <c r="H2610" s="8"/>
      <c r="I2610" s="8"/>
      <c r="J2610" s="8"/>
      <c r="K2610" s="8"/>
      <c r="L2610" s="8"/>
    </row>
    <row r="2611">
      <c r="A2611" s="8"/>
      <c r="B2611" s="8"/>
      <c r="C2611" s="8"/>
      <c r="D2611" s="8"/>
      <c r="E2611" s="71"/>
      <c r="F2611" s="10"/>
      <c r="G2611" s="8"/>
      <c r="H2611" s="8"/>
      <c r="I2611" s="8"/>
      <c r="J2611" s="8"/>
      <c r="K2611" s="8"/>
      <c r="L2611" s="8"/>
    </row>
    <row r="2612">
      <c r="A2612" s="8"/>
      <c r="B2612" s="8"/>
      <c r="C2612" s="8"/>
      <c r="D2612" s="8"/>
      <c r="E2612" s="71"/>
      <c r="F2612" s="10"/>
      <c r="G2612" s="8"/>
      <c r="H2612" s="8"/>
      <c r="I2612" s="8"/>
      <c r="J2612" s="8"/>
      <c r="K2612" s="8"/>
      <c r="L2612" s="8"/>
    </row>
    <row r="2613">
      <c r="A2613" s="8"/>
      <c r="B2613" s="8"/>
      <c r="C2613" s="8"/>
      <c r="D2613" s="8"/>
      <c r="E2613" s="71"/>
      <c r="F2613" s="10"/>
      <c r="G2613" s="8"/>
      <c r="H2613" s="8"/>
      <c r="I2613" s="8"/>
      <c r="J2613" s="8"/>
      <c r="K2613" s="8"/>
      <c r="L2613" s="8"/>
    </row>
    <row r="2614">
      <c r="A2614" s="8"/>
      <c r="B2614" s="8"/>
      <c r="C2614" s="8"/>
      <c r="D2614" s="8"/>
      <c r="E2614" s="71"/>
      <c r="F2614" s="10"/>
      <c r="G2614" s="8"/>
      <c r="H2614" s="8"/>
      <c r="I2614" s="8"/>
      <c r="J2614" s="8"/>
      <c r="K2614" s="8"/>
      <c r="L2614" s="8"/>
    </row>
    <row r="2615">
      <c r="A2615" s="8"/>
      <c r="B2615" s="8"/>
      <c r="C2615" s="8"/>
      <c r="D2615" s="8"/>
      <c r="E2615" s="71"/>
      <c r="F2615" s="10"/>
      <c r="G2615" s="8"/>
      <c r="H2615" s="8"/>
      <c r="I2615" s="8"/>
      <c r="J2615" s="8"/>
      <c r="K2615" s="8"/>
      <c r="L2615" s="8"/>
    </row>
    <row r="2616">
      <c r="A2616" s="8"/>
      <c r="B2616" s="8"/>
      <c r="C2616" s="8"/>
      <c r="D2616" s="8"/>
      <c r="E2616" s="71"/>
      <c r="F2616" s="10"/>
      <c r="G2616" s="8"/>
      <c r="H2616" s="8"/>
      <c r="I2616" s="8"/>
      <c r="J2616" s="8"/>
      <c r="K2616" s="8"/>
      <c r="L2616" s="8"/>
    </row>
    <row r="2617">
      <c r="A2617" s="8"/>
      <c r="B2617" s="8"/>
      <c r="C2617" s="8"/>
      <c r="D2617" s="8"/>
      <c r="E2617" s="71"/>
      <c r="F2617" s="10"/>
      <c r="G2617" s="8"/>
      <c r="H2617" s="8"/>
      <c r="I2617" s="8"/>
      <c r="J2617" s="8"/>
      <c r="K2617" s="8"/>
      <c r="L2617" s="8"/>
    </row>
    <row r="2618">
      <c r="A2618" s="8"/>
      <c r="B2618" s="8"/>
      <c r="C2618" s="8"/>
      <c r="D2618" s="8"/>
      <c r="E2618" s="71"/>
      <c r="F2618" s="10"/>
      <c r="G2618" s="8"/>
      <c r="H2618" s="8"/>
      <c r="I2618" s="8"/>
      <c r="J2618" s="8"/>
      <c r="K2618" s="8"/>
      <c r="L2618" s="8"/>
    </row>
    <row r="2619">
      <c r="A2619" s="8"/>
      <c r="B2619" s="8"/>
      <c r="C2619" s="8"/>
      <c r="D2619" s="8"/>
      <c r="E2619" s="71"/>
      <c r="F2619" s="10"/>
      <c r="G2619" s="8"/>
      <c r="H2619" s="8"/>
      <c r="I2619" s="8"/>
      <c r="J2619" s="8"/>
      <c r="K2619" s="8"/>
      <c r="L2619" s="8"/>
    </row>
    <row r="2620">
      <c r="A2620" s="8"/>
      <c r="B2620" s="8"/>
      <c r="C2620" s="8"/>
      <c r="D2620" s="8"/>
      <c r="E2620" s="71"/>
      <c r="F2620" s="10"/>
      <c r="G2620" s="8"/>
      <c r="H2620" s="8"/>
      <c r="I2620" s="8"/>
      <c r="J2620" s="8"/>
      <c r="K2620" s="8"/>
      <c r="L2620" s="8"/>
    </row>
    <row r="2621">
      <c r="A2621" s="8"/>
      <c r="B2621" s="8"/>
      <c r="C2621" s="8"/>
      <c r="D2621" s="8"/>
      <c r="E2621" s="71"/>
      <c r="F2621" s="10"/>
      <c r="G2621" s="8"/>
      <c r="H2621" s="8"/>
      <c r="I2621" s="8"/>
      <c r="J2621" s="8"/>
      <c r="K2621" s="8"/>
      <c r="L2621" s="8"/>
    </row>
    <row r="2622">
      <c r="A2622" s="8"/>
      <c r="B2622" s="8"/>
      <c r="C2622" s="8"/>
      <c r="D2622" s="8"/>
      <c r="E2622" s="71"/>
      <c r="F2622" s="10"/>
      <c r="G2622" s="8"/>
      <c r="H2622" s="8"/>
      <c r="I2622" s="8"/>
      <c r="J2622" s="8"/>
      <c r="K2622" s="8"/>
      <c r="L2622" s="8"/>
    </row>
    <row r="2623">
      <c r="A2623" s="8"/>
      <c r="B2623" s="8"/>
      <c r="C2623" s="8"/>
      <c r="D2623" s="8"/>
      <c r="E2623" s="71"/>
      <c r="F2623" s="10"/>
      <c r="G2623" s="8"/>
      <c r="H2623" s="8"/>
      <c r="I2623" s="8"/>
      <c r="J2623" s="8"/>
      <c r="K2623" s="8"/>
      <c r="L2623" s="8"/>
    </row>
    <row r="2624">
      <c r="A2624" s="8"/>
      <c r="B2624" s="8"/>
      <c r="C2624" s="8"/>
      <c r="D2624" s="8"/>
      <c r="E2624" s="71"/>
      <c r="F2624" s="10"/>
      <c r="G2624" s="8"/>
      <c r="H2624" s="8"/>
      <c r="I2624" s="8"/>
      <c r="J2624" s="8"/>
      <c r="K2624" s="8"/>
      <c r="L2624" s="8"/>
    </row>
    <row r="2625">
      <c r="A2625" s="8"/>
      <c r="B2625" s="8"/>
      <c r="C2625" s="8"/>
      <c r="D2625" s="8"/>
      <c r="E2625" s="71"/>
      <c r="F2625" s="10"/>
      <c r="G2625" s="8"/>
      <c r="H2625" s="8"/>
      <c r="I2625" s="8"/>
      <c r="J2625" s="8"/>
      <c r="K2625" s="8"/>
      <c r="L2625" s="8"/>
    </row>
    <row r="2626">
      <c r="A2626" s="8"/>
      <c r="B2626" s="8"/>
      <c r="C2626" s="8"/>
      <c r="D2626" s="8"/>
      <c r="E2626" s="71"/>
      <c r="F2626" s="10"/>
      <c r="G2626" s="8"/>
      <c r="H2626" s="8"/>
      <c r="I2626" s="8"/>
      <c r="J2626" s="8"/>
      <c r="K2626" s="8"/>
      <c r="L2626" s="8"/>
    </row>
    <row r="2627">
      <c r="A2627" s="8"/>
      <c r="B2627" s="8"/>
      <c r="C2627" s="8"/>
      <c r="D2627" s="8"/>
      <c r="E2627" s="71"/>
      <c r="F2627" s="10"/>
      <c r="G2627" s="8"/>
      <c r="H2627" s="8"/>
      <c r="I2627" s="8"/>
      <c r="J2627" s="8"/>
      <c r="K2627" s="8"/>
      <c r="L2627" s="8"/>
    </row>
    <row r="2628">
      <c r="A2628" s="8"/>
      <c r="B2628" s="8"/>
      <c r="C2628" s="8"/>
      <c r="D2628" s="8"/>
      <c r="E2628" s="71"/>
      <c r="F2628" s="10"/>
      <c r="G2628" s="8"/>
      <c r="H2628" s="8"/>
      <c r="I2628" s="8"/>
      <c r="J2628" s="8"/>
      <c r="K2628" s="8"/>
      <c r="L2628" s="8"/>
    </row>
    <row r="2629">
      <c r="A2629" s="8"/>
      <c r="B2629" s="8"/>
      <c r="C2629" s="8"/>
      <c r="D2629" s="8"/>
      <c r="E2629" s="71"/>
      <c r="F2629" s="10"/>
      <c r="G2629" s="8"/>
      <c r="H2629" s="8"/>
      <c r="I2629" s="8"/>
      <c r="J2629" s="8"/>
      <c r="K2629" s="8"/>
      <c r="L2629" s="8"/>
    </row>
    <row r="2630">
      <c r="A2630" s="8"/>
      <c r="B2630" s="8"/>
      <c r="C2630" s="8"/>
      <c r="D2630" s="8"/>
      <c r="E2630" s="71"/>
      <c r="F2630" s="10"/>
      <c r="G2630" s="8"/>
      <c r="H2630" s="8"/>
      <c r="I2630" s="8"/>
      <c r="J2630" s="8"/>
      <c r="K2630" s="8"/>
      <c r="L2630" s="8"/>
    </row>
    <row r="2631">
      <c r="A2631" s="8"/>
      <c r="B2631" s="8"/>
      <c r="C2631" s="8"/>
      <c r="D2631" s="8"/>
      <c r="E2631" s="71"/>
      <c r="F2631" s="10"/>
      <c r="G2631" s="8"/>
      <c r="H2631" s="8"/>
      <c r="I2631" s="8"/>
      <c r="J2631" s="8"/>
      <c r="K2631" s="8"/>
      <c r="L2631" s="8"/>
    </row>
    <row r="2632">
      <c r="A2632" s="8"/>
      <c r="B2632" s="8"/>
      <c r="C2632" s="8"/>
      <c r="D2632" s="8"/>
      <c r="E2632" s="71"/>
      <c r="F2632" s="10"/>
      <c r="G2632" s="8"/>
      <c r="H2632" s="8"/>
      <c r="I2632" s="8"/>
      <c r="J2632" s="8"/>
      <c r="K2632" s="8"/>
      <c r="L2632" s="8"/>
    </row>
    <row r="2633">
      <c r="A2633" s="8"/>
      <c r="B2633" s="8"/>
      <c r="C2633" s="8"/>
      <c r="D2633" s="8"/>
      <c r="E2633" s="71"/>
      <c r="F2633" s="10"/>
      <c r="G2633" s="8"/>
      <c r="H2633" s="8"/>
      <c r="I2633" s="8"/>
      <c r="J2633" s="8"/>
      <c r="K2633" s="8"/>
      <c r="L2633" s="8"/>
    </row>
    <row r="2634">
      <c r="A2634" s="8"/>
      <c r="B2634" s="8"/>
      <c r="C2634" s="8"/>
      <c r="D2634" s="8"/>
      <c r="E2634" s="71"/>
      <c r="F2634" s="10"/>
      <c r="G2634" s="8"/>
      <c r="H2634" s="8"/>
      <c r="I2634" s="8"/>
      <c r="J2634" s="8"/>
      <c r="K2634" s="8"/>
      <c r="L2634" s="8"/>
    </row>
    <row r="2635">
      <c r="A2635" s="8"/>
      <c r="B2635" s="8"/>
      <c r="C2635" s="8"/>
      <c r="D2635" s="8"/>
      <c r="E2635" s="71"/>
      <c r="F2635" s="10"/>
      <c r="G2635" s="8"/>
      <c r="H2635" s="8"/>
      <c r="I2635" s="8"/>
      <c r="J2635" s="8"/>
      <c r="K2635" s="8"/>
      <c r="L2635" s="8"/>
    </row>
    <row r="2636">
      <c r="A2636" s="8"/>
      <c r="B2636" s="8"/>
      <c r="C2636" s="8"/>
      <c r="D2636" s="8"/>
      <c r="E2636" s="71"/>
      <c r="F2636" s="10"/>
      <c r="G2636" s="8"/>
      <c r="H2636" s="8"/>
      <c r="I2636" s="8"/>
      <c r="J2636" s="8"/>
      <c r="K2636" s="8"/>
      <c r="L2636" s="8"/>
    </row>
    <row r="2637">
      <c r="A2637" s="8"/>
      <c r="B2637" s="8"/>
      <c r="C2637" s="8"/>
      <c r="D2637" s="8"/>
      <c r="E2637" s="71"/>
      <c r="F2637" s="10"/>
      <c r="G2637" s="8"/>
      <c r="H2637" s="8"/>
      <c r="I2637" s="8"/>
      <c r="J2637" s="8"/>
      <c r="K2637" s="8"/>
      <c r="L2637" s="8"/>
    </row>
    <row r="2638">
      <c r="A2638" s="8"/>
      <c r="B2638" s="8"/>
      <c r="C2638" s="8"/>
      <c r="D2638" s="8"/>
      <c r="E2638" s="71"/>
      <c r="F2638" s="10"/>
      <c r="G2638" s="8"/>
      <c r="H2638" s="8"/>
      <c r="I2638" s="8"/>
      <c r="J2638" s="8"/>
      <c r="K2638" s="8"/>
      <c r="L2638" s="8"/>
    </row>
    <row r="2639">
      <c r="A2639" s="8"/>
      <c r="B2639" s="8"/>
      <c r="C2639" s="8"/>
      <c r="D2639" s="8"/>
      <c r="E2639" s="71"/>
      <c r="F2639" s="10"/>
      <c r="G2639" s="8"/>
      <c r="H2639" s="8"/>
      <c r="I2639" s="8"/>
      <c r="J2639" s="8"/>
      <c r="K2639" s="8"/>
      <c r="L2639" s="8"/>
    </row>
    <row r="2640">
      <c r="A2640" s="8"/>
      <c r="B2640" s="8"/>
      <c r="C2640" s="8"/>
      <c r="D2640" s="8"/>
      <c r="E2640" s="71"/>
      <c r="F2640" s="10"/>
      <c r="G2640" s="8"/>
      <c r="H2640" s="8"/>
      <c r="I2640" s="8"/>
      <c r="J2640" s="8"/>
      <c r="K2640" s="8"/>
      <c r="L2640" s="8"/>
    </row>
    <row r="2641">
      <c r="A2641" s="8"/>
      <c r="B2641" s="8"/>
      <c r="C2641" s="8"/>
      <c r="D2641" s="8"/>
      <c r="E2641" s="71"/>
      <c r="F2641" s="10"/>
      <c r="G2641" s="8"/>
      <c r="H2641" s="8"/>
      <c r="I2641" s="8"/>
      <c r="J2641" s="8"/>
      <c r="K2641" s="8"/>
      <c r="L2641" s="8"/>
    </row>
    <row r="2642">
      <c r="A2642" s="8"/>
      <c r="B2642" s="8"/>
      <c r="C2642" s="8"/>
      <c r="D2642" s="8"/>
      <c r="E2642" s="71"/>
      <c r="F2642" s="10"/>
      <c r="G2642" s="8"/>
      <c r="H2642" s="8"/>
      <c r="I2642" s="8"/>
      <c r="J2642" s="8"/>
      <c r="K2642" s="8"/>
      <c r="L2642" s="8"/>
    </row>
    <row r="2643">
      <c r="A2643" s="8"/>
      <c r="B2643" s="8"/>
      <c r="C2643" s="8"/>
      <c r="D2643" s="8"/>
      <c r="E2643" s="71"/>
      <c r="F2643" s="10"/>
      <c r="G2643" s="8"/>
      <c r="H2643" s="8"/>
      <c r="I2643" s="8"/>
      <c r="J2643" s="8"/>
      <c r="K2643" s="8"/>
      <c r="L2643" s="8"/>
    </row>
    <row r="2644">
      <c r="A2644" s="8"/>
      <c r="B2644" s="8"/>
      <c r="C2644" s="8"/>
      <c r="D2644" s="8"/>
      <c r="E2644" s="71"/>
      <c r="F2644" s="10"/>
      <c r="G2644" s="8"/>
      <c r="H2644" s="8"/>
      <c r="I2644" s="8"/>
      <c r="J2644" s="8"/>
      <c r="K2644" s="8"/>
      <c r="L2644" s="8"/>
    </row>
    <row r="2645">
      <c r="A2645" s="8"/>
      <c r="B2645" s="8"/>
      <c r="C2645" s="8"/>
      <c r="D2645" s="8"/>
      <c r="E2645" s="71"/>
      <c r="F2645" s="10"/>
      <c r="G2645" s="8"/>
      <c r="H2645" s="8"/>
      <c r="I2645" s="8"/>
      <c r="J2645" s="8"/>
      <c r="K2645" s="8"/>
      <c r="L2645" s="8"/>
    </row>
    <row r="2646">
      <c r="A2646" s="8"/>
      <c r="B2646" s="8"/>
      <c r="C2646" s="8"/>
      <c r="D2646" s="8"/>
      <c r="E2646" s="71"/>
      <c r="F2646" s="10"/>
      <c r="G2646" s="8"/>
      <c r="H2646" s="8"/>
      <c r="I2646" s="8"/>
      <c r="J2646" s="8"/>
      <c r="K2646" s="8"/>
      <c r="L2646" s="8"/>
    </row>
    <row r="2647">
      <c r="A2647" s="8"/>
      <c r="B2647" s="8"/>
      <c r="C2647" s="8"/>
      <c r="D2647" s="8"/>
      <c r="E2647" s="71"/>
      <c r="F2647" s="10"/>
      <c r="G2647" s="8"/>
      <c r="H2647" s="8"/>
      <c r="I2647" s="8"/>
      <c r="J2647" s="8"/>
      <c r="K2647" s="8"/>
      <c r="L2647" s="8"/>
    </row>
    <row r="2648">
      <c r="A2648" s="8"/>
      <c r="B2648" s="8"/>
      <c r="C2648" s="8"/>
      <c r="D2648" s="8"/>
      <c r="E2648" s="71"/>
      <c r="F2648" s="10"/>
      <c r="G2648" s="8"/>
      <c r="H2648" s="8"/>
      <c r="I2648" s="8"/>
      <c r="J2648" s="8"/>
      <c r="K2648" s="8"/>
      <c r="L2648" s="8"/>
    </row>
    <row r="2649">
      <c r="A2649" s="8"/>
      <c r="B2649" s="8"/>
      <c r="C2649" s="8"/>
      <c r="D2649" s="8"/>
      <c r="E2649" s="71"/>
      <c r="F2649" s="10"/>
      <c r="G2649" s="8"/>
      <c r="H2649" s="8"/>
      <c r="I2649" s="8"/>
      <c r="J2649" s="8"/>
      <c r="K2649" s="8"/>
      <c r="L2649" s="8"/>
    </row>
    <row r="2650">
      <c r="A2650" s="8"/>
      <c r="B2650" s="8"/>
      <c r="C2650" s="8"/>
      <c r="D2650" s="8"/>
      <c r="E2650" s="71"/>
      <c r="F2650" s="10"/>
      <c r="G2650" s="8"/>
      <c r="H2650" s="8"/>
      <c r="I2650" s="8"/>
      <c r="J2650" s="8"/>
      <c r="K2650" s="8"/>
      <c r="L2650" s="8"/>
    </row>
    <row r="2651">
      <c r="A2651" s="8"/>
      <c r="B2651" s="8"/>
      <c r="C2651" s="8"/>
      <c r="D2651" s="8"/>
      <c r="E2651" s="71"/>
      <c r="F2651" s="10"/>
      <c r="G2651" s="8"/>
      <c r="H2651" s="8"/>
      <c r="I2651" s="8"/>
      <c r="J2651" s="8"/>
      <c r="K2651" s="8"/>
      <c r="L2651" s="8"/>
    </row>
    <row r="2652">
      <c r="A2652" s="8"/>
      <c r="B2652" s="8"/>
      <c r="C2652" s="8"/>
      <c r="D2652" s="8"/>
      <c r="E2652" s="71"/>
      <c r="F2652" s="10"/>
      <c r="G2652" s="8"/>
      <c r="H2652" s="8"/>
      <c r="I2652" s="8"/>
      <c r="J2652" s="8"/>
      <c r="K2652" s="8"/>
      <c r="L2652" s="8"/>
    </row>
    <row r="2653">
      <c r="A2653" s="8"/>
      <c r="B2653" s="8"/>
      <c r="C2653" s="8"/>
      <c r="D2653" s="8"/>
      <c r="E2653" s="71"/>
      <c r="F2653" s="10"/>
      <c r="G2653" s="8"/>
      <c r="H2653" s="8"/>
      <c r="I2653" s="8"/>
      <c r="J2653" s="8"/>
      <c r="K2653" s="8"/>
      <c r="L2653" s="8"/>
    </row>
    <row r="2654">
      <c r="A2654" s="8"/>
      <c r="B2654" s="8"/>
      <c r="C2654" s="8"/>
      <c r="D2654" s="8"/>
      <c r="E2654" s="71"/>
      <c r="F2654" s="10"/>
      <c r="G2654" s="8"/>
      <c r="H2654" s="8"/>
      <c r="I2654" s="8"/>
      <c r="J2654" s="8"/>
      <c r="K2654" s="8"/>
      <c r="L2654" s="8"/>
    </row>
    <row r="2655">
      <c r="A2655" s="8"/>
      <c r="B2655" s="8"/>
      <c r="C2655" s="8"/>
      <c r="D2655" s="8"/>
      <c r="E2655" s="71"/>
      <c r="F2655" s="10"/>
      <c r="G2655" s="8"/>
      <c r="H2655" s="8"/>
      <c r="I2655" s="8"/>
      <c r="J2655" s="8"/>
      <c r="K2655" s="8"/>
      <c r="L2655" s="8"/>
    </row>
    <row r="2656">
      <c r="A2656" s="8"/>
      <c r="B2656" s="8"/>
      <c r="C2656" s="8"/>
      <c r="D2656" s="8"/>
      <c r="E2656" s="71"/>
      <c r="F2656" s="10"/>
      <c r="G2656" s="8"/>
      <c r="H2656" s="8"/>
      <c r="I2656" s="8"/>
      <c r="J2656" s="8"/>
      <c r="K2656" s="8"/>
      <c r="L2656" s="8"/>
    </row>
    <row r="2657">
      <c r="A2657" s="8"/>
      <c r="B2657" s="8"/>
      <c r="C2657" s="8"/>
      <c r="D2657" s="8"/>
      <c r="E2657" s="71"/>
      <c r="F2657" s="10"/>
      <c r="G2657" s="8"/>
      <c r="H2657" s="8"/>
      <c r="I2657" s="8"/>
      <c r="J2657" s="8"/>
      <c r="K2657" s="8"/>
      <c r="L2657" s="8"/>
    </row>
    <row r="2658">
      <c r="A2658" s="8"/>
      <c r="B2658" s="8"/>
      <c r="C2658" s="8"/>
      <c r="D2658" s="8"/>
      <c r="E2658" s="71"/>
      <c r="F2658" s="10"/>
      <c r="G2658" s="8"/>
      <c r="H2658" s="8"/>
      <c r="I2658" s="8"/>
      <c r="J2658" s="8"/>
      <c r="K2658" s="8"/>
      <c r="L2658" s="8"/>
    </row>
    <row r="2659">
      <c r="A2659" s="8"/>
      <c r="B2659" s="8"/>
      <c r="C2659" s="8"/>
      <c r="D2659" s="8"/>
      <c r="E2659" s="71"/>
      <c r="F2659" s="10"/>
      <c r="G2659" s="8"/>
      <c r="H2659" s="8"/>
      <c r="I2659" s="8"/>
      <c r="J2659" s="8"/>
      <c r="K2659" s="8"/>
      <c r="L2659" s="8"/>
    </row>
    <row r="2660">
      <c r="A2660" s="8"/>
      <c r="B2660" s="8"/>
      <c r="C2660" s="8"/>
      <c r="D2660" s="8"/>
      <c r="E2660" s="71"/>
      <c r="F2660" s="10"/>
      <c r="G2660" s="8"/>
      <c r="H2660" s="8"/>
      <c r="I2660" s="8"/>
      <c r="J2660" s="8"/>
      <c r="K2660" s="8"/>
      <c r="L2660" s="8"/>
    </row>
    <row r="2661">
      <c r="A2661" s="8"/>
      <c r="B2661" s="8"/>
      <c r="C2661" s="8"/>
      <c r="D2661" s="8"/>
      <c r="E2661" s="71"/>
      <c r="F2661" s="10"/>
      <c r="G2661" s="8"/>
      <c r="H2661" s="8"/>
      <c r="I2661" s="8"/>
      <c r="J2661" s="8"/>
      <c r="K2661" s="8"/>
      <c r="L2661" s="8"/>
    </row>
    <row r="2662">
      <c r="A2662" s="8"/>
      <c r="B2662" s="8"/>
      <c r="C2662" s="8"/>
      <c r="D2662" s="8"/>
      <c r="E2662" s="71"/>
      <c r="F2662" s="10"/>
      <c r="G2662" s="8"/>
      <c r="H2662" s="8"/>
      <c r="I2662" s="8"/>
      <c r="J2662" s="8"/>
      <c r="K2662" s="8"/>
      <c r="L2662" s="8"/>
    </row>
    <row r="2663">
      <c r="A2663" s="8"/>
      <c r="B2663" s="8"/>
      <c r="C2663" s="8"/>
      <c r="D2663" s="8"/>
      <c r="E2663" s="71"/>
      <c r="F2663" s="10"/>
      <c r="G2663" s="8"/>
      <c r="H2663" s="8"/>
      <c r="I2663" s="8"/>
      <c r="J2663" s="8"/>
      <c r="K2663" s="8"/>
      <c r="L2663" s="8"/>
    </row>
    <row r="2664">
      <c r="A2664" s="8"/>
      <c r="B2664" s="8"/>
      <c r="C2664" s="8"/>
      <c r="D2664" s="8"/>
      <c r="E2664" s="71"/>
      <c r="F2664" s="10"/>
      <c r="G2664" s="8"/>
      <c r="H2664" s="8"/>
      <c r="I2664" s="8"/>
      <c r="J2664" s="8"/>
      <c r="K2664" s="8"/>
      <c r="L2664" s="8"/>
    </row>
    <row r="2665">
      <c r="A2665" s="8"/>
      <c r="B2665" s="8"/>
      <c r="C2665" s="8"/>
      <c r="D2665" s="8"/>
      <c r="E2665" s="71"/>
      <c r="F2665" s="10"/>
      <c r="G2665" s="8"/>
      <c r="H2665" s="8"/>
      <c r="I2665" s="8"/>
      <c r="J2665" s="8"/>
      <c r="K2665" s="8"/>
      <c r="L2665" s="8"/>
    </row>
    <row r="2666">
      <c r="A2666" s="8"/>
      <c r="B2666" s="8"/>
      <c r="C2666" s="8"/>
      <c r="D2666" s="8"/>
      <c r="E2666" s="71"/>
      <c r="F2666" s="10"/>
      <c r="G2666" s="8"/>
      <c r="H2666" s="8"/>
      <c r="I2666" s="8"/>
      <c r="J2666" s="8"/>
      <c r="K2666" s="8"/>
      <c r="L2666" s="8"/>
    </row>
    <row r="2667">
      <c r="A2667" s="8"/>
      <c r="B2667" s="8"/>
      <c r="C2667" s="8"/>
      <c r="D2667" s="8"/>
      <c r="E2667" s="71"/>
      <c r="F2667" s="10"/>
      <c r="G2667" s="8"/>
      <c r="H2667" s="8"/>
      <c r="I2667" s="8"/>
      <c r="J2667" s="8"/>
      <c r="K2667" s="8"/>
      <c r="L2667" s="8"/>
    </row>
    <row r="2668">
      <c r="A2668" s="8"/>
      <c r="B2668" s="8"/>
      <c r="C2668" s="8"/>
      <c r="D2668" s="8"/>
      <c r="E2668" s="71"/>
      <c r="F2668" s="10"/>
      <c r="G2668" s="8"/>
      <c r="H2668" s="8"/>
      <c r="I2668" s="8"/>
      <c r="J2668" s="8"/>
      <c r="K2668" s="8"/>
      <c r="L2668" s="8"/>
    </row>
    <row r="2669">
      <c r="A2669" s="8"/>
      <c r="B2669" s="8"/>
      <c r="C2669" s="8"/>
      <c r="D2669" s="8"/>
      <c r="E2669" s="71"/>
      <c r="F2669" s="10"/>
      <c r="G2669" s="8"/>
      <c r="H2669" s="8"/>
      <c r="I2669" s="8"/>
      <c r="J2669" s="8"/>
      <c r="K2669" s="8"/>
      <c r="L2669" s="8"/>
    </row>
    <row r="2670">
      <c r="A2670" s="8"/>
      <c r="B2670" s="8"/>
      <c r="C2670" s="8"/>
      <c r="D2670" s="8"/>
      <c r="E2670" s="71"/>
      <c r="F2670" s="10"/>
      <c r="G2670" s="8"/>
      <c r="H2670" s="8"/>
      <c r="I2670" s="8"/>
      <c r="J2670" s="8"/>
      <c r="K2670" s="8"/>
      <c r="L2670" s="8"/>
    </row>
    <row r="2671">
      <c r="A2671" s="8"/>
      <c r="B2671" s="8"/>
      <c r="C2671" s="8"/>
      <c r="D2671" s="8"/>
      <c r="E2671" s="71"/>
      <c r="F2671" s="10"/>
      <c r="G2671" s="8"/>
      <c r="H2671" s="8"/>
      <c r="I2671" s="8"/>
      <c r="J2671" s="8"/>
      <c r="K2671" s="8"/>
      <c r="L2671" s="8"/>
    </row>
    <row r="2672">
      <c r="A2672" s="8"/>
      <c r="B2672" s="8"/>
      <c r="C2672" s="8"/>
      <c r="D2672" s="8"/>
      <c r="E2672" s="71"/>
      <c r="F2672" s="10"/>
      <c r="G2672" s="8"/>
      <c r="H2672" s="8"/>
      <c r="I2672" s="8"/>
      <c r="J2672" s="8"/>
      <c r="K2672" s="8"/>
      <c r="L2672" s="8"/>
    </row>
    <row r="2673">
      <c r="A2673" s="8"/>
      <c r="B2673" s="8"/>
      <c r="C2673" s="8"/>
      <c r="D2673" s="8"/>
      <c r="E2673" s="71"/>
      <c r="F2673" s="10"/>
      <c r="G2673" s="8"/>
      <c r="H2673" s="8"/>
      <c r="I2673" s="8"/>
      <c r="J2673" s="8"/>
      <c r="K2673" s="8"/>
      <c r="L2673" s="8"/>
    </row>
    <row r="2674">
      <c r="A2674" s="8"/>
      <c r="B2674" s="8"/>
      <c r="C2674" s="8"/>
      <c r="D2674" s="8"/>
      <c r="E2674" s="71"/>
      <c r="F2674" s="10"/>
      <c r="G2674" s="8"/>
      <c r="H2674" s="8"/>
      <c r="I2674" s="8"/>
      <c r="J2674" s="8"/>
      <c r="K2674" s="8"/>
      <c r="L2674" s="8"/>
    </row>
    <row r="2675">
      <c r="A2675" s="8"/>
      <c r="B2675" s="8"/>
      <c r="C2675" s="8"/>
      <c r="D2675" s="8"/>
      <c r="E2675" s="71"/>
      <c r="F2675" s="10"/>
      <c r="G2675" s="8"/>
      <c r="H2675" s="8"/>
      <c r="I2675" s="8"/>
      <c r="J2675" s="8"/>
      <c r="K2675" s="8"/>
      <c r="L2675" s="8"/>
    </row>
    <row r="2676">
      <c r="A2676" s="8"/>
      <c r="B2676" s="8"/>
      <c r="C2676" s="8"/>
      <c r="D2676" s="8"/>
      <c r="E2676" s="71"/>
      <c r="F2676" s="10"/>
      <c r="G2676" s="8"/>
      <c r="H2676" s="8"/>
      <c r="I2676" s="8"/>
      <c r="J2676" s="8"/>
      <c r="K2676" s="8"/>
      <c r="L2676" s="8"/>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C361"/>
    <hyperlink r:id="rId361" ref="C362"/>
    <hyperlink r:id="rId362" ref="C363"/>
    <hyperlink r:id="rId363" ref="C364"/>
    <hyperlink r:id="rId364" ref="C365"/>
    <hyperlink r:id="rId365" ref="C366"/>
    <hyperlink r:id="rId366" ref="C367"/>
    <hyperlink r:id="rId367" ref="C368"/>
    <hyperlink r:id="rId368" ref="C369"/>
    <hyperlink r:id="rId369" ref="C370"/>
    <hyperlink r:id="rId370" ref="C371"/>
    <hyperlink r:id="rId371" ref="C372"/>
    <hyperlink r:id="rId372" ref="C373"/>
    <hyperlink r:id="rId373" ref="C374"/>
    <hyperlink r:id="rId374" ref="C375"/>
    <hyperlink r:id="rId375" ref="C376"/>
    <hyperlink r:id="rId376" ref="C377"/>
    <hyperlink r:id="rId377" ref="C378"/>
    <hyperlink r:id="rId378" ref="C379"/>
    <hyperlink r:id="rId379" ref="C380"/>
    <hyperlink r:id="rId380" ref="C381"/>
    <hyperlink r:id="rId381" ref="C382"/>
    <hyperlink r:id="rId382" ref="C383"/>
    <hyperlink r:id="rId383" ref="C384"/>
    <hyperlink r:id="rId384" ref="C385"/>
    <hyperlink r:id="rId385" ref="C386"/>
    <hyperlink r:id="rId386" ref="C387"/>
    <hyperlink r:id="rId387" ref="C388"/>
    <hyperlink r:id="rId388" ref="C389"/>
    <hyperlink r:id="rId389" ref="C390"/>
    <hyperlink r:id="rId390" ref="C391"/>
    <hyperlink r:id="rId391" ref="C392"/>
    <hyperlink r:id="rId392" ref="C393"/>
    <hyperlink r:id="rId393" ref="C394"/>
    <hyperlink r:id="rId394" ref="C395"/>
    <hyperlink r:id="rId395" ref="C396"/>
    <hyperlink r:id="rId396" ref="C397"/>
    <hyperlink r:id="rId397" ref="C398"/>
    <hyperlink r:id="rId398" ref="C399"/>
    <hyperlink r:id="rId399" ref="C400"/>
    <hyperlink r:id="rId400" ref="C401"/>
    <hyperlink r:id="rId401" ref="C402"/>
    <hyperlink r:id="rId402" ref="C403"/>
    <hyperlink r:id="rId403" ref="C404"/>
    <hyperlink r:id="rId404" ref="C405"/>
    <hyperlink r:id="rId405" ref="C406"/>
    <hyperlink r:id="rId406" ref="C407"/>
    <hyperlink r:id="rId407" ref="C408"/>
    <hyperlink r:id="rId408" ref="C409"/>
    <hyperlink r:id="rId409" ref="C410"/>
    <hyperlink r:id="rId410" ref="C411"/>
    <hyperlink r:id="rId411" ref="C412"/>
    <hyperlink r:id="rId412" ref="C413"/>
    <hyperlink r:id="rId413" ref="C414"/>
    <hyperlink r:id="rId414" ref="C415"/>
    <hyperlink r:id="rId415" ref="C416"/>
    <hyperlink r:id="rId416" ref="C417"/>
    <hyperlink r:id="rId417" ref="C418"/>
    <hyperlink r:id="rId418" ref="C419"/>
    <hyperlink r:id="rId419" ref="C420"/>
    <hyperlink r:id="rId420" ref="C421"/>
    <hyperlink r:id="rId421" ref="C422"/>
    <hyperlink r:id="rId422" ref="C423"/>
    <hyperlink r:id="rId423" ref="C424"/>
    <hyperlink r:id="rId424" ref="C425"/>
    <hyperlink r:id="rId425" ref="C426"/>
    <hyperlink r:id="rId426" ref="C427"/>
    <hyperlink r:id="rId427" ref="C428"/>
    <hyperlink r:id="rId428" ref="C429"/>
    <hyperlink r:id="rId429" ref="C430"/>
    <hyperlink r:id="rId430" ref="C431"/>
    <hyperlink r:id="rId431" ref="C432"/>
    <hyperlink r:id="rId432" ref="C433"/>
    <hyperlink r:id="rId433" ref="C434"/>
    <hyperlink r:id="rId434" ref="C435"/>
    <hyperlink r:id="rId435" ref="C436"/>
    <hyperlink r:id="rId436" ref="C437"/>
    <hyperlink r:id="rId437" ref="C438"/>
    <hyperlink r:id="rId438" ref="C439"/>
    <hyperlink r:id="rId439" ref="C440"/>
    <hyperlink r:id="rId440" ref="C441"/>
    <hyperlink r:id="rId441" ref="C442"/>
    <hyperlink r:id="rId442" ref="C443"/>
    <hyperlink r:id="rId443" ref="C444"/>
    <hyperlink r:id="rId444" ref="C445"/>
    <hyperlink r:id="rId445" ref="C446"/>
    <hyperlink r:id="rId446" ref="C447"/>
    <hyperlink r:id="rId447" ref="C448"/>
    <hyperlink r:id="rId448" ref="C449"/>
    <hyperlink r:id="rId449" ref="C450"/>
    <hyperlink r:id="rId450" ref="C451"/>
    <hyperlink r:id="rId451" ref="C452"/>
    <hyperlink r:id="rId452" ref="C453"/>
    <hyperlink r:id="rId453" ref="C454"/>
    <hyperlink r:id="rId454" ref="C455"/>
    <hyperlink r:id="rId455" ref="C456"/>
    <hyperlink r:id="rId456" ref="C457"/>
    <hyperlink r:id="rId457" ref="C458"/>
    <hyperlink r:id="rId458" ref="C459"/>
    <hyperlink r:id="rId459" ref="C460"/>
    <hyperlink r:id="rId460" ref="C461"/>
    <hyperlink r:id="rId461" ref="C462"/>
    <hyperlink r:id="rId462" ref="C463"/>
    <hyperlink r:id="rId463" ref="C464"/>
    <hyperlink r:id="rId464" ref="C465"/>
    <hyperlink r:id="rId465" ref="C466"/>
    <hyperlink r:id="rId466" ref="C467"/>
    <hyperlink r:id="rId467" ref="C468"/>
    <hyperlink r:id="rId468" ref="C469"/>
    <hyperlink r:id="rId469" ref="C470"/>
    <hyperlink r:id="rId470" ref="C471"/>
    <hyperlink r:id="rId471" ref="C472"/>
    <hyperlink r:id="rId472" ref="C473"/>
    <hyperlink r:id="rId473" ref="C474"/>
    <hyperlink r:id="rId474" ref="C475"/>
    <hyperlink r:id="rId475" ref="C476"/>
    <hyperlink r:id="rId476" ref="C477"/>
    <hyperlink r:id="rId477" ref="C478"/>
    <hyperlink r:id="rId478" ref="C479"/>
    <hyperlink r:id="rId479" ref="C480"/>
    <hyperlink r:id="rId480" ref="C481"/>
    <hyperlink r:id="rId481" ref="C482"/>
    <hyperlink r:id="rId482" ref="C483"/>
    <hyperlink r:id="rId483" ref="C484"/>
    <hyperlink r:id="rId484" ref="C485"/>
    <hyperlink r:id="rId485" ref="C486"/>
    <hyperlink r:id="rId486" ref="C487"/>
    <hyperlink r:id="rId487" ref="C488"/>
    <hyperlink r:id="rId488" ref="C489"/>
    <hyperlink r:id="rId489" ref="C490"/>
    <hyperlink r:id="rId490" ref="C491"/>
    <hyperlink r:id="rId491" ref="C492"/>
    <hyperlink r:id="rId492" ref="C493"/>
    <hyperlink r:id="rId493" ref="C494"/>
    <hyperlink r:id="rId494" ref="C495"/>
    <hyperlink r:id="rId495" ref="C496"/>
    <hyperlink r:id="rId496" ref="C497"/>
    <hyperlink r:id="rId497" ref="C498"/>
    <hyperlink r:id="rId498" ref="C499"/>
    <hyperlink r:id="rId499" ref="C500"/>
    <hyperlink r:id="rId500" ref="C501"/>
    <hyperlink r:id="rId501" ref="C502"/>
    <hyperlink r:id="rId502" ref="C503"/>
    <hyperlink r:id="rId503" ref="C504"/>
    <hyperlink r:id="rId504" ref="C505"/>
    <hyperlink r:id="rId505" ref="C506"/>
    <hyperlink r:id="rId506" ref="C507"/>
    <hyperlink r:id="rId507" ref="C508"/>
    <hyperlink r:id="rId508" ref="C509"/>
    <hyperlink r:id="rId509" ref="C510"/>
    <hyperlink r:id="rId510" ref="C511"/>
    <hyperlink r:id="rId511" ref="C512"/>
    <hyperlink r:id="rId512" ref="C513"/>
    <hyperlink r:id="rId513" ref="C514"/>
    <hyperlink r:id="rId514" ref="C515"/>
    <hyperlink r:id="rId515" ref="C516"/>
    <hyperlink r:id="rId516" ref="C517"/>
    <hyperlink r:id="rId517" ref="C518"/>
    <hyperlink r:id="rId518" ref="C519"/>
    <hyperlink r:id="rId519" ref="C520"/>
    <hyperlink r:id="rId520" ref="C521"/>
    <hyperlink r:id="rId521" ref="C522"/>
    <hyperlink r:id="rId522" ref="C523"/>
    <hyperlink r:id="rId523" ref="C524"/>
    <hyperlink r:id="rId524" ref="C525"/>
    <hyperlink r:id="rId525" ref="C526"/>
    <hyperlink r:id="rId526" ref="C527"/>
    <hyperlink r:id="rId527" ref="C528"/>
    <hyperlink r:id="rId528" ref="C529"/>
    <hyperlink r:id="rId529" ref="C530"/>
    <hyperlink r:id="rId530" ref="C531"/>
    <hyperlink r:id="rId531" ref="C532"/>
    <hyperlink r:id="rId532" ref="C533"/>
    <hyperlink r:id="rId533" ref="C534"/>
    <hyperlink r:id="rId534" ref="C535"/>
    <hyperlink r:id="rId535" ref="C536"/>
    <hyperlink r:id="rId536" ref="C537"/>
    <hyperlink r:id="rId537" ref="C538"/>
    <hyperlink r:id="rId538" ref="C539"/>
    <hyperlink r:id="rId539" ref="C540"/>
    <hyperlink r:id="rId540" ref="C541"/>
    <hyperlink r:id="rId541" ref="C542"/>
    <hyperlink r:id="rId542" ref="C543"/>
    <hyperlink r:id="rId543" ref="C544"/>
    <hyperlink r:id="rId544" ref="C545"/>
    <hyperlink r:id="rId545" ref="C546"/>
    <hyperlink r:id="rId546" ref="C547"/>
    <hyperlink r:id="rId547" ref="C548"/>
    <hyperlink r:id="rId548" ref="C549"/>
    <hyperlink r:id="rId549" ref="C550"/>
    <hyperlink r:id="rId550" ref="C551"/>
    <hyperlink r:id="rId551" ref="C552"/>
    <hyperlink r:id="rId552" ref="C553"/>
    <hyperlink r:id="rId553" ref="C554"/>
    <hyperlink r:id="rId554" ref="C555"/>
    <hyperlink r:id="rId555" ref="C556"/>
    <hyperlink r:id="rId556" ref="C557"/>
    <hyperlink r:id="rId557" ref="C558"/>
    <hyperlink r:id="rId558" ref="C559"/>
    <hyperlink r:id="rId559" ref="C560"/>
    <hyperlink r:id="rId560" ref="C561"/>
    <hyperlink r:id="rId561" ref="C562"/>
    <hyperlink r:id="rId562" ref="C563"/>
    <hyperlink r:id="rId563" ref="C564"/>
    <hyperlink r:id="rId564" ref="C565"/>
    <hyperlink r:id="rId565" ref="C566"/>
    <hyperlink r:id="rId566" ref="C567"/>
    <hyperlink r:id="rId567" ref="C568"/>
    <hyperlink r:id="rId568" ref="C569"/>
    <hyperlink r:id="rId569" ref="C570"/>
    <hyperlink r:id="rId570" ref="C571"/>
    <hyperlink r:id="rId571" ref="C572"/>
    <hyperlink r:id="rId572" ref="C573"/>
    <hyperlink r:id="rId573" ref="C574"/>
    <hyperlink r:id="rId574" ref="C575"/>
    <hyperlink r:id="rId575" ref="C576"/>
    <hyperlink r:id="rId576" ref="C577"/>
    <hyperlink r:id="rId577" ref="C578"/>
    <hyperlink r:id="rId578" ref="C579"/>
    <hyperlink r:id="rId579" ref="C580"/>
    <hyperlink r:id="rId580" ref="C581"/>
    <hyperlink r:id="rId581" ref="C582"/>
    <hyperlink r:id="rId582" ref="C583"/>
    <hyperlink r:id="rId583" ref="C584"/>
    <hyperlink r:id="rId584" ref="C585"/>
    <hyperlink r:id="rId585" ref="C586"/>
    <hyperlink r:id="rId586" ref="C587"/>
    <hyperlink r:id="rId587" ref="C588"/>
    <hyperlink r:id="rId588" ref="C589"/>
    <hyperlink r:id="rId589" ref="C590"/>
    <hyperlink r:id="rId590" ref="C591"/>
    <hyperlink r:id="rId591" ref="C592"/>
    <hyperlink r:id="rId592" ref="C593"/>
    <hyperlink r:id="rId593" ref="C594"/>
    <hyperlink r:id="rId594" ref="C595"/>
    <hyperlink r:id="rId595" ref="C596"/>
    <hyperlink r:id="rId596" ref="C597"/>
    <hyperlink r:id="rId597" ref="C598"/>
    <hyperlink r:id="rId598" ref="C599"/>
    <hyperlink r:id="rId599" ref="C600"/>
    <hyperlink r:id="rId600" ref="C601"/>
    <hyperlink r:id="rId601" ref="C602"/>
    <hyperlink r:id="rId602" ref="C603"/>
    <hyperlink r:id="rId603" ref="C604"/>
    <hyperlink r:id="rId604" ref="C605"/>
    <hyperlink r:id="rId605" ref="C606"/>
    <hyperlink r:id="rId606" ref="C607"/>
    <hyperlink r:id="rId607" ref="C608"/>
    <hyperlink r:id="rId608" ref="C609"/>
    <hyperlink r:id="rId609" ref="C610"/>
    <hyperlink r:id="rId610" ref="C611"/>
    <hyperlink r:id="rId611" ref="C612"/>
    <hyperlink r:id="rId612" ref="C613"/>
    <hyperlink r:id="rId613" ref="C614"/>
    <hyperlink r:id="rId614" ref="C615"/>
    <hyperlink r:id="rId615" ref="C616"/>
    <hyperlink r:id="rId616" ref="C617"/>
    <hyperlink r:id="rId617" ref="C618"/>
    <hyperlink r:id="rId618" ref="C619"/>
    <hyperlink r:id="rId619" ref="C620"/>
    <hyperlink r:id="rId620" ref="C621"/>
    <hyperlink r:id="rId621" ref="C622"/>
    <hyperlink r:id="rId622" ref="C623"/>
    <hyperlink r:id="rId623" ref="C624"/>
    <hyperlink r:id="rId624" ref="C625"/>
    <hyperlink r:id="rId625" ref="C626"/>
    <hyperlink r:id="rId626" ref="C627"/>
    <hyperlink r:id="rId627" ref="C628"/>
    <hyperlink r:id="rId628" ref="C629"/>
    <hyperlink r:id="rId629" ref="C630"/>
    <hyperlink r:id="rId630" ref="C631"/>
    <hyperlink r:id="rId631" ref="C632"/>
    <hyperlink r:id="rId632" ref="C633"/>
    <hyperlink r:id="rId633" ref="C634"/>
    <hyperlink r:id="rId634" ref="C635"/>
    <hyperlink r:id="rId635" ref="C636"/>
    <hyperlink r:id="rId636" ref="C637"/>
    <hyperlink r:id="rId637" ref="C638"/>
    <hyperlink r:id="rId638" ref="C639"/>
    <hyperlink r:id="rId639" ref="C640"/>
    <hyperlink r:id="rId640" ref="C641"/>
    <hyperlink r:id="rId641" ref="C642"/>
    <hyperlink r:id="rId642" ref="C643"/>
    <hyperlink r:id="rId643" ref="C644"/>
    <hyperlink r:id="rId644" ref="C645"/>
    <hyperlink r:id="rId645" ref="C646"/>
    <hyperlink r:id="rId646" ref="C647"/>
    <hyperlink r:id="rId647" ref="C648"/>
    <hyperlink r:id="rId648" ref="C649"/>
    <hyperlink r:id="rId649" ref="C650"/>
    <hyperlink r:id="rId650" ref="C651"/>
    <hyperlink r:id="rId651" ref="C652"/>
    <hyperlink r:id="rId652" ref="C653"/>
    <hyperlink r:id="rId653" ref="C654"/>
    <hyperlink r:id="rId654" ref="C655"/>
    <hyperlink r:id="rId655" ref="C656"/>
    <hyperlink r:id="rId656" ref="C657"/>
    <hyperlink r:id="rId657" ref="C658"/>
    <hyperlink r:id="rId658" ref="C659"/>
    <hyperlink r:id="rId659" ref="C660"/>
    <hyperlink r:id="rId660" ref="C661"/>
    <hyperlink r:id="rId661" ref="C662"/>
    <hyperlink r:id="rId662" ref="C663"/>
    <hyperlink r:id="rId663" ref="C664"/>
    <hyperlink r:id="rId664" ref="C665"/>
    <hyperlink r:id="rId665" ref="C666"/>
    <hyperlink r:id="rId666" ref="C667"/>
    <hyperlink r:id="rId667" ref="C668"/>
    <hyperlink r:id="rId668" ref="C669"/>
    <hyperlink r:id="rId669" ref="C670"/>
    <hyperlink r:id="rId670" ref="C671"/>
    <hyperlink r:id="rId671" ref="C672"/>
    <hyperlink r:id="rId672" ref="C673"/>
    <hyperlink r:id="rId673" ref="C674"/>
    <hyperlink r:id="rId674" ref="C675"/>
    <hyperlink r:id="rId675" ref="C676"/>
    <hyperlink r:id="rId676" ref="C677"/>
    <hyperlink r:id="rId677" ref="C678"/>
    <hyperlink r:id="rId678" ref="C679"/>
    <hyperlink r:id="rId679" ref="C680"/>
    <hyperlink r:id="rId680" ref="C681"/>
    <hyperlink r:id="rId681" ref="C682"/>
    <hyperlink r:id="rId682" ref="C683"/>
    <hyperlink r:id="rId683" ref="C684"/>
    <hyperlink r:id="rId684" ref="C685"/>
    <hyperlink r:id="rId685" ref="C686"/>
    <hyperlink r:id="rId686" ref="C687"/>
    <hyperlink r:id="rId687" ref="C688"/>
    <hyperlink r:id="rId688" ref="C689"/>
    <hyperlink r:id="rId689" ref="C690"/>
    <hyperlink r:id="rId690" ref="C691"/>
    <hyperlink r:id="rId691" ref="C692"/>
    <hyperlink r:id="rId692" ref="C693"/>
    <hyperlink r:id="rId693" ref="C694"/>
    <hyperlink r:id="rId694" ref="C695"/>
    <hyperlink r:id="rId695" ref="C696"/>
    <hyperlink r:id="rId696" ref="C697"/>
    <hyperlink r:id="rId697" ref="C698"/>
    <hyperlink r:id="rId698" ref="C699"/>
    <hyperlink r:id="rId699" ref="C700"/>
    <hyperlink r:id="rId700" ref="C701"/>
  </hyperlinks>
  <drawing r:id="rId7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26.43"/>
    <col customWidth="1" min="3" max="18" width="11.57"/>
    <col customWidth="1" min="19" max="19" width="16.14"/>
    <col customWidth="1" min="20" max="21" width="11.57"/>
  </cols>
  <sheetData>
    <row r="1" ht="29.25" customHeight="1">
      <c r="A1" s="2" t="s">
        <v>1</v>
      </c>
      <c r="B1" s="3" t="s">
        <v>12</v>
      </c>
      <c r="C1" s="3" t="s">
        <v>13</v>
      </c>
      <c r="D1" s="3" t="s">
        <v>14</v>
      </c>
      <c r="E1" s="3" t="s">
        <v>15</v>
      </c>
      <c r="F1" s="3" t="s">
        <v>16</v>
      </c>
      <c r="G1" s="3" t="s">
        <v>17</v>
      </c>
      <c r="H1" s="3" t="s">
        <v>18</v>
      </c>
      <c r="I1" s="3" t="s">
        <v>19</v>
      </c>
      <c r="J1" s="4" t="s">
        <v>20</v>
      </c>
      <c r="K1" s="4" t="s">
        <v>21</v>
      </c>
      <c r="L1" s="4" t="s">
        <v>22</v>
      </c>
      <c r="M1" s="4" t="s">
        <v>23</v>
      </c>
      <c r="N1" s="4" t="s">
        <v>24</v>
      </c>
      <c r="O1" s="4" t="s">
        <v>25</v>
      </c>
      <c r="P1" s="4" t="s">
        <v>26</v>
      </c>
      <c r="Q1" s="4" t="s">
        <v>27</v>
      </c>
      <c r="R1" s="4" t="s">
        <v>28</v>
      </c>
      <c r="S1" s="4" t="s">
        <v>29</v>
      </c>
      <c r="T1" s="4" t="s">
        <v>30</v>
      </c>
      <c r="U1" s="4" t="s">
        <v>31</v>
      </c>
    </row>
    <row r="2" ht="11.25" customHeight="1">
      <c r="A2" s="2" t="s">
        <v>32</v>
      </c>
      <c r="B2" s="5">
        <v>0.60168786494417</v>
      </c>
      <c r="C2" s="5">
        <v>0.822604433377577</v>
      </c>
      <c r="D2" s="5">
        <v>0.785807853505469</v>
      </c>
      <c r="E2" s="5">
        <v>0.270050037866732</v>
      </c>
      <c r="F2" s="5">
        <v>0.230995889958761</v>
      </c>
      <c r="G2" s="5">
        <v>0.227495480038996</v>
      </c>
      <c r="H2" s="5">
        <v>0.240150710822356</v>
      </c>
      <c r="I2" s="5">
        <v>0.341184381607096</v>
      </c>
      <c r="J2" s="6">
        <v>2.49652868303035</v>
      </c>
      <c r="K2" s="6">
        <v>3.50602321083854</v>
      </c>
      <c r="L2" s="6">
        <v>3.16804331288551</v>
      </c>
      <c r="M2" s="6">
        <v>0.718233456972625</v>
      </c>
      <c r="N2" s="7">
        <v>0.210596536697467</v>
      </c>
      <c r="O2" s="7">
        <v>0.11419433494901</v>
      </c>
      <c r="P2" s="7">
        <v>0.24872554831061</v>
      </c>
      <c r="Q2" s="7">
        <v>0.440851292444274</v>
      </c>
      <c r="R2" s="6">
        <v>5.06008116816101</v>
      </c>
      <c r="S2" s="6">
        <v>8.06013740587065</v>
      </c>
      <c r="T2" s="6">
        <v>6.69643684966007</v>
      </c>
      <c r="U2" s="6">
        <v>1.37253433996247</v>
      </c>
    </row>
    <row r="3" ht="11.25" customHeight="1">
      <c r="A3" s="2" t="s">
        <v>33</v>
      </c>
      <c r="B3" s="5">
        <v>1.5888821089373</v>
      </c>
      <c r="C3" s="5">
        <v>1.88903294063187</v>
      </c>
      <c r="D3" s="5">
        <v>2.04791763429012</v>
      </c>
      <c r="E3" s="5">
        <v>0.144389560683527</v>
      </c>
      <c r="F3" s="5">
        <v>0.447792605626595</v>
      </c>
      <c r="G3" s="5">
        <v>0.433037381677999</v>
      </c>
      <c r="H3" s="5">
        <v>0.425586639846799</v>
      </c>
      <c r="I3" s="5">
        <v>0.656062187759059</v>
      </c>
      <c r="J3" s="6">
        <v>3.49242504071492</v>
      </c>
      <c r="K3" s="6">
        <v>4.304554339879</v>
      </c>
      <c r="L3" s="6">
        <v>4.75324515595302</v>
      </c>
      <c r="M3" s="6">
        <v>0.181979030206468</v>
      </c>
      <c r="N3" s="7">
        <v>0.30568244528824</v>
      </c>
      <c r="O3" s="7">
        <v>0.15916955017301</v>
      </c>
      <c r="P3" s="7">
        <v>0.416654337035651</v>
      </c>
      <c r="Q3" s="7">
        <v>0.909015440810227</v>
      </c>
      <c r="R3" s="6">
        <v>7.64811659114819</v>
      </c>
      <c r="S3" s="6">
        <v>10.5246787796097</v>
      </c>
      <c r="T3" s="6">
        <v>11.8156073930669</v>
      </c>
      <c r="U3" s="6">
        <v>0.363783150036219</v>
      </c>
    </row>
    <row r="4" ht="11.25" customHeight="1">
      <c r="A4" s="2" t="s">
        <v>34</v>
      </c>
      <c r="B4" s="5">
        <v>1.16778494519507</v>
      </c>
      <c r="C4" s="5">
        <v>1.27571326815398</v>
      </c>
      <c r="D4" s="5">
        <v>0.864376076439301</v>
      </c>
      <c r="E4" s="5">
        <v>-0.0327001753521799</v>
      </c>
      <c r="F4" s="5">
        <v>0.467322050072568</v>
      </c>
      <c r="G4" s="5">
        <v>0.391109916163332</v>
      </c>
      <c r="H4" s="5">
        <v>0.434530921807974</v>
      </c>
      <c r="I4" s="5">
        <v>0.614109897319339</v>
      </c>
      <c r="J4" s="6">
        <v>2.44539059309873</v>
      </c>
      <c r="K4" s="6">
        <v>3.19785619455291</v>
      </c>
      <c r="L4" s="6">
        <v>1.93168318826855</v>
      </c>
      <c r="M4" s="6">
        <v>-0.0939574099099329</v>
      </c>
      <c r="N4" s="7">
        <v>0.409323116219667</v>
      </c>
      <c r="O4" s="7">
        <v>0.299685551897251</v>
      </c>
      <c r="P4" s="7">
        <v>0.422733077905491</v>
      </c>
      <c r="Q4" s="7">
        <v>0.845390798700188</v>
      </c>
      <c r="R4" s="6">
        <v>5.86584334858238</v>
      </c>
      <c r="S4" s="6">
        <v>7.9016173864735</v>
      </c>
      <c r="T4" s="6">
        <v>4.34187387656451</v>
      </c>
      <c r="U4" s="6">
        <v>-0.195439121326119</v>
      </c>
    </row>
    <row r="5" ht="11.25" customHeight="1">
      <c r="A5" s="2" t="s">
        <v>35</v>
      </c>
      <c r="B5" s="5">
        <v>0.743481103260776</v>
      </c>
      <c r="C5" s="5">
        <v>0.928387578747948</v>
      </c>
      <c r="D5" s="5">
        <v>0.59994457144047</v>
      </c>
      <c r="E5" s="5">
        <v>0.232629669507407</v>
      </c>
      <c r="F5" s="5">
        <v>0.255905373224413</v>
      </c>
      <c r="G5" s="5">
        <v>0.26636976544251</v>
      </c>
      <c r="H5" s="5">
        <v>0.266879133695996</v>
      </c>
      <c r="I5" s="5">
        <v>0.371345240791816</v>
      </c>
      <c r="J5" s="6">
        <v>2.80760460090344</v>
      </c>
      <c r="K5" s="6">
        <v>3.39147942427768</v>
      </c>
      <c r="L5" s="6">
        <v>2.15432568098558</v>
      </c>
      <c r="M5" s="6">
        <v>0.559128397780676</v>
      </c>
      <c r="N5" s="7">
        <v>0.216563501473667</v>
      </c>
      <c r="O5" s="7">
        <v>0.128397858319604</v>
      </c>
      <c r="P5" s="7">
        <v>0.445044378698224</v>
      </c>
      <c r="Q5" s="7">
        <v>0.625561433276774</v>
      </c>
      <c r="R5" s="6">
        <v>7.08920000515189</v>
      </c>
      <c r="S5" s="6">
        <v>9.1219988166495</v>
      </c>
      <c r="T5" s="6">
        <v>4.54392603923687</v>
      </c>
      <c r="U5" s="6">
        <v>1.0784283561328</v>
      </c>
    </row>
    <row r="6" ht="11.25" customHeight="1">
      <c r="A6" s="2" t="s">
        <v>36</v>
      </c>
      <c r="B6" s="5">
        <v>0.811949323234483</v>
      </c>
      <c r="C6" s="5">
        <v>1.2228779944212</v>
      </c>
      <c r="D6" s="5">
        <v>0.724682437614667</v>
      </c>
      <c r="E6" s="5">
        <v>0.453161059585003</v>
      </c>
      <c r="F6" s="5">
        <v>0.207704620644632</v>
      </c>
      <c r="G6" s="5">
        <v>0.223462879354627</v>
      </c>
      <c r="H6" s="5">
        <v>0.219212384052781</v>
      </c>
      <c r="I6" s="5">
        <v>0.337983042171073</v>
      </c>
      <c r="J6" s="6">
        <v>3.78879064313594</v>
      </c>
      <c r="K6" s="6">
        <v>5.36052340272682</v>
      </c>
      <c r="L6" s="6">
        <v>3.19180159751467</v>
      </c>
      <c r="M6" s="6">
        <v>1.26681225435057</v>
      </c>
      <c r="N6" s="7">
        <v>0.115474426209865</v>
      </c>
      <c r="O6" s="7">
        <v>0.0928307778478978</v>
      </c>
      <c r="P6" s="7">
        <v>0.377189348904715</v>
      </c>
      <c r="Q6" s="7">
        <v>0.443768487416024</v>
      </c>
      <c r="R6" s="6">
        <v>8.2998790672328</v>
      </c>
      <c r="S6" s="6">
        <v>13.4066050103082</v>
      </c>
      <c r="T6" s="6">
        <v>6.67961937165896</v>
      </c>
      <c r="U6" s="6">
        <v>2.51590438963957</v>
      </c>
    </row>
    <row r="7" ht="11.25" customHeight="1">
      <c r="A7" s="2" t="s">
        <v>37</v>
      </c>
      <c r="B7" s="5">
        <v>0.576566273714712</v>
      </c>
      <c r="C7" s="5">
        <v>0.716632747752558</v>
      </c>
      <c r="D7" s="5">
        <v>0.47205820989317</v>
      </c>
      <c r="E7" s="5">
        <v>0.223191147914894</v>
      </c>
      <c r="F7" s="5">
        <v>0.215796083234766</v>
      </c>
      <c r="G7" s="5">
        <v>0.218916791373572</v>
      </c>
      <c r="H7" s="5">
        <v>0.24079926163698</v>
      </c>
      <c r="I7" s="5">
        <v>0.336751942935354</v>
      </c>
      <c r="J7" s="6">
        <v>2.55596054129795</v>
      </c>
      <c r="K7" s="6">
        <v>3.15934078611774</v>
      </c>
      <c r="L7" s="6">
        <v>1.85655972054905</v>
      </c>
      <c r="M7" s="6">
        <v>0.588537503859156</v>
      </c>
      <c r="N7" s="7">
        <v>0.110711340508273</v>
      </c>
      <c r="O7" s="7">
        <v>0.110157563044948</v>
      </c>
      <c r="P7" s="7">
        <v>0.320917807219094</v>
      </c>
      <c r="Q7" s="7">
        <v>0.488840191542893</v>
      </c>
      <c r="R7" s="6">
        <v>5.60514908521391</v>
      </c>
      <c r="S7" s="6">
        <v>7.46991312755859</v>
      </c>
      <c r="T7" s="6">
        <v>3.52660795568908</v>
      </c>
      <c r="U7" s="6">
        <v>1.11163432195226</v>
      </c>
    </row>
    <row r="8" ht="11.25" customHeight="1">
      <c r="A8" s="2" t="s">
        <v>38</v>
      </c>
      <c r="B8" s="5">
        <v>0.555560074685429</v>
      </c>
      <c r="C8" s="5">
        <v>0.612109232287156</v>
      </c>
      <c r="D8" s="5">
        <v>0.479422802059554</v>
      </c>
      <c r="E8" s="5">
        <v>0.198362506679328</v>
      </c>
      <c r="F8" s="5">
        <v>0.191645783994112</v>
      </c>
      <c r="G8" s="5">
        <v>0.204545214412444</v>
      </c>
      <c r="H8" s="5">
        <v>0.214031281785182</v>
      </c>
      <c r="I8" s="5">
        <v>0.305464228934155</v>
      </c>
      <c r="J8" s="6">
        <v>2.76844115027194</v>
      </c>
      <c r="K8" s="6">
        <v>2.87031517199571</v>
      </c>
      <c r="L8" s="6">
        <v>2.12316068132342</v>
      </c>
      <c r="M8" s="6">
        <v>0.567537833428928</v>
      </c>
      <c r="N8" s="7">
        <v>0.100904700198728</v>
      </c>
      <c r="O8" s="7">
        <v>0.109461067924905</v>
      </c>
      <c r="P8" s="7">
        <v>0.217406532987436</v>
      </c>
      <c r="Q8" s="7">
        <v>0.402234153100103</v>
      </c>
      <c r="R8" s="6">
        <v>5.93984727912031</v>
      </c>
      <c r="S8" s="6">
        <v>6.54065652651461</v>
      </c>
      <c r="T8" s="6">
        <v>4.39375029770899</v>
      </c>
      <c r="U8" s="6">
        <v>1.09595070444064</v>
      </c>
    </row>
    <row r="9" ht="11.25" customHeight="1">
      <c r="A9" s="2" t="s">
        <v>39</v>
      </c>
      <c r="B9" s="5">
        <v>1.53124342706805</v>
      </c>
      <c r="C9" s="5">
        <v>1.98623936897791</v>
      </c>
      <c r="D9" s="5">
        <v>1.29209798925041</v>
      </c>
      <c r="E9" s="5">
        <v>0.566890073808395</v>
      </c>
      <c r="F9" s="5">
        <v>0.371982634133107</v>
      </c>
      <c r="G9" s="5">
        <v>0.378782359480313</v>
      </c>
      <c r="H9" s="5">
        <v>0.378214992768547</v>
      </c>
      <c r="I9" s="5">
        <v>0.550823650167153</v>
      </c>
      <c r="J9" s="6">
        <v>4.04923049856428</v>
      </c>
      <c r="K9" s="6">
        <v>5.17774737891361</v>
      </c>
      <c r="L9" s="6">
        <v>3.35020560653932</v>
      </c>
      <c r="M9" s="6">
        <v>0.983781421955926</v>
      </c>
      <c r="N9" s="7">
        <v>0.25185490156849</v>
      </c>
      <c r="O9" s="7">
        <v>0.188366194375314</v>
      </c>
      <c r="P9" s="7">
        <v>0.394127611709552</v>
      </c>
      <c r="Q9" s="7">
        <v>0.709816564758199</v>
      </c>
      <c r="R9" s="6">
        <v>10.0531136639977</v>
      </c>
      <c r="S9" s="6">
        <v>14.743419678721</v>
      </c>
      <c r="T9" s="6">
        <v>6.80413417573075</v>
      </c>
      <c r="U9" s="6">
        <v>1.87088770451184</v>
      </c>
    </row>
    <row r="10" ht="11.25" customHeight="1">
      <c r="A10" s="2" t="s">
        <v>40</v>
      </c>
      <c r="B10" s="5">
        <v>0.452715179324641</v>
      </c>
      <c r="C10" s="5">
        <v>0.534537272113378</v>
      </c>
      <c r="D10" s="5">
        <v>0.451122422721301</v>
      </c>
      <c r="E10" s="5">
        <v>0.203022243902398</v>
      </c>
      <c r="F10" s="5">
        <v>0.17448867781886</v>
      </c>
      <c r="G10" s="5">
        <v>0.169246976830566</v>
      </c>
      <c r="H10" s="5">
        <v>0.18967588357599</v>
      </c>
      <c r="I10" s="5">
        <v>0.257628302423399</v>
      </c>
      <c r="J10" s="6">
        <v>2.45124889861713</v>
      </c>
      <c r="K10" s="6">
        <v>3.01061372944627</v>
      </c>
      <c r="L10" s="6">
        <v>2.24658198336839</v>
      </c>
      <c r="M10" s="6">
        <v>0.691004218976794</v>
      </c>
      <c r="N10" s="7">
        <v>0.167176974892835</v>
      </c>
      <c r="O10" s="7">
        <v>0.0833673469387755</v>
      </c>
      <c r="P10" s="7">
        <v>0.230618493570116</v>
      </c>
      <c r="Q10" s="7">
        <v>0.316133246244284</v>
      </c>
      <c r="R10" s="6">
        <v>4.99376911896464</v>
      </c>
      <c r="S10" s="6">
        <v>6.76283583851112</v>
      </c>
      <c r="T10" s="6">
        <v>4.28504634460613</v>
      </c>
      <c r="U10" s="6">
        <v>1.32755461195409</v>
      </c>
    </row>
    <row r="11" ht="11.25" customHeight="1">
      <c r="A11" s="2" t="s">
        <v>41</v>
      </c>
      <c r="B11" s="5">
        <v>0.583092883612703</v>
      </c>
      <c r="C11" s="5">
        <v>0.701450902454211</v>
      </c>
      <c r="D11" s="5">
        <v>0.568217186183735</v>
      </c>
      <c r="E11" s="5">
        <v>0.281003845865642</v>
      </c>
      <c r="F11" s="5">
        <v>0.18982204355727</v>
      </c>
      <c r="G11" s="5">
        <v>0.197867765376758</v>
      </c>
      <c r="H11" s="5">
        <v>0.171745332026095</v>
      </c>
      <c r="I11" s="5">
        <v>0.282619758368744</v>
      </c>
      <c r="J11" s="6">
        <v>2.94008468750007</v>
      </c>
      <c r="K11" s="6">
        <v>3.41870188489866</v>
      </c>
      <c r="L11" s="6">
        <v>3.16292256549481</v>
      </c>
      <c r="M11" s="6">
        <v>0.905824303804071</v>
      </c>
      <c r="N11" s="7">
        <v>0.111999533092097</v>
      </c>
      <c r="O11" s="7">
        <v>0.165531470226424</v>
      </c>
      <c r="P11" s="7">
        <v>0.132280236343904</v>
      </c>
      <c r="Q11" s="7">
        <v>0.334522045201926</v>
      </c>
      <c r="R11" s="6">
        <v>6.78427237693109</v>
      </c>
      <c r="S11" s="6">
        <v>8.32453851107982</v>
      </c>
      <c r="T11" s="6">
        <v>6.95975937892234</v>
      </c>
      <c r="U11" s="6">
        <v>1.75952962229738</v>
      </c>
    </row>
    <row r="12" ht="11.25" customHeight="1">
      <c r="A12" s="2" t="s">
        <v>42</v>
      </c>
      <c r="B12" s="5">
        <v>0.659611120930096</v>
      </c>
      <c r="C12" s="5">
        <v>0.910979871829757</v>
      </c>
      <c r="D12" s="5">
        <v>0.690726216159075</v>
      </c>
      <c r="E12" s="5">
        <v>0.423367979537136</v>
      </c>
      <c r="F12" s="5">
        <v>0.227843746278371</v>
      </c>
      <c r="G12" s="5">
        <v>0.246496387711118</v>
      </c>
      <c r="H12" s="5">
        <v>0.264518087374183</v>
      </c>
      <c r="I12" s="5">
        <v>0.361693287619672</v>
      </c>
      <c r="J12" s="6">
        <v>2.78529093422977</v>
      </c>
      <c r="K12" s="6">
        <v>3.59429150283565</v>
      </c>
      <c r="L12" s="6">
        <v>2.5167512088402</v>
      </c>
      <c r="M12" s="6">
        <v>1.1013972146368</v>
      </c>
      <c r="N12" s="7">
        <v>0.154911162317592</v>
      </c>
      <c r="O12" s="7">
        <v>0.0953284587303904</v>
      </c>
      <c r="P12" s="7">
        <v>0.216710182767623</v>
      </c>
      <c r="Q12" s="7">
        <v>0.378526431114762</v>
      </c>
      <c r="R12" s="6">
        <v>6.053996309026</v>
      </c>
      <c r="S12" s="6">
        <v>8.75441068555264</v>
      </c>
      <c r="T12" s="6">
        <v>5.32175615796162</v>
      </c>
      <c r="U12" s="6">
        <v>2.17491787345871</v>
      </c>
    </row>
    <row r="13" ht="11.25" customHeight="1">
      <c r="A13" s="2" t="s">
        <v>43</v>
      </c>
      <c r="B13" s="5">
        <v>0.585685542698737</v>
      </c>
      <c r="C13" s="5">
        <v>0.705527201216225</v>
      </c>
      <c r="D13" s="5">
        <v>0.796420589448465</v>
      </c>
      <c r="E13" s="5">
        <v>0.242679080384881</v>
      </c>
      <c r="F13" s="5">
        <v>0.231234831699909</v>
      </c>
      <c r="G13" s="5">
        <v>0.225247172854595</v>
      </c>
      <c r="H13" s="5">
        <v>0.232731388082839</v>
      </c>
      <c r="I13" s="5">
        <v>0.343466933091014</v>
      </c>
      <c r="J13" s="6">
        <v>2.42474517604848</v>
      </c>
      <c r="K13" s="6">
        <v>3.02124636057265</v>
      </c>
      <c r="L13" s="6">
        <v>3.31463923196248</v>
      </c>
      <c r="M13" s="6">
        <v>0.633770122864199</v>
      </c>
      <c r="N13" s="7">
        <v>0.108838490885968</v>
      </c>
      <c r="O13" s="7">
        <v>0.0877007234868535</v>
      </c>
      <c r="P13" s="7">
        <v>0.181703470031545</v>
      </c>
      <c r="Q13" s="7">
        <v>0.340259948652118</v>
      </c>
      <c r="R13" s="6">
        <v>5.28105100952745</v>
      </c>
      <c r="S13" s="6">
        <v>6.94484350489393</v>
      </c>
      <c r="T13" s="6">
        <v>7.3218703634844</v>
      </c>
      <c r="U13" s="6">
        <v>1.26112962772567</v>
      </c>
    </row>
    <row r="14" ht="11.25" customHeight="1">
      <c r="A14" s="2" t="s">
        <v>44</v>
      </c>
      <c r="B14" s="5">
        <v>0.421074827664321</v>
      </c>
      <c r="C14" s="5">
        <v>0.645459244755179</v>
      </c>
      <c r="D14" s="5">
        <v>0.51618283111102</v>
      </c>
      <c r="E14" s="5">
        <v>0.0854550155869158</v>
      </c>
      <c r="F14" s="5">
        <v>0.205790327377115</v>
      </c>
      <c r="G14" s="5">
        <v>0.184091722519401</v>
      </c>
      <c r="H14" s="5">
        <v>0.190274814887086</v>
      </c>
      <c r="I14" s="5">
        <v>0.301284782673195</v>
      </c>
      <c r="J14" s="6">
        <v>1.92465230369406</v>
      </c>
      <c r="K14" s="6">
        <v>3.37038100498945</v>
      </c>
      <c r="L14" s="6">
        <v>2.58143901704752</v>
      </c>
      <c r="M14" s="6">
        <v>0.200657381532912</v>
      </c>
      <c r="N14" s="7">
        <v>0.168746454906409</v>
      </c>
      <c r="O14" s="7">
        <v>0.0794505784544714</v>
      </c>
      <c r="P14" s="7">
        <v>0.22676923076923</v>
      </c>
      <c r="Q14" s="7">
        <v>0.454291565816422</v>
      </c>
      <c r="R14" s="6">
        <v>3.78501813381757</v>
      </c>
      <c r="S14" s="6">
        <v>7.87442303531698</v>
      </c>
      <c r="T14" s="6">
        <v>5.46339463516498</v>
      </c>
      <c r="U14" s="6">
        <v>0.37794820670879</v>
      </c>
    </row>
    <row r="15" ht="11.25" customHeight="1">
      <c r="A15" s="2" t="s">
        <v>45</v>
      </c>
      <c r="B15" s="5">
        <v>0.465630227790533</v>
      </c>
      <c r="C15" s="5">
        <v>0.553788357025191</v>
      </c>
      <c r="D15" s="5">
        <v>0.419929518053672</v>
      </c>
      <c r="E15" s="5">
        <v>0.237531494190872</v>
      </c>
      <c r="F15" s="5">
        <v>0.169573689893329</v>
      </c>
      <c r="G15" s="5">
        <v>0.181815835817318</v>
      </c>
      <c r="H15" s="5">
        <v>0.150380870534875</v>
      </c>
      <c r="I15" s="5">
        <v>0.261594048094177</v>
      </c>
      <c r="J15" s="6">
        <v>2.59845868818276</v>
      </c>
      <c r="K15" s="6">
        <v>2.90837349039551</v>
      </c>
      <c r="L15" s="6">
        <v>2.62619518459353</v>
      </c>
      <c r="M15" s="6">
        <v>0.812447743896521</v>
      </c>
      <c r="N15" s="7">
        <v>0.112690040335091</v>
      </c>
      <c r="O15" s="7">
        <v>0.072291806328017</v>
      </c>
      <c r="P15" s="7">
        <v>0.124724133546484</v>
      </c>
      <c r="Q15" s="7">
        <v>0.39823448275862</v>
      </c>
      <c r="R15" s="6">
        <v>5.64684470411653</v>
      </c>
      <c r="S15" s="6">
        <v>6.71818989073599</v>
      </c>
      <c r="T15" s="6">
        <v>5.88286382331237</v>
      </c>
      <c r="U15" s="6">
        <v>1.5283971953003</v>
      </c>
    </row>
    <row r="16" ht="11.25" customHeight="1">
      <c r="A16" s="2" t="s">
        <v>46</v>
      </c>
      <c r="B16" s="5">
        <v>1.00481336826888</v>
      </c>
      <c r="C16" s="5">
        <v>1.25282417733867</v>
      </c>
      <c r="D16" s="5">
        <v>1.25554195762864</v>
      </c>
      <c r="E16" s="5">
        <v>0.356682814441015</v>
      </c>
      <c r="F16" s="5">
        <v>0.291401621916715</v>
      </c>
      <c r="G16" s="5">
        <v>0.278714776839804</v>
      </c>
      <c r="H16" s="5">
        <v>0.277775276300109</v>
      </c>
      <c r="I16" s="5">
        <v>0.427673951355054</v>
      </c>
      <c r="J16" s="6">
        <v>3.36241563044189</v>
      </c>
      <c r="K16" s="6">
        <v>4.40530707148114</v>
      </c>
      <c r="L16" s="6">
        <v>4.42999094094739</v>
      </c>
      <c r="M16" s="6">
        <v>0.77555065813595</v>
      </c>
      <c r="N16" s="7">
        <v>0.15240663862372</v>
      </c>
      <c r="O16" s="7">
        <v>0.0989361702127658</v>
      </c>
      <c r="P16" s="7">
        <v>0.276076555023923</v>
      </c>
      <c r="Q16" s="7">
        <v>0.490976299195477</v>
      </c>
      <c r="R16" s="6">
        <v>7.46394028475241</v>
      </c>
      <c r="S16" s="6">
        <v>11.1973155751113</v>
      </c>
      <c r="T16" s="6">
        <v>9.72287715724573</v>
      </c>
      <c r="U16" s="6">
        <v>1.51642668169565</v>
      </c>
    </row>
    <row r="17" ht="11.25" customHeight="1">
      <c r="A17" s="2" t="s">
        <v>47</v>
      </c>
      <c r="B17" s="5">
        <v>0.341823206331562</v>
      </c>
      <c r="C17" s="5">
        <v>0.409170533275367</v>
      </c>
      <c r="D17" s="5">
        <v>0.29751398806299</v>
      </c>
      <c r="E17" s="5">
        <v>0.153156822530215</v>
      </c>
      <c r="F17" s="5">
        <v>0.163836229953805</v>
      </c>
      <c r="G17" s="5">
        <v>0.17050175146403</v>
      </c>
      <c r="H17" s="5">
        <v>0.191206461292867</v>
      </c>
      <c r="I17" s="5">
        <v>0.251681524201349</v>
      </c>
      <c r="J17" s="6">
        <v>1.93377988751872</v>
      </c>
      <c r="K17" s="6">
        <v>2.25317646286121</v>
      </c>
      <c r="L17" s="6">
        <v>1.42523420087559</v>
      </c>
      <c r="M17" s="6">
        <v>0.509202345849143</v>
      </c>
      <c r="N17" s="7">
        <v>0.133555072278367</v>
      </c>
      <c r="O17" s="7">
        <v>0.134629604029456</v>
      </c>
      <c r="P17" s="7">
        <v>0.29516480992305</v>
      </c>
      <c r="Q17" s="7">
        <v>0.29516480992305</v>
      </c>
      <c r="R17" s="6">
        <v>3.81097145329384</v>
      </c>
      <c r="S17" s="6">
        <v>4.65708997794425</v>
      </c>
      <c r="T17" s="6">
        <v>2.67994068369108</v>
      </c>
      <c r="U17" s="6">
        <v>0.975552030780368</v>
      </c>
    </row>
    <row r="18" ht="11.25" customHeight="1">
      <c r="A18" s="2" t="s">
        <v>48</v>
      </c>
      <c r="B18" s="5">
        <v>0.901595737811177</v>
      </c>
      <c r="C18" s="5">
        <v>1.0902198877094</v>
      </c>
      <c r="D18" s="5">
        <v>1.04926490775632</v>
      </c>
      <c r="E18" s="5">
        <v>0.103495875641314</v>
      </c>
      <c r="F18" s="5">
        <v>0.369909264430747</v>
      </c>
      <c r="G18" s="5">
        <v>0.335228631614023</v>
      </c>
      <c r="H18" s="5">
        <v>0.336892237655082</v>
      </c>
      <c r="I18" s="5">
        <v>0.512891975276187</v>
      </c>
      <c r="J18" s="6">
        <v>2.36975880871804</v>
      </c>
      <c r="K18" s="6">
        <v>3.17759220798265</v>
      </c>
      <c r="L18" s="6">
        <v>3.04033395036246</v>
      </c>
      <c r="M18" s="6">
        <v>0.153045630318247</v>
      </c>
      <c r="N18" s="7">
        <v>0.301142263759086</v>
      </c>
      <c r="O18" s="7">
        <v>0.133956386292835</v>
      </c>
      <c r="P18" s="7">
        <v>0.369863013698629</v>
      </c>
      <c r="Q18" s="7">
        <v>0.767850983097619</v>
      </c>
      <c r="R18" s="6">
        <v>5.03023703144262</v>
      </c>
      <c r="S18" s="6">
        <v>7.59031870055213</v>
      </c>
      <c r="T18" s="6">
        <v>6.84392835542975</v>
      </c>
      <c r="U18" s="6">
        <v>0.297031815928279</v>
      </c>
    </row>
    <row r="19" ht="11.25" customHeight="1">
      <c r="A19" s="2" t="s">
        <v>4</v>
      </c>
      <c r="B19" s="5">
        <v>0.333762693206002</v>
      </c>
      <c r="C19" s="5">
        <v>0.379985344265768</v>
      </c>
      <c r="D19" s="5">
        <v>0.305092210038087</v>
      </c>
      <c r="E19" s="5">
        <v>0.114487662004992</v>
      </c>
      <c r="F19" s="5">
        <v>0.153697830099911</v>
      </c>
      <c r="G19" s="5">
        <v>0.165694631905896</v>
      </c>
      <c r="H19" s="5">
        <v>0.177959466546398</v>
      </c>
      <c r="I19" s="5">
        <v>0.230913212477503</v>
      </c>
      <c r="J19" s="6">
        <v>2.00889428956342</v>
      </c>
      <c r="K19" s="6">
        <v>2.14240703022519</v>
      </c>
      <c r="L19" s="6">
        <v>1.57391014635942</v>
      </c>
      <c r="M19" s="6">
        <v>0.387538075646973</v>
      </c>
      <c r="N19" s="7">
        <v>0.147127318295047</v>
      </c>
      <c r="O19" s="7">
        <v>0.229731346501745</v>
      </c>
      <c r="P19" s="7">
        <v>0.298737727910238</v>
      </c>
      <c r="Q19" s="7">
        <v>0.329052046391258</v>
      </c>
      <c r="R19" s="6">
        <v>3.90558216662873</v>
      </c>
      <c r="S19" s="6">
        <v>4.38961113737265</v>
      </c>
      <c r="T19" s="6">
        <v>2.94000440771196</v>
      </c>
      <c r="U19" s="6">
        <v>0.731665497068778</v>
      </c>
    </row>
    <row r="20" ht="11.25" customHeight="1">
      <c r="A20" s="2" t="s">
        <v>49</v>
      </c>
      <c r="B20" s="5">
        <v>0.431697082571149</v>
      </c>
      <c r="C20" s="5">
        <v>0.571409451645794</v>
      </c>
      <c r="D20" s="5">
        <v>0.50353669772089</v>
      </c>
      <c r="E20" s="5">
        <v>0.0808411899828038</v>
      </c>
      <c r="F20" s="5">
        <v>0.250200497005149</v>
      </c>
      <c r="G20" s="5">
        <v>0.249165041301863</v>
      </c>
      <c r="H20" s="5">
        <v>0.24360868472625</v>
      </c>
      <c r="I20" s="5">
        <v>0.371296598212745</v>
      </c>
      <c r="J20" s="6">
        <v>1.62548471101869</v>
      </c>
      <c r="K20" s="6">
        <v>2.19296193715963</v>
      </c>
      <c r="L20" s="6">
        <v>1.96436632896989</v>
      </c>
      <c r="M20" s="6">
        <v>0.150395102598834</v>
      </c>
      <c r="N20" s="7">
        <v>0.197613721103654</v>
      </c>
      <c r="O20" s="7">
        <v>0.197613721103654</v>
      </c>
      <c r="P20" s="7">
        <v>0.297692473488155</v>
      </c>
      <c r="Q20" s="7">
        <v>0.545411317165953</v>
      </c>
      <c r="R20" s="6">
        <v>3.20297852105509</v>
      </c>
      <c r="S20" s="6">
        <v>4.71349274302112</v>
      </c>
      <c r="T20" s="6">
        <v>3.92892245060219</v>
      </c>
      <c r="U20" s="6">
        <v>0.282551876281958</v>
      </c>
    </row>
    <row r="21" ht="11.25" customHeight="1">
      <c r="A21" s="2" t="s">
        <v>50</v>
      </c>
      <c r="B21" s="5">
        <v>0.505213549579124</v>
      </c>
      <c r="C21" s="5">
        <v>0.515599655563489</v>
      </c>
      <c r="D21" s="5">
        <v>0.486463493126033</v>
      </c>
      <c r="E21" s="5">
        <v>0.0975990607932191</v>
      </c>
      <c r="F21" s="5">
        <v>0.232554123962243</v>
      </c>
      <c r="G21" s="5">
        <v>0.226569657734871</v>
      </c>
      <c r="H21" s="5">
        <v>0.231604947000286</v>
      </c>
      <c r="I21" s="5">
        <v>0.33476566057836</v>
      </c>
      <c r="J21" s="6">
        <v>2.0649539186718</v>
      </c>
      <c r="K21" s="6">
        <v>2.16533696730734</v>
      </c>
      <c r="L21" s="6">
        <v>1.99245957006895</v>
      </c>
      <c r="M21" s="6">
        <v>0.216865316077499</v>
      </c>
      <c r="N21" s="7">
        <v>0.155758062678178</v>
      </c>
      <c r="O21" s="7">
        <v>0.133405935202831</v>
      </c>
      <c r="P21" s="7">
        <v>0.291383500599299</v>
      </c>
      <c r="Q21" s="7">
        <v>0.555809456846545</v>
      </c>
      <c r="R21" s="6">
        <v>4.69967776539518</v>
      </c>
      <c r="S21" s="6">
        <v>5.20468603536861</v>
      </c>
      <c r="T21" s="6">
        <v>4.4055215269975</v>
      </c>
      <c r="U21" s="6">
        <v>0.413142006838856</v>
      </c>
    </row>
    <row r="22" ht="11.25" customHeight="1">
      <c r="A22" s="2" t="s">
        <v>51</v>
      </c>
      <c r="B22" s="5">
        <v>0.052013350548433</v>
      </c>
      <c r="C22" s="5">
        <v>0.0750952005208815</v>
      </c>
      <c r="D22" s="5">
        <v>0.0616518083836314</v>
      </c>
      <c r="E22" s="5">
        <v>0.012943236952472</v>
      </c>
      <c r="F22" s="5">
        <v>0.02942750908517</v>
      </c>
      <c r="G22" s="5">
        <v>0.0300882567986121</v>
      </c>
      <c r="H22" s="5">
        <v>0.0263000721310677</v>
      </c>
      <c r="I22" s="5">
        <v>0.048533332630903</v>
      </c>
      <c r="J22" s="6">
        <v>0.917962525141021</v>
      </c>
      <c r="K22" s="6">
        <v>1.66494193585825</v>
      </c>
      <c r="L22" s="6">
        <v>1.39360105938019</v>
      </c>
      <c r="M22" s="6">
        <v>-0.248422319135178</v>
      </c>
      <c r="N22" s="7">
        <v>0.0218063175637704</v>
      </c>
      <c r="O22" s="7">
        <v>0.0127694954847944</v>
      </c>
      <c r="P22" s="7">
        <v>0.0191602306990191</v>
      </c>
      <c r="Q22" s="7">
        <v>0.0957916171729172</v>
      </c>
      <c r="R22" s="6">
        <v>1.79647101715284</v>
      </c>
      <c r="S22" s="6">
        <v>3.65871454724773</v>
      </c>
      <c r="T22" s="6">
        <v>2.94693831162883</v>
      </c>
      <c r="U22" s="6">
        <v>-0.433946258180006</v>
      </c>
    </row>
    <row r="23" ht="11.25" customHeight="1">
      <c r="A23" s="2" t="s">
        <v>52</v>
      </c>
      <c r="B23" s="5">
        <v>-0.655136261894253</v>
      </c>
      <c r="C23" s="5">
        <v>0.967901848146667</v>
      </c>
      <c r="D23" s="5">
        <v>1.87405333630005</v>
      </c>
      <c r="E23" s="5">
        <v>-0.759988942871529</v>
      </c>
      <c r="F23" s="5">
        <v>1.285344071146</v>
      </c>
      <c r="G23" s="5">
        <v>0.988597798929444</v>
      </c>
      <c r="H23" s="5">
        <v>0.804692328591404</v>
      </c>
      <c r="I23" s="5">
        <v>1.31835848441265</v>
      </c>
      <c r="J23" s="6">
        <v>-0.529147235485239</v>
      </c>
      <c r="K23" s="6">
        <v>0.953777005338003</v>
      </c>
      <c r="L23" s="6">
        <v>2.29783890140568</v>
      </c>
      <c r="M23" s="6">
        <v>-0.595429052228725</v>
      </c>
      <c r="N23" s="7">
        <v>0.672010868328328</v>
      </c>
      <c r="O23" s="7">
        <v>0.338703691671918</v>
      </c>
      <c r="P23" s="7">
        <v>0.227730863524925</v>
      </c>
      <c r="Q23" s="7">
        <v>0.724516819744182</v>
      </c>
      <c r="R23" s="6">
        <v>-1.27879372009594</v>
      </c>
      <c r="S23" s="6">
        <v>2.55777571576141</v>
      </c>
      <c r="T23" s="6">
        <v>5.3216100618942</v>
      </c>
      <c r="U23" s="6">
        <v>-1.47959385526725</v>
      </c>
    </row>
    <row r="24" ht="11.25" customHeight="1">
      <c r="A24" s="2" t="s">
        <v>53</v>
      </c>
      <c r="B24" s="5">
        <v>0.636034347046376</v>
      </c>
      <c r="C24" s="5">
        <v>0.77292966392629</v>
      </c>
      <c r="D24" s="5">
        <v>0.544184385289513</v>
      </c>
      <c r="E24" s="5">
        <v>0.0909409761118651</v>
      </c>
      <c r="F24" s="5">
        <v>0.300235195004869</v>
      </c>
      <c r="G24" s="5">
        <v>0.300977790063802</v>
      </c>
      <c r="H24" s="5">
        <v>0.245718898487302</v>
      </c>
      <c r="I24" s="5">
        <v>0.429750606086295</v>
      </c>
      <c r="J24" s="6">
        <v>2.03518560519351</v>
      </c>
      <c r="K24" s="6">
        <v>2.48499952028932</v>
      </c>
      <c r="L24" s="6">
        <v>2.11292004190854</v>
      </c>
      <c r="M24" s="6">
        <v>0.153440100323265</v>
      </c>
      <c r="N24" s="7">
        <v>0.256270447110141</v>
      </c>
      <c r="O24" s="7">
        <v>0.256270447110141</v>
      </c>
      <c r="P24" s="7">
        <v>0.357328298324286</v>
      </c>
      <c r="Q24" s="7">
        <v>0.720535714285713</v>
      </c>
      <c r="R24" s="6">
        <v>4.38045065960623</v>
      </c>
      <c r="S24" s="6">
        <v>5.61769994295953</v>
      </c>
      <c r="T24" s="6">
        <v>4.74712828686053</v>
      </c>
      <c r="U24" s="6">
        <v>0.293211403037601</v>
      </c>
    </row>
    <row r="25" ht="11.25" customHeight="1">
      <c r="A25" s="2" t="s">
        <v>54</v>
      </c>
      <c r="B25" s="5">
        <v>0.574423508904204</v>
      </c>
      <c r="C25" s="5">
        <v>0.711065920708211</v>
      </c>
      <c r="D25" s="5">
        <v>0.581909747071569</v>
      </c>
      <c r="E25" s="5">
        <v>0.22066170162644</v>
      </c>
      <c r="F25" s="5">
        <v>0.196115172601616</v>
      </c>
      <c r="G25" s="5">
        <v>0.207049716990106</v>
      </c>
      <c r="H25" s="5">
        <v>0.187759826710191</v>
      </c>
      <c r="I25" s="5">
        <v>0.310122802471551</v>
      </c>
      <c r="J25" s="6">
        <v>2.80153494304231</v>
      </c>
      <c r="K25" s="6">
        <v>3.31353227950073</v>
      </c>
      <c r="L25" s="6">
        <v>2.96607510152405</v>
      </c>
      <c r="M25" s="6">
        <v>0.630916849928793</v>
      </c>
      <c r="N25" s="7">
        <v>0.121340331240448</v>
      </c>
      <c r="O25" s="7">
        <v>0.105080523178218</v>
      </c>
      <c r="P25" s="7">
        <v>0.163566078762986</v>
      </c>
      <c r="Q25" s="7">
        <v>0.435798484423238</v>
      </c>
      <c r="R25" s="6">
        <v>6.13793983568978</v>
      </c>
      <c r="S25" s="6">
        <v>7.74627983322748</v>
      </c>
      <c r="T25" s="6">
        <v>6.65757541035926</v>
      </c>
      <c r="U25" s="6">
        <v>1.16914406253496</v>
      </c>
    </row>
    <row r="26" ht="11.25" customHeight="1">
      <c r="A26" s="2" t="s">
        <v>55</v>
      </c>
      <c r="B26" s="5">
        <v>0.424849409377454</v>
      </c>
      <c r="C26" s="5">
        <v>0.501611556726295</v>
      </c>
      <c r="D26" s="5">
        <v>0.395457345523132</v>
      </c>
      <c r="E26" s="5">
        <v>0.255931824956836</v>
      </c>
      <c r="F26" s="5">
        <v>0.152795739800757</v>
      </c>
      <c r="G26" s="5">
        <v>0.156975093407976</v>
      </c>
      <c r="H26" s="5">
        <v>0.191728633978046</v>
      </c>
      <c r="I26" s="5">
        <v>0.242111515928536</v>
      </c>
      <c r="J26" s="6">
        <v>2.61688846756362</v>
      </c>
      <c r="K26" s="6">
        <v>3.03622406828315</v>
      </c>
      <c r="L26" s="6">
        <v>1.93219623921981</v>
      </c>
      <c r="M26" s="6">
        <v>0.953824208118211</v>
      </c>
      <c r="N26" s="7">
        <v>0.1307416787246</v>
      </c>
      <c r="O26" s="7">
        <v>0.107093505297098</v>
      </c>
      <c r="P26" s="7">
        <v>0.357499293851803</v>
      </c>
      <c r="Q26" s="7">
        <v>0.374862587028215</v>
      </c>
      <c r="R26" s="6">
        <v>5.56144355987532</v>
      </c>
      <c r="S26" s="6">
        <v>6.78249903969163</v>
      </c>
      <c r="T26" s="6">
        <v>3.60912636368671</v>
      </c>
      <c r="U26" s="6">
        <v>1.81814949461343</v>
      </c>
    </row>
    <row r="27" ht="11.25" customHeight="1">
      <c r="A27" s="2" t="s">
        <v>56</v>
      </c>
      <c r="B27" s="5">
        <v>0.864296987077322</v>
      </c>
      <c r="C27" s="5">
        <v>1.18411825467907</v>
      </c>
      <c r="D27" s="5">
        <v>1.05641746089844</v>
      </c>
      <c r="E27" s="5">
        <v>0.200767879574046</v>
      </c>
      <c r="F27" s="5">
        <v>0.32920849324408</v>
      </c>
      <c r="G27" s="5">
        <v>0.314025366143009</v>
      </c>
      <c r="H27" s="5">
        <v>0.308817117126038</v>
      </c>
      <c r="I27" s="5">
        <v>0.444774354199401</v>
      </c>
      <c r="J27" s="6">
        <v>2.54943904638284</v>
      </c>
      <c r="K27" s="6">
        <v>3.6911612234255</v>
      </c>
      <c r="L27" s="6">
        <v>3.33989731688832</v>
      </c>
      <c r="M27" s="6">
        <v>0.395184384878553</v>
      </c>
      <c r="N27" s="7">
        <v>0.296227836767667</v>
      </c>
      <c r="O27" s="7">
        <v>0.151699279093717</v>
      </c>
      <c r="P27" s="7">
        <v>0.435851644916635</v>
      </c>
      <c r="Q27" s="7">
        <v>0.655522718876985</v>
      </c>
      <c r="R27" s="6">
        <v>6.14041820192677</v>
      </c>
      <c r="S27" s="6">
        <v>10.8436050768866</v>
      </c>
      <c r="T27" s="6">
        <v>8.26333934439244</v>
      </c>
      <c r="U27" s="6">
        <v>0.771439182469318</v>
      </c>
    </row>
    <row r="28" ht="11.25" customHeight="1">
      <c r="A28" s="2" t="s">
        <v>57</v>
      </c>
      <c r="B28" s="5">
        <v>0.734547156323209</v>
      </c>
      <c r="C28" s="5">
        <v>1.05283789627281</v>
      </c>
      <c r="D28" s="5">
        <v>0.722824357152059</v>
      </c>
      <c r="E28" s="5">
        <v>0.219532720312896</v>
      </c>
      <c r="F28" s="5">
        <v>0.286838556814844</v>
      </c>
      <c r="G28" s="5">
        <v>0.287592368722909</v>
      </c>
      <c r="H28" s="5">
        <v>0.297041299812872</v>
      </c>
      <c r="I28" s="5">
        <v>0.431203323701599</v>
      </c>
      <c r="J28" s="6">
        <v>2.47368123798372</v>
      </c>
      <c r="K28" s="6">
        <v>3.57394009040318</v>
      </c>
      <c r="L28" s="6">
        <v>2.34925028133013</v>
      </c>
      <c r="M28" s="6">
        <v>0.451139194946271</v>
      </c>
      <c r="N28" s="7">
        <v>0.235003724972321</v>
      </c>
      <c r="O28" s="7">
        <v>0.136675619218143</v>
      </c>
      <c r="P28" s="7">
        <v>0.442815593422804</v>
      </c>
      <c r="Q28" s="7">
        <v>0.64794577396597</v>
      </c>
      <c r="R28" s="6">
        <v>5.20959175906411</v>
      </c>
      <c r="S28" s="6">
        <v>8.22278971010973</v>
      </c>
      <c r="T28" s="6">
        <v>4.67286377809297</v>
      </c>
      <c r="U28" s="6">
        <v>0.857894358713548</v>
      </c>
    </row>
    <row r="29" ht="11.25" customHeight="1">
      <c r="A29" s="2" t="s">
        <v>58</v>
      </c>
      <c r="B29" s="5">
        <v>1.27358236547781</v>
      </c>
      <c r="C29" s="5">
        <v>1.52873479280691</v>
      </c>
      <c r="D29" s="5">
        <v>1.31523616567351</v>
      </c>
      <c r="E29" s="5">
        <v>0.571866369994973</v>
      </c>
      <c r="F29" s="5">
        <v>0.388806230896847</v>
      </c>
      <c r="G29" s="5">
        <v>0.39175992268124</v>
      </c>
      <c r="H29" s="5">
        <v>0.336465818189427</v>
      </c>
      <c r="I29" s="5">
        <v>0.530538830230418</v>
      </c>
      <c r="J29" s="6">
        <v>3.2113229322425</v>
      </c>
      <c r="K29" s="6">
        <v>3.83840894830492</v>
      </c>
      <c r="L29" s="6">
        <v>3.8346723379405</v>
      </c>
      <c r="M29" s="6">
        <v>1.03077539066737</v>
      </c>
      <c r="N29" s="7">
        <v>0.227349636529781</v>
      </c>
      <c r="O29" s="7">
        <v>0.20648090169067</v>
      </c>
      <c r="P29" s="7">
        <v>0.336542984060622</v>
      </c>
      <c r="Q29" s="7">
        <v>0.649549595399256</v>
      </c>
      <c r="R29" s="6">
        <v>8.76205551338224</v>
      </c>
      <c r="S29" s="6">
        <v>11.2944505162369</v>
      </c>
      <c r="T29" s="6">
        <v>9.95849236442655</v>
      </c>
      <c r="U29" s="6">
        <v>2.14782623455847</v>
      </c>
    </row>
    <row r="30" ht="11.25" customHeight="1">
      <c r="A30" s="2" t="s">
        <v>59</v>
      </c>
      <c r="B30" s="5">
        <v>0.837922941948699</v>
      </c>
      <c r="C30" s="5">
        <v>0.98103047535288</v>
      </c>
      <c r="D30" s="5">
        <v>1.28971300701178</v>
      </c>
      <c r="E30" s="5">
        <v>0.254854669003009</v>
      </c>
      <c r="F30" s="5">
        <v>0.31963371140258</v>
      </c>
      <c r="G30" s="5">
        <v>0.298947889981944</v>
      </c>
      <c r="H30" s="5">
        <v>0.307949285195962</v>
      </c>
      <c r="I30" s="5">
        <v>0.459958512148264</v>
      </c>
      <c r="J30" s="6">
        <v>2.54329538139617</v>
      </c>
      <c r="K30" s="6">
        <v>3.19798368675765</v>
      </c>
      <c r="L30" s="6">
        <v>4.10688729544213</v>
      </c>
      <c r="M30" s="6">
        <v>0.499729134111376</v>
      </c>
      <c r="N30" s="7">
        <v>0.291600318471337</v>
      </c>
      <c r="O30" s="7">
        <v>0.17436305732484</v>
      </c>
      <c r="P30" s="7">
        <v>0.250262278309534</v>
      </c>
      <c r="Q30" s="7">
        <v>0.764964086193136</v>
      </c>
      <c r="R30" s="6">
        <v>5.50804263266002</v>
      </c>
      <c r="S30" s="6">
        <v>7.31694872224347</v>
      </c>
      <c r="T30" s="6">
        <v>9.94098207235457</v>
      </c>
      <c r="U30" s="6">
        <v>0.973540619669389</v>
      </c>
    </row>
    <row r="31" ht="11.25" customHeight="1">
      <c r="A31" s="2" t="s">
        <v>60</v>
      </c>
      <c r="B31" s="5">
        <v>0.4378050612261</v>
      </c>
      <c r="C31" s="5">
        <v>0.564043501014042</v>
      </c>
      <c r="D31" s="5">
        <v>0.525557098175421</v>
      </c>
      <c r="E31" s="5">
        <v>0.198331171291419</v>
      </c>
      <c r="F31" s="5">
        <v>0.173783300199575</v>
      </c>
      <c r="G31" s="5">
        <v>0.187525928893384</v>
      </c>
      <c r="H31" s="5">
        <v>0.176074493843237</v>
      </c>
      <c r="I31" s="5">
        <v>0.271467446289374</v>
      </c>
      <c r="J31" s="6">
        <v>2.37540120801036</v>
      </c>
      <c r="K31" s="6">
        <v>2.87450116469231</v>
      </c>
      <c r="L31" s="6">
        <v>2.84287114646529</v>
      </c>
      <c r="M31" s="6">
        <v>0.638497078234031</v>
      </c>
      <c r="N31" s="7">
        <v>0.114029348537246</v>
      </c>
      <c r="O31" s="7">
        <v>0.107131217506013</v>
      </c>
      <c r="P31" s="7">
        <v>0.238806807565208</v>
      </c>
      <c r="Q31" s="7">
        <v>0.416819303973879</v>
      </c>
      <c r="R31" s="6">
        <v>5.17225352419968</v>
      </c>
      <c r="S31" s="6">
        <v>6.63811285081865</v>
      </c>
      <c r="T31" s="6">
        <v>6.29959439168304</v>
      </c>
      <c r="U31" s="6">
        <v>1.20177294610963</v>
      </c>
    </row>
    <row r="32" ht="11.25" customHeight="1">
      <c r="A32" s="2" t="s">
        <v>61</v>
      </c>
      <c r="B32" s="5">
        <v>0.497248422298293</v>
      </c>
      <c r="C32" s="5">
        <v>0.627000851692642</v>
      </c>
      <c r="D32" s="5">
        <v>0.900768597737958</v>
      </c>
      <c r="E32" s="5">
        <v>0.212573547357725</v>
      </c>
      <c r="F32" s="5">
        <v>0.213468300702521</v>
      </c>
      <c r="G32" s="5">
        <v>0.196990619536952</v>
      </c>
      <c r="H32" s="5">
        <v>0.194404586707332</v>
      </c>
      <c r="I32" s="5">
        <v>0.307507611766289</v>
      </c>
      <c r="J32" s="6">
        <v>2.21226486904205</v>
      </c>
      <c r="K32" s="6">
        <v>3.05598740238347</v>
      </c>
      <c r="L32" s="6">
        <v>4.50487620982107</v>
      </c>
      <c r="M32" s="6">
        <v>0.609980176686763</v>
      </c>
      <c r="N32" s="7">
        <v>0.173522663103195</v>
      </c>
      <c r="O32" s="7">
        <v>0.111353711790392</v>
      </c>
      <c r="P32" s="7">
        <v>0.150347460621504</v>
      </c>
      <c r="Q32" s="7">
        <v>0.434125269978401</v>
      </c>
      <c r="R32" s="6">
        <v>4.45239901241127</v>
      </c>
      <c r="S32" s="6">
        <v>7.05500631137846</v>
      </c>
      <c r="T32" s="6">
        <v>11.3604476944839</v>
      </c>
      <c r="U32" s="6">
        <v>1.15799530683161</v>
      </c>
    </row>
    <row r="33" ht="11.25" customHeight="1">
      <c r="A33" s="2" t="s">
        <v>62</v>
      </c>
      <c r="B33" s="5">
        <v>0.71451115692167</v>
      </c>
      <c r="C33" s="5">
        <v>0.862804589937953</v>
      </c>
      <c r="D33" s="5">
        <v>0.705720183284043</v>
      </c>
      <c r="E33" s="5">
        <v>0.142226506877772</v>
      </c>
      <c r="F33" s="5">
        <v>0.312050989941031</v>
      </c>
      <c r="G33" s="5">
        <v>0.291803854576807</v>
      </c>
      <c r="H33" s="5">
        <v>0.281457883595465</v>
      </c>
      <c r="I33" s="5">
        <v>0.442128659417185</v>
      </c>
      <c r="J33" s="6">
        <v>2.20961054170014</v>
      </c>
      <c r="K33" s="6">
        <v>2.87112242281031</v>
      </c>
      <c r="L33" s="6">
        <v>2.41855077778681</v>
      </c>
      <c r="M33" s="6">
        <v>0.265141162828713</v>
      </c>
      <c r="N33" s="7">
        <v>0.302271403610949</v>
      </c>
      <c r="O33" s="7">
        <v>0.328038315155624</v>
      </c>
      <c r="P33" s="7">
        <v>0.302271403610949</v>
      </c>
      <c r="Q33" s="7">
        <v>0.666191155492154</v>
      </c>
      <c r="R33" s="6">
        <v>4.58018155027302</v>
      </c>
      <c r="S33" s="6">
        <v>6.40116743068063</v>
      </c>
      <c r="T33" s="6">
        <v>5.09438066439805</v>
      </c>
      <c r="U33" s="6">
        <v>0.493201140575401</v>
      </c>
    </row>
    <row r="34" ht="11.25" customHeight="1">
      <c r="A34" s="2" t="s">
        <v>63</v>
      </c>
      <c r="B34" s="5">
        <v>0.887294801122591</v>
      </c>
      <c r="C34" s="5">
        <v>1.08862117181524</v>
      </c>
      <c r="D34" s="5">
        <v>0.798745970518866</v>
      </c>
      <c r="E34" s="5">
        <v>0.2951768269852</v>
      </c>
      <c r="F34" s="5">
        <v>0.320758774735417</v>
      </c>
      <c r="G34" s="5">
        <v>0.322883626822571</v>
      </c>
      <c r="H34" s="5">
        <v>0.322518698661493</v>
      </c>
      <c r="I34" s="5">
        <v>0.437069612126856</v>
      </c>
      <c r="J34" s="6">
        <v>2.68829684186774</v>
      </c>
      <c r="K34" s="6">
        <v>3.29413164204735</v>
      </c>
      <c r="L34" s="6">
        <v>2.39907321259214</v>
      </c>
      <c r="M34" s="6">
        <v>0.618155139339184</v>
      </c>
      <c r="N34" s="7">
        <v>0.210290017699524</v>
      </c>
      <c r="O34" s="7">
        <v>0.13662940646176</v>
      </c>
      <c r="P34" s="7">
        <v>0.281680768133852</v>
      </c>
      <c r="Q34" s="7">
        <v>0.636451116243262</v>
      </c>
      <c r="R34" s="6">
        <v>6.4184507563764</v>
      </c>
      <c r="S34" s="6">
        <v>8.70624957677566</v>
      </c>
      <c r="T34" s="6">
        <v>5.80952528054658</v>
      </c>
      <c r="U34" s="6">
        <v>1.32922019999078</v>
      </c>
    </row>
    <row r="35" ht="11.25" customHeight="1">
      <c r="A35" s="2" t="s">
        <v>64</v>
      </c>
      <c r="B35" s="5">
        <v>0.815463554377144</v>
      </c>
      <c r="C35" s="5">
        <v>1.06234055005422</v>
      </c>
      <c r="D35" s="5">
        <v>0.987137313957534</v>
      </c>
      <c r="E35" s="5">
        <v>0.332142801494312</v>
      </c>
      <c r="F35" s="5">
        <v>0.286246539826413</v>
      </c>
      <c r="G35" s="5">
        <v>0.279791640788985</v>
      </c>
      <c r="H35" s="5">
        <v>0.280059611744059</v>
      </c>
      <c r="I35" s="5">
        <v>0.415556341956838</v>
      </c>
      <c r="J35" s="6">
        <v>2.76147811203762</v>
      </c>
      <c r="K35" s="6">
        <v>3.70754661264725</v>
      </c>
      <c r="L35" s="6">
        <v>3.43547328358368</v>
      </c>
      <c r="M35" s="6">
        <v>0.739112294732378</v>
      </c>
      <c r="N35" s="7">
        <v>0.220063008651942</v>
      </c>
      <c r="O35" s="7">
        <v>0.0998727938283743</v>
      </c>
      <c r="P35" s="7">
        <v>0.380805237804231</v>
      </c>
      <c r="Q35" s="7">
        <v>0.529459503327382</v>
      </c>
      <c r="R35" s="6">
        <v>6.03574429784606</v>
      </c>
      <c r="S35" s="6">
        <v>8.59562408339874</v>
      </c>
      <c r="T35" s="6">
        <v>7.66529166490766</v>
      </c>
      <c r="U35" s="6">
        <v>1.46580100979875</v>
      </c>
    </row>
    <row r="36" ht="11.25" customHeight="1">
      <c r="A36" s="2" t="s">
        <v>65</v>
      </c>
      <c r="B36" s="5">
        <v>2.37571017653148</v>
      </c>
      <c r="C36" s="5">
        <v>3.46897269212468</v>
      </c>
      <c r="D36" s="5">
        <v>3.15397384525554</v>
      </c>
      <c r="E36" s="5">
        <v>0.129842829643874</v>
      </c>
      <c r="F36" s="5">
        <v>1.5873648531238</v>
      </c>
      <c r="G36" s="5">
        <v>1.51776305628452</v>
      </c>
      <c r="H36" s="5">
        <v>1.59789243334958</v>
      </c>
      <c r="I36" s="5">
        <v>1.68328429084943</v>
      </c>
      <c r="J36" s="6">
        <v>1.48088838675335</v>
      </c>
      <c r="K36" s="6">
        <v>2.26911089834767</v>
      </c>
      <c r="L36" s="6">
        <v>1.95818803565921</v>
      </c>
      <c r="M36" s="6">
        <v>0.0622846837066173</v>
      </c>
      <c r="N36" s="7">
        <v>0.607035175879397</v>
      </c>
      <c r="O36" s="7">
        <v>0.369176124216967</v>
      </c>
      <c r="P36" s="7">
        <v>0.607035175879397</v>
      </c>
      <c r="Q36" s="7">
        <v>0.940462945701003</v>
      </c>
      <c r="R36" s="6">
        <v>6.29338845185064</v>
      </c>
      <c r="S36" s="6">
        <v>14.9428167945144</v>
      </c>
      <c r="T36" s="6">
        <v>8.4036108085982</v>
      </c>
      <c r="U36" s="6">
        <v>0.220340783729296</v>
      </c>
    </row>
    <row r="37" ht="11.25" customHeight="1">
      <c r="A37" s="2" t="s">
        <v>66</v>
      </c>
      <c r="B37" s="5">
        <v>0.525451054813191</v>
      </c>
      <c r="C37" s="5">
        <v>0.843457805829589</v>
      </c>
      <c r="D37" s="5">
        <v>0.473760765585424</v>
      </c>
      <c r="E37" s="5">
        <v>0.0218857817641091</v>
      </c>
      <c r="F37" s="5">
        <v>0.295302612508867</v>
      </c>
      <c r="G37" s="5">
        <v>0.330636346254137</v>
      </c>
      <c r="H37" s="5">
        <v>0.237900921277011</v>
      </c>
      <c r="I37" s="5">
        <v>0.442347643287421</v>
      </c>
      <c r="J37" s="6">
        <v>1.69470581571019</v>
      </c>
      <c r="K37" s="6">
        <v>2.47540179747963</v>
      </c>
      <c r="L37" s="6">
        <v>1.88633471100722</v>
      </c>
      <c r="M37" s="6">
        <v>-0.00704020532978704</v>
      </c>
      <c r="N37" s="7">
        <v>0.191780821917808</v>
      </c>
      <c r="O37" s="7">
        <v>0.111213235294117</v>
      </c>
      <c r="P37" s="7">
        <v>0.172985027078687</v>
      </c>
      <c r="Q37" s="7">
        <v>0.490582191780821</v>
      </c>
      <c r="R37" s="6">
        <v>3.72438365215587</v>
      </c>
      <c r="S37" s="6">
        <v>5.86123836995055</v>
      </c>
      <c r="T37" s="6">
        <v>3.9771374264451</v>
      </c>
      <c r="U37" s="6">
        <v>-0.0132503178298293</v>
      </c>
    </row>
    <row r="38" ht="11.25" customHeight="1">
      <c r="A38" s="2" t="s">
        <v>67</v>
      </c>
      <c r="B38" s="5">
        <v>1.63489370689795</v>
      </c>
      <c r="C38" s="5">
        <v>2.04507193292984</v>
      </c>
      <c r="D38" s="5">
        <v>1.34595155225345</v>
      </c>
      <c r="E38" s="5">
        <v>0.33075000818507</v>
      </c>
      <c r="F38" s="5">
        <v>0.506080154597362</v>
      </c>
      <c r="G38" s="5">
        <v>0.498693206875332</v>
      </c>
      <c r="H38" s="5">
        <v>0.478735618213207</v>
      </c>
      <c r="I38" s="5">
        <v>0.681100213459927</v>
      </c>
      <c r="J38" s="6">
        <v>3.1811042031055</v>
      </c>
      <c r="K38" s="6">
        <v>4.05073080017879</v>
      </c>
      <c r="L38" s="6">
        <v>2.75925062184356</v>
      </c>
      <c r="M38" s="6">
        <v>0.448906052505678</v>
      </c>
      <c r="N38" s="7">
        <v>0.303266272129596</v>
      </c>
      <c r="O38" s="7">
        <v>0.178561699843488</v>
      </c>
      <c r="P38" s="7">
        <v>0.431463658152415</v>
      </c>
      <c r="Q38" s="7">
        <v>0.840551181102362</v>
      </c>
      <c r="R38" s="6">
        <v>7.6314230778708</v>
      </c>
      <c r="S38" s="6">
        <v>10.5291462748881</v>
      </c>
      <c r="T38" s="6">
        <v>6.48228680002286</v>
      </c>
      <c r="U38" s="6">
        <v>0.938485444509417</v>
      </c>
    </row>
    <row r="39" ht="11.25" customHeight="1">
      <c r="A39" s="2" t="s">
        <v>68</v>
      </c>
      <c r="B39" s="5">
        <v>0.600121656320782</v>
      </c>
      <c r="C39" s="5">
        <v>0.643775015668103</v>
      </c>
      <c r="D39" s="5">
        <v>0.570003732151527</v>
      </c>
      <c r="E39" s="5">
        <v>0.294594527171403</v>
      </c>
      <c r="F39" s="5">
        <v>0.188142559059106</v>
      </c>
      <c r="G39" s="5">
        <v>0.194297634434211</v>
      </c>
      <c r="H39" s="5">
        <v>0.190670451136673</v>
      </c>
      <c r="I39" s="5">
        <v>0.302879857352224</v>
      </c>
      <c r="J39" s="6">
        <v>3.05683976659477</v>
      </c>
      <c r="K39" s="6">
        <v>3.18467601249987</v>
      </c>
      <c r="L39" s="6">
        <v>2.85835444822473</v>
      </c>
      <c r="M39" s="6">
        <v>0.890103850180723</v>
      </c>
      <c r="N39" s="7">
        <v>0.0990973330551724</v>
      </c>
      <c r="O39" s="7">
        <v>0.16238954559119</v>
      </c>
      <c r="P39" s="7">
        <v>0.262514198532459</v>
      </c>
      <c r="Q39" s="7">
        <v>0.428529354015314</v>
      </c>
      <c r="R39" s="6">
        <v>7.05867374305103</v>
      </c>
      <c r="S39" s="6">
        <v>7.09456270214429</v>
      </c>
      <c r="T39" s="6">
        <v>5.98559674539895</v>
      </c>
      <c r="U39" s="6">
        <v>1.71644675310996</v>
      </c>
    </row>
    <row r="40" ht="11.25" customHeight="1">
      <c r="A40" s="2" t="s">
        <v>69</v>
      </c>
      <c r="B40" s="5">
        <v>0.557449555441912</v>
      </c>
      <c r="C40" s="5">
        <v>0.670346030741249</v>
      </c>
      <c r="D40" s="5">
        <v>0.655852797595825</v>
      </c>
      <c r="E40" s="5">
        <v>0.200054370884259</v>
      </c>
      <c r="F40" s="5">
        <v>0.207816584076033</v>
      </c>
      <c r="G40" s="5">
        <v>0.20457965777083</v>
      </c>
      <c r="H40" s="5">
        <v>0.202269524865143</v>
      </c>
      <c r="I40" s="5">
        <v>0.295399365473162</v>
      </c>
      <c r="J40" s="6">
        <v>2.56211292187878</v>
      </c>
      <c r="K40" s="6">
        <v>3.15449755744612</v>
      </c>
      <c r="L40" s="6">
        <v>3.11887219795678</v>
      </c>
      <c r="M40" s="6">
        <v>0.59260239304801</v>
      </c>
      <c r="N40" s="7">
        <v>0.111898792291421</v>
      </c>
      <c r="O40" s="7">
        <v>0.0959290248741434</v>
      </c>
      <c r="P40" s="7">
        <v>0.178139393303236</v>
      </c>
      <c r="Q40" s="7">
        <v>0.251146724050059</v>
      </c>
      <c r="R40" s="6">
        <v>5.69069279425238</v>
      </c>
      <c r="S40" s="6">
        <v>7.47461965434417</v>
      </c>
      <c r="T40" s="6">
        <v>7.18462941697125</v>
      </c>
      <c r="U40" s="6">
        <v>1.22041811923909</v>
      </c>
    </row>
    <row r="41" ht="11.25" customHeight="1">
      <c r="A41" s="2" t="s">
        <v>70</v>
      </c>
      <c r="B41" s="5">
        <v>0.331790360626784</v>
      </c>
      <c r="C41" s="5">
        <v>0.452082150721329</v>
      </c>
      <c r="D41" s="5">
        <v>0.202667087694122</v>
      </c>
      <c r="E41" s="5">
        <v>-0.0962167437787804</v>
      </c>
      <c r="F41" s="5">
        <v>0.205044111361479</v>
      </c>
      <c r="G41" s="5">
        <v>0.19289444088939</v>
      </c>
      <c r="H41" s="5">
        <v>0.274031720561665</v>
      </c>
      <c r="I41" s="5">
        <v>0.333033632760423</v>
      </c>
      <c r="J41" s="6">
        <v>1.49621639260799</v>
      </c>
      <c r="K41" s="6">
        <v>2.21407184547234</v>
      </c>
      <c r="L41" s="6">
        <v>0.648344970173413</v>
      </c>
      <c r="M41" s="6">
        <v>-0.36397748411789</v>
      </c>
      <c r="N41" s="7">
        <v>0.222414331405585</v>
      </c>
      <c r="O41" s="7">
        <v>0.117082533589251</v>
      </c>
      <c r="P41" s="7">
        <v>0.65142150803461</v>
      </c>
      <c r="Q41" s="7">
        <v>0.853961677887104</v>
      </c>
      <c r="R41" s="6">
        <v>3.01645459562138</v>
      </c>
      <c r="S41" s="6">
        <v>4.94702973305953</v>
      </c>
      <c r="T41" s="6">
        <v>1.09827637156888</v>
      </c>
      <c r="U41" s="6">
        <v>-0.633159200158672</v>
      </c>
    </row>
    <row r="42" ht="11.25" customHeight="1">
      <c r="A42" s="2" t="s">
        <v>71</v>
      </c>
      <c r="B42" s="5">
        <v>0.75320830775995</v>
      </c>
      <c r="C42" s="5">
        <v>0.924607332315</v>
      </c>
      <c r="D42" s="5">
        <v>0.839132446878626</v>
      </c>
      <c r="E42" s="5">
        <v>0.25165187333623</v>
      </c>
      <c r="F42" s="5">
        <v>0.270121437257004</v>
      </c>
      <c r="G42" s="5">
        <v>0.257234093679366</v>
      </c>
      <c r="H42" s="5">
        <v>0.23823326344699</v>
      </c>
      <c r="I42" s="5">
        <v>0.408160701749237</v>
      </c>
      <c r="J42" s="6">
        <v>2.69585529810099</v>
      </c>
      <c r="K42" s="6">
        <v>3.4972321104384</v>
      </c>
      <c r="L42" s="6">
        <v>3.41737520234985</v>
      </c>
      <c r="M42" s="6">
        <v>0.555300577358078</v>
      </c>
      <c r="N42" s="7">
        <v>0.185352214305041</v>
      </c>
      <c r="O42" s="7">
        <v>0.155889433053872</v>
      </c>
      <c r="P42" s="7">
        <v>0.190569973806286</v>
      </c>
      <c r="Q42" s="7">
        <v>0.544715447154472</v>
      </c>
      <c r="R42" s="6">
        <v>6.13733867125109</v>
      </c>
      <c r="S42" s="6">
        <v>8.33189129158139</v>
      </c>
      <c r="T42" s="6">
        <v>7.462218519519</v>
      </c>
      <c r="U42" s="6">
        <v>1.08092512769908</v>
      </c>
    </row>
    <row r="43" ht="11.25" customHeight="1">
      <c r="A43" s="2" t="s">
        <v>72</v>
      </c>
      <c r="B43" s="5">
        <v>0.469755533308245</v>
      </c>
      <c r="C43" s="5">
        <v>0.550029888815686</v>
      </c>
      <c r="D43" s="5">
        <v>0.48438042211283</v>
      </c>
      <c r="E43" s="5">
        <v>0.260198472825812</v>
      </c>
      <c r="F43" s="5">
        <v>0.182264074364188</v>
      </c>
      <c r="G43" s="5">
        <v>0.188464117063072</v>
      </c>
      <c r="H43" s="5">
        <v>0.206871387752795</v>
      </c>
      <c r="I43" s="5">
        <v>0.27998263595489</v>
      </c>
      <c r="J43" s="6">
        <v>2.44017113553361</v>
      </c>
      <c r="K43" s="6">
        <v>2.7858347625929</v>
      </c>
      <c r="L43" s="6">
        <v>2.22060879033583</v>
      </c>
      <c r="M43" s="6">
        <v>0.840046640834206</v>
      </c>
      <c r="N43" s="7">
        <v>0.122727190499842</v>
      </c>
      <c r="O43" s="7">
        <v>0.1211093990755</v>
      </c>
      <c r="P43" s="7">
        <v>0.288365254708734</v>
      </c>
      <c r="Q43" s="7">
        <v>0.302880498248345</v>
      </c>
      <c r="R43" s="6">
        <v>5.19798072388892</v>
      </c>
      <c r="S43" s="6">
        <v>6.24021329823703</v>
      </c>
      <c r="T43" s="6">
        <v>4.41091761103771</v>
      </c>
      <c r="U43" s="6">
        <v>1.65798384011495</v>
      </c>
    </row>
    <row r="44" ht="11.25" customHeight="1">
      <c r="A44" s="2" t="s">
        <v>73</v>
      </c>
      <c r="B44" s="5">
        <v>0.818479039061131</v>
      </c>
      <c r="C44" s="5">
        <v>1.14969239357956</v>
      </c>
      <c r="D44" s="5">
        <v>0.821783182740175</v>
      </c>
      <c r="E44" s="5">
        <v>0.521854211067599</v>
      </c>
      <c r="F44" s="5">
        <v>0.258016794073367</v>
      </c>
      <c r="G44" s="5">
        <v>0.267205536756216</v>
      </c>
      <c r="H44" s="5">
        <v>0.259258365278823</v>
      </c>
      <c r="I44" s="5">
        <v>0.375784634495698</v>
      </c>
      <c r="J44" s="6">
        <v>3.07529996995275</v>
      </c>
      <c r="K44" s="6">
        <v>4.20909090145714</v>
      </c>
      <c r="L44" s="6">
        <v>3.07331715944155</v>
      </c>
      <c r="M44" s="6">
        <v>1.32217809207227</v>
      </c>
      <c r="N44" s="7">
        <v>0.147783137150763</v>
      </c>
      <c r="O44" s="7">
        <v>0.0952860628000315</v>
      </c>
      <c r="P44" s="7">
        <v>0.241252852758322</v>
      </c>
      <c r="Q44" s="7">
        <v>0.341037798294688</v>
      </c>
      <c r="R44" s="6">
        <v>7.09038919043296</v>
      </c>
      <c r="S44" s="6">
        <v>10.5855099543846</v>
      </c>
      <c r="T44" s="6">
        <v>6.79486161470641</v>
      </c>
      <c r="U44" s="6">
        <v>2.72504520907531</v>
      </c>
    </row>
    <row r="45" ht="11.25" customHeight="1">
      <c r="A45" s="2" t="s">
        <v>74</v>
      </c>
      <c r="B45" s="5">
        <v>1.26345299882529</v>
      </c>
      <c r="C45" s="5">
        <v>1.82256076937304</v>
      </c>
      <c r="D45" s="5">
        <v>1.12167868752213</v>
      </c>
      <c r="E45" s="5">
        <v>0.467241402505236</v>
      </c>
      <c r="F45" s="5">
        <v>0.368861835036063</v>
      </c>
      <c r="G45" s="5">
        <v>0.363208389724808</v>
      </c>
      <c r="H45" s="5">
        <v>0.355466196654572</v>
      </c>
      <c r="I45" s="5">
        <v>0.525470649315434</v>
      </c>
      <c r="J45" s="6">
        <v>3.35749834000639</v>
      </c>
      <c r="K45" s="6">
        <v>4.94911687126776</v>
      </c>
      <c r="L45" s="6">
        <v>3.08518418303456</v>
      </c>
      <c r="M45" s="6">
        <v>0.84161009388702</v>
      </c>
      <c r="N45" s="7">
        <v>0.189610666587461</v>
      </c>
      <c r="O45" s="7">
        <v>0.127412587412587</v>
      </c>
      <c r="P45" s="7">
        <v>0.226449469510234</v>
      </c>
      <c r="Q45" s="7">
        <v>0.522006452791136</v>
      </c>
      <c r="R45" s="6">
        <v>8.00239532593726</v>
      </c>
      <c r="S45" s="6">
        <v>12.7873906500161</v>
      </c>
      <c r="T45" s="6">
        <v>7.35101256947433</v>
      </c>
      <c r="U45" s="6">
        <v>1.62346828193374</v>
      </c>
    </row>
    <row r="46" ht="11.25" customHeight="1">
      <c r="A46" s="2" t="s">
        <v>75</v>
      </c>
      <c r="B46" s="5">
        <v>0.612897136142666</v>
      </c>
      <c r="C46" s="5">
        <v>0.688341599139679</v>
      </c>
      <c r="D46" s="5">
        <v>0.743706822639911</v>
      </c>
      <c r="E46" s="5">
        <v>0.304133385390482</v>
      </c>
      <c r="F46" s="5">
        <v>0.219454493439723</v>
      </c>
      <c r="G46" s="5">
        <v>0.213553297456086</v>
      </c>
      <c r="H46" s="5">
        <v>0.201016331442716</v>
      </c>
      <c r="I46" s="5">
        <v>0.325416684899714</v>
      </c>
      <c r="J46" s="6">
        <v>2.67890224951872</v>
      </c>
      <c r="K46" s="6">
        <v>3.10621098827137</v>
      </c>
      <c r="L46" s="6">
        <v>3.57536533216814</v>
      </c>
      <c r="M46" s="6">
        <v>0.857772198977762</v>
      </c>
      <c r="N46" s="7">
        <v>0.128608493192118</v>
      </c>
      <c r="O46" s="7">
        <v>0.0861192296382598</v>
      </c>
      <c r="P46" s="7">
        <v>0.231251339190057</v>
      </c>
      <c r="Q46" s="7">
        <v>0.309583305193489</v>
      </c>
      <c r="R46" s="6">
        <v>5.72612298522143</v>
      </c>
      <c r="S46" s="6">
        <v>7.08029845987986</v>
      </c>
      <c r="T46" s="6">
        <v>8.04755587971929</v>
      </c>
      <c r="U46" s="6">
        <v>1.66943624247488</v>
      </c>
    </row>
    <row r="47" ht="11.25" customHeight="1">
      <c r="A47" s="2" t="s">
        <v>76</v>
      </c>
      <c r="B47" s="5">
        <v>0.604419360481956</v>
      </c>
      <c r="C47" s="5">
        <v>0.818672319313862</v>
      </c>
      <c r="D47" s="5">
        <v>0.698292214310201</v>
      </c>
      <c r="E47" s="5">
        <v>0.250979483625399</v>
      </c>
      <c r="F47" s="5">
        <v>0.224154165287855</v>
      </c>
      <c r="G47" s="5">
        <v>0.237166846881382</v>
      </c>
      <c r="H47" s="5">
        <v>0.252715137109789</v>
      </c>
      <c r="I47" s="5">
        <v>0.344463244436197</v>
      </c>
      <c r="J47" s="6">
        <v>2.58491453744736</v>
      </c>
      <c r="K47" s="6">
        <v>3.346472450725</v>
      </c>
      <c r="L47" s="6">
        <v>2.66423381681999</v>
      </c>
      <c r="M47" s="6">
        <v>0.656033661865063</v>
      </c>
      <c r="N47" s="7">
        <v>0.241043428427969</v>
      </c>
      <c r="O47" s="7">
        <v>0.137353078457164</v>
      </c>
      <c r="P47" s="7">
        <v>0.410701032319006</v>
      </c>
      <c r="Q47" s="7">
        <v>0.44968811039002</v>
      </c>
      <c r="R47" s="6">
        <v>5.73144237418618</v>
      </c>
      <c r="S47" s="6">
        <v>8.37193855460193</v>
      </c>
      <c r="T47" s="6">
        <v>5.50064576585902</v>
      </c>
      <c r="U47" s="6">
        <v>1.29038858691968</v>
      </c>
    </row>
    <row r="48" ht="11.25" customHeight="1">
      <c r="A48" s="2" t="s">
        <v>77</v>
      </c>
      <c r="B48" s="5">
        <v>0.468021115733284</v>
      </c>
      <c r="C48" s="5">
        <v>0.565014791905189</v>
      </c>
      <c r="D48" s="5">
        <v>0.541498615954205</v>
      </c>
      <c r="E48" s="5">
        <v>0.250994883833698</v>
      </c>
      <c r="F48" s="5">
        <v>0.163076973307489</v>
      </c>
      <c r="G48" s="5">
        <v>0.170771598851092</v>
      </c>
      <c r="H48" s="5">
        <v>0.188542907423989</v>
      </c>
      <c r="I48" s="5">
        <v>0.259211630552633</v>
      </c>
      <c r="J48" s="6">
        <v>2.71663808045999</v>
      </c>
      <c r="K48" s="6">
        <v>3.16220493066921</v>
      </c>
      <c r="L48" s="6">
        <v>2.73942214539378</v>
      </c>
      <c r="M48" s="6">
        <v>0.871854720993354</v>
      </c>
      <c r="N48" s="7">
        <v>0.122266788149832</v>
      </c>
      <c r="O48" s="7">
        <v>0.111838375508941</v>
      </c>
      <c r="P48" s="7">
        <v>0.177998056957472</v>
      </c>
      <c r="Q48" s="7">
        <v>0.387272038074379</v>
      </c>
      <c r="R48" s="6">
        <v>5.99102367452279</v>
      </c>
      <c r="S48" s="6">
        <v>7.1396901118022</v>
      </c>
      <c r="T48" s="6">
        <v>5.77185156355255</v>
      </c>
      <c r="U48" s="6">
        <v>1.67646613513038</v>
      </c>
    </row>
    <row r="49" ht="11.25" customHeight="1">
      <c r="A49" s="2" t="s">
        <v>78</v>
      </c>
      <c r="B49" s="5">
        <v>0.634238079228153</v>
      </c>
      <c r="C49" s="5">
        <v>0.824668108078431</v>
      </c>
      <c r="D49" s="5">
        <v>0.780558825257891</v>
      </c>
      <c r="E49" s="5">
        <v>0.329187995936877</v>
      </c>
      <c r="F49" s="5">
        <v>0.230112905149124</v>
      </c>
      <c r="G49" s="5">
        <v>0.231613968924079</v>
      </c>
      <c r="H49" s="5">
        <v>0.229165960004687</v>
      </c>
      <c r="I49" s="5">
        <v>0.324623036178417</v>
      </c>
      <c r="J49" s="6">
        <v>2.64756154737752</v>
      </c>
      <c r="K49" s="6">
        <v>3.45259015159208</v>
      </c>
      <c r="L49" s="6">
        <v>3.29699413142526</v>
      </c>
      <c r="M49" s="6">
        <v>0.937049938038566</v>
      </c>
      <c r="N49" s="7">
        <v>0.19342174548503</v>
      </c>
      <c r="O49" s="7">
        <v>0.104602959469376</v>
      </c>
      <c r="P49" s="7">
        <v>0.225086834944424</v>
      </c>
      <c r="Q49" s="7">
        <v>0.487765330188678</v>
      </c>
      <c r="R49" s="6">
        <v>5.61223250009876</v>
      </c>
      <c r="S49" s="6">
        <v>8.10346618091504</v>
      </c>
      <c r="T49" s="6">
        <v>7.04819413405532</v>
      </c>
      <c r="U49" s="6">
        <v>1.89113729539251</v>
      </c>
    </row>
    <row r="50" ht="11.25" customHeight="1">
      <c r="A50" s="2" t="s">
        <v>79</v>
      </c>
      <c r="B50" s="5">
        <v>0.842437332902482</v>
      </c>
      <c r="C50" s="5">
        <v>1.06700434773064</v>
      </c>
      <c r="D50" s="5">
        <v>0.937302455622701</v>
      </c>
      <c r="E50" s="5">
        <v>-0.191709368990568</v>
      </c>
      <c r="F50" s="5">
        <v>0.417754831524235</v>
      </c>
      <c r="G50" s="5">
        <v>0.391520822203469</v>
      </c>
      <c r="H50" s="5">
        <v>0.407696958411474</v>
      </c>
      <c r="I50" s="5">
        <v>0.610803700860345</v>
      </c>
      <c r="J50" s="6">
        <v>1.95673938687902</v>
      </c>
      <c r="K50" s="6">
        <v>2.66142766524209</v>
      </c>
      <c r="L50" s="6">
        <v>2.23769747799282</v>
      </c>
      <c r="M50" s="6">
        <v>-0.354793804761371</v>
      </c>
      <c r="N50" s="7">
        <v>0.31125840636869</v>
      </c>
      <c r="O50" s="7">
        <v>0.180785309047476</v>
      </c>
      <c r="P50" s="7">
        <v>0.509946906316079</v>
      </c>
      <c r="Q50" s="7">
        <v>0.969858288970533</v>
      </c>
      <c r="R50" s="6">
        <v>4.68082934187875</v>
      </c>
      <c r="S50" s="6">
        <v>6.77706084621293</v>
      </c>
      <c r="T50" s="6">
        <v>5.14657490068787</v>
      </c>
      <c r="U50" s="6">
        <v>-0.661152671079429</v>
      </c>
    </row>
    <row r="51" ht="11.25" customHeight="1">
      <c r="A51" s="2" t="s">
        <v>80</v>
      </c>
      <c r="B51" s="5">
        <v>0.448540227378806</v>
      </c>
      <c r="C51" s="5">
        <v>0.590579017177179</v>
      </c>
      <c r="D51" s="5">
        <v>0.479377136716125</v>
      </c>
      <c r="E51" s="5">
        <v>0.184923714135553</v>
      </c>
      <c r="F51" s="5">
        <v>0.18852894279806</v>
      </c>
      <c r="G51" s="5">
        <v>0.186931414154955</v>
      </c>
      <c r="H51" s="5">
        <v>0.185833462796892</v>
      </c>
      <c r="I51" s="5">
        <v>0.282673430636523</v>
      </c>
      <c r="J51" s="6">
        <v>2.24655281620326</v>
      </c>
      <c r="K51" s="6">
        <v>3.02559641852571</v>
      </c>
      <c r="L51" s="6">
        <v>2.44507705919864</v>
      </c>
      <c r="M51" s="6">
        <v>0.565754318598101</v>
      </c>
      <c r="N51" s="7">
        <v>0.153375911548004</v>
      </c>
      <c r="O51" s="7">
        <v>0.153375911548004</v>
      </c>
      <c r="P51" s="7">
        <v>0.225589212132302</v>
      </c>
      <c r="Q51" s="7">
        <v>0.309675403304558</v>
      </c>
      <c r="R51" s="6">
        <v>4.74371729048585</v>
      </c>
      <c r="S51" s="6">
        <v>6.94622011473999</v>
      </c>
      <c r="T51" s="6">
        <v>5.05237954398468</v>
      </c>
      <c r="U51" s="6">
        <v>1.09486794965933</v>
      </c>
    </row>
    <row r="52" ht="11.25" customHeight="1">
      <c r="A52" s="2" t="s">
        <v>81</v>
      </c>
      <c r="B52" s="5">
        <v>0.534053965050968</v>
      </c>
      <c r="C52" s="5">
        <v>0.769232286177093</v>
      </c>
      <c r="D52" s="5">
        <v>0.541710309390317</v>
      </c>
      <c r="E52" s="5">
        <v>0.264477807107501</v>
      </c>
      <c r="F52" s="5">
        <v>0.207101502517894</v>
      </c>
      <c r="G52" s="5">
        <v>0.213035183571422</v>
      </c>
      <c r="H52" s="5">
        <v>0.213264266001923</v>
      </c>
      <c r="I52" s="5">
        <v>0.300200005991221</v>
      </c>
      <c r="J52" s="6">
        <v>2.45799262130888</v>
      </c>
      <c r="K52" s="6">
        <v>3.49347123653676</v>
      </c>
      <c r="L52" s="6">
        <v>2.42286398503187</v>
      </c>
      <c r="M52" s="6">
        <v>0.797727522745299</v>
      </c>
      <c r="N52" s="7">
        <v>0.162969871180666</v>
      </c>
      <c r="O52" s="7">
        <v>0.135783756473411</v>
      </c>
      <c r="P52" s="7">
        <v>0.355169959609252</v>
      </c>
      <c r="Q52" s="7">
        <v>0.377538937972493</v>
      </c>
      <c r="R52" s="6">
        <v>5.17721602861216</v>
      </c>
      <c r="S52" s="6">
        <v>8.44642297281688</v>
      </c>
      <c r="T52" s="6">
        <v>4.92569819517424</v>
      </c>
      <c r="U52" s="6">
        <v>1.56133496639214</v>
      </c>
    </row>
    <row r="53" ht="11.25" customHeight="1">
      <c r="A53" s="2" t="s">
        <v>82</v>
      </c>
      <c r="B53" s="5">
        <v>0.701439560283616</v>
      </c>
      <c r="C53" s="5">
        <v>0.903845964335065</v>
      </c>
      <c r="D53" s="5">
        <v>0.811874702554659</v>
      </c>
      <c r="E53" s="5">
        <v>0.2027993760552</v>
      </c>
      <c r="F53" s="5">
        <v>0.289490574503993</v>
      </c>
      <c r="G53" s="5">
        <v>0.29539122404102</v>
      </c>
      <c r="H53" s="5">
        <v>0.267248695624259</v>
      </c>
      <c r="I53" s="5">
        <v>0.427821080096226</v>
      </c>
      <c r="J53" s="6">
        <v>2.33665486844472</v>
      </c>
      <c r="K53" s="6">
        <v>2.97519321092972</v>
      </c>
      <c r="L53" s="6">
        <v>2.9443537627625</v>
      </c>
      <c r="M53" s="6">
        <v>0.415592836180978</v>
      </c>
      <c r="N53" s="7">
        <v>0.270373474823618</v>
      </c>
      <c r="O53" s="7">
        <v>0.205305039787798</v>
      </c>
      <c r="P53" s="7">
        <v>0.222676244674565</v>
      </c>
      <c r="Q53" s="7">
        <v>0.631600491199343</v>
      </c>
      <c r="R53" s="6">
        <v>5.06993290012285</v>
      </c>
      <c r="S53" s="6">
        <v>6.72300112101069</v>
      </c>
      <c r="T53" s="6">
        <v>6.79318098287816</v>
      </c>
      <c r="U53" s="6">
        <v>0.830513021299347</v>
      </c>
    </row>
    <row r="54" ht="11.25" customHeight="1">
      <c r="A54" s="2" t="s">
        <v>83</v>
      </c>
      <c r="B54" s="5">
        <v>2.25386957652545</v>
      </c>
      <c r="C54" s="5">
        <v>2.56524034269007</v>
      </c>
      <c r="D54" s="5">
        <v>2.31302935108165</v>
      </c>
      <c r="E54" s="5">
        <v>0.607549893452412</v>
      </c>
      <c r="F54" s="5">
        <v>0.823184241396623</v>
      </c>
      <c r="G54" s="5">
        <v>0.839455067897315</v>
      </c>
      <c r="H54" s="5">
        <v>0.836855318215409</v>
      </c>
      <c r="I54" s="5">
        <v>1.10507552569667</v>
      </c>
      <c r="J54" s="6">
        <v>2.70761934502527</v>
      </c>
      <c r="K54" s="6">
        <v>3.02605873719115</v>
      </c>
      <c r="L54" s="6">
        <v>2.73407995537492</v>
      </c>
      <c r="M54" s="6">
        <v>0.527158442935521</v>
      </c>
      <c r="N54" s="7">
        <v>0.555555555555555</v>
      </c>
      <c r="O54" s="7">
        <v>0.555555555555555</v>
      </c>
      <c r="P54" s="7">
        <v>0.519269776876267</v>
      </c>
      <c r="Q54" s="7">
        <v>0.899728353140916</v>
      </c>
      <c r="R54" s="6">
        <v>6.27158855704755</v>
      </c>
      <c r="S54" s="6">
        <v>7.29005875867544</v>
      </c>
      <c r="T54" s="6">
        <v>6.49563486403962</v>
      </c>
      <c r="U54" s="6">
        <v>1.16884708892106</v>
      </c>
    </row>
    <row r="55" ht="11.25" customHeight="1">
      <c r="A55" s="2" t="s">
        <v>84</v>
      </c>
      <c r="B55" s="5">
        <v>0.757812230655757</v>
      </c>
      <c r="C55" s="5">
        <v>1.18214268298621</v>
      </c>
      <c r="D55" s="5">
        <v>0.866782720528307</v>
      </c>
      <c r="E55" s="5">
        <v>0.378849069454191</v>
      </c>
      <c r="F55" s="5">
        <v>0.272195563804071</v>
      </c>
      <c r="G55" s="5">
        <v>0.271721693618061</v>
      </c>
      <c r="H55" s="5">
        <v>0.329491150897291</v>
      </c>
      <c r="I55" s="5">
        <v>0.421485398381607</v>
      </c>
      <c r="J55" s="6">
        <v>2.69222694306378</v>
      </c>
      <c r="K55" s="6">
        <v>4.25855833436959</v>
      </c>
      <c r="L55" s="6">
        <v>2.55479614015705</v>
      </c>
      <c r="M55" s="6">
        <v>0.839528654641128</v>
      </c>
      <c r="N55" s="7">
        <v>0.216895803183791</v>
      </c>
      <c r="O55" s="7">
        <v>0.216895803183791</v>
      </c>
      <c r="P55" s="7">
        <v>0.636629481208707</v>
      </c>
      <c r="Q55" s="7">
        <v>0.674050325463908</v>
      </c>
      <c r="R55" s="6">
        <v>5.73455863482495</v>
      </c>
      <c r="S55" s="6">
        <v>10.342915964373</v>
      </c>
      <c r="T55" s="6">
        <v>4.7496295032034</v>
      </c>
      <c r="U55" s="6">
        <v>1.55886824335051</v>
      </c>
    </row>
    <row r="56" ht="11.25" customHeight="1">
      <c r="A56" s="2" t="s">
        <v>85</v>
      </c>
      <c r="B56" s="5">
        <v>0.4178895688628</v>
      </c>
      <c r="C56" s="5">
        <v>0.460562882950612</v>
      </c>
      <c r="D56" s="5">
        <v>0.584406345308416</v>
      </c>
      <c r="E56" s="5">
        <v>0.14925334914453</v>
      </c>
      <c r="F56" s="5">
        <v>0.179881878851999</v>
      </c>
      <c r="G56" s="5">
        <v>0.181888867344472</v>
      </c>
      <c r="H56" s="5">
        <v>0.154807093310214</v>
      </c>
      <c r="I56" s="5">
        <v>0.284595190391082</v>
      </c>
      <c r="J56" s="6">
        <v>2.18415313076675</v>
      </c>
      <c r="K56" s="6">
        <v>2.39466488141748</v>
      </c>
      <c r="L56" s="6">
        <v>3.61357049826801</v>
      </c>
      <c r="M56" s="6">
        <v>0.436596799031581</v>
      </c>
      <c r="N56" s="7">
        <v>0.101670914755027</v>
      </c>
      <c r="O56" s="7">
        <v>0.151346310923313</v>
      </c>
      <c r="P56" s="7">
        <v>0.079747393156117</v>
      </c>
      <c r="Q56" s="7">
        <v>0.343051506316812</v>
      </c>
      <c r="R56" s="6">
        <v>4.45769303497458</v>
      </c>
      <c r="S56" s="6">
        <v>5.02656490936972</v>
      </c>
      <c r="T56" s="6">
        <v>8.14137273712745</v>
      </c>
      <c r="U56" s="6">
        <v>0.819714619736601</v>
      </c>
    </row>
    <row r="57" ht="11.25" customHeight="1">
      <c r="A57" s="2" t="s">
        <v>86</v>
      </c>
      <c r="B57" s="5">
        <v>3.66081982473798</v>
      </c>
      <c r="C57" s="5">
        <v>7.17591825274473</v>
      </c>
      <c r="D57" s="5">
        <v>21.109425430713</v>
      </c>
      <c r="E57" s="5">
        <v>3.69225138276073</v>
      </c>
      <c r="F57" s="5">
        <v>0.550454689537242</v>
      </c>
      <c r="G57" s="5">
        <v>0.600879696719011</v>
      </c>
      <c r="H57" s="5">
        <v>0.59772974080719</v>
      </c>
      <c r="I57" s="5">
        <v>0.714083707815748</v>
      </c>
      <c r="J57" s="6">
        <v>6.60512099151077</v>
      </c>
      <c r="K57" s="6">
        <v>11.9007486719737</v>
      </c>
      <c r="L57" s="6">
        <v>35.2741782636413</v>
      </c>
      <c r="M57" s="6">
        <v>5.13560433128797</v>
      </c>
      <c r="N57" s="7">
        <v>0.196758386732001</v>
      </c>
      <c r="O57" s="7">
        <v>0.196758386732001</v>
      </c>
      <c r="P57" s="7">
        <v>0.229228049499116</v>
      </c>
      <c r="Q57" s="7">
        <v>0.369486623282718</v>
      </c>
      <c r="R57" s="6">
        <v>15.6516275984844</v>
      </c>
      <c r="S57" s="6">
        <v>31.0863543160537</v>
      </c>
      <c r="T57" s="6">
        <v>103.125390698691</v>
      </c>
      <c r="U57" s="6">
        <v>12.2518833078144</v>
      </c>
    </row>
    <row r="58" ht="11.25" customHeight="1">
      <c r="A58" s="2" t="s">
        <v>87</v>
      </c>
      <c r="B58" s="5">
        <v>0.443468070038099</v>
      </c>
      <c r="C58" s="5">
        <v>1.14355839064063</v>
      </c>
      <c r="D58" s="5">
        <v>0.423693223150514</v>
      </c>
      <c r="E58" s="5">
        <v>0.0916319316396268</v>
      </c>
      <c r="F58" s="5">
        <v>0.234472661248537</v>
      </c>
      <c r="G58" s="5">
        <v>0.249735845711071</v>
      </c>
      <c r="H58" s="5">
        <v>0.262909646382375</v>
      </c>
      <c r="I58" s="5">
        <v>0.374310884220618</v>
      </c>
      <c r="J58" s="6">
        <v>1.78472009406047</v>
      </c>
      <c r="K58" s="6">
        <v>4.47896611499951</v>
      </c>
      <c r="L58" s="6">
        <v>1.51646479555434</v>
      </c>
      <c r="M58" s="6">
        <v>0.178012273883956</v>
      </c>
      <c r="N58" s="7">
        <v>0.206357671098505</v>
      </c>
      <c r="O58" s="7">
        <v>0.0817778430268094</v>
      </c>
      <c r="P58" s="7">
        <v>0.495985149304056</v>
      </c>
      <c r="Q58" s="7">
        <v>0.617908283487403</v>
      </c>
      <c r="R58" s="6">
        <v>3.66626227278566</v>
      </c>
      <c r="S58" s="6">
        <v>12.2212517966765</v>
      </c>
      <c r="T58" s="6">
        <v>2.71442055496026</v>
      </c>
      <c r="U58" s="6">
        <v>0.333804521401248</v>
      </c>
    </row>
    <row r="59" ht="11.25" customHeight="1">
      <c r="A59" s="2" t="s">
        <v>88</v>
      </c>
      <c r="B59" s="5">
        <v>1.58727130290831</v>
      </c>
      <c r="C59" s="5">
        <v>2.80534646369044</v>
      </c>
      <c r="D59" s="5">
        <v>2.53704353321968</v>
      </c>
      <c r="E59" s="5">
        <v>2.05219556686167</v>
      </c>
      <c r="F59" s="5">
        <v>0.428134419907486</v>
      </c>
      <c r="G59" s="5">
        <v>0.322216117448231</v>
      </c>
      <c r="H59" s="5">
        <v>0.314300663309868</v>
      </c>
      <c r="I59" s="5">
        <v>0.471068071807807</v>
      </c>
      <c r="J59" s="6">
        <v>3.64902056519047</v>
      </c>
      <c r="K59" s="6">
        <v>8.62882491946463</v>
      </c>
      <c r="L59" s="6">
        <v>7.99248562432418</v>
      </c>
      <c r="M59" s="6">
        <v>4.30340260396326</v>
      </c>
      <c r="N59" s="7">
        <v>0.167374075670656</v>
      </c>
      <c r="O59" s="7">
        <v>0.0448817853234737</v>
      </c>
      <c r="P59" s="7">
        <v>0.0432105778926589</v>
      </c>
      <c r="Q59" s="7">
        <v>0.167374075670656</v>
      </c>
      <c r="R59" s="6">
        <v>7.9556110966563</v>
      </c>
      <c r="S59" s="6">
        <v>23.9408740711679</v>
      </c>
      <c r="T59" s="6">
        <v>20.8386754898637</v>
      </c>
      <c r="U59" s="6">
        <v>9.46155796331426</v>
      </c>
    </row>
    <row r="60" ht="11.25" customHeight="1">
      <c r="A60" s="2" t="s">
        <v>89</v>
      </c>
      <c r="B60" s="5">
        <v>0.382620866288625</v>
      </c>
      <c r="C60" s="5">
        <v>0.425653194265185</v>
      </c>
      <c r="D60" s="5">
        <v>0.430217875651062</v>
      </c>
      <c r="E60" s="5">
        <v>0.168258032324418</v>
      </c>
      <c r="F60" s="5">
        <v>0.161363341483534</v>
      </c>
      <c r="G60" s="5">
        <v>0.177649055139163</v>
      </c>
      <c r="H60" s="5">
        <v>0.171468052408287</v>
      </c>
      <c r="I60" s="5">
        <v>0.248557496135157</v>
      </c>
      <c r="J60" s="6">
        <v>2.21624603829313</v>
      </c>
      <c r="K60" s="6">
        <v>2.25530720639819</v>
      </c>
      <c r="L60" s="6">
        <v>2.36322667668836</v>
      </c>
      <c r="M60" s="6">
        <v>0.576357722265273</v>
      </c>
      <c r="N60" s="7">
        <v>0.0957542908762421</v>
      </c>
      <c r="O60" s="7">
        <v>0.119036918716735</v>
      </c>
      <c r="P60" s="7">
        <v>0.255250254417614</v>
      </c>
      <c r="Q60" s="7">
        <v>0.332338060877498</v>
      </c>
      <c r="R60" s="6">
        <v>4.54089018321887</v>
      </c>
      <c r="S60" s="6">
        <v>4.84328739920268</v>
      </c>
      <c r="T60" s="6">
        <v>4.89269007244682</v>
      </c>
      <c r="U60" s="6">
        <v>1.10834706575185</v>
      </c>
    </row>
    <row r="61" ht="11.25" customHeight="1">
      <c r="A61" s="2" t="s">
        <v>90</v>
      </c>
      <c r="B61" s="5">
        <v>0.759654425366508</v>
      </c>
      <c r="C61" s="5">
        <v>0.933535168253049</v>
      </c>
      <c r="D61" s="5">
        <v>1.22591336531958</v>
      </c>
      <c r="E61" s="5">
        <v>0.0205179646471609</v>
      </c>
      <c r="F61" s="5">
        <v>0.283920438339175</v>
      </c>
      <c r="G61" s="5">
        <v>0.274828271483293</v>
      </c>
      <c r="H61" s="5">
        <v>0.314494593231259</v>
      </c>
      <c r="I61" s="5">
        <v>0.464570112718223</v>
      </c>
      <c r="J61" s="6">
        <v>2.58753624664695</v>
      </c>
      <c r="K61" s="6">
        <v>3.30582863018252</v>
      </c>
      <c r="L61" s="6">
        <v>3.8185501155389</v>
      </c>
      <c r="M61" s="6">
        <v>-0.00964770489994383</v>
      </c>
      <c r="N61" s="7">
        <v>0.235044222784218</v>
      </c>
      <c r="O61" s="7">
        <v>0.13192194305156</v>
      </c>
      <c r="P61" s="7">
        <v>0.442230731145109</v>
      </c>
      <c r="Q61" s="7">
        <v>0.565403630262898</v>
      </c>
      <c r="R61" s="6">
        <v>5.73098290464794</v>
      </c>
      <c r="S61" s="6">
        <v>7.7974488431709</v>
      </c>
      <c r="T61" s="6">
        <v>8.3545638260336</v>
      </c>
      <c r="U61" s="6">
        <v>-0.0174999902604308</v>
      </c>
    </row>
    <row r="62" ht="11.25" customHeight="1">
      <c r="A62" s="2" t="s">
        <v>91</v>
      </c>
      <c r="B62" s="5">
        <v>0.719813086738798</v>
      </c>
      <c r="C62" s="5">
        <v>0.855162769519436</v>
      </c>
      <c r="D62" s="5">
        <v>0.778295028450154</v>
      </c>
      <c r="E62" s="5">
        <v>0.309736046008323</v>
      </c>
      <c r="F62" s="5">
        <v>0.257280575531248</v>
      </c>
      <c r="G62" s="5">
        <v>0.265725460877398</v>
      </c>
      <c r="H62" s="5">
        <v>0.258915919317763</v>
      </c>
      <c r="I62" s="5">
        <v>0.36955507847916</v>
      </c>
      <c r="J62" s="6">
        <v>2.70060452602807</v>
      </c>
      <c r="K62" s="6">
        <v>3.12413709540035</v>
      </c>
      <c r="L62" s="6">
        <v>2.90941951516563</v>
      </c>
      <c r="M62" s="6">
        <v>0.770483380123215</v>
      </c>
      <c r="N62" s="7">
        <v>0.135208726781948</v>
      </c>
      <c r="O62" s="7">
        <v>0.0882676645388511</v>
      </c>
      <c r="P62" s="7">
        <v>0.217149220489977</v>
      </c>
      <c r="Q62" s="7">
        <v>0.519007075188871</v>
      </c>
      <c r="R62" s="6">
        <v>6.33755937277914</v>
      </c>
      <c r="S62" s="6">
        <v>7.74967832497158</v>
      </c>
      <c r="T62" s="6">
        <v>6.37038465403427</v>
      </c>
      <c r="U62" s="6">
        <v>1.57313978505377</v>
      </c>
    </row>
    <row r="63" ht="11.25" customHeight="1">
      <c r="A63" s="2" t="s">
        <v>9</v>
      </c>
      <c r="B63" s="5">
        <v>0.37821944764093</v>
      </c>
      <c r="C63" s="5">
        <v>0.467158493606875</v>
      </c>
      <c r="D63" s="5">
        <v>0.551590664284007</v>
      </c>
      <c r="E63" s="5">
        <v>0.141814467436921</v>
      </c>
      <c r="F63" s="5">
        <v>0.188596805464428</v>
      </c>
      <c r="G63" s="5">
        <v>0.196023952423177</v>
      </c>
      <c r="H63" s="5">
        <v>0.183524529479538</v>
      </c>
      <c r="I63" s="5">
        <v>0.292282008314659</v>
      </c>
      <c r="J63" s="6">
        <v>1.8728813925088</v>
      </c>
      <c r="K63" s="6">
        <v>2.25563502899043</v>
      </c>
      <c r="L63" s="6">
        <v>2.86932033433011</v>
      </c>
      <c r="M63" s="6">
        <v>0.399663558186459</v>
      </c>
      <c r="N63" s="7">
        <v>0.183264454894837</v>
      </c>
      <c r="O63" s="7">
        <v>0.175017158544955</v>
      </c>
      <c r="P63" s="7">
        <v>0.11463343712324</v>
      </c>
      <c r="Q63" s="7">
        <v>0.469110360854123</v>
      </c>
      <c r="R63" s="6">
        <v>3.87624006732981</v>
      </c>
      <c r="S63" s="6">
        <v>4.89662605354654</v>
      </c>
      <c r="T63" s="6">
        <v>6.5245318211505</v>
      </c>
      <c r="U63" s="6">
        <v>0.764364845858354</v>
      </c>
    </row>
    <row r="64" ht="11.25" customHeight="1">
      <c r="A64" s="2" t="s">
        <v>92</v>
      </c>
      <c r="B64" s="5">
        <v>0.94790009248745</v>
      </c>
      <c r="C64" s="5">
        <v>1.118581413234</v>
      </c>
      <c r="D64" s="5">
        <v>0.899041619564257</v>
      </c>
      <c r="E64" s="5">
        <v>0.506311852024332</v>
      </c>
      <c r="F64" s="5">
        <v>0.286241503869419</v>
      </c>
      <c r="G64" s="5">
        <v>0.304560687787986</v>
      </c>
      <c r="H64" s="5">
        <v>0.286161509893567</v>
      </c>
      <c r="I64" s="5">
        <v>0.427379292232079</v>
      </c>
      <c r="J64" s="6">
        <v>3.22420082347132</v>
      </c>
      <c r="K64" s="6">
        <v>3.5906847373397</v>
      </c>
      <c r="L64" s="6">
        <v>3.05436471833455</v>
      </c>
      <c r="M64" s="6">
        <v>1.1261936663112</v>
      </c>
      <c r="N64" s="7">
        <v>0.138214864861376</v>
      </c>
      <c r="O64" s="7">
        <v>0.128008713951819</v>
      </c>
      <c r="P64" s="7">
        <v>0.292323759304036</v>
      </c>
      <c r="Q64" s="7">
        <v>0.487888956680903</v>
      </c>
      <c r="R64" s="6">
        <v>7.35090800011054</v>
      </c>
      <c r="S64" s="6">
        <v>8.3827229904175</v>
      </c>
      <c r="T64" s="6">
        <v>6.67179872435627</v>
      </c>
      <c r="U64" s="6">
        <v>2.25897516816503</v>
      </c>
    </row>
    <row r="65" ht="11.25" customHeight="1">
      <c r="A65" s="2" t="s">
        <v>93</v>
      </c>
      <c r="B65" s="5">
        <v>1.82165858714147</v>
      </c>
      <c r="C65" s="5">
        <v>2.35897980938316</v>
      </c>
      <c r="D65" s="5">
        <v>0.921647067903282</v>
      </c>
      <c r="E65" s="5">
        <v>0.828751819868692</v>
      </c>
      <c r="F65" s="5">
        <v>0.388866421427728</v>
      </c>
      <c r="G65" s="5">
        <v>0.408292451285242</v>
      </c>
      <c r="H65" s="5">
        <v>0.258812365040711</v>
      </c>
      <c r="I65" s="5">
        <v>0.59457322705675</v>
      </c>
      <c r="J65" s="6">
        <v>4.6202461517377</v>
      </c>
      <c r="K65" s="6">
        <v>5.71644124704278</v>
      </c>
      <c r="L65" s="6">
        <v>3.46446765695387</v>
      </c>
      <c r="M65" s="6">
        <v>1.3518130035007</v>
      </c>
      <c r="N65" s="7">
        <v>0.179874869655891</v>
      </c>
      <c r="O65" s="7">
        <v>0.0988086895585146</v>
      </c>
      <c r="P65" s="7">
        <v>0.0888764469339149</v>
      </c>
      <c r="Q65" s="7">
        <v>0.57016632016632</v>
      </c>
      <c r="R65" s="6">
        <v>12.067158047075</v>
      </c>
      <c r="S65" s="6">
        <v>15.2410228584893</v>
      </c>
      <c r="T65" s="6">
        <v>8.37973422875603</v>
      </c>
      <c r="U65" s="6">
        <v>2.77022027950355</v>
      </c>
    </row>
    <row r="66" ht="11.25" customHeight="1">
      <c r="A66" s="2" t="s">
        <v>94</v>
      </c>
      <c r="B66" s="5">
        <v>0.57535109590842</v>
      </c>
      <c r="C66" s="5">
        <v>0.663304698027354</v>
      </c>
      <c r="D66" s="5">
        <v>0.628243114695679</v>
      </c>
      <c r="E66" s="5">
        <v>0.233328061980749</v>
      </c>
      <c r="F66" s="5">
        <v>0.226289247497104</v>
      </c>
      <c r="G66" s="5">
        <v>0.237359532024688</v>
      </c>
      <c r="H66" s="5">
        <v>0.202338707088025</v>
      </c>
      <c r="I66" s="5">
        <v>0.330999421390012</v>
      </c>
      <c r="J66" s="6">
        <v>2.43206914157713</v>
      </c>
      <c r="K66" s="6">
        <v>2.68918923365993</v>
      </c>
      <c r="L66" s="6">
        <v>2.9813530163225</v>
      </c>
      <c r="M66" s="6">
        <v>0.629391015567</v>
      </c>
      <c r="N66" s="7">
        <v>0.202744691869497</v>
      </c>
      <c r="O66" s="7">
        <v>0.202744691869497</v>
      </c>
      <c r="P66" s="7">
        <v>0.144748333823728</v>
      </c>
      <c r="Q66" s="7">
        <v>0.443980514961726</v>
      </c>
      <c r="R66" s="6">
        <v>5.10270823613355</v>
      </c>
      <c r="S66" s="6">
        <v>5.81198132975429</v>
      </c>
      <c r="T66" s="6">
        <v>6.78392892930659</v>
      </c>
      <c r="U66" s="6">
        <v>1.23557396496945</v>
      </c>
    </row>
    <row r="67" ht="11.25" customHeight="1">
      <c r="A67" s="2" t="s">
        <v>95</v>
      </c>
      <c r="B67" s="5">
        <v>0.426340185285918</v>
      </c>
      <c r="C67" s="5">
        <v>0.529882407622097</v>
      </c>
      <c r="D67" s="5">
        <v>0.52114372035504</v>
      </c>
      <c r="E67" s="5">
        <v>0.282896533373271</v>
      </c>
      <c r="F67" s="5">
        <v>0.162107626731719</v>
      </c>
      <c r="G67" s="5">
        <v>0.194089399562197</v>
      </c>
      <c r="H67" s="5">
        <v>0.188382404453849</v>
      </c>
      <c r="I67" s="5">
        <v>0.252283642439149</v>
      </c>
      <c r="J67" s="6">
        <v>2.47576374645295</v>
      </c>
      <c r="K67" s="6">
        <v>2.60128790526915</v>
      </c>
      <c r="L67" s="6">
        <v>2.63370521144711</v>
      </c>
      <c r="M67" s="6">
        <v>1.02224833477055</v>
      </c>
      <c r="N67" s="7">
        <v>0.113809825211633</v>
      </c>
      <c r="O67" s="7">
        <v>0.168808664259927</v>
      </c>
      <c r="P67" s="7">
        <v>0.29913357400722</v>
      </c>
      <c r="Q67" s="7">
        <v>0.311560283687943</v>
      </c>
      <c r="R67" s="6">
        <v>4.96059132289827</v>
      </c>
      <c r="S67" s="6">
        <v>5.59688082205047</v>
      </c>
      <c r="T67" s="6">
        <v>5.33421805922942</v>
      </c>
      <c r="U67" s="6">
        <v>1.98296276036556</v>
      </c>
    </row>
    <row r="68" ht="11.25" customHeight="1">
      <c r="A68" s="2" t="s">
        <v>96</v>
      </c>
      <c r="B68" s="5">
        <v>0.521646502301667</v>
      </c>
      <c r="C68" s="5">
        <v>0.664759062012458</v>
      </c>
      <c r="D68" s="5">
        <v>0.681515411545941</v>
      </c>
      <c r="E68" s="5">
        <v>0.191939087635987</v>
      </c>
      <c r="F68" s="5">
        <v>0.229079022845173</v>
      </c>
      <c r="G68" s="5">
        <v>0.237449439255312</v>
      </c>
      <c r="H68" s="5">
        <v>0.21375647962059</v>
      </c>
      <c r="I68" s="5">
        <v>0.346170144874726</v>
      </c>
      <c r="J68" s="6">
        <v>2.16801388504844</v>
      </c>
      <c r="K68" s="6">
        <v>2.69429594788206</v>
      </c>
      <c r="L68" s="6">
        <v>3.07132402587856</v>
      </c>
      <c r="M68" s="6">
        <v>0.482245768757443</v>
      </c>
      <c r="N68" s="7">
        <v>0.21106227891521</v>
      </c>
      <c r="O68" s="7">
        <v>0.313536255901785</v>
      </c>
      <c r="P68" s="7">
        <v>0.190826076228389</v>
      </c>
      <c r="Q68" s="7">
        <v>0.496385014240852</v>
      </c>
      <c r="R68" s="6">
        <v>4.73755244305649</v>
      </c>
      <c r="S68" s="6">
        <v>5.96837166132387</v>
      </c>
      <c r="T68" s="6">
        <v>7.19831435060288</v>
      </c>
      <c r="U68" s="6">
        <v>0.953036866270301</v>
      </c>
    </row>
    <row r="69" ht="11.25" customHeight="1">
      <c r="A69" s="2" t="s">
        <v>97</v>
      </c>
      <c r="B69" s="5">
        <v>0.716374042142198</v>
      </c>
      <c r="C69" s="5">
        <v>0.836873105763147</v>
      </c>
      <c r="D69" s="5">
        <v>0.571052827962741</v>
      </c>
      <c r="E69" s="5">
        <v>0.0821212262140176</v>
      </c>
      <c r="F69" s="5">
        <v>0.271375215731004</v>
      </c>
      <c r="G69" s="5">
        <v>0.267408649711802</v>
      </c>
      <c r="H69" s="5">
        <v>0.227702984085708</v>
      </c>
      <c r="I69" s="5">
        <v>0.393157299839669</v>
      </c>
      <c r="J69" s="6">
        <v>2.54766832807425</v>
      </c>
      <c r="K69" s="6">
        <v>3.03607645690645</v>
      </c>
      <c r="L69" s="6">
        <v>2.3980925421566</v>
      </c>
      <c r="M69" s="6">
        <v>0.14528847928631</v>
      </c>
      <c r="N69" s="7">
        <v>0.15623216244458</v>
      </c>
      <c r="O69" s="7">
        <v>0.141671278361925</v>
      </c>
      <c r="P69" s="7">
        <v>0.294997903724123</v>
      </c>
      <c r="Q69" s="7">
        <v>0.635952063914779</v>
      </c>
      <c r="R69" s="6">
        <v>6.04431614490866</v>
      </c>
      <c r="S69" s="6">
        <v>7.4616251794655</v>
      </c>
      <c r="T69" s="6">
        <v>5.25288263302788</v>
      </c>
      <c r="U69" s="6">
        <v>0.277120562740299</v>
      </c>
    </row>
    <row r="70" ht="11.25" customHeight="1">
      <c r="A70" s="2" t="s">
        <v>98</v>
      </c>
      <c r="B70" s="5">
        <v>0.588061594544535</v>
      </c>
      <c r="C70" s="5">
        <v>0.686695130770453</v>
      </c>
      <c r="D70" s="5">
        <v>0.450200082493711</v>
      </c>
      <c r="E70" s="5">
        <v>0.333028819297157</v>
      </c>
      <c r="F70" s="5">
        <v>0.180900081917056</v>
      </c>
      <c r="G70" s="5">
        <v>0.187484127164699</v>
      </c>
      <c r="H70" s="5">
        <v>0.174791755956206</v>
      </c>
      <c r="I70" s="5">
        <v>0.276275556520989</v>
      </c>
      <c r="J70" s="6">
        <v>3.11255577431247</v>
      </c>
      <c r="K70" s="6">
        <v>3.52933947410476</v>
      </c>
      <c r="L70" s="6">
        <v>2.43260947959264</v>
      </c>
      <c r="M70" s="6">
        <v>1.11493330490768</v>
      </c>
      <c r="N70" s="7">
        <v>0.225818645470514</v>
      </c>
      <c r="O70" s="7">
        <v>0.12750371744357</v>
      </c>
      <c r="P70" s="7">
        <v>0.19842500339431</v>
      </c>
      <c r="Q70" s="7">
        <v>0.421424</v>
      </c>
      <c r="R70" s="6">
        <v>6.58662323857171</v>
      </c>
      <c r="S70" s="6">
        <v>8.46562772180824</v>
      </c>
      <c r="T70" s="6">
        <v>4.81567417906733</v>
      </c>
      <c r="U70" s="6">
        <v>2.06894414029249</v>
      </c>
    </row>
    <row r="71" ht="11.25" customHeight="1">
      <c r="A71" s="2" t="s">
        <v>99</v>
      </c>
      <c r="B71" s="5">
        <v>0.626650735032035</v>
      </c>
      <c r="C71" s="5">
        <v>0.869251662099739</v>
      </c>
      <c r="D71" s="5">
        <v>0.721183210381346</v>
      </c>
      <c r="E71" s="5">
        <v>0.180658639121401</v>
      </c>
      <c r="F71" s="5">
        <v>0.303965538389563</v>
      </c>
      <c r="G71" s="5">
        <v>0.265160541826754</v>
      </c>
      <c r="H71" s="5">
        <v>0.282267345136242</v>
      </c>
      <c r="I71" s="5">
        <v>0.425226285002368</v>
      </c>
      <c r="J71" s="6">
        <v>1.97933863891161</v>
      </c>
      <c r="K71" s="6">
        <v>3.18392644804346</v>
      </c>
      <c r="L71" s="6">
        <v>2.46639656473659</v>
      </c>
      <c r="M71" s="6">
        <v>0.366060717814128</v>
      </c>
      <c r="N71" s="7">
        <v>0.327056217114373</v>
      </c>
      <c r="O71" s="7">
        <v>0.276100803101634</v>
      </c>
      <c r="P71" s="7">
        <v>0.286879219969358</v>
      </c>
      <c r="Q71" s="7">
        <v>0.784372021242794</v>
      </c>
      <c r="R71" s="6">
        <v>4.43998219499637</v>
      </c>
      <c r="S71" s="6">
        <v>7.943850286225</v>
      </c>
      <c r="T71" s="6">
        <v>5.7143889516719</v>
      </c>
      <c r="U71" s="6">
        <v>0.711180311506616</v>
      </c>
    </row>
    <row r="72" ht="11.25" customHeight="1">
      <c r="A72" s="2" t="s">
        <v>100</v>
      </c>
      <c r="B72" s="5">
        <v>0.677690305397472</v>
      </c>
      <c r="C72" s="5">
        <v>1.01953881218645</v>
      </c>
      <c r="D72" s="5">
        <v>0.847989815985438</v>
      </c>
      <c r="E72" s="5">
        <v>0.121620122599447</v>
      </c>
      <c r="F72" s="5">
        <v>0.287462313081864</v>
      </c>
      <c r="G72" s="5">
        <v>0.265760827983873</v>
      </c>
      <c r="H72" s="5">
        <v>0.265898867890986</v>
      </c>
      <c r="I72" s="5">
        <v>0.421631211873036</v>
      </c>
      <c r="J72" s="6">
        <v>2.27052478079656</v>
      </c>
      <c r="K72" s="6">
        <v>3.74223251685084</v>
      </c>
      <c r="L72" s="6">
        <v>3.09512342987052</v>
      </c>
      <c r="M72" s="6">
        <v>0.229157898842987</v>
      </c>
      <c r="N72" s="7">
        <v>0.315274877687805</v>
      </c>
      <c r="O72" s="7">
        <v>0.166865315852205</v>
      </c>
      <c r="P72" s="7">
        <v>0.441722092768187</v>
      </c>
      <c r="Q72" s="7">
        <v>0.744096509240246</v>
      </c>
      <c r="R72" s="6">
        <v>4.82538694197053</v>
      </c>
      <c r="S72" s="6">
        <v>9.00244560048512</v>
      </c>
      <c r="T72" s="6">
        <v>6.91539387263514</v>
      </c>
      <c r="U72" s="6">
        <v>0.449165183023952</v>
      </c>
    </row>
    <row r="73" ht="11.25" customHeight="1">
      <c r="A73" s="2" t="s">
        <v>101</v>
      </c>
      <c r="B73" s="5">
        <v>0.440974499209236</v>
      </c>
      <c r="C73" s="5">
        <v>0.517171250132529</v>
      </c>
      <c r="D73" s="5">
        <v>0.398122406172795</v>
      </c>
      <c r="E73" s="5">
        <v>0.12104737166936</v>
      </c>
      <c r="F73" s="5">
        <v>0.165473973007211</v>
      </c>
      <c r="G73" s="5">
        <v>0.173004730291888</v>
      </c>
      <c r="H73" s="5">
        <v>0.175684832649951</v>
      </c>
      <c r="I73" s="5">
        <v>0.261497873552776</v>
      </c>
      <c r="J73" s="6">
        <v>2.51383641577945</v>
      </c>
      <c r="K73" s="6">
        <v>2.84484273523707</v>
      </c>
      <c r="L73" s="6">
        <v>2.12381684033154</v>
      </c>
      <c r="M73" s="6">
        <v>0.367296951078172</v>
      </c>
      <c r="N73" s="7">
        <v>0.101863592146956</v>
      </c>
      <c r="O73" s="7">
        <v>0.163697096505058</v>
      </c>
      <c r="P73" s="7">
        <v>0.214034702394026</v>
      </c>
      <c r="Q73" s="7">
        <v>0.324600638977635</v>
      </c>
      <c r="R73" s="6">
        <v>5.368479402575</v>
      </c>
      <c r="S73" s="6">
        <v>6.23868877946037</v>
      </c>
      <c r="T73" s="6">
        <v>4.26697721370025</v>
      </c>
      <c r="U73" s="6">
        <v>0.678833919920304</v>
      </c>
    </row>
    <row r="74" ht="11.25" customHeight="1">
      <c r="A74" s="2" t="s">
        <v>102</v>
      </c>
      <c r="B74" s="5">
        <v>0.90288549608112</v>
      </c>
      <c r="C74" s="5">
        <v>1.26125255699224</v>
      </c>
      <c r="D74" s="5">
        <v>0.768085448959915</v>
      </c>
      <c r="E74" s="5">
        <v>-0.0425019649757132</v>
      </c>
      <c r="F74" s="5">
        <v>0.510703463938975</v>
      </c>
      <c r="G74" s="5">
        <v>0.483173090331907</v>
      </c>
      <c r="H74" s="5">
        <v>0.551910354702662</v>
      </c>
      <c r="I74" s="5">
        <v>0.663796296446081</v>
      </c>
      <c r="J74" s="6">
        <v>1.71897305984597</v>
      </c>
      <c r="K74" s="6">
        <v>2.55861218625196</v>
      </c>
      <c r="L74" s="6">
        <v>1.34638794620957</v>
      </c>
      <c r="M74" s="6">
        <v>-0.101690782755363</v>
      </c>
      <c r="N74" s="7">
        <v>0.379203283345062</v>
      </c>
      <c r="O74" s="7">
        <v>0.333333333333333</v>
      </c>
      <c r="P74" s="7">
        <v>0.773968253968253</v>
      </c>
      <c r="Q74" s="7">
        <v>0.955765407554672</v>
      </c>
      <c r="R74" s="6">
        <v>4.02241640719153</v>
      </c>
      <c r="S74" s="6">
        <v>7.13231099979007</v>
      </c>
      <c r="T74" s="6">
        <v>2.93420868681539</v>
      </c>
      <c r="U74" s="6">
        <v>-0.203302913030008</v>
      </c>
    </row>
    <row r="75" ht="11.25" customHeight="1">
      <c r="A75" s="2" t="s">
        <v>103</v>
      </c>
      <c r="B75" s="5">
        <v>0.842182359039334</v>
      </c>
      <c r="C75" s="5">
        <v>1.25596552902125</v>
      </c>
      <c r="D75" s="5">
        <v>0.815961762584723</v>
      </c>
      <c r="E75" s="5">
        <v>0.144553597045385</v>
      </c>
      <c r="F75" s="5">
        <v>0.321894380385387</v>
      </c>
      <c r="G75" s="5">
        <v>0.316713639740589</v>
      </c>
      <c r="H75" s="5">
        <v>0.302819597958035</v>
      </c>
      <c r="I75" s="5">
        <v>0.47598678427094</v>
      </c>
      <c r="J75" s="6">
        <v>2.53866612415216</v>
      </c>
      <c r="K75" s="6">
        <v>3.88668303022725</v>
      </c>
      <c r="L75" s="6">
        <v>2.61199000301933</v>
      </c>
      <c r="M75" s="6">
        <v>0.251169992520912</v>
      </c>
      <c r="N75" s="7">
        <v>0.313137434316549</v>
      </c>
      <c r="O75" s="7">
        <v>0.138364548932989</v>
      </c>
      <c r="P75" s="7">
        <v>0.451738623106902</v>
      </c>
      <c r="Q75" s="7">
        <v>0.76759916263369</v>
      </c>
      <c r="R75" s="6">
        <v>5.7432317137256</v>
      </c>
      <c r="S75" s="6">
        <v>10.2985757998618</v>
      </c>
      <c r="T75" s="6">
        <v>5.16398178600998</v>
      </c>
      <c r="U75" s="6">
        <v>0.476370421828579</v>
      </c>
    </row>
    <row r="76" ht="11.25" customHeight="1">
      <c r="A76" s="2" t="s">
        <v>104</v>
      </c>
      <c r="B76" s="5">
        <v>0.381397561665819</v>
      </c>
      <c r="C76" s="5">
        <v>0.480277823484984</v>
      </c>
      <c r="D76" s="5">
        <v>0.396228066804738</v>
      </c>
      <c r="E76" s="5">
        <v>0.157337000585673</v>
      </c>
      <c r="F76" s="5">
        <v>0.163334195196043</v>
      </c>
      <c r="G76" s="5">
        <v>0.158568171741352</v>
      </c>
      <c r="H76" s="5">
        <v>0.170322819159248</v>
      </c>
      <c r="I76" s="5">
        <v>0.242188048407084</v>
      </c>
      <c r="J76" s="6">
        <v>2.18201437389182</v>
      </c>
      <c r="K76" s="6">
        <v>2.87118037929837</v>
      </c>
      <c r="L76" s="6">
        <v>2.17955567338072</v>
      </c>
      <c r="M76" s="6">
        <v>0.546422507039791</v>
      </c>
      <c r="N76" s="7">
        <v>0.192901979719942</v>
      </c>
      <c r="O76" s="7">
        <v>0.114276516980524</v>
      </c>
      <c r="P76" s="7">
        <v>0.192901979719942</v>
      </c>
      <c r="Q76" s="7">
        <v>0.298646805832372</v>
      </c>
      <c r="R76" s="6">
        <v>4.4459761744715</v>
      </c>
      <c r="S76" s="6">
        <v>6.47988308320686</v>
      </c>
      <c r="T76" s="6">
        <v>4.42647943891461</v>
      </c>
      <c r="U76" s="6">
        <v>1.02870750810894</v>
      </c>
    </row>
    <row r="77" ht="11.25" customHeight="1">
      <c r="A77" s="2" t="s">
        <v>105</v>
      </c>
      <c r="B77" s="5">
        <v>0.504765595147051</v>
      </c>
      <c r="C77" s="5">
        <v>0.703880022885007</v>
      </c>
      <c r="D77" s="5">
        <v>0.505432088419568</v>
      </c>
      <c r="E77" s="5">
        <v>-0.006449411282198</v>
      </c>
      <c r="F77" s="5">
        <v>0.23896182511534</v>
      </c>
      <c r="G77" s="5">
        <v>0.231888180735004</v>
      </c>
      <c r="H77" s="5">
        <v>0.26663366399157</v>
      </c>
      <c r="I77" s="5">
        <v>0.362098397554283</v>
      </c>
      <c r="J77" s="6">
        <v>2.00770811369339</v>
      </c>
      <c r="K77" s="6">
        <v>2.92761804734158</v>
      </c>
      <c r="L77" s="6">
        <v>1.80184332776058</v>
      </c>
      <c r="M77" s="6">
        <v>-0.0868532186129968</v>
      </c>
      <c r="N77" s="7">
        <v>0.159714599341383</v>
      </c>
      <c r="O77" s="7">
        <v>0.165078794927932</v>
      </c>
      <c r="P77" s="7">
        <v>0.412667946257197</v>
      </c>
      <c r="Q77" s="7">
        <v>0.714938879542113</v>
      </c>
      <c r="R77" s="6">
        <v>4.12624617549257</v>
      </c>
      <c r="S77" s="6">
        <v>6.51070289586477</v>
      </c>
      <c r="T77" s="6">
        <v>3.4950804390773</v>
      </c>
      <c r="U77" s="6">
        <v>-0.165493579548811</v>
      </c>
    </row>
    <row r="78" ht="11.25" customHeight="1">
      <c r="A78" s="2" t="s">
        <v>106</v>
      </c>
      <c r="B78" s="5">
        <v>0.9435186699214</v>
      </c>
      <c r="C78" s="5">
        <v>1.15944956069815</v>
      </c>
      <c r="D78" s="5">
        <v>1.29330280338094</v>
      </c>
      <c r="E78" s="5">
        <v>0.19301060681142</v>
      </c>
      <c r="F78" s="5">
        <v>0.323275693936304</v>
      </c>
      <c r="G78" s="5">
        <v>0.335977144229747</v>
      </c>
      <c r="H78" s="5">
        <v>0.321227715651088</v>
      </c>
      <c r="I78" s="5">
        <v>0.481502375849144</v>
      </c>
      <c r="J78" s="6">
        <v>2.84128589668228</v>
      </c>
      <c r="K78" s="6">
        <v>3.37656766295507</v>
      </c>
      <c r="L78" s="6">
        <v>3.94829817473956</v>
      </c>
      <c r="M78" s="6">
        <v>0.34892996429172</v>
      </c>
      <c r="N78" s="7">
        <v>0.182168974270399</v>
      </c>
      <c r="O78" s="7">
        <v>0.171483851140979</v>
      </c>
      <c r="P78" s="7">
        <v>0.270221074977592</v>
      </c>
      <c r="Q78" s="7">
        <v>0.705635934804802</v>
      </c>
      <c r="R78" s="6">
        <v>6.61209712322812</v>
      </c>
      <c r="S78" s="6">
        <v>8.38585256057369</v>
      </c>
      <c r="T78" s="6">
        <v>9.47949308428377</v>
      </c>
      <c r="U78" s="6">
        <v>0.722492097323994</v>
      </c>
    </row>
    <row r="79" ht="11.25" customHeight="1">
      <c r="A79" s="2" t="s">
        <v>107</v>
      </c>
      <c r="B79" s="5">
        <v>0.768967542451705</v>
      </c>
      <c r="C79" s="5">
        <v>1.05672846527866</v>
      </c>
      <c r="D79" s="5">
        <v>0.892563088909563</v>
      </c>
      <c r="E79" s="5">
        <v>0.278624423130379</v>
      </c>
      <c r="F79" s="5">
        <v>0.369755376373956</v>
      </c>
      <c r="G79" s="5">
        <v>0.362168193048362</v>
      </c>
      <c r="H79" s="5">
        <v>0.391574120961061</v>
      </c>
      <c r="I79" s="5">
        <v>0.475223258476586</v>
      </c>
      <c r="J79" s="6">
        <v>2.01205334658686</v>
      </c>
      <c r="K79" s="6">
        <v>2.84875504001227</v>
      </c>
      <c r="L79" s="6">
        <v>2.2155782072121</v>
      </c>
      <c r="M79" s="6">
        <v>0.533695307640072</v>
      </c>
      <c r="N79" s="7">
        <v>0.33565784663836</v>
      </c>
      <c r="O79" s="7">
        <v>0.103228762267608</v>
      </c>
      <c r="P79" s="7">
        <v>0.343044229544972</v>
      </c>
      <c r="Q79" s="7">
        <v>0.52813144849857</v>
      </c>
      <c r="R79" s="6">
        <v>5.11358684967987</v>
      </c>
      <c r="S79" s="6">
        <v>9.3546980343949</v>
      </c>
      <c r="T79" s="6">
        <v>5.14960533923687</v>
      </c>
      <c r="U79" s="6">
        <v>1.13370032765494</v>
      </c>
    </row>
    <row r="80" ht="11.25" customHeight="1">
      <c r="A80" s="2" t="s">
        <v>108</v>
      </c>
      <c r="B80" s="5">
        <v>0.653921774878662</v>
      </c>
      <c r="C80" s="5">
        <v>0.698740093188018</v>
      </c>
      <c r="D80" s="5">
        <v>0.53259387714511</v>
      </c>
      <c r="E80" s="5">
        <v>0.269278688985133</v>
      </c>
      <c r="F80" s="5">
        <v>0.224645357906277</v>
      </c>
      <c r="G80" s="5">
        <v>0.227216877884044</v>
      </c>
      <c r="H80" s="5">
        <v>0.230752276961224</v>
      </c>
      <c r="I80" s="5">
        <v>0.308531542128722</v>
      </c>
      <c r="J80" s="6">
        <v>2.79962061419961</v>
      </c>
      <c r="K80" s="6">
        <v>2.96518506662982</v>
      </c>
      <c r="L80" s="6">
        <v>2.19973507446865</v>
      </c>
      <c r="M80" s="6">
        <v>0.79174624189062</v>
      </c>
      <c r="N80" s="7">
        <v>0.158516302174845</v>
      </c>
      <c r="O80" s="7">
        <v>0.105095234777198</v>
      </c>
      <c r="P80" s="7">
        <v>0.185301311015956</v>
      </c>
      <c r="Q80" s="7">
        <v>0.325157136286984</v>
      </c>
      <c r="R80" s="6">
        <v>6.99769226467324</v>
      </c>
      <c r="S80" s="6">
        <v>7.62687701437379</v>
      </c>
      <c r="T80" s="6">
        <v>5.13465537953474</v>
      </c>
      <c r="U80" s="6">
        <v>1.68997296683923</v>
      </c>
    </row>
    <row r="81" ht="11.25" customHeight="1">
      <c r="A81" s="2" t="s">
        <v>109</v>
      </c>
      <c r="B81" s="5">
        <v>0.562924912215737</v>
      </c>
      <c r="C81" s="5">
        <v>0.627466842010995</v>
      </c>
      <c r="D81" s="5">
        <v>0.50098899260712</v>
      </c>
      <c r="E81" s="5">
        <v>0.0608754859079323</v>
      </c>
      <c r="F81" s="5">
        <v>0.22062065313236</v>
      </c>
      <c r="G81" s="5">
        <v>0.204001775596982</v>
      </c>
      <c r="H81" s="5">
        <v>0.207557429319519</v>
      </c>
      <c r="I81" s="5">
        <v>0.329823405790996</v>
      </c>
      <c r="J81" s="6">
        <v>2.43823461030645</v>
      </c>
      <c r="K81" s="6">
        <v>2.95324312863434</v>
      </c>
      <c r="L81" s="6">
        <v>2.29328814761128</v>
      </c>
      <c r="M81" s="6">
        <v>0.10877180114581</v>
      </c>
      <c r="N81" s="7">
        <v>0.127263949630724</v>
      </c>
      <c r="O81" s="7">
        <v>0.107398566574889</v>
      </c>
      <c r="P81" s="7">
        <v>0.293805424028077</v>
      </c>
      <c r="Q81" s="7">
        <v>0.529441971927423</v>
      </c>
      <c r="R81" s="6">
        <v>5.34598832781409</v>
      </c>
      <c r="S81" s="6">
        <v>6.91208716128609</v>
      </c>
      <c r="T81" s="6">
        <v>4.78726596484409</v>
      </c>
      <c r="U81" s="6">
        <v>0.206956942744685</v>
      </c>
    </row>
    <row r="82" ht="11.25" customHeight="1">
      <c r="A82" s="2" t="s">
        <v>110</v>
      </c>
      <c r="B82" s="5">
        <v>0.562772889331388</v>
      </c>
      <c r="C82" s="5">
        <v>1.04526129471942</v>
      </c>
      <c r="D82" s="5">
        <v>1.11356350348996</v>
      </c>
      <c r="E82" s="5">
        <v>0.0319631781929863</v>
      </c>
      <c r="F82" s="5">
        <v>0.310339382237501</v>
      </c>
      <c r="G82" s="5">
        <v>0.299858090184743</v>
      </c>
      <c r="H82" s="5">
        <v>0.294671735268548</v>
      </c>
      <c r="I82" s="5">
        <v>0.445624062466091</v>
      </c>
      <c r="J82" s="6">
        <v>1.73285415938552</v>
      </c>
      <c r="K82" s="6">
        <v>3.40248046697969</v>
      </c>
      <c r="L82" s="6">
        <v>3.69415649077406</v>
      </c>
      <c r="M82" s="6">
        <v>0.015625678188139</v>
      </c>
      <c r="N82" s="7">
        <v>0.135697063066557</v>
      </c>
      <c r="O82" s="7">
        <v>0.106064763784765</v>
      </c>
      <c r="P82" s="7">
        <v>0.132939753894302</v>
      </c>
      <c r="Q82" s="7">
        <v>0.481357899318148</v>
      </c>
      <c r="R82" s="6">
        <v>3.81646684318123</v>
      </c>
      <c r="S82" s="6">
        <v>8.32507548368188</v>
      </c>
      <c r="T82" s="6">
        <v>9.2205921729631</v>
      </c>
      <c r="U82" s="6">
        <v>0.029646411094353</v>
      </c>
    </row>
    <row r="83" ht="11.25" customHeight="1">
      <c r="A83" s="2" t="s">
        <v>111</v>
      </c>
      <c r="B83" s="5">
        <v>0.642847688144741</v>
      </c>
      <c r="C83" s="5">
        <v>0.836523557391557</v>
      </c>
      <c r="D83" s="5">
        <v>0.789214211554208</v>
      </c>
      <c r="E83" s="5">
        <v>-0.0491884018571642</v>
      </c>
      <c r="F83" s="5">
        <v>0.331881477061857</v>
      </c>
      <c r="G83" s="5">
        <v>0.296274785538561</v>
      </c>
      <c r="H83" s="5">
        <v>0.315663698554905</v>
      </c>
      <c r="I83" s="5">
        <v>0.466145665225259</v>
      </c>
      <c r="J83" s="6">
        <v>1.86165161615688</v>
      </c>
      <c r="K83" s="6">
        <v>2.73909086092624</v>
      </c>
      <c r="L83" s="6">
        <v>2.42097591535785</v>
      </c>
      <c r="M83" s="6">
        <v>-0.159152830095102</v>
      </c>
      <c r="N83" s="7">
        <v>0.297071264696173</v>
      </c>
      <c r="O83" s="7">
        <v>0.148850028597291</v>
      </c>
      <c r="P83" s="7">
        <v>0.298375168382036</v>
      </c>
      <c r="Q83" s="7">
        <v>0.832454602919205</v>
      </c>
      <c r="R83" s="6">
        <v>3.95194804388183</v>
      </c>
      <c r="S83" s="6">
        <v>6.28144554065056</v>
      </c>
      <c r="T83" s="6">
        <v>5.16582721950467</v>
      </c>
      <c r="U83" s="6">
        <v>-0.315703392378749</v>
      </c>
    </row>
    <row r="84" ht="11.25" customHeight="1">
      <c r="A84" s="2" t="s">
        <v>112</v>
      </c>
      <c r="B84" s="5">
        <v>1.42314363760609</v>
      </c>
      <c r="C84" s="5">
        <v>1.67704061165458</v>
      </c>
      <c r="D84" s="5">
        <v>1.16884293863017</v>
      </c>
      <c r="E84" s="5">
        <v>0.362739830067471</v>
      </c>
      <c r="F84" s="5">
        <v>0.523180839968644</v>
      </c>
      <c r="G84" s="5">
        <v>0.513286836681504</v>
      </c>
      <c r="H84" s="5">
        <v>0.543724627458744</v>
      </c>
      <c r="I84" s="5">
        <v>0.695898561146077</v>
      </c>
      <c r="J84" s="6">
        <v>2.67239075056703</v>
      </c>
      <c r="K84" s="6">
        <v>3.21855246149567</v>
      </c>
      <c r="L84" s="6">
        <v>2.10371736144499</v>
      </c>
      <c r="M84" s="6">
        <v>0.485329111057862</v>
      </c>
      <c r="N84" s="7">
        <v>0.271014663942557</v>
      </c>
      <c r="O84" s="7">
        <v>0.181318681318681</v>
      </c>
      <c r="P84" s="7">
        <v>0.584633385335413</v>
      </c>
      <c r="Q84" s="7">
        <v>0.748780487804877</v>
      </c>
      <c r="R84" s="6">
        <v>6.72114130457531</v>
      </c>
      <c r="S84" s="6">
        <v>8.64038505545574</v>
      </c>
      <c r="T84" s="6">
        <v>4.890179062488</v>
      </c>
      <c r="U84" s="6">
        <v>1.07566439001066</v>
      </c>
    </row>
    <row r="85" ht="11.25" customHeight="1">
      <c r="A85" s="2" t="s">
        <v>113</v>
      </c>
      <c r="B85" s="5">
        <v>0.528149702790728</v>
      </c>
      <c r="C85" s="5">
        <v>0.704297575265317</v>
      </c>
      <c r="D85" s="5">
        <v>0.569478256686266</v>
      </c>
      <c r="E85" s="5">
        <v>0.18189980080499</v>
      </c>
      <c r="F85" s="5">
        <v>0.220479221215902</v>
      </c>
      <c r="G85" s="5">
        <v>0.219216821523177</v>
      </c>
      <c r="H85" s="5">
        <v>0.224597913555461</v>
      </c>
      <c r="I85" s="5">
        <v>0.333624288211904</v>
      </c>
      <c r="J85" s="6">
        <v>2.28207311335711</v>
      </c>
      <c r="K85" s="6">
        <v>3.09874748910861</v>
      </c>
      <c r="L85" s="6">
        <v>2.4242355953668</v>
      </c>
      <c r="M85" s="6">
        <v>0.470288903862221</v>
      </c>
      <c r="N85" s="7">
        <v>0.186481454634093</v>
      </c>
      <c r="O85" s="7">
        <v>0.100603931042055</v>
      </c>
      <c r="P85" s="7">
        <v>0.336171823256693</v>
      </c>
      <c r="Q85" s="7">
        <v>0.448100327006707</v>
      </c>
      <c r="R85" s="6">
        <v>4.72827829870949</v>
      </c>
      <c r="S85" s="6">
        <v>6.89714106562716</v>
      </c>
      <c r="T85" s="6">
        <v>5.025288158173</v>
      </c>
      <c r="U85" s="6">
        <v>0.909712486082971</v>
      </c>
    </row>
    <row r="86" ht="11.25" customHeight="1">
      <c r="A86" s="2" t="s">
        <v>114</v>
      </c>
      <c r="B86" s="5">
        <v>0.463723022910708</v>
      </c>
      <c r="C86" s="5">
        <v>0.63900981985235</v>
      </c>
      <c r="D86" s="5">
        <v>0.565328647979541</v>
      </c>
      <c r="E86" s="5">
        <v>0.265487125400451</v>
      </c>
      <c r="F86" s="5">
        <v>0.176751528339777</v>
      </c>
      <c r="G86" s="5">
        <v>0.186163797660511</v>
      </c>
      <c r="H86" s="5">
        <v>0.193515021591756</v>
      </c>
      <c r="I86" s="5">
        <v>0.276388552100435</v>
      </c>
      <c r="J86" s="6">
        <v>2.48214556915926</v>
      </c>
      <c r="K86" s="6">
        <v>3.29822354060512</v>
      </c>
      <c r="L86" s="6">
        <v>2.79217935401124</v>
      </c>
      <c r="M86" s="6">
        <v>0.870105232553415</v>
      </c>
      <c r="N86" s="7">
        <v>0.117042574618061</v>
      </c>
      <c r="O86" s="7">
        <v>0.0972934472934477</v>
      </c>
      <c r="P86" s="7">
        <v>0.186615298235494</v>
      </c>
      <c r="Q86" s="7">
        <v>0.357019064124783</v>
      </c>
      <c r="R86" s="6">
        <v>5.31940000144842</v>
      </c>
      <c r="S86" s="6">
        <v>7.74110639944479</v>
      </c>
      <c r="T86" s="6">
        <v>6.16802891147184</v>
      </c>
      <c r="U86" s="6">
        <v>1.76473374938712</v>
      </c>
    </row>
    <row r="87" ht="11.25" customHeight="1">
      <c r="A87" s="2" t="s">
        <v>115</v>
      </c>
      <c r="B87" s="5">
        <v>0.556106098733298</v>
      </c>
      <c r="C87" s="5">
        <v>0.641043127992643</v>
      </c>
      <c r="D87" s="5">
        <v>0.468972852908566</v>
      </c>
      <c r="E87" s="5">
        <v>0.132829750388113</v>
      </c>
      <c r="F87" s="5">
        <v>0.186671990911805</v>
      </c>
      <c r="G87" s="5">
        <v>0.188833283104249</v>
      </c>
      <c r="H87" s="5">
        <v>0.189241914533181</v>
      </c>
      <c r="I87" s="5">
        <v>0.282148127342925</v>
      </c>
      <c r="J87" s="6">
        <v>2.84513009230304</v>
      </c>
      <c r="K87" s="6">
        <v>3.26236518195016</v>
      </c>
      <c r="L87" s="6">
        <v>2.34605982508552</v>
      </c>
      <c r="M87" s="6">
        <v>0.382174255075088</v>
      </c>
      <c r="N87" s="7">
        <v>0.122722455355993</v>
      </c>
      <c r="O87" s="7">
        <v>0.071134593071805</v>
      </c>
      <c r="P87" s="7">
        <v>0.301953476222112</v>
      </c>
      <c r="Q87" s="7">
        <v>0.44288133385437</v>
      </c>
      <c r="R87" s="6">
        <v>6.25821786638181</v>
      </c>
      <c r="S87" s="6">
        <v>7.941028718919</v>
      </c>
      <c r="T87" s="6">
        <v>4.67164648119551</v>
      </c>
      <c r="U87" s="6">
        <v>0.704421577932202</v>
      </c>
    </row>
    <row r="88" ht="11.25" customHeight="1">
      <c r="A88" s="2" t="s">
        <v>116</v>
      </c>
      <c r="B88" s="5">
        <v>0.0493064903716029</v>
      </c>
      <c r="C88" s="5">
        <v>0.0738878642656679</v>
      </c>
      <c r="D88" s="5">
        <v>0.0541616329992256</v>
      </c>
      <c r="E88" s="5">
        <v>0.0100717037328466</v>
      </c>
      <c r="F88" s="5">
        <v>0.0293951160994308</v>
      </c>
      <c r="G88" s="5">
        <v>0.0321930311097232</v>
      </c>
      <c r="H88" s="5">
        <v>0.0281266459627019</v>
      </c>
      <c r="I88" s="5">
        <v>0.0507368271929521</v>
      </c>
      <c r="J88" s="6">
        <v>0.826888735168954</v>
      </c>
      <c r="K88" s="6">
        <v>1.51858531428879</v>
      </c>
      <c r="L88" s="6">
        <v>1.03679738557864</v>
      </c>
      <c r="M88" s="6">
        <v>-0.294229992158971</v>
      </c>
      <c r="N88" s="7">
        <v>0.023696822769355</v>
      </c>
      <c r="O88" s="7">
        <v>0.0449172576832151</v>
      </c>
      <c r="P88" s="7">
        <v>0.0414657666345217</v>
      </c>
      <c r="Q88" s="7">
        <v>0.0921977507029038</v>
      </c>
      <c r="R88" s="6">
        <v>1.59301173983401</v>
      </c>
      <c r="S88" s="6">
        <v>3.03831351133478</v>
      </c>
      <c r="T88" s="6">
        <v>2.0553502572067</v>
      </c>
      <c r="U88" s="6">
        <v>-0.519376504763916</v>
      </c>
    </row>
    <row r="89" ht="11.25" customHeight="1">
      <c r="A89" s="2" t="s">
        <v>117</v>
      </c>
      <c r="B89" s="5">
        <v>0.0554025926137224</v>
      </c>
      <c r="C89" s="5">
        <v>0.0734676919600936</v>
      </c>
      <c r="D89" s="5">
        <v>0.0525612122964647</v>
      </c>
      <c r="E89" s="5">
        <v>0.0237084003267948</v>
      </c>
      <c r="F89" s="5">
        <v>0.024451798064321</v>
      </c>
      <c r="G89" s="5">
        <v>0.0264326106681394</v>
      </c>
      <c r="H89" s="5">
        <v>0.0227895305914798</v>
      </c>
      <c r="I89" s="5">
        <v>0.0396861816455802</v>
      </c>
      <c r="J89" s="6">
        <v>1.24336838271556</v>
      </c>
      <c r="K89" s="6">
        <v>1.83363242354695</v>
      </c>
      <c r="L89" s="6">
        <v>1.20938042957185</v>
      </c>
      <c r="M89" s="6">
        <v>-0.0325453248372397</v>
      </c>
      <c r="N89" s="7">
        <v>0.0202541699761712</v>
      </c>
      <c r="O89" s="7">
        <v>0.0299841143764891</v>
      </c>
      <c r="P89" s="7">
        <v>0.0307300456216977</v>
      </c>
      <c r="Q89" s="7">
        <v>0.0719351570415395</v>
      </c>
      <c r="R89" s="6">
        <v>2.44785373758315</v>
      </c>
      <c r="S89" s="6">
        <v>3.78892735685759</v>
      </c>
      <c r="T89" s="6">
        <v>2.41233024281879</v>
      </c>
      <c r="U89" s="6">
        <v>-0.054771656906972</v>
      </c>
    </row>
    <row r="90" ht="11.25" customHeight="1">
      <c r="A90" s="2" t="s">
        <v>118</v>
      </c>
      <c r="B90" s="5">
        <v>0.510501833162272</v>
      </c>
      <c r="C90" s="5">
        <v>0.6379837405644</v>
      </c>
      <c r="D90" s="5">
        <v>0.63768326170017</v>
      </c>
      <c r="E90" s="5">
        <v>0.28857752199491</v>
      </c>
      <c r="F90" s="5">
        <v>0.187451259328422</v>
      </c>
      <c r="G90" s="5">
        <v>0.178872291315229</v>
      </c>
      <c r="H90" s="5">
        <v>0.180752591289276</v>
      </c>
      <c r="I90" s="5">
        <v>0.264708989191876</v>
      </c>
      <c r="J90" s="6">
        <v>2.59001638560162</v>
      </c>
      <c r="K90" s="6">
        <v>3.42693513935106</v>
      </c>
      <c r="L90" s="6">
        <v>3.38962366918232</v>
      </c>
      <c r="M90" s="6">
        <v>0.995725618535206</v>
      </c>
      <c r="N90" s="7">
        <v>0.196145773707307</v>
      </c>
      <c r="O90" s="7">
        <v>0.134039305476054</v>
      </c>
      <c r="P90" s="7">
        <v>0.215067556011629</v>
      </c>
      <c r="Q90" s="7">
        <v>0.388178913738019</v>
      </c>
      <c r="R90" s="6">
        <v>5.44970751899764</v>
      </c>
      <c r="S90" s="6">
        <v>7.81734671236078</v>
      </c>
      <c r="T90" s="6">
        <v>7.54604463351559</v>
      </c>
      <c r="U90" s="6">
        <v>1.95677883612357</v>
      </c>
    </row>
    <row r="91" ht="11.25" customHeight="1">
      <c r="A91" s="2" t="s">
        <v>119</v>
      </c>
      <c r="B91" s="5">
        <v>0.0192738033759409</v>
      </c>
      <c r="C91" s="5">
        <v>0.03021965741099</v>
      </c>
      <c r="D91" s="5">
        <v>0.0187077347883923</v>
      </c>
      <c r="E91" s="5">
        <v>0.00296541937570204</v>
      </c>
      <c r="F91" s="5">
        <v>0.0133911059238085</v>
      </c>
      <c r="G91" s="5">
        <v>0.0137922029815446</v>
      </c>
      <c r="H91" s="5">
        <v>0.0139303578982231</v>
      </c>
      <c r="I91" s="5">
        <v>0.0217709733908959</v>
      </c>
      <c r="J91" s="6">
        <v>-0.427611928143903</v>
      </c>
      <c r="K91" s="6">
        <v>0.378449868956722</v>
      </c>
      <c r="L91" s="6">
        <v>-0.451694440127071</v>
      </c>
      <c r="M91" s="6">
        <v>-1.01210819694044</v>
      </c>
      <c r="N91" s="7">
        <v>0.0114724909074377</v>
      </c>
      <c r="O91" s="7">
        <v>0.00657794439130323</v>
      </c>
      <c r="P91" s="7">
        <v>0.0196791175733262</v>
      </c>
      <c r="Q91" s="7">
        <v>0.0529203755639618</v>
      </c>
      <c r="R91" s="6">
        <v>-0.836721908895363</v>
      </c>
      <c r="S91" s="6">
        <v>0.843594030750192</v>
      </c>
      <c r="T91" s="6">
        <v>-0.868008586577031</v>
      </c>
      <c r="U91" s="6">
        <v>-1.90556835538536</v>
      </c>
    </row>
    <row r="92" ht="11.25" customHeight="1">
      <c r="A92" s="2" t="s">
        <v>120</v>
      </c>
      <c r="B92" s="5">
        <v>0.575279960623017</v>
      </c>
      <c r="C92" s="5">
        <v>0.712322910462997</v>
      </c>
      <c r="D92" s="5">
        <v>0.591450334089459</v>
      </c>
      <c r="E92" s="5">
        <v>0.210935699893926</v>
      </c>
      <c r="F92" s="5">
        <v>0.250343712297802</v>
      </c>
      <c r="G92" s="5">
        <v>0.250940833988746</v>
      </c>
      <c r="H92" s="5">
        <v>0.260206937617704</v>
      </c>
      <c r="I92" s="5">
        <v>0.359069985381177</v>
      </c>
      <c r="J92" s="6">
        <v>2.19809778952394</v>
      </c>
      <c r="K92" s="6">
        <v>2.73898392516628</v>
      </c>
      <c r="L92" s="6">
        <v>2.17692248821469</v>
      </c>
      <c r="M92" s="6">
        <v>0.517825792920404</v>
      </c>
      <c r="N92" s="7">
        <v>0.263716823238884</v>
      </c>
      <c r="O92" s="7">
        <v>0.181616832779623</v>
      </c>
      <c r="P92" s="7">
        <v>0.42377816230395</v>
      </c>
      <c r="Q92" s="7">
        <v>0.449612403100776</v>
      </c>
      <c r="R92" s="6">
        <v>4.5730124589461</v>
      </c>
      <c r="S92" s="6">
        <v>6.37845537425007</v>
      </c>
      <c r="T92" s="6">
        <v>4.42742883656696</v>
      </c>
      <c r="U92" s="6">
        <v>1.01209421145578</v>
      </c>
    </row>
    <row r="93" ht="11.25" customHeight="1">
      <c r="A93" s="2" t="s">
        <v>121</v>
      </c>
      <c r="B93" s="5">
        <v>0.665854910244617</v>
      </c>
      <c r="C93" s="5">
        <v>0.928013938163631</v>
      </c>
      <c r="D93" s="5">
        <v>0.592420096935866</v>
      </c>
      <c r="E93" s="5">
        <v>0.12511493989738</v>
      </c>
      <c r="F93" s="5">
        <v>0.281543543892921</v>
      </c>
      <c r="G93" s="5">
        <v>0.272049477028899</v>
      </c>
      <c r="H93" s="5">
        <v>0.285615019103226</v>
      </c>
      <c r="I93" s="5">
        <v>0.40428460608654</v>
      </c>
      <c r="J93" s="6">
        <v>2.27621951966461</v>
      </c>
      <c r="K93" s="6">
        <v>3.31930040088885</v>
      </c>
      <c r="L93" s="6">
        <v>1.98666057099325</v>
      </c>
      <c r="M93" s="6">
        <v>0.247634805753525</v>
      </c>
      <c r="N93" s="7">
        <v>0.201471505146507</v>
      </c>
      <c r="O93" s="7">
        <v>0.146351242983159</v>
      </c>
      <c r="P93" s="7">
        <v>0.44257290234364</v>
      </c>
      <c r="Q93" s="7">
        <v>0.707183140397744</v>
      </c>
      <c r="R93" s="6">
        <v>4.72348134737034</v>
      </c>
      <c r="S93" s="6">
        <v>7.59568329796135</v>
      </c>
      <c r="T93" s="6">
        <v>3.80926020607763</v>
      </c>
      <c r="U93" s="6">
        <v>0.487092022481959</v>
      </c>
    </row>
    <row r="94" ht="11.25" customHeight="1">
      <c r="A94" s="2" t="s">
        <v>122</v>
      </c>
      <c r="B94" s="5">
        <v>0.713052355676996</v>
      </c>
      <c r="C94" s="5">
        <v>0.932098577365885</v>
      </c>
      <c r="D94" s="5">
        <v>0.740477919717058</v>
      </c>
      <c r="E94" s="5">
        <v>0.285325862186501</v>
      </c>
      <c r="F94" s="5">
        <v>0.262743441209451</v>
      </c>
      <c r="G94" s="5">
        <v>0.278160925805886</v>
      </c>
      <c r="H94" s="5">
        <v>0.243054474325354</v>
      </c>
      <c r="I94" s="5">
        <v>0.398012623842677</v>
      </c>
      <c r="J94" s="6">
        <v>2.61872324009223</v>
      </c>
      <c r="K94" s="6">
        <v>3.26105679558638</v>
      </c>
      <c r="L94" s="6">
        <v>2.94369367897056</v>
      </c>
      <c r="M94" s="6">
        <v>0.654064335128729</v>
      </c>
      <c r="N94" s="7">
        <v>0.151291828244747</v>
      </c>
      <c r="O94" s="7">
        <v>0.15</v>
      </c>
      <c r="P94" s="7">
        <v>0.171989461257612</v>
      </c>
      <c r="Q94" s="7">
        <v>0.467399070268062</v>
      </c>
      <c r="R94" s="6">
        <v>5.57833242142846</v>
      </c>
      <c r="S94" s="6">
        <v>7.16269005238802</v>
      </c>
      <c r="T94" s="6">
        <v>6.59559061862052</v>
      </c>
      <c r="U94" s="6">
        <v>1.29499596914868</v>
      </c>
    </row>
    <row r="95" ht="11.25" customHeight="1">
      <c r="A95" s="2" t="s">
        <v>123</v>
      </c>
      <c r="B95" s="5">
        <v>0.442761668171661</v>
      </c>
      <c r="C95" s="5">
        <v>0.49604990838939</v>
      </c>
      <c r="D95" s="5">
        <v>0.451208181778072</v>
      </c>
      <c r="E95" s="5">
        <v>0.0828317866575636</v>
      </c>
      <c r="F95" s="5">
        <v>0.208459234260037</v>
      </c>
      <c r="G95" s="5">
        <v>0.21383552115563</v>
      </c>
      <c r="H95" s="5">
        <v>0.215727147133996</v>
      </c>
      <c r="I95" s="5">
        <v>0.316450240033575</v>
      </c>
      <c r="J95" s="6">
        <v>2.00404491388726</v>
      </c>
      <c r="K95" s="6">
        <v>2.20286089908588</v>
      </c>
      <c r="L95" s="6">
        <v>1.97568172314139</v>
      </c>
      <c r="M95" s="6">
        <v>0.182751596748441</v>
      </c>
      <c r="N95" s="7">
        <v>0.216447444573964</v>
      </c>
      <c r="O95" s="7">
        <v>0.164150930638208</v>
      </c>
      <c r="P95" s="7">
        <v>0.252812551358675</v>
      </c>
      <c r="Q95" s="7">
        <v>0.517659819673241</v>
      </c>
      <c r="R95" s="6">
        <v>4.3776644862477</v>
      </c>
      <c r="S95" s="6">
        <v>4.946658656106</v>
      </c>
      <c r="T95" s="6">
        <v>4.32623039893762</v>
      </c>
      <c r="U95" s="6">
        <v>0.352067567154139</v>
      </c>
    </row>
    <row r="96" ht="11.25" customHeight="1">
      <c r="A96" s="2" t="s">
        <v>124</v>
      </c>
      <c r="B96" s="5">
        <v>6.30273483089013</v>
      </c>
      <c r="C96" s="5">
        <v>7.56399004689562</v>
      </c>
      <c r="D96" s="5">
        <v>2.8018884384482</v>
      </c>
      <c r="E96" s="5">
        <v>0.541472793261415</v>
      </c>
      <c r="F96" s="5">
        <v>0.749925429501735</v>
      </c>
      <c r="G96" s="5">
        <v>0.76859964449657</v>
      </c>
      <c r="H96" s="5">
        <v>0.856769919083717</v>
      </c>
      <c r="I96" s="5">
        <v>1.01080339694903</v>
      </c>
      <c r="J96" s="6">
        <v>8.37114542850103</v>
      </c>
      <c r="K96" s="6">
        <v>9.80873475661524</v>
      </c>
      <c r="L96" s="6">
        <v>3.24111336847351</v>
      </c>
      <c r="M96" s="6">
        <v>0.510952767689852</v>
      </c>
      <c r="N96" s="7">
        <v>0.287192135951692</v>
      </c>
      <c r="O96" s="7">
        <v>0.265396922836862</v>
      </c>
      <c r="P96" s="7">
        <v>0.590400244463123</v>
      </c>
      <c r="Q96" s="7">
        <v>0.770029799914857</v>
      </c>
      <c r="R96" s="6">
        <v>25.3189860635091</v>
      </c>
      <c r="S96" s="6">
        <v>31.9047378543441</v>
      </c>
      <c r="T96" s="6">
        <v>7.78812060755804</v>
      </c>
      <c r="U96" s="6">
        <v>1.14831273948792</v>
      </c>
    </row>
    <row r="97" ht="11.25" customHeight="1">
      <c r="A97" s="2" t="s">
        <v>125</v>
      </c>
      <c r="B97" s="5">
        <v>0.678504779191098</v>
      </c>
      <c r="C97" s="5">
        <v>0.90571821801009</v>
      </c>
      <c r="D97" s="5">
        <v>0.939689128602036</v>
      </c>
      <c r="E97" s="5">
        <v>0.0958634789369285</v>
      </c>
      <c r="F97" s="5">
        <v>0.297459009475301</v>
      </c>
      <c r="G97" s="5">
        <v>0.260041367867356</v>
      </c>
      <c r="H97" s="5">
        <v>0.278764348954017</v>
      </c>
      <c r="I97" s="5">
        <v>0.424855592826067</v>
      </c>
      <c r="J97" s="6">
        <v>2.19695742396183</v>
      </c>
      <c r="K97" s="6">
        <v>3.38683889118493</v>
      </c>
      <c r="L97" s="6">
        <v>3.28122707237902</v>
      </c>
      <c r="M97" s="6">
        <v>0.166794271120586</v>
      </c>
      <c r="N97" s="7">
        <v>0.294594894582838</v>
      </c>
      <c r="O97" s="7">
        <v>0.169968953045952</v>
      </c>
      <c r="P97" s="7">
        <v>0.292474344355757</v>
      </c>
      <c r="Q97" s="7">
        <v>0.567940422414845</v>
      </c>
      <c r="R97" s="6">
        <v>4.59081556298211</v>
      </c>
      <c r="S97" s="6">
        <v>7.91400618008218</v>
      </c>
      <c r="T97" s="6">
        <v>7.1340495435223</v>
      </c>
      <c r="U97" s="6">
        <v>0.319013493896351</v>
      </c>
    </row>
    <row r="98" ht="11.25" customHeight="1">
      <c r="A98" s="2" t="s">
        <v>126</v>
      </c>
      <c r="B98" s="5">
        <v>0.455105258346896</v>
      </c>
      <c r="C98" s="5">
        <v>0.491449232956501</v>
      </c>
      <c r="D98" s="5">
        <v>0.474745838688549</v>
      </c>
      <c r="E98" s="5">
        <v>0.0806543971683597</v>
      </c>
      <c r="F98" s="5">
        <v>0.191069464189356</v>
      </c>
      <c r="G98" s="5">
        <v>0.196805022238826</v>
      </c>
      <c r="H98" s="5">
        <v>0.193909834259868</v>
      </c>
      <c r="I98" s="5">
        <v>0.282006407056069</v>
      </c>
      <c r="J98" s="6">
        <v>2.25104131720727</v>
      </c>
      <c r="K98" s="6">
        <v>2.37010838265325</v>
      </c>
      <c r="L98" s="6">
        <v>2.31935549016984</v>
      </c>
      <c r="M98" s="6">
        <v>0.197351534489407</v>
      </c>
      <c r="N98" s="7">
        <v>0.135570469798657</v>
      </c>
      <c r="O98" s="7">
        <v>0.135570469798657</v>
      </c>
      <c r="P98" s="7">
        <v>0.27015346720317</v>
      </c>
      <c r="Q98" s="7">
        <v>0.497590361445783</v>
      </c>
      <c r="R98" s="6">
        <v>5.19972681964825</v>
      </c>
      <c r="S98" s="6">
        <v>5.73617397980561</v>
      </c>
      <c r="T98" s="6">
        <v>5.01424046479244</v>
      </c>
      <c r="U98" s="6">
        <v>0.369169345043546</v>
      </c>
    </row>
    <row r="99" ht="11.25" customHeight="1">
      <c r="A99" s="2" t="s">
        <v>127</v>
      </c>
      <c r="B99" s="5">
        <v>0.509078436352456</v>
      </c>
      <c r="C99" s="5">
        <v>0.60695530033488</v>
      </c>
      <c r="D99" s="5">
        <v>0.422653066715346</v>
      </c>
      <c r="E99" s="5">
        <v>0.0746293144090894</v>
      </c>
      <c r="F99" s="5">
        <v>0.201890927047633</v>
      </c>
      <c r="G99" s="5">
        <v>0.201698225917313</v>
      </c>
      <c r="H99" s="5">
        <v>0.213583687172987</v>
      </c>
      <c r="I99" s="5">
        <v>0.322671359591985</v>
      </c>
      <c r="J99" s="6">
        <v>2.39772258927833</v>
      </c>
      <c r="K99" s="6">
        <v>2.88527723874702</v>
      </c>
      <c r="L99" s="6">
        <v>1.86181384907582</v>
      </c>
      <c r="M99" s="6">
        <v>0.153807621698576</v>
      </c>
      <c r="N99" s="7">
        <v>0.114989040633957</v>
      </c>
      <c r="O99" s="7">
        <v>0.0838375735781877</v>
      </c>
      <c r="P99" s="7">
        <v>0.259283327743233</v>
      </c>
      <c r="Q99" s="7">
        <v>0.55191256830601</v>
      </c>
      <c r="R99" s="6">
        <v>5.17574934533754</v>
      </c>
      <c r="S99" s="6">
        <v>6.72780957939169</v>
      </c>
      <c r="T99" s="6">
        <v>3.74624552094628</v>
      </c>
      <c r="U99" s="6">
        <v>0.281551612214394</v>
      </c>
    </row>
    <row r="100" ht="11.25" customHeight="1">
      <c r="A100" s="2" t="s">
        <v>128</v>
      </c>
      <c r="B100" s="5">
        <v>0.535915283058921</v>
      </c>
      <c r="C100" s="5">
        <v>0.927824922635519</v>
      </c>
      <c r="D100" s="5">
        <v>0.773479170805634</v>
      </c>
      <c r="E100" s="5">
        <v>0.177975099159504</v>
      </c>
      <c r="F100" s="5">
        <v>0.236038055276774</v>
      </c>
      <c r="G100" s="5">
        <v>0.231629122025099</v>
      </c>
      <c r="H100" s="5">
        <v>0.231770571176971</v>
      </c>
      <c r="I100" s="5">
        <v>0.34696394875568</v>
      </c>
      <c r="J100" s="6">
        <v>2.16454623158045</v>
      </c>
      <c r="K100" s="6">
        <v>3.89771767359066</v>
      </c>
      <c r="L100" s="6">
        <v>3.22939692906104</v>
      </c>
      <c r="M100" s="6">
        <v>0.440896236361501</v>
      </c>
      <c r="N100" s="7">
        <v>0.156521365084448</v>
      </c>
      <c r="O100" s="7">
        <v>0.124568288854003</v>
      </c>
      <c r="P100" s="7">
        <v>0.216191123657915</v>
      </c>
      <c r="Q100" s="7">
        <v>0.501635111876074</v>
      </c>
      <c r="R100" s="6">
        <v>4.36715936082713</v>
      </c>
      <c r="S100" s="6">
        <v>9.12649200889381</v>
      </c>
      <c r="T100" s="6">
        <v>7.22764324826294</v>
      </c>
      <c r="U100" s="6">
        <v>0.857208966471088</v>
      </c>
    </row>
    <row r="101" ht="11.25" customHeight="1">
      <c r="A101" s="2" t="s">
        <v>129</v>
      </c>
      <c r="B101" s="5">
        <v>0.373061843853045</v>
      </c>
      <c r="C101" s="5">
        <v>0.434634309059065</v>
      </c>
      <c r="D101" s="5">
        <v>0.466808938655208</v>
      </c>
      <c r="E101" s="5">
        <v>0.164486462206144</v>
      </c>
      <c r="F101" s="5">
        <v>0.177274558151969</v>
      </c>
      <c r="G101" s="5">
        <v>0.176972652400189</v>
      </c>
      <c r="H101" s="5">
        <v>0.17217571559662</v>
      </c>
      <c r="I101" s="5">
        <v>0.270117653682399</v>
      </c>
      <c r="J101" s="6">
        <v>1.96340550771345</v>
      </c>
      <c r="K101" s="6">
        <v>2.31467576206495</v>
      </c>
      <c r="L101" s="6">
        <v>2.56603515265935</v>
      </c>
      <c r="M101" s="6">
        <v>0.516391506828911</v>
      </c>
      <c r="N101" s="7">
        <v>0.150857142857143</v>
      </c>
      <c r="O101" s="7">
        <v>0.111067296614963</v>
      </c>
      <c r="P101" s="7">
        <v>0.120179873365535</v>
      </c>
      <c r="Q101" s="7">
        <v>0.43023044819452</v>
      </c>
      <c r="R101" s="6">
        <v>4.11338084817306</v>
      </c>
      <c r="S101" s="6">
        <v>5.2918215456574</v>
      </c>
      <c r="T101" s="6">
        <v>5.60816482929781</v>
      </c>
      <c r="U101" s="6">
        <v>0.982021474331131</v>
      </c>
    </row>
    <row r="102" ht="11.25" customHeight="1">
      <c r="A102" s="2" t="s">
        <v>130</v>
      </c>
      <c r="B102" s="5">
        <v>0.461322637368728</v>
      </c>
      <c r="C102" s="5">
        <v>0.614616197680543</v>
      </c>
      <c r="D102" s="5">
        <v>0.376023324747778</v>
      </c>
      <c r="E102" s="5">
        <v>0.180275367331648</v>
      </c>
      <c r="F102" s="5">
        <v>0.210377707249077</v>
      </c>
      <c r="G102" s="5">
        <v>0.209711624812025</v>
      </c>
      <c r="H102" s="5">
        <v>0.23583814672926</v>
      </c>
      <c r="I102" s="5">
        <v>0.306241838389947</v>
      </c>
      <c r="J102" s="6">
        <v>2.07399654209626</v>
      </c>
      <c r="K102" s="6">
        <v>2.81155705225708</v>
      </c>
      <c r="L102" s="6">
        <v>1.48840774749959</v>
      </c>
      <c r="M102" s="6">
        <v>0.507035120178227</v>
      </c>
      <c r="N102" s="7">
        <v>0.318491986284886</v>
      </c>
      <c r="O102" s="7">
        <v>0.0935860932483139</v>
      </c>
      <c r="P102" s="7">
        <v>0.389956391871501</v>
      </c>
      <c r="Q102" s="7">
        <v>0.446996208807232</v>
      </c>
      <c r="R102" s="6">
        <v>4.19138315339803</v>
      </c>
      <c r="S102" s="6">
        <v>6.16938619410831</v>
      </c>
      <c r="T102" s="6">
        <v>2.78218048630429</v>
      </c>
      <c r="U102" s="6">
        <v>0.964403592816621</v>
      </c>
    </row>
    <row r="103" ht="11.25" customHeight="1">
      <c r="A103" s="2" t="s">
        <v>131</v>
      </c>
      <c r="B103" s="5">
        <v>0.805304642619524</v>
      </c>
      <c r="C103" s="5">
        <v>0.991410736741724</v>
      </c>
      <c r="D103" s="5">
        <v>0.86065304131998</v>
      </c>
      <c r="E103" s="5">
        <v>0.260319357747382</v>
      </c>
      <c r="F103" s="5">
        <v>0.285860055838519</v>
      </c>
      <c r="G103" s="5">
        <v>0.283396356292053</v>
      </c>
      <c r="H103" s="5">
        <v>0.313671292035073</v>
      </c>
      <c r="I103" s="5">
        <v>0.423998167914223</v>
      </c>
      <c r="J103" s="6">
        <v>2.72967358216817</v>
      </c>
      <c r="K103" s="6">
        <v>3.41010290106126</v>
      </c>
      <c r="L103" s="6">
        <v>2.66410431091201</v>
      </c>
      <c r="M103" s="6">
        <v>0.555000883388224</v>
      </c>
      <c r="N103" s="7">
        <v>0.203974275658053</v>
      </c>
      <c r="O103" s="7">
        <v>0.158136227457654</v>
      </c>
      <c r="P103" s="7">
        <v>0.367762651562518</v>
      </c>
      <c r="Q103" s="7">
        <v>0.569696969696969</v>
      </c>
      <c r="R103" s="6">
        <v>5.99073483851134</v>
      </c>
      <c r="S103" s="6">
        <v>8.053252401989</v>
      </c>
      <c r="T103" s="6">
        <v>5.72293177009708</v>
      </c>
      <c r="U103" s="6">
        <v>1.09902109223853</v>
      </c>
    </row>
    <row r="104" ht="11.25" customHeight="1">
      <c r="A104" s="2" t="s">
        <v>132</v>
      </c>
      <c r="B104" s="5">
        <v>0.438709307699441</v>
      </c>
      <c r="C104" s="5">
        <v>0.587583836297423</v>
      </c>
      <c r="D104" s="5">
        <v>0.466207903038976</v>
      </c>
      <c r="E104" s="5">
        <v>0.229639162728324</v>
      </c>
      <c r="F104" s="5">
        <v>0.180212534156909</v>
      </c>
      <c r="G104" s="5">
        <v>0.191531161004605</v>
      </c>
      <c r="H104" s="5">
        <v>0.2089460963153</v>
      </c>
      <c r="I104" s="5">
        <v>0.272944290583855</v>
      </c>
      <c r="J104" s="6">
        <v>2.295674435937</v>
      </c>
      <c r="K104" s="6">
        <v>2.93729664325429</v>
      </c>
      <c r="L104" s="6">
        <v>2.11158720272615</v>
      </c>
      <c r="M104" s="6">
        <v>0.749746998886037</v>
      </c>
      <c r="N104" s="7">
        <v>0.124539578100308</v>
      </c>
      <c r="O104" s="7">
        <v>0.0898533373241543</v>
      </c>
      <c r="P104" s="7">
        <v>0.284788456835412</v>
      </c>
      <c r="Q104" s="7">
        <v>0.303939069379983</v>
      </c>
      <c r="R104" s="6">
        <v>4.77732027850791</v>
      </c>
      <c r="S104" s="6">
        <v>6.99448250832136</v>
      </c>
      <c r="T104" s="6">
        <v>4.25488410071706</v>
      </c>
      <c r="U104" s="6">
        <v>1.48992187285556</v>
      </c>
    </row>
    <row r="105" ht="11.25" customHeight="1">
      <c r="A105" s="2" t="s">
        <v>133</v>
      </c>
      <c r="B105" s="5">
        <v>0.635695698456898</v>
      </c>
      <c r="C105" s="5">
        <v>0.770877887352797</v>
      </c>
      <c r="D105" s="5">
        <v>0.598280868496224</v>
      </c>
      <c r="E105" s="5">
        <v>-0.0504526665956172</v>
      </c>
      <c r="F105" s="5">
        <v>0.39167621446082</v>
      </c>
      <c r="G105" s="5">
        <v>0.326938957483298</v>
      </c>
      <c r="H105" s="5">
        <v>0.44680837065283</v>
      </c>
      <c r="I105" s="5">
        <v>0.535322281549472</v>
      </c>
      <c r="J105" s="6">
        <v>1.55918505109527</v>
      </c>
      <c r="K105" s="6">
        <v>2.28139801109783</v>
      </c>
      <c r="L105" s="6">
        <v>1.28305758385548</v>
      </c>
      <c r="M105" s="6">
        <v>-0.140948115175071</v>
      </c>
      <c r="N105" s="7">
        <v>0.552749719416386</v>
      </c>
      <c r="O105" s="7">
        <v>0.330964089954408</v>
      </c>
      <c r="P105" s="7">
        <v>0.818634974420304</v>
      </c>
      <c r="Q105" s="7">
        <v>0.88921323324993</v>
      </c>
      <c r="R105" s="6">
        <v>3.15217523903554</v>
      </c>
      <c r="S105" s="6">
        <v>5.25290360811175</v>
      </c>
      <c r="T105" s="6">
        <v>2.32836786128476</v>
      </c>
      <c r="U105" s="6">
        <v>-0.25621302869101</v>
      </c>
    </row>
    <row r="106" ht="11.25" customHeight="1">
      <c r="A106" s="2" t="s">
        <v>134</v>
      </c>
      <c r="B106" s="5">
        <v>0.800260440038124</v>
      </c>
      <c r="C106" s="5">
        <v>1.02303818618446</v>
      </c>
      <c r="D106" s="5">
        <v>0.748932238106155</v>
      </c>
      <c r="E106" s="5">
        <v>0.475497760630403</v>
      </c>
      <c r="F106" s="5">
        <v>0.246605174115899</v>
      </c>
      <c r="G106" s="5">
        <v>0.255790548462938</v>
      </c>
      <c r="H106" s="5">
        <v>0.25318665986083</v>
      </c>
      <c r="I106" s="5">
        <v>0.350861442529741</v>
      </c>
      <c r="J106" s="6">
        <v>3.14373144366292</v>
      </c>
      <c r="K106" s="6">
        <v>3.90177898355407</v>
      </c>
      <c r="L106" s="6">
        <v>2.85928270669584</v>
      </c>
      <c r="M106" s="6">
        <v>1.28397625393738</v>
      </c>
      <c r="N106" s="7">
        <v>0.14834598238748</v>
      </c>
      <c r="O106" s="7">
        <v>0.105090311986863</v>
      </c>
      <c r="P106" s="7">
        <v>0.213939980638915</v>
      </c>
      <c r="Q106" s="7">
        <v>0.321169707573106</v>
      </c>
      <c r="R106" s="6">
        <v>7.17302819202019</v>
      </c>
      <c r="S106" s="6">
        <v>9.55853568799601</v>
      </c>
      <c r="T106" s="6">
        <v>6.4288040274845</v>
      </c>
      <c r="U106" s="6">
        <v>2.61748879171882</v>
      </c>
    </row>
    <row r="107" ht="11.25" customHeight="1">
      <c r="A107" s="2" t="s">
        <v>135</v>
      </c>
      <c r="B107" s="5">
        <v>0.752359339637168</v>
      </c>
      <c r="C107" s="5">
        <v>1.0152461102959</v>
      </c>
      <c r="D107" s="5">
        <v>0.88642909074573</v>
      </c>
      <c r="E107" s="5">
        <v>0.494492246806806</v>
      </c>
      <c r="F107" s="5">
        <v>0.225612293405568</v>
      </c>
      <c r="G107" s="5">
        <v>0.242460266685625</v>
      </c>
      <c r="H107" s="5">
        <v>0.214106384105932</v>
      </c>
      <c r="I107" s="5">
        <v>0.340767185045406</v>
      </c>
      <c r="J107" s="6">
        <v>3.22393486923002</v>
      </c>
      <c r="K107" s="6">
        <v>4.08415829872802</v>
      </c>
      <c r="L107" s="6">
        <v>4.02336947748146</v>
      </c>
      <c r="M107" s="6">
        <v>1.37775075597213</v>
      </c>
      <c r="N107" s="7">
        <v>0.14114325903327</v>
      </c>
      <c r="O107" s="7">
        <v>0.140213734415198</v>
      </c>
      <c r="P107" s="7">
        <v>0.237018819416089</v>
      </c>
      <c r="Q107" s="7">
        <v>0.449906658369632</v>
      </c>
      <c r="R107" s="6">
        <v>7.247918538344</v>
      </c>
      <c r="S107" s="6">
        <v>9.77110018650464</v>
      </c>
      <c r="T107" s="6">
        <v>9.45641217787048</v>
      </c>
      <c r="U107" s="6">
        <v>2.70336416769303</v>
      </c>
    </row>
    <row r="108" ht="11.25" customHeight="1">
      <c r="A108" s="2" t="s">
        <v>136</v>
      </c>
      <c r="B108" s="5">
        <v>0.746249557421986</v>
      </c>
      <c r="C108" s="5">
        <v>0.861050496091426</v>
      </c>
      <c r="D108" s="5">
        <v>0.626343459483691</v>
      </c>
      <c r="E108" s="5">
        <v>0.21569100306155</v>
      </c>
      <c r="F108" s="5">
        <v>0.277588216537227</v>
      </c>
      <c r="G108" s="5">
        <v>0.273473689576943</v>
      </c>
      <c r="H108" s="5">
        <v>0.285372896160673</v>
      </c>
      <c r="I108" s="5">
        <v>0.401669644362878</v>
      </c>
      <c r="J108" s="6">
        <v>2.59827152038083</v>
      </c>
      <c r="K108" s="6">
        <v>3.05715148460817</v>
      </c>
      <c r="L108" s="6">
        <v>2.10721994826416</v>
      </c>
      <c r="M108" s="6">
        <v>0.474745865757472</v>
      </c>
      <c r="N108" s="7">
        <v>0.173154647947245</v>
      </c>
      <c r="O108" s="7">
        <v>0.138839232511023</v>
      </c>
      <c r="P108" s="7">
        <v>0.528398213146139</v>
      </c>
      <c r="Q108" s="7">
        <v>0.535913336996624</v>
      </c>
      <c r="R108" s="6">
        <v>5.59681646797179</v>
      </c>
      <c r="S108" s="6">
        <v>6.99646524642319</v>
      </c>
      <c r="T108" s="6">
        <v>4.03811018317225</v>
      </c>
      <c r="U108" s="6">
        <v>0.912112629290247</v>
      </c>
    </row>
    <row r="109" ht="11.25" customHeight="1">
      <c r="A109" s="2" t="s">
        <v>137</v>
      </c>
      <c r="B109" s="5">
        <v>0.438275850713994</v>
      </c>
      <c r="C109" s="5">
        <v>0.649539538542612</v>
      </c>
      <c r="D109" s="5">
        <v>0.469553113234084</v>
      </c>
      <c r="E109" s="5">
        <v>0.178420240075102</v>
      </c>
      <c r="F109" s="5">
        <v>0.205437491728211</v>
      </c>
      <c r="G109" s="5">
        <v>0.217822035461143</v>
      </c>
      <c r="H109" s="5">
        <v>0.223567048449864</v>
      </c>
      <c r="I109" s="5">
        <v>0.306953180724106</v>
      </c>
      <c r="J109" s="6">
        <v>2.01168660713959</v>
      </c>
      <c r="K109" s="6">
        <v>2.86720091114942</v>
      </c>
      <c r="L109" s="6">
        <v>1.9884554379389</v>
      </c>
      <c r="M109" s="6">
        <v>0.499816420579784</v>
      </c>
      <c r="N109" s="7">
        <v>0.144147758782589</v>
      </c>
      <c r="O109" s="7">
        <v>0.0938922155688624</v>
      </c>
      <c r="P109" s="7">
        <v>0.278845401598006</v>
      </c>
      <c r="Q109" s="7">
        <v>0.368399999999999</v>
      </c>
      <c r="R109" s="6">
        <v>4.29033411087868</v>
      </c>
      <c r="S109" s="6">
        <v>6.95839995342582</v>
      </c>
      <c r="T109" s="6">
        <v>4.25503369712666</v>
      </c>
      <c r="U109" s="6">
        <v>1.01476960792332</v>
      </c>
    </row>
    <row r="110" ht="11.25" customHeight="1">
      <c r="A110" s="2" t="s">
        <v>138</v>
      </c>
      <c r="B110" s="5">
        <v>0.746691719198123</v>
      </c>
      <c r="C110" s="5">
        <v>0.933771379485551</v>
      </c>
      <c r="D110" s="5">
        <v>0.891923205709475</v>
      </c>
      <c r="E110" s="5">
        <v>0.122298564177397</v>
      </c>
      <c r="F110" s="5">
        <v>0.325503527738103</v>
      </c>
      <c r="G110" s="5">
        <v>0.326982052715676</v>
      </c>
      <c r="H110" s="5">
        <v>0.35942237613143</v>
      </c>
      <c r="I110" s="5">
        <v>0.47467730674545</v>
      </c>
      <c r="J110" s="6">
        <v>2.21715483151011</v>
      </c>
      <c r="K110" s="6">
        <v>2.77926990774555</v>
      </c>
      <c r="L110" s="6">
        <v>2.4119900798621</v>
      </c>
      <c r="M110" s="6">
        <v>0.204978335375899</v>
      </c>
      <c r="N110" s="7">
        <v>0.226987223526803</v>
      </c>
      <c r="O110" s="7">
        <v>0.136369682445263</v>
      </c>
      <c r="P110" s="7">
        <v>0.506085908881837</v>
      </c>
      <c r="Q110" s="7">
        <v>0.693267556587347</v>
      </c>
      <c r="R110" s="6">
        <v>4.76305858167882</v>
      </c>
      <c r="S110" s="6">
        <v>6.33982111521287</v>
      </c>
      <c r="T110" s="6">
        <v>4.96844067990339</v>
      </c>
      <c r="U110" s="6">
        <v>0.408255338157566</v>
      </c>
    </row>
    <row r="111" ht="11.25" customHeight="1">
      <c r="A111" s="2" t="s">
        <v>139</v>
      </c>
      <c r="B111" s="5">
        <v>0.925301466870155</v>
      </c>
      <c r="C111" s="5">
        <v>0.792049614960974</v>
      </c>
      <c r="D111" s="5">
        <v>0.927418242239636</v>
      </c>
      <c r="E111" s="5">
        <v>0.148633530568898</v>
      </c>
      <c r="F111" s="5">
        <v>0.308960602526552</v>
      </c>
      <c r="G111" s="5">
        <v>0.276062959148718</v>
      </c>
      <c r="H111" s="5">
        <v>0.29331666320179</v>
      </c>
      <c r="I111" s="5">
        <v>0.460496942003396</v>
      </c>
      <c r="J111" s="6">
        <v>2.91396851089705</v>
      </c>
      <c r="K111" s="6">
        <v>2.77853145284788</v>
      </c>
      <c r="L111" s="6">
        <v>3.07660066901418</v>
      </c>
      <c r="M111" s="6">
        <v>0.268478505049413</v>
      </c>
      <c r="N111" s="7">
        <v>0.222523744911804</v>
      </c>
      <c r="O111" s="7">
        <v>0.178829155194899</v>
      </c>
      <c r="P111" s="7">
        <v>0.294529781598026</v>
      </c>
      <c r="Q111" s="7">
        <v>0.679966576143721</v>
      </c>
      <c r="R111" s="6">
        <v>6.8640577966119</v>
      </c>
      <c r="S111" s="6">
        <v>6.35059081354443</v>
      </c>
      <c r="T111" s="6">
        <v>7.01191786576871</v>
      </c>
      <c r="U111" s="6">
        <v>0.510373806795017</v>
      </c>
    </row>
    <row r="112" ht="11.25" customHeight="1">
      <c r="A112" s="2" t="s">
        <v>140</v>
      </c>
      <c r="B112" s="5">
        <v>0.406892570358607</v>
      </c>
      <c r="C112" s="5">
        <v>0.527053035922543</v>
      </c>
      <c r="D112" s="5">
        <v>0.379939580842377</v>
      </c>
      <c r="E112" s="5">
        <v>0.237436410370943</v>
      </c>
      <c r="F112" s="5">
        <v>0.143885662838925</v>
      </c>
      <c r="G112" s="5">
        <v>0.178970574599874</v>
      </c>
      <c r="H112" s="5">
        <v>0.161291276149859</v>
      </c>
      <c r="I112" s="5">
        <v>0.236191564454934</v>
      </c>
      <c r="J112" s="6">
        <v>2.65413914648412</v>
      </c>
      <c r="K112" s="6">
        <v>2.8052267086083</v>
      </c>
      <c r="L112" s="6">
        <v>2.20061239091812</v>
      </c>
      <c r="M112" s="6">
        <v>0.899424206199696</v>
      </c>
      <c r="N112" s="7">
        <v>0.0848545624902413</v>
      </c>
      <c r="O112" s="7">
        <v>0.130873450562121</v>
      </c>
      <c r="P112" s="7">
        <v>0.211455472734405</v>
      </c>
      <c r="Q112" s="7">
        <v>0.248878923766815</v>
      </c>
      <c r="R112" s="6">
        <v>5.95818976929925</v>
      </c>
      <c r="S112" s="6">
        <v>6.57277965512651</v>
      </c>
      <c r="T112" s="6">
        <v>4.38995834923777</v>
      </c>
      <c r="U112" s="6">
        <v>1.75955114120826</v>
      </c>
    </row>
    <row r="113" ht="11.25" customHeight="1">
      <c r="A113" s="2" t="s">
        <v>141</v>
      </c>
      <c r="B113" s="5">
        <v>0.513230639049976</v>
      </c>
      <c r="C113" s="5">
        <v>0.632925695919577</v>
      </c>
      <c r="D113" s="5">
        <v>0.518721523786064</v>
      </c>
      <c r="E113" s="5">
        <v>0.178299876767148</v>
      </c>
      <c r="F113" s="5">
        <v>0.196126114191372</v>
      </c>
      <c r="G113" s="5">
        <v>0.203238509998122</v>
      </c>
      <c r="H113" s="5">
        <v>0.205540431156538</v>
      </c>
      <c r="I113" s="5">
        <v>0.292277891855844</v>
      </c>
      <c r="J113" s="6">
        <v>2.48937088802758</v>
      </c>
      <c r="K113" s="6">
        <v>2.99119343044383</v>
      </c>
      <c r="L113" s="6">
        <v>2.40206523362816</v>
      </c>
      <c r="M113" s="6">
        <v>0.524500419083212</v>
      </c>
      <c r="N113" s="7">
        <v>0.123597756410256</v>
      </c>
      <c r="O113" s="7">
        <v>0.123597756410256</v>
      </c>
      <c r="P113" s="7">
        <v>0.176568573014991</v>
      </c>
      <c r="Q113" s="7">
        <v>0.376377593676369</v>
      </c>
      <c r="R113" s="6">
        <v>5.32428019707998</v>
      </c>
      <c r="S113" s="6">
        <v>7.22322001445762</v>
      </c>
      <c r="T113" s="6">
        <v>4.73822802862879</v>
      </c>
      <c r="U113" s="6">
        <v>1.00026186314714</v>
      </c>
    </row>
    <row r="114" ht="11.25" customHeight="1">
      <c r="A114" s="2" t="s">
        <v>142</v>
      </c>
      <c r="B114" s="5">
        <v>0.434155472733943</v>
      </c>
      <c r="C114" s="5">
        <v>0.505355373218775</v>
      </c>
      <c r="D114" s="5">
        <v>0.359657870070051</v>
      </c>
      <c r="E114" s="5">
        <v>0.0637757682395769</v>
      </c>
      <c r="F114" s="5">
        <v>0.184134039362312</v>
      </c>
      <c r="G114" s="5">
        <v>0.180460355314538</v>
      </c>
      <c r="H114" s="5">
        <v>0.182632620288037</v>
      </c>
      <c r="I114" s="5">
        <v>0.286578760381325</v>
      </c>
      <c r="J114" s="6">
        <v>2.22205233834503</v>
      </c>
      <c r="K114" s="6">
        <v>2.66183324521071</v>
      </c>
      <c r="L114" s="6">
        <v>1.83241016606041</v>
      </c>
      <c r="M114" s="6">
        <v>0.135305799313185</v>
      </c>
      <c r="N114" s="7">
        <v>0.107721631266769</v>
      </c>
      <c r="O114" s="7">
        <v>0.0978071702053601</v>
      </c>
      <c r="P114" s="7">
        <v>0.238737450331033</v>
      </c>
      <c r="Q114" s="7">
        <v>0.399980035935317</v>
      </c>
      <c r="R114" s="6">
        <v>4.63916020516401</v>
      </c>
      <c r="S114" s="6">
        <v>5.92522784557735</v>
      </c>
      <c r="T114" s="6">
        <v>3.55503985289962</v>
      </c>
      <c r="U114" s="6">
        <v>0.241238626845616</v>
      </c>
    </row>
    <row r="115" ht="11.25" customHeight="1">
      <c r="A115" s="2" t="s">
        <v>143</v>
      </c>
      <c r="B115" s="5">
        <v>0.715929981803616</v>
      </c>
      <c r="C115" s="5">
        <v>0.964669447600357</v>
      </c>
      <c r="D115" s="5">
        <v>0.897674977127405</v>
      </c>
      <c r="E115" s="5">
        <v>0.47486159344605</v>
      </c>
      <c r="F115" s="5">
        <v>0.219671612679005</v>
      </c>
      <c r="G115" s="5">
        <v>0.245765447805587</v>
      </c>
      <c r="H115" s="5">
        <v>0.243669409576165</v>
      </c>
      <c r="I115" s="5">
        <v>0.33232547032582</v>
      </c>
      <c r="J115" s="6">
        <v>3.14528569885466</v>
      </c>
      <c r="K115" s="6">
        <v>3.82344001563507</v>
      </c>
      <c r="L115" s="6">
        <v>3.58138913967626</v>
      </c>
      <c r="M115" s="6">
        <v>1.35367774550952</v>
      </c>
      <c r="N115" s="7">
        <v>0.129157706144305</v>
      </c>
      <c r="O115" s="7">
        <v>0.0805927730410067</v>
      </c>
      <c r="P115" s="7">
        <v>0.289075051641037</v>
      </c>
      <c r="Q115" s="7">
        <v>0.351453416149068</v>
      </c>
      <c r="R115" s="6">
        <v>7.57257835250683</v>
      </c>
      <c r="S115" s="6">
        <v>9.95539569133891</v>
      </c>
      <c r="T115" s="6">
        <v>8.315423299177</v>
      </c>
      <c r="U115" s="6">
        <v>2.82716146043405</v>
      </c>
    </row>
    <row r="116" ht="11.25" customHeight="1">
      <c r="A116" s="2" t="s">
        <v>144</v>
      </c>
      <c r="B116" s="5">
        <v>2.24087043568359</v>
      </c>
      <c r="C116" s="5">
        <v>2.19821818393955</v>
      </c>
      <c r="D116" s="5">
        <v>2.34085148061168</v>
      </c>
      <c r="E116" s="5">
        <v>0.748430257576806</v>
      </c>
      <c r="F116" s="5">
        <v>0.556793720561469</v>
      </c>
      <c r="G116" s="5">
        <v>0.561557586291974</v>
      </c>
      <c r="H116" s="5">
        <v>0.475063176068963</v>
      </c>
      <c r="I116" s="5">
        <v>0.73999741227996</v>
      </c>
      <c r="J116" s="6">
        <v>3.97969724487754</v>
      </c>
      <c r="K116" s="6">
        <v>3.86998277111622</v>
      </c>
      <c r="L116" s="6">
        <v>4.87482843813492</v>
      </c>
      <c r="M116" s="6">
        <v>0.977611874814386</v>
      </c>
      <c r="N116" s="7">
        <v>0.239135852296942</v>
      </c>
      <c r="O116" s="7">
        <v>0.207441113490364</v>
      </c>
      <c r="P116" s="7">
        <v>0.215136616480692</v>
      </c>
      <c r="Q116" s="7">
        <v>0.446625663493133</v>
      </c>
      <c r="R116" s="6">
        <v>9.02747910771565</v>
      </c>
      <c r="S116" s="6">
        <v>9.23806956945219</v>
      </c>
      <c r="T116" s="6">
        <v>11.9255102314534</v>
      </c>
      <c r="U116" s="6">
        <v>2.17420237309771</v>
      </c>
    </row>
    <row r="117" ht="11.25" customHeight="1">
      <c r="A117" s="2" t="s">
        <v>145</v>
      </c>
      <c r="B117" s="5">
        <v>0.497547891262902</v>
      </c>
      <c r="C117" s="5">
        <v>0.703028449046551</v>
      </c>
      <c r="D117" s="5">
        <v>0.601924038935841</v>
      </c>
      <c r="E117" s="5">
        <v>0.259525392804131</v>
      </c>
      <c r="F117" s="5">
        <v>0.225699907568947</v>
      </c>
      <c r="G117" s="5">
        <v>0.236564456878346</v>
      </c>
      <c r="H117" s="5">
        <v>0.241000428473985</v>
      </c>
      <c r="I117" s="5">
        <v>0.348202965378118</v>
      </c>
      <c r="J117" s="6">
        <v>2.09369997689763</v>
      </c>
      <c r="K117" s="6">
        <v>2.86614674915103</v>
      </c>
      <c r="L117" s="6">
        <v>2.39387142416685</v>
      </c>
      <c r="M117" s="6">
        <v>0.67353071663091</v>
      </c>
      <c r="N117" s="7">
        <v>0.197522531224628</v>
      </c>
      <c r="O117" s="7">
        <v>0.121929545287605</v>
      </c>
      <c r="P117" s="7">
        <v>0.379307053545862</v>
      </c>
      <c r="Q117" s="7">
        <v>0.425072937848112</v>
      </c>
      <c r="R117" s="6">
        <v>4.50395984722755</v>
      </c>
      <c r="S117" s="6">
        <v>6.81819280353113</v>
      </c>
      <c r="T117" s="6">
        <v>4.83006207372497</v>
      </c>
      <c r="U117" s="6">
        <v>1.31959968256628</v>
      </c>
    </row>
    <row r="118" ht="11.25" customHeight="1">
      <c r="A118" s="2" t="s">
        <v>146</v>
      </c>
      <c r="B118" s="5">
        <v>0.501401431282296</v>
      </c>
      <c r="C118" s="5">
        <v>0.629876169786199</v>
      </c>
      <c r="D118" s="5">
        <v>0.390879522240182</v>
      </c>
      <c r="E118" s="5">
        <v>0.204782017842925</v>
      </c>
      <c r="F118" s="5">
        <v>0.197670861981052</v>
      </c>
      <c r="G118" s="5">
        <v>0.193406008264222</v>
      </c>
      <c r="H118" s="5">
        <v>0.205685224403607</v>
      </c>
      <c r="I118" s="5">
        <v>0.303437425587627</v>
      </c>
      <c r="J118" s="6">
        <v>2.41007413286821</v>
      </c>
      <c r="K118" s="6">
        <v>3.12749420359188</v>
      </c>
      <c r="L118" s="6">
        <v>1.77883230699271</v>
      </c>
      <c r="M118" s="6">
        <v>0.592484653120046</v>
      </c>
      <c r="N118" s="7">
        <v>0.17877642447151</v>
      </c>
      <c r="O118" s="7">
        <v>0.107812391223679</v>
      </c>
      <c r="P118" s="7">
        <v>0.414678237294558</v>
      </c>
      <c r="Q118" s="7">
        <v>0.586576952559407</v>
      </c>
      <c r="R118" s="6">
        <v>4.88493362234588</v>
      </c>
      <c r="S118" s="6">
        <v>7.41135189158164</v>
      </c>
      <c r="T118" s="6">
        <v>3.46561645167996</v>
      </c>
      <c r="U118" s="6">
        <v>1.13419974469887</v>
      </c>
    </row>
    <row r="119" ht="11.25" customHeight="1">
      <c r="A119" s="2" t="s">
        <v>147</v>
      </c>
      <c r="B119" s="5">
        <v>0.271308008965323</v>
      </c>
      <c r="C119" s="5">
        <v>0.39985365523088</v>
      </c>
      <c r="D119" s="5">
        <v>0.309390176512281</v>
      </c>
      <c r="E119" s="5">
        <v>0.0972014528964657</v>
      </c>
      <c r="F119" s="5">
        <v>0.137316141656189</v>
      </c>
      <c r="G119" s="5">
        <v>0.147670465843551</v>
      </c>
      <c r="H119" s="5">
        <v>0.162035488620363</v>
      </c>
      <c r="I119" s="5">
        <v>0.216843547454246</v>
      </c>
      <c r="J119" s="6">
        <v>1.79372946249849</v>
      </c>
      <c r="K119" s="6">
        <v>2.53844702858875</v>
      </c>
      <c r="L119" s="6">
        <v>1.75511043249658</v>
      </c>
      <c r="M119" s="6">
        <v>0.332965650784237</v>
      </c>
      <c r="N119" s="7">
        <v>0.103484442372684</v>
      </c>
      <c r="O119" s="7">
        <v>0.0807252247421588</v>
      </c>
      <c r="P119" s="7">
        <v>0.20538675865729</v>
      </c>
      <c r="Q119" s="7">
        <v>0.25316129032258</v>
      </c>
      <c r="R119" s="6">
        <v>3.75310012304391</v>
      </c>
      <c r="S119" s="6">
        <v>5.86841183779136</v>
      </c>
      <c r="T119" s="6">
        <v>3.52497409741973</v>
      </c>
      <c r="U119" s="6">
        <v>0.651817958495755</v>
      </c>
    </row>
    <row r="120" ht="11.25" customHeight="1">
      <c r="A120" s="2" t="s">
        <v>148</v>
      </c>
      <c r="B120" s="5">
        <v>0.347929013282049</v>
      </c>
      <c r="C120" s="5">
        <v>0.382658295132734</v>
      </c>
      <c r="D120" s="5">
        <v>0.29448731855157</v>
      </c>
      <c r="E120" s="5">
        <v>0.144827166532927</v>
      </c>
      <c r="F120" s="5">
        <v>0.148274107776823</v>
      </c>
      <c r="G120" s="5">
        <v>0.167488102482205</v>
      </c>
      <c r="H120" s="5">
        <v>0.143799601339368</v>
      </c>
      <c r="I120" s="5">
        <v>0.231753942014065</v>
      </c>
      <c r="J120" s="6">
        <v>2.17791911294525</v>
      </c>
      <c r="K120" s="6">
        <v>2.13542508292929</v>
      </c>
      <c r="L120" s="6">
        <v>1.87404774451062</v>
      </c>
      <c r="M120" s="6">
        <v>0.517044782460074</v>
      </c>
      <c r="N120" s="7">
        <v>0.0860939636358428</v>
      </c>
      <c r="O120" s="7">
        <v>0.110940938633833</v>
      </c>
      <c r="P120" s="7">
        <v>0.135769520290152</v>
      </c>
      <c r="Q120" s="7">
        <v>0.2745856818373</v>
      </c>
      <c r="R120" s="6">
        <v>4.56234326258437</v>
      </c>
      <c r="S120" s="6">
        <v>4.72048689190147</v>
      </c>
      <c r="T120" s="6">
        <v>3.66491732182502</v>
      </c>
      <c r="U120" s="6">
        <v>0.992195238190777</v>
      </c>
    </row>
    <row r="121" ht="11.25" customHeight="1">
      <c r="A121" s="2" t="s">
        <v>149</v>
      </c>
      <c r="B121" s="5">
        <v>0.71237647239693</v>
      </c>
      <c r="C121" s="5">
        <v>0.671458131979149</v>
      </c>
      <c r="D121" s="5">
        <v>0.58165844071053</v>
      </c>
      <c r="E121" s="5">
        <v>0.0842992224114989</v>
      </c>
      <c r="F121" s="5">
        <v>0.297957231852501</v>
      </c>
      <c r="G121" s="5">
        <v>0.259543086923464</v>
      </c>
      <c r="H121" s="5">
        <v>0.309641169163883</v>
      </c>
      <c r="I121" s="5">
        <v>0.42044066015693</v>
      </c>
      <c r="J121" s="6">
        <v>2.30696354682608</v>
      </c>
      <c r="K121" s="6">
        <v>2.49075457813977</v>
      </c>
      <c r="L121" s="6">
        <v>1.79775332270466</v>
      </c>
      <c r="M121" s="6">
        <v>0.141040646233799</v>
      </c>
      <c r="N121" s="7">
        <v>0.250359712230215</v>
      </c>
      <c r="O121" s="7">
        <v>0.181974138585376</v>
      </c>
      <c r="P121" s="7">
        <v>0.57836747361887</v>
      </c>
      <c r="Q121" s="7">
        <v>0.745132570198611</v>
      </c>
      <c r="R121" s="6">
        <v>4.89357448915028</v>
      </c>
      <c r="S121" s="6">
        <v>5.61277418522164</v>
      </c>
      <c r="T121" s="6">
        <v>3.31876903651163</v>
      </c>
      <c r="U121" s="6">
        <v>0.26613506143485</v>
      </c>
    </row>
    <row r="122" ht="11.25" customHeight="1">
      <c r="A122" s="2" t="s">
        <v>150</v>
      </c>
      <c r="B122" s="5">
        <v>0.524650865862322</v>
      </c>
      <c r="C122" s="5">
        <v>0.635017078576281</v>
      </c>
      <c r="D122" s="5">
        <v>0.509707105369568</v>
      </c>
      <c r="E122" s="5">
        <v>0.279358317490834</v>
      </c>
      <c r="F122" s="5">
        <v>0.196426335244338</v>
      </c>
      <c r="G122" s="5">
        <v>0.194434442900463</v>
      </c>
      <c r="H122" s="5">
        <v>0.189724695364785</v>
      </c>
      <c r="I122" s="5">
        <v>0.286522229687929</v>
      </c>
      <c r="J122" s="6">
        <v>2.54370609338506</v>
      </c>
      <c r="K122" s="6">
        <v>3.13739206632523</v>
      </c>
      <c r="L122" s="6">
        <v>2.55479184951446</v>
      </c>
      <c r="M122" s="6">
        <v>0.887743745983944</v>
      </c>
      <c r="N122" s="7">
        <v>0.117583015786608</v>
      </c>
      <c r="O122" s="7">
        <v>0.0893907535994689</v>
      </c>
      <c r="P122" s="7">
        <v>0.212008078196552</v>
      </c>
      <c r="Q122" s="7">
        <v>0.317473684210525</v>
      </c>
      <c r="R122" s="6">
        <v>5.35743398173098</v>
      </c>
      <c r="S122" s="6">
        <v>7.06001667506178</v>
      </c>
      <c r="T122" s="6">
        <v>5.3089859485484</v>
      </c>
      <c r="U122" s="6">
        <v>1.77323604431744</v>
      </c>
    </row>
    <row r="123" ht="11.25" customHeight="1">
      <c r="A123" s="2" t="s">
        <v>151</v>
      </c>
      <c r="B123" s="5">
        <v>0.452367290111845</v>
      </c>
      <c r="C123" s="5">
        <v>0.551292193570791</v>
      </c>
      <c r="D123" s="5">
        <v>0.560691371377623</v>
      </c>
      <c r="E123" s="5">
        <v>0.188994379823622</v>
      </c>
      <c r="F123" s="5">
        <v>0.195105050206552</v>
      </c>
      <c r="G123" s="5">
        <v>0.206205350098359</v>
      </c>
      <c r="H123" s="5">
        <v>0.213432087778358</v>
      </c>
      <c r="I123" s="5">
        <v>0.309847880981493</v>
      </c>
      <c r="J123" s="6">
        <v>2.1904470932936</v>
      </c>
      <c r="K123" s="6">
        <v>2.55227225345875</v>
      </c>
      <c r="L123" s="6">
        <v>2.50989144581633</v>
      </c>
      <c r="M123" s="6">
        <v>0.529273846586082</v>
      </c>
      <c r="N123" s="7">
        <v>0.137250351973237</v>
      </c>
      <c r="O123" s="7">
        <v>0.137250351973237</v>
      </c>
      <c r="P123" s="7">
        <v>0.200510747301318</v>
      </c>
      <c r="Q123" s="7">
        <v>0.376022650907042</v>
      </c>
      <c r="R123" s="6">
        <v>4.47751758997994</v>
      </c>
      <c r="S123" s="6">
        <v>5.56341808543598</v>
      </c>
      <c r="T123" s="6">
        <v>5.2881401798081</v>
      </c>
      <c r="U123" s="6">
        <v>0.998602393930141</v>
      </c>
    </row>
    <row r="124" ht="11.25" customHeight="1">
      <c r="A124" s="2" t="s">
        <v>152</v>
      </c>
      <c r="B124" s="5">
        <v>0.959008528480428</v>
      </c>
      <c r="C124" s="5">
        <v>1.46330311216942</v>
      </c>
      <c r="D124" s="5">
        <v>0.878173507587406</v>
      </c>
      <c r="E124" s="5">
        <v>0.4147680805608</v>
      </c>
      <c r="F124" s="5">
        <v>0.284993760972722</v>
      </c>
      <c r="G124" s="5">
        <v>0.3073786925268</v>
      </c>
      <c r="H124" s="5">
        <v>0.277263180695326</v>
      </c>
      <c r="I124" s="5">
        <v>0.420036668169274</v>
      </c>
      <c r="J124" s="6">
        <v>3.27729465126721</v>
      </c>
      <c r="K124" s="6">
        <v>4.67925444130783</v>
      </c>
      <c r="L124" s="6">
        <v>3.07712515397031</v>
      </c>
      <c r="M124" s="6">
        <v>0.927938225630633</v>
      </c>
      <c r="N124" s="7">
        <v>0.127718433959882</v>
      </c>
      <c r="O124" s="7">
        <v>0.11819346749942</v>
      </c>
      <c r="P124" s="7">
        <v>0.386434254973397</v>
      </c>
      <c r="Q124" s="7">
        <v>0.668329440331499</v>
      </c>
      <c r="R124" s="6">
        <v>8.59831322989403</v>
      </c>
      <c r="S124" s="6">
        <v>13.5348858675824</v>
      </c>
      <c r="T124" s="6">
        <v>7.41671221012955</v>
      </c>
      <c r="U124" s="6">
        <v>1.88761087100518</v>
      </c>
    </row>
    <row r="125" ht="11.25" customHeight="1">
      <c r="A125" s="2" t="s">
        <v>153</v>
      </c>
      <c r="B125" s="5">
        <v>0.642752735387336</v>
      </c>
      <c r="C125" s="5">
        <v>0.888660816401802</v>
      </c>
      <c r="D125" s="5">
        <v>0.792604101056751</v>
      </c>
      <c r="E125" s="5">
        <v>0.21686636245289</v>
      </c>
      <c r="F125" s="5">
        <v>0.240333656672298</v>
      </c>
      <c r="G125" s="5">
        <v>0.239711462295226</v>
      </c>
      <c r="H125" s="5">
        <v>0.232083065756545</v>
      </c>
      <c r="I125" s="5">
        <v>0.363025822724003</v>
      </c>
      <c r="J125" s="6">
        <v>2.57039627300166</v>
      </c>
      <c r="K125" s="6">
        <v>3.60291830908831</v>
      </c>
      <c r="L125" s="6">
        <v>3.3074541589431</v>
      </c>
      <c r="M125" s="6">
        <v>0.528519875013849</v>
      </c>
      <c r="N125" s="7">
        <v>0.215666963243832</v>
      </c>
      <c r="O125" s="7">
        <v>0.110809323332014</v>
      </c>
      <c r="P125" s="7">
        <v>0.3112062191527</v>
      </c>
      <c r="Q125" s="7">
        <v>0.479788227966365</v>
      </c>
      <c r="R125" s="6">
        <v>5.39515152988783</v>
      </c>
      <c r="S125" s="6">
        <v>8.58490528468193</v>
      </c>
      <c r="T125" s="6">
        <v>7.13922482823575</v>
      </c>
      <c r="U125" s="6">
        <v>1.05574999777204</v>
      </c>
    </row>
    <row r="126" ht="11.25" customHeight="1">
      <c r="A126" s="2" t="s">
        <v>154</v>
      </c>
      <c r="B126" s="5">
        <v>0.393054594325538</v>
      </c>
      <c r="C126" s="5">
        <v>0.419896988834246</v>
      </c>
      <c r="D126" s="5">
        <v>0.37185425322128</v>
      </c>
      <c r="E126" s="5">
        <v>0.184514230525711</v>
      </c>
      <c r="F126" s="5">
        <v>0.155294502129396</v>
      </c>
      <c r="G126" s="5">
        <v>0.163059830804581</v>
      </c>
      <c r="H126" s="5">
        <v>0.181603998996442</v>
      </c>
      <c r="I126" s="5">
        <v>0.235796105769112</v>
      </c>
      <c r="J126" s="6">
        <v>2.37004265623558</v>
      </c>
      <c r="K126" s="6">
        <v>2.42179196976789</v>
      </c>
      <c r="L126" s="6">
        <v>1.9099483223829</v>
      </c>
      <c r="M126" s="6">
        <v>0.676492217737918</v>
      </c>
      <c r="N126" s="7">
        <v>0.119309008718114</v>
      </c>
      <c r="O126" s="7">
        <v>0.119309008718114</v>
      </c>
      <c r="P126" s="7">
        <v>0.290270665691294</v>
      </c>
      <c r="Q126" s="7">
        <v>0.29552715654952</v>
      </c>
      <c r="R126" s="6">
        <v>4.7086151492897</v>
      </c>
      <c r="S126" s="6">
        <v>4.99716680237359</v>
      </c>
      <c r="T126" s="6">
        <v>3.64790464365682</v>
      </c>
      <c r="U126" s="6">
        <v>1.28538772690891</v>
      </c>
    </row>
    <row r="127" ht="11.25" customHeight="1">
      <c r="A127" s="2" t="s">
        <v>155</v>
      </c>
      <c r="B127" s="5">
        <v>0.821133015317226</v>
      </c>
      <c r="C127" s="5">
        <v>1.31703666298774</v>
      </c>
      <c r="D127" s="5">
        <v>0.878212507930067</v>
      </c>
      <c r="E127" s="5">
        <v>0.403715297908752</v>
      </c>
      <c r="F127" s="5">
        <v>0.326570506927913</v>
      </c>
      <c r="G127" s="5">
        <v>0.303552951102149</v>
      </c>
      <c r="H127" s="5">
        <v>0.315601057718609</v>
      </c>
      <c r="I127" s="5">
        <v>0.448620210165904</v>
      </c>
      <c r="J127" s="6">
        <v>2.43785950791007</v>
      </c>
      <c r="K127" s="6">
        <v>4.25637984508658</v>
      </c>
      <c r="L127" s="6">
        <v>2.7034526249617</v>
      </c>
      <c r="M127" s="6">
        <v>0.844177969085921</v>
      </c>
      <c r="N127" s="7">
        <v>0.3566153255118</v>
      </c>
      <c r="O127" s="7">
        <v>0.17654961912617</v>
      </c>
      <c r="P127" s="7">
        <v>0.284487499221334</v>
      </c>
      <c r="Q127" s="7">
        <v>0.471653543307086</v>
      </c>
      <c r="R127" s="6">
        <v>4.82623411785764</v>
      </c>
      <c r="S127" s="6">
        <v>11.0156049867283</v>
      </c>
      <c r="T127" s="6">
        <v>5.72562435916226</v>
      </c>
      <c r="U127" s="6">
        <v>1.64491768362743</v>
      </c>
    </row>
    <row r="128" ht="11.25" customHeight="1">
      <c r="A128" s="2" t="s">
        <v>156</v>
      </c>
      <c r="B128" s="5">
        <v>0.366924256050343</v>
      </c>
      <c r="C128" s="5">
        <v>0.445311793698643</v>
      </c>
      <c r="D128" s="5">
        <v>0.444022320666437</v>
      </c>
      <c r="E128" s="5">
        <v>0.0684537245828886</v>
      </c>
      <c r="F128" s="5">
        <v>0.20686530315823</v>
      </c>
      <c r="G128" s="5">
        <v>0.205721710607642</v>
      </c>
      <c r="H128" s="5">
        <v>0.168318911919908</v>
      </c>
      <c r="I128" s="5">
        <v>0.304969118468343</v>
      </c>
      <c r="J128" s="6">
        <v>1.6528835470722</v>
      </c>
      <c r="K128" s="6">
        <v>2.04310858808807</v>
      </c>
      <c r="L128" s="6">
        <v>2.48945478488966</v>
      </c>
      <c r="M128" s="6">
        <v>0.142485654944762</v>
      </c>
      <c r="N128" s="7">
        <v>0.175460122699386</v>
      </c>
      <c r="O128" s="7">
        <v>0.175460122699386</v>
      </c>
      <c r="P128" s="7">
        <v>0.143985532840733</v>
      </c>
      <c r="Q128" s="7">
        <v>0.614649681528662</v>
      </c>
      <c r="R128" s="6">
        <v>3.50001730309</v>
      </c>
      <c r="S128" s="6">
        <v>4.40003900629499</v>
      </c>
      <c r="T128" s="6">
        <v>5.72217957144221</v>
      </c>
      <c r="U128" s="6">
        <v>0.261597002600951</v>
      </c>
    </row>
    <row r="129" ht="11.25" customHeight="1">
      <c r="A129" s="2" t="s">
        <v>157</v>
      </c>
      <c r="B129" s="5">
        <v>0.581867105540524</v>
      </c>
      <c r="C129" s="5">
        <v>0.80356947061796</v>
      </c>
      <c r="D129" s="5">
        <v>0.796833845186596</v>
      </c>
      <c r="E129" s="5">
        <v>0.177861782405874</v>
      </c>
      <c r="F129" s="5">
        <v>0.279438544222031</v>
      </c>
      <c r="G129" s="5">
        <v>0.270624373206228</v>
      </c>
      <c r="H129" s="5">
        <v>0.251547399012291</v>
      </c>
      <c r="I129" s="5">
        <v>0.402973660756669</v>
      </c>
      <c r="J129" s="6">
        <v>1.9928070663654</v>
      </c>
      <c r="K129" s="6">
        <v>2.87693773252512</v>
      </c>
      <c r="L129" s="6">
        <v>3.06834357348644</v>
      </c>
      <c r="M129" s="6">
        <v>0.379334426272039</v>
      </c>
      <c r="N129" s="7">
        <v>0.269569725246241</v>
      </c>
      <c r="O129" s="7">
        <v>0.282491890578982</v>
      </c>
      <c r="P129" s="7">
        <v>0.269569725246241</v>
      </c>
      <c r="Q129" s="7">
        <v>0.604065192956162</v>
      </c>
      <c r="R129" s="6">
        <v>4.14510054539067</v>
      </c>
      <c r="S129" s="6">
        <v>6.33517371574633</v>
      </c>
      <c r="T129" s="6">
        <v>7.0431999223169</v>
      </c>
      <c r="U129" s="6">
        <v>0.728520289879904</v>
      </c>
    </row>
    <row r="130" ht="11.25" customHeight="1">
      <c r="A130" s="2" t="s">
        <v>158</v>
      </c>
      <c r="B130" s="5">
        <v>0.479805082921564</v>
      </c>
      <c r="C130" s="5">
        <v>0.741244695083685</v>
      </c>
      <c r="D130" s="5">
        <v>0.996866963268556</v>
      </c>
      <c r="E130" s="5">
        <v>0.0573210679186531</v>
      </c>
      <c r="F130" s="5">
        <v>0.324731092398577</v>
      </c>
      <c r="G130" s="5">
        <v>0.343101189723862</v>
      </c>
      <c r="H130" s="5">
        <v>0.314998373668777</v>
      </c>
      <c r="I130" s="5">
        <v>0.459506087902813</v>
      </c>
      <c r="J130" s="6">
        <v>1.40055908894407</v>
      </c>
      <c r="K130" s="6">
        <v>2.08756109432362</v>
      </c>
      <c r="L130" s="6">
        <v>3.08530787619393</v>
      </c>
      <c r="M130" s="6">
        <v>0.0703387153501414</v>
      </c>
      <c r="N130" s="7">
        <v>0.263749234275281</v>
      </c>
      <c r="O130" s="7">
        <v>0.166283050862163</v>
      </c>
      <c r="P130" s="7">
        <v>0.271711414429279</v>
      </c>
      <c r="Q130" s="7">
        <v>0.675318433068974</v>
      </c>
      <c r="R130" s="6">
        <v>2.88653055110661</v>
      </c>
      <c r="S130" s="6">
        <v>4.69787331076384</v>
      </c>
      <c r="T130" s="6">
        <v>7.17911097110414</v>
      </c>
      <c r="U130" s="6">
        <v>0.145557855418601</v>
      </c>
    </row>
    <row r="131" ht="11.25" customHeight="1">
      <c r="A131" s="2" t="s">
        <v>159</v>
      </c>
      <c r="B131" s="5">
        <v>0.659766243104463</v>
      </c>
      <c r="C131" s="5">
        <v>0.747562552528497</v>
      </c>
      <c r="D131" s="5">
        <v>0.577262428315156</v>
      </c>
      <c r="E131" s="5">
        <v>0.347446715342739</v>
      </c>
      <c r="F131" s="5">
        <v>0.205446566798803</v>
      </c>
      <c r="G131" s="5">
        <v>0.218325432238364</v>
      </c>
      <c r="H131" s="5">
        <v>0.195773019456422</v>
      </c>
      <c r="I131" s="5">
        <v>0.315015752804965</v>
      </c>
      <c r="J131" s="6">
        <v>3.08969019533969</v>
      </c>
      <c r="K131" s="6">
        <v>3.30956657280134</v>
      </c>
      <c r="L131" s="6">
        <v>2.82093227069058</v>
      </c>
      <c r="M131" s="6">
        <v>1.02358917759384</v>
      </c>
      <c r="N131" s="7">
        <v>0.0946422320034298</v>
      </c>
      <c r="O131" s="7">
        <v>0.102798323116964</v>
      </c>
      <c r="P131" s="7">
        <v>0.288351103851666</v>
      </c>
      <c r="Q131" s="7">
        <v>0.360040192500925</v>
      </c>
      <c r="R131" s="6">
        <v>7.62554605174824</v>
      </c>
      <c r="S131" s="6">
        <v>8.25163096507434</v>
      </c>
      <c r="T131" s="6">
        <v>5.90009371151008</v>
      </c>
      <c r="U131" s="6">
        <v>2.00395238201416</v>
      </c>
    </row>
    <row r="132" ht="11.25" customHeight="1">
      <c r="A132" s="2" t="s">
        <v>160</v>
      </c>
      <c r="B132" s="5">
        <v>0.667800180334419</v>
      </c>
      <c r="C132" s="5">
        <v>0.780195748699211</v>
      </c>
      <c r="D132" s="5">
        <v>0.398276039313421</v>
      </c>
      <c r="E132" s="5">
        <v>0.0472215213814397</v>
      </c>
      <c r="F132" s="5">
        <v>0.281864363683899</v>
      </c>
      <c r="G132" s="5">
        <v>0.261101637573932</v>
      </c>
      <c r="H132" s="5">
        <v>0.327349949780318</v>
      </c>
      <c r="I132" s="5">
        <v>0.409015580289635</v>
      </c>
      <c r="J132" s="6">
        <v>2.28053015263503</v>
      </c>
      <c r="K132" s="6">
        <v>2.89234397653049</v>
      </c>
      <c r="L132" s="6">
        <v>1.14029661395678</v>
      </c>
      <c r="M132" s="6">
        <v>0.0543292785221142</v>
      </c>
      <c r="N132" s="7">
        <v>0.184237461617195</v>
      </c>
      <c r="O132" s="7">
        <v>0.143079205183634</v>
      </c>
      <c r="P132" s="7">
        <v>0.624745752704311</v>
      </c>
      <c r="Q132" s="7">
        <v>0.738704472106962</v>
      </c>
      <c r="R132" s="6">
        <v>5.3229386671735</v>
      </c>
      <c r="S132" s="6">
        <v>6.87487574838848</v>
      </c>
      <c r="T132" s="6">
        <v>2.15053854470634</v>
      </c>
      <c r="U132" s="6">
        <v>0.105910159475552</v>
      </c>
    </row>
    <row r="133" ht="11.25" customHeight="1">
      <c r="A133" s="2" t="s">
        <v>161</v>
      </c>
      <c r="B133" s="5">
        <v>0.491639536435961</v>
      </c>
      <c r="C133" s="5">
        <v>0.630996493355412</v>
      </c>
      <c r="D133" s="5">
        <v>0.394720449766641</v>
      </c>
      <c r="E133" s="5">
        <v>0.292972199932499</v>
      </c>
      <c r="F133" s="5">
        <v>0.145663258339725</v>
      </c>
      <c r="G133" s="5">
        <v>0.162778379593604</v>
      </c>
      <c r="H133" s="5">
        <v>0.166115668939137</v>
      </c>
      <c r="I133" s="5">
        <v>0.230252751003074</v>
      </c>
      <c r="J133" s="6">
        <v>3.20355003557337</v>
      </c>
      <c r="K133" s="6">
        <v>3.72283158775972</v>
      </c>
      <c r="L133" s="6">
        <v>2.22568076887498</v>
      </c>
      <c r="M133" s="6">
        <v>1.16381758204887</v>
      </c>
      <c r="N133" s="7">
        <v>0.0838472456146822</v>
      </c>
      <c r="O133" s="7">
        <v>0.0836362495919167</v>
      </c>
      <c r="P133" s="7">
        <v>0.152254902626402</v>
      </c>
      <c r="Q133" s="7">
        <v>0.222021922332667</v>
      </c>
      <c r="R133" s="6">
        <v>7.27157553834738</v>
      </c>
      <c r="S133" s="6">
        <v>9.22822753180368</v>
      </c>
      <c r="T133" s="6">
        <v>4.62342897803418</v>
      </c>
      <c r="U133" s="6">
        <v>2.31886076580032</v>
      </c>
    </row>
    <row r="134" ht="11.25" customHeight="1">
      <c r="A134" s="2" t="s">
        <v>162</v>
      </c>
      <c r="B134" s="5">
        <v>0.35983135092303</v>
      </c>
      <c r="C134" s="5">
        <v>0.431959365415405</v>
      </c>
      <c r="D134" s="5">
        <v>0.400493772184498</v>
      </c>
      <c r="E134" s="5">
        <v>0.0390792134609838</v>
      </c>
      <c r="F134" s="5">
        <v>0.182864078351739</v>
      </c>
      <c r="G134" s="5">
        <v>0.180954478541638</v>
      </c>
      <c r="H134" s="5">
        <v>0.181353431750951</v>
      </c>
      <c r="I134" s="5">
        <v>0.260132691717151</v>
      </c>
      <c r="J134" s="6">
        <v>1.83103950180407</v>
      </c>
      <c r="K134" s="6">
        <v>2.24895989695973</v>
      </c>
      <c r="L134" s="6">
        <v>2.07050822561856</v>
      </c>
      <c r="M134" s="6">
        <v>0.0541231990798471</v>
      </c>
      <c r="N134" s="7">
        <v>0.109656611648643</v>
      </c>
      <c r="O134" s="7">
        <v>0.0878970121047102</v>
      </c>
      <c r="P134" s="7">
        <v>0.213197184277154</v>
      </c>
      <c r="Q134" s="7">
        <v>0.522427831236121</v>
      </c>
      <c r="R134" s="6">
        <v>3.86884905897183</v>
      </c>
      <c r="S134" s="6">
        <v>5.26055381877945</v>
      </c>
      <c r="T134" s="6">
        <v>4.10605796136353</v>
      </c>
      <c r="U134" s="6">
        <v>0.101225594219565</v>
      </c>
    </row>
    <row r="135" ht="11.25" customHeight="1">
      <c r="A135" s="2" t="s">
        <v>163</v>
      </c>
      <c r="B135" s="5">
        <v>0.661065467920839</v>
      </c>
      <c r="C135" s="5">
        <v>0.889994263955759</v>
      </c>
      <c r="D135" s="5">
        <v>0.890680666923933</v>
      </c>
      <c r="E135" s="5">
        <v>0.413053806653907</v>
      </c>
      <c r="F135" s="5">
        <v>0.213665108856853</v>
      </c>
      <c r="G135" s="5">
        <v>0.209069952029872</v>
      </c>
      <c r="H135" s="5">
        <v>0.187649190142459</v>
      </c>
      <c r="I135" s="5">
        <v>0.300380418315617</v>
      </c>
      <c r="J135" s="6">
        <v>2.97692717039251</v>
      </c>
      <c r="K135" s="6">
        <v>4.1373437720604</v>
      </c>
      <c r="L135" s="6">
        <v>4.61329284856879</v>
      </c>
      <c r="M135" s="6">
        <v>1.29187451309216</v>
      </c>
      <c r="N135" s="7">
        <v>0.148291069459757</v>
      </c>
      <c r="O135" s="7">
        <v>0.148291069459757</v>
      </c>
      <c r="P135" s="7">
        <v>0.161411128323188</v>
      </c>
      <c r="Q135" s="7">
        <v>0.437511961722488</v>
      </c>
      <c r="R135" s="6">
        <v>6.7984875182336</v>
      </c>
      <c r="S135" s="6">
        <v>10.2077590968145</v>
      </c>
      <c r="T135" s="6">
        <v>11.4903736115428</v>
      </c>
      <c r="U135" s="6">
        <v>2.51922111604339</v>
      </c>
    </row>
    <row r="136" ht="11.25" customHeight="1">
      <c r="A136" s="2" t="s">
        <v>164</v>
      </c>
      <c r="B136" s="5">
        <v>0.754872346615007</v>
      </c>
      <c r="C136" s="5">
        <v>0.846483452875519</v>
      </c>
      <c r="D136" s="5">
        <v>0.588672391762142</v>
      </c>
      <c r="E136" s="5">
        <v>0.336998401627317</v>
      </c>
      <c r="F136" s="5">
        <v>0.225815657288133</v>
      </c>
      <c r="G136" s="5">
        <v>0.2410593106402</v>
      </c>
      <c r="H136" s="5">
        <v>0.263283929649846</v>
      </c>
      <c r="I136" s="5">
        <v>0.355520210632151</v>
      </c>
      <c r="J136" s="6">
        <v>3.23216005205394</v>
      </c>
      <c r="K136" s="6">
        <v>3.40780636389376</v>
      </c>
      <c r="L136" s="6">
        <v>2.14092972750671</v>
      </c>
      <c r="M136" s="6">
        <v>0.877582742968541</v>
      </c>
      <c r="N136" s="7">
        <v>0.160112391647909</v>
      </c>
      <c r="O136" s="7">
        <v>0.105101134584906</v>
      </c>
      <c r="P136" s="7">
        <v>0.411309523809523</v>
      </c>
      <c r="Q136" s="7">
        <v>0.44544129191432</v>
      </c>
      <c r="R136" s="6">
        <v>7.57024200881704</v>
      </c>
      <c r="S136" s="6">
        <v>8.1446843586229</v>
      </c>
      <c r="T136" s="6">
        <v>4.14566187871053</v>
      </c>
      <c r="U136" s="6">
        <v>1.67453630002175</v>
      </c>
    </row>
    <row r="137" ht="11.25" customHeight="1">
      <c r="A137" s="2" t="s">
        <v>165</v>
      </c>
      <c r="B137" s="5">
        <v>0.784216855154303</v>
      </c>
      <c r="C137" s="5">
        <v>0.984041193197114</v>
      </c>
      <c r="D137" s="5">
        <v>1.11461745596894</v>
      </c>
      <c r="E137" s="5">
        <v>0.395457203575818</v>
      </c>
      <c r="F137" s="5">
        <v>0.304928246065169</v>
      </c>
      <c r="G137" s="5">
        <v>0.30822236986088</v>
      </c>
      <c r="H137" s="5">
        <v>0.301068492060607</v>
      </c>
      <c r="I137" s="5">
        <v>0.428846773521422</v>
      </c>
      <c r="J137" s="6">
        <v>2.489821343058</v>
      </c>
      <c r="K137" s="6">
        <v>3.11152364972726</v>
      </c>
      <c r="L137" s="6">
        <v>3.61916801227275</v>
      </c>
      <c r="M137" s="6">
        <v>0.863845145747173</v>
      </c>
      <c r="N137" s="7">
        <v>0.22150042263055</v>
      </c>
      <c r="O137" s="7">
        <v>0.133587539585083</v>
      </c>
      <c r="P137" s="7">
        <v>0.319612286002014</v>
      </c>
      <c r="Q137" s="7">
        <v>0.388149635952798</v>
      </c>
      <c r="R137" s="6">
        <v>5.9839832775413</v>
      </c>
      <c r="S137" s="6">
        <v>7.84888830109669</v>
      </c>
      <c r="T137" s="6">
        <v>8.49786802583852</v>
      </c>
      <c r="U137" s="6">
        <v>1.79718573722545</v>
      </c>
    </row>
    <row r="138" ht="11.25" customHeight="1">
      <c r="A138" s="2" t="s">
        <v>166</v>
      </c>
      <c r="B138" s="5">
        <v>6.5731980499678</v>
      </c>
      <c r="C138" s="5">
        <v>7.73646394345313</v>
      </c>
      <c r="D138" s="5">
        <v>9.59623073866602</v>
      </c>
      <c r="E138" s="5">
        <v>2.85191858003871</v>
      </c>
      <c r="F138" s="5">
        <v>0.685614677481011</v>
      </c>
      <c r="G138" s="5">
        <v>0.700991362464407</v>
      </c>
      <c r="H138" s="5">
        <v>0.703950956878756</v>
      </c>
      <c r="I138" s="5">
        <v>0.868782372074995</v>
      </c>
      <c r="J138" s="6">
        <v>9.55084286413802</v>
      </c>
      <c r="K138" s="6">
        <v>11.0007973797889</v>
      </c>
      <c r="L138" s="6">
        <v>13.5964453846385</v>
      </c>
      <c r="M138" s="6">
        <v>3.25388574964627</v>
      </c>
      <c r="N138" s="7">
        <v>0.187624702607831</v>
      </c>
      <c r="O138" s="7">
        <v>0.250262884358103</v>
      </c>
      <c r="P138" s="7">
        <v>0.259071400702302</v>
      </c>
      <c r="Q138" s="7">
        <v>0.407530238002341</v>
      </c>
      <c r="R138" s="6">
        <v>22.5214013203353</v>
      </c>
      <c r="S138" s="6">
        <v>25.6506259432283</v>
      </c>
      <c r="T138" s="6">
        <v>31.8770451552979</v>
      </c>
      <c r="U138" s="6">
        <v>7.22763384890519</v>
      </c>
    </row>
    <row r="139" ht="11.25" customHeight="1">
      <c r="A139" s="2" t="s">
        <v>167</v>
      </c>
      <c r="B139" s="5">
        <v>2.61622550531197</v>
      </c>
      <c r="C139" s="5">
        <v>5.33662180860963</v>
      </c>
      <c r="D139" s="5">
        <v>4.63531622083977</v>
      </c>
      <c r="E139" s="5">
        <v>1.74950133081946</v>
      </c>
      <c r="F139" s="5">
        <v>0.622307700228273</v>
      </c>
      <c r="G139" s="5">
        <v>0.586106743787815</v>
      </c>
      <c r="H139" s="5">
        <v>0.501276799421946</v>
      </c>
      <c r="I139" s="5">
        <v>0.792411521698111</v>
      </c>
      <c r="J139" s="6">
        <v>4.16389754515566</v>
      </c>
      <c r="K139" s="6">
        <v>9.06255023493223</v>
      </c>
      <c r="L139" s="6">
        <v>9.1971466187069</v>
      </c>
      <c r="M139" s="6">
        <v>2.17626988452151</v>
      </c>
      <c r="N139" s="7">
        <v>0.47261964994636</v>
      </c>
      <c r="O139" s="7">
        <v>0.203315203315203</v>
      </c>
      <c r="P139" s="7">
        <v>0.164303225496322</v>
      </c>
      <c r="Q139" s="7">
        <v>0.668740592072253</v>
      </c>
      <c r="R139" s="6">
        <v>9.48125684976107</v>
      </c>
      <c r="S139" s="6">
        <v>24.0061173064112</v>
      </c>
      <c r="T139" s="6">
        <v>23.9435206326323</v>
      </c>
      <c r="U139" s="6">
        <v>4.79723078100148</v>
      </c>
    </row>
    <row r="140" ht="11.25" customHeight="1">
      <c r="A140" s="2" t="s">
        <v>168</v>
      </c>
      <c r="B140" s="5">
        <v>0.547729738100008</v>
      </c>
      <c r="C140" s="5">
        <v>0.709885538469141</v>
      </c>
      <c r="D140" s="5">
        <v>0.813648749690127</v>
      </c>
      <c r="E140" s="5">
        <v>0.10667706591328</v>
      </c>
      <c r="F140" s="5">
        <v>0.202835086645647</v>
      </c>
      <c r="G140" s="5">
        <v>0.208817666526472</v>
      </c>
      <c r="H140" s="5">
        <v>0.207809487669266</v>
      </c>
      <c r="I140" s="5">
        <v>0.320128989790382</v>
      </c>
      <c r="J140" s="6">
        <v>2.5771169413762</v>
      </c>
      <c r="K140" s="6">
        <v>3.27982564819206</v>
      </c>
      <c r="L140" s="6">
        <v>3.79505651322946</v>
      </c>
      <c r="M140" s="6">
        <v>0.255137986618338</v>
      </c>
      <c r="N140" s="7">
        <v>0.125934034405357</v>
      </c>
      <c r="O140" s="7">
        <v>0.0699326851159312</v>
      </c>
      <c r="P140" s="7">
        <v>0.149027673896783</v>
      </c>
      <c r="Q140" s="7">
        <v>0.501994922016684</v>
      </c>
      <c r="R140" s="6">
        <v>5.64405944160157</v>
      </c>
      <c r="S140" s="6">
        <v>8.07164460845974</v>
      </c>
      <c r="T140" s="6">
        <v>9.64141118743032</v>
      </c>
      <c r="U140" s="6">
        <v>0.473580067304636</v>
      </c>
    </row>
    <row r="141" ht="11.25" customHeight="1">
      <c r="A141" s="2" t="s">
        <v>169</v>
      </c>
      <c r="B141" s="5">
        <v>0.721670153375995</v>
      </c>
      <c r="C141" s="5">
        <v>0.964851716083078</v>
      </c>
      <c r="D141" s="5">
        <v>0.719560992532492</v>
      </c>
      <c r="E141" s="5">
        <v>0.460802077412748</v>
      </c>
      <c r="F141" s="5">
        <v>0.255597096807577</v>
      </c>
      <c r="G141" s="5">
        <v>0.261803504448108</v>
      </c>
      <c r="H141" s="5">
        <v>0.257116766433461</v>
      </c>
      <c r="I141" s="5">
        <v>0.358937752429183</v>
      </c>
      <c r="J141" s="6">
        <v>2.72565753710603</v>
      </c>
      <c r="K141" s="6">
        <v>3.5899126639436</v>
      </c>
      <c r="L141" s="6">
        <v>2.70134461539378</v>
      </c>
      <c r="M141" s="6">
        <v>1.21414388557171</v>
      </c>
      <c r="N141" s="7">
        <v>0.152298182080199</v>
      </c>
      <c r="O141" s="7">
        <v>0.116964327082474</v>
      </c>
      <c r="P141" s="7">
        <v>0.287931972789115</v>
      </c>
      <c r="Q141" s="7">
        <v>0.35886875343218</v>
      </c>
      <c r="R141" s="6">
        <v>6.28713268409172</v>
      </c>
      <c r="S141" s="6">
        <v>9.02480548371999</v>
      </c>
      <c r="T141" s="6">
        <v>5.74636640079521</v>
      </c>
      <c r="U141" s="6">
        <v>2.53485846258901</v>
      </c>
    </row>
    <row r="142" ht="11.25" customHeight="1">
      <c r="A142" s="2" t="s">
        <v>170</v>
      </c>
      <c r="B142" s="5">
        <v>0.584664644752414</v>
      </c>
      <c r="C142" s="5">
        <v>0.797623466820367</v>
      </c>
      <c r="D142" s="5">
        <v>0.634206972254906</v>
      </c>
      <c r="E142" s="5">
        <v>0.257231314026582</v>
      </c>
      <c r="F142" s="5">
        <v>0.23812287970372</v>
      </c>
      <c r="G142" s="5">
        <v>0.230917919686044</v>
      </c>
      <c r="H142" s="5">
        <v>0.204105572320939</v>
      </c>
      <c r="I142" s="5">
        <v>0.344002370267943</v>
      </c>
      <c r="J142" s="6">
        <v>2.35031864829102</v>
      </c>
      <c r="K142" s="6">
        <v>3.3458792105473</v>
      </c>
      <c r="L142" s="6">
        <v>2.98476403817617</v>
      </c>
      <c r="M142" s="6">
        <v>0.675086377590064</v>
      </c>
      <c r="N142" s="7">
        <v>0.174585635559879</v>
      </c>
      <c r="O142" s="7">
        <v>0.115442064508888</v>
      </c>
      <c r="P142" s="7">
        <v>0.190320553111251</v>
      </c>
      <c r="Q142" s="7">
        <v>0.420469533104722</v>
      </c>
      <c r="R142" s="6">
        <v>5.33507786071775</v>
      </c>
      <c r="S142" s="6">
        <v>8.12146107847901</v>
      </c>
      <c r="T142" s="6">
        <v>6.37248339972624</v>
      </c>
      <c r="U142" s="6">
        <v>1.35100078094167</v>
      </c>
    </row>
    <row r="143" ht="11.25" customHeight="1">
      <c r="A143" s="2" t="s">
        <v>171</v>
      </c>
      <c r="B143" s="5">
        <v>0.629667166348549</v>
      </c>
      <c r="C143" s="5">
        <v>0.786717753192236</v>
      </c>
      <c r="D143" s="5">
        <v>0.657149795832677</v>
      </c>
      <c r="E143" s="5">
        <v>0.399995877910681</v>
      </c>
      <c r="F143" s="5">
        <v>0.198956500335505</v>
      </c>
      <c r="G143" s="5">
        <v>0.214841960168528</v>
      </c>
      <c r="H143" s="5">
        <v>0.179313476778471</v>
      </c>
      <c r="I143" s="5">
        <v>0.302936313343019</v>
      </c>
      <c r="J143" s="6">
        <v>3.03919281515749</v>
      </c>
      <c r="K143" s="6">
        <v>3.54547944263179</v>
      </c>
      <c r="L143" s="6">
        <v>3.525389207715</v>
      </c>
      <c r="M143" s="6">
        <v>1.23787034235828</v>
      </c>
      <c r="N143" s="7">
        <v>0.136306559861441</v>
      </c>
      <c r="O143" s="7">
        <v>0.109136176661615</v>
      </c>
      <c r="P143" s="7">
        <v>0.117069811483171</v>
      </c>
      <c r="Q143" s="7">
        <v>0.483796752777229</v>
      </c>
      <c r="R143" s="6">
        <v>7.35595369974416</v>
      </c>
      <c r="S143" s="6">
        <v>8.87219634761113</v>
      </c>
      <c r="T143" s="6">
        <v>8.21060778234472</v>
      </c>
      <c r="U143" s="6">
        <v>2.43342564130458</v>
      </c>
    </row>
    <row r="144" ht="11.25" customHeight="1">
      <c r="A144" s="2" t="s">
        <v>172</v>
      </c>
      <c r="B144" s="5">
        <v>1.27894287105049</v>
      </c>
      <c r="C144" s="5">
        <v>1.31418287745006</v>
      </c>
      <c r="D144" s="5">
        <v>1.06893257976789</v>
      </c>
      <c r="E144" s="5">
        <v>0.423210016570202</v>
      </c>
      <c r="F144" s="5">
        <v>0.271334926376622</v>
      </c>
      <c r="G144" s="5">
        <v>0.284839733999926</v>
      </c>
      <c r="H144" s="5">
        <v>0.320880696498432</v>
      </c>
      <c r="I144" s="5">
        <v>0.42451290111357</v>
      </c>
      <c r="J144" s="6">
        <v>4.62138393975118</v>
      </c>
      <c r="K144" s="6">
        <v>4.52599382588385</v>
      </c>
      <c r="L144" s="6">
        <v>3.25333555791815</v>
      </c>
      <c r="M144" s="6">
        <v>0.938039846434887</v>
      </c>
      <c r="N144" s="7">
        <v>0.110375880598272</v>
      </c>
      <c r="O144" s="7">
        <v>0.107531116842341</v>
      </c>
      <c r="P144" s="7">
        <v>0.428127389767187</v>
      </c>
      <c r="Q144" s="7">
        <v>0.413026211278792</v>
      </c>
      <c r="R144" s="6">
        <v>11.6009715515382</v>
      </c>
      <c r="S144" s="6">
        <v>11.2677334895239</v>
      </c>
      <c r="T144" s="6">
        <v>6.54898195176712</v>
      </c>
      <c r="U144" s="6">
        <v>1.82677642563415</v>
      </c>
    </row>
    <row r="145" ht="11.25" customHeight="1">
      <c r="A145" s="2" t="s">
        <v>173</v>
      </c>
      <c r="B145" s="5">
        <v>0.502748799834811</v>
      </c>
      <c r="C145" s="5">
        <v>0.676725074680896</v>
      </c>
      <c r="D145" s="5">
        <v>0.489664687147195</v>
      </c>
      <c r="E145" s="5">
        <v>0.14472552687201</v>
      </c>
      <c r="F145" s="5">
        <v>0.223528961818296</v>
      </c>
      <c r="G145" s="5">
        <v>0.225825749865721</v>
      </c>
      <c r="H145" s="5">
        <v>0.253301080767515</v>
      </c>
      <c r="I145" s="5">
        <v>0.3575965931744</v>
      </c>
      <c r="J145" s="6">
        <v>2.13730156463199</v>
      </c>
      <c r="K145" s="6">
        <v>2.88596439984554</v>
      </c>
      <c r="L145" s="6">
        <v>1.83443625956603</v>
      </c>
      <c r="M145" s="6">
        <v>0.3348061171646</v>
      </c>
      <c r="N145" s="7">
        <v>0.158541532847225</v>
      </c>
      <c r="O145" s="7">
        <v>0.100283952889951</v>
      </c>
      <c r="P145" s="7">
        <v>0.254674696419122</v>
      </c>
      <c r="Q145" s="7">
        <v>0.509489567370033</v>
      </c>
      <c r="R145" s="6">
        <v>4.78065407358837</v>
      </c>
      <c r="S145" s="6">
        <v>6.97089080240929</v>
      </c>
      <c r="T145" s="6">
        <v>3.39214972608093</v>
      </c>
      <c r="U145" s="6">
        <v>0.629365651088696</v>
      </c>
    </row>
    <row r="146" ht="11.25" customHeight="1">
      <c r="A146" s="2" t="s">
        <v>174</v>
      </c>
      <c r="B146" s="5">
        <v>0.678364273171222</v>
      </c>
      <c r="C146" s="5">
        <v>0.879241114137492</v>
      </c>
      <c r="D146" s="5">
        <v>1.84738317564739</v>
      </c>
      <c r="E146" s="5">
        <v>0.294887696609391</v>
      </c>
      <c r="F146" s="5">
        <v>0.339958119193946</v>
      </c>
      <c r="G146" s="5">
        <v>0.337596467446447</v>
      </c>
      <c r="H146" s="5">
        <v>0.273892519081706</v>
      </c>
      <c r="I146" s="5">
        <v>0.511392774866956</v>
      </c>
      <c r="J146" s="6">
        <v>1.92189636394146</v>
      </c>
      <c r="K146" s="6">
        <v>2.53036153073195</v>
      </c>
      <c r="L146" s="6">
        <v>6.65364348671292</v>
      </c>
      <c r="M146" s="6">
        <v>0.527750312232325</v>
      </c>
      <c r="N146" s="7">
        <v>0.138541666666666</v>
      </c>
      <c r="O146" s="7">
        <v>0.138541666666666</v>
      </c>
      <c r="P146" s="7">
        <v>0.0901610416277413</v>
      </c>
      <c r="Q146" s="7">
        <v>0.345947650583412</v>
      </c>
      <c r="R146" s="6">
        <v>3.90911591334413</v>
      </c>
      <c r="S146" s="6">
        <v>5.25137230591536</v>
      </c>
      <c r="T146" s="6">
        <v>17.030914753876</v>
      </c>
      <c r="U146" s="6">
        <v>1.01726107852743</v>
      </c>
    </row>
    <row r="147" ht="11.25" customHeight="1">
      <c r="A147" s="2" t="s">
        <v>175</v>
      </c>
      <c r="B147" s="5">
        <v>0.651163439658821</v>
      </c>
      <c r="C147" s="5">
        <v>0.741465110774253</v>
      </c>
      <c r="D147" s="5">
        <v>0.496792813271032</v>
      </c>
      <c r="E147" s="5">
        <v>0.164583059826353</v>
      </c>
      <c r="F147" s="5">
        <v>0.267548549686487</v>
      </c>
      <c r="G147" s="5">
        <v>0.272886030825409</v>
      </c>
      <c r="H147" s="5">
        <v>0.224064238603782</v>
      </c>
      <c r="I147" s="5">
        <v>0.373885297871519</v>
      </c>
      <c r="J147" s="6">
        <v>2.34037314122075</v>
      </c>
      <c r="K147" s="6">
        <v>2.62551039570304</v>
      </c>
      <c r="L147" s="6">
        <v>2.10561406947814</v>
      </c>
      <c r="M147" s="6">
        <v>0.373331234528294</v>
      </c>
      <c r="N147" s="7">
        <v>0.176326214819923</v>
      </c>
      <c r="O147" s="7">
        <v>0.134520241231834</v>
      </c>
      <c r="P147" s="7">
        <v>0.197848144749473</v>
      </c>
      <c r="Q147" s="7">
        <v>0.425815670739048</v>
      </c>
      <c r="R147" s="6">
        <v>5.25676422793466</v>
      </c>
      <c r="S147" s="6">
        <v>6.44726997329039</v>
      </c>
      <c r="T147" s="6">
        <v>4.43157195926118</v>
      </c>
      <c r="U147" s="6">
        <v>0.739599629910358</v>
      </c>
    </row>
    <row r="148" ht="11.25" customHeight="1">
      <c r="A148" s="2" t="s">
        <v>176</v>
      </c>
      <c r="B148" s="5">
        <v>0.450038793288507</v>
      </c>
      <c r="C148" s="5">
        <v>0.627812869337305</v>
      </c>
      <c r="D148" s="5">
        <v>0.60134958268577</v>
      </c>
      <c r="E148" s="5">
        <v>0.119806226246781</v>
      </c>
      <c r="F148" s="5">
        <v>0.187801190249849</v>
      </c>
      <c r="G148" s="5">
        <v>0.186883282238398</v>
      </c>
      <c r="H148" s="5">
        <v>0.181080609808772</v>
      </c>
      <c r="I148" s="5">
        <v>0.285911727483182</v>
      </c>
      <c r="J148" s="6">
        <v>2.26323801634611</v>
      </c>
      <c r="K148" s="6">
        <v>3.22561152670854</v>
      </c>
      <c r="L148" s="6">
        <v>3.18283433711878</v>
      </c>
      <c r="M148" s="6">
        <v>0.331592646028688</v>
      </c>
      <c r="N148" s="7">
        <v>0.190317056475276</v>
      </c>
      <c r="O148" s="7">
        <v>0.0863509064066758</v>
      </c>
      <c r="P148" s="7">
        <v>0.217808219178082</v>
      </c>
      <c r="Q148" s="7">
        <v>0.540502423975319</v>
      </c>
      <c r="R148" s="6">
        <v>4.63603513697261</v>
      </c>
      <c r="S148" s="6">
        <v>7.66836741845688</v>
      </c>
      <c r="T148" s="6">
        <v>6.97585716948621</v>
      </c>
      <c r="U148" s="6">
        <v>0.632043335166843</v>
      </c>
    </row>
    <row r="149" ht="11.25" customHeight="1">
      <c r="A149" s="2" t="s">
        <v>177</v>
      </c>
      <c r="B149" s="5">
        <v>0.457213313922737</v>
      </c>
      <c r="C149" s="5">
        <v>0.567415357173162</v>
      </c>
      <c r="D149" s="5">
        <v>0.583751165432049</v>
      </c>
      <c r="E149" s="5">
        <v>0.0369003314280331</v>
      </c>
      <c r="F149" s="5">
        <v>0.226062445870376</v>
      </c>
      <c r="G149" s="5">
        <v>0.216506598929913</v>
      </c>
      <c r="H149" s="5">
        <v>0.204592468458311</v>
      </c>
      <c r="I149" s="5">
        <v>0.326401669463412</v>
      </c>
      <c r="J149" s="6">
        <v>1.91192001067955</v>
      </c>
      <c r="K149" s="6">
        <v>2.50530635026395</v>
      </c>
      <c r="L149" s="6">
        <v>2.73104464520356</v>
      </c>
      <c r="M149" s="6">
        <v>0.0364591622573399</v>
      </c>
      <c r="N149" s="7">
        <v>0.223587500698131</v>
      </c>
      <c r="O149" s="7">
        <v>0.102382822728462</v>
      </c>
      <c r="P149" s="7">
        <v>0.254810521628236</v>
      </c>
      <c r="Q149" s="7">
        <v>0.597923618835742</v>
      </c>
      <c r="R149" s="6">
        <v>4.3254668429801</v>
      </c>
      <c r="S149" s="6">
        <v>5.5804298939889</v>
      </c>
      <c r="T149" s="6">
        <v>6.06734325945513</v>
      </c>
      <c r="U149" s="6">
        <v>0.0689140293057272</v>
      </c>
    </row>
    <row r="150" ht="11.25" customHeight="1">
      <c r="A150" s="2" t="s">
        <v>178</v>
      </c>
      <c r="B150" s="5">
        <v>1.99602361346838</v>
      </c>
      <c r="C150" s="5">
        <v>2.06601147120961</v>
      </c>
      <c r="D150" s="5">
        <v>1.51162267483355</v>
      </c>
      <c r="E150" s="5">
        <v>0.909079612649133</v>
      </c>
      <c r="F150" s="5">
        <v>0.483725253480588</v>
      </c>
      <c r="G150" s="5">
        <v>0.458740117419061</v>
      </c>
      <c r="H150" s="5">
        <v>0.454739347746317</v>
      </c>
      <c r="I150" s="5">
        <v>0.739481206103281</v>
      </c>
      <c r="J150" s="6">
        <v>4.07467586049334</v>
      </c>
      <c r="K150" s="6">
        <v>4.44916717267423</v>
      </c>
      <c r="L150" s="6">
        <v>3.26917536870569</v>
      </c>
      <c r="M150" s="6">
        <v>1.19554034010927</v>
      </c>
      <c r="N150" s="7">
        <v>0.394877903513996</v>
      </c>
      <c r="O150" s="7">
        <v>0.211653857733551</v>
      </c>
      <c r="P150" s="7">
        <v>0.394877903513996</v>
      </c>
      <c r="Q150" s="7">
        <v>0.897797610479343</v>
      </c>
      <c r="R150" s="6">
        <v>9.91782291583098</v>
      </c>
      <c r="S150" s="6">
        <v>10.8601266358552</v>
      </c>
      <c r="T150" s="6">
        <v>7.28213609307852</v>
      </c>
      <c r="U150" s="6">
        <v>2.33739945876166</v>
      </c>
    </row>
    <row r="151" ht="11.25" customHeight="1">
      <c r="A151" s="2" t="s">
        <v>179</v>
      </c>
      <c r="B151" s="5">
        <v>0.281173158754371</v>
      </c>
      <c r="C151" s="5">
        <v>0.341491606392154</v>
      </c>
      <c r="D151" s="5">
        <v>0.332770572079694</v>
      </c>
      <c r="E151" s="5">
        <v>0.086971208829943</v>
      </c>
      <c r="F151" s="5">
        <v>0.144393229498909</v>
      </c>
      <c r="G151" s="5">
        <v>0.158233490290309</v>
      </c>
      <c r="H151" s="5">
        <v>0.193214556134457</v>
      </c>
      <c r="I151" s="5">
        <v>0.242767299461313</v>
      </c>
      <c r="J151" s="6">
        <v>1.77413553006171</v>
      </c>
      <c r="K151" s="6">
        <v>2.00015562957936</v>
      </c>
      <c r="L151" s="6">
        <v>1.59289537101706</v>
      </c>
      <c r="M151" s="6">
        <v>0.255270001221142</v>
      </c>
      <c r="N151" s="7">
        <v>0.101073174192765</v>
      </c>
      <c r="O151" s="7">
        <v>0.0945189428459837</v>
      </c>
      <c r="P151" s="7">
        <v>0.332921487139166</v>
      </c>
      <c r="Q151" s="7">
        <v>0.338641425389754</v>
      </c>
      <c r="R151" s="6">
        <v>3.52008425817011</v>
      </c>
      <c r="S151" s="6">
        <v>4.197452232048</v>
      </c>
      <c r="T151" s="6">
        <v>2.95961154652769</v>
      </c>
      <c r="U151" s="6">
        <v>0.476906307362694</v>
      </c>
    </row>
    <row r="152" ht="11.25" customHeight="1">
      <c r="A152" s="2" t="s">
        <v>180</v>
      </c>
      <c r="B152" s="5">
        <v>0.917137166548063</v>
      </c>
      <c r="C152" s="5">
        <v>0.929346242321498</v>
      </c>
      <c r="D152" s="5">
        <v>1.23212714917466</v>
      </c>
      <c r="E152" s="5">
        <v>0.147982879615118</v>
      </c>
      <c r="F152" s="5">
        <v>0.343121218696974</v>
      </c>
      <c r="G152" s="5">
        <v>0.325746274083258</v>
      </c>
      <c r="H152" s="5">
        <v>0.30673148379061</v>
      </c>
      <c r="I152" s="5">
        <v>0.490682248538962</v>
      </c>
      <c r="J152" s="6">
        <v>2.6000641112666</v>
      </c>
      <c r="K152" s="6">
        <v>2.77622896798</v>
      </c>
      <c r="L152" s="6">
        <v>3.93545238414036</v>
      </c>
      <c r="M152" s="6">
        <v>0.250636496391111</v>
      </c>
      <c r="N152" s="7">
        <v>0.38769716088328</v>
      </c>
      <c r="O152" s="7">
        <v>0.351053947826563</v>
      </c>
      <c r="P152" s="7">
        <v>0.221466364323506</v>
      </c>
      <c r="Q152" s="7">
        <v>0.696168461051298</v>
      </c>
      <c r="R152" s="6">
        <v>5.7055400128591</v>
      </c>
      <c r="S152" s="6">
        <v>6.19990572799204</v>
      </c>
      <c r="T152" s="6">
        <v>9.53741972800289</v>
      </c>
      <c r="U152" s="6">
        <v>0.49150563571351</v>
      </c>
    </row>
    <row r="153" ht="11.25" customHeight="1">
      <c r="A153" s="2" t="s">
        <v>181</v>
      </c>
      <c r="B153" s="5">
        <v>0.751001074683366</v>
      </c>
      <c r="C153" s="5">
        <v>0.940855743756854</v>
      </c>
      <c r="D153" s="5">
        <v>0.873560253474203</v>
      </c>
      <c r="E153" s="5">
        <v>0.299266045958333</v>
      </c>
      <c r="F153" s="5">
        <v>0.291840038941742</v>
      </c>
      <c r="G153" s="5">
        <v>0.30588972880699</v>
      </c>
      <c r="H153" s="5">
        <v>0.274643140641189</v>
      </c>
      <c r="I153" s="5">
        <v>0.435145487568805</v>
      </c>
      <c r="J153" s="6">
        <v>2.4876678241819</v>
      </c>
      <c r="K153" s="6">
        <v>2.99407158039863</v>
      </c>
      <c r="L153" s="6">
        <v>3.0896830392091</v>
      </c>
      <c r="M153" s="6">
        <v>0.630285855635734</v>
      </c>
      <c r="N153" s="7">
        <v>0.174834976554683</v>
      </c>
      <c r="O153" s="7">
        <v>0.183943322199122</v>
      </c>
      <c r="P153" s="7">
        <v>0.237199582027168</v>
      </c>
      <c r="Q153" s="7">
        <v>0.667785234899329</v>
      </c>
      <c r="R153" s="6">
        <v>5.78376784386024</v>
      </c>
      <c r="S153" s="6">
        <v>7.28863530124944</v>
      </c>
      <c r="T153" s="6">
        <v>7.45906657359885</v>
      </c>
      <c r="U153" s="6">
        <v>1.26586568786527</v>
      </c>
    </row>
    <row r="154" ht="11.25" customHeight="1">
      <c r="A154" s="2" t="s">
        <v>182</v>
      </c>
      <c r="B154" s="5">
        <v>0.561808275061921</v>
      </c>
      <c r="C154" s="5">
        <v>1.31307436269717</v>
      </c>
      <c r="D154" s="5">
        <v>1.18975441214276</v>
      </c>
      <c r="E154" s="5">
        <v>0.0300940060017356</v>
      </c>
      <c r="F154" s="5">
        <v>0.396895333745314</v>
      </c>
      <c r="G154" s="5">
        <v>0.424588196401571</v>
      </c>
      <c r="H154" s="5">
        <v>0.396367980284059</v>
      </c>
      <c r="I154" s="5">
        <v>0.545968889609795</v>
      </c>
      <c r="J154" s="6">
        <v>1.35251848389426</v>
      </c>
      <c r="K154" s="6">
        <v>3.03370271150666</v>
      </c>
      <c r="L154" s="6">
        <v>2.93856837605306</v>
      </c>
      <c r="M154" s="6">
        <v>0.00933021294560631</v>
      </c>
      <c r="N154" s="7">
        <v>0.345825672957194</v>
      </c>
      <c r="O154" s="7">
        <v>0.139164412383528</v>
      </c>
      <c r="P154" s="7">
        <v>0.264766445039554</v>
      </c>
      <c r="Q154" s="7">
        <v>0.62642857142857</v>
      </c>
      <c r="R154" s="6">
        <v>2.7194790482573</v>
      </c>
      <c r="S154" s="6">
        <v>6.85060654614072</v>
      </c>
      <c r="T154" s="6">
        <v>6.3608755345965</v>
      </c>
      <c r="U154" s="6">
        <v>0.0188834109030496</v>
      </c>
    </row>
    <row r="155" ht="11.25" customHeight="1">
      <c r="A155" s="2" t="s">
        <v>183</v>
      </c>
      <c r="B155" s="5">
        <v>0.611274136626876</v>
      </c>
      <c r="C155" s="5">
        <v>0.744638454922262</v>
      </c>
      <c r="D155" s="5">
        <v>0.269196642050687</v>
      </c>
      <c r="E155" s="5">
        <v>-0.0660029800074371</v>
      </c>
      <c r="F155" s="5">
        <v>0.324339076767629</v>
      </c>
      <c r="G155" s="5">
        <v>0.274135206397195</v>
      </c>
      <c r="H155" s="5">
        <v>0.353676963372609</v>
      </c>
      <c r="I155" s="5">
        <v>0.437356923713658</v>
      </c>
      <c r="J155" s="6">
        <v>1.80759636633889</v>
      </c>
      <c r="K155" s="6">
        <v>2.62512234156299</v>
      </c>
      <c r="L155" s="6">
        <v>0.690451082032784</v>
      </c>
      <c r="M155" s="6">
        <v>-0.208074858481073</v>
      </c>
      <c r="N155" s="7">
        <v>0.351524094641447</v>
      </c>
      <c r="O155" s="7">
        <v>0.12775870524767</v>
      </c>
      <c r="P155" s="7">
        <v>0.572386189420583</v>
      </c>
      <c r="Q155" s="7">
        <v>0.74030406142183</v>
      </c>
      <c r="R155" s="6">
        <v>3.79560984491407</v>
      </c>
      <c r="S155" s="6">
        <v>6.07436298554816</v>
      </c>
      <c r="T155" s="6">
        <v>1.3401630327091</v>
      </c>
      <c r="U155" s="6">
        <v>-0.410810745616493</v>
      </c>
    </row>
    <row r="156" ht="11.25" customHeight="1">
      <c r="A156" s="2" t="s">
        <v>184</v>
      </c>
      <c r="B156" s="5">
        <v>2.45342760838268</v>
      </c>
      <c r="C156" s="5">
        <v>3.43634653394651</v>
      </c>
      <c r="D156" s="5">
        <v>2.20958960307657</v>
      </c>
      <c r="E156" s="5">
        <v>0.286392435243759</v>
      </c>
      <c r="F156" s="5">
        <v>0.695001738852422</v>
      </c>
      <c r="G156" s="5">
        <v>0.677310563593084</v>
      </c>
      <c r="H156" s="5">
        <v>0.726544511058116</v>
      </c>
      <c r="I156" s="5">
        <v>0.880629356060211</v>
      </c>
      <c r="J156" s="6">
        <v>3.4941317015875</v>
      </c>
      <c r="K156" s="6">
        <v>5.0366061262201</v>
      </c>
      <c r="L156" s="6">
        <v>3.00682142639135</v>
      </c>
      <c r="M156" s="6">
        <v>0.296824576020479</v>
      </c>
      <c r="N156" s="7">
        <v>0.354998846443959</v>
      </c>
      <c r="O156" s="7">
        <v>0.193427752743704</v>
      </c>
      <c r="P156" s="7">
        <v>0.690098174234266</v>
      </c>
      <c r="Q156" s="7">
        <v>0.951773490976975</v>
      </c>
      <c r="R156" s="6">
        <v>10.0391364078193</v>
      </c>
      <c r="S156" s="6">
        <v>16.4745439658008</v>
      </c>
      <c r="T156" s="6">
        <v>7.85228770856976</v>
      </c>
      <c r="U156" s="6">
        <v>0.686667858943149</v>
      </c>
    </row>
    <row r="157" ht="11.25" customHeight="1">
      <c r="A157" s="2" t="s">
        <v>185</v>
      </c>
      <c r="B157" s="5">
        <v>2.67822032620763</v>
      </c>
      <c r="C157" s="5">
        <v>2.72859398320969</v>
      </c>
      <c r="D157" s="5">
        <v>2.8422643374121</v>
      </c>
      <c r="E157" s="5">
        <v>1.24240612465299</v>
      </c>
      <c r="F157" s="5">
        <v>0.547328615916408</v>
      </c>
      <c r="G157" s="5">
        <v>0.549636781320438</v>
      </c>
      <c r="H157" s="5">
        <v>0.569838389863869</v>
      </c>
      <c r="I157" s="5">
        <v>0.759248947610513</v>
      </c>
      <c r="J157" s="6">
        <v>4.84758196273963</v>
      </c>
      <c r="K157" s="6">
        <v>4.91887383649002</v>
      </c>
      <c r="L157" s="6">
        <v>4.94397075999939</v>
      </c>
      <c r="M157" s="6">
        <v>1.60343472122599</v>
      </c>
      <c r="N157" s="7">
        <v>0.238250475414289</v>
      </c>
      <c r="O157" s="7">
        <v>0.174283493197918</v>
      </c>
      <c r="P157" s="7">
        <v>0.387737843551796</v>
      </c>
      <c r="Q157" s="7">
        <v>0.420915816836632</v>
      </c>
      <c r="R157" s="6">
        <v>11.6722703042199</v>
      </c>
      <c r="S157" s="6">
        <v>11.8654884469862</v>
      </c>
      <c r="T157" s="6">
        <v>10.8722790956016</v>
      </c>
      <c r="U157" s="6">
        <v>3.45545032545793</v>
      </c>
    </row>
    <row r="158" ht="11.25" customHeight="1">
      <c r="A158" s="2" t="s">
        <v>186</v>
      </c>
      <c r="B158" s="5">
        <v>0.534328115781035</v>
      </c>
      <c r="C158" s="5">
        <v>0.813122812905599</v>
      </c>
      <c r="D158" s="5">
        <v>0.602493655075274</v>
      </c>
      <c r="E158" s="5">
        <v>0.256087440636445</v>
      </c>
      <c r="F158" s="5">
        <v>0.223286678327304</v>
      </c>
      <c r="G158" s="5">
        <v>0.234704519591728</v>
      </c>
      <c r="H158" s="5">
        <v>0.22539038223551</v>
      </c>
      <c r="I158" s="5">
        <v>0.33178272231497</v>
      </c>
      <c r="J158" s="6">
        <v>2.28105017100231</v>
      </c>
      <c r="K158" s="6">
        <v>3.35793624373552</v>
      </c>
      <c r="L158" s="6">
        <v>2.56219297978673</v>
      </c>
      <c r="M158" s="6">
        <v>0.69650233449187</v>
      </c>
      <c r="N158" s="7">
        <v>0.136374493856998</v>
      </c>
      <c r="O158" s="7">
        <v>0.114601076514274</v>
      </c>
      <c r="P158" s="7">
        <v>0.236624059977288</v>
      </c>
      <c r="Q158" s="7">
        <v>0.381813125695216</v>
      </c>
      <c r="R158" s="6">
        <v>5.01509891710033</v>
      </c>
      <c r="S158" s="6">
        <v>8.15473421878748</v>
      </c>
      <c r="T158" s="6">
        <v>5.68310345674122</v>
      </c>
      <c r="U158" s="6">
        <v>1.39129662511639</v>
      </c>
    </row>
    <row r="159" ht="11.25" customHeight="1">
      <c r="A159" s="2" t="s">
        <v>187</v>
      </c>
      <c r="B159" s="5">
        <v>1.16659007235054</v>
      </c>
      <c r="C159" s="5">
        <v>1.45910050524944</v>
      </c>
      <c r="D159" s="5">
        <v>1.0603529421727</v>
      </c>
      <c r="E159" s="5">
        <v>0.490096473826983</v>
      </c>
      <c r="F159" s="5">
        <v>0.279937392066562</v>
      </c>
      <c r="G159" s="5">
        <v>0.29864945343893</v>
      </c>
      <c r="H159" s="5">
        <v>0.25850729855077</v>
      </c>
      <c r="I159" s="5">
        <v>0.423954410410185</v>
      </c>
      <c r="J159" s="6">
        <v>4.07801924538579</v>
      </c>
      <c r="K159" s="6">
        <v>4.80195255251888</v>
      </c>
      <c r="L159" s="6">
        <v>4.00512073731398</v>
      </c>
      <c r="M159" s="6">
        <v>1.09704360281803</v>
      </c>
      <c r="N159" s="7">
        <v>0.143394452280206</v>
      </c>
      <c r="O159" s="7">
        <v>0.143394452280206</v>
      </c>
      <c r="P159" s="7">
        <v>0.143394452280206</v>
      </c>
      <c r="Q159" s="7">
        <v>0.586389684813753</v>
      </c>
      <c r="R159" s="6">
        <v>9.48822232920027</v>
      </c>
      <c r="S159" s="6">
        <v>11.8949848614039</v>
      </c>
      <c r="T159" s="6">
        <v>9.56911521851576</v>
      </c>
      <c r="U159" s="6">
        <v>2.02046585570563</v>
      </c>
    </row>
    <row r="160" ht="11.25" customHeight="1">
      <c r="A160" s="2" t="s">
        <v>188</v>
      </c>
      <c r="B160" s="5">
        <v>0.773048960253202</v>
      </c>
      <c r="C160" s="5">
        <v>1.01321569006514</v>
      </c>
      <c r="D160" s="5">
        <v>0.588751302038077</v>
      </c>
      <c r="E160" s="5">
        <v>0.308253665755755</v>
      </c>
      <c r="F160" s="5">
        <v>0.278141276385302</v>
      </c>
      <c r="G160" s="5">
        <v>0.275428648451475</v>
      </c>
      <c r="H160" s="5">
        <v>0.317204839614559</v>
      </c>
      <c r="I160" s="5">
        <v>0.42068853552893</v>
      </c>
      <c r="J160" s="6">
        <v>2.68945684716334</v>
      </c>
      <c r="K160" s="6">
        <v>3.58791903319109</v>
      </c>
      <c r="L160" s="6">
        <v>1.77724685008936</v>
      </c>
      <c r="M160" s="6">
        <v>0.673309685988045</v>
      </c>
      <c r="N160" s="7">
        <v>0.315991368976264</v>
      </c>
      <c r="O160" s="7">
        <v>0.36740281241308</v>
      </c>
      <c r="P160" s="7">
        <v>0.669589112797697</v>
      </c>
      <c r="Q160" s="7">
        <v>0.728231621999784</v>
      </c>
      <c r="R160" s="6">
        <v>5.88334188169463</v>
      </c>
      <c r="S160" s="6">
        <v>8.17308249308283</v>
      </c>
      <c r="T160" s="6">
        <v>3.21854642203882</v>
      </c>
      <c r="U160" s="6">
        <v>1.27114349572971</v>
      </c>
    </row>
    <row r="161" ht="11.25" customHeight="1">
      <c r="A161" s="2" t="s">
        <v>189</v>
      </c>
      <c r="B161" s="5">
        <v>0.660518258736843</v>
      </c>
      <c r="C161" s="5">
        <v>0.780227058996609</v>
      </c>
      <c r="D161" s="5">
        <v>0.618812052974987</v>
      </c>
      <c r="E161" s="5">
        <v>0.318758715537513</v>
      </c>
      <c r="F161" s="5">
        <v>0.205652975650933</v>
      </c>
      <c r="G161" s="5">
        <v>0.22626093615476</v>
      </c>
      <c r="H161" s="5">
        <v>0.218750877986156</v>
      </c>
      <c r="I161" s="5">
        <v>0.307559329723531</v>
      </c>
      <c r="J161" s="6">
        <v>3.09024587038091</v>
      </c>
      <c r="K161" s="6">
        <v>3.33785880952971</v>
      </c>
      <c r="L161" s="6">
        <v>2.71455848973811</v>
      </c>
      <c r="M161" s="6">
        <v>0.9551286114506</v>
      </c>
      <c r="N161" s="7">
        <v>0.1263037052929</v>
      </c>
      <c r="O161" s="7">
        <v>0.111952371707758</v>
      </c>
      <c r="P161" s="7">
        <v>0.181353383458646</v>
      </c>
      <c r="Q161" s="7">
        <v>0.307517319822148</v>
      </c>
      <c r="R161" s="6">
        <v>7.37311684175576</v>
      </c>
      <c r="S161" s="6">
        <v>8.13249599618312</v>
      </c>
      <c r="T161" s="6">
        <v>6.10706808247698</v>
      </c>
      <c r="U161" s="6">
        <v>1.88365835541798</v>
      </c>
    </row>
    <row r="162" ht="11.25" customHeight="1">
      <c r="A162" s="2" t="s">
        <v>190</v>
      </c>
      <c r="B162" s="5">
        <v>0.482221660865623</v>
      </c>
      <c r="C162" s="5">
        <v>0.511567044395069</v>
      </c>
      <c r="D162" s="5">
        <v>0.358373498965166</v>
      </c>
      <c r="E162" s="5">
        <v>0.106463152403538</v>
      </c>
      <c r="F162" s="5">
        <v>0.188263493010672</v>
      </c>
      <c r="G162" s="5">
        <v>0.184937785218694</v>
      </c>
      <c r="H162" s="5">
        <v>0.221282358014784</v>
      </c>
      <c r="I162" s="5">
        <v>0.278371811060737</v>
      </c>
      <c r="J162" s="6">
        <v>2.42862624906096</v>
      </c>
      <c r="K162" s="6">
        <v>2.63097691918224</v>
      </c>
      <c r="L162" s="6">
        <v>1.50655254199204</v>
      </c>
      <c r="M162" s="6">
        <v>0.292641528943331</v>
      </c>
      <c r="N162" s="7">
        <v>0.106850549802271</v>
      </c>
      <c r="O162" s="7">
        <v>0.0763661437683161</v>
      </c>
      <c r="P162" s="7">
        <v>0.366009681881051</v>
      </c>
      <c r="Q162" s="7">
        <v>0.366009681881051</v>
      </c>
      <c r="R162" s="6">
        <v>5.37153955664212</v>
      </c>
      <c r="S162" s="6">
        <v>6.45655494194108</v>
      </c>
      <c r="T162" s="6">
        <v>2.91735471008608</v>
      </c>
      <c r="U162" s="6">
        <v>0.557536367507733</v>
      </c>
    </row>
    <row r="163" ht="11.25" customHeight="1">
      <c r="A163" s="2" t="s">
        <v>191</v>
      </c>
      <c r="B163" s="5">
        <v>0.783483401955905</v>
      </c>
      <c r="C163" s="5">
        <v>0.94920814177851</v>
      </c>
      <c r="D163" s="5">
        <v>1.02871791757971</v>
      </c>
      <c r="E163" s="5">
        <v>0.285678593160321</v>
      </c>
      <c r="F163" s="5">
        <v>0.298326333082868</v>
      </c>
      <c r="G163" s="5">
        <v>0.313339237330165</v>
      </c>
      <c r="H163" s="5">
        <v>0.298641828414497</v>
      </c>
      <c r="I163" s="5">
        <v>0.434021049313419</v>
      </c>
      <c r="J163" s="6">
        <v>2.54246212232701</v>
      </c>
      <c r="K163" s="6">
        <v>2.94954487555821</v>
      </c>
      <c r="L163" s="6">
        <v>3.36094217915989</v>
      </c>
      <c r="M163" s="6">
        <v>0.600612789570207</v>
      </c>
      <c r="N163" s="7">
        <v>0.197687824558545</v>
      </c>
      <c r="O163" s="7">
        <v>0.18156353450471</v>
      </c>
      <c r="P163" s="7">
        <v>0.21992872663777</v>
      </c>
      <c r="Q163" s="7">
        <v>0.536180499597099</v>
      </c>
      <c r="R163" s="6">
        <v>5.64934154510217</v>
      </c>
      <c r="S163" s="6">
        <v>6.979071764755</v>
      </c>
      <c r="T163" s="6">
        <v>7.6618570894687</v>
      </c>
      <c r="U163" s="6">
        <v>1.22056544556162</v>
      </c>
    </row>
    <row r="164" ht="11.25" customHeight="1">
      <c r="A164" s="2" t="s">
        <v>192</v>
      </c>
      <c r="B164" s="5">
        <v>0.531634665445433</v>
      </c>
      <c r="C164" s="5">
        <v>0.64423067779132</v>
      </c>
      <c r="D164" s="5">
        <v>0.516995941309052</v>
      </c>
      <c r="E164" s="5">
        <v>0.328176634441669</v>
      </c>
      <c r="F164" s="5">
        <v>0.174960247493498</v>
      </c>
      <c r="G164" s="5">
        <v>0.18085372907554</v>
      </c>
      <c r="H164" s="5">
        <v>0.153422438695859</v>
      </c>
      <c r="I164" s="5">
        <v>0.258302784803246</v>
      </c>
      <c r="J164" s="6">
        <v>2.89571301311892</v>
      </c>
      <c r="K164" s="6">
        <v>3.42393093554999</v>
      </c>
      <c r="L164" s="6">
        <v>3.20680563737076</v>
      </c>
      <c r="M164" s="6">
        <v>1.17372576789136</v>
      </c>
      <c r="N164" s="7">
        <v>0.129641255050992</v>
      </c>
      <c r="O164" s="7">
        <v>0.0702982475924084</v>
      </c>
      <c r="P164" s="7">
        <v>0.112350608773626</v>
      </c>
      <c r="Q164" s="7">
        <v>0.28192842354333</v>
      </c>
      <c r="R164" s="6">
        <v>6.46796393272115</v>
      </c>
      <c r="S164" s="6">
        <v>7.98956565157369</v>
      </c>
      <c r="T164" s="6">
        <v>7.28807636556418</v>
      </c>
      <c r="U164" s="6">
        <v>2.36252968788877</v>
      </c>
    </row>
    <row r="165" ht="11.25" customHeight="1">
      <c r="A165" s="2" t="s">
        <v>193</v>
      </c>
      <c r="B165" s="5">
        <v>0.317513834579616</v>
      </c>
      <c r="C165" s="5">
        <v>0.442807298686332</v>
      </c>
      <c r="D165" s="5">
        <v>0.397650086420712</v>
      </c>
      <c r="E165" s="5">
        <v>0.163413016585249</v>
      </c>
      <c r="F165" s="5">
        <v>0.115948965233877</v>
      </c>
      <c r="G165" s="5">
        <v>0.121366159568164</v>
      </c>
      <c r="H165" s="5">
        <v>0.11598038155227</v>
      </c>
      <c r="I165" s="5">
        <v>0.204863316527259</v>
      </c>
      <c r="J165" s="6">
        <v>2.52278089752326</v>
      </c>
      <c r="K165" s="6">
        <v>3.44253538361056</v>
      </c>
      <c r="L165" s="6">
        <v>3.21304414965012</v>
      </c>
      <c r="M165" s="6">
        <v>0.675635926097252</v>
      </c>
      <c r="N165" s="7">
        <v>0.0877732734906615</v>
      </c>
      <c r="O165" s="7">
        <v>0.0697116452659174</v>
      </c>
      <c r="P165" s="7">
        <v>0.111811113003008</v>
      </c>
      <c r="Q165" s="7">
        <v>0.370587041796293</v>
      </c>
      <c r="R165" s="6">
        <v>5.14691534589925</v>
      </c>
      <c r="S165" s="6">
        <v>7.77161448512632</v>
      </c>
      <c r="T165" s="6">
        <v>6.82980946565613</v>
      </c>
      <c r="U165" s="6">
        <v>1.22880621691545</v>
      </c>
    </row>
    <row r="166" ht="11.25" customHeight="1">
      <c r="A166" s="2" t="s">
        <v>194</v>
      </c>
      <c r="B166" s="5">
        <v>0.531901363871136</v>
      </c>
      <c r="C166" s="5">
        <v>0.650602470550598</v>
      </c>
      <c r="D166" s="5">
        <v>0.599607925790228</v>
      </c>
      <c r="E166" s="5">
        <v>0.249957142927379</v>
      </c>
      <c r="F166" s="5">
        <v>0.214342084867404</v>
      </c>
      <c r="G166" s="5">
        <v>0.210450848833714</v>
      </c>
      <c r="H166" s="5">
        <v>0.200949123054698</v>
      </c>
      <c r="I166" s="5">
        <v>0.298651906859267</v>
      </c>
      <c r="J166" s="6">
        <v>2.36491757642795</v>
      </c>
      <c r="K166" s="6">
        <v>2.97267734493631</v>
      </c>
      <c r="L166" s="6">
        <v>2.85946968593548</v>
      </c>
      <c r="M166" s="6">
        <v>0.753241944085041</v>
      </c>
      <c r="N166" s="7">
        <v>0.135422916780304</v>
      </c>
      <c r="O166" s="7">
        <v>0.108959757023538</v>
      </c>
      <c r="P166" s="7">
        <v>0.223528930517174</v>
      </c>
      <c r="Q166" s="7">
        <v>0.434450013189131</v>
      </c>
      <c r="R166" s="6">
        <v>5.49440823965441</v>
      </c>
      <c r="S166" s="6">
        <v>7.32440146532618</v>
      </c>
      <c r="T166" s="6">
        <v>6.62240578456776</v>
      </c>
      <c r="U166" s="6">
        <v>1.51470608464251</v>
      </c>
    </row>
    <row r="167" ht="11.25" customHeight="1">
      <c r="A167" s="2" t="s">
        <v>195</v>
      </c>
      <c r="B167" s="5">
        <v>0.695159583964006</v>
      </c>
      <c r="C167" s="5">
        <v>0.833639383607345</v>
      </c>
      <c r="D167" s="5">
        <v>0.945277144009287</v>
      </c>
      <c r="E167" s="5">
        <v>0.0736393251938722</v>
      </c>
      <c r="F167" s="5">
        <v>0.27175451913901</v>
      </c>
      <c r="G167" s="5">
        <v>0.266667676343284</v>
      </c>
      <c r="H167" s="5">
        <v>0.277992996986161</v>
      </c>
      <c r="I167" s="5">
        <v>0.405658343743098</v>
      </c>
      <c r="J167" s="6">
        <v>2.46604761564682</v>
      </c>
      <c r="K167" s="6">
        <v>3.0323862070421</v>
      </c>
      <c r="L167" s="6">
        <v>3.31043283099357</v>
      </c>
      <c r="M167" s="6">
        <v>0.119902193419877</v>
      </c>
      <c r="N167" s="7">
        <v>0.184820575277125</v>
      </c>
      <c r="O167" s="7">
        <v>0.106160249033978</v>
      </c>
      <c r="P167" s="7">
        <v>0.305630776369743</v>
      </c>
      <c r="Q167" s="7">
        <v>0.64770064076069</v>
      </c>
      <c r="R167" s="6">
        <v>5.26729345644008</v>
      </c>
      <c r="S167" s="6">
        <v>6.88158144137422</v>
      </c>
      <c r="T167" s="6">
        <v>7.27305690907505</v>
      </c>
      <c r="U167" s="6">
        <v>0.225978135402222</v>
      </c>
    </row>
    <row r="168" ht="11.25" customHeight="1">
      <c r="A168" s="2" t="s">
        <v>196</v>
      </c>
      <c r="B168" s="5">
        <v>0.716755487241399</v>
      </c>
      <c r="C168" s="5">
        <v>0.886369004067781</v>
      </c>
      <c r="D168" s="5">
        <v>0.675110796521558</v>
      </c>
      <c r="E168" s="5">
        <v>0.0982874504309581</v>
      </c>
      <c r="F168" s="5">
        <v>0.288426170728671</v>
      </c>
      <c r="G168" s="5">
        <v>0.281881235082905</v>
      </c>
      <c r="H168" s="5">
        <v>0.280591938145096</v>
      </c>
      <c r="I168" s="5">
        <v>0.428705984083676</v>
      </c>
      <c r="J168" s="6">
        <v>2.39837974998513</v>
      </c>
      <c r="K168" s="6">
        <v>3.05578696579231</v>
      </c>
      <c r="L168" s="6">
        <v>2.31692614128271</v>
      </c>
      <c r="M168" s="6">
        <v>0.170950378935353</v>
      </c>
      <c r="N168" s="7">
        <v>0.228540636168311</v>
      </c>
      <c r="O168" s="7">
        <v>0.115739284741404</v>
      </c>
      <c r="P168" s="7">
        <v>0.341642329722034</v>
      </c>
      <c r="Q168" s="7">
        <v>0.770525919192251</v>
      </c>
      <c r="R168" s="6">
        <v>5.29754870734455</v>
      </c>
      <c r="S168" s="6">
        <v>7.41201923682244</v>
      </c>
      <c r="T168" s="6">
        <v>5.11323410480873</v>
      </c>
      <c r="U168" s="6">
        <v>0.336155918667084</v>
      </c>
    </row>
    <row r="169" ht="11.25" customHeight="1">
      <c r="A169" s="2" t="s">
        <v>197</v>
      </c>
      <c r="B169" s="5">
        <v>6.76288322635124</v>
      </c>
      <c r="C169" s="5">
        <v>6.13427943296942</v>
      </c>
      <c r="D169" s="5">
        <v>1.99176297630438</v>
      </c>
      <c r="E169" s="5">
        <v>2.46109376224093</v>
      </c>
      <c r="F169" s="5">
        <v>0.571171697851669</v>
      </c>
      <c r="G169" s="5">
        <v>0.660948824798913</v>
      </c>
      <c r="H169" s="5">
        <v>0.616339774358723</v>
      </c>
      <c r="I169" s="5">
        <v>0.830639113447872</v>
      </c>
      <c r="J169" s="6">
        <v>11.796598556431</v>
      </c>
      <c r="K169" s="6">
        <v>9.24319584776945</v>
      </c>
      <c r="L169" s="6">
        <v>3.19103692172182</v>
      </c>
      <c r="M169" s="6">
        <v>2.9327944263653</v>
      </c>
      <c r="N169" s="7">
        <v>0.14287099947723</v>
      </c>
      <c r="O169" s="7">
        <v>0.174853043703157</v>
      </c>
      <c r="P169" s="7">
        <v>0.402354200107009</v>
      </c>
      <c r="Q169" s="7">
        <v>0.444967074317968</v>
      </c>
      <c r="R169" s="6">
        <v>32.7540649339831</v>
      </c>
      <c r="S169" s="6">
        <v>24.9498456848734</v>
      </c>
      <c r="T169" s="6">
        <v>6.67750986974373</v>
      </c>
      <c r="U169" s="6">
        <v>6.54141421558497</v>
      </c>
    </row>
    <row r="170" ht="11.25" customHeight="1">
      <c r="A170" s="2" t="s">
        <v>198</v>
      </c>
      <c r="B170" s="5">
        <v>0.458998452490182</v>
      </c>
      <c r="C170" s="5">
        <v>0.612081342870063</v>
      </c>
      <c r="D170" s="5">
        <v>0.593738526233272</v>
      </c>
      <c r="E170" s="5">
        <v>0.152233019903656</v>
      </c>
      <c r="F170" s="5">
        <v>0.197511604493228</v>
      </c>
      <c r="G170" s="5">
        <v>0.221547834706784</v>
      </c>
      <c r="H170" s="5">
        <v>0.188426903575108</v>
      </c>
      <c r="I170" s="5">
        <v>0.310606395504309</v>
      </c>
      <c r="J170" s="6">
        <v>2.19733141049472</v>
      </c>
      <c r="K170" s="6">
        <v>2.6499078343377</v>
      </c>
      <c r="L170" s="6">
        <v>3.01835096497548</v>
      </c>
      <c r="M170" s="6">
        <v>0.409627817537616</v>
      </c>
      <c r="N170" s="7">
        <v>0.133025924604196</v>
      </c>
      <c r="O170" s="7">
        <v>0.1544579321892</v>
      </c>
      <c r="P170" s="7">
        <v>0.251346866286791</v>
      </c>
      <c r="Q170" s="7">
        <v>0.445523596065247</v>
      </c>
      <c r="R170" s="6">
        <v>4.28821100393771</v>
      </c>
      <c r="S170" s="6">
        <v>5.67474569081491</v>
      </c>
      <c r="T170" s="6">
        <v>6.32708409208761</v>
      </c>
      <c r="U170" s="6">
        <v>0.76926722678254</v>
      </c>
    </row>
    <row r="171" ht="11.25" customHeight="1">
      <c r="A171" s="2" t="s">
        <v>199</v>
      </c>
      <c r="B171" s="5">
        <v>0.610323611207103</v>
      </c>
      <c r="C171" s="5">
        <v>0.816600899513738</v>
      </c>
      <c r="D171" s="5">
        <v>0.49601693752211</v>
      </c>
      <c r="E171" s="5">
        <v>0.25058682156637</v>
      </c>
      <c r="F171" s="5">
        <v>0.226781226067007</v>
      </c>
      <c r="G171" s="5">
        <v>0.230115076483192</v>
      </c>
      <c r="H171" s="5">
        <v>0.247122065306018</v>
      </c>
      <c r="I171" s="5">
        <v>0.341755643246346</v>
      </c>
      <c r="J171" s="6">
        <v>2.58100558568351</v>
      </c>
      <c r="K171" s="6">
        <v>3.44002188649102</v>
      </c>
      <c r="L171" s="6">
        <v>1.90600923045393</v>
      </c>
      <c r="M171" s="6">
        <v>0.660082213781504</v>
      </c>
      <c r="N171" s="7">
        <v>0.144455014606889</v>
      </c>
      <c r="O171" s="7">
        <v>0.121118286584099</v>
      </c>
      <c r="P171" s="7">
        <v>0.328544744714136</v>
      </c>
      <c r="Q171" s="7">
        <v>0.446386355960824</v>
      </c>
      <c r="R171" s="6">
        <v>6.08086185307294</v>
      </c>
      <c r="S171" s="6">
        <v>8.92701980887931</v>
      </c>
      <c r="T171" s="6">
        <v>3.67335172876601</v>
      </c>
      <c r="U171" s="6">
        <v>1.25334149823072</v>
      </c>
    </row>
    <row r="172" ht="11.25" customHeight="1">
      <c r="A172" s="2" t="s">
        <v>200</v>
      </c>
      <c r="B172" s="5">
        <v>1.7547845333327</v>
      </c>
      <c r="C172" s="5">
        <v>3.15513458711853</v>
      </c>
      <c r="D172" s="5">
        <v>2.32228065990082</v>
      </c>
      <c r="E172" s="5">
        <v>1.36949148928503</v>
      </c>
      <c r="F172" s="5">
        <v>0.470207342139397</v>
      </c>
      <c r="G172" s="5">
        <v>0.451918161854961</v>
      </c>
      <c r="H172" s="5">
        <v>0.449580777727331</v>
      </c>
      <c r="I172" s="5">
        <v>0.639705038108948</v>
      </c>
      <c r="J172" s="6">
        <v>3.67876972201743</v>
      </c>
      <c r="K172" s="6">
        <v>6.92633058664971</v>
      </c>
      <c r="L172" s="6">
        <v>5.10982847512691</v>
      </c>
      <c r="M172" s="6">
        <v>2.10173659607172</v>
      </c>
      <c r="N172" s="7">
        <v>0.26067700084163</v>
      </c>
      <c r="O172" s="7">
        <v>0.154970686283011</v>
      </c>
      <c r="P172" s="7">
        <v>0.233054159687325</v>
      </c>
      <c r="Q172" s="7">
        <v>0.448799174893178</v>
      </c>
      <c r="R172" s="6">
        <v>8.33015403916345</v>
      </c>
      <c r="S172" s="6">
        <v>18.3777995187564</v>
      </c>
      <c r="T172" s="6">
        <v>12.0710349295257</v>
      </c>
      <c r="U172" s="6">
        <v>4.51014370537545</v>
      </c>
    </row>
    <row r="173" ht="11.25" customHeight="1">
      <c r="A173" s="2" t="s">
        <v>201</v>
      </c>
      <c r="B173" s="5">
        <v>0.581753781645344</v>
      </c>
      <c r="C173" s="5">
        <v>0.824372295394169</v>
      </c>
      <c r="D173" s="5">
        <v>0.638391444513313</v>
      </c>
      <c r="E173" s="5">
        <v>0.227230923866121</v>
      </c>
      <c r="F173" s="5">
        <v>0.213982471468765</v>
      </c>
      <c r="G173" s="5">
        <v>0.229858995058157</v>
      </c>
      <c r="H173" s="5">
        <v>0.203807092421457</v>
      </c>
      <c r="I173" s="5">
        <v>0.326761309155044</v>
      </c>
      <c r="J173" s="6">
        <v>2.60186630158916</v>
      </c>
      <c r="K173" s="6">
        <v>3.47766375291042</v>
      </c>
      <c r="L173" s="6">
        <v>3.0096668237868</v>
      </c>
      <c r="M173" s="6">
        <v>0.61889494931043</v>
      </c>
      <c r="N173" s="7">
        <v>0.164228598657297</v>
      </c>
      <c r="O173" s="7">
        <v>0.142653355248763</v>
      </c>
      <c r="P173" s="7">
        <v>0.227831940575673</v>
      </c>
      <c r="Q173" s="7">
        <v>0.454886591060707</v>
      </c>
      <c r="R173" s="6">
        <v>5.58377382994833</v>
      </c>
      <c r="S173" s="6">
        <v>8.21600034194515</v>
      </c>
      <c r="T173" s="6">
        <v>6.64911472691162</v>
      </c>
      <c r="U173" s="6">
        <v>1.20426227146979</v>
      </c>
    </row>
    <row r="174" ht="11.25" customHeight="1">
      <c r="A174" s="2" t="s">
        <v>202</v>
      </c>
      <c r="B174" s="5">
        <v>1.01356889209095</v>
      </c>
      <c r="C174" s="5">
        <v>1.3175949957856</v>
      </c>
      <c r="D174" s="5">
        <v>1.13053502319025</v>
      </c>
      <c r="E174" s="5">
        <v>0.148259179125166</v>
      </c>
      <c r="F174" s="5">
        <v>0.36679705869598</v>
      </c>
      <c r="G174" s="5">
        <v>0.338300032189268</v>
      </c>
      <c r="H174" s="5">
        <v>0.307320836518899</v>
      </c>
      <c r="I174" s="5">
        <v>0.568991440137021</v>
      </c>
      <c r="J174" s="6">
        <v>2.69513854774482</v>
      </c>
      <c r="K174" s="6">
        <v>3.82085389534469</v>
      </c>
      <c r="L174" s="6">
        <v>3.59733181684955</v>
      </c>
      <c r="M174" s="6">
        <v>0.216627475266558</v>
      </c>
      <c r="N174" s="7">
        <v>0.155361050328227</v>
      </c>
      <c r="O174" s="7">
        <v>0.155361050328227</v>
      </c>
      <c r="P174" s="7">
        <v>0.139997247439656</v>
      </c>
      <c r="Q174" s="7">
        <v>0.631552503768213</v>
      </c>
      <c r="R174" s="6">
        <v>5.66924931831425</v>
      </c>
      <c r="S174" s="6">
        <v>8.88593410194795</v>
      </c>
      <c r="T174" s="6">
        <v>8.26345624524523</v>
      </c>
      <c r="U174" s="6">
        <v>0.406302335748879</v>
      </c>
    </row>
    <row r="175" ht="11.25" customHeight="1">
      <c r="A175" s="2" t="s">
        <v>203</v>
      </c>
      <c r="B175" s="5">
        <v>0.886172841825171</v>
      </c>
      <c r="C175" s="5">
        <v>1.17861108579239</v>
      </c>
      <c r="D175" s="5">
        <v>1.07315232991655</v>
      </c>
      <c r="E175" s="5">
        <v>0.602476283708953</v>
      </c>
      <c r="F175" s="5">
        <v>0.248556199246594</v>
      </c>
      <c r="G175" s="5">
        <v>0.263133751822049</v>
      </c>
      <c r="H175" s="5">
        <v>0.241901744146816</v>
      </c>
      <c r="I175" s="5">
        <v>0.354048686925557</v>
      </c>
      <c r="J175" s="6">
        <v>3.46470071732467</v>
      </c>
      <c r="K175" s="6">
        <v>4.38412433906445</v>
      </c>
      <c r="L175" s="6">
        <v>4.33296722854716</v>
      </c>
      <c r="M175" s="6">
        <v>1.63106461069964</v>
      </c>
      <c r="N175" s="7">
        <v>0.115866848150128</v>
      </c>
      <c r="O175" s="7">
        <v>0.0878784372629113</v>
      </c>
      <c r="P175" s="7">
        <v>0.211477792350501</v>
      </c>
      <c r="Q175" s="7">
        <v>0.319925742574257</v>
      </c>
      <c r="R175" s="6">
        <v>8.80834312507953</v>
      </c>
      <c r="S175" s="6">
        <v>11.6226942657779</v>
      </c>
      <c r="T175" s="6">
        <v>11.3520431067198</v>
      </c>
      <c r="U175" s="6">
        <v>3.36343476526875</v>
      </c>
    </row>
    <row r="176" ht="11.25" customHeight="1">
      <c r="A176" s="2" t="s">
        <v>204</v>
      </c>
      <c r="B176" s="5">
        <v>0.52780076774193</v>
      </c>
      <c r="C176" s="5">
        <v>0.625284757181248</v>
      </c>
      <c r="D176" s="5">
        <v>0.607571390007924</v>
      </c>
      <c r="E176" s="5">
        <v>0.193736960110325</v>
      </c>
      <c r="F176" s="5">
        <v>0.204955111887389</v>
      </c>
      <c r="G176" s="5">
        <v>0.236154468484685</v>
      </c>
      <c r="H176" s="5">
        <v>0.190018115300756</v>
      </c>
      <c r="I176" s="5">
        <v>0.319096384515742</v>
      </c>
      <c r="J176" s="6">
        <v>2.453223845513</v>
      </c>
      <c r="K176" s="6">
        <v>2.54191572589352</v>
      </c>
      <c r="L176" s="6">
        <v>3.0658728989383</v>
      </c>
      <c r="M176" s="6">
        <v>0.528796214242287</v>
      </c>
      <c r="N176" s="7">
        <v>0.163914153681543</v>
      </c>
      <c r="O176" s="7">
        <v>0.179736511919698</v>
      </c>
      <c r="P176" s="7">
        <v>0.165231725781452</v>
      </c>
      <c r="Q176" s="7">
        <v>0.374598955606567</v>
      </c>
      <c r="R176" s="6">
        <v>5.09245280678126</v>
      </c>
      <c r="S176" s="6">
        <v>5.39833314131511</v>
      </c>
      <c r="T176" s="6">
        <v>6.39513481834982</v>
      </c>
      <c r="U176" s="6">
        <v>1.01212657199798</v>
      </c>
    </row>
    <row r="177" ht="11.25" customHeight="1">
      <c r="A177" s="2" t="s">
        <v>205</v>
      </c>
      <c r="B177" s="5">
        <v>0.689107082177615</v>
      </c>
      <c r="C177" s="5">
        <v>0.834378997358018</v>
      </c>
      <c r="D177" s="5">
        <v>0.596464788816025</v>
      </c>
      <c r="E177" s="5">
        <v>0.206233895801066</v>
      </c>
      <c r="F177" s="5">
        <v>0.284858693175859</v>
      </c>
      <c r="G177" s="5">
        <v>0.286699658174999</v>
      </c>
      <c r="H177" s="5">
        <v>0.22025227772223</v>
      </c>
      <c r="I177" s="5">
        <v>0.402844641386796</v>
      </c>
      <c r="J177" s="6">
        <v>2.33135620603168</v>
      </c>
      <c r="K177" s="6">
        <v>2.82309020704859</v>
      </c>
      <c r="L177" s="6">
        <v>2.59459195939269</v>
      </c>
      <c r="M177" s="6">
        <v>0.449885333405867</v>
      </c>
      <c r="N177" s="7">
        <v>0.26832892998679</v>
      </c>
      <c r="O177" s="7">
        <v>0.268328929986789</v>
      </c>
      <c r="P177" s="7">
        <v>0.131898045038356</v>
      </c>
      <c r="Q177" s="7">
        <v>0.732225444853805</v>
      </c>
      <c r="R177" s="6">
        <v>5.56427503958119</v>
      </c>
      <c r="S177" s="6">
        <v>7.15621220772773</v>
      </c>
      <c r="T177" s="6">
        <v>5.94029461934983</v>
      </c>
      <c r="U177" s="6">
        <v>0.870380097284949</v>
      </c>
    </row>
    <row r="178" ht="11.25" customHeight="1">
      <c r="A178" s="2" t="s">
        <v>206</v>
      </c>
      <c r="B178" s="5">
        <v>0.367963920198023</v>
      </c>
      <c r="C178" s="5">
        <v>0.386122445727576</v>
      </c>
      <c r="D178" s="5">
        <v>0.371256339186276</v>
      </c>
      <c r="E178" s="5">
        <v>0.130783179942437</v>
      </c>
      <c r="F178" s="5">
        <v>0.166432213532497</v>
      </c>
      <c r="G178" s="5">
        <v>0.164045578802162</v>
      </c>
      <c r="H178" s="5">
        <v>0.146947660601899</v>
      </c>
      <c r="I178" s="5">
        <v>0.253264545470517</v>
      </c>
      <c r="J178" s="6">
        <v>2.06068232176132</v>
      </c>
      <c r="K178" s="6">
        <v>2.20135433313375</v>
      </c>
      <c r="L178" s="6">
        <v>2.35632427061449</v>
      </c>
      <c r="M178" s="6">
        <v>0.417678596685978</v>
      </c>
      <c r="N178" s="7">
        <v>0.123705119179322</v>
      </c>
      <c r="O178" s="7">
        <v>0.123705119179322</v>
      </c>
      <c r="P178" s="7">
        <v>0.196057270307216</v>
      </c>
      <c r="Q178" s="7">
        <v>0.430868405453467</v>
      </c>
      <c r="R178" s="6">
        <v>4.42157300473764</v>
      </c>
      <c r="S178" s="6">
        <v>4.72258059286792</v>
      </c>
      <c r="T178" s="6">
        <v>4.54229172755769</v>
      </c>
      <c r="U178" s="6">
        <v>0.753850261319845</v>
      </c>
    </row>
    <row r="179" ht="11.25" customHeight="1">
      <c r="A179" s="2" t="s">
        <v>207</v>
      </c>
      <c r="B179" s="5">
        <v>0.341174822744497</v>
      </c>
      <c r="C179" s="5">
        <v>0.356743213862068</v>
      </c>
      <c r="D179" s="5">
        <v>0.30519202861436</v>
      </c>
      <c r="E179" s="5">
        <v>0.0937298094729148</v>
      </c>
      <c r="F179" s="5">
        <v>0.142772230399577</v>
      </c>
      <c r="G179" s="5">
        <v>0.152135263791981</v>
      </c>
      <c r="H179" s="5">
        <v>0.169843320473776</v>
      </c>
      <c r="I179" s="5">
        <v>0.226471367532259</v>
      </c>
      <c r="J179" s="6">
        <v>2.21454005347971</v>
      </c>
      <c r="K179" s="6">
        <v>2.18058065956141</v>
      </c>
      <c r="L179" s="6">
        <v>1.64970884832424</v>
      </c>
      <c r="M179" s="6">
        <v>0.303481231300132</v>
      </c>
      <c r="N179" s="7">
        <v>0.0964674424330377</v>
      </c>
      <c r="O179" s="7">
        <v>0.0891445003594535</v>
      </c>
      <c r="P179" s="7">
        <v>0.368912936546975</v>
      </c>
      <c r="Q179" s="7">
        <v>0.373718637118031</v>
      </c>
      <c r="R179" s="6">
        <v>4.59133601646973</v>
      </c>
      <c r="S179" s="6">
        <v>4.72417326156739</v>
      </c>
      <c r="T179" s="6">
        <v>3.12010160340343</v>
      </c>
      <c r="U179" s="6">
        <v>0.575434777514159</v>
      </c>
    </row>
    <row r="180" ht="11.25" customHeight="1">
      <c r="A180" s="2" t="s">
        <v>208</v>
      </c>
      <c r="B180" s="5">
        <v>0.536768330832787</v>
      </c>
      <c r="C180" s="5">
        <v>0.814973678313598</v>
      </c>
      <c r="D180" s="5">
        <v>0.828792288995603</v>
      </c>
      <c r="E180" s="5">
        <v>0.184552794198211</v>
      </c>
      <c r="F180" s="5">
        <v>0.216571635658696</v>
      </c>
      <c r="G180" s="5">
        <v>0.223018788613273</v>
      </c>
      <c r="H180" s="5">
        <v>0.225279577687325</v>
      </c>
      <c r="I180" s="5">
        <v>0.315251034697665</v>
      </c>
      <c r="J180" s="6">
        <v>2.3630441229123</v>
      </c>
      <c r="K180" s="6">
        <v>3.54218441964302</v>
      </c>
      <c r="L180" s="6">
        <v>3.56797672140179</v>
      </c>
      <c r="M180" s="6">
        <v>0.50611346716507</v>
      </c>
      <c r="N180" s="7">
        <v>0.201552934196285</v>
      </c>
      <c r="O180" s="7">
        <v>0.146092095449201</v>
      </c>
      <c r="P180" s="7">
        <v>0.214147521160822</v>
      </c>
      <c r="Q180" s="7">
        <v>0.484506707823816</v>
      </c>
      <c r="R180" s="6">
        <v>5.2055674609906</v>
      </c>
      <c r="S180" s="6">
        <v>8.87064579751979</v>
      </c>
      <c r="T180" s="6">
        <v>8.19107889517514</v>
      </c>
      <c r="U180" s="6">
        <v>0.990079726353311</v>
      </c>
    </row>
    <row r="181" ht="11.25" customHeight="1">
      <c r="A181" s="2" t="s">
        <v>209</v>
      </c>
      <c r="B181" s="5">
        <v>0.74725400872842</v>
      </c>
      <c r="C181" s="5">
        <v>1.01018117180971</v>
      </c>
      <c r="D181" s="5">
        <v>0.398466561648901</v>
      </c>
      <c r="E181" s="5">
        <v>-0.110625917228101</v>
      </c>
      <c r="F181" s="5">
        <v>0.381442034628621</v>
      </c>
      <c r="G181" s="5">
        <v>0.36478502455986</v>
      </c>
      <c r="H181" s="5">
        <v>0.434806535411828</v>
      </c>
      <c r="I181" s="5">
        <v>0.552214156623348</v>
      </c>
      <c r="J181" s="6">
        <v>1.89348300176623</v>
      </c>
      <c r="K181" s="6">
        <v>2.70071714977447</v>
      </c>
      <c r="L181" s="6">
        <v>0.858925823861344</v>
      </c>
      <c r="M181" s="6">
        <v>-0.245603839744747</v>
      </c>
      <c r="N181" s="7">
        <v>0.311453139077084</v>
      </c>
      <c r="O181" s="7">
        <v>0.171702002599319</v>
      </c>
      <c r="P181" s="7">
        <v>0.829835175764732</v>
      </c>
      <c r="Q181" s="7">
        <v>0.941890043448643</v>
      </c>
      <c r="R181" s="6">
        <v>4.15557990774111</v>
      </c>
      <c r="S181" s="6">
        <v>6.17546103490518</v>
      </c>
      <c r="T181" s="6">
        <v>1.58697415980948</v>
      </c>
      <c r="U181" s="6">
        <v>-0.477493982339943</v>
      </c>
    </row>
    <row r="182" ht="11.25" customHeight="1">
      <c r="A182" s="2" t="s">
        <v>210</v>
      </c>
      <c r="B182" s="5">
        <v>0.837877438110827</v>
      </c>
      <c r="C182" s="5">
        <v>1.21012444017458</v>
      </c>
      <c r="D182" s="5">
        <v>0.680039324995083</v>
      </c>
      <c r="E182" s="5">
        <v>0.0880719835471055</v>
      </c>
      <c r="F182" s="5">
        <v>0.382590837399434</v>
      </c>
      <c r="G182" s="5">
        <v>0.374878402397593</v>
      </c>
      <c r="H182" s="5">
        <v>0.405351230822461</v>
      </c>
      <c r="I182" s="5">
        <v>0.532417819014857</v>
      </c>
      <c r="J182" s="6">
        <v>2.12466520012909</v>
      </c>
      <c r="K182" s="6">
        <v>3.16135694293118</v>
      </c>
      <c r="L182" s="6">
        <v>1.61597961270773</v>
      </c>
      <c r="M182" s="6">
        <v>0.118463322027442</v>
      </c>
      <c r="N182" s="7">
        <v>0.244887525562372</v>
      </c>
      <c r="O182" s="7">
        <v>0.237753102547354</v>
      </c>
      <c r="P182" s="7">
        <v>0.746479986726138</v>
      </c>
      <c r="Q182" s="7">
        <v>0.903403195683751</v>
      </c>
      <c r="R182" s="6">
        <v>5.53627652484958</v>
      </c>
      <c r="S182" s="6">
        <v>9.53103825347196</v>
      </c>
      <c r="T182" s="6">
        <v>3.49635970435795</v>
      </c>
      <c r="U182" s="6">
        <v>0.233759631594792</v>
      </c>
    </row>
    <row r="183" ht="11.25" customHeight="1">
      <c r="A183" s="2" t="s">
        <v>211</v>
      </c>
      <c r="B183" s="5">
        <v>1.6517036210669</v>
      </c>
      <c r="C183" s="5">
        <v>2.08101739039116</v>
      </c>
      <c r="D183" s="5">
        <v>1.26802871111438</v>
      </c>
      <c r="E183" s="5">
        <v>0.608027207034707</v>
      </c>
      <c r="F183" s="5">
        <v>0.380471898713946</v>
      </c>
      <c r="G183" s="5">
        <v>0.419930958115662</v>
      </c>
      <c r="H183" s="5">
        <v>0.417072616148941</v>
      </c>
      <c r="I183" s="5">
        <v>0.56459872761555</v>
      </c>
      <c r="J183" s="6">
        <v>4.27548953435304</v>
      </c>
      <c r="K183" s="6">
        <v>4.89608434590543</v>
      </c>
      <c r="L183" s="6">
        <v>2.98036520017052</v>
      </c>
      <c r="M183" s="6">
        <v>1.03263995917416</v>
      </c>
      <c r="N183" s="7">
        <v>0.136935515392475</v>
      </c>
      <c r="O183" s="7">
        <v>0.138202097306221</v>
      </c>
      <c r="P183" s="7">
        <v>0.406883671291355</v>
      </c>
      <c r="Q183" s="7">
        <v>0.586722488038277</v>
      </c>
      <c r="R183" s="6">
        <v>11.5473567271381</v>
      </c>
      <c r="S183" s="6">
        <v>13.7306615459114</v>
      </c>
      <c r="T183" s="6">
        <v>6.34738162533592</v>
      </c>
      <c r="U183" s="6">
        <v>2.09397534133225</v>
      </c>
    </row>
    <row r="184" ht="11.25" customHeight="1">
      <c r="A184" s="2" t="s">
        <v>212</v>
      </c>
      <c r="B184" s="5">
        <v>0.7746881932478</v>
      </c>
      <c r="C184" s="5">
        <v>1.0855798008227</v>
      </c>
      <c r="D184" s="5">
        <v>0.804279228586486</v>
      </c>
      <c r="E184" s="5">
        <v>0.300468262023154</v>
      </c>
      <c r="F184" s="5">
        <v>0.284625836549152</v>
      </c>
      <c r="G184" s="5">
        <v>0.294538647640582</v>
      </c>
      <c r="H184" s="5">
        <v>0.282817646818261</v>
      </c>
      <c r="I184" s="5">
        <v>0.405324690826174</v>
      </c>
      <c r="J184" s="6">
        <v>2.63394287158585</v>
      </c>
      <c r="K184" s="6">
        <v>3.60081710606923</v>
      </c>
      <c r="L184" s="6">
        <v>2.75541232081338</v>
      </c>
      <c r="M184" s="6">
        <v>0.679623689989539</v>
      </c>
      <c r="N184" s="7">
        <v>0.264092770831178</v>
      </c>
      <c r="O184" s="7">
        <v>0.140017427340577</v>
      </c>
      <c r="P184" s="7">
        <v>0.261988955272517</v>
      </c>
      <c r="Q184" s="7">
        <v>0.565674603174602</v>
      </c>
      <c r="R184" s="6">
        <v>6.26973685366684</v>
      </c>
      <c r="S184" s="6">
        <v>9.4210735803027</v>
      </c>
      <c r="T184" s="6">
        <v>6.10436070513626</v>
      </c>
      <c r="U184" s="6">
        <v>1.43760956076949</v>
      </c>
    </row>
    <row r="185" ht="11.25" customHeight="1">
      <c r="A185" s="2" t="s">
        <v>213</v>
      </c>
      <c r="B185" s="5">
        <v>0.788861362177566</v>
      </c>
      <c r="C185" s="5">
        <v>0.836381952595624</v>
      </c>
      <c r="D185" s="5">
        <v>0.776472839646468</v>
      </c>
      <c r="E185" s="5">
        <v>0.267437771656321</v>
      </c>
      <c r="F185" s="5">
        <v>0.241609367547956</v>
      </c>
      <c r="G185" s="5">
        <v>0.255226224326484</v>
      </c>
      <c r="H185" s="5">
        <v>0.251722752315493</v>
      </c>
      <c r="I185" s="5">
        <v>0.352328197609996</v>
      </c>
      <c r="J185" s="6">
        <v>3.16155524071701</v>
      </c>
      <c r="K185" s="6">
        <v>3.17906968508731</v>
      </c>
      <c r="L185" s="6">
        <v>2.98531949430069</v>
      </c>
      <c r="M185" s="6">
        <v>0.688102097138087</v>
      </c>
      <c r="N185" s="7">
        <v>0.125025306108235</v>
      </c>
      <c r="O185" s="7">
        <v>0.151989015505205</v>
      </c>
      <c r="P185" s="7">
        <v>0.315666406858924</v>
      </c>
      <c r="Q185" s="7">
        <v>0.43407663996536</v>
      </c>
      <c r="R185" s="6">
        <v>7.57004812341935</v>
      </c>
      <c r="S185" s="6">
        <v>7.66558015387657</v>
      </c>
      <c r="T185" s="6">
        <v>6.61518086884766</v>
      </c>
      <c r="U185" s="6">
        <v>1.38240115255387</v>
      </c>
    </row>
    <row r="186" ht="11.25" customHeight="1">
      <c r="A186" s="2" t="s">
        <v>214</v>
      </c>
      <c r="B186" s="5">
        <v>0.450712784136447</v>
      </c>
      <c r="C186" s="5">
        <v>0.540351119796631</v>
      </c>
      <c r="D186" s="5">
        <v>0.436333083268229</v>
      </c>
      <c r="E186" s="5">
        <v>0.211595735408975</v>
      </c>
      <c r="F186" s="5">
        <v>0.16710764893105</v>
      </c>
      <c r="G186" s="5">
        <v>0.178524034286354</v>
      </c>
      <c r="H186" s="5">
        <v>0.20690159047534</v>
      </c>
      <c r="I186" s="5">
        <v>0.273932931513893</v>
      </c>
      <c r="J186" s="6">
        <v>2.54753619513909</v>
      </c>
      <c r="K186" s="6">
        <v>2.88673243273228</v>
      </c>
      <c r="L186" s="6">
        <v>1.98806148528497</v>
      </c>
      <c r="M186" s="6">
        <v>0.681173068085505</v>
      </c>
      <c r="N186" s="7">
        <v>0.0910780669144982</v>
      </c>
      <c r="O186" s="7">
        <v>0.0927082689096418</v>
      </c>
      <c r="P186" s="7">
        <v>0.387197807575609</v>
      </c>
      <c r="Q186" s="7">
        <v>0.40459321953307</v>
      </c>
      <c r="R186" s="6">
        <v>5.36896569574669</v>
      </c>
      <c r="S186" s="6">
        <v>6.52006626097193</v>
      </c>
      <c r="T186" s="6">
        <v>4.01185063029994</v>
      </c>
      <c r="U186" s="6">
        <v>1.30332662718885</v>
      </c>
    </row>
    <row r="187" ht="11.25" customHeight="1">
      <c r="A187" s="2" t="s">
        <v>215</v>
      </c>
      <c r="B187" s="5">
        <v>0.275070881881683</v>
      </c>
      <c r="C187" s="5">
        <v>0.328913414868223</v>
      </c>
      <c r="D187" s="5">
        <v>0.363136245559183</v>
      </c>
      <c r="E187" s="5">
        <v>0.0607034420883745</v>
      </c>
      <c r="F187" s="5">
        <v>0.162057878851104</v>
      </c>
      <c r="G187" s="5">
        <v>0.161479411040667</v>
      </c>
      <c r="H187" s="5">
        <v>0.175522623680091</v>
      </c>
      <c r="I187" s="5">
        <v>0.227134718049498</v>
      </c>
      <c r="J187" s="6">
        <v>1.54309610649319</v>
      </c>
      <c r="K187" s="6">
        <v>1.88205674587013</v>
      </c>
      <c r="L187" s="6">
        <v>1.92645391499771</v>
      </c>
      <c r="M187" s="6">
        <v>0.157190597698911</v>
      </c>
      <c r="N187" s="7">
        <v>0.150065538559316</v>
      </c>
      <c r="O187" s="7">
        <v>0.146889646357051</v>
      </c>
      <c r="P187" s="7">
        <v>0.303898593949723</v>
      </c>
      <c r="Q187" s="7">
        <v>0.310217437196537</v>
      </c>
      <c r="R187" s="6">
        <v>3.00508157044584</v>
      </c>
      <c r="S187" s="6">
        <v>3.7832229193762</v>
      </c>
      <c r="T187" s="6">
        <v>3.64031477165823</v>
      </c>
      <c r="U187" s="6">
        <v>0.291976648892118</v>
      </c>
    </row>
    <row r="188" ht="11.25" customHeight="1">
      <c r="A188" s="2" t="s">
        <v>216</v>
      </c>
      <c r="B188" s="5">
        <v>0.336967938378135</v>
      </c>
      <c r="C188" s="5">
        <v>0.542903582575812</v>
      </c>
      <c r="D188" s="5">
        <v>0.513619635221024</v>
      </c>
      <c r="E188" s="5">
        <v>0.0369641996718794</v>
      </c>
      <c r="F188" s="5">
        <v>0.168340926163579</v>
      </c>
      <c r="G188" s="5">
        <v>0.174306027857781</v>
      </c>
      <c r="H188" s="5">
        <v>0.169049877290571</v>
      </c>
      <c r="I188" s="5">
        <v>0.267887257814884</v>
      </c>
      <c r="J188" s="6">
        <v>1.85319129155195</v>
      </c>
      <c r="K188" s="6">
        <v>2.9712316260134</v>
      </c>
      <c r="L188" s="6">
        <v>2.89038739957889</v>
      </c>
      <c r="M188" s="6">
        <v>0.0446613242058231</v>
      </c>
      <c r="N188" s="7">
        <v>0.123559353792754</v>
      </c>
      <c r="O188" s="7">
        <v>0.0769424721639504</v>
      </c>
      <c r="P188" s="7">
        <v>0.240377981519141</v>
      </c>
      <c r="Q188" s="7">
        <v>0.43725124751999</v>
      </c>
      <c r="R188" s="6">
        <v>3.67927774103095</v>
      </c>
      <c r="S188" s="6">
        <v>6.59618848588069</v>
      </c>
      <c r="T188" s="6">
        <v>6.14964498802951</v>
      </c>
      <c r="U188" s="6">
        <v>0.083927261713876</v>
      </c>
    </row>
    <row r="189" ht="11.25" customHeight="1">
      <c r="A189" s="2" t="s">
        <v>217</v>
      </c>
      <c r="B189" s="5">
        <v>0.281746719207407</v>
      </c>
      <c r="C189" s="5">
        <v>0.450613980144698</v>
      </c>
      <c r="D189" s="5">
        <v>0.357590650690976</v>
      </c>
      <c r="E189" s="5">
        <v>0.0473844557346658</v>
      </c>
      <c r="F189" s="5">
        <v>0.143383853243543</v>
      </c>
      <c r="G189" s="5">
        <v>0.139400718990759</v>
      </c>
      <c r="H189" s="5">
        <v>0.133534315209327</v>
      </c>
      <c r="I189" s="5">
        <v>0.229694480901413</v>
      </c>
      <c r="J189" s="6">
        <v>1.79062504877248</v>
      </c>
      <c r="K189" s="6">
        <v>3.05316918898323</v>
      </c>
      <c r="L189" s="6">
        <v>2.49067552538544</v>
      </c>
      <c r="M189" s="6">
        <v>0.0974531719126216</v>
      </c>
      <c r="N189" s="7">
        <v>0.0994455727225207</v>
      </c>
      <c r="O189" s="7">
        <v>0.0746378140473135</v>
      </c>
      <c r="P189" s="7">
        <v>0.103407155025553</v>
      </c>
      <c r="Q189" s="7">
        <v>0.382059800664451</v>
      </c>
      <c r="R189" s="6">
        <v>3.55122823176902</v>
      </c>
      <c r="S189" s="6">
        <v>6.78125562928048</v>
      </c>
      <c r="T189" s="6">
        <v>5.00716030950168</v>
      </c>
      <c r="U189" s="6">
        <v>0.175620143763165</v>
      </c>
    </row>
    <row r="190" ht="11.25" customHeight="1">
      <c r="A190" s="2" t="s">
        <v>218</v>
      </c>
      <c r="B190" s="5">
        <v>0.616549439154249</v>
      </c>
      <c r="C190" s="5">
        <v>0.80446441695026</v>
      </c>
      <c r="D190" s="5">
        <v>0.499114206756255</v>
      </c>
      <c r="E190" s="5">
        <v>0.292192022418335</v>
      </c>
      <c r="F190" s="5">
        <v>0.190280047156529</v>
      </c>
      <c r="G190" s="5">
        <v>0.202588244610925</v>
      </c>
      <c r="H190" s="5">
        <v>0.233418002353979</v>
      </c>
      <c r="I190" s="5">
        <v>0.300189522246645</v>
      </c>
      <c r="J190" s="6">
        <v>3.10883588686324</v>
      </c>
      <c r="K190" s="6">
        <v>3.84753033645774</v>
      </c>
      <c r="L190" s="6">
        <v>2.03118097993683</v>
      </c>
      <c r="M190" s="6">
        <v>0.890077776261631</v>
      </c>
      <c r="N190" s="7">
        <v>0.102536929258734</v>
      </c>
      <c r="O190" s="7">
        <v>0.0742837870914851</v>
      </c>
      <c r="P190" s="7">
        <v>0.357647203290968</v>
      </c>
      <c r="Q190" s="7">
        <v>0.38465745931902</v>
      </c>
      <c r="R190" s="6">
        <v>7.41522068609898</v>
      </c>
      <c r="S190" s="6">
        <v>9.78415505891425</v>
      </c>
      <c r="T190" s="6">
        <v>3.78556106563058</v>
      </c>
      <c r="U190" s="6">
        <v>1.6906192421431</v>
      </c>
    </row>
    <row r="191" ht="11.25" customHeight="1">
      <c r="A191" s="2" t="s">
        <v>219</v>
      </c>
      <c r="B191" s="5">
        <v>0.379447213228496</v>
      </c>
      <c r="C191" s="5">
        <v>0.380703944251644</v>
      </c>
      <c r="D191" s="5">
        <v>0.2916107896401</v>
      </c>
      <c r="E191" s="5">
        <v>0.0636313016964869</v>
      </c>
      <c r="F191" s="5">
        <v>0.18022521220624</v>
      </c>
      <c r="G191" s="5">
        <v>0.179180271412412</v>
      </c>
      <c r="H191" s="5">
        <v>0.194289752108654</v>
      </c>
      <c r="I191" s="5">
        <v>0.288697152036181</v>
      </c>
      <c r="J191" s="6">
        <v>1.96669050289638</v>
      </c>
      <c r="K191" s="6">
        <v>1.98517359889992</v>
      </c>
      <c r="L191" s="6">
        <v>1.37223289826939</v>
      </c>
      <c r="M191" s="6">
        <v>0.133812548631049</v>
      </c>
      <c r="N191" s="7">
        <v>0.167875808439698</v>
      </c>
      <c r="O191" s="7">
        <v>0.144985276286159</v>
      </c>
      <c r="P191" s="7">
        <v>0.322955523672883</v>
      </c>
      <c r="Q191" s="7">
        <v>0.461882865440463</v>
      </c>
      <c r="R191" s="6">
        <v>3.9693876118756</v>
      </c>
      <c r="S191" s="6">
        <v>4.15577056054708</v>
      </c>
      <c r="T191" s="6">
        <v>2.50850723194701</v>
      </c>
      <c r="U191" s="6">
        <v>0.242974224811255</v>
      </c>
    </row>
    <row r="192" ht="11.25" customHeight="1">
      <c r="A192" s="2" t="s">
        <v>220</v>
      </c>
      <c r="B192" s="5">
        <v>0.51489803342411</v>
      </c>
      <c r="C192" s="5">
        <v>0.776496208377611</v>
      </c>
      <c r="D192" s="5">
        <v>0.739751083065597</v>
      </c>
      <c r="E192" s="5">
        <v>0.365766374744482</v>
      </c>
      <c r="F192" s="5">
        <v>0.20954262840878</v>
      </c>
      <c r="G192" s="5">
        <v>0.234349872557686</v>
      </c>
      <c r="H192" s="5">
        <v>0.22300845607186</v>
      </c>
      <c r="I192" s="5">
        <v>0.320158956164797</v>
      </c>
      <c r="J192" s="6">
        <v>2.33793971729898</v>
      </c>
      <c r="K192" s="6">
        <v>3.20672761702751</v>
      </c>
      <c r="L192" s="6">
        <v>3.20504027360865</v>
      </c>
      <c r="M192" s="6">
        <v>1.06436620991816</v>
      </c>
      <c r="N192" s="7">
        <v>0.137414730026592</v>
      </c>
      <c r="O192" s="7">
        <v>0.120180990087665</v>
      </c>
      <c r="P192" s="7">
        <v>0.197772682607271</v>
      </c>
      <c r="Q192" s="7">
        <v>0.343369110423867</v>
      </c>
      <c r="R192" s="6">
        <v>5.32652041951328</v>
      </c>
      <c r="S192" s="6">
        <v>8.52376311146656</v>
      </c>
      <c r="T192" s="6">
        <v>7.85145600741658</v>
      </c>
      <c r="U192" s="6">
        <v>2.18243005376348</v>
      </c>
    </row>
    <row r="193" ht="11.25" customHeight="1">
      <c r="A193" s="2" t="s">
        <v>221</v>
      </c>
      <c r="B193" s="5">
        <v>0.665888886985944</v>
      </c>
      <c r="C193" s="5">
        <v>0.701077303512278</v>
      </c>
      <c r="D193" s="5">
        <v>0.882151494893077</v>
      </c>
      <c r="E193" s="5">
        <v>-0.0267959473307962</v>
      </c>
      <c r="F193" s="5">
        <v>0.328825109422435</v>
      </c>
      <c r="G193" s="5">
        <v>0.340892840233027</v>
      </c>
      <c r="H193" s="5">
        <v>0.338337309571397</v>
      </c>
      <c r="I193" s="5">
        <v>0.490345197604024</v>
      </c>
      <c r="J193" s="6">
        <v>1.9490266060023</v>
      </c>
      <c r="K193" s="6">
        <v>1.98325462937305</v>
      </c>
      <c r="L193" s="6">
        <v>2.53342292039535</v>
      </c>
      <c r="M193" s="6">
        <v>-0.105631599093632</v>
      </c>
      <c r="N193" s="7">
        <v>0.157778391820945</v>
      </c>
      <c r="O193" s="7">
        <v>0.173401652435883</v>
      </c>
      <c r="P193" s="7">
        <v>0.238608170136398</v>
      </c>
      <c r="Q193" s="7">
        <v>0.539099198673666</v>
      </c>
      <c r="R193" s="6">
        <v>4.27722088058432</v>
      </c>
      <c r="S193" s="6">
        <v>4.59113825296544</v>
      </c>
      <c r="T193" s="6">
        <v>5.62532310705645</v>
      </c>
      <c r="U193" s="6">
        <v>-0.199713138385364</v>
      </c>
    </row>
    <row r="194" ht="11.25" customHeight="1">
      <c r="A194" s="2" t="s">
        <v>222</v>
      </c>
      <c r="B194" s="5">
        <v>0.806127419583081</v>
      </c>
      <c r="C194" s="5">
        <v>0.950477660005945</v>
      </c>
      <c r="D194" s="5">
        <v>0.552441449251661</v>
      </c>
      <c r="E194" s="5">
        <v>0.1797356493263</v>
      </c>
      <c r="F194" s="5">
        <v>0.335976319674513</v>
      </c>
      <c r="G194" s="5">
        <v>0.340876584811514</v>
      </c>
      <c r="H194" s="5">
        <v>0.39324240543982</v>
      </c>
      <c r="I194" s="5">
        <v>0.497635562905581</v>
      </c>
      <c r="J194" s="6">
        <v>2.3249478425736</v>
      </c>
      <c r="K194" s="6">
        <v>2.71499334727752</v>
      </c>
      <c r="L194" s="6">
        <v>1.3412629003267</v>
      </c>
      <c r="M194" s="6">
        <v>0.31094170284542</v>
      </c>
      <c r="N194" s="7">
        <v>0.191999711774958</v>
      </c>
      <c r="O194" s="7">
        <v>0.167696381288614</v>
      </c>
      <c r="P194" s="7">
        <v>0.756608933454877</v>
      </c>
      <c r="Q194" s="7">
        <v>0.78015644298065</v>
      </c>
      <c r="R194" s="6">
        <v>5.52524423142432</v>
      </c>
      <c r="S194" s="6">
        <v>6.83877800307252</v>
      </c>
      <c r="T194" s="6">
        <v>2.63312775198951</v>
      </c>
      <c r="U194" s="6">
        <v>0.615884689338011</v>
      </c>
    </row>
    <row r="195" ht="11.25" customHeight="1">
      <c r="A195" s="2" t="s">
        <v>223</v>
      </c>
      <c r="B195" s="5">
        <v>0.113709219645263</v>
      </c>
      <c r="C195" s="5">
        <v>0.201337971234843</v>
      </c>
      <c r="D195" s="5">
        <v>0.095979153794284</v>
      </c>
      <c r="E195" s="5">
        <v>0.0116279006571859</v>
      </c>
      <c r="F195" s="5">
        <v>0.0587849899667606</v>
      </c>
      <c r="G195" s="5">
        <v>0.062334519735234</v>
      </c>
      <c r="H195" s="5">
        <v>0.078604358257017</v>
      </c>
      <c r="I195" s="5">
        <v>0.104372069134615</v>
      </c>
      <c r="J195" s="6">
        <v>1.50904541610746</v>
      </c>
      <c r="K195" s="6">
        <v>2.82889756725228</v>
      </c>
      <c r="L195" s="6">
        <v>0.902992599496831</v>
      </c>
      <c r="M195" s="6">
        <v>-0.12811951946231</v>
      </c>
      <c r="N195" s="7">
        <v>0.0580537502195676</v>
      </c>
      <c r="O195" s="7">
        <v>0.0577309236947791</v>
      </c>
      <c r="P195" s="7">
        <v>0.265473846417258</v>
      </c>
      <c r="Q195" s="7">
        <v>0.303345241961675</v>
      </c>
      <c r="R195" s="6">
        <v>2.92384784807908</v>
      </c>
      <c r="S195" s="6">
        <v>6.58178736110103</v>
      </c>
      <c r="T195" s="6">
        <v>1.39833675624752</v>
      </c>
      <c r="U195" s="6">
        <v>-0.211985128056976</v>
      </c>
    </row>
    <row r="196" ht="11.25" customHeight="1">
      <c r="A196" s="2" t="s">
        <v>224</v>
      </c>
      <c r="B196" s="5">
        <v>0.623523579581085</v>
      </c>
      <c r="C196" s="5">
        <v>0.844410191649132</v>
      </c>
      <c r="D196" s="5">
        <v>0.876790420300182</v>
      </c>
      <c r="E196" s="5">
        <v>0.183277586322533</v>
      </c>
      <c r="F196" s="5">
        <v>0.240390667736498</v>
      </c>
      <c r="G196" s="5">
        <v>0.248106715753635</v>
      </c>
      <c r="H196" s="5">
        <v>0.243669302350944</v>
      </c>
      <c r="I196" s="5">
        <v>0.36228289645648</v>
      </c>
      <c r="J196" s="6">
        <v>2.48979540352685</v>
      </c>
      <c r="K196" s="6">
        <v>3.30265220415391</v>
      </c>
      <c r="L196" s="6">
        <v>3.49568210719211</v>
      </c>
      <c r="M196" s="6">
        <v>0.436889480211899</v>
      </c>
      <c r="N196" s="7">
        <v>0.192036953238291</v>
      </c>
      <c r="O196" s="7">
        <v>0.129124099815776</v>
      </c>
      <c r="P196" s="7">
        <v>0.167420355830446</v>
      </c>
      <c r="Q196" s="7">
        <v>0.653644893540238</v>
      </c>
      <c r="R196" s="6">
        <v>5.47992140967502</v>
      </c>
      <c r="S196" s="6">
        <v>7.84300143377057</v>
      </c>
      <c r="T196" s="6">
        <v>8.20281113893059</v>
      </c>
      <c r="U196" s="6">
        <v>0.862649314064505</v>
      </c>
    </row>
    <row r="197" ht="11.25" customHeight="1">
      <c r="A197" s="2" t="s">
        <v>225</v>
      </c>
      <c r="B197" s="5">
        <v>0.465939703742093</v>
      </c>
      <c r="C197" s="5">
        <v>0.618471680538697</v>
      </c>
      <c r="D197" s="5">
        <v>0.537832572747122</v>
      </c>
      <c r="E197" s="5">
        <v>0.1078354243334</v>
      </c>
      <c r="F197" s="5">
        <v>0.215976921433189</v>
      </c>
      <c r="G197" s="5">
        <v>0.198254518391452</v>
      </c>
      <c r="H197" s="5">
        <v>0.252822745578189</v>
      </c>
      <c r="I197" s="5">
        <v>0.324408665896258</v>
      </c>
      <c r="J197" s="6">
        <v>2.04160565312295</v>
      </c>
      <c r="K197" s="6">
        <v>2.99348375690933</v>
      </c>
      <c r="L197" s="6">
        <v>2.02842735361609</v>
      </c>
      <c r="M197" s="6">
        <v>0.255342822315017</v>
      </c>
      <c r="N197" s="7">
        <v>0.159447223868006</v>
      </c>
      <c r="O197" s="7">
        <v>0.0953106483832741</v>
      </c>
      <c r="P197" s="7">
        <v>0.499013287725299</v>
      </c>
      <c r="Q197" s="7">
        <v>0.515028018339277</v>
      </c>
      <c r="R197" s="6">
        <v>4.35312224172544</v>
      </c>
      <c r="S197" s="6">
        <v>7.01677728049681</v>
      </c>
      <c r="T197" s="6">
        <v>3.85562328961126</v>
      </c>
      <c r="U197" s="6">
        <v>0.487308427901766</v>
      </c>
    </row>
    <row r="198" ht="11.25" customHeight="1">
      <c r="A198" s="2" t="s">
        <v>226</v>
      </c>
      <c r="B198" s="5">
        <v>3.21772701217755</v>
      </c>
      <c r="C198" s="5">
        <v>5.29819509812464</v>
      </c>
      <c r="D198" s="5">
        <v>3.42287768788815</v>
      </c>
      <c r="E198" s="5">
        <v>0.624171198741102</v>
      </c>
      <c r="F198" s="5">
        <v>0.742315225649968</v>
      </c>
      <c r="G198" s="5">
        <v>0.738425671686835</v>
      </c>
      <c r="H198" s="5">
        <v>0.700934960486382</v>
      </c>
      <c r="I198" s="5">
        <v>1.01830367144562</v>
      </c>
      <c r="J198" s="6">
        <v>4.30103937229903</v>
      </c>
      <c r="K198" s="6">
        <v>7.14113187056285</v>
      </c>
      <c r="L198" s="6">
        <v>4.84763619941335</v>
      </c>
      <c r="M198" s="6">
        <v>0.588401294763571</v>
      </c>
      <c r="N198" s="7">
        <v>0.443360349577926</v>
      </c>
      <c r="O198" s="7">
        <v>0.294117647058823</v>
      </c>
      <c r="P198" s="7">
        <v>0.578847316673154</v>
      </c>
      <c r="Q198" s="7">
        <v>0.9598044853364</v>
      </c>
      <c r="R198" s="6">
        <v>10.3656886481323</v>
      </c>
      <c r="S198" s="6">
        <v>19.6085403393237</v>
      </c>
      <c r="T198" s="6">
        <v>11.4230577395792</v>
      </c>
      <c r="U198" s="6">
        <v>1.25335060085019</v>
      </c>
    </row>
    <row r="199" ht="11.25" customHeight="1">
      <c r="A199" s="2" t="s">
        <v>227</v>
      </c>
      <c r="B199" s="5">
        <v>0.665626364426139</v>
      </c>
      <c r="C199" s="5">
        <v>0.90401417609324</v>
      </c>
      <c r="D199" s="5">
        <v>0.484849212694792</v>
      </c>
      <c r="E199" s="5">
        <v>0.0643455120261493</v>
      </c>
      <c r="F199" s="5">
        <v>0.317165987246506</v>
      </c>
      <c r="G199" s="5">
        <v>0.324917886357776</v>
      </c>
      <c r="H199" s="5">
        <v>0.351536305853294</v>
      </c>
      <c r="I199" s="5">
        <v>0.464470482287141</v>
      </c>
      <c r="J199" s="6">
        <v>2.0198457280611</v>
      </c>
      <c r="K199" s="6">
        <v>2.70534252806671</v>
      </c>
      <c r="L199" s="6">
        <v>1.30811300294741</v>
      </c>
      <c r="M199" s="6">
        <v>0.08471046821405</v>
      </c>
      <c r="N199" s="7">
        <v>0.193640980348862</v>
      </c>
      <c r="O199" s="7">
        <v>0.193640980348862</v>
      </c>
      <c r="P199" s="7">
        <v>0.652457888522489</v>
      </c>
      <c r="Q199" s="7">
        <v>0.775141669814884</v>
      </c>
      <c r="R199" s="6">
        <v>4.45422451208348</v>
      </c>
      <c r="S199" s="6">
        <v>6.29085605881018</v>
      </c>
      <c r="T199" s="6">
        <v>2.38963864228258</v>
      </c>
      <c r="U199" s="6">
        <v>0.165972728066622</v>
      </c>
    </row>
    <row r="200" ht="11.25" customHeight="1">
      <c r="A200" s="2" t="s">
        <v>228</v>
      </c>
      <c r="B200" s="5">
        <v>1.02056876450344</v>
      </c>
      <c r="C200" s="5">
        <v>1.45370170227865</v>
      </c>
      <c r="D200" s="5">
        <v>0.895245427902542</v>
      </c>
      <c r="E200" s="5">
        <v>0.177662007960097</v>
      </c>
      <c r="F200" s="5">
        <v>0.348217750297814</v>
      </c>
      <c r="G200" s="5">
        <v>0.336299151693828</v>
      </c>
      <c r="H200" s="5">
        <v>0.295054631418837</v>
      </c>
      <c r="I200" s="5">
        <v>0.553631375856695</v>
      </c>
      <c r="J200" s="6">
        <v>2.85904082618413</v>
      </c>
      <c r="K200" s="6">
        <v>4.24830599507239</v>
      </c>
      <c r="L200" s="6">
        <v>2.94943829119973</v>
      </c>
      <c r="M200" s="6">
        <v>0.275746669386045</v>
      </c>
      <c r="N200" s="7">
        <v>0.175949367088607</v>
      </c>
      <c r="O200" s="7">
        <v>0.175949367088607</v>
      </c>
      <c r="P200" s="7">
        <v>0.183711244794076</v>
      </c>
      <c r="Q200" s="7">
        <v>0.616206261510129</v>
      </c>
      <c r="R200" s="6">
        <v>6.37722672903462</v>
      </c>
      <c r="S200" s="6">
        <v>10.5554673338903</v>
      </c>
      <c r="T200" s="6">
        <v>6.58957388637695</v>
      </c>
      <c r="U200" s="6">
        <v>0.549494423664606</v>
      </c>
    </row>
    <row r="201" ht="11.25" customHeight="1">
      <c r="A201" s="2" t="s">
        <v>229</v>
      </c>
      <c r="B201" s="5">
        <v>0.590142097546488</v>
      </c>
      <c r="C201" s="5">
        <v>0.824419769443195</v>
      </c>
      <c r="D201" s="5">
        <v>0.636236590422257</v>
      </c>
      <c r="E201" s="5">
        <v>0.308890842239178</v>
      </c>
      <c r="F201" s="5">
        <v>0.207691564654461</v>
      </c>
      <c r="G201" s="5">
        <v>0.240097376581085</v>
      </c>
      <c r="H201" s="5">
        <v>0.248460366450311</v>
      </c>
      <c r="I201" s="5">
        <v>0.352994999768543</v>
      </c>
      <c r="J201" s="6">
        <v>2.72106427859369</v>
      </c>
      <c r="K201" s="6">
        <v>3.32956478253403</v>
      </c>
      <c r="L201" s="6">
        <v>2.46009695290575</v>
      </c>
      <c r="M201" s="6">
        <v>0.804234741073736</v>
      </c>
      <c r="N201" s="7">
        <v>0.11423349400261</v>
      </c>
      <c r="O201" s="7">
        <v>0.0849014341417748</v>
      </c>
      <c r="P201" s="7">
        <v>0.242219089373963</v>
      </c>
      <c r="Q201" s="7">
        <v>0.330668247797641</v>
      </c>
      <c r="R201" s="6">
        <v>5.86012503511881</v>
      </c>
      <c r="S201" s="6">
        <v>7.94040755004818</v>
      </c>
      <c r="T201" s="6">
        <v>5.27308891821043</v>
      </c>
      <c r="U201" s="6">
        <v>1.51121719844209</v>
      </c>
    </row>
    <row r="202" ht="11.25" customHeight="1">
      <c r="A202" s="2" t="s">
        <v>230</v>
      </c>
      <c r="B202" s="5">
        <v>0.405759691973493</v>
      </c>
      <c r="C202" s="5">
        <v>0.449270565079456</v>
      </c>
      <c r="D202" s="5">
        <v>0.468971532435236</v>
      </c>
      <c r="E202" s="5">
        <v>0.144296332375121</v>
      </c>
      <c r="F202" s="5">
        <v>0.195149020245919</v>
      </c>
      <c r="G202" s="5">
        <v>0.205840438150453</v>
      </c>
      <c r="H202" s="5">
        <v>0.189567187152018</v>
      </c>
      <c r="I202" s="5">
        <v>0.298073679027962</v>
      </c>
      <c r="J202" s="6">
        <v>1.95112274452454</v>
      </c>
      <c r="K202" s="6">
        <v>2.0611623687341</v>
      </c>
      <c r="L202" s="6">
        <v>2.34202732606463</v>
      </c>
      <c r="M202" s="6">
        <v>0.400224309520233</v>
      </c>
      <c r="N202" s="7">
        <v>0.14647096215789</v>
      </c>
      <c r="O202" s="7">
        <v>0.138701819744949</v>
      </c>
      <c r="P202" s="7">
        <v>0.156666457344049</v>
      </c>
      <c r="Q202" s="7">
        <v>0.479572312886888</v>
      </c>
      <c r="R202" s="6">
        <v>4.16605975925819</v>
      </c>
      <c r="S202" s="6">
        <v>4.46998550799998</v>
      </c>
      <c r="T202" s="6">
        <v>5.07714084995907</v>
      </c>
      <c r="U202" s="6">
        <v>0.779177226934345</v>
      </c>
    </row>
    <row r="203" ht="11.25" customHeight="1">
      <c r="A203" s="2" t="s">
        <v>231</v>
      </c>
      <c r="B203" s="5">
        <v>0.383261275387924</v>
      </c>
      <c r="C203" s="5">
        <v>0.452138942982444</v>
      </c>
      <c r="D203" s="5">
        <v>0.354155235734342</v>
      </c>
      <c r="E203" s="5">
        <v>0.157641269146974</v>
      </c>
      <c r="F203" s="5">
        <v>0.154860284340895</v>
      </c>
      <c r="G203" s="5">
        <v>0.16793294234024</v>
      </c>
      <c r="H203" s="5">
        <v>0.161528071005849</v>
      </c>
      <c r="I203" s="5">
        <v>0.250585430788499</v>
      </c>
      <c r="J203" s="6">
        <v>2.31344838938356</v>
      </c>
      <c r="K203" s="6">
        <v>2.54350895678966</v>
      </c>
      <c r="L203" s="6">
        <v>2.03775872320311</v>
      </c>
      <c r="M203" s="6">
        <v>0.529325542708537</v>
      </c>
      <c r="N203" s="7">
        <v>0.124841409486677</v>
      </c>
      <c r="O203" s="7">
        <v>0.118610747051114</v>
      </c>
      <c r="P203" s="7">
        <v>0.144202015727101</v>
      </c>
      <c r="Q203" s="7">
        <v>0.368479805155267</v>
      </c>
      <c r="R203" s="6">
        <v>4.78272451804327</v>
      </c>
      <c r="S203" s="6">
        <v>5.44838765768356</v>
      </c>
      <c r="T203" s="6">
        <v>4.13406624455192</v>
      </c>
      <c r="U203" s="6">
        <v>1.02019994503295</v>
      </c>
    </row>
    <row r="204" ht="11.25" customHeight="1">
      <c r="A204" s="2" t="s">
        <v>232</v>
      </c>
      <c r="B204" s="5">
        <v>0.46217765845207</v>
      </c>
      <c r="C204" s="5">
        <v>0.545612878069709</v>
      </c>
      <c r="D204" s="5">
        <v>0.533700709896307</v>
      </c>
      <c r="E204" s="5">
        <v>0.184824178303702</v>
      </c>
      <c r="F204" s="5">
        <v>0.194580668896236</v>
      </c>
      <c r="G204" s="5">
        <v>0.205757428859935</v>
      </c>
      <c r="H204" s="5">
        <v>0.201192435915558</v>
      </c>
      <c r="I204" s="5">
        <v>0.29369585009947</v>
      </c>
      <c r="J204" s="6">
        <v>2.24676819610072</v>
      </c>
      <c r="K204" s="6">
        <v>2.53022639792074</v>
      </c>
      <c r="L204" s="6">
        <v>2.5284286040943</v>
      </c>
      <c r="M204" s="6">
        <v>0.544182623791149</v>
      </c>
      <c r="N204" s="7">
        <v>0.193308678025433</v>
      </c>
      <c r="O204" s="7">
        <v>0.16509186351706</v>
      </c>
      <c r="P204" s="7">
        <v>0.16509186351706</v>
      </c>
      <c r="Q204" s="7">
        <v>0.452005773741504</v>
      </c>
      <c r="R204" s="6">
        <v>4.8050101533242</v>
      </c>
      <c r="S204" s="6">
        <v>5.63228477284891</v>
      </c>
      <c r="T204" s="6">
        <v>5.46139130218311</v>
      </c>
      <c r="U204" s="6">
        <v>1.04017426211953</v>
      </c>
    </row>
    <row r="205" ht="11.25" customHeight="1">
      <c r="A205" s="2" t="s">
        <v>233</v>
      </c>
      <c r="B205" s="5">
        <v>0.596940769543123</v>
      </c>
      <c r="C205" s="5">
        <v>0.794304851268345</v>
      </c>
      <c r="D205" s="5">
        <v>0.616821907639152</v>
      </c>
      <c r="E205" s="5">
        <v>0.209346280638632</v>
      </c>
      <c r="F205" s="5">
        <v>0.210823771974135</v>
      </c>
      <c r="G205" s="5">
        <v>0.225251653485156</v>
      </c>
      <c r="H205" s="5">
        <v>0.232566405116465</v>
      </c>
      <c r="I205" s="5">
        <v>0.342017759844862</v>
      </c>
      <c r="J205" s="6">
        <v>2.71288557351725</v>
      </c>
      <c r="K205" s="6">
        <v>3.41531278179514</v>
      </c>
      <c r="L205" s="6">
        <v>2.54474375756368</v>
      </c>
      <c r="M205" s="6">
        <v>0.538996222658878</v>
      </c>
      <c r="N205" s="7">
        <v>0.155759723584265</v>
      </c>
      <c r="O205" s="7">
        <v>0.0969827256442566</v>
      </c>
      <c r="P205" s="7">
        <v>0.320385423469362</v>
      </c>
      <c r="Q205" s="7">
        <v>0.450333016175071</v>
      </c>
      <c r="R205" s="6">
        <v>5.92237123231652</v>
      </c>
      <c r="S205" s="6">
        <v>7.95300694655035</v>
      </c>
      <c r="T205" s="6">
        <v>5.26303560636759</v>
      </c>
      <c r="U205" s="6">
        <v>1.06839029927843</v>
      </c>
    </row>
    <row r="206" ht="11.25" customHeight="1">
      <c r="A206" s="2" t="s">
        <v>234</v>
      </c>
      <c r="B206" s="5">
        <v>0.341728964379169</v>
      </c>
      <c r="C206" s="5">
        <v>0.430007376359905</v>
      </c>
      <c r="D206" s="5">
        <v>0.355699399878827</v>
      </c>
      <c r="E206" s="5">
        <v>0.0318047928531513</v>
      </c>
      <c r="F206" s="5">
        <v>0.169021548255605</v>
      </c>
      <c r="G206" s="5">
        <v>0.17805816733776</v>
      </c>
      <c r="H206" s="5">
        <v>0.185342966180751</v>
      </c>
      <c r="I206" s="5">
        <v>0.259032785361078</v>
      </c>
      <c r="J206" s="6">
        <v>1.87389695366054</v>
      </c>
      <c r="K206" s="6">
        <v>2.27457904579935</v>
      </c>
      <c r="L206" s="6">
        <v>1.78425654176874</v>
      </c>
      <c r="M206" s="6">
        <v>0.0262700061062377</v>
      </c>
      <c r="N206" s="7">
        <v>0.166783251723793</v>
      </c>
      <c r="O206" s="7">
        <v>0.170641910596244</v>
      </c>
      <c r="P206" s="7">
        <v>0.390931754440635</v>
      </c>
      <c r="Q206" s="7">
        <v>0.419943611811841</v>
      </c>
      <c r="R206" s="6">
        <v>3.71802806067595</v>
      </c>
      <c r="S206" s="6">
        <v>4.72042335569854</v>
      </c>
      <c r="T206" s="6">
        <v>3.31077676997664</v>
      </c>
      <c r="U206" s="6">
        <v>0.0490749673438095</v>
      </c>
    </row>
    <row r="207" ht="11.25" customHeight="1">
      <c r="A207" s="2" t="s">
        <v>235</v>
      </c>
      <c r="B207" s="5">
        <v>1.53627368735643</v>
      </c>
      <c r="C207" s="5">
        <v>1.74170387046812</v>
      </c>
      <c r="D207" s="5">
        <v>1.87890184861564</v>
      </c>
      <c r="E207" s="5">
        <v>0.512761317930493</v>
      </c>
      <c r="F207" s="5">
        <v>0.517326902449928</v>
      </c>
      <c r="G207" s="5">
        <v>0.538155543785796</v>
      </c>
      <c r="H207" s="5">
        <v>0.543838233459963</v>
      </c>
      <c r="I207" s="5">
        <v>0.719383419536138</v>
      </c>
      <c r="J207" s="6">
        <v>2.92131277186519</v>
      </c>
      <c r="K207" s="6">
        <v>3.18997711775208</v>
      </c>
      <c r="L207" s="6">
        <v>3.4089215037731</v>
      </c>
      <c r="M207" s="6">
        <v>0.678026911219338</v>
      </c>
      <c r="N207" s="7">
        <v>0.518854242204496</v>
      </c>
      <c r="O207" s="7">
        <v>0.518854242204496</v>
      </c>
      <c r="P207" s="7">
        <v>0.600270144121422</v>
      </c>
      <c r="Q207" s="7">
        <v>0.769398114575779</v>
      </c>
      <c r="R207" s="6">
        <v>7.05068621058716</v>
      </c>
      <c r="S207" s="6">
        <v>7.86096632302598</v>
      </c>
      <c r="T207" s="6">
        <v>7.83936424007577</v>
      </c>
      <c r="U207" s="6">
        <v>1.39211750297391</v>
      </c>
    </row>
    <row r="208" ht="11.25" customHeight="1">
      <c r="A208" s="2" t="s">
        <v>236</v>
      </c>
      <c r="B208" s="5">
        <v>0.344346293670485</v>
      </c>
      <c r="C208" s="5">
        <v>0.437466746130744</v>
      </c>
      <c r="D208" s="5">
        <v>0.446404137458557</v>
      </c>
      <c r="E208" s="5">
        <v>0.138198381060717</v>
      </c>
      <c r="F208" s="5">
        <v>0.153982215005866</v>
      </c>
      <c r="G208" s="5">
        <v>0.169521243872328</v>
      </c>
      <c r="H208" s="5">
        <v>0.189427362122496</v>
      </c>
      <c r="I208" s="5">
        <v>0.255928606426981</v>
      </c>
      <c r="J208" s="6">
        <v>2.07391674199724</v>
      </c>
      <c r="K208" s="6">
        <v>2.43312718045761</v>
      </c>
      <c r="L208" s="6">
        <v>2.22462126240268</v>
      </c>
      <c r="M208" s="6">
        <v>0.442304526411018</v>
      </c>
      <c r="N208" s="7">
        <v>0.133507330119674</v>
      </c>
      <c r="O208" s="7">
        <v>0.129477020602218</v>
      </c>
      <c r="P208" s="7">
        <v>0.385331143951833</v>
      </c>
      <c r="Q208" s="7">
        <v>0.392233797862265</v>
      </c>
      <c r="R208" s="6">
        <v>4.24723150733352</v>
      </c>
      <c r="S208" s="6">
        <v>5.42429179499496</v>
      </c>
      <c r="T208" s="6">
        <v>4.14082482446612</v>
      </c>
      <c r="U208" s="6">
        <v>0.819822219736111</v>
      </c>
    </row>
    <row r="209" ht="11.25" customHeight="1">
      <c r="A209" s="2" t="s">
        <v>237</v>
      </c>
      <c r="B209" s="5">
        <v>0.796791813612648</v>
      </c>
      <c r="C209" s="5">
        <v>1.05418859902928</v>
      </c>
      <c r="D209" s="5">
        <v>0.806508371072461</v>
      </c>
      <c r="E209" s="5">
        <v>0.384653007419276</v>
      </c>
      <c r="F209" s="5">
        <v>0.258273781606902</v>
      </c>
      <c r="G209" s="5">
        <v>0.268893042043917</v>
      </c>
      <c r="H209" s="5">
        <v>0.239847812854687</v>
      </c>
      <c r="I209" s="5">
        <v>0.382069661832155</v>
      </c>
      <c r="J209" s="6">
        <v>2.9882700784059</v>
      </c>
      <c r="K209" s="6">
        <v>3.82750178735078</v>
      </c>
      <c r="L209" s="6">
        <v>3.25835104256689</v>
      </c>
      <c r="M209" s="6">
        <v>0.941328358013605</v>
      </c>
      <c r="N209" s="7">
        <v>0.152215253174603</v>
      </c>
      <c r="O209" s="7">
        <v>0.134426528706908</v>
      </c>
      <c r="P209" s="7">
        <v>0.134451526520982</v>
      </c>
      <c r="Q209" s="7">
        <v>0.44018263342381</v>
      </c>
      <c r="R209" s="6">
        <v>7.14626685083953</v>
      </c>
      <c r="S209" s="6">
        <v>9.96675366362494</v>
      </c>
      <c r="T209" s="6">
        <v>8.11814165600196</v>
      </c>
      <c r="U209" s="6">
        <v>1.81568609231561</v>
      </c>
    </row>
    <row r="210" ht="11.25" customHeight="1">
      <c r="A210" s="2" t="s">
        <v>238</v>
      </c>
      <c r="B210" s="5">
        <v>0.298584061674448</v>
      </c>
      <c r="C210" s="5">
        <v>0.430318212627531</v>
      </c>
      <c r="D210" s="5">
        <v>0.368737295146673</v>
      </c>
      <c r="E210" s="5">
        <v>0.0466844967169117</v>
      </c>
      <c r="F210" s="5">
        <v>0.144981515116383</v>
      </c>
      <c r="G210" s="5">
        <v>0.143341574498514</v>
      </c>
      <c r="H210" s="5">
        <v>0.148417509341446</v>
      </c>
      <c r="I210" s="5">
        <v>0.233370643645499</v>
      </c>
      <c r="J210" s="6">
        <v>1.88702719415526</v>
      </c>
      <c r="K210" s="6">
        <v>2.82763890410407</v>
      </c>
      <c r="L210" s="6">
        <v>2.31601578999603</v>
      </c>
      <c r="M210" s="6">
        <v>0.0929186995338261</v>
      </c>
      <c r="N210" s="7">
        <v>0.099357978274828</v>
      </c>
      <c r="O210" s="7">
        <v>0.0629231381919556</v>
      </c>
      <c r="P210" s="7">
        <v>0.26420351729546</v>
      </c>
      <c r="Q210" s="7">
        <v>0.485272674249049</v>
      </c>
      <c r="R210" s="6">
        <v>3.67581229876984</v>
      </c>
      <c r="S210" s="6">
        <v>6.04680555777377</v>
      </c>
      <c r="T210" s="6">
        <v>4.65539414818815</v>
      </c>
      <c r="U210" s="6">
        <v>0.169712613909056</v>
      </c>
    </row>
    <row r="211" ht="11.25" customHeight="1">
      <c r="A211" s="2" t="s">
        <v>239</v>
      </c>
      <c r="B211" s="5">
        <v>0.357004160836374</v>
      </c>
      <c r="C211" s="5">
        <v>0.633894234554524</v>
      </c>
      <c r="D211" s="5">
        <v>0.45606007027949</v>
      </c>
      <c r="E211" s="5">
        <v>0.0641913154441009</v>
      </c>
      <c r="F211" s="5">
        <v>0.180748301920051</v>
      </c>
      <c r="G211" s="5">
        <v>0.176052058988496</v>
      </c>
      <c r="H211" s="5">
        <v>0.184949701903697</v>
      </c>
      <c r="I211" s="5">
        <v>0.281668304447473</v>
      </c>
      <c r="J211" s="6">
        <v>1.83683142419354</v>
      </c>
      <c r="K211" s="6">
        <v>3.45860331343418</v>
      </c>
      <c r="L211" s="6">
        <v>2.33068810515813</v>
      </c>
      <c r="M211" s="6">
        <v>0.139139955846219</v>
      </c>
      <c r="N211" s="7">
        <v>0.208668929769175</v>
      </c>
      <c r="O211" s="7">
        <v>0.0750436300174519</v>
      </c>
      <c r="P211" s="7">
        <v>0.202936086718775</v>
      </c>
      <c r="Q211" s="7">
        <v>0.494249649368864</v>
      </c>
      <c r="R211" s="6">
        <v>3.60484749707636</v>
      </c>
      <c r="S211" s="6">
        <v>7.87969845675186</v>
      </c>
      <c r="T211" s="6">
        <v>4.64685701039926</v>
      </c>
      <c r="U211" s="6">
        <v>0.253667727468313</v>
      </c>
    </row>
    <row r="212" ht="11.25" customHeight="1">
      <c r="A212" s="2" t="s">
        <v>240</v>
      </c>
      <c r="B212" s="5">
        <v>0.36255865501929</v>
      </c>
      <c r="C212" s="5">
        <v>0.610448671149926</v>
      </c>
      <c r="D212" s="5">
        <v>0.49004712879113</v>
      </c>
      <c r="E212" s="5">
        <v>0.0734835020624751</v>
      </c>
      <c r="F212" s="5">
        <v>0.147564802990171</v>
      </c>
      <c r="G212" s="5">
        <v>0.149289041731937</v>
      </c>
      <c r="H212" s="5">
        <v>0.155503419247926</v>
      </c>
      <c r="I212" s="5">
        <v>0.228469973001571</v>
      </c>
      <c r="J212" s="6">
        <v>2.28752824643267</v>
      </c>
      <c r="K212" s="6">
        <v>3.92157833125591</v>
      </c>
      <c r="L212" s="6">
        <v>2.99059101748548</v>
      </c>
      <c r="M212" s="6">
        <v>0.212209514561204</v>
      </c>
      <c r="N212" s="7">
        <v>0.0741662738709869</v>
      </c>
      <c r="O212" s="7">
        <v>0.0563165905631659</v>
      </c>
      <c r="P212" s="7">
        <v>0.189705825085758</v>
      </c>
      <c r="Q212" s="7">
        <v>0.32903463522476</v>
      </c>
      <c r="R212" s="6">
        <v>4.72281418891937</v>
      </c>
      <c r="S212" s="6">
        <v>9.15326598620318</v>
      </c>
      <c r="T212" s="6">
        <v>6.29354814775731</v>
      </c>
      <c r="U212" s="6">
        <v>0.402179293220827</v>
      </c>
    </row>
    <row r="213" ht="11.25" customHeight="1">
      <c r="A213" s="2" t="s">
        <v>241</v>
      </c>
      <c r="B213" s="5">
        <v>0.270468750092106</v>
      </c>
      <c r="C213" s="5">
        <v>0.456654131354741</v>
      </c>
      <c r="D213" s="5">
        <v>0.287687109749922</v>
      </c>
      <c r="E213" s="5">
        <v>0.0661431626271611</v>
      </c>
      <c r="F213" s="5">
        <v>0.135018930389767</v>
      </c>
      <c r="G213" s="5">
        <v>0.136062743217838</v>
      </c>
      <c r="H213" s="5">
        <v>0.129844668149907</v>
      </c>
      <c r="I213" s="5">
        <v>0.212206227657623</v>
      </c>
      <c r="J213" s="6">
        <v>1.81803210396865</v>
      </c>
      <c r="K213" s="6">
        <v>3.17246382915899</v>
      </c>
      <c r="L213" s="6">
        <v>2.02308738196817</v>
      </c>
      <c r="M213" s="6">
        <v>0.193882917958195</v>
      </c>
      <c r="N213" s="7">
        <v>0.0830872218940738</v>
      </c>
      <c r="O213" s="7">
        <v>0.073833431777909</v>
      </c>
      <c r="P213" s="7">
        <v>0.165723524656426</v>
      </c>
      <c r="Q213" s="7">
        <v>0.331683933817845</v>
      </c>
      <c r="R213" s="6">
        <v>3.62441884652373</v>
      </c>
      <c r="S213" s="6">
        <v>7.25205216612691</v>
      </c>
      <c r="T213" s="6">
        <v>4.12856887373362</v>
      </c>
      <c r="U213" s="6">
        <v>0.361289630644859</v>
      </c>
    </row>
    <row r="214" ht="11.25" customHeight="1">
      <c r="A214" s="2" t="s">
        <v>242</v>
      </c>
      <c r="B214" s="5">
        <v>0.389860991207281</v>
      </c>
      <c r="C214" s="5">
        <v>0.67324653968756</v>
      </c>
      <c r="D214" s="5">
        <v>0.434710081151011</v>
      </c>
      <c r="E214" s="5">
        <v>0.123567362098742</v>
      </c>
      <c r="F214" s="5">
        <v>0.151945757969133</v>
      </c>
      <c r="G214" s="5">
        <v>0.161471862689011</v>
      </c>
      <c r="H214" s="5">
        <v>0.172370035292184</v>
      </c>
      <c r="I214" s="5">
        <v>0.246923231749343</v>
      </c>
      <c r="J214" s="6">
        <v>2.40125816004286</v>
      </c>
      <c r="K214" s="6">
        <v>4.01460990721372</v>
      </c>
      <c r="L214" s="6">
        <v>2.3769217222501</v>
      </c>
      <c r="M214" s="6">
        <v>0.399182213032107</v>
      </c>
      <c r="N214" s="7">
        <v>0.0950435982108504</v>
      </c>
      <c r="O214" s="7">
        <v>0.0803523035230351</v>
      </c>
      <c r="P214" s="7">
        <v>0.248917197452229</v>
      </c>
      <c r="Q214" s="7">
        <v>0.334116265413975</v>
      </c>
      <c r="R214" s="6">
        <v>4.99677592745481</v>
      </c>
      <c r="S214" s="6">
        <v>9.24765768370205</v>
      </c>
      <c r="T214" s="6">
        <v>4.57766337050423</v>
      </c>
      <c r="U214" s="6">
        <v>0.758462684032086</v>
      </c>
    </row>
    <row r="215" ht="11.25" customHeight="1">
      <c r="A215" s="2" t="s">
        <v>243</v>
      </c>
      <c r="B215" s="5">
        <v>0.294497651123334</v>
      </c>
      <c r="C215" s="5">
        <v>0.490138454544581</v>
      </c>
      <c r="D215" s="5">
        <v>0.306674628572753</v>
      </c>
      <c r="E215" s="5">
        <v>0.00267690659295527</v>
      </c>
      <c r="F215" s="5">
        <v>0.157075069201483</v>
      </c>
      <c r="G215" s="5">
        <v>0.155675439106589</v>
      </c>
      <c r="H215" s="5">
        <v>0.178493576920125</v>
      </c>
      <c r="I215" s="5">
        <v>0.247842082028995</v>
      </c>
      <c r="J215" s="6">
        <v>1.71572517837087</v>
      </c>
      <c r="K215" s="6">
        <v>2.98787308527266</v>
      </c>
      <c r="L215" s="6">
        <v>1.5780659082136</v>
      </c>
      <c r="M215" s="6">
        <v>-0.0900698268199388</v>
      </c>
      <c r="N215" s="7">
        <v>0.0925468032497351</v>
      </c>
      <c r="O215" s="7">
        <v>0.0835411471321695</v>
      </c>
      <c r="P215" s="7">
        <v>0.424466702611532</v>
      </c>
      <c r="Q215" s="7">
        <v>0.553587647593097</v>
      </c>
      <c r="R215" s="6">
        <v>3.44664788077596</v>
      </c>
      <c r="S215" s="6">
        <v>6.60014916328604</v>
      </c>
      <c r="T215" s="6">
        <v>2.87358187365512</v>
      </c>
      <c r="U215" s="6">
        <v>-0.160457776252952</v>
      </c>
    </row>
    <row r="216" ht="11.25" customHeight="1">
      <c r="A216" s="2" t="s">
        <v>244</v>
      </c>
      <c r="B216" s="5">
        <v>0.432490381119275</v>
      </c>
      <c r="C216" s="5">
        <v>0.787072098060661</v>
      </c>
      <c r="D216" s="5">
        <v>0.584665694806477</v>
      </c>
      <c r="E216" s="5">
        <v>0.0806056496958704</v>
      </c>
      <c r="F216" s="5">
        <v>0.186473153165064</v>
      </c>
      <c r="G216" s="5">
        <v>0.186187446549556</v>
      </c>
      <c r="H216" s="5">
        <v>0.181945570137297</v>
      </c>
      <c r="I216" s="5">
        <v>0.294989648892188</v>
      </c>
      <c r="J216" s="6">
        <v>2.18524958795847</v>
      </c>
      <c r="K216" s="6">
        <v>4.09303694842727</v>
      </c>
      <c r="L216" s="6">
        <v>3.07600616153584</v>
      </c>
      <c r="M216" s="6">
        <v>0.18850034197706</v>
      </c>
      <c r="N216" s="7">
        <v>0.132388952446768</v>
      </c>
      <c r="O216" s="7">
        <v>0.0867484917828168</v>
      </c>
      <c r="P216" s="7">
        <v>0.147108843537415</v>
      </c>
      <c r="Q216" s="7">
        <v>0.506958502024291</v>
      </c>
      <c r="R216" s="6">
        <v>4.45368160114334</v>
      </c>
      <c r="S216" s="6">
        <v>9.46327994165694</v>
      </c>
      <c r="T216" s="6">
        <v>6.54797295728618</v>
      </c>
      <c r="U216" s="6">
        <v>0.355031037442351</v>
      </c>
    </row>
    <row r="217" ht="11.25" customHeight="1">
      <c r="A217" s="2" t="s">
        <v>245</v>
      </c>
      <c r="B217" s="5">
        <v>0.546579167025503</v>
      </c>
      <c r="C217" s="5">
        <v>0.735725598282307</v>
      </c>
      <c r="D217" s="5">
        <v>0.47623370371885</v>
      </c>
      <c r="E217" s="5">
        <v>-0.0650912825143943</v>
      </c>
      <c r="F217" s="5">
        <v>0.268495975971375</v>
      </c>
      <c r="G217" s="5">
        <v>0.248985558835724</v>
      </c>
      <c r="H217" s="5">
        <v>0.321589363247349</v>
      </c>
      <c r="I217" s="5">
        <v>0.415921805509808</v>
      </c>
      <c r="J217" s="6">
        <v>1.94259584389863</v>
      </c>
      <c r="K217" s="6">
        <v>2.85448522237882</v>
      </c>
      <c r="L217" s="6">
        <v>1.40313628275007</v>
      </c>
      <c r="M217" s="6">
        <v>-0.216606297916904</v>
      </c>
      <c r="N217" s="7">
        <v>0.269182262146939</v>
      </c>
      <c r="O217" s="7">
        <v>0.134978789047435</v>
      </c>
      <c r="P217" s="7">
        <v>0.563358223011881</v>
      </c>
      <c r="Q217" s="7">
        <v>0.787570482961511</v>
      </c>
      <c r="R217" s="6">
        <v>3.94668372130901</v>
      </c>
      <c r="S217" s="6">
        <v>6.32119319744088</v>
      </c>
      <c r="T217" s="6">
        <v>2.5658948950638</v>
      </c>
      <c r="U217" s="6">
        <v>-0.407047064929679</v>
      </c>
    </row>
    <row r="218" ht="11.25" customHeight="1">
      <c r="A218" s="2" t="s">
        <v>246</v>
      </c>
      <c r="B218" s="5">
        <v>0.310492513260159</v>
      </c>
      <c r="C218" s="5">
        <v>0.378242246113003</v>
      </c>
      <c r="D218" s="5">
        <v>0.340109588956025</v>
      </c>
      <c r="E218" s="5">
        <v>-0.00775461945916566</v>
      </c>
      <c r="F218" s="5">
        <v>0.179320766118065</v>
      </c>
      <c r="G218" s="5">
        <v>0.168132064581789</v>
      </c>
      <c r="H218" s="5">
        <v>0.162086024627169</v>
      </c>
      <c r="I218" s="5">
        <v>0.27845789286862</v>
      </c>
      <c r="J218" s="6">
        <v>1.59207725597263</v>
      </c>
      <c r="K218" s="6">
        <v>2.10098083903064</v>
      </c>
      <c r="L218" s="6">
        <v>1.94408857691981</v>
      </c>
      <c r="M218" s="6">
        <v>-0.117628626438754</v>
      </c>
      <c r="N218" s="7">
        <v>0.145719321994379</v>
      </c>
      <c r="O218" s="7">
        <v>0.0945083014048529</v>
      </c>
      <c r="P218" s="7">
        <v>0.169203975623366</v>
      </c>
      <c r="Q218" s="7">
        <v>0.453765286419222</v>
      </c>
      <c r="R218" s="6">
        <v>3.12843536478827</v>
      </c>
      <c r="S218" s="6">
        <v>4.4495482665456</v>
      </c>
      <c r="T218" s="6">
        <v>4.10865958917098</v>
      </c>
      <c r="U218" s="6">
        <v>-0.223452590578949</v>
      </c>
    </row>
    <row r="219" ht="11.25" customHeight="1">
      <c r="A219" s="2" t="s">
        <v>247</v>
      </c>
      <c r="B219" s="5">
        <v>0.516020415002442</v>
      </c>
      <c r="C219" s="5">
        <v>0.604783935557344</v>
      </c>
      <c r="D219" s="5">
        <v>0.690757354180217</v>
      </c>
      <c r="E219" s="5">
        <v>0.173995786602882</v>
      </c>
      <c r="F219" s="5">
        <v>0.188844620730106</v>
      </c>
      <c r="G219" s="5">
        <v>0.192596268893813</v>
      </c>
      <c r="H219" s="5">
        <v>0.202362894685144</v>
      </c>
      <c r="I219" s="5">
        <v>0.287443620894331</v>
      </c>
      <c r="J219" s="6">
        <v>2.60012921259853</v>
      </c>
      <c r="K219" s="6">
        <v>3.01035912526946</v>
      </c>
      <c r="L219" s="6">
        <v>3.28991812069137</v>
      </c>
      <c r="M219" s="6">
        <v>0.518347862928069</v>
      </c>
      <c r="N219" s="7">
        <v>0.113886264804214</v>
      </c>
      <c r="O219" s="7">
        <v>0.105079949694574</v>
      </c>
      <c r="P219" s="7">
        <v>0.248735129221933</v>
      </c>
      <c r="Q219" s="7">
        <v>0.396769662921348</v>
      </c>
      <c r="R219" s="6">
        <v>5.43993276910435</v>
      </c>
      <c r="S219" s="6">
        <v>7.11702423591239</v>
      </c>
      <c r="T219" s="6">
        <v>7.18382772440879</v>
      </c>
      <c r="U219" s="6">
        <v>1.01147811809527</v>
      </c>
    </row>
    <row r="220" ht="11.25" customHeight="1">
      <c r="A220" s="2" t="s">
        <v>248</v>
      </c>
      <c r="B220" s="5">
        <v>0.813957837247767</v>
      </c>
      <c r="C220" s="5">
        <v>1.07621276325735</v>
      </c>
      <c r="D220" s="5">
        <v>1.1431145066019</v>
      </c>
      <c r="E220" s="5">
        <v>0.289643690392607</v>
      </c>
      <c r="F220" s="5">
        <v>0.327552800778249</v>
      </c>
      <c r="G220" s="5">
        <v>0.345748410324113</v>
      </c>
      <c r="H220" s="5">
        <v>0.349393247482509</v>
      </c>
      <c r="I220" s="5">
        <v>0.482445134633002</v>
      </c>
      <c r="J220" s="6">
        <v>2.40864323361987</v>
      </c>
      <c r="K220" s="6">
        <v>3.04039796530639</v>
      </c>
      <c r="L220" s="6">
        <v>3.20016060601709</v>
      </c>
      <c r="M220" s="6">
        <v>0.548546707998047</v>
      </c>
      <c r="N220" s="7">
        <v>0.335686241455628</v>
      </c>
      <c r="O220" s="7">
        <v>0.273637881317347</v>
      </c>
      <c r="P220" s="7">
        <v>0.273637881317347</v>
      </c>
      <c r="Q220" s="7">
        <v>0.713793103448275</v>
      </c>
      <c r="R220" s="6">
        <v>5.93525655907981</v>
      </c>
      <c r="S220" s="6">
        <v>8.29542560501097</v>
      </c>
      <c r="T220" s="6">
        <v>7.64119968114633</v>
      </c>
      <c r="U220" s="6">
        <v>1.06520345453094</v>
      </c>
    </row>
    <row r="221" ht="11.25" customHeight="1">
      <c r="A221" s="2" t="s">
        <v>249</v>
      </c>
      <c r="B221" s="5">
        <v>0.584088565964926</v>
      </c>
      <c r="C221" s="5">
        <v>0.720616255613417</v>
      </c>
      <c r="D221" s="5">
        <v>0.67773012569415</v>
      </c>
      <c r="E221" s="5">
        <v>0.400321862645761</v>
      </c>
      <c r="F221" s="5">
        <v>0.190749292911923</v>
      </c>
      <c r="G221" s="5">
        <v>0.204866359085453</v>
      </c>
      <c r="H221" s="5">
        <v>0.208474906212249</v>
      </c>
      <c r="I221" s="5">
        <v>0.297983810855718</v>
      </c>
      <c r="J221" s="6">
        <v>2.93101252135744</v>
      </c>
      <c r="K221" s="6">
        <v>3.39546355350251</v>
      </c>
      <c r="L221" s="6">
        <v>3.1309769485139</v>
      </c>
      <c r="M221" s="6">
        <v>1.25953776337027</v>
      </c>
      <c r="N221" s="7">
        <v>0.203359973424387</v>
      </c>
      <c r="O221" s="7">
        <v>0.112612702461557</v>
      </c>
      <c r="P221" s="7">
        <v>0.325162807525325</v>
      </c>
      <c r="Q221" s="7">
        <v>0.395968264248705</v>
      </c>
      <c r="R221" s="6">
        <v>6.01080978738922</v>
      </c>
      <c r="S221" s="6">
        <v>7.39447145392174</v>
      </c>
      <c r="T221" s="6">
        <v>6.08511870472679</v>
      </c>
      <c r="U221" s="6">
        <v>2.4451261881641</v>
      </c>
    </row>
    <row r="222" ht="11.25" customHeight="1">
      <c r="A222" s="2" t="s">
        <v>250</v>
      </c>
      <c r="B222" s="5">
        <v>0.309558681879414</v>
      </c>
      <c r="C222" s="5">
        <v>0.605595071328792</v>
      </c>
      <c r="D222" s="5">
        <v>0.42051063664869</v>
      </c>
      <c r="E222" s="5">
        <v>0.040565640833609</v>
      </c>
      <c r="F222" s="5">
        <v>0.181975422391144</v>
      </c>
      <c r="G222" s="5">
        <v>0.181707446038928</v>
      </c>
      <c r="H222" s="5">
        <v>0.178634020453371</v>
      </c>
      <c r="I222" s="5">
        <v>0.284465206592862</v>
      </c>
      <c r="J222" s="6">
        <v>1.56372040872516</v>
      </c>
      <c r="K222" s="6">
        <v>3.19521893012798</v>
      </c>
      <c r="L222" s="6">
        <v>2.21408349677674</v>
      </c>
      <c r="M222" s="6">
        <v>0.0547189620131193</v>
      </c>
      <c r="N222" s="7">
        <v>0.240804375509192</v>
      </c>
      <c r="O222" s="7">
        <v>0.100390821146681</v>
      </c>
      <c r="P222" s="7">
        <v>0.174112393556185</v>
      </c>
      <c r="Q222" s="7">
        <v>0.44788792188495</v>
      </c>
      <c r="R222" s="6">
        <v>3.0185092052968</v>
      </c>
      <c r="S222" s="6">
        <v>7.13469688098708</v>
      </c>
      <c r="T222" s="6">
        <v>4.38603782093172</v>
      </c>
      <c r="U222" s="6">
        <v>0.0990965888458212</v>
      </c>
    </row>
    <row r="223" ht="11.25" customHeight="1">
      <c r="A223" s="2" t="s">
        <v>251</v>
      </c>
      <c r="B223" s="5">
        <v>0.616560441843445</v>
      </c>
      <c r="C223" s="5">
        <v>0.733597514891706</v>
      </c>
      <c r="D223" s="5">
        <v>0.564388094664979</v>
      </c>
      <c r="E223" s="5">
        <v>0.032138792184962</v>
      </c>
      <c r="F223" s="5">
        <v>0.281461741845109</v>
      </c>
      <c r="G223" s="5">
        <v>0.252893450230218</v>
      </c>
      <c r="H223" s="5">
        <v>0.287606780501673</v>
      </c>
      <c r="I223" s="5">
        <v>0.383300417078041</v>
      </c>
      <c r="J223" s="6">
        <v>2.10174369690707</v>
      </c>
      <c r="K223" s="6">
        <v>2.80196072395961</v>
      </c>
      <c r="L223" s="6">
        <v>1.87543594669125</v>
      </c>
      <c r="M223" s="6">
        <v>0.0186245353954534</v>
      </c>
      <c r="N223" s="7">
        <v>0.213358070500927</v>
      </c>
      <c r="O223" s="7">
        <v>0.232906826204184</v>
      </c>
      <c r="P223" s="7">
        <v>0.56318082788671</v>
      </c>
      <c r="Q223" s="7">
        <v>0.784180018621872</v>
      </c>
      <c r="R223" s="6">
        <v>4.59505201857229</v>
      </c>
      <c r="S223" s="6">
        <v>6.4190489270928</v>
      </c>
      <c r="T223" s="6">
        <v>3.83817757900211</v>
      </c>
      <c r="U223" s="6">
        <v>0.0367886692054809</v>
      </c>
    </row>
    <row r="224" ht="11.25" customHeight="1">
      <c r="A224" s="2" t="s">
        <v>252</v>
      </c>
      <c r="B224" s="5">
        <v>1.10959962796179</v>
      </c>
      <c r="C224" s="5">
        <v>1.65046341874969</v>
      </c>
      <c r="D224" s="5">
        <v>0.618626013970073</v>
      </c>
      <c r="E224" s="5">
        <v>0.294091095529287</v>
      </c>
      <c r="F224" s="5">
        <v>0.424977386034006</v>
      </c>
      <c r="G224" s="5">
        <v>0.428918330726007</v>
      </c>
      <c r="H224" s="5">
        <v>0.455136365438096</v>
      </c>
      <c r="I224" s="5">
        <v>0.616331752648695</v>
      </c>
      <c r="J224" s="6">
        <v>2.55213492200972</v>
      </c>
      <c r="K224" s="6">
        <v>3.78968046434004</v>
      </c>
      <c r="L224" s="6">
        <v>1.304281659407</v>
      </c>
      <c r="M224" s="6">
        <v>0.436601058395683</v>
      </c>
      <c r="N224" s="7">
        <v>0.406416886526778</v>
      </c>
      <c r="O224" s="7">
        <v>0.252134471718249</v>
      </c>
      <c r="P224" s="7">
        <v>0.803758355404212</v>
      </c>
      <c r="Q224" s="7">
        <v>0.888793596340766</v>
      </c>
      <c r="R224" s="6">
        <v>5.755303446179</v>
      </c>
      <c r="S224" s="6">
        <v>9.35118099398702</v>
      </c>
      <c r="T224" s="6">
        <v>2.34583626714235</v>
      </c>
      <c r="U224" s="6">
        <v>0.842022141809376</v>
      </c>
    </row>
    <row r="225" ht="11.25" customHeight="1">
      <c r="A225" s="2" t="s">
        <v>253</v>
      </c>
      <c r="B225" s="5">
        <v>0.573465216624624</v>
      </c>
      <c r="C225" s="5">
        <v>0.723431107701355</v>
      </c>
      <c r="D225" s="5">
        <v>0.547663276518535</v>
      </c>
      <c r="E225" s="5">
        <v>0.220041133584234</v>
      </c>
      <c r="F225" s="5">
        <v>0.225585731372712</v>
      </c>
      <c r="G225" s="5">
        <v>0.218487817773532</v>
      </c>
      <c r="H225" s="5">
        <v>0.237895607824567</v>
      </c>
      <c r="I225" s="5">
        <v>0.32782318714271</v>
      </c>
      <c r="J225" s="6">
        <v>2.43129391778086</v>
      </c>
      <c r="K225" s="6">
        <v>3.19665926832265</v>
      </c>
      <c r="L225" s="6">
        <v>2.19702785309077</v>
      </c>
      <c r="M225" s="6">
        <v>0.594958322759908</v>
      </c>
      <c r="N225" s="7">
        <v>0.162768419667799</v>
      </c>
      <c r="O225" s="7">
        <v>0.0869839930791455</v>
      </c>
      <c r="P225" s="7">
        <v>0.195817070354401</v>
      </c>
      <c r="Q225" s="7">
        <v>0.350412024815571</v>
      </c>
      <c r="R225" s="6">
        <v>5.29537325570268</v>
      </c>
      <c r="S225" s="6">
        <v>7.7199154497915</v>
      </c>
      <c r="T225" s="6">
        <v>4.68745056812262</v>
      </c>
      <c r="U225" s="6">
        <v>1.18959902418124</v>
      </c>
    </row>
    <row r="226" ht="11.25" customHeight="1">
      <c r="A226" s="2" t="s">
        <v>254</v>
      </c>
      <c r="B226" s="5">
        <v>0.696441518938587</v>
      </c>
      <c r="C226" s="5">
        <v>1.26872695035982</v>
      </c>
      <c r="D226" s="5">
        <v>1.11143230324323</v>
      </c>
      <c r="E226" s="5">
        <v>0.412296385194402</v>
      </c>
      <c r="F226" s="5">
        <v>0.327574812930608</v>
      </c>
      <c r="G226" s="5">
        <v>0.325645783403316</v>
      </c>
      <c r="H226" s="5">
        <v>0.321782836339471</v>
      </c>
      <c r="I226" s="5">
        <v>0.442631732568375</v>
      </c>
      <c r="J226" s="6">
        <v>2.04973487714643</v>
      </c>
      <c r="K226" s="6">
        <v>3.8192631802619</v>
      </c>
      <c r="L226" s="6">
        <v>3.37629040629463</v>
      </c>
      <c r="M226" s="6">
        <v>0.874985584397917</v>
      </c>
      <c r="N226" s="7">
        <v>0.35865786139973</v>
      </c>
      <c r="O226" s="7">
        <v>0.239817807816632</v>
      </c>
      <c r="P226" s="7">
        <v>0.475099803573009</v>
      </c>
      <c r="Q226" s="7">
        <v>0.479018513076696</v>
      </c>
      <c r="R226" s="6">
        <v>4.64918626476508</v>
      </c>
      <c r="S226" s="6">
        <v>9.92473328115962</v>
      </c>
      <c r="T226" s="6">
        <v>8.24438970119175</v>
      </c>
      <c r="U226" s="6">
        <v>1.79305396866331</v>
      </c>
    </row>
    <row r="227" ht="11.25" customHeight="1">
      <c r="A227" s="2" t="s">
        <v>255</v>
      </c>
      <c r="B227" s="5">
        <v>0.853398446529743</v>
      </c>
      <c r="C227" s="5">
        <v>0.947621903425042</v>
      </c>
      <c r="D227" s="5">
        <v>0.775614883034169</v>
      </c>
      <c r="E227" s="5">
        <v>0.343264814981271</v>
      </c>
      <c r="F227" s="5">
        <v>0.26182128270945</v>
      </c>
      <c r="G227" s="5">
        <v>0.262822949208206</v>
      </c>
      <c r="H227" s="5">
        <v>0.250322289771471</v>
      </c>
      <c r="I227" s="5">
        <v>0.38169912703946</v>
      </c>
      <c r="J227" s="6">
        <v>3.16398437115991</v>
      </c>
      <c r="K227" s="6">
        <v>3.51043128541315</v>
      </c>
      <c r="L227" s="6">
        <v>2.99859386760736</v>
      </c>
      <c r="M227" s="6">
        <v>0.833810696528966</v>
      </c>
      <c r="N227" s="7">
        <v>0.211225183873629</v>
      </c>
      <c r="O227" s="7">
        <v>0.168797953964194</v>
      </c>
      <c r="P227" s="7">
        <v>0.204223769939339</v>
      </c>
      <c r="Q227" s="7">
        <v>0.523724873512923</v>
      </c>
      <c r="R227" s="6">
        <v>7.00058178382689</v>
      </c>
      <c r="S227" s="6">
        <v>7.99956595517083</v>
      </c>
      <c r="T227" s="6">
        <v>6.48814259421063</v>
      </c>
      <c r="U227" s="6">
        <v>1.62351905103542</v>
      </c>
    </row>
    <row r="228" ht="11.25" customHeight="1">
      <c r="A228" s="2" t="s">
        <v>256</v>
      </c>
      <c r="B228" s="5">
        <v>0.985626717683534</v>
      </c>
      <c r="C228" s="5">
        <v>1.59650905539526</v>
      </c>
      <c r="D228" s="5">
        <v>1.1520757806256</v>
      </c>
      <c r="E228" s="5">
        <v>-0.0115344785914073</v>
      </c>
      <c r="F228" s="5">
        <v>0.429849057467411</v>
      </c>
      <c r="G228" s="5">
        <v>0.410926505877325</v>
      </c>
      <c r="H228" s="5">
        <v>0.443034647277013</v>
      </c>
      <c r="I228" s="5">
        <v>0.613471537726572</v>
      </c>
      <c r="J228" s="6">
        <v>2.23480010249031</v>
      </c>
      <c r="K228" s="6">
        <v>3.82430686003109</v>
      </c>
      <c r="L228" s="6">
        <v>2.54399015416255</v>
      </c>
      <c r="M228" s="6">
        <v>-0.0595536652389746</v>
      </c>
      <c r="N228" s="7">
        <v>0.285336856010568</v>
      </c>
      <c r="O228" s="7">
        <v>0.194778845952907</v>
      </c>
      <c r="P228" s="7">
        <v>0.655278270014414</v>
      </c>
      <c r="Q228" s="7">
        <v>0.938200051720277</v>
      </c>
      <c r="R228" s="6">
        <v>4.77978583342029</v>
      </c>
      <c r="S228" s="6">
        <v>9.13924236726537</v>
      </c>
      <c r="T228" s="6">
        <v>5.56942579062344</v>
      </c>
      <c r="U228" s="6">
        <v>-0.119249820556551</v>
      </c>
    </row>
    <row r="229" ht="11.25" customHeight="1">
      <c r="A229" s="2" t="s">
        <v>257</v>
      </c>
      <c r="B229" s="5">
        <v>0.593125187708147</v>
      </c>
      <c r="C229" s="5">
        <v>0.84918821073077</v>
      </c>
      <c r="D229" s="5">
        <v>0.611430991103019</v>
      </c>
      <c r="E229" s="5">
        <v>0.174104299458991</v>
      </c>
      <c r="F229" s="5">
        <v>0.232383567472055</v>
      </c>
      <c r="G229" s="5">
        <v>0.23102020477634</v>
      </c>
      <c r="H229" s="5">
        <v>0.213813529703018</v>
      </c>
      <c r="I229" s="5">
        <v>0.344088651594272</v>
      </c>
      <c r="J229" s="6">
        <v>2.44477350050349</v>
      </c>
      <c r="K229" s="6">
        <v>3.56760228625326</v>
      </c>
      <c r="L229" s="6">
        <v>2.74272162251639</v>
      </c>
      <c r="M229" s="6">
        <v>0.433331058051881</v>
      </c>
      <c r="N229" s="7">
        <v>0.137702503681885</v>
      </c>
      <c r="O229" s="7">
        <v>0.130414012738853</v>
      </c>
      <c r="P229" s="7">
        <v>0.22983735628709</v>
      </c>
      <c r="Q229" s="7">
        <v>0.670129775444735</v>
      </c>
      <c r="R229" s="6">
        <v>5.08782079765349</v>
      </c>
      <c r="S229" s="6">
        <v>8.78194791769386</v>
      </c>
      <c r="T229" s="6">
        <v>5.96946678309534</v>
      </c>
      <c r="U229" s="6">
        <v>0.830772300965087</v>
      </c>
    </row>
    <row r="230" ht="11.25" customHeight="1">
      <c r="A230" s="2" t="s">
        <v>258</v>
      </c>
      <c r="B230" s="5">
        <v>0.363977161447927</v>
      </c>
      <c r="C230" s="5">
        <v>0.453849762463243</v>
      </c>
      <c r="D230" s="5">
        <v>0.451327850525897</v>
      </c>
      <c r="E230" s="5">
        <v>-0.0243102714565236</v>
      </c>
      <c r="F230" s="5">
        <v>0.182129605028054</v>
      </c>
      <c r="G230" s="5">
        <v>0.182210452649274</v>
      </c>
      <c r="H230" s="5">
        <v>0.176387432756979</v>
      </c>
      <c r="I230" s="5">
        <v>0.296413920474275</v>
      </c>
      <c r="J230" s="6">
        <v>1.86118649626298</v>
      </c>
      <c r="K230" s="6">
        <v>2.35359583507928</v>
      </c>
      <c r="L230" s="6">
        <v>2.41699674326162</v>
      </c>
      <c r="M230" s="6">
        <v>-0.166356125844646</v>
      </c>
      <c r="N230" s="7">
        <v>0.180605445831344</v>
      </c>
      <c r="O230" s="7">
        <v>0.135395651199282</v>
      </c>
      <c r="P230" s="7">
        <v>0.184248435211444</v>
      </c>
      <c r="Q230" s="7">
        <v>0.49186914099866</v>
      </c>
      <c r="R230" s="6">
        <v>3.92390238352807</v>
      </c>
      <c r="S230" s="6">
        <v>5.24632912981222</v>
      </c>
      <c r="T230" s="6">
        <v>5.02019176735199</v>
      </c>
      <c r="U230" s="6">
        <v>-0.296703834856351</v>
      </c>
    </row>
    <row r="231" ht="11.25" customHeight="1">
      <c r="A231" s="2" t="s">
        <v>259</v>
      </c>
      <c r="B231" s="5">
        <v>0.88400212193838</v>
      </c>
      <c r="C231" s="5">
        <v>1.03079134611891</v>
      </c>
      <c r="D231" s="5">
        <v>0.981659943513217</v>
      </c>
      <c r="E231" s="5">
        <v>0.166614963748684</v>
      </c>
      <c r="F231" s="5">
        <v>0.282701844910398</v>
      </c>
      <c r="G231" s="5">
        <v>0.284861581330415</v>
      </c>
      <c r="H231" s="5">
        <v>0.292034056961611</v>
      </c>
      <c r="I231" s="5">
        <v>0.422966672255973</v>
      </c>
      <c r="J231" s="6">
        <v>3.03854445028697</v>
      </c>
      <c r="K231" s="6">
        <v>3.5308072833882</v>
      </c>
      <c r="L231" s="6">
        <v>3.2758506095711</v>
      </c>
      <c r="M231" s="6">
        <v>0.334813527962745</v>
      </c>
      <c r="N231" s="7">
        <v>0.173037582618522</v>
      </c>
      <c r="O231" s="7">
        <v>0.138547665634544</v>
      </c>
      <c r="P231" s="7">
        <v>0.211444984533804</v>
      </c>
      <c r="Q231" s="7">
        <v>0.545933206298264</v>
      </c>
      <c r="R231" s="6">
        <v>6.98637309820881</v>
      </c>
      <c r="S231" s="6">
        <v>8.64383552663259</v>
      </c>
      <c r="T231" s="6">
        <v>7.01437814638417</v>
      </c>
      <c r="U231" s="6">
        <v>0.636129213269365</v>
      </c>
    </row>
    <row r="232" ht="11.25" customHeight="1">
      <c r="A232" s="2" t="s">
        <v>260</v>
      </c>
      <c r="B232" s="5">
        <v>0.472023273396007</v>
      </c>
      <c r="C232" s="5">
        <v>0.620012834964022</v>
      </c>
      <c r="D232" s="5">
        <v>0.420801889579413</v>
      </c>
      <c r="E232" s="5">
        <v>0.252260501441218</v>
      </c>
      <c r="F232" s="5">
        <v>0.176364337004823</v>
      </c>
      <c r="G232" s="5">
        <v>0.188622275019951</v>
      </c>
      <c r="H232" s="5">
        <v>0.200494122482534</v>
      </c>
      <c r="I232" s="5">
        <v>0.286751597513779</v>
      </c>
      <c r="J232" s="6">
        <v>2.53465797557349</v>
      </c>
      <c r="K232" s="6">
        <v>3.15452050878446</v>
      </c>
      <c r="L232" s="6">
        <v>1.97413213254614</v>
      </c>
      <c r="M232" s="6">
        <v>0.792534386596739</v>
      </c>
      <c r="N232" s="7">
        <v>0.120487144763105</v>
      </c>
      <c r="O232" s="7">
        <v>0.111873231572756</v>
      </c>
      <c r="P232" s="7">
        <v>0.316681117854999</v>
      </c>
      <c r="Q232" s="7">
        <v>0.349275914634145</v>
      </c>
      <c r="R232" s="6">
        <v>5.61145130743004</v>
      </c>
      <c r="S232" s="6">
        <v>7.35352854478238</v>
      </c>
      <c r="T232" s="6">
        <v>3.79822566476982</v>
      </c>
      <c r="U232" s="6">
        <v>1.53047568935595</v>
      </c>
    </row>
    <row r="233" ht="11.25" customHeight="1">
      <c r="A233" s="2" t="s">
        <v>261</v>
      </c>
      <c r="B233" s="5">
        <v>0.499409177558564</v>
      </c>
      <c r="C233" s="5">
        <v>0.573344767821987</v>
      </c>
      <c r="D233" s="5">
        <v>0.464167453906301</v>
      </c>
      <c r="E233" s="5">
        <v>0.322085591456465</v>
      </c>
      <c r="F233" s="5">
        <v>0.176945929508858</v>
      </c>
      <c r="G233" s="5">
        <v>0.187250535684874</v>
      </c>
      <c r="H233" s="5">
        <v>0.150005948344209</v>
      </c>
      <c r="I233" s="5">
        <v>0.274124784724427</v>
      </c>
      <c r="J233" s="6">
        <v>2.68109686883084</v>
      </c>
      <c r="K233" s="6">
        <v>2.92840159744483</v>
      </c>
      <c r="L233" s="6">
        <v>2.92766692757123</v>
      </c>
      <c r="M233" s="6">
        <v>1.0837604186543</v>
      </c>
      <c r="N233" s="7">
        <v>0.123461812264822</v>
      </c>
      <c r="O233" s="7">
        <v>0.123461812264822</v>
      </c>
      <c r="P233" s="7">
        <v>0.112426035502958</v>
      </c>
      <c r="Q233" s="7">
        <v>0.378480910485107</v>
      </c>
      <c r="R233" s="6">
        <v>5.71175198944932</v>
      </c>
      <c r="S233" s="6">
        <v>6.39038188609555</v>
      </c>
      <c r="T233" s="6">
        <v>6.35083589023972</v>
      </c>
      <c r="U233" s="6">
        <v>2.07466327368249</v>
      </c>
    </row>
    <row r="234" ht="11.25" customHeight="1">
      <c r="A234" s="2" t="s">
        <v>262</v>
      </c>
      <c r="B234" s="5">
        <v>0.651087454811238</v>
      </c>
      <c r="C234" s="5">
        <v>0.768550297045286</v>
      </c>
      <c r="D234" s="5">
        <v>0.696315247063527</v>
      </c>
      <c r="E234" s="5">
        <v>0.151860747145583</v>
      </c>
      <c r="F234" s="5">
        <v>0.287012358155951</v>
      </c>
      <c r="G234" s="5">
        <v>0.288903745381438</v>
      </c>
      <c r="H234" s="5">
        <v>0.248468526795642</v>
      </c>
      <c r="I234" s="5">
        <v>0.422288920980359</v>
      </c>
      <c r="J234" s="6">
        <v>2.18139545918453</v>
      </c>
      <c r="K234" s="6">
        <v>2.57369559561638</v>
      </c>
      <c r="L234" s="6">
        <v>2.70181199897266</v>
      </c>
      <c r="M234" s="6">
        <v>0.300412207952488</v>
      </c>
      <c r="N234" s="7">
        <v>0.224018475750577</v>
      </c>
      <c r="O234" s="7">
        <v>0.224018475750577</v>
      </c>
      <c r="P234" s="7">
        <v>0.178666666666666</v>
      </c>
      <c r="Q234" s="7">
        <v>0.660262008733624</v>
      </c>
      <c r="R234" s="6">
        <v>4.66082316356857</v>
      </c>
      <c r="S234" s="6">
        <v>5.7682585076958</v>
      </c>
      <c r="T234" s="6">
        <v>6.04701399343129</v>
      </c>
      <c r="U234" s="6">
        <v>0.57859403102679</v>
      </c>
    </row>
    <row r="235" ht="11.25" customHeight="1">
      <c r="A235" s="2" t="s">
        <v>263</v>
      </c>
      <c r="B235" s="5">
        <v>0.788344886031638</v>
      </c>
      <c r="C235" s="5">
        <v>1.06546904739814</v>
      </c>
      <c r="D235" s="5">
        <v>0.565309227664282</v>
      </c>
      <c r="E235" s="5">
        <v>0.354518398159141</v>
      </c>
      <c r="F235" s="5">
        <v>0.259145164304153</v>
      </c>
      <c r="G235" s="5">
        <v>0.26064919525935</v>
      </c>
      <c r="H235" s="5">
        <v>0.277051568079384</v>
      </c>
      <c r="I235" s="5">
        <v>0.368895506697</v>
      </c>
      <c r="J235" s="6">
        <v>2.94562658763609</v>
      </c>
      <c r="K235" s="6">
        <v>3.9918367918338</v>
      </c>
      <c r="L235" s="6">
        <v>1.9502117653038</v>
      </c>
      <c r="M235" s="6">
        <v>0.893256741209911</v>
      </c>
      <c r="N235" s="7">
        <v>0.184309662836692</v>
      </c>
      <c r="O235" s="7">
        <v>0.0919596426507844</v>
      </c>
      <c r="P235" s="7">
        <v>0.465229983494752</v>
      </c>
      <c r="Q235" s="7">
        <v>0.477816633723582</v>
      </c>
      <c r="R235" s="6">
        <v>6.83561842353957</v>
      </c>
      <c r="S235" s="6">
        <v>10.1797662578891</v>
      </c>
      <c r="T235" s="6">
        <v>4.08620965935299</v>
      </c>
      <c r="U235" s="6">
        <v>1.8112661545988</v>
      </c>
    </row>
    <row r="236" ht="11.25" customHeight="1">
      <c r="A236" s="2" t="s">
        <v>264</v>
      </c>
      <c r="B236" s="5">
        <v>0.593299255483703</v>
      </c>
      <c r="C236" s="5">
        <v>0.762018411385134</v>
      </c>
      <c r="D236" s="5">
        <v>0.58090658382709</v>
      </c>
      <c r="E236" s="5">
        <v>0.209275344068771</v>
      </c>
      <c r="F236" s="5">
        <v>0.237084592779013</v>
      </c>
      <c r="G236" s="5">
        <v>0.244063658596549</v>
      </c>
      <c r="H236" s="5">
        <v>0.223604854850228</v>
      </c>
      <c r="I236" s="5">
        <v>0.354093089493917</v>
      </c>
      <c r="J236" s="6">
        <v>2.39703157772641</v>
      </c>
      <c r="K236" s="6">
        <v>3.01977941174546</v>
      </c>
      <c r="L236" s="6">
        <v>2.48611142275707</v>
      </c>
      <c r="M236" s="6">
        <v>0.520414968651731</v>
      </c>
      <c r="N236" s="7">
        <v>0.183558383698789</v>
      </c>
      <c r="O236" s="7">
        <v>0.142303969022265</v>
      </c>
      <c r="P236" s="7">
        <v>0.338347864325589</v>
      </c>
      <c r="Q236" s="7">
        <v>0.603730118393974</v>
      </c>
      <c r="R236" s="6">
        <v>5.38398301303383</v>
      </c>
      <c r="S236" s="6">
        <v>7.21675243948659</v>
      </c>
      <c r="T236" s="6">
        <v>5.29708894612911</v>
      </c>
      <c r="U236" s="6">
        <v>1.03519174589415</v>
      </c>
    </row>
    <row r="237" ht="11.25" customHeight="1">
      <c r="A237" s="2" t="s">
        <v>265</v>
      </c>
      <c r="B237" s="5">
        <v>0.638333804143105</v>
      </c>
      <c r="C237" s="5">
        <v>0.765230675558038</v>
      </c>
      <c r="D237" s="5">
        <v>0.847592164210702</v>
      </c>
      <c r="E237" s="5">
        <v>-0.0770601554887544</v>
      </c>
      <c r="F237" s="5">
        <v>0.344332349556996</v>
      </c>
      <c r="G237" s="5">
        <v>0.327551572176675</v>
      </c>
      <c r="H237" s="5">
        <v>0.293182474598763</v>
      </c>
      <c r="I237" s="5">
        <v>0.471039705381439</v>
      </c>
      <c r="J237" s="6">
        <v>1.7812262046601</v>
      </c>
      <c r="K237" s="6">
        <v>2.259890467443</v>
      </c>
      <c r="L237" s="6">
        <v>2.80573443326196</v>
      </c>
      <c r="M237" s="6">
        <v>-0.216669962898579</v>
      </c>
      <c r="N237" s="7">
        <v>0.146690518783541</v>
      </c>
      <c r="O237" s="7">
        <v>0.134568503169185</v>
      </c>
      <c r="P237" s="7">
        <v>0.123373983739837</v>
      </c>
      <c r="Q237" s="7">
        <v>0.517064846416381</v>
      </c>
      <c r="R237" s="6">
        <v>3.64514680021949</v>
      </c>
      <c r="S237" s="6">
        <v>4.92512665337968</v>
      </c>
      <c r="T237" s="6">
        <v>6.01823917205399</v>
      </c>
      <c r="U237" s="6">
        <v>-0.420643025273207</v>
      </c>
    </row>
    <row r="238" ht="11.25" customHeight="1">
      <c r="A238" s="2" t="s">
        <v>266</v>
      </c>
      <c r="B238" s="5">
        <v>0.793887972514889</v>
      </c>
      <c r="C238" s="5">
        <v>0.993929519818062</v>
      </c>
      <c r="D238" s="5">
        <v>1.32128583210078</v>
      </c>
      <c r="E238" s="5">
        <v>-0.0265596994427848</v>
      </c>
      <c r="F238" s="5">
        <v>0.370583106186564</v>
      </c>
      <c r="G238" s="5">
        <v>0.305278535890809</v>
      </c>
      <c r="H238" s="5">
        <v>0.328051096312925</v>
      </c>
      <c r="I238" s="5">
        <v>0.48576716690461</v>
      </c>
      <c r="J238" s="6">
        <v>2.07480578493452</v>
      </c>
      <c r="K238" s="6">
        <v>3.17391957148479</v>
      </c>
      <c r="L238" s="6">
        <v>3.95147538499388</v>
      </c>
      <c r="M238" s="6">
        <v>-0.106140766514402</v>
      </c>
      <c r="N238" s="7">
        <v>0.18441247002398</v>
      </c>
      <c r="O238" s="7">
        <v>0.103630595699682</v>
      </c>
      <c r="P238" s="7">
        <v>0.117311186088762</v>
      </c>
      <c r="Q238" s="7">
        <v>0.515587529976018</v>
      </c>
      <c r="R238" s="6">
        <v>4.31196627229145</v>
      </c>
      <c r="S238" s="6">
        <v>7.00977038213642</v>
      </c>
      <c r="T238" s="6">
        <v>8.73256174255987</v>
      </c>
      <c r="U238" s="6">
        <v>-0.207791060480971</v>
      </c>
    </row>
    <row r="239" ht="11.25" customHeight="1">
      <c r="A239" s="2" t="s">
        <v>267</v>
      </c>
      <c r="B239" s="5">
        <v>0.592524165091526</v>
      </c>
      <c r="C239" s="5">
        <v>0.72311881628452</v>
      </c>
      <c r="D239" s="5">
        <v>0.609747106018518</v>
      </c>
      <c r="E239" s="5">
        <v>0.302161054030145</v>
      </c>
      <c r="F239" s="5">
        <v>0.232815197862618</v>
      </c>
      <c r="G239" s="5">
        <v>0.217228906190271</v>
      </c>
      <c r="H239" s="5">
        <v>0.224665080472904</v>
      </c>
      <c r="I239" s="5">
        <v>0.325803052203729</v>
      </c>
      <c r="J239" s="6">
        <v>2.43765944105769</v>
      </c>
      <c r="K239" s="6">
        <v>3.21374732547351</v>
      </c>
      <c r="L239" s="6">
        <v>2.60275030186118</v>
      </c>
      <c r="M239" s="6">
        <v>0.85070122012495</v>
      </c>
      <c r="N239" s="7">
        <v>0.192307692307692</v>
      </c>
      <c r="O239" s="7">
        <v>0.0866867061569522</v>
      </c>
      <c r="P239" s="7">
        <v>0.19010805770391</v>
      </c>
      <c r="Q239" s="7">
        <v>0.37391304347826</v>
      </c>
      <c r="R239" s="6">
        <v>5.18050869410862</v>
      </c>
      <c r="S239" s="6">
        <v>7.81153142892516</v>
      </c>
      <c r="T239" s="6">
        <v>5.45800072497631</v>
      </c>
      <c r="U239" s="6">
        <v>1.68097870006852</v>
      </c>
    </row>
    <row r="240" ht="11.25" customHeight="1">
      <c r="A240" s="2" t="s">
        <v>268</v>
      </c>
      <c r="B240" s="5">
        <v>0.438301330699814</v>
      </c>
      <c r="C240" s="5">
        <v>0.412082652685284</v>
      </c>
      <c r="D240" s="5">
        <v>0.528798629722217</v>
      </c>
      <c r="E240" s="5">
        <v>0.0734208466728287</v>
      </c>
      <c r="F240" s="5">
        <v>0.224588144031266</v>
      </c>
      <c r="G240" s="5">
        <v>0.228557313452429</v>
      </c>
      <c r="H240" s="5">
        <v>0.214344066290803</v>
      </c>
      <c r="I240" s="5">
        <v>0.323401768113614</v>
      </c>
      <c r="J240" s="6">
        <v>1.84026335175678</v>
      </c>
      <c r="K240" s="6">
        <v>1.69359119092835</v>
      </c>
      <c r="L240" s="6">
        <v>2.35042023061514</v>
      </c>
      <c r="M240" s="6">
        <v>0.149723506322383</v>
      </c>
      <c r="N240" s="7">
        <v>0.209883720930232</v>
      </c>
      <c r="O240" s="7">
        <v>0.176821876063344</v>
      </c>
      <c r="P240" s="7">
        <v>0.209404720612806</v>
      </c>
      <c r="Q240" s="7">
        <v>0.613677722336367</v>
      </c>
      <c r="R240" s="6">
        <v>4.35770185992028</v>
      </c>
      <c r="S240" s="6">
        <v>4.10790020885151</v>
      </c>
      <c r="T240" s="6">
        <v>5.97420196967079</v>
      </c>
      <c r="U240" s="6">
        <v>0.291558691298704</v>
      </c>
    </row>
    <row r="241" ht="11.25" customHeight="1">
      <c r="A241" s="2" t="s">
        <v>269</v>
      </c>
      <c r="B241" s="5">
        <v>1.22056682725656</v>
      </c>
      <c r="C241" s="5">
        <v>1.70675556276929</v>
      </c>
      <c r="D241" s="5">
        <v>0.979702992128145</v>
      </c>
      <c r="E241" s="5">
        <v>-0.0342745370690034</v>
      </c>
      <c r="F241" s="5">
        <v>0.487955328312558</v>
      </c>
      <c r="G241" s="5">
        <v>0.464947427288689</v>
      </c>
      <c r="H241" s="5">
        <v>0.474258182082383</v>
      </c>
      <c r="I241" s="5">
        <v>0.647616342075645</v>
      </c>
      <c r="J241" s="6">
        <v>2.45015631121614</v>
      </c>
      <c r="K241" s="6">
        <v>3.61708757606498</v>
      </c>
      <c r="L241" s="6">
        <v>2.01304485235492</v>
      </c>
      <c r="M241" s="6">
        <v>-0.091527241080769</v>
      </c>
      <c r="N241" s="7">
        <v>0.375491899907393</v>
      </c>
      <c r="O241" s="7">
        <v>0.14664770418529</v>
      </c>
      <c r="P241" s="7">
        <v>0.635723818967392</v>
      </c>
      <c r="Q241" s="7">
        <v>0.931088992974239</v>
      </c>
      <c r="R241" s="6">
        <v>5.67601169156668</v>
      </c>
      <c r="S241" s="6">
        <v>9.67865139534217</v>
      </c>
      <c r="T241" s="6">
        <v>4.56827870703837</v>
      </c>
      <c r="U241" s="6">
        <v>-0.187087641465575</v>
      </c>
    </row>
    <row r="242" ht="11.25" customHeight="1">
      <c r="A242" s="2" t="s">
        <v>270</v>
      </c>
      <c r="B242" s="5">
        <v>3.15796762520778</v>
      </c>
      <c r="C242" s="5">
        <v>8.71234155396542</v>
      </c>
      <c r="D242" s="5">
        <v>11.2447173076564</v>
      </c>
      <c r="E242" s="5">
        <v>0.630044342444817</v>
      </c>
      <c r="F242" s="5">
        <v>0.817374628183911</v>
      </c>
      <c r="G242" s="5">
        <v>0.778410219209241</v>
      </c>
      <c r="H242" s="5">
        <v>0.897415646582953</v>
      </c>
      <c r="I242" s="5">
        <v>1.10532583889132</v>
      </c>
      <c r="J242" s="6">
        <v>3.83296412340175</v>
      </c>
      <c r="K242" s="6">
        <v>11.1603642136026</v>
      </c>
      <c r="L242" s="6">
        <v>12.5022528305331</v>
      </c>
      <c r="M242" s="6">
        <v>0.547390028493042</v>
      </c>
      <c r="N242" s="7">
        <v>0.308756510589005</v>
      </c>
      <c r="O242" s="7">
        <v>0.261367976384245</v>
      </c>
      <c r="P242" s="7">
        <v>0.51234881426016</v>
      </c>
      <c r="Q242" s="7">
        <v>0.689668555460684</v>
      </c>
      <c r="R242" s="6">
        <v>8.40962345581195</v>
      </c>
      <c r="S242" s="6">
        <v>30.2893590010532</v>
      </c>
      <c r="T242" s="6">
        <v>28.5890729475623</v>
      </c>
      <c r="U242" s="6">
        <v>1.12090273160393</v>
      </c>
    </row>
    <row r="243" ht="11.25" customHeight="1">
      <c r="A243" s="2" t="s">
        <v>271</v>
      </c>
      <c r="B243" s="5">
        <v>1.06149468487225</v>
      </c>
      <c r="C243" s="5">
        <v>1.50825345100068</v>
      </c>
      <c r="D243" s="5">
        <v>0.922311481949736</v>
      </c>
      <c r="E243" s="5">
        <v>0.513525078847194</v>
      </c>
      <c r="F243" s="5">
        <v>0.330640989703229</v>
      </c>
      <c r="G243" s="5">
        <v>0.345435283300792</v>
      </c>
      <c r="H243" s="5">
        <v>0.332728307268297</v>
      </c>
      <c r="I243" s="5">
        <v>0.482047709417841</v>
      </c>
      <c r="J243" s="6">
        <v>3.13480396306149</v>
      </c>
      <c r="K243" s="6">
        <v>4.29386783199306</v>
      </c>
      <c r="L243" s="6">
        <v>2.69682940209287</v>
      </c>
      <c r="M243" s="6">
        <v>1.01343719574391</v>
      </c>
      <c r="N243" s="7">
        <v>0.249988551899793</v>
      </c>
      <c r="O243" s="7">
        <v>0.158713136729222</v>
      </c>
      <c r="P243" s="7">
        <v>0.28558628478501</v>
      </c>
      <c r="Q243" s="7">
        <v>0.511980339954945</v>
      </c>
      <c r="R243" s="6">
        <v>7.48838366021153</v>
      </c>
      <c r="S243" s="6">
        <v>11.3895028415958</v>
      </c>
      <c r="T243" s="6">
        <v>5.74935796459495</v>
      </c>
      <c r="U243" s="6">
        <v>2.0152257724459</v>
      </c>
    </row>
    <row r="244" ht="11.25" customHeight="1">
      <c r="A244" s="2" t="s">
        <v>272</v>
      </c>
      <c r="B244" s="5">
        <v>0.549132669073616</v>
      </c>
      <c r="C244" s="5">
        <v>0.755529058459124</v>
      </c>
      <c r="D244" s="5">
        <v>0.597298365835139</v>
      </c>
      <c r="E244" s="5">
        <v>0.210338249111722</v>
      </c>
      <c r="F244" s="5">
        <v>0.226137949727965</v>
      </c>
      <c r="G244" s="5">
        <v>0.214298568499334</v>
      </c>
      <c r="H244" s="5">
        <v>0.20076626704604</v>
      </c>
      <c r="I244" s="5">
        <v>0.337169392124353</v>
      </c>
      <c r="J244" s="6">
        <v>2.31775635051138</v>
      </c>
      <c r="K244" s="6">
        <v>3.40893111687488</v>
      </c>
      <c r="L244" s="6">
        <v>2.8505703386112</v>
      </c>
      <c r="M244" s="6">
        <v>0.549688831314104</v>
      </c>
      <c r="N244" s="7">
        <v>0.131123218296839</v>
      </c>
      <c r="O244" s="7">
        <v>0.0863617113447391</v>
      </c>
      <c r="P244" s="7">
        <v>0.185895664969334</v>
      </c>
      <c r="Q244" s="7">
        <v>0.528295704649861</v>
      </c>
      <c r="R244" s="6">
        <v>4.96188456422534</v>
      </c>
      <c r="S244" s="6">
        <v>7.98986108846811</v>
      </c>
      <c r="T244" s="6">
        <v>6.32499455425647</v>
      </c>
      <c r="U244" s="6">
        <v>1.06675817268575</v>
      </c>
    </row>
    <row r="245" ht="11.25" customHeight="1">
      <c r="A245" s="2" t="s">
        <v>273</v>
      </c>
      <c r="B245" s="5">
        <v>3.19266417207069</v>
      </c>
      <c r="C245" s="5">
        <v>-0.953125177433152</v>
      </c>
      <c r="D245" s="5">
        <v>9.79146581676846</v>
      </c>
      <c r="E245" s="5">
        <v>-0.953125177433152</v>
      </c>
      <c r="F245" s="5">
        <v>6.64947392218889</v>
      </c>
      <c r="G245" s="5">
        <v>55.2191085094728</v>
      </c>
      <c r="H245" s="5">
        <v>55.4108904499398</v>
      </c>
      <c r="I245" s="5">
        <v>55.2191085094728</v>
      </c>
      <c r="J245" s="6">
        <v>0.476378163015331</v>
      </c>
      <c r="K245" s="6">
        <v>-0.0177135271436943</v>
      </c>
      <c r="L245" s="6">
        <v>0.176255348677203</v>
      </c>
      <c r="M245" s="6">
        <v>-0.0177135271436943</v>
      </c>
      <c r="N245" s="7">
        <v>0.96</v>
      </c>
      <c r="O245" s="7">
        <v>0.999999788</v>
      </c>
      <c r="P245" s="7">
        <v>0.996466666666666</v>
      </c>
      <c r="Q245" s="7">
        <v>0.999999788</v>
      </c>
      <c r="R245" s="6">
        <v>2.50276587308606</v>
      </c>
      <c r="S245" s="6">
        <v>-0.560132743721462</v>
      </c>
      <c r="T245" s="6">
        <v>8.21029264926157</v>
      </c>
      <c r="U245" s="6">
        <v>-0.560132743721462</v>
      </c>
    </row>
    <row r="246" ht="11.25" customHeight="1">
      <c r="A246" s="2" t="s">
        <v>274</v>
      </c>
      <c r="B246" s="5">
        <v>0.423941094355038</v>
      </c>
      <c r="C246" s="5">
        <v>0.684217178926165</v>
      </c>
      <c r="D246" s="5">
        <v>0.456853742536168</v>
      </c>
      <c r="E246" s="5">
        <v>0.0140705035139674</v>
      </c>
      <c r="F246" s="5">
        <v>0.19661988335667</v>
      </c>
      <c r="G246" s="5">
        <v>0.195784062724754</v>
      </c>
      <c r="H246" s="5">
        <v>0.202113389775382</v>
      </c>
      <c r="I246" s="5">
        <v>0.293389633167594</v>
      </c>
      <c r="J246" s="6">
        <v>2.02899669933866</v>
      </c>
      <c r="K246" s="6">
        <v>3.36706251648752</v>
      </c>
      <c r="L246" s="6">
        <v>2.13669041430707</v>
      </c>
      <c r="M246" s="6">
        <v>-0.0372524971930049</v>
      </c>
      <c r="N246" s="7">
        <v>0.109461872128254</v>
      </c>
      <c r="O246" s="7">
        <v>0.070860077021823</v>
      </c>
      <c r="P246" s="7">
        <v>0.34922480620155</v>
      </c>
      <c r="Q246" s="7">
        <v>0.460454174650453</v>
      </c>
      <c r="R246" s="6">
        <v>4.32645530174548</v>
      </c>
      <c r="S246" s="6">
        <v>7.70601053745986</v>
      </c>
      <c r="T246" s="6">
        <v>4.3913344262491</v>
      </c>
      <c r="U246" s="6">
        <v>-0.0729711334581565</v>
      </c>
    </row>
    <row r="247" ht="11.25" customHeight="1">
      <c r="A247" s="2" t="s">
        <v>275</v>
      </c>
      <c r="B247" s="5">
        <v>6.69572511199089</v>
      </c>
      <c r="C247" s="5">
        <v>9.4355803625237</v>
      </c>
      <c r="D247" s="5">
        <v>5.24363218331587</v>
      </c>
      <c r="E247" s="5">
        <v>1.45226973707236</v>
      </c>
      <c r="F247" s="5">
        <v>0.819325541289039</v>
      </c>
      <c r="G247" s="5">
        <v>0.827579265941024</v>
      </c>
      <c r="H247" s="5">
        <v>0.768605258299904</v>
      </c>
      <c r="I247" s="5">
        <v>1.1323860516192</v>
      </c>
      <c r="J247" s="6">
        <v>8.14172728155879</v>
      </c>
      <c r="K247" s="6">
        <v>11.3712133082782</v>
      </c>
      <c r="L247" s="6">
        <v>6.78974301432583</v>
      </c>
      <c r="M247" s="6">
        <v>1.26040914671414</v>
      </c>
      <c r="N247" s="7">
        <v>0.456367280014574</v>
      </c>
      <c r="O247" s="7">
        <v>0.456367280014574</v>
      </c>
      <c r="P247" s="7">
        <v>0.439869875831794</v>
      </c>
      <c r="Q247" s="7">
        <v>0.899093152261601</v>
      </c>
      <c r="R247" s="6">
        <v>19.4521558963083</v>
      </c>
      <c r="S247" s="6">
        <v>29.6087534133231</v>
      </c>
      <c r="T247" s="6">
        <v>16.6208395387853</v>
      </c>
      <c r="U247" s="6">
        <v>2.76733927210887</v>
      </c>
    </row>
    <row r="248" ht="11.25" customHeight="1">
      <c r="A248" s="2" t="s">
        <v>276</v>
      </c>
      <c r="B248" s="5">
        <v>0.468070517223171</v>
      </c>
      <c r="C248" s="5">
        <v>0.534828176428297</v>
      </c>
      <c r="D248" s="5">
        <v>0.640452518515067</v>
      </c>
      <c r="E248" s="5">
        <v>0.135903619311023</v>
      </c>
      <c r="F248" s="5">
        <v>0.175530668962987</v>
      </c>
      <c r="G248" s="5">
        <v>0.185236252475422</v>
      </c>
      <c r="H248" s="5">
        <v>0.176597173275657</v>
      </c>
      <c r="I248" s="5">
        <v>0.27108041107275</v>
      </c>
      <c r="J248" s="6">
        <v>2.52417722692436</v>
      </c>
      <c r="K248" s="6">
        <v>2.75231316556645</v>
      </c>
      <c r="L248" s="6">
        <v>3.4850643818312</v>
      </c>
      <c r="M248" s="6">
        <v>0.409117054501071</v>
      </c>
      <c r="N248" s="7">
        <v>0.117177626904682</v>
      </c>
      <c r="O248" s="7">
        <v>0.093681299198638</v>
      </c>
      <c r="P248" s="7">
        <v>0.141156573830483</v>
      </c>
      <c r="Q248" s="7">
        <v>0.536420961078495</v>
      </c>
      <c r="R248" s="6">
        <v>5.53819013928765</v>
      </c>
      <c r="S248" s="6">
        <v>6.3028832026319</v>
      </c>
      <c r="T248" s="6">
        <v>8.16539519016519</v>
      </c>
      <c r="U248" s="6">
        <v>0.790210634717595</v>
      </c>
    </row>
    <row r="249" ht="11.25" customHeight="1">
      <c r="A249" s="2" t="s">
        <v>277</v>
      </c>
      <c r="B249" s="5">
        <v>0.601661268276218</v>
      </c>
      <c r="C249" s="5">
        <v>0.87370589656344</v>
      </c>
      <c r="D249" s="5">
        <v>0.457078888931905</v>
      </c>
      <c r="E249" s="5">
        <v>-0.0283262548937254</v>
      </c>
      <c r="F249" s="5">
        <v>0.308479029667444</v>
      </c>
      <c r="G249" s="5">
        <v>0.330554342802969</v>
      </c>
      <c r="H249" s="5">
        <v>0.354276837384557</v>
      </c>
      <c r="I249" s="5">
        <v>0.462930309724719</v>
      </c>
      <c r="J249" s="6">
        <v>1.86936943136098</v>
      </c>
      <c r="K249" s="6">
        <v>2.56752305647159</v>
      </c>
      <c r="L249" s="6">
        <v>1.21960806730047</v>
      </c>
      <c r="M249" s="6">
        <v>-0.115192835235687</v>
      </c>
      <c r="N249" s="7">
        <v>0.208091193237908</v>
      </c>
      <c r="O249" s="7">
        <v>0.228235294117647</v>
      </c>
      <c r="P249" s="7">
        <v>0.453228636550137</v>
      </c>
      <c r="Q249" s="7">
        <v>0.812847065886237</v>
      </c>
      <c r="R249" s="6">
        <v>3.92673365341307</v>
      </c>
      <c r="S249" s="6">
        <v>5.43705788079584</v>
      </c>
      <c r="T249" s="6">
        <v>2.37924179068421</v>
      </c>
      <c r="U249" s="6">
        <v>-0.228872423167481</v>
      </c>
    </row>
    <row r="250" ht="11.25" customHeight="1">
      <c r="A250" s="2" t="s">
        <v>278</v>
      </c>
      <c r="B250" s="5">
        <v>0.474505829083762</v>
      </c>
      <c r="C250" s="5">
        <v>0.702252118471401</v>
      </c>
      <c r="D250" s="5">
        <v>0.573287592839465</v>
      </c>
      <c r="E250" s="5">
        <v>-0.0226783847736284</v>
      </c>
      <c r="F250" s="5">
        <v>0.260349871980177</v>
      </c>
      <c r="G250" s="5">
        <v>0.24065236743672</v>
      </c>
      <c r="H250" s="5">
        <v>0.246826267258206</v>
      </c>
      <c r="I250" s="5">
        <v>0.379689332015739</v>
      </c>
      <c r="J250" s="6">
        <v>1.72654522802295</v>
      </c>
      <c r="K250" s="6">
        <v>2.81423418221507</v>
      </c>
      <c r="L250" s="6">
        <v>2.22135025955685</v>
      </c>
      <c r="M250" s="6">
        <v>-0.125572094745216</v>
      </c>
      <c r="N250" s="7">
        <v>0.26815471280081</v>
      </c>
      <c r="O250" s="7">
        <v>0.171182266009852</v>
      </c>
      <c r="P250" s="7">
        <v>0.411224337555925</v>
      </c>
      <c r="Q250" s="7">
        <v>0.826562203828899</v>
      </c>
      <c r="R250" s="6">
        <v>3.62685434547397</v>
      </c>
      <c r="S250" s="6">
        <v>6.82566994135018</v>
      </c>
      <c r="T250" s="6">
        <v>5.01680655016243</v>
      </c>
      <c r="U250" s="6">
        <v>-0.247042156977186</v>
      </c>
    </row>
    <row r="251" ht="11.25" customHeight="1">
      <c r="A251" s="2" t="s">
        <v>279</v>
      </c>
      <c r="B251" s="5">
        <v>0.445870217973064</v>
      </c>
      <c r="C251" s="5">
        <v>0.665189923422425</v>
      </c>
      <c r="D251" s="5">
        <v>0.685323254479048</v>
      </c>
      <c r="E251" s="5">
        <v>0.145164865795556</v>
      </c>
      <c r="F251" s="5">
        <v>0.230758730436329</v>
      </c>
      <c r="G251" s="5">
        <v>0.234699078325245</v>
      </c>
      <c r="H251" s="5">
        <v>0.235581952843008</v>
      </c>
      <c r="I251" s="5">
        <v>0.344131329183391</v>
      </c>
      <c r="J251" s="6">
        <v>1.82385393253491</v>
      </c>
      <c r="K251" s="6">
        <v>2.72770531520899</v>
      </c>
      <c r="L251" s="6">
        <v>2.80294499009899</v>
      </c>
      <c r="M251" s="6">
        <v>0.349183162372057</v>
      </c>
      <c r="N251" s="7">
        <v>0.304692009454999</v>
      </c>
      <c r="O251" s="7">
        <v>0.13185484616206</v>
      </c>
      <c r="P251" s="7">
        <v>0.299554356164952</v>
      </c>
      <c r="Q251" s="7">
        <v>0.536453645364535</v>
      </c>
      <c r="R251" s="6">
        <v>3.91672042984806</v>
      </c>
      <c r="S251" s="6">
        <v>6.51364253601545</v>
      </c>
      <c r="T251" s="6">
        <v>6.31795352709722</v>
      </c>
      <c r="U251" s="6">
        <v>0.685628986353534</v>
      </c>
    </row>
    <row r="252" ht="11.25" customHeight="1">
      <c r="A252" s="2" t="s">
        <v>280</v>
      </c>
      <c r="B252" s="5">
        <v>0.298797829924462</v>
      </c>
      <c r="C252" s="5">
        <v>0.36654827155198</v>
      </c>
      <c r="D252" s="5">
        <v>0.288138113248616</v>
      </c>
      <c r="E252" s="5">
        <v>0.0657313654653328</v>
      </c>
      <c r="F252" s="5">
        <v>0.15303983789536</v>
      </c>
      <c r="G252" s="5">
        <v>0.153058607321726</v>
      </c>
      <c r="H252" s="5">
        <v>0.140727036193011</v>
      </c>
      <c r="I252" s="5">
        <v>0.22689504140867</v>
      </c>
      <c r="J252" s="6">
        <v>1.78906246693536</v>
      </c>
      <c r="K252" s="6">
        <v>2.23148686329056</v>
      </c>
      <c r="L252" s="6">
        <v>1.8698476168269</v>
      </c>
      <c r="M252" s="6">
        <v>0.179516331482845</v>
      </c>
      <c r="N252" s="7">
        <v>0.105580693815987</v>
      </c>
      <c r="O252" s="7">
        <v>0.105580693815988</v>
      </c>
      <c r="P252" s="7">
        <v>0.283750869676821</v>
      </c>
      <c r="Q252" s="7">
        <v>0.494768722466958</v>
      </c>
      <c r="R252" s="6">
        <v>3.64268581796099</v>
      </c>
      <c r="S252" s="6">
        <v>4.86647182741949</v>
      </c>
      <c r="T252" s="6">
        <v>3.56413646982828</v>
      </c>
      <c r="U252" s="6">
        <v>0.334422809217429</v>
      </c>
    </row>
    <row r="253" ht="11.25" customHeight="1">
      <c r="A253" s="2" t="s">
        <v>281</v>
      </c>
      <c r="B253" s="5">
        <v>0.454294778530171</v>
      </c>
      <c r="C253" s="5">
        <v>0.499320444824753</v>
      </c>
      <c r="D253" s="5">
        <v>0.464904226264961</v>
      </c>
      <c r="E253" s="5">
        <v>0.210521165367933</v>
      </c>
      <c r="F253" s="5">
        <v>0.186474946044164</v>
      </c>
      <c r="G253" s="5">
        <v>0.192101754924086</v>
      </c>
      <c r="H253" s="5">
        <v>0.174119669676945</v>
      </c>
      <c r="I253" s="5">
        <v>0.292588273751906</v>
      </c>
      <c r="J253" s="6">
        <v>2.30215794473804</v>
      </c>
      <c r="K253" s="6">
        <v>2.46911042021553</v>
      </c>
      <c r="L253" s="6">
        <v>2.52644762697484</v>
      </c>
      <c r="M253" s="6">
        <v>0.634069038341714</v>
      </c>
      <c r="N253" s="7">
        <v>0.15176524530032</v>
      </c>
      <c r="O253" s="7">
        <v>0.138641875505254</v>
      </c>
      <c r="P253" s="7">
        <v>0.213557715098364</v>
      </c>
      <c r="Q253" s="7">
        <v>0.476880172724001</v>
      </c>
      <c r="R253" s="6">
        <v>4.75602464637957</v>
      </c>
      <c r="S253" s="6">
        <v>5.42638127634589</v>
      </c>
      <c r="T253" s="6">
        <v>5.23142248904188</v>
      </c>
      <c r="U253" s="6">
        <v>1.19826641688923</v>
      </c>
    </row>
    <row r="254" ht="11.25" customHeight="1">
      <c r="A254" s="2" t="s">
        <v>282</v>
      </c>
      <c r="B254" s="5">
        <v>0.305720148311649</v>
      </c>
      <c r="C254" s="5">
        <v>0.461861165609259</v>
      </c>
      <c r="D254" s="5">
        <v>0.294617813025584</v>
      </c>
      <c r="E254" s="5">
        <v>0.0597370002215045</v>
      </c>
      <c r="F254" s="5">
        <v>0.123511034274301</v>
      </c>
      <c r="G254" s="5">
        <v>0.126873231531336</v>
      </c>
      <c r="H254" s="5">
        <v>0.11448143352622</v>
      </c>
      <c r="I254" s="5">
        <v>0.189152590809353</v>
      </c>
      <c r="J254" s="6">
        <v>2.27283456867672</v>
      </c>
      <c r="K254" s="6">
        <v>3.44328870902416</v>
      </c>
      <c r="L254" s="6">
        <v>2.3551226143917</v>
      </c>
      <c r="M254" s="6">
        <v>0.183645384252313</v>
      </c>
      <c r="N254" s="7">
        <v>0.076114610164108</v>
      </c>
      <c r="O254" s="7">
        <v>0.0506092273582466</v>
      </c>
      <c r="P254" s="7">
        <v>0.116978476488259</v>
      </c>
      <c r="Q254" s="7">
        <v>0.455550138143995</v>
      </c>
      <c r="R254" s="6">
        <v>4.72426808157526</v>
      </c>
      <c r="S254" s="6">
        <v>8.09559385168521</v>
      </c>
      <c r="T254" s="6">
        <v>4.97098965747501</v>
      </c>
      <c r="U254" s="6">
        <v>0.346625890455662</v>
      </c>
    </row>
    <row r="255" ht="11.25" customHeight="1">
      <c r="A255" s="2" t="s">
        <v>283</v>
      </c>
      <c r="B255" s="5">
        <v>0.554095303865409</v>
      </c>
      <c r="C255" s="5">
        <v>0.785396304818937</v>
      </c>
      <c r="D255" s="5">
        <v>0.72579242788996</v>
      </c>
      <c r="E255" s="5">
        <v>0.0954582633668932</v>
      </c>
      <c r="F255" s="5">
        <v>0.261663437491955</v>
      </c>
      <c r="G255" s="5">
        <v>0.238591847296796</v>
      </c>
      <c r="H255" s="5">
        <v>0.238671511359919</v>
      </c>
      <c r="I255" s="5">
        <v>0.36648400221559</v>
      </c>
      <c r="J255" s="6">
        <v>2.02204522319506</v>
      </c>
      <c r="K255" s="6">
        <v>3.1870171317004</v>
      </c>
      <c r="L255" s="6">
        <v>2.93622152010073</v>
      </c>
      <c r="M255" s="6">
        <v>0.192254676714223</v>
      </c>
      <c r="N255" s="7">
        <v>0.183540437210482</v>
      </c>
      <c r="O255" s="7">
        <v>0.100835945663531</v>
      </c>
      <c r="P255" s="7">
        <v>0.248686732476467</v>
      </c>
      <c r="Q255" s="7">
        <v>0.534445870774497</v>
      </c>
      <c r="R255" s="6">
        <v>4.37490087860393</v>
      </c>
      <c r="S255" s="6">
        <v>7.70994438659515</v>
      </c>
      <c r="T255" s="6">
        <v>6.54198989426953</v>
      </c>
      <c r="U255" s="6">
        <v>0.37082849017498</v>
      </c>
    </row>
    <row r="256" ht="11.25" customHeight="1">
      <c r="A256" s="2" t="s">
        <v>284</v>
      </c>
      <c r="B256" s="5">
        <v>0.620286343329558</v>
      </c>
      <c r="C256" s="5">
        <v>0.881434207192873</v>
      </c>
      <c r="D256" s="5">
        <v>0.636642203090034</v>
      </c>
      <c r="E256" s="5">
        <v>0.0736030786111068</v>
      </c>
      <c r="F256" s="5">
        <v>0.276264707232944</v>
      </c>
      <c r="G256" s="5">
        <v>0.272312380353761</v>
      </c>
      <c r="H256" s="5">
        <v>0.275343198450016</v>
      </c>
      <c r="I256" s="5">
        <v>0.399045253121716</v>
      </c>
      <c r="J256" s="6">
        <v>2.15476797341188</v>
      </c>
      <c r="K256" s="6">
        <v>3.14504322601961</v>
      </c>
      <c r="L256" s="6">
        <v>2.22138119457149</v>
      </c>
      <c r="M256" s="6">
        <v>0.121798413164639</v>
      </c>
      <c r="N256" s="7">
        <v>0.213884296677021</v>
      </c>
      <c r="O256" s="7">
        <v>0.200354609929078</v>
      </c>
      <c r="P256" s="7">
        <v>0.292314428105748</v>
      </c>
      <c r="Q256" s="7">
        <v>0.63855421686747</v>
      </c>
      <c r="R256" s="6">
        <v>4.70676263025272</v>
      </c>
      <c r="S256" s="6">
        <v>7.70360102322623</v>
      </c>
      <c r="T256" s="6">
        <v>4.76588183391199</v>
      </c>
      <c r="U256" s="6">
        <v>0.244250676622235</v>
      </c>
    </row>
    <row r="257" ht="11.25" customHeight="1">
      <c r="A257" s="2" t="s">
        <v>285</v>
      </c>
      <c r="B257" s="5">
        <v>1.71141999053101</v>
      </c>
      <c r="C257" s="5">
        <v>2.92153103497749</v>
      </c>
      <c r="D257" s="5">
        <v>1.73133179466831</v>
      </c>
      <c r="E257" s="5">
        <v>0.299953262006222</v>
      </c>
      <c r="F257" s="5">
        <v>0.843819611316908</v>
      </c>
      <c r="G257" s="5">
        <v>0.83849930459399</v>
      </c>
      <c r="H257" s="5">
        <v>0.656345989799572</v>
      </c>
      <c r="I257" s="5">
        <v>1.13054288600609</v>
      </c>
      <c r="J257" s="6">
        <v>1.99855510338175</v>
      </c>
      <c r="K257" s="6">
        <v>3.45442270388049</v>
      </c>
      <c r="L257" s="6">
        <v>2.59974437444094</v>
      </c>
      <c r="M257" s="6">
        <v>0.243204627979712</v>
      </c>
      <c r="N257" s="7">
        <v>0.442893729676843</v>
      </c>
      <c r="O257" s="7">
        <v>0.314150943396226</v>
      </c>
      <c r="P257" s="7">
        <v>0.642140468227424</v>
      </c>
      <c r="Q257" s="7">
        <v>0.951380447994443</v>
      </c>
      <c r="R257" s="6">
        <v>6.30645812322263</v>
      </c>
      <c r="S257" s="6">
        <v>14.5732111460699</v>
      </c>
      <c r="T257" s="6">
        <v>7.52797974975166</v>
      </c>
      <c r="U257" s="6">
        <v>0.613516393769898</v>
      </c>
    </row>
    <row r="258" ht="11.25" customHeight="1">
      <c r="A258" s="2" t="s">
        <v>286</v>
      </c>
      <c r="B258" s="5">
        <v>1.08350102957173</v>
      </c>
      <c r="C258" s="5">
        <v>1.62264466959005</v>
      </c>
      <c r="D258" s="5">
        <v>1.07263134043305</v>
      </c>
      <c r="E258" s="5">
        <v>0.555448726244757</v>
      </c>
      <c r="F258" s="5">
        <v>0.337135057104319</v>
      </c>
      <c r="G258" s="5">
        <v>0.342996544243708</v>
      </c>
      <c r="H258" s="5">
        <v>0.336565374444765</v>
      </c>
      <c r="I258" s="5">
        <v>0.471314631651593</v>
      </c>
      <c r="J258" s="6">
        <v>3.13969433693216</v>
      </c>
      <c r="K258" s="6">
        <v>4.6579031083616</v>
      </c>
      <c r="L258" s="6">
        <v>3.11271277433497</v>
      </c>
      <c r="M258" s="6">
        <v>1.12546628222838</v>
      </c>
      <c r="N258" s="7">
        <v>0.308441558441558</v>
      </c>
      <c r="O258" s="7">
        <v>0.124822989084702</v>
      </c>
      <c r="P258" s="7">
        <v>0.391433719748516</v>
      </c>
      <c r="Q258" s="7">
        <v>0.56056890632663</v>
      </c>
      <c r="R258" s="6">
        <v>7.6645598041343</v>
      </c>
      <c r="S258" s="6">
        <v>12.7538729071727</v>
      </c>
      <c r="T258" s="6">
        <v>6.6268965997657</v>
      </c>
      <c r="U258" s="6">
        <v>2.36252299777474</v>
      </c>
    </row>
    <row r="259" ht="11.25" customHeight="1">
      <c r="A259" s="2" t="s">
        <v>287</v>
      </c>
      <c r="B259" s="5">
        <v>0.560658747241769</v>
      </c>
      <c r="C259" s="5">
        <v>0.768857462373921</v>
      </c>
      <c r="D259" s="5">
        <v>0.643756700112157</v>
      </c>
      <c r="E259" s="5">
        <v>0.35672353190068</v>
      </c>
      <c r="F259" s="5">
        <v>0.22058492720112</v>
      </c>
      <c r="G259" s="5">
        <v>0.213954283914779</v>
      </c>
      <c r="H259" s="5">
        <v>0.194173015390257</v>
      </c>
      <c r="I259" s="5">
        <v>0.314075976932531</v>
      </c>
      <c r="J259" s="6">
        <v>2.42835607146165</v>
      </c>
      <c r="K259" s="6">
        <v>3.4767121684285</v>
      </c>
      <c r="L259" s="6">
        <v>3.18662559196782</v>
      </c>
      <c r="M259" s="6">
        <v>1.05618880864594</v>
      </c>
      <c r="N259" s="7">
        <v>0.114886954140307</v>
      </c>
      <c r="O259" s="7">
        <v>0.104925102380376</v>
      </c>
      <c r="P259" s="7">
        <v>0.121079237985377</v>
      </c>
      <c r="Q259" s="7">
        <v>0.307901407620407</v>
      </c>
      <c r="R259" s="6">
        <v>5.48579654464181</v>
      </c>
      <c r="S259" s="6">
        <v>8.61198174888571</v>
      </c>
      <c r="T259" s="6">
        <v>7.3608057595005</v>
      </c>
      <c r="U259" s="6">
        <v>2.11767596887491</v>
      </c>
    </row>
    <row r="260" ht="11.25" customHeight="1">
      <c r="A260" s="2" t="s">
        <v>288</v>
      </c>
      <c r="B260" s="5">
        <v>0.573146701322863</v>
      </c>
      <c r="C260" s="5">
        <v>0.846918092642172</v>
      </c>
      <c r="D260" s="5">
        <v>0.709921085775179</v>
      </c>
      <c r="E260" s="5">
        <v>0.311089186988717</v>
      </c>
      <c r="F260" s="5">
        <v>0.219250342402268</v>
      </c>
      <c r="G260" s="5">
        <v>0.207781902028798</v>
      </c>
      <c r="H260" s="5">
        <v>0.206075722116689</v>
      </c>
      <c r="I260" s="5">
        <v>0.310509335367981</v>
      </c>
      <c r="J260" s="6">
        <v>2.50009507541454</v>
      </c>
      <c r="K260" s="6">
        <v>3.95567700852144</v>
      </c>
      <c r="L260" s="6">
        <v>3.32363792658382</v>
      </c>
      <c r="M260" s="6">
        <v>0.92135454365543</v>
      </c>
      <c r="N260" s="7">
        <v>0.13584857502962</v>
      </c>
      <c r="O260" s="7">
        <v>0.0823725765613291</v>
      </c>
      <c r="P260" s="7">
        <v>0.145521203198521</v>
      </c>
      <c r="Q260" s="7">
        <v>0.30870828332907</v>
      </c>
      <c r="R260" s="6">
        <v>5.75557713565903</v>
      </c>
      <c r="S260" s="6">
        <v>10.5745889977913</v>
      </c>
      <c r="T260" s="6">
        <v>8.00898316369814</v>
      </c>
      <c r="U260" s="6">
        <v>1.85019808971206</v>
      </c>
    </row>
    <row r="261" ht="11.25" customHeight="1">
      <c r="A261" s="2" t="s">
        <v>289</v>
      </c>
      <c r="B261" s="5">
        <v>0.06054610951709</v>
      </c>
      <c r="C261" s="5">
        <v>0.0695285321180383</v>
      </c>
      <c r="D261" s="5">
        <v>0.0450346200083739</v>
      </c>
      <c r="E261" s="5">
        <v>0.0112962208556779</v>
      </c>
      <c r="F261" s="5">
        <v>0.0332742106454293</v>
      </c>
      <c r="G261" s="5">
        <v>0.0331899394460506</v>
      </c>
      <c r="H261" s="5">
        <v>0.0297012318022358</v>
      </c>
      <c r="I261" s="5">
        <v>0.0481129974928393</v>
      </c>
      <c r="J261" s="6">
        <v>1.06827806963988</v>
      </c>
      <c r="K261" s="6">
        <v>1.34162739858017</v>
      </c>
      <c r="L261" s="6">
        <v>0.674538353889612</v>
      </c>
      <c r="M261" s="6">
        <v>-0.284824888458915</v>
      </c>
      <c r="N261" s="7">
        <v>0.0251041300502811</v>
      </c>
      <c r="O261" s="7">
        <v>0.0192616372391651</v>
      </c>
      <c r="P261" s="7">
        <v>0.0524004140728059</v>
      </c>
      <c r="Q261" s="7">
        <v>0.0892924706772616</v>
      </c>
      <c r="R261" s="6">
        <v>2.1763474259672</v>
      </c>
      <c r="S261" s="6">
        <v>2.96002424577283</v>
      </c>
      <c r="T261" s="6">
        <v>1.33902145944835</v>
      </c>
      <c r="U261" s="6">
        <v>-0.560453843367593</v>
      </c>
    </row>
    <row r="262" ht="11.25" customHeight="1">
      <c r="A262" s="2" t="s">
        <v>290</v>
      </c>
      <c r="B262" s="5">
        <v>0.499101492820657</v>
      </c>
      <c r="C262" s="5">
        <v>0.634468502594839</v>
      </c>
      <c r="D262" s="5">
        <v>0.571396565150116</v>
      </c>
      <c r="E262" s="5">
        <v>0.163704440994463</v>
      </c>
      <c r="F262" s="5">
        <v>0.190426304735425</v>
      </c>
      <c r="G262" s="5">
        <v>0.194965637876629</v>
      </c>
      <c r="H262" s="5">
        <v>0.188023612257861</v>
      </c>
      <c r="I262" s="5">
        <v>0.293552047462471</v>
      </c>
      <c r="J262" s="6">
        <v>2.48968488612623</v>
      </c>
      <c r="K262" s="6">
        <v>3.12603035710579</v>
      </c>
      <c r="L262" s="6">
        <v>2.90599972306015</v>
      </c>
      <c r="M262" s="6">
        <v>0.472503742329359</v>
      </c>
      <c r="N262" s="7">
        <v>0.168995823445925</v>
      </c>
      <c r="O262" s="7">
        <v>0.154350795806493</v>
      </c>
      <c r="P262" s="7">
        <v>0.145700265448789</v>
      </c>
      <c r="Q262" s="7">
        <v>0.563227375369115</v>
      </c>
      <c r="R262" s="6">
        <v>5.27345651427057</v>
      </c>
      <c r="S262" s="6">
        <v>7.11424369188721</v>
      </c>
      <c r="T262" s="6">
        <v>6.50505979673012</v>
      </c>
      <c r="U262" s="6">
        <v>0.9134792554658</v>
      </c>
    </row>
    <row r="263" ht="11.25" customHeight="1">
      <c r="A263" s="2" t="s">
        <v>291</v>
      </c>
      <c r="B263" s="5">
        <v>0.604282536147958</v>
      </c>
      <c r="C263" s="5">
        <v>0.867812037416681</v>
      </c>
      <c r="D263" s="5">
        <v>0.535608775599738</v>
      </c>
      <c r="E263" s="5">
        <v>0.304000335190042</v>
      </c>
      <c r="F263" s="5">
        <v>0.231867994837253</v>
      </c>
      <c r="G263" s="5">
        <v>0.234660355565564</v>
      </c>
      <c r="H263" s="5">
        <v>0.208980174570196</v>
      </c>
      <c r="I263" s="5">
        <v>0.344608515451789</v>
      </c>
      <c r="J263" s="6">
        <v>2.49832900204512</v>
      </c>
      <c r="K263" s="6">
        <v>3.59162516133322</v>
      </c>
      <c r="L263" s="6">
        <v>2.44333596069527</v>
      </c>
      <c r="M263" s="6">
        <v>0.809615324868761</v>
      </c>
      <c r="N263" s="7">
        <v>0.17380781055799</v>
      </c>
      <c r="O263" s="7">
        <v>0.17380781055799</v>
      </c>
      <c r="P263" s="7">
        <v>0.265640307907627</v>
      </c>
      <c r="Q263" s="7">
        <v>0.443229241617498</v>
      </c>
      <c r="R263" s="6">
        <v>5.42089768073222</v>
      </c>
      <c r="S263" s="6">
        <v>8.8568360620708</v>
      </c>
      <c r="T263" s="6">
        <v>5.30164265161551</v>
      </c>
      <c r="U263" s="6">
        <v>1.58253732205979</v>
      </c>
    </row>
    <row r="264" ht="11.25" customHeight="1">
      <c r="A264" s="2" t="s">
        <v>292</v>
      </c>
      <c r="B264" s="5">
        <v>0.807276265153409</v>
      </c>
      <c r="C264" s="5">
        <v>1.06345720934855</v>
      </c>
      <c r="D264" s="5">
        <v>0.67754761310404</v>
      </c>
      <c r="E264" s="5">
        <v>0.0615848972206705</v>
      </c>
      <c r="F264" s="5">
        <v>0.368068453285313</v>
      </c>
      <c r="G264" s="5">
        <v>0.334223454176996</v>
      </c>
      <c r="H264" s="5">
        <v>0.385259129862275</v>
      </c>
      <c r="I264" s="5">
        <v>0.514465845865362</v>
      </c>
      <c r="J264" s="6">
        <v>2.1253553739011</v>
      </c>
      <c r="K264" s="6">
        <v>3.10707461241966</v>
      </c>
      <c r="L264" s="6">
        <v>1.69378883593833</v>
      </c>
      <c r="M264" s="6">
        <v>0.0711123926198298</v>
      </c>
      <c r="N264" s="7">
        <v>0.395774965831271</v>
      </c>
      <c r="O264" s="7">
        <v>0.253533265960772</v>
      </c>
      <c r="P264" s="7">
        <v>0.705567451820128</v>
      </c>
      <c r="Q264" s="7">
        <v>0.88194891607641</v>
      </c>
      <c r="R264" s="6">
        <v>4.53869290707407</v>
      </c>
      <c r="S264" s="6">
        <v>7.61082916208548</v>
      </c>
      <c r="T264" s="6">
        <v>3.38925104191034</v>
      </c>
      <c r="U264" s="6">
        <v>0.137196945682413</v>
      </c>
    </row>
    <row r="265" ht="11.25" customHeight="1">
      <c r="A265" s="2" t="s">
        <v>293</v>
      </c>
      <c r="B265" s="5">
        <v>0.596228720037076</v>
      </c>
      <c r="C265" s="5">
        <v>0.765261411560626</v>
      </c>
      <c r="D265" s="5">
        <v>0.517643757372505</v>
      </c>
      <c r="E265" s="5">
        <v>0.201831764815552</v>
      </c>
      <c r="F265" s="5">
        <v>0.242408804401906</v>
      </c>
      <c r="G265" s="5">
        <v>0.233722591675551</v>
      </c>
      <c r="H265" s="5">
        <v>0.234111817632852</v>
      </c>
      <c r="I265" s="5">
        <v>0.328635861018131</v>
      </c>
      <c r="J265" s="6">
        <v>2.35646853441014</v>
      </c>
      <c r="K265" s="6">
        <v>3.16726511653713</v>
      </c>
      <c r="L265" s="6">
        <v>2.10430965148926</v>
      </c>
      <c r="M265" s="6">
        <v>0.53807811560101</v>
      </c>
      <c r="N265" s="7">
        <v>0.215143731745284</v>
      </c>
      <c r="O265" s="7">
        <v>0.0896007002306831</v>
      </c>
      <c r="P265" s="7">
        <v>0.38622552329507</v>
      </c>
      <c r="Q265" s="7">
        <v>0.476738531366509</v>
      </c>
      <c r="R265" s="6">
        <v>5.37242577100458</v>
      </c>
      <c r="S265" s="6">
        <v>8.17832873815802</v>
      </c>
      <c r="T265" s="6">
        <v>4.50732655831233</v>
      </c>
      <c r="U265" s="6">
        <v>1.09001879542082</v>
      </c>
    </row>
    <row r="266" ht="11.25" customHeight="1">
      <c r="A266" s="2" t="s">
        <v>294</v>
      </c>
      <c r="B266" s="5">
        <v>0.611239233677312</v>
      </c>
      <c r="C266" s="5">
        <v>0.786111436000367</v>
      </c>
      <c r="D266" s="5">
        <v>0.640114279018745</v>
      </c>
      <c r="E266" s="5">
        <v>0.111001739000146</v>
      </c>
      <c r="F266" s="5">
        <v>0.233241487827061</v>
      </c>
      <c r="G266" s="5">
        <v>0.206646933110784</v>
      </c>
      <c r="H266" s="5">
        <v>0.264447940107634</v>
      </c>
      <c r="I266" s="5">
        <v>0.35005699537083</v>
      </c>
      <c r="J266" s="6">
        <v>2.51344320917718</v>
      </c>
      <c r="K266" s="6">
        <v>3.68314895625541</v>
      </c>
      <c r="L266" s="6">
        <v>2.32603165208389</v>
      </c>
      <c r="M266" s="6">
        <v>0.245679246915322</v>
      </c>
      <c r="N266" s="7">
        <v>0.199742260115112</v>
      </c>
      <c r="O266" s="7">
        <v>0.0959764101588507</v>
      </c>
      <c r="P266" s="7">
        <v>0.451383026049603</v>
      </c>
      <c r="Q266" s="7">
        <v>0.525740860912827</v>
      </c>
      <c r="R266" s="6">
        <v>5.40642705340227</v>
      </c>
      <c r="S266" s="6">
        <v>8.95662985537981</v>
      </c>
      <c r="T266" s="6">
        <v>4.65337027173087</v>
      </c>
      <c r="U266" s="6">
        <v>0.47448057355021</v>
      </c>
    </row>
    <row r="267" ht="11.25" customHeight="1">
      <c r="A267" s="2" t="s">
        <v>295</v>
      </c>
      <c r="B267" s="5">
        <v>0.582260314492139</v>
      </c>
      <c r="C267" s="5">
        <v>0.701133007978936</v>
      </c>
      <c r="D267" s="5">
        <v>0.640233554936936</v>
      </c>
      <c r="E267" s="5">
        <v>0.20917247109089</v>
      </c>
      <c r="F267" s="5">
        <v>0.219549264284882</v>
      </c>
      <c r="G267" s="5">
        <v>0.226657342726463</v>
      </c>
      <c r="H267" s="5">
        <v>0.235162539949391</v>
      </c>
      <c r="I267" s="5">
        <v>0.323804128380403</v>
      </c>
      <c r="J267" s="6">
        <v>2.53820169385332</v>
      </c>
      <c r="K267" s="6">
        <v>2.98306244944781</v>
      </c>
      <c r="L267" s="6">
        <v>2.61620560429964</v>
      </c>
      <c r="M267" s="6">
        <v>0.56877740259854</v>
      </c>
      <c r="N267" s="7">
        <v>0.119460309927009</v>
      </c>
      <c r="O267" s="7">
        <v>0.101519313006293</v>
      </c>
      <c r="P267" s="7">
        <v>0.327814841808887</v>
      </c>
      <c r="Q267" s="7">
        <v>0.432507110930515</v>
      </c>
      <c r="R267" s="6">
        <v>5.79926337430338</v>
      </c>
      <c r="S267" s="6">
        <v>7.35095290347491</v>
      </c>
      <c r="T267" s="6">
        <v>5.64711922765754</v>
      </c>
      <c r="U267" s="6">
        <v>1.13750179836693</v>
      </c>
    </row>
    <row r="268" ht="11.25" customHeight="1">
      <c r="A268" s="2" t="s">
        <v>296</v>
      </c>
      <c r="B268" s="5">
        <v>0.914125261005799</v>
      </c>
      <c r="C268" s="5">
        <v>1.02068056665285</v>
      </c>
      <c r="D268" s="5">
        <v>0.536308101234268</v>
      </c>
      <c r="E268" s="5">
        <v>-0.0505691674084525</v>
      </c>
      <c r="F268" s="5">
        <v>0.351658615039735</v>
      </c>
      <c r="G268" s="5">
        <v>0.328429632567472</v>
      </c>
      <c r="H268" s="5">
        <v>0.386117532253004</v>
      </c>
      <c r="I268" s="5">
        <v>0.519324396203664</v>
      </c>
      <c r="J268" s="6">
        <v>2.52837616648559</v>
      </c>
      <c r="K268" s="6">
        <v>3.03164047308765</v>
      </c>
      <c r="L268" s="6">
        <v>1.3242291751187</v>
      </c>
      <c r="M268" s="6">
        <v>-0.145514379761232</v>
      </c>
      <c r="N268" s="7">
        <v>0.251791537013918</v>
      </c>
      <c r="O268" s="7">
        <v>0.205714285714285</v>
      </c>
      <c r="P268" s="7">
        <v>0.793736017897091</v>
      </c>
      <c r="Q268" s="7">
        <v>0.93771953526074</v>
      </c>
      <c r="R268" s="6">
        <v>5.51472121920034</v>
      </c>
      <c r="S268" s="6">
        <v>7.11163704701941</v>
      </c>
      <c r="T268" s="6">
        <v>2.29807225144141</v>
      </c>
      <c r="U268" s="6">
        <v>-0.273329850425847</v>
      </c>
    </row>
    <row r="269" ht="11.25" customHeight="1">
      <c r="A269" s="2" t="s">
        <v>297</v>
      </c>
      <c r="B269" s="5">
        <v>0.597175973062811</v>
      </c>
      <c r="C269" s="5">
        <v>0.765325939555938</v>
      </c>
      <c r="D269" s="5">
        <v>0.544901579780485</v>
      </c>
      <c r="E269" s="5">
        <v>0.148908083860469</v>
      </c>
      <c r="F269" s="5">
        <v>0.25030752017842</v>
      </c>
      <c r="G269" s="5">
        <v>0.250008171102613</v>
      </c>
      <c r="H269" s="5">
        <v>0.264326955781781</v>
      </c>
      <c r="I269" s="5">
        <v>0.350974344406302</v>
      </c>
      <c r="J269" s="6">
        <v>2.28589206051405</v>
      </c>
      <c r="K269" s="6">
        <v>2.9612069729196</v>
      </c>
      <c r="L269" s="6">
        <v>1.96688823598338</v>
      </c>
      <c r="M269" s="6">
        <v>0.353040288657192</v>
      </c>
      <c r="N269" s="7">
        <v>0.153002859866539</v>
      </c>
      <c r="O269" s="7">
        <v>0.113447471237642</v>
      </c>
      <c r="P269" s="7">
        <v>0.574283810792804</v>
      </c>
      <c r="Q269" s="7">
        <v>0.645197112715158</v>
      </c>
      <c r="R269" s="6">
        <v>5.49759374581373</v>
      </c>
      <c r="S269" s="6">
        <v>7.86963008914812</v>
      </c>
      <c r="T269" s="6">
        <v>4.05322448604592</v>
      </c>
      <c r="U269" s="6">
        <v>0.687876897582471</v>
      </c>
    </row>
    <row r="270" ht="11.25" customHeight="1">
      <c r="A270" s="2" t="s">
        <v>298</v>
      </c>
      <c r="B270" s="5">
        <v>0.655029832537339</v>
      </c>
      <c r="C270" s="5">
        <v>0.629052845569826</v>
      </c>
      <c r="D270" s="5">
        <v>0.721005707150529</v>
      </c>
      <c r="E270" s="5">
        <v>0.15188651373269</v>
      </c>
      <c r="F270" s="5">
        <v>0.284939034244713</v>
      </c>
      <c r="G270" s="5">
        <v>0.271636377294528</v>
      </c>
      <c r="H270" s="5">
        <v>0.224579044653611</v>
      </c>
      <c r="I270" s="5">
        <v>0.408450391045952</v>
      </c>
      <c r="J270" s="6">
        <v>2.21110397951392</v>
      </c>
      <c r="K270" s="6">
        <v>2.22375534376556</v>
      </c>
      <c r="L270" s="6">
        <v>3.09915695039153</v>
      </c>
      <c r="M270" s="6">
        <v>0.310653426987207</v>
      </c>
      <c r="N270" s="7">
        <v>0.204986149584487</v>
      </c>
      <c r="O270" s="7">
        <v>0.209338693179875</v>
      </c>
      <c r="P270" s="7">
        <v>0.180345699486108</v>
      </c>
      <c r="Q270" s="7">
        <v>0.586060606060605</v>
      </c>
      <c r="R270" s="6">
        <v>4.74483023039055</v>
      </c>
      <c r="S270" s="6">
        <v>4.98831528950335</v>
      </c>
      <c r="T270" s="6">
        <v>7.16072328428976</v>
      </c>
      <c r="U270" s="6">
        <v>0.616207298103962</v>
      </c>
    </row>
    <row r="271" ht="11.25" customHeight="1">
      <c r="A271" s="2" t="s">
        <v>299</v>
      </c>
      <c r="B271" s="5">
        <v>0.765734782579221</v>
      </c>
      <c r="C271" s="5">
        <v>0.960408418724963</v>
      </c>
      <c r="D271" s="5">
        <v>0.789236173615076</v>
      </c>
      <c r="E271" s="5">
        <v>0.153361699461812</v>
      </c>
      <c r="F271" s="5">
        <v>0.307419936392263</v>
      </c>
      <c r="G271" s="5">
        <v>0.311362736122502</v>
      </c>
      <c r="H271" s="5">
        <v>0.317391734646429</v>
      </c>
      <c r="I271" s="5">
        <v>0.445180751231203</v>
      </c>
      <c r="J271" s="6">
        <v>2.40952096754731</v>
      </c>
      <c r="K271" s="6">
        <v>3.00424010391833</v>
      </c>
      <c r="L271" s="6">
        <v>2.407864131895</v>
      </c>
      <c r="M271" s="6">
        <v>0.288336140111206</v>
      </c>
      <c r="N271" s="7">
        <v>0.167468719923003</v>
      </c>
      <c r="O271" s="7">
        <v>0.150476487880405</v>
      </c>
      <c r="P271" s="7">
        <v>0.278721789893775</v>
      </c>
      <c r="Q271" s="7">
        <v>0.792654713707344</v>
      </c>
      <c r="R271" s="6">
        <v>5.61973552304696</v>
      </c>
      <c r="S271" s="6">
        <v>7.42915288770275</v>
      </c>
      <c r="T271" s="6">
        <v>5.27840545411426</v>
      </c>
      <c r="U271" s="6">
        <v>0.562693334246344</v>
      </c>
    </row>
    <row r="272" ht="11.25" customHeight="1">
      <c r="A272" s="2" t="s">
        <v>300</v>
      </c>
      <c r="B272" s="5">
        <v>0.809538163165779</v>
      </c>
      <c r="C272" s="5">
        <v>0.927549198887841</v>
      </c>
      <c r="D272" s="5">
        <v>0.84942943539817</v>
      </c>
      <c r="E272" s="5">
        <v>0.310154216725957</v>
      </c>
      <c r="F272" s="5">
        <v>0.274607939834555</v>
      </c>
      <c r="G272" s="5">
        <v>0.285685108736144</v>
      </c>
      <c r="H272" s="5">
        <v>0.311063584408996</v>
      </c>
      <c r="I272" s="5">
        <v>0.414388866727951</v>
      </c>
      <c r="J272" s="6">
        <v>2.85693910976661</v>
      </c>
      <c r="K272" s="6">
        <v>3.15924481636676</v>
      </c>
      <c r="L272" s="6">
        <v>2.65035663677746</v>
      </c>
      <c r="M272" s="6">
        <v>0.688131944705847</v>
      </c>
      <c r="N272" s="7">
        <v>0.217891939769707</v>
      </c>
      <c r="O272" s="7">
        <v>0.174047829937998</v>
      </c>
      <c r="P272" s="7">
        <v>0.498864926220204</v>
      </c>
      <c r="Q272" s="7">
        <v>0.548927436440677</v>
      </c>
      <c r="R272" s="6">
        <v>6.58933796235718</v>
      </c>
      <c r="S272" s="6">
        <v>7.63443249124933</v>
      </c>
      <c r="T272" s="6">
        <v>5.25565507869957</v>
      </c>
      <c r="U272" s="6">
        <v>1.33320661008504</v>
      </c>
    </row>
    <row r="273" ht="11.25" customHeight="1">
      <c r="A273" s="2" t="s">
        <v>301</v>
      </c>
      <c r="B273" s="5">
        <v>0.617746862135378</v>
      </c>
      <c r="C273" s="5">
        <v>0.752625691853338</v>
      </c>
      <c r="D273" s="5">
        <v>0.487419510800189</v>
      </c>
      <c r="E273" s="5">
        <v>0.351403564891766</v>
      </c>
      <c r="F273" s="5">
        <v>0.166519910787688</v>
      </c>
      <c r="G273" s="5">
        <v>0.183918558383054</v>
      </c>
      <c r="H273" s="5">
        <v>0.210142600218744</v>
      </c>
      <c r="I273" s="5">
        <v>0.274058448347562</v>
      </c>
      <c r="J273" s="6">
        <v>3.55961553985652</v>
      </c>
      <c r="K273" s="6">
        <v>3.95623855607808</v>
      </c>
      <c r="L273" s="6">
        <v>2.20050342157582</v>
      </c>
      <c r="M273" s="6">
        <v>1.19099982817468</v>
      </c>
      <c r="N273" s="7">
        <v>0.113623523529219</v>
      </c>
      <c r="O273" s="7">
        <v>0.089087200407955</v>
      </c>
      <c r="P273" s="7">
        <v>0.368881699021071</v>
      </c>
      <c r="Q273" s="7">
        <v>0.384057971014492</v>
      </c>
      <c r="R273" s="6">
        <v>7.97632931930569</v>
      </c>
      <c r="S273" s="6">
        <v>9.27426096754559</v>
      </c>
      <c r="T273" s="6">
        <v>4.12287918192612</v>
      </c>
      <c r="U273" s="6">
        <v>2.27086751172559</v>
      </c>
    </row>
    <row r="274" ht="11.25" customHeight="1">
      <c r="A274" s="2" t="s">
        <v>302</v>
      </c>
      <c r="B274" s="5">
        <v>0.731646637997631</v>
      </c>
      <c r="C274" s="5">
        <v>1.13430599917028</v>
      </c>
      <c r="D274" s="5">
        <v>0.641267115272175</v>
      </c>
      <c r="E274" s="5">
        <v>0.0367183144485607</v>
      </c>
      <c r="F274" s="5">
        <v>0.345461869534278</v>
      </c>
      <c r="G274" s="5">
        <v>0.341025165949365</v>
      </c>
      <c r="H274" s="5">
        <v>0.319597169585535</v>
      </c>
      <c r="I274" s="5">
        <v>0.495464508855606</v>
      </c>
      <c r="J274" s="6">
        <v>2.04551268986725</v>
      </c>
      <c r="K274" s="6">
        <v>3.25285670951038</v>
      </c>
      <c r="L274" s="6">
        <v>1.92826211843919</v>
      </c>
      <c r="M274" s="6">
        <v>0.0236511682252014</v>
      </c>
      <c r="N274" s="7">
        <v>0.221235867546851</v>
      </c>
      <c r="O274" s="7">
        <v>0.194155522535908</v>
      </c>
      <c r="P274" s="7">
        <v>0.401609724047306</v>
      </c>
      <c r="Q274" s="7">
        <v>0.71404549950544</v>
      </c>
      <c r="R274" s="6">
        <v>4.36447310201788</v>
      </c>
      <c r="S274" s="6">
        <v>7.50867301040122</v>
      </c>
      <c r="T274" s="6">
        <v>4.00985042048992</v>
      </c>
      <c r="U274" s="6">
        <v>0.0466044758458366</v>
      </c>
    </row>
    <row r="275" ht="11.25" customHeight="1">
      <c r="A275" s="2" t="s">
        <v>303</v>
      </c>
      <c r="B275" s="5">
        <v>0.980096272794723</v>
      </c>
      <c r="C275" s="5">
        <v>1.32815986199168</v>
      </c>
      <c r="D275" s="5">
        <v>0.882161170893001</v>
      </c>
      <c r="E275" s="5">
        <v>0.115466583230532</v>
      </c>
      <c r="F275" s="5">
        <v>0.389136903890835</v>
      </c>
      <c r="G275" s="5">
        <v>0.352157465952085</v>
      </c>
      <c r="H275" s="5">
        <v>0.382220536655262</v>
      </c>
      <c r="I275" s="5">
        <v>0.527002175064658</v>
      </c>
      <c r="J275" s="6">
        <v>2.45439654590728</v>
      </c>
      <c r="K275" s="6">
        <v>3.7005032918115</v>
      </c>
      <c r="L275" s="6">
        <v>2.24258272042065</v>
      </c>
      <c r="M275" s="6">
        <v>0.171662637292593</v>
      </c>
      <c r="N275" s="7">
        <v>0.298221883745587</v>
      </c>
      <c r="O275" s="7">
        <v>0.164873174481168</v>
      </c>
      <c r="P275" s="7">
        <v>0.586528635234351</v>
      </c>
      <c r="Q275" s="7">
        <v>0.788977342314758</v>
      </c>
      <c r="R275" s="6">
        <v>5.24993227679344</v>
      </c>
      <c r="S275" s="6">
        <v>9.03517894833651</v>
      </c>
      <c r="T275" s="6">
        <v>4.74035803245786</v>
      </c>
      <c r="U275" s="6">
        <v>0.353623781132592</v>
      </c>
    </row>
    <row r="276" ht="11.25" customHeight="1">
      <c r="A276" s="2" t="s">
        <v>304</v>
      </c>
      <c r="B276" s="5">
        <v>0.559529862562198</v>
      </c>
      <c r="C276" s="5">
        <v>0.665616478100812</v>
      </c>
      <c r="D276" s="5">
        <v>0.472062008316035</v>
      </c>
      <c r="E276" s="5">
        <v>0.11846388727551</v>
      </c>
      <c r="F276" s="5">
        <v>0.276774431820113</v>
      </c>
      <c r="G276" s="5">
        <v>0.261530594468984</v>
      </c>
      <c r="H276" s="5">
        <v>0.30312908256098</v>
      </c>
      <c r="I276" s="5">
        <v>0.407963122562395</v>
      </c>
      <c r="J276" s="6">
        <v>1.93128338859569</v>
      </c>
      <c r="K276" s="6">
        <v>2.4494896262578</v>
      </c>
      <c r="L276" s="6">
        <v>1.47482387548908</v>
      </c>
      <c r="M276" s="6">
        <v>0.229098862388513</v>
      </c>
      <c r="N276" s="7">
        <v>0.237005259844082</v>
      </c>
      <c r="O276" s="7">
        <v>0.152374979909675</v>
      </c>
      <c r="P276" s="7">
        <v>0.571218556027441</v>
      </c>
      <c r="Q276" s="7">
        <v>0.580603930340309</v>
      </c>
      <c r="R276" s="6">
        <v>4.08556303124476</v>
      </c>
      <c r="S276" s="6">
        <v>5.58622236903748</v>
      </c>
      <c r="T276" s="6">
        <v>2.84668221685399</v>
      </c>
      <c r="U276" s="6">
        <v>0.448066519148336</v>
      </c>
    </row>
    <row r="277" ht="11.25" customHeight="1">
      <c r="A277" s="2" t="s">
        <v>305</v>
      </c>
      <c r="B277" s="5">
        <v>0.626734971337066</v>
      </c>
      <c r="C277" s="5">
        <v>0.844019605813725</v>
      </c>
      <c r="D277" s="5">
        <v>0.568881207367099</v>
      </c>
      <c r="E277" s="5">
        <v>0.262901228665833</v>
      </c>
      <c r="F277" s="5">
        <v>0.230945149996859</v>
      </c>
      <c r="G277" s="5">
        <v>0.227416846679396</v>
      </c>
      <c r="H277" s="5">
        <v>0.244765401771543</v>
      </c>
      <c r="I277" s="5">
        <v>0.330046068139085</v>
      </c>
      <c r="J277" s="6">
        <v>2.60553196871746</v>
      </c>
      <c r="K277" s="6">
        <v>3.60140252480216</v>
      </c>
      <c r="L277" s="6">
        <v>2.22205100651742</v>
      </c>
      <c r="M277" s="6">
        <v>0.720812188453579</v>
      </c>
      <c r="N277" s="7">
        <v>0.190045907177685</v>
      </c>
      <c r="O277" s="7">
        <v>0.113421066106815</v>
      </c>
      <c r="P277" s="7">
        <v>0.429964945258325</v>
      </c>
      <c r="Q277" s="7">
        <v>0.505223103708224</v>
      </c>
      <c r="R277" s="6">
        <v>5.64830392724791</v>
      </c>
      <c r="S277" s="6">
        <v>8.45990887122766</v>
      </c>
      <c r="T277" s="6">
        <v>4.42281819809643</v>
      </c>
      <c r="U277" s="6">
        <v>1.39297001512635</v>
      </c>
    </row>
    <row r="278" ht="11.25" customHeight="1">
      <c r="A278" s="2" t="s">
        <v>306</v>
      </c>
      <c r="B278" s="5">
        <v>0.587479872702304</v>
      </c>
      <c r="C278" s="5">
        <v>0.734208677860728</v>
      </c>
      <c r="D278" s="5">
        <v>0.606434925073719</v>
      </c>
      <c r="E278" s="5">
        <v>0.208235577520908</v>
      </c>
      <c r="F278" s="5">
        <v>0.241744704925523</v>
      </c>
      <c r="G278" s="5">
        <v>0.250232222049044</v>
      </c>
      <c r="H278" s="5">
        <v>0.231696036350098</v>
      </c>
      <c r="I278" s="5">
        <v>0.343939027336519</v>
      </c>
      <c r="J278" s="6">
        <v>2.32675157404416</v>
      </c>
      <c r="K278" s="6">
        <v>2.8342020546088</v>
      </c>
      <c r="L278" s="6">
        <v>2.50947290352069</v>
      </c>
      <c r="M278" s="6">
        <v>0.532755991490392</v>
      </c>
      <c r="N278" s="7">
        <v>0.235792349726776</v>
      </c>
      <c r="O278" s="7">
        <v>0.235792349726776</v>
      </c>
      <c r="P278" s="7">
        <v>0.245861552816764</v>
      </c>
      <c r="Q278" s="7">
        <v>0.508953651685393</v>
      </c>
      <c r="R278" s="6">
        <v>4.96758558915829</v>
      </c>
      <c r="S278" s="6">
        <v>6.50012715448183</v>
      </c>
      <c r="T278" s="6">
        <v>5.50388709905252</v>
      </c>
      <c r="U278" s="6">
        <v>1.05695547668091</v>
      </c>
    </row>
    <row r="279" ht="11.25" customHeight="1">
      <c r="A279" s="2" t="s">
        <v>307</v>
      </c>
      <c r="B279" s="5">
        <v>0.752988250396829</v>
      </c>
      <c r="C279" s="5">
        <v>0.839349374981368</v>
      </c>
      <c r="D279" s="5">
        <v>0.863638094512434</v>
      </c>
      <c r="E279" s="5">
        <v>0.0713999810202459</v>
      </c>
      <c r="F279" s="5">
        <v>0.339997929077521</v>
      </c>
      <c r="G279" s="5">
        <v>0.321469338113206</v>
      </c>
      <c r="H279" s="5">
        <v>0.29790838647552</v>
      </c>
      <c r="I279" s="5">
        <v>0.458350701705547</v>
      </c>
      <c r="J279" s="6">
        <v>2.14115495459633</v>
      </c>
      <c r="K279" s="6">
        <v>2.53321010259023</v>
      </c>
      <c r="L279" s="6">
        <v>2.81508723011847</v>
      </c>
      <c r="M279" s="6">
        <v>0.101232486058358</v>
      </c>
      <c r="N279" s="7">
        <v>0.275180722891566</v>
      </c>
      <c r="O279" s="7">
        <v>0.318096873294705</v>
      </c>
      <c r="P279" s="7">
        <v>0.371420222092343</v>
      </c>
      <c r="Q279" s="7">
        <v>0.796591831214498</v>
      </c>
      <c r="R279" s="6">
        <v>4.9022174049614</v>
      </c>
      <c r="S279" s="6">
        <v>5.84842752289308</v>
      </c>
      <c r="T279" s="6">
        <v>6.75836394043535</v>
      </c>
      <c r="U279" s="6">
        <v>0.204926014279001</v>
      </c>
    </row>
    <row r="280" ht="11.25" customHeight="1">
      <c r="A280" s="2" t="s">
        <v>308</v>
      </c>
      <c r="B280" s="5">
        <v>0.646431792064036</v>
      </c>
      <c r="C280" s="5">
        <v>0.770154548512961</v>
      </c>
      <c r="D280" s="5">
        <v>0.658273455998408</v>
      </c>
      <c r="E280" s="5">
        <v>0.198487034375434</v>
      </c>
      <c r="F280" s="5">
        <v>0.23757608003472</v>
      </c>
      <c r="G280" s="5">
        <v>0.231139249269647</v>
      </c>
      <c r="H280" s="5">
        <v>0.238063816209246</v>
      </c>
      <c r="I280" s="5">
        <v>0.349119892530639</v>
      </c>
      <c r="J280" s="6">
        <v>2.61571700304684</v>
      </c>
      <c r="K280" s="6">
        <v>3.22383390474572</v>
      </c>
      <c r="L280" s="6">
        <v>2.66009957364453</v>
      </c>
      <c r="M280" s="6">
        <v>0.496926809635201</v>
      </c>
      <c r="N280" s="7">
        <v>0.156436437163919</v>
      </c>
      <c r="O280" s="7">
        <v>0.100709014819444</v>
      </c>
      <c r="P280" s="7">
        <v>0.242541194373595</v>
      </c>
      <c r="Q280" s="7">
        <v>0.462397072278133</v>
      </c>
      <c r="R280" s="6">
        <v>5.80622399359017</v>
      </c>
      <c r="S280" s="6">
        <v>7.70813395081473</v>
      </c>
      <c r="T280" s="6">
        <v>5.39814567602662</v>
      </c>
      <c r="U280" s="6">
        <v>0.938705390765333</v>
      </c>
    </row>
    <row r="281" ht="11.25" customHeight="1">
      <c r="A281" s="2" t="s">
        <v>309</v>
      </c>
      <c r="B281" s="5">
        <v>3.57740150560914</v>
      </c>
      <c r="C281" s="5">
        <v>5.59391624991563</v>
      </c>
      <c r="D281" s="5">
        <v>1.95915662600098</v>
      </c>
      <c r="E281" s="5">
        <v>0.296826953905133</v>
      </c>
      <c r="F281" s="5">
        <v>0.68765566571906</v>
      </c>
      <c r="G281" s="5">
        <v>0.647652116071689</v>
      </c>
      <c r="H281" s="5">
        <v>0.577606626531477</v>
      </c>
      <c r="I281" s="5">
        <v>1.05987966873783</v>
      </c>
      <c r="J281" s="6">
        <v>5.16595977129703</v>
      </c>
      <c r="K281" s="6">
        <v>8.59862279721048</v>
      </c>
      <c r="L281" s="6">
        <v>3.34857070047061</v>
      </c>
      <c r="M281" s="6">
        <v>0.256469637000245</v>
      </c>
      <c r="N281" s="7">
        <v>0.388485982266413</v>
      </c>
      <c r="O281" s="7">
        <v>0.245733788395904</v>
      </c>
      <c r="P281" s="7">
        <v>0.447826086956521</v>
      </c>
      <c r="Q281" s="7">
        <v>0.965161923454366</v>
      </c>
      <c r="R281" s="6">
        <v>13.311370001068</v>
      </c>
      <c r="S281" s="6">
        <v>25.1184073397554</v>
      </c>
      <c r="T281" s="6">
        <v>7.1638097727251</v>
      </c>
      <c r="U281" s="6">
        <v>0.479656701387043</v>
      </c>
    </row>
    <row r="282" ht="11.25" customHeight="1">
      <c r="A282" s="2" t="s">
        <v>310</v>
      </c>
      <c r="B282" s="5">
        <v>0.470541253618203</v>
      </c>
      <c r="C282" s="5">
        <v>0.614420068901602</v>
      </c>
      <c r="D282" s="5">
        <v>0.556001360305942</v>
      </c>
      <c r="E282" s="5">
        <v>0.24686356725572</v>
      </c>
      <c r="F282" s="5">
        <v>0.176437208044399</v>
      </c>
      <c r="G282" s="5">
        <v>0.190508239935616</v>
      </c>
      <c r="H282" s="5">
        <v>0.180637846010146</v>
      </c>
      <c r="I282" s="5">
        <v>0.281625431677518</v>
      </c>
      <c r="J282" s="6">
        <v>2.52521142539325</v>
      </c>
      <c r="K282" s="6">
        <v>3.09393477731356</v>
      </c>
      <c r="L282" s="6">
        <v>2.93959085559575</v>
      </c>
      <c r="M282" s="6">
        <v>0.787796634466486</v>
      </c>
      <c r="N282" s="7">
        <v>0.122150939250796</v>
      </c>
      <c r="O282" s="7">
        <v>0.0883772505606938</v>
      </c>
      <c r="P282" s="7">
        <v>0.162102295610148</v>
      </c>
      <c r="Q282" s="7">
        <v>0.433171423893466</v>
      </c>
      <c r="R282" s="6">
        <v>5.35582651456543</v>
      </c>
      <c r="S282" s="6">
        <v>7.12242570256088</v>
      </c>
      <c r="T282" s="6">
        <v>6.42223531371601</v>
      </c>
      <c r="U282" s="6">
        <v>1.54121698473092</v>
      </c>
    </row>
    <row r="283" ht="11.25" customHeight="1">
      <c r="A283" s="2" t="s">
        <v>311</v>
      </c>
      <c r="B283" s="5">
        <v>0.774699024982768</v>
      </c>
      <c r="C283" s="5">
        <v>0.914627588656253</v>
      </c>
      <c r="D283" s="5">
        <v>0.803336889754543</v>
      </c>
      <c r="E283" s="5">
        <v>0.0983934736592766</v>
      </c>
      <c r="F283" s="5">
        <v>0.316174171765801</v>
      </c>
      <c r="G283" s="5">
        <v>0.29552787457761</v>
      </c>
      <c r="H283" s="5">
        <v>0.299540032165069</v>
      </c>
      <c r="I283" s="5">
        <v>0.433221605584336</v>
      </c>
      <c r="J283" s="6">
        <v>2.37115834223831</v>
      </c>
      <c r="K283" s="6">
        <v>3.01030009412063</v>
      </c>
      <c r="L283" s="6">
        <v>2.59844029570518</v>
      </c>
      <c r="M283" s="6">
        <v>0.16941323496616</v>
      </c>
      <c r="N283" s="7">
        <v>0.222356061219532</v>
      </c>
      <c r="O283" s="7">
        <v>0.222356061219532</v>
      </c>
      <c r="P283" s="7">
        <v>0.240046203212522</v>
      </c>
      <c r="Q283" s="7">
        <v>0.596599690880988</v>
      </c>
      <c r="R283" s="6">
        <v>4.93909190655278</v>
      </c>
      <c r="S283" s="6">
        <v>6.85136351203438</v>
      </c>
      <c r="T283" s="6">
        <v>5.70666244957053</v>
      </c>
      <c r="U283" s="6">
        <v>0.319691806860533</v>
      </c>
    </row>
    <row r="284" ht="11.25" customHeight="1">
      <c r="A284" s="2" t="s">
        <v>312</v>
      </c>
      <c r="B284" s="5">
        <v>0.621205151940966</v>
      </c>
      <c r="C284" s="5">
        <v>0.923202655310158</v>
      </c>
      <c r="D284" s="5">
        <v>0.785920478233076</v>
      </c>
      <c r="E284" s="5">
        <v>0.0259004115009555</v>
      </c>
      <c r="F284" s="5">
        <v>0.267836026533472</v>
      </c>
      <c r="G284" s="5">
        <v>0.267396940350765</v>
      </c>
      <c r="H284" s="5">
        <v>0.259684800522398</v>
      </c>
      <c r="I284" s="5">
        <v>0.40819219399205</v>
      </c>
      <c r="J284" s="6">
        <v>2.22600805297735</v>
      </c>
      <c r="K284" s="6">
        <v>3.35906108024988</v>
      </c>
      <c r="L284" s="6">
        <v>2.93016948509254</v>
      </c>
      <c r="M284" s="6">
        <v>0.00220585183697339</v>
      </c>
      <c r="N284" s="7">
        <v>0.246227501727075</v>
      </c>
      <c r="O284" s="7">
        <v>0.196209587513935</v>
      </c>
      <c r="P284" s="7">
        <v>0.279705916996764</v>
      </c>
      <c r="Q284" s="7">
        <v>0.785216787059033</v>
      </c>
      <c r="R284" s="6">
        <v>4.4518896969442</v>
      </c>
      <c r="S284" s="6">
        <v>7.78369260991216</v>
      </c>
      <c r="T284" s="6">
        <v>6.51498003620786</v>
      </c>
      <c r="U284" s="6">
        <v>0.00396297266373345</v>
      </c>
    </row>
    <row r="285" ht="11.25" customHeight="1">
      <c r="A285" s="2" t="s">
        <v>313</v>
      </c>
      <c r="B285" s="5">
        <v>0.386498718929412</v>
      </c>
      <c r="C285" s="5">
        <v>0.448038047534237</v>
      </c>
      <c r="D285" s="5">
        <v>0.46311688229633</v>
      </c>
      <c r="E285" s="5">
        <v>0.218882700355373</v>
      </c>
      <c r="F285" s="5">
        <v>0.179016066491402</v>
      </c>
      <c r="G285" s="5">
        <v>0.173237198009821</v>
      </c>
      <c r="H285" s="5">
        <v>0.157735250275782</v>
      </c>
      <c r="I285" s="5">
        <v>0.242102998821347</v>
      </c>
      <c r="J285" s="6">
        <v>2.01936466382348</v>
      </c>
      <c r="K285" s="6">
        <v>2.44195849617847</v>
      </c>
      <c r="L285" s="6">
        <v>2.77754580241469</v>
      </c>
      <c r="M285" s="6">
        <v>0.800827339187334</v>
      </c>
      <c r="N285" s="7">
        <v>0.136480258848058</v>
      </c>
      <c r="O285" s="7">
        <v>0.105428485641835</v>
      </c>
      <c r="P285" s="7">
        <v>0.159008425713338</v>
      </c>
      <c r="Q285" s="7">
        <v>0.322014841466156</v>
      </c>
      <c r="R285" s="6">
        <v>4.17716383738805</v>
      </c>
      <c r="S285" s="6">
        <v>5.53302123142011</v>
      </c>
      <c r="T285" s="6">
        <v>6.26424229243903</v>
      </c>
      <c r="U285" s="6">
        <v>1.57435250038982</v>
      </c>
    </row>
    <row r="286" ht="11.25" customHeight="1">
      <c r="A286" s="2" t="s">
        <v>314</v>
      </c>
      <c r="B286" s="5">
        <v>0.485002658121279</v>
      </c>
      <c r="C286" s="5">
        <v>0.554892653781501</v>
      </c>
      <c r="D286" s="5">
        <v>0.506698521607126</v>
      </c>
      <c r="E286" s="5">
        <v>0.169940332879459</v>
      </c>
      <c r="F286" s="5">
        <v>0.199567188642359</v>
      </c>
      <c r="G286" s="5">
        <v>0.193271864354284</v>
      </c>
      <c r="H286" s="5">
        <v>0.186375497956446</v>
      </c>
      <c r="I286" s="5">
        <v>0.288937833794757</v>
      </c>
      <c r="J286" s="6">
        <v>2.30500144462947</v>
      </c>
      <c r="K286" s="6">
        <v>2.74169577424969</v>
      </c>
      <c r="L286" s="6">
        <v>2.58455927355694</v>
      </c>
      <c r="M286" s="6">
        <v>0.501631548128847</v>
      </c>
      <c r="N286" s="7">
        <v>0.134615384615384</v>
      </c>
      <c r="O286" s="7">
        <v>0.134615384615384</v>
      </c>
      <c r="P286" s="7">
        <v>0.151020005786078</v>
      </c>
      <c r="Q286" s="7">
        <v>0.41419074752408</v>
      </c>
      <c r="R286" s="6">
        <v>4.6704469398893</v>
      </c>
      <c r="S286" s="6">
        <v>6.24390419741122</v>
      </c>
      <c r="T286" s="6">
        <v>5.57232709787749</v>
      </c>
      <c r="U286" s="6">
        <v>0.942213990685303</v>
      </c>
    </row>
    <row r="287" ht="11.25" customHeight="1">
      <c r="A287" s="2" t="s">
        <v>315</v>
      </c>
      <c r="B287" s="5">
        <v>0.534679167989162</v>
      </c>
      <c r="C287" s="5">
        <v>0.640167190594772</v>
      </c>
      <c r="D287" s="5">
        <v>0.627594948558206</v>
      </c>
      <c r="E287" s="5">
        <v>0.0467453603667431</v>
      </c>
      <c r="F287" s="5">
        <v>0.285911410152253</v>
      </c>
      <c r="G287" s="5">
        <v>0.276736396472974</v>
      </c>
      <c r="H287" s="5">
        <v>0.28495629905478</v>
      </c>
      <c r="I287" s="5">
        <v>0.400934511249504</v>
      </c>
      <c r="J287" s="6">
        <v>1.78264717633251</v>
      </c>
      <c r="K287" s="6">
        <v>2.22293561105486</v>
      </c>
      <c r="L287" s="6">
        <v>2.11469250041868</v>
      </c>
      <c r="M287" s="6">
        <v>0.0542366889270124</v>
      </c>
      <c r="N287" s="7">
        <v>0.272873194221508</v>
      </c>
      <c r="O287" s="7">
        <v>0.226250110477863</v>
      </c>
      <c r="P287" s="7">
        <v>0.224080065664399</v>
      </c>
      <c r="Q287" s="7">
        <v>0.622661940917023</v>
      </c>
      <c r="R287" s="6">
        <v>3.82437680704455</v>
      </c>
      <c r="S287" s="6">
        <v>5.11623175189292</v>
      </c>
      <c r="T287" s="6">
        <v>4.8196687336525</v>
      </c>
      <c r="U287" s="6">
        <v>0.109429307533401</v>
      </c>
    </row>
    <row r="288" ht="11.25" customHeight="1">
      <c r="A288" s="2" t="s">
        <v>316</v>
      </c>
      <c r="B288" s="5">
        <v>0.400821976574796</v>
      </c>
      <c r="C288" s="5">
        <v>0.498699471048548</v>
      </c>
      <c r="D288" s="5">
        <v>0.414502295693555</v>
      </c>
      <c r="E288" s="5">
        <v>0.219210321774846</v>
      </c>
      <c r="F288" s="5">
        <v>0.157456014167296</v>
      </c>
      <c r="G288" s="5">
        <v>0.165732884101184</v>
      </c>
      <c r="H288" s="5">
        <v>0.174681993927794</v>
      </c>
      <c r="I288" s="5">
        <v>0.244039224102245</v>
      </c>
      <c r="J288" s="6">
        <v>2.3868378642907</v>
      </c>
      <c r="K288" s="6">
        <v>2.85821050914278</v>
      </c>
      <c r="L288" s="6">
        <v>2.22977930887688</v>
      </c>
      <c r="M288" s="6">
        <v>0.795816010681453</v>
      </c>
      <c r="N288" s="7">
        <v>0.100778800588284</v>
      </c>
      <c r="O288" s="7">
        <v>0.0833674723473988</v>
      </c>
      <c r="P288" s="7">
        <v>0.307673190431811</v>
      </c>
      <c r="Q288" s="7">
        <v>0.309603469640644</v>
      </c>
      <c r="R288" s="6">
        <v>5.74460375500033</v>
      </c>
      <c r="S288" s="6">
        <v>7.22232965848645</v>
      </c>
      <c r="T288" s="6">
        <v>4.18538184188421</v>
      </c>
      <c r="U288" s="6">
        <v>1.54663733163006</v>
      </c>
    </row>
    <row r="289" ht="11.25" customHeight="1">
      <c r="A289" s="2" t="s">
        <v>317</v>
      </c>
      <c r="B289" s="5">
        <v>0.640685089247995</v>
      </c>
      <c r="C289" s="5">
        <v>0.873051895774064</v>
      </c>
      <c r="D289" s="5">
        <v>0.949154869795228</v>
      </c>
      <c r="E289" s="5">
        <v>0.312890405145844</v>
      </c>
      <c r="F289" s="5">
        <v>0.233714911736868</v>
      </c>
      <c r="G289" s="5">
        <v>0.259597531863618</v>
      </c>
      <c r="H289" s="5">
        <v>0.264873672882573</v>
      </c>
      <c r="I289" s="5">
        <v>0.353461420507241</v>
      </c>
      <c r="J289" s="6">
        <v>2.63434234757417</v>
      </c>
      <c r="K289" s="6">
        <v>3.26679491012878</v>
      </c>
      <c r="L289" s="6">
        <v>3.48904011386943</v>
      </c>
      <c r="M289" s="6">
        <v>0.814488904426123</v>
      </c>
      <c r="N289" s="7">
        <v>0.181917527811653</v>
      </c>
      <c r="O289" s="7">
        <v>0.121363672181529</v>
      </c>
      <c r="P289" s="7">
        <v>0.424101627544717</v>
      </c>
      <c r="Q289" s="7">
        <v>0.436007364544976</v>
      </c>
      <c r="R289" s="6">
        <v>6.1126232503639</v>
      </c>
      <c r="S289" s="6">
        <v>8.33719250084303</v>
      </c>
      <c r="T289" s="6">
        <v>8.05926335106684</v>
      </c>
      <c r="U289" s="6">
        <v>1.6557612789531</v>
      </c>
    </row>
    <row r="290" ht="11.25" customHeight="1">
      <c r="A290" s="2" t="s">
        <v>318</v>
      </c>
      <c r="B290" s="5">
        <v>0.875715601834734</v>
      </c>
      <c r="C290" s="5">
        <v>1.23819111860587</v>
      </c>
      <c r="D290" s="5">
        <v>0.99566578339498</v>
      </c>
      <c r="E290" s="5">
        <v>0.0978420951389493</v>
      </c>
      <c r="F290" s="5">
        <v>0.337329768921609</v>
      </c>
      <c r="G290" s="5">
        <v>0.331982947292554</v>
      </c>
      <c r="H290" s="5">
        <v>0.396853793211661</v>
      </c>
      <c r="I290" s="5">
        <v>0.511967309590811</v>
      </c>
      <c r="J290" s="6">
        <v>2.5219108427766</v>
      </c>
      <c r="K290" s="6">
        <v>3.65437781819789</v>
      </c>
      <c r="L290" s="6">
        <v>2.44590274806136</v>
      </c>
      <c r="M290" s="6">
        <v>0.142278801349969</v>
      </c>
      <c r="N290" s="7">
        <v>0.173801916932907</v>
      </c>
      <c r="O290" s="7">
        <v>0.172776793419139</v>
      </c>
      <c r="P290" s="7">
        <v>0.459699699699699</v>
      </c>
      <c r="Q290" s="7">
        <v>0.726108033240997</v>
      </c>
      <c r="R290" s="6">
        <v>5.50483058908261</v>
      </c>
      <c r="S290" s="6">
        <v>8.70428785165267</v>
      </c>
      <c r="T290" s="6">
        <v>4.82403123728283</v>
      </c>
      <c r="U290" s="6">
        <v>0.272756467941499</v>
      </c>
    </row>
    <row r="291" ht="11.25" customHeight="1">
      <c r="A291" s="2" t="s">
        <v>319</v>
      </c>
      <c r="B291" s="5">
        <v>0.683286393195671</v>
      </c>
      <c r="C291" s="5">
        <v>1.11039591216979</v>
      </c>
      <c r="D291" s="5">
        <v>0.941420990996944</v>
      </c>
      <c r="E291" s="5">
        <v>0.0366845416810446</v>
      </c>
      <c r="F291" s="5">
        <v>0.346818548180291</v>
      </c>
      <c r="G291" s="5">
        <v>0.329096856542643</v>
      </c>
      <c r="H291" s="5">
        <v>0.300901077650575</v>
      </c>
      <c r="I291" s="5">
        <v>0.484470867465446</v>
      </c>
      <c r="J291" s="6">
        <v>1.89807147469363</v>
      </c>
      <c r="K291" s="6">
        <v>3.29810476943633</v>
      </c>
      <c r="L291" s="6">
        <v>3.0455889295988</v>
      </c>
      <c r="M291" s="6">
        <v>0.0241181512980819</v>
      </c>
      <c r="N291" s="7">
        <v>0.274324374489856</v>
      </c>
      <c r="O291" s="7">
        <v>0.223628556840127</v>
      </c>
      <c r="P291" s="7">
        <v>0.258966173981648</v>
      </c>
      <c r="Q291" s="7">
        <v>0.705936371111985</v>
      </c>
      <c r="R291" s="6">
        <v>3.9118695215049</v>
      </c>
      <c r="S291" s="6">
        <v>7.79186999235074</v>
      </c>
      <c r="T291" s="6">
        <v>7.31015952647901</v>
      </c>
      <c r="U291" s="6">
        <v>0.0468102733989315</v>
      </c>
    </row>
    <row r="292" ht="11.25" customHeight="1">
      <c r="A292" s="2" t="s">
        <v>320</v>
      </c>
      <c r="B292" s="5">
        <v>0.0978330381987897</v>
      </c>
      <c r="C292" s="5">
        <v>0.161509375220912</v>
      </c>
      <c r="D292" s="5">
        <v>0.120396201863519</v>
      </c>
      <c r="E292" s="5">
        <v>3.55180406270694E-4</v>
      </c>
      <c r="F292" s="5">
        <v>0.0663013142801627</v>
      </c>
      <c r="G292" s="5">
        <v>0.0691528272675862</v>
      </c>
      <c r="H292" s="5">
        <v>0.0609989920096153</v>
      </c>
      <c r="I292" s="5">
        <v>0.103654381177715</v>
      </c>
      <c r="J292" s="6">
        <v>1.09851575326284</v>
      </c>
      <c r="K292" s="6">
        <v>1.97402449928317</v>
      </c>
      <c r="L292" s="6">
        <v>1.5638980042241</v>
      </c>
      <c r="M292" s="6">
        <v>-0.237759555493133</v>
      </c>
      <c r="N292" s="7">
        <v>0.0532887115458874</v>
      </c>
      <c r="O292" s="7">
        <v>0.0532887115458874</v>
      </c>
      <c r="P292" s="7">
        <v>0.0879138165810595</v>
      </c>
      <c r="Q292" s="7">
        <v>0.287257243742865</v>
      </c>
      <c r="R292" s="6">
        <v>2.26402349935861</v>
      </c>
      <c r="S292" s="6">
        <v>4.51675865964625</v>
      </c>
      <c r="T292" s="6">
        <v>3.22091440489044</v>
      </c>
      <c r="U292" s="6">
        <v>-0.433280911478894</v>
      </c>
    </row>
    <row r="293" ht="11.25" customHeight="1">
      <c r="A293" s="2" t="s">
        <v>321</v>
      </c>
      <c r="B293" s="5">
        <v>0.097650330195949</v>
      </c>
      <c r="C293" s="5">
        <v>0.156652997884874</v>
      </c>
      <c r="D293" s="5">
        <v>0.0964315964808331</v>
      </c>
      <c r="E293" s="5">
        <v>-4.36768249238217E-4</v>
      </c>
      <c r="F293" s="5">
        <v>0.0694014521527391</v>
      </c>
      <c r="G293" s="5">
        <v>0.0690531239526624</v>
      </c>
      <c r="H293" s="5">
        <v>0.0514907759302135</v>
      </c>
      <c r="I293" s="5">
        <v>0.107126278852434</v>
      </c>
      <c r="J293" s="6">
        <v>1.04681282512734</v>
      </c>
      <c r="K293" s="6">
        <v>1.90654658832127</v>
      </c>
      <c r="L293" s="6">
        <v>1.38726976221227</v>
      </c>
      <c r="M293" s="6">
        <v>-0.237446577270523</v>
      </c>
      <c r="N293" s="7">
        <v>0.0503840939900585</v>
      </c>
      <c r="O293" s="7">
        <v>0.0503840939900586</v>
      </c>
      <c r="P293" s="7">
        <v>0.0567241040099169</v>
      </c>
      <c r="Q293" s="7">
        <v>0.246882212610796</v>
      </c>
      <c r="R293" s="6">
        <v>2.24722526028068</v>
      </c>
      <c r="S293" s="6">
        <v>4.42914870085567</v>
      </c>
      <c r="T293" s="6">
        <v>2.74263549453192</v>
      </c>
      <c r="U293" s="6">
        <v>-0.41456128158025</v>
      </c>
    </row>
    <row r="294" ht="11.25" customHeight="1">
      <c r="A294" s="2" t="s">
        <v>322</v>
      </c>
      <c r="B294" s="5">
        <v>0.300557877042678</v>
      </c>
      <c r="C294" s="5">
        <v>0.467389908957611</v>
      </c>
      <c r="D294" s="5">
        <v>0.319044282536101</v>
      </c>
      <c r="E294" s="5">
        <v>0.0618943191587573</v>
      </c>
      <c r="F294" s="5">
        <v>0.12380071765791</v>
      </c>
      <c r="G294" s="5">
        <v>0.126757857812973</v>
      </c>
      <c r="H294" s="5">
        <v>0.116560461676644</v>
      </c>
      <c r="I294" s="5">
        <v>0.189094593441556</v>
      </c>
      <c r="J294" s="6">
        <v>2.22581809100741</v>
      </c>
      <c r="K294" s="6">
        <v>3.49003932845207</v>
      </c>
      <c r="L294" s="6">
        <v>2.52267602844455</v>
      </c>
      <c r="M294" s="6">
        <v>0.195110386221382</v>
      </c>
      <c r="N294" s="7">
        <v>0.0884977130009799</v>
      </c>
      <c r="O294" s="7">
        <v>0.0494275582251639</v>
      </c>
      <c r="P294" s="7">
        <v>0.117080248987711</v>
      </c>
      <c r="Q294" s="7">
        <v>0.45135135135135</v>
      </c>
      <c r="R294" s="6">
        <v>4.62902226550402</v>
      </c>
      <c r="S294" s="6">
        <v>8.22142278501116</v>
      </c>
      <c r="T294" s="6">
        <v>5.36327678132238</v>
      </c>
      <c r="U294" s="6">
        <v>0.368346680143679</v>
      </c>
    </row>
    <row r="295" ht="11.25" customHeight="1">
      <c r="A295" s="2" t="s">
        <v>323</v>
      </c>
      <c r="B295" s="5">
        <v>0.544074735738228</v>
      </c>
      <c r="C295" s="5">
        <v>0.668117908739013</v>
      </c>
      <c r="D295" s="5">
        <v>0.633482933298404</v>
      </c>
      <c r="E295" s="5">
        <v>0.242078033129796</v>
      </c>
      <c r="F295" s="5">
        <v>0.184861740217636</v>
      </c>
      <c r="G295" s="5">
        <v>0.196250885012836</v>
      </c>
      <c r="H295" s="5">
        <v>0.207373931605347</v>
      </c>
      <c r="I295" s="5">
        <v>0.290356316071422</v>
      </c>
      <c r="J295" s="6">
        <v>2.80790787280874</v>
      </c>
      <c r="K295" s="6">
        <v>3.27701915177068</v>
      </c>
      <c r="L295" s="6">
        <v>2.93423058813585</v>
      </c>
      <c r="M295" s="6">
        <v>0.747626351191199</v>
      </c>
      <c r="N295" s="7">
        <v>0.0820498964243897</v>
      </c>
      <c r="O295" s="7">
        <v>0.0884555903529136</v>
      </c>
      <c r="P295" s="7">
        <v>0.224276791584483</v>
      </c>
      <c r="Q295" s="7">
        <v>0.393241098734772</v>
      </c>
      <c r="R295" s="6">
        <v>5.93646773470527</v>
      </c>
      <c r="S295" s="6">
        <v>7.28164560878089</v>
      </c>
      <c r="T295" s="6">
        <v>6.00979476211024</v>
      </c>
      <c r="U295" s="6">
        <v>1.46935728397885</v>
      </c>
    </row>
    <row r="296" ht="11.25" customHeight="1">
      <c r="A296" s="2" t="s">
        <v>324</v>
      </c>
      <c r="B296" s="5">
        <v>0.377022779954237</v>
      </c>
      <c r="C296" s="5">
        <v>0.534080431331746</v>
      </c>
      <c r="D296" s="5">
        <v>0.442616531983236</v>
      </c>
      <c r="E296" s="5">
        <v>0.0100871056053548</v>
      </c>
      <c r="F296" s="5">
        <v>0.175293942179067</v>
      </c>
      <c r="G296" s="5">
        <v>0.169770530742855</v>
      </c>
      <c r="H296" s="5">
        <v>0.166171296839739</v>
      </c>
      <c r="I296" s="5">
        <v>0.269704144365814</v>
      </c>
      <c r="J296" s="6">
        <v>2.0081856542118</v>
      </c>
      <c r="K296" s="6">
        <v>2.99863839209426</v>
      </c>
      <c r="L296" s="6">
        <v>2.51316888009845</v>
      </c>
      <c r="M296" s="6">
        <v>-0.0552935307305398</v>
      </c>
      <c r="N296" s="7">
        <v>0.130681399631676</v>
      </c>
      <c r="O296" s="7">
        <v>0.0722524441638394</v>
      </c>
      <c r="P296" s="7">
        <v>0.117837685515686</v>
      </c>
      <c r="Q296" s="7">
        <v>0.560843373493975</v>
      </c>
      <c r="R296" s="6">
        <v>4.1794234343174</v>
      </c>
      <c r="S296" s="6">
        <v>7.27113451384953</v>
      </c>
      <c r="T296" s="6">
        <v>5.32267245817204</v>
      </c>
      <c r="U296" s="6">
        <v>-0.101758075804761</v>
      </c>
    </row>
    <row r="297" ht="11.25" customHeight="1">
      <c r="A297" s="2" t="s">
        <v>325</v>
      </c>
      <c r="B297" s="5">
        <v>0.508221856023046</v>
      </c>
      <c r="C297" s="5">
        <v>0.535700523126803</v>
      </c>
      <c r="D297" s="5">
        <v>0.576985665448883</v>
      </c>
      <c r="E297" s="5">
        <v>0.242355038447107</v>
      </c>
      <c r="F297" s="5">
        <v>0.186058195541434</v>
      </c>
      <c r="G297" s="5">
        <v>0.195489331414461</v>
      </c>
      <c r="H297" s="5">
        <v>0.208750107859683</v>
      </c>
      <c r="I297" s="5">
        <v>0.28968968373552</v>
      </c>
      <c r="J297" s="6">
        <v>2.5971543721407</v>
      </c>
      <c r="K297" s="6">
        <v>2.61242145252446</v>
      </c>
      <c r="L297" s="6">
        <v>2.64424134247592</v>
      </c>
      <c r="M297" s="6">
        <v>0.750302998865319</v>
      </c>
      <c r="N297" s="7">
        <v>0.144650904257192</v>
      </c>
      <c r="O297" s="7">
        <v>0.084206596537665</v>
      </c>
      <c r="P297" s="7">
        <v>0.332634521313766</v>
      </c>
      <c r="Q297" s="7">
        <v>0.332634521313766</v>
      </c>
      <c r="R297" s="6">
        <v>5.61503354544272</v>
      </c>
      <c r="S297" s="6">
        <v>5.75208082482939</v>
      </c>
      <c r="T297" s="6">
        <v>5.28771577384725</v>
      </c>
      <c r="U297" s="6">
        <v>1.49352652834673</v>
      </c>
    </row>
    <row r="298" ht="11.25" customHeight="1">
      <c r="A298" s="2" t="s">
        <v>326</v>
      </c>
      <c r="B298" s="5">
        <v>0.797180410615792</v>
      </c>
      <c r="C298" s="5">
        <v>0.973429590586976</v>
      </c>
      <c r="D298" s="5">
        <v>0.703368924234589</v>
      </c>
      <c r="E298" s="5">
        <v>0.474917039380037</v>
      </c>
      <c r="F298" s="5">
        <v>0.221476022308344</v>
      </c>
      <c r="G298" s="5">
        <v>0.230135025247894</v>
      </c>
      <c r="H298" s="5">
        <v>0.21631362827073</v>
      </c>
      <c r="I298" s="5">
        <v>0.329226364143842</v>
      </c>
      <c r="J298" s="6">
        <v>3.48651922934006</v>
      </c>
      <c r="K298" s="6">
        <v>4.121187505315</v>
      </c>
      <c r="L298" s="6">
        <v>3.13604339059749</v>
      </c>
      <c r="M298" s="6">
        <v>1.3665887315861</v>
      </c>
      <c r="N298" s="7">
        <v>0.138692427117474</v>
      </c>
      <c r="O298" s="7">
        <v>0.138692427117474</v>
      </c>
      <c r="P298" s="7">
        <v>0.280245504976983</v>
      </c>
      <c r="Q298" s="7">
        <v>0.371275389215383</v>
      </c>
      <c r="R298" s="6">
        <v>8.04042982799997</v>
      </c>
      <c r="S298" s="6">
        <v>9.73394079769544</v>
      </c>
      <c r="T298" s="6">
        <v>6.67409597006506</v>
      </c>
      <c r="U298" s="6">
        <v>2.67667950788814</v>
      </c>
    </row>
    <row r="299" ht="11.25" customHeight="1">
      <c r="A299" s="2" t="s">
        <v>327</v>
      </c>
      <c r="B299" s="5">
        <v>0.0933770557022197</v>
      </c>
      <c r="C299" s="5">
        <v>0.134948127981704</v>
      </c>
      <c r="D299" s="5">
        <v>0.0787076653309466</v>
      </c>
      <c r="E299" s="5">
        <v>0.0319160727847833</v>
      </c>
      <c r="F299" s="5">
        <v>0.0501555383196041</v>
      </c>
      <c r="G299" s="5">
        <v>0.049639027144865</v>
      </c>
      <c r="H299" s="5">
        <v>0.0475932610604933</v>
      </c>
      <c r="I299" s="5">
        <v>0.0726877470732869</v>
      </c>
      <c r="J299" s="6">
        <v>1.36330020558254</v>
      </c>
      <c r="K299" s="6">
        <v>2.21495332011312</v>
      </c>
      <c r="L299" s="6">
        <v>1.12847205957754</v>
      </c>
      <c r="M299" s="6">
        <v>0.0951477114541778</v>
      </c>
      <c r="N299" s="7">
        <v>0.0334962611401086</v>
      </c>
      <c r="O299" s="7">
        <v>0.0193887959782477</v>
      </c>
      <c r="P299" s="7">
        <v>0.0636443920478473</v>
      </c>
      <c r="Q299" s="7">
        <v>0.123725834797888</v>
      </c>
      <c r="R299" s="6">
        <v>2.76599920133118</v>
      </c>
      <c r="S299" s="6">
        <v>4.88992254029816</v>
      </c>
      <c r="T299" s="6">
        <v>2.15979629102886</v>
      </c>
      <c r="U299" s="6">
        <v>0.189145674687221</v>
      </c>
    </row>
    <row r="300" ht="11.25" customHeight="1">
      <c r="A300" s="2" t="s">
        <v>328</v>
      </c>
      <c r="B300" s="5">
        <v>0.285682016661278</v>
      </c>
      <c r="C300" s="5">
        <v>0.418203165354389</v>
      </c>
      <c r="D300" s="5">
        <v>0.319546543245558</v>
      </c>
      <c r="E300" s="5">
        <v>0.0759578165388248</v>
      </c>
      <c r="F300" s="5">
        <v>0.121962468471279</v>
      </c>
      <c r="G300" s="5">
        <v>0.120676184141209</v>
      </c>
      <c r="H300" s="5">
        <v>0.120633619969769</v>
      </c>
      <c r="I300" s="5">
        <v>0.200004117136414</v>
      </c>
      <c r="J300" s="6">
        <v>2.13739538014242</v>
      </c>
      <c r="K300" s="6">
        <v>3.25833277007071</v>
      </c>
      <c r="L300" s="6">
        <v>2.44166214459427</v>
      </c>
      <c r="M300" s="6">
        <v>0.254783837795042</v>
      </c>
      <c r="N300" s="7">
        <v>0.0707818930041151</v>
      </c>
      <c r="O300" s="7">
        <v>0.0658072175589943</v>
      </c>
      <c r="P300" s="7">
        <v>0.104868228404099</v>
      </c>
      <c r="Q300" s="7">
        <v>0.388622247317898</v>
      </c>
      <c r="R300" s="6">
        <v>4.50794507763172</v>
      </c>
      <c r="S300" s="6">
        <v>7.20367849597774</v>
      </c>
      <c r="T300" s="6">
        <v>4.66672988741851</v>
      </c>
      <c r="U300" s="6">
        <v>0.448326791132724</v>
      </c>
    </row>
    <row r="301" ht="11.25" customHeight="1">
      <c r="A301" s="2" t="s">
        <v>329</v>
      </c>
      <c r="B301" s="5">
        <v>0.331947897354607</v>
      </c>
      <c r="C301" s="5">
        <v>0.513472013380172</v>
      </c>
      <c r="D301" s="5">
        <v>0.421597824267829</v>
      </c>
      <c r="E301" s="5">
        <v>0.0498884540079707</v>
      </c>
      <c r="F301" s="5">
        <v>0.147389997754181</v>
      </c>
      <c r="G301" s="5">
        <v>0.155464649853869</v>
      </c>
      <c r="H301" s="5">
        <v>0.156433243028774</v>
      </c>
      <c r="I301" s="5">
        <v>0.240632561166092</v>
      </c>
      <c r="J301" s="6">
        <v>2.08255581811282</v>
      </c>
      <c r="K301" s="6">
        <v>3.14201340201336</v>
      </c>
      <c r="L301" s="6">
        <v>2.53525284389124</v>
      </c>
      <c r="M301" s="6">
        <v>0.103429286075677</v>
      </c>
      <c r="N301" s="7">
        <v>0.101812020845504</v>
      </c>
      <c r="O301" s="7">
        <v>0.0752560133365087</v>
      </c>
      <c r="P301" s="7">
        <v>0.240377133319088</v>
      </c>
      <c r="Q301" s="7">
        <v>0.419042012790056</v>
      </c>
      <c r="R301" s="6">
        <v>4.21213324293048</v>
      </c>
      <c r="S301" s="6">
        <v>6.85286343137748</v>
      </c>
      <c r="T301" s="6">
        <v>5.04266618069566</v>
      </c>
      <c r="U301" s="6">
        <v>0.190345234908385</v>
      </c>
    </row>
    <row r="302" ht="11.25" customHeight="1">
      <c r="A302" s="2" t="s">
        <v>330</v>
      </c>
      <c r="B302" s="5">
        <v>0.537018491016502</v>
      </c>
      <c r="C302" s="5">
        <v>0.647733415722187</v>
      </c>
      <c r="D302" s="5">
        <v>0.525294658534263</v>
      </c>
      <c r="E302" s="5">
        <v>0.281944558816943</v>
      </c>
      <c r="F302" s="5">
        <v>0.18410182900538</v>
      </c>
      <c r="G302" s="5">
        <v>0.195152621334394</v>
      </c>
      <c r="H302" s="5">
        <v>0.195590870878554</v>
      </c>
      <c r="I302" s="5">
        <v>0.285297403748135</v>
      </c>
      <c r="J302" s="6">
        <v>2.78117003933479</v>
      </c>
      <c r="K302" s="6">
        <v>3.19100717922272</v>
      </c>
      <c r="L302" s="6">
        <v>2.55786303464492</v>
      </c>
      <c r="M302" s="6">
        <v>0.900620038743073</v>
      </c>
      <c r="N302" s="7">
        <v>0.191405517559364</v>
      </c>
      <c r="O302" s="7">
        <v>0.134870915170107</v>
      </c>
      <c r="P302" s="7">
        <v>0.323680625079979</v>
      </c>
      <c r="Q302" s="7">
        <v>0.367034834324554</v>
      </c>
      <c r="R302" s="6">
        <v>6.05583697879372</v>
      </c>
      <c r="S302" s="6">
        <v>7.17975743570532</v>
      </c>
      <c r="T302" s="6">
        <v>5.22744549636972</v>
      </c>
      <c r="U302" s="6">
        <v>1.75421012727758</v>
      </c>
    </row>
    <row r="303" ht="11.25" customHeight="1">
      <c r="A303" s="2" t="s">
        <v>331</v>
      </c>
      <c r="B303" s="5">
        <v>0.510392332290527</v>
      </c>
      <c r="C303" s="5">
        <v>0.583279944009023</v>
      </c>
      <c r="D303" s="5">
        <v>0.592916892182351</v>
      </c>
      <c r="E303" s="5">
        <v>0.167779511866471</v>
      </c>
      <c r="F303" s="5">
        <v>0.198034905274714</v>
      </c>
      <c r="G303" s="5">
        <v>0.203083634743089</v>
      </c>
      <c r="H303" s="5">
        <v>0.198457887366915</v>
      </c>
      <c r="I303" s="5">
        <v>0.299773488855379</v>
      </c>
      <c r="J303" s="6">
        <v>2.45104433290277</v>
      </c>
      <c r="K303" s="6">
        <v>2.74901493030334</v>
      </c>
      <c r="L303" s="6">
        <v>2.86164938928513</v>
      </c>
      <c r="M303" s="6">
        <v>0.476291323864707</v>
      </c>
      <c r="N303" s="7">
        <v>0.136621562636403</v>
      </c>
      <c r="O303" s="7">
        <v>0.136621562636403</v>
      </c>
      <c r="P303" s="7">
        <v>0.217293262258659</v>
      </c>
      <c r="Q303" s="7">
        <v>0.398992796583157</v>
      </c>
      <c r="R303" s="6">
        <v>5.70383277188799</v>
      </c>
      <c r="S303" s="6">
        <v>6.59655288820354</v>
      </c>
      <c r="T303" s="6">
        <v>6.70253008238512</v>
      </c>
      <c r="U303" s="6">
        <v>0.891180199940698</v>
      </c>
    </row>
    <row r="304" ht="11.25" customHeight="1">
      <c r="A304" s="2" t="s">
        <v>332</v>
      </c>
      <c r="B304" s="5">
        <v>0.409039087129014</v>
      </c>
      <c r="C304" s="5">
        <v>0.50849856659206</v>
      </c>
      <c r="D304" s="5">
        <v>0.591960469490367</v>
      </c>
      <c r="E304" s="5">
        <v>0.185828776972757</v>
      </c>
      <c r="F304" s="5">
        <v>0.1676174847743</v>
      </c>
      <c r="G304" s="5">
        <v>0.173790153900651</v>
      </c>
      <c r="H304" s="5">
        <v>0.17147173005708</v>
      </c>
      <c r="I304" s="5">
        <v>0.263727513102505</v>
      </c>
      <c r="J304" s="6">
        <v>2.29116364349536</v>
      </c>
      <c r="K304" s="6">
        <v>2.78208261941269</v>
      </c>
      <c r="L304" s="6">
        <v>3.30643698119586</v>
      </c>
      <c r="M304" s="6">
        <v>0.609829346512839</v>
      </c>
      <c r="N304" s="7">
        <v>0.149270034376951</v>
      </c>
      <c r="O304" s="7">
        <v>0.142005496726099</v>
      </c>
      <c r="P304" s="7">
        <v>0.134882985452245</v>
      </c>
      <c r="Q304" s="7">
        <v>0.456206400177167</v>
      </c>
      <c r="R304" s="6">
        <v>4.67159446496131</v>
      </c>
      <c r="S304" s="6">
        <v>6.00697338828173</v>
      </c>
      <c r="T304" s="6">
        <v>7.13590163438294</v>
      </c>
      <c r="U304" s="6">
        <v>1.15299675042224</v>
      </c>
    </row>
    <row r="305" ht="11.25" customHeight="1">
      <c r="A305" s="2" t="s">
        <v>333</v>
      </c>
      <c r="B305" s="5">
        <v>1.12642846240465</v>
      </c>
      <c r="C305" s="5">
        <v>1.41815291985138</v>
      </c>
      <c r="D305" s="5">
        <v>1.1534796697625</v>
      </c>
      <c r="E305" s="5">
        <v>0.366838786141767</v>
      </c>
      <c r="F305" s="5">
        <v>0.336018125144327</v>
      </c>
      <c r="G305" s="5">
        <v>0.340888656023714</v>
      </c>
      <c r="H305" s="5">
        <v>0.342298981215958</v>
      </c>
      <c r="I305" s="5">
        <v>0.490848815738512</v>
      </c>
      <c r="J305" s="6">
        <v>3.27788407822217</v>
      </c>
      <c r="K305" s="6">
        <v>4.08682687215754</v>
      </c>
      <c r="L305" s="6">
        <v>3.29676607787079</v>
      </c>
      <c r="M305" s="6">
        <v>0.696423776896457</v>
      </c>
      <c r="N305" s="7">
        <v>0.221663819410031</v>
      </c>
      <c r="O305" s="7">
        <v>0.125974805038992</v>
      </c>
      <c r="P305" s="7">
        <v>0.390327421440879</v>
      </c>
      <c r="Q305" s="7">
        <v>0.666666666666666</v>
      </c>
      <c r="R305" s="6">
        <v>8.89446331945085</v>
      </c>
      <c r="S305" s="6">
        <v>11.7773177825089</v>
      </c>
      <c r="T305" s="6">
        <v>7.92399419980348</v>
      </c>
      <c r="U305" s="6">
        <v>1.34866955662603</v>
      </c>
    </row>
    <row r="306" ht="11.25" customHeight="1">
      <c r="A306" s="2" t="s">
        <v>334</v>
      </c>
      <c r="B306" s="5">
        <v>1.23365615997587</v>
      </c>
      <c r="C306" s="5">
        <v>1.41038173223304</v>
      </c>
      <c r="D306" s="5">
        <v>1.48510181360826</v>
      </c>
      <c r="E306" s="5">
        <v>0.305381873186872</v>
      </c>
      <c r="F306" s="5">
        <v>0.371575650202926</v>
      </c>
      <c r="G306" s="5">
        <v>0.376056078391609</v>
      </c>
      <c r="H306" s="5">
        <v>0.385443093587567</v>
      </c>
      <c r="I306" s="5">
        <v>0.533621854558612</v>
      </c>
      <c r="J306" s="6">
        <v>3.25278623428578</v>
      </c>
      <c r="K306" s="6">
        <v>3.6839764381906</v>
      </c>
      <c r="L306" s="6">
        <v>3.78811253308019</v>
      </c>
      <c r="M306" s="6">
        <v>0.52543176556888</v>
      </c>
      <c r="N306" s="7">
        <v>0.171140799869934</v>
      </c>
      <c r="O306" s="7">
        <v>0.177038174311015</v>
      </c>
      <c r="P306" s="7">
        <v>0.336310440406529</v>
      </c>
      <c r="Q306" s="7">
        <v>0.616795493252981</v>
      </c>
      <c r="R306" s="6">
        <v>7.79581342077264</v>
      </c>
      <c r="S306" s="6">
        <v>9.17169203745799</v>
      </c>
      <c r="T306" s="6">
        <v>8.32812946801</v>
      </c>
      <c r="U306" s="6">
        <v>1.0989186270096</v>
      </c>
    </row>
    <row r="307" ht="11.25" customHeight="1">
      <c r="A307" s="2" t="s">
        <v>335</v>
      </c>
      <c r="B307" s="5">
        <v>0.407872611262962</v>
      </c>
      <c r="C307" s="5">
        <v>0.784678281950116</v>
      </c>
      <c r="D307" s="5">
        <v>0.452920401581295</v>
      </c>
      <c r="E307" s="5">
        <v>0.0810872079902691</v>
      </c>
      <c r="F307" s="5">
        <v>0.19294585951183</v>
      </c>
      <c r="G307" s="5">
        <v>0.195420800851299</v>
      </c>
      <c r="H307" s="5">
        <v>0.193083204558009</v>
      </c>
      <c r="I307" s="5">
        <v>0.294798146399128</v>
      </c>
      <c r="J307" s="6">
        <v>1.98435256517896</v>
      </c>
      <c r="K307" s="6">
        <v>3.88739724042055</v>
      </c>
      <c r="L307" s="6">
        <v>2.21624870252623</v>
      </c>
      <c r="M307" s="6">
        <v>0.190256311565583</v>
      </c>
      <c r="N307" s="7">
        <v>0.153518418172738</v>
      </c>
      <c r="O307" s="7">
        <v>0.129006727344677</v>
      </c>
      <c r="P307" s="7">
        <v>0.162981977589708</v>
      </c>
      <c r="Q307" s="7">
        <v>0.461306004467219</v>
      </c>
      <c r="R307" s="6">
        <v>4.09691284641923</v>
      </c>
      <c r="S307" s="6">
        <v>9.15440227333626</v>
      </c>
      <c r="T307" s="6">
        <v>4.47856456459327</v>
      </c>
      <c r="U307" s="6">
        <v>0.35598222827808</v>
      </c>
    </row>
    <row r="308" ht="11.25" customHeight="1">
      <c r="A308" s="2" t="s">
        <v>336</v>
      </c>
      <c r="B308" s="5">
        <v>0.592056980072804</v>
      </c>
      <c r="C308" s="5">
        <v>0.660274903527699</v>
      </c>
      <c r="D308" s="5">
        <v>0.396435989431135</v>
      </c>
      <c r="E308" s="5">
        <v>0.337354599519218</v>
      </c>
      <c r="F308" s="5">
        <v>0.234943704184587</v>
      </c>
      <c r="G308" s="5">
        <v>0.247714824071503</v>
      </c>
      <c r="H308" s="5">
        <v>0.196665025914865</v>
      </c>
      <c r="I308" s="5">
        <v>0.30516703686709</v>
      </c>
      <c r="J308" s="6">
        <v>2.41358661659342</v>
      </c>
      <c r="K308" s="6">
        <v>2.56454132653896</v>
      </c>
      <c r="L308" s="6">
        <v>1.88867333021341</v>
      </c>
      <c r="M308" s="6">
        <v>1.02355288017315</v>
      </c>
      <c r="N308" s="7">
        <v>0.220163083765752</v>
      </c>
      <c r="O308" s="7">
        <v>0.220163083765752</v>
      </c>
      <c r="P308" s="7">
        <v>0.211394302848575</v>
      </c>
      <c r="Q308" s="7">
        <v>0.440266305017876</v>
      </c>
      <c r="R308" s="6">
        <v>6.52459193612922</v>
      </c>
      <c r="S308" s="6">
        <v>6.94361818017692</v>
      </c>
      <c r="T308" s="6">
        <v>5.15126791355761</v>
      </c>
      <c r="U308" s="6">
        <v>2.18190137683981</v>
      </c>
    </row>
    <row r="309" ht="11.25" customHeight="1">
      <c r="A309" s="2" t="s">
        <v>337</v>
      </c>
      <c r="B309" s="5">
        <v>0.566468998476264</v>
      </c>
      <c r="C309" s="5">
        <v>0.755233144726962</v>
      </c>
      <c r="D309" s="5">
        <v>0.760819001044957</v>
      </c>
      <c r="E309" s="5">
        <v>0.13238555970327</v>
      </c>
      <c r="F309" s="5">
        <v>0.226128701697356</v>
      </c>
      <c r="G309" s="5">
        <v>0.249932196474919</v>
      </c>
      <c r="H309" s="5">
        <v>0.224928133743618</v>
      </c>
      <c r="I309" s="5">
        <v>0.343868145210739</v>
      </c>
      <c r="J309" s="6">
        <v>2.39451690303758</v>
      </c>
      <c r="K309" s="6">
        <v>2.92172499192292</v>
      </c>
      <c r="L309" s="6">
        <v>3.2713515592659</v>
      </c>
      <c r="M309" s="6">
        <v>0.312287023962221</v>
      </c>
      <c r="N309" s="7">
        <v>0.112391930835734</v>
      </c>
      <c r="O309" s="7">
        <v>0.180415212199154</v>
      </c>
      <c r="P309" s="7">
        <v>0.137814011930764</v>
      </c>
      <c r="Q309" s="7">
        <v>0.355776252373302</v>
      </c>
      <c r="R309" s="6">
        <v>5.13185017288063</v>
      </c>
      <c r="S309" s="6">
        <v>6.49473643383048</v>
      </c>
      <c r="T309" s="6">
        <v>7.39284751836047</v>
      </c>
      <c r="U309" s="6">
        <v>0.601109697176519</v>
      </c>
    </row>
    <row r="310" ht="11.25" customHeight="1">
      <c r="A310" s="2" t="s">
        <v>338</v>
      </c>
      <c r="B310" s="5">
        <v>0.632769815037358</v>
      </c>
      <c r="C310" s="5">
        <v>0.765971532773952</v>
      </c>
      <c r="D310" s="5">
        <v>0.649917743533504</v>
      </c>
      <c r="E310" s="5">
        <v>0.416965558471856</v>
      </c>
      <c r="F310" s="5">
        <v>0.209814920393522</v>
      </c>
      <c r="G310" s="5">
        <v>0.234005833205955</v>
      </c>
      <c r="H310" s="5">
        <v>0.231051368284513</v>
      </c>
      <c r="I310" s="5">
        <v>0.321388997805218</v>
      </c>
      <c r="J310" s="6">
        <v>2.89669492473386</v>
      </c>
      <c r="K310" s="6">
        <v>3.166466077458</v>
      </c>
      <c r="L310" s="6">
        <v>2.70467016998569</v>
      </c>
      <c r="M310" s="6">
        <v>1.21959855859599</v>
      </c>
      <c r="N310" s="7">
        <v>0.121864809372357</v>
      </c>
      <c r="O310" s="7">
        <v>0.121864809372357</v>
      </c>
      <c r="P310" s="7">
        <v>0.328963773038834</v>
      </c>
      <c r="Q310" s="7">
        <v>0.362848074343117</v>
      </c>
      <c r="R310" s="6">
        <v>6.49346345065008</v>
      </c>
      <c r="S310" s="6">
        <v>7.54911877963282</v>
      </c>
      <c r="T310" s="6">
        <v>5.77259388804079</v>
      </c>
      <c r="U310" s="6">
        <v>2.43158197118614</v>
      </c>
    </row>
    <row r="311" ht="11.25" customHeight="1">
      <c r="A311" s="2" t="s">
        <v>339</v>
      </c>
      <c r="B311" s="5">
        <v>0.44259450548163</v>
      </c>
      <c r="C311" s="5">
        <v>0.564051983107432</v>
      </c>
      <c r="D311" s="5">
        <v>0.52575029122096</v>
      </c>
      <c r="E311" s="5">
        <v>0.248205560215816</v>
      </c>
      <c r="F311" s="5">
        <v>0.205717862443694</v>
      </c>
      <c r="G311" s="5">
        <v>0.215117323942158</v>
      </c>
      <c r="H311" s="5">
        <v>0.184573421341498</v>
      </c>
      <c r="I311" s="5">
        <v>0.33215490765726</v>
      </c>
      <c r="J311" s="6">
        <v>2.02993799624924</v>
      </c>
      <c r="K311" s="6">
        <v>2.50585110129193</v>
      </c>
      <c r="L311" s="6">
        <v>2.71301408177545</v>
      </c>
      <c r="M311" s="6">
        <v>0.671992359800189</v>
      </c>
      <c r="N311" s="7">
        <v>0.129576306046894</v>
      </c>
      <c r="O311" s="7">
        <v>0.129576306046894</v>
      </c>
      <c r="P311" s="7">
        <v>0.102620087336244</v>
      </c>
      <c r="Q311" s="7">
        <v>0.505366452008586</v>
      </c>
      <c r="R311" s="6">
        <v>4.21931037814652</v>
      </c>
      <c r="S311" s="6">
        <v>5.44807736761882</v>
      </c>
      <c r="T311" s="6">
        <v>5.76435148712009</v>
      </c>
      <c r="U311" s="6">
        <v>1.18549018595469</v>
      </c>
    </row>
    <row r="312" ht="11.25" customHeight="1">
      <c r="A312" s="2" t="s">
        <v>340</v>
      </c>
      <c r="B312" s="5">
        <v>0.514217143971722</v>
      </c>
      <c r="C312" s="5">
        <v>0.6673455192703</v>
      </c>
      <c r="D312" s="5">
        <v>0.728708126847187</v>
      </c>
      <c r="E312" s="5">
        <v>0.123684734111682</v>
      </c>
      <c r="F312" s="5">
        <v>0.251870337829868</v>
      </c>
      <c r="G312" s="5">
        <v>0.242279047694789</v>
      </c>
      <c r="H312" s="5">
        <v>0.240016889707801</v>
      </c>
      <c r="I312" s="5">
        <v>0.367568760563442</v>
      </c>
      <c r="J312" s="6">
        <v>1.94233726840106</v>
      </c>
      <c r="K312" s="6">
        <v>2.65126318343257</v>
      </c>
      <c r="L312" s="6">
        <v>2.93191086553903</v>
      </c>
      <c r="M312" s="6">
        <v>0.268479655236232</v>
      </c>
      <c r="N312" s="7">
        <v>0.209614810391161</v>
      </c>
      <c r="O312" s="7">
        <v>0.129032258064516</v>
      </c>
      <c r="P312" s="7">
        <v>0.332168831939871</v>
      </c>
      <c r="Q312" s="7">
        <v>0.593269821757836</v>
      </c>
      <c r="R312" s="6">
        <v>3.97525206706987</v>
      </c>
      <c r="S312" s="6">
        <v>5.9101436357651</v>
      </c>
      <c r="T312" s="6">
        <v>6.29055378976287</v>
      </c>
      <c r="U312" s="6">
        <v>0.528123774582636</v>
      </c>
    </row>
    <row r="313" ht="11.25" customHeight="1">
      <c r="A313" s="2" t="s">
        <v>341</v>
      </c>
      <c r="B313" s="5">
        <v>0.562216279221325</v>
      </c>
      <c r="C313" s="5">
        <v>0.827129172469178</v>
      </c>
      <c r="D313" s="5">
        <v>0.865945684621965</v>
      </c>
      <c r="E313" s="5">
        <v>0.210583090973061</v>
      </c>
      <c r="F313" s="5">
        <v>0.279052354582293</v>
      </c>
      <c r="G313" s="5">
        <v>0.27740303709364</v>
      </c>
      <c r="H313" s="5">
        <v>0.272410419292247</v>
      </c>
      <c r="I313" s="5">
        <v>0.399193825062269</v>
      </c>
      <c r="J313" s="6">
        <v>1.92514512205235</v>
      </c>
      <c r="K313" s="6">
        <v>2.89156593551789</v>
      </c>
      <c r="L313" s="6">
        <v>3.08705403709166</v>
      </c>
      <c r="M313" s="6">
        <v>0.464894693559233</v>
      </c>
      <c r="N313" s="7">
        <v>0.206039630377025</v>
      </c>
      <c r="O313" s="7">
        <v>0.18389423076923</v>
      </c>
      <c r="P313" s="7">
        <v>0.200161399376213</v>
      </c>
      <c r="Q313" s="7">
        <v>0.51036370746969</v>
      </c>
      <c r="R313" s="6">
        <v>4.06210184868558</v>
      </c>
      <c r="S313" s="6">
        <v>6.6888411984354</v>
      </c>
      <c r="T313" s="6">
        <v>6.85025164995521</v>
      </c>
      <c r="U313" s="6">
        <v>0.913884519427314</v>
      </c>
    </row>
    <row r="314" ht="11.25" customHeight="1">
      <c r="A314" s="2" t="s">
        <v>342</v>
      </c>
      <c r="B314" s="5">
        <v>1.10029260725558</v>
      </c>
      <c r="C314" s="5">
        <v>1.60906645611166</v>
      </c>
      <c r="D314" s="5">
        <v>1.4932970537756</v>
      </c>
      <c r="E314" s="5">
        <v>0.405257237822822</v>
      </c>
      <c r="F314" s="5">
        <v>0.378424189940376</v>
      </c>
      <c r="G314" s="5">
        <v>0.388226121930015</v>
      </c>
      <c r="H314" s="5">
        <v>0.349784871753516</v>
      </c>
      <c r="I314" s="5">
        <v>0.531395047190166</v>
      </c>
      <c r="J314" s="6">
        <v>2.84150071755457</v>
      </c>
      <c r="K314" s="6">
        <v>4.08026757250822</v>
      </c>
      <c r="L314" s="6">
        <v>4.19771457357445</v>
      </c>
      <c r="M314" s="6">
        <v>0.715582954401798</v>
      </c>
      <c r="N314" s="7">
        <v>0.245991774056434</v>
      </c>
      <c r="O314" s="7">
        <v>0.19001043073523</v>
      </c>
      <c r="P314" s="7">
        <v>0.19518889247659</v>
      </c>
      <c r="Q314" s="7">
        <v>0.60985797827903</v>
      </c>
      <c r="R314" s="6">
        <v>6.77935333777177</v>
      </c>
      <c r="S314" s="6">
        <v>10.932054701533</v>
      </c>
      <c r="T314" s="6">
        <v>10.0905536135132</v>
      </c>
      <c r="U314" s="6">
        <v>1.46973910007367</v>
      </c>
    </row>
    <row r="315" ht="11.25" customHeight="1">
      <c r="A315" s="2" t="s">
        <v>343</v>
      </c>
      <c r="B315" s="5">
        <v>0.617955106316112</v>
      </c>
      <c r="C315" s="5">
        <v>0.723747850053121</v>
      </c>
      <c r="D315" s="5">
        <v>0.88404944364931</v>
      </c>
      <c r="E315" s="5">
        <v>0.361523781516257</v>
      </c>
      <c r="F315" s="5">
        <v>0.211099537515832</v>
      </c>
      <c r="G315" s="5">
        <v>0.222890193358112</v>
      </c>
      <c r="H315" s="5">
        <v>0.197354379772193</v>
      </c>
      <c r="I315" s="5">
        <v>0.323769832365408</v>
      </c>
      <c r="J315" s="6">
        <v>2.80888870384966</v>
      </c>
      <c r="K315" s="6">
        <v>3.1349420964899</v>
      </c>
      <c r="L315" s="6">
        <v>4.35282685208664</v>
      </c>
      <c r="M315" s="6">
        <v>1.03939202444425</v>
      </c>
      <c r="N315" s="7">
        <v>0.114533545760311</v>
      </c>
      <c r="O315" s="7">
        <v>0.114533545760311</v>
      </c>
      <c r="P315" s="7">
        <v>0.110871074762749</v>
      </c>
      <c r="Q315" s="7">
        <v>0.494310998735777</v>
      </c>
      <c r="R315" s="6">
        <v>6.36075689124687</v>
      </c>
      <c r="S315" s="6">
        <v>7.3497655283948</v>
      </c>
      <c r="T315" s="6">
        <v>10.2239787021483</v>
      </c>
      <c r="U315" s="6">
        <v>2.02800495853832</v>
      </c>
    </row>
    <row r="316" ht="11.25" customHeight="1">
      <c r="A316" s="2" t="s">
        <v>344</v>
      </c>
      <c r="B316" s="5">
        <v>0.988080200688369</v>
      </c>
      <c r="C316" s="5">
        <v>1.18136676683177</v>
      </c>
      <c r="D316" s="5">
        <v>1.35347887823559</v>
      </c>
      <c r="E316" s="5">
        <v>0.326538115586231</v>
      </c>
      <c r="F316" s="5">
        <v>0.306856922255022</v>
      </c>
      <c r="G316" s="5">
        <v>0.315688556877065</v>
      </c>
      <c r="H316" s="5">
        <v>0.317770075811998</v>
      </c>
      <c r="I316" s="5">
        <v>0.461675969866594</v>
      </c>
      <c r="J316" s="6">
        <v>3.13853177438824</v>
      </c>
      <c r="K316" s="6">
        <v>3.66299867904963</v>
      </c>
      <c r="L316" s="6">
        <v>4.18062926422802</v>
      </c>
      <c r="M316" s="6">
        <v>0.653137991291519</v>
      </c>
      <c r="N316" s="7">
        <v>0.144230769230769</v>
      </c>
      <c r="O316" s="7">
        <v>0.119918207623165</v>
      </c>
      <c r="P316" s="7">
        <v>0.271022075595706</v>
      </c>
      <c r="Q316" s="7">
        <v>0.502716688227684</v>
      </c>
      <c r="R316" s="6">
        <v>6.93807642675866</v>
      </c>
      <c r="S316" s="6">
        <v>8.66829997131198</v>
      </c>
      <c r="T316" s="6">
        <v>10.3183623536484</v>
      </c>
      <c r="U316" s="6">
        <v>1.2879264374021</v>
      </c>
    </row>
    <row r="317" ht="11.25" customHeight="1">
      <c r="A317" s="2" t="s">
        <v>345</v>
      </c>
      <c r="B317" s="5">
        <v>0.545405745415758</v>
      </c>
      <c r="C317" s="5">
        <v>0.807592556125225</v>
      </c>
      <c r="D317" s="5">
        <v>0.752160491384235</v>
      </c>
      <c r="E317" s="5">
        <v>0.104801821524414</v>
      </c>
      <c r="F317" s="5">
        <v>0.23138024614482</v>
      </c>
      <c r="G317" s="5">
        <v>0.224888711003958</v>
      </c>
      <c r="H317" s="5">
        <v>0.235131661709505</v>
      </c>
      <c r="I317" s="5">
        <v>0.337825544022127</v>
      </c>
      <c r="J317" s="6">
        <v>2.24913645000635</v>
      </c>
      <c r="K317" s="6">
        <v>3.47991036380412</v>
      </c>
      <c r="L317" s="6">
        <v>3.09256731355306</v>
      </c>
      <c r="M317" s="6">
        <v>0.236221987758237</v>
      </c>
      <c r="N317" s="7">
        <v>0.197996287108786</v>
      </c>
      <c r="O317" s="7">
        <v>0.132054592401327</v>
      </c>
      <c r="P317" s="7">
        <v>0.237100737100737</v>
      </c>
      <c r="Q317" s="7">
        <v>0.48069498069498</v>
      </c>
      <c r="R317" s="6">
        <v>4.86919789104521</v>
      </c>
      <c r="S317" s="6">
        <v>8.95524873208243</v>
      </c>
      <c r="T317" s="6">
        <v>7.01710184974675</v>
      </c>
      <c r="U317" s="6">
        <v>0.454264247014094</v>
      </c>
    </row>
    <row r="318" ht="11.25" customHeight="1">
      <c r="A318" s="2" t="s">
        <v>346</v>
      </c>
      <c r="B318" s="5">
        <v>0.68954556670501</v>
      </c>
      <c r="C318" s="5">
        <v>0.85429412939057</v>
      </c>
      <c r="D318" s="5">
        <v>0.759821686391669</v>
      </c>
      <c r="E318" s="5">
        <v>0.322267814024703</v>
      </c>
      <c r="F318" s="5">
        <v>0.260003945635526</v>
      </c>
      <c r="G318" s="5">
        <v>0.259486719387173</v>
      </c>
      <c r="H318" s="5">
        <v>0.28176499550401</v>
      </c>
      <c r="I318" s="5">
        <v>0.375413672569002</v>
      </c>
      <c r="J318" s="6">
        <v>2.55590570012567</v>
      </c>
      <c r="K318" s="6">
        <v>3.19590201513627</v>
      </c>
      <c r="L318" s="6">
        <v>2.60792397251918</v>
      </c>
      <c r="M318" s="6">
        <v>0.79184067002798</v>
      </c>
      <c r="N318" s="7">
        <v>0.157279867258286</v>
      </c>
      <c r="O318" s="7">
        <v>0.137036054172339</v>
      </c>
      <c r="P318" s="7">
        <v>0.36910276205181</v>
      </c>
      <c r="Q318" s="7">
        <v>0.405214381600867</v>
      </c>
      <c r="R318" s="6">
        <v>6.01281803474233</v>
      </c>
      <c r="S318" s="6">
        <v>8.05477526181896</v>
      </c>
      <c r="T318" s="6">
        <v>5.57841984133809</v>
      </c>
      <c r="U318" s="6">
        <v>1.57524471683192</v>
      </c>
    </row>
    <row r="319" ht="11.25" customHeight="1">
      <c r="A319" s="2" t="s">
        <v>347</v>
      </c>
      <c r="B319" s="5">
        <v>0.725684707874905</v>
      </c>
      <c r="C319" s="5">
        <v>0.87481187265704</v>
      </c>
      <c r="D319" s="5">
        <v>0.587008128848812</v>
      </c>
      <c r="E319" s="5">
        <v>0.361314985716004</v>
      </c>
      <c r="F319" s="5">
        <v>0.225384842654782</v>
      </c>
      <c r="G319" s="5">
        <v>0.228515203036426</v>
      </c>
      <c r="H319" s="5">
        <v>0.233617342659385</v>
      </c>
      <c r="I319" s="5">
        <v>0.327996419518346</v>
      </c>
      <c r="J319" s="6">
        <v>3.10883686596499</v>
      </c>
      <c r="K319" s="6">
        <v>3.71884172853732</v>
      </c>
      <c r="L319" s="6">
        <v>2.40567811640688</v>
      </c>
      <c r="M319" s="6">
        <v>1.02536175916149</v>
      </c>
      <c r="N319" s="7">
        <v>0.148316482701048</v>
      </c>
      <c r="O319" s="7">
        <v>0.148316482701048</v>
      </c>
      <c r="P319" s="7">
        <v>0.464556799176637</v>
      </c>
      <c r="Q319" s="7">
        <v>0.513330215154349</v>
      </c>
      <c r="R319" s="6">
        <v>7.60925279454711</v>
      </c>
      <c r="S319" s="6">
        <v>9.56602588161273</v>
      </c>
      <c r="T319" s="6">
        <v>4.87766977544715</v>
      </c>
      <c r="U319" s="6">
        <v>1.97189158127651</v>
      </c>
    </row>
    <row r="320" ht="11.25" customHeight="1">
      <c r="A320" s="2" t="s">
        <v>348</v>
      </c>
      <c r="B320" s="5">
        <v>0.50062352600246</v>
      </c>
      <c r="C320" s="5">
        <v>0.669940318388678</v>
      </c>
      <c r="D320" s="5">
        <v>0.701333792030958</v>
      </c>
      <c r="E320" s="5">
        <v>0.221733007159755</v>
      </c>
      <c r="F320" s="5">
        <v>0.17919115987904</v>
      </c>
      <c r="G320" s="5">
        <v>0.182389415994624</v>
      </c>
      <c r="H320" s="5">
        <v>0.171313889930963</v>
      </c>
      <c r="I320" s="5">
        <v>0.283695250000556</v>
      </c>
      <c r="J320" s="6">
        <v>2.65428007901461</v>
      </c>
      <c r="K320" s="6">
        <v>3.53606219347556</v>
      </c>
      <c r="L320" s="6">
        <v>3.9479215158999</v>
      </c>
      <c r="M320" s="6">
        <v>0.693465989153396</v>
      </c>
      <c r="N320" s="7">
        <v>0.151930567913625</v>
      </c>
      <c r="O320" s="7">
        <v>0.115262615336556</v>
      </c>
      <c r="P320" s="7">
        <v>0.159448436589628</v>
      </c>
      <c r="Q320" s="7">
        <v>0.378473684210526</v>
      </c>
      <c r="R320" s="6">
        <v>5.58633909720281</v>
      </c>
      <c r="S320" s="6">
        <v>8.06529740174211</v>
      </c>
      <c r="T320" s="6">
        <v>9.15446730483991</v>
      </c>
      <c r="U320" s="6">
        <v>1.33537659457983</v>
      </c>
    </row>
    <row r="321" ht="11.25" customHeight="1">
      <c r="A321" s="2" t="s">
        <v>349</v>
      </c>
      <c r="B321" s="5">
        <v>0.329787425461657</v>
      </c>
      <c r="C321" s="5">
        <v>0.486654042574145</v>
      </c>
      <c r="D321" s="5">
        <v>0.406399117949482</v>
      </c>
      <c r="E321" s="5">
        <v>0.185413008755528</v>
      </c>
      <c r="F321" s="5">
        <v>0.116770059727971</v>
      </c>
      <c r="G321" s="5">
        <v>0.128611987593516</v>
      </c>
      <c r="H321" s="5">
        <v>0.113129480808129</v>
      </c>
      <c r="I321" s="5">
        <v>0.207313437352873</v>
      </c>
      <c r="J321" s="6">
        <v>2.6101504629842</v>
      </c>
      <c r="K321" s="6">
        <v>3.58951020983536</v>
      </c>
      <c r="L321" s="6">
        <v>3.37135037856617</v>
      </c>
      <c r="M321" s="6">
        <v>0.77377043574115</v>
      </c>
      <c r="N321" s="7">
        <v>0.0781028080491824</v>
      </c>
      <c r="O321" s="7">
        <v>0.0593436749628386</v>
      </c>
      <c r="P321" s="7">
        <v>0.111341861868731</v>
      </c>
      <c r="Q321" s="7">
        <v>0.339031422855125</v>
      </c>
      <c r="R321" s="6">
        <v>5.28862085231346</v>
      </c>
      <c r="S321" s="6">
        <v>8.04302464096175</v>
      </c>
      <c r="T321" s="6">
        <v>7.24424703991447</v>
      </c>
      <c r="U321" s="6">
        <v>1.41279537087701</v>
      </c>
    </row>
    <row r="322" ht="11.25" customHeight="1">
      <c r="A322" s="2" t="s">
        <v>350</v>
      </c>
      <c r="B322" s="5">
        <v>0.559952306930208</v>
      </c>
      <c r="C322" s="5">
        <v>0.821588034715089</v>
      </c>
      <c r="D322" s="5">
        <v>0.535371748850238</v>
      </c>
      <c r="E322" s="5">
        <v>0.0243593500718539</v>
      </c>
      <c r="F322" s="5">
        <v>0.291524440648777</v>
      </c>
      <c r="G322" s="5">
        <v>0.26179490282755</v>
      </c>
      <c r="H322" s="5">
        <v>0.344858724389086</v>
      </c>
      <c r="I322" s="5">
        <v>0.439687805547039</v>
      </c>
      <c r="J322" s="6">
        <v>1.83501700831563</v>
      </c>
      <c r="K322" s="6">
        <v>3.04279428709816</v>
      </c>
      <c r="L322" s="6">
        <v>1.47994443160559</v>
      </c>
      <c r="M322" s="6">
        <v>-0.00145705639334019</v>
      </c>
      <c r="N322" s="7">
        <v>0.265720081135902</v>
      </c>
      <c r="O322" s="7">
        <v>0.155371138773628</v>
      </c>
      <c r="P322" s="7">
        <v>0.577925679423183</v>
      </c>
      <c r="Q322" s="7">
        <v>0.839904420549581</v>
      </c>
      <c r="R322" s="6">
        <v>3.60025168915957</v>
      </c>
      <c r="S322" s="6">
        <v>6.9224811183612</v>
      </c>
      <c r="T322" s="6">
        <v>2.75569312286606</v>
      </c>
      <c r="U322" s="6">
        <v>-0.00273171659321676</v>
      </c>
    </row>
    <row r="323" ht="11.25" customHeight="1">
      <c r="A323" s="2" t="s">
        <v>351</v>
      </c>
      <c r="B323" s="5">
        <v>0.304347024331198</v>
      </c>
      <c r="C323" s="5">
        <v>0.424457403113685</v>
      </c>
      <c r="D323" s="5">
        <v>0.405092322434241</v>
      </c>
      <c r="E323" s="5">
        <v>0.134179694029845</v>
      </c>
      <c r="F323" s="5">
        <v>0.123619462236875</v>
      </c>
      <c r="G323" s="5">
        <v>0.136432659528363</v>
      </c>
      <c r="H323" s="5">
        <v>0.119832658739337</v>
      </c>
      <c r="I323" s="5">
        <v>0.212840422810285</v>
      </c>
      <c r="J323" s="6">
        <v>2.25973337269435</v>
      </c>
      <c r="K323" s="6">
        <v>2.92787228875093</v>
      </c>
      <c r="L323" s="6">
        <v>3.1718592112775</v>
      </c>
      <c r="M323" s="6">
        <v>0.512965030741189</v>
      </c>
      <c r="N323" s="7">
        <v>0.103564008310691</v>
      </c>
      <c r="O323" s="7">
        <v>0.10920293995429</v>
      </c>
      <c r="P323" s="7">
        <v>0.117790306346339</v>
      </c>
      <c r="Q323" s="7">
        <v>0.385142939647704</v>
      </c>
      <c r="R323" s="6">
        <v>4.54089425151906</v>
      </c>
      <c r="S323" s="6">
        <v>6.3431190668376</v>
      </c>
      <c r="T323" s="6">
        <v>6.75036626578053</v>
      </c>
      <c r="U323" s="6">
        <v>0.933518728339147</v>
      </c>
    </row>
    <row r="324" ht="11.25" customHeight="1">
      <c r="A324" s="2" t="s">
        <v>352</v>
      </c>
      <c r="B324" s="5">
        <v>0.413150015739921</v>
      </c>
      <c r="C324" s="5">
        <v>0.532299437806014</v>
      </c>
      <c r="D324" s="5">
        <v>0.480931734354044</v>
      </c>
      <c r="E324" s="5">
        <v>0.168201202851947</v>
      </c>
      <c r="F324" s="5">
        <v>0.162426556728954</v>
      </c>
      <c r="G324" s="5">
        <v>0.166512823161709</v>
      </c>
      <c r="H324" s="5">
        <v>0.170637092656592</v>
      </c>
      <c r="I324" s="5">
        <v>0.264493710995001</v>
      </c>
      <c r="J324" s="6">
        <v>2.38969552489891</v>
      </c>
      <c r="K324" s="6">
        <v>3.04660883272243</v>
      </c>
      <c r="L324" s="6">
        <v>2.67193801333457</v>
      </c>
      <c r="M324" s="6">
        <v>0.541416286660416</v>
      </c>
      <c r="N324" s="7">
        <v>0.124388731357326</v>
      </c>
      <c r="O324" s="7">
        <v>0.104357503638386</v>
      </c>
      <c r="P324" s="7">
        <v>0.242768882368154</v>
      </c>
      <c r="Q324" s="7">
        <v>0.422610102878279</v>
      </c>
      <c r="R324" s="6">
        <v>4.84511329463237</v>
      </c>
      <c r="S324" s="6">
        <v>6.699941258373</v>
      </c>
      <c r="T324" s="6">
        <v>5.32751500076814</v>
      </c>
      <c r="U324" s="6">
        <v>1.01057751455181</v>
      </c>
    </row>
    <row r="325" ht="11.25" customHeight="1">
      <c r="A325" s="2" t="s">
        <v>353</v>
      </c>
      <c r="B325" s="5">
        <v>0.352815361907219</v>
      </c>
      <c r="C325" s="5">
        <v>0.425491337281375</v>
      </c>
      <c r="D325" s="5">
        <v>0.374037570540579</v>
      </c>
      <c r="E325" s="5">
        <v>0.112527099538563</v>
      </c>
      <c r="F325" s="5">
        <v>0.146604343850126</v>
      </c>
      <c r="G325" s="5">
        <v>0.160277240004294</v>
      </c>
      <c r="H325" s="5">
        <v>0.146392577184791</v>
      </c>
      <c r="I325" s="5">
        <v>0.242945723713375</v>
      </c>
      <c r="J325" s="6">
        <v>2.23605490327316</v>
      </c>
      <c r="K325" s="6">
        <v>2.49874116418927</v>
      </c>
      <c r="L325" s="6">
        <v>2.38425729810049</v>
      </c>
      <c r="M325" s="6">
        <v>0.360274295841598</v>
      </c>
      <c r="N325" s="7">
        <v>0.102793296089385</v>
      </c>
      <c r="O325" s="7">
        <v>0.10289632855446</v>
      </c>
      <c r="P325" s="7">
        <v>0.149938260716175</v>
      </c>
      <c r="Q325" s="7">
        <v>0.423214998005584</v>
      </c>
      <c r="R325" s="6">
        <v>4.50614887890098</v>
      </c>
      <c r="S325" s="6">
        <v>5.37373569053175</v>
      </c>
      <c r="T325" s="6">
        <v>4.84307996341143</v>
      </c>
      <c r="U325" s="6">
        <v>0.652686822279478</v>
      </c>
    </row>
    <row r="326" ht="11.25" customHeight="1">
      <c r="A326" s="2" t="s">
        <v>354</v>
      </c>
      <c r="B326" s="5">
        <v>0.603550106283819</v>
      </c>
      <c r="C326" s="5">
        <v>0.846153229256837</v>
      </c>
      <c r="D326" s="5">
        <v>0.545211301963483</v>
      </c>
      <c r="E326" s="5">
        <v>0.161757606445166</v>
      </c>
      <c r="F326" s="5">
        <v>0.222140823531637</v>
      </c>
      <c r="G326" s="5">
        <v>0.238478176228769</v>
      </c>
      <c r="H326" s="5">
        <v>0.254678227636791</v>
      </c>
      <c r="I326" s="5">
        <v>0.345932289585291</v>
      </c>
      <c r="J326" s="6">
        <v>2.60442946544412</v>
      </c>
      <c r="K326" s="6">
        <v>3.44330555626655</v>
      </c>
      <c r="L326" s="6">
        <v>2.04262180866666</v>
      </c>
      <c r="M326" s="6">
        <v>0.39533056196955</v>
      </c>
      <c r="N326" s="7">
        <v>0.107597361890966</v>
      </c>
      <c r="O326" s="7">
        <v>0.100625782227784</v>
      </c>
      <c r="P326" s="7">
        <v>0.377924770461052</v>
      </c>
      <c r="Q326" s="7">
        <v>0.475228259242627</v>
      </c>
      <c r="R326" s="6">
        <v>5.83334437630026</v>
      </c>
      <c r="S326" s="6">
        <v>8.16396964011846</v>
      </c>
      <c r="T326" s="6">
        <v>4.09124402237879</v>
      </c>
      <c r="U326" s="6">
        <v>0.780634417866748</v>
      </c>
    </row>
    <row r="327" ht="11.25" customHeight="1">
      <c r="A327" s="2" t="s">
        <v>355</v>
      </c>
      <c r="B327" s="5">
        <v>0.550810822602793</v>
      </c>
      <c r="C327" s="5">
        <v>0.662690699863704</v>
      </c>
      <c r="D327" s="5">
        <v>0.697178112065349</v>
      </c>
      <c r="E327" s="5">
        <v>0.226670946481131</v>
      </c>
      <c r="F327" s="5">
        <v>0.21575507209811</v>
      </c>
      <c r="G327" s="5">
        <v>0.205315038422361</v>
      </c>
      <c r="H327" s="5">
        <v>0.22611132453889</v>
      </c>
      <c r="I327" s="5">
        <v>0.301283769311287</v>
      </c>
      <c r="J327" s="6">
        <v>2.43707282285206</v>
      </c>
      <c r="K327" s="6">
        <v>3.10591325780962</v>
      </c>
      <c r="L327" s="6">
        <v>2.97277508517595</v>
      </c>
      <c r="M327" s="6">
        <v>0.669372090445285</v>
      </c>
      <c r="N327" s="7">
        <v>0.169133070335802</v>
      </c>
      <c r="O327" s="7">
        <v>0.101786191476223</v>
      </c>
      <c r="P327" s="7">
        <v>0.340103300358925</v>
      </c>
      <c r="Q327" s="7">
        <v>0.423788411557865</v>
      </c>
      <c r="R327" s="6">
        <v>5.32832052430608</v>
      </c>
      <c r="S327" s="6">
        <v>7.20724823985802</v>
      </c>
      <c r="T327" s="6">
        <v>6.36757259935659</v>
      </c>
      <c r="U327" s="6">
        <v>1.34456576228051</v>
      </c>
    </row>
    <row r="328" ht="11.25" customHeight="1">
      <c r="A328" s="2" t="s">
        <v>356</v>
      </c>
      <c r="B328" s="5">
        <v>0.433637427380761</v>
      </c>
      <c r="C328" s="5">
        <v>0.565341286230493</v>
      </c>
      <c r="D328" s="5">
        <v>0.661923592807395</v>
      </c>
      <c r="E328" s="5">
        <v>0.190108868244182</v>
      </c>
      <c r="F328" s="5">
        <v>0.201301691587854</v>
      </c>
      <c r="G328" s="5">
        <v>0.205139151519674</v>
      </c>
      <c r="H328" s="5">
        <v>0.205864292511754</v>
      </c>
      <c r="I328" s="5">
        <v>0.296193642520884</v>
      </c>
      <c r="J328" s="6">
        <v>2.02997512915791</v>
      </c>
      <c r="K328" s="6">
        <v>2.63402320925885</v>
      </c>
      <c r="L328" s="6">
        <v>3.09390028273615</v>
      </c>
      <c r="M328" s="6">
        <v>0.557435557491887</v>
      </c>
      <c r="N328" s="7">
        <v>0.132718541275649</v>
      </c>
      <c r="O328" s="7">
        <v>0.108402487109288</v>
      </c>
      <c r="P328" s="7">
        <v>0.195790969444279</v>
      </c>
      <c r="Q328" s="7">
        <v>0.487905861843538</v>
      </c>
      <c r="R328" s="6">
        <v>4.31558081769425</v>
      </c>
      <c r="S328" s="6">
        <v>5.89591398878129</v>
      </c>
      <c r="T328" s="6">
        <v>6.84185500749327</v>
      </c>
      <c r="U328" s="6">
        <v>1.08585012135245</v>
      </c>
    </row>
    <row r="329" ht="11.25" customHeight="1">
      <c r="A329" s="2" t="s">
        <v>357</v>
      </c>
      <c r="B329" s="5">
        <v>0.968908952990739</v>
      </c>
      <c r="C329" s="5">
        <v>1.3388699984696</v>
      </c>
      <c r="D329" s="5">
        <v>0.850068194163995</v>
      </c>
      <c r="E329" s="5">
        <v>0.293083652201478</v>
      </c>
      <c r="F329" s="5">
        <v>0.369646792195671</v>
      </c>
      <c r="G329" s="5">
        <v>0.359901342341478</v>
      </c>
      <c r="H329" s="5">
        <v>0.368859747239542</v>
      </c>
      <c r="I329" s="5">
        <v>0.508400807866987</v>
      </c>
      <c r="J329" s="6">
        <v>2.55354293049318</v>
      </c>
      <c r="K329" s="6">
        <v>3.6506393388858</v>
      </c>
      <c r="L329" s="6">
        <v>2.23680735113714</v>
      </c>
      <c r="M329" s="6">
        <v>0.527307683334005</v>
      </c>
      <c r="N329" s="7">
        <v>0.247796061455666</v>
      </c>
      <c r="O329" s="7">
        <v>0.154019786376066</v>
      </c>
      <c r="P329" s="7">
        <v>0.499885481212119</v>
      </c>
      <c r="Q329" s="7">
        <v>0.618415841584158</v>
      </c>
      <c r="R329" s="6">
        <v>5.4406853389361</v>
      </c>
      <c r="S329" s="6">
        <v>8.70153682977679</v>
      </c>
      <c r="T329" s="6">
        <v>4.69494715522834</v>
      </c>
      <c r="U329" s="6">
        <v>1.09240938909606</v>
      </c>
    </row>
    <row r="330" ht="11.25" customHeight="1">
      <c r="A330" s="2" t="s">
        <v>358</v>
      </c>
      <c r="B330" s="5">
        <v>0.624719476175884</v>
      </c>
      <c r="C330" s="5">
        <v>0.761567998558482</v>
      </c>
      <c r="D330" s="5">
        <v>0.664981774996115</v>
      </c>
      <c r="E330" s="5">
        <v>0.0524443712799083</v>
      </c>
      <c r="F330" s="5">
        <v>0.252129036992085</v>
      </c>
      <c r="G330" s="5">
        <v>0.253967393956632</v>
      </c>
      <c r="H330" s="5">
        <v>0.27210699456927</v>
      </c>
      <c r="I330" s="5">
        <v>0.383304756664102</v>
      </c>
      <c r="J330" s="6">
        <v>2.37862121448038</v>
      </c>
      <c r="K330" s="6">
        <v>2.90024631541583</v>
      </c>
      <c r="L330" s="6">
        <v>2.35194900450526</v>
      </c>
      <c r="M330" s="6">
        <v>0.0715993496108851</v>
      </c>
      <c r="N330" s="7">
        <v>0.210489903575907</v>
      </c>
      <c r="O330" s="7">
        <v>0.205128205128205</v>
      </c>
      <c r="P330" s="7">
        <v>0.396125170691989</v>
      </c>
      <c r="Q330" s="7">
        <v>0.659768225898138</v>
      </c>
      <c r="R330" s="6">
        <v>5.03329770262142</v>
      </c>
      <c r="S330" s="6">
        <v>6.57723874348547</v>
      </c>
      <c r="T330" s="6">
        <v>4.70833501540136</v>
      </c>
      <c r="U330" s="6">
        <v>0.137963469185364</v>
      </c>
    </row>
    <row r="331" ht="11.25" customHeight="1">
      <c r="A331" s="2" t="s">
        <v>359</v>
      </c>
      <c r="B331" s="5">
        <v>0.42532442187419</v>
      </c>
      <c r="C331" s="5">
        <v>0.49975507149655</v>
      </c>
      <c r="D331" s="5">
        <v>0.351209759350398</v>
      </c>
      <c r="E331" s="5">
        <v>0.282243799867837</v>
      </c>
      <c r="F331" s="5">
        <v>0.167980048790766</v>
      </c>
      <c r="G331" s="5">
        <v>0.174880399540213</v>
      </c>
      <c r="H331" s="5">
        <v>0.180061206623101</v>
      </c>
      <c r="I331" s="5">
        <v>0.256109306825013</v>
      </c>
      <c r="J331" s="6">
        <v>2.38316648171014</v>
      </c>
      <c r="K331" s="6">
        <v>2.71474146184907</v>
      </c>
      <c r="L331" s="6">
        <v>1.81166040963621</v>
      </c>
      <c r="M331" s="6">
        <v>1.00442972204676</v>
      </c>
      <c r="N331" s="7">
        <v>0.181601876974608</v>
      </c>
      <c r="O331" s="7">
        <v>0.087002111283194</v>
      </c>
      <c r="P331" s="7">
        <v>0.216384522370012</v>
      </c>
      <c r="Q331" s="7">
        <v>0.275080906148867</v>
      </c>
      <c r="R331" s="6">
        <v>4.66199655198075</v>
      </c>
      <c r="S331" s="6">
        <v>5.81881853521477</v>
      </c>
      <c r="T331" s="6">
        <v>3.49294070511481</v>
      </c>
      <c r="U331" s="6">
        <v>1.93783213984088</v>
      </c>
    </row>
    <row r="332" ht="11.25" customHeight="1">
      <c r="A332" s="2" t="s">
        <v>360</v>
      </c>
      <c r="B332" s="5">
        <v>0.307982090976122</v>
      </c>
      <c r="C332" s="5">
        <v>0.396533776553473</v>
      </c>
      <c r="D332" s="5">
        <v>0.332204585826298</v>
      </c>
      <c r="E332" s="5">
        <v>0.12986697793961</v>
      </c>
      <c r="F332" s="5">
        <v>0.12685099048969</v>
      </c>
      <c r="G332" s="5">
        <v>0.133917154960576</v>
      </c>
      <c r="H332" s="5">
        <v>0.140531364858967</v>
      </c>
      <c r="I332" s="5">
        <v>0.202919947095642</v>
      </c>
      <c r="J332" s="6">
        <v>2.2308228724404</v>
      </c>
      <c r="K332" s="6">
        <v>2.77435535919837</v>
      </c>
      <c r="L332" s="6">
        <v>2.18602150583677</v>
      </c>
      <c r="M332" s="6">
        <v>0.51678989394859</v>
      </c>
      <c r="N332" s="7">
        <v>0.10123795638514</v>
      </c>
      <c r="O332" s="7">
        <v>0.0852086603967486</v>
      </c>
      <c r="P332" s="7">
        <v>0.186324035434512</v>
      </c>
      <c r="Q332" s="7">
        <v>0.278264822391064</v>
      </c>
      <c r="R332" s="6">
        <v>4.6916952719869</v>
      </c>
      <c r="S332" s="6">
        <v>6.54517078968439</v>
      </c>
      <c r="T332" s="6">
        <v>4.58072763375133</v>
      </c>
      <c r="U332" s="6">
        <v>0.985478665610683</v>
      </c>
    </row>
    <row r="333" ht="11.25" customHeight="1">
      <c r="A333" s="2" t="s">
        <v>361</v>
      </c>
      <c r="B333" s="5">
        <v>0.103795177583541</v>
      </c>
      <c r="C333" s="5">
        <v>0.169263458660082</v>
      </c>
      <c r="D333" s="5">
        <v>0.121625561401002</v>
      </c>
      <c r="E333" s="5">
        <v>-0.00788528554520495</v>
      </c>
      <c r="F333" s="5">
        <v>0.0663994009700847</v>
      </c>
      <c r="G333" s="5">
        <v>0.0686364090337392</v>
      </c>
      <c r="H333" s="5">
        <v>0.0626082488662783</v>
      </c>
      <c r="I333" s="5">
        <v>0.104663139576444</v>
      </c>
      <c r="J333" s="6">
        <v>1.18668506691862</v>
      </c>
      <c r="K333" s="6">
        <v>2.1018503253742</v>
      </c>
      <c r="L333" s="6">
        <v>1.54333595254165</v>
      </c>
      <c r="M333" s="6">
        <v>-0.31420121427932</v>
      </c>
      <c r="N333" s="7">
        <v>0.0517288560872248</v>
      </c>
      <c r="O333" s="7">
        <v>0.0506690279417552</v>
      </c>
      <c r="P333" s="7">
        <v>0.123123738782422</v>
      </c>
      <c r="Q333" s="7">
        <v>0.327849308536007</v>
      </c>
      <c r="R333" s="6">
        <v>2.4296024054316</v>
      </c>
      <c r="S333" s="6">
        <v>4.73385222158697</v>
      </c>
      <c r="T333" s="6">
        <v>3.09656293582688</v>
      </c>
      <c r="U333" s="6">
        <v>-0.562246647719318</v>
      </c>
    </row>
    <row r="334" ht="11.25" customHeight="1">
      <c r="A334" s="2" t="s">
        <v>362</v>
      </c>
      <c r="B334" s="5">
        <v>0.566031845606205</v>
      </c>
      <c r="C334" s="5">
        <v>0.825439089136171</v>
      </c>
      <c r="D334" s="5">
        <v>0.567119717841519</v>
      </c>
      <c r="E334" s="5">
        <v>0.00892272840219998</v>
      </c>
      <c r="F334" s="5">
        <v>0.256280214816036</v>
      </c>
      <c r="G334" s="5">
        <v>0.250012219274424</v>
      </c>
      <c r="H334" s="5">
        <v>0.298930761365471</v>
      </c>
      <c r="I334" s="5">
        <v>0.389408843706677</v>
      </c>
      <c r="J334" s="6">
        <v>2.11109486541741</v>
      </c>
      <c r="K334" s="6">
        <v>3.20159987163497</v>
      </c>
      <c r="L334" s="6">
        <v>1.81352937839249</v>
      </c>
      <c r="M334" s="6">
        <v>-0.0412863545798416</v>
      </c>
      <c r="N334" s="7">
        <v>0.191252331829742</v>
      </c>
      <c r="O334" s="7">
        <v>0.140849413078884</v>
      </c>
      <c r="P334" s="7">
        <v>0.375756763561641</v>
      </c>
      <c r="Q334" s="7">
        <v>0.679037336932073</v>
      </c>
      <c r="R334" s="6">
        <v>4.33679396821848</v>
      </c>
      <c r="S334" s="6">
        <v>7.38990129353297</v>
      </c>
      <c r="T334" s="6">
        <v>3.4438775778516</v>
      </c>
      <c r="U334" s="6">
        <v>-0.0768356930657055</v>
      </c>
    </row>
    <row r="335" ht="11.25" customHeight="1">
      <c r="A335" s="2" t="s">
        <v>363</v>
      </c>
      <c r="B335" s="5">
        <v>0.537090259597512</v>
      </c>
      <c r="C335" s="5">
        <v>0.718077227969675</v>
      </c>
      <c r="D335" s="5">
        <v>0.616946249797416</v>
      </c>
      <c r="E335" s="5">
        <v>0.182009768304097</v>
      </c>
      <c r="F335" s="5">
        <v>0.238607604254179</v>
      </c>
      <c r="G335" s="5">
        <v>0.222392490454361</v>
      </c>
      <c r="H335" s="5">
        <v>0.213649491925581</v>
      </c>
      <c r="I335" s="5">
        <v>0.342534289402766</v>
      </c>
      <c r="J335" s="6">
        <v>2.14616068585979</v>
      </c>
      <c r="K335" s="6">
        <v>3.11645967250817</v>
      </c>
      <c r="L335" s="6">
        <v>2.7706419728047</v>
      </c>
      <c r="M335" s="6">
        <v>0.458376790767006</v>
      </c>
      <c r="N335" s="7">
        <v>0.170479647388336</v>
      </c>
      <c r="O335" s="7">
        <v>0.150155702608018</v>
      </c>
      <c r="P335" s="7">
        <v>0.329062857765905</v>
      </c>
      <c r="Q335" s="7">
        <v>0.439861081579133</v>
      </c>
      <c r="R335" s="6">
        <v>4.53210183449056</v>
      </c>
      <c r="S335" s="6">
        <v>7.33786406050079</v>
      </c>
      <c r="T335" s="6">
        <v>6.02479361599832</v>
      </c>
      <c r="U335" s="6">
        <v>0.9080429817028</v>
      </c>
    </row>
    <row r="336" ht="11.25" customHeight="1">
      <c r="A336" s="2" t="s">
        <v>364</v>
      </c>
      <c r="B336" s="5">
        <v>0.0111507630424718</v>
      </c>
      <c r="C336" s="5">
        <v>0.017612602378499</v>
      </c>
      <c r="D336" s="5">
        <v>0.0264606424391642</v>
      </c>
      <c r="E336" s="5">
        <v>0.00466520161267114</v>
      </c>
      <c r="F336" s="5">
        <v>0.00622326644718381</v>
      </c>
      <c r="G336" s="5">
        <v>0.00469495602361924</v>
      </c>
      <c r="H336" s="5">
        <v>0.00491161152200767</v>
      </c>
      <c r="I336" s="5">
        <v>0.0157103406966582</v>
      </c>
      <c r="J336" s="6">
        <v>-2.2253967550747</v>
      </c>
      <c r="K336" s="6">
        <v>-1.57347536043717</v>
      </c>
      <c r="L336" s="6">
        <v>0.297385579584108</v>
      </c>
      <c r="M336" s="6">
        <v>-1.29435756868432</v>
      </c>
      <c r="N336" s="7">
        <v>0.00374362564557138</v>
      </c>
      <c r="O336" s="7">
        <v>0.00291521066276226</v>
      </c>
      <c r="P336" s="7">
        <v>0.00138148805999604</v>
      </c>
      <c r="Q336" s="7">
        <v>0.0330039525691698</v>
      </c>
      <c r="R336" s="6">
        <v>-3.85194065918885</v>
      </c>
      <c r="S336" s="6">
        <v>-3.40220508586836</v>
      </c>
      <c r="T336" s="6">
        <v>0.885106304957157</v>
      </c>
      <c r="U336" s="6">
        <v>-1.88348112059132</v>
      </c>
    </row>
    <row r="337" ht="11.25" customHeight="1">
      <c r="A337" s="2" t="s">
        <v>365</v>
      </c>
      <c r="B337" s="5">
        <v>0.75926175064348</v>
      </c>
      <c r="C337" s="5">
        <v>0.869977700130495</v>
      </c>
      <c r="D337" s="5">
        <v>0.74088643229966</v>
      </c>
      <c r="E337" s="5">
        <v>0.00601485811495283</v>
      </c>
      <c r="F337" s="5">
        <v>0.377825362883381</v>
      </c>
      <c r="G337" s="5">
        <v>0.350523168403572</v>
      </c>
      <c r="H337" s="5">
        <v>0.341824080623936</v>
      </c>
      <c r="I337" s="5">
        <v>0.51424172927748</v>
      </c>
      <c r="J337" s="6">
        <v>1.94338925539552</v>
      </c>
      <c r="K337" s="6">
        <v>2.41061868742906</v>
      </c>
      <c r="L337" s="6">
        <v>2.09431246327918</v>
      </c>
      <c r="M337" s="6">
        <v>-0.0369187111900111</v>
      </c>
      <c r="N337" s="7">
        <v>0.332989745618305</v>
      </c>
      <c r="O337" s="7">
        <v>0.23452157598499</v>
      </c>
      <c r="P337" s="7">
        <v>0.477554968666678</v>
      </c>
      <c r="Q337" s="7">
        <v>0.846625966393005</v>
      </c>
      <c r="R337" s="6">
        <v>4.39836393562844</v>
      </c>
      <c r="S337" s="6">
        <v>5.79659090132227</v>
      </c>
      <c r="T337" s="6">
        <v>4.61765664461589</v>
      </c>
      <c r="U337" s="6">
        <v>-0.0724463650246891</v>
      </c>
    </row>
    <row r="338" ht="11.25" customHeight="1">
      <c r="A338" s="2" t="s">
        <v>366</v>
      </c>
      <c r="B338" s="5">
        <v>0.2186109896158</v>
      </c>
      <c r="C338" s="5">
        <v>0.343982358681484</v>
      </c>
      <c r="D338" s="5">
        <v>0.284688722290718</v>
      </c>
      <c r="E338" s="5">
        <v>0.0211429004208425</v>
      </c>
      <c r="F338" s="5">
        <v>0.170689053269739</v>
      </c>
      <c r="G338" s="5">
        <v>0.16687031372476</v>
      </c>
      <c r="H338" s="5">
        <v>0.153857598750581</v>
      </c>
      <c r="I338" s="5">
        <v>0.232707844764476</v>
      </c>
      <c r="J338" s="6">
        <v>1.13429060567719</v>
      </c>
      <c r="K338" s="6">
        <v>1.91155845255747</v>
      </c>
      <c r="L338" s="6">
        <v>1.68785113247282</v>
      </c>
      <c r="M338" s="6">
        <v>-0.0165748584155434</v>
      </c>
      <c r="N338" s="7">
        <v>0.193730135798901</v>
      </c>
      <c r="O338" s="7">
        <v>0.112539728402195</v>
      </c>
      <c r="P338" s="7">
        <v>0.146191794007941</v>
      </c>
      <c r="Q338" s="7">
        <v>0.401126695792134</v>
      </c>
      <c r="R338" s="6">
        <v>2.19880841026956</v>
      </c>
      <c r="S338" s="6">
        <v>4.19941895487506</v>
      </c>
      <c r="T338" s="6">
        <v>3.66213959516439</v>
      </c>
      <c r="U338" s="6">
        <v>-0.0312902940688771</v>
      </c>
    </row>
    <row r="339" ht="11.25" customHeight="1">
      <c r="A339" s="2" t="s">
        <v>367</v>
      </c>
      <c r="B339" s="5">
        <v>0.526647975748228</v>
      </c>
      <c r="C339" s="5">
        <v>0.617758838307721</v>
      </c>
      <c r="D339" s="5">
        <v>0.442370330028434</v>
      </c>
      <c r="E339" s="5">
        <v>0.0967600909053687</v>
      </c>
      <c r="F339" s="5">
        <v>0.226444233531051</v>
      </c>
      <c r="G339" s="5">
        <v>0.201427569793234</v>
      </c>
      <c r="H339" s="5">
        <v>0.21341960654854</v>
      </c>
      <c r="I339" s="5">
        <v>0.334673738416876</v>
      </c>
      <c r="J339" s="6">
        <v>2.21532678454997</v>
      </c>
      <c r="K339" s="6">
        <v>2.94278900805976</v>
      </c>
      <c r="L339" s="6">
        <v>1.95563255306398</v>
      </c>
      <c r="M339" s="6">
        <v>0.214418051577094</v>
      </c>
      <c r="N339" s="7">
        <v>0.168295904887714</v>
      </c>
      <c r="O339" s="7">
        <v>0.147873033994083</v>
      </c>
      <c r="P339" s="7">
        <v>0.186698747851379</v>
      </c>
      <c r="Q339" s="7">
        <v>0.553991515618974</v>
      </c>
      <c r="R339" s="6">
        <v>4.70869589070912</v>
      </c>
      <c r="S339" s="6">
        <v>6.81531375203151</v>
      </c>
      <c r="T339" s="6">
        <v>4.01421508439165</v>
      </c>
      <c r="U339" s="6">
        <v>0.409624434106751</v>
      </c>
    </row>
    <row r="340" ht="11.25" customHeight="1">
      <c r="A340" s="2" t="s">
        <v>368</v>
      </c>
      <c r="B340" s="5">
        <v>0.506483925403425</v>
      </c>
      <c r="C340" s="5">
        <v>0.640552470146083</v>
      </c>
      <c r="D340" s="5">
        <v>0.543982616974508</v>
      </c>
      <c r="E340" s="5">
        <v>0.294687925392381</v>
      </c>
      <c r="F340" s="5">
        <v>0.194754923634969</v>
      </c>
      <c r="G340" s="5">
        <v>0.2162676881693</v>
      </c>
      <c r="H340" s="5">
        <v>0.160664501226444</v>
      </c>
      <c r="I340" s="5">
        <v>0.2728093623361</v>
      </c>
      <c r="J340" s="6">
        <v>2.4722554707057</v>
      </c>
      <c r="K340" s="6">
        <v>2.84625260184134</v>
      </c>
      <c r="L340" s="6">
        <v>3.23022579980529</v>
      </c>
      <c r="M340" s="6">
        <v>0.988558175141095</v>
      </c>
      <c r="N340" s="7">
        <v>0.106122516544214</v>
      </c>
      <c r="O340" s="7">
        <v>0.0804805483372873</v>
      </c>
      <c r="P340" s="7">
        <v>0.132962932203722</v>
      </c>
      <c r="Q340" s="7">
        <v>0.3719961550785</v>
      </c>
      <c r="R340" s="6">
        <v>6.2174075063994</v>
      </c>
      <c r="S340" s="6">
        <v>7.9985257078976</v>
      </c>
      <c r="T340" s="6">
        <v>7.53590178492171</v>
      </c>
      <c r="U340" s="6">
        <v>2.12887601199077</v>
      </c>
    </row>
    <row r="341" ht="11.25" customHeight="1">
      <c r="A341" s="2" t="s">
        <v>369</v>
      </c>
      <c r="B341" s="5">
        <v>0.709479242028094</v>
      </c>
      <c r="C341" s="5">
        <v>0.652314645136939</v>
      </c>
      <c r="D341" s="5">
        <v>0.705520166756454</v>
      </c>
      <c r="E341" s="5">
        <v>0.132974548371669</v>
      </c>
      <c r="F341" s="5">
        <v>0.287351770088319</v>
      </c>
      <c r="G341" s="5">
        <v>0.260922821735942</v>
      </c>
      <c r="H341" s="5">
        <v>0.28505814680812</v>
      </c>
      <c r="I341" s="5">
        <v>0.429695104439928</v>
      </c>
      <c r="J341" s="6">
        <v>2.38202549376228</v>
      </c>
      <c r="K341" s="6">
        <v>2.40421531916357</v>
      </c>
      <c r="L341" s="6">
        <v>2.38730299195598</v>
      </c>
      <c r="M341" s="6">
        <v>0.251281774579222</v>
      </c>
      <c r="N341" s="7">
        <v>0.208551483420593</v>
      </c>
      <c r="O341" s="7">
        <v>0.223547860581102</v>
      </c>
      <c r="P341" s="7">
        <v>0.256693540592806</v>
      </c>
      <c r="Q341" s="7">
        <v>0.631602708803612</v>
      </c>
      <c r="R341" s="6">
        <v>5.29856478700218</v>
      </c>
      <c r="S341" s="6">
        <v>5.38755354815028</v>
      </c>
      <c r="T341" s="6">
        <v>5.33213974463661</v>
      </c>
      <c r="U341" s="6">
        <v>0.487181465944835</v>
      </c>
    </row>
    <row r="342" ht="11.25" customHeight="1">
      <c r="A342" s="2" t="s">
        <v>370</v>
      </c>
      <c r="B342" s="5">
        <v>0.81588378649576</v>
      </c>
      <c r="C342" s="5">
        <v>1.03557310630587</v>
      </c>
      <c r="D342" s="5">
        <v>0.718891293602107</v>
      </c>
      <c r="E342" s="5">
        <v>0.441575857894019</v>
      </c>
      <c r="F342" s="5">
        <v>0.264915533987135</v>
      </c>
      <c r="G342" s="5">
        <v>0.249694861081505</v>
      </c>
      <c r="H342" s="5">
        <v>0.277914016452789</v>
      </c>
      <c r="I342" s="5">
        <v>0.367159641955255</v>
      </c>
      <c r="J342" s="6">
        <v>2.98541869022359</v>
      </c>
      <c r="K342" s="6">
        <v>4.04723229756821</v>
      </c>
      <c r="L342" s="6">
        <v>2.4967840861671</v>
      </c>
      <c r="M342" s="6">
        <v>1.13459054398137</v>
      </c>
      <c r="N342" s="7">
        <v>0.137795232942926</v>
      </c>
      <c r="O342" s="7">
        <v>0.0898374836576826</v>
      </c>
      <c r="P342" s="7">
        <v>0.206085192697769</v>
      </c>
      <c r="Q342" s="7">
        <v>0.455386988943173</v>
      </c>
      <c r="R342" s="6">
        <v>6.82132256635375</v>
      </c>
      <c r="S342" s="6">
        <v>10.2773837638322</v>
      </c>
      <c r="T342" s="6">
        <v>5.5100398185355</v>
      </c>
      <c r="U342" s="6">
        <v>2.35997886998075</v>
      </c>
    </row>
    <row r="343" ht="11.25" customHeight="1">
      <c r="A343" s="2" t="s">
        <v>371</v>
      </c>
      <c r="B343" s="5">
        <v>0.429436684400327</v>
      </c>
      <c r="C343" s="5">
        <v>0.629088912289839</v>
      </c>
      <c r="D343" s="5">
        <v>0.371188328082887</v>
      </c>
      <c r="E343" s="5">
        <v>-0.138172552501225</v>
      </c>
      <c r="F343" s="5">
        <v>0.255370465535325</v>
      </c>
      <c r="G343" s="5">
        <v>0.255121395881904</v>
      </c>
      <c r="H343" s="5">
        <v>0.258995991214128</v>
      </c>
      <c r="I343" s="5">
        <v>0.360649669899389</v>
      </c>
      <c r="J343" s="6">
        <v>1.58372536758516</v>
      </c>
      <c r="K343" s="6">
        <v>2.36784888308416</v>
      </c>
      <c r="L343" s="6">
        <v>1.33665516002782</v>
      </c>
      <c r="M343" s="6">
        <v>-0.452440598508647</v>
      </c>
      <c r="N343" s="7">
        <v>0.133500208594075</v>
      </c>
      <c r="O343" s="7">
        <v>0.133500208594075</v>
      </c>
      <c r="P343" s="7">
        <v>0.367790734320831</v>
      </c>
      <c r="Q343" s="7">
        <v>0.79244697361614</v>
      </c>
      <c r="R343" s="6">
        <v>3.60045154257393</v>
      </c>
      <c r="S343" s="6">
        <v>5.95685922104666</v>
      </c>
      <c r="T343" s="6">
        <v>2.74955377445698</v>
      </c>
      <c r="U343" s="6">
        <v>-0.805790489193117</v>
      </c>
    </row>
    <row r="344" ht="11.25" customHeight="1">
      <c r="A344" s="2" t="s">
        <v>372</v>
      </c>
      <c r="B344" s="5">
        <v>0.515435668334832</v>
      </c>
      <c r="C344" s="5">
        <v>0.602401114487524</v>
      </c>
      <c r="D344" s="5">
        <v>0.655275527778045</v>
      </c>
      <c r="E344" s="5">
        <v>0.0612965266346792</v>
      </c>
      <c r="F344" s="5">
        <v>0.288916499393707</v>
      </c>
      <c r="G344" s="5">
        <v>0.267807745050754</v>
      </c>
      <c r="H344" s="5">
        <v>0.273909618753618</v>
      </c>
      <c r="I344" s="5">
        <v>0.391670084211199</v>
      </c>
      <c r="J344" s="6">
        <v>1.69749969061654</v>
      </c>
      <c r="K344" s="6">
        <v>2.15602843890155</v>
      </c>
      <c r="L344" s="6">
        <v>2.30103466481393</v>
      </c>
      <c r="M344" s="6">
        <v>0.0926711742812276</v>
      </c>
      <c r="N344" s="7">
        <v>0.344671172086498</v>
      </c>
      <c r="O344" s="7">
        <v>0.170667346548537</v>
      </c>
      <c r="P344" s="7">
        <v>0.286652992277992</v>
      </c>
      <c r="Q344" s="7">
        <v>0.759092322039167</v>
      </c>
      <c r="R344" s="6">
        <v>3.60426107745432</v>
      </c>
      <c r="S344" s="6">
        <v>5.00113882294307</v>
      </c>
      <c r="T344" s="6">
        <v>5.37024680324488</v>
      </c>
      <c r="U344" s="6">
        <v>0.179567490183155</v>
      </c>
    </row>
    <row r="345" ht="11.25" customHeight="1">
      <c r="A345" s="2" t="s">
        <v>373</v>
      </c>
      <c r="B345" s="5">
        <v>0.599592863903692</v>
      </c>
      <c r="C345" s="5">
        <v>0.805085840590301</v>
      </c>
      <c r="D345" s="5">
        <v>0.653165433244169</v>
      </c>
      <c r="E345" s="5">
        <v>0.256176235486756</v>
      </c>
      <c r="F345" s="5">
        <v>0.273772680957322</v>
      </c>
      <c r="G345" s="5">
        <v>0.279854792411907</v>
      </c>
      <c r="H345" s="5">
        <v>0.241452702629806</v>
      </c>
      <c r="I345" s="5">
        <v>0.402463208783963</v>
      </c>
      <c r="J345" s="6">
        <v>2.09879547475105</v>
      </c>
      <c r="K345" s="6">
        <v>2.78746643524375</v>
      </c>
      <c r="L345" s="6">
        <v>2.6016086231483</v>
      </c>
      <c r="M345" s="6">
        <v>0.574403399966053</v>
      </c>
      <c r="N345" s="7">
        <v>0.247709678831854</v>
      </c>
      <c r="O345" s="7">
        <v>0.162629466212666</v>
      </c>
      <c r="P345" s="7">
        <v>0.326116458233291</v>
      </c>
      <c r="Q345" s="7">
        <v>0.576806083650189</v>
      </c>
      <c r="R345" s="6">
        <v>4.19365393874368</v>
      </c>
      <c r="S345" s="6">
        <v>5.90946017012758</v>
      </c>
      <c r="T345" s="6">
        <v>5.47577336793844</v>
      </c>
      <c r="U345" s="6">
        <v>1.13668173680929</v>
      </c>
    </row>
    <row r="346" ht="11.25" customHeight="1">
      <c r="A346" s="2" t="s">
        <v>374</v>
      </c>
      <c r="B346" s="5">
        <v>0.848138965262216</v>
      </c>
      <c r="C346" s="5">
        <v>1.06187485720511</v>
      </c>
      <c r="D346" s="5">
        <v>0.809354637039962</v>
      </c>
      <c r="E346" s="5">
        <v>0.358709326165964</v>
      </c>
      <c r="F346" s="5">
        <v>0.283934197358006</v>
      </c>
      <c r="G346" s="5">
        <v>0.279399153234498</v>
      </c>
      <c r="H346" s="5">
        <v>0.285213553125252</v>
      </c>
      <c r="I346" s="5">
        <v>0.407947988943004</v>
      </c>
      <c r="J346" s="6">
        <v>2.89904834613612</v>
      </c>
      <c r="K346" s="6">
        <v>3.71108804447545</v>
      </c>
      <c r="L346" s="6">
        <v>2.75006088751858</v>
      </c>
      <c r="M346" s="6">
        <v>0.818019294642455</v>
      </c>
      <c r="N346" s="7">
        <v>0.193018165467685</v>
      </c>
      <c r="O346" s="7">
        <v>0.201377996669565</v>
      </c>
      <c r="P346" s="7">
        <v>0.290523302843631</v>
      </c>
      <c r="Q346" s="7">
        <v>0.375472421536945</v>
      </c>
      <c r="R346" s="6">
        <v>6.50010526187491</v>
      </c>
      <c r="S346" s="6">
        <v>8.51914736646304</v>
      </c>
      <c r="T346" s="6">
        <v>5.73496534793875</v>
      </c>
      <c r="U346" s="6">
        <v>1.62467880877462</v>
      </c>
    </row>
    <row r="347" ht="11.25" customHeight="1">
      <c r="A347" s="2" t="s">
        <v>375</v>
      </c>
      <c r="B347" s="5">
        <v>0.286281330461079</v>
      </c>
      <c r="C347" s="5">
        <v>0.329286794822739</v>
      </c>
      <c r="D347" s="5">
        <v>0.365194022723326</v>
      </c>
      <c r="E347" s="5">
        <v>0.109909080474877</v>
      </c>
      <c r="F347" s="5">
        <v>0.135316113877902</v>
      </c>
      <c r="G347" s="5">
        <v>0.150144867501903</v>
      </c>
      <c r="H347" s="5">
        <v>0.157200831816886</v>
      </c>
      <c r="I347" s="5">
        <v>0.218882522771923</v>
      </c>
      <c r="J347" s="6">
        <v>1.93089590717064</v>
      </c>
      <c r="K347" s="6">
        <v>2.02662135499825</v>
      </c>
      <c r="L347" s="6">
        <v>2.16407266292075</v>
      </c>
      <c r="M347" s="6">
        <v>0.387920786911583</v>
      </c>
      <c r="N347" s="7">
        <v>0.133860220574558</v>
      </c>
      <c r="O347" s="7">
        <v>0.122579301728326</v>
      </c>
      <c r="P347" s="7">
        <v>0.220240161032831</v>
      </c>
      <c r="Q347" s="7">
        <v>0.286758850358357</v>
      </c>
      <c r="R347" s="6">
        <v>4.04402248096471</v>
      </c>
      <c r="S347" s="6">
        <v>4.33026909440069</v>
      </c>
      <c r="T347" s="6">
        <v>4.2171410484779</v>
      </c>
      <c r="U347" s="6">
        <v>0.732866343092104</v>
      </c>
    </row>
    <row r="348" ht="11.25" customHeight="1">
      <c r="A348" s="2" t="s">
        <v>376</v>
      </c>
      <c r="B348" s="5">
        <v>0.331395039496842</v>
      </c>
      <c r="C348" s="5">
        <v>0.485933082628462</v>
      </c>
      <c r="D348" s="5">
        <v>0.314762743230419</v>
      </c>
      <c r="E348" s="5">
        <v>-0.0726491437371604</v>
      </c>
      <c r="F348" s="5">
        <v>0.252482255860255</v>
      </c>
      <c r="G348" s="5">
        <v>0.236445672190343</v>
      </c>
      <c r="H348" s="5">
        <v>0.264339413908744</v>
      </c>
      <c r="I348" s="5">
        <v>0.371197163977821</v>
      </c>
      <c r="J348" s="6">
        <v>1.21353098043621</v>
      </c>
      <c r="K348" s="6">
        <v>1.94942490745781</v>
      </c>
      <c r="L348" s="6">
        <v>1.09617683926034</v>
      </c>
      <c r="M348" s="6">
        <v>-0.263065435874382</v>
      </c>
      <c r="N348" s="7">
        <v>0.422047627888214</v>
      </c>
      <c r="O348" s="7">
        <v>0.151367781155015</v>
      </c>
      <c r="P348" s="7">
        <v>0.605219802650389</v>
      </c>
      <c r="Q348" s="7">
        <v>0.776082566748934</v>
      </c>
      <c r="R348" s="6">
        <v>2.44813491442182</v>
      </c>
      <c r="S348" s="6">
        <v>4.18615032271124</v>
      </c>
      <c r="T348" s="6">
        <v>2.1609179359791</v>
      </c>
      <c r="U348" s="6">
        <v>-0.496632040845563</v>
      </c>
    </row>
    <row r="349" ht="11.25" customHeight="1">
      <c r="A349" s="2" t="s">
        <v>377</v>
      </c>
      <c r="B349" s="5">
        <v>0.850688800560724</v>
      </c>
      <c r="C349" s="5">
        <v>1.07677952014944</v>
      </c>
      <c r="D349" s="5">
        <v>0.841666452142289</v>
      </c>
      <c r="E349" s="5">
        <v>0.255232768438042</v>
      </c>
      <c r="F349" s="5">
        <v>0.285088190310585</v>
      </c>
      <c r="G349" s="5">
        <v>0.291487359481443</v>
      </c>
      <c r="H349" s="5">
        <v>0.289470464320122</v>
      </c>
      <c r="I349" s="5">
        <v>0.406379508611554</v>
      </c>
      <c r="J349" s="6">
        <v>2.89625746917537</v>
      </c>
      <c r="K349" s="6">
        <v>3.60831948946452</v>
      </c>
      <c r="L349" s="6">
        <v>2.82124276153834</v>
      </c>
      <c r="M349" s="6">
        <v>0.56654620510926</v>
      </c>
      <c r="N349" s="7">
        <v>0.272422900396535</v>
      </c>
      <c r="O349" s="7">
        <v>0.239198497182216</v>
      </c>
      <c r="P349" s="7">
        <v>0.266793893129771</v>
      </c>
      <c r="Q349" s="7">
        <v>0.565554465161923</v>
      </c>
      <c r="R349" s="6">
        <v>6.68635515138143</v>
      </c>
      <c r="S349" s="6">
        <v>9.03979171191388</v>
      </c>
      <c r="T349" s="6">
        <v>6.30553101759002</v>
      </c>
      <c r="U349" s="6">
        <v>1.13480511566603</v>
      </c>
    </row>
    <row r="350" ht="11.25" customHeight="1">
      <c r="A350" s="2" t="s">
        <v>378</v>
      </c>
      <c r="B350" s="5">
        <v>0.271614886796996</v>
      </c>
      <c r="C350" s="5">
        <v>0.350467597988246</v>
      </c>
      <c r="D350" s="5">
        <v>0.303328258208184</v>
      </c>
      <c r="E350" s="5">
        <v>0.0948655637076529</v>
      </c>
      <c r="F350" s="5">
        <v>0.133205946166944</v>
      </c>
      <c r="G350" s="5">
        <v>0.145307662233988</v>
      </c>
      <c r="H350" s="5">
        <v>0.152389529539724</v>
      </c>
      <c r="I350" s="5">
        <v>0.209383449514376</v>
      </c>
      <c r="J350" s="6">
        <v>1.85138046681429</v>
      </c>
      <c r="K350" s="6">
        <v>2.23985158789594</v>
      </c>
      <c r="L350" s="6">
        <v>1.82642638932507</v>
      </c>
      <c r="M350" s="6">
        <v>0.333672808761592</v>
      </c>
      <c r="N350" s="7">
        <v>0.0864593781344033</v>
      </c>
      <c r="O350" s="7">
        <v>0.0897959183673464</v>
      </c>
      <c r="P350" s="7">
        <v>0.362525458248472</v>
      </c>
      <c r="Q350" s="7">
        <v>0.375353400964576</v>
      </c>
      <c r="R350" s="6">
        <v>3.79339563129361</v>
      </c>
      <c r="S350" s="6">
        <v>4.98682194846613</v>
      </c>
      <c r="T350" s="6">
        <v>3.42571041678448</v>
      </c>
      <c r="U350" s="6">
        <v>0.618883253053005</v>
      </c>
    </row>
    <row r="351" ht="11.25" customHeight="1">
      <c r="A351" s="2" t="s">
        <v>379</v>
      </c>
      <c r="B351" s="5">
        <v>0.472995615805077</v>
      </c>
      <c r="C351" s="5">
        <v>0.701311025977563</v>
      </c>
      <c r="D351" s="5">
        <v>0.488375664192862</v>
      </c>
      <c r="E351" s="5">
        <v>0.171485320528256</v>
      </c>
      <c r="F351" s="5">
        <v>0.205917977966016</v>
      </c>
      <c r="G351" s="5">
        <v>0.208964886274494</v>
      </c>
      <c r="H351" s="5">
        <v>0.204062373924731</v>
      </c>
      <c r="I351" s="5">
        <v>0.306251507431988</v>
      </c>
      <c r="J351" s="6">
        <v>2.17560224818744</v>
      </c>
      <c r="K351" s="6">
        <v>3.2364816789801</v>
      </c>
      <c r="L351" s="6">
        <v>2.27075504063173</v>
      </c>
      <c r="M351" s="6">
        <v>0.47831705958472</v>
      </c>
      <c r="N351" s="7">
        <v>0.159449967148129</v>
      </c>
      <c r="O351" s="7">
        <v>0.156443329716464</v>
      </c>
      <c r="P351" s="7">
        <v>0.179578721885041</v>
      </c>
      <c r="Q351" s="7">
        <v>0.532363977485927</v>
      </c>
      <c r="R351" s="6">
        <v>4.44701436176727</v>
      </c>
      <c r="S351" s="6">
        <v>7.64758720014582</v>
      </c>
      <c r="T351" s="6">
        <v>4.75976444969296</v>
      </c>
      <c r="U351" s="6">
        <v>0.883800338290868</v>
      </c>
    </row>
    <row r="352" ht="11.25" customHeight="1">
      <c r="A352" s="2" t="s">
        <v>380</v>
      </c>
      <c r="B352" s="5">
        <v>0.570989964638565</v>
      </c>
      <c r="C352" s="5">
        <v>0.617210603507165</v>
      </c>
      <c r="D352" s="5">
        <v>0.41218480508543</v>
      </c>
      <c r="E352" s="5">
        <v>0.122880312813125</v>
      </c>
      <c r="F352" s="5">
        <v>0.23636268324783</v>
      </c>
      <c r="G352" s="5">
        <v>0.215069217317833</v>
      </c>
      <c r="H352" s="5">
        <v>0.235516651162002</v>
      </c>
      <c r="I352" s="5">
        <v>0.348015527626038</v>
      </c>
      <c r="J352" s="6">
        <v>2.30996685744207</v>
      </c>
      <c r="K352" s="6">
        <v>2.75358143249289</v>
      </c>
      <c r="L352" s="6">
        <v>1.64398059829366</v>
      </c>
      <c r="M352" s="6">
        <v>0.281252717316403</v>
      </c>
      <c r="N352" s="7">
        <v>0.174054758800521</v>
      </c>
      <c r="O352" s="7">
        <v>0.134296415195291</v>
      </c>
      <c r="P352" s="7">
        <v>0.290618847688754</v>
      </c>
      <c r="Q352" s="7">
        <v>0.572102220870093</v>
      </c>
      <c r="R352" s="6">
        <v>5.0362492832792</v>
      </c>
      <c r="S352" s="6">
        <v>6.40798746631696</v>
      </c>
      <c r="T352" s="6">
        <v>3.2563590135575</v>
      </c>
      <c r="U352" s="6">
        <v>0.544978732985812</v>
      </c>
    </row>
    <row r="353" ht="11.25" customHeight="1">
      <c r="A353" s="2" t="s">
        <v>381</v>
      </c>
      <c r="B353" s="5">
        <v>0.718461603650856</v>
      </c>
      <c r="C353" s="5">
        <v>0.962038544158764</v>
      </c>
      <c r="D353" s="5">
        <v>0.561430114129183</v>
      </c>
      <c r="E353" s="5">
        <v>0.00147492759095535</v>
      </c>
      <c r="F353" s="5">
        <v>0.367014208095262</v>
      </c>
      <c r="G353" s="5">
        <v>0.337948522871946</v>
      </c>
      <c r="H353" s="5">
        <v>0.360309430449352</v>
      </c>
      <c r="I353" s="5">
        <v>0.518657820806114</v>
      </c>
      <c r="J353" s="6">
        <v>1.88946800520284</v>
      </c>
      <c r="K353" s="6">
        <v>2.77272566897362</v>
      </c>
      <c r="L353" s="6">
        <v>1.48880398012393</v>
      </c>
      <c r="M353" s="6">
        <v>-0.0453575969846192</v>
      </c>
      <c r="N353" s="7">
        <v>0.374956452274097</v>
      </c>
      <c r="O353" s="7">
        <v>0.227021597187343</v>
      </c>
      <c r="P353" s="7">
        <v>0.750162795745604</v>
      </c>
      <c r="Q353" s="7">
        <v>0.859719683120048</v>
      </c>
      <c r="R353" s="6">
        <v>4.0717437299277</v>
      </c>
      <c r="S353" s="6">
        <v>6.72912170144604</v>
      </c>
      <c r="T353" s="6">
        <v>2.89589089516246</v>
      </c>
      <c r="U353" s="6">
        <v>-0.0862453280561199</v>
      </c>
    </row>
    <row r="354" ht="11.25" customHeight="1">
      <c r="A354" s="2" t="s">
        <v>382</v>
      </c>
      <c r="B354" s="5">
        <v>0.723858974467881</v>
      </c>
      <c r="C354" s="5">
        <v>0.798441430281317</v>
      </c>
      <c r="D354" s="5">
        <v>0.751306758783526</v>
      </c>
      <c r="E354" s="5">
        <v>0.305220806171398</v>
      </c>
      <c r="F354" s="5">
        <v>0.252558695858147</v>
      </c>
      <c r="G354" s="5">
        <v>0.250643072246984</v>
      </c>
      <c r="H354" s="5">
        <v>0.2382438879901</v>
      </c>
      <c r="I354" s="5">
        <v>0.378685207619858</v>
      </c>
      <c r="J354" s="6">
        <v>2.76711507435247</v>
      </c>
      <c r="K354" s="6">
        <v>3.0858280795376</v>
      </c>
      <c r="L354" s="6">
        <v>3.04858506512329</v>
      </c>
      <c r="M354" s="6">
        <v>0.739983502214581</v>
      </c>
      <c r="N354" s="7">
        <v>0.0983097242420252</v>
      </c>
      <c r="O354" s="7">
        <v>0.114049171925793</v>
      </c>
      <c r="P354" s="7">
        <v>0.17886469118172</v>
      </c>
      <c r="Q354" s="7">
        <v>0.488798856053384</v>
      </c>
      <c r="R354" s="6">
        <v>6.58115685269596</v>
      </c>
      <c r="S354" s="6">
        <v>7.2056829058042</v>
      </c>
      <c r="T354" s="6">
        <v>6.38281979910577</v>
      </c>
      <c r="U354" s="6">
        <v>1.45210411584208</v>
      </c>
    </row>
    <row r="355" ht="11.25" customHeight="1">
      <c r="A355" s="2" t="s">
        <v>383</v>
      </c>
      <c r="B355" s="5">
        <v>0.764844105356686</v>
      </c>
      <c r="C355" s="5">
        <v>1.18313649642042</v>
      </c>
      <c r="D355" s="5">
        <v>0.578783424852231</v>
      </c>
      <c r="E355" s="5">
        <v>0.172599025385375</v>
      </c>
      <c r="F355" s="5">
        <v>0.23241456739501</v>
      </c>
      <c r="G355" s="5">
        <v>0.235153043946738</v>
      </c>
      <c r="H355" s="5">
        <v>0.237584325618765</v>
      </c>
      <c r="I355" s="5">
        <v>0.361384863551714</v>
      </c>
      <c r="J355" s="6">
        <v>3.18329489260994</v>
      </c>
      <c r="K355" s="6">
        <v>4.92503297844932</v>
      </c>
      <c r="L355" s="6">
        <v>2.33089208814577</v>
      </c>
      <c r="M355" s="6">
        <v>0.408426141412683</v>
      </c>
      <c r="N355" s="7">
        <v>0.140672193885277</v>
      </c>
      <c r="O355" s="7">
        <v>0.0851875397329942</v>
      </c>
      <c r="P355" s="7">
        <v>0.234006477259187</v>
      </c>
      <c r="Q355" s="7">
        <v>0.470295580918934</v>
      </c>
      <c r="R355" s="6">
        <v>6.85344693942439</v>
      </c>
      <c r="S355" s="6">
        <v>11.5548483011947</v>
      </c>
      <c r="T355" s="6">
        <v>4.58454636150801</v>
      </c>
      <c r="U355" s="6">
        <v>0.79906937569453</v>
      </c>
    </row>
    <row r="356" ht="11.25" customHeight="1">
      <c r="A356" s="2" t="s">
        <v>384</v>
      </c>
      <c r="B356" s="5">
        <v>0.270323201453034</v>
      </c>
      <c r="C356" s="5">
        <v>0.398736767977663</v>
      </c>
      <c r="D356" s="5">
        <v>0.321263142118726</v>
      </c>
      <c r="E356" s="5">
        <v>0.0485334036858777</v>
      </c>
      <c r="F356" s="5">
        <v>0.189550757550166</v>
      </c>
      <c r="G356" s="5">
        <v>0.175025333614719</v>
      </c>
      <c r="H356" s="5">
        <v>0.182344788596609</v>
      </c>
      <c r="I356" s="5">
        <v>0.293237585166673</v>
      </c>
      <c r="J356" s="6">
        <v>1.29423487736844</v>
      </c>
      <c r="K356" s="6">
        <v>2.13532955635077</v>
      </c>
      <c r="L356" s="6">
        <v>1.62474148232517</v>
      </c>
      <c r="M356" s="6">
        <v>0.0802537085159174</v>
      </c>
      <c r="N356" s="7">
        <v>0.216690133914051</v>
      </c>
      <c r="O356" s="7">
        <v>0.169812803646207</v>
      </c>
      <c r="P356" s="7">
        <v>0.215258855585831</v>
      </c>
      <c r="Q356" s="7">
        <v>0.487179487179487</v>
      </c>
      <c r="R356" s="6">
        <v>2.55669184956295</v>
      </c>
      <c r="S356" s="6">
        <v>4.71090296315221</v>
      </c>
      <c r="T356" s="6">
        <v>3.30312399994226</v>
      </c>
      <c r="U356" s="6">
        <v>0.148827614100704</v>
      </c>
    </row>
    <row r="357" ht="11.25" customHeight="1">
      <c r="A357" s="2" t="s">
        <v>385</v>
      </c>
      <c r="B357" s="5">
        <v>1.05659554250301</v>
      </c>
      <c r="C357" s="5">
        <v>1.3245823016014</v>
      </c>
      <c r="D357" s="5">
        <v>0.712692905394188</v>
      </c>
      <c r="E357" s="5">
        <v>0.198918973584755</v>
      </c>
      <c r="F357" s="5">
        <v>0.35744483695026</v>
      </c>
      <c r="G357" s="5">
        <v>0.349898873043816</v>
      </c>
      <c r="H357" s="5">
        <v>0.419249283655044</v>
      </c>
      <c r="I357" s="5">
        <v>0.52488130091174</v>
      </c>
      <c r="J357" s="6">
        <v>2.88602725753335</v>
      </c>
      <c r="K357" s="6">
        <v>3.71416543956304</v>
      </c>
      <c r="L357" s="6">
        <v>1.64029595804871</v>
      </c>
      <c r="M357" s="6">
        <v>0.33134915128935</v>
      </c>
      <c r="N357" s="7">
        <v>0.317481580709979</v>
      </c>
      <c r="O357" s="7">
        <v>0.272577203365946</v>
      </c>
      <c r="P357" s="7">
        <v>0.734963425750471</v>
      </c>
      <c r="Q357" s="7">
        <v>0.906250638967837</v>
      </c>
      <c r="R357" s="6">
        <v>6.81422296750056</v>
      </c>
      <c r="S357" s="6">
        <v>9.48474477213564</v>
      </c>
      <c r="T357" s="6">
        <v>3.39285657335945</v>
      </c>
      <c r="U357" s="6">
        <v>0.658432343686896</v>
      </c>
    </row>
    <row r="358" ht="11.25" customHeight="1">
      <c r="A358" s="2" t="s">
        <v>386</v>
      </c>
      <c r="B358" s="5">
        <v>0.576805057945443</v>
      </c>
      <c r="C358" s="5">
        <v>0.772857318539205</v>
      </c>
      <c r="D358" s="5">
        <v>0.565224749156882</v>
      </c>
      <c r="E358" s="5">
        <v>0.135279490447624</v>
      </c>
      <c r="F358" s="5">
        <v>0.208645662146109</v>
      </c>
      <c r="G358" s="5">
        <v>0.210637962218363</v>
      </c>
      <c r="H358" s="5">
        <v>0.22752128996644</v>
      </c>
      <c r="I358" s="5">
        <v>0.325666601838318</v>
      </c>
      <c r="J358" s="6">
        <v>2.64469940218085</v>
      </c>
      <c r="K358" s="6">
        <v>3.5504393921354</v>
      </c>
      <c r="L358" s="6">
        <v>2.3743920810073</v>
      </c>
      <c r="M358" s="6">
        <v>0.338626957216735</v>
      </c>
      <c r="N358" s="7">
        <v>0.137341379355878</v>
      </c>
      <c r="O358" s="7">
        <v>0.085898750690532</v>
      </c>
      <c r="P358" s="7">
        <v>0.274069507404049</v>
      </c>
      <c r="Q358" s="7">
        <v>0.473094711441784</v>
      </c>
      <c r="R358" s="6">
        <v>5.59319931760679</v>
      </c>
      <c r="S358" s="6">
        <v>8.61542471100039</v>
      </c>
      <c r="T358" s="6">
        <v>4.62092326107621</v>
      </c>
      <c r="U358" s="6">
        <v>0.610859703854283</v>
      </c>
    </row>
    <row r="359" ht="11.25" customHeight="1">
      <c r="A359" s="2" t="s">
        <v>387</v>
      </c>
      <c r="B359" s="5">
        <v>0.589484884788188</v>
      </c>
      <c r="C359" s="5">
        <v>0.67761449517353</v>
      </c>
      <c r="D359" s="5">
        <v>0.70155686998714</v>
      </c>
      <c r="E359" s="5">
        <v>0.117064329108926</v>
      </c>
      <c r="F359" s="5">
        <v>0.261449474878826</v>
      </c>
      <c r="G359" s="5">
        <v>0.233430206979614</v>
      </c>
      <c r="H359" s="5">
        <v>0.237421363757897</v>
      </c>
      <c r="I359" s="5">
        <v>0.364735170151227</v>
      </c>
      <c r="J359" s="6">
        <v>2.15905916448984</v>
      </c>
      <c r="K359" s="6">
        <v>2.79575854221181</v>
      </c>
      <c r="L359" s="6">
        <v>2.84960400900163</v>
      </c>
      <c r="M359" s="6">
        <v>0.252414180597813</v>
      </c>
      <c r="N359" s="7">
        <v>0.254025541365908</v>
      </c>
      <c r="O359" s="7">
        <v>0.250412405146816</v>
      </c>
      <c r="P359" s="7">
        <v>0.250412405146816</v>
      </c>
      <c r="Q359" s="7">
        <v>0.592787241754258</v>
      </c>
      <c r="R359" s="6">
        <v>4.36561219901072</v>
      </c>
      <c r="S359" s="6">
        <v>6.20596126049446</v>
      </c>
      <c r="T359" s="6">
        <v>6.27489504200914</v>
      </c>
      <c r="U359" s="6">
        <v>0.480404668689372</v>
      </c>
    </row>
    <row r="360" ht="11.25" customHeight="1">
      <c r="A360" s="2" t="s">
        <v>388</v>
      </c>
      <c r="B360" s="5">
        <v>0.866090796606737</v>
      </c>
      <c r="C360" s="5">
        <v>0.9486906855573</v>
      </c>
      <c r="D360" s="5">
        <v>1.02222203730146</v>
      </c>
      <c r="E360" s="5">
        <v>0.260282129053536</v>
      </c>
      <c r="F360" s="5">
        <v>0.315389986315583</v>
      </c>
      <c r="G360" s="5">
        <v>0.327380835529461</v>
      </c>
      <c r="H360" s="5">
        <v>0.28834819486353</v>
      </c>
      <c r="I360" s="5">
        <v>0.456206074937347</v>
      </c>
      <c r="J360" s="6">
        <v>2.66682784203912</v>
      </c>
      <c r="K360" s="6">
        <v>2.82145619203227</v>
      </c>
      <c r="L360" s="6">
        <v>3.45839528412317</v>
      </c>
      <c r="M360" s="6">
        <v>0.515736510273013</v>
      </c>
      <c r="N360" s="7">
        <v>0.225028568568735</v>
      </c>
      <c r="O360" s="7">
        <v>0.212871287128712</v>
      </c>
      <c r="P360" s="7">
        <v>0.251336909170773</v>
      </c>
      <c r="Q360" s="7">
        <v>0.591339459760512</v>
      </c>
      <c r="R360" s="6">
        <v>6.02835628309691</v>
      </c>
      <c r="S360" s="6">
        <v>6.62153243259014</v>
      </c>
      <c r="T360" s="6">
        <v>7.97337976891423</v>
      </c>
      <c r="U360" s="6">
        <v>1.06208938276952</v>
      </c>
    </row>
    <row r="361" ht="11.25" customHeight="1">
      <c r="A361" s="2" t="s">
        <v>389</v>
      </c>
      <c r="B361" s="5">
        <v>1.44471043551648</v>
      </c>
      <c r="C361" s="5">
        <v>1.64535277045914</v>
      </c>
      <c r="D361" s="5">
        <v>3.15924897134716</v>
      </c>
      <c r="E361" s="5">
        <v>0.361101068771114</v>
      </c>
      <c r="F361" s="5">
        <v>0.507247459028047</v>
      </c>
      <c r="G361" s="5">
        <v>0.478070771177239</v>
      </c>
      <c r="H361" s="5">
        <v>0.410077865928459</v>
      </c>
      <c r="I361" s="5">
        <v>0.639306000348319</v>
      </c>
      <c r="J361" s="6">
        <v>2.7988517443475</v>
      </c>
      <c r="K361" s="6">
        <v>3.38935753480401</v>
      </c>
      <c r="L361" s="6">
        <v>7.64305814031415</v>
      </c>
      <c r="M361" s="6">
        <v>0.525728005975219</v>
      </c>
      <c r="N361" s="7">
        <v>0.205953338696701</v>
      </c>
      <c r="O361" s="7">
        <v>0.13515687851971</v>
      </c>
      <c r="P361" s="7">
        <v>0.102727272727272</v>
      </c>
      <c r="Q361" s="7">
        <v>0.332163369495851</v>
      </c>
      <c r="R361" s="6">
        <v>5.55466207663214</v>
      </c>
      <c r="S361" s="6">
        <v>6.68864426454791</v>
      </c>
      <c r="T361" s="6">
        <v>19.0067519675308</v>
      </c>
      <c r="U361" s="6">
        <v>1.07527643726621</v>
      </c>
    </row>
    <row r="362" ht="11.25" customHeight="1">
      <c r="A362" s="2" t="s">
        <v>390</v>
      </c>
      <c r="B362" s="5">
        <v>0.513812372929058</v>
      </c>
      <c r="C362" s="5">
        <v>0.537726982637273</v>
      </c>
      <c r="D362" s="5">
        <v>0.410866861599871</v>
      </c>
      <c r="E362" s="5">
        <v>0.177721557510852</v>
      </c>
      <c r="F362" s="5">
        <v>0.186577112541103</v>
      </c>
      <c r="G362" s="5">
        <v>0.189918965780847</v>
      </c>
      <c r="H362" s="5">
        <v>0.232215325047751</v>
      </c>
      <c r="I362" s="5">
        <v>0.293420717042327</v>
      </c>
      <c r="J362" s="6">
        <v>2.61989461768184</v>
      </c>
      <c r="K362" s="6">
        <v>2.69971448364416</v>
      </c>
      <c r="L362" s="6">
        <v>1.66167698673859</v>
      </c>
      <c r="M362" s="6">
        <v>0.520486620884447</v>
      </c>
      <c r="N362" s="7">
        <v>0.145435430538774</v>
      </c>
      <c r="O362" s="7">
        <v>0.173221452024808</v>
      </c>
      <c r="P362" s="7">
        <v>0.454478899754222</v>
      </c>
      <c r="Q362" s="7">
        <v>0.465792707906595</v>
      </c>
      <c r="R362" s="6">
        <v>5.64192004272334</v>
      </c>
      <c r="S362" s="6">
        <v>6.21305318257067</v>
      </c>
      <c r="T362" s="6">
        <v>2.99925840153699</v>
      </c>
      <c r="U362" s="6">
        <v>0.944408050698246</v>
      </c>
    </row>
    <row r="363" ht="11.25" customHeight="1">
      <c r="A363" s="2" t="s">
        <v>391</v>
      </c>
      <c r="B363" s="5">
        <v>0.530990730288437</v>
      </c>
      <c r="C363" s="5">
        <v>0.660876089259558</v>
      </c>
      <c r="D363" s="5">
        <v>0.512093580846358</v>
      </c>
      <c r="E363" s="5">
        <v>0.214008708241699</v>
      </c>
      <c r="F363" s="5">
        <v>0.197738098039468</v>
      </c>
      <c r="G363" s="5">
        <v>0.208898513255322</v>
      </c>
      <c r="H363" s="5">
        <v>0.203244216108471</v>
      </c>
      <c r="I363" s="5">
        <v>0.306082677017765</v>
      </c>
      <c r="J363" s="6">
        <v>2.55889348236495</v>
      </c>
      <c r="K363" s="6">
        <v>3.04394741422775</v>
      </c>
      <c r="L363" s="6">
        <v>2.39659258291707</v>
      </c>
      <c r="M363" s="6">
        <v>0.617508674725583</v>
      </c>
      <c r="N363" s="7">
        <v>0.119871046717148</v>
      </c>
      <c r="O363" s="7">
        <v>0.0951273932276646</v>
      </c>
      <c r="P363" s="7">
        <v>0.276898955041947</v>
      </c>
      <c r="Q363" s="7">
        <v>0.389266678919315</v>
      </c>
      <c r="R363" s="6">
        <v>5.66837455754581</v>
      </c>
      <c r="S363" s="6">
        <v>7.31871411653648</v>
      </c>
      <c r="T363" s="6">
        <v>5.08617148606519</v>
      </c>
      <c r="U363" s="6">
        <v>1.20183446427169</v>
      </c>
    </row>
    <row r="364" ht="11.25" customHeight="1">
      <c r="A364" s="2" t="s">
        <v>392</v>
      </c>
      <c r="B364" s="5">
        <v>0.577778508617665</v>
      </c>
      <c r="C364" s="5">
        <v>0.821670676753805</v>
      </c>
      <c r="D364" s="5">
        <v>0.837746868470896</v>
      </c>
      <c r="E364" s="5">
        <v>0.365805867281844</v>
      </c>
      <c r="F364" s="5">
        <v>0.223933532448504</v>
      </c>
      <c r="G364" s="5">
        <v>0.237933046929547</v>
      </c>
      <c r="H364" s="5">
        <v>0.192215273451649</v>
      </c>
      <c r="I364" s="5">
        <v>0.345657303651796</v>
      </c>
      <c r="J364" s="6">
        <v>2.46849367566146</v>
      </c>
      <c r="K364" s="6">
        <v>3.34829771246404</v>
      </c>
      <c r="L364" s="6">
        <v>4.22831575179346</v>
      </c>
      <c r="M364" s="6">
        <v>0.985964606219228</v>
      </c>
      <c r="N364" s="7">
        <v>0.100189804772234</v>
      </c>
      <c r="O364" s="7">
        <v>0.104123554792857</v>
      </c>
      <c r="P364" s="7">
        <v>0.0794017833533258</v>
      </c>
      <c r="Q364" s="7">
        <v>0.329009170208007</v>
      </c>
      <c r="R364" s="6">
        <v>5.28365362896406</v>
      </c>
      <c r="S364" s="6">
        <v>7.62876138255169</v>
      </c>
      <c r="T364" s="6">
        <v>11.0020597521723</v>
      </c>
      <c r="U364" s="6">
        <v>1.98051282381781</v>
      </c>
    </row>
    <row r="365" ht="11.25" customHeight="1">
      <c r="A365" s="2" t="s">
        <v>393</v>
      </c>
      <c r="B365" s="5">
        <v>0.71377778511175</v>
      </c>
      <c r="C365" s="5">
        <v>0.893232913576729</v>
      </c>
      <c r="D365" s="5">
        <v>0.610588362076037</v>
      </c>
      <c r="E365" s="5">
        <v>0.225526984399861</v>
      </c>
      <c r="F365" s="5">
        <v>0.261574750675352</v>
      </c>
      <c r="G365" s="5">
        <v>0.273544875884819</v>
      </c>
      <c r="H365" s="5">
        <v>0.2889940349801</v>
      </c>
      <c r="I365" s="5">
        <v>0.389745955586635</v>
      </c>
      <c r="J365" s="6">
        <v>2.63319675669542</v>
      </c>
      <c r="K365" s="6">
        <v>3.17400540137447</v>
      </c>
      <c r="L365" s="6">
        <v>2.02629913145563</v>
      </c>
      <c r="M365" s="6">
        <v>0.514506902574611</v>
      </c>
      <c r="N365" s="7">
        <v>0.220224719101123</v>
      </c>
      <c r="O365" s="7">
        <v>0.220224719101123</v>
      </c>
      <c r="P365" s="7">
        <v>0.592016436747872</v>
      </c>
      <c r="Q365" s="7">
        <v>0.680239245456637</v>
      </c>
      <c r="R365" s="6">
        <v>6.22400854350523</v>
      </c>
      <c r="S365" s="6">
        <v>7.86129401106035</v>
      </c>
      <c r="T365" s="6">
        <v>4.02942054246598</v>
      </c>
      <c r="U365" s="6">
        <v>1.00733179271478</v>
      </c>
    </row>
    <row r="366" ht="11.25" customHeight="1">
      <c r="A366" s="2" t="s">
        <v>394</v>
      </c>
      <c r="B366" s="5">
        <v>0.554346614518552</v>
      </c>
      <c r="C366" s="5">
        <v>0.660909371625558</v>
      </c>
      <c r="D366" s="5">
        <v>0.605025601533748</v>
      </c>
      <c r="E366" s="5">
        <v>0.263785260116191</v>
      </c>
      <c r="F366" s="5">
        <v>0.196194145423811</v>
      </c>
      <c r="G366" s="5">
        <v>0.204011221756047</v>
      </c>
      <c r="H366" s="5">
        <v>0.221243205842883</v>
      </c>
      <c r="I366" s="5">
        <v>0.283042758765131</v>
      </c>
      <c r="J366" s="6">
        <v>2.69807548729386</v>
      </c>
      <c r="K366" s="6">
        <v>3.1170313385308</v>
      </c>
      <c r="L366" s="6">
        <v>2.62166514593743</v>
      </c>
      <c r="M366" s="6">
        <v>0.843636704072457</v>
      </c>
      <c r="N366" s="7">
        <v>0.122128020342576</v>
      </c>
      <c r="O366" s="7">
        <v>0.0726827605271137</v>
      </c>
      <c r="P366" s="7">
        <v>0.184833323654193</v>
      </c>
      <c r="Q366" s="7">
        <v>0.266837074905535</v>
      </c>
      <c r="R366" s="6">
        <v>6.34238588422206</v>
      </c>
      <c r="S366" s="6">
        <v>8.02917417237637</v>
      </c>
      <c r="T366" s="6">
        <v>5.83426903379344</v>
      </c>
      <c r="U366" s="6">
        <v>1.73761017564889</v>
      </c>
    </row>
    <row r="367" ht="11.25" customHeight="1">
      <c r="A367" s="2" t="s">
        <v>395</v>
      </c>
      <c r="B367" s="5">
        <v>2.66077031082672</v>
      </c>
      <c r="C367" s="5">
        <v>4.83313059653168</v>
      </c>
      <c r="D367" s="5">
        <v>-0.28718180970181</v>
      </c>
      <c r="E367" s="5">
        <v>0.375181942176592</v>
      </c>
      <c r="F367" s="5">
        <v>0.916782272381706</v>
      </c>
      <c r="G367" s="5">
        <v>0.938710112835993</v>
      </c>
      <c r="H367" s="5">
        <v>0.690254670454511</v>
      </c>
      <c r="I367" s="5">
        <v>1.15091214768735</v>
      </c>
      <c r="J367" s="6">
        <v>2.87502320914132</v>
      </c>
      <c r="K367" s="6">
        <v>5.12206114623134</v>
      </c>
      <c r="L367" s="6">
        <v>-0.452270477932801</v>
      </c>
      <c r="M367" s="6">
        <v>0.30426470246252</v>
      </c>
      <c r="N367" s="7">
        <v>0.451042030504133</v>
      </c>
      <c r="O367" s="7">
        <v>0.451042030504133</v>
      </c>
      <c r="P367" s="7">
        <v>0.560447183948248</v>
      </c>
      <c r="Q367" s="7">
        <v>0.671668667466986</v>
      </c>
      <c r="R367" s="6">
        <v>6.4955210517313</v>
      </c>
      <c r="S367" s="6">
        <v>12.4240060316315</v>
      </c>
      <c r="T367" s="6">
        <v>-0.821342360093956</v>
      </c>
      <c r="U367" s="6">
        <v>0.698478951819529</v>
      </c>
    </row>
    <row r="368" ht="11.25" customHeight="1">
      <c r="A368" s="2" t="s">
        <v>396</v>
      </c>
      <c r="B368" s="5">
        <v>0.461040544148187</v>
      </c>
      <c r="C368" s="5">
        <v>0.569599634907588</v>
      </c>
      <c r="D368" s="5">
        <v>0.491590078250661</v>
      </c>
      <c r="E368" s="5">
        <v>0.218851814568352</v>
      </c>
      <c r="F368" s="5">
        <v>0.163446233031642</v>
      </c>
      <c r="G368" s="5">
        <v>0.166773880060013</v>
      </c>
      <c r="H368" s="5">
        <v>0.159401551770322</v>
      </c>
      <c r="I368" s="5">
        <v>0.249182681941893</v>
      </c>
      <c r="J368" s="6">
        <v>2.66779194638135</v>
      </c>
      <c r="K368" s="6">
        <v>3.26549717924423</v>
      </c>
      <c r="L368" s="6">
        <v>2.92713636140104</v>
      </c>
      <c r="M368" s="6">
        <v>0.777950590537254</v>
      </c>
      <c r="N368" s="7">
        <v>0.0975546308357865</v>
      </c>
      <c r="O368" s="7">
        <v>0.0929740230629371</v>
      </c>
      <c r="P368" s="7">
        <v>0.202384702796461</v>
      </c>
      <c r="Q368" s="7">
        <v>0.370694554961918</v>
      </c>
      <c r="R368" s="6">
        <v>5.89182835084091</v>
      </c>
      <c r="S368" s="6">
        <v>7.56919308979132</v>
      </c>
      <c r="T368" s="6">
        <v>6.45853832746507</v>
      </c>
      <c r="U368" s="6">
        <v>1.49241040783873</v>
      </c>
    </row>
    <row r="369" ht="11.25" customHeight="1">
      <c r="A369" s="2" t="s">
        <v>397</v>
      </c>
      <c r="B369" s="5">
        <v>0.823131995859159</v>
      </c>
      <c r="C369" s="5">
        <v>1.18565629050856</v>
      </c>
      <c r="D369" s="5">
        <v>0.587095495713738</v>
      </c>
      <c r="E369" s="5">
        <v>0.113802991380112</v>
      </c>
      <c r="F369" s="5">
        <v>0.338544379655763</v>
      </c>
      <c r="G369" s="5">
        <v>0.316914748003788</v>
      </c>
      <c r="H369" s="5">
        <v>0.332342552550995</v>
      </c>
      <c r="I369" s="5">
        <v>0.512559350412592</v>
      </c>
      <c r="J369" s="6">
        <v>2.3575402334864</v>
      </c>
      <c r="K369" s="6">
        <v>3.66236124326624</v>
      </c>
      <c r="L369" s="6">
        <v>1.69131365032616</v>
      </c>
      <c r="M369" s="6">
        <v>0.173254065716739</v>
      </c>
      <c r="N369" s="7">
        <v>0.264372182254196</v>
      </c>
      <c r="O369" s="7">
        <v>0.184567257559958</v>
      </c>
      <c r="P369" s="7">
        <v>0.534790119582504</v>
      </c>
      <c r="Q369" s="7">
        <v>0.801420090792689</v>
      </c>
      <c r="R369" s="6">
        <v>5.10903315704236</v>
      </c>
      <c r="S369" s="6">
        <v>8.8204502767782</v>
      </c>
      <c r="T369" s="6">
        <v>3.31265226188368</v>
      </c>
      <c r="U369" s="6">
        <v>0.334297815781127</v>
      </c>
    </row>
    <row r="370" ht="11.25" customHeight="1">
      <c r="A370" s="2" t="s">
        <v>398</v>
      </c>
      <c r="B370" s="5">
        <v>0.352250796848032</v>
      </c>
      <c r="C370" s="5">
        <v>0.452840101937951</v>
      </c>
      <c r="D370" s="5">
        <v>0.381957447748631</v>
      </c>
      <c r="E370" s="5">
        <v>0.168566108128966</v>
      </c>
      <c r="F370" s="5">
        <v>0.155616567023549</v>
      </c>
      <c r="G370" s="5">
        <v>0.170700850468653</v>
      </c>
      <c r="H370" s="5">
        <v>0.17238604534434</v>
      </c>
      <c r="I370" s="5">
        <v>0.236968290764934</v>
      </c>
      <c r="J370" s="6">
        <v>2.10293031845709</v>
      </c>
      <c r="K370" s="6">
        <v>2.50637358140472</v>
      </c>
      <c r="L370" s="6">
        <v>2.07068644701263</v>
      </c>
      <c r="M370" s="6">
        <v>0.605845227922836</v>
      </c>
      <c r="N370" s="7">
        <v>0.110737591457385</v>
      </c>
      <c r="O370" s="7">
        <v>0.118798955613576</v>
      </c>
      <c r="P370" s="7">
        <v>0.308848945731075</v>
      </c>
      <c r="Q370" s="7">
        <v>0.335327848416853</v>
      </c>
      <c r="R370" s="6">
        <v>4.11902753500351</v>
      </c>
      <c r="S370" s="6">
        <v>5.21533956177466</v>
      </c>
      <c r="T370" s="6">
        <v>3.9848387440378</v>
      </c>
      <c r="U370" s="6">
        <v>1.15309101255828</v>
      </c>
    </row>
    <row r="371" ht="11.25" customHeight="1">
      <c r="A371" s="2" t="s">
        <v>399</v>
      </c>
      <c r="B371" s="5">
        <v>0.672023256909682</v>
      </c>
      <c r="C371" s="5">
        <v>0.835758426963276</v>
      </c>
      <c r="D371" s="5">
        <v>0.580714294304167</v>
      </c>
      <c r="E371" s="5">
        <v>0.30408358490843</v>
      </c>
      <c r="F371" s="5">
        <v>0.214401916476683</v>
      </c>
      <c r="G371" s="5">
        <v>0.217160154490746</v>
      </c>
      <c r="H371" s="5">
        <v>0.219234486060066</v>
      </c>
      <c r="I371" s="5">
        <v>0.332389243328446</v>
      </c>
      <c r="J371" s="6">
        <v>3.01780537945912</v>
      </c>
      <c r="K371" s="6">
        <v>3.73345851067638</v>
      </c>
      <c r="L371" s="6">
        <v>2.53479415711957</v>
      </c>
      <c r="M371" s="6">
        <v>0.839628810227943</v>
      </c>
      <c r="N371" s="7">
        <v>0.113521620169858</v>
      </c>
      <c r="O371" s="7">
        <v>0.101963501532113</v>
      </c>
      <c r="P371" s="7">
        <v>0.266254442754494</v>
      </c>
      <c r="Q371" s="7">
        <v>0.486292170340522</v>
      </c>
      <c r="R371" s="6">
        <v>6.74380084427809</v>
      </c>
      <c r="S371" s="6">
        <v>8.96028641313956</v>
      </c>
      <c r="T371" s="6">
        <v>5.1301673316514</v>
      </c>
      <c r="U371" s="6">
        <v>1.574838800373</v>
      </c>
    </row>
    <row r="372" ht="11.25" customHeight="1">
      <c r="A372" s="2" t="s">
        <v>400</v>
      </c>
      <c r="B372" s="5">
        <v>1.07907066502313</v>
      </c>
      <c r="C372" s="5">
        <v>1.08347401342966</v>
      </c>
      <c r="D372" s="5">
        <v>1.20352938746584</v>
      </c>
      <c r="E372" s="5">
        <v>0.286171830875066</v>
      </c>
      <c r="F372" s="5">
        <v>0.342585500886743</v>
      </c>
      <c r="G372" s="5">
        <v>0.346116885677234</v>
      </c>
      <c r="H372" s="5">
        <v>0.333797806276082</v>
      </c>
      <c r="I372" s="5">
        <v>0.513260333265029</v>
      </c>
      <c r="J372" s="6">
        <v>3.07681049634264</v>
      </c>
      <c r="K372" s="6">
        <v>3.05814034862409</v>
      </c>
      <c r="L372" s="6">
        <v>3.53066846248562</v>
      </c>
      <c r="M372" s="6">
        <v>0.508848656224143</v>
      </c>
      <c r="N372" s="7">
        <v>0.282325394214421</v>
      </c>
      <c r="O372" s="7">
        <v>0.306553338768206</v>
      </c>
      <c r="P372" s="7">
        <v>0.296454708225491</v>
      </c>
      <c r="Q372" s="7">
        <v>0.639968895800932</v>
      </c>
      <c r="R372" s="6">
        <v>6.6763039222065</v>
      </c>
      <c r="S372" s="6">
        <v>6.74965812918928</v>
      </c>
      <c r="T372" s="6">
        <v>7.71663640372725</v>
      </c>
      <c r="U372" s="6">
        <v>1.02398954177397</v>
      </c>
    </row>
    <row r="373" ht="11.25" customHeight="1">
      <c r="A373" s="2" t="s">
        <v>401</v>
      </c>
      <c r="B373" s="5">
        <v>0.107380478361259</v>
      </c>
      <c r="C373" s="5">
        <v>0.143811468566725</v>
      </c>
      <c r="D373" s="5">
        <v>0.0908161032002379</v>
      </c>
      <c r="E373" s="5">
        <v>0.0307613373196553</v>
      </c>
      <c r="F373" s="5">
        <v>0.0500233981156404</v>
      </c>
      <c r="G373" s="5">
        <v>0.0531025579358628</v>
      </c>
      <c r="H373" s="5">
        <v>0.0494211979377733</v>
      </c>
      <c r="I373" s="5">
        <v>0.08603783402744</v>
      </c>
      <c r="J373" s="6">
        <v>1.64683890868067</v>
      </c>
      <c r="K373" s="6">
        <v>2.23739633616568</v>
      </c>
      <c r="L373" s="6">
        <v>1.33173832174419</v>
      </c>
      <c r="M373" s="6">
        <v>0.0669628354174733</v>
      </c>
      <c r="N373" s="7">
        <v>0.0273629290609384</v>
      </c>
      <c r="O373" s="7">
        <v>0.0392171736327088</v>
      </c>
      <c r="P373" s="7">
        <v>0.0575286175520993</v>
      </c>
      <c r="Q373" s="7">
        <v>0.217621210992775</v>
      </c>
      <c r="R373" s="6">
        <v>3.46002751825253</v>
      </c>
      <c r="S373" s="6">
        <v>5.25195213283312</v>
      </c>
      <c r="T373" s="6">
        <v>2.97034774395167</v>
      </c>
      <c r="U373" s="6">
        <v>0.124351542781156</v>
      </c>
    </row>
    <row r="374" ht="11.25" customHeight="1">
      <c r="A374" s="2" t="s">
        <v>402</v>
      </c>
      <c r="B374" s="5">
        <v>0.872458434001012</v>
      </c>
      <c r="C374" s="5">
        <v>1.26835395151828</v>
      </c>
      <c r="D374" s="5">
        <v>0.84229675082046</v>
      </c>
      <c r="E374" s="5">
        <v>0.422698281083542</v>
      </c>
      <c r="F374" s="5">
        <v>0.300830406835542</v>
      </c>
      <c r="G374" s="5">
        <v>0.308803677409709</v>
      </c>
      <c r="H374" s="5">
        <v>0.277118681799233</v>
      </c>
      <c r="I374" s="5">
        <v>0.440674828186273</v>
      </c>
      <c r="J374" s="6">
        <v>2.81706375002277</v>
      </c>
      <c r="K374" s="6">
        <v>4.02635733469146</v>
      </c>
      <c r="L374" s="6">
        <v>2.94926616103266</v>
      </c>
      <c r="M374" s="6">
        <v>0.902475602521674</v>
      </c>
      <c r="N374" s="7">
        <v>0.19685077967105</v>
      </c>
      <c r="O374" s="7">
        <v>0.162057309671967</v>
      </c>
      <c r="P374" s="7">
        <v>0.247153952548143</v>
      </c>
      <c r="Q374" s="7">
        <v>0.46394930638808</v>
      </c>
      <c r="R374" s="6">
        <v>6.09006721727608</v>
      </c>
      <c r="S374" s="6">
        <v>9.40203889910665</v>
      </c>
      <c r="T374" s="6">
        <v>6.40401374692802</v>
      </c>
      <c r="U374" s="6">
        <v>1.81737040713249</v>
      </c>
    </row>
    <row r="375" ht="11.25" customHeight="1">
      <c r="A375" s="2" t="s">
        <v>403</v>
      </c>
      <c r="B375" s="5">
        <v>1.31991689426124</v>
      </c>
      <c r="C375" s="5">
        <v>1.52838970520361</v>
      </c>
      <c r="D375" s="5">
        <v>1.0862137160363</v>
      </c>
      <c r="E375" s="5">
        <v>0.485461256181472</v>
      </c>
      <c r="F375" s="5">
        <v>0.340503295376222</v>
      </c>
      <c r="G375" s="5">
        <v>0.347525548003585</v>
      </c>
      <c r="H375" s="5">
        <v>0.364436352087153</v>
      </c>
      <c r="I375" s="5">
        <v>0.492163966315196</v>
      </c>
      <c r="J375" s="6">
        <v>3.80294966846206</v>
      </c>
      <c r="K375" s="6">
        <v>4.32598326609388</v>
      </c>
      <c r="L375" s="6">
        <v>2.91193156214702</v>
      </c>
      <c r="M375" s="6">
        <v>0.935585064524164</v>
      </c>
      <c r="N375" s="7">
        <v>0.193227722613616</v>
      </c>
      <c r="O375" s="7">
        <v>0.173218328416595</v>
      </c>
      <c r="P375" s="7">
        <v>0.321858731302088</v>
      </c>
      <c r="Q375" s="7">
        <v>0.547277588721438</v>
      </c>
      <c r="R375" s="6">
        <v>9.15324770373929</v>
      </c>
      <c r="S375" s="6">
        <v>11.2431358743015</v>
      </c>
      <c r="T375" s="6">
        <v>6.03094839522678</v>
      </c>
      <c r="U375" s="6">
        <v>1.8277485989824</v>
      </c>
    </row>
    <row r="376" ht="11.25" customHeight="1">
      <c r="A376" s="2" t="s">
        <v>404</v>
      </c>
      <c r="B376" s="5">
        <v>0.505635329712302</v>
      </c>
      <c r="C376" s="5">
        <v>0.726375809454157</v>
      </c>
      <c r="D376" s="5">
        <v>0.56225595426617</v>
      </c>
      <c r="E376" s="5">
        <v>-0.112521723170049</v>
      </c>
      <c r="F376" s="5">
        <v>0.293279721545888</v>
      </c>
      <c r="G376" s="5">
        <v>0.250622385337549</v>
      </c>
      <c r="H376" s="5">
        <v>0.271279621679415</v>
      </c>
      <c r="I376" s="5">
        <v>0.402795128434648</v>
      </c>
      <c r="J376" s="6">
        <v>1.63882905772978</v>
      </c>
      <c r="K376" s="6">
        <v>2.79853616631057</v>
      </c>
      <c r="L376" s="6">
        <v>1.98045083865928</v>
      </c>
      <c r="M376" s="6">
        <v>-0.341418536277957</v>
      </c>
      <c r="N376" s="7">
        <v>0.236745288156442</v>
      </c>
      <c r="O376" s="7">
        <v>0.109572946935542</v>
      </c>
      <c r="P376" s="7">
        <v>0.282780410742496</v>
      </c>
      <c r="Q376" s="7">
        <v>0.815811965811966</v>
      </c>
      <c r="R376" s="6">
        <v>3.38213804075103</v>
      </c>
      <c r="S376" s="6">
        <v>7.38229837548967</v>
      </c>
      <c r="T376" s="6">
        <v>4.14769295175547</v>
      </c>
      <c r="U376" s="6">
        <v>-0.631085601504637</v>
      </c>
    </row>
    <row r="377" ht="11.25" customHeight="1">
      <c r="A377" s="2" t="s">
        <v>405</v>
      </c>
      <c r="B377" s="5">
        <v>0.827956029498032</v>
      </c>
      <c r="C377" s="5">
        <v>0.999166288283549</v>
      </c>
      <c r="D377" s="5">
        <v>0.861336874565138</v>
      </c>
      <c r="E377" s="5">
        <v>0.204471946906922</v>
      </c>
      <c r="F377" s="5">
        <v>0.271221916463223</v>
      </c>
      <c r="G377" s="5">
        <v>0.250764234509144</v>
      </c>
      <c r="H377" s="5">
        <v>0.263609405473644</v>
      </c>
      <c r="I377" s="5">
        <v>0.388911756889487</v>
      </c>
      <c r="J377" s="6">
        <v>2.9605130734592</v>
      </c>
      <c r="K377" s="6">
        <v>3.88478959206611</v>
      </c>
      <c r="L377" s="6">
        <v>3.17263670111632</v>
      </c>
      <c r="M377" s="6">
        <v>0.461472155900704</v>
      </c>
      <c r="N377" s="7">
        <v>0.280304924677647</v>
      </c>
      <c r="O377" s="7">
        <v>0.148678146980354</v>
      </c>
      <c r="P377" s="7">
        <v>0.421052631578947</v>
      </c>
      <c r="Q377" s="7">
        <v>0.639915522703274</v>
      </c>
      <c r="R377" s="6">
        <v>6.27793000146054</v>
      </c>
      <c r="S377" s="6">
        <v>9.10580182013603</v>
      </c>
      <c r="T377" s="6">
        <v>6.96074584637288</v>
      </c>
      <c r="U377" s="6">
        <v>0.901296874440685</v>
      </c>
    </row>
    <row r="378" ht="11.25" customHeight="1">
      <c r="A378" s="2" t="s">
        <v>406</v>
      </c>
      <c r="B378" s="5">
        <v>0.802389082507374</v>
      </c>
      <c r="C378" s="5">
        <v>1.09187453409249</v>
      </c>
      <c r="D378" s="5">
        <v>0.789775869256861</v>
      </c>
      <c r="E378" s="5">
        <v>0.14405995870356</v>
      </c>
      <c r="F378" s="5">
        <v>0.316858883672405</v>
      </c>
      <c r="G378" s="5">
        <v>0.328350998069137</v>
      </c>
      <c r="H378" s="5">
        <v>0.278882263516491</v>
      </c>
      <c r="I378" s="5">
        <v>0.452986233806909</v>
      </c>
      <c r="J378" s="6">
        <v>2.4534236613391</v>
      </c>
      <c r="K378" s="6">
        <v>3.24918925286122</v>
      </c>
      <c r="L378" s="6">
        <v>2.74228937908644</v>
      </c>
      <c r="M378" s="6">
        <v>0.262833503135353</v>
      </c>
      <c r="N378" s="7">
        <v>0.215880893300248</v>
      </c>
      <c r="O378" s="7">
        <v>0.272114040862525</v>
      </c>
      <c r="P378" s="7">
        <v>0.264101431883738</v>
      </c>
      <c r="Q378" s="7">
        <v>0.578977337433094</v>
      </c>
      <c r="R378" s="6">
        <v>5.21461633512845</v>
      </c>
      <c r="S378" s="6">
        <v>7.3461463850599</v>
      </c>
      <c r="T378" s="6">
        <v>6.04394673060858</v>
      </c>
      <c r="U378" s="6">
        <v>0.526806691257923</v>
      </c>
    </row>
    <row r="379" ht="11.25" customHeight="1">
      <c r="A379" s="2" t="s">
        <v>407</v>
      </c>
      <c r="B379" s="5">
        <v>0.658759948343941</v>
      </c>
      <c r="C379" s="5">
        <v>0.903103718224293</v>
      </c>
      <c r="D379" s="5">
        <v>0.702492984714722</v>
      </c>
      <c r="E379" s="5">
        <v>0.28830396902295</v>
      </c>
      <c r="F379" s="5">
        <v>0.290206524278422</v>
      </c>
      <c r="G379" s="5">
        <v>0.26731822674775</v>
      </c>
      <c r="H379" s="5">
        <v>0.234169657555212</v>
      </c>
      <c r="I379" s="5">
        <v>0.40037342232889</v>
      </c>
      <c r="J379" s="6">
        <v>2.18382391615674</v>
      </c>
      <c r="K379" s="6">
        <v>3.28486287264242</v>
      </c>
      <c r="L379" s="6">
        <v>2.89317152268108</v>
      </c>
      <c r="M379" s="6">
        <v>0.65764597333001</v>
      </c>
      <c r="N379" s="7">
        <v>0.174545143916477</v>
      </c>
      <c r="O379" s="7">
        <v>0.152277362338545</v>
      </c>
      <c r="P379" s="7">
        <v>0.157004670110997</v>
      </c>
      <c r="Q379" s="7">
        <v>0.530510065713987</v>
      </c>
      <c r="R379" s="6">
        <v>4.30876017489531</v>
      </c>
      <c r="S379" s="6">
        <v>7.2351608669444</v>
      </c>
      <c r="T379" s="6">
        <v>6.47013110726339</v>
      </c>
      <c r="U379" s="6">
        <v>1.20869423734903</v>
      </c>
    </row>
    <row r="380" ht="11.25" customHeight="1">
      <c r="A380" s="2" t="s">
        <v>408</v>
      </c>
      <c r="B380" s="5">
        <v>0.698804838665717</v>
      </c>
      <c r="C380" s="5">
        <v>0.928006347333474</v>
      </c>
      <c r="D380" s="5">
        <v>0.535183299130088</v>
      </c>
      <c r="E380" s="5">
        <v>0.215255876066077</v>
      </c>
      <c r="F380" s="5">
        <v>0.301945530406058</v>
      </c>
      <c r="G380" s="5">
        <v>0.305948962873035</v>
      </c>
      <c r="H380" s="5">
        <v>0.285777795048661</v>
      </c>
      <c r="I380" s="5">
        <v>0.448462722015778</v>
      </c>
      <c r="J380" s="6">
        <v>2.23154433768097</v>
      </c>
      <c r="K380" s="6">
        <v>2.95149340874938</v>
      </c>
      <c r="L380" s="6">
        <v>1.78524471799222</v>
      </c>
      <c r="M380" s="6">
        <v>0.424240113450016</v>
      </c>
      <c r="N380" s="7">
        <v>0.347826086956521</v>
      </c>
      <c r="O380" s="7">
        <v>0.347826086956521</v>
      </c>
      <c r="P380" s="7">
        <v>0.306223654847507</v>
      </c>
      <c r="Q380" s="7">
        <v>0.712733558317557</v>
      </c>
      <c r="R380" s="6">
        <v>4.536501136784</v>
      </c>
      <c r="S380" s="6">
        <v>6.50676979021079</v>
      </c>
      <c r="T380" s="6">
        <v>3.54668850572793</v>
      </c>
      <c r="U380" s="6">
        <v>0.797701681982885</v>
      </c>
    </row>
    <row r="381" ht="11.25" customHeight="1">
      <c r="A381" s="2" t="s">
        <v>409</v>
      </c>
      <c r="B381" s="5">
        <v>0.906412962857022</v>
      </c>
      <c r="C381" s="5">
        <v>2.03354913891643</v>
      </c>
      <c r="D381" s="5">
        <v>1.20772798016262</v>
      </c>
      <c r="E381" s="5">
        <v>-0.190186731491638</v>
      </c>
      <c r="F381" s="5">
        <v>0.59634888622184</v>
      </c>
      <c r="G381" s="5">
        <v>0.624755662601295</v>
      </c>
      <c r="H381" s="5">
        <v>0.532075517982469</v>
      </c>
      <c r="I381" s="5">
        <v>0.822774700363295</v>
      </c>
      <c r="J381" s="6">
        <v>1.4780156100252</v>
      </c>
      <c r="K381" s="6">
        <v>3.21493546861734</v>
      </c>
      <c r="L381" s="6">
        <v>2.22285735800683</v>
      </c>
      <c r="M381" s="6">
        <v>-0.261537856471063</v>
      </c>
      <c r="N381" s="7">
        <v>0.353257219610476</v>
      </c>
      <c r="O381" s="7">
        <v>0.353257219610476</v>
      </c>
      <c r="P381" s="7">
        <v>0.293591056342575</v>
      </c>
      <c r="Q381" s="7">
        <v>0.784419073203492</v>
      </c>
      <c r="R381" s="6">
        <v>3.08571203753223</v>
      </c>
      <c r="S381" s="6">
        <v>7.39128881265111</v>
      </c>
      <c r="T381" s="6">
        <v>5.37115008007726</v>
      </c>
      <c r="U381" s="6">
        <v>-0.54634993498393</v>
      </c>
    </row>
    <row r="382" ht="11.25" customHeight="1">
      <c r="A382" s="2" t="s">
        <v>410</v>
      </c>
      <c r="B382" s="5">
        <v>0.779368827872803</v>
      </c>
      <c r="C382" s="5">
        <v>1.05474925464132</v>
      </c>
      <c r="D382" s="5">
        <v>1.0025533194793</v>
      </c>
      <c r="E382" s="5">
        <v>0.31123089715432</v>
      </c>
      <c r="F382" s="5">
        <v>0.331203955143126</v>
      </c>
      <c r="G382" s="5">
        <v>0.319882916295611</v>
      </c>
      <c r="H382" s="5">
        <v>0.311223531483192</v>
      </c>
      <c r="I382" s="5">
        <v>0.457491337943075</v>
      </c>
      <c r="J382" s="6">
        <v>2.2776564595879</v>
      </c>
      <c r="K382" s="6">
        <v>3.21914426242666</v>
      </c>
      <c r="L382" s="6">
        <v>3.14100066540791</v>
      </c>
      <c r="M382" s="6">
        <v>0.625653151032852</v>
      </c>
      <c r="N382" s="7">
        <v>0.288016967126192</v>
      </c>
      <c r="O382" s="7">
        <v>0.209944206083336</v>
      </c>
      <c r="P382" s="7">
        <v>0.31666717161867</v>
      </c>
      <c r="Q382" s="7">
        <v>0.612250262881177</v>
      </c>
      <c r="R382" s="6">
        <v>4.99767954756146</v>
      </c>
      <c r="S382" s="6">
        <v>7.82818699687744</v>
      </c>
      <c r="T382" s="6">
        <v>7.18266895999695</v>
      </c>
      <c r="U382" s="6">
        <v>1.25836099081385</v>
      </c>
    </row>
    <row r="383" ht="11.25" customHeight="1">
      <c r="A383" s="2" t="s">
        <v>411</v>
      </c>
      <c r="B383" s="5">
        <v>0.592560389401081</v>
      </c>
      <c r="C383" s="5">
        <v>0.793198347739184</v>
      </c>
      <c r="D383" s="5">
        <v>0.618835490690715</v>
      </c>
      <c r="E383" s="5">
        <v>0.402734094418941</v>
      </c>
      <c r="F383" s="5">
        <v>0.213212982038032</v>
      </c>
      <c r="G383" s="5">
        <v>0.234966400096601</v>
      </c>
      <c r="H383" s="5">
        <v>0.201379120001857</v>
      </c>
      <c r="I383" s="5">
        <v>0.33671450750129</v>
      </c>
      <c r="J383" s="6">
        <v>2.66194105056811</v>
      </c>
      <c r="K383" s="6">
        <v>3.26939659212277</v>
      </c>
      <c r="L383" s="6">
        <v>2.94884340881636</v>
      </c>
      <c r="M383" s="6">
        <v>1.12182304594492</v>
      </c>
      <c r="N383" s="7">
        <v>0.16624251773976</v>
      </c>
      <c r="O383" s="7">
        <v>0.138844458315452</v>
      </c>
      <c r="P383" s="7">
        <v>0.137412473779064</v>
      </c>
      <c r="Q383" s="7">
        <v>0.409972138379382</v>
      </c>
      <c r="R383" s="6">
        <v>5.70702351631879</v>
      </c>
      <c r="S383" s="6">
        <v>7.41828233056931</v>
      </c>
      <c r="T383" s="6">
        <v>6.72427401046019</v>
      </c>
      <c r="U383" s="6">
        <v>2.22851935125902</v>
      </c>
    </row>
    <row r="384" ht="11.25" customHeight="1">
      <c r="A384" s="2" t="s">
        <v>412</v>
      </c>
      <c r="B384" s="5">
        <v>0.437634870145307</v>
      </c>
      <c r="C384" s="5">
        <v>0.539231377418548</v>
      </c>
      <c r="D384" s="5">
        <v>0.508053250349091</v>
      </c>
      <c r="E384" s="5">
        <v>0.185491722864345</v>
      </c>
      <c r="F384" s="5">
        <v>0.176975910140245</v>
      </c>
      <c r="G384" s="5">
        <v>0.186491781570418</v>
      </c>
      <c r="H384" s="5">
        <v>0.204497051740363</v>
      </c>
      <c r="I384" s="5">
        <v>0.278626089823145</v>
      </c>
      <c r="J384" s="6">
        <v>2.33158778400016</v>
      </c>
      <c r="K384" s="6">
        <v>2.75739431029231</v>
      </c>
      <c r="L384" s="6">
        <v>2.36215263857393</v>
      </c>
      <c r="M384" s="6">
        <v>0.57601110852977</v>
      </c>
      <c r="N384" s="7">
        <v>0.11171737627319</v>
      </c>
      <c r="O384" s="7">
        <v>0.12407063197026</v>
      </c>
      <c r="P384" s="7">
        <v>0.416068965517241</v>
      </c>
      <c r="Q384" s="7">
        <v>0.427014955674358</v>
      </c>
      <c r="R384" s="6">
        <v>4.82549343579908</v>
      </c>
      <c r="S384" s="6">
        <v>6.03542724593256</v>
      </c>
      <c r="T384" s="6">
        <v>4.33465447864201</v>
      </c>
      <c r="U384" s="6">
        <v>1.06316147851364</v>
      </c>
    </row>
    <row r="385" ht="11.25" customHeight="1">
      <c r="A385" s="2" t="s">
        <v>413</v>
      </c>
      <c r="B385" s="5">
        <v>0.693968857573736</v>
      </c>
      <c r="C385" s="5">
        <v>0.831351016736369</v>
      </c>
      <c r="D385" s="5">
        <v>0.779907532973017</v>
      </c>
      <c r="E385" s="5">
        <v>0.229999501417997</v>
      </c>
      <c r="F385" s="5">
        <v>0.266187366750983</v>
      </c>
      <c r="G385" s="5">
        <v>0.250617256029274</v>
      </c>
      <c r="H385" s="5">
        <v>0.237456491701803</v>
      </c>
      <c r="I385" s="5">
        <v>0.374554552401522</v>
      </c>
      <c r="J385" s="6">
        <v>2.51315028860687</v>
      </c>
      <c r="K385" s="6">
        <v>3.21746008041114</v>
      </c>
      <c r="L385" s="6">
        <v>3.17914042931715</v>
      </c>
      <c r="M385" s="6">
        <v>0.547315471414264</v>
      </c>
      <c r="N385" s="7">
        <v>0.306979472140762</v>
      </c>
      <c r="O385" s="7">
        <v>0.26099706744868</v>
      </c>
      <c r="P385" s="7">
        <v>0.153090537072573</v>
      </c>
      <c r="Q385" s="7">
        <v>0.614184026644028</v>
      </c>
      <c r="R385" s="6">
        <v>5.43165704893746</v>
      </c>
      <c r="S385" s="6">
        <v>7.4004451963179</v>
      </c>
      <c r="T385" s="6">
        <v>7.30665780382735</v>
      </c>
      <c r="U385" s="6">
        <v>1.07598816885568</v>
      </c>
    </row>
    <row r="386" ht="11.25" customHeight="1">
      <c r="A386" s="2" t="s">
        <v>414</v>
      </c>
      <c r="B386" s="5">
        <v>5.0031347640392</v>
      </c>
      <c r="C386" s="5">
        <v>4.71710857011794</v>
      </c>
      <c r="D386" s="5">
        <v>1.0935864012765</v>
      </c>
      <c r="E386" s="5">
        <v>-0.21450259747097</v>
      </c>
      <c r="F386" s="5">
        <v>1.91572446374388</v>
      </c>
      <c r="G386" s="5">
        <v>1.47037179993545</v>
      </c>
      <c r="H386" s="5">
        <v>1.61939409573416</v>
      </c>
      <c r="I386" s="5">
        <v>2.34266108922584</v>
      </c>
      <c r="J386" s="6">
        <v>2.59856511635837</v>
      </c>
      <c r="K386" s="6">
        <v>3.19110348166628</v>
      </c>
      <c r="L386" s="6">
        <v>0.659868035885391</v>
      </c>
      <c r="M386" s="6">
        <v>-0.102235273626419</v>
      </c>
      <c r="N386" s="7">
        <v>0.617761189891077</v>
      </c>
      <c r="O386" s="7">
        <v>0.488888888888889</v>
      </c>
      <c r="P386" s="7">
        <v>0.927699530516432</v>
      </c>
      <c r="Q386" s="7">
        <v>0.99830641025641</v>
      </c>
      <c r="R386" s="6">
        <v>9.35295037366797</v>
      </c>
      <c r="S386" s="6">
        <v>11.1112234656531</v>
      </c>
      <c r="T386" s="6">
        <v>1.7856516168656</v>
      </c>
      <c r="U386" s="6">
        <v>-0.305600051246035</v>
      </c>
    </row>
    <row r="387" ht="11.25" customHeight="1">
      <c r="A387" s="2" t="s">
        <v>415</v>
      </c>
      <c r="B387" s="5">
        <v>0.685396310083031</v>
      </c>
      <c r="C387" s="5">
        <v>0.88497369097446</v>
      </c>
      <c r="D387" s="5">
        <v>0.70418955155328</v>
      </c>
      <c r="E387" s="5">
        <v>0.209107920652114</v>
      </c>
      <c r="F387" s="5">
        <v>0.271064612165846</v>
      </c>
      <c r="G387" s="5">
        <v>0.260914962815593</v>
      </c>
      <c r="H387" s="5">
        <v>0.289601143224897</v>
      </c>
      <c r="I387" s="5">
        <v>0.400793023167448</v>
      </c>
      <c r="J387" s="6">
        <v>2.43630588591541</v>
      </c>
      <c r="K387" s="6">
        <v>3.29599223323295</v>
      </c>
      <c r="L387" s="6">
        <v>2.34525853037063</v>
      </c>
      <c r="M387" s="6">
        <v>0.459359095617777</v>
      </c>
      <c r="N387" s="7">
        <v>0.229346558469083</v>
      </c>
      <c r="O387" s="7">
        <v>0.115068278860105</v>
      </c>
      <c r="P387" s="7">
        <v>0.405153986413141</v>
      </c>
      <c r="Q387" s="7">
        <v>0.623434360971254</v>
      </c>
      <c r="R387" s="6">
        <v>5.22190918282563</v>
      </c>
      <c r="S387" s="6">
        <v>7.72079748775482</v>
      </c>
      <c r="T387" s="6">
        <v>4.7153613828195</v>
      </c>
      <c r="U387" s="6">
        <v>0.891563555129495</v>
      </c>
    </row>
    <row r="388" ht="11.25" customHeight="1">
      <c r="A388" s="2" t="s">
        <v>416</v>
      </c>
      <c r="B388" s="5">
        <v>0.343927238021229</v>
      </c>
      <c r="C388" s="5">
        <v>0.450894506277841</v>
      </c>
      <c r="D388" s="5">
        <v>0.461129830146432</v>
      </c>
      <c r="E388" s="5">
        <v>0.17912555730419</v>
      </c>
      <c r="F388" s="5">
        <v>0.139171047226068</v>
      </c>
      <c r="G388" s="5">
        <v>0.162141433829778</v>
      </c>
      <c r="H388" s="5">
        <v>0.145305936895391</v>
      </c>
      <c r="I388" s="5">
        <v>0.228320076540212</v>
      </c>
      <c r="J388" s="6">
        <v>2.29162059478626</v>
      </c>
      <c r="K388" s="6">
        <v>2.62668521067205</v>
      </c>
      <c r="L388" s="6">
        <v>3.00145912455325</v>
      </c>
      <c r="M388" s="6">
        <v>0.675041632955327</v>
      </c>
      <c r="N388" s="7">
        <v>0.0979456586261333</v>
      </c>
      <c r="O388" s="7">
        <v>0.0614329972814523</v>
      </c>
      <c r="P388" s="7">
        <v>0.119606680678822</v>
      </c>
      <c r="Q388" s="7">
        <v>0.38005878363102</v>
      </c>
      <c r="R388" s="6">
        <v>5.13229408052399</v>
      </c>
      <c r="S388" s="6">
        <v>6.74143942153248</v>
      </c>
      <c r="T388" s="6">
        <v>6.82990574892371</v>
      </c>
      <c r="U388" s="6">
        <v>1.31514507030221</v>
      </c>
    </row>
    <row r="389" ht="11.25" customHeight="1">
      <c r="A389" s="2" t="s">
        <v>417</v>
      </c>
      <c r="B389" s="5">
        <v>0.420606726578549</v>
      </c>
      <c r="C389" s="5">
        <v>0.746528444685906</v>
      </c>
      <c r="D389" s="5">
        <v>0.488260908105258</v>
      </c>
      <c r="E389" s="5">
        <v>0.0589033332811412</v>
      </c>
      <c r="F389" s="5">
        <v>0.19647373960837</v>
      </c>
      <c r="G389" s="5">
        <v>0.192901081241329</v>
      </c>
      <c r="H389" s="5">
        <v>0.208737589768329</v>
      </c>
      <c r="I389" s="5">
        <v>0.290921735813171</v>
      </c>
      <c r="J389" s="6">
        <v>2.01353487426416</v>
      </c>
      <c r="K389" s="6">
        <v>3.7404064302949</v>
      </c>
      <c r="L389" s="6">
        <v>2.21934587162482</v>
      </c>
      <c r="M389" s="6">
        <v>0.116537642628785</v>
      </c>
      <c r="N389" s="7">
        <v>0.128896478242272</v>
      </c>
      <c r="O389" s="7">
        <v>0.0847035382032472</v>
      </c>
      <c r="P389" s="7">
        <v>0.313103972068168</v>
      </c>
      <c r="Q389" s="7">
        <v>0.445910290237467</v>
      </c>
      <c r="R389" s="6">
        <v>4.26088885942757</v>
      </c>
      <c r="S389" s="6">
        <v>8.79801335617028</v>
      </c>
      <c r="T389" s="6">
        <v>4.37887123991401</v>
      </c>
      <c r="U389" s="6">
        <v>0.22752641900858</v>
      </c>
    </row>
    <row r="390" ht="11.25" customHeight="1">
      <c r="A390" s="2" t="s">
        <v>418</v>
      </c>
      <c r="B390" s="5">
        <v>0.728599157752479</v>
      </c>
      <c r="C390" s="5">
        <v>0.857561324891131</v>
      </c>
      <c r="D390" s="5">
        <v>0.658696114515224</v>
      </c>
      <c r="E390" s="5">
        <v>0.230154158318698</v>
      </c>
      <c r="F390" s="5">
        <v>0.257077491792948</v>
      </c>
      <c r="G390" s="5">
        <v>0.261169315638324</v>
      </c>
      <c r="H390" s="5">
        <v>0.225284553107823</v>
      </c>
      <c r="I390" s="5">
        <v>0.383020440951736</v>
      </c>
      <c r="J390" s="6">
        <v>2.73691466664519</v>
      </c>
      <c r="K390" s="6">
        <v>3.18782213314863</v>
      </c>
      <c r="L390" s="6">
        <v>2.81286979410403</v>
      </c>
      <c r="M390" s="6">
        <v>0.535621957431118</v>
      </c>
      <c r="N390" s="7">
        <v>0.170760697305863</v>
      </c>
      <c r="O390" s="7">
        <v>0.170760697305863</v>
      </c>
      <c r="P390" s="7">
        <v>0.164376030786146</v>
      </c>
      <c r="Q390" s="7">
        <v>0.498516320474777</v>
      </c>
      <c r="R390" s="6">
        <v>6.23730035816867</v>
      </c>
      <c r="S390" s="6">
        <v>7.57622594756017</v>
      </c>
      <c r="T390" s="6">
        <v>6.19635939565471</v>
      </c>
      <c r="U390" s="6">
        <v>1.03488185843021</v>
      </c>
    </row>
    <row r="391" ht="11.25" customHeight="1">
      <c r="A391" s="2" t="s">
        <v>419</v>
      </c>
      <c r="B391" s="5">
        <v>0.468676045540781</v>
      </c>
      <c r="C391" s="5">
        <v>0.633176643838039</v>
      </c>
      <c r="D391" s="5">
        <v>0.745305020930462</v>
      </c>
      <c r="E391" s="5">
        <v>0.150633178450723</v>
      </c>
      <c r="F391" s="5">
        <v>0.212992181465535</v>
      </c>
      <c r="G391" s="5">
        <v>0.210460435055444</v>
      </c>
      <c r="H391" s="5">
        <v>0.219188869857958</v>
      </c>
      <c r="I391" s="5">
        <v>0.326176918247571</v>
      </c>
      <c r="J391" s="6">
        <v>2.08306259172509</v>
      </c>
      <c r="K391" s="6">
        <v>2.88974335569447</v>
      </c>
      <c r="L391" s="6">
        <v>3.28622991394246</v>
      </c>
      <c r="M391" s="6">
        <v>0.385168819196969</v>
      </c>
      <c r="N391" s="7">
        <v>0.119818501357534</v>
      </c>
      <c r="O391" s="7">
        <v>0.0919274864538463</v>
      </c>
      <c r="P391" s="7">
        <v>0.170072417007241</v>
      </c>
      <c r="Q391" s="7">
        <v>0.55415036045314</v>
      </c>
      <c r="R391" s="6">
        <v>4.43010889498482</v>
      </c>
      <c r="S391" s="6">
        <v>6.72696080708292</v>
      </c>
      <c r="T391" s="6">
        <v>7.74640556566631</v>
      </c>
      <c r="U391" s="6">
        <v>0.737672695347658</v>
      </c>
    </row>
    <row r="392" ht="11.25" customHeight="1">
      <c r="A392" s="2" t="s">
        <v>420</v>
      </c>
      <c r="B392" s="5">
        <v>0.697086105317389</v>
      </c>
      <c r="C392" s="5">
        <v>0.927890208102901</v>
      </c>
      <c r="D392" s="5">
        <v>0.458059679424816</v>
      </c>
      <c r="E392" s="5">
        <v>0.386236626194738</v>
      </c>
      <c r="F392" s="5">
        <v>0.22340799467773</v>
      </c>
      <c r="G392" s="5">
        <v>0.236729636221451</v>
      </c>
      <c r="H392" s="5">
        <v>0.263998312015646</v>
      </c>
      <c r="I392" s="5">
        <v>0.35181387509118</v>
      </c>
      <c r="J392" s="6">
        <v>3.00833507004476</v>
      </c>
      <c r="K392" s="6">
        <v>3.81401425911152</v>
      </c>
      <c r="L392" s="6">
        <v>1.64038806202348</v>
      </c>
      <c r="M392" s="6">
        <v>1.0267833413367</v>
      </c>
      <c r="N392" s="7">
        <v>0.119377702491864</v>
      </c>
      <c r="O392" s="7">
        <v>0.119377702491864</v>
      </c>
      <c r="P392" s="7">
        <v>0.387602937903405</v>
      </c>
      <c r="Q392" s="7">
        <v>0.421366233220006</v>
      </c>
      <c r="R392" s="6">
        <v>6.59449396190621</v>
      </c>
      <c r="S392" s="6">
        <v>8.91618214891334</v>
      </c>
      <c r="T392" s="6">
        <v>3.04710655373035</v>
      </c>
      <c r="U392" s="6">
        <v>1.97649515360518</v>
      </c>
    </row>
    <row r="393" ht="11.25" customHeight="1">
      <c r="A393" s="2" t="s">
        <v>421</v>
      </c>
      <c r="B393" s="5">
        <v>0.389517749796138</v>
      </c>
      <c r="C393" s="5">
        <v>0.489963110209428</v>
      </c>
      <c r="D393" s="5">
        <v>0.458966340540203</v>
      </c>
      <c r="E393" s="5">
        <v>0.166320260260845</v>
      </c>
      <c r="F393" s="5">
        <v>0.155729782251684</v>
      </c>
      <c r="G393" s="5">
        <v>0.169144490202667</v>
      </c>
      <c r="H393" s="5">
        <v>0.177162762065576</v>
      </c>
      <c r="I393" s="5">
        <v>0.244002946216164</v>
      </c>
      <c r="J393" s="6">
        <v>2.34070673268533</v>
      </c>
      <c r="K393" s="6">
        <v>2.74891076648321</v>
      </c>
      <c r="L393" s="6">
        <v>2.4495347412769</v>
      </c>
      <c r="M393" s="6">
        <v>0.579174401179764</v>
      </c>
      <c r="N393" s="7">
        <v>0.0897911832946636</v>
      </c>
      <c r="O393" s="7">
        <v>0.0816363969913771</v>
      </c>
      <c r="P393" s="7">
        <v>0.277193587312532</v>
      </c>
      <c r="Q393" s="7">
        <v>0.297419571045576</v>
      </c>
      <c r="R393" s="6">
        <v>5.17576833157088</v>
      </c>
      <c r="S393" s="6">
        <v>6.72716893832443</v>
      </c>
      <c r="T393" s="6">
        <v>5.13367253891788</v>
      </c>
      <c r="U393" s="6">
        <v>1.1658237145458</v>
      </c>
    </row>
    <row r="394" ht="11.25" customHeight="1">
      <c r="A394" s="2" t="s">
        <v>422</v>
      </c>
      <c r="B394" s="5">
        <v>0.417489015575919</v>
      </c>
      <c r="C394" s="5">
        <v>0.489608353226297</v>
      </c>
      <c r="D394" s="5">
        <v>0.363268512870493</v>
      </c>
      <c r="E394" s="5">
        <v>0.141743243388594</v>
      </c>
      <c r="F394" s="5">
        <v>0.178461998931068</v>
      </c>
      <c r="G394" s="5">
        <v>0.183767720061777</v>
      </c>
      <c r="H394" s="5">
        <v>0.206318825378213</v>
      </c>
      <c r="I394" s="5">
        <v>0.268623348968427</v>
      </c>
      <c r="J394" s="6">
        <v>2.19928622298756</v>
      </c>
      <c r="K394" s="6">
        <v>2.52823702155149</v>
      </c>
      <c r="L394" s="6">
        <v>1.63954264595291</v>
      </c>
      <c r="M394" s="6">
        <v>0.434598272402283</v>
      </c>
      <c r="N394" s="7">
        <v>0.0862574687669745</v>
      </c>
      <c r="O394" s="7">
        <v>0.097261201974257</v>
      </c>
      <c r="P394" s="7">
        <v>0.398845836768342</v>
      </c>
      <c r="Q394" s="7">
        <v>0.398845836768343</v>
      </c>
      <c r="R394" s="6">
        <v>4.74307915147295</v>
      </c>
      <c r="S394" s="6">
        <v>5.74797639420005</v>
      </c>
      <c r="T394" s="6">
        <v>3.15835701609705</v>
      </c>
      <c r="U394" s="6">
        <v>0.828592219462364</v>
      </c>
    </row>
    <row r="395" ht="11.25" customHeight="1">
      <c r="A395" s="2" t="s">
        <v>423</v>
      </c>
      <c r="B395" s="5">
        <v>1.40319670700716</v>
      </c>
      <c r="C395" s="5">
        <v>1.7939897167677</v>
      </c>
      <c r="D395" s="5">
        <v>1.14978974366306</v>
      </c>
      <c r="E395" s="5">
        <v>0.565203437146775</v>
      </c>
      <c r="F395" s="5">
        <v>0.392161624096135</v>
      </c>
      <c r="G395" s="5">
        <v>0.397063189938667</v>
      </c>
      <c r="H395" s="5">
        <v>0.36703249782867</v>
      </c>
      <c r="I395" s="5">
        <v>0.537463378319529</v>
      </c>
      <c r="J395" s="6">
        <v>3.51435893347206</v>
      </c>
      <c r="K395" s="6">
        <v>4.45518436760898</v>
      </c>
      <c r="L395" s="6">
        <v>3.06455082402026</v>
      </c>
      <c r="M395" s="6">
        <v>1.00509813121744</v>
      </c>
      <c r="N395" s="7">
        <v>0.223020543040889</v>
      </c>
      <c r="O395" s="7">
        <v>0.155904297087444</v>
      </c>
      <c r="P395" s="7">
        <v>0.49074199457221</v>
      </c>
      <c r="Q395" s="7">
        <v>0.462798264642082</v>
      </c>
      <c r="R395" s="6">
        <v>8.79837930551111</v>
      </c>
      <c r="S395" s="6">
        <v>11.8408092244708</v>
      </c>
      <c r="T395" s="6">
        <v>6.99306084282618</v>
      </c>
      <c r="U395" s="6">
        <v>2.15735305339136</v>
      </c>
    </row>
    <row r="396" ht="11.25" customHeight="1">
      <c r="A396" s="2" t="s">
        <v>424</v>
      </c>
      <c r="B396" s="5">
        <v>0.525687670573702</v>
      </c>
      <c r="C396" s="5">
        <v>0.781645948749853</v>
      </c>
      <c r="D396" s="5">
        <v>0.714209136903784</v>
      </c>
      <c r="E396" s="5">
        <v>0.0722057284292414</v>
      </c>
      <c r="F396" s="5">
        <v>0.250503363166006</v>
      </c>
      <c r="G396" s="5">
        <v>0.244714269311062</v>
      </c>
      <c r="H396" s="5">
        <v>0.262885162248146</v>
      </c>
      <c r="I396" s="5">
        <v>0.388462521132166</v>
      </c>
      <c r="J396" s="6">
        <v>1.99872634141802</v>
      </c>
      <c r="K396" s="6">
        <v>3.0919567987597</v>
      </c>
      <c r="L396" s="6">
        <v>2.62171181899272</v>
      </c>
      <c r="M396" s="6">
        <v>0.121519389545383</v>
      </c>
      <c r="N396" s="7">
        <v>0.203037307543261</v>
      </c>
      <c r="O396" s="7">
        <v>0.147863510605594</v>
      </c>
      <c r="P396" s="7">
        <v>0.358647249806196</v>
      </c>
      <c r="Q396" s="7">
        <v>0.577785752736408</v>
      </c>
      <c r="R396" s="6">
        <v>4.12236475179125</v>
      </c>
      <c r="S396" s="6">
        <v>7.09043878741988</v>
      </c>
      <c r="T396" s="6">
        <v>5.2942818163125</v>
      </c>
      <c r="U396" s="6">
        <v>0.230156340184927</v>
      </c>
    </row>
    <row r="397" ht="11.25" customHeight="1">
      <c r="A397" s="2" t="s">
        <v>425</v>
      </c>
      <c r="B397" s="5">
        <v>0.996901097406348</v>
      </c>
      <c r="C397" s="5">
        <v>1.3011025665633</v>
      </c>
      <c r="D397" s="5">
        <v>1.24958821064222</v>
      </c>
      <c r="E397" s="5">
        <v>0.1702337340513</v>
      </c>
      <c r="F397" s="5">
        <v>0.363192892324343</v>
      </c>
      <c r="G397" s="5">
        <v>0.3718797476936</v>
      </c>
      <c r="H397" s="5">
        <v>0.36202752209644</v>
      </c>
      <c r="I397" s="5">
        <v>0.554187328517089</v>
      </c>
      <c r="J397" s="6">
        <v>2.6759915129022</v>
      </c>
      <c r="K397" s="6">
        <v>3.43149250390131</v>
      </c>
      <c r="L397" s="6">
        <v>3.38258319022497</v>
      </c>
      <c r="M397" s="6">
        <v>0.262066140053979</v>
      </c>
      <c r="N397" s="7">
        <v>0.254801448551448</v>
      </c>
      <c r="O397" s="7">
        <v>0.213382899628252</v>
      </c>
      <c r="P397" s="7">
        <v>0.257902298850574</v>
      </c>
      <c r="Q397" s="7">
        <v>0.812253484091506</v>
      </c>
      <c r="R397" s="6">
        <v>5.94417256997349</v>
      </c>
      <c r="S397" s="6">
        <v>8.1352751989228</v>
      </c>
      <c r="T397" s="6">
        <v>7.86508349743476</v>
      </c>
      <c r="U397" s="6">
        <v>0.51632094760233</v>
      </c>
    </row>
    <row r="398" ht="11.25" customHeight="1">
      <c r="A398" s="2" t="s">
        <v>426</v>
      </c>
      <c r="B398" s="5">
        <v>1.81100884778928</v>
      </c>
      <c r="C398" s="5">
        <v>3.06720737737656</v>
      </c>
      <c r="D398" s="5">
        <v>1.65493746940479</v>
      </c>
      <c r="E398" s="5">
        <v>0.0790150481737554</v>
      </c>
      <c r="F398" s="5">
        <v>0.576572611885093</v>
      </c>
      <c r="G398" s="5">
        <v>0.601481907776581</v>
      </c>
      <c r="H398" s="5">
        <v>0.635151346698599</v>
      </c>
      <c r="I398" s="5">
        <v>0.859144238459571</v>
      </c>
      <c r="J398" s="6">
        <v>3.09763039550207</v>
      </c>
      <c r="K398" s="6">
        <v>5.05785350821655</v>
      </c>
      <c r="L398" s="6">
        <v>2.56621902461029</v>
      </c>
      <c r="M398" s="6">
        <v>0.0628707564524943</v>
      </c>
      <c r="N398" s="7">
        <v>0.376332608991671</v>
      </c>
      <c r="O398" s="7">
        <v>0.488758992805755</v>
      </c>
      <c r="P398" s="7">
        <v>0.748256681493802</v>
      </c>
      <c r="Q398" s="7">
        <v>0.933003597122302</v>
      </c>
      <c r="R398" s="6">
        <v>7.58741143445128</v>
      </c>
      <c r="S398" s="6">
        <v>13.217278613026</v>
      </c>
      <c r="T398" s="6">
        <v>5.33173537392413</v>
      </c>
      <c r="U398" s="6">
        <v>0.12483233391531</v>
      </c>
    </row>
    <row r="399" ht="11.25" customHeight="1">
      <c r="A399" s="2" t="s">
        <v>427</v>
      </c>
      <c r="B399" s="5">
        <v>0.636069462169235</v>
      </c>
      <c r="C399" s="5">
        <v>0.956122790699189</v>
      </c>
      <c r="D399" s="5">
        <v>0.828359059534779</v>
      </c>
      <c r="E399" s="5">
        <v>0.199360361993337</v>
      </c>
      <c r="F399" s="5">
        <v>0.286192090984371</v>
      </c>
      <c r="G399" s="5">
        <v>0.297593817929885</v>
      </c>
      <c r="H399" s="5">
        <v>0.333471694079436</v>
      </c>
      <c r="I399" s="5">
        <v>0.440527906672001</v>
      </c>
      <c r="J399" s="6">
        <v>2.13517242935481</v>
      </c>
      <c r="K399" s="6">
        <v>3.12883781382369</v>
      </c>
      <c r="L399" s="6">
        <v>2.40907721344232</v>
      </c>
      <c r="M399" s="6">
        <v>0.395798675526722</v>
      </c>
      <c r="N399" s="7">
        <v>0.306194356617009</v>
      </c>
      <c r="O399" s="7">
        <v>0.219918925353251</v>
      </c>
      <c r="P399" s="7">
        <v>0.574865922597477</v>
      </c>
      <c r="Q399" s="7">
        <v>0.794045361983006</v>
      </c>
      <c r="R399" s="6">
        <v>4.58474401860297</v>
      </c>
      <c r="S399" s="6">
        <v>7.17407566005355</v>
      </c>
      <c r="T399" s="6">
        <v>4.7500501158392</v>
      </c>
      <c r="U399" s="6">
        <v>0.743184314557076</v>
      </c>
    </row>
    <row r="400" ht="11.25" customHeight="1">
      <c r="A400" s="2" t="s">
        <v>428</v>
      </c>
      <c r="B400" s="5">
        <v>0.406779624390815</v>
      </c>
      <c r="C400" s="5">
        <v>0.485785467333241</v>
      </c>
      <c r="D400" s="5">
        <v>0.528839015728809</v>
      </c>
      <c r="E400" s="5">
        <v>0.211185478254669</v>
      </c>
      <c r="F400" s="5">
        <v>0.158462750021064</v>
      </c>
      <c r="G400" s="5">
        <v>0.166791667501261</v>
      </c>
      <c r="H400" s="5">
        <v>0.149736372083314</v>
      </c>
      <c r="I400" s="5">
        <v>0.238776515856672</v>
      </c>
      <c r="J400" s="6">
        <v>2.40927047107326</v>
      </c>
      <c r="K400" s="6">
        <v>2.76264080955816</v>
      </c>
      <c r="L400" s="6">
        <v>3.36484054420972</v>
      </c>
      <c r="M400" s="6">
        <v>0.779747864176177</v>
      </c>
      <c r="N400" s="7">
        <v>0.155046661806761</v>
      </c>
      <c r="O400" s="7">
        <v>0.116925476848897</v>
      </c>
      <c r="P400" s="7">
        <v>0.137267145384535</v>
      </c>
      <c r="Q400" s="7">
        <v>0.341147189905655</v>
      </c>
      <c r="R400" s="6">
        <v>5.12620079564889</v>
      </c>
      <c r="S400" s="6">
        <v>6.38062217875421</v>
      </c>
      <c r="T400" s="6">
        <v>7.72565662522172</v>
      </c>
      <c r="U400" s="6">
        <v>1.47943693964545</v>
      </c>
    </row>
    <row r="401" ht="11.25" customHeight="1">
      <c r="A401" s="2" t="s">
        <v>429</v>
      </c>
      <c r="B401" s="5">
        <v>0.94239691045617</v>
      </c>
      <c r="C401" s="5">
        <v>1.17985737741473</v>
      </c>
      <c r="D401" s="5">
        <v>1.10921693598363</v>
      </c>
      <c r="E401" s="5">
        <v>0.541447527640837</v>
      </c>
      <c r="F401" s="5">
        <v>0.265990395214804</v>
      </c>
      <c r="G401" s="5">
        <v>0.284346379002297</v>
      </c>
      <c r="H401" s="5">
        <v>0.247133513468247</v>
      </c>
      <c r="I401" s="5">
        <v>0.388320432996535</v>
      </c>
      <c r="J401" s="6">
        <v>3.44898510232038</v>
      </c>
      <c r="K401" s="6">
        <v>4.06144569685344</v>
      </c>
      <c r="L401" s="6">
        <v>4.38717080806983</v>
      </c>
      <c r="M401" s="6">
        <v>1.32995197717408</v>
      </c>
      <c r="N401" s="7">
        <v>0.166344396471803</v>
      </c>
      <c r="O401" s="7">
        <v>0.11155653154105</v>
      </c>
      <c r="P401" s="7">
        <v>0.15476302159798</v>
      </c>
      <c r="Q401" s="7">
        <v>0.32925608011445</v>
      </c>
      <c r="R401" s="6">
        <v>7.58735846050371</v>
      </c>
      <c r="S401" s="6">
        <v>9.41357698182822</v>
      </c>
      <c r="T401" s="6">
        <v>10.4387436947171</v>
      </c>
      <c r="U401" s="6">
        <v>2.69080630200267</v>
      </c>
    </row>
    <row r="402" ht="11.25" customHeight="1">
      <c r="A402" s="2" t="s">
        <v>430</v>
      </c>
      <c r="B402" s="5">
        <v>0.689805122070302</v>
      </c>
      <c r="C402" s="5">
        <v>0.76306813197949</v>
      </c>
      <c r="D402" s="5">
        <v>0.590811932347913</v>
      </c>
      <c r="E402" s="5">
        <v>0.195867163185839</v>
      </c>
      <c r="F402" s="5">
        <v>0.265191607130262</v>
      </c>
      <c r="G402" s="5">
        <v>0.257857303805123</v>
      </c>
      <c r="H402" s="5">
        <v>0.27173372994324</v>
      </c>
      <c r="I402" s="5">
        <v>0.377803678889016</v>
      </c>
      <c r="J402" s="6">
        <v>2.50688598053462</v>
      </c>
      <c r="K402" s="6">
        <v>2.86231229865526</v>
      </c>
      <c r="L402" s="6">
        <v>2.08222929286732</v>
      </c>
      <c r="M402" s="6">
        <v>0.452264423915346</v>
      </c>
      <c r="N402" s="7">
        <v>0.162090227565097</v>
      </c>
      <c r="O402" s="7">
        <v>0.16187136750084</v>
      </c>
      <c r="P402" s="7">
        <v>0.429792284866468</v>
      </c>
      <c r="Q402" s="7">
        <v>0.484623086825918</v>
      </c>
      <c r="R402" s="6">
        <v>5.5326279498393</v>
      </c>
      <c r="S402" s="6">
        <v>6.65365470505351</v>
      </c>
      <c r="T402" s="6">
        <v>4.27352635273419</v>
      </c>
      <c r="U402" s="6">
        <v>0.910568648793629</v>
      </c>
    </row>
    <row r="403" ht="11.25" customHeight="1">
      <c r="A403" s="2" t="s">
        <v>431</v>
      </c>
      <c r="B403" s="5">
        <v>0.422584311697268</v>
      </c>
      <c r="C403" s="5">
        <v>0.477862723583879</v>
      </c>
      <c r="D403" s="5">
        <v>0.481876912151953</v>
      </c>
      <c r="E403" s="5">
        <v>0.2612212904813</v>
      </c>
      <c r="F403" s="5">
        <v>0.144032247646445</v>
      </c>
      <c r="G403" s="5">
        <v>0.149801651299619</v>
      </c>
      <c r="H403" s="5">
        <v>0.150871846299598</v>
      </c>
      <c r="I403" s="5">
        <v>0.238780019965184</v>
      </c>
      <c r="J403" s="6">
        <v>2.76038399868073</v>
      </c>
      <c r="K403" s="6">
        <v>3.02308232022158</v>
      </c>
      <c r="L403" s="6">
        <v>3.02824498644163</v>
      </c>
      <c r="M403" s="6">
        <v>0.989284155834073</v>
      </c>
      <c r="N403" s="7">
        <v>0.107761027359017</v>
      </c>
      <c r="O403" s="7">
        <v>0.0698762939301469</v>
      </c>
      <c r="P403" s="7">
        <v>0.127795329515444</v>
      </c>
      <c r="Q403" s="7">
        <v>0.357974047718711</v>
      </c>
      <c r="R403" s="6">
        <v>6.25289601032078</v>
      </c>
      <c r="S403" s="6">
        <v>7.017972595184</v>
      </c>
      <c r="T403" s="6">
        <v>6.73207094370237</v>
      </c>
      <c r="U403" s="6">
        <v>1.93864591719553</v>
      </c>
    </row>
    <row r="404" ht="11.25" customHeight="1">
      <c r="A404" s="2" t="s">
        <v>432</v>
      </c>
      <c r="B404" s="5">
        <v>0.388913432008898</v>
      </c>
      <c r="C404" s="5">
        <v>0.509367246068926</v>
      </c>
      <c r="D404" s="5">
        <v>0.468953046623903</v>
      </c>
      <c r="E404" s="5">
        <v>0.118282712880694</v>
      </c>
      <c r="F404" s="5">
        <v>0.181577197742471</v>
      </c>
      <c r="G404" s="5">
        <v>0.160446520100618</v>
      </c>
      <c r="H404" s="5">
        <v>0.184287296060069</v>
      </c>
      <c r="I404" s="5">
        <v>0.258501582595663</v>
      </c>
      <c r="J404" s="6">
        <v>2.00418024142564</v>
      </c>
      <c r="K404" s="6">
        <v>3.01887037353737</v>
      </c>
      <c r="L404" s="6">
        <v>2.40902686248754</v>
      </c>
      <c r="M404" s="6">
        <v>0.360859349269837</v>
      </c>
      <c r="N404" s="7">
        <v>0.188920639044031</v>
      </c>
      <c r="O404" s="7">
        <v>0.0728944397142332</v>
      </c>
      <c r="P404" s="7">
        <v>0.28040293040293</v>
      </c>
      <c r="Q404" s="7">
        <v>0.54425240691335</v>
      </c>
      <c r="R404" s="6">
        <v>3.94628716462261</v>
      </c>
      <c r="S404" s="6">
        <v>6.75256827024592</v>
      </c>
      <c r="T404" s="6">
        <v>4.78129285468232</v>
      </c>
      <c r="U404" s="6">
        <v>0.662287568840991</v>
      </c>
    </row>
    <row r="405" ht="11.25" customHeight="1">
      <c r="A405" s="2" t="s">
        <v>433</v>
      </c>
      <c r="B405" s="5">
        <v>0.794719260671682</v>
      </c>
      <c r="C405" s="5">
        <v>0.988467836502938</v>
      </c>
      <c r="D405" s="5">
        <v>0.64766447107569</v>
      </c>
      <c r="E405" s="5">
        <v>0.386480776731619</v>
      </c>
      <c r="F405" s="5">
        <v>0.263589580513022</v>
      </c>
      <c r="G405" s="5">
        <v>0.280085247725966</v>
      </c>
      <c r="H405" s="5">
        <v>0.288007665702164</v>
      </c>
      <c r="I405" s="5">
        <v>0.390331150412645</v>
      </c>
      <c r="J405" s="6">
        <v>2.92014297064999</v>
      </c>
      <c r="K405" s="6">
        <v>3.43990925736148</v>
      </c>
      <c r="L405" s="6">
        <v>2.16197186820577</v>
      </c>
      <c r="M405" s="6">
        <v>0.92608744228964</v>
      </c>
      <c r="N405" s="7">
        <v>0.100952273116766</v>
      </c>
      <c r="O405" s="7">
        <v>0.103924847471739</v>
      </c>
      <c r="P405" s="7">
        <v>0.321848720417628</v>
      </c>
      <c r="Q405" s="7">
        <v>0.478149743584531</v>
      </c>
      <c r="R405" s="6">
        <v>8.01798318792966</v>
      </c>
      <c r="S405" s="6">
        <v>9.73353738858781</v>
      </c>
      <c r="T405" s="6">
        <v>4.98350688549045</v>
      </c>
      <c r="U405" s="6">
        <v>1.94426863340427</v>
      </c>
    </row>
    <row r="406" ht="11.25" customHeight="1">
      <c r="A406" s="2" t="s">
        <v>434</v>
      </c>
      <c r="B406" s="5">
        <v>0.439922894171824</v>
      </c>
      <c r="C406" s="5">
        <v>0.562998388840303</v>
      </c>
      <c r="D406" s="5">
        <v>0.377463592737472</v>
      </c>
      <c r="E406" s="5">
        <v>0.114752487685817</v>
      </c>
      <c r="F406" s="5">
        <v>0.175986293195347</v>
      </c>
      <c r="G406" s="5">
        <v>0.160986745749778</v>
      </c>
      <c r="H406" s="5">
        <v>0.170327951064423</v>
      </c>
      <c r="I406" s="5">
        <v>0.24533308885418</v>
      </c>
      <c r="J406" s="6">
        <v>2.35770006082947</v>
      </c>
      <c r="K406" s="6">
        <v>3.34188001834955</v>
      </c>
      <c r="L406" s="6">
        <v>2.0693232704018</v>
      </c>
      <c r="M406" s="6">
        <v>0.365839308937098</v>
      </c>
      <c r="N406" s="7">
        <v>0.285681766446619</v>
      </c>
      <c r="O406" s="7">
        <v>0.105454371959288</v>
      </c>
      <c r="P406" s="7">
        <v>0.321754833970237</v>
      </c>
      <c r="Q406" s="7">
        <v>0.596190966413589</v>
      </c>
      <c r="R406" s="6">
        <v>4.56101209216049</v>
      </c>
      <c r="S406" s="6">
        <v>7.20574890159206</v>
      </c>
      <c r="T406" s="6">
        <v>3.80770173365602</v>
      </c>
      <c r="U406" s="6">
        <v>0.66884281815943</v>
      </c>
    </row>
    <row r="407" ht="11.25" customHeight="1">
      <c r="A407" s="2" t="s">
        <v>435</v>
      </c>
      <c r="B407" s="5">
        <v>0.62892894241535</v>
      </c>
      <c r="C407" s="5">
        <v>0.990411640891988</v>
      </c>
      <c r="D407" s="5">
        <v>0.650191563372578</v>
      </c>
      <c r="E407" s="5">
        <v>-0.078830899262018</v>
      </c>
      <c r="F407" s="5">
        <v>0.328099757335055</v>
      </c>
      <c r="G407" s="5">
        <v>0.316010632592357</v>
      </c>
      <c r="H407" s="5">
        <v>0.328833908824225</v>
      </c>
      <c r="I407" s="5">
        <v>0.489719149709432</v>
      </c>
      <c r="J407" s="6">
        <v>1.84068695240947</v>
      </c>
      <c r="K407" s="6">
        <v>3.0549973365527</v>
      </c>
      <c r="L407" s="6">
        <v>1.90123812233357</v>
      </c>
      <c r="M407" s="6">
        <v>-0.212021317368586</v>
      </c>
      <c r="N407" s="7">
        <v>0.167309175019275</v>
      </c>
      <c r="O407" s="7">
        <v>0.167309175019275</v>
      </c>
      <c r="P407" s="7">
        <v>0.400683958695599</v>
      </c>
      <c r="Q407" s="7">
        <v>0.921289018639119</v>
      </c>
      <c r="R407" s="6">
        <v>3.89940709699339</v>
      </c>
      <c r="S407" s="6">
        <v>6.98858430791165</v>
      </c>
      <c r="T407" s="6">
        <v>3.93938924397255</v>
      </c>
      <c r="U407" s="6">
        <v>-0.405988435263754</v>
      </c>
    </row>
    <row r="408" ht="11.25" customHeight="1">
      <c r="A408" s="2" t="s">
        <v>436</v>
      </c>
      <c r="B408" s="5">
        <v>12.5061725056783</v>
      </c>
      <c r="C408" s="5">
        <v>9.28742379441701</v>
      </c>
      <c r="D408" s="5">
        <v>6.27657532440935</v>
      </c>
      <c r="E408" s="5">
        <v>4.41887838851153</v>
      </c>
      <c r="F408" s="5">
        <v>0.753038330809289</v>
      </c>
      <c r="G408" s="5">
        <v>0.812643500787339</v>
      </c>
      <c r="H408" s="5">
        <v>0.950926848858005</v>
      </c>
      <c r="I408" s="5">
        <v>1.00481016182546</v>
      </c>
      <c r="J408" s="6">
        <v>16.5744185853923</v>
      </c>
      <c r="K408" s="6">
        <v>11.397893154185</v>
      </c>
      <c r="L408" s="6">
        <v>6.57419162359023</v>
      </c>
      <c r="M408" s="6">
        <v>4.37284429979195</v>
      </c>
      <c r="N408" s="7">
        <v>0.218413978494623</v>
      </c>
      <c r="O408" s="7">
        <v>0.171521035598705</v>
      </c>
      <c r="P408" s="7">
        <v>0.464883670363122</v>
      </c>
      <c r="Q408" s="7">
        <v>0.502224919093851</v>
      </c>
      <c r="R408" s="6">
        <v>49.4531708146783</v>
      </c>
      <c r="S408" s="6">
        <v>33.1549080829505</v>
      </c>
      <c r="T408" s="6">
        <v>16.6877796803979</v>
      </c>
      <c r="U408" s="6">
        <v>10.9284342509916</v>
      </c>
    </row>
    <row r="409" ht="11.25" customHeight="1">
      <c r="A409" s="2" t="s">
        <v>437</v>
      </c>
      <c r="B409" s="5">
        <v>1.04332807592514</v>
      </c>
      <c r="C409" s="5">
        <v>1.24436881992481</v>
      </c>
      <c r="D409" s="5">
        <v>0.919165463862941</v>
      </c>
      <c r="E409" s="5">
        <v>0.159345781813308</v>
      </c>
      <c r="F409" s="5">
        <v>0.352167108125322</v>
      </c>
      <c r="G409" s="5">
        <v>0.325560902977369</v>
      </c>
      <c r="H409" s="5">
        <v>0.293330126609613</v>
      </c>
      <c r="I409" s="5">
        <v>0.50114063217015</v>
      </c>
      <c r="J409" s="6">
        <v>2.89160473090734</v>
      </c>
      <c r="K409" s="6">
        <v>3.74543997382136</v>
      </c>
      <c r="L409" s="6">
        <v>3.04832467840224</v>
      </c>
      <c r="M409" s="6">
        <v>0.268080002277074</v>
      </c>
      <c r="N409" s="7">
        <v>0.281076273070936</v>
      </c>
      <c r="O409" s="7">
        <v>0.165399239543726</v>
      </c>
      <c r="P409" s="7">
        <v>0.296938378518767</v>
      </c>
      <c r="Q409" s="7">
        <v>0.807616622294247</v>
      </c>
      <c r="R409" s="6">
        <v>6.26876185908094</v>
      </c>
      <c r="S409" s="6">
        <v>8.8947500247675</v>
      </c>
      <c r="T409" s="6">
        <v>6.59246352649727</v>
      </c>
      <c r="U409" s="6">
        <v>0.514047542625937</v>
      </c>
    </row>
    <row r="410" ht="11.25" customHeight="1">
      <c r="A410" s="2" t="s">
        <v>438</v>
      </c>
      <c r="B410" s="5">
        <v>0.582591759962848</v>
      </c>
      <c r="C410" s="5">
        <v>0.693438138939432</v>
      </c>
      <c r="D410" s="5">
        <v>0.8125586937619</v>
      </c>
      <c r="E410" s="5">
        <v>0.00787841103305475</v>
      </c>
      <c r="F410" s="5">
        <v>0.296576329182085</v>
      </c>
      <c r="G410" s="5">
        <v>0.297018544369331</v>
      </c>
      <c r="H410" s="5">
        <v>0.334475173243564</v>
      </c>
      <c r="I410" s="5">
        <v>0.492398242058379</v>
      </c>
      <c r="J410" s="6">
        <v>1.88009529115356</v>
      </c>
      <c r="K410" s="6">
        <v>2.25049294601704</v>
      </c>
      <c r="L410" s="6">
        <v>2.35461031718608</v>
      </c>
      <c r="M410" s="6">
        <v>-0.0347718320345166</v>
      </c>
      <c r="N410" s="7">
        <v>0.220237388515252</v>
      </c>
      <c r="O410" s="7">
        <v>0.199074918053606</v>
      </c>
      <c r="P410" s="7">
        <v>0.5282707211044</v>
      </c>
      <c r="Q410" s="7">
        <v>0.898078326441255</v>
      </c>
      <c r="R410" s="6">
        <v>4.0065039998253</v>
      </c>
      <c r="S410" s="6">
        <v>4.92758793706265</v>
      </c>
      <c r="T410" s="6">
        <v>4.66234223070874</v>
      </c>
      <c r="U410" s="6">
        <v>-0.0675900038374955</v>
      </c>
    </row>
    <row r="411" ht="11.25" customHeight="1">
      <c r="A411" s="2" t="s">
        <v>439</v>
      </c>
      <c r="B411" s="5">
        <v>0.888422857531691</v>
      </c>
      <c r="C411" s="5">
        <v>1.17868695439101</v>
      </c>
      <c r="D411" s="5">
        <v>0.862796768572296</v>
      </c>
      <c r="E411" s="5">
        <v>0.427563618229725</v>
      </c>
      <c r="F411" s="5">
        <v>0.304248633640789</v>
      </c>
      <c r="G411" s="5">
        <v>0.299604026823393</v>
      </c>
      <c r="H411" s="5">
        <v>0.312085585572</v>
      </c>
      <c r="I411" s="5">
        <v>0.443885998668988</v>
      </c>
      <c r="J411" s="6">
        <v>2.8378857357535</v>
      </c>
      <c r="K411" s="6">
        <v>3.85070576862131</v>
      </c>
      <c r="L411" s="6">
        <v>2.68450965794128</v>
      </c>
      <c r="M411" s="6">
        <v>0.906907673224272</v>
      </c>
      <c r="N411" s="7">
        <v>0.242471744700936</v>
      </c>
      <c r="O411" s="7">
        <v>0.123730378578024</v>
      </c>
      <c r="P411" s="7">
        <v>0.270630554380025</v>
      </c>
      <c r="Q411" s="7">
        <v>0.611802488960256</v>
      </c>
      <c r="R411" s="6">
        <v>5.98138159534224</v>
      </c>
      <c r="S411" s="6">
        <v>9.14376776193368</v>
      </c>
      <c r="T411" s="6">
        <v>5.48957133689214</v>
      </c>
      <c r="U411" s="6">
        <v>1.80622691816315</v>
      </c>
    </row>
    <row r="412" ht="11.25" customHeight="1">
      <c r="A412" s="2" t="s">
        <v>440</v>
      </c>
      <c r="B412" s="5">
        <v>4.9065185071179</v>
      </c>
      <c r="C412" s="5">
        <v>8.10776371247294</v>
      </c>
      <c r="D412" s="5">
        <v>7.94100763850771</v>
      </c>
      <c r="E412" s="5">
        <v>3.15798992968726</v>
      </c>
      <c r="F412" s="5">
        <v>0.725789451087809</v>
      </c>
      <c r="G412" s="5">
        <v>0.78867347916136</v>
      </c>
      <c r="H412" s="5">
        <v>0.727514318701014</v>
      </c>
      <c r="I412" s="5">
        <v>0.964089769277969</v>
      </c>
      <c r="J412" s="6">
        <v>6.72580525908927</v>
      </c>
      <c r="K412" s="6">
        <v>10.2485552336155</v>
      </c>
      <c r="L412" s="6">
        <v>10.8808959975411</v>
      </c>
      <c r="M412" s="6">
        <v>3.24968693738306</v>
      </c>
      <c r="N412" s="7">
        <v>0.280851063829787</v>
      </c>
      <c r="O412" s="7">
        <v>0.280851063829787</v>
      </c>
      <c r="P412" s="7">
        <v>0.348575056941944</v>
      </c>
      <c r="Q412" s="7">
        <v>0.567395906845448</v>
      </c>
      <c r="R412" s="6">
        <v>16.049504754472</v>
      </c>
      <c r="S412" s="6">
        <v>25.5570282084637</v>
      </c>
      <c r="T412" s="6">
        <v>28.3101087926741</v>
      </c>
      <c r="U412" s="6">
        <v>7.66913670380751</v>
      </c>
    </row>
    <row r="413" ht="11.25" customHeight="1">
      <c r="A413" s="2" t="s">
        <v>441</v>
      </c>
      <c r="B413" s="5">
        <v>0.972622590673207</v>
      </c>
      <c r="C413" s="5">
        <v>1.10834810226984</v>
      </c>
      <c r="D413" s="5">
        <v>0.535219288928263</v>
      </c>
      <c r="E413" s="5">
        <v>-0.0514088134393901</v>
      </c>
      <c r="F413" s="5">
        <v>0.40075246011826</v>
      </c>
      <c r="G413" s="5">
        <v>0.389178144377979</v>
      </c>
      <c r="H413" s="5">
        <v>0.447342566514408</v>
      </c>
      <c r="I413" s="5">
        <v>0.577304256968351</v>
      </c>
      <c r="J413" s="6">
        <v>2.36460829309336</v>
      </c>
      <c r="K413" s="6">
        <v>2.78368176096154</v>
      </c>
      <c r="L413" s="6">
        <v>1.1405560908361</v>
      </c>
      <c r="M413" s="6">
        <v>-0.132354495081402</v>
      </c>
      <c r="N413" s="7">
        <v>0.322701990709562</v>
      </c>
      <c r="O413" s="7">
        <v>0.209835660077266</v>
      </c>
      <c r="P413" s="7">
        <v>0.743421052631579</v>
      </c>
      <c r="Q413" s="7">
        <v>0.925161909330774</v>
      </c>
      <c r="R413" s="6">
        <v>5.22031974078887</v>
      </c>
      <c r="S413" s="6">
        <v>6.59149402501651</v>
      </c>
      <c r="T413" s="6">
        <v>2.07577716370098</v>
      </c>
      <c r="U413" s="6">
        <v>-0.256460871873571</v>
      </c>
    </row>
    <row r="414" ht="11.25" customHeight="1">
      <c r="A414" s="2" t="s">
        <v>442</v>
      </c>
      <c r="B414" s="5">
        <v>0.613297410114654</v>
      </c>
      <c r="C414" s="5">
        <v>1.02609722095296</v>
      </c>
      <c r="D414" s="5">
        <v>0.646658105358929</v>
      </c>
      <c r="E414" s="5">
        <v>0.136567320164108</v>
      </c>
      <c r="F414" s="5">
        <v>0.315549154727736</v>
      </c>
      <c r="G414" s="5">
        <v>0.298811294272799</v>
      </c>
      <c r="H414" s="5">
        <v>0.337129297469502</v>
      </c>
      <c r="I414" s="5">
        <v>0.450836941764858</v>
      </c>
      <c r="J414" s="6">
        <v>1.86436059580717</v>
      </c>
      <c r="K414" s="6">
        <v>3.35026566980767</v>
      </c>
      <c r="L414" s="6">
        <v>1.84397532348895</v>
      </c>
      <c r="M414" s="6">
        <v>0.247467121321878</v>
      </c>
      <c r="N414" s="7">
        <v>0.237315935524324</v>
      </c>
      <c r="O414" s="7">
        <v>0.110670972693339</v>
      </c>
      <c r="P414" s="7">
        <v>0.434214743589743</v>
      </c>
      <c r="Q414" s="7">
        <v>0.683790965456156</v>
      </c>
      <c r="R414" s="6">
        <v>3.93876405920689</v>
      </c>
      <c r="S414" s="6">
        <v>8.39486046805694</v>
      </c>
      <c r="T414" s="6">
        <v>3.65741094234589</v>
      </c>
      <c r="U414" s="6">
        <v>0.491710776157941</v>
      </c>
    </row>
    <row r="415" ht="11.25" customHeight="1">
      <c r="A415" s="2" t="s">
        <v>443</v>
      </c>
      <c r="B415" s="5">
        <v>0.697354855687309</v>
      </c>
      <c r="C415" s="5">
        <v>0.985192611617034</v>
      </c>
      <c r="D415" s="5">
        <v>0.65016537925182</v>
      </c>
      <c r="E415" s="5">
        <v>0.153765649915464</v>
      </c>
      <c r="F415" s="5">
        <v>0.299549244327026</v>
      </c>
      <c r="G415" s="5">
        <v>0.272603265871373</v>
      </c>
      <c r="H415" s="5">
        <v>0.291825565434981</v>
      </c>
      <c r="I415" s="5">
        <v>0.42476414197074</v>
      </c>
      <c r="J415" s="6">
        <v>2.24455533913241</v>
      </c>
      <c r="K415" s="6">
        <v>3.52230780709024</v>
      </c>
      <c r="L415" s="6">
        <v>2.14225706483247</v>
      </c>
      <c r="M415" s="6">
        <v>0.303146233855902</v>
      </c>
      <c r="N415" s="7">
        <v>0.342384812453033</v>
      </c>
      <c r="O415" s="7">
        <v>0.148274135795136</v>
      </c>
      <c r="P415" s="7">
        <v>0.337986440241201</v>
      </c>
      <c r="Q415" s="7">
        <v>0.61302442078898</v>
      </c>
      <c r="R415" s="6">
        <v>4.91798132705456</v>
      </c>
      <c r="S415" s="6">
        <v>8.32023736107141</v>
      </c>
      <c r="T415" s="6">
        <v>4.38725664111843</v>
      </c>
      <c r="U415" s="6">
        <v>0.602394332877272</v>
      </c>
    </row>
    <row r="416" ht="11.25" customHeight="1">
      <c r="A416" s="2" t="s">
        <v>444</v>
      </c>
      <c r="B416" s="5">
        <v>0.75494048515719</v>
      </c>
      <c r="C416" s="5">
        <v>0.840421972424857</v>
      </c>
      <c r="D416" s="5">
        <v>0.668189748784126</v>
      </c>
      <c r="E416" s="5">
        <v>0.432270245070541</v>
      </c>
      <c r="F416" s="5">
        <v>0.234518644333603</v>
      </c>
      <c r="G416" s="5">
        <v>0.248843925174635</v>
      </c>
      <c r="H416" s="5">
        <v>0.287973865799509</v>
      </c>
      <c r="I416" s="5">
        <v>0.354676737726106</v>
      </c>
      <c r="J416" s="6">
        <v>3.11250513677218</v>
      </c>
      <c r="K416" s="6">
        <v>3.27684098316888</v>
      </c>
      <c r="L416" s="6">
        <v>2.23350041504086</v>
      </c>
      <c r="M416" s="6">
        <v>1.14828575361784</v>
      </c>
      <c r="N416" s="7">
        <v>0.140457715153902</v>
      </c>
      <c r="O416" s="7">
        <v>0.130557515878616</v>
      </c>
      <c r="P416" s="7">
        <v>0.294596037303356</v>
      </c>
      <c r="Q416" s="7">
        <v>0.360569715142428</v>
      </c>
      <c r="R416" s="6">
        <v>6.72160992059738</v>
      </c>
      <c r="S416" s="6">
        <v>7.13397565714002</v>
      </c>
      <c r="T416" s="6">
        <v>4.1034988550374</v>
      </c>
      <c r="U416" s="6">
        <v>2.19728875189196</v>
      </c>
    </row>
    <row r="417" ht="11.25" customHeight="1">
      <c r="A417" s="2" t="s">
        <v>445</v>
      </c>
      <c r="B417" s="5">
        <v>0.513545935672027</v>
      </c>
      <c r="C417" s="5">
        <v>0.719310626727366</v>
      </c>
      <c r="D417" s="5">
        <v>0.437818962535361</v>
      </c>
      <c r="E417" s="5">
        <v>0.322335890588994</v>
      </c>
      <c r="F417" s="5">
        <v>0.195404447839905</v>
      </c>
      <c r="G417" s="5">
        <v>0.208039826066152</v>
      </c>
      <c r="H417" s="5">
        <v>0.17926341596786</v>
      </c>
      <c r="I417" s="5">
        <v>0.302273087673072</v>
      </c>
      <c r="J417" s="6">
        <v>2.50017817441029</v>
      </c>
      <c r="K417" s="6">
        <v>3.33739284374613</v>
      </c>
      <c r="L417" s="6">
        <v>2.30286230074614</v>
      </c>
      <c r="M417" s="6">
        <v>0.983666435136239</v>
      </c>
      <c r="N417" s="7">
        <v>0.102302158273381</v>
      </c>
      <c r="O417" s="7">
        <v>0.06572295247725</v>
      </c>
      <c r="P417" s="7">
        <v>0.151082160117671</v>
      </c>
      <c r="Q417" s="7">
        <v>0.28235294117647</v>
      </c>
      <c r="R417" s="6">
        <v>5.51452701279404</v>
      </c>
      <c r="S417" s="6">
        <v>7.87994970252901</v>
      </c>
      <c r="T417" s="6">
        <v>5.03544304614535</v>
      </c>
      <c r="U417" s="6">
        <v>1.96247258897176</v>
      </c>
    </row>
    <row r="418" ht="11.25" customHeight="1">
      <c r="A418" s="2" t="s">
        <v>446</v>
      </c>
      <c r="B418" s="5">
        <v>0.506156089694547</v>
      </c>
      <c r="C418" s="5">
        <v>0.677264716714905</v>
      </c>
      <c r="D418" s="5">
        <v>0.544359048784498</v>
      </c>
      <c r="E418" s="5">
        <v>0.282938834362223</v>
      </c>
      <c r="F418" s="5">
        <v>0.21060376506673</v>
      </c>
      <c r="G418" s="5">
        <v>0.21855033620523</v>
      </c>
      <c r="H418" s="5">
        <v>0.224723410333619</v>
      </c>
      <c r="I418" s="5">
        <v>0.30208199959767</v>
      </c>
      <c r="J418" s="6">
        <v>2.28465093936991</v>
      </c>
      <c r="K418" s="6">
        <v>2.98450566601917</v>
      </c>
      <c r="L418" s="6">
        <v>2.31110344940685</v>
      </c>
      <c r="M418" s="6">
        <v>0.853870256108473</v>
      </c>
      <c r="N418" s="7">
        <v>0.168910959695114</v>
      </c>
      <c r="O418" s="7">
        <v>0.168910959695114</v>
      </c>
      <c r="P418" s="7">
        <v>0.31714270050984</v>
      </c>
      <c r="Q418" s="7">
        <v>0.330754352030948</v>
      </c>
      <c r="R418" s="6">
        <v>4.85146429122998</v>
      </c>
      <c r="S418" s="6">
        <v>6.57425630659596</v>
      </c>
      <c r="T418" s="6">
        <v>4.67876260075698</v>
      </c>
      <c r="U418" s="6">
        <v>1.66066912019438</v>
      </c>
    </row>
    <row r="419" ht="11.25" customHeight="1">
      <c r="A419" s="2" t="s">
        <v>447</v>
      </c>
      <c r="B419" s="5">
        <v>0.511103386740771</v>
      </c>
      <c r="C419" s="5">
        <v>0.58424271672688</v>
      </c>
      <c r="D419" s="5">
        <v>0.52353697927892</v>
      </c>
      <c r="E419" s="5">
        <v>0.0746493229077174</v>
      </c>
      <c r="F419" s="5">
        <v>0.253542408181537</v>
      </c>
      <c r="G419" s="5">
        <v>0.237711242737534</v>
      </c>
      <c r="H419" s="5">
        <v>0.213150266452392</v>
      </c>
      <c r="I419" s="5">
        <v>0.353505462004333</v>
      </c>
      <c r="J419" s="6">
        <v>1.91724686306804</v>
      </c>
      <c r="K419" s="6">
        <v>2.35261365969282</v>
      </c>
      <c r="L419" s="6">
        <v>2.3388991605613</v>
      </c>
      <c r="M419" s="6">
        <v>0.140448531194431</v>
      </c>
      <c r="N419" s="7">
        <v>0.171980850871646</v>
      </c>
      <c r="O419" s="7">
        <v>0.160871459694989</v>
      </c>
      <c r="P419" s="7">
        <v>0.187591888137294</v>
      </c>
      <c r="Q419" s="7">
        <v>0.552360144301611</v>
      </c>
      <c r="R419" s="6">
        <v>4.27817819150001</v>
      </c>
      <c r="S419" s="6">
        <v>5.66477508524854</v>
      </c>
      <c r="T419" s="6">
        <v>4.99993920013581</v>
      </c>
      <c r="U419" s="6">
        <v>0.279267116707025</v>
      </c>
    </row>
    <row r="420" ht="11.25" customHeight="1">
      <c r="A420" s="2" t="s">
        <v>448</v>
      </c>
      <c r="B420" s="5">
        <v>1.37890275508414</v>
      </c>
      <c r="C420" s="5">
        <v>1.58659783606648</v>
      </c>
      <c r="D420" s="5">
        <v>1.1751027778828</v>
      </c>
      <c r="E420" s="5">
        <v>0.857989829691617</v>
      </c>
      <c r="F420" s="5">
        <v>0.414886923374608</v>
      </c>
      <c r="G420" s="5">
        <v>0.441118244499638</v>
      </c>
      <c r="H420" s="5">
        <v>0.401411803544943</v>
      </c>
      <c r="I420" s="5">
        <v>0.568242134149935</v>
      </c>
      <c r="J420" s="6">
        <v>3.26330544253303</v>
      </c>
      <c r="K420" s="6">
        <v>3.54008897962905</v>
      </c>
      <c r="L420" s="6">
        <v>2.86514439218285</v>
      </c>
      <c r="M420" s="6">
        <v>1.4659064853361</v>
      </c>
      <c r="N420" s="7">
        <v>0.399998617524262</v>
      </c>
      <c r="O420" s="7">
        <v>0.399998617524262</v>
      </c>
      <c r="P420" s="7">
        <v>0.365529819039547</v>
      </c>
      <c r="Q420" s="7">
        <v>0.487831260140616</v>
      </c>
      <c r="R420" s="6">
        <v>8.06214744730579</v>
      </c>
      <c r="S420" s="6">
        <v>8.40534344182398</v>
      </c>
      <c r="T420" s="6">
        <v>6.3210502574368</v>
      </c>
      <c r="U420" s="6">
        <v>3.08618011649363</v>
      </c>
    </row>
    <row r="421" ht="11.25" customHeight="1">
      <c r="A421" s="2" t="s">
        <v>449</v>
      </c>
      <c r="B421" s="5">
        <v>0.70842572838617</v>
      </c>
      <c r="C421" s="5">
        <v>0.795345786338602</v>
      </c>
      <c r="D421" s="5">
        <v>0.670713561376105</v>
      </c>
      <c r="E421" s="5">
        <v>0.39343011761961</v>
      </c>
      <c r="F421" s="5">
        <v>0.22389319423472</v>
      </c>
      <c r="G421" s="5">
        <v>0.216892015964287</v>
      </c>
      <c r="H421" s="5">
        <v>0.222616788994416</v>
      </c>
      <c r="I421" s="5">
        <v>0.312897730044782</v>
      </c>
      <c r="J421" s="6">
        <v>3.05246316540419</v>
      </c>
      <c r="K421" s="6">
        <v>3.55174801116443</v>
      </c>
      <c r="L421" s="6">
        <v>2.90056093384897</v>
      </c>
      <c r="M421" s="6">
        <v>1.17747775788236</v>
      </c>
      <c r="N421" s="7">
        <v>0.182997657430381</v>
      </c>
      <c r="O421" s="7">
        <v>0.158115090383235</v>
      </c>
      <c r="P421" s="7">
        <v>0.238380131543242</v>
      </c>
      <c r="Q421" s="7">
        <v>0.324419737520774</v>
      </c>
      <c r="R421" s="6">
        <v>6.20218270156562</v>
      </c>
      <c r="S421" s="6">
        <v>7.65568553530634</v>
      </c>
      <c r="T421" s="6">
        <v>5.88881945175119</v>
      </c>
      <c r="U421" s="6">
        <v>2.30582482283637</v>
      </c>
    </row>
    <row r="422" ht="11.25" customHeight="1">
      <c r="A422" s="2" t="s">
        <v>450</v>
      </c>
      <c r="B422" s="5">
        <v>1.01051733460355</v>
      </c>
      <c r="C422" s="5">
        <v>1.89585127810373</v>
      </c>
      <c r="D422" s="5">
        <v>1.69528040178291</v>
      </c>
      <c r="E422" s="5">
        <v>0.295975129001136</v>
      </c>
      <c r="F422" s="5">
        <v>0.395754028100178</v>
      </c>
      <c r="G422" s="5">
        <v>0.394182118179203</v>
      </c>
      <c r="H422" s="5">
        <v>0.397467651354472</v>
      </c>
      <c r="I422" s="5">
        <v>0.575161092625621</v>
      </c>
      <c r="J422" s="6">
        <v>2.49022692032862</v>
      </c>
      <c r="K422" s="6">
        <v>4.74615968564359</v>
      </c>
      <c r="L422" s="6">
        <v>4.20230525953748</v>
      </c>
      <c r="M422" s="6">
        <v>0.471129101873232</v>
      </c>
      <c r="N422" s="7">
        <v>0.322083117170536</v>
      </c>
      <c r="O422" s="7">
        <v>0.152818991097923</v>
      </c>
      <c r="P422" s="7">
        <v>0.409392270370691</v>
      </c>
      <c r="Q422" s="7">
        <v>0.738010413812002</v>
      </c>
      <c r="R422" s="6">
        <v>5.34452179025153</v>
      </c>
      <c r="S422" s="6">
        <v>11.5647434037183</v>
      </c>
      <c r="T422" s="6">
        <v>9.85002663308638</v>
      </c>
      <c r="U422" s="6">
        <v>0.953117578503147</v>
      </c>
    </row>
    <row r="423" ht="11.25" customHeight="1">
      <c r="A423" s="2" t="s">
        <v>451</v>
      </c>
      <c r="B423" s="5">
        <v>0.635047853527761</v>
      </c>
      <c r="C423" s="5">
        <v>0.750674861876188</v>
      </c>
      <c r="D423" s="5">
        <v>0.590903449453345</v>
      </c>
      <c r="E423" s="5">
        <v>0.232150873099597</v>
      </c>
      <c r="F423" s="5">
        <v>0.233637316744917</v>
      </c>
      <c r="G423" s="5">
        <v>0.24349214642123</v>
      </c>
      <c r="H423" s="5">
        <v>0.21754068489441</v>
      </c>
      <c r="I423" s="5">
        <v>0.343681599892412</v>
      </c>
      <c r="J423" s="6">
        <v>2.61108911036589</v>
      </c>
      <c r="K423" s="6">
        <v>2.98028036033984</v>
      </c>
      <c r="L423" s="6">
        <v>2.60136833589552</v>
      </c>
      <c r="M423" s="6">
        <v>0.602740656364627</v>
      </c>
      <c r="N423" s="7">
        <v>0.116523607895192</v>
      </c>
      <c r="O423" s="7">
        <v>0.126731057521513</v>
      </c>
      <c r="P423" s="7">
        <v>0.252697912739427</v>
      </c>
      <c r="Q423" s="7">
        <v>0.358684170816355</v>
      </c>
      <c r="R423" s="6">
        <v>5.84799408811713</v>
      </c>
      <c r="S423" s="6">
        <v>7.05299920025643</v>
      </c>
      <c r="T423" s="6">
        <v>5.45220337920813</v>
      </c>
      <c r="U423" s="6">
        <v>1.20375621084677</v>
      </c>
    </row>
    <row r="424" ht="11.25" customHeight="1">
      <c r="A424" s="2" t="s">
        <v>452</v>
      </c>
      <c r="B424" s="5">
        <v>1.01093516456392</v>
      </c>
      <c r="C424" s="5">
        <v>1.11151033862834</v>
      </c>
      <c r="D424" s="5">
        <v>0.596933357508109</v>
      </c>
      <c r="E424" s="5">
        <v>0.00276978355937029</v>
      </c>
      <c r="F424" s="5">
        <v>0.490008041610198</v>
      </c>
      <c r="G424" s="5">
        <v>0.405321612153499</v>
      </c>
      <c r="H424" s="5">
        <v>0.530688778437087</v>
      </c>
      <c r="I424" s="5">
        <v>0.649418832533722</v>
      </c>
      <c r="J424" s="6">
        <v>2.01207955960085</v>
      </c>
      <c r="K424" s="6">
        <v>2.68061289121901</v>
      </c>
      <c r="L424" s="6">
        <v>1.07771895835538</v>
      </c>
      <c r="M424" s="6">
        <v>-0.0342309389980238</v>
      </c>
      <c r="N424" s="7">
        <v>0.504716981132075</v>
      </c>
      <c r="O424" s="7">
        <v>0.370283018867924</v>
      </c>
      <c r="P424" s="7">
        <v>0.869740150880134</v>
      </c>
      <c r="Q424" s="7">
        <v>0.878136762860727</v>
      </c>
      <c r="R424" s="6">
        <v>4.365522815045</v>
      </c>
      <c r="S424" s="6">
        <v>5.99586553775787</v>
      </c>
      <c r="T424" s="6">
        <v>1.98122944928875</v>
      </c>
      <c r="U424" s="6">
        <v>-0.0640382756608047</v>
      </c>
    </row>
    <row r="425" ht="11.25" customHeight="1">
      <c r="A425" s="2" t="s">
        <v>453</v>
      </c>
      <c r="B425" s="5">
        <v>0.632362571970039</v>
      </c>
      <c r="C425" s="5">
        <v>0.677992771259499</v>
      </c>
      <c r="D425" s="5">
        <v>0.410354717919424</v>
      </c>
      <c r="E425" s="5">
        <v>0.321873082332035</v>
      </c>
      <c r="F425" s="5">
        <v>0.199842675871246</v>
      </c>
      <c r="G425" s="5">
        <v>0.206199960710302</v>
      </c>
      <c r="H425" s="5">
        <v>0.212940252498814</v>
      </c>
      <c r="I425" s="5">
        <v>0.307132510985074</v>
      </c>
      <c r="J425" s="6">
        <v>3.03920356011118</v>
      </c>
      <c r="K425" s="6">
        <v>3.16679386848628</v>
      </c>
      <c r="L425" s="6">
        <v>1.80968470449977</v>
      </c>
      <c r="M425" s="6">
        <v>0.966596083820193</v>
      </c>
      <c r="N425" s="7">
        <v>0.191677553238473</v>
      </c>
      <c r="O425" s="7">
        <v>0.102455546147332</v>
      </c>
      <c r="P425" s="7">
        <v>0.373893615192919</v>
      </c>
      <c r="Q425" s="7">
        <v>0.386028482346001</v>
      </c>
      <c r="R425" s="6">
        <v>6.63617543095003</v>
      </c>
      <c r="S425" s="6">
        <v>7.28738512055313</v>
      </c>
      <c r="T425" s="6">
        <v>3.62075300217382</v>
      </c>
      <c r="U425" s="6">
        <v>1.92738517469411</v>
      </c>
    </row>
    <row r="426" ht="11.25" customHeight="1">
      <c r="A426" s="2" t="s">
        <v>454</v>
      </c>
      <c r="B426" s="5">
        <v>0.398113092558936</v>
      </c>
      <c r="C426" s="5">
        <v>0.472905692802781</v>
      </c>
      <c r="D426" s="5">
        <v>0.467309814556093</v>
      </c>
      <c r="E426" s="5">
        <v>0.254668066442932</v>
      </c>
      <c r="F426" s="5">
        <v>0.158824084725406</v>
      </c>
      <c r="G426" s="5">
        <v>0.17404216000648</v>
      </c>
      <c r="H426" s="5">
        <v>0.186570281290739</v>
      </c>
      <c r="I426" s="5">
        <v>0.240687727584849</v>
      </c>
      <c r="J426" s="6">
        <v>2.34922236891223</v>
      </c>
      <c r="K426" s="6">
        <v>2.57354708069644</v>
      </c>
      <c r="L426" s="6">
        <v>2.37074099634777</v>
      </c>
      <c r="M426" s="6">
        <v>0.954215940910274</v>
      </c>
      <c r="N426" s="7">
        <v>0.122891382589582</v>
      </c>
      <c r="O426" s="7">
        <v>0.112922238933376</v>
      </c>
      <c r="P426" s="7">
        <v>0.356317766281624</v>
      </c>
      <c r="Q426" s="7">
        <v>0.356317766281624</v>
      </c>
      <c r="R426" s="6">
        <v>4.82357557824828</v>
      </c>
      <c r="S426" s="6">
        <v>5.59202377564985</v>
      </c>
      <c r="T426" s="6">
        <v>4.67257855316489</v>
      </c>
      <c r="U426" s="6">
        <v>1.8672497857197</v>
      </c>
    </row>
    <row r="427" ht="11.25" customHeight="1">
      <c r="A427" s="2" t="s">
        <v>455</v>
      </c>
      <c r="B427" s="5">
        <v>0.627094649784154</v>
      </c>
      <c r="C427" s="5">
        <v>0.838528767493084</v>
      </c>
      <c r="D427" s="5">
        <v>0.730748792328782</v>
      </c>
      <c r="E427" s="5">
        <v>0.0484025993148522</v>
      </c>
      <c r="F427" s="5">
        <v>0.288846738504256</v>
      </c>
      <c r="G427" s="5">
        <v>0.290619341222825</v>
      </c>
      <c r="H427" s="5">
        <v>0.282480149900725</v>
      </c>
      <c r="I427" s="5">
        <v>0.424029033046032</v>
      </c>
      <c r="J427" s="6">
        <v>2.084477923836</v>
      </c>
      <c r="K427" s="6">
        <v>2.79929327507948</v>
      </c>
      <c r="L427" s="6">
        <v>2.49840136581918</v>
      </c>
      <c r="M427" s="6">
        <v>0.0551910305450987</v>
      </c>
      <c r="N427" s="7">
        <v>0.205929814409858</v>
      </c>
      <c r="O427" s="7">
        <v>0.106838856842393</v>
      </c>
      <c r="P427" s="7">
        <v>0.341823396100776</v>
      </c>
      <c r="Q427" s="7">
        <v>0.784416647365332</v>
      </c>
      <c r="R427" s="6">
        <v>4.52746359783273</v>
      </c>
      <c r="S427" s="6">
        <v>6.50380939728868</v>
      </c>
      <c r="T427" s="6">
        <v>5.6367573456185</v>
      </c>
      <c r="U427" s="6">
        <v>0.110253546935611</v>
      </c>
    </row>
    <row r="428" ht="11.25" customHeight="1">
      <c r="A428" s="2" t="s">
        <v>456</v>
      </c>
      <c r="B428" s="5">
        <v>2.77316872335766</v>
      </c>
      <c r="C428" s="5">
        <v>4.38024752384229</v>
      </c>
      <c r="D428" s="5">
        <v>5.55578355271253</v>
      </c>
      <c r="E428" s="5">
        <v>2.94552127302578</v>
      </c>
      <c r="F428" s="5">
        <v>0.570484447522279</v>
      </c>
      <c r="G428" s="5">
        <v>0.632790158649053</v>
      </c>
      <c r="H428" s="5">
        <v>0.566032630645897</v>
      </c>
      <c r="I428" s="5">
        <v>0.769424398811992</v>
      </c>
      <c r="J428" s="6">
        <v>4.81725441472326</v>
      </c>
      <c r="K428" s="6">
        <v>6.88260944692997</v>
      </c>
      <c r="L428" s="6">
        <v>9.77113907090724</v>
      </c>
      <c r="M428" s="6">
        <v>3.79572220160307</v>
      </c>
      <c r="N428" s="7">
        <v>0.302480916030534</v>
      </c>
      <c r="O428" s="7">
        <v>0.302480916030534</v>
      </c>
      <c r="P428" s="7">
        <v>0.209937577605892</v>
      </c>
      <c r="Q428" s="7">
        <v>0.339075540338112</v>
      </c>
      <c r="R428" s="6">
        <v>11.373267367803</v>
      </c>
      <c r="S428" s="6">
        <v>16.8388060254809</v>
      </c>
      <c r="T428" s="6">
        <v>25.562949228113</v>
      </c>
      <c r="U428" s="6">
        <v>8.634279279233</v>
      </c>
    </row>
    <row r="429" ht="11.25" customHeight="1">
      <c r="A429" s="2" t="s">
        <v>457</v>
      </c>
      <c r="B429" s="5">
        <v>1.71779482551328</v>
      </c>
      <c r="C429" s="5">
        <v>2.38935356396859</v>
      </c>
      <c r="D429" s="5">
        <v>1.47198993082627</v>
      </c>
      <c r="E429" s="5">
        <v>0.712386222075163</v>
      </c>
      <c r="F429" s="5">
        <v>0.463371517102976</v>
      </c>
      <c r="G429" s="5">
        <v>0.449855900165426</v>
      </c>
      <c r="H429" s="5">
        <v>0.431040232973651</v>
      </c>
      <c r="I429" s="5">
        <v>0.609909568861368</v>
      </c>
      <c r="J429" s="6">
        <v>3.65321294691725</v>
      </c>
      <c r="K429" s="6">
        <v>5.25580205372241</v>
      </c>
      <c r="L429" s="6">
        <v>3.3569718558377</v>
      </c>
      <c r="M429" s="6">
        <v>1.12702973878313</v>
      </c>
      <c r="N429" s="7">
        <v>0.42862072578006</v>
      </c>
      <c r="O429" s="7">
        <v>0.114537803072499</v>
      </c>
      <c r="P429" s="7">
        <v>0.729735986629405</v>
      </c>
      <c r="Q429" s="7">
        <v>0.819904080511579</v>
      </c>
      <c r="R429" s="6">
        <v>9.02693741128537</v>
      </c>
      <c r="S429" s="6">
        <v>16.4969586909004</v>
      </c>
      <c r="T429" s="6">
        <v>7.13423569242553</v>
      </c>
      <c r="U429" s="6">
        <v>2.37579308080757</v>
      </c>
    </row>
    <row r="430" ht="11.25" customHeight="1">
      <c r="A430" s="2" t="s">
        <v>458</v>
      </c>
      <c r="B430" s="5">
        <v>0.369428380645245</v>
      </c>
      <c r="C430" s="5">
        <v>0.482971312525081</v>
      </c>
      <c r="D430" s="5">
        <v>0.366351004064085</v>
      </c>
      <c r="E430" s="5">
        <v>0.199644737398889</v>
      </c>
      <c r="F430" s="5">
        <v>0.172284870626878</v>
      </c>
      <c r="G430" s="5">
        <v>0.180448711718243</v>
      </c>
      <c r="H430" s="5">
        <v>0.201867537912779</v>
      </c>
      <c r="I430" s="5">
        <v>0.268333291112636</v>
      </c>
      <c r="J430" s="6">
        <v>1.99917949493767</v>
      </c>
      <c r="K430" s="6">
        <v>2.53795833821284</v>
      </c>
      <c r="L430" s="6">
        <v>1.69096531118129</v>
      </c>
      <c r="M430" s="6">
        <v>0.650850055446826</v>
      </c>
      <c r="N430" s="7">
        <v>0.137653374233128</v>
      </c>
      <c r="O430" s="7">
        <v>0.137653374233128</v>
      </c>
      <c r="P430" s="7">
        <v>0.312490730126369</v>
      </c>
      <c r="Q430" s="7">
        <v>0.31740837696335</v>
      </c>
      <c r="R430" s="6">
        <v>3.95424535728814</v>
      </c>
      <c r="S430" s="6">
        <v>5.32322152033901</v>
      </c>
      <c r="T430" s="6">
        <v>3.14799341860496</v>
      </c>
      <c r="U430" s="6">
        <v>1.21988719851253</v>
      </c>
    </row>
    <row r="431" ht="11.25" customHeight="1">
      <c r="A431" s="2" t="s">
        <v>459</v>
      </c>
      <c r="B431" s="5">
        <v>0.632908965017321</v>
      </c>
      <c r="C431" s="5">
        <v>0.834153517654003</v>
      </c>
      <c r="D431" s="5">
        <v>0.68225025988206</v>
      </c>
      <c r="E431" s="5">
        <v>0.334855500192805</v>
      </c>
      <c r="F431" s="5">
        <v>0.207021736460997</v>
      </c>
      <c r="G431" s="5">
        <v>0.225355467510074</v>
      </c>
      <c r="H431" s="5">
        <v>0.21111833751345</v>
      </c>
      <c r="I431" s="5">
        <v>0.312915531200041</v>
      </c>
      <c r="J431" s="6">
        <v>2.93644993713908</v>
      </c>
      <c r="K431" s="6">
        <v>3.59056528157157</v>
      </c>
      <c r="L431" s="6">
        <v>3.11318413939379</v>
      </c>
      <c r="M431" s="6">
        <v>0.99022090403918</v>
      </c>
      <c r="N431" s="7">
        <v>0.0991659055282972</v>
      </c>
      <c r="O431" s="7">
        <v>0.0830110534552176</v>
      </c>
      <c r="P431" s="7">
        <v>0.173238807258502</v>
      </c>
      <c r="Q431" s="7">
        <v>0.399502772996749</v>
      </c>
      <c r="R431" s="6">
        <v>7.29200287291084</v>
      </c>
      <c r="S431" s="6">
        <v>9.60329540939104</v>
      </c>
      <c r="T431" s="6">
        <v>7.63241537926944</v>
      </c>
      <c r="U431" s="6">
        <v>2.05969882257037</v>
      </c>
    </row>
    <row r="432" ht="11.25" customHeight="1">
      <c r="A432" s="2" t="s">
        <v>460</v>
      </c>
      <c r="B432" s="5">
        <v>0.676928913555024</v>
      </c>
      <c r="C432" s="5">
        <v>0.817566146942738</v>
      </c>
      <c r="D432" s="5">
        <v>0.815983085152971</v>
      </c>
      <c r="E432" s="5">
        <v>0.151657587867359</v>
      </c>
      <c r="F432" s="5">
        <v>0.234017268043118</v>
      </c>
      <c r="G432" s="5">
        <v>0.243446157173587</v>
      </c>
      <c r="H432" s="5">
        <v>0.261586888822326</v>
      </c>
      <c r="I432" s="5">
        <v>0.37203159925321</v>
      </c>
      <c r="J432" s="6">
        <v>2.78581541869339</v>
      </c>
      <c r="K432" s="6">
        <v>3.2556116561643</v>
      </c>
      <c r="L432" s="6">
        <v>3.02378719634613</v>
      </c>
      <c r="M432" s="6">
        <v>0.340448467607596</v>
      </c>
      <c r="N432" s="7">
        <v>0.114730013484231</v>
      </c>
      <c r="O432" s="7">
        <v>0.160657855152927</v>
      </c>
      <c r="P432" s="7">
        <v>0.225341020241687</v>
      </c>
      <c r="Q432" s="7">
        <v>0.482438539956628</v>
      </c>
      <c r="R432" s="6">
        <v>6.33481535263804</v>
      </c>
      <c r="S432" s="6">
        <v>8.32554459247209</v>
      </c>
      <c r="T432" s="6">
        <v>6.53334577507666</v>
      </c>
      <c r="U432" s="6">
        <v>0.618356296254252</v>
      </c>
    </row>
    <row r="433" ht="11.25" customHeight="1">
      <c r="A433" s="2" t="s">
        <v>461</v>
      </c>
      <c r="B433" s="5">
        <v>0.347010441238642</v>
      </c>
      <c r="C433" s="5">
        <v>0.535577675133209</v>
      </c>
      <c r="D433" s="5">
        <v>0.632574606730544</v>
      </c>
      <c r="E433" s="5">
        <v>-0.00550924564064425</v>
      </c>
      <c r="F433" s="5">
        <v>0.251138018723849</v>
      </c>
      <c r="G433" s="5">
        <v>0.235514159292852</v>
      </c>
      <c r="H433" s="5">
        <v>0.231404013746072</v>
      </c>
      <c r="I433" s="5">
        <v>0.371340554096731</v>
      </c>
      <c r="J433" s="6">
        <v>1.28220507143812</v>
      </c>
      <c r="K433" s="6">
        <v>2.16792772318341</v>
      </c>
      <c r="L433" s="6">
        <v>2.62560098632193</v>
      </c>
      <c r="M433" s="6">
        <v>-0.0821597460984473</v>
      </c>
      <c r="N433" s="7">
        <v>0.219551274976233</v>
      </c>
      <c r="O433" s="7">
        <v>0.183284642716146</v>
      </c>
      <c r="P433" s="7">
        <v>0.179306164837387</v>
      </c>
      <c r="Q433" s="7">
        <v>0.787672460132592</v>
      </c>
      <c r="R433" s="6">
        <v>2.58710806011636</v>
      </c>
      <c r="S433" s="6">
        <v>4.93771668126656</v>
      </c>
      <c r="T433" s="6">
        <v>5.84450891252358</v>
      </c>
      <c r="U433" s="6">
        <v>-0.151373672770443</v>
      </c>
    </row>
    <row r="434" ht="11.25" customHeight="1">
      <c r="A434" s="2" t="s">
        <v>462</v>
      </c>
      <c r="B434" s="5">
        <v>0.524374812408313</v>
      </c>
      <c r="C434" s="5">
        <v>0.634655465640089</v>
      </c>
      <c r="D434" s="5">
        <v>0.524577596309419</v>
      </c>
      <c r="E434" s="5">
        <v>0.276167031069394</v>
      </c>
      <c r="F434" s="5">
        <v>0.181912590866479</v>
      </c>
      <c r="G434" s="5">
        <v>0.182063870376777</v>
      </c>
      <c r="H434" s="5">
        <v>0.193339452770744</v>
      </c>
      <c r="I434" s="5">
        <v>0.269568039589176</v>
      </c>
      <c r="J434" s="6">
        <v>2.74513605699148</v>
      </c>
      <c r="K434" s="6">
        <v>3.34858016792908</v>
      </c>
      <c r="L434" s="6">
        <v>2.58394026232091</v>
      </c>
      <c r="M434" s="6">
        <v>0.931738908856459</v>
      </c>
      <c r="N434" s="7">
        <v>0.164520123839009</v>
      </c>
      <c r="O434" s="7">
        <v>0.0795351853302975</v>
      </c>
      <c r="P434" s="7">
        <v>0.275388002792546</v>
      </c>
      <c r="Q434" s="7">
        <v>0.371635697025248</v>
      </c>
      <c r="R434" s="6">
        <v>6.04868424682517</v>
      </c>
      <c r="S434" s="6">
        <v>7.79250048359143</v>
      </c>
      <c r="T434" s="6">
        <v>5.36393108306936</v>
      </c>
      <c r="U434" s="6">
        <v>1.82899862874301</v>
      </c>
    </row>
    <row r="435" ht="11.25" customHeight="1">
      <c r="A435" s="2" t="s">
        <v>463</v>
      </c>
      <c r="B435" s="5">
        <v>0.629598275904967</v>
      </c>
      <c r="C435" s="5">
        <v>0.897614546815839</v>
      </c>
      <c r="D435" s="5">
        <v>0.820611074996918</v>
      </c>
      <c r="E435" s="5">
        <v>-0.119627702580541</v>
      </c>
      <c r="F435" s="5">
        <v>0.361036267432601</v>
      </c>
      <c r="G435" s="5">
        <v>0.334268839337396</v>
      </c>
      <c r="H435" s="5">
        <v>0.337331016894551</v>
      </c>
      <c r="I435" s="5">
        <v>0.51335013115562</v>
      </c>
      <c r="J435" s="6">
        <v>1.67461922926575</v>
      </c>
      <c r="K435" s="6">
        <v>2.61051717696922</v>
      </c>
      <c r="L435" s="6">
        <v>2.35854705067225</v>
      </c>
      <c r="M435" s="6">
        <v>-0.281733058594851</v>
      </c>
      <c r="N435" s="7">
        <v>0.274417192008037</v>
      </c>
      <c r="O435" s="7">
        <v>0.14885615336209</v>
      </c>
      <c r="P435" s="7">
        <v>0.321315742917077</v>
      </c>
      <c r="Q435" s="7">
        <v>0.907323845886844</v>
      </c>
      <c r="R435" s="6">
        <v>3.567647743479</v>
      </c>
      <c r="S435" s="6">
        <v>6.21734829769652</v>
      </c>
      <c r="T435" s="6">
        <v>5.31665329387108</v>
      </c>
      <c r="U435" s="6">
        <v>-0.549690890458494</v>
      </c>
    </row>
    <row r="436" ht="11.25" customHeight="1">
      <c r="A436" s="2" t="s">
        <v>464</v>
      </c>
      <c r="B436" s="5">
        <v>3.53121828066777</v>
      </c>
      <c r="C436" s="5">
        <v>5.16465058964239</v>
      </c>
      <c r="D436" s="5">
        <v>5.13416637793252</v>
      </c>
      <c r="E436" s="5">
        <v>1.25208887055157</v>
      </c>
      <c r="F436" s="5">
        <v>0.641060877456759</v>
      </c>
      <c r="G436" s="5">
        <v>0.715376044605013</v>
      </c>
      <c r="H436" s="5">
        <v>0.711848431615135</v>
      </c>
      <c r="I436" s="5">
        <v>1.03859917785226</v>
      </c>
      <c r="J436" s="6">
        <v>5.46939987131608</v>
      </c>
      <c r="K436" s="6">
        <v>7.18454388905375</v>
      </c>
      <c r="L436" s="6">
        <v>7.17732336129501</v>
      </c>
      <c r="M436" s="6">
        <v>1.18148453871212</v>
      </c>
      <c r="N436" s="7">
        <v>0.273489932885906</v>
      </c>
      <c r="O436" s="7">
        <v>0.281522601110229</v>
      </c>
      <c r="P436" s="7">
        <v>0.326946742109002</v>
      </c>
      <c r="Q436" s="7">
        <v>0.655342195962579</v>
      </c>
      <c r="R436" s="6">
        <v>11.9456249357223</v>
      </c>
      <c r="S436" s="6">
        <v>15.9523368862221</v>
      </c>
      <c r="T436" s="6">
        <v>16.1086807237047</v>
      </c>
      <c r="U436" s="6">
        <v>2.38106893349725</v>
      </c>
    </row>
    <row r="437" ht="11.25" customHeight="1">
      <c r="A437" s="2" t="s">
        <v>465</v>
      </c>
      <c r="B437" s="5">
        <v>1.21137350669002</v>
      </c>
      <c r="C437" s="5">
        <v>1.46228911378143</v>
      </c>
      <c r="D437" s="5">
        <v>1.01145391344928</v>
      </c>
      <c r="E437" s="5">
        <v>0.641811291846982</v>
      </c>
      <c r="F437" s="5">
        <v>0.322264333885344</v>
      </c>
      <c r="G437" s="5">
        <v>0.336805346282983</v>
      </c>
      <c r="H437" s="5">
        <v>0.365169732686842</v>
      </c>
      <c r="I437" s="5">
        <v>0.484425837678109</v>
      </c>
      <c r="J437" s="6">
        <v>3.68136769088482</v>
      </c>
      <c r="K437" s="6">
        <v>4.26741775225215</v>
      </c>
      <c r="L437" s="6">
        <v>2.70135727348256</v>
      </c>
      <c r="M437" s="6">
        <v>1.27328322288383</v>
      </c>
      <c r="N437" s="7">
        <v>0.191980392531595</v>
      </c>
      <c r="O437" s="7">
        <v>0.113985775827465</v>
      </c>
      <c r="P437" s="7">
        <v>0.395330938943047</v>
      </c>
      <c r="Q437" s="7">
        <v>0.476164018224247</v>
      </c>
      <c r="R437" s="6">
        <v>8.64451644037486</v>
      </c>
      <c r="S437" s="6">
        <v>10.5003653285652</v>
      </c>
      <c r="T437" s="6">
        <v>5.43405828698417</v>
      </c>
      <c r="U437" s="6">
        <v>2.58503523897447</v>
      </c>
    </row>
    <row r="438" ht="11.25" customHeight="1">
      <c r="A438" s="2" t="s">
        <v>466</v>
      </c>
      <c r="B438" s="5">
        <v>0.524394995166229</v>
      </c>
      <c r="C438" s="5">
        <v>0.919815358080896</v>
      </c>
      <c r="D438" s="5">
        <v>0.706865801775899</v>
      </c>
      <c r="E438" s="5">
        <v>0.0677357134896468</v>
      </c>
      <c r="F438" s="5">
        <v>0.306514637377813</v>
      </c>
      <c r="G438" s="5">
        <v>0.297427055599464</v>
      </c>
      <c r="H438" s="5">
        <v>0.309049150486749</v>
      </c>
      <c r="I438" s="5">
        <v>0.431049782980018</v>
      </c>
      <c r="J438" s="6">
        <v>1.62926964740894</v>
      </c>
      <c r="K438" s="6">
        <v>3.00852037914773</v>
      </c>
      <c r="L438" s="6">
        <v>2.20633449631544</v>
      </c>
      <c r="M438" s="6">
        <v>0.0991433360531998</v>
      </c>
      <c r="N438" s="7">
        <v>0.523861427604388</v>
      </c>
      <c r="O438" s="7">
        <v>0.170394254741079</v>
      </c>
      <c r="P438" s="7">
        <v>0.576271186440677</v>
      </c>
      <c r="Q438" s="7">
        <v>0.761550716941051</v>
      </c>
      <c r="R438" s="6">
        <v>3.3167830719449</v>
      </c>
      <c r="S438" s="6">
        <v>6.96166795976242</v>
      </c>
      <c r="T438" s="6">
        <v>4.61781719112012</v>
      </c>
      <c r="U438" s="6">
        <v>0.193189134685597</v>
      </c>
    </row>
    <row r="439" ht="11.25" customHeight="1">
      <c r="A439" s="2" t="s">
        <v>467</v>
      </c>
      <c r="B439" s="5">
        <v>0.637556503232358</v>
      </c>
      <c r="C439" s="5">
        <v>0.74280285839797</v>
      </c>
      <c r="D439" s="5">
        <v>0.660220152438451</v>
      </c>
      <c r="E439" s="5">
        <v>0.227878746884804</v>
      </c>
      <c r="F439" s="5">
        <v>0.224504185483491</v>
      </c>
      <c r="G439" s="5">
        <v>0.214386361492831</v>
      </c>
      <c r="H439" s="5">
        <v>0.202496176175373</v>
      </c>
      <c r="I439" s="5">
        <v>0.32937270302246</v>
      </c>
      <c r="J439" s="6">
        <v>2.72848589398527</v>
      </c>
      <c r="K439" s="6">
        <v>3.34817407879732</v>
      </c>
      <c r="L439" s="6">
        <v>3.13694887694231</v>
      </c>
      <c r="M439" s="6">
        <v>0.615954950191999</v>
      </c>
      <c r="N439" s="7">
        <v>0.146535832848314</v>
      </c>
      <c r="O439" s="7">
        <v>0.081697402339877</v>
      </c>
      <c r="P439" s="7">
        <v>0.157380481563336</v>
      </c>
      <c r="Q439" s="7">
        <v>0.446632220825769</v>
      </c>
      <c r="R439" s="6">
        <v>6.27680271933882</v>
      </c>
      <c r="S439" s="6">
        <v>8.09289939678782</v>
      </c>
      <c r="T439" s="6">
        <v>7.18114704337959</v>
      </c>
      <c r="U439" s="6">
        <v>1.21053260911841</v>
      </c>
    </row>
    <row r="440" ht="11.25" customHeight="1">
      <c r="A440" s="2" t="s">
        <v>468</v>
      </c>
      <c r="B440" s="5">
        <v>0.854096037129343</v>
      </c>
      <c r="C440" s="5">
        <v>1.02295267614422</v>
      </c>
      <c r="D440" s="5">
        <v>0.565531286926795</v>
      </c>
      <c r="E440" s="5">
        <v>0.121637550339766</v>
      </c>
      <c r="F440" s="5">
        <v>0.286380867546136</v>
      </c>
      <c r="G440" s="5">
        <v>0.272905547808814</v>
      </c>
      <c r="H440" s="5">
        <v>0.301197821559211</v>
      </c>
      <c r="I440" s="5">
        <v>0.414803732999539</v>
      </c>
      <c r="J440" s="6">
        <v>2.89508179870212</v>
      </c>
      <c r="K440" s="6">
        <v>3.65676947265047</v>
      </c>
      <c r="L440" s="6">
        <v>1.79460556563333</v>
      </c>
      <c r="M440" s="6">
        <v>0.23297174700179</v>
      </c>
      <c r="N440" s="7">
        <v>0.22731493123392</v>
      </c>
      <c r="O440" s="7">
        <v>0.103778634125454</v>
      </c>
      <c r="P440" s="7">
        <v>0.418776718184807</v>
      </c>
      <c r="Q440" s="7">
        <v>0.649834983498348</v>
      </c>
      <c r="R440" s="6">
        <v>6.62119344277602</v>
      </c>
      <c r="S440" s="6">
        <v>8.96109272821456</v>
      </c>
      <c r="T440" s="6">
        <v>3.41323320110155</v>
      </c>
      <c r="U440" s="6">
        <v>0.44879298424287</v>
      </c>
    </row>
    <row r="441" ht="11.25" customHeight="1">
      <c r="A441" s="2" t="s">
        <v>469</v>
      </c>
      <c r="B441" s="5">
        <v>0.906182660297211</v>
      </c>
      <c r="C441" s="5">
        <v>1.31557386177621</v>
      </c>
      <c r="D441" s="5">
        <v>0.990906720915077</v>
      </c>
      <c r="E441" s="5">
        <v>0.412173487993806</v>
      </c>
      <c r="F441" s="5">
        <v>0.320864364415289</v>
      </c>
      <c r="G441" s="5">
        <v>0.333147782905949</v>
      </c>
      <c r="H441" s="5">
        <v>0.309458380590488</v>
      </c>
      <c r="I441" s="5">
        <v>0.46225912671472</v>
      </c>
      <c r="J441" s="6">
        <v>2.74627773608636</v>
      </c>
      <c r="K441" s="6">
        <v>3.8738779844756</v>
      </c>
      <c r="L441" s="6">
        <v>3.12128150826614</v>
      </c>
      <c r="M441" s="6">
        <v>0.837568077336735</v>
      </c>
      <c r="N441" s="7">
        <v>0.180717508243096</v>
      </c>
      <c r="O441" s="7">
        <v>0.121431469396321</v>
      </c>
      <c r="P441" s="7">
        <v>0.221105556134325</v>
      </c>
      <c r="Q441" s="7">
        <v>0.492702435842605</v>
      </c>
      <c r="R441" s="6">
        <v>5.92478231713412</v>
      </c>
      <c r="S441" s="6">
        <v>9.36340356678761</v>
      </c>
      <c r="T441" s="6">
        <v>6.74884283057054</v>
      </c>
      <c r="U441" s="6">
        <v>1.70414741033438</v>
      </c>
    </row>
    <row r="442" ht="11.25" customHeight="1">
      <c r="A442" s="2" t="s">
        <v>470</v>
      </c>
      <c r="B442" s="5">
        <v>2.56518645388719</v>
      </c>
      <c r="C442" s="5">
        <v>3.50068320260447</v>
      </c>
      <c r="D442" s="5">
        <v>1.4690647345156</v>
      </c>
      <c r="E442" s="5">
        <v>0.667524283612984</v>
      </c>
      <c r="F442" s="5">
        <v>0.704251846820909</v>
      </c>
      <c r="G442" s="5">
        <v>0.691873584630426</v>
      </c>
      <c r="H442" s="5">
        <v>0.663929928223196</v>
      </c>
      <c r="I442" s="5">
        <v>0.942966140395022</v>
      </c>
      <c r="J442" s="6">
        <v>3.60692906288275</v>
      </c>
      <c r="K442" s="6">
        <v>5.02358130128795</v>
      </c>
      <c r="L442" s="6">
        <v>2.17502581692648</v>
      </c>
      <c r="M442" s="6">
        <v>0.681386378670841</v>
      </c>
      <c r="N442" s="7">
        <v>0.41562394318566</v>
      </c>
      <c r="O442" s="7">
        <v>0.220694487204637</v>
      </c>
      <c r="P442" s="7">
        <v>0.482433755760368</v>
      </c>
      <c r="Q442" s="7">
        <v>0.729899856938483</v>
      </c>
      <c r="R442" s="6">
        <v>8.33421283578499</v>
      </c>
      <c r="S442" s="6">
        <v>12.1546344763223</v>
      </c>
      <c r="T442" s="6">
        <v>4.7717202591152</v>
      </c>
      <c r="U442" s="6">
        <v>1.48905668702047</v>
      </c>
    </row>
    <row r="443" ht="11.25" customHeight="1">
      <c r="A443" s="2" t="s">
        <v>471</v>
      </c>
      <c r="B443" s="5">
        <v>1.5221166556983</v>
      </c>
      <c r="C443" s="5">
        <v>2.12300746708555</v>
      </c>
      <c r="D443" s="5">
        <v>1.72642765401146</v>
      </c>
      <c r="E443" s="5">
        <v>-0.0154840011881642</v>
      </c>
      <c r="F443" s="5">
        <v>0.555940742304357</v>
      </c>
      <c r="G443" s="5">
        <v>0.542927840886589</v>
      </c>
      <c r="H443" s="5">
        <v>0.458139947625769</v>
      </c>
      <c r="I443" s="5">
        <v>0.762079229908163</v>
      </c>
      <c r="J443" s="6">
        <v>2.69294286562412</v>
      </c>
      <c r="K443" s="6">
        <v>3.86424734391876</v>
      </c>
      <c r="L443" s="6">
        <v>3.71377275181703</v>
      </c>
      <c r="M443" s="6">
        <v>-0.0531230869433915</v>
      </c>
      <c r="N443" s="7">
        <v>0.474358974358974</v>
      </c>
      <c r="O443" s="7">
        <v>0.474358974358974</v>
      </c>
      <c r="P443" s="7">
        <v>0.371791613722998</v>
      </c>
      <c r="Q443" s="7">
        <v>0.803955423010516</v>
      </c>
      <c r="R443" s="6">
        <v>6.30493693983227</v>
      </c>
      <c r="S443" s="6">
        <v>9.6398278004175</v>
      </c>
      <c r="T443" s="6">
        <v>9.29534418453484</v>
      </c>
      <c r="U443" s="6">
        <v>-0.100002854334092</v>
      </c>
    </row>
    <row r="444" ht="11.25" customHeight="1">
      <c r="A444" s="2" t="s">
        <v>472</v>
      </c>
      <c r="B444" s="5">
        <v>0.491644251692447</v>
      </c>
      <c r="C444" s="5">
        <v>0.598529666582253</v>
      </c>
      <c r="D444" s="5">
        <v>0.646029403895071</v>
      </c>
      <c r="E444" s="5">
        <v>0.0980119199476672</v>
      </c>
      <c r="F444" s="5">
        <v>0.213337002432574</v>
      </c>
      <c r="G444" s="5">
        <v>0.233738173258981</v>
      </c>
      <c r="H444" s="5">
        <v>0.202909134988193</v>
      </c>
      <c r="I444" s="5">
        <v>0.328244486861445</v>
      </c>
      <c r="J444" s="6">
        <v>2.18735730966282</v>
      </c>
      <c r="K444" s="6">
        <v>2.45372699968346</v>
      </c>
      <c r="L444" s="6">
        <v>3.06062811775924</v>
      </c>
      <c r="M444" s="6">
        <v>0.222431519401226</v>
      </c>
      <c r="N444" s="7">
        <v>0.148088420103939</v>
      </c>
      <c r="O444" s="7">
        <v>0.181854043392504</v>
      </c>
      <c r="P444" s="7">
        <v>0.137964774951076</v>
      </c>
      <c r="Q444" s="7">
        <v>0.442622950819672</v>
      </c>
      <c r="R444" s="6">
        <v>4.74319334110348</v>
      </c>
      <c r="S444" s="6">
        <v>5.45024548531001</v>
      </c>
      <c r="T444" s="6">
        <v>7.08643618833158</v>
      </c>
      <c r="U444" s="6">
        <v>0.42880366760388</v>
      </c>
    </row>
    <row r="445" ht="11.25" customHeight="1">
      <c r="A445" s="2" t="s">
        <v>473</v>
      </c>
      <c r="B445" s="5">
        <v>0.839796467589905</v>
      </c>
      <c r="C445" s="5">
        <v>1.01184517536265</v>
      </c>
      <c r="D445" s="5">
        <v>0.731396642857312</v>
      </c>
      <c r="E445" s="5">
        <v>0.18330239725508</v>
      </c>
      <c r="F445" s="5">
        <v>0.283526306158619</v>
      </c>
      <c r="G445" s="5">
        <v>0.29038788314798</v>
      </c>
      <c r="H445" s="5">
        <v>0.270630054174214</v>
      </c>
      <c r="I445" s="5">
        <v>0.412093774711994</v>
      </c>
      <c r="J445" s="6">
        <v>2.87379495267739</v>
      </c>
      <c r="K445" s="6">
        <v>3.39836898380419</v>
      </c>
      <c r="L445" s="6">
        <v>2.61019288863822</v>
      </c>
      <c r="M445" s="6">
        <v>0.384141685628994</v>
      </c>
      <c r="N445" s="7">
        <v>0.203720004837195</v>
      </c>
      <c r="O445" s="7">
        <v>0.125965623489173</v>
      </c>
      <c r="P445" s="7">
        <v>0.293585491192198</v>
      </c>
      <c r="Q445" s="7">
        <v>0.580951296359564</v>
      </c>
      <c r="R445" s="6">
        <v>6.80601339449938</v>
      </c>
      <c r="S445" s="6">
        <v>9.07553985491873</v>
      </c>
      <c r="T445" s="6">
        <v>6.1328884257969</v>
      </c>
      <c r="U445" s="6">
        <v>0.759521875507808</v>
      </c>
    </row>
    <row r="446" ht="11.25" customHeight="1">
      <c r="A446" s="2" t="s">
        <v>474</v>
      </c>
      <c r="B446" s="5">
        <v>0.593731425835025</v>
      </c>
      <c r="C446" s="5">
        <v>0.713087632743606</v>
      </c>
      <c r="D446" s="5">
        <v>0.60186208486282</v>
      </c>
      <c r="E446" s="5">
        <v>0.0956190268397929</v>
      </c>
      <c r="F446" s="5">
        <v>0.238510161510907</v>
      </c>
      <c r="G446" s="5">
        <v>0.24366288166489</v>
      </c>
      <c r="H446" s="5">
        <v>0.264829652737644</v>
      </c>
      <c r="I446" s="5">
        <v>0.358482093028171</v>
      </c>
      <c r="J446" s="6">
        <v>2.3845165431621</v>
      </c>
      <c r="K446" s="6">
        <v>2.82393291929434</v>
      </c>
      <c r="L446" s="6">
        <v>2.17823827090198</v>
      </c>
      <c r="M446" s="6">
        <v>0.19699457298762</v>
      </c>
      <c r="N446" s="7">
        <v>0.127581550524668</v>
      </c>
      <c r="O446" s="7">
        <v>0.12213693965749</v>
      </c>
      <c r="P446" s="7">
        <v>0.414865143092443</v>
      </c>
      <c r="Q446" s="7">
        <v>0.595041322314049</v>
      </c>
      <c r="R446" s="6">
        <v>5.30484908944687</v>
      </c>
      <c r="S446" s="6">
        <v>6.48905683634178</v>
      </c>
      <c r="T446" s="6">
        <v>4.32788345054658</v>
      </c>
      <c r="U446" s="6">
        <v>0.394312957721193</v>
      </c>
    </row>
    <row r="447" ht="11.25" customHeight="1">
      <c r="A447" s="2" t="s">
        <v>475</v>
      </c>
      <c r="B447" s="5">
        <v>2.93013779513463</v>
      </c>
      <c r="C447" s="5">
        <v>4.11427634053348</v>
      </c>
      <c r="D447" s="5">
        <v>1.98807445013057</v>
      </c>
      <c r="E447" s="5">
        <v>0.174817303646619</v>
      </c>
      <c r="F447" s="5">
        <v>0.840749703057321</v>
      </c>
      <c r="G447" s="5">
        <v>0.826320346768912</v>
      </c>
      <c r="H447" s="5">
        <v>0.849947466093044</v>
      </c>
      <c r="I447" s="5">
        <v>1.123869626415</v>
      </c>
      <c r="J447" s="6">
        <v>3.45541340611875</v>
      </c>
      <c r="K447" s="6">
        <v>4.94877846893571</v>
      </c>
      <c r="L447" s="6">
        <v>2.30964209959262</v>
      </c>
      <c r="M447" s="6">
        <v>0.133304878186375</v>
      </c>
      <c r="N447" s="7">
        <v>0.523038980912987</v>
      </c>
      <c r="O447" s="7">
        <v>0.2703146374829</v>
      </c>
      <c r="P447" s="7">
        <v>0.874675904891716</v>
      </c>
      <c r="Q447" s="7">
        <v>0.986951909476661</v>
      </c>
      <c r="R447" s="6">
        <v>9.83148177691771</v>
      </c>
      <c r="S447" s="6">
        <v>16.4169161601615</v>
      </c>
      <c r="T447" s="6">
        <v>5.289498895943</v>
      </c>
      <c r="U447" s="6">
        <v>0.283004650678779</v>
      </c>
    </row>
    <row r="448" ht="11.25" customHeight="1">
      <c r="A448" s="2" t="s">
        <v>476</v>
      </c>
      <c r="B448" s="5">
        <v>1.0301084398197</v>
      </c>
      <c r="C448" s="5">
        <v>1.78157618359785</v>
      </c>
      <c r="D448" s="5">
        <v>0.935476932029781</v>
      </c>
      <c r="E448" s="5">
        <v>0.613761187139503</v>
      </c>
      <c r="F448" s="5">
        <v>0.366503180785478</v>
      </c>
      <c r="G448" s="5">
        <v>0.359203980826195</v>
      </c>
      <c r="H448" s="5">
        <v>0.372412495489812</v>
      </c>
      <c r="I448" s="5">
        <v>0.507725013296878</v>
      </c>
      <c r="J448" s="6">
        <v>2.74242760367205</v>
      </c>
      <c r="K448" s="6">
        <v>4.89019130455514</v>
      </c>
      <c r="L448" s="6">
        <v>2.44480768786311</v>
      </c>
      <c r="M448" s="6">
        <v>1.15960642418702</v>
      </c>
      <c r="N448" s="7">
        <v>0.348630617102121</v>
      </c>
      <c r="O448" s="7">
        <v>0.133359810990264</v>
      </c>
      <c r="P448" s="7">
        <v>0.506801776790671</v>
      </c>
      <c r="Q448" s="7">
        <v>0.560823887199336</v>
      </c>
      <c r="R448" s="6">
        <v>6.03288432340532</v>
      </c>
      <c r="S448" s="6">
        <v>12.783788008427</v>
      </c>
      <c r="T448" s="6">
        <v>4.85388055189921</v>
      </c>
      <c r="U448" s="6">
        <v>2.39760725767643</v>
      </c>
    </row>
    <row r="449" ht="11.25" customHeight="1">
      <c r="A449" s="2" t="s">
        <v>477</v>
      </c>
      <c r="B449" s="5">
        <v>0.434149409178375</v>
      </c>
      <c r="C449" s="5">
        <v>0.641119929498873</v>
      </c>
      <c r="D449" s="5">
        <v>0.654636052606802</v>
      </c>
      <c r="E449" s="5">
        <v>0.268392214949707</v>
      </c>
      <c r="F449" s="5">
        <v>0.221742896875069</v>
      </c>
      <c r="G449" s="5">
        <v>0.241143060038299</v>
      </c>
      <c r="H449" s="5">
        <v>0.258730657642927</v>
      </c>
      <c r="I449" s="5">
        <v>0.348934128321726</v>
      </c>
      <c r="J449" s="6">
        <v>1.84515226843496</v>
      </c>
      <c r="K449" s="6">
        <v>2.55499755788542</v>
      </c>
      <c r="L449" s="6">
        <v>2.43355796465279</v>
      </c>
      <c r="M449" s="6">
        <v>0.697530551454952</v>
      </c>
      <c r="N449" s="7">
        <v>0.200793837080992</v>
      </c>
      <c r="O449" s="7">
        <v>0.196680571278986</v>
      </c>
      <c r="P449" s="7">
        <v>0.458551157580284</v>
      </c>
      <c r="Q449" s="7">
        <v>0.461336331688035</v>
      </c>
      <c r="R449" s="6">
        <v>3.8911062110402</v>
      </c>
      <c r="S449" s="6">
        <v>5.9038860924274</v>
      </c>
      <c r="T449" s="6">
        <v>4.99149722343322</v>
      </c>
      <c r="U449" s="6">
        <v>1.36445296814033</v>
      </c>
    </row>
    <row r="450" ht="11.25" customHeight="1">
      <c r="A450" s="2" t="s">
        <v>478</v>
      </c>
      <c r="B450" s="5">
        <v>1.48584152863598</v>
      </c>
      <c r="C450" s="5">
        <v>2.61980833375334</v>
      </c>
      <c r="D450" s="5">
        <v>2.82290263025181</v>
      </c>
      <c r="E450" s="5">
        <v>0.122299481080551</v>
      </c>
      <c r="F450" s="5">
        <v>0.607591471941701</v>
      </c>
      <c r="G450" s="5">
        <v>0.60721402458445</v>
      </c>
      <c r="H450" s="5">
        <v>0.538210782158813</v>
      </c>
      <c r="I450" s="5">
        <v>0.873745850305944</v>
      </c>
      <c r="J450" s="6">
        <v>2.40431539298523</v>
      </c>
      <c r="K450" s="6">
        <v>4.27330105810569</v>
      </c>
      <c r="L450" s="6">
        <v>5.19852578766477</v>
      </c>
      <c r="M450" s="6">
        <v>0.11135901938359</v>
      </c>
      <c r="N450" s="7">
        <v>0.49375866851595</v>
      </c>
      <c r="O450" s="7">
        <v>0.283353733170134</v>
      </c>
      <c r="P450" s="7">
        <v>0.359649122807017</v>
      </c>
      <c r="Q450" s="7">
        <v>0.783171521035599</v>
      </c>
      <c r="R450" s="6">
        <v>5.06389463554201</v>
      </c>
      <c r="S450" s="6">
        <v>9.98095081716447</v>
      </c>
      <c r="T450" s="6">
        <v>11.672856246764</v>
      </c>
      <c r="U450" s="6">
        <v>0.224313791153067</v>
      </c>
    </row>
    <row r="451" ht="11.25" customHeight="1">
      <c r="A451" s="2" t="s">
        <v>479</v>
      </c>
      <c r="B451" s="5">
        <v>0.531217720282608</v>
      </c>
      <c r="C451" s="5">
        <v>0.805595524158819</v>
      </c>
      <c r="D451" s="5">
        <v>0.645152386414153</v>
      </c>
      <c r="E451" s="5">
        <v>0.078564087905427</v>
      </c>
      <c r="F451" s="5">
        <v>0.272448105100148</v>
      </c>
      <c r="G451" s="5">
        <v>0.273620670744546</v>
      </c>
      <c r="H451" s="5">
        <v>0.290937856186125</v>
      </c>
      <c r="I451" s="5">
        <v>0.415669859001379</v>
      </c>
      <c r="J451" s="6">
        <v>1.85803355136761</v>
      </c>
      <c r="K451" s="6">
        <v>2.85283828167933</v>
      </c>
      <c r="L451" s="6">
        <v>2.13156305797969</v>
      </c>
      <c r="M451" s="6">
        <v>0.128862092705281</v>
      </c>
      <c r="N451" s="7">
        <v>0.184688841239005</v>
      </c>
      <c r="O451" s="7">
        <v>0.15024805102764</v>
      </c>
      <c r="P451" s="7">
        <v>0.482877608606426</v>
      </c>
      <c r="Q451" s="7">
        <v>0.807797413007833</v>
      </c>
      <c r="R451" s="6">
        <v>3.9764810815724</v>
      </c>
      <c r="S451" s="6">
        <v>6.88517899326068</v>
      </c>
      <c r="T451" s="6">
        <v>4.13069531812203</v>
      </c>
      <c r="U451" s="6">
        <v>0.235786394307449</v>
      </c>
    </row>
    <row r="452" ht="11.25" customHeight="1">
      <c r="A452" s="2" t="s">
        <v>480</v>
      </c>
      <c r="B452" s="5">
        <v>0.585361172953715</v>
      </c>
      <c r="C452" s="5">
        <v>0.630385289187788</v>
      </c>
      <c r="D452" s="5">
        <v>0.513847716438022</v>
      </c>
      <c r="E452" s="5">
        <v>0.0778032239569164</v>
      </c>
      <c r="F452" s="5">
        <v>0.232955361572272</v>
      </c>
      <c r="G452" s="5">
        <v>0.231154302267545</v>
      </c>
      <c r="H452" s="5">
        <v>0.229899319019153</v>
      </c>
      <c r="I452" s="5">
        <v>0.345805698625853</v>
      </c>
      <c r="J452" s="6">
        <v>2.40544441291972</v>
      </c>
      <c r="K452" s="6">
        <v>2.61896613322427</v>
      </c>
      <c r="L452" s="6">
        <v>2.12635565222051</v>
      </c>
      <c r="M452" s="6">
        <v>0.152696222667074</v>
      </c>
      <c r="N452" s="7">
        <v>0.128865176390545</v>
      </c>
      <c r="O452" s="7">
        <v>0.110423116615067</v>
      </c>
      <c r="P452" s="7">
        <v>0.254226797912913</v>
      </c>
      <c r="Q452" s="7">
        <v>0.551020408163265</v>
      </c>
      <c r="R452" s="6">
        <v>5.37111532582061</v>
      </c>
      <c r="S452" s="6">
        <v>6.23105544053105</v>
      </c>
      <c r="T452" s="6">
        <v>4.51231496871137</v>
      </c>
      <c r="U452" s="6">
        <v>0.295312073800916</v>
      </c>
    </row>
    <row r="453" ht="11.25" customHeight="1">
      <c r="A453" s="2" t="s">
        <v>481</v>
      </c>
      <c r="B453" s="5">
        <v>0.538466769683402</v>
      </c>
      <c r="C453" s="5">
        <v>0.64421647263187</v>
      </c>
      <c r="D453" s="5">
        <v>0.645393045370638</v>
      </c>
      <c r="E453" s="5">
        <v>0.0847343998110132</v>
      </c>
      <c r="F453" s="5">
        <v>0.239917422890092</v>
      </c>
      <c r="G453" s="5">
        <v>0.232118829337546</v>
      </c>
      <c r="H453" s="5">
        <v>0.231961023402323</v>
      </c>
      <c r="I453" s="5">
        <v>0.350360468859757</v>
      </c>
      <c r="J453" s="6">
        <v>2.14018124860662</v>
      </c>
      <c r="K453" s="6">
        <v>2.66767015153004</v>
      </c>
      <c r="L453" s="6">
        <v>2.67455728669811</v>
      </c>
      <c r="M453" s="6">
        <v>0.170494119971405</v>
      </c>
      <c r="N453" s="7">
        <v>0.236668127798752</v>
      </c>
      <c r="O453" s="7">
        <v>0.111213235294117</v>
      </c>
      <c r="P453" s="7">
        <v>0.206704772668965</v>
      </c>
      <c r="Q453" s="7">
        <v>0.555434782608694</v>
      </c>
      <c r="R453" s="6">
        <v>4.54248134761781</v>
      </c>
      <c r="S453" s="6">
        <v>6.11460125491263</v>
      </c>
      <c r="T453" s="6">
        <v>5.71721703266234</v>
      </c>
      <c r="U453" s="6">
        <v>0.329547734661391</v>
      </c>
    </row>
    <row r="454" ht="11.25" customHeight="1">
      <c r="A454" s="2" t="s">
        <v>482</v>
      </c>
      <c r="B454" s="5">
        <v>0.848892651811244</v>
      </c>
      <c r="C454" s="5">
        <v>1.21908665735208</v>
      </c>
      <c r="D454" s="5">
        <v>1.01487243140702</v>
      </c>
      <c r="E454" s="5">
        <v>0.419308668404851</v>
      </c>
      <c r="F454" s="5">
        <v>0.355987344323921</v>
      </c>
      <c r="G454" s="5">
        <v>0.373254739802453</v>
      </c>
      <c r="H454" s="5">
        <v>0.333875489996334</v>
      </c>
      <c r="I454" s="5">
        <v>0.521005010342976</v>
      </c>
      <c r="J454" s="6">
        <v>2.31438747738617</v>
      </c>
      <c r="K454" s="6">
        <v>3.19911987717572</v>
      </c>
      <c r="L454" s="6">
        <v>2.96479514389598</v>
      </c>
      <c r="M454" s="6">
        <v>0.756823179388003</v>
      </c>
      <c r="N454" s="7">
        <v>0.288938666037902</v>
      </c>
      <c r="O454" s="7">
        <v>0.237142857142857</v>
      </c>
      <c r="P454" s="7">
        <v>0.224578277137461</v>
      </c>
      <c r="Q454" s="7">
        <v>0.599765944997074</v>
      </c>
      <c r="R454" s="6">
        <v>5.14739297399539</v>
      </c>
      <c r="S454" s="6">
        <v>7.7042428699256</v>
      </c>
      <c r="T454" s="6">
        <v>6.81483272759928</v>
      </c>
      <c r="U454" s="6">
        <v>1.55729916754191</v>
      </c>
    </row>
    <row r="455" ht="11.25" customHeight="1">
      <c r="A455" s="2" t="s">
        <v>483</v>
      </c>
      <c r="B455" s="5">
        <v>0.47260781230937</v>
      </c>
      <c r="C455" s="5">
        <v>0.494510602405815</v>
      </c>
      <c r="D455" s="5">
        <v>0.506788206544979</v>
      </c>
      <c r="E455" s="5">
        <v>0.12415878550426</v>
      </c>
      <c r="F455" s="5">
        <v>0.190180949473904</v>
      </c>
      <c r="G455" s="5">
        <v>0.197381216305678</v>
      </c>
      <c r="H455" s="5">
        <v>0.180534808898914</v>
      </c>
      <c r="I455" s="5">
        <v>0.307597346070072</v>
      </c>
      <c r="J455" s="6">
        <v>2.35358911367086</v>
      </c>
      <c r="K455" s="6">
        <v>2.37869950947459</v>
      </c>
      <c r="L455" s="6">
        <v>2.66867209422612</v>
      </c>
      <c r="M455" s="6">
        <v>0.322365543042335</v>
      </c>
      <c r="N455" s="7">
        <v>0.232712914104727</v>
      </c>
      <c r="O455" s="7">
        <v>0.274356599683655</v>
      </c>
      <c r="P455" s="7">
        <v>0.21297111121417</v>
      </c>
      <c r="Q455" s="7">
        <v>0.484473556525958</v>
      </c>
      <c r="R455" s="6">
        <v>4.72540824991204</v>
      </c>
      <c r="S455" s="6">
        <v>4.8987985009538</v>
      </c>
      <c r="T455" s="6">
        <v>5.6580665186725</v>
      </c>
      <c r="U455" s="6">
        <v>0.575409951586981</v>
      </c>
    </row>
    <row r="456" ht="11.25" customHeight="1">
      <c r="A456" s="2" t="s">
        <v>484</v>
      </c>
      <c r="B456" s="5">
        <v>0.834709854090334</v>
      </c>
      <c r="C456" s="5">
        <v>1.05024558986601</v>
      </c>
      <c r="D456" s="5">
        <v>0.997447315174929</v>
      </c>
      <c r="E456" s="5">
        <v>0.543189656068888</v>
      </c>
      <c r="F456" s="5">
        <v>0.236743973526225</v>
      </c>
      <c r="G456" s="5">
        <v>0.243705458797859</v>
      </c>
      <c r="H456" s="5">
        <v>0.231588592352156</v>
      </c>
      <c r="I456" s="5">
        <v>0.347013888753528</v>
      </c>
      <c r="J456" s="6">
        <v>3.42019204134308</v>
      </c>
      <c r="K456" s="6">
        <v>4.20690449415169</v>
      </c>
      <c r="L456" s="6">
        <v>4.19902943101883</v>
      </c>
      <c r="M456" s="6">
        <v>1.49328217936815</v>
      </c>
      <c r="N456" s="7">
        <v>0.129943100995732</v>
      </c>
      <c r="O456" s="7">
        <v>0.129943100995732</v>
      </c>
      <c r="P456" s="7">
        <v>0.143558489927205</v>
      </c>
      <c r="Q456" s="7">
        <v>0.375740375123396</v>
      </c>
      <c r="R456" s="6">
        <v>7.65660086915066</v>
      </c>
      <c r="S456" s="6">
        <v>10.3735081430963</v>
      </c>
      <c r="T456" s="6">
        <v>9.50901359791794</v>
      </c>
      <c r="U456" s="6">
        <v>3.03894586042218</v>
      </c>
    </row>
    <row r="457" ht="11.25" customHeight="1">
      <c r="A457" s="2" t="s">
        <v>485</v>
      </c>
      <c r="B457" s="5">
        <v>0.331288813792318</v>
      </c>
      <c r="C457" s="5">
        <v>0.410684979182196</v>
      </c>
      <c r="D457" s="5">
        <v>0.376760490679594</v>
      </c>
      <c r="E457" s="5">
        <v>0.0763867590367441</v>
      </c>
      <c r="F457" s="5">
        <v>0.178501971783821</v>
      </c>
      <c r="G457" s="5">
        <v>0.178769612459568</v>
      </c>
      <c r="H457" s="5">
        <v>0.160363439685177</v>
      </c>
      <c r="I457" s="5">
        <v>0.266422878629576</v>
      </c>
      <c r="J457" s="6">
        <v>1.71588476436134</v>
      </c>
      <c r="K457" s="6">
        <v>2.15744149061923</v>
      </c>
      <c r="L457" s="6">
        <v>2.19352048927214</v>
      </c>
      <c r="M457" s="6">
        <v>0.192876675235501</v>
      </c>
      <c r="N457" s="7">
        <v>0.169634489222118</v>
      </c>
      <c r="O457" s="7">
        <v>0.169634489222118</v>
      </c>
      <c r="P457" s="7">
        <v>0.195441488327579</v>
      </c>
      <c r="Q457" s="7">
        <v>0.488547968885047</v>
      </c>
      <c r="R457" s="6">
        <v>3.40631971982583</v>
      </c>
      <c r="S457" s="6">
        <v>4.55387546020106</v>
      </c>
      <c r="T457" s="6">
        <v>4.7233311694282</v>
      </c>
      <c r="U457" s="6">
        <v>0.364022651066625</v>
      </c>
    </row>
    <row r="458" ht="11.25" customHeight="1">
      <c r="A458" s="2" t="s">
        <v>486</v>
      </c>
      <c r="B458" s="5">
        <v>0.701765330543967</v>
      </c>
      <c r="C458" s="5">
        <v>0.94842833413235</v>
      </c>
      <c r="D458" s="5">
        <v>0.863900908406619</v>
      </c>
      <c r="E458" s="5">
        <v>0.134379294801984</v>
      </c>
      <c r="F458" s="5">
        <v>0.308282048856703</v>
      </c>
      <c r="G458" s="5">
        <v>0.288788352256075</v>
      </c>
      <c r="H458" s="5">
        <v>0.253003936878271</v>
      </c>
      <c r="I458" s="5">
        <v>0.478732205684795</v>
      </c>
      <c r="J458" s="6">
        <v>2.19527972210455</v>
      </c>
      <c r="K458" s="6">
        <v>3.19759549482634</v>
      </c>
      <c r="L458" s="6">
        <v>3.31576227136038</v>
      </c>
      <c r="M458" s="6">
        <v>0.228476992989273</v>
      </c>
      <c r="N458" s="7">
        <v>0.278935969177787</v>
      </c>
      <c r="O458" s="7">
        <v>0.127994748933377</v>
      </c>
      <c r="P458" s="7">
        <v>0.250774450508924</v>
      </c>
      <c r="Q458" s="7">
        <v>0.80172858617131</v>
      </c>
      <c r="R458" s="6">
        <v>4.61742082386202</v>
      </c>
      <c r="S458" s="6">
        <v>7.39117153022277</v>
      </c>
      <c r="T458" s="6">
        <v>7.57381623125385</v>
      </c>
      <c r="U458" s="6">
        <v>0.411081289347051</v>
      </c>
    </row>
    <row r="459" ht="11.25" customHeight="1">
      <c r="A459" s="2" t="s">
        <v>487</v>
      </c>
      <c r="B459" s="5">
        <v>1.98875645901469</v>
      </c>
      <c r="C459" s="5">
        <v>2.47017942701345</v>
      </c>
      <c r="D459" s="5">
        <v>2.04848300327625</v>
      </c>
      <c r="E459" s="5">
        <v>1.18666884573351</v>
      </c>
      <c r="F459" s="5">
        <v>0.412421997747404</v>
      </c>
      <c r="G459" s="5">
        <v>0.430407568231622</v>
      </c>
      <c r="H459" s="5">
        <v>0.419098061388806</v>
      </c>
      <c r="I459" s="5">
        <v>0.586869741344534</v>
      </c>
      <c r="J459" s="6">
        <v>4.76152210536896</v>
      </c>
      <c r="K459" s="6">
        <v>5.68107906898512</v>
      </c>
      <c r="L459" s="6">
        <v>4.82818507098514</v>
      </c>
      <c r="M459" s="6">
        <v>1.97943217019862</v>
      </c>
      <c r="N459" s="7">
        <v>0.193558473229255</v>
      </c>
      <c r="O459" s="7">
        <v>0.181505847669397</v>
      </c>
      <c r="P459" s="7">
        <v>0.293347037133245</v>
      </c>
      <c r="Q459" s="7">
        <v>0.355264931913172</v>
      </c>
      <c r="R459" s="6">
        <v>10.5833429860319</v>
      </c>
      <c r="S459" s="6">
        <v>12.8165765709088</v>
      </c>
      <c r="T459" s="6">
        <v>10.9420253297449</v>
      </c>
      <c r="U459" s="6">
        <v>4.0713503572664</v>
      </c>
    </row>
    <row r="460" ht="11.25" customHeight="1">
      <c r="A460" s="2" t="s">
        <v>488</v>
      </c>
      <c r="B460" s="5">
        <v>0.407067305752887</v>
      </c>
      <c r="C460" s="5">
        <v>0.480534033715077</v>
      </c>
      <c r="D460" s="5">
        <v>0.417491705571754</v>
      </c>
      <c r="E460" s="5">
        <v>0.0987261153867329</v>
      </c>
      <c r="F460" s="5">
        <v>0.206888581089222</v>
      </c>
      <c r="G460" s="5">
        <v>0.192092958095231</v>
      </c>
      <c r="H460" s="5">
        <v>0.214651330481823</v>
      </c>
      <c r="I460" s="5">
        <v>0.295969561225639</v>
      </c>
      <c r="J460" s="6">
        <v>1.84672978924882</v>
      </c>
      <c r="K460" s="6">
        <v>2.37142495087843</v>
      </c>
      <c r="L460" s="6">
        <v>1.82850814244075</v>
      </c>
      <c r="M460" s="6">
        <v>0.249100330052271</v>
      </c>
      <c r="N460" s="7">
        <v>0.160122539130121</v>
      </c>
      <c r="O460" s="7">
        <v>0.160558694928069</v>
      </c>
      <c r="P460" s="7">
        <v>0.252786888653853</v>
      </c>
      <c r="Q460" s="7">
        <v>0.482310387702046</v>
      </c>
      <c r="R460" s="6">
        <v>3.75316534097196</v>
      </c>
      <c r="S460" s="6">
        <v>5.27758634383476</v>
      </c>
      <c r="T460" s="6">
        <v>3.71207774661116</v>
      </c>
      <c r="U460" s="6">
        <v>0.481854078204019</v>
      </c>
    </row>
    <row r="461" ht="11.25" customHeight="1">
      <c r="A461" s="2" t="s">
        <v>489</v>
      </c>
      <c r="B461" s="5">
        <v>0.912688623101556</v>
      </c>
      <c r="C461" s="5">
        <v>1.17589276146995</v>
      </c>
      <c r="D461" s="5">
        <v>1.07491975117501</v>
      </c>
      <c r="E461" s="5">
        <v>0.211243267773529</v>
      </c>
      <c r="F461" s="5">
        <v>0.349530995398035</v>
      </c>
      <c r="G461" s="5">
        <v>0.345979493082791</v>
      </c>
      <c r="H461" s="5">
        <v>0.33241959854469</v>
      </c>
      <c r="I461" s="5">
        <v>0.508648619921056</v>
      </c>
      <c r="J461" s="6">
        <v>2.5396563818058</v>
      </c>
      <c r="K461" s="6">
        <v>3.32647681287444</v>
      </c>
      <c r="L461" s="6">
        <v>3.15841712032468</v>
      </c>
      <c r="M461" s="6">
        <v>0.366153097598957</v>
      </c>
      <c r="N461" s="7">
        <v>0.260311020960108</v>
      </c>
      <c r="O461" s="7">
        <v>0.260311020960108</v>
      </c>
      <c r="P461" s="7">
        <v>0.303060686015831</v>
      </c>
      <c r="Q461" s="7">
        <v>0.684701492537313</v>
      </c>
      <c r="R461" s="6">
        <v>5.35927963968964</v>
      </c>
      <c r="S461" s="6">
        <v>7.50586279463247</v>
      </c>
      <c r="T461" s="6">
        <v>6.97254764159327</v>
      </c>
      <c r="U461" s="6">
        <v>0.713385911788151</v>
      </c>
    </row>
    <row r="462" ht="11.25" customHeight="1">
      <c r="A462" s="2" t="s">
        <v>490</v>
      </c>
      <c r="B462" s="5">
        <v>0.466917574559534</v>
      </c>
      <c r="C462" s="5">
        <v>0.671428009161749</v>
      </c>
      <c r="D462" s="5">
        <v>0.523803704405673</v>
      </c>
      <c r="E462" s="5">
        <v>0.171240769628973</v>
      </c>
      <c r="F462" s="5">
        <v>0.19745973260425</v>
      </c>
      <c r="G462" s="5">
        <v>0.214137151799522</v>
      </c>
      <c r="H462" s="5">
        <v>0.191371631371812</v>
      </c>
      <c r="I462" s="5">
        <v>0.303989288420925</v>
      </c>
      <c r="J462" s="6">
        <v>2.23801363817921</v>
      </c>
      <c r="K462" s="6">
        <v>3.01875692157773</v>
      </c>
      <c r="L462" s="6">
        <v>2.60646628149684</v>
      </c>
      <c r="M462" s="6">
        <v>0.481072114049221</v>
      </c>
      <c r="N462" s="7">
        <v>0.09512468938629</v>
      </c>
      <c r="O462" s="7">
        <v>0.108700187773836</v>
      </c>
      <c r="P462" s="7">
        <v>0.189350879821639</v>
      </c>
      <c r="Q462" s="7">
        <v>0.338320864505404</v>
      </c>
      <c r="R462" s="6">
        <v>4.79467664111612</v>
      </c>
      <c r="S462" s="6">
        <v>7.29413412675454</v>
      </c>
      <c r="T462" s="6">
        <v>5.50494043367724</v>
      </c>
      <c r="U462" s="6">
        <v>0.922636890219388</v>
      </c>
    </row>
    <row r="463" ht="11.25" customHeight="1">
      <c r="A463" s="2" t="s">
        <v>491</v>
      </c>
      <c r="B463" s="5">
        <v>0.648043677153209</v>
      </c>
      <c r="C463" s="5">
        <v>0.809422087463094</v>
      </c>
      <c r="D463" s="5">
        <v>0.6567886439023</v>
      </c>
      <c r="E463" s="5">
        <v>0.409640650989253</v>
      </c>
      <c r="F463" s="5">
        <v>0.226720181477982</v>
      </c>
      <c r="G463" s="5">
        <v>0.217324931359545</v>
      </c>
      <c r="H463" s="5">
        <v>0.23067144037917</v>
      </c>
      <c r="I463" s="5">
        <v>0.310318028688383</v>
      </c>
      <c r="J463" s="6">
        <v>2.74807329939313</v>
      </c>
      <c r="K463" s="6">
        <v>3.60944362230274</v>
      </c>
      <c r="L463" s="6">
        <v>2.73891142684931</v>
      </c>
      <c r="M463" s="6">
        <v>1.23950468690139</v>
      </c>
      <c r="N463" s="7">
        <v>0.290537837516135</v>
      </c>
      <c r="O463" s="7">
        <v>0.12086062312542</v>
      </c>
      <c r="P463" s="7">
        <v>0.336958731449481</v>
      </c>
      <c r="Q463" s="7">
        <v>0.420036008802151</v>
      </c>
      <c r="R463" s="6">
        <v>5.91142034367542</v>
      </c>
      <c r="S463" s="6">
        <v>9.29429861444156</v>
      </c>
      <c r="T463" s="6">
        <v>5.71510103994094</v>
      </c>
      <c r="U463" s="6">
        <v>2.37791124772545</v>
      </c>
    </row>
    <row r="464" ht="11.25" customHeight="1">
      <c r="A464" s="2" t="s">
        <v>492</v>
      </c>
      <c r="B464" s="5">
        <v>0.941564791097372</v>
      </c>
      <c r="C464" s="5">
        <v>1.38133958280928</v>
      </c>
      <c r="D464" s="5">
        <v>0.985416134954263</v>
      </c>
      <c r="E464" s="5">
        <v>-0.194955923588519</v>
      </c>
      <c r="F464" s="5">
        <v>0.457909957934241</v>
      </c>
      <c r="G464" s="5">
        <v>0.4360999743102</v>
      </c>
      <c r="H464" s="5">
        <v>0.559492676577976</v>
      </c>
      <c r="I464" s="5">
        <v>0.686677905822068</v>
      </c>
      <c r="J464" s="6">
        <v>2.00162668493223</v>
      </c>
      <c r="K464" s="6">
        <v>3.11015744716488</v>
      </c>
      <c r="L464" s="6">
        <v>1.71658392533116</v>
      </c>
      <c r="M464" s="6">
        <v>-0.320318917681201</v>
      </c>
      <c r="N464" s="7">
        <v>0.321947746609273</v>
      </c>
      <c r="O464" s="7">
        <v>0.223655913978494</v>
      </c>
      <c r="P464" s="7">
        <v>0.863887185775597</v>
      </c>
      <c r="Q464" s="7">
        <v>0.98727793696275</v>
      </c>
      <c r="R464" s="6">
        <v>4.47040635455656</v>
      </c>
      <c r="S464" s="6">
        <v>7.33642564705532</v>
      </c>
      <c r="T464" s="6">
        <v>3.11829007688715</v>
      </c>
      <c r="U464" s="6">
        <v>-0.598970115791274</v>
      </c>
    </row>
    <row r="465" ht="11.25" customHeight="1">
      <c r="A465" s="2" t="s">
        <v>493</v>
      </c>
      <c r="B465" s="5">
        <v>0.616879179817006</v>
      </c>
      <c r="C465" s="5">
        <v>0.714994464337865</v>
      </c>
      <c r="D465" s="5">
        <v>0.669710912443467</v>
      </c>
      <c r="E465" s="5">
        <v>-0.113092310855453</v>
      </c>
      <c r="F465" s="5">
        <v>0.363257827048967</v>
      </c>
      <c r="G465" s="5">
        <v>0.338694517568482</v>
      </c>
      <c r="H465" s="5">
        <v>0.361063870201916</v>
      </c>
      <c r="I465" s="5">
        <v>0.51495279933029</v>
      </c>
      <c r="J465" s="6">
        <v>1.62936387255661</v>
      </c>
      <c r="K465" s="6">
        <v>2.03721769484607</v>
      </c>
      <c r="L465" s="6">
        <v>1.78558688822265</v>
      </c>
      <c r="M465" s="6">
        <v>-0.268164987228046</v>
      </c>
      <c r="N465" s="7">
        <v>0.344911996267516</v>
      </c>
      <c r="O465" s="7">
        <v>0.215938303341902</v>
      </c>
      <c r="P465" s="7">
        <v>0.496576079574543</v>
      </c>
      <c r="Q465" s="7">
        <v>0.920014483863732</v>
      </c>
      <c r="R465" s="6">
        <v>3.60178064055405</v>
      </c>
      <c r="S465" s="6">
        <v>4.83246766323183</v>
      </c>
      <c r="T465" s="6">
        <v>4.05568239353093</v>
      </c>
      <c r="U465" s="6">
        <v>-0.492141590776583</v>
      </c>
    </row>
    <row r="466" ht="11.25" customHeight="1">
      <c r="A466" s="2" t="s">
        <v>494</v>
      </c>
      <c r="B466" s="5">
        <v>2.12029868252944</v>
      </c>
      <c r="C466" s="5">
        <v>2.75858986341316</v>
      </c>
      <c r="D466" s="5">
        <v>1.52615884819486</v>
      </c>
      <c r="E466" s="5">
        <v>0.0714514361128795</v>
      </c>
      <c r="F466" s="5">
        <v>0.718002326289801</v>
      </c>
      <c r="G466" s="5">
        <v>0.71638479557393</v>
      </c>
      <c r="H466" s="5">
        <v>0.723691610822204</v>
      </c>
      <c r="I466" s="5">
        <v>0.939926508772197</v>
      </c>
      <c r="J466" s="6">
        <v>2.91823383547609</v>
      </c>
      <c r="K466" s="6">
        <v>3.81581222871034</v>
      </c>
      <c r="L466" s="6">
        <v>2.07430737864898</v>
      </c>
      <c r="M466" s="6">
        <v>0.049420285181187</v>
      </c>
      <c r="N466" s="7">
        <v>0.320565704183853</v>
      </c>
      <c r="O466" s="7">
        <v>0.320565704183853</v>
      </c>
      <c r="P466" s="7">
        <v>0.597046680211283</v>
      </c>
      <c r="Q466" s="7">
        <v>0.935179728933411</v>
      </c>
      <c r="R466" s="6">
        <v>8.32443334670735</v>
      </c>
      <c r="S466" s="6">
        <v>11.2784938556763</v>
      </c>
      <c r="T466" s="6">
        <v>5.15474928897073</v>
      </c>
      <c r="U466" s="6">
        <v>0.107943839005472</v>
      </c>
    </row>
    <row r="467" ht="11.25" customHeight="1">
      <c r="A467" s="2" t="s">
        <v>495</v>
      </c>
      <c r="B467" s="5">
        <v>1.54302464212133</v>
      </c>
      <c r="C467" s="5">
        <v>2.21375999603723</v>
      </c>
      <c r="D467" s="5">
        <v>1.6065113471939</v>
      </c>
      <c r="E467" s="5">
        <v>0.874051757735462</v>
      </c>
      <c r="F467" s="5">
        <v>0.38756672322034</v>
      </c>
      <c r="G467" s="5">
        <v>0.398201745284217</v>
      </c>
      <c r="H467" s="5">
        <v>0.406173464591192</v>
      </c>
      <c r="I467" s="5">
        <v>0.552641896549276</v>
      </c>
      <c r="J467" s="6">
        <v>3.91680851624175</v>
      </c>
      <c r="K467" s="6">
        <v>5.49661075562339</v>
      </c>
      <c r="L467" s="6">
        <v>3.89368455860519</v>
      </c>
      <c r="M467" s="6">
        <v>1.53635068755551</v>
      </c>
      <c r="N467" s="7">
        <v>0.280092491601587</v>
      </c>
      <c r="O467" s="7">
        <v>0.185230769230769</v>
      </c>
      <c r="P467" s="7">
        <v>0.491463264299803</v>
      </c>
      <c r="Q467" s="7">
        <v>0.511428909812282</v>
      </c>
      <c r="R467" s="6">
        <v>8.78580779907467</v>
      </c>
      <c r="S467" s="6">
        <v>13.2008223304821</v>
      </c>
      <c r="T467" s="6">
        <v>8.42023328691614</v>
      </c>
      <c r="U467" s="6">
        <v>3.11872456391424</v>
      </c>
    </row>
    <row r="468" ht="11.25" customHeight="1">
      <c r="A468" s="2" t="s">
        <v>496</v>
      </c>
      <c r="B468" s="5">
        <v>0.423171384342837</v>
      </c>
      <c r="C468" s="5">
        <v>0.499482965908937</v>
      </c>
      <c r="D468" s="5">
        <v>0.416304321126448</v>
      </c>
      <c r="E468" s="5">
        <v>0.177701468030387</v>
      </c>
      <c r="F468" s="5">
        <v>0.165150705345873</v>
      </c>
      <c r="G468" s="5">
        <v>0.171785604193266</v>
      </c>
      <c r="H468" s="5">
        <v>0.146919166506585</v>
      </c>
      <c r="I468" s="5">
        <v>0.265176491285681</v>
      </c>
      <c r="J468" s="6">
        <v>2.41095781885369</v>
      </c>
      <c r="K468" s="6">
        <v>2.76206477333877</v>
      </c>
      <c r="L468" s="6">
        <v>2.66339872755068</v>
      </c>
      <c r="M468" s="6">
        <v>0.575848436978821</v>
      </c>
      <c r="N468" s="7">
        <v>0.0988868383709901</v>
      </c>
      <c r="O468" s="7">
        <v>0.0930551325007613</v>
      </c>
      <c r="P468" s="7">
        <v>0.145225996255683</v>
      </c>
      <c r="Q468" s="7">
        <v>0.441538291034024</v>
      </c>
      <c r="R468" s="6">
        <v>5.15431466238307</v>
      </c>
      <c r="S468" s="6">
        <v>6.01643060450053</v>
      </c>
      <c r="T468" s="6">
        <v>5.63411342458589</v>
      </c>
      <c r="U468" s="6">
        <v>1.07602145109644</v>
      </c>
    </row>
    <row r="469" ht="11.25" customHeight="1">
      <c r="A469" s="2" t="s">
        <v>497</v>
      </c>
      <c r="B469" s="5">
        <v>0.439619789623555</v>
      </c>
      <c r="C469" s="5">
        <v>0.390452187308569</v>
      </c>
      <c r="D469" s="5">
        <v>0.474852879650564</v>
      </c>
      <c r="E469" s="5">
        <v>-9.04756125712502E-4</v>
      </c>
      <c r="F469" s="5">
        <v>0.246431621551528</v>
      </c>
      <c r="G469" s="5">
        <v>0.230372544504638</v>
      </c>
      <c r="H469" s="5">
        <v>0.241565246236342</v>
      </c>
      <c r="I469" s="5">
        <v>0.332130553401698</v>
      </c>
      <c r="J469" s="6">
        <v>1.68249426357347</v>
      </c>
      <c r="K469" s="6">
        <v>1.58635304434557</v>
      </c>
      <c r="L469" s="6">
        <v>1.86224172002969</v>
      </c>
      <c r="M469" s="6">
        <v>-0.077995703377466</v>
      </c>
      <c r="N469" s="7">
        <v>0.267876625086662</v>
      </c>
      <c r="O469" s="7">
        <v>0.204064127437965</v>
      </c>
      <c r="P469" s="7">
        <v>0.320228734810578</v>
      </c>
      <c r="Q469" s="7">
        <v>0.52803970223325</v>
      </c>
      <c r="R469" s="6">
        <v>3.64131300688684</v>
      </c>
      <c r="S469" s="6">
        <v>3.62126088791463</v>
      </c>
      <c r="T469" s="6">
        <v>4.09326328713818</v>
      </c>
      <c r="U469" s="6">
        <v>-0.157172824533917</v>
      </c>
    </row>
    <row r="470" ht="11.25" customHeight="1">
      <c r="A470" s="2" t="s">
        <v>498</v>
      </c>
      <c r="B470" s="5">
        <v>0.524283327448904</v>
      </c>
      <c r="C470" s="5">
        <v>0.651178906543902</v>
      </c>
      <c r="D470" s="5">
        <v>0.541032758478331</v>
      </c>
      <c r="E470" s="5">
        <v>0.135299221776302</v>
      </c>
      <c r="F470" s="5">
        <v>0.215905972850125</v>
      </c>
      <c r="G470" s="5">
        <v>0.219994246592288</v>
      </c>
      <c r="H470" s="5">
        <v>0.256247734930594</v>
      </c>
      <c r="I470" s="5">
        <v>0.323473405964815</v>
      </c>
      <c r="J470" s="6">
        <v>2.31250354428818</v>
      </c>
      <c r="K470" s="6">
        <v>2.84634219414104</v>
      </c>
      <c r="L470" s="6">
        <v>2.01380417515925</v>
      </c>
      <c r="M470" s="6">
        <v>0.340983894633673</v>
      </c>
      <c r="N470" s="7">
        <v>0.161711890634635</v>
      </c>
      <c r="O470" s="7">
        <v>0.12106102295088</v>
      </c>
      <c r="P470" s="7">
        <v>0.364689562424368</v>
      </c>
      <c r="Q470" s="7">
        <v>0.435858164867357</v>
      </c>
      <c r="R470" s="6">
        <v>4.9852434801028</v>
      </c>
      <c r="S470" s="6">
        <v>6.6689689314363</v>
      </c>
      <c r="T470" s="6">
        <v>4.0830902776252</v>
      </c>
      <c r="U470" s="6">
        <v>0.686347778460921</v>
      </c>
    </row>
    <row r="471" ht="11.25" customHeight="1">
      <c r="A471" s="2" t="s">
        <v>499</v>
      </c>
      <c r="B471" s="5">
        <v>1.84785073342841</v>
      </c>
      <c r="C471" s="5">
        <v>2.31936640929527</v>
      </c>
      <c r="D471" s="5">
        <v>2.88167387567598</v>
      </c>
      <c r="E471" s="5">
        <v>0.971043667229115</v>
      </c>
      <c r="F471" s="5">
        <v>0.655031908652334</v>
      </c>
      <c r="G471" s="5">
        <v>0.667110282491266</v>
      </c>
      <c r="H471" s="5">
        <v>0.568029815628759</v>
      </c>
      <c r="I471" s="5">
        <v>0.848714740982696</v>
      </c>
      <c r="J471" s="6">
        <v>2.78284265140419</v>
      </c>
      <c r="K471" s="6">
        <v>3.43926104800418</v>
      </c>
      <c r="L471" s="6">
        <v>5.02909142632573</v>
      </c>
      <c r="M471" s="6">
        <v>1.11467802024237</v>
      </c>
      <c r="N471" s="7">
        <v>0.384542221487056</v>
      </c>
      <c r="O471" s="7">
        <v>0.299999999999999</v>
      </c>
      <c r="P471" s="7">
        <v>0.244325767690253</v>
      </c>
      <c r="Q471" s="7">
        <v>0.463711665516221</v>
      </c>
      <c r="R471" s="6">
        <v>6.35030141736101</v>
      </c>
      <c r="S471" s="6">
        <v>8.37469701447362</v>
      </c>
      <c r="T471" s="6">
        <v>12.4442250638497</v>
      </c>
      <c r="U471" s="6">
        <v>2.42396877957711</v>
      </c>
    </row>
    <row r="472" ht="11.25" customHeight="1">
      <c r="A472" s="2" t="s">
        <v>500</v>
      </c>
      <c r="B472" s="5">
        <v>0.426371865456546</v>
      </c>
      <c r="C472" s="5">
        <v>0.491279817566266</v>
      </c>
      <c r="D472" s="5">
        <v>0.671482948006993</v>
      </c>
      <c r="E472" s="5">
        <v>0.0321001555665829</v>
      </c>
      <c r="F472" s="5">
        <v>0.212568661888096</v>
      </c>
      <c r="G472" s="5">
        <v>0.210134764592588</v>
      </c>
      <c r="H472" s="5">
        <v>0.229484152212231</v>
      </c>
      <c r="I472" s="5">
        <v>0.339737990256279</v>
      </c>
      <c r="J472" s="6">
        <v>1.88819867374356</v>
      </c>
      <c r="K472" s="6">
        <v>2.2189560992932</v>
      </c>
      <c r="L472" s="6">
        <v>2.81711369510655</v>
      </c>
      <c r="M472" s="6">
        <v>0.0208989155473222</v>
      </c>
      <c r="N472" s="7">
        <v>0.189372752696763</v>
      </c>
      <c r="O472" s="7">
        <v>0.145326278659612</v>
      </c>
      <c r="P472" s="7">
        <v>0.294737466275312</v>
      </c>
      <c r="Q472" s="7">
        <v>0.603576751117734</v>
      </c>
      <c r="R472" s="6">
        <v>3.7749705770157</v>
      </c>
      <c r="S472" s="6">
        <v>4.56057430928422</v>
      </c>
      <c r="T472" s="6">
        <v>5.59831579671709</v>
      </c>
      <c r="U472" s="6">
        <v>0.0377773780530686</v>
      </c>
    </row>
    <row r="473" ht="11.25" customHeight="1">
      <c r="A473" s="2" t="s">
        <v>501</v>
      </c>
      <c r="B473" s="5">
        <v>0.33841699686434</v>
      </c>
      <c r="C473" s="5">
        <v>0.435193259460056</v>
      </c>
      <c r="D473" s="5">
        <v>0.505484835537608</v>
      </c>
      <c r="E473" s="5">
        <v>0.08341272316544</v>
      </c>
      <c r="F473" s="5">
        <v>0.168501022930145</v>
      </c>
      <c r="G473" s="5">
        <v>0.173041682143266</v>
      </c>
      <c r="H473" s="5">
        <v>0.164364787101645</v>
      </c>
      <c r="I473" s="5">
        <v>0.251263153819911</v>
      </c>
      <c r="J473" s="6">
        <v>1.8600302325421</v>
      </c>
      <c r="K473" s="6">
        <v>2.37048816435132</v>
      </c>
      <c r="L473" s="6">
        <v>2.92328328962862</v>
      </c>
      <c r="M473" s="6">
        <v>0.232476279460005</v>
      </c>
      <c r="N473" s="7">
        <v>0.113870883922246</v>
      </c>
      <c r="O473" s="7">
        <v>0.100329549615525</v>
      </c>
      <c r="P473" s="7">
        <v>0.120596669066899</v>
      </c>
      <c r="Q473" s="7">
        <v>0.417785499921023</v>
      </c>
      <c r="R473" s="6">
        <v>3.74798770977584</v>
      </c>
      <c r="S473" s="6">
        <v>5.1148449681482</v>
      </c>
      <c r="T473" s="6">
        <v>6.38804518512627</v>
      </c>
      <c r="U473" s="6">
        <v>0.44610779063641</v>
      </c>
    </row>
    <row r="474" ht="11.25" customHeight="1">
      <c r="A474" s="2" t="s">
        <v>502</v>
      </c>
      <c r="B474" s="5">
        <v>0.93523188791359</v>
      </c>
      <c r="C474" s="5">
        <v>1.4287565478081</v>
      </c>
      <c r="D474" s="5">
        <v>0.931415348526406</v>
      </c>
      <c r="E474" s="5">
        <v>0.333334351290248</v>
      </c>
      <c r="F474" s="5">
        <v>0.373864921990249</v>
      </c>
      <c r="G474" s="5">
        <v>0.437345471796146</v>
      </c>
      <c r="H474" s="5">
        <v>0.340624116393277</v>
      </c>
      <c r="I474" s="5">
        <v>0.610639877429313</v>
      </c>
      <c r="J474" s="6">
        <v>2.43465442831068</v>
      </c>
      <c r="K474" s="6">
        <v>3.20972009163139</v>
      </c>
      <c r="L474" s="6">
        <v>2.6610427885261</v>
      </c>
      <c r="M474" s="6">
        <v>0.50493648169242</v>
      </c>
      <c r="N474" s="7">
        <v>0.375211534155499</v>
      </c>
      <c r="O474" s="7">
        <v>0.367445054945055</v>
      </c>
      <c r="P474" s="7">
        <v>0.367445054945054</v>
      </c>
      <c r="Q474" s="7">
        <v>0.881922675026123</v>
      </c>
      <c r="R474" s="6">
        <v>5.50545945944503</v>
      </c>
      <c r="S474" s="6">
        <v>7.88034310035818</v>
      </c>
      <c r="T474" s="6">
        <v>6.08928244772734</v>
      </c>
      <c r="U474" s="6">
        <v>0.999907365111809</v>
      </c>
    </row>
    <row r="475" ht="11.25" customHeight="1">
      <c r="A475" s="2" t="s">
        <v>503</v>
      </c>
      <c r="B475" s="5">
        <v>0.30418583265393</v>
      </c>
      <c r="C475" s="5">
        <v>0.328582326735273</v>
      </c>
      <c r="D475" s="5">
        <v>0.324642706241484</v>
      </c>
      <c r="E475" s="5">
        <v>0.122948740733381</v>
      </c>
      <c r="F475" s="5">
        <v>0.125415434466021</v>
      </c>
      <c r="G475" s="5">
        <v>0.135411204872075</v>
      </c>
      <c r="H475" s="5">
        <v>0.157622070309956</v>
      </c>
      <c r="I475" s="5">
        <v>0.208430249609929</v>
      </c>
      <c r="J475" s="6">
        <v>2.22608831076186</v>
      </c>
      <c r="K475" s="6">
        <v>2.24192914480061</v>
      </c>
      <c r="L475" s="6">
        <v>1.90101998820501</v>
      </c>
      <c r="M475" s="6">
        <v>0.469935342478788</v>
      </c>
      <c r="N475" s="7">
        <v>0.0771952657396353</v>
      </c>
      <c r="O475" s="7">
        <v>0.0862087754024466</v>
      </c>
      <c r="P475" s="7">
        <v>0.270103237586909</v>
      </c>
      <c r="Q475" s="7">
        <v>0.292945098306007</v>
      </c>
      <c r="R475" s="6">
        <v>4.883682381305</v>
      </c>
      <c r="S475" s="6">
        <v>4.92126987145839</v>
      </c>
      <c r="T475" s="6">
        <v>3.6618922420301</v>
      </c>
      <c r="U475" s="6">
        <v>0.899800213565695</v>
      </c>
    </row>
    <row r="476" ht="11.25" customHeight="1">
      <c r="A476" s="2" t="s">
        <v>504</v>
      </c>
      <c r="B476" s="5">
        <v>0.378424654336428</v>
      </c>
      <c r="C476" s="5">
        <v>0.454375613171558</v>
      </c>
      <c r="D476" s="5">
        <v>0.330859291992662</v>
      </c>
      <c r="E476" s="5">
        <v>0.10263901208273</v>
      </c>
      <c r="F476" s="5">
        <v>0.177873180729265</v>
      </c>
      <c r="G476" s="5">
        <v>0.173328629206511</v>
      </c>
      <c r="H476" s="5">
        <v>0.179377420092114</v>
      </c>
      <c r="I476" s="5">
        <v>0.243928737330511</v>
      </c>
      <c r="J476" s="6">
        <v>1.98694740200527</v>
      </c>
      <c r="K476" s="6">
        <v>2.47723422920503</v>
      </c>
      <c r="L476" s="6">
        <v>1.7051159049762</v>
      </c>
      <c r="M476" s="6">
        <v>0.318285631010067</v>
      </c>
      <c r="N476" s="7">
        <v>0.170568999822041</v>
      </c>
      <c r="O476" s="7">
        <v>0.147552449784336</v>
      </c>
      <c r="P476" s="7">
        <v>0.217305747233033</v>
      </c>
      <c r="Q476" s="7">
        <v>0.383733002918511</v>
      </c>
      <c r="R476" s="6">
        <v>4.22575043984612</v>
      </c>
      <c r="S476" s="6">
        <v>5.72228136252284</v>
      </c>
      <c r="T476" s="6">
        <v>3.4108424801778</v>
      </c>
      <c r="U476" s="6">
        <v>0.634094489960033</v>
      </c>
    </row>
    <row r="477" ht="11.25" customHeight="1">
      <c r="A477" s="2" t="s">
        <v>505</v>
      </c>
      <c r="B477" s="5">
        <v>0.128157656858028</v>
      </c>
      <c r="C477" s="5">
        <v>0.176587861122542</v>
      </c>
      <c r="D477" s="5">
        <v>0.131635705308042</v>
      </c>
      <c r="E477" s="5">
        <v>0.00474465797084566</v>
      </c>
      <c r="F477" s="5">
        <v>0.0677355910347338</v>
      </c>
      <c r="G477" s="5">
        <v>0.0688022037836616</v>
      </c>
      <c r="H477" s="5">
        <v>0.0762292937928691</v>
      </c>
      <c r="I477" s="5">
        <v>0.139877695025362</v>
      </c>
      <c r="J477" s="6">
        <v>1.52294613927751</v>
      </c>
      <c r="K477" s="6">
        <v>2.20324136126784</v>
      </c>
      <c r="L477" s="6">
        <v>1.3988809288696</v>
      </c>
      <c r="M477" s="6">
        <v>-0.14480751935097</v>
      </c>
      <c r="N477" s="7">
        <v>0.0731933292155651</v>
      </c>
      <c r="O477" s="7">
        <v>0.0731933292155651</v>
      </c>
      <c r="P477" s="7">
        <v>0.150670549582414</v>
      </c>
      <c r="Q477" s="7">
        <v>0.388212372138333</v>
      </c>
      <c r="R477" s="6">
        <v>3.19837572159105</v>
      </c>
      <c r="S477" s="6">
        <v>5.09884653969122</v>
      </c>
      <c r="T477" s="6">
        <v>2.51834586721801</v>
      </c>
      <c r="U477" s="6">
        <v>-0.227779182764268</v>
      </c>
    </row>
    <row r="478" ht="11.25" customHeight="1">
      <c r="A478" s="2" t="s">
        <v>506</v>
      </c>
      <c r="B478" s="5">
        <v>0.563580750552513</v>
      </c>
      <c r="C478" s="5">
        <v>0.841716372098051</v>
      </c>
      <c r="D478" s="5">
        <v>0.642142673499616</v>
      </c>
      <c r="E478" s="5">
        <v>0.125316609968827</v>
      </c>
      <c r="F478" s="5">
        <v>0.261964931469861</v>
      </c>
      <c r="G478" s="5">
        <v>0.260795010572239</v>
      </c>
      <c r="H478" s="5">
        <v>0.255177328020599</v>
      </c>
      <c r="I478" s="5">
        <v>0.399768893252498</v>
      </c>
      <c r="J478" s="6">
        <v>2.05592690414929</v>
      </c>
      <c r="K478" s="6">
        <v>3.13164109353933</v>
      </c>
      <c r="L478" s="6">
        <v>2.41848552254531</v>
      </c>
      <c r="M478" s="6">
        <v>0.25093650772239</v>
      </c>
      <c r="N478" s="7">
        <v>0.219793205317577</v>
      </c>
      <c r="O478" s="7">
        <v>0.219793205317577</v>
      </c>
      <c r="P478" s="7">
        <v>0.30050094538463</v>
      </c>
      <c r="Q478" s="7">
        <v>0.678038379530917</v>
      </c>
      <c r="R478" s="6">
        <v>4.20318863974982</v>
      </c>
      <c r="S478" s="6">
        <v>6.93364016618524</v>
      </c>
      <c r="T478" s="6">
        <v>5.02891398784881</v>
      </c>
      <c r="U478" s="6">
        <v>0.478449208892701</v>
      </c>
    </row>
    <row r="479" ht="11.25" customHeight="1">
      <c r="A479" s="2" t="s">
        <v>507</v>
      </c>
      <c r="B479" s="5">
        <v>0.349454724130219</v>
      </c>
      <c r="C479" s="5">
        <v>0.371054256353472</v>
      </c>
      <c r="D479" s="5">
        <v>0.278468457842868</v>
      </c>
      <c r="E479" s="5">
        <v>0.109715833567489</v>
      </c>
      <c r="F479" s="5">
        <v>0.131161194770537</v>
      </c>
      <c r="G479" s="5">
        <v>0.145944009709028</v>
      </c>
      <c r="H479" s="5">
        <v>0.155267518887553</v>
      </c>
      <c r="I479" s="5">
        <v>0.205772291032084</v>
      </c>
      <c r="J479" s="6">
        <v>2.47370973326252</v>
      </c>
      <c r="K479" s="6">
        <v>2.37114395474954</v>
      </c>
      <c r="L479" s="6">
        <v>1.6324628593211</v>
      </c>
      <c r="M479" s="6">
        <v>0.411696993519311</v>
      </c>
      <c r="N479" s="7">
        <v>0.0628102474216342</v>
      </c>
      <c r="O479" s="7">
        <v>0.159115683494914</v>
      </c>
      <c r="P479" s="7">
        <v>0.215261044176706</v>
      </c>
      <c r="Q479" s="7">
        <v>0.271774020971538</v>
      </c>
      <c r="R479" s="6">
        <v>5.53752199001639</v>
      </c>
      <c r="S479" s="6">
        <v>5.20330921835691</v>
      </c>
      <c r="T479" s="6">
        <v>3.25538899171306</v>
      </c>
      <c r="U479" s="6">
        <v>0.804245791125914</v>
      </c>
    </row>
    <row r="480" ht="11.25" customHeight="1">
      <c r="A480" s="2" t="s">
        <v>508</v>
      </c>
      <c r="B480" s="5">
        <v>0.507755307055427</v>
      </c>
      <c r="C480" s="5">
        <v>0.621651914441885</v>
      </c>
      <c r="D480" s="5">
        <v>0.536609618386069</v>
      </c>
      <c r="E480" s="5">
        <v>0.246115972867925</v>
      </c>
      <c r="F480" s="5">
        <v>0.165744024538631</v>
      </c>
      <c r="G480" s="5">
        <v>0.175558054539475</v>
      </c>
      <c r="H480" s="5">
        <v>0.183093652018101</v>
      </c>
      <c r="I480" s="5">
        <v>0.262132808887807</v>
      </c>
      <c r="J480" s="6">
        <v>2.91265587642894</v>
      </c>
      <c r="K480" s="6">
        <v>3.39860176741548</v>
      </c>
      <c r="L480" s="6">
        <v>2.79425098984583</v>
      </c>
      <c r="M480" s="6">
        <v>0.84352650782666</v>
      </c>
      <c r="N480" s="7">
        <v>0.0749273102857415</v>
      </c>
      <c r="O480" s="7">
        <v>0.0732880937692782</v>
      </c>
      <c r="P480" s="7">
        <v>0.178901912399753</v>
      </c>
      <c r="Q480" s="7">
        <v>0.22311462020147</v>
      </c>
      <c r="R480" s="6">
        <v>6.34531822105662</v>
      </c>
      <c r="S480" s="6">
        <v>7.73394487552883</v>
      </c>
      <c r="T480" s="6">
        <v>5.87143864415611</v>
      </c>
      <c r="U480" s="6">
        <v>1.66388304449004</v>
      </c>
    </row>
    <row r="481" ht="11.25" customHeight="1">
      <c r="A481" s="2" t="s">
        <v>509</v>
      </c>
      <c r="B481" s="5">
        <v>0.669940560078759</v>
      </c>
      <c r="C481" s="5">
        <v>0.834564059725646</v>
      </c>
      <c r="D481" s="5">
        <v>0.721959330657952</v>
      </c>
      <c r="E481" s="5">
        <v>0.226738547322963</v>
      </c>
      <c r="F481" s="5">
        <v>0.23692491314548</v>
      </c>
      <c r="G481" s="5">
        <v>0.24732287695195</v>
      </c>
      <c r="H481" s="5">
        <v>0.244344765299636</v>
      </c>
      <c r="I481" s="5">
        <v>0.365738000584058</v>
      </c>
      <c r="J481" s="6">
        <v>2.72213061731816</v>
      </c>
      <c r="K481" s="6">
        <v>3.27330843674007</v>
      </c>
      <c r="L481" s="6">
        <v>2.85236039251048</v>
      </c>
      <c r="M481" s="6">
        <v>0.551593072092046</v>
      </c>
      <c r="N481" s="7">
        <v>0.150628424123344</v>
      </c>
      <c r="O481" s="7">
        <v>0.160600146177686</v>
      </c>
      <c r="P481" s="7">
        <v>0.305343496449662</v>
      </c>
      <c r="Q481" s="7">
        <v>0.546822742474916</v>
      </c>
      <c r="R481" s="6">
        <v>5.92479156744725</v>
      </c>
      <c r="S481" s="6">
        <v>7.43549794283508</v>
      </c>
      <c r="T481" s="6">
        <v>5.88764863789309</v>
      </c>
      <c r="U481" s="6">
        <v>1.07413589143921</v>
      </c>
    </row>
    <row r="482" ht="11.25" customHeight="1">
      <c r="A482" s="2" t="s">
        <v>510</v>
      </c>
      <c r="B482" s="5">
        <v>0.883892243988371</v>
      </c>
      <c r="C482" s="5">
        <v>0.99416534447954</v>
      </c>
      <c r="D482" s="5">
        <v>0.604156688796417</v>
      </c>
      <c r="E482" s="5">
        <v>0.219599948689706</v>
      </c>
      <c r="F482" s="5">
        <v>0.313841108485016</v>
      </c>
      <c r="G482" s="5">
        <v>0.324297409133646</v>
      </c>
      <c r="H482" s="5">
        <v>0.360158501085306</v>
      </c>
      <c r="I482" s="5">
        <v>0.484844108042499</v>
      </c>
      <c r="J482" s="6">
        <v>2.73671045878738</v>
      </c>
      <c r="K482" s="6">
        <v>2.98850782394051</v>
      </c>
      <c r="L482" s="6">
        <v>1.60806058180267</v>
      </c>
      <c r="M482" s="6">
        <v>0.401366017368718</v>
      </c>
      <c r="N482" s="7">
        <v>0.236870885575743</v>
      </c>
      <c r="O482" s="7">
        <v>0.270178697375216</v>
      </c>
      <c r="P482" s="7">
        <v>0.600630346690679</v>
      </c>
      <c r="Q482" s="7">
        <v>0.735623599701269</v>
      </c>
      <c r="R482" s="6">
        <v>5.94804300668513</v>
      </c>
      <c r="S482" s="6">
        <v>6.87495564157613</v>
      </c>
      <c r="T482" s="6">
        <v>3.04940591451484</v>
      </c>
      <c r="U482" s="6">
        <v>0.800507340941841</v>
      </c>
    </row>
    <row r="483" ht="11.25" customHeight="1">
      <c r="A483" s="2" t="s">
        <v>511</v>
      </c>
      <c r="B483" s="5">
        <v>3.32982616443939</v>
      </c>
      <c r="C483" s="5">
        <v>4.53578194820546</v>
      </c>
      <c r="D483" s="5">
        <v>1.5218544433373</v>
      </c>
      <c r="E483" s="5">
        <v>0.957579223705702</v>
      </c>
      <c r="F483" s="5">
        <v>0.654975656953564</v>
      </c>
      <c r="G483" s="5">
        <v>0.634997493084833</v>
      </c>
      <c r="H483" s="5">
        <v>0.568200530278255</v>
      </c>
      <c r="I483" s="5">
        <v>0.848532061839779</v>
      </c>
      <c r="J483" s="6">
        <v>5.04572365301462</v>
      </c>
      <c r="K483" s="6">
        <v>7.10362166359425</v>
      </c>
      <c r="L483" s="6">
        <v>2.63437706157062</v>
      </c>
      <c r="M483" s="6">
        <v>1.09905007205466</v>
      </c>
      <c r="N483" s="7">
        <v>0.305312317571511</v>
      </c>
      <c r="O483" s="7">
        <v>0.17221249270286</v>
      </c>
      <c r="P483" s="7">
        <v>0.439721670860565</v>
      </c>
      <c r="Q483" s="7">
        <v>0.701312910284463</v>
      </c>
      <c r="R483" s="6">
        <v>12.9929151969803</v>
      </c>
      <c r="S483" s="6">
        <v>20.0683641295435</v>
      </c>
      <c r="T483" s="6">
        <v>6.39616193920858</v>
      </c>
      <c r="U483" s="6">
        <v>2.37709952749182</v>
      </c>
    </row>
    <row r="484" ht="11.25" customHeight="1">
      <c r="A484" s="2" t="s">
        <v>512</v>
      </c>
      <c r="B484" s="5">
        <v>0.582536922925359</v>
      </c>
      <c r="C484" s="5">
        <v>0.766365095717477</v>
      </c>
      <c r="D484" s="5">
        <v>0.7086394175605</v>
      </c>
      <c r="E484" s="5">
        <v>0.258372118530695</v>
      </c>
      <c r="F484" s="5">
        <v>0.234306233828725</v>
      </c>
      <c r="G484" s="5">
        <v>0.233421047809231</v>
      </c>
      <c r="H484" s="5">
        <v>0.240448670307263</v>
      </c>
      <c r="I484" s="5">
        <v>0.337165100746656</v>
      </c>
      <c r="J484" s="6">
        <v>2.37952236188863</v>
      </c>
      <c r="K484" s="6">
        <v>3.17608503035841</v>
      </c>
      <c r="L484" s="6">
        <v>2.8431823585753</v>
      </c>
      <c r="M484" s="6">
        <v>0.692159769839434</v>
      </c>
      <c r="N484" s="7">
        <v>0.186899935993172</v>
      </c>
      <c r="O484" s="7">
        <v>0.0838489438873478</v>
      </c>
      <c r="P484" s="7">
        <v>0.303948724127817</v>
      </c>
      <c r="Q484" s="7">
        <v>0.464031339031339</v>
      </c>
      <c r="R484" s="6">
        <v>5.18406610905506</v>
      </c>
      <c r="S484" s="6">
        <v>7.531289192113</v>
      </c>
      <c r="T484" s="6">
        <v>6.20584453011813</v>
      </c>
      <c r="U484" s="6">
        <v>1.36839795018496</v>
      </c>
    </row>
    <row r="485" ht="11.25" customHeight="1">
      <c r="A485" s="2" t="s">
        <v>513</v>
      </c>
      <c r="B485" s="5">
        <v>0.594847173571172</v>
      </c>
      <c r="C485" s="5">
        <v>0.832528339091708</v>
      </c>
      <c r="D485" s="5">
        <v>0.525669095394467</v>
      </c>
      <c r="E485" s="5">
        <v>0.283713469702448</v>
      </c>
      <c r="F485" s="5">
        <v>0.209946914251629</v>
      </c>
      <c r="G485" s="5">
        <v>0.214832481237133</v>
      </c>
      <c r="H485" s="5">
        <v>0.232605286077738</v>
      </c>
      <c r="I485" s="5">
        <v>0.314563970905317</v>
      </c>
      <c r="J485" s="6">
        <v>2.71424410119306</v>
      </c>
      <c r="K485" s="6">
        <v>3.75887451674662</v>
      </c>
      <c r="L485" s="6">
        <v>2.15244074559483</v>
      </c>
      <c r="M485" s="6">
        <v>0.822451054893123</v>
      </c>
      <c r="N485" s="7">
        <v>0.162459408938112</v>
      </c>
      <c r="O485" s="7">
        <v>0.103531198582457</v>
      </c>
      <c r="P485" s="7">
        <v>0.352803091553621</v>
      </c>
      <c r="Q485" s="7">
        <v>0.385453267744201</v>
      </c>
      <c r="R485" s="6">
        <v>5.75575437344909</v>
      </c>
      <c r="S485" s="6">
        <v>8.87948866568346</v>
      </c>
      <c r="T485" s="6">
        <v>4.03005291970314</v>
      </c>
      <c r="U485" s="6">
        <v>1.59236657831471</v>
      </c>
    </row>
    <row r="486" ht="11.25" customHeight="1">
      <c r="A486" s="2" t="s">
        <v>514</v>
      </c>
      <c r="B486" s="5">
        <v>1.36779126563344</v>
      </c>
      <c r="C486" s="5">
        <v>2.09932050585706</v>
      </c>
      <c r="D486" s="5">
        <v>2.15886467991344</v>
      </c>
      <c r="E486" s="5">
        <v>0.507690169725035</v>
      </c>
      <c r="F486" s="5">
        <v>0.504544079651573</v>
      </c>
      <c r="G486" s="5">
        <v>0.501162464324565</v>
      </c>
      <c r="H486" s="5">
        <v>0.453645368507591</v>
      </c>
      <c r="I486" s="5">
        <v>0.709095311726342</v>
      </c>
      <c r="J486" s="6">
        <v>2.66139534639023</v>
      </c>
      <c r="K486" s="6">
        <v>4.13901808997746</v>
      </c>
      <c r="L486" s="6">
        <v>4.7038167433153</v>
      </c>
      <c r="M486" s="6">
        <v>0.680712679583076</v>
      </c>
      <c r="N486" s="7">
        <v>0.21222614604916</v>
      </c>
      <c r="O486" s="7">
        <v>0.153312521678806</v>
      </c>
      <c r="P486" s="7">
        <v>0.212701991732431</v>
      </c>
      <c r="Q486" s="7">
        <v>0.555678233438485</v>
      </c>
      <c r="R486" s="6">
        <v>5.83973495321627</v>
      </c>
      <c r="S486" s="6">
        <v>9.72960666218878</v>
      </c>
      <c r="T486" s="6">
        <v>11.1644669707012</v>
      </c>
      <c r="U486" s="6">
        <v>1.30536644099209</v>
      </c>
    </row>
    <row r="487" ht="11.25" customHeight="1">
      <c r="A487" s="2" t="s">
        <v>515</v>
      </c>
      <c r="B487" s="5">
        <v>0.475078239086587</v>
      </c>
      <c r="C487" s="5">
        <v>0.599435462503763</v>
      </c>
      <c r="D487" s="5">
        <v>0.622685593729113</v>
      </c>
      <c r="E487" s="5">
        <v>0.228223388365151</v>
      </c>
      <c r="F487" s="5">
        <v>0.209246379818634</v>
      </c>
      <c r="G487" s="5">
        <v>0.212443598370099</v>
      </c>
      <c r="H487" s="5">
        <v>0.247754705143481</v>
      </c>
      <c r="I487" s="5">
        <v>0.324598857335651</v>
      </c>
      <c r="J487" s="6">
        <v>2.15094874987416</v>
      </c>
      <c r="K487" s="6">
        <v>2.70394338502511</v>
      </c>
      <c r="L487" s="6">
        <v>2.41240864984976</v>
      </c>
      <c r="M487" s="6">
        <v>0.626075489092087</v>
      </c>
      <c r="N487" s="7">
        <v>0.145489296602537</v>
      </c>
      <c r="O487" s="7">
        <v>0.139799416656703</v>
      </c>
      <c r="P487" s="7">
        <v>0.334322348203878</v>
      </c>
      <c r="Q487" s="7">
        <v>0.392646269457864</v>
      </c>
      <c r="R487" s="6">
        <v>4.21023916075429</v>
      </c>
      <c r="S487" s="6">
        <v>5.61094471994833</v>
      </c>
      <c r="T487" s="6">
        <v>4.53502726823355</v>
      </c>
      <c r="U487" s="6">
        <v>1.18114200581334</v>
      </c>
    </row>
    <row r="488" ht="11.25" customHeight="1">
      <c r="A488" s="2" t="s">
        <v>516</v>
      </c>
      <c r="B488" s="5">
        <v>2.7857163775905</v>
      </c>
      <c r="C488" s="5">
        <v>5.56540386612457</v>
      </c>
      <c r="D488" s="5">
        <v>2.66562962888209</v>
      </c>
      <c r="E488" s="5">
        <v>0.202810842006194</v>
      </c>
      <c r="F488" s="5">
        <v>0.882854879369552</v>
      </c>
      <c r="G488" s="5">
        <v>0.886651083545441</v>
      </c>
      <c r="H488" s="5">
        <v>0.838473830928653</v>
      </c>
      <c r="I488" s="5">
        <v>1.14246329483203</v>
      </c>
      <c r="J488" s="6">
        <v>3.12703304031341</v>
      </c>
      <c r="K488" s="6">
        <v>6.24868560919164</v>
      </c>
      <c r="L488" s="6">
        <v>3.14932861525023</v>
      </c>
      <c r="M488" s="6">
        <v>0.155638122301633</v>
      </c>
      <c r="N488" s="7">
        <v>0.468300855303765</v>
      </c>
      <c r="O488" s="7">
        <v>0.35854283355149</v>
      </c>
      <c r="P488" s="7">
        <v>0.691339640360557</v>
      </c>
      <c r="Q488" s="7">
        <v>0.986888888888888</v>
      </c>
      <c r="R488" s="6">
        <v>8.02335726276049</v>
      </c>
      <c r="S488" s="6">
        <v>19.7079347835838</v>
      </c>
      <c r="T488" s="6">
        <v>7.7979981667801</v>
      </c>
      <c r="U488" s="6">
        <v>0.35847588841235</v>
      </c>
    </row>
    <row r="489" ht="11.25" customHeight="1">
      <c r="A489" s="2" t="s">
        <v>517</v>
      </c>
      <c r="B489" s="5">
        <v>0.427732062818623</v>
      </c>
      <c r="C489" s="5">
        <v>0.534892222532634</v>
      </c>
      <c r="D489" s="5">
        <v>0.501060826895829</v>
      </c>
      <c r="E489" s="5">
        <v>0.0959414333136221</v>
      </c>
      <c r="F489" s="5">
        <v>0.163933676802367</v>
      </c>
      <c r="G489" s="5">
        <v>0.173429899766344</v>
      </c>
      <c r="H489" s="5">
        <v>0.192437308497837</v>
      </c>
      <c r="I489" s="5">
        <v>0.261504482758206</v>
      </c>
      <c r="J489" s="6">
        <v>2.45667681390531</v>
      </c>
      <c r="K489" s="6">
        <v>2.94004795724146</v>
      </c>
      <c r="L489" s="6">
        <v>2.47384891532703</v>
      </c>
      <c r="M489" s="6">
        <v>0.271281901424291</v>
      </c>
      <c r="N489" s="7">
        <v>0.0836924202968346</v>
      </c>
      <c r="O489" s="7">
        <v>0.113474972502514</v>
      </c>
      <c r="P489" s="7">
        <v>0.324092855533017</v>
      </c>
      <c r="Q489" s="7">
        <v>0.511960943856793</v>
      </c>
      <c r="R489" s="6">
        <v>5.24336875007124</v>
      </c>
      <c r="S489" s="6">
        <v>6.77268016133922</v>
      </c>
      <c r="T489" s="6">
        <v>4.86361567902811</v>
      </c>
      <c r="U489" s="6">
        <v>0.496830564055315</v>
      </c>
    </row>
    <row r="490" ht="11.25" customHeight="1">
      <c r="A490" s="2" t="s">
        <v>518</v>
      </c>
      <c r="B490" s="5">
        <v>0.532594545131164</v>
      </c>
      <c r="C490" s="5">
        <v>0.633243485449912</v>
      </c>
      <c r="D490" s="5">
        <v>0.65685332429233</v>
      </c>
      <c r="E490" s="5">
        <v>0.163938115999288</v>
      </c>
      <c r="F490" s="5">
        <v>0.231502189090267</v>
      </c>
      <c r="G490" s="5">
        <v>0.214003871118211</v>
      </c>
      <c r="H490" s="5">
        <v>0.207782781753919</v>
      </c>
      <c r="I490" s="5">
        <v>0.338650104775201</v>
      </c>
      <c r="J490" s="6">
        <v>2.19261229073407</v>
      </c>
      <c r="K490" s="6">
        <v>2.8422078641462</v>
      </c>
      <c r="L490" s="6">
        <v>3.04093206837823</v>
      </c>
      <c r="M490" s="6">
        <v>0.410270406062673</v>
      </c>
      <c r="N490" s="7">
        <v>0.180763263186237</v>
      </c>
      <c r="O490" s="7">
        <v>0.141149686966419</v>
      </c>
      <c r="P490" s="7">
        <v>0.190779454520282</v>
      </c>
      <c r="Q490" s="7">
        <v>0.503601108033242</v>
      </c>
      <c r="R490" s="6">
        <v>4.65823182231551</v>
      </c>
      <c r="S490" s="6">
        <v>6.4967947449948</v>
      </c>
      <c r="T490" s="6">
        <v>6.69601662774478</v>
      </c>
      <c r="U490" s="6">
        <v>0.791871795439511</v>
      </c>
    </row>
    <row r="491" ht="11.25" customHeight="1">
      <c r="A491" s="2" t="s">
        <v>519</v>
      </c>
      <c r="B491" s="5">
        <v>0.528208980828417</v>
      </c>
      <c r="C491" s="5">
        <v>0.698734842307031</v>
      </c>
      <c r="D491" s="5">
        <v>0.586273831495661</v>
      </c>
      <c r="E491" s="5">
        <v>0.157604580435761</v>
      </c>
      <c r="F491" s="5">
        <v>0.216596106808124</v>
      </c>
      <c r="G491" s="5">
        <v>0.224644796316031</v>
      </c>
      <c r="H491" s="5">
        <v>0.229802926629413</v>
      </c>
      <c r="I491" s="5">
        <v>0.340299670429073</v>
      </c>
      <c r="J491" s="6">
        <v>2.32325958321215</v>
      </c>
      <c r="K491" s="6">
        <v>2.99911172373304</v>
      </c>
      <c r="L491" s="6">
        <v>2.44241376612573</v>
      </c>
      <c r="M491" s="6">
        <v>0.389670023096303</v>
      </c>
      <c r="N491" s="7">
        <v>0.129676134955076</v>
      </c>
      <c r="O491" s="7">
        <v>0.109317904993909</v>
      </c>
      <c r="P491" s="7">
        <v>0.495746009261016</v>
      </c>
      <c r="Q491" s="7">
        <v>0.589093073565827</v>
      </c>
      <c r="R491" s="6">
        <v>5.03737348165635</v>
      </c>
      <c r="S491" s="6">
        <v>6.92161705448973</v>
      </c>
      <c r="T491" s="6">
        <v>4.87280105897959</v>
      </c>
      <c r="U491" s="6">
        <v>0.750906670568235</v>
      </c>
    </row>
    <row r="492" ht="11.25" customHeight="1">
      <c r="A492" s="2" t="s">
        <v>520</v>
      </c>
      <c r="B492" s="5">
        <v>0.341661226522033</v>
      </c>
      <c r="C492" s="5">
        <v>0.460158220786645</v>
      </c>
      <c r="D492" s="5">
        <v>0.361129846979389</v>
      </c>
      <c r="E492" s="5">
        <v>0.108472886354159</v>
      </c>
      <c r="F492" s="5">
        <v>0.15703543291599</v>
      </c>
      <c r="G492" s="5">
        <v>0.16316258547419</v>
      </c>
      <c r="H492" s="5">
        <v>0.188533955239691</v>
      </c>
      <c r="I492" s="5">
        <v>0.24846782142294</v>
      </c>
      <c r="J492" s="6">
        <v>2.01649538987445</v>
      </c>
      <c r="K492" s="6">
        <v>2.66702209653009</v>
      </c>
      <c r="L492" s="6">
        <v>1.78286105838097</v>
      </c>
      <c r="M492" s="6">
        <v>0.335950489991509</v>
      </c>
      <c r="N492" s="7">
        <v>0.140534408873203</v>
      </c>
      <c r="O492" s="7">
        <v>0.140534408873203</v>
      </c>
      <c r="P492" s="7">
        <v>0.376925187350847</v>
      </c>
      <c r="Q492" s="7">
        <v>0.392760617760617</v>
      </c>
      <c r="R492" s="6">
        <v>4.00787949473364</v>
      </c>
      <c r="S492" s="6">
        <v>5.82414496178608</v>
      </c>
      <c r="T492" s="6">
        <v>3.23007411006322</v>
      </c>
      <c r="U492" s="6">
        <v>0.624738208908581</v>
      </c>
    </row>
    <row r="493" ht="11.25" customHeight="1">
      <c r="A493" s="2" t="s">
        <v>521</v>
      </c>
      <c r="B493" s="5">
        <v>0.701716740537453</v>
      </c>
      <c r="C493" s="5">
        <v>0.80530952990373</v>
      </c>
      <c r="D493" s="5">
        <v>0.517351126628063</v>
      </c>
      <c r="E493" s="5">
        <v>0.486202222425881</v>
      </c>
      <c r="F493" s="5">
        <v>0.21463520631093</v>
      </c>
      <c r="G493" s="5">
        <v>0.221916867370058</v>
      </c>
      <c r="H493" s="5">
        <v>0.226369419592476</v>
      </c>
      <c r="I493" s="5">
        <v>0.325860980430604</v>
      </c>
      <c r="J493" s="6">
        <v>3.15286924344149</v>
      </c>
      <c r="K493" s="6">
        <v>3.51622451754657</v>
      </c>
      <c r="L493" s="6">
        <v>2.17498957020971</v>
      </c>
      <c r="M493" s="6">
        <v>1.41533429935806</v>
      </c>
      <c r="N493" s="7">
        <v>0.124707091669009</v>
      </c>
      <c r="O493" s="7">
        <v>0.129288529021771</v>
      </c>
      <c r="P493" s="7">
        <v>0.262635141074096</v>
      </c>
      <c r="Q493" s="7">
        <v>0.289067796610169</v>
      </c>
      <c r="R493" s="6">
        <v>7.23976406572941</v>
      </c>
      <c r="S493" s="6">
        <v>8.45285110008996</v>
      </c>
      <c r="T493" s="6">
        <v>4.07931569569654</v>
      </c>
      <c r="U493" s="6">
        <v>2.76061037555989</v>
      </c>
    </row>
    <row r="494" ht="11.25" customHeight="1">
      <c r="A494" s="2" t="s">
        <v>522</v>
      </c>
      <c r="B494" s="5">
        <v>0.56010182693698</v>
      </c>
      <c r="C494" s="5">
        <v>0.70822449728795</v>
      </c>
      <c r="D494" s="5">
        <v>0.46600078238272</v>
      </c>
      <c r="E494" s="5">
        <v>0.243710109774088</v>
      </c>
      <c r="F494" s="5">
        <v>0.197271883518625</v>
      </c>
      <c r="G494" s="5">
        <v>0.206874194736641</v>
      </c>
      <c r="H494" s="5">
        <v>0.219657117382904</v>
      </c>
      <c r="I494" s="5">
        <v>0.299763159974466</v>
      </c>
      <c r="J494" s="6">
        <v>2.71250934189239</v>
      </c>
      <c r="K494" s="6">
        <v>3.30260861272581</v>
      </c>
      <c r="L494" s="6">
        <v>2.00767809227857</v>
      </c>
      <c r="M494" s="6">
        <v>0.729609701848344</v>
      </c>
      <c r="N494" s="7">
        <v>0.147111027200207</v>
      </c>
      <c r="O494" s="7">
        <v>0.109959893048128</v>
      </c>
      <c r="P494" s="7">
        <v>0.445464280250879</v>
      </c>
      <c r="Q494" s="7">
        <v>0.457984449760765</v>
      </c>
      <c r="R494" s="6">
        <v>5.99256204268542</v>
      </c>
      <c r="S494" s="6">
        <v>7.638530360518</v>
      </c>
      <c r="T494" s="6">
        <v>3.87831870034322</v>
      </c>
      <c r="U494" s="6">
        <v>1.40092626998306</v>
      </c>
    </row>
    <row r="495" ht="11.25" customHeight="1">
      <c r="A495" s="2" t="s">
        <v>523</v>
      </c>
      <c r="B495" s="5">
        <v>0.242522512756719</v>
      </c>
      <c r="C495" s="5">
        <v>0.353653506646615</v>
      </c>
      <c r="D495" s="5">
        <v>0.228963695358004</v>
      </c>
      <c r="E495" s="5">
        <v>-0.00371005383880185</v>
      </c>
      <c r="F495" s="5">
        <v>0.174474191356888</v>
      </c>
      <c r="G495" s="5">
        <v>0.172224468742985</v>
      </c>
      <c r="H495" s="5">
        <v>0.206376883175957</v>
      </c>
      <c r="I495" s="5">
        <v>0.260479392616933</v>
      </c>
      <c r="J495" s="6">
        <v>1.24673174333145</v>
      </c>
      <c r="K495" s="6">
        <v>1.90828579147526</v>
      </c>
      <c r="L495" s="6">
        <v>0.988306888926628</v>
      </c>
      <c r="M495" s="6">
        <v>-0.110220058294682</v>
      </c>
      <c r="N495" s="7">
        <v>0.157181571815718</v>
      </c>
      <c r="O495" s="7">
        <v>0.157181571815718</v>
      </c>
      <c r="P495" s="7">
        <v>0.494430378493289</v>
      </c>
      <c r="Q495" s="7">
        <v>0.535946080878682</v>
      </c>
      <c r="R495" s="6">
        <v>2.4236088594644</v>
      </c>
      <c r="S495" s="6">
        <v>4.09214398183902</v>
      </c>
      <c r="T495" s="6">
        <v>1.79205731754863</v>
      </c>
      <c r="U495" s="6">
        <v>-0.202354449191624</v>
      </c>
    </row>
    <row r="496" ht="11.25" customHeight="1">
      <c r="A496" s="2" t="s">
        <v>524</v>
      </c>
      <c r="B496" s="5">
        <v>0.558672443136978</v>
      </c>
      <c r="C496" s="5">
        <v>0.727855422636512</v>
      </c>
      <c r="D496" s="5">
        <v>0.672941424390512</v>
      </c>
      <c r="E496" s="5">
        <v>0.0136561881516446</v>
      </c>
      <c r="F496" s="5">
        <v>0.252974631115287</v>
      </c>
      <c r="G496" s="5">
        <v>0.265789979005342</v>
      </c>
      <c r="H496" s="5">
        <v>0.26997846111782</v>
      </c>
      <c r="I496" s="5">
        <v>0.402835818022096</v>
      </c>
      <c r="J496" s="6">
        <v>2.10958877885968</v>
      </c>
      <c r="K496" s="6">
        <v>2.64440151305472</v>
      </c>
      <c r="L496" s="6">
        <v>2.39997450799508</v>
      </c>
      <c r="M496" s="6">
        <v>-0.0281598888203461</v>
      </c>
      <c r="N496" s="7">
        <v>0.194738350967724</v>
      </c>
      <c r="O496" s="7">
        <v>0.151118275236752</v>
      </c>
      <c r="P496" s="7">
        <v>0.433859293970824</v>
      </c>
      <c r="Q496" s="7">
        <v>0.820806126957631</v>
      </c>
      <c r="R496" s="6">
        <v>4.31122460649869</v>
      </c>
      <c r="S496" s="6">
        <v>6.44777904155056</v>
      </c>
      <c r="T496" s="6">
        <v>4.73232893517258</v>
      </c>
      <c r="U496" s="6">
        <v>-0.0513239882650065</v>
      </c>
    </row>
    <row r="497" ht="11.25" customHeight="1">
      <c r="A497" s="2" t="s">
        <v>525</v>
      </c>
      <c r="B497" s="5">
        <v>0.791599148152525</v>
      </c>
      <c r="C497" s="5">
        <v>1.02175857440862</v>
      </c>
      <c r="D497" s="5">
        <v>0.340244841061401</v>
      </c>
      <c r="E497" s="5">
        <v>0.0807604139315707</v>
      </c>
      <c r="F497" s="5">
        <v>0.30995466843095</v>
      </c>
      <c r="G497" s="5">
        <v>0.36166333476803</v>
      </c>
      <c r="H497" s="5">
        <v>0.262141888010832</v>
      </c>
      <c r="I497" s="5">
        <v>0.495590197173769</v>
      </c>
      <c r="J497" s="6">
        <v>2.4732621451814</v>
      </c>
      <c r="K497" s="6">
        <v>2.75603988180871</v>
      </c>
      <c r="L497" s="6">
        <v>1.2025733218507</v>
      </c>
      <c r="M497" s="6">
        <v>0.112513149472202</v>
      </c>
      <c r="N497" s="7">
        <v>0.250561797752808</v>
      </c>
      <c r="O497" s="7">
        <v>0.250561797752808</v>
      </c>
      <c r="P497" s="7">
        <v>0.373643410852713</v>
      </c>
      <c r="Q497" s="7">
        <v>0.47670860251615</v>
      </c>
      <c r="R497" s="6">
        <v>6.15618094553971</v>
      </c>
      <c r="S497" s="6">
        <v>7.56224755032466</v>
      </c>
      <c r="T497" s="6">
        <v>2.78098162125424</v>
      </c>
      <c r="U497" s="6">
        <v>0.227346710787321</v>
      </c>
    </row>
    <row r="498" ht="11.25" customHeight="1">
      <c r="A498" s="2" t="s">
        <v>526</v>
      </c>
      <c r="B498" s="5">
        <v>0.684414182367447</v>
      </c>
      <c r="C498" s="5">
        <v>0.86333382404389</v>
      </c>
      <c r="D498" s="5">
        <v>0.70483314648452</v>
      </c>
      <c r="E498" s="5">
        <v>0.0855488067097485</v>
      </c>
      <c r="F498" s="5">
        <v>0.266549117504232</v>
      </c>
      <c r="G498" s="5">
        <v>0.247482379607305</v>
      </c>
      <c r="H498" s="5">
        <v>0.238710265571416</v>
      </c>
      <c r="I498" s="5">
        <v>0.398327061329424</v>
      </c>
      <c r="J498" s="6">
        <v>2.4738936993741</v>
      </c>
      <c r="K498" s="6">
        <v>3.38744853421129</v>
      </c>
      <c r="L498" s="6">
        <v>2.84794265071574</v>
      </c>
      <c r="M498" s="6">
        <v>0.152007765949081</v>
      </c>
      <c r="N498" s="7">
        <v>0.192426067175163</v>
      </c>
      <c r="O498" s="7">
        <v>0.156633119853613</v>
      </c>
      <c r="P498" s="7">
        <v>0.321080217254329</v>
      </c>
      <c r="Q498" s="7">
        <v>0.68877955880019</v>
      </c>
      <c r="R498" s="6">
        <v>5.39074010577283</v>
      </c>
      <c r="S498" s="6">
        <v>7.84438802816732</v>
      </c>
      <c r="T498" s="6">
        <v>5.99823669005342</v>
      </c>
      <c r="U498" s="6">
        <v>0.285069818391219</v>
      </c>
    </row>
    <row r="499" ht="11.25" customHeight="1">
      <c r="A499" s="2" t="s">
        <v>527</v>
      </c>
      <c r="B499" s="5">
        <v>0.421002231821641</v>
      </c>
      <c r="C499" s="5">
        <v>0.513817524494809</v>
      </c>
      <c r="D499" s="5">
        <v>0.58464706209897</v>
      </c>
      <c r="E499" s="5">
        <v>0.187631659745748</v>
      </c>
      <c r="F499" s="5">
        <v>0.160267745820569</v>
      </c>
      <c r="G499" s="5">
        <v>0.177313667953773</v>
      </c>
      <c r="H499" s="5">
        <v>0.164830938168944</v>
      </c>
      <c r="I499" s="5">
        <v>0.258864907695926</v>
      </c>
      <c r="J499" s="6">
        <v>2.47087915159792</v>
      </c>
      <c r="K499" s="6">
        <v>2.7567955146145</v>
      </c>
      <c r="L499" s="6">
        <v>3.39527923772025</v>
      </c>
      <c r="M499" s="6">
        <v>0.628249155875473</v>
      </c>
      <c r="N499" s="7">
        <v>0.108650331423633</v>
      </c>
      <c r="O499" s="7">
        <v>0.116160889783786</v>
      </c>
      <c r="P499" s="7">
        <v>0.0928762638828255</v>
      </c>
      <c r="Q499" s="7">
        <v>0.418648423643535</v>
      </c>
      <c r="R499" s="6">
        <v>5.00343525541062</v>
      </c>
      <c r="S499" s="6">
        <v>6.00628432888571</v>
      </c>
      <c r="T499" s="6">
        <v>7.57335147084337</v>
      </c>
      <c r="U499" s="6">
        <v>1.20615397956694</v>
      </c>
    </row>
    <row r="500" ht="11.25" customHeight="1">
      <c r="A500" s="2" t="s">
        <v>528</v>
      </c>
      <c r="B500" s="5">
        <v>0.740436387521742</v>
      </c>
      <c r="C500" s="5">
        <v>0.928818961669747</v>
      </c>
      <c r="D500" s="5">
        <v>0.388364241026189</v>
      </c>
      <c r="E500" s="5">
        <v>0.138226405969897</v>
      </c>
      <c r="F500" s="5">
        <v>0.290240655403816</v>
      </c>
      <c r="G500" s="5">
        <v>0.271436951387857</v>
      </c>
      <c r="H500" s="5">
        <v>0.309268218896519</v>
      </c>
      <c r="I500" s="5">
        <v>0.403386872846425</v>
      </c>
      <c r="J500" s="6">
        <v>2.46497647452712</v>
      </c>
      <c r="K500" s="6">
        <v>3.32975653111531</v>
      </c>
      <c r="L500" s="6">
        <v>1.17491620161517</v>
      </c>
      <c r="M500" s="6">
        <v>0.280689366936845</v>
      </c>
      <c r="N500" s="7">
        <v>0.206756756756756</v>
      </c>
      <c r="O500" s="7">
        <v>0.206756756756756</v>
      </c>
      <c r="P500" s="7">
        <v>0.633874917240913</v>
      </c>
      <c r="Q500" s="7">
        <v>0.658748175774283</v>
      </c>
      <c r="R500" s="6">
        <v>5.37188941653734</v>
      </c>
      <c r="S500" s="6">
        <v>8.11869883300855</v>
      </c>
      <c r="T500" s="6">
        <v>2.26092349930239</v>
      </c>
      <c r="U500" s="6">
        <v>0.549802982104762</v>
      </c>
    </row>
    <row r="501" ht="11.25" customHeight="1">
      <c r="A501" s="2" t="s">
        <v>529</v>
      </c>
      <c r="B501" s="5">
        <v>0.835265152549447</v>
      </c>
      <c r="C501" s="5">
        <v>1.16735654304445</v>
      </c>
      <c r="D501" s="5">
        <v>1.04184144569133</v>
      </c>
      <c r="E501" s="5">
        <v>0.309877452024627</v>
      </c>
      <c r="F501" s="5">
        <v>0.272318486968182</v>
      </c>
      <c r="G501" s="5">
        <v>0.282739506003297</v>
      </c>
      <c r="H501" s="5">
        <v>0.284472832771768</v>
      </c>
      <c r="I501" s="5">
        <v>0.404557261064349</v>
      </c>
      <c r="J501" s="6">
        <v>2.97543204492068</v>
      </c>
      <c r="K501" s="6">
        <v>4.04031456089171</v>
      </c>
      <c r="L501" s="6">
        <v>3.57447646505895</v>
      </c>
      <c r="M501" s="6">
        <v>0.704170903459113</v>
      </c>
      <c r="N501" s="7">
        <v>0.180284919042295</v>
      </c>
      <c r="O501" s="7">
        <v>0.103414474759026</v>
      </c>
      <c r="P501" s="7">
        <v>0.324639207183289</v>
      </c>
      <c r="Q501" s="7">
        <v>0.543742348620397</v>
      </c>
      <c r="R501" s="6">
        <v>6.55741809748579</v>
      </c>
      <c r="S501" s="6">
        <v>9.98647986024115</v>
      </c>
      <c r="T501" s="6">
        <v>7.69721473889143</v>
      </c>
      <c r="U501" s="6">
        <v>1.35283392986552</v>
      </c>
    </row>
    <row r="502" ht="11.25" customHeight="1">
      <c r="A502" s="2" t="s">
        <v>530</v>
      </c>
      <c r="B502" s="5">
        <v>3.80996322267758</v>
      </c>
      <c r="C502" s="5">
        <v>6.04907978818272</v>
      </c>
      <c r="D502" s="5">
        <v>0.903295117868862</v>
      </c>
      <c r="E502" s="5">
        <v>2.25486707552898</v>
      </c>
      <c r="F502" s="5">
        <v>0.624761673389961</v>
      </c>
      <c r="G502" s="5">
        <v>0.668494471352549</v>
      </c>
      <c r="H502" s="5">
        <v>0.660144727502224</v>
      </c>
      <c r="I502" s="5">
        <v>0.861282336855037</v>
      </c>
      <c r="J502" s="6">
        <v>6.05825130427791</v>
      </c>
      <c r="K502" s="6">
        <v>9.01141302783602</v>
      </c>
      <c r="L502" s="6">
        <v>1.33045843021733</v>
      </c>
      <c r="M502" s="6">
        <v>2.58900824980495</v>
      </c>
      <c r="N502" s="7">
        <v>0.220934626925443</v>
      </c>
      <c r="O502" s="7">
        <v>0.164817749603803</v>
      </c>
      <c r="P502" s="7">
        <v>0.356914073142336</v>
      </c>
      <c r="Q502" s="7">
        <v>0.506510572213594</v>
      </c>
      <c r="R502" s="6">
        <v>13.0913089060609</v>
      </c>
      <c r="S502" s="6">
        <v>20.9219697739911</v>
      </c>
      <c r="T502" s="6">
        <v>2.62495049763138</v>
      </c>
      <c r="U502" s="6">
        <v>5.4461762474751</v>
      </c>
    </row>
    <row r="503" ht="11.25" customHeight="1">
      <c r="A503" s="2" t="s">
        <v>531</v>
      </c>
      <c r="B503" s="5">
        <v>0.815098116037497</v>
      </c>
      <c r="C503" s="5">
        <v>1.10506443907386</v>
      </c>
      <c r="D503" s="5">
        <v>0.851903798702863</v>
      </c>
      <c r="E503" s="5">
        <v>0.116636798492569</v>
      </c>
      <c r="F503" s="5">
        <v>0.360089935055438</v>
      </c>
      <c r="G503" s="5">
        <v>0.333332027234368</v>
      </c>
      <c r="H503" s="5">
        <v>0.390348818344981</v>
      </c>
      <c r="I503" s="5">
        <v>0.503061890175776</v>
      </c>
      <c r="J503" s="6">
        <v>2.19416884261388</v>
      </c>
      <c r="K503" s="6">
        <v>3.24020601331076</v>
      </c>
      <c r="L503" s="6">
        <v>2.11837146634337</v>
      </c>
      <c r="M503" s="6">
        <v>0.182158100786665</v>
      </c>
      <c r="N503" s="7">
        <v>0.334159810667948</v>
      </c>
      <c r="O503" s="7">
        <v>0.191274490002019</v>
      </c>
      <c r="P503" s="7">
        <v>0.676827233285126</v>
      </c>
      <c r="Q503" s="7">
        <v>0.827247859181731</v>
      </c>
      <c r="R503" s="6">
        <v>4.94742632252488</v>
      </c>
      <c r="S503" s="6">
        <v>7.95688075187851</v>
      </c>
      <c r="T503" s="6">
        <v>4.46074147515849</v>
      </c>
      <c r="U503" s="6">
        <v>0.363942853684662</v>
      </c>
    </row>
    <row r="504" ht="11.25" customHeight="1">
      <c r="A504" s="2" t="s">
        <v>532</v>
      </c>
      <c r="B504" s="5">
        <v>0.643044709104449</v>
      </c>
      <c r="C504" s="5">
        <v>0.923244977398908</v>
      </c>
      <c r="D504" s="5">
        <v>0.58106621653984</v>
      </c>
      <c r="E504" s="5">
        <v>0.215894706724014</v>
      </c>
      <c r="F504" s="5">
        <v>0.241908392343746</v>
      </c>
      <c r="G504" s="5">
        <v>0.251498042889048</v>
      </c>
      <c r="H504" s="5">
        <v>0.266991261266825</v>
      </c>
      <c r="I504" s="5">
        <v>0.384096768990771</v>
      </c>
      <c r="J504" s="6">
        <v>2.55487088776242</v>
      </c>
      <c r="K504" s="6">
        <v>3.57157839910181</v>
      </c>
      <c r="L504" s="6">
        <v>2.08271317158998</v>
      </c>
      <c r="M504" s="6">
        <v>0.496996387721764</v>
      </c>
      <c r="N504" s="7">
        <v>0.152009426583059</v>
      </c>
      <c r="O504" s="7">
        <v>0.162129012263374</v>
      </c>
      <c r="P504" s="7">
        <v>0.408548707753479</v>
      </c>
      <c r="Q504" s="7">
        <v>0.53521505376344</v>
      </c>
      <c r="R504" s="6">
        <v>5.65277312631544</v>
      </c>
      <c r="S504" s="6">
        <v>8.70404797238955</v>
      </c>
      <c r="T504" s="6">
        <v>4.00812181287027</v>
      </c>
      <c r="U504" s="6">
        <v>0.924539534699002</v>
      </c>
    </row>
    <row r="505" ht="11.25" customHeight="1">
      <c r="A505" s="2" t="s">
        <v>533</v>
      </c>
      <c r="B505" s="5">
        <v>0.845515734719865</v>
      </c>
      <c r="C505" s="5">
        <v>1.20546268697837</v>
      </c>
      <c r="D505" s="5">
        <v>0.577602613999715</v>
      </c>
      <c r="E505" s="5">
        <v>0.153942360625073</v>
      </c>
      <c r="F505" s="5">
        <v>0.344285933128056</v>
      </c>
      <c r="G505" s="5">
        <v>0.330566172686203</v>
      </c>
      <c r="H505" s="5">
        <v>0.376337525750805</v>
      </c>
      <c r="I505" s="5">
        <v>0.50073740797135</v>
      </c>
      <c r="J505" s="6">
        <v>2.3832392083666</v>
      </c>
      <c r="K505" s="6">
        <v>3.57103292628478</v>
      </c>
      <c r="L505" s="6">
        <v>1.4683696846262</v>
      </c>
      <c r="M505" s="6">
        <v>0.257504948846264</v>
      </c>
      <c r="N505" s="7">
        <v>0.192996674379689</v>
      </c>
      <c r="O505" s="7">
        <v>0.1179019891099</v>
      </c>
      <c r="P505" s="7">
        <v>0.601697888163895</v>
      </c>
      <c r="Q505" s="7">
        <v>0.75642510833655</v>
      </c>
      <c r="R505" s="6">
        <v>5.30344596552387</v>
      </c>
      <c r="S505" s="6">
        <v>8.54617273724774</v>
      </c>
      <c r="T505" s="6">
        <v>2.74159427199187</v>
      </c>
      <c r="U505" s="6">
        <v>0.506311642719347</v>
      </c>
    </row>
    <row r="506" ht="11.25" customHeight="1">
      <c r="A506" s="2" t="s">
        <v>534</v>
      </c>
      <c r="B506" s="5">
        <v>1.02255833077245</v>
      </c>
      <c r="C506" s="5">
        <v>1.26062329259563</v>
      </c>
      <c r="D506" s="5">
        <v>0.964325733107859</v>
      </c>
      <c r="E506" s="5">
        <v>0.647268663332135</v>
      </c>
      <c r="F506" s="5">
        <v>0.275505416222553</v>
      </c>
      <c r="G506" s="5">
        <v>0.276470576526015</v>
      </c>
      <c r="H506" s="5">
        <v>0.304491515130457</v>
      </c>
      <c r="I506" s="5">
        <v>0.413206383268904</v>
      </c>
      <c r="J506" s="6">
        <v>3.62083019800461</v>
      </c>
      <c r="K506" s="6">
        <v>4.46927592846163</v>
      </c>
      <c r="L506" s="6">
        <v>3.08489953391775</v>
      </c>
      <c r="M506" s="6">
        <v>1.50595123533505</v>
      </c>
      <c r="N506" s="7">
        <v>0.130718141139739</v>
      </c>
      <c r="O506" s="7">
        <v>0.105657452835838</v>
      </c>
      <c r="P506" s="7">
        <v>0.225964593735814</v>
      </c>
      <c r="Q506" s="7">
        <v>0.31191994189331</v>
      </c>
      <c r="R506" s="6">
        <v>8.45938424704932</v>
      </c>
      <c r="S506" s="6">
        <v>10.7061776022283</v>
      </c>
      <c r="T506" s="6">
        <v>6.70748987830369</v>
      </c>
      <c r="U506" s="6">
        <v>3.09033016308725</v>
      </c>
    </row>
    <row r="507" ht="11.25" customHeight="1">
      <c r="A507" s="2" t="s">
        <v>535</v>
      </c>
      <c r="B507" s="5">
        <v>0.631596869967254</v>
      </c>
      <c r="C507" s="5">
        <v>0.74495248369956</v>
      </c>
      <c r="D507" s="5">
        <v>0.593441192754514</v>
      </c>
      <c r="E507" s="5">
        <v>0.146196163089496</v>
      </c>
      <c r="F507" s="5">
        <v>0.260559074435785</v>
      </c>
      <c r="G507" s="5">
        <v>0.249433949745724</v>
      </c>
      <c r="H507" s="5">
        <v>0.254685249882066</v>
      </c>
      <c r="I507" s="5">
        <v>0.378917012157351</v>
      </c>
      <c r="J507" s="6">
        <v>2.32805889136956</v>
      </c>
      <c r="K507" s="6">
        <v>2.886345200537</v>
      </c>
      <c r="L507" s="6">
        <v>2.23193605840045</v>
      </c>
      <c r="M507" s="6">
        <v>0.319848830221345</v>
      </c>
      <c r="N507" s="7">
        <v>0.246610169491524</v>
      </c>
      <c r="O507" s="7">
        <v>0.246610169491524</v>
      </c>
      <c r="P507" s="7">
        <v>0.242174820310688</v>
      </c>
      <c r="Q507" s="7">
        <v>0.473529411764706</v>
      </c>
      <c r="R507" s="6">
        <v>5.41346720633745</v>
      </c>
      <c r="S507" s="6">
        <v>7.38536220242337</v>
      </c>
      <c r="T507" s="6">
        <v>4.80728285957133</v>
      </c>
      <c r="U507" s="6">
        <v>0.615871176582929</v>
      </c>
    </row>
    <row r="508" ht="11.25" customHeight="1">
      <c r="A508" s="2" t="s">
        <v>536</v>
      </c>
      <c r="B508" s="5">
        <v>1.11145707492579</v>
      </c>
      <c r="C508" s="5">
        <v>1.54010827334937</v>
      </c>
      <c r="D508" s="5">
        <v>1.22746448590873</v>
      </c>
      <c r="E508" s="5">
        <v>0.588948864209657</v>
      </c>
      <c r="F508" s="5">
        <v>0.274050367532702</v>
      </c>
      <c r="G508" s="5">
        <v>0.2814484286531</v>
      </c>
      <c r="H508" s="5">
        <v>0.274641578519924</v>
      </c>
      <c r="I508" s="5">
        <v>0.468730598145454</v>
      </c>
      <c r="J508" s="6">
        <v>3.9644430500395</v>
      </c>
      <c r="K508" s="6">
        <v>5.38325362340828</v>
      </c>
      <c r="L508" s="6">
        <v>4.37830459753749</v>
      </c>
      <c r="M508" s="6">
        <v>1.20314070905747</v>
      </c>
      <c r="N508" s="7">
        <v>0.132332071901608</v>
      </c>
      <c r="O508" s="7">
        <v>0.127190420474448</v>
      </c>
      <c r="P508" s="7">
        <v>0.254988812886057</v>
      </c>
      <c r="Q508" s="7">
        <v>0.517154255319149</v>
      </c>
      <c r="R508" s="6">
        <v>8.03444024222868</v>
      </c>
      <c r="S508" s="6">
        <v>11.6328047048548</v>
      </c>
      <c r="T508" s="6">
        <v>9.52447413443423</v>
      </c>
      <c r="U508" s="6">
        <v>2.24967326131937</v>
      </c>
    </row>
    <row r="509" ht="11.25" customHeight="1">
      <c r="A509" s="2" t="s">
        <v>537</v>
      </c>
      <c r="B509" s="5">
        <v>0.463325882726678</v>
      </c>
      <c r="C509" s="5">
        <v>0.648338131316926</v>
      </c>
      <c r="D509" s="5">
        <v>0.503720451688284</v>
      </c>
      <c r="E509" s="5">
        <v>0.296081368831539</v>
      </c>
      <c r="F509" s="5">
        <v>0.137780696269369</v>
      </c>
      <c r="G509" s="5">
        <v>0.146553441198246</v>
      </c>
      <c r="H509" s="5">
        <v>0.140011888946574</v>
      </c>
      <c r="I509" s="5">
        <v>0.23551483611011</v>
      </c>
      <c r="J509" s="6">
        <v>3.18133014707462</v>
      </c>
      <c r="K509" s="6">
        <v>4.25331623891193</v>
      </c>
      <c r="L509" s="6">
        <v>3.41914144070259</v>
      </c>
      <c r="M509" s="6">
        <v>1.15101610288704</v>
      </c>
      <c r="N509" s="7">
        <v>0.0702110387313714</v>
      </c>
      <c r="O509" s="7">
        <v>0.0605679811224525</v>
      </c>
      <c r="P509" s="7">
        <v>0.134815835509022</v>
      </c>
      <c r="Q509" s="7">
        <v>0.285593720989112</v>
      </c>
      <c r="R509" s="6">
        <v>6.43352740219302</v>
      </c>
      <c r="S509" s="6">
        <v>9.43415930455564</v>
      </c>
      <c r="T509" s="6">
        <v>7.24128070757591</v>
      </c>
      <c r="U509" s="6">
        <v>2.15657592471203</v>
      </c>
    </row>
    <row r="510" ht="11.25" customHeight="1">
      <c r="A510" s="2" t="s">
        <v>538</v>
      </c>
      <c r="B510" s="5">
        <v>1.09690546734368</v>
      </c>
      <c r="C510" s="5">
        <v>1.46119859143051</v>
      </c>
      <c r="D510" s="5">
        <v>1.20485147634302</v>
      </c>
      <c r="E510" s="5">
        <v>0.352656787740578</v>
      </c>
      <c r="F510" s="5">
        <v>0.391445775751576</v>
      </c>
      <c r="G510" s="5">
        <v>0.384137966550362</v>
      </c>
      <c r="H510" s="5">
        <v>0.389886274496664</v>
      </c>
      <c r="I510" s="5">
        <v>0.545552946950287</v>
      </c>
      <c r="J510" s="6">
        <v>2.73832426799249</v>
      </c>
      <c r="K510" s="6">
        <v>3.73875720832251</v>
      </c>
      <c r="L510" s="6">
        <v>3.02614263060731</v>
      </c>
      <c r="M510" s="6">
        <v>0.60059576173536</v>
      </c>
      <c r="N510" s="7">
        <v>0.305796719500271</v>
      </c>
      <c r="O510" s="7">
        <v>0.148182967927985</v>
      </c>
      <c r="P510" s="7">
        <v>0.412204822471418</v>
      </c>
      <c r="Q510" s="7">
        <v>0.606764605398018</v>
      </c>
      <c r="R510" s="6">
        <v>6.0619835444033</v>
      </c>
      <c r="S510" s="6">
        <v>9.04267058781919</v>
      </c>
      <c r="T510" s="6">
        <v>6.68734162872152</v>
      </c>
      <c r="U510" s="6">
        <v>1.23367929382383</v>
      </c>
    </row>
    <row r="511" ht="11.25" customHeight="1">
      <c r="A511" s="2" t="s">
        <v>539</v>
      </c>
      <c r="B511" s="5">
        <v>0.967361816159735</v>
      </c>
      <c r="C511" s="5">
        <v>1.39474320383879</v>
      </c>
      <c r="D511" s="5">
        <v>1.05058033672236</v>
      </c>
      <c r="E511" s="5">
        <v>0.140295074032498</v>
      </c>
      <c r="F511" s="5">
        <v>0.410922500171747</v>
      </c>
      <c r="G511" s="5">
        <v>0.384763500555928</v>
      </c>
      <c r="H511" s="5">
        <v>0.419902032819692</v>
      </c>
      <c r="I511" s="5">
        <v>0.574115364589295</v>
      </c>
      <c r="J511" s="6">
        <v>2.29328356506608</v>
      </c>
      <c r="K511" s="6">
        <v>3.55996138370636</v>
      </c>
      <c r="L511" s="6">
        <v>2.44242765350638</v>
      </c>
      <c r="M511" s="6">
        <v>0.200822136357519</v>
      </c>
      <c r="N511" s="7">
        <v>0.424899787785899</v>
      </c>
      <c r="O511" s="7">
        <v>0.3260721382297</v>
      </c>
      <c r="P511" s="7">
        <v>0.443890514734774</v>
      </c>
      <c r="Q511" s="7">
        <v>0.834653831914105</v>
      </c>
      <c r="R511" s="6">
        <v>5.17144750339678</v>
      </c>
      <c r="S511" s="6">
        <v>8.80596638979282</v>
      </c>
      <c r="T511" s="6">
        <v>5.327853385147</v>
      </c>
      <c r="U511" s="6">
        <v>0.387762960711425</v>
      </c>
    </row>
    <row r="512" ht="11.25" customHeight="1">
      <c r="A512" s="2" t="s">
        <v>540</v>
      </c>
      <c r="B512" s="5">
        <v>0.409352815483192</v>
      </c>
      <c r="C512" s="5">
        <v>0.506542712050267</v>
      </c>
      <c r="D512" s="5">
        <v>0.49657745135259</v>
      </c>
      <c r="E512" s="5">
        <v>0.139883107254947</v>
      </c>
      <c r="F512" s="5">
        <v>0.191041847842179</v>
      </c>
      <c r="G512" s="5">
        <v>0.188991253259008</v>
      </c>
      <c r="H512" s="5">
        <v>0.186767137966513</v>
      </c>
      <c r="I512" s="5">
        <v>0.283649464705605</v>
      </c>
      <c r="J512" s="6">
        <v>2.01187760600341</v>
      </c>
      <c r="K512" s="6">
        <v>2.54796295461528</v>
      </c>
      <c r="L512" s="6">
        <v>2.52494874894501</v>
      </c>
      <c r="M512" s="6">
        <v>0.405017888449682</v>
      </c>
      <c r="N512" s="7">
        <v>0.240565244219824</v>
      </c>
      <c r="O512" s="7">
        <v>0.0868567966417104</v>
      </c>
      <c r="P512" s="7">
        <v>0.143719170282661</v>
      </c>
      <c r="Q512" s="7">
        <v>0.445746795530879</v>
      </c>
      <c r="R512" s="6">
        <v>4.29948019591192</v>
      </c>
      <c r="S512" s="6">
        <v>5.96624171686516</v>
      </c>
      <c r="T512" s="6">
        <v>5.66777507020438</v>
      </c>
      <c r="U512" s="6">
        <v>0.790275724596478</v>
      </c>
    </row>
    <row r="513" ht="11.25" customHeight="1">
      <c r="A513" s="2" t="s">
        <v>541</v>
      </c>
      <c r="B513" s="5">
        <v>0.492078085508902</v>
      </c>
      <c r="C513" s="5">
        <v>0.502277112900887</v>
      </c>
      <c r="D513" s="5">
        <v>0.565961792921113</v>
      </c>
      <c r="E513" s="5">
        <v>0.0778923282478296</v>
      </c>
      <c r="F513" s="5">
        <v>0.251960907018609</v>
      </c>
      <c r="G513" s="5">
        <v>0.241642452541185</v>
      </c>
      <c r="H513" s="5">
        <v>0.279491786433573</v>
      </c>
      <c r="I513" s="5">
        <v>0.351401197008831</v>
      </c>
      <c r="J513" s="6">
        <v>1.85377204359089</v>
      </c>
      <c r="K513" s="6">
        <v>1.97513767916893</v>
      </c>
      <c r="L513" s="6">
        <v>1.93551946489734</v>
      </c>
      <c r="M513" s="6">
        <v>0.150518349675685</v>
      </c>
      <c r="N513" s="7">
        <v>0.196962828649138</v>
      </c>
      <c r="O513" s="7">
        <v>0.206985960502042</v>
      </c>
      <c r="P513" s="7">
        <v>0.480019336126329</v>
      </c>
      <c r="Q513" s="7">
        <v>0.62168815943728</v>
      </c>
      <c r="R513" s="6">
        <v>4.40429316393052</v>
      </c>
      <c r="S513" s="6">
        <v>4.85863353629678</v>
      </c>
      <c r="T513" s="6">
        <v>3.98962586880872</v>
      </c>
      <c r="U513" s="6">
        <v>0.297640706163711</v>
      </c>
    </row>
    <row r="514" ht="11.25" customHeight="1">
      <c r="A514" s="2" t="s">
        <v>542</v>
      </c>
      <c r="B514" s="5">
        <v>1.04480974618592</v>
      </c>
      <c r="C514" s="5">
        <v>1.38548832457289</v>
      </c>
      <c r="D514" s="5">
        <v>1.30383219804112</v>
      </c>
      <c r="E514" s="5">
        <v>0.471966889664859</v>
      </c>
      <c r="F514" s="5">
        <v>0.340831237756621</v>
      </c>
      <c r="G514" s="5">
        <v>0.364173580893223</v>
      </c>
      <c r="H514" s="5">
        <v>0.356412074589317</v>
      </c>
      <c r="I514" s="5">
        <v>0.485549280639933</v>
      </c>
      <c r="J514" s="6">
        <v>2.99212523153217</v>
      </c>
      <c r="K514" s="6">
        <v>3.73582378281251</v>
      </c>
      <c r="L514" s="6">
        <v>3.58807203575996</v>
      </c>
      <c r="M514" s="6">
        <v>0.920538671328634</v>
      </c>
      <c r="N514" s="7">
        <v>0.204784199707666</v>
      </c>
      <c r="O514" s="7">
        <v>0.127441297376238</v>
      </c>
      <c r="P514" s="7">
        <v>0.34609680704701</v>
      </c>
      <c r="Q514" s="7">
        <v>0.538386225523297</v>
      </c>
      <c r="R514" s="6">
        <v>7.41214982390436</v>
      </c>
      <c r="S514" s="6">
        <v>9.78654405357781</v>
      </c>
      <c r="T514" s="6">
        <v>8.77433455904364</v>
      </c>
      <c r="U514" s="6">
        <v>2.05874109918074</v>
      </c>
    </row>
    <row r="515" ht="11.25" customHeight="1">
      <c r="A515" s="2" t="s">
        <v>543</v>
      </c>
      <c r="B515" s="5">
        <v>0.740443054742823</v>
      </c>
      <c r="C515" s="5">
        <v>0.81799184410286</v>
      </c>
      <c r="D515" s="5">
        <v>0.672800135130595</v>
      </c>
      <c r="E515" s="5">
        <v>0.139035168463043</v>
      </c>
      <c r="F515" s="5">
        <v>0.30901558658541</v>
      </c>
      <c r="G515" s="5">
        <v>0.296781498043344</v>
      </c>
      <c r="H515" s="5">
        <v>0.284721545481539</v>
      </c>
      <c r="I515" s="5">
        <v>0.459513277944209</v>
      </c>
      <c r="J515" s="6">
        <v>2.31523290669054</v>
      </c>
      <c r="K515" s="6">
        <v>2.67197197039232</v>
      </c>
      <c r="L515" s="6">
        <v>2.27520588241747</v>
      </c>
      <c r="M515" s="6">
        <v>0.248165121524276</v>
      </c>
      <c r="N515" s="7">
        <v>0.20292614526094</v>
      </c>
      <c r="O515" s="7">
        <v>0.212263024769556</v>
      </c>
      <c r="P515" s="7">
        <v>0.326407284584796</v>
      </c>
      <c r="Q515" s="7">
        <v>0.662569832402234</v>
      </c>
      <c r="R515" s="6">
        <v>4.96558945944259</v>
      </c>
      <c r="S515" s="6">
        <v>5.95507292178751</v>
      </c>
      <c r="T515" s="6">
        <v>4.7707950356671</v>
      </c>
      <c r="U515" s="6">
        <v>0.480654820580585</v>
      </c>
    </row>
    <row r="516" ht="11.25" customHeight="1">
      <c r="A516" s="2" t="s">
        <v>544</v>
      </c>
      <c r="B516" s="5">
        <v>0.639303996813928</v>
      </c>
      <c r="C516" s="5">
        <v>0.822427057949608</v>
      </c>
      <c r="D516" s="5">
        <v>0.779351376974343</v>
      </c>
      <c r="E516" s="5">
        <v>0.156000929244173</v>
      </c>
      <c r="F516" s="5">
        <v>0.25485027799982</v>
      </c>
      <c r="G516" s="5">
        <v>0.251891532275397</v>
      </c>
      <c r="H516" s="5">
        <v>0.277398856941033</v>
      </c>
      <c r="I516" s="5">
        <v>0.369904055500205</v>
      </c>
      <c r="J516" s="6">
        <v>2.41045056585875</v>
      </c>
      <c r="K516" s="6">
        <v>3.16575571535198</v>
      </c>
      <c r="L516" s="6">
        <v>2.71937449668256</v>
      </c>
      <c r="M516" s="6">
        <v>0.354148399554654</v>
      </c>
      <c r="N516" s="7">
        <v>0.238923177973778</v>
      </c>
      <c r="O516" s="7">
        <v>0.190998369953949</v>
      </c>
      <c r="P516" s="7">
        <v>0.440935863874345</v>
      </c>
      <c r="Q516" s="7">
        <v>0.570944249121044</v>
      </c>
      <c r="R516" s="6">
        <v>5.18895121776956</v>
      </c>
      <c r="S516" s="6">
        <v>7.47201383932676</v>
      </c>
      <c r="T516" s="6">
        <v>5.62518314584022</v>
      </c>
      <c r="U516" s="6">
        <v>0.68076117196496</v>
      </c>
    </row>
    <row r="517" ht="11.25" customHeight="1">
      <c r="A517" s="2" t="s">
        <v>545</v>
      </c>
      <c r="B517" s="5">
        <v>3.42872259854383</v>
      </c>
      <c r="C517" s="5">
        <v>4.36410343961803</v>
      </c>
      <c r="D517" s="5">
        <v>2.30545272096064</v>
      </c>
      <c r="E517" s="5">
        <v>-0.293058676110618</v>
      </c>
      <c r="F517" s="5">
        <v>1.02042050434716</v>
      </c>
      <c r="G517" s="5">
        <v>0.964514321168154</v>
      </c>
      <c r="H517" s="5">
        <v>0.910729256127761</v>
      </c>
      <c r="I517" s="5">
        <v>1.31835349281063</v>
      </c>
      <c r="J517" s="6">
        <v>3.33560780486416</v>
      </c>
      <c r="K517" s="6">
        <v>4.49874443996103</v>
      </c>
      <c r="L517" s="6">
        <v>2.50398535636889</v>
      </c>
      <c r="M517" s="6">
        <v>-0.241254472222422</v>
      </c>
      <c r="N517" s="7">
        <v>0.670807792280402</v>
      </c>
      <c r="O517" s="7">
        <v>0.39373897707231</v>
      </c>
      <c r="P517" s="7">
        <v>0.630360380595995</v>
      </c>
      <c r="Q517" s="7">
        <v>0.999345465384181</v>
      </c>
      <c r="R517" s="6">
        <v>8.6589442221786</v>
      </c>
      <c r="S517" s="6">
        <v>13.3537550891848</v>
      </c>
      <c r="T517" s="6">
        <v>6.25187739985078</v>
      </c>
      <c r="U517" s="6">
        <v>-0.524090757919277</v>
      </c>
    </row>
    <row r="518" ht="11.25" customHeight="1">
      <c r="A518" s="2" t="s">
        <v>546</v>
      </c>
      <c r="B518" s="5">
        <v>0.591760637664732</v>
      </c>
      <c r="C518" s="5">
        <v>0.774240650690009</v>
      </c>
      <c r="D518" s="5">
        <v>0.546329112013057</v>
      </c>
      <c r="E518" s="5">
        <v>0.219309419210508</v>
      </c>
      <c r="F518" s="5">
        <v>0.257566665131737</v>
      </c>
      <c r="G518" s="5">
        <v>0.237225092752484</v>
      </c>
      <c r="H518" s="5">
        <v>0.266050409130557</v>
      </c>
      <c r="I518" s="5">
        <v>0.370270095779235</v>
      </c>
      <c r="J518" s="6">
        <v>2.20044250437008</v>
      </c>
      <c r="K518" s="6">
        <v>3.15835328378078</v>
      </c>
      <c r="L518" s="6">
        <v>1.95951253642774</v>
      </c>
      <c r="M518" s="6">
        <v>0.524777510864286</v>
      </c>
      <c r="N518" s="7">
        <v>0.333331414661413</v>
      </c>
      <c r="O518" s="7">
        <v>0.255870345349174</v>
      </c>
      <c r="P518" s="7">
        <v>0.340269257705516</v>
      </c>
      <c r="Q518" s="7">
        <v>0.458370195615846</v>
      </c>
      <c r="R518" s="6">
        <v>4.38239734712286</v>
      </c>
      <c r="S518" s="6">
        <v>6.95694256345984</v>
      </c>
      <c r="T518" s="6">
        <v>3.94680619056566</v>
      </c>
      <c r="U518" s="6">
        <v>1.02304682315233</v>
      </c>
    </row>
    <row r="519" ht="11.25" customHeight="1">
      <c r="A519" s="2" t="s">
        <v>547</v>
      </c>
      <c r="B519" s="5">
        <v>0.629062241659523</v>
      </c>
      <c r="C519" s="5">
        <v>0.829771250009304</v>
      </c>
      <c r="D519" s="5">
        <v>0.893327646149408</v>
      </c>
      <c r="E519" s="5">
        <v>0.0376976275825295</v>
      </c>
      <c r="F519" s="5">
        <v>0.305465936137636</v>
      </c>
      <c r="G519" s="5">
        <v>0.288583458316015</v>
      </c>
      <c r="H519" s="5">
        <v>0.30240937846538</v>
      </c>
      <c r="I519" s="5">
        <v>0.422177956457286</v>
      </c>
      <c r="J519" s="6">
        <v>1.97751097650163</v>
      </c>
      <c r="K519" s="6">
        <v>2.78869500942785</v>
      </c>
      <c r="L519" s="6">
        <v>2.87136480540339</v>
      </c>
      <c r="M519" s="6">
        <v>0.0300764817023653</v>
      </c>
      <c r="N519" s="7">
        <v>0.258225047541654</v>
      </c>
      <c r="O519" s="7">
        <v>0.166397214276831</v>
      </c>
      <c r="P519" s="7">
        <v>0.354297358198308</v>
      </c>
      <c r="Q519" s="7">
        <v>0.678202152352815</v>
      </c>
      <c r="R519" s="6">
        <v>4.18087348302206</v>
      </c>
      <c r="S519" s="6">
        <v>6.87914188342191</v>
      </c>
      <c r="T519" s="6">
        <v>6.6340395360773</v>
      </c>
      <c r="U519" s="6">
        <v>0.0576821856699232</v>
      </c>
    </row>
    <row r="520" ht="11.25" customHeight="1">
      <c r="A520" s="2" t="s">
        <v>548</v>
      </c>
      <c r="B520" s="5">
        <v>0.770910466829864</v>
      </c>
      <c r="C520" s="5">
        <v>0.971121029941006</v>
      </c>
      <c r="D520" s="5">
        <v>0.619399676163788</v>
      </c>
      <c r="E520" s="5">
        <v>0.325611180541402</v>
      </c>
      <c r="F520" s="5">
        <v>0.220111242457193</v>
      </c>
      <c r="G520" s="5">
        <v>0.241696702121599</v>
      </c>
      <c r="H520" s="5">
        <v>0.258254050132339</v>
      </c>
      <c r="I520" s="5">
        <v>0.351434314979633</v>
      </c>
      <c r="J520" s="6">
        <v>3.38878858936487</v>
      </c>
      <c r="K520" s="6">
        <v>3.91449706030744</v>
      </c>
      <c r="L520" s="6">
        <v>2.30160834209258</v>
      </c>
      <c r="M520" s="6">
        <v>0.855383688296984</v>
      </c>
      <c r="N520" s="7">
        <v>0.112991674809291</v>
      </c>
      <c r="O520" s="7">
        <v>0.156910115839683</v>
      </c>
      <c r="P520" s="7">
        <v>0.345955840292872</v>
      </c>
      <c r="Q520" s="7">
        <v>0.352621447174725</v>
      </c>
      <c r="R520" s="6">
        <v>8.36058434392909</v>
      </c>
      <c r="S520" s="6">
        <v>10.1048905479855</v>
      </c>
      <c r="T520" s="6">
        <v>4.4933011092258</v>
      </c>
      <c r="U520" s="6">
        <v>1.59581362854928</v>
      </c>
    </row>
    <row r="521" ht="11.25" customHeight="1">
      <c r="A521" s="2" t="s">
        <v>549</v>
      </c>
      <c r="B521" s="5">
        <v>0.628243708450815</v>
      </c>
      <c r="C521" s="5">
        <v>0.822846658797457</v>
      </c>
      <c r="D521" s="5">
        <v>0.628006334323377</v>
      </c>
      <c r="E521" s="5">
        <v>0.253291512453394</v>
      </c>
      <c r="F521" s="5">
        <v>0.233474786464291</v>
      </c>
      <c r="G521" s="5">
        <v>0.241193620990033</v>
      </c>
      <c r="H521" s="5">
        <v>0.221749366275973</v>
      </c>
      <c r="I521" s="5">
        <v>0.358222542441625</v>
      </c>
      <c r="J521" s="6">
        <v>2.58376382986039</v>
      </c>
      <c r="K521" s="6">
        <v>3.30790945267339</v>
      </c>
      <c r="L521" s="6">
        <v>2.71931480324015</v>
      </c>
      <c r="M521" s="6">
        <v>0.637289632576923</v>
      </c>
      <c r="N521" s="7">
        <v>0.162248699684814</v>
      </c>
      <c r="O521" s="7">
        <v>0.0979973632996421</v>
      </c>
      <c r="P521" s="7">
        <v>0.232726365677226</v>
      </c>
      <c r="Q521" s="7">
        <v>0.473221586263286</v>
      </c>
      <c r="R521" s="6">
        <v>5.82726100798022</v>
      </c>
      <c r="S521" s="6">
        <v>7.90987715563424</v>
      </c>
      <c r="T521" s="6">
        <v>5.78409059653284</v>
      </c>
      <c r="U521" s="6">
        <v>1.26859054472506</v>
      </c>
    </row>
    <row r="522" ht="11.25" customHeight="1">
      <c r="A522" s="2" t="s">
        <v>550</v>
      </c>
      <c r="B522" s="5">
        <v>5.33883063250828</v>
      </c>
      <c r="C522" s="5">
        <v>12.0423352802536</v>
      </c>
      <c r="D522" s="5">
        <v>5.7095316070566</v>
      </c>
      <c r="E522" s="5">
        <v>1.97123092615477</v>
      </c>
      <c r="F522" s="5">
        <v>0.737665744724313</v>
      </c>
      <c r="G522" s="5">
        <v>0.775011026252181</v>
      </c>
      <c r="H522" s="5">
        <v>0.74419744787315</v>
      </c>
      <c r="I522" s="5">
        <v>0.966341819537346</v>
      </c>
      <c r="J522" s="6">
        <v>7.20357515651511</v>
      </c>
      <c r="K522" s="6">
        <v>15.5060184606242</v>
      </c>
      <c r="L522" s="6">
        <v>7.63847232115951</v>
      </c>
      <c r="M522" s="6">
        <v>2.01401914602699</v>
      </c>
      <c r="N522" s="7">
        <v>0.299625284432889</v>
      </c>
      <c r="O522" s="7">
        <v>0.299625284432889</v>
      </c>
      <c r="P522" s="7">
        <v>0.347930126824598</v>
      </c>
      <c r="Q522" s="7">
        <v>0.641211323238972</v>
      </c>
      <c r="R522" s="6">
        <v>19.6523275403532</v>
      </c>
      <c r="S522" s="6">
        <v>50.2988367531319</v>
      </c>
      <c r="T522" s="6">
        <v>24.5964535481247</v>
      </c>
      <c r="U522" s="6">
        <v>4.70617110760797</v>
      </c>
    </row>
    <row r="523" ht="11.25" customHeight="1">
      <c r="A523" s="2" t="s">
        <v>551</v>
      </c>
      <c r="B523" s="5">
        <v>0.685636252362202</v>
      </c>
      <c r="C523" s="5">
        <v>0.777208226708841</v>
      </c>
      <c r="D523" s="5">
        <v>0.702065279521528</v>
      </c>
      <c r="E523" s="5">
        <v>0.32668720942521</v>
      </c>
      <c r="F523" s="5">
        <v>0.183927542638169</v>
      </c>
      <c r="G523" s="5">
        <v>0.197040924927264</v>
      </c>
      <c r="H523" s="5">
        <v>0.205922325195497</v>
      </c>
      <c r="I523" s="5">
        <v>0.291234179881752</v>
      </c>
      <c r="J523" s="6">
        <v>3.59182884132712</v>
      </c>
      <c r="K523" s="6">
        <v>3.81752281657482</v>
      </c>
      <c r="L523" s="6">
        <v>3.28796442483222</v>
      </c>
      <c r="M523" s="6">
        <v>1.03589217978364</v>
      </c>
      <c r="N523" s="7">
        <v>0.113575098796988</v>
      </c>
      <c r="O523" s="7">
        <v>0.0717324599826586</v>
      </c>
      <c r="P523" s="7">
        <v>0.224706050270448</v>
      </c>
      <c r="Q523" s="7">
        <v>0.279314362248642</v>
      </c>
      <c r="R523" s="6">
        <v>8.33938906641016</v>
      </c>
      <c r="S523" s="6">
        <v>9.20225714801105</v>
      </c>
      <c r="T523" s="6">
        <v>7.09663592499742</v>
      </c>
      <c r="U523" s="6">
        <v>2.02995718166108</v>
      </c>
    </row>
    <row r="524" ht="11.25" customHeight="1">
      <c r="A524" s="2" t="s">
        <v>552</v>
      </c>
      <c r="B524" s="5">
        <v>0.57457694801126</v>
      </c>
      <c r="C524" s="5">
        <v>0.708638566528275</v>
      </c>
      <c r="D524" s="5">
        <v>0.658492857765358</v>
      </c>
      <c r="E524" s="5">
        <v>0.320485205763498</v>
      </c>
      <c r="F524" s="5">
        <v>0.1720258250418</v>
      </c>
      <c r="G524" s="5">
        <v>0.178331269347668</v>
      </c>
      <c r="H524" s="5">
        <v>0.17926491049436</v>
      </c>
      <c r="I524" s="5">
        <v>0.278492230322702</v>
      </c>
      <c r="J524" s="6">
        <v>3.19473513862072</v>
      </c>
      <c r="K524" s="6">
        <v>3.83353165728595</v>
      </c>
      <c r="L524" s="6">
        <v>3.53383635435607</v>
      </c>
      <c r="M524" s="6">
        <v>1.06101777209764</v>
      </c>
      <c r="N524" s="7">
        <v>0.0802720184379561</v>
      </c>
      <c r="O524" s="7">
        <v>0.075298512357198</v>
      </c>
      <c r="P524" s="7">
        <v>0.13318981320397</v>
      </c>
      <c r="Q524" s="7">
        <v>0.352481348509154</v>
      </c>
      <c r="R524" s="6">
        <v>6.7750670462554</v>
      </c>
      <c r="S524" s="6">
        <v>8.88344798965072</v>
      </c>
      <c r="T524" s="6">
        <v>7.65812300097599</v>
      </c>
      <c r="U524" s="6">
        <v>2.0310634559716</v>
      </c>
    </row>
    <row r="525" ht="11.25" customHeight="1">
      <c r="A525" s="2" t="s">
        <v>553</v>
      </c>
      <c r="B525" s="5">
        <v>0.630788292630799</v>
      </c>
      <c r="C525" s="5">
        <v>0.788908126487452</v>
      </c>
      <c r="D525" s="5">
        <v>0.573898500656823</v>
      </c>
      <c r="E525" s="5">
        <v>0.351931491749705</v>
      </c>
      <c r="F525" s="5">
        <v>0.222113379577281</v>
      </c>
      <c r="G525" s="5">
        <v>0.240611920176605</v>
      </c>
      <c r="H525" s="5">
        <v>0.222392342956449</v>
      </c>
      <c r="I525" s="5">
        <v>0.339921378359887</v>
      </c>
      <c r="J525" s="6">
        <v>2.7273831670281</v>
      </c>
      <c r="K525" s="6">
        <v>3.17485570094264</v>
      </c>
      <c r="L525" s="6">
        <v>2.46815377436044</v>
      </c>
      <c r="M525" s="6">
        <v>0.9617856144475</v>
      </c>
      <c r="N525" s="7">
        <v>0.140508221225709</v>
      </c>
      <c r="O525" s="7">
        <v>0.14050822122571</v>
      </c>
      <c r="P525" s="7">
        <v>0.194121616555447</v>
      </c>
      <c r="Q525" s="7">
        <v>0.51562878604313</v>
      </c>
      <c r="R525" s="6">
        <v>6.54195502607584</v>
      </c>
      <c r="S525" s="6">
        <v>8.06749175239445</v>
      </c>
      <c r="T525" s="6">
        <v>5.56069624327866</v>
      </c>
      <c r="U525" s="6">
        <v>1.91733625276641</v>
      </c>
    </row>
    <row r="526" ht="11.25" customHeight="1">
      <c r="A526" s="2" t="s">
        <v>554</v>
      </c>
      <c r="B526" s="5">
        <v>0.412020773822022</v>
      </c>
      <c r="C526" s="5">
        <v>0.457383557514071</v>
      </c>
      <c r="D526" s="5">
        <v>0.457820742155307</v>
      </c>
      <c r="E526" s="5">
        <v>0.189938392203048</v>
      </c>
      <c r="F526" s="5">
        <v>0.138801203746716</v>
      </c>
      <c r="G526" s="5">
        <v>0.146728542744933</v>
      </c>
      <c r="H526" s="5">
        <v>0.142314297614804</v>
      </c>
      <c r="I526" s="5">
        <v>0.230401819205756</v>
      </c>
      <c r="J526" s="6">
        <v>2.7883099236535</v>
      </c>
      <c r="K526" s="6">
        <v>2.94682649623058</v>
      </c>
      <c r="L526" s="6">
        <v>3.04130188891353</v>
      </c>
      <c r="M526" s="6">
        <v>0.715872785951196</v>
      </c>
      <c r="N526" s="7">
        <v>0.0971007431193756</v>
      </c>
      <c r="O526" s="7">
        <v>0.0805371444352389</v>
      </c>
      <c r="P526" s="7">
        <v>0.192959582790091</v>
      </c>
      <c r="Q526" s="7">
        <v>0.340236980981778</v>
      </c>
      <c r="R526" s="6">
        <v>6.14692212716959</v>
      </c>
      <c r="S526" s="6">
        <v>6.58389043499824</v>
      </c>
      <c r="T526" s="6">
        <v>6.39096797492007</v>
      </c>
      <c r="U526" s="6">
        <v>1.29818881267295</v>
      </c>
    </row>
    <row r="527" ht="11.25" customHeight="1">
      <c r="A527" s="2" t="s">
        <v>555</v>
      </c>
      <c r="B527" s="5">
        <v>0.350940598580737</v>
      </c>
      <c r="C527" s="5">
        <v>0.488458083894733</v>
      </c>
      <c r="D527" s="5">
        <v>0.420213666736855</v>
      </c>
      <c r="E527" s="5">
        <v>0.180334688780683</v>
      </c>
      <c r="F527" s="5">
        <v>0.133548474891734</v>
      </c>
      <c r="G527" s="5">
        <v>0.146184247544589</v>
      </c>
      <c r="H527" s="5">
        <v>0.134063144628378</v>
      </c>
      <c r="I527" s="5">
        <v>0.222626754058103</v>
      </c>
      <c r="J527" s="6">
        <v>2.44061640423053</v>
      </c>
      <c r="K527" s="6">
        <v>3.17036952803939</v>
      </c>
      <c r="L527" s="6">
        <v>2.94796655585234</v>
      </c>
      <c r="M527" s="6">
        <v>0.697735945699242</v>
      </c>
      <c r="N527" s="7">
        <v>0.114864267397648</v>
      </c>
      <c r="O527" s="7">
        <v>0.108725761772853</v>
      </c>
      <c r="P527" s="7">
        <v>0.205117237776468</v>
      </c>
      <c r="Q527" s="7">
        <v>0.396344031673827</v>
      </c>
      <c r="R527" s="6">
        <v>4.99163037232138</v>
      </c>
      <c r="S527" s="6">
        <v>6.95823744406011</v>
      </c>
      <c r="T527" s="6">
        <v>6.05353635661183</v>
      </c>
      <c r="U527" s="6">
        <v>1.27847513960503</v>
      </c>
    </row>
    <row r="528" ht="11.25" customHeight="1">
      <c r="A528" s="2" t="s">
        <v>556</v>
      </c>
      <c r="B528" s="5">
        <v>0.496676056514508</v>
      </c>
      <c r="C528" s="5">
        <v>0.568628666368093</v>
      </c>
      <c r="D528" s="5">
        <v>0.466878400053896</v>
      </c>
      <c r="E528" s="5">
        <v>0.0937568983355225</v>
      </c>
      <c r="F528" s="5">
        <v>0.202119994276765</v>
      </c>
      <c r="G528" s="5">
        <v>0.193972033939441</v>
      </c>
      <c r="H528" s="5">
        <v>0.172448579567055</v>
      </c>
      <c r="I528" s="5">
        <v>0.303106018250616</v>
      </c>
      <c r="J528" s="6">
        <v>2.33364372585839</v>
      </c>
      <c r="K528" s="6">
        <v>2.80261363108568</v>
      </c>
      <c r="L528" s="6">
        <v>2.56237773116637</v>
      </c>
      <c r="M528" s="6">
        <v>0.22684108594199</v>
      </c>
      <c r="N528" s="7">
        <v>0.191000385623689</v>
      </c>
      <c r="O528" s="7">
        <v>0.191000385623689</v>
      </c>
      <c r="P528" s="7">
        <v>0.165627556924662</v>
      </c>
      <c r="Q528" s="7">
        <v>0.522094427393522</v>
      </c>
      <c r="R528" s="6">
        <v>5.04889510261826</v>
      </c>
      <c r="S528" s="6">
        <v>6.54156426239983</v>
      </c>
      <c r="T528" s="6">
        <v>5.69167288400967</v>
      </c>
      <c r="U528" s="6">
        <v>0.428088723129196</v>
      </c>
    </row>
    <row r="529" ht="11.25" customHeight="1">
      <c r="A529" s="2" t="s">
        <v>557</v>
      </c>
      <c r="B529" s="5">
        <v>2.4646063221803</v>
      </c>
      <c r="C529" s="5">
        <v>3.21853939156961</v>
      </c>
      <c r="D529" s="5">
        <v>0.844528618226649</v>
      </c>
      <c r="E529" s="5">
        <v>0.438140066443097</v>
      </c>
      <c r="F529" s="5">
        <v>0.552545192595123</v>
      </c>
      <c r="G529" s="5">
        <v>0.55342190206319</v>
      </c>
      <c r="H529" s="5">
        <v>0.569507103062762</v>
      </c>
      <c r="I529" s="5">
        <v>0.811312070654883</v>
      </c>
      <c r="J529" s="6">
        <v>4.41521590428154</v>
      </c>
      <c r="K529" s="6">
        <v>5.77053307732112</v>
      </c>
      <c r="L529" s="6">
        <v>1.43901386623501</v>
      </c>
      <c r="M529" s="6">
        <v>0.509224602204691</v>
      </c>
      <c r="N529" s="7">
        <v>0.363136575846107</v>
      </c>
      <c r="O529" s="7">
        <v>0.276253655068524</v>
      </c>
      <c r="P529" s="7">
        <v>0.629792149882211</v>
      </c>
      <c r="Q529" s="7">
        <v>0.663027656477437</v>
      </c>
      <c r="R529" s="6">
        <v>9.83745784357718</v>
      </c>
      <c r="S529" s="6">
        <v>13.5947682384096</v>
      </c>
      <c r="T529" s="6">
        <v>2.81132235167222</v>
      </c>
      <c r="U529" s="6">
        <v>1.01538504116291</v>
      </c>
    </row>
    <row r="530" ht="11.25" customHeight="1">
      <c r="A530" s="2" t="s">
        <v>558</v>
      </c>
      <c r="B530" s="5">
        <v>3.50480589692051</v>
      </c>
      <c r="C530" s="5">
        <v>6.11548858858797</v>
      </c>
      <c r="D530" s="5">
        <v>3.00092302535998</v>
      </c>
      <c r="E530" s="5">
        <v>0.129685078779061</v>
      </c>
      <c r="F530" s="5">
        <v>1.37413820926247</v>
      </c>
      <c r="G530" s="5">
        <v>1.35168964733591</v>
      </c>
      <c r="H530" s="5">
        <v>1.15141092437415</v>
      </c>
      <c r="I530" s="5">
        <v>1.59373941462478</v>
      </c>
      <c r="J530" s="6">
        <v>2.53235509606286</v>
      </c>
      <c r="K530" s="6">
        <v>4.50583356955637</v>
      </c>
      <c r="L530" s="6">
        <v>2.58458814517288</v>
      </c>
      <c r="M530" s="6">
        <v>0.0656851915805243</v>
      </c>
      <c r="N530" s="7">
        <v>0.655971171171171</v>
      </c>
      <c r="O530" s="7">
        <v>0.353998299574096</v>
      </c>
      <c r="P530" s="7">
        <v>0.6708</v>
      </c>
      <c r="Q530" s="7">
        <v>0.98927519977569</v>
      </c>
      <c r="R530" s="6">
        <v>8.78318763765713</v>
      </c>
      <c r="S530" s="6">
        <v>23.4423735371525</v>
      </c>
      <c r="T530" s="6">
        <v>8.1276314004872</v>
      </c>
      <c r="U530" s="6">
        <v>0.165527764963782</v>
      </c>
    </row>
    <row r="531" ht="11.25" customHeight="1">
      <c r="A531" s="2" t="s">
        <v>559</v>
      </c>
      <c r="B531" s="5">
        <v>1.1807943965531</v>
      </c>
      <c r="C531" s="5">
        <v>1.52872092509492</v>
      </c>
      <c r="D531" s="5">
        <v>1.01682570375728</v>
      </c>
      <c r="E531" s="5">
        <v>0.132934395160225</v>
      </c>
      <c r="F531" s="5">
        <v>0.434316034716127</v>
      </c>
      <c r="G531" s="5">
        <v>0.404011859179216</v>
      </c>
      <c r="H531" s="5">
        <v>0.422178065732641</v>
      </c>
      <c r="I531" s="5">
        <v>0.63229702821566</v>
      </c>
      <c r="J531" s="6">
        <v>2.66118288105236</v>
      </c>
      <c r="K531" s="6">
        <v>3.72197224148285</v>
      </c>
      <c r="L531" s="6">
        <v>2.34930657052512</v>
      </c>
      <c r="M531" s="6">
        <v>0.170702044045368</v>
      </c>
      <c r="N531" s="7">
        <v>0.370892018779342</v>
      </c>
      <c r="O531" s="7">
        <v>0.38320632354171</v>
      </c>
      <c r="P531" s="7">
        <v>0.495037021471217</v>
      </c>
      <c r="Q531" s="7">
        <v>0.905173434355392</v>
      </c>
      <c r="R531" s="6">
        <v>5.71586514178771</v>
      </c>
      <c r="S531" s="6">
        <v>8.78006088293529</v>
      </c>
      <c r="T531" s="6">
        <v>5.28227328440887</v>
      </c>
      <c r="U531" s="6">
        <v>0.330545748970694</v>
      </c>
    </row>
    <row r="532" ht="11.25" customHeight="1">
      <c r="A532" s="2" t="s">
        <v>560</v>
      </c>
      <c r="B532" s="5">
        <v>0.724551481524061</v>
      </c>
      <c r="C532" s="5">
        <v>0.966845041182876</v>
      </c>
      <c r="D532" s="5">
        <v>0.833896669537265</v>
      </c>
      <c r="E532" s="5">
        <v>0.566429218954526</v>
      </c>
      <c r="F532" s="5">
        <v>0.202833945048974</v>
      </c>
      <c r="G532" s="5">
        <v>0.213099735149894</v>
      </c>
      <c r="H532" s="5">
        <v>0.141078004171947</v>
      </c>
      <c r="I532" s="5">
        <v>0.257324963966941</v>
      </c>
      <c r="J532" s="6">
        <v>3.44888761767738</v>
      </c>
      <c r="K532" s="6">
        <v>4.41973820624592</v>
      </c>
      <c r="L532" s="6">
        <v>5.73368381758061</v>
      </c>
      <c r="M532" s="6">
        <v>2.10406798706122</v>
      </c>
      <c r="N532" s="7">
        <v>0.0619926984014461</v>
      </c>
      <c r="O532" s="7">
        <v>0.0771630099599474</v>
      </c>
      <c r="P532" s="7">
        <v>0.0224015288247158</v>
      </c>
      <c r="Q532" s="7">
        <v>0.163789742317371</v>
      </c>
      <c r="R532" s="6">
        <v>7.60178617809138</v>
      </c>
      <c r="S532" s="6">
        <v>9.94895198386856</v>
      </c>
      <c r="T532" s="6">
        <v>19.0057410426409</v>
      </c>
      <c r="U532" s="6">
        <v>4.35654460973893</v>
      </c>
    </row>
    <row r="533" ht="11.25" customHeight="1">
      <c r="A533" s="2" t="s">
        <v>561</v>
      </c>
      <c r="B533" s="5">
        <v>0.643679967977413</v>
      </c>
      <c r="C533" s="5">
        <v>0.677396972192038</v>
      </c>
      <c r="D533" s="5">
        <v>0.578059771320382</v>
      </c>
      <c r="E533" s="5">
        <v>0.33430737251233</v>
      </c>
      <c r="F533" s="5">
        <v>0.206963911566382</v>
      </c>
      <c r="G533" s="5">
        <v>0.220792170146643</v>
      </c>
      <c r="H533" s="5">
        <v>0.201796937815132</v>
      </c>
      <c r="I533" s="5">
        <v>0.313610865098113</v>
      </c>
      <c r="J533" s="6">
        <v>2.9893132734833</v>
      </c>
      <c r="K533" s="6">
        <v>2.95480121309889</v>
      </c>
      <c r="L533" s="6">
        <v>2.74067474615023</v>
      </c>
      <c r="M533" s="6">
        <v>0.986277603665175</v>
      </c>
      <c r="N533" s="7">
        <v>0.10414878397711</v>
      </c>
      <c r="O533" s="7">
        <v>0.117314382329159</v>
      </c>
      <c r="P533" s="7">
        <v>0.176414464268676</v>
      </c>
      <c r="Q533" s="7">
        <v>0.431641610331955</v>
      </c>
      <c r="R533" s="6">
        <v>7.15345277880797</v>
      </c>
      <c r="S533" s="6">
        <v>6.8730791077358</v>
      </c>
      <c r="T533" s="6">
        <v>5.78977490153996</v>
      </c>
      <c r="U533" s="6">
        <v>1.96082873430402</v>
      </c>
    </row>
    <row r="534" ht="11.25" customHeight="1">
      <c r="A534" s="2" t="s">
        <v>562</v>
      </c>
      <c r="B534" s="5">
        <v>0.290850665120016</v>
      </c>
      <c r="C534" s="5">
        <v>0.457319111543999</v>
      </c>
      <c r="D534" s="5">
        <v>0.405697521467723</v>
      </c>
      <c r="E534" s="5">
        <v>0.0567416615379612</v>
      </c>
      <c r="F534" s="5">
        <v>0.13891580631484</v>
      </c>
      <c r="G534" s="5">
        <v>0.139337380426948</v>
      </c>
      <c r="H534" s="5">
        <v>0.129377505267206</v>
      </c>
      <c r="I534" s="5">
        <v>0.224716232379512</v>
      </c>
      <c r="J534" s="6">
        <v>1.91375389289746</v>
      </c>
      <c r="K534" s="6">
        <v>3.10267862234322</v>
      </c>
      <c r="L534" s="6">
        <v>2.94253255758379</v>
      </c>
      <c r="M534" s="6">
        <v>0.141252197056927</v>
      </c>
      <c r="N534" s="7">
        <v>0.0976043640188741</v>
      </c>
      <c r="O534" s="7">
        <v>0.074191002367798</v>
      </c>
      <c r="P534" s="7">
        <v>0.123131672597864</v>
      </c>
      <c r="Q534" s="7">
        <v>0.386519944979366</v>
      </c>
      <c r="R534" s="6">
        <v>3.82809300764276</v>
      </c>
      <c r="S534" s="6">
        <v>6.84670201665535</v>
      </c>
      <c r="T534" s="6">
        <v>6.17589404614195</v>
      </c>
      <c r="U534" s="6">
        <v>0.254641144547442</v>
      </c>
    </row>
    <row r="535" ht="11.25" customHeight="1">
      <c r="A535" s="2" t="s">
        <v>563</v>
      </c>
      <c r="B535" s="5">
        <v>0.0834393068652927</v>
      </c>
      <c r="C535" s="5">
        <v>0.117474023173785</v>
      </c>
      <c r="D535" s="5">
        <v>0.0845312081025755</v>
      </c>
      <c r="E535" s="5">
        <v>0.0301942155815304</v>
      </c>
      <c r="F535" s="5">
        <v>0.0416122375039693</v>
      </c>
      <c r="G535" s="5">
        <v>0.0454313179338186</v>
      </c>
      <c r="H535" s="5">
        <v>0.0429536256513744</v>
      </c>
      <c r="I535" s="5">
        <v>0.0634389037759075</v>
      </c>
      <c r="J535" s="6">
        <v>1.40437790348856</v>
      </c>
      <c r="K535" s="6">
        <v>2.03546864540658</v>
      </c>
      <c r="L535" s="6">
        <v>1.38594140075043</v>
      </c>
      <c r="M535" s="6">
        <v>0.0818774485744358</v>
      </c>
      <c r="N535" s="7">
        <v>0.0220025823784415</v>
      </c>
      <c r="O535" s="7">
        <v>0.0225697529767197</v>
      </c>
      <c r="P535" s="7">
        <v>0.0357422574236313</v>
      </c>
      <c r="Q535" s="7">
        <v>0.118341996894619</v>
      </c>
      <c r="R535" s="6">
        <v>2.81388829316239</v>
      </c>
      <c r="S535" s="6">
        <v>4.83433423013294</v>
      </c>
      <c r="T535" s="6">
        <v>2.82172823653086</v>
      </c>
      <c r="U535" s="6">
        <v>0.158052912396156</v>
      </c>
    </row>
    <row r="536" ht="11.25" customHeight="1">
      <c r="A536" s="2" t="s">
        <v>564</v>
      </c>
      <c r="B536" s="5">
        <v>0.600064793126142</v>
      </c>
      <c r="C536" s="5">
        <v>0.968901752152152</v>
      </c>
      <c r="D536" s="5">
        <v>0.656155575602258</v>
      </c>
      <c r="E536" s="5">
        <v>0.175713080508129</v>
      </c>
      <c r="F536" s="5">
        <v>0.25689754055034</v>
      </c>
      <c r="G536" s="5">
        <v>0.253602951086194</v>
      </c>
      <c r="H536" s="5">
        <v>0.247097744260219</v>
      </c>
      <c r="I536" s="5">
        <v>0.385846601115271</v>
      </c>
      <c r="J536" s="6">
        <v>2.23849863215586</v>
      </c>
      <c r="K536" s="6">
        <v>3.72196675200099</v>
      </c>
      <c r="L536" s="6">
        <v>2.55427493881767</v>
      </c>
      <c r="M536" s="6">
        <v>0.390603623493118</v>
      </c>
      <c r="N536" s="7">
        <v>0.176720959096305</v>
      </c>
      <c r="O536" s="7">
        <v>0.100283578241814</v>
      </c>
      <c r="P536" s="7">
        <v>0.356024999240462</v>
      </c>
      <c r="Q536" s="7">
        <v>0.522906527940928</v>
      </c>
      <c r="R536" s="6">
        <v>4.85773103014801</v>
      </c>
      <c r="S536" s="6">
        <v>8.97043534633572</v>
      </c>
      <c r="T536" s="6">
        <v>5.21898423253725</v>
      </c>
      <c r="U536" s="6">
        <v>0.78151889843076</v>
      </c>
    </row>
    <row r="537" ht="11.25" customHeight="1">
      <c r="A537" s="2" t="s">
        <v>565</v>
      </c>
      <c r="B537" s="5">
        <v>0.659216700203027</v>
      </c>
      <c r="C537" s="5">
        <v>0.872846690889694</v>
      </c>
      <c r="D537" s="5">
        <v>0.670756054760525</v>
      </c>
      <c r="E537" s="5">
        <v>0.133422772133248</v>
      </c>
      <c r="F537" s="5">
        <v>0.239272361964666</v>
      </c>
      <c r="G537" s="5">
        <v>0.240611204748846</v>
      </c>
      <c r="H537" s="5">
        <v>0.260500209805394</v>
      </c>
      <c r="I537" s="5">
        <v>0.361181314491792</v>
      </c>
      <c r="J537" s="6">
        <v>2.65060575736984</v>
      </c>
      <c r="K537" s="6">
        <v>3.52372073351567</v>
      </c>
      <c r="L537" s="6">
        <v>2.47890800258062</v>
      </c>
      <c r="M537" s="6">
        <v>0.300189317063113</v>
      </c>
      <c r="N537" s="7">
        <v>0.116558441558441</v>
      </c>
      <c r="O537" s="7">
        <v>0.103197356410766</v>
      </c>
      <c r="P537" s="7">
        <v>0.558379466532461</v>
      </c>
      <c r="Q537" s="7">
        <v>0.683212996389893</v>
      </c>
      <c r="R537" s="6">
        <v>6.00881840039377</v>
      </c>
      <c r="S537" s="6">
        <v>8.70344555901315</v>
      </c>
      <c r="T537" s="6">
        <v>5.15080346012012</v>
      </c>
      <c r="U537" s="6">
        <v>0.586258944303447</v>
      </c>
    </row>
    <row r="538" ht="11.25" customHeight="1">
      <c r="A538" s="2" t="s">
        <v>566</v>
      </c>
      <c r="B538" s="5">
        <v>0.632364566816368</v>
      </c>
      <c r="C538" s="5">
        <v>0.859463951981063</v>
      </c>
      <c r="D538" s="5">
        <v>0.567086241314608</v>
      </c>
      <c r="E538" s="5">
        <v>-0.0785832678759353</v>
      </c>
      <c r="F538" s="5">
        <v>0.283224166053178</v>
      </c>
      <c r="G538" s="5">
        <v>0.288205497031894</v>
      </c>
      <c r="H538" s="5">
        <v>0.294566723210926</v>
      </c>
      <c r="I538" s="5">
        <v>0.427922498003753</v>
      </c>
      <c r="J538" s="6">
        <v>2.14446590232815</v>
      </c>
      <c r="K538" s="6">
        <v>2.89537833446916</v>
      </c>
      <c r="L538" s="6">
        <v>1.84028336740007</v>
      </c>
      <c r="M538" s="6">
        <v>-0.242060813252746</v>
      </c>
      <c r="N538" s="7">
        <v>0.16184093251899</v>
      </c>
      <c r="O538" s="7">
        <v>0.128613083761598</v>
      </c>
      <c r="P538" s="7">
        <v>0.342087981727271</v>
      </c>
      <c r="Q538" s="7">
        <v>0.728772144166157</v>
      </c>
      <c r="R538" s="6">
        <v>4.89707494697787</v>
      </c>
      <c r="S538" s="6">
        <v>7.22536442410401</v>
      </c>
      <c r="T538" s="6">
        <v>3.93434517999375</v>
      </c>
      <c r="U538" s="6">
        <v>-0.461703236647189</v>
      </c>
    </row>
    <row r="539" ht="11.25" customHeight="1">
      <c r="A539" s="2" t="s">
        <v>567</v>
      </c>
      <c r="B539" s="5">
        <v>1.26570724000039</v>
      </c>
      <c r="C539" s="5">
        <v>1.45277386088362</v>
      </c>
      <c r="D539" s="5">
        <v>1.58481591770577</v>
      </c>
      <c r="E539" s="5">
        <v>0.385253103011918</v>
      </c>
      <c r="F539" s="5">
        <v>0.356204121687464</v>
      </c>
      <c r="G539" s="5">
        <v>0.370592872588614</v>
      </c>
      <c r="H539" s="5">
        <v>0.390202483868063</v>
      </c>
      <c r="I539" s="5">
        <v>0.517535003850552</v>
      </c>
      <c r="J539" s="6">
        <v>3.48313555194905</v>
      </c>
      <c r="K539" s="6">
        <v>3.85267490686083</v>
      </c>
      <c r="L539" s="6">
        <v>3.99745255910052</v>
      </c>
      <c r="M539" s="6">
        <v>0.69609417784608</v>
      </c>
      <c r="N539" s="7">
        <v>0.222654835191117</v>
      </c>
      <c r="O539" s="7">
        <v>0.159938327790746</v>
      </c>
      <c r="P539" s="7">
        <v>0.387343662497666</v>
      </c>
      <c r="Q539" s="7">
        <v>0.512694958287994</v>
      </c>
      <c r="R539" s="6">
        <v>8.18530585791163</v>
      </c>
      <c r="S539" s="6">
        <v>9.35762656821573</v>
      </c>
      <c r="T539" s="6">
        <v>9.12278716701922</v>
      </c>
      <c r="U539" s="6">
        <v>1.43665853274785</v>
      </c>
    </row>
    <row r="540" ht="11.25" customHeight="1">
      <c r="A540" s="2" t="s">
        <v>568</v>
      </c>
      <c r="B540" s="5">
        <v>0.613459702444184</v>
      </c>
      <c r="C540" s="5">
        <v>0.820515139977502</v>
      </c>
      <c r="D540" s="5">
        <v>0.426016186421762</v>
      </c>
      <c r="E540" s="5">
        <v>0.391526660082764</v>
      </c>
      <c r="F540" s="5">
        <v>0.1863275354392</v>
      </c>
      <c r="G540" s="5">
        <v>0.207445574421033</v>
      </c>
      <c r="H540" s="5">
        <v>0.197568426702517</v>
      </c>
      <c r="I540" s="5">
        <v>0.288577480628057</v>
      </c>
      <c r="J540" s="6">
        <v>3.15820042945935</v>
      </c>
      <c r="K540" s="6">
        <v>3.83481374426873</v>
      </c>
      <c r="L540" s="6">
        <v>2.02975846452217</v>
      </c>
      <c r="M540" s="6">
        <v>1.27011525391745</v>
      </c>
      <c r="N540" s="7">
        <v>0.128261004918747</v>
      </c>
      <c r="O540" s="7">
        <v>0.128261004918747</v>
      </c>
      <c r="P540" s="7">
        <v>0.309822888757437</v>
      </c>
      <c r="Q540" s="7">
        <v>0.334998491299828</v>
      </c>
      <c r="R540" s="6">
        <v>6.97148902192513</v>
      </c>
      <c r="S540" s="6">
        <v>9.4378342194774</v>
      </c>
      <c r="T540" s="6">
        <v>3.94727231261895</v>
      </c>
      <c r="U540" s="6">
        <v>2.492090787794</v>
      </c>
    </row>
    <row r="541" ht="11.25" customHeight="1">
      <c r="A541" s="2" t="s">
        <v>569</v>
      </c>
      <c r="B541" s="5">
        <v>0.0127863961438734</v>
      </c>
      <c r="C541" s="5">
        <v>0.0171036581594772</v>
      </c>
      <c r="D541" s="5">
        <v>0.0133443212464057</v>
      </c>
      <c r="E541" s="5">
        <v>0.00392894894462858</v>
      </c>
      <c r="F541" s="5">
        <v>0.00864078633345614</v>
      </c>
      <c r="G541" s="5">
        <v>0.00888609315560026</v>
      </c>
      <c r="H541" s="5">
        <v>0.00828273431838876</v>
      </c>
      <c r="I541" s="5">
        <v>0.0116808603190997</v>
      </c>
      <c r="J541" s="6">
        <v>-1.41348291518757</v>
      </c>
      <c r="K541" s="6">
        <v>-0.888617945170457</v>
      </c>
      <c r="L541" s="6">
        <v>-1.40722596011767</v>
      </c>
      <c r="M541" s="6">
        <v>-1.80389547342823</v>
      </c>
      <c r="N541" s="7">
        <v>0.00800477897252134</v>
      </c>
      <c r="O541" s="7">
        <v>0.00646128995038691</v>
      </c>
      <c r="P541" s="7">
        <v>0.0138379657007685</v>
      </c>
      <c r="Q541" s="7">
        <v>0.029177408014998</v>
      </c>
      <c r="R541" s="6">
        <v>-2.83759615934784</v>
      </c>
      <c r="S541" s="6">
        <v>-1.92354892993519</v>
      </c>
      <c r="T541" s="6">
        <v>-2.82043996983888</v>
      </c>
      <c r="U541" s="6">
        <v>-3.5172805112116</v>
      </c>
    </row>
    <row r="542" ht="11.25" customHeight="1">
      <c r="A542" s="2" t="s">
        <v>570</v>
      </c>
      <c r="B542" s="5">
        <v>0.69389022069967</v>
      </c>
      <c r="C542" s="5">
        <v>0.831660397981981</v>
      </c>
      <c r="D542" s="5">
        <v>0.744808783528939</v>
      </c>
      <c r="E542" s="5">
        <v>0.319422848411642</v>
      </c>
      <c r="F542" s="5">
        <v>0.272868457208056</v>
      </c>
      <c r="G542" s="5">
        <v>0.256913797839963</v>
      </c>
      <c r="H542" s="5">
        <v>0.249045922838135</v>
      </c>
      <c r="I542" s="5">
        <v>0.38442657393525</v>
      </c>
      <c r="J542" s="6">
        <v>2.45132848092315</v>
      </c>
      <c r="K542" s="6">
        <v>3.13980955777418</v>
      </c>
      <c r="L542" s="6">
        <v>2.89026527849151</v>
      </c>
      <c r="M542" s="6">
        <v>0.765875380043922</v>
      </c>
      <c r="N542" s="7">
        <v>0.212831858407079</v>
      </c>
      <c r="O542" s="7">
        <v>0.117733268197362</v>
      </c>
      <c r="P542" s="7">
        <v>0.200014140271493</v>
      </c>
      <c r="Q542" s="7">
        <v>0.418848167539266</v>
      </c>
      <c r="R542" s="6">
        <v>5.32407188510651</v>
      </c>
      <c r="S542" s="6">
        <v>7.83344145036748</v>
      </c>
      <c r="T542" s="6">
        <v>6.72954328190152</v>
      </c>
      <c r="U542" s="6">
        <v>1.53069867191533</v>
      </c>
    </row>
    <row r="543" ht="11.25" customHeight="1">
      <c r="A543" s="2" t="s">
        <v>571</v>
      </c>
      <c r="B543" s="5">
        <v>0.898064428242982</v>
      </c>
      <c r="C543" s="5">
        <v>1.28545551803088</v>
      </c>
      <c r="D543" s="5">
        <v>1.20044659752616</v>
      </c>
      <c r="E543" s="5">
        <v>0.366361264541112</v>
      </c>
      <c r="F543" s="5">
        <v>0.312012049080699</v>
      </c>
      <c r="G543" s="5">
        <v>0.323695250076973</v>
      </c>
      <c r="H543" s="5">
        <v>0.325067152977171</v>
      </c>
      <c r="I543" s="5">
        <v>0.4527896556743</v>
      </c>
      <c r="J543" s="6">
        <v>2.79817536154564</v>
      </c>
      <c r="K543" s="6">
        <v>3.89395741127233</v>
      </c>
      <c r="L543" s="6">
        <v>3.61601160486588</v>
      </c>
      <c r="M543" s="6">
        <v>0.753906941696255</v>
      </c>
      <c r="N543" s="7">
        <v>0.218588190365786</v>
      </c>
      <c r="O543" s="7">
        <v>0.187663965487086</v>
      </c>
      <c r="P543" s="7">
        <v>0.363727861380385</v>
      </c>
      <c r="Q543" s="7">
        <v>0.604576741939379</v>
      </c>
      <c r="R543" s="6">
        <v>6.19277236722441</v>
      </c>
      <c r="S543" s="6">
        <v>9.53085967096127</v>
      </c>
      <c r="T543" s="6">
        <v>8.24966092857574</v>
      </c>
      <c r="U543" s="6">
        <v>1.50005956126669</v>
      </c>
    </row>
    <row r="544" ht="11.25" customHeight="1">
      <c r="A544" s="2" t="s">
        <v>572</v>
      </c>
      <c r="B544" s="5">
        <v>0.362859881013645</v>
      </c>
      <c r="C544" s="5">
        <v>0.467287306614115</v>
      </c>
      <c r="D544" s="5">
        <v>0.43896581994572</v>
      </c>
      <c r="E544" s="5">
        <v>0.100150627560872</v>
      </c>
      <c r="F544" s="5">
        <v>0.164828879110303</v>
      </c>
      <c r="G544" s="5">
        <v>0.173369318962015</v>
      </c>
      <c r="H544" s="5">
        <v>0.182800258294721</v>
      </c>
      <c r="I544" s="5">
        <v>0.25277197039392</v>
      </c>
      <c r="J544" s="6">
        <v>2.04976144251729</v>
      </c>
      <c r="K544" s="6">
        <v>2.55112790003529</v>
      </c>
      <c r="L544" s="6">
        <v>2.2645800602661</v>
      </c>
      <c r="M544" s="6">
        <v>0.297306016342546</v>
      </c>
      <c r="N544" s="7">
        <v>0.104618505227024</v>
      </c>
      <c r="O544" s="7">
        <v>0.139741113683048</v>
      </c>
      <c r="P544" s="7">
        <v>0.201561799910388</v>
      </c>
      <c r="Q544" s="7">
        <v>0.403699673558214</v>
      </c>
      <c r="R544" s="6">
        <v>4.32161722604174</v>
      </c>
      <c r="S544" s="6">
        <v>5.79765346806678</v>
      </c>
      <c r="T544" s="6">
        <v>4.44687112961312</v>
      </c>
      <c r="U544" s="6">
        <v>0.560550112272055</v>
      </c>
    </row>
    <row r="545" ht="11.25" customHeight="1">
      <c r="A545" s="2" t="s">
        <v>573</v>
      </c>
      <c r="B545" s="5">
        <v>0.0614593000199923</v>
      </c>
      <c r="C545" s="5">
        <v>0.103364053718158</v>
      </c>
      <c r="D545" s="5">
        <v>0.085729124156066</v>
      </c>
      <c r="E545" s="5">
        <v>-0.0142727735633357</v>
      </c>
      <c r="F545" s="5">
        <v>0.0481890243657884</v>
      </c>
      <c r="G545" s="5">
        <v>0.0479524903468172</v>
      </c>
      <c r="H545" s="5">
        <v>0.0484725304300496</v>
      </c>
      <c r="I545" s="5">
        <v>0.0724558657852757</v>
      </c>
      <c r="J545" s="6">
        <v>0.756589296003186</v>
      </c>
      <c r="K545" s="6">
        <v>1.63420196013573</v>
      </c>
      <c r="L545" s="6">
        <v>1.2528564862877</v>
      </c>
      <c r="M545" s="6">
        <v>-0.54202338399656</v>
      </c>
      <c r="N545" s="7">
        <v>0.0548183475920317</v>
      </c>
      <c r="O545" s="7">
        <v>0.0473537604456824</v>
      </c>
      <c r="P545" s="7">
        <v>0.0964987579809801</v>
      </c>
      <c r="Q545" s="7">
        <v>0.30593900481541</v>
      </c>
      <c r="R545" s="6">
        <v>1.58234530503042</v>
      </c>
      <c r="S545" s="6">
        <v>3.71115284806108</v>
      </c>
      <c r="T545" s="6">
        <v>2.61450997371321</v>
      </c>
      <c r="U545" s="6">
        <v>-0.945765382870269</v>
      </c>
    </row>
    <row r="546" ht="11.25" customHeight="1">
      <c r="A546" s="2" t="s">
        <v>574</v>
      </c>
      <c r="B546" s="5">
        <v>0.570353482118056</v>
      </c>
      <c r="C546" s="5">
        <v>0.726500384016956</v>
      </c>
      <c r="D546" s="5">
        <v>0.389948861832269</v>
      </c>
      <c r="E546" s="5">
        <v>-0.0991533538055717</v>
      </c>
      <c r="F546" s="5">
        <v>0.303166887890208</v>
      </c>
      <c r="G546" s="5">
        <v>0.280039757174233</v>
      </c>
      <c r="H546" s="5">
        <v>0.319978122539308</v>
      </c>
      <c r="I546" s="5">
        <v>0.429234648352725</v>
      </c>
      <c r="J546" s="6">
        <v>1.79885569269542</v>
      </c>
      <c r="K546" s="6">
        <v>2.50500282922506</v>
      </c>
      <c r="L546" s="6">
        <v>1.14054316881441</v>
      </c>
      <c r="M546" s="6">
        <v>-0.289243550775864</v>
      </c>
      <c r="N546" s="7">
        <v>0.289215992946512</v>
      </c>
      <c r="O546" s="7">
        <v>0.186921296296296</v>
      </c>
      <c r="P546" s="7">
        <v>0.656205420827389</v>
      </c>
      <c r="Q546" s="7">
        <v>0.897838066977533</v>
      </c>
      <c r="R546" s="6">
        <v>3.88706019832251</v>
      </c>
      <c r="S546" s="6">
        <v>5.89508621443368</v>
      </c>
      <c r="T546" s="6">
        <v>2.10976665443053</v>
      </c>
      <c r="U546" s="6">
        <v>-0.558362693032129</v>
      </c>
    </row>
    <row r="547" ht="11.25" customHeight="1">
      <c r="A547" s="2" t="s">
        <v>575</v>
      </c>
      <c r="B547" s="5">
        <v>0.672017833002882</v>
      </c>
      <c r="C547" s="5">
        <v>0.862361153683567</v>
      </c>
      <c r="D547" s="5">
        <v>0.750304514985462</v>
      </c>
      <c r="E547" s="5">
        <v>0.383409645682258</v>
      </c>
      <c r="F547" s="5">
        <v>0.193109714277843</v>
      </c>
      <c r="G547" s="5">
        <v>0.200076215905502</v>
      </c>
      <c r="H547" s="5">
        <v>0.194830575088167</v>
      </c>
      <c r="I547" s="5">
        <v>0.305754865687744</v>
      </c>
      <c r="J547" s="6">
        <v>3.35051934296771</v>
      </c>
      <c r="K547" s="6">
        <v>4.18521087023687</v>
      </c>
      <c r="L547" s="6">
        <v>3.72274482409774</v>
      </c>
      <c r="M547" s="6">
        <v>1.17221240249464</v>
      </c>
      <c r="N547" s="7">
        <v>0.100488291432805</v>
      </c>
      <c r="O547" s="7">
        <v>0.0853598422609269</v>
      </c>
      <c r="P547" s="7">
        <v>0.15104956412541</v>
      </c>
      <c r="Q547" s="7">
        <v>0.336223316912972</v>
      </c>
      <c r="R547" s="6">
        <v>7.25654454981909</v>
      </c>
      <c r="S547" s="6">
        <v>9.55859354789626</v>
      </c>
      <c r="T547" s="6">
        <v>8.40726661956276</v>
      </c>
      <c r="U547" s="6">
        <v>2.25769275325573</v>
      </c>
    </row>
    <row r="548" ht="11.25" customHeight="1">
      <c r="A548" s="2" t="s">
        <v>576</v>
      </c>
      <c r="B548" s="5">
        <v>0.545609251374018</v>
      </c>
      <c r="C548" s="5">
        <v>0.713180549896673</v>
      </c>
      <c r="D548" s="5">
        <v>0.540564203035848</v>
      </c>
      <c r="E548" s="5">
        <v>0.227605243779217</v>
      </c>
      <c r="F548" s="5">
        <v>0.218547530382737</v>
      </c>
      <c r="G548" s="5">
        <v>0.22102829505696</v>
      </c>
      <c r="H548" s="5">
        <v>0.227867618828171</v>
      </c>
      <c r="I548" s="5">
        <v>0.318368217556806</v>
      </c>
      <c r="J548" s="6">
        <v>2.38213284983036</v>
      </c>
      <c r="K548" s="6">
        <v>3.11354050719761</v>
      </c>
      <c r="L548" s="6">
        <v>2.2625601903736</v>
      </c>
      <c r="M548" s="6">
        <v>0.636386525432824</v>
      </c>
      <c r="N548" s="7">
        <v>0.158710586577417</v>
      </c>
      <c r="O548" s="7">
        <v>0.116735537190082</v>
      </c>
      <c r="P548" s="7">
        <v>0.403261073280439</v>
      </c>
      <c r="Q548" s="7">
        <v>0.493155046163641</v>
      </c>
      <c r="R548" s="6">
        <v>5.20180777565429</v>
      </c>
      <c r="S548" s="6">
        <v>7.50712197689469</v>
      </c>
      <c r="T548" s="6">
        <v>4.6388343976598</v>
      </c>
      <c r="U548" s="6">
        <v>1.25799299747628</v>
      </c>
    </row>
    <row r="549" ht="11.25" customHeight="1">
      <c r="A549" s="2" t="s">
        <v>577</v>
      </c>
      <c r="B549" s="5">
        <v>1.60019461183581</v>
      </c>
      <c r="C549" s="5">
        <v>2.80348300841879</v>
      </c>
      <c r="D549" s="5">
        <v>1.5381298370235</v>
      </c>
      <c r="E549" s="5">
        <v>0.359174980522305</v>
      </c>
      <c r="F549" s="5">
        <v>0.62670428277573</v>
      </c>
      <c r="G549" s="5">
        <v>0.599914584108487</v>
      </c>
      <c r="H549" s="5">
        <v>0.551993423144681</v>
      </c>
      <c r="I549" s="5">
        <v>0.790020317105861</v>
      </c>
      <c r="J549" s="6">
        <v>2.51345755107836</v>
      </c>
      <c r="K549" s="6">
        <v>4.63146434845853</v>
      </c>
      <c r="L549" s="6">
        <v>2.74120990138483</v>
      </c>
      <c r="M549" s="6">
        <v>0.422995425923365</v>
      </c>
      <c r="N549" s="7">
        <v>0.563307493540051</v>
      </c>
      <c r="O549" s="7">
        <v>0.278700627537836</v>
      </c>
      <c r="P549" s="7">
        <v>0.596487947789634</v>
      </c>
      <c r="Q549" s="7">
        <v>0.815799187892211</v>
      </c>
      <c r="R549" s="6">
        <v>6.25681037867461</v>
      </c>
      <c r="S549" s="6">
        <v>14.2921793405628</v>
      </c>
      <c r="T549" s="6">
        <v>6.98886464073936</v>
      </c>
      <c r="U549" s="6">
        <v>0.933175080019176</v>
      </c>
    </row>
    <row r="550" ht="11.25" customHeight="1">
      <c r="A550" s="2" t="s">
        <v>578</v>
      </c>
      <c r="B550" s="5">
        <v>1.29224707980968</v>
      </c>
      <c r="C550" s="5">
        <v>1.24113694764426</v>
      </c>
      <c r="D550" s="5">
        <v>1.96769821373417</v>
      </c>
      <c r="E550" s="5">
        <v>-0.00950064441002107</v>
      </c>
      <c r="F550" s="5">
        <v>0.626710381263723</v>
      </c>
      <c r="G550" s="5">
        <v>0.565096474734855</v>
      </c>
      <c r="H550" s="5">
        <v>0.540711113383755</v>
      </c>
      <c r="I550" s="5">
        <v>0.782878826115354</v>
      </c>
      <c r="J550" s="6">
        <v>2.02206173329116</v>
      </c>
      <c r="K550" s="6">
        <v>2.15208730193348</v>
      </c>
      <c r="L550" s="6">
        <v>3.59285793402103</v>
      </c>
      <c r="M550" s="6">
        <v>-0.044068945613478</v>
      </c>
      <c r="N550" s="7">
        <v>0.209667104244504</v>
      </c>
      <c r="O550" s="7">
        <v>0.158436837322023</v>
      </c>
      <c r="P550" s="7">
        <v>0.277186567708033</v>
      </c>
      <c r="Q550" s="7">
        <v>0.517333333333332</v>
      </c>
      <c r="R550" s="6">
        <v>4.26063459819298</v>
      </c>
      <c r="S550" s="6">
        <v>4.62881818751834</v>
      </c>
      <c r="T550" s="6">
        <v>9.15207999221975</v>
      </c>
      <c r="U550" s="6">
        <v>-0.0937506273029435</v>
      </c>
    </row>
    <row r="551" ht="11.25" customHeight="1">
      <c r="A551" s="2" t="s">
        <v>579</v>
      </c>
      <c r="B551" s="5">
        <v>0.594570213798532</v>
      </c>
      <c r="C551" s="5">
        <v>0.761008786046062</v>
      </c>
      <c r="D551" s="5">
        <v>0.806101670662635</v>
      </c>
      <c r="E551" s="5">
        <v>0.370708572642791</v>
      </c>
      <c r="F551" s="5">
        <v>0.185040530983261</v>
      </c>
      <c r="G551" s="5">
        <v>0.197194568795214</v>
      </c>
      <c r="H551" s="5">
        <v>0.183275604584729</v>
      </c>
      <c r="I551" s="5">
        <v>0.284170468708707</v>
      </c>
      <c r="J551" s="6">
        <v>3.07808354619375</v>
      </c>
      <c r="K551" s="6">
        <v>3.73239887154501</v>
      </c>
      <c r="L551" s="6">
        <v>4.26189657064549</v>
      </c>
      <c r="M551" s="6">
        <v>1.21655348007735</v>
      </c>
      <c r="N551" s="7">
        <v>0.0914776340894637</v>
      </c>
      <c r="O551" s="7">
        <v>0.0654277971351141</v>
      </c>
      <c r="P551" s="7">
        <v>0.110323886639676</v>
      </c>
      <c r="Q551" s="7">
        <v>0.342505606400388</v>
      </c>
      <c r="R551" s="6">
        <v>6.75115714481313</v>
      </c>
      <c r="S551" s="6">
        <v>8.72161379216359</v>
      </c>
      <c r="T551" s="6">
        <v>9.99924963299861</v>
      </c>
      <c r="U551" s="6">
        <v>2.36741451658312</v>
      </c>
    </row>
    <row r="552" ht="11.25" customHeight="1">
      <c r="A552" s="2" t="s">
        <v>580</v>
      </c>
      <c r="B552" s="5">
        <v>0.293208991665658</v>
      </c>
      <c r="C552" s="5">
        <v>0.3472364835058</v>
      </c>
      <c r="D552" s="5">
        <v>0.318808669502683</v>
      </c>
      <c r="E552" s="5">
        <v>0.0809025360992141</v>
      </c>
      <c r="F552" s="5">
        <v>0.148686826282162</v>
      </c>
      <c r="G552" s="5">
        <v>0.151952108434479</v>
      </c>
      <c r="H552" s="5">
        <v>0.181817101018391</v>
      </c>
      <c r="I552" s="5">
        <v>0.233433516095043</v>
      </c>
      <c r="J552" s="6">
        <v>1.80385174915684</v>
      </c>
      <c r="K552" s="6">
        <v>2.12064502971175</v>
      </c>
      <c r="L552" s="6">
        <v>1.61595728815939</v>
      </c>
      <c r="M552" s="6">
        <v>0.239479475931181</v>
      </c>
      <c r="N552" s="7">
        <v>0.135368166925331</v>
      </c>
      <c r="O552" s="7">
        <v>0.135368166925332</v>
      </c>
      <c r="P552" s="7">
        <v>0.381657135417105</v>
      </c>
      <c r="Q552" s="7">
        <v>0.389837685250529</v>
      </c>
      <c r="R552" s="6">
        <v>3.62139396981517</v>
      </c>
      <c r="S552" s="6">
        <v>4.47060280392928</v>
      </c>
      <c r="T552" s="6">
        <v>3.07466777179591</v>
      </c>
      <c r="U552" s="6">
        <v>0.456030909570531</v>
      </c>
    </row>
    <row r="553" ht="11.25" customHeight="1">
      <c r="A553" s="2" t="s">
        <v>581</v>
      </c>
      <c r="B553" s="5">
        <v>1.03501196514724</v>
      </c>
      <c r="C553" s="5">
        <v>2.79405436360057</v>
      </c>
      <c r="D553" s="5">
        <v>0.426230936551353</v>
      </c>
      <c r="E553" s="5">
        <v>0.29987377864298</v>
      </c>
      <c r="F553" s="5">
        <v>0.625529978630345</v>
      </c>
      <c r="G553" s="5">
        <v>0.57998140352795</v>
      </c>
      <c r="H553" s="5">
        <v>0.584233121000172</v>
      </c>
      <c r="I553" s="5">
        <v>0.759829968287141</v>
      </c>
      <c r="J553" s="6">
        <v>1.61464997626293</v>
      </c>
      <c r="K553" s="6">
        <v>4.77438474191892</v>
      </c>
      <c r="L553" s="6">
        <v>0.686765132152162</v>
      </c>
      <c r="M553" s="6">
        <v>0.361756958945195</v>
      </c>
      <c r="N553" s="7">
        <v>0.44536652835408</v>
      </c>
      <c r="O553" s="7">
        <v>0.203341288782816</v>
      </c>
      <c r="P553" s="7">
        <v>0.557741116751269</v>
      </c>
      <c r="Q553" s="7">
        <v>0.678653757491931</v>
      </c>
      <c r="R553" s="6">
        <v>3.39014358643531</v>
      </c>
      <c r="S553" s="6">
        <v>11.7937312792923</v>
      </c>
      <c r="T553" s="6">
        <v>1.2699829631503</v>
      </c>
      <c r="U553" s="6">
        <v>0.748362936649182</v>
      </c>
    </row>
    <row r="554" ht="11.25" customHeight="1">
      <c r="A554" s="2" t="s">
        <v>582</v>
      </c>
      <c r="B554" s="5">
        <v>4.15661904846011</v>
      </c>
      <c r="C554" s="5">
        <v>4.51221408826847</v>
      </c>
      <c r="D554" s="5">
        <v>3.8203311886796</v>
      </c>
      <c r="E554" s="5">
        <v>0.565995690623003</v>
      </c>
      <c r="F554" s="5">
        <v>0.671686872145694</v>
      </c>
      <c r="G554" s="5">
        <v>0.691445365663011</v>
      </c>
      <c r="H554" s="5">
        <v>0.74567977457933</v>
      </c>
      <c r="I554" s="5">
        <v>0.912389543813105</v>
      </c>
      <c r="J554" s="6">
        <v>6.15110882733455</v>
      </c>
      <c r="K554" s="6">
        <v>6.48961481427499</v>
      </c>
      <c r="L554" s="6">
        <v>5.08976013305539</v>
      </c>
      <c r="M554" s="6">
        <v>0.592943764307125</v>
      </c>
      <c r="N554" s="7">
        <v>0.180376610505451</v>
      </c>
      <c r="O554" s="7">
        <v>0.256690792795825</v>
      </c>
      <c r="P554" s="7">
        <v>0.588225364175608</v>
      </c>
      <c r="Q554" s="7">
        <v>0.739101161420636</v>
      </c>
      <c r="R554" s="6">
        <v>19.2484132372227</v>
      </c>
      <c r="S554" s="6">
        <v>19.4733333317597</v>
      </c>
      <c r="T554" s="6">
        <v>13.8285536180154</v>
      </c>
      <c r="U554" s="6">
        <v>1.25928188377794</v>
      </c>
    </row>
    <row r="555" ht="11.25" customHeight="1">
      <c r="A555" s="2" t="s">
        <v>583</v>
      </c>
      <c r="B555" s="5">
        <v>0.434148406666691</v>
      </c>
      <c r="C555" s="5">
        <v>0.513189353071563</v>
      </c>
      <c r="D555" s="5">
        <v>0.438941501076</v>
      </c>
      <c r="E555" s="5">
        <v>0.0810829176022804</v>
      </c>
      <c r="F555" s="5">
        <v>0.283227715470889</v>
      </c>
      <c r="G555" s="5">
        <v>0.251511158361238</v>
      </c>
      <c r="H555" s="5">
        <v>0.339708734612383</v>
      </c>
      <c r="I555" s="5">
        <v>0.40758666374047</v>
      </c>
      <c r="J555" s="6">
        <v>1.44459169889658</v>
      </c>
      <c r="K555" s="6">
        <v>1.94102462989093</v>
      </c>
      <c r="L555" s="6">
        <v>1.21851886307344</v>
      </c>
      <c r="M555" s="6">
        <v>0.137597528554052</v>
      </c>
      <c r="N555" s="7">
        <v>0.354137102096273</v>
      </c>
      <c r="O555" s="7">
        <v>0.209580751773699</v>
      </c>
      <c r="P555" s="7">
        <v>0.704978235366951</v>
      </c>
      <c r="Q555" s="7">
        <v>0.806634446397187</v>
      </c>
      <c r="R555" s="6">
        <v>3.01251645934706</v>
      </c>
      <c r="S555" s="6">
        <v>4.44423587716026</v>
      </c>
      <c r="T555" s="6">
        <v>2.23449543580197</v>
      </c>
      <c r="U555" s="6">
        <v>0.257855533623327</v>
      </c>
    </row>
    <row r="556" ht="11.25" customHeight="1">
      <c r="A556" s="2" t="s">
        <v>584</v>
      </c>
      <c r="B556" s="5">
        <v>0.693265706921182</v>
      </c>
      <c r="C556" s="5">
        <v>0.916756195615102</v>
      </c>
      <c r="D556" s="5">
        <v>0.618145879630273</v>
      </c>
      <c r="E556" s="5">
        <v>0.367497216101594</v>
      </c>
      <c r="F556" s="5">
        <v>0.19192753877712</v>
      </c>
      <c r="G556" s="5">
        <v>0.216227903823779</v>
      </c>
      <c r="H556" s="5">
        <v>0.223725534664112</v>
      </c>
      <c r="I556" s="5">
        <v>0.309797169842391</v>
      </c>
      <c r="J556" s="6">
        <v>3.48186462025764</v>
      </c>
      <c r="K556" s="6">
        <v>4.1241494730572</v>
      </c>
      <c r="L556" s="6">
        <v>2.65122119618927</v>
      </c>
      <c r="M556" s="6">
        <v>1.1055530826051</v>
      </c>
      <c r="N556" s="7">
        <v>0.100931596817421</v>
      </c>
      <c r="O556" s="7">
        <v>0.109198544723439</v>
      </c>
      <c r="P556" s="7">
        <v>0.351313922853475</v>
      </c>
      <c r="Q556" s="7">
        <v>0.382793418177143</v>
      </c>
      <c r="R556" s="6">
        <v>7.76600559512759</v>
      </c>
      <c r="S556" s="6">
        <v>9.56548033815911</v>
      </c>
      <c r="T556" s="6">
        <v>5.23366756290061</v>
      </c>
      <c r="U556" s="6">
        <v>2.10725400665955</v>
      </c>
    </row>
    <row r="557" ht="11.25" customHeight="1">
      <c r="A557" s="2" t="s">
        <v>585</v>
      </c>
      <c r="B557" s="5">
        <v>0.0595782224472969</v>
      </c>
      <c r="C557" s="5">
        <v>0.058300410625506</v>
      </c>
      <c r="D557" s="5">
        <v>0.0598763025743787</v>
      </c>
      <c r="E557" s="5">
        <v>0.0171484291943351</v>
      </c>
      <c r="F557" s="5">
        <v>0.028430056497483</v>
      </c>
      <c r="G557" s="5">
        <v>0.0330754325160721</v>
      </c>
      <c r="H557" s="5">
        <v>0.0269877378223497</v>
      </c>
      <c r="I557" s="5">
        <v>0.0500030022727726</v>
      </c>
      <c r="J557" s="6">
        <v>1.21625584705954</v>
      </c>
      <c r="K557" s="6">
        <v>1.00680197029395</v>
      </c>
      <c r="L557" s="6">
        <v>1.29230181514124</v>
      </c>
      <c r="M557" s="6">
        <v>-0.157021987656532</v>
      </c>
      <c r="N557" s="7">
        <v>0.0159841415313653</v>
      </c>
      <c r="O557" s="7">
        <v>0.0522372223401144</v>
      </c>
      <c r="P557" s="7">
        <v>0.0321872190043361</v>
      </c>
      <c r="Q557" s="7">
        <v>0.149364991717283</v>
      </c>
      <c r="R557" s="6">
        <v>2.53916954711122</v>
      </c>
      <c r="S557" s="6">
        <v>1.90068371938328</v>
      </c>
      <c r="T557" s="6">
        <v>2.86821996835124</v>
      </c>
      <c r="U557" s="6">
        <v>-0.283972113103962</v>
      </c>
    </row>
    <row r="558" ht="11.25" customHeight="1">
      <c r="A558" s="2" t="s">
        <v>586</v>
      </c>
      <c r="B558" s="5">
        <v>1.15790292627432</v>
      </c>
      <c r="C558" s="5">
        <v>1.35851010553054</v>
      </c>
      <c r="D558" s="5">
        <v>0.887946574422739</v>
      </c>
      <c r="E558" s="5">
        <v>0.227337044968442</v>
      </c>
      <c r="F558" s="5">
        <v>0.392195965037145</v>
      </c>
      <c r="G558" s="5">
        <v>0.376069312427879</v>
      </c>
      <c r="H558" s="5">
        <v>0.337993300738602</v>
      </c>
      <c r="I558" s="5">
        <v>0.54937848357204</v>
      </c>
      <c r="J558" s="6">
        <v>2.88861443581406</v>
      </c>
      <c r="K558" s="6">
        <v>3.5459157699454</v>
      </c>
      <c r="L558" s="6">
        <v>2.5531469781708</v>
      </c>
      <c r="M558" s="6">
        <v>0.368301728260003</v>
      </c>
      <c r="N558" s="7">
        <v>0.271207722036237</v>
      </c>
      <c r="O558" s="7">
        <v>0.201007613105743</v>
      </c>
      <c r="P558" s="7">
        <v>0.515663185958676</v>
      </c>
      <c r="Q558" s="7">
        <v>0.676858638743455</v>
      </c>
      <c r="R558" s="6">
        <v>6.32407524228047</v>
      </c>
      <c r="S558" s="6">
        <v>8.63200704797177</v>
      </c>
      <c r="T558" s="6">
        <v>5.47047288039201</v>
      </c>
      <c r="U558" s="6">
        <v>0.710609299857672</v>
      </c>
    </row>
    <row r="559" ht="11.25" customHeight="1">
      <c r="A559" s="2" t="s">
        <v>587</v>
      </c>
      <c r="B559" s="5">
        <v>0.255000156171637</v>
      </c>
      <c r="C559" s="5">
        <v>0.316306161279676</v>
      </c>
      <c r="D559" s="5">
        <v>0.251886364380457</v>
      </c>
      <c r="E559" s="5">
        <v>0.138078886721662</v>
      </c>
      <c r="F559" s="5">
        <v>0.104849626607191</v>
      </c>
      <c r="G559" s="5">
        <v>0.118911749995801</v>
      </c>
      <c r="H559" s="5">
        <v>0.0974390742779257</v>
      </c>
      <c r="I559" s="5">
        <v>0.184038316677532</v>
      </c>
      <c r="J559" s="6">
        <v>2.19361922034602</v>
      </c>
      <c r="K559" s="6">
        <v>2.4497676746828</v>
      </c>
      <c r="L559" s="6">
        <v>2.32849466255507</v>
      </c>
      <c r="M559" s="6">
        <v>0.614431216080926</v>
      </c>
      <c r="N559" s="7">
        <v>0.0767480347538268</v>
      </c>
      <c r="O559" s="7">
        <v>0.0767480347538271</v>
      </c>
      <c r="P559" s="7">
        <v>0.123763910687823</v>
      </c>
      <c r="Q559" s="7">
        <v>0.365629534096405</v>
      </c>
      <c r="R559" s="6">
        <v>4.53288707962338</v>
      </c>
      <c r="S559" s="6">
        <v>5.32933269759483</v>
      </c>
      <c r="T559" s="6">
        <v>4.74240980958772</v>
      </c>
      <c r="U559" s="6">
        <v>1.11129739485952</v>
      </c>
    </row>
    <row r="560" ht="11.25" customHeight="1">
      <c r="A560" s="2" t="s">
        <v>588</v>
      </c>
      <c r="B560" s="5">
        <v>1.24168002848943</v>
      </c>
      <c r="C560" s="5">
        <v>2.46982795968715</v>
      </c>
      <c r="D560" s="5">
        <v>1.51504392469114</v>
      </c>
      <c r="E560" s="5">
        <v>0.0654736124939576</v>
      </c>
      <c r="F560" s="5">
        <v>0.605680742994993</v>
      </c>
      <c r="G560" s="5">
        <v>0.616418817595041</v>
      </c>
      <c r="H560" s="5">
        <v>0.614553188245646</v>
      </c>
      <c r="I560" s="5">
        <v>0.829640600981645</v>
      </c>
      <c r="J560" s="6">
        <v>2.00878109888908</v>
      </c>
      <c r="K560" s="6">
        <v>3.96617995736348</v>
      </c>
      <c r="L560" s="6">
        <v>2.42459717594947</v>
      </c>
      <c r="M560" s="6">
        <v>0.0487845127710343</v>
      </c>
      <c r="N560" s="7">
        <v>0.359069627180781</v>
      </c>
      <c r="O560" s="7">
        <v>0.328973315690784</v>
      </c>
      <c r="P560" s="7">
        <v>0.581272941433978</v>
      </c>
      <c r="Q560" s="7">
        <v>0.890646679189837</v>
      </c>
      <c r="R560" s="6">
        <v>4.7171962902402</v>
      </c>
      <c r="S560" s="6">
        <v>10.5040151032732</v>
      </c>
      <c r="T560" s="6">
        <v>5.41545786258512</v>
      </c>
      <c r="U560" s="6">
        <v>0.104956249407689</v>
      </c>
    </row>
    <row r="561" ht="11.25" customHeight="1">
      <c r="A561" s="2" t="s">
        <v>589</v>
      </c>
      <c r="B561" s="5">
        <v>0.339614004881083</v>
      </c>
      <c r="C561" s="5">
        <v>0.467293341779293</v>
      </c>
      <c r="D561" s="5">
        <v>0.39914273938265</v>
      </c>
      <c r="E561" s="5">
        <v>0.185028067995987</v>
      </c>
      <c r="F561" s="5">
        <v>0.116276389741054</v>
      </c>
      <c r="G561" s="5">
        <v>0.125552998637454</v>
      </c>
      <c r="H561" s="5">
        <v>0.111501555370168</v>
      </c>
      <c r="I561" s="5">
        <v>0.205136802570855</v>
      </c>
      <c r="J561" s="6">
        <v>2.70574280455148</v>
      </c>
      <c r="K561" s="6">
        <v>3.52276207322181</v>
      </c>
      <c r="L561" s="6">
        <v>3.35549345603791</v>
      </c>
      <c r="M561" s="6">
        <v>0.780104135340183</v>
      </c>
      <c r="N561" s="7">
        <v>0.077018537189489</v>
      </c>
      <c r="O561" s="7">
        <v>0.0592394420026753</v>
      </c>
      <c r="P561" s="7">
        <v>0.110736502208082</v>
      </c>
      <c r="Q561" s="7">
        <v>0.341047467044984</v>
      </c>
      <c r="R561" s="6">
        <v>5.52524419871383</v>
      </c>
      <c r="S561" s="6">
        <v>7.78390773215484</v>
      </c>
      <c r="T561" s="6">
        <v>7.25485651233917</v>
      </c>
      <c r="U561" s="6">
        <v>1.42395730293626</v>
      </c>
    </row>
    <row r="562" ht="11.25" customHeight="1">
      <c r="A562" s="2" t="s">
        <v>590</v>
      </c>
      <c r="B562" s="5">
        <v>0.297607737813295</v>
      </c>
      <c r="C562" s="5">
        <v>0.48962675197352</v>
      </c>
      <c r="D562" s="5">
        <v>0.421494000757873</v>
      </c>
      <c r="E562" s="5">
        <v>0.134060484689083</v>
      </c>
      <c r="F562" s="5">
        <v>0.1230434541525</v>
      </c>
      <c r="G562" s="5">
        <v>0.133831808606906</v>
      </c>
      <c r="H562" s="5">
        <v>0.123281577712504</v>
      </c>
      <c r="I562" s="5">
        <v>0.20868294703618</v>
      </c>
      <c r="J562" s="6">
        <v>2.21554035272307</v>
      </c>
      <c r="K562" s="6">
        <v>3.47172138529662</v>
      </c>
      <c r="L562" s="6">
        <v>3.21616585474356</v>
      </c>
      <c r="M562" s="6">
        <v>0.52261330519822</v>
      </c>
      <c r="N562" s="7">
        <v>0.102332814930015</v>
      </c>
      <c r="O562" s="7">
        <v>0.07863468531791</v>
      </c>
      <c r="P562" s="7">
        <v>0.120062502612526</v>
      </c>
      <c r="Q562" s="7">
        <v>0.374893977947413</v>
      </c>
      <c r="R562" s="6">
        <v>4.46999152910104</v>
      </c>
      <c r="S562" s="6">
        <v>7.81510740607576</v>
      </c>
      <c r="T562" s="6">
        <v>6.83383325937243</v>
      </c>
      <c r="U562" s="6">
        <v>0.957209970965835</v>
      </c>
    </row>
    <row r="563" ht="11.25" customHeight="1">
      <c r="A563" s="2" t="s">
        <v>591</v>
      </c>
      <c r="B563" s="5">
        <v>2.54853418552961</v>
      </c>
      <c r="C563" s="5">
        <v>3.15698811351913</v>
      </c>
      <c r="D563" s="5">
        <v>1.40603392500457</v>
      </c>
      <c r="E563" s="5">
        <v>1.08917428208088</v>
      </c>
      <c r="F563" s="5">
        <v>0.425492736954033</v>
      </c>
      <c r="G563" s="5">
        <v>0.442831149397049</v>
      </c>
      <c r="H563" s="5">
        <v>0.456063064264083</v>
      </c>
      <c r="I563" s="5">
        <v>0.64358374487118</v>
      </c>
      <c r="J563" s="6">
        <v>5.9308513785565</v>
      </c>
      <c r="K563" s="6">
        <v>7.07264635241579</v>
      </c>
      <c r="L563" s="6">
        <v>3.02816437729516</v>
      </c>
      <c r="M563" s="6">
        <v>1.65351330042353</v>
      </c>
      <c r="N563" s="7">
        <v>0.239825722634419</v>
      </c>
      <c r="O563" s="7">
        <v>0.219703730144565</v>
      </c>
      <c r="P563" s="7">
        <v>0.542901716068642</v>
      </c>
      <c r="Q563" s="7">
        <v>0.615291384708615</v>
      </c>
      <c r="R563" s="6">
        <v>13.1415672356748</v>
      </c>
      <c r="S563" s="6">
        <v>16.6837725318754</v>
      </c>
      <c r="T563" s="6">
        <v>5.72102241046823</v>
      </c>
      <c r="U563" s="6">
        <v>3.1662888718851</v>
      </c>
    </row>
    <row r="564" ht="11.25" customHeight="1">
      <c r="A564" s="2" t="s">
        <v>592</v>
      </c>
      <c r="B564" s="5">
        <v>0.326293777300062</v>
      </c>
      <c r="C564" s="5">
        <v>0.376049370771378</v>
      </c>
      <c r="D564" s="5">
        <v>0.375941147551266</v>
      </c>
      <c r="E564" s="5">
        <v>0.122730929245302</v>
      </c>
      <c r="F564" s="5">
        <v>0.174754361341393</v>
      </c>
      <c r="G564" s="5">
        <v>0.179138451310597</v>
      </c>
      <c r="H564" s="5">
        <v>0.168108490257698</v>
      </c>
      <c r="I564" s="5">
        <v>0.262552922115283</v>
      </c>
      <c r="J564" s="6">
        <v>1.72409875774983</v>
      </c>
      <c r="K564" s="6">
        <v>1.95965393360867</v>
      </c>
      <c r="L564" s="6">
        <v>2.0875872896919</v>
      </c>
      <c r="M564" s="6">
        <v>0.372233256662784</v>
      </c>
      <c r="N564" s="7">
        <v>0.160922330097087</v>
      </c>
      <c r="O564" s="7">
        <v>0.160922330097087</v>
      </c>
      <c r="P564" s="7">
        <v>0.158834727733926</v>
      </c>
      <c r="Q564" s="7">
        <v>0.450009309253397</v>
      </c>
      <c r="R564" s="6">
        <v>3.6920883082309</v>
      </c>
      <c r="S564" s="6">
        <v>4.27964825448029</v>
      </c>
      <c r="T564" s="6">
        <v>4.59215308185598</v>
      </c>
      <c r="U564" s="6">
        <v>0.702250051328243</v>
      </c>
    </row>
    <row r="565" ht="11.25" customHeight="1">
      <c r="A565" s="2" t="s">
        <v>593</v>
      </c>
      <c r="B565" s="5">
        <v>0.572578089588933</v>
      </c>
      <c r="C565" s="5">
        <v>0.671415829440927</v>
      </c>
      <c r="D565" s="5">
        <v>0.661888547243542</v>
      </c>
      <c r="E565" s="5">
        <v>0.289353579375818</v>
      </c>
      <c r="F565" s="5">
        <v>0.192948641949444</v>
      </c>
      <c r="G565" s="5">
        <v>0.200055570239969</v>
      </c>
      <c r="H565" s="5">
        <v>0.191978199076181</v>
      </c>
      <c r="I565" s="5">
        <v>0.290670895394674</v>
      </c>
      <c r="J565" s="6">
        <v>2.83794736286564</v>
      </c>
      <c r="K565" s="6">
        <v>3.23118135958696</v>
      </c>
      <c r="L565" s="6">
        <v>3.31750454118392</v>
      </c>
      <c r="M565" s="6">
        <v>0.909460092373119</v>
      </c>
      <c r="N565" s="7">
        <v>0.140859656701788</v>
      </c>
      <c r="O565" s="7">
        <v>0.10221559134113</v>
      </c>
      <c r="P565" s="7">
        <v>0.139501381049228</v>
      </c>
      <c r="Q565" s="7">
        <v>0.360512729214883</v>
      </c>
      <c r="R565" s="6">
        <v>6.50344255841858</v>
      </c>
      <c r="S565" s="6">
        <v>7.88010903356301</v>
      </c>
      <c r="T565" s="6">
        <v>7.67237097408392</v>
      </c>
      <c r="U565" s="6">
        <v>1.82750995577567</v>
      </c>
    </row>
    <row r="566" ht="11.25" customHeight="1">
      <c r="A566" s="2" t="s">
        <v>594</v>
      </c>
      <c r="B566" s="5">
        <v>-0.0758259556384056</v>
      </c>
      <c r="C566" s="5">
        <v>1.20062099340101</v>
      </c>
      <c r="D566" s="5">
        <v>5.89142571023203</v>
      </c>
      <c r="E566" s="5">
        <v>-0.567367244252114</v>
      </c>
      <c r="F566" s="5">
        <v>1.18309027452682</v>
      </c>
      <c r="G566" s="5">
        <v>1.16872725965959</v>
      </c>
      <c r="H566" s="5">
        <v>1.0521684271907</v>
      </c>
      <c r="I566" s="5">
        <v>1.37769244529115</v>
      </c>
      <c r="J566" s="6">
        <v>-0.0852225377972366</v>
      </c>
      <c r="K566" s="6">
        <v>1.00589849657774</v>
      </c>
      <c r="L566" s="6">
        <v>5.57555763756892</v>
      </c>
      <c r="M566" s="6">
        <v>-0.429970597775128</v>
      </c>
      <c r="N566" s="7">
        <v>0.604512078412232</v>
      </c>
      <c r="O566" s="7">
        <v>0.440138441282532</v>
      </c>
      <c r="P566" s="7">
        <v>0.473988439306358</v>
      </c>
      <c r="Q566" s="7">
        <v>0.672203321993195</v>
      </c>
      <c r="R566" s="6">
        <v>-0.17964124454865</v>
      </c>
      <c r="S566" s="6">
        <v>2.28114270173746</v>
      </c>
      <c r="T566" s="6">
        <v>12.6539216981181</v>
      </c>
      <c r="U566" s="6">
        <v>-1.01001204984353</v>
      </c>
    </row>
    <row r="567" ht="11.25" customHeight="1">
      <c r="A567" s="2" t="s">
        <v>595</v>
      </c>
      <c r="B567" s="5">
        <v>0.86226718766569</v>
      </c>
      <c r="C567" s="5">
        <v>0.957007882137081</v>
      </c>
      <c r="D567" s="5">
        <v>0.657999528381374</v>
      </c>
      <c r="E567" s="5">
        <v>0.175668085575517</v>
      </c>
      <c r="F567" s="5">
        <v>0.316655085388644</v>
      </c>
      <c r="G567" s="5">
        <v>0.299864383213043</v>
      </c>
      <c r="H567" s="5">
        <v>0.352425532191499</v>
      </c>
      <c r="I567" s="5">
        <v>0.450827164356489</v>
      </c>
      <c r="J567" s="6">
        <v>2.64409834643292</v>
      </c>
      <c r="K567" s="6">
        <v>3.10809797465983</v>
      </c>
      <c r="L567" s="6">
        <v>1.79612278498998</v>
      </c>
      <c r="M567" s="6">
        <v>0.334203653833906</v>
      </c>
      <c r="N567" s="7">
        <v>0.212463934675092</v>
      </c>
      <c r="O567" s="7">
        <v>0.180085698089101</v>
      </c>
      <c r="P567" s="7">
        <v>0.486628897428786</v>
      </c>
      <c r="Q567" s="7">
        <v>0.698326196963799</v>
      </c>
      <c r="R567" s="6">
        <v>5.8548611331627</v>
      </c>
      <c r="S567" s="6">
        <v>7.23670973734471</v>
      </c>
      <c r="T567" s="6">
        <v>3.63417376920541</v>
      </c>
      <c r="U567" s="6">
        <v>0.680022612413819</v>
      </c>
    </row>
    <row r="568" ht="11.25" customHeight="1">
      <c r="A568" s="2" t="s">
        <v>596</v>
      </c>
      <c r="B568" s="5">
        <v>0.537293462066874</v>
      </c>
      <c r="C568" s="5">
        <v>0.78031096217137</v>
      </c>
      <c r="D568" s="5">
        <v>0.61719681526518</v>
      </c>
      <c r="E568" s="5">
        <v>0.0770123674747211</v>
      </c>
      <c r="F568" s="5">
        <v>0.251929181850663</v>
      </c>
      <c r="G568" s="5">
        <v>0.257888786386615</v>
      </c>
      <c r="H568" s="5">
        <v>0.253382678138474</v>
      </c>
      <c r="I568" s="5">
        <v>0.373711122792424</v>
      </c>
      <c r="J568" s="6">
        <v>2.03348202182685</v>
      </c>
      <c r="K568" s="6">
        <v>2.92882436942815</v>
      </c>
      <c r="L568" s="6">
        <v>2.33716376989883</v>
      </c>
      <c r="M568" s="6">
        <v>0.139178002212182</v>
      </c>
      <c r="N568" s="7">
        <v>0.151588924730853</v>
      </c>
      <c r="O568" s="7">
        <v>0.189262657152565</v>
      </c>
      <c r="P568" s="7">
        <v>0.294112361731226</v>
      </c>
      <c r="Q568" s="7">
        <v>0.616626741194214</v>
      </c>
      <c r="R568" s="6">
        <v>4.3866034923304</v>
      </c>
      <c r="S568" s="6">
        <v>6.71920948139257</v>
      </c>
      <c r="T568" s="6">
        <v>4.91505343306281</v>
      </c>
      <c r="U568" s="6">
        <v>0.268778784152329</v>
      </c>
    </row>
    <row r="569" ht="11.25" customHeight="1">
      <c r="A569" s="2" t="s">
        <v>597</v>
      </c>
      <c r="B569" s="5">
        <v>1.32314526676712</v>
      </c>
      <c r="C569" s="5">
        <v>1.56124397023978</v>
      </c>
      <c r="D569" s="5">
        <v>0.683587611545957</v>
      </c>
      <c r="E569" s="5">
        <v>0.209389290378846</v>
      </c>
      <c r="F569" s="5">
        <v>0.354406870886605</v>
      </c>
      <c r="G569" s="5">
        <v>0.35056165577414</v>
      </c>
      <c r="H569" s="5">
        <v>0.324343004374354</v>
      </c>
      <c r="I569" s="5">
        <v>0.50276042145116</v>
      </c>
      <c r="J569" s="6">
        <v>3.66286709825802</v>
      </c>
      <c r="K569" s="6">
        <v>4.38223617710647</v>
      </c>
      <c r="L569" s="6">
        <v>2.03052818363185</v>
      </c>
      <c r="M569" s="6">
        <v>0.366753790695433</v>
      </c>
      <c r="N569" s="7">
        <v>0.230141570357648</v>
      </c>
      <c r="O569" s="7">
        <v>0.144175572510304</v>
      </c>
      <c r="P569" s="7">
        <v>0.471654954216411</v>
      </c>
      <c r="Q569" s="7">
        <v>0.727986050566695</v>
      </c>
      <c r="R569" s="6">
        <v>8.66823820665916</v>
      </c>
      <c r="S569" s="6">
        <v>11.4518365750484</v>
      </c>
      <c r="T569" s="6">
        <v>3.98255598243707</v>
      </c>
      <c r="U569" s="6">
        <v>0.713004089791277</v>
      </c>
    </row>
    <row r="570" ht="11.25" customHeight="1">
      <c r="A570" s="2" t="s">
        <v>598</v>
      </c>
      <c r="B570" s="5">
        <v>0.665258396602067</v>
      </c>
      <c r="C570" s="5">
        <v>0.985388156482988</v>
      </c>
      <c r="D570" s="5">
        <v>0.678490198695225</v>
      </c>
      <c r="E570" s="5">
        <v>0.382419486762297</v>
      </c>
      <c r="F570" s="5">
        <v>0.270168819204584</v>
      </c>
      <c r="G570" s="5">
        <v>0.279096728771898</v>
      </c>
      <c r="H570" s="5">
        <v>0.260892840154847</v>
      </c>
      <c r="I570" s="5">
        <v>0.364036915518431</v>
      </c>
      <c r="J570" s="6">
        <v>2.36984563387839</v>
      </c>
      <c r="K570" s="6">
        <v>3.44105844847755</v>
      </c>
      <c r="L570" s="6">
        <v>2.50482227993439</v>
      </c>
      <c r="M570" s="6">
        <v>0.981822094205171</v>
      </c>
      <c r="N570" s="7">
        <v>0.124934055284626</v>
      </c>
      <c r="O570" s="7">
        <v>0.107164358819987</v>
      </c>
      <c r="P570" s="7">
        <v>0.250248360818597</v>
      </c>
      <c r="Q570" s="7">
        <v>0.548971052856289</v>
      </c>
      <c r="R570" s="6">
        <v>6.44622798925066</v>
      </c>
      <c r="S570" s="6">
        <v>10.5936657266787</v>
      </c>
      <c r="T570" s="6">
        <v>6.13553421856432</v>
      </c>
      <c r="U570" s="6">
        <v>2.09936461375987</v>
      </c>
    </row>
    <row r="571" ht="11.25" customHeight="1">
      <c r="A571" s="2" t="s">
        <v>599</v>
      </c>
      <c r="B571" s="5">
        <v>0.549245258514754</v>
      </c>
      <c r="C571" s="5">
        <v>0.775015776243367</v>
      </c>
      <c r="D571" s="5">
        <v>0.74461505993824</v>
      </c>
      <c r="E571" s="5">
        <v>0.181046917517286</v>
      </c>
      <c r="F571" s="5">
        <v>0.24536282685349</v>
      </c>
      <c r="G571" s="5">
        <v>0.237421558828795</v>
      </c>
      <c r="H571" s="5">
        <v>0.24293084312407</v>
      </c>
      <c r="I571" s="5">
        <v>0.368389212716148</v>
      </c>
      <c r="J571" s="6">
        <v>2.13661240065426</v>
      </c>
      <c r="K571" s="6">
        <v>3.15900451476776</v>
      </c>
      <c r="L571" s="6">
        <v>2.9622218845662</v>
      </c>
      <c r="M571" s="6">
        <v>0.423592526954701</v>
      </c>
      <c r="N571" s="7">
        <v>0.18137426341899</v>
      </c>
      <c r="O571" s="7">
        <v>0.140898918314061</v>
      </c>
      <c r="P571" s="7">
        <v>0.232978992660085</v>
      </c>
      <c r="Q571" s="7">
        <v>0.590529247910864</v>
      </c>
      <c r="R571" s="6">
        <v>4.29065294013396</v>
      </c>
      <c r="S571" s="6">
        <v>7.15649485724791</v>
      </c>
      <c r="T571" s="6">
        <v>6.32760787188126</v>
      </c>
      <c r="U571" s="6">
        <v>0.80020714087192</v>
      </c>
    </row>
    <row r="572" ht="11.25" customHeight="1">
      <c r="A572" s="2" t="s">
        <v>600</v>
      </c>
      <c r="B572" s="5">
        <v>0.974318797650054</v>
      </c>
      <c r="C572" s="5">
        <v>1.34327710136771</v>
      </c>
      <c r="D572" s="5">
        <v>1.04325082234164</v>
      </c>
      <c r="E572" s="5">
        <v>0.379378417239299</v>
      </c>
      <c r="F572" s="5">
        <v>0.347886369972564</v>
      </c>
      <c r="G572" s="5">
        <v>0.3435292655418</v>
      </c>
      <c r="H572" s="5">
        <v>0.347819039603161</v>
      </c>
      <c r="I572" s="5">
        <v>0.500871736938935</v>
      </c>
      <c r="J572" s="6">
        <v>2.72881860167422</v>
      </c>
      <c r="K572" s="6">
        <v>3.83745209971726</v>
      </c>
      <c r="L572" s="6">
        <v>2.92753042933877</v>
      </c>
      <c r="M572" s="6">
        <v>0.707523286111277</v>
      </c>
      <c r="N572" s="7">
        <v>0.237178488078247</v>
      </c>
      <c r="O572" s="7">
        <v>0.163677321479085</v>
      </c>
      <c r="P572" s="7">
        <v>0.356848373797526</v>
      </c>
      <c r="Q572" s="7">
        <v>0.620335316387236</v>
      </c>
      <c r="R572" s="6">
        <v>5.9480280784614</v>
      </c>
      <c r="S572" s="6">
        <v>9.17433605263475</v>
      </c>
      <c r="T572" s="6">
        <v>6.31176843256584</v>
      </c>
      <c r="U572" s="6">
        <v>1.41648742461748</v>
      </c>
    </row>
    <row r="573" ht="11.25" customHeight="1">
      <c r="A573" s="2" t="s">
        <v>601</v>
      </c>
      <c r="B573" s="5">
        <v>0.745493082188806</v>
      </c>
      <c r="C573" s="5">
        <v>0.814436128403698</v>
      </c>
      <c r="D573" s="5">
        <v>0.873683301983346</v>
      </c>
      <c r="E573" s="5">
        <v>0.160895049340484</v>
      </c>
      <c r="F573" s="5">
        <v>0.303983094703674</v>
      </c>
      <c r="G573" s="5">
        <v>0.273426242558864</v>
      </c>
      <c r="H573" s="5">
        <v>0.284015442853295</v>
      </c>
      <c r="I573" s="5">
        <v>0.45521574272115</v>
      </c>
      <c r="J573" s="6">
        <v>2.37017483781836</v>
      </c>
      <c r="K573" s="6">
        <v>2.88719956437153</v>
      </c>
      <c r="L573" s="6">
        <v>2.98815900099391</v>
      </c>
      <c r="M573" s="6">
        <v>0.298528887705294</v>
      </c>
      <c r="N573" s="7">
        <v>0.303730951129795</v>
      </c>
      <c r="O573" s="7">
        <v>0.248029427220178</v>
      </c>
      <c r="P573" s="7">
        <v>0.303730951129795</v>
      </c>
      <c r="Q573" s="7">
        <v>0.681671226063168</v>
      </c>
      <c r="R573" s="6">
        <v>5.20627602914957</v>
      </c>
      <c r="S573" s="6">
        <v>6.6722590339948</v>
      </c>
      <c r="T573" s="6">
        <v>6.49778594331501</v>
      </c>
      <c r="U573" s="6">
        <v>0.545508142055016</v>
      </c>
    </row>
    <row r="574" ht="11.25" customHeight="1">
      <c r="A574" s="2" t="s">
        <v>602</v>
      </c>
      <c r="B574" s="5">
        <v>0.46833587274672</v>
      </c>
      <c r="C574" s="5">
        <v>0.554340837667094</v>
      </c>
      <c r="D574" s="5">
        <v>0.650693083743027</v>
      </c>
      <c r="E574" s="5">
        <v>0.215100769068336</v>
      </c>
      <c r="F574" s="5">
        <v>0.189461722024344</v>
      </c>
      <c r="G574" s="5">
        <v>0.197290970977691</v>
      </c>
      <c r="H574" s="5">
        <v>0.164237424072481</v>
      </c>
      <c r="I574" s="5">
        <v>0.287295084014904</v>
      </c>
      <c r="J574" s="6">
        <v>2.33997594875526</v>
      </c>
      <c r="K574" s="6">
        <v>2.68304644172971</v>
      </c>
      <c r="L574" s="6">
        <v>3.80968641755422</v>
      </c>
      <c r="M574" s="6">
        <v>0.661691687903975</v>
      </c>
      <c r="N574" s="7">
        <v>0.131058922457805</v>
      </c>
      <c r="O574" s="7">
        <v>0.131058922457805</v>
      </c>
      <c r="P574" s="7">
        <v>0.1411171045763</v>
      </c>
      <c r="Q574" s="7">
        <v>0.438027543314082</v>
      </c>
      <c r="R574" s="6">
        <v>5.00078146033737</v>
      </c>
      <c r="S574" s="6">
        <v>5.86642029859548</v>
      </c>
      <c r="T574" s="6">
        <v>8.67002405278397</v>
      </c>
      <c r="U574" s="6">
        <v>1.25438461326135</v>
      </c>
    </row>
    <row r="575" ht="11.25" customHeight="1">
      <c r="A575" s="2" t="s">
        <v>603</v>
      </c>
      <c r="B575" s="5">
        <v>0.453252450404238</v>
      </c>
      <c r="C575" s="5">
        <v>0.61765002564059</v>
      </c>
      <c r="D575" s="5">
        <v>0.303279491982475</v>
      </c>
      <c r="E575" s="5">
        <v>0.128260377867333</v>
      </c>
      <c r="F575" s="5">
        <v>0.221688957090608</v>
      </c>
      <c r="G575" s="5">
        <v>0.223745893929607</v>
      </c>
      <c r="H575" s="5">
        <v>0.249970087725063</v>
      </c>
      <c r="I575" s="5">
        <v>0.32196582627109</v>
      </c>
      <c r="J575" s="6">
        <v>1.93177168598976</v>
      </c>
      <c r="K575" s="6">
        <v>2.64876380626249</v>
      </c>
      <c r="L575" s="6">
        <v>1.11325116742987</v>
      </c>
      <c r="M575" s="6">
        <v>0.320718441032277</v>
      </c>
      <c r="N575" s="7">
        <v>0.261406133133881</v>
      </c>
      <c r="O575" s="7">
        <v>0.261406133133881</v>
      </c>
      <c r="P575" s="7">
        <v>0.594496365524403</v>
      </c>
      <c r="Q575" s="7">
        <v>0.635897435897435</v>
      </c>
      <c r="R575" s="6">
        <v>4.66027732161634</v>
      </c>
      <c r="S575" s="6">
        <v>7.12409255798283</v>
      </c>
      <c r="T575" s="6">
        <v>2.07519816225074</v>
      </c>
      <c r="U575" s="6">
        <v>0.608046073024065</v>
      </c>
    </row>
    <row r="576" ht="11.25" customHeight="1">
      <c r="A576" s="2" t="s">
        <v>604</v>
      </c>
      <c r="B576" s="5">
        <v>0.26969925310216</v>
      </c>
      <c r="C576" s="5">
        <v>0.398223706292979</v>
      </c>
      <c r="D576" s="5">
        <v>0.325802429047423</v>
      </c>
      <c r="E576" s="5">
        <v>0.0120501411042568</v>
      </c>
      <c r="F576" s="5">
        <v>0.146210772663262</v>
      </c>
      <c r="G576" s="5">
        <v>0.140307975923502</v>
      </c>
      <c r="H576" s="5">
        <v>0.176647821360255</v>
      </c>
      <c r="I576" s="5">
        <v>0.233404399984398</v>
      </c>
      <c r="J576" s="6">
        <v>1.67360618266977</v>
      </c>
      <c r="K576" s="6">
        <v>2.66003200342983</v>
      </c>
      <c r="L576" s="6">
        <v>1.70283690300355</v>
      </c>
      <c r="M576" s="6">
        <v>-0.0554824968878426</v>
      </c>
      <c r="N576" s="7">
        <v>0.167941234130483</v>
      </c>
      <c r="O576" s="7">
        <v>0.0832883427723465</v>
      </c>
      <c r="P576" s="7">
        <v>0.298847564169722</v>
      </c>
      <c r="Q576" s="7">
        <v>0.39038417299287</v>
      </c>
      <c r="R576" s="6">
        <v>3.30901531859704</v>
      </c>
      <c r="S576" s="6">
        <v>5.92725019184559</v>
      </c>
      <c r="T576" s="6">
        <v>3.20754730965178</v>
      </c>
      <c r="U576" s="6">
        <v>-0.102237135173989</v>
      </c>
    </row>
    <row r="577" ht="11.25" customHeight="1">
      <c r="A577" s="2" t="s">
        <v>605</v>
      </c>
      <c r="B577" s="5">
        <v>0.406390992735717</v>
      </c>
      <c r="C577" s="5">
        <v>0.652124400467605</v>
      </c>
      <c r="D577" s="5">
        <v>0.574850850436405</v>
      </c>
      <c r="E577" s="5">
        <v>0.021768866492964</v>
      </c>
      <c r="F577" s="5">
        <v>0.210336099708281</v>
      </c>
      <c r="G577" s="5">
        <v>0.219605032634856</v>
      </c>
      <c r="H577" s="5">
        <v>0.225189555235463</v>
      </c>
      <c r="I577" s="5">
        <v>0.316934857923169</v>
      </c>
      <c r="J577" s="6">
        <v>1.8132455306753</v>
      </c>
      <c r="K577" s="6">
        <v>2.85569229877506</v>
      </c>
      <c r="L577" s="6">
        <v>2.44172448345336</v>
      </c>
      <c r="M577" s="6">
        <v>-0.0101949451953916</v>
      </c>
      <c r="N577" s="7">
        <v>0.158598432457353</v>
      </c>
      <c r="O577" s="7">
        <v>0.123372172721042</v>
      </c>
      <c r="P577" s="7">
        <v>0.230281278678982</v>
      </c>
      <c r="Q577" s="7">
        <v>0.706606741573033</v>
      </c>
      <c r="R577" s="6">
        <v>3.81600066440701</v>
      </c>
      <c r="S577" s="6">
        <v>7.01300621325361</v>
      </c>
      <c r="T577" s="6">
        <v>5.42422090200044</v>
      </c>
      <c r="U577" s="6">
        <v>-0.0196433655609215</v>
      </c>
    </row>
    <row r="578" ht="11.25" customHeight="1">
      <c r="A578" s="2" t="s">
        <v>606</v>
      </c>
      <c r="B578" s="5">
        <v>1.00556777624781</v>
      </c>
      <c r="C578" s="5">
        <v>1.2274423744599</v>
      </c>
      <c r="D578" s="5">
        <v>1.10949444287867</v>
      </c>
      <c r="E578" s="5">
        <v>0.0862027200514947</v>
      </c>
      <c r="F578" s="5">
        <v>0.390008371195108</v>
      </c>
      <c r="G578" s="5">
        <v>0.380198897769625</v>
      </c>
      <c r="H578" s="5">
        <v>0.403573989685186</v>
      </c>
      <c r="I578" s="5">
        <v>0.539424159565868</v>
      </c>
      <c r="J578" s="6">
        <v>2.51422238256846</v>
      </c>
      <c r="K578" s="6">
        <v>3.16266665030812</v>
      </c>
      <c r="L578" s="6">
        <v>2.68722581384557</v>
      </c>
      <c r="M578" s="6">
        <v>0.113459360256965</v>
      </c>
      <c r="N578" s="7">
        <v>0.306940203498579</v>
      </c>
      <c r="O578" s="7">
        <v>0.177438336145472</v>
      </c>
      <c r="P578" s="7">
        <v>0.434686525004814</v>
      </c>
      <c r="Q578" s="7">
        <v>0.760713258556226</v>
      </c>
      <c r="R578" s="6">
        <v>5.97284420068561</v>
      </c>
      <c r="S578" s="6">
        <v>8.38933516904661</v>
      </c>
      <c r="T578" s="6">
        <v>6.28519656613822</v>
      </c>
      <c r="U578" s="6">
        <v>0.238225027586415</v>
      </c>
    </row>
    <row r="579" ht="11.25" customHeight="1">
      <c r="A579" s="2" t="s">
        <v>607</v>
      </c>
      <c r="B579" s="5">
        <v>0.644457717877206</v>
      </c>
      <c r="C579" s="5">
        <v>0.877706175026053</v>
      </c>
      <c r="D579" s="5">
        <v>0.790303977099845</v>
      </c>
      <c r="E579" s="5">
        <v>0.44957299653667</v>
      </c>
      <c r="F579" s="5">
        <v>0.250375529698728</v>
      </c>
      <c r="G579" s="5">
        <v>0.253007576264832</v>
      </c>
      <c r="H579" s="5">
        <v>0.261627585731492</v>
      </c>
      <c r="I579" s="5">
        <v>0.382069322907749</v>
      </c>
      <c r="J579" s="6">
        <v>2.47411445768117</v>
      </c>
      <c r="K579" s="6">
        <v>3.37027921303626</v>
      </c>
      <c r="L579" s="6">
        <v>2.92516545975115</v>
      </c>
      <c r="M579" s="6">
        <v>1.11124597312719</v>
      </c>
      <c r="N579" s="7">
        <v>0.327737571190529</v>
      </c>
      <c r="O579" s="7">
        <v>0.244323433821833</v>
      </c>
      <c r="P579" s="7">
        <v>0.327737571190529</v>
      </c>
      <c r="Q579" s="7">
        <v>0.626419223929597</v>
      </c>
      <c r="R579" s="6">
        <v>5.3534312349677</v>
      </c>
      <c r="S579" s="6">
        <v>8.25702819119038</v>
      </c>
      <c r="T579" s="6">
        <v>6.3204764967614</v>
      </c>
      <c r="U579" s="6">
        <v>2.12664518688945</v>
      </c>
    </row>
    <row r="580" ht="11.25" customHeight="1">
      <c r="A580" s="2" t="s">
        <v>608</v>
      </c>
      <c r="B580" s="5">
        <v>1.28842478124074</v>
      </c>
      <c r="C580" s="5">
        <v>2.29101856614853</v>
      </c>
      <c r="D580" s="5">
        <v>2.36273976298068</v>
      </c>
      <c r="E580" s="5">
        <v>0.479591491364619</v>
      </c>
      <c r="F580" s="5">
        <v>0.442156051989655</v>
      </c>
      <c r="G580" s="5">
        <v>0.485182609186408</v>
      </c>
      <c r="H580" s="5">
        <v>0.498930634903833</v>
      </c>
      <c r="I580" s="5">
        <v>0.697983619133117</v>
      </c>
      <c r="J580" s="6">
        <v>2.85741827021357</v>
      </c>
      <c r="K580" s="6">
        <v>4.67044474233808</v>
      </c>
      <c r="L580" s="6">
        <v>4.68550054744838</v>
      </c>
      <c r="M580" s="6">
        <v>0.651292492980298</v>
      </c>
      <c r="N580" s="7">
        <v>0.314849815302446</v>
      </c>
      <c r="O580" s="7">
        <v>0.217874405919782</v>
      </c>
      <c r="P580" s="7">
        <v>0.414502164502164</v>
      </c>
      <c r="Q580" s="7">
        <v>0.72716829408386</v>
      </c>
      <c r="R580" s="6">
        <v>6.03023414710277</v>
      </c>
      <c r="S580" s="6">
        <v>10.7846376666078</v>
      </c>
      <c r="T580" s="6">
        <v>10.2298379671785</v>
      </c>
      <c r="U580" s="6">
        <v>1.32066681759563</v>
      </c>
    </row>
    <row r="581" ht="11.25" customHeight="1">
      <c r="A581" s="2" t="s">
        <v>609</v>
      </c>
      <c r="B581" s="5">
        <v>0.554258615227069</v>
      </c>
      <c r="C581" s="5">
        <v>0.766820881544438</v>
      </c>
      <c r="D581" s="5">
        <v>0.675671330891282</v>
      </c>
      <c r="E581" s="5">
        <v>0.345437110745645</v>
      </c>
      <c r="F581" s="5">
        <v>0.203679397880913</v>
      </c>
      <c r="G581" s="5">
        <v>0.226796327297552</v>
      </c>
      <c r="H581" s="5">
        <v>0.203855903506886</v>
      </c>
      <c r="I581" s="5">
        <v>0.327178953064279</v>
      </c>
      <c r="J581" s="6">
        <v>2.59848870692613</v>
      </c>
      <c r="K581" s="6">
        <v>3.27086814140153</v>
      </c>
      <c r="L581" s="6">
        <v>3.19181990660036</v>
      </c>
      <c r="M581" s="6">
        <v>0.979394021970265</v>
      </c>
      <c r="N581" s="7">
        <v>0.112090926467466</v>
      </c>
      <c r="O581" s="7">
        <v>0.0994901881593481</v>
      </c>
      <c r="P581" s="7">
        <v>0.156587721315244</v>
      </c>
      <c r="Q581" s="7">
        <v>0.489468608841293</v>
      </c>
      <c r="R581" s="6">
        <v>5.47012691310448</v>
      </c>
      <c r="S581" s="6">
        <v>7.2728735654097</v>
      </c>
      <c r="T581" s="6">
        <v>7.01885847050586</v>
      </c>
      <c r="U581" s="6">
        <v>1.87644841557444</v>
      </c>
    </row>
    <row r="582" ht="11.25" customHeight="1">
      <c r="A582" s="2" t="s">
        <v>610</v>
      </c>
      <c r="B582" s="5">
        <v>1.1846785618117</v>
      </c>
      <c r="C582" s="5">
        <v>1.30708181673198</v>
      </c>
      <c r="D582" s="5">
        <v>1.09205818976923</v>
      </c>
      <c r="E582" s="5">
        <v>0.771527239423606</v>
      </c>
      <c r="F582" s="5">
        <v>0.382649670957176</v>
      </c>
      <c r="G582" s="5">
        <v>0.38040939989049</v>
      </c>
      <c r="H582" s="5">
        <v>0.367323063694966</v>
      </c>
      <c r="I582" s="5">
        <v>0.509052153607143</v>
      </c>
      <c r="J582" s="6">
        <v>3.03065349281716</v>
      </c>
      <c r="K582" s="6">
        <v>3.37026849783695</v>
      </c>
      <c r="L582" s="6">
        <v>2.9049583193484</v>
      </c>
      <c r="M582" s="6">
        <v>1.46650443207776</v>
      </c>
      <c r="N582" s="7">
        <v>0.319839559783869</v>
      </c>
      <c r="O582" s="7">
        <v>0.233517835668027</v>
      </c>
      <c r="P582" s="7">
        <v>0.404255319148936</v>
      </c>
      <c r="Q582" s="7">
        <v>0.423794212218649</v>
      </c>
      <c r="R582" s="6">
        <v>6.3370760116664</v>
      </c>
      <c r="S582" s="6">
        <v>7.50985026706679</v>
      </c>
      <c r="T582" s="6">
        <v>5.97746999729882</v>
      </c>
      <c r="U582" s="6">
        <v>2.92704463558879</v>
      </c>
    </row>
    <row r="583" ht="11.25" customHeight="1">
      <c r="A583" s="2" t="s">
        <v>611</v>
      </c>
      <c r="B583" s="5">
        <v>0.589809228571696</v>
      </c>
      <c r="C583" s="5">
        <v>0.785945274885182</v>
      </c>
      <c r="D583" s="5">
        <v>0.726383367964225</v>
      </c>
      <c r="E583" s="5">
        <v>0.232825355845107</v>
      </c>
      <c r="F583" s="5">
        <v>0.219085748335026</v>
      </c>
      <c r="G583" s="5">
        <v>0.221180211009404</v>
      </c>
      <c r="H583" s="5">
        <v>0.219657653673155</v>
      </c>
      <c r="I583" s="5">
        <v>0.319639844268236</v>
      </c>
      <c r="J583" s="6">
        <v>2.57802815958611</v>
      </c>
      <c r="K583" s="6">
        <v>3.44038587996838</v>
      </c>
      <c r="L583" s="6">
        <v>3.19307502486512</v>
      </c>
      <c r="M583" s="6">
        <v>0.650186012700919</v>
      </c>
      <c r="N583" s="7">
        <v>0.139442815249266</v>
      </c>
      <c r="O583" s="7">
        <v>0.139442815249266</v>
      </c>
      <c r="P583" s="7">
        <v>0.256188352861277</v>
      </c>
      <c r="Q583" s="7">
        <v>0.498061465721039</v>
      </c>
      <c r="R583" s="6">
        <v>5.51095681142091</v>
      </c>
      <c r="S583" s="6">
        <v>7.79008853983457</v>
      </c>
      <c r="T583" s="6">
        <v>6.86628835650862</v>
      </c>
      <c r="U583" s="6">
        <v>1.24631577620453</v>
      </c>
    </row>
    <row r="584" ht="11.25" customHeight="1">
      <c r="A584" s="2" t="s">
        <v>612</v>
      </c>
      <c r="B584" s="5">
        <v>1.04482676512451</v>
      </c>
      <c r="C584" s="5">
        <v>1.20152672531022</v>
      </c>
      <c r="D584" s="5">
        <v>0.847790008613232</v>
      </c>
      <c r="E584" s="5">
        <v>0.364442532649327</v>
      </c>
      <c r="F584" s="5">
        <v>0.305955028276056</v>
      </c>
      <c r="G584" s="5">
        <v>0.310669968991576</v>
      </c>
      <c r="H584" s="5">
        <v>0.326101452492501</v>
      </c>
      <c r="I584" s="5">
        <v>0.443696391914713</v>
      </c>
      <c r="J584" s="6">
        <v>3.33325708314343</v>
      </c>
      <c r="K584" s="6">
        <v>3.78706293733246</v>
      </c>
      <c r="L584" s="6">
        <v>2.52311052994206</v>
      </c>
      <c r="M584" s="6">
        <v>0.765033339992934</v>
      </c>
      <c r="N584" s="7">
        <v>0.132485612981234</v>
      </c>
      <c r="O584" s="7">
        <v>0.131726122420169</v>
      </c>
      <c r="P584" s="7">
        <v>0.405400264224012</v>
      </c>
      <c r="Q584" s="7">
        <v>0.446775039328789</v>
      </c>
      <c r="R584" s="6">
        <v>7.94043479165232</v>
      </c>
      <c r="S584" s="6">
        <v>9.16968714071604</v>
      </c>
      <c r="T584" s="6">
        <v>5.21582983347162</v>
      </c>
      <c r="U584" s="6">
        <v>1.55517745666489</v>
      </c>
    </row>
    <row r="585" ht="11.25" customHeight="1">
      <c r="A585" s="2" t="s">
        <v>613</v>
      </c>
      <c r="B585" s="5">
        <v>0.61202681314909</v>
      </c>
      <c r="C585" s="5">
        <v>0.577652485379478</v>
      </c>
      <c r="D585" s="5">
        <v>0.542877028755259</v>
      </c>
      <c r="E585" s="5">
        <v>0.0813576228177017</v>
      </c>
      <c r="F585" s="5">
        <v>0.245470779067406</v>
      </c>
      <c r="G585" s="5">
        <v>0.231271712282845</v>
      </c>
      <c r="H585" s="5">
        <v>0.22272486234942</v>
      </c>
      <c r="I585" s="5">
        <v>0.35954537486102</v>
      </c>
      <c r="J585" s="6">
        <v>2.39143255820234</v>
      </c>
      <c r="K585" s="6">
        <v>2.38962422132968</v>
      </c>
      <c r="L585" s="6">
        <v>2.3251873333422</v>
      </c>
      <c r="M585" s="6">
        <v>0.156746899718808</v>
      </c>
      <c r="N585" s="7">
        <v>0.206242707117853</v>
      </c>
      <c r="O585" s="7">
        <v>0.179174743838271</v>
      </c>
      <c r="P585" s="7">
        <v>0.1996373450324</v>
      </c>
      <c r="Q585" s="7">
        <v>0.547073342736248</v>
      </c>
      <c r="R585" s="6">
        <v>5.38310769200749</v>
      </c>
      <c r="S585" s="6">
        <v>5.29385239694864</v>
      </c>
      <c r="T585" s="6">
        <v>5.02127024144659</v>
      </c>
      <c r="U585" s="6">
        <v>0.296693870853762</v>
      </c>
    </row>
    <row r="586" ht="11.25" customHeight="1">
      <c r="A586" s="2" t="s">
        <v>614</v>
      </c>
      <c r="B586" s="5">
        <v>0.664520805821624</v>
      </c>
      <c r="C586" s="5">
        <v>0.737043859077732</v>
      </c>
      <c r="D586" s="5">
        <v>0.567042517027193</v>
      </c>
      <c r="E586" s="5">
        <v>0.27307366654073</v>
      </c>
      <c r="F586" s="5">
        <v>0.194046884201851</v>
      </c>
      <c r="G586" s="5">
        <v>0.21036196621481</v>
      </c>
      <c r="H586" s="5">
        <v>0.206612656563633</v>
      </c>
      <c r="I586" s="5">
        <v>0.293567920025672</v>
      </c>
      <c r="J586" s="6">
        <v>3.29570252288298</v>
      </c>
      <c r="K586" s="6">
        <v>3.38485074982912</v>
      </c>
      <c r="L586" s="6">
        <v>2.62347198880458</v>
      </c>
      <c r="M586" s="6">
        <v>0.845029887867302</v>
      </c>
      <c r="N586" s="7">
        <v>0.0992627498767425</v>
      </c>
      <c r="O586" s="7">
        <v>0.0774502307931923</v>
      </c>
      <c r="P586" s="7">
        <v>0.367763840951819</v>
      </c>
      <c r="Q586" s="7">
        <v>0.429797033962646</v>
      </c>
      <c r="R586" s="6">
        <v>7.40202109087439</v>
      </c>
      <c r="S586" s="6">
        <v>7.86024810845133</v>
      </c>
      <c r="T586" s="6">
        <v>5.45656700931403</v>
      </c>
      <c r="U586" s="6">
        <v>1.63603292791594</v>
      </c>
    </row>
    <row r="587" ht="11.25" customHeight="1">
      <c r="A587" s="2" t="s">
        <v>615</v>
      </c>
      <c r="B587" s="5">
        <v>0.568688656092146</v>
      </c>
      <c r="C587" s="5">
        <v>0.737246474754173</v>
      </c>
      <c r="D587" s="5">
        <v>0.585287967467785</v>
      </c>
      <c r="E587" s="5">
        <v>0.223606031665735</v>
      </c>
      <c r="F587" s="5">
        <v>0.216597035573918</v>
      </c>
      <c r="G587" s="5">
        <v>0.210021785718554</v>
      </c>
      <c r="H587" s="5">
        <v>0.202659234078725</v>
      </c>
      <c r="I587" s="5">
        <v>0.303599535284244</v>
      </c>
      <c r="J587" s="6">
        <v>2.51013895297103</v>
      </c>
      <c r="K587" s="6">
        <v>3.39129806137654</v>
      </c>
      <c r="L587" s="6">
        <v>2.76468017860036</v>
      </c>
      <c r="M587" s="6">
        <v>0.654171066104535</v>
      </c>
      <c r="N587" s="7">
        <v>0.135584919149581</v>
      </c>
      <c r="O587" s="7">
        <v>0.0842884852759653</v>
      </c>
      <c r="P587" s="7">
        <v>0.193860736844733</v>
      </c>
      <c r="Q587" s="7">
        <v>0.409716503940712</v>
      </c>
      <c r="R587" s="6">
        <v>5.98778419216395</v>
      </c>
      <c r="S587" s="6">
        <v>9.51405801801481</v>
      </c>
      <c r="T587" s="6">
        <v>6.67698081925975</v>
      </c>
      <c r="U587" s="6">
        <v>1.31359790899528</v>
      </c>
    </row>
    <row r="588" ht="11.25" customHeight="1">
      <c r="A588" s="2" t="s">
        <v>616</v>
      </c>
      <c r="B588" s="5">
        <v>0.0788086006200592</v>
      </c>
      <c r="C588" s="5">
        <v>0.109650995634448</v>
      </c>
      <c r="D588" s="5">
        <v>0.0920903651165285</v>
      </c>
      <c r="E588" s="5">
        <v>0.0252473580008565</v>
      </c>
      <c r="F588" s="5">
        <v>0.0430536105150791</v>
      </c>
      <c r="G588" s="5">
        <v>0.0469019732701761</v>
      </c>
      <c r="H588" s="5">
        <v>0.0454957276621481</v>
      </c>
      <c r="I588" s="5">
        <v>0.0652877543569543</v>
      </c>
      <c r="J588" s="6">
        <v>1.24980460352362</v>
      </c>
      <c r="K588" s="6">
        <v>1.80484934283727</v>
      </c>
      <c r="L588" s="6">
        <v>1.47465198523128</v>
      </c>
      <c r="M588" s="6">
        <v>0.00378873501306428</v>
      </c>
      <c r="N588" s="7">
        <v>0.0221403016115428</v>
      </c>
      <c r="O588" s="7">
        <v>0.0289571003392464</v>
      </c>
      <c r="P588" s="7">
        <v>0.0600575912390592</v>
      </c>
      <c r="Q588" s="7">
        <v>0.121816707218163</v>
      </c>
      <c r="R588" s="6">
        <v>2.46906002273892</v>
      </c>
      <c r="S588" s="6">
        <v>4.16063859534538</v>
      </c>
      <c r="T588" s="6">
        <v>2.92694882639572</v>
      </c>
      <c r="U588" s="6">
        <v>0.00729720614073842</v>
      </c>
    </row>
    <row r="589" ht="11.25" customHeight="1">
      <c r="A589" s="2" t="s">
        <v>617</v>
      </c>
      <c r="B589" s="5">
        <v>0.436494633314903</v>
      </c>
      <c r="C589" s="5">
        <v>0.666691150743417</v>
      </c>
      <c r="D589" s="5">
        <v>0.409102758590266</v>
      </c>
      <c r="E589" s="5">
        <v>0.284355737332589</v>
      </c>
      <c r="F589" s="5">
        <v>0.195187201578339</v>
      </c>
      <c r="G589" s="5">
        <v>0.216054442611902</v>
      </c>
      <c r="H589" s="5">
        <v>0.21290768220696</v>
      </c>
      <c r="I589" s="5">
        <v>0.301060035915268</v>
      </c>
      <c r="J589" s="6">
        <v>2.10820499493532</v>
      </c>
      <c r="K589" s="6">
        <v>2.9700437676076</v>
      </c>
      <c r="L589" s="6">
        <v>1.80408125535316</v>
      </c>
      <c r="M589" s="6">
        <v>0.861475142471529</v>
      </c>
      <c r="N589" s="7">
        <v>0.174302785853197</v>
      </c>
      <c r="O589" s="7">
        <v>0.145954962468723</v>
      </c>
      <c r="P589" s="7">
        <v>0.40966757668219</v>
      </c>
      <c r="Q589" s="7">
        <v>0.425535239881231</v>
      </c>
      <c r="R589" s="6">
        <v>4.64363864367916</v>
      </c>
      <c r="S589" s="6">
        <v>7.084422583448</v>
      </c>
      <c r="T589" s="6">
        <v>3.42786722510564</v>
      </c>
      <c r="U589" s="6">
        <v>1.70895732780368</v>
      </c>
    </row>
    <row r="590" ht="11.25" customHeight="1">
      <c r="A590" s="2" t="s">
        <v>618</v>
      </c>
      <c r="B590" s="5">
        <v>0.190821940255943</v>
      </c>
      <c r="C590" s="5">
        <v>0.33184735888183</v>
      </c>
      <c r="D590" s="5">
        <v>0.235058787959922</v>
      </c>
      <c r="E590" s="5">
        <v>0.0597904850763129</v>
      </c>
      <c r="F590" s="5">
        <v>0.121882864619045</v>
      </c>
      <c r="G590" s="5">
        <v>0.120256086400444</v>
      </c>
      <c r="H590" s="5">
        <v>0.117279673502351</v>
      </c>
      <c r="I590" s="5">
        <v>0.174539745241754</v>
      </c>
      <c r="J590" s="6">
        <v>1.36050248551535</v>
      </c>
      <c r="K590" s="6">
        <v>2.55161603929177</v>
      </c>
      <c r="L590" s="6">
        <v>1.79109287813382</v>
      </c>
      <c r="M590" s="6">
        <v>0.199327007313576</v>
      </c>
      <c r="N590" s="7">
        <v>0.0850302213316021</v>
      </c>
      <c r="O590" s="7">
        <v>0.0504494588148963</v>
      </c>
      <c r="P590" s="7">
        <v>0.13465085369345</v>
      </c>
      <c r="Q590" s="7">
        <v>0.229645883777239</v>
      </c>
      <c r="R590" s="6">
        <v>2.70149765553162</v>
      </c>
      <c r="S590" s="6">
        <v>5.61362403308789</v>
      </c>
      <c r="T590" s="6">
        <v>3.5168359389261</v>
      </c>
      <c r="U590" s="6">
        <v>0.396822389138161</v>
      </c>
    </row>
    <row r="591" ht="11.25" customHeight="1">
      <c r="A591" s="2" t="s">
        <v>619</v>
      </c>
      <c r="B591" s="5">
        <v>0.631829870193087</v>
      </c>
      <c r="C591" s="5">
        <v>0.753509211221382</v>
      </c>
      <c r="D591" s="5">
        <v>0.564202841818682</v>
      </c>
      <c r="E591" s="5">
        <v>0.34348894993089</v>
      </c>
      <c r="F591" s="5">
        <v>0.190585803618329</v>
      </c>
      <c r="G591" s="5">
        <v>0.194868041121237</v>
      </c>
      <c r="H591" s="5">
        <v>0.209286572493846</v>
      </c>
      <c r="I591" s="5">
        <v>0.292074498880767</v>
      </c>
      <c r="J591" s="6">
        <v>3.18402451112432</v>
      </c>
      <c r="K591" s="6">
        <v>3.73847454425911</v>
      </c>
      <c r="L591" s="6">
        <v>2.57638526635307</v>
      </c>
      <c r="M591" s="6">
        <v>1.09043737522907</v>
      </c>
      <c r="N591" s="7">
        <v>0.118305647810658</v>
      </c>
      <c r="O591" s="7">
        <v>0.100855883536791</v>
      </c>
      <c r="P591" s="7">
        <v>0.23195084485407</v>
      </c>
      <c r="Q591" s="7">
        <v>0.335976818667073</v>
      </c>
      <c r="R591" s="6">
        <v>6.91182793496609</v>
      </c>
      <c r="S591" s="6">
        <v>8.52774766011286</v>
      </c>
      <c r="T591" s="6">
        <v>5.13057537721548</v>
      </c>
      <c r="U591" s="6">
        <v>2.15064596353401</v>
      </c>
    </row>
    <row r="592" ht="11.25" customHeight="1">
      <c r="A592" s="2" t="s">
        <v>620</v>
      </c>
      <c r="B592" s="5">
        <v>0.762758053080804</v>
      </c>
      <c r="C592" s="5">
        <v>1.16423283312285</v>
      </c>
      <c r="D592" s="5">
        <v>0.670533045517392</v>
      </c>
      <c r="E592" s="5">
        <v>0.442209767540685</v>
      </c>
      <c r="F592" s="5">
        <v>0.314924107705796</v>
      </c>
      <c r="G592" s="5">
        <v>0.333265812662104</v>
      </c>
      <c r="H592" s="5">
        <v>0.304539230574012</v>
      </c>
      <c r="I592" s="5">
        <v>0.446041653166611</v>
      </c>
      <c r="J592" s="6">
        <v>2.34265346802227</v>
      </c>
      <c r="K592" s="6">
        <v>3.41839093552004</v>
      </c>
      <c r="L592" s="6">
        <v>2.1197040666999</v>
      </c>
      <c r="M592" s="6">
        <v>0.935360553389492</v>
      </c>
      <c r="N592" s="7">
        <v>0.329757399352943</v>
      </c>
      <c r="O592" s="7">
        <v>0.190525699604156</v>
      </c>
      <c r="P592" s="7">
        <v>0.521311722888507</v>
      </c>
      <c r="Q592" s="7">
        <v>0.700909881853588</v>
      </c>
      <c r="R592" s="6">
        <v>5.45756208954378</v>
      </c>
      <c r="S592" s="6">
        <v>8.8395944284804</v>
      </c>
      <c r="T592" s="6">
        <v>3.91710161425926</v>
      </c>
      <c r="U592" s="6">
        <v>1.85167597452776</v>
      </c>
    </row>
    <row r="593" ht="11.25" customHeight="1">
      <c r="A593" s="2" t="s">
        <v>621</v>
      </c>
      <c r="B593" s="5">
        <v>0.624542111415302</v>
      </c>
      <c r="C593" s="5">
        <v>0.964191268605527</v>
      </c>
      <c r="D593" s="5">
        <v>0.707185419937858</v>
      </c>
      <c r="E593" s="5">
        <v>0.0245902093605003</v>
      </c>
      <c r="F593" s="5">
        <v>0.310838159228554</v>
      </c>
      <c r="G593" s="5">
        <v>0.293736884443807</v>
      </c>
      <c r="H593" s="5">
        <v>0.30664109999834</v>
      </c>
      <c r="I593" s="5">
        <v>0.476650340350981</v>
      </c>
      <c r="J593" s="6">
        <v>1.92879186037923</v>
      </c>
      <c r="K593" s="6">
        <v>3.19738963114521</v>
      </c>
      <c r="L593" s="6">
        <v>2.22470314625648</v>
      </c>
      <c r="M593" s="6">
        <v>-8.59730088932425E-4</v>
      </c>
      <c r="N593" s="7">
        <v>0.273746701846965</v>
      </c>
      <c r="O593" s="7">
        <v>0.157271174992343</v>
      </c>
      <c r="P593" s="7">
        <v>0.300823510036042</v>
      </c>
      <c r="Q593" s="7">
        <v>0.866126787295963</v>
      </c>
      <c r="R593" s="6">
        <v>3.85191893859466</v>
      </c>
      <c r="S593" s="6">
        <v>7.37917743052322</v>
      </c>
      <c r="T593" s="6">
        <v>4.56911661321276</v>
      </c>
      <c r="U593" s="6">
        <v>-0.00156293203289578</v>
      </c>
    </row>
    <row r="594" ht="11.25" customHeight="1">
      <c r="A594" s="2" t="s">
        <v>622</v>
      </c>
      <c r="B594" s="5">
        <v>1.85991322524746</v>
      </c>
      <c r="C594" s="5">
        <v>2.87167467975984</v>
      </c>
      <c r="D594" s="5">
        <v>2.25502369653714</v>
      </c>
      <c r="E594" s="5">
        <v>0.876137067671545</v>
      </c>
      <c r="F594" s="5">
        <v>0.395884848038201</v>
      </c>
      <c r="G594" s="5">
        <v>0.404182664676022</v>
      </c>
      <c r="H594" s="5">
        <v>0.41331602250553</v>
      </c>
      <c r="I594" s="5">
        <v>0.694027042402014</v>
      </c>
      <c r="J594" s="6">
        <v>4.63496704746426</v>
      </c>
      <c r="K594" s="6">
        <v>7.04304001271708</v>
      </c>
      <c r="L594" s="6">
        <v>5.39544458745802</v>
      </c>
      <c r="M594" s="6">
        <v>1.22637450080587</v>
      </c>
      <c r="N594" s="7">
        <v>0.194970913867517</v>
      </c>
      <c r="O594" s="7">
        <v>0.238529460031837</v>
      </c>
      <c r="P594" s="7">
        <v>0.359778305381934</v>
      </c>
      <c r="Q594" s="7">
        <v>0.69922073521938</v>
      </c>
      <c r="R594" s="6">
        <v>9.38822024211901</v>
      </c>
      <c r="S594" s="6">
        <v>15.5293295361322</v>
      </c>
      <c r="T594" s="6">
        <v>11.6369985572812</v>
      </c>
      <c r="U594" s="6">
        <v>2.29542413031571</v>
      </c>
    </row>
    <row r="595" ht="11.25" customHeight="1">
      <c r="A595" s="2" t="s">
        <v>623</v>
      </c>
      <c r="B595" s="5">
        <v>1.12739342038135</v>
      </c>
      <c r="C595" s="5">
        <v>1.30901035729041</v>
      </c>
      <c r="D595" s="5">
        <v>1.21629239907772</v>
      </c>
      <c r="E595" s="5">
        <v>0.0778069392989981</v>
      </c>
      <c r="F595" s="5">
        <v>0.379906282909888</v>
      </c>
      <c r="G595" s="5">
        <v>0.350540395420854</v>
      </c>
      <c r="H595" s="5">
        <v>0.3787393589442</v>
      </c>
      <c r="I595" s="5">
        <v>0.616909186035964</v>
      </c>
      <c r="J595" s="6">
        <v>2.90175095799307</v>
      </c>
      <c r="K595" s="6">
        <v>3.66294548093052</v>
      </c>
      <c r="L595" s="6">
        <v>3.14541483726078</v>
      </c>
      <c r="M595" s="6">
        <v>0.0855992105391013</v>
      </c>
      <c r="N595" s="7">
        <v>0.416454443930901</v>
      </c>
      <c r="O595" s="7">
        <v>0.182069475225794</v>
      </c>
      <c r="P595" s="7">
        <v>0.432960467626621</v>
      </c>
      <c r="Q595" s="7">
        <v>0.968596467932545</v>
      </c>
      <c r="R595" s="6">
        <v>6.2525261301796</v>
      </c>
      <c r="S595" s="6">
        <v>8.52474808515781</v>
      </c>
      <c r="T595" s="6">
        <v>6.91957957412292</v>
      </c>
      <c r="U595" s="6">
        <v>0.149240600692997</v>
      </c>
    </row>
    <row r="596" ht="11.25" customHeight="1">
      <c r="A596" s="2" t="s">
        <v>624</v>
      </c>
      <c r="B596" s="5">
        <v>1.16587396216681</v>
      </c>
      <c r="C596" s="5">
        <v>1.37508721847672</v>
      </c>
      <c r="D596" s="5">
        <v>1.0559535256154</v>
      </c>
      <c r="E596" s="5">
        <v>0.059604603584682</v>
      </c>
      <c r="F596" s="5">
        <v>0.42971584247434</v>
      </c>
      <c r="G596" s="5">
        <v>0.421196996009651</v>
      </c>
      <c r="H596" s="5">
        <v>0.425466478389452</v>
      </c>
      <c r="I596" s="5">
        <v>0.586650215710704</v>
      </c>
      <c r="J596" s="6">
        <v>2.65494973514955</v>
      </c>
      <c r="K596" s="6">
        <v>3.2053581370884</v>
      </c>
      <c r="L596" s="6">
        <v>2.42311340136113</v>
      </c>
      <c r="M596" s="6">
        <v>0.0589867738184666</v>
      </c>
      <c r="N596" s="7">
        <v>0.219301686936053</v>
      </c>
      <c r="O596" s="7">
        <v>0.229089470857617</v>
      </c>
      <c r="P596" s="7">
        <v>0.356642024443234</v>
      </c>
      <c r="Q596" s="7">
        <v>0.852561702162394</v>
      </c>
      <c r="R596" s="6">
        <v>6.57184467318963</v>
      </c>
      <c r="S596" s="6">
        <v>8.65448651153699</v>
      </c>
      <c r="T596" s="6">
        <v>5.7947446205407</v>
      </c>
      <c r="U596" s="6">
        <v>0.118673277096828</v>
      </c>
    </row>
    <row r="597" ht="11.25" customHeight="1">
      <c r="A597" s="2" t="s">
        <v>625</v>
      </c>
      <c r="B597" s="5">
        <v>0.752251136498042</v>
      </c>
      <c r="C597" s="5">
        <v>1.12855836803421</v>
      </c>
      <c r="D597" s="5">
        <v>1.04975775561701</v>
      </c>
      <c r="E597" s="5">
        <v>0.273083483571337</v>
      </c>
      <c r="F597" s="5">
        <v>0.283304930857035</v>
      </c>
      <c r="G597" s="5">
        <v>0.291765280991436</v>
      </c>
      <c r="H597" s="5">
        <v>0.301492549157554</v>
      </c>
      <c r="I597" s="5">
        <v>0.410148682488753</v>
      </c>
      <c r="J597" s="6">
        <v>2.56702604609814</v>
      </c>
      <c r="K597" s="6">
        <v>3.78234985425359</v>
      </c>
      <c r="L597" s="6">
        <v>3.39894885787541</v>
      </c>
      <c r="M597" s="6">
        <v>0.604862319844561</v>
      </c>
      <c r="N597" s="7">
        <v>0.239194884339573</v>
      </c>
      <c r="O597" s="7">
        <v>0.105874960728871</v>
      </c>
      <c r="P597" s="7">
        <v>0.200060385033212</v>
      </c>
      <c r="Q597" s="7">
        <v>0.596596596596596</v>
      </c>
      <c r="R597" s="6">
        <v>5.76303653104803</v>
      </c>
      <c r="S597" s="6">
        <v>10.0128247690137</v>
      </c>
      <c r="T597" s="6">
        <v>8.32052818450757</v>
      </c>
      <c r="U597" s="6">
        <v>1.22574313859355</v>
      </c>
    </row>
    <row r="598" ht="11.25" customHeight="1">
      <c r="A598" s="2" t="s">
        <v>626</v>
      </c>
      <c r="B598" s="5">
        <v>0.523225127507094</v>
      </c>
      <c r="C598" s="5">
        <v>0.657122570080306</v>
      </c>
      <c r="D598" s="5">
        <v>0.554733564006491</v>
      </c>
      <c r="E598" s="5">
        <v>0.189344179736244</v>
      </c>
      <c r="F598" s="5">
        <v>0.214732821616172</v>
      </c>
      <c r="G598" s="5">
        <v>0.205174512986488</v>
      </c>
      <c r="H598" s="5">
        <v>0.191874087932678</v>
      </c>
      <c r="I598" s="5">
        <v>0.330153317183781</v>
      </c>
      <c r="J598" s="6">
        <v>2.32020947593029</v>
      </c>
      <c r="K598" s="6">
        <v>3.08090201301919</v>
      </c>
      <c r="L598" s="6">
        <v>2.76083951571592</v>
      </c>
      <c r="M598" s="6">
        <v>0.49778139786117</v>
      </c>
      <c r="N598" s="7">
        <v>0.150975543499098</v>
      </c>
      <c r="O598" s="7">
        <v>0.127282207596712</v>
      </c>
      <c r="P598" s="7">
        <v>0.231533012570588</v>
      </c>
      <c r="Q598" s="7">
        <v>0.385732777218467</v>
      </c>
      <c r="R598" s="6">
        <v>4.9213137783698</v>
      </c>
      <c r="S598" s="6">
        <v>6.91118397381277</v>
      </c>
      <c r="T598" s="6">
        <v>5.93745013537693</v>
      </c>
      <c r="U598" s="6">
        <v>0.969798008845859</v>
      </c>
    </row>
    <row r="599" ht="11.25" customHeight="1">
      <c r="A599" s="2" t="s">
        <v>627</v>
      </c>
      <c r="B599" s="5">
        <v>0.38607544557777</v>
      </c>
      <c r="C599" s="5">
        <v>0.506553859949763</v>
      </c>
      <c r="D599" s="5">
        <v>0.374023859086469</v>
      </c>
      <c r="E599" s="5">
        <v>0.154019367860239</v>
      </c>
      <c r="F599" s="5">
        <v>0.168079043265336</v>
      </c>
      <c r="G599" s="5">
        <v>0.165888402398084</v>
      </c>
      <c r="H599" s="5">
        <v>0.199098192110595</v>
      </c>
      <c r="I599" s="5">
        <v>0.26812509932407</v>
      </c>
      <c r="J599" s="6">
        <v>2.14824786340413</v>
      </c>
      <c r="K599" s="6">
        <v>2.902878398902</v>
      </c>
      <c r="L599" s="6">
        <v>1.75302374866665</v>
      </c>
      <c r="M599" s="6">
        <v>0.48119093731057</v>
      </c>
      <c r="N599" s="7">
        <v>0.136328124999999</v>
      </c>
      <c r="O599" s="7">
        <v>0.108409401233727</v>
      </c>
      <c r="P599" s="7">
        <v>0.399137318237507</v>
      </c>
      <c r="Q599" s="7">
        <v>0.472389071885294</v>
      </c>
      <c r="R599" s="6">
        <v>4.28413700650832</v>
      </c>
      <c r="S599" s="6">
        <v>6.39359963074623</v>
      </c>
      <c r="T599" s="6">
        <v>3.0017951764392</v>
      </c>
      <c r="U599" s="6">
        <v>0.866840413769757</v>
      </c>
    </row>
    <row r="600" ht="11.25" customHeight="1">
      <c r="A600" s="2" t="s">
        <v>628</v>
      </c>
      <c r="B600" s="5">
        <v>0.792083443090166</v>
      </c>
      <c r="C600" s="5">
        <v>0.959170510366935</v>
      </c>
      <c r="D600" s="5">
        <v>0.678168510215766</v>
      </c>
      <c r="E600" s="5">
        <v>0.398513987513373</v>
      </c>
      <c r="F600" s="5">
        <v>0.239193350844907</v>
      </c>
      <c r="G600" s="5">
        <v>0.250295513710127</v>
      </c>
      <c r="H600" s="5">
        <v>0.253655868431584</v>
      </c>
      <c r="I600" s="5">
        <v>0.349628901660064</v>
      </c>
      <c r="J600" s="6">
        <v>3.20695972685103</v>
      </c>
      <c r="K600" s="6">
        <v>3.73227029330145</v>
      </c>
      <c r="L600" s="6">
        <v>2.57501832799874</v>
      </c>
      <c r="M600" s="6">
        <v>1.06831553610099</v>
      </c>
      <c r="N600" s="7">
        <v>0.156290046976789</v>
      </c>
      <c r="O600" s="7">
        <v>0.129724642789774</v>
      </c>
      <c r="P600" s="7">
        <v>0.300882200311364</v>
      </c>
      <c r="Q600" s="7">
        <v>0.483307493540052</v>
      </c>
      <c r="R600" s="6">
        <v>8.03025517112471</v>
      </c>
      <c r="S600" s="6">
        <v>9.68204742973399</v>
      </c>
      <c r="T600" s="6">
        <v>5.34075284041735</v>
      </c>
      <c r="U600" s="6">
        <v>2.16670680741603</v>
      </c>
    </row>
    <row r="601" ht="11.25" customHeight="1">
      <c r="A601" s="2" t="s">
        <v>629</v>
      </c>
      <c r="B601" s="5">
        <v>2.21479830790728</v>
      </c>
      <c r="C601" s="5">
        <v>3.02875486005065</v>
      </c>
      <c r="D601" s="5">
        <v>1.82854829812509</v>
      </c>
      <c r="E601" s="5">
        <v>0.891008351401118</v>
      </c>
      <c r="F601" s="5">
        <v>0.482387229925128</v>
      </c>
      <c r="G601" s="5">
        <v>0.500262463399287</v>
      </c>
      <c r="H601" s="5">
        <v>0.465520351367438</v>
      </c>
      <c r="I601" s="5">
        <v>0.675271519966641</v>
      </c>
      <c r="J601" s="6">
        <v>4.5395030632282</v>
      </c>
      <c r="K601" s="6">
        <v>6.00435787174619</v>
      </c>
      <c r="L601" s="6">
        <v>3.87426305386493</v>
      </c>
      <c r="M601" s="6">
        <v>1.28245946377821</v>
      </c>
      <c r="N601" s="7">
        <v>0.336970205623164</v>
      </c>
      <c r="O601" s="7">
        <v>0.336970205623164</v>
      </c>
      <c r="P601" s="7">
        <v>0.400444030811432</v>
      </c>
      <c r="Q601" s="7">
        <v>0.606265396437836</v>
      </c>
      <c r="R601" s="6">
        <v>11.163826739615</v>
      </c>
      <c r="S601" s="6">
        <v>15.4456604437432</v>
      </c>
      <c r="T601" s="6">
        <v>8.79852829644668</v>
      </c>
      <c r="U601" s="6">
        <v>2.69975898057783</v>
      </c>
    </row>
    <row r="602" ht="11.25" customHeight="1">
      <c r="A602" s="2" t="s">
        <v>630</v>
      </c>
      <c r="B602" s="5">
        <v>0.75280558378368</v>
      </c>
      <c r="C602" s="5">
        <v>0.841092962524754</v>
      </c>
      <c r="D602" s="5">
        <v>0.719623451533381</v>
      </c>
      <c r="E602" s="5">
        <v>0.228474849766007</v>
      </c>
      <c r="F602" s="5">
        <v>0.24327158488593</v>
      </c>
      <c r="G602" s="5">
        <v>0.224565351057282</v>
      </c>
      <c r="H602" s="5">
        <v>0.2214010302477</v>
      </c>
      <c r="I602" s="5">
        <v>0.34501890256449</v>
      </c>
      <c r="J602" s="6">
        <v>2.99174103759362</v>
      </c>
      <c r="K602" s="6">
        <v>3.63410009016299</v>
      </c>
      <c r="L602" s="6">
        <v>3.1373993642046</v>
      </c>
      <c r="M602" s="6">
        <v>0.589749860815159</v>
      </c>
      <c r="N602" s="7">
        <v>0.148282956163949</v>
      </c>
      <c r="O602" s="7">
        <v>0.14828295616395</v>
      </c>
      <c r="P602" s="7">
        <v>0.269963936115404</v>
      </c>
      <c r="Q602" s="7">
        <v>0.527284399743205</v>
      </c>
      <c r="R602" s="6">
        <v>6.9669187961276</v>
      </c>
      <c r="S602" s="6">
        <v>8.73526019569965</v>
      </c>
      <c r="T602" s="6">
        <v>6.51595794528303</v>
      </c>
      <c r="U602" s="6">
        <v>1.13194057639502</v>
      </c>
    </row>
    <row r="603" ht="11.25" customHeight="1">
      <c r="A603" s="2" t="s">
        <v>631</v>
      </c>
      <c r="B603" s="5">
        <v>0.65481740460051</v>
      </c>
      <c r="C603" s="5">
        <v>0.725695449906552</v>
      </c>
      <c r="D603" s="5">
        <v>0.790298900157323</v>
      </c>
      <c r="E603" s="5">
        <v>0.303884717282826</v>
      </c>
      <c r="F603" s="5">
        <v>0.220574731898798</v>
      </c>
      <c r="G603" s="5">
        <v>0.226771615162253</v>
      </c>
      <c r="H603" s="5">
        <v>0.237143431935389</v>
      </c>
      <c r="I603" s="5">
        <v>0.331934303211372</v>
      </c>
      <c r="J603" s="6">
        <v>2.85534702537676</v>
      </c>
      <c r="K603" s="6">
        <v>3.08987281942323</v>
      </c>
      <c r="L603" s="6">
        <v>3.22715621474953</v>
      </c>
      <c r="M603" s="6">
        <v>0.840180465184506</v>
      </c>
      <c r="N603" s="7">
        <v>0.16285126427865</v>
      </c>
      <c r="O603" s="7">
        <v>0.16800634693267</v>
      </c>
      <c r="P603" s="7">
        <v>0.395179086742488</v>
      </c>
      <c r="Q603" s="7">
        <v>0.491552178632346</v>
      </c>
      <c r="R603" s="6">
        <v>5.98747714298807</v>
      </c>
      <c r="S603" s="6">
        <v>6.72948178366767</v>
      </c>
      <c r="T603" s="6">
        <v>6.72483184637034</v>
      </c>
      <c r="U603" s="6">
        <v>1.61418081567755</v>
      </c>
    </row>
    <row r="604" ht="11.25" customHeight="1">
      <c r="A604" s="2" t="s">
        <v>632</v>
      </c>
      <c r="B604" s="5">
        <v>3.29198001530961</v>
      </c>
      <c r="C604" s="5">
        <v>3.44600291676122</v>
      </c>
      <c r="D604" s="5">
        <v>3.87922651152981</v>
      </c>
      <c r="E604" s="5">
        <v>1.5888325382238</v>
      </c>
      <c r="F604" s="5">
        <v>0.662408477642221</v>
      </c>
      <c r="G604" s="5">
        <v>0.666575666561379</v>
      </c>
      <c r="H604" s="5">
        <v>0.561676031718683</v>
      </c>
      <c r="I604" s="5">
        <v>0.829727469444124</v>
      </c>
      <c r="J604" s="6">
        <v>4.931971926051</v>
      </c>
      <c r="K604" s="6">
        <v>5.1322049219242</v>
      </c>
      <c r="L604" s="6">
        <v>6.86200993789282</v>
      </c>
      <c r="M604" s="6">
        <v>1.88475444747116</v>
      </c>
      <c r="N604" s="7">
        <v>0.317160826594788</v>
      </c>
      <c r="O604" s="7">
        <v>0.285005772449538</v>
      </c>
      <c r="P604" s="7">
        <v>0.29418323017185</v>
      </c>
      <c r="Q604" s="7">
        <v>0.542243920996734</v>
      </c>
      <c r="R604" s="6">
        <v>13.4511829915586</v>
      </c>
      <c r="S604" s="6">
        <v>14.8483883460607</v>
      </c>
      <c r="T604" s="6">
        <v>22.2380968880287</v>
      </c>
      <c r="U604" s="6">
        <v>4.23779312462405</v>
      </c>
    </row>
    <row r="605" ht="11.25" customHeight="1">
      <c r="A605" s="2" t="s">
        <v>633</v>
      </c>
      <c r="B605" s="5">
        <v>0.77033550623625</v>
      </c>
      <c r="C605" s="5">
        <v>1.08428942096758</v>
      </c>
      <c r="D605" s="5">
        <v>0.980947296036432</v>
      </c>
      <c r="E605" s="5">
        <v>0.436956786022566</v>
      </c>
      <c r="F605" s="5">
        <v>0.305510056354853</v>
      </c>
      <c r="G605" s="5">
        <v>0.312197997909528</v>
      </c>
      <c r="H605" s="5">
        <v>0.287474060654816</v>
      </c>
      <c r="I605" s="5">
        <v>0.427175915725584</v>
      </c>
      <c r="J605" s="6">
        <v>2.43964311724827</v>
      </c>
      <c r="K605" s="6">
        <v>3.3930051699901</v>
      </c>
      <c r="L605" s="6">
        <v>3.32533409747978</v>
      </c>
      <c r="M605" s="6">
        <v>0.964372687825419</v>
      </c>
      <c r="N605" s="7">
        <v>0.305588235294118</v>
      </c>
      <c r="O605" s="7">
        <v>0.145547093661269</v>
      </c>
      <c r="P605" s="7">
        <v>0.327601031814273</v>
      </c>
      <c r="Q605" s="7">
        <v>0.550832854681218</v>
      </c>
      <c r="R605" s="6">
        <v>5.37300843010554</v>
      </c>
      <c r="S605" s="6">
        <v>8.17987198781721</v>
      </c>
      <c r="T605" s="6">
        <v>7.39929222404466</v>
      </c>
      <c r="U605" s="6">
        <v>1.98703171421945</v>
      </c>
    </row>
    <row r="606" ht="11.25" customHeight="1">
      <c r="A606" s="2" t="s">
        <v>634</v>
      </c>
      <c r="B606" s="5">
        <v>2.30034660802808</v>
      </c>
      <c r="C606" s="5">
        <v>3.00400814641848</v>
      </c>
      <c r="D606" s="5">
        <v>4.1557280316288</v>
      </c>
      <c r="E606" s="5">
        <v>1.06833631491741</v>
      </c>
      <c r="F606" s="5">
        <v>0.562252295830535</v>
      </c>
      <c r="G606" s="5">
        <v>0.572068313060219</v>
      </c>
      <c r="H606" s="5">
        <v>0.542834591439518</v>
      </c>
      <c r="I606" s="5">
        <v>0.738162594901561</v>
      </c>
      <c r="J606" s="6">
        <v>4.04684271616363</v>
      </c>
      <c r="K606" s="6">
        <v>5.20743428434726</v>
      </c>
      <c r="L606" s="6">
        <v>7.60955196439252</v>
      </c>
      <c r="M606" s="6">
        <v>1.41342344101918</v>
      </c>
      <c r="N606" s="7">
        <v>0.310485899614336</v>
      </c>
      <c r="O606" s="7">
        <v>0.162638412014767</v>
      </c>
      <c r="P606" s="7">
        <v>0.249712193211839</v>
      </c>
      <c r="Q606" s="7">
        <v>0.66405683630564</v>
      </c>
      <c r="R606" s="6">
        <v>10.826390045257</v>
      </c>
      <c r="S606" s="6">
        <v>14.2503426991181</v>
      </c>
      <c r="T606" s="6">
        <v>22.1408548976124</v>
      </c>
      <c r="U606" s="6">
        <v>3.16374223706622</v>
      </c>
    </row>
    <row r="607" ht="11.25" customHeight="1">
      <c r="A607" s="2" t="s">
        <v>635</v>
      </c>
      <c r="B607" s="5">
        <v>1.5238824840514</v>
      </c>
      <c r="C607" s="5">
        <v>2.37040330487821</v>
      </c>
      <c r="D607" s="5">
        <v>1.43023795218161</v>
      </c>
      <c r="E607" s="5">
        <v>0.087042780052813</v>
      </c>
      <c r="F607" s="5">
        <v>0.454311794795155</v>
      </c>
      <c r="G607" s="5">
        <v>0.421165530340062</v>
      </c>
      <c r="H607" s="5">
        <v>0.429155996016914</v>
      </c>
      <c r="I607" s="5">
        <v>0.645794570556091</v>
      </c>
      <c r="J607" s="6">
        <v>3.29923744270658</v>
      </c>
      <c r="K607" s="6">
        <v>5.56883965072938</v>
      </c>
      <c r="L607" s="6">
        <v>3.27442227354136</v>
      </c>
      <c r="M607" s="6">
        <v>0.096072006302853</v>
      </c>
      <c r="N607" s="7">
        <v>0.307533819875429</v>
      </c>
      <c r="O607" s="7">
        <v>0.12597896621168</v>
      </c>
      <c r="P607" s="7">
        <v>0.447703589347742</v>
      </c>
      <c r="Q607" s="7">
        <v>0.808893738916927</v>
      </c>
      <c r="R607" s="6">
        <v>7.35963417644232</v>
      </c>
      <c r="S607" s="6">
        <v>15.402546536366</v>
      </c>
      <c r="T607" s="6">
        <v>7.13359264038918</v>
      </c>
      <c r="U607" s="6">
        <v>0.177395876920125</v>
      </c>
    </row>
    <row r="608" ht="11.25" customHeight="1">
      <c r="A608" s="2" t="s">
        <v>636</v>
      </c>
      <c r="B608" s="5">
        <v>0.518287176304977</v>
      </c>
      <c r="C608" s="5">
        <v>0.699814573595139</v>
      </c>
      <c r="D608" s="5">
        <v>0.5497237811349</v>
      </c>
      <c r="E608" s="5">
        <v>0.293977982746156</v>
      </c>
      <c r="F608" s="5">
        <v>0.218680442749759</v>
      </c>
      <c r="G608" s="5">
        <v>0.217041178917905</v>
      </c>
      <c r="H608" s="5">
        <v>0.21677814829601</v>
      </c>
      <c r="I608" s="5">
        <v>0.322451050293529</v>
      </c>
      <c r="J608" s="6">
        <v>2.25574436425234</v>
      </c>
      <c r="K608" s="6">
        <v>3.1091545713101</v>
      </c>
      <c r="L608" s="6">
        <v>2.42055661633565</v>
      </c>
      <c r="M608" s="6">
        <v>0.834166868122475</v>
      </c>
      <c r="N608" s="7">
        <v>0.144560602418206</v>
      </c>
      <c r="O608" s="7">
        <v>0.0934673366834169</v>
      </c>
      <c r="P608" s="7">
        <v>0.305080683712222</v>
      </c>
      <c r="Q608" s="7">
        <v>0.321115973741794</v>
      </c>
      <c r="R608" s="6">
        <v>4.83502859261034</v>
      </c>
      <c r="S608" s="6">
        <v>7.08000050372517</v>
      </c>
      <c r="T608" s="6">
        <v>5.15416955413052</v>
      </c>
      <c r="U608" s="6">
        <v>1.66656985688606</v>
      </c>
    </row>
    <row r="609" ht="11.25" customHeight="1">
      <c r="A609" s="2" t="s">
        <v>637</v>
      </c>
      <c r="B609" s="5">
        <v>0.763285077372031</v>
      </c>
      <c r="C609" s="5">
        <v>0.952590362002816</v>
      </c>
      <c r="D609" s="5">
        <v>0.83442890370844</v>
      </c>
      <c r="E609" s="5">
        <v>0.151767295219599</v>
      </c>
      <c r="F609" s="5">
        <v>0.294790816775385</v>
      </c>
      <c r="G609" s="5">
        <v>0.297210516912523</v>
      </c>
      <c r="H609" s="5">
        <v>0.290961624048699</v>
      </c>
      <c r="I609" s="5">
        <v>0.43032235226103</v>
      </c>
      <c r="J609" s="6">
        <v>2.50443716479324</v>
      </c>
      <c r="K609" s="6">
        <v>3.12098768118569</v>
      </c>
      <c r="L609" s="6">
        <v>2.78190949186124</v>
      </c>
      <c r="M609" s="6">
        <v>0.294586824396942</v>
      </c>
      <c r="N609" s="7">
        <v>0.219975339087546</v>
      </c>
      <c r="O609" s="7">
        <v>0.161820047895997</v>
      </c>
      <c r="P609" s="7">
        <v>0.244084682440846</v>
      </c>
      <c r="Q609" s="7">
        <v>0.700414937759336</v>
      </c>
      <c r="R609" s="6">
        <v>5.67212810018498</v>
      </c>
      <c r="S609" s="6">
        <v>7.45844347154007</v>
      </c>
      <c r="T609" s="6">
        <v>6.25696474981587</v>
      </c>
      <c r="U609" s="6">
        <v>0.576383912300263</v>
      </c>
    </row>
    <row r="610" ht="11.25" customHeight="1">
      <c r="A610" s="2" t="s">
        <v>638</v>
      </c>
      <c r="B610" s="5">
        <v>0.716828205018618</v>
      </c>
      <c r="C610" s="5">
        <v>0.87278092016512</v>
      </c>
      <c r="D610" s="5">
        <v>0.556864402885191</v>
      </c>
      <c r="E610" s="5">
        <v>0.487793331017922</v>
      </c>
      <c r="F610" s="5">
        <v>0.220699409954177</v>
      </c>
      <c r="G610" s="5">
        <v>0.239942067812619</v>
      </c>
      <c r="H610" s="5">
        <v>0.23137377862184</v>
      </c>
      <c r="I610" s="5">
        <v>0.333680564174328</v>
      </c>
      <c r="J610" s="6">
        <v>3.13470799565009</v>
      </c>
      <c r="K610" s="6">
        <v>3.53327337675186</v>
      </c>
      <c r="L610" s="6">
        <v>2.29872376227418</v>
      </c>
      <c r="M610" s="6">
        <v>1.38693523299169</v>
      </c>
      <c r="N610" s="7">
        <v>0.134480065624725</v>
      </c>
      <c r="O610" s="7">
        <v>0.113260880215351</v>
      </c>
      <c r="P610" s="7">
        <v>0.265519360786724</v>
      </c>
      <c r="Q610" s="7">
        <v>0.338353358064337</v>
      </c>
      <c r="R610" s="6">
        <v>7.36792143511108</v>
      </c>
      <c r="S610" s="6">
        <v>8.71986878259922</v>
      </c>
      <c r="T610" s="6">
        <v>4.48494395711436</v>
      </c>
      <c r="U610" s="6">
        <v>2.78015385592472</v>
      </c>
    </row>
    <row r="611" ht="11.25" customHeight="1">
      <c r="A611" s="2" t="s">
        <v>639</v>
      </c>
      <c r="B611" s="5">
        <v>0.767976081660279</v>
      </c>
      <c r="C611" s="5">
        <v>1.27099770257917</v>
      </c>
      <c r="D611" s="5">
        <v>0.971850736992474</v>
      </c>
      <c r="E611" s="5">
        <v>-0.198743077205944</v>
      </c>
      <c r="F611" s="5">
        <v>0.411025672613674</v>
      </c>
      <c r="G611" s="5">
        <v>0.364955549467297</v>
      </c>
      <c r="H611" s="5">
        <v>0.414561166219858</v>
      </c>
      <c r="I611" s="5">
        <v>0.594646395999028</v>
      </c>
      <c r="J611" s="6">
        <v>1.80761478215159</v>
      </c>
      <c r="K611" s="6">
        <v>3.41410811370831</v>
      </c>
      <c r="L611" s="6">
        <v>2.28398319511268</v>
      </c>
      <c r="M611" s="6">
        <v>-0.376262395116424</v>
      </c>
      <c r="N611" s="7">
        <v>0.261735273886004</v>
      </c>
      <c r="O611" s="7">
        <v>0.122824299708333</v>
      </c>
      <c r="P611" s="7">
        <v>0.464297860677387</v>
      </c>
      <c r="Q611" s="7">
        <v>0.848263441624476</v>
      </c>
      <c r="R611" s="6">
        <v>4.02768724323872</v>
      </c>
      <c r="S611" s="6">
        <v>8.6882951178943</v>
      </c>
      <c r="T611" s="6">
        <v>4.64757330154699</v>
      </c>
      <c r="U611" s="6">
        <v>-0.68900090154559</v>
      </c>
    </row>
    <row r="612" ht="11.25" customHeight="1">
      <c r="A612" s="2" t="s">
        <v>640</v>
      </c>
      <c r="B612" s="5">
        <v>1.16534882144893</v>
      </c>
      <c r="C612" s="5">
        <v>1.40866609244452</v>
      </c>
      <c r="D612" s="5">
        <v>1.03493502080369</v>
      </c>
      <c r="E612" s="5">
        <v>0.245430408312476</v>
      </c>
      <c r="F612" s="5">
        <v>0.374603830811749</v>
      </c>
      <c r="G612" s="5">
        <v>0.364029180125366</v>
      </c>
      <c r="H612" s="5">
        <v>0.382097853669879</v>
      </c>
      <c r="I612" s="5">
        <v>0.538177704187803</v>
      </c>
      <c r="J612" s="6">
        <v>3.0441461823224</v>
      </c>
      <c r="K612" s="6">
        <v>3.8009757678437</v>
      </c>
      <c r="L612" s="6">
        <v>2.64313188651472</v>
      </c>
      <c r="M612" s="6">
        <v>0.409586659940031</v>
      </c>
      <c r="N612" s="7">
        <v>0.232439748756999</v>
      </c>
      <c r="O612" s="7">
        <v>0.150968073624878</v>
      </c>
      <c r="P612" s="7">
        <v>0.460091962808192</v>
      </c>
      <c r="Q612" s="7">
        <v>0.856626425367638</v>
      </c>
      <c r="R612" s="6">
        <v>7.28238576991991</v>
      </c>
      <c r="S612" s="6">
        <v>9.85902307222826</v>
      </c>
      <c r="T612" s="6">
        <v>5.84441282860583</v>
      </c>
      <c r="U612" s="6">
        <v>0.798392370445371</v>
      </c>
    </row>
    <row r="613" ht="11.25" customHeight="1">
      <c r="A613" s="2" t="s">
        <v>641</v>
      </c>
      <c r="B613" s="5">
        <v>1.09637037735248</v>
      </c>
      <c r="C613" s="5">
        <v>1.25503799579788</v>
      </c>
      <c r="D613" s="5">
        <v>1.4245729570724</v>
      </c>
      <c r="E613" s="5">
        <v>0.17579857257572</v>
      </c>
      <c r="F613" s="5">
        <v>0.422488830659686</v>
      </c>
      <c r="G613" s="5">
        <v>0.371464330286777</v>
      </c>
      <c r="H613" s="5">
        <v>0.407974256278609</v>
      </c>
      <c r="I613" s="5">
        <v>0.583066004147163</v>
      </c>
      <c r="J613" s="6">
        <v>2.53585491403315</v>
      </c>
      <c r="K613" s="6">
        <v>3.31132196420654</v>
      </c>
      <c r="L613" s="6">
        <v>3.43054233332953</v>
      </c>
      <c r="M613" s="6">
        <v>0.258630363463377</v>
      </c>
      <c r="N613" s="7">
        <v>0.389739095382706</v>
      </c>
      <c r="O613" s="7">
        <v>0.299180327868852</v>
      </c>
      <c r="P613" s="7">
        <v>0.472528738675667</v>
      </c>
      <c r="Q613" s="7">
        <v>0.794002068252326</v>
      </c>
      <c r="R613" s="6">
        <v>5.58999055674914</v>
      </c>
      <c r="S613" s="6">
        <v>7.78585676087678</v>
      </c>
      <c r="T613" s="6">
        <v>7.70908905622166</v>
      </c>
      <c r="U613" s="6">
        <v>0.515062265276887</v>
      </c>
    </row>
    <row r="614" ht="11.25" customHeight="1">
      <c r="A614" s="2" t="s">
        <v>642</v>
      </c>
      <c r="B614" s="5">
        <v>1.00783539986061</v>
      </c>
      <c r="C614" s="5">
        <v>1.94648772643735</v>
      </c>
      <c r="D614" s="5">
        <v>1.50346296003925</v>
      </c>
      <c r="E614" s="5">
        <v>0.0862640464331001</v>
      </c>
      <c r="F614" s="5">
        <v>0.451214499658632</v>
      </c>
      <c r="G614" s="5">
        <v>0.487367669833679</v>
      </c>
      <c r="H614" s="5">
        <v>0.456909643998251</v>
      </c>
      <c r="I614" s="5">
        <v>0.734745363876237</v>
      </c>
      <c r="J614" s="6">
        <v>2.17819994837086</v>
      </c>
      <c r="K614" s="6">
        <v>3.94258348546814</v>
      </c>
      <c r="L614" s="6">
        <v>3.23578847472282</v>
      </c>
      <c r="M614" s="6">
        <v>0.0833813310639951</v>
      </c>
      <c r="N614" s="7">
        <v>0.188477951635846</v>
      </c>
      <c r="O614" s="7">
        <v>0.188477951635846</v>
      </c>
      <c r="P614" s="7">
        <v>0.310422282120395</v>
      </c>
      <c r="Q614" s="7">
        <v>0.680465717981888</v>
      </c>
      <c r="R614" s="6">
        <v>5.03127879167932</v>
      </c>
      <c r="S614" s="6">
        <v>9.6080884130315</v>
      </c>
      <c r="T614" s="6">
        <v>7.46501703131971</v>
      </c>
      <c r="U614" s="6">
        <v>0.177772988806071</v>
      </c>
    </row>
    <row r="615" ht="11.25" customHeight="1">
      <c r="A615" s="2" t="s">
        <v>643</v>
      </c>
      <c r="B615" s="5">
        <v>0.419022143612165</v>
      </c>
      <c r="C615" s="5">
        <v>0.461731107542118</v>
      </c>
      <c r="D615" s="5">
        <v>0.506695710186142</v>
      </c>
      <c r="E615" s="5">
        <v>0.165003666469477</v>
      </c>
      <c r="F615" s="5">
        <v>0.204328315561023</v>
      </c>
      <c r="G615" s="5">
        <v>0.207410458591291</v>
      </c>
      <c r="H615" s="5">
        <v>0.228754742782851</v>
      </c>
      <c r="I615" s="5">
        <v>0.3030653038337</v>
      </c>
      <c r="J615" s="6">
        <v>1.92837758452762</v>
      </c>
      <c r="K615" s="6">
        <v>2.10563686377411</v>
      </c>
      <c r="L615" s="6">
        <v>2.10572993733903</v>
      </c>
      <c r="M615" s="6">
        <v>0.461958741889837</v>
      </c>
      <c r="N615" s="7">
        <v>0.190143044175385</v>
      </c>
      <c r="O615" s="7">
        <v>0.166578808645229</v>
      </c>
      <c r="P615" s="7">
        <v>0.39128672745694</v>
      </c>
      <c r="Q615" s="7">
        <v>0.418810131553111</v>
      </c>
      <c r="R615" s="6">
        <v>3.94822283025665</v>
      </c>
      <c r="S615" s="6">
        <v>4.40723148545469</v>
      </c>
      <c r="T615" s="6">
        <v>4.02887912080178</v>
      </c>
      <c r="U615" s="6">
        <v>0.880312196564097</v>
      </c>
    </row>
    <row r="616" ht="11.25" customHeight="1">
      <c r="A616" s="2" t="s">
        <v>644</v>
      </c>
      <c r="B616" s="5">
        <v>0.697541580184157</v>
      </c>
      <c r="C616" s="5">
        <v>0.823574789388423</v>
      </c>
      <c r="D616" s="5">
        <v>0.636888289399619</v>
      </c>
      <c r="E616" s="5">
        <v>0.229153679172922</v>
      </c>
      <c r="F616" s="5">
        <v>0.257408106931003</v>
      </c>
      <c r="G616" s="5">
        <v>0.263207822624042</v>
      </c>
      <c r="H616" s="5">
        <v>0.303165598468652</v>
      </c>
      <c r="I616" s="5">
        <v>0.393851299588061</v>
      </c>
      <c r="J616" s="6">
        <v>2.61274436226061</v>
      </c>
      <c r="K616" s="6">
        <v>3.03400856945305</v>
      </c>
      <c r="L616" s="6">
        <v>2.01833022114113</v>
      </c>
      <c r="M616" s="6">
        <v>0.518352178567015</v>
      </c>
      <c r="N616" s="7">
        <v>0.147308498951363</v>
      </c>
      <c r="O616" s="7">
        <v>0.147308498951363</v>
      </c>
      <c r="P616" s="7">
        <v>0.525714686098654</v>
      </c>
      <c r="Q616" s="7">
        <v>0.564330308296325</v>
      </c>
      <c r="R616" s="6">
        <v>5.91276330123806</v>
      </c>
      <c r="S616" s="6">
        <v>7.0765190353984</v>
      </c>
      <c r="T616" s="6">
        <v>3.90416903618519</v>
      </c>
      <c r="U616" s="6">
        <v>1.00119508140708</v>
      </c>
    </row>
    <row r="617" ht="11.25" customHeight="1">
      <c r="A617" s="2" t="s">
        <v>645</v>
      </c>
      <c r="B617" s="5">
        <v>0.915168964434375</v>
      </c>
      <c r="C617" s="5">
        <v>1.20708134047837</v>
      </c>
      <c r="D617" s="5">
        <v>0.970803101559546</v>
      </c>
      <c r="E617" s="5">
        <v>0.424585973250622</v>
      </c>
      <c r="F617" s="5">
        <v>0.318046693135085</v>
      </c>
      <c r="G617" s="5">
        <v>0.346498518187165</v>
      </c>
      <c r="H617" s="5">
        <v>0.35737633517286</v>
      </c>
      <c r="I617" s="5">
        <v>0.479075285376447</v>
      </c>
      <c r="J617" s="6">
        <v>2.79886250556389</v>
      </c>
      <c r="K617" s="6">
        <v>3.4115047494658</v>
      </c>
      <c r="L617" s="6">
        <v>2.64651855333976</v>
      </c>
      <c r="M617" s="6">
        <v>0.834077618795625</v>
      </c>
      <c r="N617" s="7">
        <v>0.188394194901713</v>
      </c>
      <c r="O617" s="7">
        <v>0.18313529289139</v>
      </c>
      <c r="P617" s="7">
        <v>0.361403806934058</v>
      </c>
      <c r="Q617" s="7">
        <v>0.649226234340457</v>
      </c>
      <c r="R617" s="6">
        <v>7.43926862014166</v>
      </c>
      <c r="S617" s="6">
        <v>9.24163682520394</v>
      </c>
      <c r="T617" s="6">
        <v>5.52911443524477</v>
      </c>
      <c r="U617" s="6">
        <v>1.67891863835199</v>
      </c>
    </row>
    <row r="618" ht="11.25" customHeight="1">
      <c r="A618" s="2" t="s">
        <v>646</v>
      </c>
      <c r="B618" s="5">
        <v>0.611185644035064</v>
      </c>
      <c r="C618" s="5">
        <v>0.785470061258865</v>
      </c>
      <c r="D618" s="5">
        <v>0.645794636593153</v>
      </c>
      <c r="E618" s="5">
        <v>0.370300894985873</v>
      </c>
      <c r="F618" s="5">
        <v>0.200576749366614</v>
      </c>
      <c r="G618" s="5">
        <v>0.221882403912575</v>
      </c>
      <c r="H618" s="5">
        <v>0.235324912432869</v>
      </c>
      <c r="I618" s="5">
        <v>0.308004083406398</v>
      </c>
      <c r="J618" s="6">
        <v>2.92250046870404</v>
      </c>
      <c r="K618" s="6">
        <v>3.42735632861855</v>
      </c>
      <c r="L618" s="6">
        <v>2.63803194559881</v>
      </c>
      <c r="M618" s="6">
        <v>1.12109193867492</v>
      </c>
      <c r="N618" s="7">
        <v>0.101413524413641</v>
      </c>
      <c r="O618" s="7">
        <v>0.101413524413641</v>
      </c>
      <c r="P618" s="7">
        <v>0.326722410337917</v>
      </c>
      <c r="Q618" s="7">
        <v>0.361763453539025</v>
      </c>
      <c r="R618" s="6">
        <v>6.88339511744942</v>
      </c>
      <c r="S618" s="6">
        <v>8.58216823777713</v>
      </c>
      <c r="T618" s="6">
        <v>5.3324334604226</v>
      </c>
      <c r="U618" s="6">
        <v>2.24399323843179</v>
      </c>
    </row>
    <row r="619" ht="11.25" customHeight="1">
      <c r="A619" s="2" t="s">
        <v>647</v>
      </c>
      <c r="B619" s="5">
        <v>0.58470774097542</v>
      </c>
      <c r="C619" s="5">
        <v>0.792657967387824</v>
      </c>
      <c r="D619" s="5">
        <v>0.582399219027415</v>
      </c>
      <c r="E619" s="5">
        <v>0.0346711505327042</v>
      </c>
      <c r="F619" s="5">
        <v>0.268301481500002</v>
      </c>
      <c r="G619" s="5">
        <v>0.261186131874177</v>
      </c>
      <c r="H619" s="5">
        <v>0.272169817170658</v>
      </c>
      <c r="I619" s="5">
        <v>0.416753822848558</v>
      </c>
      <c r="J619" s="6">
        <v>2.08611498470393</v>
      </c>
      <c r="K619" s="6">
        <v>2.93912223393863</v>
      </c>
      <c r="L619" s="6">
        <v>2.04798322173214</v>
      </c>
      <c r="M619" s="6">
        <v>0.0232059071866475</v>
      </c>
      <c r="N619" s="7">
        <v>0.212860310421286</v>
      </c>
      <c r="O619" s="7">
        <v>0.188478396994364</v>
      </c>
      <c r="P619" s="7">
        <v>0.287598787071513</v>
      </c>
      <c r="Q619" s="7">
        <v>0.822836661546338</v>
      </c>
      <c r="R619" s="6">
        <v>4.15722363884916</v>
      </c>
      <c r="S619" s="6">
        <v>6.40910075717382</v>
      </c>
      <c r="T619" s="6">
        <v>4.1802407010792</v>
      </c>
      <c r="U619" s="6">
        <v>0.0425022669366283</v>
      </c>
    </row>
    <row r="620" ht="11.25" customHeight="1">
      <c r="A620" s="2" t="s">
        <v>648</v>
      </c>
      <c r="B620" s="5">
        <v>0.545147126893075</v>
      </c>
      <c r="C620" s="5">
        <v>0.682233871295807</v>
      </c>
      <c r="D620" s="5">
        <v>0.718629012035436</v>
      </c>
      <c r="E620" s="5">
        <v>0.268039914888722</v>
      </c>
      <c r="F620" s="5">
        <v>0.200221157783862</v>
      </c>
      <c r="G620" s="5">
        <v>0.200557381625924</v>
      </c>
      <c r="H620" s="5">
        <v>0.19106572492144</v>
      </c>
      <c r="I620" s="5">
        <v>0.304486902202904</v>
      </c>
      <c r="J620" s="6">
        <v>2.59786294640535</v>
      </c>
      <c r="K620" s="6">
        <v>3.27703655665822</v>
      </c>
      <c r="L620" s="6">
        <v>3.63031628158652</v>
      </c>
      <c r="M620" s="6">
        <v>0.798194973676619</v>
      </c>
      <c r="N620" s="7">
        <v>0.149034211447817</v>
      </c>
      <c r="O620" s="7">
        <v>0.116270205663473</v>
      </c>
      <c r="P620" s="7">
        <v>0.222451293681064</v>
      </c>
      <c r="Q620" s="7">
        <v>0.444480335944439</v>
      </c>
      <c r="R620" s="6">
        <v>5.74237692467028</v>
      </c>
      <c r="S620" s="6">
        <v>7.65358339143689</v>
      </c>
      <c r="T620" s="6">
        <v>8.41577325027702</v>
      </c>
      <c r="U620" s="6">
        <v>1.57143676540778</v>
      </c>
    </row>
    <row r="621" ht="11.25" customHeight="1">
      <c r="A621" s="2" t="s">
        <v>649</v>
      </c>
      <c r="B621" s="5">
        <v>0.540211026905626</v>
      </c>
      <c r="C621" s="5">
        <v>0.50792400152912</v>
      </c>
      <c r="D621" s="5">
        <v>0.358466894147102</v>
      </c>
      <c r="E621" s="5">
        <v>0.170740830272773</v>
      </c>
      <c r="F621" s="5">
        <v>0.195199518827224</v>
      </c>
      <c r="G621" s="5">
        <v>0.186121210963574</v>
      </c>
      <c r="H621" s="5">
        <v>0.17611061472695</v>
      </c>
      <c r="I621" s="5">
        <v>0.264713315122556</v>
      </c>
      <c r="J621" s="6">
        <v>2.63940725879376</v>
      </c>
      <c r="K621" s="6">
        <v>2.59467472314928</v>
      </c>
      <c r="L621" s="6">
        <v>1.89350820598817</v>
      </c>
      <c r="M621" s="6">
        <v>0.55056101052302</v>
      </c>
      <c r="N621" s="7">
        <v>0.124186779406755</v>
      </c>
      <c r="O621" s="7">
        <v>0.146135081384838</v>
      </c>
      <c r="P621" s="7">
        <v>0.195948778876795</v>
      </c>
      <c r="Q621" s="7">
        <v>0.357371914385861</v>
      </c>
      <c r="R621" s="6">
        <v>6.0149216711606</v>
      </c>
      <c r="S621" s="6">
        <v>6.16156484000638</v>
      </c>
      <c r="T621" s="6">
        <v>3.90848920443113</v>
      </c>
      <c r="U621" s="6">
        <v>1.09858452499405</v>
      </c>
    </row>
    <row r="622" ht="11.25" customHeight="1">
      <c r="A622" s="2" t="s">
        <v>650</v>
      </c>
      <c r="B622" s="5">
        <v>262.622340661115</v>
      </c>
      <c r="C622" s="5">
        <v>165.077046515489</v>
      </c>
      <c r="D622" s="5">
        <v>273.260930665849</v>
      </c>
      <c r="E622" s="5">
        <v>28.5602003903001</v>
      </c>
      <c r="F622" s="5">
        <v>1.88168365814268</v>
      </c>
      <c r="G622" s="5">
        <v>1.91281579495666</v>
      </c>
      <c r="H622" s="5">
        <v>1.93572199106399</v>
      </c>
      <c r="I622" s="5">
        <v>2.10033929144298</v>
      </c>
      <c r="J622" s="6">
        <v>139.554456736001</v>
      </c>
      <c r="K622" s="6">
        <v>86.2874757468367</v>
      </c>
      <c r="L622" s="6">
        <v>141.154531449871</v>
      </c>
      <c r="M622" s="6">
        <v>13.5859956086884</v>
      </c>
      <c r="N622" s="7">
        <v>0.318978589191484</v>
      </c>
      <c r="O622" s="7">
        <v>0.330017589616061</v>
      </c>
      <c r="P622" s="7">
        <v>0.318978589191484</v>
      </c>
      <c r="Q622" s="7">
        <v>0.541299667253865</v>
      </c>
      <c r="R622" s="6">
        <v>510.249821652583</v>
      </c>
      <c r="S622" s="6">
        <v>302.100765604567</v>
      </c>
      <c r="T622" s="6">
        <v>512.945998525199</v>
      </c>
      <c r="U622" s="6">
        <v>44.7720764745772</v>
      </c>
    </row>
    <row r="623" ht="11.25" customHeight="1">
      <c r="A623" s="2" t="s">
        <v>651</v>
      </c>
      <c r="B623" s="5">
        <v>1.31234294395037</v>
      </c>
      <c r="C623" s="5">
        <v>1.80658747215335</v>
      </c>
      <c r="D623" s="5">
        <v>1.25418972875317</v>
      </c>
      <c r="E623" s="5">
        <v>0.560298808095867</v>
      </c>
      <c r="F623" s="5">
        <v>0.374774423005726</v>
      </c>
      <c r="G623" s="5">
        <v>0.386028776058657</v>
      </c>
      <c r="H623" s="5">
        <v>0.340094841995339</v>
      </c>
      <c r="I623" s="5">
        <v>0.563170661678892</v>
      </c>
      <c r="J623" s="6">
        <v>3.43498079091352</v>
      </c>
      <c r="K623" s="6">
        <v>4.61516752803589</v>
      </c>
      <c r="L623" s="6">
        <v>3.61425572214357</v>
      </c>
      <c r="M623" s="6">
        <v>0.950509045517508</v>
      </c>
      <c r="N623" s="7">
        <v>0.223180446344007</v>
      </c>
      <c r="O623" s="7">
        <v>0.201010568451527</v>
      </c>
      <c r="P623" s="7">
        <v>0.239258635214827</v>
      </c>
      <c r="Q623" s="7">
        <v>0.635859519408502</v>
      </c>
      <c r="R623" s="6">
        <v>7.95226138918909</v>
      </c>
      <c r="S623" s="6">
        <v>11.2247717826015</v>
      </c>
      <c r="T623" s="6">
        <v>8.04785013241508</v>
      </c>
      <c r="U623" s="6">
        <v>1.88975767662067</v>
      </c>
    </row>
    <row r="624" ht="11.25" customHeight="1">
      <c r="A624" s="2" t="s">
        <v>652</v>
      </c>
      <c r="B624" s="5">
        <v>0.432216111407035</v>
      </c>
      <c r="C624" s="5">
        <v>0.494954342853637</v>
      </c>
      <c r="D624" s="5">
        <v>0.429617197463047</v>
      </c>
      <c r="E624" s="5">
        <v>0.107364927271817</v>
      </c>
      <c r="F624" s="5">
        <v>0.219908634941626</v>
      </c>
      <c r="G624" s="5">
        <v>0.202211918575969</v>
      </c>
      <c r="H624" s="5">
        <v>0.197523029969004</v>
      </c>
      <c r="I624" s="5">
        <v>0.318668490815235</v>
      </c>
      <c r="J624" s="6">
        <v>1.85175134898694</v>
      </c>
      <c r="K624" s="6">
        <v>2.32406846323985</v>
      </c>
      <c r="L624" s="6">
        <v>2.04845580551564</v>
      </c>
      <c r="M624" s="6">
        <v>0.258465865455058</v>
      </c>
      <c r="N624" s="7">
        <v>0.169386347965984</v>
      </c>
      <c r="O624" s="7">
        <v>0.176150358632731</v>
      </c>
      <c r="P624" s="7">
        <v>0.217700930259432</v>
      </c>
      <c r="Q624" s="7">
        <v>0.523236651285432</v>
      </c>
      <c r="R624" s="6">
        <v>3.84773167979962</v>
      </c>
      <c r="S624" s="6">
        <v>4.9898646102522</v>
      </c>
      <c r="T624" s="6">
        <v>4.39641318923765</v>
      </c>
      <c r="U624" s="6">
        <v>0.497843934750513</v>
      </c>
    </row>
    <row r="625" ht="11.25" customHeight="1">
      <c r="A625" s="2" t="s">
        <v>653</v>
      </c>
      <c r="B625" s="5">
        <v>0.250997960322974</v>
      </c>
      <c r="C625" s="5">
        <v>0.376771134642315</v>
      </c>
      <c r="D625" s="5">
        <v>0.276419222979297</v>
      </c>
      <c r="E625" s="5">
        <v>0.173765287789584</v>
      </c>
      <c r="F625" s="5">
        <v>0.0973458970714804</v>
      </c>
      <c r="G625" s="5">
        <v>0.110424948821447</v>
      </c>
      <c r="H625" s="5">
        <v>0.0857564313865806</v>
      </c>
      <c r="I625" s="5">
        <v>0.167351198101574</v>
      </c>
      <c r="J625" s="6">
        <v>2.32159718202633</v>
      </c>
      <c r="K625" s="6">
        <v>3.18561283837329</v>
      </c>
      <c r="L625" s="6">
        <v>2.93178271196858</v>
      </c>
      <c r="M625" s="6">
        <v>0.888940679703356</v>
      </c>
      <c r="N625" s="7">
        <v>0.0645211685674113</v>
      </c>
      <c r="O625" s="7">
        <v>0.0619469026548672</v>
      </c>
      <c r="P625" s="7">
        <v>0.0726477420630352</v>
      </c>
      <c r="Q625" s="7">
        <v>0.33098894789723</v>
      </c>
      <c r="R625" s="6">
        <v>4.90831389160768</v>
      </c>
      <c r="S625" s="6">
        <v>7.40196048420678</v>
      </c>
      <c r="T625" s="6">
        <v>6.60112796566803</v>
      </c>
      <c r="U625" s="6">
        <v>1.62225129134343</v>
      </c>
    </row>
    <row r="626" ht="11.25" customHeight="1">
      <c r="A626" s="2" t="s">
        <v>654</v>
      </c>
      <c r="B626" s="5">
        <v>0.498317706858384</v>
      </c>
      <c r="C626" s="5">
        <v>0.790519183016139</v>
      </c>
      <c r="D626" s="5">
        <v>0.505184861687082</v>
      </c>
      <c r="E626" s="5">
        <v>-0.200009277123986</v>
      </c>
      <c r="F626" s="5">
        <v>0.286878847885832</v>
      </c>
      <c r="G626" s="5">
        <v>0.266360430466225</v>
      </c>
      <c r="H626" s="5">
        <v>0.27057283757703</v>
      </c>
      <c r="I626" s="5">
        <v>0.429762451571491</v>
      </c>
      <c r="J626" s="6">
        <v>1.64988708769057</v>
      </c>
      <c r="K626" s="6">
        <v>2.87399739396804</v>
      </c>
      <c r="L626" s="6">
        <v>1.77469721642097</v>
      </c>
      <c r="M626" s="6">
        <v>-0.523566626868416</v>
      </c>
      <c r="N626" s="7">
        <v>0.375990732837459</v>
      </c>
      <c r="O626" s="7">
        <v>0.210169491525423</v>
      </c>
      <c r="P626" s="7">
        <v>0.472093075209021</v>
      </c>
      <c r="Q626" s="7">
        <v>0.95282392026578</v>
      </c>
      <c r="R626" s="6">
        <v>3.34914437743865</v>
      </c>
      <c r="S626" s="6">
        <v>6.19481661205217</v>
      </c>
      <c r="T626" s="6">
        <v>3.62292122251997</v>
      </c>
      <c r="U626" s="6">
        <v>-0.942101810747044</v>
      </c>
    </row>
    <row r="627" ht="11.25" customHeight="1">
      <c r="A627" s="2" t="s">
        <v>655</v>
      </c>
      <c r="B627" s="5">
        <v>0.55911056180121</v>
      </c>
      <c r="C627" s="5">
        <v>0.701772655694455</v>
      </c>
      <c r="D627" s="5">
        <v>0.592227594848336</v>
      </c>
      <c r="E627" s="5">
        <v>0.357944334774058</v>
      </c>
      <c r="F627" s="5">
        <v>0.198667882753048</v>
      </c>
      <c r="G627" s="5">
        <v>0.212136797416649</v>
      </c>
      <c r="H627" s="5">
        <v>0.185999428576587</v>
      </c>
      <c r="I627" s="5">
        <v>0.306278362619031</v>
      </c>
      <c r="J627" s="6">
        <v>2.68845952551439</v>
      </c>
      <c r="K627" s="6">
        <v>3.19026526249113</v>
      </c>
      <c r="L627" s="6">
        <v>3.04962009393902</v>
      </c>
      <c r="M627" s="6">
        <v>1.08706449886633</v>
      </c>
      <c r="N627" s="7">
        <v>0.22844620039356</v>
      </c>
      <c r="O627" s="7">
        <v>0.109351755253099</v>
      </c>
      <c r="P627" s="7">
        <v>0.130065098977015</v>
      </c>
      <c r="Q627" s="7">
        <v>0.363649149125685</v>
      </c>
      <c r="R627" s="6">
        <v>6.00477160121238</v>
      </c>
      <c r="S627" s="6">
        <v>7.57957391697664</v>
      </c>
      <c r="T627" s="6">
        <v>7.04560452753493</v>
      </c>
      <c r="U627" s="6">
        <v>2.14309793697234</v>
      </c>
    </row>
    <row r="628" ht="11.25" customHeight="1">
      <c r="A628" s="2" t="s">
        <v>656</v>
      </c>
      <c r="B628" s="5">
        <v>0.0938104955090608</v>
      </c>
      <c r="C628" s="5">
        <v>0.114739108702298</v>
      </c>
      <c r="D628" s="5">
        <v>0.0708917947164371</v>
      </c>
      <c r="E628" s="5">
        <v>0.0281962464277829</v>
      </c>
      <c r="F628" s="5">
        <v>0.0388531086322774</v>
      </c>
      <c r="G628" s="5">
        <v>0.0402444676002007</v>
      </c>
      <c r="H628" s="5">
        <v>0.037597440504199</v>
      </c>
      <c r="I628" s="5">
        <v>0.0646289546664008</v>
      </c>
      <c r="J628" s="6">
        <v>1.77104221338665</v>
      </c>
      <c r="K628" s="6">
        <v>2.22984956823857</v>
      </c>
      <c r="L628" s="6">
        <v>1.22060954418723</v>
      </c>
      <c r="M628" s="6">
        <v>0.0494553322776333</v>
      </c>
      <c r="N628" s="7">
        <v>0.0267139719037778</v>
      </c>
      <c r="O628" s="7">
        <v>0.0219978424745457</v>
      </c>
      <c r="P628" s="7">
        <v>0.0617133204633198</v>
      </c>
      <c r="Q628" s="7">
        <v>0.168635309006538</v>
      </c>
      <c r="R628" s="6">
        <v>3.76238427247246</v>
      </c>
      <c r="S628" s="6">
        <v>5.21649897239771</v>
      </c>
      <c r="T628" s="6">
        <v>2.45982004538141</v>
      </c>
      <c r="U628" s="6">
        <v>0.092032920764072</v>
      </c>
    </row>
    <row r="629" ht="11.25" customHeight="1">
      <c r="A629" s="2" t="s">
        <v>657</v>
      </c>
      <c r="B629" s="5">
        <v>0.0367587299893046</v>
      </c>
      <c r="C629" s="5">
        <v>0.0451945007701333</v>
      </c>
      <c r="D629" s="5">
        <v>0.0346392602843075</v>
      </c>
      <c r="E629" s="5">
        <v>0.0102399633612748</v>
      </c>
      <c r="F629" s="5">
        <v>0.0169922936324475</v>
      </c>
      <c r="G629" s="5">
        <v>0.0190201634895054</v>
      </c>
      <c r="H629" s="5">
        <v>0.0177375422016951</v>
      </c>
      <c r="I629" s="5">
        <v>0.0347620406098227</v>
      </c>
      <c r="J629" s="6">
        <v>0.692003695537066</v>
      </c>
      <c r="K629" s="6">
        <v>1.06174170276064</v>
      </c>
      <c r="L629" s="6">
        <v>0.543438328416566</v>
      </c>
      <c r="M629" s="6">
        <v>-0.424602134391224</v>
      </c>
      <c r="N629" s="7">
        <v>0.0122923678793884</v>
      </c>
      <c r="O629" s="7">
        <v>0.00948166877370436</v>
      </c>
      <c r="P629" s="7">
        <v>0.0258224705152075</v>
      </c>
      <c r="Q629" s="7">
        <v>0.128613067767792</v>
      </c>
      <c r="R629" s="6">
        <v>1.47730009814188</v>
      </c>
      <c r="S629" s="6">
        <v>2.58819501221122</v>
      </c>
      <c r="T629" s="6">
        <v>1.24822907100911</v>
      </c>
      <c r="U629" s="6">
        <v>-0.719183091347178</v>
      </c>
    </row>
    <row r="630" ht="11.25" customHeight="1">
      <c r="A630" s="2" t="s">
        <v>658</v>
      </c>
      <c r="B630" s="5">
        <v>0.285892509723886</v>
      </c>
      <c r="C630" s="5">
        <v>0.47017526791014</v>
      </c>
      <c r="D630" s="5">
        <v>0.400289440307991</v>
      </c>
      <c r="E630" s="5">
        <v>0.0541706981120699</v>
      </c>
      <c r="F630" s="5">
        <v>0.142345536531475</v>
      </c>
      <c r="G630" s="5">
        <v>0.138115106377115</v>
      </c>
      <c r="H630" s="5">
        <v>0.132781144865895</v>
      </c>
      <c r="I630" s="5">
        <v>0.230533365102498</v>
      </c>
      <c r="J630" s="6">
        <v>1.83281131309795</v>
      </c>
      <c r="K630" s="6">
        <v>3.22321923783351</v>
      </c>
      <c r="L630" s="6">
        <v>2.826375994024</v>
      </c>
      <c r="M630" s="6">
        <v>0.126535688658777</v>
      </c>
      <c r="N630" s="7">
        <v>0.107535216230526</v>
      </c>
      <c r="O630" s="7">
        <v>0.0732720261050132</v>
      </c>
      <c r="P630" s="7">
        <v>0.0996767241379307</v>
      </c>
      <c r="Q630" s="7">
        <v>0.39891395154553</v>
      </c>
      <c r="R630" s="6">
        <v>3.64922121800118</v>
      </c>
      <c r="S630" s="6">
        <v>7.23352646479533</v>
      </c>
      <c r="T630" s="6">
        <v>5.75196644814669</v>
      </c>
      <c r="U630" s="6">
        <v>0.227470273679262</v>
      </c>
    </row>
    <row r="631" ht="11.25" customHeight="1">
      <c r="A631" s="2" t="s">
        <v>659</v>
      </c>
      <c r="B631" s="5">
        <v>0.420590665372621</v>
      </c>
      <c r="C631" s="5">
        <v>0.465152751924019</v>
      </c>
      <c r="D631" s="5">
        <v>0.443519701797017</v>
      </c>
      <c r="E631" s="5">
        <v>-0.0410857409942346</v>
      </c>
      <c r="F631" s="5">
        <v>0.265300218650444</v>
      </c>
      <c r="G631" s="5">
        <v>0.2450833985968</v>
      </c>
      <c r="H631" s="5">
        <v>0.215345353564271</v>
      </c>
      <c r="I631" s="5">
        <v>0.395875982747919</v>
      </c>
      <c r="J631" s="6">
        <v>1.49110568918846</v>
      </c>
      <c r="K631" s="6">
        <v>1.79593050546902</v>
      </c>
      <c r="L631" s="6">
        <v>1.94348145836407</v>
      </c>
      <c r="M631" s="6">
        <v>-0.166935464322714</v>
      </c>
      <c r="N631" s="7">
        <v>0.220379073169213</v>
      </c>
      <c r="O631" s="7">
        <v>0.207843137254902</v>
      </c>
      <c r="P631" s="7">
        <v>0.187914204368735</v>
      </c>
      <c r="Q631" s="7">
        <v>0.776655443322108</v>
      </c>
      <c r="R631" s="6">
        <v>3.00787459695204</v>
      </c>
      <c r="S631" s="6">
        <v>3.95883510564931</v>
      </c>
      <c r="T631" s="6">
        <v>4.35977580767196</v>
      </c>
      <c r="U631" s="6">
        <v>-0.294012112812378</v>
      </c>
    </row>
    <row r="632" ht="11.25" customHeight="1">
      <c r="A632" s="2" t="s">
        <v>660</v>
      </c>
      <c r="B632" s="5">
        <v>0.316337035239321</v>
      </c>
      <c r="C632" s="5">
        <v>0.465118944818075</v>
      </c>
      <c r="D632" s="5">
        <v>0.421556944448718</v>
      </c>
      <c r="E632" s="5">
        <v>0.0494290517134552</v>
      </c>
      <c r="F632" s="5">
        <v>0.141199881445989</v>
      </c>
      <c r="G632" s="5">
        <v>0.139701467193069</v>
      </c>
      <c r="H632" s="5">
        <v>0.133449880504049</v>
      </c>
      <c r="I632" s="5">
        <v>0.228467861119583</v>
      </c>
      <c r="J632" s="6">
        <v>2.06329518308243</v>
      </c>
      <c r="K632" s="6">
        <v>3.15042464235414</v>
      </c>
      <c r="L632" s="6">
        <v>2.97157961439077</v>
      </c>
      <c r="M632" s="6">
        <v>0.106925550025912</v>
      </c>
      <c r="N632" s="7">
        <v>0.114599476672676</v>
      </c>
      <c r="O632" s="7">
        <v>0.0744207816522346</v>
      </c>
      <c r="P632" s="7">
        <v>0.145326020450838</v>
      </c>
      <c r="Q632" s="7">
        <v>0.391068093054849</v>
      </c>
      <c r="R632" s="6">
        <v>4.19123340755476</v>
      </c>
      <c r="S632" s="6">
        <v>6.98399150097015</v>
      </c>
      <c r="T632" s="6">
        <v>6.0834010394315</v>
      </c>
      <c r="U632" s="6">
        <v>0.193307572544626</v>
      </c>
    </row>
    <row r="633" ht="11.25" customHeight="1">
      <c r="A633" s="2" t="s">
        <v>661</v>
      </c>
      <c r="B633" s="5">
        <v>0.562125923998697</v>
      </c>
      <c r="C633" s="5">
        <v>0.703295969567881</v>
      </c>
      <c r="D633" s="5">
        <v>0.545760553824289</v>
      </c>
      <c r="E633" s="5">
        <v>0.208968985392291</v>
      </c>
      <c r="F633" s="5">
        <v>0.24862921222192</v>
      </c>
      <c r="G633" s="5">
        <v>0.22952385748145</v>
      </c>
      <c r="H633" s="5">
        <v>0.259190180259094</v>
      </c>
      <c r="I633" s="5">
        <v>0.348246350846245</v>
      </c>
      <c r="J633" s="6">
        <v>2.16034921720811</v>
      </c>
      <c r="K633" s="6">
        <v>2.95523078520366</v>
      </c>
      <c r="L633" s="6">
        <v>2.00918319244857</v>
      </c>
      <c r="M633" s="6">
        <v>0.52827254311565</v>
      </c>
      <c r="N633" s="7">
        <v>0.242089650626236</v>
      </c>
      <c r="O633" s="7">
        <v>0.213951235265622</v>
      </c>
      <c r="P633" s="7">
        <v>0.459688199774319</v>
      </c>
      <c r="Q633" s="7">
        <v>0.541155342711763</v>
      </c>
      <c r="R633" s="6">
        <v>4.3949699964188</v>
      </c>
      <c r="S633" s="6">
        <v>6.7004199631625</v>
      </c>
      <c r="T633" s="6">
        <v>3.98802516668187</v>
      </c>
      <c r="U633" s="6">
        <v>1.00009873802896</v>
      </c>
    </row>
    <row r="634" ht="11.25" customHeight="1">
      <c r="A634" s="2" t="s">
        <v>662</v>
      </c>
      <c r="B634" s="5">
        <v>0.294880796121931</v>
      </c>
      <c r="C634" s="5">
        <v>0.542990454559333</v>
      </c>
      <c r="D634" s="5">
        <v>0.413669106698765</v>
      </c>
      <c r="E634" s="5">
        <v>0.0458534970735822</v>
      </c>
      <c r="F634" s="5">
        <v>0.160565343727682</v>
      </c>
      <c r="G634" s="5">
        <v>0.161991461378351</v>
      </c>
      <c r="H634" s="5">
        <v>0.159879655451293</v>
      </c>
      <c r="I634" s="5">
        <v>0.261773037692028</v>
      </c>
      <c r="J634" s="6">
        <v>1.68081598342695</v>
      </c>
      <c r="K634" s="6">
        <v>3.19764048149119</v>
      </c>
      <c r="L634" s="6">
        <v>2.43101040968388</v>
      </c>
      <c r="M634" s="6">
        <v>0.079662509391498</v>
      </c>
      <c r="N634" s="7">
        <v>0.199556768108144</v>
      </c>
      <c r="O634" s="7">
        <v>0.0830866807610993</v>
      </c>
      <c r="P634" s="7">
        <v>0.157718061790365</v>
      </c>
      <c r="Q634" s="7">
        <v>0.415656008820286</v>
      </c>
      <c r="R634" s="6">
        <v>3.24869178818044</v>
      </c>
      <c r="S634" s="6">
        <v>7.11427952200707</v>
      </c>
      <c r="T634" s="6">
        <v>4.86970320169893</v>
      </c>
      <c r="U634" s="6">
        <v>0.143333142414716</v>
      </c>
    </row>
    <row r="635" ht="11.25" customHeight="1">
      <c r="A635" s="2" t="s">
        <v>663</v>
      </c>
      <c r="B635" s="5">
        <v>0.903330107395381</v>
      </c>
      <c r="C635" s="5">
        <v>0.950543547868618</v>
      </c>
      <c r="D635" s="5">
        <v>0.855419203799118</v>
      </c>
      <c r="E635" s="5">
        <v>0.154773346472159</v>
      </c>
      <c r="F635" s="5">
        <v>0.312326054990254</v>
      </c>
      <c r="G635" s="5">
        <v>0.296057489552875</v>
      </c>
      <c r="H635" s="5">
        <v>0.26663596722342</v>
      </c>
      <c r="I635" s="5">
        <v>0.45001660894897</v>
      </c>
      <c r="J635" s="6">
        <v>2.81222169384103</v>
      </c>
      <c r="K635" s="6">
        <v>3.12622912957355</v>
      </c>
      <c r="L635" s="6">
        <v>3.11443055656213</v>
      </c>
      <c r="M635" s="6">
        <v>0.288374570830285</v>
      </c>
      <c r="N635" s="7">
        <v>0.216429699842021</v>
      </c>
      <c r="O635" s="7">
        <v>0.158190108733777</v>
      </c>
      <c r="P635" s="7">
        <v>0.311751619122954</v>
      </c>
      <c r="Q635" s="7">
        <v>0.837721191195511</v>
      </c>
      <c r="R635" s="6">
        <v>6.62812018971664</v>
      </c>
      <c r="S635" s="6">
        <v>6.91332708740122</v>
      </c>
      <c r="T635" s="6">
        <v>6.88972552084215</v>
      </c>
      <c r="U635" s="6">
        <v>0.546225335525742</v>
      </c>
    </row>
    <row r="636" ht="11.25" customHeight="1">
      <c r="A636" s="2" t="s">
        <v>664</v>
      </c>
      <c r="B636" s="5">
        <v>0.746657067703187</v>
      </c>
      <c r="C636" s="5">
        <v>0.665317722128237</v>
      </c>
      <c r="D636" s="5">
        <v>0.607186944900109</v>
      </c>
      <c r="E636" s="5">
        <v>0.222169703042344</v>
      </c>
      <c r="F636" s="5">
        <v>0.266182124357859</v>
      </c>
      <c r="G636" s="5">
        <v>0.276997769633663</v>
      </c>
      <c r="H636" s="5">
        <v>0.210812238018614</v>
      </c>
      <c r="I636" s="5">
        <v>0.449332181894837</v>
      </c>
      <c r="J636" s="6">
        <v>2.71114023694912</v>
      </c>
      <c r="K636" s="6">
        <v>2.31163493834291</v>
      </c>
      <c r="L636" s="6">
        <v>2.76163732415147</v>
      </c>
      <c r="M636" s="6">
        <v>0.438806101559157</v>
      </c>
      <c r="N636" s="7">
        <v>0.171874999999999</v>
      </c>
      <c r="O636" s="7">
        <v>0.171875</v>
      </c>
      <c r="P636" s="7">
        <v>0.114053635894791</v>
      </c>
      <c r="Q636" s="7">
        <v>0.602131438721136</v>
      </c>
      <c r="R636" s="6">
        <v>5.70241314675489</v>
      </c>
      <c r="S636" s="6">
        <v>4.75365364666106</v>
      </c>
      <c r="T636" s="6">
        <v>5.95573645349976</v>
      </c>
      <c r="U636" s="6">
        <v>0.748095673817587</v>
      </c>
    </row>
    <row r="637" ht="11.25" customHeight="1">
      <c r="A637" s="2" t="s">
        <v>665</v>
      </c>
      <c r="B637" s="5">
        <v>1.03849901705574</v>
      </c>
      <c r="C637" s="5">
        <v>1.06994821305461</v>
      </c>
      <c r="D637" s="5">
        <v>0.771197100718901</v>
      </c>
      <c r="E637" s="5">
        <v>0.185579080829122</v>
      </c>
      <c r="F637" s="5">
        <v>0.328340964650137</v>
      </c>
      <c r="G637" s="5">
        <v>0.328555783746531</v>
      </c>
      <c r="H637" s="5">
        <v>0.346815246894038</v>
      </c>
      <c r="I637" s="5">
        <v>0.474394045716874</v>
      </c>
      <c r="J637" s="6">
        <v>3.08672729318338</v>
      </c>
      <c r="K637" s="6">
        <v>3.18042860527073</v>
      </c>
      <c r="L637" s="6">
        <v>2.15156948087373</v>
      </c>
      <c r="M637" s="6">
        <v>0.33849303607187</v>
      </c>
      <c r="N637" s="7">
        <v>0.233736912820383</v>
      </c>
      <c r="O637" s="7">
        <v>0.15765461963443</v>
      </c>
      <c r="P637" s="7">
        <v>0.618727908025049</v>
      </c>
      <c r="Q637" s="7">
        <v>0.737865638058501</v>
      </c>
      <c r="R637" s="6">
        <v>7.56595745673962</v>
      </c>
      <c r="S637" s="6">
        <v>7.64761996194236</v>
      </c>
      <c r="T637" s="6">
        <v>4.36290964447466</v>
      </c>
      <c r="U637" s="6">
        <v>0.679238460876421</v>
      </c>
    </row>
    <row r="638" ht="11.25" customHeight="1">
      <c r="A638" s="2" t="s">
        <v>666</v>
      </c>
      <c r="B638" s="5">
        <v>0.683705270688391</v>
      </c>
      <c r="C638" s="5">
        <v>0.879007657373039</v>
      </c>
      <c r="D638" s="5">
        <v>0.832067549543941</v>
      </c>
      <c r="E638" s="5">
        <v>0.174378460354997</v>
      </c>
      <c r="F638" s="5">
        <v>0.275459024170962</v>
      </c>
      <c r="G638" s="5">
        <v>0.278881615646129</v>
      </c>
      <c r="H638" s="5">
        <v>0.301833659023152</v>
      </c>
      <c r="I638" s="5">
        <v>0.399570869924304</v>
      </c>
      <c r="J638" s="6">
        <v>2.39130038549606</v>
      </c>
      <c r="K638" s="6">
        <v>3.06225871287507</v>
      </c>
      <c r="L638" s="6">
        <v>2.67388187306849</v>
      </c>
      <c r="M638" s="6">
        <v>0.373847223605904</v>
      </c>
      <c r="N638" s="7">
        <v>0.156678449298207</v>
      </c>
      <c r="O638" s="7">
        <v>0.105216622458001</v>
      </c>
      <c r="P638" s="7">
        <v>0.431381281080679</v>
      </c>
      <c r="Q638" s="7">
        <v>0.555272542027508</v>
      </c>
      <c r="R638" s="6">
        <v>5.25670033279385</v>
      </c>
      <c r="S638" s="6">
        <v>7.30380559985512</v>
      </c>
      <c r="T638" s="6">
        <v>5.82734431938898</v>
      </c>
      <c r="U638" s="6">
        <v>0.762711715623024</v>
      </c>
    </row>
    <row r="639" ht="11.25" customHeight="1">
      <c r="A639" s="2" t="s">
        <v>667</v>
      </c>
      <c r="B639" s="5">
        <v>0.481813672891325</v>
      </c>
      <c r="C639" s="5">
        <v>0.449600121590134</v>
      </c>
      <c r="D639" s="5">
        <v>0.599667889730404</v>
      </c>
      <c r="E639" s="5">
        <v>-0.00375852103760021</v>
      </c>
      <c r="F639" s="5">
        <v>0.242132081350605</v>
      </c>
      <c r="G639" s="5">
        <v>0.231387603004794</v>
      </c>
      <c r="H639" s="5">
        <v>0.237505428241279</v>
      </c>
      <c r="I639" s="5">
        <v>0.353656455602555</v>
      </c>
      <c r="J639" s="6">
        <v>1.88663010016365</v>
      </c>
      <c r="K639" s="6">
        <v>1.83501672551289</v>
      </c>
      <c r="L639" s="6">
        <v>2.41959897079322</v>
      </c>
      <c r="M639" s="6">
        <v>-0.0813176759027395</v>
      </c>
      <c r="N639" s="7">
        <v>0.187852788439828</v>
      </c>
      <c r="O639" s="7">
        <v>0.224811819423122</v>
      </c>
      <c r="P639" s="7">
        <v>0.168169761273209</v>
      </c>
      <c r="Q639" s="7">
        <v>0.67071007165331</v>
      </c>
      <c r="R639" s="6">
        <v>4.12404616857728</v>
      </c>
      <c r="S639" s="6">
        <v>4.10403887209782</v>
      </c>
      <c r="T639" s="6">
        <v>5.62952137527303</v>
      </c>
      <c r="U639" s="6">
        <v>-0.154593813014474</v>
      </c>
    </row>
    <row r="640" ht="11.25" customHeight="1">
      <c r="A640" s="2" t="s">
        <v>668</v>
      </c>
      <c r="B640" s="5">
        <v>0.36233839314568</v>
      </c>
      <c r="C640" s="5">
        <v>0.456166127933715</v>
      </c>
      <c r="D640" s="5">
        <v>0.410293274410984</v>
      </c>
      <c r="E640" s="5">
        <v>0.115702379539309</v>
      </c>
      <c r="F640" s="5">
        <v>0.153057530850422</v>
      </c>
      <c r="G640" s="5">
        <v>0.163970801998092</v>
      </c>
      <c r="H640" s="5">
        <v>0.146390682538201</v>
      </c>
      <c r="I640" s="5">
        <v>0.250840482394216</v>
      </c>
      <c r="J640" s="6">
        <v>2.20399735492498</v>
      </c>
      <c r="K640" s="6">
        <v>2.62952990824995</v>
      </c>
      <c r="L640" s="6">
        <v>2.63195216888505</v>
      </c>
      <c r="M640" s="6">
        <v>0.361593865047521</v>
      </c>
      <c r="N640" s="7">
        <v>0.103122479548335</v>
      </c>
      <c r="O640" s="7">
        <v>0.11815279071003</v>
      </c>
      <c r="P640" s="7">
        <v>0.152622377622377</v>
      </c>
      <c r="Q640" s="7">
        <v>0.428442301898162</v>
      </c>
      <c r="R640" s="6">
        <v>4.45326169498086</v>
      </c>
      <c r="S640" s="6">
        <v>5.62667840873822</v>
      </c>
      <c r="T640" s="6">
        <v>5.34335656836756</v>
      </c>
      <c r="U640" s="6">
        <v>0.657066850203219</v>
      </c>
    </row>
    <row r="641" ht="11.25" customHeight="1">
      <c r="A641" s="2" t="s">
        <v>669</v>
      </c>
      <c r="B641" s="5">
        <v>0.333743306750657</v>
      </c>
      <c r="C641" s="5">
        <v>0.488464715373179</v>
      </c>
      <c r="D641" s="5">
        <v>0.3818738531627</v>
      </c>
      <c r="E641" s="5">
        <v>0.198987918015394</v>
      </c>
      <c r="F641" s="5">
        <v>0.114986873603398</v>
      </c>
      <c r="G641" s="5">
        <v>0.126199535003738</v>
      </c>
      <c r="H641" s="5">
        <v>0.109943239592611</v>
      </c>
      <c r="I641" s="5">
        <v>0.204115360539484</v>
      </c>
      <c r="J641" s="6">
        <v>2.6850308828775</v>
      </c>
      <c r="K641" s="6">
        <v>3.67247561854684</v>
      </c>
      <c r="L641" s="6">
        <v>3.24598269511682</v>
      </c>
      <c r="M641" s="6">
        <v>0.852399925000929</v>
      </c>
      <c r="N641" s="7">
        <v>0.0780510984092005</v>
      </c>
      <c r="O641" s="7">
        <v>0.0592370730895626</v>
      </c>
      <c r="P641" s="7">
        <v>0.11155419752447</v>
      </c>
      <c r="Q641" s="7">
        <v>0.343014280200694</v>
      </c>
      <c r="R641" s="6">
        <v>5.51371245363839</v>
      </c>
      <c r="S641" s="6">
        <v>8.2270295839286</v>
      </c>
      <c r="T641" s="6">
        <v>7.05166350261057</v>
      </c>
      <c r="U641" s="6">
        <v>1.55440593271105</v>
      </c>
    </row>
    <row r="642" ht="11.25" customHeight="1">
      <c r="A642" s="2" t="s">
        <v>670</v>
      </c>
      <c r="B642" s="5">
        <v>1.55724009403247</v>
      </c>
      <c r="C642" s="5">
        <v>2.55095928122607</v>
      </c>
      <c r="D642" s="5">
        <v>1.09666964294106</v>
      </c>
      <c r="E642" s="5">
        <v>-0.205889972407793</v>
      </c>
      <c r="F642" s="5">
        <v>0.581319477681247</v>
      </c>
      <c r="G642" s="5">
        <v>0.498162823977417</v>
      </c>
      <c r="H642" s="5">
        <v>0.685585165820387</v>
      </c>
      <c r="I642" s="5">
        <v>0.868625697591455</v>
      </c>
      <c r="J642" s="6">
        <v>2.63579692898686</v>
      </c>
      <c r="K642" s="6">
        <v>5.07054954654861</v>
      </c>
      <c r="L642" s="6">
        <v>1.56314590275401</v>
      </c>
      <c r="M642" s="6">
        <v>-0.265810662806787</v>
      </c>
      <c r="N642" s="7">
        <v>0.234619395203336</v>
      </c>
      <c r="O642" s="7">
        <v>0.157831566313262</v>
      </c>
      <c r="P642" s="7">
        <v>0.37141005266413</v>
      </c>
      <c r="Q642" s="7">
        <v>0.572086097197779</v>
      </c>
      <c r="R642" s="6">
        <v>5.2674268285223</v>
      </c>
      <c r="S642" s="6">
        <v>12.3362487729159</v>
      </c>
      <c r="T642" s="6">
        <v>2.59031099337924</v>
      </c>
      <c r="U642" s="6">
        <v>-0.474479386088447</v>
      </c>
    </row>
    <row r="643" ht="11.25" customHeight="1">
      <c r="A643" s="2" t="s">
        <v>671</v>
      </c>
      <c r="B643" s="5">
        <v>0.496788497736767</v>
      </c>
      <c r="C643" s="5">
        <v>0.567348203664032</v>
      </c>
      <c r="D643" s="5">
        <v>0.379920517315918</v>
      </c>
      <c r="E643" s="5">
        <v>0.262752960408317</v>
      </c>
      <c r="F643" s="5">
        <v>0.164511954847549</v>
      </c>
      <c r="G643" s="5">
        <v>0.181015420989029</v>
      </c>
      <c r="H643" s="5">
        <v>0.193968884676839</v>
      </c>
      <c r="I643" s="5">
        <v>0.261639633085705</v>
      </c>
      <c r="J643" s="6">
        <v>2.86780676926467</v>
      </c>
      <c r="K643" s="6">
        <v>2.99614364732439</v>
      </c>
      <c r="L643" s="6">
        <v>1.8297806780053</v>
      </c>
      <c r="M643" s="6">
        <v>0.908703920749028</v>
      </c>
      <c r="N643" s="7">
        <v>0.0894527983037397</v>
      </c>
      <c r="O643" s="7">
        <v>0.0765537871258672</v>
      </c>
      <c r="P643" s="7">
        <v>0.294123776189509</v>
      </c>
      <c r="Q643" s="7">
        <v>0.293658195383539</v>
      </c>
      <c r="R643" s="6">
        <v>6.82580403073641</v>
      </c>
      <c r="S643" s="6">
        <v>7.06850113088875</v>
      </c>
      <c r="T643" s="6">
        <v>3.6595120318737</v>
      </c>
      <c r="U643" s="6">
        <v>1.76644500270452</v>
      </c>
    </row>
    <row r="644" ht="11.25" customHeight="1">
      <c r="A644" s="2" t="s">
        <v>672</v>
      </c>
      <c r="B644" s="5">
        <v>0.592227317540971</v>
      </c>
      <c r="C644" s="5">
        <v>0.810381259881313</v>
      </c>
      <c r="D644" s="5">
        <v>0.510327684060718</v>
      </c>
      <c r="E644" s="5">
        <v>0.325531760506387</v>
      </c>
      <c r="F644" s="5">
        <v>0.211221634686062</v>
      </c>
      <c r="G644" s="5">
        <v>0.211403589689055</v>
      </c>
      <c r="H644" s="5">
        <v>0.237996589992305</v>
      </c>
      <c r="I644" s="5">
        <v>0.316392996250028</v>
      </c>
      <c r="J644" s="6">
        <v>2.68546031463131</v>
      </c>
      <c r="K644" s="6">
        <v>3.7150800562871</v>
      </c>
      <c r="L644" s="6">
        <v>2.0392211673134</v>
      </c>
      <c r="M644" s="6">
        <v>0.949868562415627</v>
      </c>
      <c r="N644" s="7">
        <v>0.158550724637681</v>
      </c>
      <c r="O644" s="7">
        <v>0.0844775424714918</v>
      </c>
      <c r="P644" s="7">
        <v>0.286281077899044</v>
      </c>
      <c r="Q644" s="7">
        <v>0.316096634093376</v>
      </c>
      <c r="R644" s="6">
        <v>5.93445391594715</v>
      </c>
      <c r="S644" s="6">
        <v>9.42686369273544</v>
      </c>
      <c r="T644" s="6">
        <v>4.21435836575122</v>
      </c>
      <c r="U644" s="6">
        <v>1.85715841289545</v>
      </c>
    </row>
    <row r="645" ht="11.25" customHeight="1">
      <c r="A645" s="2" t="s">
        <v>673</v>
      </c>
      <c r="B645" s="5">
        <v>0.973334700634677</v>
      </c>
      <c r="C645" s="5">
        <v>0.979521782990024</v>
      </c>
      <c r="D645" s="5">
        <v>0.684547800195983</v>
      </c>
      <c r="E645" s="5">
        <v>0.641779438275758</v>
      </c>
      <c r="F645" s="5">
        <v>0.279629321861994</v>
      </c>
      <c r="G645" s="5">
        <v>0.303459375151265</v>
      </c>
      <c r="H645" s="5">
        <v>0.258301155868472</v>
      </c>
      <c r="I645" s="5">
        <v>0.466886536997078</v>
      </c>
      <c r="J645" s="6">
        <v>3.39139935082598</v>
      </c>
      <c r="K645" s="6">
        <v>3.14546809606466</v>
      </c>
      <c r="L645" s="6">
        <v>2.55340630582321</v>
      </c>
      <c r="M645" s="6">
        <v>1.32104781226454</v>
      </c>
      <c r="N645" s="7">
        <v>0.114349775784753</v>
      </c>
      <c r="O645" s="7">
        <v>0.114349775784753</v>
      </c>
      <c r="P645" s="7">
        <v>0.114349775784753</v>
      </c>
      <c r="Q645" s="7">
        <v>0.586181277860326</v>
      </c>
      <c r="R645" s="6">
        <v>8.03932857346349</v>
      </c>
      <c r="S645" s="6">
        <v>7.32366752610862</v>
      </c>
      <c r="T645" s="6">
        <v>6.21936684315785</v>
      </c>
      <c r="U645" s="6">
        <v>2.46634696472035</v>
      </c>
    </row>
    <row r="646" ht="11.25" customHeight="1">
      <c r="A646" s="2" t="s">
        <v>674</v>
      </c>
      <c r="B646" s="5">
        <v>1.00119631016866</v>
      </c>
      <c r="C646" s="5">
        <v>1.11991054504156</v>
      </c>
      <c r="D646" s="5">
        <v>1.08745472994468</v>
      </c>
      <c r="E646" s="5">
        <v>0.221204781557419</v>
      </c>
      <c r="F646" s="5">
        <v>0.448278041784448</v>
      </c>
      <c r="G646" s="5">
        <v>0.456395332415276</v>
      </c>
      <c r="H646" s="5">
        <v>0.399104682562467</v>
      </c>
      <c r="I646" s="5">
        <v>0.564820115173815</v>
      </c>
      <c r="J646" s="6">
        <v>2.17765810317799</v>
      </c>
      <c r="K646" s="6">
        <v>2.39903975189058</v>
      </c>
      <c r="L646" s="6">
        <v>2.66209537588773</v>
      </c>
      <c r="M646" s="6">
        <v>0.347375697653827</v>
      </c>
      <c r="N646" s="7">
        <v>0.167504546055624</v>
      </c>
      <c r="O646" s="7">
        <v>0.175163977736469</v>
      </c>
      <c r="P646" s="7">
        <v>0.286062072892377</v>
      </c>
      <c r="Q646" s="7">
        <v>0.541458369246681</v>
      </c>
      <c r="R646" s="6">
        <v>7.31432128945668</v>
      </c>
      <c r="S646" s="6">
        <v>8.18537163649123</v>
      </c>
      <c r="T646" s="6">
        <v>7.1753958130464</v>
      </c>
      <c r="U646" s="6">
        <v>0.855862241878767</v>
      </c>
    </row>
    <row r="647" ht="11.25" customHeight="1">
      <c r="A647" s="2" t="s">
        <v>675</v>
      </c>
      <c r="B647" s="5">
        <v>0.307474645620154</v>
      </c>
      <c r="C647" s="5">
        <v>0.495094289596581</v>
      </c>
      <c r="D647" s="5">
        <v>0.414511639738877</v>
      </c>
      <c r="E647" s="5">
        <v>0.117299073555664</v>
      </c>
      <c r="F647" s="5">
        <v>0.125992937169744</v>
      </c>
      <c r="G647" s="5">
        <v>0.127189684693249</v>
      </c>
      <c r="H647" s="5">
        <v>0.120793678332292</v>
      </c>
      <c r="I647" s="5">
        <v>0.214892936938346</v>
      </c>
      <c r="J647" s="6">
        <v>2.24198793968577</v>
      </c>
      <c r="K647" s="6">
        <v>3.6960095524282</v>
      </c>
      <c r="L647" s="6">
        <v>3.22460285270366</v>
      </c>
      <c r="M647" s="6">
        <v>0.429511899603038</v>
      </c>
      <c r="N647" s="7">
        <v>0.0850605290335099</v>
      </c>
      <c r="O647" s="7">
        <v>0.06056338028169</v>
      </c>
      <c r="P647" s="7">
        <v>0.111222889122362</v>
      </c>
      <c r="Q647" s="7">
        <v>0.344956113983407</v>
      </c>
      <c r="R647" s="6">
        <v>4.48101089766825</v>
      </c>
      <c r="S647" s="6">
        <v>8.38619977929479</v>
      </c>
      <c r="T647" s="6">
        <v>6.70873279514205</v>
      </c>
      <c r="U647" s="6">
        <v>0.777723221072759</v>
      </c>
    </row>
    <row r="648" ht="11.25" customHeight="1">
      <c r="A648" s="2" t="s">
        <v>676</v>
      </c>
      <c r="B648" s="5">
        <v>0.336849575191036</v>
      </c>
      <c r="C648" s="5">
        <v>0.478860438026269</v>
      </c>
      <c r="D648" s="5">
        <v>0.392469559279218</v>
      </c>
      <c r="E648" s="5">
        <v>0.187450709597793</v>
      </c>
      <c r="F648" s="5">
        <v>0.120520444649584</v>
      </c>
      <c r="G648" s="5">
        <v>0.133878611997247</v>
      </c>
      <c r="H648" s="5">
        <v>0.111545220446697</v>
      </c>
      <c r="I648" s="5">
        <v>0.209516544554349</v>
      </c>
      <c r="J648" s="6">
        <v>2.58752426692205</v>
      </c>
      <c r="K648" s="6">
        <v>3.39008921033331</v>
      </c>
      <c r="L648" s="6">
        <v>3.29435504101062</v>
      </c>
      <c r="M648" s="6">
        <v>0.775359816778826</v>
      </c>
      <c r="N648" s="7">
        <v>0.0849956336094886</v>
      </c>
      <c r="O648" s="7">
        <v>0.0959685840755222</v>
      </c>
      <c r="P648" s="7">
        <v>0.109324758842443</v>
      </c>
      <c r="Q648" s="7">
        <v>0.350002904106406</v>
      </c>
      <c r="R648" s="6">
        <v>5.17057543509202</v>
      </c>
      <c r="S648" s="6">
        <v>7.32164627101057</v>
      </c>
      <c r="T648" s="6">
        <v>7.11038127885636</v>
      </c>
      <c r="U648" s="6">
        <v>1.41260595601508</v>
      </c>
    </row>
    <row r="649" ht="11.25" customHeight="1">
      <c r="A649" s="2" t="s">
        <v>677</v>
      </c>
      <c r="B649" s="5">
        <v>0.0368001812865366</v>
      </c>
      <c r="C649" s="5">
        <v>0.0434169709237786</v>
      </c>
      <c r="D649" s="5">
        <v>0.030852822371425</v>
      </c>
      <c r="E649" s="5">
        <v>0.00753558728480685</v>
      </c>
      <c r="F649" s="5">
        <v>0.0155931061432896</v>
      </c>
      <c r="G649" s="5">
        <v>0.0163645709586726</v>
      </c>
      <c r="H649" s="5">
        <v>0.0173517727066697</v>
      </c>
      <c r="I649" s="5">
        <v>0.0309433953875388</v>
      </c>
      <c r="J649" s="6">
        <v>0.756756298463003</v>
      </c>
      <c r="K649" s="6">
        <v>1.12541727921184</v>
      </c>
      <c r="L649" s="6">
        <v>0.337304001750513</v>
      </c>
      <c r="M649" s="6">
        <v>-0.564398718901617</v>
      </c>
      <c r="N649" s="7">
        <v>0.0106704248037045</v>
      </c>
      <c r="O649" s="7">
        <v>0.0106704248037043</v>
      </c>
      <c r="P649" s="7">
        <v>0.0287253141831239</v>
      </c>
      <c r="Q649" s="7">
        <v>0.0708895949166044</v>
      </c>
      <c r="R649" s="6">
        <v>1.71953280401962</v>
      </c>
      <c r="S649" s="6">
        <v>2.65659958959886</v>
      </c>
      <c r="T649" s="6">
        <v>0.652011755462622</v>
      </c>
      <c r="U649" s="6">
        <v>-0.975467861139051</v>
      </c>
    </row>
    <row r="650" ht="11.25" customHeight="1">
      <c r="A650" s="2" t="s">
        <v>678</v>
      </c>
      <c r="B650" s="5">
        <v>0.558682539145974</v>
      </c>
      <c r="C650" s="5">
        <v>0.651116461765353</v>
      </c>
      <c r="D650" s="5">
        <v>0.663768864722347</v>
      </c>
      <c r="E650" s="5">
        <v>0.057699873183</v>
      </c>
      <c r="F650" s="5">
        <v>0.255114463879678</v>
      </c>
      <c r="G650" s="5">
        <v>0.258234397900469</v>
      </c>
      <c r="H650" s="5">
        <v>0.227528172350051</v>
      </c>
      <c r="I650" s="5">
        <v>0.393078281976558</v>
      </c>
      <c r="J650" s="6">
        <v>2.09193367961166</v>
      </c>
      <c r="K650" s="6">
        <v>2.42460519146901</v>
      </c>
      <c r="L650" s="6">
        <v>2.80742757314291</v>
      </c>
      <c r="M650" s="6">
        <v>0.0831892136563019</v>
      </c>
      <c r="N650" s="7">
        <v>0.258966765383349</v>
      </c>
      <c r="O650" s="7">
        <v>0.258966765383349</v>
      </c>
      <c r="P650" s="7">
        <v>0.256546811448613</v>
      </c>
      <c r="Q650" s="7">
        <v>0.778343782654127</v>
      </c>
      <c r="R650" s="6">
        <v>4.51540059531419</v>
      </c>
      <c r="S650" s="6">
        <v>5.43019339736946</v>
      </c>
      <c r="T650" s="6">
        <v>6.16493788827459</v>
      </c>
      <c r="U650" s="6">
        <v>0.149680427042792</v>
      </c>
    </row>
    <row r="651" ht="11.25" customHeight="1">
      <c r="A651" s="2" t="s">
        <v>679</v>
      </c>
      <c r="B651" s="5">
        <v>0.561982946521737</v>
      </c>
      <c r="C651" s="5">
        <v>0.77607153145592</v>
      </c>
      <c r="D651" s="5">
        <v>0.69626006630541</v>
      </c>
      <c r="E651" s="5">
        <v>-0.0298419090446542</v>
      </c>
      <c r="F651" s="5">
        <v>0.292642161072465</v>
      </c>
      <c r="G651" s="5">
        <v>0.286450272364236</v>
      </c>
      <c r="H651" s="5">
        <v>0.273621442218858</v>
      </c>
      <c r="I651" s="5">
        <v>0.421657331306608</v>
      </c>
      <c r="J651" s="6">
        <v>1.83494731092</v>
      </c>
      <c r="K651" s="6">
        <v>2.62199622034533</v>
      </c>
      <c r="L651" s="6">
        <v>2.45324365247843</v>
      </c>
      <c r="M651" s="6">
        <v>-0.130062742831277</v>
      </c>
      <c r="N651" s="7">
        <v>0.253375809651227</v>
      </c>
      <c r="O651" s="7">
        <v>0.128016541551794</v>
      </c>
      <c r="P651" s="7">
        <v>0.327776352911002</v>
      </c>
      <c r="Q651" s="7">
        <v>0.829476728898239</v>
      </c>
      <c r="R651" s="6">
        <v>3.98258098346368</v>
      </c>
      <c r="S651" s="6">
        <v>6.41570403313332</v>
      </c>
      <c r="T651" s="6">
        <v>5.79077126942171</v>
      </c>
      <c r="U651" s="6">
        <v>-0.24861095256357</v>
      </c>
    </row>
    <row r="652" ht="11.25" customHeight="1">
      <c r="A652" s="2" t="s">
        <v>680</v>
      </c>
      <c r="B652" s="5">
        <v>0.292311578475638</v>
      </c>
      <c r="C652" s="5">
        <v>0.438945805606759</v>
      </c>
      <c r="D652" s="5">
        <v>0.347390121451801</v>
      </c>
      <c r="E652" s="5">
        <v>0.140489710800352</v>
      </c>
      <c r="F652" s="5">
        <v>0.119958089441823</v>
      </c>
      <c r="G652" s="5">
        <v>0.130419892889461</v>
      </c>
      <c r="H652" s="5">
        <v>0.125946976992567</v>
      </c>
      <c r="I652" s="5">
        <v>0.207311791733739</v>
      </c>
      <c r="J652" s="6">
        <v>2.22837475754628</v>
      </c>
      <c r="K652" s="6">
        <v>3.17394683001007</v>
      </c>
      <c r="L652" s="6">
        <v>2.55972893633506</v>
      </c>
      <c r="M652" s="6">
        <v>0.557082208563811</v>
      </c>
      <c r="N652" s="7">
        <v>0.0991285403050108</v>
      </c>
      <c r="O652" s="7">
        <v>0.104092876820149</v>
      </c>
      <c r="P652" s="7">
        <v>0.183811665333187</v>
      </c>
      <c r="Q652" s="7">
        <v>0.367814198649316</v>
      </c>
      <c r="R652" s="6">
        <v>4.47227642566801</v>
      </c>
      <c r="S652" s="6">
        <v>7.07676684899934</v>
      </c>
      <c r="T652" s="6">
        <v>5.09694824434539</v>
      </c>
      <c r="U652" s="6">
        <v>1.01867923626675</v>
      </c>
    </row>
    <row r="653" ht="11.25" customHeight="1">
      <c r="A653" s="2" t="s">
        <v>681</v>
      </c>
      <c r="B653" s="5">
        <v>0.314269233812292</v>
      </c>
      <c r="C653" s="5">
        <v>0.541270235914568</v>
      </c>
      <c r="D653" s="5">
        <v>0.469266507454534</v>
      </c>
      <c r="E653" s="5">
        <v>0.0358380793989057</v>
      </c>
      <c r="F653" s="5">
        <v>0.165038460540274</v>
      </c>
      <c r="G653" s="5">
        <v>0.167884163326125</v>
      </c>
      <c r="H653" s="5">
        <v>0.161844809252427</v>
      </c>
      <c r="I653" s="5">
        <v>0.259757229198715</v>
      </c>
      <c r="J653" s="6">
        <v>1.75273831848244</v>
      </c>
      <c r="K653" s="6">
        <v>3.07515745193715</v>
      </c>
      <c r="L653" s="6">
        <v>2.74501548431879</v>
      </c>
      <c r="M653" s="6">
        <v>0.0417238797639565</v>
      </c>
      <c r="N653" s="7">
        <v>0.13887555133413</v>
      </c>
      <c r="O653" s="7">
        <v>0.0708522440746345</v>
      </c>
      <c r="P653" s="7">
        <v>0.196455317024463</v>
      </c>
      <c r="Q653" s="7">
        <v>0.43699467560639</v>
      </c>
      <c r="R653" s="6">
        <v>3.4443196319526</v>
      </c>
      <c r="S653" s="6">
        <v>6.75368064433333</v>
      </c>
      <c r="T653" s="6">
        <v>5.82033047576059</v>
      </c>
      <c r="U653" s="6">
        <v>0.0780921490652858</v>
      </c>
    </row>
    <row r="654" ht="11.25" customHeight="1">
      <c r="A654" s="2" t="s">
        <v>682</v>
      </c>
      <c r="B654" s="5">
        <v>0.300764872501417</v>
      </c>
      <c r="C654" s="5">
        <v>0.439315367419718</v>
      </c>
      <c r="D654" s="5">
        <v>0.395763905254806</v>
      </c>
      <c r="E654" s="5">
        <v>0.0399248295238556</v>
      </c>
      <c r="F654" s="5">
        <v>0.136343267747202</v>
      </c>
      <c r="G654" s="5">
        <v>0.133318122004264</v>
      </c>
      <c r="H654" s="5">
        <v>0.132688093619703</v>
      </c>
      <c r="I654" s="5">
        <v>0.221256757471834</v>
      </c>
      <c r="J654" s="6">
        <v>2.02257784383398</v>
      </c>
      <c r="K654" s="6">
        <v>3.10771979976185</v>
      </c>
      <c r="L654" s="6">
        <v>2.7942515047164</v>
      </c>
      <c r="M654" s="6">
        <v>0.0674547963840408</v>
      </c>
      <c r="N654" s="7">
        <v>0.0909691481101346</v>
      </c>
      <c r="O654" s="7">
        <v>0.0886672682577713</v>
      </c>
      <c r="P654" s="7">
        <v>0.142347343378271</v>
      </c>
      <c r="Q654" s="7">
        <v>0.399215301618441</v>
      </c>
      <c r="R654" s="6">
        <v>4.14241397599273</v>
      </c>
      <c r="S654" s="6">
        <v>6.80657310723611</v>
      </c>
      <c r="T654" s="6">
        <v>5.61813358602847</v>
      </c>
      <c r="U654" s="6">
        <v>0.120691688772157</v>
      </c>
    </row>
    <row r="655" ht="11.25" customHeight="1">
      <c r="A655" s="2" t="s">
        <v>683</v>
      </c>
      <c r="B655" s="5">
        <v>0.32312723137047</v>
      </c>
      <c r="C655" s="5">
        <v>0.372184750884339</v>
      </c>
      <c r="D655" s="5">
        <v>0.405121649846366</v>
      </c>
      <c r="E655" s="5">
        <v>0.0879632505202572</v>
      </c>
      <c r="F655" s="5">
        <v>0.143718128739995</v>
      </c>
      <c r="G655" s="5">
        <v>0.147203409013097</v>
      </c>
      <c r="H655" s="5">
        <v>0.156602721614704</v>
      </c>
      <c r="I655" s="5">
        <v>0.211454345990531</v>
      </c>
      <c r="J655" s="6">
        <v>2.07438848518422</v>
      </c>
      <c r="K655" s="6">
        <v>2.35853743613673</v>
      </c>
      <c r="L655" s="6">
        <v>2.42729912945953</v>
      </c>
      <c r="M655" s="6">
        <v>0.297762858575044</v>
      </c>
      <c r="N655" s="7">
        <v>0.107619264174853</v>
      </c>
      <c r="O655" s="7">
        <v>0.0755275093669887</v>
      </c>
      <c r="P655" s="7">
        <v>0.170982735723772</v>
      </c>
      <c r="Q655" s="7">
        <v>0.241287811781355</v>
      </c>
      <c r="R655" s="6">
        <v>4.39441482044632</v>
      </c>
      <c r="S655" s="6">
        <v>5.10492522038171</v>
      </c>
      <c r="T655" s="6">
        <v>5.12034717849142</v>
      </c>
      <c r="U655" s="6">
        <v>0.596085679321351</v>
      </c>
    </row>
    <row r="656" ht="11.25" customHeight="1">
      <c r="A656" s="2" t="s">
        <v>684</v>
      </c>
      <c r="B656" s="5">
        <v>0.665183269140312</v>
      </c>
      <c r="C656" s="5">
        <v>0.888289354257976</v>
      </c>
      <c r="D656" s="5">
        <v>0.860079172107936</v>
      </c>
      <c r="E656" s="5">
        <v>0.193673534894882</v>
      </c>
      <c r="F656" s="5">
        <v>0.250972877314695</v>
      </c>
      <c r="G656" s="5">
        <v>0.245832893230556</v>
      </c>
      <c r="H656" s="5">
        <v>0.248028818394156</v>
      </c>
      <c r="I656" s="5">
        <v>0.374181749077491</v>
      </c>
      <c r="J656" s="6">
        <v>2.55080658910239</v>
      </c>
      <c r="K656" s="6">
        <v>3.51169179564726</v>
      </c>
      <c r="L656" s="6">
        <v>3.36686348592309</v>
      </c>
      <c r="M656" s="6">
        <v>0.450779695457436</v>
      </c>
      <c r="N656" s="7">
        <v>0.205120443781803</v>
      </c>
      <c r="O656" s="7">
        <v>0.140065146579804</v>
      </c>
      <c r="P656" s="7">
        <v>0.225497961985546</v>
      </c>
      <c r="Q656" s="7">
        <v>0.644135883328967</v>
      </c>
      <c r="R656" s="6">
        <v>5.55105940835267</v>
      </c>
      <c r="S656" s="6">
        <v>8.35954297874412</v>
      </c>
      <c r="T656" s="6">
        <v>7.51679932936033</v>
      </c>
      <c r="U656" s="6">
        <v>0.871547645443137</v>
      </c>
    </row>
    <row r="657" ht="11.25" customHeight="1">
      <c r="A657" s="2" t="s">
        <v>685</v>
      </c>
      <c r="B657" s="5">
        <v>0.543191148331291</v>
      </c>
      <c r="C657" s="5">
        <v>0.687716186040339</v>
      </c>
      <c r="D657" s="5">
        <v>0.437385940800107</v>
      </c>
      <c r="E657" s="5">
        <v>0.257123281212706</v>
      </c>
      <c r="F657" s="5">
        <v>0.211060615242764</v>
      </c>
      <c r="G657" s="5">
        <v>0.212339631966849</v>
      </c>
      <c r="H657" s="5">
        <v>0.206855363145135</v>
      </c>
      <c r="I657" s="5">
        <v>0.310858574225945</v>
      </c>
      <c r="J657" s="6">
        <v>2.45517690609998</v>
      </c>
      <c r="K657" s="6">
        <v>3.12101975454023</v>
      </c>
      <c r="L657" s="6">
        <v>1.99359559515393</v>
      </c>
      <c r="M657" s="6">
        <v>0.746716675873283</v>
      </c>
      <c r="N657" s="7">
        <v>0.117682469893142</v>
      </c>
      <c r="O657" s="7">
        <v>0.0848369404978878</v>
      </c>
      <c r="P657" s="7">
        <v>0.137807332225041</v>
      </c>
      <c r="Q657" s="7">
        <v>0.358641121864507</v>
      </c>
      <c r="R657" s="6">
        <v>5.34465272807641</v>
      </c>
      <c r="S657" s="6">
        <v>7.24054497459622</v>
      </c>
      <c r="T657" s="6">
        <v>3.8799259017934</v>
      </c>
      <c r="U657" s="6">
        <v>1.43467759068854</v>
      </c>
    </row>
    <row r="658" ht="11.25" customHeight="1">
      <c r="A658" s="2" t="s">
        <v>686</v>
      </c>
      <c r="B658" s="5">
        <v>0.367004878908528</v>
      </c>
      <c r="C658" s="5">
        <v>0.62022061033091</v>
      </c>
      <c r="D658" s="5">
        <v>0.554250000832568</v>
      </c>
      <c r="E658" s="5">
        <v>0.0318550651241107</v>
      </c>
      <c r="F658" s="5">
        <v>0.250973501229504</v>
      </c>
      <c r="G658" s="5">
        <v>0.223569187464372</v>
      </c>
      <c r="H658" s="5">
        <v>0.252167427354464</v>
      </c>
      <c r="I658" s="5">
        <v>0.337592478063195</v>
      </c>
      <c r="J658" s="6">
        <v>1.36271310410488</v>
      </c>
      <c r="K658" s="6">
        <v>2.66235529628054</v>
      </c>
      <c r="L658" s="6">
        <v>2.09880398267543</v>
      </c>
      <c r="M658" s="6">
        <v>0.0203057401143502</v>
      </c>
      <c r="N658" s="7">
        <v>0.253880674562494</v>
      </c>
      <c r="O658" s="7">
        <v>0.174209430032191</v>
      </c>
      <c r="P658" s="7">
        <v>0.236508237076311</v>
      </c>
      <c r="Q658" s="7">
        <v>0.653289201489449</v>
      </c>
      <c r="R658" s="6">
        <v>2.63024002229089</v>
      </c>
      <c r="S658" s="6">
        <v>6.22620694943257</v>
      </c>
      <c r="T658" s="6">
        <v>4.19101583734516</v>
      </c>
      <c r="U658" s="6">
        <v>0.0384455033795432</v>
      </c>
    </row>
    <row r="659" ht="11.25" customHeight="1">
      <c r="A659" s="2" t="s">
        <v>687</v>
      </c>
      <c r="B659" s="5">
        <v>0.989404753417499</v>
      </c>
      <c r="C659" s="5">
        <v>1.10424734348714</v>
      </c>
      <c r="D659" s="5">
        <v>1.07865268389106</v>
      </c>
      <c r="E659" s="5">
        <v>0.291107882311406</v>
      </c>
      <c r="F659" s="5">
        <v>0.331568325034207</v>
      </c>
      <c r="G659" s="5">
        <v>0.322248103870871</v>
      </c>
      <c r="H659" s="5">
        <v>0.330881771142728</v>
      </c>
      <c r="I659" s="5">
        <v>0.464160651589642</v>
      </c>
      <c r="J659" s="6">
        <v>2.908615451485</v>
      </c>
      <c r="K659" s="6">
        <v>3.34911929821506</v>
      </c>
      <c r="L659" s="6">
        <v>3.18437815492882</v>
      </c>
      <c r="M659" s="6">
        <v>0.57330986890002</v>
      </c>
      <c r="N659" s="7">
        <v>0.210107383610212</v>
      </c>
      <c r="O659" s="7">
        <v>0.157695484581497</v>
      </c>
      <c r="P659" s="7">
        <v>0.475265718341515</v>
      </c>
      <c r="Q659" s="7">
        <v>0.576513380098727</v>
      </c>
      <c r="R659" s="6">
        <v>6.46533347991507</v>
      </c>
      <c r="S659" s="6">
        <v>7.85970772324837</v>
      </c>
      <c r="T659" s="6">
        <v>6.81247596951351</v>
      </c>
      <c r="U659" s="6">
        <v>1.12546796838606</v>
      </c>
    </row>
    <row r="660" ht="11.25" customHeight="1">
      <c r="A660" s="2" t="s">
        <v>688</v>
      </c>
      <c r="B660" s="5">
        <v>0.914034726933361</v>
      </c>
      <c r="C660" s="5">
        <v>1.40859053728728</v>
      </c>
      <c r="D660" s="5">
        <v>1.09511632339104</v>
      </c>
      <c r="E660" s="5">
        <v>0.0557742367980877</v>
      </c>
      <c r="F660" s="5">
        <v>0.346185528015476</v>
      </c>
      <c r="G660" s="5">
        <v>0.355102442541114</v>
      </c>
      <c r="H660" s="5">
        <v>0.347387206620086</v>
      </c>
      <c r="I660" s="5">
        <v>0.515469007553506</v>
      </c>
      <c r="J660" s="6">
        <v>2.56808749929493</v>
      </c>
      <c r="K660" s="6">
        <v>3.89631377184089</v>
      </c>
      <c r="L660" s="6">
        <v>3.08047130981813</v>
      </c>
      <c r="M660" s="6">
        <v>0.0597014298573389</v>
      </c>
      <c r="N660" s="7">
        <v>0.278372224723609</v>
      </c>
      <c r="O660" s="7">
        <v>0.165637406263785</v>
      </c>
      <c r="P660" s="7">
        <v>0.380087415399104</v>
      </c>
      <c r="Q660" s="7">
        <v>0.744574728736437</v>
      </c>
      <c r="R660" s="6">
        <v>5.41029482919425</v>
      </c>
      <c r="S660" s="6">
        <v>9.35025761837912</v>
      </c>
      <c r="T660" s="6">
        <v>6.59054717444015</v>
      </c>
      <c r="U660" s="6">
        <v>0.114804811008259</v>
      </c>
    </row>
    <row r="661" ht="11.25" customHeight="1">
      <c r="A661" s="2" t="s">
        <v>689</v>
      </c>
      <c r="B661" s="5">
        <v>0.394145022245917</v>
      </c>
      <c r="C661" s="5">
        <v>0.451276812319491</v>
      </c>
      <c r="D661" s="5">
        <v>0.425979995047016</v>
      </c>
      <c r="E661" s="5">
        <v>0.17760386304012</v>
      </c>
      <c r="F661" s="5">
        <v>0.150712740284115</v>
      </c>
      <c r="G661" s="5">
        <v>0.170294455594959</v>
      </c>
      <c r="H661" s="5">
        <v>0.140697624336846</v>
      </c>
      <c r="I661" s="5">
        <v>0.241401454076905</v>
      </c>
      <c r="J661" s="6">
        <v>2.44932858064968</v>
      </c>
      <c r="K661" s="6">
        <v>2.50317493209161</v>
      </c>
      <c r="L661" s="6">
        <v>2.84994147510992</v>
      </c>
      <c r="M661" s="6">
        <v>0.632158010910338</v>
      </c>
      <c r="N661" s="7">
        <v>0.0879011361371339</v>
      </c>
      <c r="O661" s="7">
        <v>0.188974420038668</v>
      </c>
      <c r="P661" s="7">
        <v>0.0910871694417238</v>
      </c>
      <c r="Q661" s="7">
        <v>0.323051948051948</v>
      </c>
      <c r="R661" s="6">
        <v>5.02578284850694</v>
      </c>
      <c r="S661" s="6">
        <v>5.03515160210606</v>
      </c>
      <c r="T661" s="6">
        <v>6.02563508199017</v>
      </c>
      <c r="U661" s="6">
        <v>1.17256087128485</v>
      </c>
    </row>
    <row r="662" ht="11.25" customHeight="1">
      <c r="A662" s="2" t="s">
        <v>690</v>
      </c>
      <c r="B662" s="5">
        <v>0.510708775545701</v>
      </c>
      <c r="C662" s="5">
        <v>0.606317976385347</v>
      </c>
      <c r="D662" s="5">
        <v>0.559360796928897</v>
      </c>
      <c r="E662" s="5">
        <v>0.0899672329446237</v>
      </c>
      <c r="F662" s="5">
        <v>0.238473487657075</v>
      </c>
      <c r="G662" s="5">
        <v>0.230771623254827</v>
      </c>
      <c r="H662" s="5">
        <v>0.242488596793967</v>
      </c>
      <c r="I662" s="5">
        <v>0.359605056414715</v>
      </c>
      <c r="J662" s="6">
        <v>2.03674119214522</v>
      </c>
      <c r="K662" s="6">
        <v>2.51901844856996</v>
      </c>
      <c r="L662" s="6">
        <v>2.20365330161451</v>
      </c>
      <c r="M662" s="6">
        <v>0.180662734813439</v>
      </c>
      <c r="N662" s="7">
        <v>0.260860940289625</v>
      </c>
      <c r="O662" s="7">
        <v>0.260860940289625</v>
      </c>
      <c r="P662" s="7">
        <v>0.283196241525664</v>
      </c>
      <c r="Q662" s="7">
        <v>0.640709495998269</v>
      </c>
      <c r="R662" s="6">
        <v>4.2232912896605</v>
      </c>
      <c r="S662" s="6">
        <v>5.4732992880774</v>
      </c>
      <c r="T662" s="6">
        <v>4.64266904826947</v>
      </c>
      <c r="U662" s="6">
        <v>0.329723762116735</v>
      </c>
    </row>
    <row r="663" ht="11.25" customHeight="1">
      <c r="A663" s="2" t="s">
        <v>691</v>
      </c>
      <c r="B663" s="5">
        <v>0.442851205562451</v>
      </c>
      <c r="C663" s="5">
        <v>0.607224729595278</v>
      </c>
      <c r="D663" s="5">
        <v>0.58885279833381</v>
      </c>
      <c r="E663" s="5">
        <v>0.0607582223066216</v>
      </c>
      <c r="F663" s="5">
        <v>0.24845291000264</v>
      </c>
      <c r="G663" s="5">
        <v>0.215889980110594</v>
      </c>
      <c r="H663" s="5">
        <v>0.213988955434036</v>
      </c>
      <c r="I663" s="5">
        <v>0.35592220914433</v>
      </c>
      <c r="J663" s="6">
        <v>1.68181248333139</v>
      </c>
      <c r="K663" s="6">
        <v>2.69685850773167</v>
      </c>
      <c r="L663" s="6">
        <v>2.63496215115467</v>
      </c>
      <c r="M663" s="6">
        <v>0.100466397959789</v>
      </c>
      <c r="N663" s="7">
        <v>0.237760075461289</v>
      </c>
      <c r="O663" s="7">
        <v>0.143373493975903</v>
      </c>
      <c r="P663" s="7">
        <v>0.263431104185248</v>
      </c>
      <c r="Q663" s="7">
        <v>0.67935689367511</v>
      </c>
      <c r="R663" s="6">
        <v>3.47345288202773</v>
      </c>
      <c r="S663" s="6">
        <v>6.22859492413908</v>
      </c>
      <c r="T663" s="6">
        <v>5.87876634670086</v>
      </c>
      <c r="U663" s="6">
        <v>0.19489885130526</v>
      </c>
    </row>
    <row r="664" ht="11.25" customHeight="1">
      <c r="A664" s="2" t="s">
        <v>692</v>
      </c>
      <c r="B664" s="5">
        <v>0.762489198819339</v>
      </c>
      <c r="C664" s="5">
        <v>1.13321797824602</v>
      </c>
      <c r="D664" s="5">
        <v>0.700334399682726</v>
      </c>
      <c r="E664" s="5">
        <v>0.137284195807902</v>
      </c>
      <c r="F664" s="5">
        <v>0.287966339750825</v>
      </c>
      <c r="G664" s="5">
        <v>0.271412233120125</v>
      </c>
      <c r="H664" s="5">
        <v>0.272953709362496</v>
      </c>
      <c r="I664" s="5">
        <v>0.430392169278238</v>
      </c>
      <c r="J664" s="6">
        <v>2.56102570688463</v>
      </c>
      <c r="K664" s="6">
        <v>4.08315412133811</v>
      </c>
      <c r="L664" s="6">
        <v>2.47417190724397</v>
      </c>
      <c r="M664" s="6">
        <v>0.260888101185023</v>
      </c>
      <c r="N664" s="7">
        <v>0.287255644007406</v>
      </c>
      <c r="O664" s="7">
        <v>0.128344763983774</v>
      </c>
      <c r="P664" s="7">
        <v>0.292198519694203</v>
      </c>
      <c r="Q664" s="7">
        <v>0.701302325581395</v>
      </c>
      <c r="R664" s="6">
        <v>5.1998218607589</v>
      </c>
      <c r="S664" s="6">
        <v>10.1437477940794</v>
      </c>
      <c r="T664" s="6">
        <v>5.29129735725292</v>
      </c>
      <c r="U664" s="6">
        <v>0.505479789661604</v>
      </c>
    </row>
    <row r="665" ht="11.25" customHeight="1">
      <c r="A665" s="2" t="s">
        <v>693</v>
      </c>
      <c r="B665" s="5">
        <v>0.38693652116055</v>
      </c>
      <c r="C665" s="5">
        <v>0.492226698371148</v>
      </c>
      <c r="D665" s="5">
        <v>0.475864589448812</v>
      </c>
      <c r="E665" s="5">
        <v>0.149893674091105</v>
      </c>
      <c r="F665" s="5">
        <v>0.172082976744313</v>
      </c>
      <c r="G665" s="5">
        <v>0.167020539388035</v>
      </c>
      <c r="H665" s="5">
        <v>0.197741062836498</v>
      </c>
      <c r="I665" s="5">
        <v>0.265164319543949</v>
      </c>
      <c r="J665" s="6">
        <v>2.10326743532759</v>
      </c>
      <c r="K665" s="6">
        <v>2.79742060517269</v>
      </c>
      <c r="L665" s="6">
        <v>2.28007568575479</v>
      </c>
      <c r="M665" s="6">
        <v>0.47100482563381</v>
      </c>
      <c r="N665" s="7">
        <v>0.107204327514138</v>
      </c>
      <c r="O665" s="7">
        <v>0.112030456852791</v>
      </c>
      <c r="P665" s="7">
        <v>0.28559670781893</v>
      </c>
      <c r="Q665" s="7">
        <v>0.329455603017359</v>
      </c>
      <c r="R665" s="6">
        <v>4.38138898429834</v>
      </c>
      <c r="S665" s="6">
        <v>6.37036955094288</v>
      </c>
      <c r="T665" s="6">
        <v>4.48010312680736</v>
      </c>
      <c r="U665" s="6">
        <v>0.875262131142984</v>
      </c>
    </row>
    <row r="666" ht="11.25" customHeight="1">
      <c r="A666" s="2" t="s">
        <v>694</v>
      </c>
      <c r="B666" s="5">
        <v>0.389243667189383</v>
      </c>
      <c r="C666" s="5">
        <v>0.508092556366478</v>
      </c>
      <c r="D666" s="5">
        <v>0.499096508563639</v>
      </c>
      <c r="E666" s="5">
        <v>0.201059170271782</v>
      </c>
      <c r="F666" s="5">
        <v>0.141782203408573</v>
      </c>
      <c r="G666" s="5">
        <v>0.141379500264696</v>
      </c>
      <c r="H666" s="5">
        <v>0.135920098341346</v>
      </c>
      <c r="I666" s="5">
        <v>0.224353745757443</v>
      </c>
      <c r="J666" s="6">
        <v>2.56903658169102</v>
      </c>
      <c r="K666" s="6">
        <v>3.41699154023046</v>
      </c>
      <c r="L666" s="6">
        <v>3.48805301312396</v>
      </c>
      <c r="M666" s="6">
        <v>0.784739161262439</v>
      </c>
      <c r="N666" s="7">
        <v>0.100884955752212</v>
      </c>
      <c r="O666" s="7">
        <v>0.0683348574278827</v>
      </c>
      <c r="P666" s="7">
        <v>0.125770308903503</v>
      </c>
      <c r="Q666" s="7">
        <v>0.303834574552369</v>
      </c>
      <c r="R666" s="6">
        <v>5.41976181848193</v>
      </c>
      <c r="S666" s="6">
        <v>7.95776164358025</v>
      </c>
      <c r="T666" s="6">
        <v>8.14477850052222</v>
      </c>
      <c r="U666" s="6">
        <v>1.47700075639346</v>
      </c>
    </row>
    <row r="667" ht="11.25" customHeight="1">
      <c r="A667" s="2" t="s">
        <v>695</v>
      </c>
      <c r="B667" s="5">
        <v>0.563915090068918</v>
      </c>
      <c r="C667" s="5">
        <v>0.839534912993319</v>
      </c>
      <c r="D667" s="5">
        <v>0.45097213419509</v>
      </c>
      <c r="E667" s="5">
        <v>0.0415108274384903</v>
      </c>
      <c r="F667" s="5">
        <v>0.338349788192943</v>
      </c>
      <c r="G667" s="5">
        <v>0.302502866127879</v>
      </c>
      <c r="H667" s="5">
        <v>0.349598537430934</v>
      </c>
      <c r="I667" s="5">
        <v>0.493664111796738</v>
      </c>
      <c r="J667" s="6">
        <v>1.59277501826483</v>
      </c>
      <c r="K667" s="6">
        <v>2.6926518859791</v>
      </c>
      <c r="L667" s="6">
        <v>1.21846085891948</v>
      </c>
      <c r="M667" s="6">
        <v>0.0334454683740278</v>
      </c>
      <c r="N667" s="7">
        <v>0.55903210942244</v>
      </c>
      <c r="O667" s="7">
        <v>0.173377168335881</v>
      </c>
      <c r="P667" s="7">
        <v>0.695357019397277</v>
      </c>
      <c r="Q667" s="7">
        <v>0.848011830430496</v>
      </c>
      <c r="R667" s="6">
        <v>3.10004485002482</v>
      </c>
      <c r="S667" s="6">
        <v>6.80625429316779</v>
      </c>
      <c r="T667" s="6">
        <v>2.47228597401308</v>
      </c>
      <c r="U667" s="6">
        <v>0.0632697154736584</v>
      </c>
    </row>
    <row r="668" ht="11.25" customHeight="1">
      <c r="A668" s="2" t="s">
        <v>696</v>
      </c>
      <c r="B668" s="5">
        <v>0.321777384263898</v>
      </c>
      <c r="C668" s="5">
        <v>0.474321349543486</v>
      </c>
      <c r="D668" s="5">
        <v>0.427829966887583</v>
      </c>
      <c r="E668" s="5">
        <v>0.130433097525432</v>
      </c>
      <c r="F668" s="5">
        <v>0.159181589540204</v>
      </c>
      <c r="G668" s="5">
        <v>0.162066521182455</v>
      </c>
      <c r="H668" s="5">
        <v>0.166143025064039</v>
      </c>
      <c r="I668" s="5">
        <v>0.227200868049797</v>
      </c>
      <c r="J668" s="6">
        <v>1.86439515474835</v>
      </c>
      <c r="K668" s="6">
        <v>2.77245014124563</v>
      </c>
      <c r="L668" s="6">
        <v>2.42459752211875</v>
      </c>
      <c r="M668" s="6">
        <v>0.464052353454581</v>
      </c>
      <c r="N668" s="7">
        <v>0.171243579496453</v>
      </c>
      <c r="O668" s="7">
        <v>0.107521618534834</v>
      </c>
      <c r="P668" s="7">
        <v>0.279675584551771</v>
      </c>
      <c r="Q668" s="7">
        <v>0.376367856748093</v>
      </c>
      <c r="R668" s="6">
        <v>3.91198110977485</v>
      </c>
      <c r="S668" s="6">
        <v>7.09631354141909</v>
      </c>
      <c r="T668" s="6">
        <v>5.19227056251482</v>
      </c>
      <c r="U668" s="6">
        <v>0.920449817348268</v>
      </c>
    </row>
    <row r="669" ht="11.25" customHeight="1">
      <c r="A669" s="2" t="s">
        <v>697</v>
      </c>
      <c r="B669" s="5">
        <v>0.442172011626223</v>
      </c>
      <c r="C669" s="5">
        <v>1.16456621210095</v>
      </c>
      <c r="D669" s="5">
        <v>0.92097652644499</v>
      </c>
      <c r="E669" s="5">
        <v>0.0944919948992888</v>
      </c>
      <c r="F669" s="5">
        <v>0.573057785454546</v>
      </c>
      <c r="G669" s="5">
        <v>0.571954343799673</v>
      </c>
      <c r="H669" s="5">
        <v>0.542764188028405</v>
      </c>
      <c r="I669" s="5">
        <v>0.720508868440607</v>
      </c>
      <c r="J669" s="6">
        <v>0.727975471610292</v>
      </c>
      <c r="K669" s="6">
        <v>1.99240765360825</v>
      </c>
      <c r="L669" s="6">
        <v>1.65076573990563</v>
      </c>
      <c r="M669" s="6">
        <v>0.0964484934789073</v>
      </c>
      <c r="N669" s="7">
        <v>0.39070671333683</v>
      </c>
      <c r="O669" s="7">
        <v>0.411733333333333</v>
      </c>
      <c r="P669" s="7">
        <v>0.371943999999999</v>
      </c>
      <c r="Q669" s="7">
        <v>0.545599999999999</v>
      </c>
      <c r="R669" s="6">
        <v>1.63288126001095</v>
      </c>
      <c r="S669" s="6">
        <v>5.19692073093871</v>
      </c>
      <c r="T669" s="6">
        <v>4.27360665810153</v>
      </c>
      <c r="U669" s="6">
        <v>0.211515991905663</v>
      </c>
    </row>
    <row r="670" ht="11.25" customHeight="1">
      <c r="A670" s="2" t="s">
        <v>698</v>
      </c>
      <c r="B670" s="5">
        <v>0.396957769626402</v>
      </c>
      <c r="C670" s="5">
        <v>0.51844327023475</v>
      </c>
      <c r="D670" s="5">
        <v>0.453957773718548</v>
      </c>
      <c r="E670" s="5">
        <v>0.219510335500776</v>
      </c>
      <c r="F670" s="5">
        <v>0.167395120194441</v>
      </c>
      <c r="G670" s="5">
        <v>0.17510244936402</v>
      </c>
      <c r="H670" s="5">
        <v>0.163121024673125</v>
      </c>
      <c r="I670" s="5">
        <v>0.258917086368699</v>
      </c>
      <c r="J670" s="6">
        <v>2.22203472355912</v>
      </c>
      <c r="K670" s="6">
        <v>2.81802608716758</v>
      </c>
      <c r="L670" s="6">
        <v>2.62969028411958</v>
      </c>
      <c r="M670" s="6">
        <v>0.751245652532149</v>
      </c>
      <c r="N670" s="7">
        <v>0.145655877342419</v>
      </c>
      <c r="O670" s="7">
        <v>0.136037834864872</v>
      </c>
      <c r="P670" s="7">
        <v>0.192564553330309</v>
      </c>
      <c r="Q670" s="7">
        <v>0.454453950679416</v>
      </c>
      <c r="R670" s="6">
        <v>4.59184521922264</v>
      </c>
      <c r="S670" s="6">
        <v>6.30763251267542</v>
      </c>
      <c r="T670" s="6">
        <v>5.6231686911534</v>
      </c>
      <c r="U670" s="6">
        <v>1.44933987159277</v>
      </c>
    </row>
    <row r="671" ht="11.25" customHeight="1">
      <c r="A671" s="2" t="s">
        <v>699</v>
      </c>
      <c r="B671" s="5">
        <v>0.357167709994081</v>
      </c>
      <c r="C671" s="5">
        <v>0.722800087449107</v>
      </c>
      <c r="D671" s="5">
        <v>0.958313599545399</v>
      </c>
      <c r="E671" s="5">
        <v>-0.0254635693546637</v>
      </c>
      <c r="F671" s="5">
        <v>0.295879489552966</v>
      </c>
      <c r="G671" s="5">
        <v>0.285689664746537</v>
      </c>
      <c r="H671" s="5">
        <v>0.258683811815774</v>
      </c>
      <c r="I671" s="5">
        <v>0.468050952952657</v>
      </c>
      <c r="J671" s="6">
        <v>1.12264527188397</v>
      </c>
      <c r="K671" s="6">
        <v>2.44251078549933</v>
      </c>
      <c r="L671" s="6">
        <v>3.6079319884542</v>
      </c>
      <c r="M671" s="6">
        <v>-0.107816401262125</v>
      </c>
      <c r="N671" s="7">
        <v>0.266944383154023</v>
      </c>
      <c r="O671" s="7">
        <v>0.122379778051787</v>
      </c>
      <c r="P671" s="7">
        <v>0.139254773460337</v>
      </c>
      <c r="Q671" s="7">
        <v>0.685783406859256</v>
      </c>
      <c r="R671" s="6">
        <v>2.33646831582915</v>
      </c>
      <c r="S671" s="6">
        <v>5.64449670423118</v>
      </c>
      <c r="T671" s="6">
        <v>8.6303458096945</v>
      </c>
      <c r="U671" s="6">
        <v>-0.206247492604374</v>
      </c>
    </row>
    <row r="672" ht="11.25" customHeight="1">
      <c r="A672" s="2" t="s">
        <v>700</v>
      </c>
      <c r="B672" s="5">
        <v>1.12334127132976</v>
      </c>
      <c r="C672" s="5">
        <v>1.02302930551664</v>
      </c>
      <c r="D672" s="5">
        <v>1.27967860686042</v>
      </c>
      <c r="E672" s="5">
        <v>0.37509116593734</v>
      </c>
      <c r="F672" s="5">
        <v>0.355100974069128</v>
      </c>
      <c r="G672" s="5">
        <v>0.323241894813011</v>
      </c>
      <c r="H672" s="5">
        <v>0.28550593109003</v>
      </c>
      <c r="I672" s="5">
        <v>0.502476845004211</v>
      </c>
      <c r="J672" s="6">
        <v>3.09303930863322</v>
      </c>
      <c r="K672" s="6">
        <v>3.08756173482394</v>
      </c>
      <c r="L672" s="6">
        <v>4.39457983261575</v>
      </c>
      <c r="M672" s="6">
        <v>0.696730942764947</v>
      </c>
      <c r="N672" s="7">
        <v>0.262652705061081</v>
      </c>
      <c r="O672" s="7">
        <v>0.247818499127399</v>
      </c>
      <c r="P672" s="7">
        <v>0.116055846422338</v>
      </c>
      <c r="Q672" s="7">
        <v>0.600507614213198</v>
      </c>
      <c r="R672" s="6">
        <v>7.79481204212707</v>
      </c>
      <c r="S672" s="6">
        <v>7.63728851269217</v>
      </c>
      <c r="T672" s="6">
        <v>14.5147718956973</v>
      </c>
      <c r="U672" s="6">
        <v>1.34395792119263</v>
      </c>
    </row>
    <row r="673" ht="11.25" customHeight="1">
      <c r="A673" s="2" t="s">
        <v>701</v>
      </c>
      <c r="B673" s="5">
        <v>0.704017461715856</v>
      </c>
      <c r="C673" s="5">
        <v>0.859269292727315</v>
      </c>
      <c r="D673" s="5">
        <v>0.580865360816722</v>
      </c>
      <c r="E673" s="5">
        <v>0.449689516410113</v>
      </c>
      <c r="F673" s="5">
        <v>0.207962899898695</v>
      </c>
      <c r="G673" s="5">
        <v>0.223170728318342</v>
      </c>
      <c r="H673" s="5">
        <v>0.202573399797138</v>
      </c>
      <c r="I673" s="5">
        <v>0.298457287249622</v>
      </c>
      <c r="J673" s="6">
        <v>3.26508940799836</v>
      </c>
      <c r="K673" s="6">
        <v>3.73825590396097</v>
      </c>
      <c r="L673" s="6">
        <v>2.74401950785926</v>
      </c>
      <c r="M673" s="6">
        <v>1.42294906022821</v>
      </c>
      <c r="N673" s="7">
        <v>0.126612896620487</v>
      </c>
      <c r="O673" s="7">
        <v>0.111852241098268</v>
      </c>
      <c r="P673" s="7">
        <v>0.200818665976745</v>
      </c>
      <c r="Q673" s="7">
        <v>0.262073701075761</v>
      </c>
      <c r="R673" s="6">
        <v>7.60711598695852</v>
      </c>
      <c r="S673" s="6">
        <v>9.24733532012927</v>
      </c>
      <c r="T673" s="6">
        <v>6.44379365866193</v>
      </c>
      <c r="U673" s="6">
        <v>3.00219783720588</v>
      </c>
    </row>
    <row r="674" ht="11.25" customHeight="1">
      <c r="A674" s="2" t="s">
        <v>702</v>
      </c>
      <c r="B674" s="5">
        <v>0.372973227701448</v>
      </c>
      <c r="C674" s="5">
        <v>0.475865565121909</v>
      </c>
      <c r="D674" s="5">
        <v>0.376356903549939</v>
      </c>
      <c r="E674" s="5">
        <v>0.0244154908437839</v>
      </c>
      <c r="F674" s="5">
        <v>0.218622535819386</v>
      </c>
      <c r="G674" s="5">
        <v>0.199162950357183</v>
      </c>
      <c r="H674" s="5">
        <v>0.228939964902489</v>
      </c>
      <c r="I674" s="5">
        <v>0.319496294664331</v>
      </c>
      <c r="J674" s="6">
        <v>1.59166220626461</v>
      </c>
      <c r="K674" s="6">
        <v>2.26380240056353</v>
      </c>
      <c r="L674" s="6">
        <v>1.53471196564387</v>
      </c>
      <c r="M674" s="6">
        <v>-0.00182947084513196</v>
      </c>
      <c r="N674" s="7">
        <v>0.227428265565559</v>
      </c>
      <c r="O674" s="7">
        <v>0.16657824933687</v>
      </c>
      <c r="P674" s="7">
        <v>0.367883292964726</v>
      </c>
      <c r="Q674" s="7">
        <v>0.456571168713051</v>
      </c>
      <c r="R674" s="6">
        <v>3.20074254339823</v>
      </c>
      <c r="S674" s="6">
        <v>4.97921500965809</v>
      </c>
      <c r="T674" s="6">
        <v>2.70391052654379</v>
      </c>
      <c r="U674" s="6">
        <v>-0.00326278362890776</v>
      </c>
    </row>
    <row r="675" ht="11.25" customHeight="1">
      <c r="A675" s="2" t="s">
        <v>703</v>
      </c>
      <c r="B675" s="5">
        <v>0.600696273391981</v>
      </c>
      <c r="C675" s="5">
        <v>0.763828426737613</v>
      </c>
      <c r="D675" s="5">
        <v>0.689690515214376</v>
      </c>
      <c r="E675" s="5">
        <v>0.0915773375425421</v>
      </c>
      <c r="F675" s="5">
        <v>0.249499002841125</v>
      </c>
      <c r="G675" s="5">
        <v>0.228351760613078</v>
      </c>
      <c r="H675" s="5">
        <v>0.237392508019018</v>
      </c>
      <c r="I675" s="5">
        <v>0.380155544118554</v>
      </c>
      <c r="J675" s="6">
        <v>2.30740911521225</v>
      </c>
      <c r="K675" s="6">
        <v>3.23548382002401</v>
      </c>
      <c r="L675" s="6">
        <v>2.79996416382747</v>
      </c>
      <c r="M675" s="6">
        <v>0.175131833725879</v>
      </c>
      <c r="N675" s="7">
        <v>0.216457960644007</v>
      </c>
      <c r="O675" s="7">
        <v>0.108929057892103</v>
      </c>
      <c r="P675" s="7">
        <v>0.288005461024119</v>
      </c>
      <c r="Q675" s="7">
        <v>0.648852971845672</v>
      </c>
      <c r="R675" s="6">
        <v>4.58515665093562</v>
      </c>
      <c r="S675" s="6">
        <v>7.36364280172114</v>
      </c>
      <c r="T675" s="6">
        <v>6.07541348646716</v>
      </c>
      <c r="U675" s="6">
        <v>0.33227700096719</v>
      </c>
    </row>
    <row r="676" ht="11.25" customHeight="1">
      <c r="A676" s="2" t="s">
        <v>704</v>
      </c>
      <c r="B676" s="5">
        <v>0.943316129925349</v>
      </c>
      <c r="C676" s="5">
        <v>1.14648258509324</v>
      </c>
      <c r="D676" s="5">
        <v>0.947008122067529</v>
      </c>
      <c r="E676" s="5">
        <v>0.0710265922437196</v>
      </c>
      <c r="F676" s="5">
        <v>0.398132305605427</v>
      </c>
      <c r="G676" s="5">
        <v>0.38991793888331</v>
      </c>
      <c r="H676" s="5">
        <v>0.398591295642677</v>
      </c>
      <c r="I676" s="5">
        <v>0.553563795233788</v>
      </c>
      <c r="J676" s="6">
        <v>2.306560198698</v>
      </c>
      <c r="K676" s="6">
        <v>2.87620156257767</v>
      </c>
      <c r="L676" s="6">
        <v>2.31316672528161</v>
      </c>
      <c r="M676" s="6">
        <v>0.0831459583159355</v>
      </c>
      <c r="N676" s="7">
        <v>0.353850253130828</v>
      </c>
      <c r="O676" s="7">
        <v>0.280575539568345</v>
      </c>
      <c r="P676" s="7">
        <v>0.618361262060334</v>
      </c>
      <c r="Q676" s="7">
        <v>0.825520912547529</v>
      </c>
      <c r="R676" s="6">
        <v>5.18249029122942</v>
      </c>
      <c r="S676" s="6">
        <v>6.95890405511313</v>
      </c>
      <c r="T676" s="6">
        <v>5.1777920480304</v>
      </c>
      <c r="U676" s="6">
        <v>0.16852790631585</v>
      </c>
    </row>
    <row r="677" ht="11.25" customHeight="1">
      <c r="A677" s="2" t="s">
        <v>705</v>
      </c>
      <c r="B677" s="5">
        <v>0.726742123705979</v>
      </c>
      <c r="C677" s="5">
        <v>0.906265286592889</v>
      </c>
      <c r="D677" s="5">
        <v>0.891239528199824</v>
      </c>
      <c r="E677" s="5">
        <v>0.270938112638619</v>
      </c>
      <c r="F677" s="5">
        <v>0.242828498368845</v>
      </c>
      <c r="G677" s="5">
        <v>0.250391459158523</v>
      </c>
      <c r="H677" s="5">
        <v>0.262355653060808</v>
      </c>
      <c r="I677" s="5">
        <v>0.369866886976103</v>
      </c>
      <c r="J677" s="6">
        <v>2.88986724548312</v>
      </c>
      <c r="K677" s="6">
        <v>3.51955010588024</v>
      </c>
      <c r="L677" s="6">
        <v>3.30177573112574</v>
      </c>
      <c r="M677" s="6">
        <v>0.664936822675098</v>
      </c>
      <c r="N677" s="7">
        <v>0.138992527578777</v>
      </c>
      <c r="O677" s="7">
        <v>0.141835479755158</v>
      </c>
      <c r="P677" s="7">
        <v>0.300636267232237</v>
      </c>
      <c r="Q677" s="7">
        <v>0.493894005859008</v>
      </c>
      <c r="R677" s="6">
        <v>6.16129478672078</v>
      </c>
      <c r="S677" s="6">
        <v>7.7689381944808</v>
      </c>
      <c r="T677" s="6">
        <v>6.86594956876942</v>
      </c>
      <c r="U677" s="6">
        <v>1.31867498351399</v>
      </c>
    </row>
    <row r="678" ht="11.25" customHeight="1">
      <c r="A678" s="2" t="s">
        <v>706</v>
      </c>
      <c r="B678" s="5">
        <v>0.334297682014699</v>
      </c>
      <c r="C678" s="5">
        <v>0.401418680337267</v>
      </c>
      <c r="D678" s="5">
        <v>0.38539840693436</v>
      </c>
      <c r="E678" s="5">
        <v>0.155350803342916</v>
      </c>
      <c r="F678" s="5">
        <v>0.148494910630103</v>
      </c>
      <c r="G678" s="5">
        <v>0.15359187592721</v>
      </c>
      <c r="H678" s="5">
        <v>0.174015778626284</v>
      </c>
      <c r="I678" s="5">
        <v>0.227228873333156</v>
      </c>
      <c r="J678" s="6">
        <v>2.08288405779207</v>
      </c>
      <c r="K678" s="6">
        <v>2.45077207414054</v>
      </c>
      <c r="L678" s="6">
        <v>2.07106740422861</v>
      </c>
      <c r="M678" s="6">
        <v>0.573654225498887</v>
      </c>
      <c r="N678" s="7">
        <v>0.091188451452884</v>
      </c>
      <c r="O678" s="7">
        <v>0.0883097542814598</v>
      </c>
      <c r="P678" s="7">
        <v>0.287241625089094</v>
      </c>
      <c r="Q678" s="7">
        <v>0.297358066329398</v>
      </c>
      <c r="R678" s="6">
        <v>4.14777022225952</v>
      </c>
      <c r="S678" s="6">
        <v>5.17369782236389</v>
      </c>
      <c r="T678" s="6">
        <v>3.8815468616592</v>
      </c>
      <c r="U678" s="6">
        <v>1.08562618171254</v>
      </c>
    </row>
    <row r="679" ht="11.25" customHeight="1">
      <c r="A679" s="2" t="s">
        <v>707</v>
      </c>
      <c r="B679" s="5">
        <v>0.345279012431612</v>
      </c>
      <c r="C679" s="5">
        <v>0.502328089926753</v>
      </c>
      <c r="D679" s="5">
        <v>0.406846459863234</v>
      </c>
      <c r="E679" s="5">
        <v>0.123776444965003</v>
      </c>
      <c r="F679" s="5">
        <v>0.163619944453443</v>
      </c>
      <c r="G679" s="5">
        <v>0.170209366300484</v>
      </c>
      <c r="H679" s="5">
        <v>0.16307749664301</v>
      </c>
      <c r="I679" s="5">
        <v>0.256956662162557</v>
      </c>
      <c r="J679" s="6">
        <v>1.95745704169178</v>
      </c>
      <c r="K679" s="6">
        <v>2.80435853972974</v>
      </c>
      <c r="L679" s="6">
        <v>2.3415030750633</v>
      </c>
      <c r="M679" s="6">
        <v>0.384408966608208</v>
      </c>
      <c r="N679" s="7">
        <v>0.119664930128697</v>
      </c>
      <c r="O679" s="7">
        <v>0.0837842282462585</v>
      </c>
      <c r="P679" s="7">
        <v>0.200120522667018</v>
      </c>
      <c r="Q679" s="7">
        <v>0.401622718052739</v>
      </c>
      <c r="R679" s="6">
        <v>3.88315845606216</v>
      </c>
      <c r="S679" s="6">
        <v>6.08939844812585</v>
      </c>
      <c r="T679" s="6">
        <v>4.67869394454079</v>
      </c>
      <c r="U679" s="6">
        <v>0.727298412656563</v>
      </c>
    </row>
    <row r="680" ht="11.25" customHeight="1">
      <c r="A680" s="2" t="s">
        <v>708</v>
      </c>
      <c r="B680" s="5">
        <v>0.489994407228582</v>
      </c>
      <c r="C680" s="5">
        <v>0.666491321436835</v>
      </c>
      <c r="D680" s="5">
        <v>0.482740875994867</v>
      </c>
      <c r="E680" s="5">
        <v>0.259577243976234</v>
      </c>
      <c r="F680" s="5">
        <v>0.177001749635126</v>
      </c>
      <c r="G680" s="5">
        <v>0.163615442352325</v>
      </c>
      <c r="H680" s="5">
        <v>0.173365379512506</v>
      </c>
      <c r="I680" s="5">
        <v>0.289576734674289</v>
      </c>
      <c r="J680" s="6">
        <v>2.62706107813694</v>
      </c>
      <c r="K680" s="6">
        <v>3.92072601591885</v>
      </c>
      <c r="L680" s="6">
        <v>2.64032459815223</v>
      </c>
      <c r="M680" s="6">
        <v>0.81006937328747</v>
      </c>
      <c r="N680" s="7">
        <v>0.0815580957705285</v>
      </c>
      <c r="O680" s="7">
        <v>0.0532117065754464</v>
      </c>
      <c r="P680" s="7">
        <v>0.0990175173199037</v>
      </c>
      <c r="Q680" s="7">
        <v>0.301493574157693</v>
      </c>
      <c r="R680" s="6">
        <v>5.46355050860186</v>
      </c>
      <c r="S680" s="6">
        <v>8.7074503308061</v>
      </c>
      <c r="T680" s="6">
        <v>5.64004253664133</v>
      </c>
      <c r="U680" s="6">
        <v>1.48917170018271</v>
      </c>
    </row>
    <row r="681" ht="11.25" customHeight="1">
      <c r="A681" s="2" t="s">
        <v>709</v>
      </c>
      <c r="B681" s="5">
        <v>0.447422370744312</v>
      </c>
      <c r="C681" s="5">
        <v>0.53909195909585</v>
      </c>
      <c r="D681" s="5">
        <v>0.260537608913833</v>
      </c>
      <c r="E681" s="5">
        <v>-0.0120359623769233</v>
      </c>
      <c r="F681" s="5">
        <v>0.232015595425369</v>
      </c>
      <c r="G681" s="5">
        <v>0.217366006387123</v>
      </c>
      <c r="H681" s="5">
        <v>0.249094763105207</v>
      </c>
      <c r="I681" s="5">
        <v>0.332631265854452</v>
      </c>
      <c r="J681" s="6">
        <v>1.82066369275676</v>
      </c>
      <c r="K681" s="6">
        <v>2.36509823978762</v>
      </c>
      <c r="L681" s="6">
        <v>0.945574310666468</v>
      </c>
      <c r="M681" s="6">
        <v>-0.111342396758123</v>
      </c>
      <c r="N681" s="7">
        <v>0.220606369967339</v>
      </c>
      <c r="O681" s="7">
        <v>0.103156049094096</v>
      </c>
      <c r="P681" s="7">
        <v>0.571765988372093</v>
      </c>
      <c r="Q681" s="7">
        <v>0.760342048938215</v>
      </c>
      <c r="R681" s="6">
        <v>3.93211519169729</v>
      </c>
      <c r="S681" s="6">
        <v>5.2909962481732</v>
      </c>
      <c r="T681" s="6">
        <v>1.65054985407807</v>
      </c>
      <c r="U681" s="6">
        <v>-0.208902720801857</v>
      </c>
    </row>
    <row r="682" ht="11.25" customHeight="1">
      <c r="A682" s="2" t="s">
        <v>710</v>
      </c>
      <c r="B682" s="5">
        <v>0.42550044682753</v>
      </c>
      <c r="C682" s="5">
        <v>0.558886470721695</v>
      </c>
      <c r="D682" s="5">
        <v>0.502653177783664</v>
      </c>
      <c r="E682" s="5">
        <v>0.149831344790594</v>
      </c>
      <c r="F682" s="5">
        <v>0.174948505719756</v>
      </c>
      <c r="G682" s="5">
        <v>0.170189266582104</v>
      </c>
      <c r="H682" s="5">
        <v>0.16685855211009</v>
      </c>
      <c r="I682" s="5">
        <v>0.27636140674775</v>
      </c>
      <c r="J682" s="6">
        <v>2.2892475999142</v>
      </c>
      <c r="K682" s="6">
        <v>3.13701610826399</v>
      </c>
      <c r="L682" s="6">
        <v>2.86262329226323</v>
      </c>
      <c r="M682" s="6">
        <v>0.451696010161559</v>
      </c>
      <c r="N682" s="7">
        <v>0.135003739715781</v>
      </c>
      <c r="O682" s="7">
        <v>0.097831102907245</v>
      </c>
      <c r="P682" s="7">
        <v>0.149303791944908</v>
      </c>
      <c r="Q682" s="7">
        <v>0.433429579724094</v>
      </c>
      <c r="R682" s="6">
        <v>4.8570621866033</v>
      </c>
      <c r="S682" s="6">
        <v>7.0580353128835</v>
      </c>
      <c r="T682" s="6">
        <v>6.04979091771461</v>
      </c>
      <c r="U682" s="6">
        <v>0.848721835457306</v>
      </c>
    </row>
    <row r="683" ht="11.25" customHeight="1">
      <c r="A683" s="2" t="s">
        <v>711</v>
      </c>
      <c r="B683" s="5">
        <v>0.35995515230321</v>
      </c>
      <c r="C683" s="5">
        <v>0.522547933323148</v>
      </c>
      <c r="D683" s="5">
        <v>0.457194130665758</v>
      </c>
      <c r="E683" s="5">
        <v>0.174276157937089</v>
      </c>
      <c r="F683" s="5">
        <v>0.146974530629839</v>
      </c>
      <c r="G683" s="5">
        <v>0.150705227261846</v>
      </c>
      <c r="H683" s="5">
        <v>0.147783461778433</v>
      </c>
      <c r="I683" s="5">
        <v>0.241566444032582</v>
      </c>
      <c r="J683" s="6">
        <v>2.27900134035335</v>
      </c>
      <c r="K683" s="6">
        <v>3.3014643377875</v>
      </c>
      <c r="L683" s="6">
        <v>2.9245094509542</v>
      </c>
      <c r="M683" s="6">
        <v>0.617950719665997</v>
      </c>
      <c r="N683" s="7">
        <v>0.1150871673876</v>
      </c>
      <c r="O683" s="7">
        <v>0.0836044242029926</v>
      </c>
      <c r="P683" s="7">
        <v>0.247720309415061</v>
      </c>
      <c r="Q683" s="7">
        <v>0.427783644256717</v>
      </c>
      <c r="R683" s="6">
        <v>4.62680531010701</v>
      </c>
      <c r="S683" s="6">
        <v>7.43871095659313</v>
      </c>
      <c r="T683" s="6">
        <v>6.0448451995322</v>
      </c>
      <c r="U683" s="6">
        <v>1.15179111554682</v>
      </c>
    </row>
    <row r="684" ht="11.25" customHeight="1">
      <c r="A684" s="2" t="s">
        <v>712</v>
      </c>
      <c r="B684" s="5">
        <v>0.457161579404725</v>
      </c>
      <c r="C684" s="5">
        <v>0.621419589277266</v>
      </c>
      <c r="D684" s="5">
        <v>0.502035653835455</v>
      </c>
      <c r="E684" s="5">
        <v>0.270296651956281</v>
      </c>
      <c r="F684" s="5">
        <v>0.142784898196989</v>
      </c>
      <c r="G684" s="5">
        <v>0.154162482036059</v>
      </c>
      <c r="H684" s="5">
        <v>0.131753529875452</v>
      </c>
      <c r="I684" s="5">
        <v>0.242662026460704</v>
      </c>
      <c r="J684" s="6">
        <v>3.02666167684276</v>
      </c>
      <c r="K684" s="6">
        <v>3.86877261834537</v>
      </c>
      <c r="L684" s="6">
        <v>3.62066697026181</v>
      </c>
      <c r="M684" s="6">
        <v>1.01085718080411</v>
      </c>
      <c r="N684" s="7">
        <v>0.0701324884792628</v>
      </c>
      <c r="O684" s="7">
        <v>0.0701008382942532</v>
      </c>
      <c r="P684" s="7">
        <v>0.131788073853565</v>
      </c>
      <c r="Q684" s="7">
        <v>0.315108473586925</v>
      </c>
      <c r="R684" s="6">
        <v>6.16623673087612</v>
      </c>
      <c r="S684" s="6">
        <v>8.48599255079348</v>
      </c>
      <c r="T684" s="6">
        <v>7.91911230047709</v>
      </c>
      <c r="U684" s="6">
        <v>1.90182081860997</v>
      </c>
    </row>
    <row r="685" ht="11.25" customHeight="1">
      <c r="A685" s="2" t="s">
        <v>713</v>
      </c>
      <c r="B685" s="5">
        <v>0.773827830724147</v>
      </c>
      <c r="C685" s="5">
        <v>0.882076714048337</v>
      </c>
      <c r="D685" s="5">
        <v>0.810813079238812</v>
      </c>
      <c r="E685" s="5">
        <v>0.229736013268146</v>
      </c>
      <c r="F685" s="5">
        <v>0.260461881520489</v>
      </c>
      <c r="G685" s="5">
        <v>0.263627945839403</v>
      </c>
      <c r="H685" s="5">
        <v>0.241668580774849</v>
      </c>
      <c r="I685" s="5">
        <v>0.375992331147683</v>
      </c>
      <c r="J685" s="6">
        <v>2.87499969804694</v>
      </c>
      <c r="K685" s="6">
        <v>3.25108444523726</v>
      </c>
      <c r="L685" s="6">
        <v>3.25161457364171</v>
      </c>
      <c r="M685" s="6">
        <v>0.54452177958845</v>
      </c>
      <c r="N685" s="7">
        <v>0.0948111923173553</v>
      </c>
      <c r="O685" s="7">
        <v>0.134199864653318</v>
      </c>
      <c r="P685" s="7">
        <v>0.15938323269782</v>
      </c>
      <c r="Q685" s="7">
        <v>0.50629831090753</v>
      </c>
      <c r="R685" s="6">
        <v>6.77030778176813</v>
      </c>
      <c r="S685" s="6">
        <v>8.04840730262498</v>
      </c>
      <c r="T685" s="6">
        <v>7.65672681306579</v>
      </c>
      <c r="U685" s="6">
        <v>1.09150940516315</v>
      </c>
    </row>
    <row r="686" ht="11.25" customHeight="1">
      <c r="A686" s="2" t="s">
        <v>714</v>
      </c>
      <c r="B686" s="5">
        <v>0.253028825610328</v>
      </c>
      <c r="C686" s="5">
        <v>0.319197288955505</v>
      </c>
      <c r="D686" s="5">
        <v>0.273538304209498</v>
      </c>
      <c r="E686" s="5">
        <v>0.130751017050891</v>
      </c>
      <c r="F686" s="5">
        <v>0.0940706280790769</v>
      </c>
      <c r="G686" s="5">
        <v>0.108502195251141</v>
      </c>
      <c r="H686" s="5">
        <v>0.126177442509087</v>
      </c>
      <c r="I686" s="5">
        <v>0.167427560312402</v>
      </c>
      <c r="J686" s="6">
        <v>2.42401725455308</v>
      </c>
      <c r="K686" s="6">
        <v>2.71144089089212</v>
      </c>
      <c r="L686" s="6">
        <v>1.96975227320523</v>
      </c>
      <c r="M686" s="6">
        <v>0.631622516947453</v>
      </c>
      <c r="N686" s="7">
        <v>0.0497530874837329</v>
      </c>
      <c r="O686" s="7">
        <v>0.0603305785123969</v>
      </c>
      <c r="P686" s="7">
        <v>0.230781398291679</v>
      </c>
      <c r="Q686" s="7">
        <v>0.249421206976384</v>
      </c>
      <c r="R686" s="6">
        <v>5.04158086547147</v>
      </c>
      <c r="S686" s="6">
        <v>5.9630352217902</v>
      </c>
      <c r="T686" s="6">
        <v>3.77954851613186</v>
      </c>
      <c r="U686" s="6">
        <v>1.19183869649184</v>
      </c>
    </row>
    <row r="687" ht="11.25" customHeight="1">
      <c r="A687" s="2" t="s">
        <v>715</v>
      </c>
      <c r="B687" s="5">
        <v>0.289065582024701</v>
      </c>
      <c r="C687" s="5">
        <v>0.432949278287699</v>
      </c>
      <c r="D687" s="5">
        <v>0.371327341610357</v>
      </c>
      <c r="E687" s="5">
        <v>0.111259917718298</v>
      </c>
      <c r="F687" s="5">
        <v>0.154991787365553</v>
      </c>
      <c r="G687" s="5">
        <v>0.159134870635188</v>
      </c>
      <c r="H687" s="5">
        <v>0.147599347416371</v>
      </c>
      <c r="I687" s="5">
        <v>0.256175418854443</v>
      </c>
      <c r="J687" s="6">
        <v>1.70373918846354</v>
      </c>
      <c r="K687" s="6">
        <v>2.56354422295607</v>
      </c>
      <c r="L687" s="6">
        <v>2.34640157746349</v>
      </c>
      <c r="M687" s="6">
        <v>0.336722071555624</v>
      </c>
      <c r="N687" s="7">
        <v>0.0905683947532793</v>
      </c>
      <c r="O687" s="7">
        <v>0.0905683947532793</v>
      </c>
      <c r="P687" s="7">
        <v>0.112352575933036</v>
      </c>
      <c r="Q687" s="7">
        <v>0.392797519675649</v>
      </c>
      <c r="R687" s="6">
        <v>3.35416555785009</v>
      </c>
      <c r="S687" s="6">
        <v>5.63244892822512</v>
      </c>
      <c r="T687" s="6">
        <v>4.81012010613271</v>
      </c>
      <c r="U687" s="6">
        <v>0.600404517828504</v>
      </c>
    </row>
    <row r="688" ht="11.25" customHeight="1">
      <c r="A688" s="2" t="s">
        <v>716</v>
      </c>
      <c r="B688" s="5">
        <v>0.25544246767264</v>
      </c>
      <c r="C688" s="5">
        <v>0.344705832427582</v>
      </c>
      <c r="D688" s="5">
        <v>0.268701745205917</v>
      </c>
      <c r="E688" s="5">
        <v>0.0986679848880551</v>
      </c>
      <c r="F688" s="5">
        <v>0.132582168614307</v>
      </c>
      <c r="G688" s="5">
        <v>0.141867873365591</v>
      </c>
      <c r="H688" s="5">
        <v>0.157098675674053</v>
      </c>
      <c r="I688" s="5">
        <v>0.210541099426766</v>
      </c>
      <c r="J688" s="6">
        <v>1.73811056253738</v>
      </c>
      <c r="K688" s="6">
        <v>2.25354637976213</v>
      </c>
      <c r="L688" s="6">
        <v>1.55126543339898</v>
      </c>
      <c r="M688" s="6">
        <v>0.349898357558826</v>
      </c>
      <c r="N688" s="7">
        <v>0.103048146865258</v>
      </c>
      <c r="O688" s="7">
        <v>0.103048146865258</v>
      </c>
      <c r="P688" s="7">
        <v>0.346187427240977</v>
      </c>
      <c r="Q688" s="7">
        <v>0.367004790081713</v>
      </c>
      <c r="R688" s="6">
        <v>3.3501228309955</v>
      </c>
      <c r="S688" s="6">
        <v>4.82893705466037</v>
      </c>
      <c r="T688" s="6">
        <v>2.89917425729274</v>
      </c>
      <c r="U688" s="6">
        <v>0.659772659248585</v>
      </c>
    </row>
    <row r="689" ht="11.25" customHeight="1">
      <c r="A689" s="2" t="s">
        <v>717</v>
      </c>
      <c r="B689" s="5">
        <v>0.320482522938367</v>
      </c>
      <c r="C689" s="5">
        <v>0.435141805239376</v>
      </c>
      <c r="D689" s="5">
        <v>0.392945407695985</v>
      </c>
      <c r="E689" s="5">
        <v>0.190311508429903</v>
      </c>
      <c r="F689" s="5">
        <v>0.117701467269512</v>
      </c>
      <c r="G689" s="5">
        <v>0.132650603486909</v>
      </c>
      <c r="H689" s="5">
        <v>0.151999815133835</v>
      </c>
      <c r="I689" s="5">
        <v>0.199703627438454</v>
      </c>
      <c r="J689" s="6">
        <v>2.51044043709134</v>
      </c>
      <c r="K689" s="6">
        <v>3.09189550939247</v>
      </c>
      <c r="L689" s="6">
        <v>2.42069641579504</v>
      </c>
      <c r="M689" s="6">
        <v>0.827784204775397</v>
      </c>
      <c r="N689" s="7">
        <v>0.0753004576796502</v>
      </c>
      <c r="O689" s="7">
        <v>0.0637638946361446</v>
      </c>
      <c r="P689" s="7">
        <v>0.253725372537253</v>
      </c>
      <c r="Q689" s="7">
        <v>0.287501193545307</v>
      </c>
      <c r="R689" s="6">
        <v>5.33987722812713</v>
      </c>
      <c r="S689" s="6">
        <v>6.9836956766764</v>
      </c>
      <c r="T689" s="6">
        <v>4.69874792874371</v>
      </c>
      <c r="U689" s="6">
        <v>1.57513611685081</v>
      </c>
    </row>
    <row r="690" ht="11.25" customHeight="1">
      <c r="A690" s="2" t="s">
        <v>718</v>
      </c>
      <c r="B690" s="5">
        <v>0.397491436931328</v>
      </c>
      <c r="C690" s="5">
        <v>0.541159069949893</v>
      </c>
      <c r="D690" s="5">
        <v>0.362127530500511</v>
      </c>
      <c r="E690" s="5">
        <v>0.253352324284372</v>
      </c>
      <c r="F690" s="5">
        <v>0.131796595595793</v>
      </c>
      <c r="G690" s="5">
        <v>0.140544794338389</v>
      </c>
      <c r="H690" s="5">
        <v>0.12224261014173</v>
      </c>
      <c r="I690" s="5">
        <v>0.222055050518346</v>
      </c>
      <c r="J690" s="6">
        <v>2.82625992915417</v>
      </c>
      <c r="K690" s="6">
        <v>3.67255914656744</v>
      </c>
      <c r="L690" s="6">
        <v>2.75785611997026</v>
      </c>
      <c r="M690" s="6">
        <v>1.02835906569711</v>
      </c>
      <c r="N690" s="7">
        <v>0.0891079349433219</v>
      </c>
      <c r="O690" s="7">
        <v>0.100835750031677</v>
      </c>
      <c r="P690" s="7">
        <v>0.113078169804263</v>
      </c>
      <c r="Q690" s="7">
        <v>0.339102176541717</v>
      </c>
      <c r="R690" s="6">
        <v>5.76142642755751</v>
      </c>
      <c r="S690" s="6">
        <v>7.90268713944281</v>
      </c>
      <c r="T690" s="6">
        <v>5.62931492313349</v>
      </c>
      <c r="U690" s="6">
        <v>1.90242916334449</v>
      </c>
    </row>
    <row r="691" ht="11.25" customHeight="1">
      <c r="A691" s="2" t="s">
        <v>719</v>
      </c>
      <c r="B691" s="5">
        <v>0.335580934331502</v>
      </c>
      <c r="C691" s="5">
        <v>0.479777426430008</v>
      </c>
      <c r="D691" s="5">
        <v>0.503884937499789</v>
      </c>
      <c r="E691" s="5">
        <v>-0.014071345436625</v>
      </c>
      <c r="F691" s="5">
        <v>0.209029966429047</v>
      </c>
      <c r="G691" s="5">
        <v>0.201614452162511</v>
      </c>
      <c r="H691" s="5">
        <v>0.196810358136801</v>
      </c>
      <c r="I691" s="5">
        <v>0.291872855644349</v>
      </c>
      <c r="J691" s="6">
        <v>1.48582014166339</v>
      </c>
      <c r="K691" s="6">
        <v>2.25567870533128</v>
      </c>
      <c r="L691" s="6">
        <v>2.43323035450664</v>
      </c>
      <c r="M691" s="6">
        <v>-0.133864265487688</v>
      </c>
      <c r="N691" s="7">
        <v>0.231718285231122</v>
      </c>
      <c r="O691" s="7">
        <v>0.116519174041298</v>
      </c>
      <c r="P691" s="7">
        <v>0.17356266538369</v>
      </c>
      <c r="Q691" s="7">
        <v>0.698697068403909</v>
      </c>
      <c r="R691" s="6">
        <v>3.14282278745783</v>
      </c>
      <c r="S691" s="6">
        <v>5.0251226484302</v>
      </c>
      <c r="T691" s="6">
        <v>5.482842510431</v>
      </c>
      <c r="U691" s="6">
        <v>-0.260182894250277</v>
      </c>
    </row>
    <row r="692" ht="11.25" customHeight="1">
      <c r="A692" s="2" t="s">
        <v>720</v>
      </c>
      <c r="B692" s="5">
        <v>0.675656431208878</v>
      </c>
      <c r="C692" s="5">
        <v>0.785904656378178</v>
      </c>
      <c r="D692" s="5">
        <v>0.479902129602336</v>
      </c>
      <c r="E692" s="5">
        <v>-0.0789141425566993</v>
      </c>
      <c r="F692" s="5">
        <v>0.319353277267834</v>
      </c>
      <c r="G692" s="5">
        <v>0.308349114818311</v>
      </c>
      <c r="H692" s="5">
        <v>0.356600185203229</v>
      </c>
      <c r="I692" s="5">
        <v>0.475369207724054</v>
      </c>
      <c r="J692" s="6">
        <v>2.03741898869942</v>
      </c>
      <c r="K692" s="6">
        <v>2.46767258218505</v>
      </c>
      <c r="L692" s="6">
        <v>1.27566431111942</v>
      </c>
      <c r="M692" s="6">
        <v>-0.218596705188822</v>
      </c>
      <c r="N692" s="7">
        <v>0.270291831574896</v>
      </c>
      <c r="O692" s="7">
        <v>0.13910689815314</v>
      </c>
      <c r="P692" s="7">
        <v>0.621840356942411</v>
      </c>
      <c r="Q692" s="7">
        <v>0.90964649490713</v>
      </c>
      <c r="R692" s="6">
        <v>4.31039434079008</v>
      </c>
      <c r="S692" s="6">
        <v>5.45397703940503</v>
      </c>
      <c r="T692" s="6">
        <v>2.36107056777611</v>
      </c>
      <c r="U692" s="6">
        <v>-0.420851945607248</v>
      </c>
    </row>
    <row r="693" ht="11.25" customHeight="1">
      <c r="A693" s="2" t="s">
        <v>721</v>
      </c>
      <c r="B693" s="5">
        <v>0.440276204938032</v>
      </c>
      <c r="C693" s="5">
        <v>0.491173599757654</v>
      </c>
      <c r="D693" s="5">
        <v>0.540006329452002</v>
      </c>
      <c r="E693" s="5">
        <v>0.0748472084845623</v>
      </c>
      <c r="F693" s="5">
        <v>0.219384445236725</v>
      </c>
      <c r="G693" s="5">
        <v>0.220050137956198</v>
      </c>
      <c r="H693" s="5">
        <v>0.201804274210864</v>
      </c>
      <c r="I693" s="5">
        <v>0.315262742455122</v>
      </c>
      <c r="J693" s="6">
        <v>1.89291544571417</v>
      </c>
      <c r="K693" s="6">
        <v>2.118488104972</v>
      </c>
      <c r="L693" s="6">
        <v>2.55200902689441</v>
      </c>
      <c r="M693" s="6">
        <v>0.158113223580988</v>
      </c>
      <c r="N693" s="7">
        <v>0.127214540229203</v>
      </c>
      <c r="O693" s="7">
        <v>0.123546237979871</v>
      </c>
      <c r="P693" s="7">
        <v>0.219852337981952</v>
      </c>
      <c r="Q693" s="7">
        <v>0.534849810440361</v>
      </c>
      <c r="R693" s="6">
        <v>4.015741133914</v>
      </c>
      <c r="S693" s="6">
        <v>5.00922815673602</v>
      </c>
      <c r="T693" s="6">
        <v>6.02099602088422</v>
      </c>
      <c r="U693" s="6">
        <v>0.303448396197237</v>
      </c>
    </row>
    <row r="694" ht="11.25" customHeight="1">
      <c r="A694" s="2" t="s">
        <v>722</v>
      </c>
      <c r="B694" s="5">
        <v>0.491178736785776</v>
      </c>
      <c r="C694" s="5">
        <v>0.752203518871254</v>
      </c>
      <c r="D694" s="5">
        <v>0.556705649636265</v>
      </c>
      <c r="E694" s="5">
        <v>0.266180695271539</v>
      </c>
      <c r="F694" s="5">
        <v>0.211759762341606</v>
      </c>
      <c r="G694" s="5">
        <v>0.216488006173133</v>
      </c>
      <c r="H694" s="5">
        <v>0.226540364447778</v>
      </c>
      <c r="I694" s="5">
        <v>0.313314504722429</v>
      </c>
      <c r="J694" s="6">
        <v>2.20145098214525</v>
      </c>
      <c r="K694" s="6">
        <v>3.35909379797088</v>
      </c>
      <c r="L694" s="6">
        <v>2.3470680420788</v>
      </c>
      <c r="M694" s="6">
        <v>0.769771879808774</v>
      </c>
      <c r="N694" s="7">
        <v>0.157817649212742</v>
      </c>
      <c r="O694" s="7">
        <v>0.130245837411945</v>
      </c>
      <c r="P694" s="7">
        <v>0.336146272855133</v>
      </c>
      <c r="Q694" s="7">
        <v>0.364523729384045</v>
      </c>
      <c r="R694" s="6">
        <v>4.62178622853835</v>
      </c>
      <c r="S694" s="6">
        <v>8.11225546221094</v>
      </c>
      <c r="T694" s="6">
        <v>4.89767727833</v>
      </c>
      <c r="U694" s="6">
        <v>1.52853330404113</v>
      </c>
    </row>
    <row r="695" ht="11.25" customHeight="1">
      <c r="A695" s="2" t="s">
        <v>723</v>
      </c>
      <c r="B695" s="5">
        <v>0.482147126586044</v>
      </c>
      <c r="C695" s="5">
        <v>0.66642927812123</v>
      </c>
      <c r="D695" s="5">
        <v>0.412789786127069</v>
      </c>
      <c r="E695" s="5">
        <v>0.211327530627245</v>
      </c>
      <c r="F695" s="5">
        <v>0.184144459908541</v>
      </c>
      <c r="G695" s="5">
        <v>0.215476199075545</v>
      </c>
      <c r="H695" s="5">
        <v>0.222220336486829</v>
      </c>
      <c r="I695" s="5">
        <v>0.297221349199269</v>
      </c>
      <c r="J695" s="6">
        <v>2.48254618582114</v>
      </c>
      <c r="K695" s="6">
        <v>2.97679874098923</v>
      </c>
      <c r="L695" s="6">
        <v>1.74506884589319</v>
      </c>
      <c r="M695" s="6">
        <v>0.626898206098661</v>
      </c>
      <c r="N695" s="7">
        <v>0.164356435643564</v>
      </c>
      <c r="O695" s="7">
        <v>0.164356435643564</v>
      </c>
      <c r="P695" s="7">
        <v>0.530041181445039</v>
      </c>
      <c r="Q695" s="7">
        <v>0.52587870145122</v>
      </c>
      <c r="R695" s="6">
        <v>5.36957761148066</v>
      </c>
      <c r="S695" s="6">
        <v>7.33837314671441</v>
      </c>
      <c r="T695" s="6">
        <v>3.6535920358161</v>
      </c>
      <c r="U695" s="6">
        <v>1.19953208661137</v>
      </c>
    </row>
    <row r="696" ht="11.25" customHeight="1">
      <c r="A696" s="2" t="s">
        <v>724</v>
      </c>
      <c r="B696" s="5">
        <v>1.39045552537947</v>
      </c>
      <c r="C696" s="5">
        <v>2.12800392894761</v>
      </c>
      <c r="D696" s="5">
        <v>1.17234699863417</v>
      </c>
      <c r="E696" s="5">
        <v>0.380252677329363</v>
      </c>
      <c r="F696" s="5">
        <v>0.476965925261999</v>
      </c>
      <c r="G696" s="5">
        <v>0.470080470385937</v>
      </c>
      <c r="H696" s="5">
        <v>0.384522752294775</v>
      </c>
      <c r="I696" s="5">
        <v>0.631583263082581</v>
      </c>
      <c r="J696" s="6">
        <v>2.86279470515513</v>
      </c>
      <c r="K696" s="6">
        <v>4.47371048454968</v>
      </c>
      <c r="L696" s="6">
        <v>2.98382083189348</v>
      </c>
      <c r="M696" s="6">
        <v>0.562479562228224</v>
      </c>
      <c r="N696" s="7">
        <v>0.359024720987399</v>
      </c>
      <c r="O696" s="7">
        <v>0.2611574301128</v>
      </c>
      <c r="P696" s="7">
        <v>0.338644810949125</v>
      </c>
      <c r="Q696" s="7">
        <v>0.618575568095165</v>
      </c>
      <c r="R696" s="6">
        <v>6.0166637521445</v>
      </c>
      <c r="S696" s="6">
        <v>10.6689189948642</v>
      </c>
      <c r="T696" s="6">
        <v>6.40040886782731</v>
      </c>
      <c r="U696" s="6">
        <v>1.107544683362</v>
      </c>
    </row>
    <row r="697" ht="11.25" customHeight="1">
      <c r="A697" s="2" t="s">
        <v>725</v>
      </c>
      <c r="B697" s="5">
        <v>0.519723796205416</v>
      </c>
      <c r="C697" s="5">
        <v>0.596976893130898</v>
      </c>
      <c r="D697" s="5">
        <v>0.568930561915576</v>
      </c>
      <c r="E697" s="5">
        <v>0.122948979830369</v>
      </c>
      <c r="F697" s="5">
        <v>0.210857985764205</v>
      </c>
      <c r="G697" s="5">
        <v>0.215058394210828</v>
      </c>
      <c r="H697" s="5">
        <v>0.22664690507165</v>
      </c>
      <c r="I697" s="5">
        <v>0.308319436672932</v>
      </c>
      <c r="J697" s="6">
        <v>2.34624168685101</v>
      </c>
      <c r="K697" s="6">
        <v>2.65963528291841</v>
      </c>
      <c r="L697" s="6">
        <v>2.3999028874611</v>
      </c>
      <c r="M697" s="6">
        <v>0.317686685235723</v>
      </c>
      <c r="N697" s="7">
        <v>0.113276612584091</v>
      </c>
      <c r="O697" s="7">
        <v>0.113276612584091</v>
      </c>
      <c r="P697" s="7">
        <v>0.240975987606506</v>
      </c>
      <c r="Q697" s="7">
        <v>0.497319201995012</v>
      </c>
      <c r="R697" s="6">
        <v>5.24272666130427</v>
      </c>
      <c r="S697" s="6">
        <v>6.26578142158608</v>
      </c>
      <c r="T697" s="6">
        <v>5.02209349235826</v>
      </c>
      <c r="U697" s="6">
        <v>0.62214505314721</v>
      </c>
    </row>
    <row r="698" ht="11.25" customHeight="1">
      <c r="A698" s="2" t="s">
        <v>726</v>
      </c>
      <c r="B698" s="5">
        <v>1.04800774260915</v>
      </c>
      <c r="C698" s="5">
        <v>1.12829938886256</v>
      </c>
      <c r="D698" s="5">
        <v>0.849890596973105</v>
      </c>
      <c r="E698" s="5">
        <v>0.440594401625745</v>
      </c>
      <c r="F698" s="5">
        <v>0.291178641234376</v>
      </c>
      <c r="G698" s="5">
        <v>0.287435892549329</v>
      </c>
      <c r="H698" s="5">
        <v>0.324135196494766</v>
      </c>
      <c r="I698" s="5">
        <v>0.416745744924301</v>
      </c>
      <c r="J698" s="6">
        <v>3.51333373310756</v>
      </c>
      <c r="K698" s="6">
        <v>3.8384189917173</v>
      </c>
      <c r="L698" s="6">
        <v>2.54489671560991</v>
      </c>
      <c r="M698" s="6">
        <v>0.997237300410192</v>
      </c>
      <c r="N698" s="7">
        <v>0.227413782574111</v>
      </c>
      <c r="O698" s="7">
        <v>0.119532691580624</v>
      </c>
      <c r="P698" s="7">
        <v>0.429784168397744</v>
      </c>
      <c r="Q698" s="7">
        <v>0.602927489635333</v>
      </c>
      <c r="R698" s="6">
        <v>8.37078027292179</v>
      </c>
      <c r="S698" s="6">
        <v>10.05184760916</v>
      </c>
      <c r="T698" s="6">
        <v>5.03706938061691</v>
      </c>
      <c r="U698" s="6">
        <v>1.94550671041444</v>
      </c>
    </row>
    <row r="699" ht="11.25" customHeight="1">
      <c r="A699" s="2" t="s">
        <v>727</v>
      </c>
      <c r="B699" s="5">
        <v>1.03959372633883</v>
      </c>
      <c r="C699" s="5">
        <v>0.90958110844707</v>
      </c>
      <c r="D699" s="5">
        <v>1.62409868375681</v>
      </c>
      <c r="E699" s="5">
        <v>0.565234612689959</v>
      </c>
      <c r="F699" s="5">
        <v>0.322410436522893</v>
      </c>
      <c r="G699" s="5">
        <v>0.349001453025049</v>
      </c>
      <c r="H699" s="5">
        <v>0.359193497657261</v>
      </c>
      <c r="I699" s="5">
        <v>0.451655262743869</v>
      </c>
      <c r="J699" s="6">
        <v>3.146901003829</v>
      </c>
      <c r="K699" s="6">
        <v>2.53460580401531</v>
      </c>
      <c r="L699" s="6">
        <v>4.45191434195353</v>
      </c>
      <c r="M699" s="6">
        <v>1.19612159373048</v>
      </c>
      <c r="N699" s="7">
        <v>0.069233035451242</v>
      </c>
      <c r="O699" s="7">
        <v>0.0893063854234989</v>
      </c>
      <c r="P699" s="7">
        <v>0.112654644311709</v>
      </c>
      <c r="Q699" s="7">
        <v>0.173054587688733</v>
      </c>
      <c r="R699" s="6">
        <v>8.0373373150428</v>
      </c>
      <c r="S699" s="6">
        <v>6.26401504021156</v>
      </c>
      <c r="T699" s="6">
        <v>11.2619072553279</v>
      </c>
      <c r="U699" s="6">
        <v>2.66048702405499</v>
      </c>
    </row>
    <row r="700" ht="11.25" customHeight="1">
      <c r="A700" s="2" t="s">
        <v>728</v>
      </c>
      <c r="B700" s="5">
        <v>3.2956984189672</v>
      </c>
      <c r="C700" s="5">
        <v>5.64991947690814</v>
      </c>
      <c r="D700" s="5">
        <v>2.61658203926998</v>
      </c>
      <c r="E700" s="5">
        <v>2.08275404692328</v>
      </c>
      <c r="F700" s="5">
        <v>0.683751977420369</v>
      </c>
      <c r="G700" s="5">
        <v>0.681343308141944</v>
      </c>
      <c r="H700" s="5">
        <v>0.707627041440668</v>
      </c>
      <c r="I700" s="5">
        <v>0.852681843047583</v>
      </c>
      <c r="J700" s="6">
        <v>4.78345734561054</v>
      </c>
      <c r="K700" s="6">
        <v>8.25563179338704</v>
      </c>
      <c r="L700" s="6">
        <v>3.66235585626256</v>
      </c>
      <c r="M700" s="6">
        <v>2.41327297362007</v>
      </c>
      <c r="N700" s="7">
        <v>0.233367563197797</v>
      </c>
      <c r="O700" s="7">
        <v>0.157923983107357</v>
      </c>
      <c r="P700" s="7">
        <v>0.366967282256553</v>
      </c>
      <c r="Q700" s="7">
        <v>0.492398916141745</v>
      </c>
      <c r="R700" s="6">
        <v>11.8580124246982</v>
      </c>
      <c r="S700" s="6">
        <v>22.324569208291</v>
      </c>
      <c r="T700" s="6">
        <v>8.74662216908536</v>
      </c>
      <c r="U700" s="6">
        <v>5.47549343599645</v>
      </c>
    </row>
    <row r="701" ht="11.25" customHeight="1">
      <c r="A701" s="2" t="s">
        <v>729</v>
      </c>
      <c r="B701" s="5">
        <v>0.59202686328901</v>
      </c>
      <c r="C701" s="5">
        <v>0.715968162947688</v>
      </c>
      <c r="D701" s="5">
        <v>0.510320729192101</v>
      </c>
      <c r="E701" s="5">
        <v>0.372613463213167</v>
      </c>
      <c r="F701" s="5">
        <v>0.194646481488578</v>
      </c>
      <c r="G701" s="5">
        <v>0.219260199304586</v>
      </c>
      <c r="H701" s="5">
        <v>0.22339981806415</v>
      </c>
      <c r="I701" s="5">
        <v>0.298129400436698</v>
      </c>
      <c r="J701" s="6">
        <v>2.91311129259885</v>
      </c>
      <c r="K701" s="6">
        <v>3.1513615564484</v>
      </c>
      <c r="L701" s="6">
        <v>2.17243117473238</v>
      </c>
      <c r="M701" s="6">
        <v>1.16598182770295</v>
      </c>
      <c r="N701" s="7">
        <v>0.116050808314087</v>
      </c>
      <c r="O701" s="7">
        <v>0.108822331077883</v>
      </c>
      <c r="P701" s="7">
        <v>0.36383716715617</v>
      </c>
      <c r="Q701" s="7">
        <v>0.360700979715744</v>
      </c>
      <c r="R701" s="6">
        <v>6.7198548703245</v>
      </c>
      <c r="S701" s="6">
        <v>7.42898213769264</v>
      </c>
      <c r="T701" s="6">
        <v>4.38189417164584</v>
      </c>
      <c r="U701" s="6">
        <v>2.31958241840367</v>
      </c>
    </row>
    <row r="702">
      <c r="A702" s="8"/>
      <c r="B702" s="9"/>
      <c r="C702" s="9"/>
      <c r="D702" s="9"/>
      <c r="E702" s="9"/>
      <c r="F702" s="9"/>
      <c r="G702" s="9"/>
      <c r="H702" s="9"/>
      <c r="I702" s="9"/>
      <c r="J702" s="10"/>
      <c r="K702" s="10"/>
      <c r="L702" s="10"/>
      <c r="M702" s="10"/>
      <c r="N702" s="11"/>
      <c r="O702" s="11"/>
      <c r="P702" s="11"/>
      <c r="Q702" s="11"/>
      <c r="R702" s="10"/>
      <c r="S702" s="10"/>
      <c r="T702" s="10"/>
      <c r="U702" s="10"/>
    </row>
    <row r="703">
      <c r="A703" s="8"/>
      <c r="B703" s="9"/>
      <c r="C703" s="9"/>
      <c r="D703" s="9"/>
      <c r="E703" s="9"/>
      <c r="F703" s="9"/>
      <c r="G703" s="9"/>
      <c r="H703" s="9"/>
      <c r="I703" s="9"/>
      <c r="J703" s="10"/>
      <c r="K703" s="10"/>
      <c r="L703" s="10"/>
      <c r="M703" s="10"/>
      <c r="N703" s="11"/>
      <c r="O703" s="11"/>
      <c r="P703" s="11"/>
      <c r="Q703" s="11"/>
      <c r="R703" s="10"/>
      <c r="S703" s="10"/>
      <c r="T703" s="10"/>
      <c r="U703" s="10"/>
    </row>
    <row r="704">
      <c r="A704" s="8"/>
      <c r="B704" s="9"/>
      <c r="C704" s="9"/>
      <c r="D704" s="9"/>
      <c r="E704" s="9"/>
      <c r="F704" s="9"/>
      <c r="G704" s="9"/>
      <c r="H704" s="9"/>
      <c r="I704" s="9"/>
      <c r="J704" s="10"/>
      <c r="K704" s="10"/>
      <c r="L704" s="10"/>
      <c r="M704" s="10"/>
      <c r="N704" s="11"/>
      <c r="O704" s="11"/>
      <c r="P704" s="11"/>
      <c r="Q704" s="11"/>
      <c r="R704" s="10"/>
      <c r="S704" s="10"/>
      <c r="T704" s="10"/>
      <c r="U704" s="10"/>
    </row>
    <row r="705">
      <c r="A705" s="8"/>
      <c r="B705" s="9"/>
      <c r="C705" s="9"/>
      <c r="D705" s="9"/>
      <c r="E705" s="9"/>
      <c r="F705" s="9"/>
      <c r="G705" s="9"/>
      <c r="H705" s="9"/>
      <c r="I705" s="9"/>
      <c r="J705" s="10"/>
      <c r="K705" s="10"/>
      <c r="L705" s="10"/>
      <c r="M705" s="10"/>
      <c r="N705" s="11"/>
      <c r="O705" s="11"/>
      <c r="P705" s="11"/>
      <c r="Q705" s="11"/>
      <c r="R705" s="10"/>
      <c r="S705" s="10"/>
      <c r="T705" s="10"/>
      <c r="U705" s="10"/>
    </row>
    <row r="706">
      <c r="A706" s="8"/>
      <c r="B706" s="9"/>
      <c r="C706" s="9"/>
      <c r="D706" s="9"/>
      <c r="E706" s="9"/>
      <c r="F706" s="9"/>
      <c r="G706" s="9"/>
      <c r="H706" s="9"/>
      <c r="I706" s="9"/>
      <c r="J706" s="10"/>
      <c r="K706" s="10"/>
      <c r="L706" s="10"/>
      <c r="M706" s="10"/>
      <c r="N706" s="11"/>
      <c r="O706" s="11"/>
      <c r="P706" s="11"/>
      <c r="Q706" s="11"/>
      <c r="R706" s="10"/>
      <c r="S706" s="10"/>
      <c r="T706" s="10"/>
      <c r="U706" s="10"/>
    </row>
    <row r="707">
      <c r="A707" s="8"/>
      <c r="B707" s="9"/>
      <c r="C707" s="9"/>
      <c r="D707" s="9"/>
      <c r="E707" s="9"/>
      <c r="F707" s="9"/>
      <c r="G707" s="9"/>
      <c r="H707" s="9"/>
      <c r="I707" s="9"/>
      <c r="J707" s="10"/>
      <c r="K707" s="10"/>
      <c r="L707" s="10"/>
      <c r="M707" s="10"/>
      <c r="N707" s="11"/>
      <c r="O707" s="11"/>
      <c r="P707" s="11"/>
      <c r="Q707" s="11"/>
      <c r="R707" s="10"/>
      <c r="S707" s="10"/>
      <c r="T707" s="10"/>
      <c r="U707" s="10"/>
    </row>
    <row r="708">
      <c r="A708" s="8"/>
      <c r="B708" s="9"/>
      <c r="C708" s="9"/>
      <c r="D708" s="9"/>
      <c r="E708" s="9"/>
      <c r="F708" s="9"/>
      <c r="G708" s="9"/>
      <c r="H708" s="9"/>
      <c r="I708" s="9"/>
      <c r="J708" s="10"/>
      <c r="K708" s="10"/>
      <c r="L708" s="10"/>
      <c r="M708" s="10"/>
      <c r="N708" s="11"/>
      <c r="O708" s="11"/>
      <c r="P708" s="11"/>
      <c r="Q708" s="11"/>
      <c r="R708" s="10"/>
      <c r="S708" s="10"/>
      <c r="T708" s="10"/>
      <c r="U708" s="10"/>
    </row>
    <row r="709">
      <c r="A709" s="8"/>
      <c r="B709" s="9"/>
      <c r="C709" s="9"/>
      <c r="D709" s="9"/>
      <c r="E709" s="9"/>
      <c r="F709" s="9"/>
      <c r="G709" s="9"/>
      <c r="H709" s="9"/>
      <c r="I709" s="9"/>
      <c r="J709" s="10"/>
      <c r="K709" s="10"/>
      <c r="L709" s="10"/>
      <c r="M709" s="10"/>
      <c r="N709" s="11"/>
      <c r="O709" s="11"/>
      <c r="P709" s="11"/>
      <c r="Q709" s="11"/>
      <c r="R709" s="10"/>
      <c r="S709" s="10"/>
      <c r="T709" s="10"/>
      <c r="U709" s="10"/>
    </row>
    <row r="710">
      <c r="A710" s="8"/>
      <c r="B710" s="9"/>
      <c r="C710" s="9"/>
      <c r="D710" s="9"/>
      <c r="E710" s="9"/>
      <c r="F710" s="9"/>
      <c r="G710" s="9"/>
      <c r="H710" s="9"/>
      <c r="I710" s="9"/>
      <c r="J710" s="10"/>
      <c r="K710" s="10"/>
      <c r="L710" s="10"/>
      <c r="M710" s="10"/>
      <c r="N710" s="11"/>
      <c r="O710" s="11"/>
      <c r="P710" s="11"/>
      <c r="Q710" s="11"/>
      <c r="R710" s="10"/>
      <c r="S710" s="10"/>
      <c r="T710" s="10"/>
      <c r="U710" s="10"/>
    </row>
    <row r="711">
      <c r="A711" s="8"/>
      <c r="B711" s="9"/>
      <c r="C711" s="9"/>
      <c r="D711" s="9"/>
      <c r="E711" s="9"/>
      <c r="F711" s="9"/>
      <c r="G711" s="9"/>
      <c r="H711" s="9"/>
      <c r="I711" s="9"/>
      <c r="J711" s="10"/>
      <c r="K711" s="10"/>
      <c r="L711" s="10"/>
      <c r="M711" s="10"/>
      <c r="N711" s="11"/>
      <c r="O711" s="11"/>
      <c r="P711" s="11"/>
      <c r="Q711" s="11"/>
      <c r="R711" s="10"/>
      <c r="S711" s="10"/>
      <c r="T711" s="10"/>
      <c r="U711" s="10"/>
    </row>
    <row r="712">
      <c r="A712" s="8"/>
      <c r="B712" s="9"/>
      <c r="C712" s="9"/>
      <c r="D712" s="9"/>
      <c r="E712" s="9"/>
      <c r="F712" s="9"/>
      <c r="G712" s="9"/>
      <c r="H712" s="9"/>
      <c r="I712" s="9"/>
      <c r="J712" s="10"/>
      <c r="K712" s="10"/>
      <c r="L712" s="10"/>
      <c r="M712" s="10"/>
      <c r="N712" s="11"/>
      <c r="O712" s="11"/>
      <c r="P712" s="11"/>
      <c r="Q712" s="11"/>
      <c r="R712" s="10"/>
      <c r="S712" s="10"/>
      <c r="T712" s="10"/>
      <c r="U712" s="10"/>
    </row>
    <row r="713">
      <c r="A713" s="8"/>
      <c r="B713" s="9"/>
      <c r="C713" s="9"/>
      <c r="D713" s="9"/>
      <c r="E713" s="9"/>
      <c r="F713" s="9"/>
      <c r="G713" s="9"/>
      <c r="H713" s="9"/>
      <c r="I713" s="9"/>
      <c r="J713" s="10"/>
      <c r="K713" s="10"/>
      <c r="L713" s="10"/>
      <c r="M713" s="10"/>
      <c r="N713" s="11"/>
      <c r="O713" s="11"/>
      <c r="P713" s="11"/>
      <c r="Q713" s="11"/>
      <c r="R713" s="10"/>
      <c r="S713" s="10"/>
      <c r="T713" s="10"/>
      <c r="U713" s="10"/>
    </row>
    <row r="714">
      <c r="A714" s="8"/>
      <c r="B714" s="9"/>
      <c r="C714" s="9"/>
      <c r="D714" s="9"/>
      <c r="E714" s="9"/>
      <c r="F714" s="9"/>
      <c r="G714" s="9"/>
      <c r="H714" s="9"/>
      <c r="I714" s="9"/>
      <c r="J714" s="10"/>
      <c r="K714" s="10"/>
      <c r="L714" s="10"/>
      <c r="M714" s="10"/>
      <c r="N714" s="11"/>
      <c r="O714" s="11"/>
      <c r="P714" s="11"/>
      <c r="Q714" s="11"/>
      <c r="R714" s="10"/>
      <c r="S714" s="10"/>
      <c r="T714" s="10"/>
      <c r="U714" s="10"/>
    </row>
    <row r="715">
      <c r="A715" s="8"/>
      <c r="B715" s="9"/>
      <c r="C715" s="9"/>
      <c r="D715" s="9"/>
      <c r="E715" s="9"/>
      <c r="F715" s="9"/>
      <c r="G715" s="9"/>
      <c r="H715" s="9"/>
      <c r="I715" s="9"/>
      <c r="J715" s="10"/>
      <c r="K715" s="10"/>
      <c r="L715" s="10"/>
      <c r="M715" s="10"/>
      <c r="N715" s="11"/>
      <c r="O715" s="11"/>
      <c r="P715" s="11"/>
      <c r="Q715" s="11"/>
      <c r="R715" s="10"/>
      <c r="S715" s="10"/>
      <c r="T715" s="10"/>
      <c r="U715" s="10"/>
    </row>
    <row r="716">
      <c r="A716" s="8"/>
      <c r="B716" s="9"/>
      <c r="C716" s="9"/>
      <c r="D716" s="9"/>
      <c r="E716" s="9"/>
      <c r="F716" s="9"/>
      <c r="G716" s="9"/>
      <c r="H716" s="9"/>
      <c r="I716" s="9"/>
      <c r="J716" s="10"/>
      <c r="K716" s="10"/>
      <c r="L716" s="10"/>
      <c r="M716" s="10"/>
      <c r="N716" s="11"/>
      <c r="O716" s="11"/>
      <c r="P716" s="11"/>
      <c r="Q716" s="11"/>
      <c r="R716" s="10"/>
      <c r="S716" s="10"/>
      <c r="T716" s="10"/>
      <c r="U716" s="10"/>
    </row>
    <row r="717">
      <c r="A717" s="8"/>
      <c r="B717" s="9"/>
      <c r="C717" s="9"/>
      <c r="D717" s="9"/>
      <c r="E717" s="9"/>
      <c r="F717" s="9"/>
      <c r="G717" s="9"/>
      <c r="H717" s="9"/>
      <c r="I717" s="9"/>
      <c r="J717" s="10"/>
      <c r="K717" s="10"/>
      <c r="L717" s="10"/>
      <c r="M717" s="10"/>
      <c r="N717" s="11"/>
      <c r="O717" s="11"/>
      <c r="P717" s="11"/>
      <c r="Q717" s="11"/>
      <c r="R717" s="10"/>
      <c r="S717" s="10"/>
      <c r="T717" s="10"/>
      <c r="U717" s="10"/>
    </row>
    <row r="718">
      <c r="A718" s="8"/>
      <c r="B718" s="9"/>
      <c r="C718" s="9"/>
      <c r="D718" s="9"/>
      <c r="E718" s="9"/>
      <c r="F718" s="9"/>
      <c r="G718" s="9"/>
      <c r="H718" s="9"/>
      <c r="I718" s="9"/>
      <c r="J718" s="10"/>
      <c r="K718" s="10"/>
      <c r="L718" s="10"/>
      <c r="M718" s="10"/>
      <c r="N718" s="11"/>
      <c r="O718" s="11"/>
      <c r="P718" s="11"/>
      <c r="Q718" s="11"/>
      <c r="R718" s="10"/>
      <c r="S718" s="10"/>
      <c r="T718" s="10"/>
      <c r="U718" s="10"/>
    </row>
    <row r="719">
      <c r="A719" s="8"/>
      <c r="B719" s="9"/>
      <c r="C719" s="9"/>
      <c r="D719" s="9"/>
      <c r="E719" s="9"/>
      <c r="F719" s="9"/>
      <c r="G719" s="9"/>
      <c r="H719" s="9"/>
      <c r="I719" s="9"/>
      <c r="J719" s="10"/>
      <c r="K719" s="10"/>
      <c r="L719" s="10"/>
      <c r="M719" s="10"/>
      <c r="N719" s="11"/>
      <c r="O719" s="11"/>
      <c r="P719" s="11"/>
      <c r="Q719" s="11"/>
      <c r="R719" s="10"/>
      <c r="S719" s="10"/>
      <c r="T719" s="10"/>
      <c r="U719" s="10"/>
    </row>
    <row r="720">
      <c r="A720" s="8"/>
      <c r="B720" s="9"/>
      <c r="C720" s="9"/>
      <c r="D720" s="9"/>
      <c r="E720" s="9"/>
      <c r="F720" s="9"/>
      <c r="G720" s="9"/>
      <c r="H720" s="9"/>
      <c r="I720" s="9"/>
      <c r="J720" s="10"/>
      <c r="K720" s="10"/>
      <c r="L720" s="10"/>
      <c r="M720" s="10"/>
      <c r="N720" s="11"/>
      <c r="O720" s="11"/>
      <c r="P720" s="11"/>
      <c r="Q720" s="11"/>
      <c r="R720" s="10"/>
      <c r="S720" s="10"/>
      <c r="T720" s="10"/>
      <c r="U720" s="10"/>
    </row>
    <row r="721">
      <c r="A721" s="8"/>
      <c r="B721" s="9"/>
      <c r="C721" s="9"/>
      <c r="D721" s="9"/>
      <c r="E721" s="9"/>
      <c r="F721" s="9"/>
      <c r="G721" s="9"/>
      <c r="H721" s="9"/>
      <c r="I721" s="9"/>
      <c r="J721" s="10"/>
      <c r="K721" s="10"/>
      <c r="L721" s="10"/>
      <c r="M721" s="10"/>
      <c r="N721" s="11"/>
      <c r="O721" s="11"/>
      <c r="P721" s="11"/>
      <c r="Q721" s="11"/>
      <c r="R721" s="10"/>
      <c r="S721" s="10"/>
      <c r="T721" s="10"/>
      <c r="U721" s="10"/>
    </row>
    <row r="722">
      <c r="A722" s="8"/>
      <c r="B722" s="9"/>
      <c r="C722" s="9"/>
      <c r="D722" s="9"/>
      <c r="E722" s="9"/>
      <c r="F722" s="9"/>
      <c r="G722" s="9"/>
      <c r="H722" s="9"/>
      <c r="I722" s="9"/>
      <c r="J722" s="10"/>
      <c r="K722" s="10"/>
      <c r="L722" s="10"/>
      <c r="M722" s="10"/>
      <c r="N722" s="11"/>
      <c r="O722" s="11"/>
      <c r="P722" s="11"/>
      <c r="Q722" s="11"/>
      <c r="R722" s="10"/>
      <c r="S722" s="10"/>
      <c r="T722" s="10"/>
      <c r="U722" s="10"/>
    </row>
    <row r="723">
      <c r="A723" s="8"/>
      <c r="B723" s="9"/>
      <c r="C723" s="9"/>
      <c r="D723" s="9"/>
      <c r="E723" s="9"/>
      <c r="F723" s="9"/>
      <c r="G723" s="9"/>
      <c r="H723" s="9"/>
      <c r="I723" s="9"/>
      <c r="J723" s="10"/>
      <c r="K723" s="10"/>
      <c r="L723" s="10"/>
      <c r="M723" s="10"/>
      <c r="N723" s="11"/>
      <c r="O723" s="11"/>
      <c r="P723" s="11"/>
      <c r="Q723" s="11"/>
      <c r="R723" s="10"/>
      <c r="S723" s="10"/>
      <c r="T723" s="10"/>
      <c r="U723" s="10"/>
    </row>
    <row r="724">
      <c r="A724" s="8"/>
      <c r="B724" s="9"/>
      <c r="C724" s="9"/>
      <c r="D724" s="9"/>
      <c r="E724" s="9"/>
      <c r="F724" s="9"/>
      <c r="G724" s="9"/>
      <c r="H724" s="9"/>
      <c r="I724" s="9"/>
      <c r="J724" s="10"/>
      <c r="K724" s="10"/>
      <c r="L724" s="10"/>
      <c r="M724" s="10"/>
      <c r="N724" s="11"/>
      <c r="O724" s="11"/>
      <c r="P724" s="11"/>
      <c r="Q724" s="11"/>
      <c r="R724" s="10"/>
      <c r="S724" s="10"/>
      <c r="T724" s="10"/>
      <c r="U724" s="10"/>
    </row>
    <row r="725">
      <c r="A725" s="8"/>
      <c r="B725" s="9"/>
      <c r="C725" s="9"/>
      <c r="D725" s="9"/>
      <c r="E725" s="9"/>
      <c r="F725" s="9"/>
      <c r="G725" s="9"/>
      <c r="H725" s="9"/>
      <c r="I725" s="9"/>
      <c r="J725" s="10"/>
      <c r="K725" s="10"/>
      <c r="L725" s="10"/>
      <c r="M725" s="10"/>
      <c r="N725" s="11"/>
      <c r="O725" s="11"/>
      <c r="P725" s="11"/>
      <c r="Q725" s="11"/>
      <c r="R725" s="10"/>
      <c r="S725" s="10"/>
      <c r="T725" s="10"/>
      <c r="U725" s="10"/>
    </row>
    <row r="726">
      <c r="A726" s="8"/>
      <c r="B726" s="9"/>
      <c r="C726" s="9"/>
      <c r="D726" s="9"/>
      <c r="E726" s="9"/>
      <c r="F726" s="9"/>
      <c r="G726" s="9"/>
      <c r="H726" s="9"/>
      <c r="I726" s="9"/>
      <c r="J726" s="10"/>
      <c r="K726" s="10"/>
      <c r="L726" s="10"/>
      <c r="M726" s="10"/>
      <c r="N726" s="11"/>
      <c r="O726" s="11"/>
      <c r="P726" s="11"/>
      <c r="Q726" s="11"/>
      <c r="R726" s="10"/>
      <c r="S726" s="10"/>
      <c r="T726" s="10"/>
      <c r="U726" s="10"/>
    </row>
    <row r="727">
      <c r="A727" s="8"/>
      <c r="B727" s="9"/>
      <c r="C727" s="9"/>
      <c r="D727" s="9"/>
      <c r="E727" s="9"/>
      <c r="F727" s="9"/>
      <c r="G727" s="9"/>
      <c r="H727" s="9"/>
      <c r="I727" s="9"/>
      <c r="J727" s="10"/>
      <c r="K727" s="10"/>
      <c r="L727" s="10"/>
      <c r="M727" s="10"/>
      <c r="N727" s="11"/>
      <c r="O727" s="11"/>
      <c r="P727" s="11"/>
      <c r="Q727" s="11"/>
      <c r="R727" s="10"/>
      <c r="S727" s="10"/>
      <c r="T727" s="10"/>
      <c r="U727" s="10"/>
    </row>
    <row r="728">
      <c r="A728" s="8"/>
      <c r="B728" s="9"/>
      <c r="C728" s="9"/>
      <c r="D728" s="9"/>
      <c r="E728" s="9"/>
      <c r="F728" s="9"/>
      <c r="G728" s="9"/>
      <c r="H728" s="9"/>
      <c r="I728" s="9"/>
      <c r="J728" s="10"/>
      <c r="K728" s="10"/>
      <c r="L728" s="10"/>
      <c r="M728" s="10"/>
      <c r="N728" s="11"/>
      <c r="O728" s="11"/>
      <c r="P728" s="11"/>
      <c r="Q728" s="11"/>
      <c r="R728" s="10"/>
      <c r="S728" s="10"/>
      <c r="T728" s="10"/>
      <c r="U728" s="10"/>
    </row>
    <row r="729">
      <c r="A729" s="8"/>
      <c r="B729" s="9"/>
      <c r="C729" s="9"/>
      <c r="D729" s="9"/>
      <c r="E729" s="9"/>
      <c r="F729" s="9"/>
      <c r="G729" s="9"/>
      <c r="H729" s="9"/>
      <c r="I729" s="9"/>
      <c r="J729" s="10"/>
      <c r="K729" s="10"/>
      <c r="L729" s="10"/>
      <c r="M729" s="10"/>
      <c r="N729" s="11"/>
      <c r="O729" s="11"/>
      <c r="P729" s="11"/>
      <c r="Q729" s="11"/>
      <c r="R729" s="10"/>
      <c r="S729" s="10"/>
      <c r="T729" s="10"/>
      <c r="U729" s="10"/>
    </row>
    <row r="730">
      <c r="A730" s="8"/>
      <c r="B730" s="9"/>
      <c r="C730" s="9"/>
      <c r="D730" s="9"/>
      <c r="E730" s="9"/>
      <c r="F730" s="9"/>
      <c r="G730" s="9"/>
      <c r="H730" s="9"/>
      <c r="I730" s="9"/>
      <c r="J730" s="10"/>
      <c r="K730" s="10"/>
      <c r="L730" s="10"/>
      <c r="M730" s="10"/>
      <c r="N730" s="11"/>
      <c r="O730" s="11"/>
      <c r="P730" s="11"/>
      <c r="Q730" s="11"/>
      <c r="R730" s="10"/>
      <c r="S730" s="10"/>
      <c r="T730" s="10"/>
      <c r="U730" s="10"/>
    </row>
    <row r="731">
      <c r="A731" s="8"/>
      <c r="B731" s="9"/>
      <c r="C731" s="9"/>
      <c r="D731" s="9"/>
      <c r="E731" s="9"/>
      <c r="F731" s="9"/>
      <c r="G731" s="9"/>
      <c r="H731" s="9"/>
      <c r="I731" s="9"/>
      <c r="J731" s="10"/>
      <c r="K731" s="10"/>
      <c r="L731" s="10"/>
      <c r="M731" s="10"/>
      <c r="N731" s="11"/>
      <c r="O731" s="11"/>
      <c r="P731" s="11"/>
      <c r="Q731" s="11"/>
      <c r="R731" s="10"/>
      <c r="S731" s="10"/>
      <c r="T731" s="10"/>
      <c r="U731" s="10"/>
    </row>
    <row r="732">
      <c r="A732" s="8"/>
      <c r="B732" s="9"/>
      <c r="C732" s="9"/>
      <c r="D732" s="9"/>
      <c r="E732" s="9"/>
      <c r="F732" s="9"/>
      <c r="G732" s="9"/>
      <c r="H732" s="9"/>
      <c r="I732" s="9"/>
      <c r="J732" s="10"/>
      <c r="K732" s="10"/>
      <c r="L732" s="10"/>
      <c r="M732" s="10"/>
      <c r="N732" s="11"/>
      <c r="O732" s="11"/>
      <c r="P732" s="11"/>
      <c r="Q732" s="11"/>
      <c r="R732" s="10"/>
      <c r="S732" s="10"/>
      <c r="T732" s="10"/>
      <c r="U732" s="10"/>
    </row>
    <row r="733">
      <c r="A733" s="8"/>
      <c r="B733" s="9"/>
      <c r="C733" s="9"/>
      <c r="D733" s="9"/>
      <c r="E733" s="9"/>
      <c r="F733" s="9"/>
      <c r="G733" s="9"/>
      <c r="H733" s="9"/>
      <c r="I733" s="9"/>
      <c r="J733" s="10"/>
      <c r="K733" s="10"/>
      <c r="L733" s="10"/>
      <c r="M733" s="10"/>
      <c r="N733" s="11"/>
      <c r="O733" s="11"/>
      <c r="P733" s="11"/>
      <c r="Q733" s="11"/>
      <c r="R733" s="10"/>
      <c r="S733" s="10"/>
      <c r="T733" s="10"/>
      <c r="U733" s="10"/>
    </row>
    <row r="734">
      <c r="A734" s="8"/>
      <c r="B734" s="9"/>
      <c r="C734" s="9"/>
      <c r="D734" s="9"/>
      <c r="E734" s="9"/>
      <c r="F734" s="9"/>
      <c r="G734" s="9"/>
      <c r="H734" s="9"/>
      <c r="I734" s="9"/>
      <c r="J734" s="10"/>
      <c r="K734" s="10"/>
      <c r="L734" s="10"/>
      <c r="M734" s="10"/>
      <c r="N734" s="11"/>
      <c r="O734" s="11"/>
      <c r="P734" s="11"/>
      <c r="Q734" s="11"/>
      <c r="R734" s="10"/>
      <c r="S734" s="10"/>
      <c r="T734" s="10"/>
      <c r="U734" s="10"/>
    </row>
    <row r="735">
      <c r="A735" s="8"/>
      <c r="B735" s="9"/>
      <c r="C735" s="9"/>
      <c r="D735" s="9"/>
      <c r="E735" s="9"/>
      <c r="F735" s="9"/>
      <c r="G735" s="9"/>
      <c r="H735" s="9"/>
      <c r="I735" s="9"/>
      <c r="J735" s="10"/>
      <c r="K735" s="10"/>
      <c r="L735" s="10"/>
      <c r="M735" s="10"/>
      <c r="N735" s="11"/>
      <c r="O735" s="11"/>
      <c r="P735" s="11"/>
      <c r="Q735" s="11"/>
      <c r="R735" s="10"/>
      <c r="S735" s="10"/>
      <c r="T735" s="10"/>
      <c r="U735" s="10"/>
    </row>
    <row r="736">
      <c r="A736" s="8"/>
      <c r="B736" s="9"/>
      <c r="C736" s="9"/>
      <c r="D736" s="9"/>
      <c r="E736" s="9"/>
      <c r="F736" s="9"/>
      <c r="G736" s="9"/>
      <c r="H736" s="9"/>
      <c r="I736" s="9"/>
      <c r="J736" s="10"/>
      <c r="K736" s="10"/>
      <c r="L736" s="10"/>
      <c r="M736" s="10"/>
      <c r="N736" s="11"/>
      <c r="O736" s="11"/>
      <c r="P736" s="11"/>
      <c r="Q736" s="11"/>
      <c r="R736" s="10"/>
      <c r="S736" s="10"/>
      <c r="T736" s="10"/>
      <c r="U736" s="10"/>
    </row>
    <row r="737">
      <c r="A737" s="8"/>
      <c r="B737" s="9"/>
      <c r="C737" s="9"/>
      <c r="D737" s="9"/>
      <c r="E737" s="9"/>
      <c r="F737" s="9"/>
      <c r="G737" s="9"/>
      <c r="H737" s="9"/>
      <c r="I737" s="9"/>
      <c r="J737" s="10"/>
      <c r="K737" s="10"/>
      <c r="L737" s="10"/>
      <c r="M737" s="10"/>
      <c r="N737" s="11"/>
      <c r="O737" s="11"/>
      <c r="P737" s="11"/>
      <c r="Q737" s="11"/>
      <c r="R737" s="10"/>
      <c r="S737" s="10"/>
      <c r="T737" s="10"/>
      <c r="U737" s="10"/>
    </row>
    <row r="738">
      <c r="A738" s="8"/>
      <c r="B738" s="9"/>
      <c r="C738" s="9"/>
      <c r="D738" s="9"/>
      <c r="E738" s="9"/>
      <c r="F738" s="9"/>
      <c r="G738" s="9"/>
      <c r="H738" s="9"/>
      <c r="I738" s="9"/>
      <c r="J738" s="10"/>
      <c r="K738" s="10"/>
      <c r="L738" s="10"/>
      <c r="M738" s="10"/>
      <c r="N738" s="11"/>
      <c r="O738" s="11"/>
      <c r="P738" s="11"/>
      <c r="Q738" s="11"/>
      <c r="R738" s="10"/>
      <c r="S738" s="10"/>
      <c r="T738" s="10"/>
      <c r="U738" s="10"/>
    </row>
    <row r="739">
      <c r="A739" s="8"/>
      <c r="B739" s="9"/>
      <c r="C739" s="9"/>
      <c r="D739" s="9"/>
      <c r="E739" s="9"/>
      <c r="F739" s="9"/>
      <c r="G739" s="9"/>
      <c r="H739" s="9"/>
      <c r="I739" s="9"/>
      <c r="J739" s="10"/>
      <c r="K739" s="10"/>
      <c r="L739" s="10"/>
      <c r="M739" s="10"/>
      <c r="N739" s="11"/>
      <c r="O739" s="11"/>
      <c r="P739" s="11"/>
      <c r="Q739" s="11"/>
      <c r="R739" s="10"/>
      <c r="S739" s="10"/>
      <c r="T739" s="10"/>
      <c r="U739" s="10"/>
    </row>
    <row r="740">
      <c r="A740" s="8"/>
      <c r="B740" s="9"/>
      <c r="C740" s="9"/>
      <c r="D740" s="9"/>
      <c r="E740" s="9"/>
      <c r="F740" s="9"/>
      <c r="G740" s="9"/>
      <c r="H740" s="9"/>
      <c r="I740" s="9"/>
      <c r="J740" s="10"/>
      <c r="K740" s="10"/>
      <c r="L740" s="10"/>
      <c r="M740" s="10"/>
      <c r="N740" s="11"/>
      <c r="O740" s="11"/>
      <c r="P740" s="11"/>
      <c r="Q740" s="11"/>
      <c r="R740" s="10"/>
      <c r="S740" s="10"/>
      <c r="T740" s="10"/>
      <c r="U740" s="10"/>
    </row>
    <row r="741">
      <c r="A741" s="8"/>
      <c r="B741" s="9"/>
      <c r="C741" s="9"/>
      <c r="D741" s="9"/>
      <c r="E741" s="9"/>
      <c r="F741" s="9"/>
      <c r="G741" s="9"/>
      <c r="H741" s="9"/>
      <c r="I741" s="9"/>
      <c r="J741" s="10"/>
      <c r="K741" s="10"/>
      <c r="L741" s="10"/>
      <c r="M741" s="10"/>
      <c r="N741" s="11"/>
      <c r="O741" s="11"/>
      <c r="P741" s="11"/>
      <c r="Q741" s="11"/>
      <c r="R741" s="10"/>
      <c r="S741" s="10"/>
      <c r="T741" s="10"/>
      <c r="U741" s="10"/>
    </row>
    <row r="742">
      <c r="A742" s="8"/>
      <c r="B742" s="9"/>
      <c r="C742" s="9"/>
      <c r="D742" s="9"/>
      <c r="E742" s="9"/>
      <c r="F742" s="9"/>
      <c r="G742" s="9"/>
      <c r="H742" s="9"/>
      <c r="I742" s="9"/>
      <c r="J742" s="10"/>
      <c r="K742" s="10"/>
      <c r="L742" s="10"/>
      <c r="M742" s="10"/>
      <c r="N742" s="11"/>
      <c r="O742" s="11"/>
      <c r="P742" s="11"/>
      <c r="Q742" s="11"/>
      <c r="R742" s="10"/>
      <c r="S742" s="10"/>
      <c r="T742" s="10"/>
      <c r="U742" s="10"/>
    </row>
    <row r="743">
      <c r="A743" s="8"/>
      <c r="B743" s="9"/>
      <c r="C743" s="9"/>
      <c r="D743" s="9"/>
      <c r="E743" s="9"/>
      <c r="F743" s="9"/>
      <c r="G743" s="9"/>
      <c r="H743" s="9"/>
      <c r="I743" s="9"/>
      <c r="J743" s="10"/>
      <c r="K743" s="10"/>
      <c r="L743" s="10"/>
      <c r="M743" s="10"/>
      <c r="N743" s="11"/>
      <c r="O743" s="11"/>
      <c r="P743" s="11"/>
      <c r="Q743" s="11"/>
      <c r="R743" s="10"/>
      <c r="S743" s="10"/>
      <c r="T743" s="10"/>
      <c r="U743" s="10"/>
    </row>
    <row r="744">
      <c r="A744" s="8"/>
      <c r="B744" s="9"/>
      <c r="C744" s="9"/>
      <c r="D744" s="9"/>
      <c r="E744" s="9"/>
      <c r="F744" s="9"/>
      <c r="G744" s="9"/>
      <c r="H744" s="9"/>
      <c r="I744" s="9"/>
      <c r="J744" s="10"/>
      <c r="K744" s="10"/>
      <c r="L744" s="10"/>
      <c r="M744" s="10"/>
      <c r="N744" s="11"/>
      <c r="O744" s="11"/>
      <c r="P744" s="11"/>
      <c r="Q744" s="11"/>
      <c r="R744" s="10"/>
      <c r="S744" s="10"/>
      <c r="T744" s="10"/>
      <c r="U744" s="10"/>
    </row>
    <row r="745">
      <c r="A745" s="8"/>
      <c r="B745" s="9"/>
      <c r="C745" s="9"/>
      <c r="D745" s="9"/>
      <c r="E745" s="9"/>
      <c r="F745" s="9"/>
      <c r="G745" s="9"/>
      <c r="H745" s="9"/>
      <c r="I745" s="9"/>
      <c r="J745" s="10"/>
      <c r="K745" s="10"/>
      <c r="L745" s="10"/>
      <c r="M745" s="10"/>
      <c r="N745" s="11"/>
      <c r="O745" s="11"/>
      <c r="P745" s="11"/>
      <c r="Q745" s="11"/>
      <c r="R745" s="10"/>
      <c r="S745" s="10"/>
      <c r="T745" s="10"/>
      <c r="U745" s="10"/>
    </row>
    <row r="746">
      <c r="A746" s="8"/>
      <c r="B746" s="9"/>
      <c r="C746" s="9"/>
      <c r="D746" s="9"/>
      <c r="E746" s="9"/>
      <c r="F746" s="9"/>
      <c r="G746" s="9"/>
      <c r="H746" s="9"/>
      <c r="I746" s="9"/>
      <c r="J746" s="10"/>
      <c r="K746" s="10"/>
      <c r="L746" s="10"/>
      <c r="M746" s="10"/>
      <c r="N746" s="11"/>
      <c r="O746" s="11"/>
      <c r="P746" s="11"/>
      <c r="Q746" s="11"/>
      <c r="R746" s="10"/>
      <c r="S746" s="10"/>
      <c r="T746" s="10"/>
      <c r="U746" s="10"/>
    </row>
    <row r="747">
      <c r="A747" s="8"/>
      <c r="B747" s="9"/>
      <c r="C747" s="9"/>
      <c r="D747" s="9"/>
      <c r="E747" s="9"/>
      <c r="F747" s="9"/>
      <c r="G747" s="9"/>
      <c r="H747" s="9"/>
      <c r="I747" s="9"/>
      <c r="J747" s="10"/>
      <c r="K747" s="10"/>
      <c r="L747" s="10"/>
      <c r="M747" s="10"/>
      <c r="N747" s="11"/>
      <c r="O747" s="11"/>
      <c r="P747" s="11"/>
      <c r="Q747" s="11"/>
      <c r="R747" s="10"/>
      <c r="S747" s="10"/>
      <c r="T747" s="10"/>
      <c r="U747" s="10"/>
    </row>
    <row r="748">
      <c r="A748" s="8"/>
      <c r="B748" s="9"/>
      <c r="C748" s="9"/>
      <c r="D748" s="9"/>
      <c r="E748" s="9"/>
      <c r="F748" s="9"/>
      <c r="G748" s="9"/>
      <c r="H748" s="9"/>
      <c r="I748" s="9"/>
      <c r="J748" s="10"/>
      <c r="K748" s="10"/>
      <c r="L748" s="10"/>
      <c r="M748" s="10"/>
      <c r="N748" s="11"/>
      <c r="O748" s="11"/>
      <c r="P748" s="11"/>
      <c r="Q748" s="11"/>
      <c r="R748" s="10"/>
      <c r="S748" s="10"/>
      <c r="T748" s="10"/>
      <c r="U748" s="10"/>
    </row>
    <row r="749">
      <c r="A749" s="8"/>
      <c r="B749" s="9"/>
      <c r="C749" s="9"/>
      <c r="D749" s="9"/>
      <c r="E749" s="9"/>
      <c r="F749" s="9"/>
      <c r="G749" s="9"/>
      <c r="H749" s="9"/>
      <c r="I749" s="9"/>
      <c r="J749" s="10"/>
      <c r="K749" s="10"/>
      <c r="L749" s="10"/>
      <c r="M749" s="10"/>
      <c r="N749" s="11"/>
      <c r="O749" s="11"/>
      <c r="P749" s="11"/>
      <c r="Q749" s="11"/>
      <c r="R749" s="10"/>
      <c r="S749" s="10"/>
      <c r="T749" s="10"/>
      <c r="U749" s="10"/>
    </row>
    <row r="750">
      <c r="A750" s="8"/>
      <c r="B750" s="9"/>
      <c r="C750" s="9"/>
      <c r="D750" s="9"/>
      <c r="E750" s="9"/>
      <c r="F750" s="9"/>
      <c r="G750" s="9"/>
      <c r="H750" s="9"/>
      <c r="I750" s="9"/>
      <c r="J750" s="10"/>
      <c r="K750" s="10"/>
      <c r="L750" s="10"/>
      <c r="M750" s="10"/>
      <c r="N750" s="11"/>
      <c r="O750" s="11"/>
      <c r="P750" s="11"/>
      <c r="Q750" s="11"/>
      <c r="R750" s="10"/>
      <c r="S750" s="10"/>
      <c r="T750" s="10"/>
      <c r="U750" s="10"/>
    </row>
    <row r="751">
      <c r="A751" s="8"/>
      <c r="B751" s="9"/>
      <c r="C751" s="9"/>
      <c r="D751" s="9"/>
      <c r="E751" s="9"/>
      <c r="F751" s="9"/>
      <c r="G751" s="9"/>
      <c r="H751" s="9"/>
      <c r="I751" s="9"/>
      <c r="J751" s="10"/>
      <c r="K751" s="10"/>
      <c r="L751" s="10"/>
      <c r="M751" s="10"/>
      <c r="N751" s="11"/>
      <c r="O751" s="11"/>
      <c r="P751" s="11"/>
      <c r="Q751" s="11"/>
      <c r="R751" s="10"/>
      <c r="S751" s="10"/>
      <c r="T751" s="10"/>
      <c r="U751" s="10"/>
    </row>
    <row r="752">
      <c r="A752" s="8"/>
      <c r="B752" s="9"/>
      <c r="C752" s="9"/>
      <c r="D752" s="9"/>
      <c r="E752" s="9"/>
      <c r="F752" s="9"/>
      <c r="G752" s="9"/>
      <c r="H752" s="9"/>
      <c r="I752" s="9"/>
      <c r="J752" s="10"/>
      <c r="K752" s="10"/>
      <c r="L752" s="10"/>
      <c r="M752" s="10"/>
      <c r="N752" s="11"/>
      <c r="O752" s="11"/>
      <c r="P752" s="11"/>
      <c r="Q752" s="11"/>
      <c r="R752" s="10"/>
      <c r="S752" s="10"/>
      <c r="T752" s="10"/>
      <c r="U752" s="10"/>
    </row>
    <row r="753">
      <c r="A753" s="8"/>
      <c r="B753" s="9"/>
      <c r="C753" s="9"/>
      <c r="D753" s="9"/>
      <c r="E753" s="9"/>
      <c r="F753" s="9"/>
      <c r="G753" s="9"/>
      <c r="H753" s="9"/>
      <c r="I753" s="9"/>
      <c r="J753" s="10"/>
      <c r="K753" s="10"/>
      <c r="L753" s="10"/>
      <c r="M753" s="10"/>
      <c r="N753" s="11"/>
      <c r="O753" s="11"/>
      <c r="P753" s="11"/>
      <c r="Q753" s="11"/>
      <c r="R753" s="10"/>
      <c r="S753" s="10"/>
      <c r="T753" s="10"/>
      <c r="U753" s="10"/>
    </row>
    <row r="754">
      <c r="A754" s="8"/>
      <c r="B754" s="9"/>
      <c r="C754" s="9"/>
      <c r="D754" s="9"/>
      <c r="E754" s="9"/>
      <c r="F754" s="9"/>
      <c r="G754" s="9"/>
      <c r="H754" s="9"/>
      <c r="I754" s="9"/>
      <c r="J754" s="10"/>
      <c r="K754" s="10"/>
      <c r="L754" s="10"/>
      <c r="M754" s="10"/>
      <c r="N754" s="11"/>
      <c r="O754" s="11"/>
      <c r="P754" s="11"/>
      <c r="Q754" s="11"/>
      <c r="R754" s="10"/>
      <c r="S754" s="10"/>
      <c r="T754" s="10"/>
      <c r="U754" s="10"/>
    </row>
    <row r="755">
      <c r="A755" s="8"/>
      <c r="B755" s="9"/>
      <c r="C755" s="9"/>
      <c r="D755" s="9"/>
      <c r="E755" s="9"/>
      <c r="F755" s="9"/>
      <c r="G755" s="9"/>
      <c r="H755" s="9"/>
      <c r="I755" s="9"/>
      <c r="J755" s="10"/>
      <c r="K755" s="10"/>
      <c r="L755" s="10"/>
      <c r="M755" s="10"/>
      <c r="N755" s="11"/>
      <c r="O755" s="11"/>
      <c r="P755" s="11"/>
      <c r="Q755" s="11"/>
      <c r="R755" s="10"/>
      <c r="S755" s="10"/>
      <c r="T755" s="10"/>
      <c r="U755" s="10"/>
    </row>
    <row r="756">
      <c r="A756" s="8"/>
      <c r="B756" s="9"/>
      <c r="C756" s="9"/>
      <c r="D756" s="9"/>
      <c r="E756" s="9"/>
      <c r="F756" s="9"/>
      <c r="G756" s="9"/>
      <c r="H756" s="9"/>
      <c r="I756" s="9"/>
      <c r="J756" s="10"/>
      <c r="K756" s="10"/>
      <c r="L756" s="10"/>
      <c r="M756" s="10"/>
      <c r="N756" s="11"/>
      <c r="O756" s="11"/>
      <c r="P756" s="11"/>
      <c r="Q756" s="11"/>
      <c r="R756" s="10"/>
      <c r="S756" s="10"/>
      <c r="T756" s="10"/>
      <c r="U756" s="10"/>
    </row>
    <row r="757">
      <c r="A757" s="8"/>
      <c r="B757" s="9"/>
      <c r="C757" s="9"/>
      <c r="D757" s="9"/>
      <c r="E757" s="9"/>
      <c r="F757" s="9"/>
      <c r="G757" s="9"/>
      <c r="H757" s="9"/>
      <c r="I757" s="9"/>
      <c r="J757" s="10"/>
      <c r="K757" s="10"/>
      <c r="L757" s="10"/>
      <c r="M757" s="10"/>
      <c r="N757" s="11"/>
      <c r="O757" s="11"/>
      <c r="P757" s="11"/>
      <c r="Q757" s="11"/>
      <c r="R757" s="10"/>
      <c r="S757" s="10"/>
      <c r="T757" s="10"/>
      <c r="U757" s="10"/>
    </row>
    <row r="758">
      <c r="A758" s="8"/>
      <c r="B758" s="9"/>
      <c r="C758" s="9"/>
      <c r="D758" s="9"/>
      <c r="E758" s="9"/>
      <c r="F758" s="9"/>
      <c r="G758" s="9"/>
      <c r="H758" s="9"/>
      <c r="I758" s="9"/>
      <c r="J758" s="10"/>
      <c r="K758" s="10"/>
      <c r="L758" s="10"/>
      <c r="M758" s="10"/>
      <c r="N758" s="11"/>
      <c r="O758" s="11"/>
      <c r="P758" s="11"/>
      <c r="Q758" s="11"/>
      <c r="R758" s="10"/>
      <c r="S758" s="10"/>
      <c r="T758" s="10"/>
      <c r="U758" s="10"/>
    </row>
    <row r="759">
      <c r="A759" s="8"/>
      <c r="B759" s="9"/>
      <c r="C759" s="9"/>
      <c r="D759" s="9"/>
      <c r="E759" s="9"/>
      <c r="F759" s="9"/>
      <c r="G759" s="9"/>
      <c r="H759" s="9"/>
      <c r="I759" s="9"/>
      <c r="J759" s="10"/>
      <c r="K759" s="10"/>
      <c r="L759" s="10"/>
      <c r="M759" s="10"/>
      <c r="N759" s="11"/>
      <c r="O759" s="11"/>
      <c r="P759" s="11"/>
      <c r="Q759" s="11"/>
      <c r="R759" s="10"/>
      <c r="S759" s="10"/>
      <c r="T759" s="10"/>
      <c r="U759" s="10"/>
    </row>
    <row r="760">
      <c r="A760" s="8"/>
      <c r="B760" s="9"/>
      <c r="C760" s="9"/>
      <c r="D760" s="9"/>
      <c r="E760" s="9"/>
      <c r="F760" s="9"/>
      <c r="G760" s="9"/>
      <c r="H760" s="9"/>
      <c r="I760" s="9"/>
      <c r="J760" s="10"/>
      <c r="K760" s="10"/>
      <c r="L760" s="10"/>
      <c r="M760" s="10"/>
      <c r="N760" s="11"/>
      <c r="O760" s="11"/>
      <c r="P760" s="11"/>
      <c r="Q760" s="11"/>
      <c r="R760" s="10"/>
      <c r="S760" s="10"/>
      <c r="T760" s="10"/>
      <c r="U760" s="10"/>
    </row>
    <row r="761">
      <c r="A761" s="8"/>
      <c r="B761" s="9"/>
      <c r="C761" s="9"/>
      <c r="D761" s="9"/>
      <c r="E761" s="9"/>
      <c r="F761" s="9"/>
      <c r="G761" s="9"/>
      <c r="H761" s="9"/>
      <c r="I761" s="9"/>
      <c r="J761" s="10"/>
      <c r="K761" s="10"/>
      <c r="L761" s="10"/>
      <c r="M761" s="10"/>
      <c r="N761" s="11"/>
      <c r="O761" s="11"/>
      <c r="P761" s="11"/>
      <c r="Q761" s="11"/>
      <c r="R761" s="10"/>
      <c r="S761" s="10"/>
      <c r="T761" s="10"/>
      <c r="U761" s="10"/>
    </row>
    <row r="762">
      <c r="A762" s="8"/>
      <c r="B762" s="9"/>
      <c r="C762" s="9"/>
      <c r="D762" s="9"/>
      <c r="E762" s="9"/>
      <c r="F762" s="9"/>
      <c r="G762" s="9"/>
      <c r="H762" s="9"/>
      <c r="I762" s="9"/>
      <c r="J762" s="10"/>
      <c r="K762" s="10"/>
      <c r="L762" s="10"/>
      <c r="M762" s="10"/>
      <c r="N762" s="11"/>
      <c r="O762" s="11"/>
      <c r="P762" s="11"/>
      <c r="Q762" s="11"/>
      <c r="R762" s="10"/>
      <c r="S762" s="10"/>
      <c r="T762" s="10"/>
      <c r="U762" s="10"/>
    </row>
    <row r="763">
      <c r="A763" s="8"/>
      <c r="B763" s="9"/>
      <c r="C763" s="9"/>
      <c r="D763" s="9"/>
      <c r="E763" s="9"/>
      <c r="F763" s="9"/>
      <c r="G763" s="9"/>
      <c r="H763" s="9"/>
      <c r="I763" s="9"/>
      <c r="J763" s="10"/>
      <c r="K763" s="10"/>
      <c r="L763" s="10"/>
      <c r="M763" s="10"/>
      <c r="N763" s="11"/>
      <c r="O763" s="11"/>
      <c r="P763" s="11"/>
      <c r="Q763" s="11"/>
      <c r="R763" s="10"/>
      <c r="S763" s="10"/>
      <c r="T763" s="10"/>
      <c r="U763" s="10"/>
    </row>
    <row r="764">
      <c r="A764" s="8"/>
      <c r="B764" s="9"/>
      <c r="C764" s="9"/>
      <c r="D764" s="9"/>
      <c r="E764" s="9"/>
      <c r="F764" s="9"/>
      <c r="G764" s="9"/>
      <c r="H764" s="9"/>
      <c r="I764" s="9"/>
      <c r="J764" s="10"/>
      <c r="K764" s="10"/>
      <c r="L764" s="10"/>
      <c r="M764" s="10"/>
      <c r="N764" s="11"/>
      <c r="O764" s="11"/>
      <c r="P764" s="11"/>
      <c r="Q764" s="11"/>
      <c r="R764" s="10"/>
      <c r="S764" s="10"/>
      <c r="T764" s="10"/>
      <c r="U764" s="10"/>
    </row>
    <row r="765">
      <c r="A765" s="8"/>
      <c r="B765" s="9"/>
      <c r="C765" s="9"/>
      <c r="D765" s="9"/>
      <c r="E765" s="9"/>
      <c r="F765" s="9"/>
      <c r="G765" s="9"/>
      <c r="H765" s="9"/>
      <c r="I765" s="9"/>
      <c r="J765" s="10"/>
      <c r="K765" s="10"/>
      <c r="L765" s="10"/>
      <c r="M765" s="10"/>
      <c r="N765" s="11"/>
      <c r="O765" s="11"/>
      <c r="P765" s="11"/>
      <c r="Q765" s="11"/>
      <c r="R765" s="10"/>
      <c r="S765" s="10"/>
      <c r="T765" s="10"/>
      <c r="U765" s="10"/>
    </row>
    <row r="766">
      <c r="A766" s="8"/>
      <c r="B766" s="9"/>
      <c r="C766" s="9"/>
      <c r="D766" s="9"/>
      <c r="E766" s="9"/>
      <c r="F766" s="9"/>
      <c r="G766" s="9"/>
      <c r="H766" s="9"/>
      <c r="I766" s="9"/>
      <c r="J766" s="10"/>
      <c r="K766" s="10"/>
      <c r="L766" s="10"/>
      <c r="M766" s="10"/>
      <c r="N766" s="11"/>
      <c r="O766" s="11"/>
      <c r="P766" s="11"/>
      <c r="Q766" s="11"/>
      <c r="R766" s="10"/>
      <c r="S766" s="10"/>
      <c r="T766" s="10"/>
      <c r="U766" s="10"/>
    </row>
    <row r="767">
      <c r="A767" s="8"/>
      <c r="B767" s="9"/>
      <c r="C767" s="9"/>
      <c r="D767" s="9"/>
      <c r="E767" s="9"/>
      <c r="F767" s="9"/>
      <c r="G767" s="9"/>
      <c r="H767" s="9"/>
      <c r="I767" s="9"/>
      <c r="J767" s="10"/>
      <c r="K767" s="10"/>
      <c r="L767" s="10"/>
      <c r="M767" s="10"/>
      <c r="N767" s="11"/>
      <c r="O767" s="11"/>
      <c r="P767" s="11"/>
      <c r="Q767" s="11"/>
      <c r="R767" s="10"/>
      <c r="S767" s="10"/>
      <c r="T767" s="10"/>
      <c r="U767" s="10"/>
    </row>
    <row r="768">
      <c r="A768" s="8"/>
      <c r="B768" s="9"/>
      <c r="C768" s="9"/>
      <c r="D768" s="9"/>
      <c r="E768" s="9"/>
      <c r="F768" s="9"/>
      <c r="G768" s="9"/>
      <c r="H768" s="9"/>
      <c r="I768" s="9"/>
      <c r="J768" s="10"/>
      <c r="K768" s="10"/>
      <c r="L768" s="10"/>
      <c r="M768" s="10"/>
      <c r="N768" s="11"/>
      <c r="O768" s="11"/>
      <c r="P768" s="11"/>
      <c r="Q768" s="11"/>
      <c r="R768" s="10"/>
      <c r="S768" s="10"/>
      <c r="T768" s="10"/>
      <c r="U768" s="10"/>
    </row>
    <row r="769">
      <c r="A769" s="8"/>
      <c r="B769" s="9"/>
      <c r="C769" s="9"/>
      <c r="D769" s="9"/>
      <c r="E769" s="9"/>
      <c r="F769" s="9"/>
      <c r="G769" s="9"/>
      <c r="H769" s="9"/>
      <c r="I769" s="9"/>
      <c r="J769" s="10"/>
      <c r="K769" s="10"/>
      <c r="L769" s="10"/>
      <c r="M769" s="10"/>
      <c r="N769" s="11"/>
      <c r="O769" s="11"/>
      <c r="P769" s="11"/>
      <c r="Q769" s="11"/>
      <c r="R769" s="10"/>
      <c r="S769" s="10"/>
      <c r="T769" s="10"/>
      <c r="U769" s="10"/>
    </row>
    <row r="770">
      <c r="A770" s="8"/>
      <c r="B770" s="9"/>
      <c r="C770" s="9"/>
      <c r="D770" s="9"/>
      <c r="E770" s="9"/>
      <c r="F770" s="9"/>
      <c r="G770" s="9"/>
      <c r="H770" s="9"/>
      <c r="I770" s="9"/>
      <c r="J770" s="10"/>
      <c r="K770" s="10"/>
      <c r="L770" s="10"/>
      <c r="M770" s="10"/>
      <c r="N770" s="11"/>
      <c r="O770" s="11"/>
      <c r="P770" s="11"/>
      <c r="Q770" s="11"/>
      <c r="R770" s="10"/>
      <c r="S770" s="10"/>
      <c r="T770" s="10"/>
      <c r="U770" s="10"/>
    </row>
    <row r="771">
      <c r="A771" s="8"/>
      <c r="B771" s="9"/>
      <c r="C771" s="9"/>
      <c r="D771" s="9"/>
      <c r="E771" s="9"/>
      <c r="F771" s="9"/>
      <c r="G771" s="9"/>
      <c r="H771" s="9"/>
      <c r="I771" s="9"/>
      <c r="J771" s="10"/>
      <c r="K771" s="10"/>
      <c r="L771" s="10"/>
      <c r="M771" s="10"/>
      <c r="N771" s="11"/>
      <c r="O771" s="11"/>
      <c r="P771" s="11"/>
      <c r="Q771" s="11"/>
      <c r="R771" s="10"/>
      <c r="S771" s="10"/>
      <c r="T771" s="10"/>
      <c r="U771" s="10"/>
    </row>
    <row r="772">
      <c r="A772" s="8"/>
      <c r="B772" s="9"/>
      <c r="C772" s="9"/>
      <c r="D772" s="9"/>
      <c r="E772" s="9"/>
      <c r="F772" s="9"/>
      <c r="G772" s="9"/>
      <c r="H772" s="9"/>
      <c r="I772" s="9"/>
      <c r="J772" s="10"/>
      <c r="K772" s="10"/>
      <c r="L772" s="10"/>
      <c r="M772" s="10"/>
      <c r="N772" s="11"/>
      <c r="O772" s="11"/>
      <c r="P772" s="11"/>
      <c r="Q772" s="11"/>
      <c r="R772" s="10"/>
      <c r="S772" s="10"/>
      <c r="T772" s="10"/>
      <c r="U772" s="10"/>
    </row>
    <row r="773">
      <c r="A773" s="8"/>
      <c r="B773" s="9"/>
      <c r="C773" s="9"/>
      <c r="D773" s="9"/>
      <c r="E773" s="9"/>
      <c r="F773" s="9"/>
      <c r="G773" s="9"/>
      <c r="H773" s="9"/>
      <c r="I773" s="9"/>
      <c r="J773" s="10"/>
      <c r="K773" s="10"/>
      <c r="L773" s="10"/>
      <c r="M773" s="10"/>
      <c r="N773" s="11"/>
      <c r="O773" s="11"/>
      <c r="P773" s="11"/>
      <c r="Q773" s="11"/>
      <c r="R773" s="10"/>
      <c r="S773" s="10"/>
      <c r="T773" s="10"/>
      <c r="U773" s="10"/>
    </row>
    <row r="774">
      <c r="A774" s="8"/>
      <c r="B774" s="9"/>
      <c r="C774" s="9"/>
      <c r="D774" s="9"/>
      <c r="E774" s="9"/>
      <c r="F774" s="9"/>
      <c r="G774" s="9"/>
      <c r="H774" s="9"/>
      <c r="I774" s="9"/>
      <c r="J774" s="10"/>
      <c r="K774" s="10"/>
      <c r="L774" s="10"/>
      <c r="M774" s="10"/>
      <c r="N774" s="11"/>
      <c r="O774" s="11"/>
      <c r="P774" s="11"/>
      <c r="Q774" s="11"/>
      <c r="R774" s="10"/>
      <c r="S774" s="10"/>
      <c r="T774" s="10"/>
      <c r="U774" s="10"/>
    </row>
    <row r="775">
      <c r="A775" s="8"/>
      <c r="B775" s="9"/>
      <c r="C775" s="9"/>
      <c r="D775" s="9"/>
      <c r="E775" s="9"/>
      <c r="F775" s="9"/>
      <c r="G775" s="9"/>
      <c r="H775" s="9"/>
      <c r="I775" s="9"/>
      <c r="J775" s="10"/>
      <c r="K775" s="10"/>
      <c r="L775" s="10"/>
      <c r="M775" s="10"/>
      <c r="N775" s="11"/>
      <c r="O775" s="11"/>
      <c r="P775" s="11"/>
      <c r="Q775" s="11"/>
      <c r="R775" s="10"/>
      <c r="S775" s="10"/>
      <c r="T775" s="10"/>
      <c r="U775" s="10"/>
    </row>
    <row r="776">
      <c r="A776" s="8"/>
      <c r="B776" s="9"/>
      <c r="C776" s="9"/>
      <c r="D776" s="9"/>
      <c r="E776" s="9"/>
      <c r="F776" s="9"/>
      <c r="G776" s="9"/>
      <c r="H776" s="9"/>
      <c r="I776" s="9"/>
      <c r="J776" s="10"/>
      <c r="K776" s="10"/>
      <c r="L776" s="10"/>
      <c r="M776" s="10"/>
      <c r="N776" s="11"/>
      <c r="O776" s="11"/>
      <c r="P776" s="11"/>
      <c r="Q776" s="11"/>
      <c r="R776" s="10"/>
      <c r="S776" s="10"/>
      <c r="T776" s="10"/>
      <c r="U776" s="10"/>
    </row>
    <row r="777">
      <c r="A777" s="8"/>
      <c r="B777" s="9"/>
      <c r="C777" s="9"/>
      <c r="D777" s="9"/>
      <c r="E777" s="9"/>
      <c r="F777" s="9"/>
      <c r="G777" s="9"/>
      <c r="H777" s="9"/>
      <c r="I777" s="9"/>
      <c r="J777" s="10"/>
      <c r="K777" s="10"/>
      <c r="L777" s="10"/>
      <c r="M777" s="10"/>
      <c r="N777" s="11"/>
      <c r="O777" s="11"/>
      <c r="P777" s="11"/>
      <c r="Q777" s="11"/>
      <c r="R777" s="10"/>
      <c r="S777" s="10"/>
      <c r="T777" s="10"/>
      <c r="U777" s="10"/>
    </row>
    <row r="778">
      <c r="A778" s="8"/>
      <c r="B778" s="9"/>
      <c r="C778" s="9"/>
      <c r="D778" s="9"/>
      <c r="E778" s="9"/>
      <c r="F778" s="9"/>
      <c r="G778" s="9"/>
      <c r="H778" s="9"/>
      <c r="I778" s="9"/>
      <c r="J778" s="10"/>
      <c r="K778" s="10"/>
      <c r="L778" s="10"/>
      <c r="M778" s="10"/>
      <c r="N778" s="11"/>
      <c r="O778" s="11"/>
      <c r="P778" s="11"/>
      <c r="Q778" s="11"/>
      <c r="R778" s="10"/>
      <c r="S778" s="10"/>
      <c r="T778" s="10"/>
      <c r="U778" s="10"/>
    </row>
    <row r="779">
      <c r="A779" s="8"/>
      <c r="B779" s="9"/>
      <c r="C779" s="9"/>
      <c r="D779" s="9"/>
      <c r="E779" s="9"/>
      <c r="F779" s="9"/>
      <c r="G779" s="9"/>
      <c r="H779" s="9"/>
      <c r="I779" s="9"/>
      <c r="J779" s="10"/>
      <c r="K779" s="10"/>
      <c r="L779" s="10"/>
      <c r="M779" s="10"/>
      <c r="N779" s="11"/>
      <c r="O779" s="11"/>
      <c r="P779" s="11"/>
      <c r="Q779" s="11"/>
      <c r="R779" s="10"/>
      <c r="S779" s="10"/>
      <c r="T779" s="10"/>
      <c r="U779" s="10"/>
    </row>
    <row r="780">
      <c r="A780" s="8"/>
      <c r="B780" s="9"/>
      <c r="C780" s="9"/>
      <c r="D780" s="9"/>
      <c r="E780" s="9"/>
      <c r="F780" s="9"/>
      <c r="G780" s="9"/>
      <c r="H780" s="9"/>
      <c r="I780" s="9"/>
      <c r="J780" s="10"/>
      <c r="K780" s="10"/>
      <c r="L780" s="10"/>
      <c r="M780" s="10"/>
      <c r="N780" s="11"/>
      <c r="O780" s="11"/>
      <c r="P780" s="11"/>
      <c r="Q780" s="11"/>
      <c r="R780" s="10"/>
      <c r="S780" s="10"/>
      <c r="T780" s="10"/>
      <c r="U780" s="10"/>
    </row>
    <row r="781">
      <c r="A781" s="8"/>
      <c r="B781" s="9"/>
      <c r="C781" s="9"/>
      <c r="D781" s="9"/>
      <c r="E781" s="9"/>
      <c r="F781" s="9"/>
      <c r="G781" s="9"/>
      <c r="H781" s="9"/>
      <c r="I781" s="9"/>
      <c r="J781" s="10"/>
      <c r="K781" s="10"/>
      <c r="L781" s="10"/>
      <c r="M781" s="10"/>
      <c r="N781" s="11"/>
      <c r="O781" s="11"/>
      <c r="P781" s="11"/>
      <c r="Q781" s="11"/>
      <c r="R781" s="10"/>
      <c r="S781" s="10"/>
      <c r="T781" s="10"/>
      <c r="U781" s="10"/>
    </row>
    <row r="782">
      <c r="A782" s="8"/>
      <c r="B782" s="9"/>
      <c r="C782" s="9"/>
      <c r="D782" s="9"/>
      <c r="E782" s="9"/>
      <c r="F782" s="9"/>
      <c r="G782" s="9"/>
      <c r="H782" s="9"/>
      <c r="I782" s="9"/>
      <c r="J782" s="10"/>
      <c r="K782" s="10"/>
      <c r="L782" s="10"/>
      <c r="M782" s="10"/>
      <c r="N782" s="11"/>
      <c r="O782" s="11"/>
      <c r="P782" s="11"/>
      <c r="Q782" s="11"/>
      <c r="R782" s="10"/>
      <c r="S782" s="10"/>
      <c r="T782" s="10"/>
      <c r="U782" s="10"/>
    </row>
    <row r="783">
      <c r="A783" s="8"/>
      <c r="B783" s="9"/>
      <c r="C783" s="9"/>
      <c r="D783" s="9"/>
      <c r="E783" s="9"/>
      <c r="F783" s="9"/>
      <c r="G783" s="9"/>
      <c r="H783" s="9"/>
      <c r="I783" s="9"/>
      <c r="J783" s="10"/>
      <c r="K783" s="10"/>
      <c r="L783" s="10"/>
      <c r="M783" s="10"/>
      <c r="N783" s="11"/>
      <c r="O783" s="11"/>
      <c r="P783" s="11"/>
      <c r="Q783" s="11"/>
      <c r="R783" s="10"/>
      <c r="S783" s="10"/>
      <c r="T783" s="10"/>
      <c r="U783" s="10"/>
    </row>
    <row r="784">
      <c r="A784" s="8"/>
      <c r="B784" s="9"/>
      <c r="C784" s="9"/>
      <c r="D784" s="9"/>
      <c r="E784" s="9"/>
      <c r="F784" s="9"/>
      <c r="G784" s="9"/>
      <c r="H784" s="9"/>
      <c r="I784" s="9"/>
      <c r="J784" s="10"/>
      <c r="K784" s="10"/>
      <c r="L784" s="10"/>
      <c r="M784" s="10"/>
      <c r="N784" s="11"/>
      <c r="O784" s="11"/>
      <c r="P784" s="11"/>
      <c r="Q784" s="11"/>
      <c r="R784" s="10"/>
      <c r="S784" s="10"/>
      <c r="T784" s="10"/>
      <c r="U784" s="10"/>
    </row>
    <row r="785">
      <c r="A785" s="8"/>
      <c r="B785" s="9"/>
      <c r="C785" s="9"/>
      <c r="D785" s="9"/>
      <c r="E785" s="9"/>
      <c r="F785" s="9"/>
      <c r="G785" s="9"/>
      <c r="H785" s="9"/>
      <c r="I785" s="9"/>
      <c r="J785" s="10"/>
      <c r="K785" s="10"/>
      <c r="L785" s="10"/>
      <c r="M785" s="10"/>
      <c r="N785" s="11"/>
      <c r="O785" s="11"/>
      <c r="P785" s="11"/>
      <c r="Q785" s="11"/>
      <c r="R785" s="10"/>
      <c r="S785" s="10"/>
      <c r="T785" s="10"/>
      <c r="U785" s="10"/>
    </row>
    <row r="786">
      <c r="A786" s="8"/>
      <c r="B786" s="9"/>
      <c r="C786" s="9"/>
      <c r="D786" s="9"/>
      <c r="E786" s="9"/>
      <c r="F786" s="9"/>
      <c r="G786" s="9"/>
      <c r="H786" s="9"/>
      <c r="I786" s="9"/>
      <c r="J786" s="10"/>
      <c r="K786" s="10"/>
      <c r="L786" s="10"/>
      <c r="M786" s="10"/>
      <c r="N786" s="11"/>
      <c r="O786" s="11"/>
      <c r="P786" s="11"/>
      <c r="Q786" s="11"/>
      <c r="R786" s="10"/>
      <c r="S786" s="10"/>
      <c r="T786" s="10"/>
      <c r="U786" s="10"/>
    </row>
    <row r="787">
      <c r="A787" s="8"/>
      <c r="B787" s="9"/>
      <c r="C787" s="9"/>
      <c r="D787" s="9"/>
      <c r="E787" s="9"/>
      <c r="F787" s="9"/>
      <c r="G787" s="9"/>
      <c r="H787" s="9"/>
      <c r="I787" s="9"/>
      <c r="J787" s="10"/>
      <c r="K787" s="10"/>
      <c r="L787" s="10"/>
      <c r="M787" s="10"/>
      <c r="N787" s="11"/>
      <c r="O787" s="11"/>
      <c r="P787" s="11"/>
      <c r="Q787" s="11"/>
      <c r="R787" s="10"/>
      <c r="S787" s="10"/>
      <c r="T787" s="10"/>
      <c r="U787" s="10"/>
    </row>
    <row r="788">
      <c r="A788" s="8"/>
      <c r="B788" s="9"/>
      <c r="C788" s="9"/>
      <c r="D788" s="9"/>
      <c r="E788" s="9"/>
      <c r="F788" s="9"/>
      <c r="G788" s="9"/>
      <c r="H788" s="9"/>
      <c r="I788" s="9"/>
      <c r="J788" s="10"/>
      <c r="K788" s="10"/>
      <c r="L788" s="10"/>
      <c r="M788" s="10"/>
      <c r="N788" s="11"/>
      <c r="O788" s="11"/>
      <c r="P788" s="11"/>
      <c r="Q788" s="11"/>
      <c r="R788" s="10"/>
      <c r="S788" s="10"/>
      <c r="T788" s="10"/>
      <c r="U788" s="10"/>
    </row>
    <row r="789">
      <c r="A789" s="8"/>
      <c r="B789" s="9"/>
      <c r="C789" s="9"/>
      <c r="D789" s="9"/>
      <c r="E789" s="9"/>
      <c r="F789" s="9"/>
      <c r="G789" s="9"/>
      <c r="H789" s="9"/>
      <c r="I789" s="9"/>
      <c r="J789" s="10"/>
      <c r="K789" s="10"/>
      <c r="L789" s="10"/>
      <c r="M789" s="10"/>
      <c r="N789" s="11"/>
      <c r="O789" s="11"/>
      <c r="P789" s="11"/>
      <c r="Q789" s="11"/>
      <c r="R789" s="10"/>
      <c r="S789" s="10"/>
      <c r="T789" s="10"/>
      <c r="U789" s="10"/>
    </row>
    <row r="790">
      <c r="A790" s="8"/>
      <c r="B790" s="9"/>
      <c r="C790" s="9"/>
      <c r="D790" s="9"/>
      <c r="E790" s="9"/>
      <c r="F790" s="9"/>
      <c r="G790" s="9"/>
      <c r="H790" s="9"/>
      <c r="I790" s="9"/>
      <c r="J790" s="10"/>
      <c r="K790" s="10"/>
      <c r="L790" s="10"/>
      <c r="M790" s="10"/>
      <c r="N790" s="11"/>
      <c r="O790" s="11"/>
      <c r="P790" s="11"/>
      <c r="Q790" s="11"/>
      <c r="R790" s="10"/>
      <c r="S790" s="10"/>
      <c r="T790" s="10"/>
      <c r="U790" s="10"/>
    </row>
    <row r="791">
      <c r="A791" s="8"/>
      <c r="B791" s="9"/>
      <c r="C791" s="9"/>
      <c r="D791" s="9"/>
      <c r="E791" s="9"/>
      <c r="F791" s="9"/>
      <c r="G791" s="9"/>
      <c r="H791" s="9"/>
      <c r="I791" s="9"/>
      <c r="J791" s="10"/>
      <c r="K791" s="10"/>
      <c r="L791" s="10"/>
      <c r="M791" s="10"/>
      <c r="N791" s="11"/>
      <c r="O791" s="11"/>
      <c r="P791" s="11"/>
      <c r="Q791" s="11"/>
      <c r="R791" s="10"/>
      <c r="S791" s="10"/>
      <c r="T791" s="10"/>
      <c r="U791" s="10"/>
    </row>
    <row r="792">
      <c r="A792" s="8"/>
      <c r="B792" s="9"/>
      <c r="C792" s="9"/>
      <c r="D792" s="9"/>
      <c r="E792" s="9"/>
      <c r="F792" s="9"/>
      <c r="G792" s="9"/>
      <c r="H792" s="9"/>
      <c r="I792" s="9"/>
      <c r="J792" s="10"/>
      <c r="K792" s="10"/>
      <c r="L792" s="10"/>
      <c r="M792" s="10"/>
      <c r="N792" s="11"/>
      <c r="O792" s="11"/>
      <c r="P792" s="11"/>
      <c r="Q792" s="11"/>
      <c r="R792" s="10"/>
      <c r="S792" s="10"/>
      <c r="T792" s="10"/>
      <c r="U792" s="10"/>
    </row>
    <row r="793">
      <c r="A793" s="8"/>
      <c r="B793" s="9"/>
      <c r="C793" s="9"/>
      <c r="D793" s="9"/>
      <c r="E793" s="9"/>
      <c r="F793" s="9"/>
      <c r="G793" s="9"/>
      <c r="H793" s="9"/>
      <c r="I793" s="9"/>
      <c r="J793" s="10"/>
      <c r="K793" s="10"/>
      <c r="L793" s="10"/>
      <c r="M793" s="10"/>
      <c r="N793" s="11"/>
      <c r="O793" s="11"/>
      <c r="P793" s="11"/>
      <c r="Q793" s="11"/>
      <c r="R793" s="10"/>
      <c r="S793" s="10"/>
      <c r="T793" s="10"/>
      <c r="U793" s="10"/>
    </row>
    <row r="794">
      <c r="A794" s="8"/>
      <c r="B794" s="9"/>
      <c r="C794" s="9"/>
      <c r="D794" s="9"/>
      <c r="E794" s="9"/>
      <c r="F794" s="9"/>
      <c r="G794" s="9"/>
      <c r="H794" s="9"/>
      <c r="I794" s="9"/>
      <c r="J794" s="10"/>
      <c r="K794" s="10"/>
      <c r="L794" s="10"/>
      <c r="M794" s="10"/>
      <c r="N794" s="11"/>
      <c r="O794" s="11"/>
      <c r="P794" s="11"/>
      <c r="Q794" s="11"/>
      <c r="R794" s="10"/>
      <c r="S794" s="10"/>
      <c r="T794" s="10"/>
      <c r="U794" s="10"/>
    </row>
    <row r="795">
      <c r="A795" s="8"/>
      <c r="B795" s="9"/>
      <c r="C795" s="9"/>
      <c r="D795" s="9"/>
      <c r="E795" s="9"/>
      <c r="F795" s="9"/>
      <c r="G795" s="9"/>
      <c r="H795" s="9"/>
      <c r="I795" s="9"/>
      <c r="J795" s="10"/>
      <c r="K795" s="10"/>
      <c r="L795" s="10"/>
      <c r="M795" s="10"/>
      <c r="N795" s="11"/>
      <c r="O795" s="11"/>
      <c r="P795" s="11"/>
      <c r="Q795" s="11"/>
      <c r="R795" s="10"/>
      <c r="S795" s="10"/>
      <c r="T795" s="10"/>
      <c r="U795" s="10"/>
    </row>
    <row r="796">
      <c r="A796" s="8"/>
      <c r="B796" s="9"/>
      <c r="C796" s="9"/>
      <c r="D796" s="9"/>
      <c r="E796" s="9"/>
      <c r="F796" s="9"/>
      <c r="G796" s="9"/>
      <c r="H796" s="9"/>
      <c r="I796" s="9"/>
      <c r="J796" s="10"/>
      <c r="K796" s="10"/>
      <c r="L796" s="10"/>
      <c r="M796" s="10"/>
      <c r="N796" s="11"/>
      <c r="O796" s="11"/>
      <c r="P796" s="11"/>
      <c r="Q796" s="11"/>
      <c r="R796" s="10"/>
      <c r="S796" s="10"/>
      <c r="T796" s="10"/>
      <c r="U796" s="10"/>
    </row>
    <row r="797">
      <c r="A797" s="8"/>
      <c r="B797" s="9"/>
      <c r="C797" s="9"/>
      <c r="D797" s="9"/>
      <c r="E797" s="9"/>
      <c r="F797" s="9"/>
      <c r="G797" s="9"/>
      <c r="H797" s="9"/>
      <c r="I797" s="9"/>
      <c r="J797" s="10"/>
      <c r="K797" s="10"/>
      <c r="L797" s="10"/>
      <c r="M797" s="10"/>
      <c r="N797" s="11"/>
      <c r="O797" s="11"/>
      <c r="P797" s="11"/>
      <c r="Q797" s="11"/>
      <c r="R797" s="10"/>
      <c r="S797" s="10"/>
      <c r="T797" s="10"/>
      <c r="U797" s="10"/>
    </row>
    <row r="798">
      <c r="A798" s="8"/>
      <c r="B798" s="9"/>
      <c r="C798" s="9"/>
      <c r="D798" s="9"/>
      <c r="E798" s="9"/>
      <c r="F798" s="9"/>
      <c r="G798" s="9"/>
      <c r="H798" s="9"/>
      <c r="I798" s="9"/>
      <c r="J798" s="10"/>
      <c r="K798" s="10"/>
      <c r="L798" s="10"/>
      <c r="M798" s="10"/>
      <c r="N798" s="11"/>
      <c r="O798" s="11"/>
      <c r="P798" s="11"/>
      <c r="Q798" s="11"/>
      <c r="R798" s="10"/>
      <c r="S798" s="10"/>
      <c r="T798" s="10"/>
      <c r="U798" s="10"/>
    </row>
    <row r="799">
      <c r="A799" s="8"/>
      <c r="B799" s="9"/>
      <c r="C799" s="9"/>
      <c r="D799" s="9"/>
      <c r="E799" s="9"/>
      <c r="F799" s="9"/>
      <c r="G799" s="9"/>
      <c r="H799" s="9"/>
      <c r="I799" s="9"/>
      <c r="J799" s="10"/>
      <c r="K799" s="10"/>
      <c r="L799" s="10"/>
      <c r="M799" s="10"/>
      <c r="N799" s="11"/>
      <c r="O799" s="11"/>
      <c r="P799" s="11"/>
      <c r="Q799" s="11"/>
      <c r="R799" s="10"/>
      <c r="S799" s="10"/>
      <c r="T799" s="10"/>
      <c r="U799" s="10"/>
    </row>
    <row r="800">
      <c r="A800" s="8"/>
      <c r="B800" s="9"/>
      <c r="C800" s="9"/>
      <c r="D800" s="9"/>
      <c r="E800" s="9"/>
      <c r="F800" s="9"/>
      <c r="G800" s="9"/>
      <c r="H800" s="9"/>
      <c r="I800" s="9"/>
      <c r="J800" s="10"/>
      <c r="K800" s="10"/>
      <c r="L800" s="10"/>
      <c r="M800" s="10"/>
      <c r="N800" s="11"/>
      <c r="O800" s="11"/>
      <c r="P800" s="11"/>
      <c r="Q800" s="11"/>
      <c r="R800" s="10"/>
      <c r="S800" s="10"/>
      <c r="T800" s="10"/>
      <c r="U800" s="10"/>
    </row>
    <row r="801">
      <c r="A801" s="8"/>
      <c r="B801" s="9"/>
      <c r="C801" s="9"/>
      <c r="D801" s="9"/>
      <c r="E801" s="9"/>
      <c r="F801" s="9"/>
      <c r="G801" s="9"/>
      <c r="H801" s="9"/>
      <c r="I801" s="9"/>
      <c r="J801" s="10"/>
      <c r="K801" s="10"/>
      <c r="L801" s="10"/>
      <c r="M801" s="10"/>
      <c r="N801" s="11"/>
      <c r="O801" s="11"/>
      <c r="P801" s="11"/>
      <c r="Q801" s="11"/>
      <c r="R801" s="10"/>
      <c r="S801" s="10"/>
      <c r="T801" s="10"/>
      <c r="U801" s="10"/>
    </row>
    <row r="802">
      <c r="A802" s="8"/>
      <c r="B802" s="9"/>
      <c r="C802" s="9"/>
      <c r="D802" s="9"/>
      <c r="E802" s="9"/>
      <c r="F802" s="9"/>
      <c r="G802" s="9"/>
      <c r="H802" s="9"/>
      <c r="I802" s="9"/>
      <c r="J802" s="10"/>
      <c r="K802" s="10"/>
      <c r="L802" s="10"/>
      <c r="M802" s="10"/>
      <c r="N802" s="11"/>
      <c r="O802" s="11"/>
      <c r="P802" s="11"/>
      <c r="Q802" s="11"/>
      <c r="R802" s="10"/>
      <c r="S802" s="10"/>
      <c r="T802" s="10"/>
      <c r="U802" s="10"/>
    </row>
    <row r="803">
      <c r="A803" s="8"/>
      <c r="B803" s="9"/>
      <c r="C803" s="9"/>
      <c r="D803" s="9"/>
      <c r="E803" s="9"/>
      <c r="F803" s="9"/>
      <c r="G803" s="9"/>
      <c r="H803" s="9"/>
      <c r="I803" s="9"/>
      <c r="J803" s="10"/>
      <c r="K803" s="10"/>
      <c r="L803" s="10"/>
      <c r="M803" s="10"/>
      <c r="N803" s="11"/>
      <c r="O803" s="11"/>
      <c r="P803" s="11"/>
      <c r="Q803" s="11"/>
      <c r="R803" s="10"/>
      <c r="S803" s="10"/>
      <c r="T803" s="10"/>
      <c r="U803" s="10"/>
    </row>
    <row r="804">
      <c r="A804" s="8"/>
      <c r="B804" s="9"/>
      <c r="C804" s="9"/>
      <c r="D804" s="9"/>
      <c r="E804" s="9"/>
      <c r="F804" s="9"/>
      <c r="G804" s="9"/>
      <c r="H804" s="9"/>
      <c r="I804" s="9"/>
      <c r="J804" s="10"/>
      <c r="K804" s="10"/>
      <c r="L804" s="10"/>
      <c r="M804" s="10"/>
      <c r="N804" s="11"/>
      <c r="O804" s="11"/>
      <c r="P804" s="11"/>
      <c r="Q804" s="11"/>
      <c r="R804" s="10"/>
      <c r="S804" s="10"/>
      <c r="T804" s="10"/>
      <c r="U804" s="10"/>
    </row>
    <row r="805">
      <c r="A805" s="8"/>
      <c r="B805" s="9"/>
      <c r="C805" s="9"/>
      <c r="D805" s="9"/>
      <c r="E805" s="9"/>
      <c r="F805" s="9"/>
      <c r="G805" s="9"/>
      <c r="H805" s="9"/>
      <c r="I805" s="9"/>
      <c r="J805" s="10"/>
      <c r="K805" s="10"/>
      <c r="L805" s="10"/>
      <c r="M805" s="10"/>
      <c r="N805" s="11"/>
      <c r="O805" s="11"/>
      <c r="P805" s="11"/>
      <c r="Q805" s="11"/>
      <c r="R805" s="10"/>
      <c r="S805" s="10"/>
      <c r="T805" s="10"/>
      <c r="U805" s="10"/>
    </row>
    <row r="806">
      <c r="A806" s="8"/>
      <c r="B806" s="9"/>
      <c r="C806" s="9"/>
      <c r="D806" s="9"/>
      <c r="E806" s="9"/>
      <c r="F806" s="9"/>
      <c r="G806" s="9"/>
      <c r="H806" s="9"/>
      <c r="I806" s="9"/>
      <c r="J806" s="10"/>
      <c r="K806" s="10"/>
      <c r="L806" s="10"/>
      <c r="M806" s="10"/>
      <c r="N806" s="11"/>
      <c r="O806" s="11"/>
      <c r="P806" s="11"/>
      <c r="Q806" s="11"/>
      <c r="R806" s="10"/>
      <c r="S806" s="10"/>
      <c r="T806" s="10"/>
      <c r="U806" s="10"/>
    </row>
    <row r="807">
      <c r="A807" s="8"/>
      <c r="B807" s="9"/>
      <c r="C807" s="9"/>
      <c r="D807" s="9"/>
      <c r="E807" s="9"/>
      <c r="F807" s="9"/>
      <c r="G807" s="9"/>
      <c r="H807" s="9"/>
      <c r="I807" s="9"/>
      <c r="J807" s="10"/>
      <c r="K807" s="10"/>
      <c r="L807" s="10"/>
      <c r="M807" s="10"/>
      <c r="N807" s="11"/>
      <c r="O807" s="11"/>
      <c r="P807" s="11"/>
      <c r="Q807" s="11"/>
      <c r="R807" s="10"/>
      <c r="S807" s="10"/>
      <c r="T807" s="10"/>
      <c r="U807" s="10"/>
    </row>
    <row r="808">
      <c r="A808" s="8"/>
      <c r="B808" s="9"/>
      <c r="C808" s="9"/>
      <c r="D808" s="9"/>
      <c r="E808" s="9"/>
      <c r="F808" s="9"/>
      <c r="G808" s="9"/>
      <c r="H808" s="9"/>
      <c r="I808" s="9"/>
      <c r="J808" s="10"/>
      <c r="K808" s="10"/>
      <c r="L808" s="10"/>
      <c r="M808" s="10"/>
      <c r="N808" s="11"/>
      <c r="O808" s="11"/>
      <c r="P808" s="11"/>
      <c r="Q808" s="11"/>
      <c r="R808" s="10"/>
      <c r="S808" s="10"/>
      <c r="T808" s="10"/>
      <c r="U808" s="10"/>
    </row>
    <row r="809">
      <c r="A809" s="8"/>
      <c r="B809" s="9"/>
      <c r="C809" s="9"/>
      <c r="D809" s="9"/>
      <c r="E809" s="9"/>
      <c r="F809" s="9"/>
      <c r="G809" s="9"/>
      <c r="H809" s="9"/>
      <c r="I809" s="9"/>
      <c r="J809" s="10"/>
      <c r="K809" s="10"/>
      <c r="L809" s="10"/>
      <c r="M809" s="10"/>
      <c r="N809" s="11"/>
      <c r="O809" s="11"/>
      <c r="P809" s="11"/>
      <c r="Q809" s="11"/>
      <c r="R809" s="10"/>
      <c r="S809" s="10"/>
      <c r="T809" s="10"/>
      <c r="U809" s="10"/>
    </row>
    <row r="810">
      <c r="A810" s="8"/>
      <c r="B810" s="9"/>
      <c r="C810" s="9"/>
      <c r="D810" s="9"/>
      <c r="E810" s="9"/>
      <c r="F810" s="9"/>
      <c r="G810" s="9"/>
      <c r="H810" s="9"/>
      <c r="I810" s="9"/>
      <c r="J810" s="10"/>
      <c r="K810" s="10"/>
      <c r="L810" s="10"/>
      <c r="M810" s="10"/>
      <c r="N810" s="11"/>
      <c r="O810" s="11"/>
      <c r="P810" s="11"/>
      <c r="Q810" s="11"/>
      <c r="R810" s="10"/>
      <c r="S810" s="10"/>
      <c r="T810" s="10"/>
      <c r="U810" s="10"/>
    </row>
    <row r="811">
      <c r="A811" s="8"/>
      <c r="B811" s="9"/>
      <c r="C811" s="9"/>
      <c r="D811" s="9"/>
      <c r="E811" s="9"/>
      <c r="F811" s="9"/>
      <c r="G811" s="9"/>
      <c r="H811" s="9"/>
      <c r="I811" s="9"/>
      <c r="J811" s="10"/>
      <c r="K811" s="10"/>
      <c r="L811" s="10"/>
      <c r="M811" s="10"/>
      <c r="N811" s="11"/>
      <c r="O811" s="11"/>
      <c r="P811" s="11"/>
      <c r="Q811" s="11"/>
      <c r="R811" s="10"/>
      <c r="S811" s="10"/>
      <c r="T811" s="10"/>
      <c r="U811" s="10"/>
    </row>
    <row r="812">
      <c r="A812" s="8"/>
      <c r="B812" s="9"/>
      <c r="C812" s="9"/>
      <c r="D812" s="9"/>
      <c r="E812" s="9"/>
      <c r="F812" s="9"/>
      <c r="G812" s="9"/>
      <c r="H812" s="9"/>
      <c r="I812" s="9"/>
      <c r="J812" s="10"/>
      <c r="K812" s="10"/>
      <c r="L812" s="10"/>
      <c r="M812" s="10"/>
      <c r="N812" s="11"/>
      <c r="O812" s="11"/>
      <c r="P812" s="11"/>
      <c r="Q812" s="11"/>
      <c r="R812" s="10"/>
      <c r="S812" s="10"/>
      <c r="T812" s="10"/>
      <c r="U812" s="10"/>
    </row>
    <row r="813">
      <c r="A813" s="8"/>
      <c r="B813" s="9"/>
      <c r="C813" s="9"/>
      <c r="D813" s="9"/>
      <c r="E813" s="9"/>
      <c r="F813" s="9"/>
      <c r="G813" s="9"/>
      <c r="H813" s="9"/>
      <c r="I813" s="9"/>
      <c r="J813" s="10"/>
      <c r="K813" s="10"/>
      <c r="L813" s="10"/>
      <c r="M813" s="10"/>
      <c r="N813" s="11"/>
      <c r="O813" s="11"/>
      <c r="P813" s="11"/>
      <c r="Q813" s="11"/>
      <c r="R813" s="10"/>
      <c r="S813" s="10"/>
      <c r="T813" s="10"/>
      <c r="U813" s="10"/>
    </row>
    <row r="814">
      <c r="A814" s="8"/>
      <c r="B814" s="9"/>
      <c r="C814" s="9"/>
      <c r="D814" s="9"/>
      <c r="E814" s="9"/>
      <c r="F814" s="9"/>
      <c r="G814" s="9"/>
      <c r="H814" s="9"/>
      <c r="I814" s="9"/>
      <c r="J814" s="10"/>
      <c r="K814" s="10"/>
      <c r="L814" s="10"/>
      <c r="M814" s="10"/>
      <c r="N814" s="11"/>
      <c r="O814" s="11"/>
      <c r="P814" s="11"/>
      <c r="Q814" s="11"/>
      <c r="R814" s="10"/>
      <c r="S814" s="10"/>
      <c r="T814" s="10"/>
      <c r="U814" s="10"/>
    </row>
    <row r="815">
      <c r="A815" s="8"/>
      <c r="B815" s="9"/>
      <c r="C815" s="9"/>
      <c r="D815" s="9"/>
      <c r="E815" s="9"/>
      <c r="F815" s="9"/>
      <c r="G815" s="9"/>
      <c r="H815" s="9"/>
      <c r="I815" s="9"/>
      <c r="J815" s="10"/>
      <c r="K815" s="10"/>
      <c r="L815" s="10"/>
      <c r="M815" s="10"/>
      <c r="N815" s="11"/>
      <c r="O815" s="11"/>
      <c r="P815" s="11"/>
      <c r="Q815" s="11"/>
      <c r="R815" s="10"/>
      <c r="S815" s="10"/>
      <c r="T815" s="10"/>
      <c r="U815" s="10"/>
    </row>
    <row r="816">
      <c r="A816" s="8"/>
      <c r="B816" s="9"/>
      <c r="C816" s="9"/>
      <c r="D816" s="9"/>
      <c r="E816" s="9"/>
      <c r="F816" s="9"/>
      <c r="G816" s="9"/>
      <c r="H816" s="9"/>
      <c r="I816" s="9"/>
      <c r="J816" s="10"/>
      <c r="K816" s="10"/>
      <c r="L816" s="10"/>
      <c r="M816" s="10"/>
      <c r="N816" s="11"/>
      <c r="O816" s="11"/>
      <c r="P816" s="11"/>
      <c r="Q816" s="11"/>
      <c r="R816" s="10"/>
      <c r="S816" s="10"/>
      <c r="T816" s="10"/>
      <c r="U816" s="10"/>
    </row>
    <row r="817">
      <c r="A817" s="8"/>
      <c r="B817" s="9"/>
      <c r="C817" s="9"/>
      <c r="D817" s="9"/>
      <c r="E817" s="9"/>
      <c r="F817" s="9"/>
      <c r="G817" s="9"/>
      <c r="H817" s="9"/>
      <c r="I817" s="9"/>
      <c r="J817" s="10"/>
      <c r="K817" s="10"/>
      <c r="L817" s="10"/>
      <c r="M817" s="10"/>
      <c r="N817" s="11"/>
      <c r="O817" s="11"/>
      <c r="P817" s="11"/>
      <c r="Q817" s="11"/>
      <c r="R817" s="10"/>
      <c r="S817" s="10"/>
      <c r="T817" s="10"/>
      <c r="U817" s="10"/>
    </row>
    <row r="818">
      <c r="A818" s="8"/>
      <c r="B818" s="9"/>
      <c r="C818" s="9"/>
      <c r="D818" s="9"/>
      <c r="E818" s="9"/>
      <c r="F818" s="9"/>
      <c r="G818" s="9"/>
      <c r="H818" s="9"/>
      <c r="I818" s="9"/>
      <c r="J818" s="10"/>
      <c r="K818" s="10"/>
      <c r="L818" s="10"/>
      <c r="M818" s="10"/>
      <c r="N818" s="11"/>
      <c r="O818" s="11"/>
      <c r="P818" s="11"/>
      <c r="Q818" s="11"/>
      <c r="R818" s="10"/>
      <c r="S818" s="10"/>
      <c r="T818" s="10"/>
      <c r="U818" s="10"/>
    </row>
    <row r="819">
      <c r="A819" s="8"/>
      <c r="B819" s="9"/>
      <c r="C819" s="9"/>
      <c r="D819" s="9"/>
      <c r="E819" s="9"/>
      <c r="F819" s="9"/>
      <c r="G819" s="9"/>
      <c r="H819" s="9"/>
      <c r="I819" s="9"/>
      <c r="J819" s="10"/>
      <c r="K819" s="10"/>
      <c r="L819" s="10"/>
      <c r="M819" s="10"/>
      <c r="N819" s="11"/>
      <c r="O819" s="11"/>
      <c r="P819" s="11"/>
      <c r="Q819" s="11"/>
      <c r="R819" s="10"/>
      <c r="S819" s="10"/>
      <c r="T819" s="10"/>
      <c r="U819" s="10"/>
    </row>
    <row r="820">
      <c r="A820" s="8"/>
      <c r="B820" s="9"/>
      <c r="C820" s="9"/>
      <c r="D820" s="9"/>
      <c r="E820" s="9"/>
      <c r="F820" s="9"/>
      <c r="G820" s="9"/>
      <c r="H820" s="9"/>
      <c r="I820" s="9"/>
      <c r="J820" s="10"/>
      <c r="K820" s="10"/>
      <c r="L820" s="10"/>
      <c r="M820" s="10"/>
      <c r="N820" s="11"/>
      <c r="O820" s="11"/>
      <c r="P820" s="11"/>
      <c r="Q820" s="11"/>
      <c r="R820" s="10"/>
      <c r="S820" s="10"/>
      <c r="T820" s="10"/>
      <c r="U820" s="10"/>
    </row>
    <row r="821">
      <c r="A821" s="8"/>
      <c r="B821" s="9"/>
      <c r="C821" s="9"/>
      <c r="D821" s="9"/>
      <c r="E821" s="9"/>
      <c r="F821" s="9"/>
      <c r="G821" s="9"/>
      <c r="H821" s="9"/>
      <c r="I821" s="9"/>
      <c r="J821" s="10"/>
      <c r="K821" s="10"/>
      <c r="L821" s="10"/>
      <c r="M821" s="10"/>
      <c r="N821" s="11"/>
      <c r="O821" s="11"/>
      <c r="P821" s="11"/>
      <c r="Q821" s="11"/>
      <c r="R821" s="10"/>
      <c r="S821" s="10"/>
      <c r="T821" s="10"/>
      <c r="U821" s="10"/>
    </row>
    <row r="822">
      <c r="A822" s="8"/>
      <c r="B822" s="9"/>
      <c r="C822" s="9"/>
      <c r="D822" s="9"/>
      <c r="E822" s="9"/>
      <c r="F822" s="9"/>
      <c r="G822" s="9"/>
      <c r="H822" s="9"/>
      <c r="I822" s="9"/>
      <c r="J822" s="10"/>
      <c r="K822" s="10"/>
      <c r="L822" s="10"/>
      <c r="M822" s="10"/>
      <c r="N822" s="11"/>
      <c r="O822" s="11"/>
      <c r="P822" s="11"/>
      <c r="Q822" s="11"/>
      <c r="R822" s="10"/>
      <c r="S822" s="10"/>
      <c r="T822" s="10"/>
      <c r="U822" s="10"/>
    </row>
    <row r="823">
      <c r="A823" s="8"/>
      <c r="B823" s="9"/>
      <c r="C823" s="9"/>
      <c r="D823" s="9"/>
      <c r="E823" s="9"/>
      <c r="F823" s="9"/>
      <c r="G823" s="9"/>
      <c r="H823" s="9"/>
      <c r="I823" s="9"/>
      <c r="J823" s="10"/>
      <c r="K823" s="10"/>
      <c r="L823" s="10"/>
      <c r="M823" s="10"/>
      <c r="N823" s="11"/>
      <c r="O823" s="11"/>
      <c r="P823" s="11"/>
      <c r="Q823" s="11"/>
      <c r="R823" s="10"/>
      <c r="S823" s="10"/>
      <c r="T823" s="10"/>
      <c r="U823" s="10"/>
    </row>
    <row r="824">
      <c r="A824" s="8"/>
      <c r="B824" s="9"/>
      <c r="C824" s="9"/>
      <c r="D824" s="9"/>
      <c r="E824" s="9"/>
      <c r="F824" s="9"/>
      <c r="G824" s="9"/>
      <c r="H824" s="9"/>
      <c r="I824" s="9"/>
      <c r="J824" s="10"/>
      <c r="K824" s="10"/>
      <c r="L824" s="10"/>
      <c r="M824" s="10"/>
      <c r="N824" s="11"/>
      <c r="O824" s="11"/>
      <c r="P824" s="11"/>
      <c r="Q824" s="11"/>
      <c r="R824" s="10"/>
      <c r="S824" s="10"/>
      <c r="T824" s="10"/>
      <c r="U824" s="10"/>
    </row>
    <row r="825">
      <c r="A825" s="8"/>
      <c r="B825" s="9"/>
      <c r="C825" s="9"/>
      <c r="D825" s="9"/>
      <c r="E825" s="9"/>
      <c r="F825" s="9"/>
      <c r="G825" s="9"/>
      <c r="H825" s="9"/>
      <c r="I825" s="9"/>
      <c r="J825" s="10"/>
      <c r="K825" s="10"/>
      <c r="L825" s="10"/>
      <c r="M825" s="10"/>
      <c r="N825" s="11"/>
      <c r="O825" s="11"/>
      <c r="P825" s="11"/>
      <c r="Q825" s="11"/>
      <c r="R825" s="10"/>
      <c r="S825" s="10"/>
      <c r="T825" s="10"/>
      <c r="U825" s="10"/>
    </row>
    <row r="826">
      <c r="A826" s="8"/>
      <c r="B826" s="9"/>
      <c r="C826" s="9"/>
      <c r="D826" s="9"/>
      <c r="E826" s="9"/>
      <c r="F826" s="9"/>
      <c r="G826" s="9"/>
      <c r="H826" s="9"/>
      <c r="I826" s="9"/>
      <c r="J826" s="10"/>
      <c r="K826" s="10"/>
      <c r="L826" s="10"/>
      <c r="M826" s="10"/>
      <c r="N826" s="11"/>
      <c r="O826" s="11"/>
      <c r="P826" s="11"/>
      <c r="Q826" s="11"/>
      <c r="R826" s="10"/>
      <c r="S826" s="10"/>
      <c r="T826" s="10"/>
      <c r="U826" s="10"/>
    </row>
    <row r="827">
      <c r="A827" s="8"/>
      <c r="B827" s="9"/>
      <c r="C827" s="9"/>
      <c r="D827" s="9"/>
      <c r="E827" s="9"/>
      <c r="F827" s="9"/>
      <c r="G827" s="9"/>
      <c r="H827" s="9"/>
      <c r="I827" s="9"/>
      <c r="J827" s="10"/>
      <c r="K827" s="10"/>
      <c r="L827" s="10"/>
      <c r="M827" s="10"/>
      <c r="N827" s="11"/>
      <c r="O827" s="11"/>
      <c r="P827" s="11"/>
      <c r="Q827" s="11"/>
      <c r="R827" s="10"/>
      <c r="S827" s="10"/>
      <c r="T827" s="10"/>
      <c r="U827" s="10"/>
    </row>
    <row r="828">
      <c r="A828" s="8"/>
      <c r="B828" s="9"/>
      <c r="C828" s="9"/>
      <c r="D828" s="9"/>
      <c r="E828" s="9"/>
      <c r="F828" s="9"/>
      <c r="G828" s="9"/>
      <c r="H828" s="9"/>
      <c r="I828" s="9"/>
      <c r="J828" s="10"/>
      <c r="K828" s="10"/>
      <c r="L828" s="10"/>
      <c r="M828" s="10"/>
      <c r="N828" s="11"/>
      <c r="O828" s="11"/>
      <c r="P828" s="11"/>
      <c r="Q828" s="11"/>
      <c r="R828" s="10"/>
      <c r="S828" s="10"/>
      <c r="T828" s="10"/>
      <c r="U828" s="10"/>
    </row>
    <row r="829">
      <c r="A829" s="8"/>
      <c r="B829" s="9"/>
      <c r="C829" s="9"/>
      <c r="D829" s="9"/>
      <c r="E829" s="9"/>
      <c r="F829" s="9"/>
      <c r="G829" s="9"/>
      <c r="H829" s="9"/>
      <c r="I829" s="9"/>
      <c r="J829" s="10"/>
      <c r="K829" s="10"/>
      <c r="L829" s="10"/>
      <c r="M829" s="10"/>
      <c r="N829" s="11"/>
      <c r="O829" s="11"/>
      <c r="P829" s="11"/>
      <c r="Q829" s="11"/>
      <c r="R829" s="10"/>
      <c r="S829" s="10"/>
      <c r="T829" s="10"/>
      <c r="U829" s="10"/>
    </row>
    <row r="830">
      <c r="A830" s="8"/>
      <c r="B830" s="9"/>
      <c r="C830" s="9"/>
      <c r="D830" s="9"/>
      <c r="E830" s="9"/>
      <c r="F830" s="9"/>
      <c r="G830" s="9"/>
      <c r="H830" s="9"/>
      <c r="I830" s="9"/>
      <c r="J830" s="10"/>
      <c r="K830" s="10"/>
      <c r="L830" s="10"/>
      <c r="M830" s="10"/>
      <c r="N830" s="11"/>
      <c r="O830" s="11"/>
      <c r="P830" s="11"/>
      <c r="Q830" s="11"/>
      <c r="R830" s="10"/>
      <c r="S830" s="10"/>
      <c r="T830" s="10"/>
      <c r="U830" s="10"/>
    </row>
    <row r="831">
      <c r="A831" s="8"/>
      <c r="B831" s="9"/>
      <c r="C831" s="9"/>
      <c r="D831" s="9"/>
      <c r="E831" s="9"/>
      <c r="F831" s="9"/>
      <c r="G831" s="9"/>
      <c r="H831" s="9"/>
      <c r="I831" s="9"/>
      <c r="J831" s="10"/>
      <c r="K831" s="10"/>
      <c r="L831" s="10"/>
      <c r="M831" s="10"/>
      <c r="N831" s="11"/>
      <c r="O831" s="11"/>
      <c r="P831" s="11"/>
      <c r="Q831" s="11"/>
      <c r="R831" s="10"/>
      <c r="S831" s="10"/>
      <c r="T831" s="10"/>
      <c r="U831" s="10"/>
    </row>
    <row r="832">
      <c r="A832" s="8"/>
      <c r="B832" s="9"/>
      <c r="C832" s="9"/>
      <c r="D832" s="9"/>
      <c r="E832" s="9"/>
      <c r="F832" s="9"/>
      <c r="G832" s="9"/>
      <c r="H832" s="9"/>
      <c r="I832" s="9"/>
      <c r="J832" s="10"/>
      <c r="K832" s="10"/>
      <c r="L832" s="10"/>
      <c r="M832" s="10"/>
      <c r="N832" s="11"/>
      <c r="O832" s="11"/>
      <c r="P832" s="11"/>
      <c r="Q832" s="11"/>
      <c r="R832" s="10"/>
      <c r="S832" s="10"/>
      <c r="T832" s="10"/>
      <c r="U832" s="10"/>
    </row>
    <row r="833">
      <c r="A833" s="8"/>
      <c r="B833" s="9"/>
      <c r="C833" s="9"/>
      <c r="D833" s="9"/>
      <c r="E833" s="9"/>
      <c r="F833" s="9"/>
      <c r="G833" s="9"/>
      <c r="H833" s="9"/>
      <c r="I833" s="9"/>
      <c r="J833" s="10"/>
      <c r="K833" s="10"/>
      <c r="L833" s="10"/>
      <c r="M833" s="10"/>
      <c r="N833" s="11"/>
      <c r="O833" s="11"/>
      <c r="P833" s="11"/>
      <c r="Q833" s="11"/>
      <c r="R833" s="10"/>
      <c r="S833" s="10"/>
      <c r="T833" s="10"/>
      <c r="U833" s="10"/>
    </row>
    <row r="834">
      <c r="A834" s="8"/>
      <c r="B834" s="9"/>
      <c r="C834" s="9"/>
      <c r="D834" s="9"/>
      <c r="E834" s="9"/>
      <c r="F834" s="9"/>
      <c r="G834" s="9"/>
      <c r="H834" s="9"/>
      <c r="I834" s="9"/>
      <c r="J834" s="10"/>
      <c r="K834" s="10"/>
      <c r="L834" s="10"/>
      <c r="M834" s="10"/>
      <c r="N834" s="11"/>
      <c r="O834" s="11"/>
      <c r="P834" s="11"/>
      <c r="Q834" s="11"/>
      <c r="R834" s="10"/>
      <c r="S834" s="10"/>
      <c r="T834" s="10"/>
      <c r="U834" s="10"/>
    </row>
    <row r="835">
      <c r="A835" s="8"/>
      <c r="B835" s="9"/>
      <c r="C835" s="9"/>
      <c r="D835" s="9"/>
      <c r="E835" s="9"/>
      <c r="F835" s="9"/>
      <c r="G835" s="9"/>
      <c r="H835" s="9"/>
      <c r="I835" s="9"/>
      <c r="J835" s="10"/>
      <c r="K835" s="10"/>
      <c r="L835" s="10"/>
      <c r="M835" s="10"/>
      <c r="N835" s="11"/>
      <c r="O835" s="11"/>
      <c r="P835" s="11"/>
      <c r="Q835" s="11"/>
      <c r="R835" s="10"/>
      <c r="S835" s="10"/>
      <c r="T835" s="10"/>
      <c r="U835" s="10"/>
    </row>
    <row r="836">
      <c r="A836" s="8"/>
      <c r="B836" s="9"/>
      <c r="C836" s="9"/>
      <c r="D836" s="9"/>
      <c r="E836" s="9"/>
      <c r="F836" s="9"/>
      <c r="G836" s="9"/>
      <c r="H836" s="9"/>
      <c r="I836" s="9"/>
      <c r="J836" s="10"/>
      <c r="K836" s="10"/>
      <c r="L836" s="10"/>
      <c r="M836" s="10"/>
      <c r="N836" s="11"/>
      <c r="O836" s="11"/>
      <c r="P836" s="11"/>
      <c r="Q836" s="11"/>
      <c r="R836" s="10"/>
      <c r="S836" s="10"/>
      <c r="T836" s="10"/>
      <c r="U836" s="10"/>
    </row>
    <row r="837">
      <c r="A837" s="8"/>
      <c r="B837" s="9"/>
      <c r="C837" s="9"/>
      <c r="D837" s="9"/>
      <c r="E837" s="9"/>
      <c r="F837" s="9"/>
      <c r="G837" s="9"/>
      <c r="H837" s="9"/>
      <c r="I837" s="9"/>
      <c r="J837" s="10"/>
      <c r="K837" s="10"/>
      <c r="L837" s="10"/>
      <c r="M837" s="10"/>
      <c r="N837" s="11"/>
      <c r="O837" s="11"/>
      <c r="P837" s="11"/>
      <c r="Q837" s="11"/>
      <c r="R837" s="10"/>
      <c r="S837" s="10"/>
      <c r="T837" s="10"/>
      <c r="U837" s="10"/>
    </row>
    <row r="838">
      <c r="A838" s="8"/>
      <c r="B838" s="9"/>
      <c r="C838" s="9"/>
      <c r="D838" s="9"/>
      <c r="E838" s="9"/>
      <c r="F838" s="9"/>
      <c r="G838" s="9"/>
      <c r="H838" s="9"/>
      <c r="I838" s="9"/>
      <c r="J838" s="10"/>
      <c r="K838" s="10"/>
      <c r="L838" s="10"/>
      <c r="M838" s="10"/>
      <c r="N838" s="11"/>
      <c r="O838" s="11"/>
      <c r="P838" s="11"/>
      <c r="Q838" s="11"/>
      <c r="R838" s="10"/>
      <c r="S838" s="10"/>
      <c r="T838" s="10"/>
      <c r="U838" s="10"/>
    </row>
    <row r="839">
      <c r="A839" s="8"/>
      <c r="B839" s="9"/>
      <c r="C839" s="9"/>
      <c r="D839" s="9"/>
      <c r="E839" s="9"/>
      <c r="F839" s="9"/>
      <c r="G839" s="9"/>
      <c r="H839" s="9"/>
      <c r="I839" s="9"/>
      <c r="J839" s="10"/>
      <c r="K839" s="10"/>
      <c r="L839" s="10"/>
      <c r="M839" s="10"/>
      <c r="N839" s="11"/>
      <c r="O839" s="11"/>
      <c r="P839" s="11"/>
      <c r="Q839" s="11"/>
      <c r="R839" s="10"/>
      <c r="S839" s="10"/>
      <c r="T839" s="10"/>
      <c r="U839" s="10"/>
    </row>
    <row r="840">
      <c r="A840" s="8"/>
      <c r="B840" s="9"/>
      <c r="C840" s="9"/>
      <c r="D840" s="9"/>
      <c r="E840" s="9"/>
      <c r="F840" s="9"/>
      <c r="G840" s="9"/>
      <c r="H840" s="9"/>
      <c r="I840" s="9"/>
      <c r="J840" s="10"/>
      <c r="K840" s="10"/>
      <c r="L840" s="10"/>
      <c r="M840" s="10"/>
      <c r="N840" s="11"/>
      <c r="O840" s="11"/>
      <c r="P840" s="11"/>
      <c r="Q840" s="11"/>
      <c r="R840" s="10"/>
      <c r="S840" s="10"/>
      <c r="T840" s="10"/>
      <c r="U840" s="10"/>
    </row>
    <row r="841">
      <c r="A841" s="8"/>
      <c r="B841" s="9"/>
      <c r="C841" s="9"/>
      <c r="D841" s="9"/>
      <c r="E841" s="9"/>
      <c r="F841" s="9"/>
      <c r="G841" s="9"/>
      <c r="H841" s="9"/>
      <c r="I841" s="9"/>
      <c r="J841" s="10"/>
      <c r="K841" s="10"/>
      <c r="L841" s="10"/>
      <c r="M841" s="10"/>
      <c r="N841" s="11"/>
      <c r="O841" s="11"/>
      <c r="P841" s="11"/>
      <c r="Q841" s="11"/>
      <c r="R841" s="10"/>
      <c r="S841" s="10"/>
      <c r="T841" s="10"/>
      <c r="U841" s="10"/>
    </row>
    <row r="842">
      <c r="A842" s="8"/>
      <c r="B842" s="9"/>
      <c r="C842" s="9"/>
      <c r="D842" s="9"/>
      <c r="E842" s="9"/>
      <c r="F842" s="9"/>
      <c r="G842" s="9"/>
      <c r="H842" s="9"/>
      <c r="I842" s="9"/>
      <c r="J842" s="10"/>
      <c r="K842" s="10"/>
      <c r="L842" s="10"/>
      <c r="M842" s="10"/>
      <c r="N842" s="11"/>
      <c r="O842" s="11"/>
      <c r="P842" s="11"/>
      <c r="Q842" s="11"/>
      <c r="R842" s="10"/>
      <c r="S842" s="10"/>
      <c r="T842" s="10"/>
      <c r="U842" s="10"/>
    </row>
    <row r="843">
      <c r="A843" s="8"/>
      <c r="B843" s="9"/>
      <c r="C843" s="9"/>
      <c r="D843" s="9"/>
      <c r="E843" s="9"/>
      <c r="F843" s="9"/>
      <c r="G843" s="9"/>
      <c r="H843" s="9"/>
      <c r="I843" s="9"/>
      <c r="J843" s="10"/>
      <c r="K843" s="10"/>
      <c r="L843" s="10"/>
      <c r="M843" s="10"/>
      <c r="N843" s="11"/>
      <c r="O843" s="11"/>
      <c r="P843" s="11"/>
      <c r="Q843" s="11"/>
      <c r="R843" s="10"/>
      <c r="S843" s="10"/>
      <c r="T843" s="10"/>
      <c r="U843" s="10"/>
    </row>
    <row r="844">
      <c r="A844" s="8"/>
      <c r="B844" s="9"/>
      <c r="C844" s="9"/>
      <c r="D844" s="9"/>
      <c r="E844" s="9"/>
      <c r="F844" s="9"/>
      <c r="G844" s="9"/>
      <c r="H844" s="9"/>
      <c r="I844" s="9"/>
      <c r="J844" s="10"/>
      <c r="K844" s="10"/>
      <c r="L844" s="10"/>
      <c r="M844" s="10"/>
      <c r="N844" s="11"/>
      <c r="O844" s="11"/>
      <c r="P844" s="11"/>
      <c r="Q844" s="11"/>
      <c r="R844" s="10"/>
      <c r="S844" s="10"/>
      <c r="T844" s="10"/>
      <c r="U844" s="10"/>
    </row>
    <row r="845">
      <c r="A845" s="8"/>
      <c r="B845" s="9"/>
      <c r="C845" s="9"/>
      <c r="D845" s="9"/>
      <c r="E845" s="9"/>
      <c r="F845" s="9"/>
      <c r="G845" s="9"/>
      <c r="H845" s="9"/>
      <c r="I845" s="9"/>
      <c r="J845" s="10"/>
      <c r="K845" s="10"/>
      <c r="L845" s="10"/>
      <c r="M845" s="10"/>
      <c r="N845" s="11"/>
      <c r="O845" s="11"/>
      <c r="P845" s="11"/>
      <c r="Q845" s="11"/>
      <c r="R845" s="10"/>
      <c r="S845" s="10"/>
      <c r="T845" s="10"/>
      <c r="U845" s="10"/>
    </row>
    <row r="846">
      <c r="A846" s="8"/>
      <c r="B846" s="9"/>
      <c r="C846" s="9"/>
      <c r="D846" s="9"/>
      <c r="E846" s="9"/>
      <c r="F846" s="9"/>
      <c r="G846" s="9"/>
      <c r="H846" s="9"/>
      <c r="I846" s="9"/>
      <c r="J846" s="10"/>
      <c r="K846" s="10"/>
      <c r="L846" s="10"/>
      <c r="M846" s="10"/>
      <c r="N846" s="11"/>
      <c r="O846" s="11"/>
      <c r="P846" s="11"/>
      <c r="Q846" s="11"/>
      <c r="R846" s="10"/>
      <c r="S846" s="10"/>
      <c r="T846" s="10"/>
      <c r="U846" s="10"/>
    </row>
    <row r="847">
      <c r="A847" s="8"/>
      <c r="B847" s="9"/>
      <c r="C847" s="9"/>
      <c r="D847" s="9"/>
      <c r="E847" s="9"/>
      <c r="F847" s="9"/>
      <c r="G847" s="9"/>
      <c r="H847" s="9"/>
      <c r="I847" s="9"/>
      <c r="J847" s="10"/>
      <c r="K847" s="10"/>
      <c r="L847" s="10"/>
      <c r="M847" s="10"/>
      <c r="N847" s="11"/>
      <c r="O847" s="11"/>
      <c r="P847" s="11"/>
      <c r="Q847" s="11"/>
      <c r="R847" s="10"/>
      <c r="S847" s="10"/>
      <c r="T847" s="10"/>
      <c r="U847" s="10"/>
    </row>
    <row r="848">
      <c r="A848" s="8"/>
      <c r="B848" s="9"/>
      <c r="C848" s="9"/>
      <c r="D848" s="9"/>
      <c r="E848" s="9"/>
      <c r="F848" s="9"/>
      <c r="G848" s="9"/>
      <c r="H848" s="9"/>
      <c r="I848" s="9"/>
      <c r="J848" s="10"/>
      <c r="K848" s="10"/>
      <c r="L848" s="10"/>
      <c r="M848" s="10"/>
      <c r="N848" s="11"/>
      <c r="O848" s="11"/>
      <c r="P848" s="11"/>
      <c r="Q848" s="11"/>
      <c r="R848" s="10"/>
      <c r="S848" s="10"/>
      <c r="T848" s="10"/>
      <c r="U848" s="10"/>
    </row>
    <row r="849">
      <c r="A849" s="8"/>
      <c r="B849" s="9"/>
      <c r="C849" s="9"/>
      <c r="D849" s="9"/>
      <c r="E849" s="9"/>
      <c r="F849" s="9"/>
      <c r="G849" s="9"/>
      <c r="H849" s="9"/>
      <c r="I849" s="9"/>
      <c r="J849" s="10"/>
      <c r="K849" s="10"/>
      <c r="L849" s="10"/>
      <c r="M849" s="10"/>
      <c r="N849" s="11"/>
      <c r="O849" s="11"/>
      <c r="P849" s="11"/>
      <c r="Q849" s="11"/>
      <c r="R849" s="10"/>
      <c r="S849" s="10"/>
      <c r="T849" s="10"/>
      <c r="U849" s="10"/>
    </row>
    <row r="850">
      <c r="A850" s="8"/>
      <c r="B850" s="9"/>
      <c r="C850" s="9"/>
      <c r="D850" s="9"/>
      <c r="E850" s="9"/>
      <c r="F850" s="9"/>
      <c r="G850" s="9"/>
      <c r="H850" s="9"/>
      <c r="I850" s="9"/>
      <c r="J850" s="10"/>
      <c r="K850" s="10"/>
      <c r="L850" s="10"/>
      <c r="M850" s="10"/>
      <c r="N850" s="11"/>
      <c r="O850" s="11"/>
      <c r="P850" s="11"/>
      <c r="Q850" s="11"/>
      <c r="R850" s="10"/>
      <c r="S850" s="10"/>
      <c r="T850" s="10"/>
      <c r="U850" s="10"/>
    </row>
    <row r="851">
      <c r="A851" s="8"/>
      <c r="B851" s="9"/>
      <c r="C851" s="9"/>
      <c r="D851" s="9"/>
      <c r="E851" s="9"/>
      <c r="F851" s="9"/>
      <c r="G851" s="9"/>
      <c r="H851" s="9"/>
      <c r="I851" s="9"/>
      <c r="J851" s="10"/>
      <c r="K851" s="10"/>
      <c r="L851" s="10"/>
      <c r="M851" s="10"/>
      <c r="N851" s="11"/>
      <c r="O851" s="11"/>
      <c r="P851" s="11"/>
      <c r="Q851" s="11"/>
      <c r="R851" s="10"/>
      <c r="S851" s="10"/>
      <c r="T851" s="10"/>
      <c r="U851" s="10"/>
    </row>
    <row r="852">
      <c r="A852" s="8"/>
      <c r="B852" s="9"/>
      <c r="C852" s="9"/>
      <c r="D852" s="9"/>
      <c r="E852" s="9"/>
      <c r="F852" s="9"/>
      <c r="G852" s="9"/>
      <c r="H852" s="9"/>
      <c r="I852" s="9"/>
      <c r="J852" s="10"/>
      <c r="K852" s="10"/>
      <c r="L852" s="10"/>
      <c r="M852" s="10"/>
      <c r="N852" s="11"/>
      <c r="O852" s="11"/>
      <c r="P852" s="11"/>
      <c r="Q852" s="11"/>
      <c r="R852" s="10"/>
      <c r="S852" s="10"/>
      <c r="T852" s="10"/>
      <c r="U852" s="10"/>
    </row>
    <row r="853">
      <c r="A853" s="8"/>
      <c r="B853" s="9"/>
      <c r="C853" s="9"/>
      <c r="D853" s="9"/>
      <c r="E853" s="9"/>
      <c r="F853" s="9"/>
      <c r="G853" s="9"/>
      <c r="H853" s="9"/>
      <c r="I853" s="9"/>
      <c r="J853" s="10"/>
      <c r="K853" s="10"/>
      <c r="L853" s="10"/>
      <c r="M853" s="10"/>
      <c r="N853" s="11"/>
      <c r="O853" s="11"/>
      <c r="P853" s="11"/>
      <c r="Q853" s="11"/>
      <c r="R853" s="10"/>
      <c r="S853" s="10"/>
      <c r="T853" s="10"/>
      <c r="U853" s="10"/>
    </row>
    <row r="854">
      <c r="A854" s="8"/>
      <c r="B854" s="9"/>
      <c r="C854" s="9"/>
      <c r="D854" s="9"/>
      <c r="E854" s="9"/>
      <c r="F854" s="9"/>
      <c r="G854" s="9"/>
      <c r="H854" s="9"/>
      <c r="I854" s="9"/>
      <c r="J854" s="10"/>
      <c r="K854" s="10"/>
      <c r="L854" s="10"/>
      <c r="M854" s="10"/>
      <c r="N854" s="11"/>
      <c r="O854" s="11"/>
      <c r="P854" s="11"/>
      <c r="Q854" s="11"/>
      <c r="R854" s="10"/>
      <c r="S854" s="10"/>
      <c r="T854" s="10"/>
      <c r="U854" s="10"/>
    </row>
    <row r="855">
      <c r="A855" s="8"/>
      <c r="B855" s="9"/>
      <c r="C855" s="9"/>
      <c r="D855" s="9"/>
      <c r="E855" s="9"/>
      <c r="F855" s="9"/>
      <c r="G855" s="9"/>
      <c r="H855" s="9"/>
      <c r="I855" s="9"/>
      <c r="J855" s="10"/>
      <c r="K855" s="10"/>
      <c r="L855" s="10"/>
      <c r="M855" s="10"/>
      <c r="N855" s="11"/>
      <c r="O855" s="11"/>
      <c r="P855" s="11"/>
      <c r="Q855" s="11"/>
      <c r="R855" s="10"/>
      <c r="S855" s="10"/>
      <c r="T855" s="10"/>
      <c r="U855" s="10"/>
    </row>
    <row r="856">
      <c r="A856" s="8"/>
      <c r="B856" s="9"/>
      <c r="C856" s="9"/>
      <c r="D856" s="9"/>
      <c r="E856" s="9"/>
      <c r="F856" s="9"/>
      <c r="G856" s="9"/>
      <c r="H856" s="9"/>
      <c r="I856" s="9"/>
      <c r="J856" s="10"/>
      <c r="K856" s="10"/>
      <c r="L856" s="10"/>
      <c r="M856" s="10"/>
      <c r="N856" s="11"/>
      <c r="O856" s="11"/>
      <c r="P856" s="11"/>
      <c r="Q856" s="11"/>
      <c r="R856" s="10"/>
      <c r="S856" s="10"/>
      <c r="T856" s="10"/>
      <c r="U856" s="10"/>
    </row>
    <row r="857">
      <c r="A857" s="8"/>
      <c r="B857" s="9"/>
      <c r="C857" s="9"/>
      <c r="D857" s="9"/>
      <c r="E857" s="9"/>
      <c r="F857" s="9"/>
      <c r="G857" s="9"/>
      <c r="H857" s="9"/>
      <c r="I857" s="9"/>
      <c r="J857" s="10"/>
      <c r="K857" s="10"/>
      <c r="L857" s="10"/>
      <c r="M857" s="10"/>
      <c r="N857" s="11"/>
      <c r="O857" s="11"/>
      <c r="P857" s="11"/>
      <c r="Q857" s="11"/>
      <c r="R857" s="10"/>
      <c r="S857" s="10"/>
      <c r="T857" s="10"/>
      <c r="U857" s="10"/>
    </row>
    <row r="858">
      <c r="A858" s="8"/>
      <c r="B858" s="9"/>
      <c r="C858" s="9"/>
      <c r="D858" s="9"/>
      <c r="E858" s="9"/>
      <c r="F858" s="9"/>
      <c r="G858" s="9"/>
      <c r="H858" s="9"/>
      <c r="I858" s="9"/>
      <c r="J858" s="10"/>
      <c r="K858" s="10"/>
      <c r="L858" s="10"/>
      <c r="M858" s="10"/>
      <c r="N858" s="11"/>
      <c r="O858" s="11"/>
      <c r="P858" s="11"/>
      <c r="Q858" s="11"/>
      <c r="R858" s="10"/>
      <c r="S858" s="10"/>
      <c r="T858" s="10"/>
      <c r="U858" s="10"/>
    </row>
    <row r="859">
      <c r="A859" s="8"/>
      <c r="B859" s="9"/>
      <c r="C859" s="9"/>
      <c r="D859" s="9"/>
      <c r="E859" s="9"/>
      <c r="F859" s="9"/>
      <c r="G859" s="9"/>
      <c r="H859" s="9"/>
      <c r="I859" s="9"/>
      <c r="J859" s="10"/>
      <c r="K859" s="10"/>
      <c r="L859" s="10"/>
      <c r="M859" s="10"/>
      <c r="N859" s="11"/>
      <c r="O859" s="11"/>
      <c r="P859" s="11"/>
      <c r="Q859" s="11"/>
      <c r="R859" s="10"/>
      <c r="S859" s="10"/>
      <c r="T859" s="10"/>
      <c r="U859" s="10"/>
    </row>
    <row r="860">
      <c r="A860" s="8"/>
      <c r="B860" s="9"/>
      <c r="C860" s="9"/>
      <c r="D860" s="9"/>
      <c r="E860" s="9"/>
      <c r="F860" s="9"/>
      <c r="G860" s="9"/>
      <c r="H860" s="9"/>
      <c r="I860" s="9"/>
      <c r="J860" s="10"/>
      <c r="K860" s="10"/>
      <c r="L860" s="10"/>
      <c r="M860" s="10"/>
      <c r="N860" s="11"/>
      <c r="O860" s="11"/>
      <c r="P860" s="11"/>
      <c r="Q860" s="11"/>
      <c r="R860" s="10"/>
      <c r="S860" s="10"/>
      <c r="T860" s="10"/>
      <c r="U860" s="10"/>
    </row>
    <row r="861">
      <c r="A861" s="8"/>
      <c r="B861" s="9"/>
      <c r="C861" s="9"/>
      <c r="D861" s="9"/>
      <c r="E861" s="9"/>
      <c r="F861" s="9"/>
      <c r="G861" s="9"/>
      <c r="H861" s="9"/>
      <c r="I861" s="9"/>
      <c r="J861" s="10"/>
      <c r="K861" s="10"/>
      <c r="L861" s="10"/>
      <c r="M861" s="10"/>
      <c r="N861" s="11"/>
      <c r="O861" s="11"/>
      <c r="P861" s="11"/>
      <c r="Q861" s="11"/>
      <c r="R861" s="10"/>
      <c r="S861" s="10"/>
      <c r="T861" s="10"/>
      <c r="U861" s="10"/>
    </row>
    <row r="862">
      <c r="A862" s="8"/>
      <c r="B862" s="9"/>
      <c r="C862" s="9"/>
      <c r="D862" s="9"/>
      <c r="E862" s="9"/>
      <c r="F862" s="9"/>
      <c r="G862" s="9"/>
      <c r="H862" s="9"/>
      <c r="I862" s="9"/>
      <c r="J862" s="10"/>
      <c r="K862" s="10"/>
      <c r="L862" s="10"/>
      <c r="M862" s="10"/>
      <c r="N862" s="11"/>
      <c r="O862" s="11"/>
      <c r="P862" s="11"/>
      <c r="Q862" s="11"/>
      <c r="R862" s="10"/>
      <c r="S862" s="10"/>
      <c r="T862" s="10"/>
      <c r="U862" s="10"/>
    </row>
    <row r="863">
      <c r="A863" s="8"/>
      <c r="B863" s="9"/>
      <c r="C863" s="9"/>
      <c r="D863" s="9"/>
      <c r="E863" s="9"/>
      <c r="F863" s="9"/>
      <c r="G863" s="9"/>
      <c r="H863" s="9"/>
      <c r="I863" s="9"/>
      <c r="J863" s="10"/>
      <c r="K863" s="10"/>
      <c r="L863" s="10"/>
      <c r="M863" s="10"/>
      <c r="N863" s="11"/>
      <c r="O863" s="11"/>
      <c r="P863" s="11"/>
      <c r="Q863" s="11"/>
      <c r="R863" s="10"/>
      <c r="S863" s="10"/>
      <c r="T863" s="10"/>
      <c r="U863" s="10"/>
    </row>
    <row r="864">
      <c r="A864" s="8"/>
      <c r="B864" s="9"/>
      <c r="C864" s="9"/>
      <c r="D864" s="9"/>
      <c r="E864" s="9"/>
      <c r="F864" s="9"/>
      <c r="G864" s="9"/>
      <c r="H864" s="9"/>
      <c r="I864" s="9"/>
      <c r="J864" s="10"/>
      <c r="K864" s="10"/>
      <c r="L864" s="10"/>
      <c r="M864" s="10"/>
      <c r="N864" s="11"/>
      <c r="O864" s="11"/>
      <c r="P864" s="11"/>
      <c r="Q864" s="11"/>
      <c r="R864" s="10"/>
      <c r="S864" s="10"/>
      <c r="T864" s="10"/>
      <c r="U864" s="10"/>
    </row>
    <row r="865">
      <c r="A865" s="8"/>
      <c r="B865" s="9"/>
      <c r="C865" s="9"/>
      <c r="D865" s="9"/>
      <c r="E865" s="9"/>
      <c r="F865" s="9"/>
      <c r="G865" s="9"/>
      <c r="H865" s="9"/>
      <c r="I865" s="9"/>
      <c r="J865" s="10"/>
      <c r="K865" s="10"/>
      <c r="L865" s="10"/>
      <c r="M865" s="10"/>
      <c r="N865" s="11"/>
      <c r="O865" s="11"/>
      <c r="P865" s="11"/>
      <c r="Q865" s="11"/>
      <c r="R865" s="10"/>
      <c r="S865" s="10"/>
      <c r="T865" s="10"/>
      <c r="U865" s="10"/>
    </row>
    <row r="866">
      <c r="A866" s="8"/>
      <c r="B866" s="9"/>
      <c r="C866" s="9"/>
      <c r="D866" s="9"/>
      <c r="E866" s="9"/>
      <c r="F866" s="9"/>
      <c r="G866" s="9"/>
      <c r="H866" s="9"/>
      <c r="I866" s="9"/>
      <c r="J866" s="10"/>
      <c r="K866" s="10"/>
      <c r="L866" s="10"/>
      <c r="M866" s="10"/>
      <c r="N866" s="11"/>
      <c r="O866" s="11"/>
      <c r="P866" s="11"/>
      <c r="Q866" s="11"/>
      <c r="R866" s="10"/>
      <c r="S866" s="10"/>
      <c r="T866" s="10"/>
      <c r="U866" s="10"/>
    </row>
    <row r="867">
      <c r="A867" s="8"/>
      <c r="B867" s="9"/>
      <c r="C867" s="9"/>
      <c r="D867" s="9"/>
      <c r="E867" s="9"/>
      <c r="F867" s="9"/>
      <c r="G867" s="9"/>
      <c r="H867" s="9"/>
      <c r="I867" s="9"/>
      <c r="J867" s="10"/>
      <c r="K867" s="10"/>
      <c r="L867" s="10"/>
      <c r="M867" s="10"/>
      <c r="N867" s="11"/>
      <c r="O867" s="11"/>
      <c r="P867" s="11"/>
      <c r="Q867" s="11"/>
      <c r="R867" s="10"/>
      <c r="S867" s="10"/>
      <c r="T867" s="10"/>
      <c r="U867" s="10"/>
    </row>
    <row r="868">
      <c r="A868" s="8"/>
      <c r="B868" s="9"/>
      <c r="C868" s="9"/>
      <c r="D868" s="9"/>
      <c r="E868" s="9"/>
      <c r="F868" s="9"/>
      <c r="G868" s="9"/>
      <c r="H868" s="9"/>
      <c r="I868" s="9"/>
      <c r="J868" s="10"/>
      <c r="K868" s="10"/>
      <c r="L868" s="10"/>
      <c r="M868" s="10"/>
      <c r="N868" s="11"/>
      <c r="O868" s="11"/>
      <c r="P868" s="11"/>
      <c r="Q868" s="11"/>
      <c r="R868" s="10"/>
      <c r="S868" s="10"/>
      <c r="T868" s="10"/>
      <c r="U868" s="10"/>
    </row>
    <row r="869">
      <c r="A869" s="8"/>
      <c r="B869" s="9"/>
      <c r="C869" s="9"/>
      <c r="D869" s="9"/>
      <c r="E869" s="9"/>
      <c r="F869" s="9"/>
      <c r="G869" s="9"/>
      <c r="H869" s="9"/>
      <c r="I869" s="9"/>
      <c r="J869" s="10"/>
      <c r="K869" s="10"/>
      <c r="L869" s="10"/>
      <c r="M869" s="10"/>
      <c r="N869" s="11"/>
      <c r="O869" s="11"/>
      <c r="P869" s="11"/>
      <c r="Q869" s="11"/>
      <c r="R869" s="10"/>
      <c r="S869" s="10"/>
      <c r="T869" s="10"/>
      <c r="U869" s="10"/>
    </row>
    <row r="870">
      <c r="A870" s="8"/>
      <c r="B870" s="9"/>
      <c r="C870" s="9"/>
      <c r="D870" s="9"/>
      <c r="E870" s="9"/>
      <c r="F870" s="9"/>
      <c r="G870" s="9"/>
      <c r="H870" s="9"/>
      <c r="I870" s="9"/>
      <c r="J870" s="10"/>
      <c r="K870" s="10"/>
      <c r="L870" s="10"/>
      <c r="M870" s="10"/>
      <c r="N870" s="11"/>
      <c r="O870" s="11"/>
      <c r="P870" s="11"/>
      <c r="Q870" s="11"/>
      <c r="R870" s="10"/>
      <c r="S870" s="10"/>
      <c r="T870" s="10"/>
      <c r="U870" s="10"/>
    </row>
    <row r="871">
      <c r="A871" s="8"/>
      <c r="B871" s="9"/>
      <c r="C871" s="9"/>
      <c r="D871" s="9"/>
      <c r="E871" s="9"/>
      <c r="F871" s="9"/>
      <c r="G871" s="9"/>
      <c r="H871" s="9"/>
      <c r="I871" s="9"/>
      <c r="J871" s="10"/>
      <c r="K871" s="10"/>
      <c r="L871" s="10"/>
      <c r="M871" s="10"/>
      <c r="N871" s="11"/>
      <c r="O871" s="11"/>
      <c r="P871" s="11"/>
      <c r="Q871" s="11"/>
      <c r="R871" s="10"/>
      <c r="S871" s="10"/>
      <c r="T871" s="10"/>
      <c r="U871" s="10"/>
    </row>
    <row r="872">
      <c r="A872" s="8"/>
      <c r="B872" s="9"/>
      <c r="C872" s="9"/>
      <c r="D872" s="9"/>
      <c r="E872" s="9"/>
      <c r="F872" s="9"/>
      <c r="G872" s="9"/>
      <c r="H872" s="9"/>
      <c r="I872" s="9"/>
      <c r="J872" s="10"/>
      <c r="K872" s="10"/>
      <c r="L872" s="10"/>
      <c r="M872" s="10"/>
      <c r="N872" s="11"/>
      <c r="O872" s="11"/>
      <c r="P872" s="11"/>
      <c r="Q872" s="11"/>
      <c r="R872" s="10"/>
      <c r="S872" s="10"/>
      <c r="T872" s="10"/>
      <c r="U872" s="10"/>
    </row>
    <row r="873">
      <c r="A873" s="8"/>
      <c r="B873" s="9"/>
      <c r="C873" s="9"/>
      <c r="D873" s="9"/>
      <c r="E873" s="9"/>
      <c r="F873" s="9"/>
      <c r="G873" s="9"/>
      <c r="H873" s="9"/>
      <c r="I873" s="9"/>
      <c r="J873" s="10"/>
      <c r="K873" s="10"/>
      <c r="L873" s="10"/>
      <c r="M873" s="10"/>
      <c r="N873" s="11"/>
      <c r="O873" s="11"/>
      <c r="P873" s="11"/>
      <c r="Q873" s="11"/>
      <c r="R873" s="10"/>
      <c r="S873" s="10"/>
      <c r="T873" s="10"/>
      <c r="U873" s="10"/>
    </row>
    <row r="874">
      <c r="A874" s="8"/>
      <c r="B874" s="9"/>
      <c r="C874" s="9"/>
      <c r="D874" s="9"/>
      <c r="E874" s="9"/>
      <c r="F874" s="9"/>
      <c r="G874" s="9"/>
      <c r="H874" s="9"/>
      <c r="I874" s="9"/>
      <c r="J874" s="10"/>
      <c r="K874" s="10"/>
      <c r="L874" s="10"/>
      <c r="M874" s="10"/>
      <c r="N874" s="11"/>
      <c r="O874" s="11"/>
      <c r="P874" s="11"/>
      <c r="Q874" s="11"/>
      <c r="R874" s="10"/>
      <c r="S874" s="10"/>
      <c r="T874" s="10"/>
      <c r="U874" s="10"/>
    </row>
    <row r="875">
      <c r="A875" s="8"/>
      <c r="B875" s="9"/>
      <c r="C875" s="9"/>
      <c r="D875" s="9"/>
      <c r="E875" s="9"/>
      <c r="F875" s="9"/>
      <c r="G875" s="9"/>
      <c r="H875" s="9"/>
      <c r="I875" s="9"/>
      <c r="J875" s="10"/>
      <c r="K875" s="10"/>
      <c r="L875" s="10"/>
      <c r="M875" s="10"/>
      <c r="N875" s="11"/>
      <c r="O875" s="11"/>
      <c r="P875" s="11"/>
      <c r="Q875" s="11"/>
      <c r="R875" s="10"/>
      <c r="S875" s="10"/>
      <c r="T875" s="10"/>
      <c r="U875" s="10"/>
    </row>
    <row r="876">
      <c r="A876" s="8"/>
      <c r="B876" s="9"/>
      <c r="C876" s="9"/>
      <c r="D876" s="9"/>
      <c r="E876" s="9"/>
      <c r="F876" s="9"/>
      <c r="G876" s="9"/>
      <c r="H876" s="9"/>
      <c r="I876" s="9"/>
      <c r="J876" s="10"/>
      <c r="K876" s="10"/>
      <c r="L876" s="10"/>
      <c r="M876" s="10"/>
      <c r="N876" s="11"/>
      <c r="O876" s="11"/>
      <c r="P876" s="11"/>
      <c r="Q876" s="11"/>
      <c r="R876" s="10"/>
      <c r="S876" s="10"/>
      <c r="T876" s="10"/>
      <c r="U876" s="10"/>
    </row>
    <row r="877">
      <c r="A877" s="8"/>
      <c r="B877" s="9"/>
      <c r="C877" s="9"/>
      <c r="D877" s="9"/>
      <c r="E877" s="9"/>
      <c r="F877" s="9"/>
      <c r="G877" s="9"/>
      <c r="H877" s="9"/>
      <c r="I877" s="9"/>
      <c r="J877" s="10"/>
      <c r="K877" s="10"/>
      <c r="L877" s="10"/>
      <c r="M877" s="10"/>
      <c r="N877" s="11"/>
      <c r="O877" s="11"/>
      <c r="P877" s="11"/>
      <c r="Q877" s="11"/>
      <c r="R877" s="10"/>
      <c r="S877" s="10"/>
      <c r="T877" s="10"/>
      <c r="U877" s="10"/>
    </row>
    <row r="878">
      <c r="A878" s="8"/>
      <c r="B878" s="9"/>
      <c r="C878" s="9"/>
      <c r="D878" s="9"/>
      <c r="E878" s="9"/>
      <c r="F878" s="9"/>
      <c r="G878" s="9"/>
      <c r="H878" s="9"/>
      <c r="I878" s="9"/>
      <c r="J878" s="10"/>
      <c r="K878" s="10"/>
      <c r="L878" s="10"/>
      <c r="M878" s="10"/>
      <c r="N878" s="11"/>
      <c r="O878" s="11"/>
      <c r="P878" s="11"/>
      <c r="Q878" s="11"/>
      <c r="R878" s="10"/>
      <c r="S878" s="10"/>
      <c r="T878" s="10"/>
      <c r="U878" s="10"/>
    </row>
    <row r="879">
      <c r="A879" s="8"/>
      <c r="B879" s="9"/>
      <c r="C879" s="9"/>
      <c r="D879" s="9"/>
      <c r="E879" s="9"/>
      <c r="F879" s="9"/>
      <c r="G879" s="9"/>
      <c r="H879" s="9"/>
      <c r="I879" s="9"/>
      <c r="J879" s="10"/>
      <c r="K879" s="10"/>
      <c r="L879" s="10"/>
      <c r="M879" s="10"/>
      <c r="N879" s="11"/>
      <c r="O879" s="11"/>
      <c r="P879" s="11"/>
      <c r="Q879" s="11"/>
      <c r="R879" s="10"/>
      <c r="S879" s="10"/>
      <c r="T879" s="10"/>
      <c r="U879" s="10"/>
    </row>
    <row r="880">
      <c r="A880" s="8"/>
      <c r="B880" s="9"/>
      <c r="C880" s="9"/>
      <c r="D880" s="9"/>
      <c r="E880" s="9"/>
      <c r="F880" s="9"/>
      <c r="G880" s="9"/>
      <c r="H880" s="9"/>
      <c r="I880" s="9"/>
      <c r="J880" s="10"/>
      <c r="K880" s="10"/>
      <c r="L880" s="10"/>
      <c r="M880" s="10"/>
      <c r="N880" s="11"/>
      <c r="O880" s="11"/>
      <c r="P880" s="11"/>
      <c r="Q880" s="11"/>
      <c r="R880" s="10"/>
      <c r="S880" s="10"/>
      <c r="T880" s="10"/>
      <c r="U880" s="10"/>
    </row>
    <row r="881">
      <c r="A881" s="8"/>
      <c r="B881" s="9"/>
      <c r="C881" s="9"/>
      <c r="D881" s="9"/>
      <c r="E881" s="9"/>
      <c r="F881" s="9"/>
      <c r="G881" s="9"/>
      <c r="H881" s="9"/>
      <c r="I881" s="9"/>
      <c r="J881" s="10"/>
      <c r="K881" s="10"/>
      <c r="L881" s="10"/>
      <c r="M881" s="10"/>
      <c r="N881" s="11"/>
      <c r="O881" s="11"/>
      <c r="P881" s="11"/>
      <c r="Q881" s="11"/>
      <c r="R881" s="10"/>
      <c r="S881" s="10"/>
      <c r="T881" s="10"/>
      <c r="U881" s="10"/>
    </row>
    <row r="882">
      <c r="A882" s="8"/>
      <c r="B882" s="9"/>
      <c r="C882" s="9"/>
      <c r="D882" s="9"/>
      <c r="E882" s="9"/>
      <c r="F882" s="9"/>
      <c r="G882" s="9"/>
      <c r="H882" s="9"/>
      <c r="I882" s="9"/>
      <c r="J882" s="10"/>
      <c r="K882" s="10"/>
      <c r="L882" s="10"/>
      <c r="M882" s="10"/>
      <c r="N882" s="11"/>
      <c r="O882" s="11"/>
      <c r="P882" s="11"/>
      <c r="Q882" s="11"/>
      <c r="R882" s="10"/>
      <c r="S882" s="10"/>
      <c r="T882" s="10"/>
      <c r="U882" s="10"/>
    </row>
    <row r="883">
      <c r="A883" s="8"/>
      <c r="B883" s="9"/>
      <c r="C883" s="9"/>
      <c r="D883" s="9"/>
      <c r="E883" s="9"/>
      <c r="F883" s="9"/>
      <c r="G883" s="9"/>
      <c r="H883" s="9"/>
      <c r="I883" s="9"/>
      <c r="J883" s="10"/>
      <c r="K883" s="10"/>
      <c r="L883" s="10"/>
      <c r="M883" s="10"/>
      <c r="N883" s="11"/>
      <c r="O883" s="11"/>
      <c r="P883" s="11"/>
      <c r="Q883" s="11"/>
      <c r="R883" s="10"/>
      <c r="S883" s="10"/>
      <c r="T883" s="10"/>
      <c r="U883" s="10"/>
    </row>
    <row r="884">
      <c r="A884" s="8"/>
      <c r="B884" s="9"/>
      <c r="C884" s="9"/>
      <c r="D884" s="9"/>
      <c r="E884" s="9"/>
      <c r="F884" s="9"/>
      <c r="G884" s="9"/>
      <c r="H884" s="9"/>
      <c r="I884" s="9"/>
      <c r="J884" s="10"/>
      <c r="K884" s="10"/>
      <c r="L884" s="10"/>
      <c r="M884" s="10"/>
      <c r="N884" s="11"/>
      <c r="O884" s="11"/>
      <c r="P884" s="11"/>
      <c r="Q884" s="11"/>
      <c r="R884" s="10"/>
      <c r="S884" s="10"/>
      <c r="T884" s="10"/>
      <c r="U884" s="10"/>
    </row>
    <row r="885">
      <c r="A885" s="8"/>
      <c r="B885" s="9"/>
      <c r="C885" s="9"/>
      <c r="D885" s="9"/>
      <c r="E885" s="9"/>
      <c r="F885" s="9"/>
      <c r="G885" s="9"/>
      <c r="H885" s="9"/>
      <c r="I885" s="9"/>
      <c r="J885" s="10"/>
      <c r="K885" s="10"/>
      <c r="L885" s="10"/>
      <c r="M885" s="10"/>
      <c r="N885" s="11"/>
      <c r="O885" s="11"/>
      <c r="P885" s="11"/>
      <c r="Q885" s="11"/>
      <c r="R885" s="10"/>
      <c r="S885" s="10"/>
      <c r="T885" s="10"/>
      <c r="U885" s="10"/>
    </row>
    <row r="886">
      <c r="A886" s="8"/>
      <c r="B886" s="9"/>
      <c r="C886" s="9"/>
      <c r="D886" s="9"/>
      <c r="E886" s="9"/>
      <c r="F886" s="9"/>
      <c r="G886" s="9"/>
      <c r="H886" s="9"/>
      <c r="I886" s="9"/>
      <c r="J886" s="10"/>
      <c r="K886" s="10"/>
      <c r="L886" s="10"/>
      <c r="M886" s="10"/>
      <c r="N886" s="11"/>
      <c r="O886" s="11"/>
      <c r="P886" s="11"/>
      <c r="Q886" s="11"/>
      <c r="R886" s="10"/>
      <c r="S886" s="10"/>
      <c r="T886" s="10"/>
      <c r="U886" s="10"/>
    </row>
    <row r="887">
      <c r="A887" s="8"/>
      <c r="B887" s="9"/>
      <c r="C887" s="9"/>
      <c r="D887" s="9"/>
      <c r="E887" s="9"/>
      <c r="F887" s="9"/>
      <c r="G887" s="9"/>
      <c r="H887" s="9"/>
      <c r="I887" s="9"/>
      <c r="J887" s="10"/>
      <c r="K887" s="10"/>
      <c r="L887" s="10"/>
      <c r="M887" s="10"/>
      <c r="N887" s="11"/>
      <c r="O887" s="11"/>
      <c r="P887" s="11"/>
      <c r="Q887" s="11"/>
      <c r="R887" s="10"/>
      <c r="S887" s="10"/>
      <c r="T887" s="10"/>
      <c r="U887" s="10"/>
    </row>
    <row r="888">
      <c r="A888" s="8"/>
      <c r="B888" s="9"/>
      <c r="C888" s="9"/>
      <c r="D888" s="9"/>
      <c r="E888" s="9"/>
      <c r="F888" s="9"/>
      <c r="G888" s="9"/>
      <c r="H888" s="9"/>
      <c r="I888" s="9"/>
      <c r="J888" s="10"/>
      <c r="K888" s="10"/>
      <c r="L888" s="10"/>
      <c r="M888" s="10"/>
      <c r="N888" s="11"/>
      <c r="O888" s="11"/>
      <c r="P888" s="11"/>
      <c r="Q888" s="11"/>
      <c r="R888" s="10"/>
      <c r="S888" s="10"/>
      <c r="T888" s="10"/>
      <c r="U888" s="10"/>
    </row>
    <row r="889">
      <c r="A889" s="8"/>
      <c r="B889" s="9"/>
      <c r="C889" s="9"/>
      <c r="D889" s="9"/>
      <c r="E889" s="9"/>
      <c r="F889" s="9"/>
      <c r="G889" s="9"/>
      <c r="H889" s="9"/>
      <c r="I889" s="9"/>
      <c r="J889" s="10"/>
      <c r="K889" s="10"/>
      <c r="L889" s="10"/>
      <c r="M889" s="10"/>
      <c r="N889" s="11"/>
      <c r="O889" s="11"/>
      <c r="P889" s="11"/>
      <c r="Q889" s="11"/>
      <c r="R889" s="10"/>
      <c r="S889" s="10"/>
      <c r="T889" s="10"/>
      <c r="U889" s="10"/>
    </row>
    <row r="890">
      <c r="A890" s="8"/>
      <c r="B890" s="9"/>
      <c r="C890" s="9"/>
      <c r="D890" s="9"/>
      <c r="E890" s="9"/>
      <c r="F890" s="9"/>
      <c r="G890" s="9"/>
      <c r="H890" s="9"/>
      <c r="I890" s="9"/>
      <c r="J890" s="10"/>
      <c r="K890" s="10"/>
      <c r="L890" s="10"/>
      <c r="M890" s="10"/>
      <c r="N890" s="11"/>
      <c r="O890" s="11"/>
      <c r="P890" s="11"/>
      <c r="Q890" s="11"/>
      <c r="R890" s="10"/>
      <c r="S890" s="10"/>
      <c r="T890" s="10"/>
      <c r="U890" s="10"/>
    </row>
    <row r="891">
      <c r="A891" s="8"/>
      <c r="B891" s="9"/>
      <c r="C891" s="9"/>
      <c r="D891" s="9"/>
      <c r="E891" s="9"/>
      <c r="F891" s="9"/>
      <c r="G891" s="9"/>
      <c r="H891" s="9"/>
      <c r="I891" s="9"/>
      <c r="J891" s="10"/>
      <c r="K891" s="10"/>
      <c r="L891" s="10"/>
      <c r="M891" s="10"/>
      <c r="N891" s="11"/>
      <c r="O891" s="11"/>
      <c r="P891" s="11"/>
      <c r="Q891" s="11"/>
      <c r="R891" s="10"/>
      <c r="S891" s="10"/>
      <c r="T891" s="10"/>
      <c r="U891" s="10"/>
    </row>
    <row r="892">
      <c r="A892" s="8"/>
      <c r="B892" s="9"/>
      <c r="C892" s="9"/>
      <c r="D892" s="9"/>
      <c r="E892" s="9"/>
      <c r="F892" s="9"/>
      <c r="G892" s="9"/>
      <c r="H892" s="9"/>
      <c r="I892" s="9"/>
      <c r="J892" s="10"/>
      <c r="K892" s="10"/>
      <c r="L892" s="10"/>
      <c r="M892" s="10"/>
      <c r="N892" s="11"/>
      <c r="O892" s="11"/>
      <c r="P892" s="11"/>
      <c r="Q892" s="11"/>
      <c r="R892" s="10"/>
      <c r="S892" s="10"/>
      <c r="T892" s="10"/>
      <c r="U892" s="10"/>
    </row>
    <row r="893">
      <c r="A893" s="8"/>
      <c r="B893" s="9"/>
      <c r="C893" s="9"/>
      <c r="D893" s="9"/>
      <c r="E893" s="9"/>
      <c r="F893" s="9"/>
      <c r="G893" s="9"/>
      <c r="H893" s="9"/>
      <c r="I893" s="9"/>
      <c r="J893" s="10"/>
      <c r="K893" s="10"/>
      <c r="L893" s="10"/>
      <c r="M893" s="10"/>
      <c r="N893" s="11"/>
      <c r="O893" s="11"/>
      <c r="P893" s="11"/>
      <c r="Q893" s="11"/>
      <c r="R893" s="10"/>
      <c r="S893" s="10"/>
      <c r="T893" s="10"/>
      <c r="U893" s="10"/>
    </row>
    <row r="894">
      <c r="A894" s="8"/>
      <c r="B894" s="9"/>
      <c r="C894" s="9"/>
      <c r="D894" s="9"/>
      <c r="E894" s="9"/>
      <c r="F894" s="9"/>
      <c r="G894" s="9"/>
      <c r="H894" s="9"/>
      <c r="I894" s="9"/>
      <c r="J894" s="10"/>
      <c r="K894" s="10"/>
      <c r="L894" s="10"/>
      <c r="M894" s="10"/>
      <c r="N894" s="11"/>
      <c r="O894" s="11"/>
      <c r="P894" s="11"/>
      <c r="Q894" s="11"/>
      <c r="R894" s="10"/>
      <c r="S894" s="10"/>
      <c r="T894" s="10"/>
      <c r="U894" s="10"/>
    </row>
    <row r="895">
      <c r="A895" s="8"/>
      <c r="B895" s="9"/>
      <c r="C895" s="9"/>
      <c r="D895" s="9"/>
      <c r="E895" s="9"/>
      <c r="F895" s="9"/>
      <c r="G895" s="9"/>
      <c r="H895" s="9"/>
      <c r="I895" s="9"/>
      <c r="J895" s="10"/>
      <c r="K895" s="10"/>
      <c r="L895" s="10"/>
      <c r="M895" s="10"/>
      <c r="N895" s="11"/>
      <c r="O895" s="11"/>
      <c r="P895" s="11"/>
      <c r="Q895" s="11"/>
      <c r="R895" s="10"/>
      <c r="S895" s="10"/>
      <c r="T895" s="10"/>
      <c r="U895" s="10"/>
    </row>
    <row r="896">
      <c r="A896" s="8"/>
      <c r="B896" s="9"/>
      <c r="C896" s="9"/>
      <c r="D896" s="9"/>
      <c r="E896" s="9"/>
      <c r="F896" s="9"/>
      <c r="G896" s="9"/>
      <c r="H896" s="9"/>
      <c r="I896" s="9"/>
      <c r="J896" s="10"/>
      <c r="K896" s="10"/>
      <c r="L896" s="10"/>
      <c r="M896" s="10"/>
      <c r="N896" s="11"/>
      <c r="O896" s="11"/>
      <c r="P896" s="11"/>
      <c r="Q896" s="11"/>
      <c r="R896" s="10"/>
      <c r="S896" s="10"/>
      <c r="T896" s="10"/>
      <c r="U896" s="10"/>
    </row>
    <row r="897">
      <c r="A897" s="8"/>
      <c r="B897" s="9"/>
      <c r="C897" s="9"/>
      <c r="D897" s="9"/>
      <c r="E897" s="9"/>
      <c r="F897" s="9"/>
      <c r="G897" s="9"/>
      <c r="H897" s="9"/>
      <c r="I897" s="9"/>
      <c r="J897" s="10"/>
      <c r="K897" s="10"/>
      <c r="L897" s="10"/>
      <c r="M897" s="10"/>
      <c r="N897" s="11"/>
      <c r="O897" s="11"/>
      <c r="P897" s="11"/>
      <c r="Q897" s="11"/>
      <c r="R897" s="10"/>
      <c r="S897" s="10"/>
      <c r="T897" s="10"/>
      <c r="U897" s="10"/>
    </row>
    <row r="898">
      <c r="A898" s="8"/>
      <c r="B898" s="9"/>
      <c r="C898" s="9"/>
      <c r="D898" s="9"/>
      <c r="E898" s="9"/>
      <c r="F898" s="9"/>
      <c r="G898" s="9"/>
      <c r="H898" s="9"/>
      <c r="I898" s="9"/>
      <c r="J898" s="10"/>
      <c r="K898" s="10"/>
      <c r="L898" s="10"/>
      <c r="M898" s="10"/>
      <c r="N898" s="11"/>
      <c r="O898" s="11"/>
      <c r="P898" s="11"/>
      <c r="Q898" s="11"/>
      <c r="R898" s="10"/>
      <c r="S898" s="10"/>
      <c r="T898" s="10"/>
      <c r="U898" s="10"/>
    </row>
    <row r="899">
      <c r="A899" s="8"/>
      <c r="B899" s="9"/>
      <c r="C899" s="9"/>
      <c r="D899" s="9"/>
      <c r="E899" s="9"/>
      <c r="F899" s="9"/>
      <c r="G899" s="9"/>
      <c r="H899" s="9"/>
      <c r="I899" s="9"/>
      <c r="J899" s="10"/>
      <c r="K899" s="10"/>
      <c r="L899" s="10"/>
      <c r="M899" s="10"/>
      <c r="N899" s="11"/>
      <c r="O899" s="11"/>
      <c r="P899" s="11"/>
      <c r="Q899" s="11"/>
      <c r="R899" s="10"/>
      <c r="S899" s="10"/>
      <c r="T899" s="10"/>
      <c r="U899" s="10"/>
    </row>
    <row r="900">
      <c r="A900" s="8"/>
      <c r="B900" s="9"/>
      <c r="C900" s="9"/>
      <c r="D900" s="9"/>
      <c r="E900" s="9"/>
      <c r="F900" s="9"/>
      <c r="G900" s="9"/>
      <c r="H900" s="9"/>
      <c r="I900" s="9"/>
      <c r="J900" s="10"/>
      <c r="K900" s="10"/>
      <c r="L900" s="10"/>
      <c r="M900" s="10"/>
      <c r="N900" s="11"/>
      <c r="O900" s="11"/>
      <c r="P900" s="11"/>
      <c r="Q900" s="11"/>
      <c r="R900" s="10"/>
      <c r="S900" s="10"/>
      <c r="T900" s="10"/>
      <c r="U900" s="10"/>
    </row>
    <row r="901">
      <c r="A901" s="8"/>
      <c r="B901" s="9"/>
      <c r="C901" s="9"/>
      <c r="D901" s="9"/>
      <c r="E901" s="9"/>
      <c r="F901" s="9"/>
      <c r="G901" s="9"/>
      <c r="H901" s="9"/>
      <c r="I901" s="9"/>
      <c r="J901" s="10"/>
      <c r="K901" s="10"/>
      <c r="L901" s="10"/>
      <c r="M901" s="10"/>
      <c r="N901" s="11"/>
      <c r="O901" s="11"/>
      <c r="P901" s="11"/>
      <c r="Q901" s="11"/>
      <c r="R901" s="10"/>
      <c r="S901" s="10"/>
      <c r="T901" s="10"/>
      <c r="U901" s="10"/>
    </row>
    <row r="902">
      <c r="A902" s="8"/>
      <c r="B902" s="9"/>
      <c r="C902" s="9"/>
      <c r="D902" s="9"/>
      <c r="E902" s="9"/>
      <c r="F902" s="9"/>
      <c r="G902" s="9"/>
      <c r="H902" s="9"/>
      <c r="I902" s="9"/>
      <c r="J902" s="10"/>
      <c r="K902" s="10"/>
      <c r="L902" s="10"/>
      <c r="M902" s="10"/>
      <c r="N902" s="11"/>
      <c r="O902" s="11"/>
      <c r="P902" s="11"/>
      <c r="Q902" s="11"/>
      <c r="R902" s="10"/>
      <c r="S902" s="10"/>
      <c r="T902" s="10"/>
      <c r="U902" s="10"/>
    </row>
    <row r="903">
      <c r="A903" s="8"/>
      <c r="B903" s="9"/>
      <c r="C903" s="9"/>
      <c r="D903" s="9"/>
      <c r="E903" s="9"/>
      <c r="F903" s="9"/>
      <c r="G903" s="9"/>
      <c r="H903" s="9"/>
      <c r="I903" s="9"/>
      <c r="J903" s="10"/>
      <c r="K903" s="10"/>
      <c r="L903" s="10"/>
      <c r="M903" s="10"/>
      <c r="N903" s="11"/>
      <c r="O903" s="11"/>
      <c r="P903" s="11"/>
      <c r="Q903" s="11"/>
      <c r="R903" s="10"/>
      <c r="S903" s="10"/>
      <c r="T903" s="10"/>
      <c r="U903" s="10"/>
    </row>
    <row r="904">
      <c r="A904" s="8"/>
      <c r="B904" s="9"/>
      <c r="C904" s="9"/>
      <c r="D904" s="9"/>
      <c r="E904" s="9"/>
      <c r="F904" s="9"/>
      <c r="G904" s="9"/>
      <c r="H904" s="9"/>
      <c r="I904" s="9"/>
      <c r="J904" s="10"/>
      <c r="K904" s="10"/>
      <c r="L904" s="10"/>
      <c r="M904" s="10"/>
      <c r="N904" s="11"/>
      <c r="O904" s="11"/>
      <c r="P904" s="11"/>
      <c r="Q904" s="11"/>
      <c r="R904" s="10"/>
      <c r="S904" s="10"/>
      <c r="T904" s="10"/>
      <c r="U904" s="10"/>
    </row>
    <row r="905">
      <c r="A905" s="8"/>
      <c r="B905" s="9"/>
      <c r="C905" s="9"/>
      <c r="D905" s="9"/>
      <c r="E905" s="9"/>
      <c r="F905" s="9"/>
      <c r="G905" s="9"/>
      <c r="H905" s="9"/>
      <c r="I905" s="9"/>
      <c r="J905" s="10"/>
      <c r="K905" s="10"/>
      <c r="L905" s="10"/>
      <c r="M905" s="10"/>
      <c r="N905" s="11"/>
      <c r="O905" s="11"/>
      <c r="P905" s="11"/>
      <c r="Q905" s="11"/>
      <c r="R905" s="10"/>
      <c r="S905" s="10"/>
      <c r="T905" s="10"/>
      <c r="U905" s="10"/>
    </row>
    <row r="906">
      <c r="A906" s="8"/>
      <c r="B906" s="9"/>
      <c r="C906" s="9"/>
      <c r="D906" s="9"/>
      <c r="E906" s="9"/>
      <c r="F906" s="9"/>
      <c r="G906" s="9"/>
      <c r="H906" s="9"/>
      <c r="I906" s="9"/>
      <c r="J906" s="10"/>
      <c r="K906" s="10"/>
      <c r="L906" s="10"/>
      <c r="M906" s="10"/>
      <c r="N906" s="11"/>
      <c r="O906" s="11"/>
      <c r="P906" s="11"/>
      <c r="Q906" s="11"/>
      <c r="R906" s="10"/>
      <c r="S906" s="10"/>
      <c r="T906" s="10"/>
      <c r="U906" s="10"/>
    </row>
    <row r="907">
      <c r="A907" s="8"/>
      <c r="B907" s="9"/>
      <c r="C907" s="9"/>
      <c r="D907" s="9"/>
      <c r="E907" s="9"/>
      <c r="F907" s="9"/>
      <c r="G907" s="9"/>
      <c r="H907" s="9"/>
      <c r="I907" s="9"/>
      <c r="J907" s="10"/>
      <c r="K907" s="10"/>
      <c r="L907" s="10"/>
      <c r="M907" s="10"/>
      <c r="N907" s="11"/>
      <c r="O907" s="11"/>
      <c r="P907" s="11"/>
      <c r="Q907" s="11"/>
      <c r="R907" s="10"/>
      <c r="S907" s="10"/>
      <c r="T907" s="10"/>
      <c r="U907" s="10"/>
    </row>
    <row r="908">
      <c r="A908" s="8"/>
      <c r="B908" s="9"/>
      <c r="C908" s="9"/>
      <c r="D908" s="9"/>
      <c r="E908" s="9"/>
      <c r="F908" s="9"/>
      <c r="G908" s="9"/>
      <c r="H908" s="9"/>
      <c r="I908" s="9"/>
      <c r="J908" s="10"/>
      <c r="K908" s="10"/>
      <c r="L908" s="10"/>
      <c r="M908" s="10"/>
      <c r="N908" s="11"/>
      <c r="O908" s="11"/>
      <c r="P908" s="11"/>
      <c r="Q908" s="11"/>
      <c r="R908" s="10"/>
      <c r="S908" s="10"/>
      <c r="T908" s="10"/>
      <c r="U908" s="10"/>
    </row>
    <row r="909">
      <c r="A909" s="8"/>
      <c r="B909" s="9"/>
      <c r="C909" s="9"/>
      <c r="D909" s="9"/>
      <c r="E909" s="9"/>
      <c r="F909" s="9"/>
      <c r="G909" s="9"/>
      <c r="H909" s="9"/>
      <c r="I909" s="9"/>
      <c r="J909" s="10"/>
      <c r="K909" s="10"/>
      <c r="L909" s="10"/>
      <c r="M909" s="10"/>
      <c r="N909" s="11"/>
      <c r="O909" s="11"/>
      <c r="P909" s="11"/>
      <c r="Q909" s="11"/>
      <c r="R909" s="10"/>
      <c r="S909" s="10"/>
      <c r="T909" s="10"/>
      <c r="U909" s="10"/>
    </row>
    <row r="910">
      <c r="A910" s="8"/>
      <c r="B910" s="9"/>
      <c r="C910" s="9"/>
      <c r="D910" s="9"/>
      <c r="E910" s="9"/>
      <c r="F910" s="9"/>
      <c r="G910" s="9"/>
      <c r="H910" s="9"/>
      <c r="I910" s="9"/>
      <c r="J910" s="10"/>
      <c r="K910" s="10"/>
      <c r="L910" s="10"/>
      <c r="M910" s="10"/>
      <c r="N910" s="11"/>
      <c r="O910" s="11"/>
      <c r="P910" s="11"/>
      <c r="Q910" s="11"/>
      <c r="R910" s="10"/>
      <c r="S910" s="10"/>
      <c r="T910" s="10"/>
      <c r="U910" s="10"/>
    </row>
    <row r="911">
      <c r="A911" s="8"/>
      <c r="B911" s="9"/>
      <c r="C911" s="9"/>
      <c r="D911" s="9"/>
      <c r="E911" s="9"/>
      <c r="F911" s="9"/>
      <c r="G911" s="9"/>
      <c r="H911" s="9"/>
      <c r="I911" s="9"/>
      <c r="J911" s="10"/>
      <c r="K911" s="10"/>
      <c r="L911" s="10"/>
      <c r="M911" s="10"/>
      <c r="N911" s="11"/>
      <c r="O911" s="11"/>
      <c r="P911" s="11"/>
      <c r="Q911" s="11"/>
      <c r="R911" s="10"/>
      <c r="S911" s="10"/>
      <c r="T911" s="10"/>
      <c r="U911" s="10"/>
    </row>
    <row r="912">
      <c r="A912" s="8"/>
      <c r="B912" s="9"/>
      <c r="C912" s="9"/>
      <c r="D912" s="9"/>
      <c r="E912" s="9"/>
      <c r="F912" s="9"/>
      <c r="G912" s="9"/>
      <c r="H912" s="9"/>
      <c r="I912" s="9"/>
      <c r="J912" s="10"/>
      <c r="K912" s="10"/>
      <c r="L912" s="10"/>
      <c r="M912" s="10"/>
      <c r="N912" s="11"/>
      <c r="O912" s="11"/>
      <c r="P912" s="11"/>
      <c r="Q912" s="11"/>
      <c r="R912" s="10"/>
      <c r="S912" s="10"/>
      <c r="T912" s="10"/>
      <c r="U912" s="10"/>
    </row>
    <row r="913">
      <c r="A913" s="8"/>
      <c r="B913" s="9"/>
      <c r="C913" s="9"/>
      <c r="D913" s="9"/>
      <c r="E913" s="9"/>
      <c r="F913" s="9"/>
      <c r="G913" s="9"/>
      <c r="H913" s="9"/>
      <c r="I913" s="9"/>
      <c r="J913" s="10"/>
      <c r="K913" s="10"/>
      <c r="L913" s="10"/>
      <c r="M913" s="10"/>
      <c r="N913" s="11"/>
      <c r="O913" s="11"/>
      <c r="P913" s="11"/>
      <c r="Q913" s="11"/>
      <c r="R913" s="10"/>
      <c r="S913" s="10"/>
      <c r="T913" s="10"/>
      <c r="U913" s="10"/>
    </row>
    <row r="914">
      <c r="A914" s="8"/>
      <c r="B914" s="9"/>
      <c r="C914" s="9"/>
      <c r="D914" s="9"/>
      <c r="E914" s="9"/>
      <c r="F914" s="9"/>
      <c r="G914" s="9"/>
      <c r="H914" s="9"/>
      <c r="I914" s="9"/>
      <c r="J914" s="10"/>
      <c r="K914" s="10"/>
      <c r="L914" s="10"/>
      <c r="M914" s="10"/>
      <c r="N914" s="11"/>
      <c r="O914" s="11"/>
      <c r="P914" s="11"/>
      <c r="Q914" s="11"/>
      <c r="R914" s="10"/>
      <c r="S914" s="10"/>
      <c r="T914" s="10"/>
      <c r="U914" s="10"/>
    </row>
    <row r="915">
      <c r="A915" s="8"/>
      <c r="B915" s="9"/>
      <c r="C915" s="9"/>
      <c r="D915" s="9"/>
      <c r="E915" s="9"/>
      <c r="F915" s="9"/>
      <c r="G915" s="9"/>
      <c r="H915" s="9"/>
      <c r="I915" s="9"/>
      <c r="J915" s="10"/>
      <c r="K915" s="10"/>
      <c r="L915" s="10"/>
      <c r="M915" s="10"/>
      <c r="N915" s="11"/>
      <c r="O915" s="11"/>
      <c r="P915" s="11"/>
      <c r="Q915" s="11"/>
      <c r="R915" s="10"/>
      <c r="S915" s="10"/>
      <c r="T915" s="10"/>
      <c r="U915" s="10"/>
    </row>
    <row r="916">
      <c r="A916" s="8"/>
      <c r="B916" s="9"/>
      <c r="C916" s="9"/>
      <c r="D916" s="9"/>
      <c r="E916" s="9"/>
      <c r="F916" s="9"/>
      <c r="G916" s="9"/>
      <c r="H916" s="9"/>
      <c r="I916" s="9"/>
      <c r="J916" s="10"/>
      <c r="K916" s="10"/>
      <c r="L916" s="10"/>
      <c r="M916" s="10"/>
      <c r="N916" s="11"/>
      <c r="O916" s="11"/>
      <c r="P916" s="11"/>
      <c r="Q916" s="11"/>
      <c r="R916" s="10"/>
      <c r="S916" s="10"/>
      <c r="T916" s="10"/>
      <c r="U916" s="10"/>
    </row>
    <row r="917">
      <c r="A917" s="8"/>
      <c r="B917" s="9"/>
      <c r="C917" s="9"/>
      <c r="D917" s="9"/>
      <c r="E917" s="9"/>
      <c r="F917" s="9"/>
      <c r="G917" s="9"/>
      <c r="H917" s="9"/>
      <c r="I917" s="9"/>
      <c r="J917" s="10"/>
      <c r="K917" s="10"/>
      <c r="L917" s="10"/>
      <c r="M917" s="10"/>
      <c r="N917" s="11"/>
      <c r="O917" s="11"/>
      <c r="P917" s="11"/>
      <c r="Q917" s="11"/>
      <c r="R917" s="10"/>
      <c r="S917" s="10"/>
      <c r="T917" s="10"/>
      <c r="U917" s="10"/>
    </row>
    <row r="918">
      <c r="A918" s="8"/>
      <c r="B918" s="9"/>
      <c r="C918" s="9"/>
      <c r="D918" s="9"/>
      <c r="E918" s="9"/>
      <c r="F918" s="9"/>
      <c r="G918" s="9"/>
      <c r="H918" s="9"/>
      <c r="I918" s="9"/>
      <c r="J918" s="10"/>
      <c r="K918" s="10"/>
      <c r="L918" s="10"/>
      <c r="M918" s="10"/>
      <c r="N918" s="11"/>
      <c r="O918" s="11"/>
      <c r="P918" s="11"/>
      <c r="Q918" s="11"/>
      <c r="R918" s="10"/>
      <c r="S918" s="10"/>
      <c r="T918" s="10"/>
      <c r="U918" s="10"/>
    </row>
    <row r="919">
      <c r="A919" s="8"/>
      <c r="B919" s="9"/>
      <c r="C919" s="9"/>
      <c r="D919" s="9"/>
      <c r="E919" s="9"/>
      <c r="F919" s="9"/>
      <c r="G919" s="9"/>
      <c r="H919" s="9"/>
      <c r="I919" s="9"/>
      <c r="J919" s="10"/>
      <c r="K919" s="10"/>
      <c r="L919" s="10"/>
      <c r="M919" s="10"/>
      <c r="N919" s="11"/>
      <c r="O919" s="11"/>
      <c r="P919" s="11"/>
      <c r="Q919" s="11"/>
      <c r="R919" s="10"/>
      <c r="S919" s="10"/>
      <c r="T919" s="10"/>
      <c r="U919" s="10"/>
    </row>
    <row r="920">
      <c r="A920" s="8"/>
      <c r="B920" s="9"/>
      <c r="C920" s="9"/>
      <c r="D920" s="9"/>
      <c r="E920" s="9"/>
      <c r="F920" s="9"/>
      <c r="G920" s="9"/>
      <c r="H920" s="9"/>
      <c r="I920" s="9"/>
      <c r="J920" s="10"/>
      <c r="K920" s="10"/>
      <c r="L920" s="10"/>
      <c r="M920" s="10"/>
      <c r="N920" s="11"/>
      <c r="O920" s="11"/>
      <c r="P920" s="11"/>
      <c r="Q920" s="11"/>
      <c r="R920" s="10"/>
      <c r="S920" s="10"/>
      <c r="T920" s="10"/>
      <c r="U920" s="10"/>
    </row>
    <row r="921">
      <c r="A921" s="8"/>
      <c r="B921" s="9"/>
      <c r="C921" s="9"/>
      <c r="D921" s="9"/>
      <c r="E921" s="9"/>
      <c r="F921" s="9"/>
      <c r="G921" s="9"/>
      <c r="H921" s="9"/>
      <c r="I921" s="9"/>
      <c r="J921" s="10"/>
      <c r="K921" s="10"/>
      <c r="L921" s="10"/>
      <c r="M921" s="10"/>
      <c r="N921" s="11"/>
      <c r="O921" s="11"/>
      <c r="P921" s="11"/>
      <c r="Q921" s="11"/>
      <c r="R921" s="10"/>
      <c r="S921" s="10"/>
      <c r="T921" s="10"/>
      <c r="U921" s="10"/>
    </row>
    <row r="922">
      <c r="A922" s="8"/>
      <c r="B922" s="9"/>
      <c r="C922" s="9"/>
      <c r="D922" s="9"/>
      <c r="E922" s="9"/>
      <c r="F922" s="9"/>
      <c r="G922" s="9"/>
      <c r="H922" s="9"/>
      <c r="I922" s="9"/>
      <c r="J922" s="10"/>
      <c r="K922" s="10"/>
      <c r="L922" s="10"/>
      <c r="M922" s="10"/>
      <c r="N922" s="11"/>
      <c r="O922" s="11"/>
      <c r="P922" s="11"/>
      <c r="Q922" s="11"/>
      <c r="R922" s="10"/>
      <c r="S922" s="10"/>
      <c r="T922" s="10"/>
      <c r="U922" s="10"/>
    </row>
    <row r="923">
      <c r="A923" s="8"/>
      <c r="B923" s="9"/>
      <c r="C923" s="9"/>
      <c r="D923" s="9"/>
      <c r="E923" s="9"/>
      <c r="F923" s="9"/>
      <c r="G923" s="9"/>
      <c r="H923" s="9"/>
      <c r="I923" s="9"/>
      <c r="J923" s="10"/>
      <c r="K923" s="10"/>
      <c r="L923" s="10"/>
      <c r="M923" s="10"/>
      <c r="N923" s="11"/>
      <c r="O923" s="11"/>
      <c r="P923" s="11"/>
      <c r="Q923" s="11"/>
      <c r="R923" s="10"/>
      <c r="S923" s="10"/>
      <c r="T923" s="10"/>
      <c r="U923" s="10"/>
    </row>
    <row r="924">
      <c r="A924" s="8"/>
      <c r="B924" s="9"/>
      <c r="C924" s="9"/>
      <c r="D924" s="9"/>
      <c r="E924" s="9"/>
      <c r="F924" s="9"/>
      <c r="G924" s="9"/>
      <c r="H924" s="9"/>
      <c r="I924" s="9"/>
      <c r="J924" s="10"/>
      <c r="K924" s="10"/>
      <c r="L924" s="10"/>
      <c r="M924" s="10"/>
      <c r="N924" s="11"/>
      <c r="O924" s="11"/>
      <c r="P924" s="11"/>
      <c r="Q924" s="11"/>
      <c r="R924" s="10"/>
      <c r="S924" s="10"/>
      <c r="T924" s="10"/>
      <c r="U924" s="10"/>
    </row>
    <row r="925">
      <c r="A925" s="8"/>
      <c r="B925" s="9"/>
      <c r="C925" s="9"/>
      <c r="D925" s="9"/>
      <c r="E925" s="9"/>
      <c r="F925" s="9"/>
      <c r="G925" s="9"/>
      <c r="H925" s="9"/>
      <c r="I925" s="9"/>
      <c r="J925" s="10"/>
      <c r="K925" s="10"/>
      <c r="L925" s="10"/>
      <c r="M925" s="10"/>
      <c r="N925" s="11"/>
      <c r="O925" s="11"/>
      <c r="P925" s="11"/>
      <c r="Q925" s="11"/>
      <c r="R925" s="10"/>
      <c r="S925" s="10"/>
      <c r="T925" s="10"/>
      <c r="U925" s="10"/>
    </row>
    <row r="926">
      <c r="A926" s="8"/>
      <c r="B926" s="9"/>
      <c r="C926" s="9"/>
      <c r="D926" s="9"/>
      <c r="E926" s="9"/>
      <c r="F926" s="9"/>
      <c r="G926" s="9"/>
      <c r="H926" s="9"/>
      <c r="I926" s="9"/>
      <c r="J926" s="10"/>
      <c r="K926" s="10"/>
      <c r="L926" s="10"/>
      <c r="M926" s="10"/>
      <c r="N926" s="11"/>
      <c r="O926" s="11"/>
      <c r="P926" s="11"/>
      <c r="Q926" s="11"/>
      <c r="R926" s="10"/>
      <c r="S926" s="10"/>
      <c r="T926" s="10"/>
      <c r="U926" s="10"/>
    </row>
    <row r="927">
      <c r="A927" s="8"/>
      <c r="B927" s="9"/>
      <c r="C927" s="9"/>
      <c r="D927" s="9"/>
      <c r="E927" s="9"/>
      <c r="F927" s="9"/>
      <c r="G927" s="9"/>
      <c r="H927" s="9"/>
      <c r="I927" s="9"/>
      <c r="J927" s="10"/>
      <c r="K927" s="10"/>
      <c r="L927" s="10"/>
      <c r="M927" s="10"/>
      <c r="N927" s="11"/>
      <c r="O927" s="11"/>
      <c r="P927" s="11"/>
      <c r="Q927" s="11"/>
      <c r="R927" s="10"/>
      <c r="S927" s="10"/>
      <c r="T927" s="10"/>
      <c r="U927" s="10"/>
    </row>
    <row r="928">
      <c r="A928" s="8"/>
      <c r="B928" s="9"/>
      <c r="C928" s="9"/>
      <c r="D928" s="9"/>
      <c r="E928" s="9"/>
      <c r="F928" s="9"/>
      <c r="G928" s="9"/>
      <c r="H928" s="9"/>
      <c r="I928" s="9"/>
      <c r="J928" s="10"/>
      <c r="K928" s="10"/>
      <c r="L928" s="10"/>
      <c r="M928" s="10"/>
      <c r="N928" s="11"/>
      <c r="O928" s="11"/>
      <c r="P928" s="11"/>
      <c r="Q928" s="11"/>
      <c r="R928" s="10"/>
      <c r="S928" s="10"/>
      <c r="T928" s="10"/>
      <c r="U928" s="10"/>
    </row>
    <row r="929">
      <c r="A929" s="8"/>
      <c r="B929" s="9"/>
      <c r="C929" s="9"/>
      <c r="D929" s="9"/>
      <c r="E929" s="9"/>
      <c r="F929" s="9"/>
      <c r="G929" s="9"/>
      <c r="H929" s="9"/>
      <c r="I929" s="9"/>
      <c r="J929" s="10"/>
      <c r="K929" s="10"/>
      <c r="L929" s="10"/>
      <c r="M929" s="10"/>
      <c r="N929" s="11"/>
      <c r="O929" s="11"/>
      <c r="P929" s="11"/>
      <c r="Q929" s="11"/>
      <c r="R929" s="10"/>
      <c r="S929" s="10"/>
      <c r="T929" s="10"/>
      <c r="U929" s="10"/>
    </row>
    <row r="930">
      <c r="A930" s="8"/>
      <c r="B930" s="9"/>
      <c r="C930" s="9"/>
      <c r="D930" s="9"/>
      <c r="E930" s="9"/>
      <c r="F930" s="9"/>
      <c r="G930" s="9"/>
      <c r="H930" s="9"/>
      <c r="I930" s="9"/>
      <c r="J930" s="10"/>
      <c r="K930" s="10"/>
      <c r="L930" s="10"/>
      <c r="M930" s="10"/>
      <c r="N930" s="11"/>
      <c r="O930" s="11"/>
      <c r="P930" s="11"/>
      <c r="Q930" s="11"/>
      <c r="R930" s="10"/>
      <c r="S930" s="10"/>
      <c r="T930" s="10"/>
      <c r="U930" s="10"/>
    </row>
    <row r="931">
      <c r="A931" s="8"/>
      <c r="B931" s="9"/>
      <c r="C931" s="9"/>
      <c r="D931" s="9"/>
      <c r="E931" s="9"/>
      <c r="F931" s="9"/>
      <c r="G931" s="9"/>
      <c r="H931" s="9"/>
      <c r="I931" s="9"/>
      <c r="J931" s="10"/>
      <c r="K931" s="10"/>
      <c r="L931" s="10"/>
      <c r="M931" s="10"/>
      <c r="N931" s="11"/>
      <c r="O931" s="11"/>
      <c r="P931" s="11"/>
      <c r="Q931" s="11"/>
      <c r="R931" s="10"/>
      <c r="S931" s="10"/>
      <c r="T931" s="10"/>
      <c r="U931" s="10"/>
    </row>
    <row r="932">
      <c r="A932" s="8"/>
      <c r="B932" s="9"/>
      <c r="C932" s="9"/>
      <c r="D932" s="9"/>
      <c r="E932" s="9"/>
      <c r="F932" s="9"/>
      <c r="G932" s="9"/>
      <c r="H932" s="9"/>
      <c r="I932" s="9"/>
      <c r="J932" s="10"/>
      <c r="K932" s="10"/>
      <c r="L932" s="10"/>
      <c r="M932" s="10"/>
      <c r="N932" s="11"/>
      <c r="O932" s="11"/>
      <c r="P932" s="11"/>
      <c r="Q932" s="11"/>
      <c r="R932" s="10"/>
      <c r="S932" s="10"/>
      <c r="T932" s="10"/>
      <c r="U932" s="10"/>
    </row>
    <row r="933">
      <c r="A933" s="8"/>
      <c r="B933" s="9"/>
      <c r="C933" s="9"/>
      <c r="D933" s="9"/>
      <c r="E933" s="9"/>
      <c r="F933" s="9"/>
      <c r="G933" s="9"/>
      <c r="H933" s="9"/>
      <c r="I933" s="9"/>
      <c r="J933" s="10"/>
      <c r="K933" s="10"/>
      <c r="L933" s="10"/>
      <c r="M933" s="10"/>
      <c r="N933" s="11"/>
      <c r="O933" s="11"/>
      <c r="P933" s="11"/>
      <c r="Q933" s="11"/>
      <c r="R933" s="10"/>
      <c r="S933" s="10"/>
      <c r="T933" s="10"/>
      <c r="U933" s="10"/>
    </row>
    <row r="934">
      <c r="A934" s="8"/>
      <c r="B934" s="9"/>
      <c r="C934" s="9"/>
      <c r="D934" s="9"/>
      <c r="E934" s="9"/>
      <c r="F934" s="9"/>
      <c r="G934" s="9"/>
      <c r="H934" s="9"/>
      <c r="I934" s="9"/>
      <c r="J934" s="10"/>
      <c r="K934" s="10"/>
      <c r="L934" s="10"/>
      <c r="M934" s="10"/>
      <c r="N934" s="11"/>
      <c r="O934" s="11"/>
      <c r="P934" s="11"/>
      <c r="Q934" s="11"/>
      <c r="R934" s="10"/>
      <c r="S934" s="10"/>
      <c r="T934" s="10"/>
      <c r="U934" s="10"/>
    </row>
    <row r="935">
      <c r="A935" s="8"/>
      <c r="B935" s="9"/>
      <c r="C935" s="9"/>
      <c r="D935" s="9"/>
      <c r="E935" s="9"/>
      <c r="F935" s="9"/>
      <c r="G935" s="9"/>
      <c r="H935" s="9"/>
      <c r="I935" s="9"/>
      <c r="J935" s="10"/>
      <c r="K935" s="10"/>
      <c r="L935" s="10"/>
      <c r="M935" s="10"/>
      <c r="N935" s="11"/>
      <c r="O935" s="11"/>
      <c r="P935" s="11"/>
      <c r="Q935" s="11"/>
      <c r="R935" s="10"/>
      <c r="S935" s="10"/>
      <c r="T935" s="10"/>
      <c r="U935" s="10"/>
    </row>
    <row r="936">
      <c r="A936" s="8"/>
      <c r="B936" s="9"/>
      <c r="C936" s="9"/>
      <c r="D936" s="9"/>
      <c r="E936" s="9"/>
      <c r="F936" s="9"/>
      <c r="G936" s="9"/>
      <c r="H936" s="9"/>
      <c r="I936" s="9"/>
      <c r="J936" s="10"/>
      <c r="K936" s="10"/>
      <c r="L936" s="10"/>
      <c r="M936" s="10"/>
      <c r="N936" s="11"/>
      <c r="O936" s="11"/>
      <c r="P936" s="11"/>
      <c r="Q936" s="11"/>
      <c r="R936" s="10"/>
      <c r="S936" s="10"/>
      <c r="T936" s="10"/>
      <c r="U936" s="10"/>
    </row>
    <row r="937">
      <c r="A937" s="8"/>
      <c r="B937" s="9"/>
      <c r="C937" s="9"/>
      <c r="D937" s="9"/>
      <c r="E937" s="9"/>
      <c r="F937" s="9"/>
      <c r="G937" s="9"/>
      <c r="H937" s="9"/>
      <c r="I937" s="9"/>
      <c r="J937" s="10"/>
      <c r="K937" s="10"/>
      <c r="L937" s="10"/>
      <c r="M937" s="10"/>
      <c r="N937" s="11"/>
      <c r="O937" s="11"/>
      <c r="P937" s="11"/>
      <c r="Q937" s="11"/>
      <c r="R937" s="10"/>
      <c r="S937" s="10"/>
      <c r="T937" s="10"/>
      <c r="U937" s="10"/>
    </row>
    <row r="938">
      <c r="A938" s="8"/>
      <c r="B938" s="9"/>
      <c r="C938" s="9"/>
      <c r="D938" s="9"/>
      <c r="E938" s="9"/>
      <c r="F938" s="9"/>
      <c r="G938" s="9"/>
      <c r="H938" s="9"/>
      <c r="I938" s="9"/>
      <c r="J938" s="10"/>
      <c r="K938" s="10"/>
      <c r="L938" s="10"/>
      <c r="M938" s="10"/>
      <c r="N938" s="11"/>
      <c r="O938" s="11"/>
      <c r="P938" s="11"/>
      <c r="Q938" s="11"/>
      <c r="R938" s="10"/>
      <c r="S938" s="10"/>
      <c r="T938" s="10"/>
      <c r="U938" s="10"/>
    </row>
    <row r="939">
      <c r="A939" s="8"/>
      <c r="B939" s="9"/>
      <c r="C939" s="9"/>
      <c r="D939" s="9"/>
      <c r="E939" s="9"/>
      <c r="F939" s="9"/>
      <c r="G939" s="9"/>
      <c r="H939" s="9"/>
      <c r="I939" s="9"/>
      <c r="J939" s="10"/>
      <c r="K939" s="10"/>
      <c r="L939" s="10"/>
      <c r="M939" s="10"/>
      <c r="N939" s="11"/>
      <c r="O939" s="11"/>
      <c r="P939" s="11"/>
      <c r="Q939" s="11"/>
      <c r="R939" s="10"/>
      <c r="S939" s="10"/>
      <c r="T939" s="10"/>
      <c r="U939" s="10"/>
    </row>
    <row r="940">
      <c r="A940" s="8"/>
      <c r="B940" s="9"/>
      <c r="C940" s="9"/>
      <c r="D940" s="9"/>
      <c r="E940" s="9"/>
      <c r="F940" s="9"/>
      <c r="G940" s="9"/>
      <c r="H940" s="9"/>
      <c r="I940" s="9"/>
      <c r="J940" s="10"/>
      <c r="K940" s="10"/>
      <c r="L940" s="10"/>
      <c r="M940" s="10"/>
      <c r="N940" s="11"/>
      <c r="O940" s="11"/>
      <c r="P940" s="11"/>
      <c r="Q940" s="11"/>
      <c r="R940" s="10"/>
      <c r="S940" s="10"/>
      <c r="T940" s="10"/>
      <c r="U940" s="10"/>
    </row>
    <row r="941">
      <c r="A941" s="8"/>
      <c r="B941" s="9"/>
      <c r="C941" s="9"/>
      <c r="D941" s="9"/>
      <c r="E941" s="9"/>
      <c r="F941" s="9"/>
      <c r="G941" s="9"/>
      <c r="H941" s="9"/>
      <c r="I941" s="9"/>
      <c r="J941" s="10"/>
      <c r="K941" s="10"/>
      <c r="L941" s="10"/>
      <c r="M941" s="10"/>
      <c r="N941" s="11"/>
      <c r="O941" s="11"/>
      <c r="P941" s="11"/>
      <c r="Q941" s="11"/>
      <c r="R941" s="10"/>
      <c r="S941" s="10"/>
      <c r="T941" s="10"/>
      <c r="U941" s="10"/>
    </row>
    <row r="942">
      <c r="A942" s="8"/>
      <c r="B942" s="9"/>
      <c r="C942" s="9"/>
      <c r="D942" s="9"/>
      <c r="E942" s="9"/>
      <c r="F942" s="9"/>
      <c r="G942" s="9"/>
      <c r="H942" s="9"/>
      <c r="I942" s="9"/>
      <c r="J942" s="10"/>
      <c r="K942" s="10"/>
      <c r="L942" s="10"/>
      <c r="M942" s="10"/>
      <c r="N942" s="11"/>
      <c r="O942" s="11"/>
      <c r="P942" s="11"/>
      <c r="Q942" s="11"/>
      <c r="R942" s="10"/>
      <c r="S942" s="10"/>
      <c r="T942" s="10"/>
      <c r="U942" s="10"/>
    </row>
    <row r="943">
      <c r="A943" s="8"/>
      <c r="B943" s="9"/>
      <c r="C943" s="9"/>
      <c r="D943" s="9"/>
      <c r="E943" s="9"/>
      <c r="F943" s="9"/>
      <c r="G943" s="9"/>
      <c r="H943" s="9"/>
      <c r="I943" s="9"/>
      <c r="J943" s="10"/>
      <c r="K943" s="10"/>
      <c r="L943" s="10"/>
      <c r="M943" s="10"/>
      <c r="N943" s="11"/>
      <c r="O943" s="11"/>
      <c r="P943" s="11"/>
      <c r="Q943" s="11"/>
      <c r="R943" s="10"/>
      <c r="S943" s="10"/>
      <c r="T943" s="10"/>
      <c r="U943" s="10"/>
    </row>
    <row r="944">
      <c r="A944" s="8"/>
      <c r="B944" s="9"/>
      <c r="C944" s="9"/>
      <c r="D944" s="9"/>
      <c r="E944" s="9"/>
      <c r="F944" s="9"/>
      <c r="G944" s="9"/>
      <c r="H944" s="9"/>
      <c r="I944" s="9"/>
      <c r="J944" s="10"/>
      <c r="K944" s="10"/>
      <c r="L944" s="10"/>
      <c r="M944" s="10"/>
      <c r="N944" s="11"/>
      <c r="O944" s="11"/>
      <c r="P944" s="11"/>
      <c r="Q944" s="11"/>
      <c r="R944" s="10"/>
      <c r="S944" s="10"/>
      <c r="T944" s="10"/>
      <c r="U944" s="10"/>
    </row>
    <row r="945">
      <c r="A945" s="8"/>
      <c r="B945" s="9"/>
      <c r="C945" s="9"/>
      <c r="D945" s="9"/>
      <c r="E945" s="9"/>
      <c r="F945" s="9"/>
      <c r="G945" s="9"/>
      <c r="H945" s="9"/>
      <c r="I945" s="9"/>
      <c r="J945" s="10"/>
      <c r="K945" s="10"/>
      <c r="L945" s="10"/>
      <c r="M945" s="10"/>
      <c r="N945" s="11"/>
      <c r="O945" s="11"/>
      <c r="P945" s="11"/>
      <c r="Q945" s="11"/>
      <c r="R945" s="10"/>
      <c r="S945" s="10"/>
      <c r="T945" s="10"/>
      <c r="U945" s="10"/>
    </row>
    <row r="946">
      <c r="A946" s="8"/>
      <c r="B946" s="9"/>
      <c r="C946" s="9"/>
      <c r="D946" s="9"/>
      <c r="E946" s="9"/>
      <c r="F946" s="9"/>
      <c r="G946" s="9"/>
      <c r="H946" s="9"/>
      <c r="I946" s="9"/>
      <c r="J946" s="10"/>
      <c r="K946" s="10"/>
      <c r="L946" s="10"/>
      <c r="M946" s="10"/>
      <c r="N946" s="11"/>
      <c r="O946" s="11"/>
      <c r="P946" s="11"/>
      <c r="Q946" s="11"/>
      <c r="R946" s="10"/>
      <c r="S946" s="10"/>
      <c r="T946" s="10"/>
      <c r="U946" s="10"/>
    </row>
    <row r="947">
      <c r="A947" s="8"/>
      <c r="B947" s="9"/>
      <c r="C947" s="9"/>
      <c r="D947" s="9"/>
      <c r="E947" s="9"/>
      <c r="F947" s="9"/>
      <c r="G947" s="9"/>
      <c r="H947" s="9"/>
      <c r="I947" s="9"/>
      <c r="J947" s="10"/>
      <c r="K947" s="10"/>
      <c r="L947" s="10"/>
      <c r="M947" s="10"/>
      <c r="N947" s="11"/>
      <c r="O947" s="11"/>
      <c r="P947" s="11"/>
      <c r="Q947" s="11"/>
      <c r="R947" s="10"/>
      <c r="S947" s="10"/>
      <c r="T947" s="10"/>
      <c r="U947" s="10"/>
    </row>
    <row r="948">
      <c r="A948" s="8"/>
      <c r="B948" s="9"/>
      <c r="C948" s="9"/>
      <c r="D948" s="9"/>
      <c r="E948" s="9"/>
      <c r="F948" s="9"/>
      <c r="G948" s="9"/>
      <c r="H948" s="9"/>
      <c r="I948" s="9"/>
      <c r="J948" s="10"/>
      <c r="K948" s="10"/>
      <c r="L948" s="10"/>
      <c r="M948" s="10"/>
      <c r="N948" s="11"/>
      <c r="O948" s="11"/>
      <c r="P948" s="11"/>
      <c r="Q948" s="11"/>
      <c r="R948" s="10"/>
      <c r="S948" s="10"/>
      <c r="T948" s="10"/>
      <c r="U948" s="10"/>
    </row>
    <row r="949">
      <c r="A949" s="8"/>
      <c r="B949" s="9"/>
      <c r="C949" s="9"/>
      <c r="D949" s="9"/>
      <c r="E949" s="9"/>
      <c r="F949" s="9"/>
      <c r="G949" s="9"/>
      <c r="H949" s="9"/>
      <c r="I949" s="9"/>
      <c r="J949" s="10"/>
      <c r="K949" s="10"/>
      <c r="L949" s="10"/>
      <c r="M949" s="10"/>
      <c r="N949" s="11"/>
      <c r="O949" s="11"/>
      <c r="P949" s="11"/>
      <c r="Q949" s="11"/>
      <c r="R949" s="10"/>
      <c r="S949" s="10"/>
      <c r="T949" s="10"/>
      <c r="U949" s="10"/>
    </row>
    <row r="950">
      <c r="A950" s="8"/>
      <c r="B950" s="9"/>
      <c r="C950" s="9"/>
      <c r="D950" s="9"/>
      <c r="E950" s="9"/>
      <c r="F950" s="9"/>
      <c r="G950" s="9"/>
      <c r="H950" s="9"/>
      <c r="I950" s="9"/>
      <c r="J950" s="10"/>
      <c r="K950" s="10"/>
      <c r="L950" s="10"/>
      <c r="M950" s="10"/>
      <c r="N950" s="11"/>
      <c r="O950" s="11"/>
      <c r="P950" s="11"/>
      <c r="Q950" s="11"/>
      <c r="R950" s="10"/>
      <c r="S950" s="10"/>
      <c r="T950" s="10"/>
      <c r="U950" s="10"/>
    </row>
    <row r="951">
      <c r="A951" s="8"/>
      <c r="B951" s="9"/>
      <c r="C951" s="9"/>
      <c r="D951" s="9"/>
      <c r="E951" s="9"/>
      <c r="F951" s="9"/>
      <c r="G951" s="9"/>
      <c r="H951" s="9"/>
      <c r="I951" s="9"/>
      <c r="J951" s="10"/>
      <c r="K951" s="10"/>
      <c r="L951" s="10"/>
      <c r="M951" s="10"/>
      <c r="N951" s="11"/>
      <c r="O951" s="11"/>
      <c r="P951" s="11"/>
      <c r="Q951" s="11"/>
      <c r="R951" s="10"/>
      <c r="S951" s="10"/>
      <c r="T951" s="10"/>
      <c r="U951" s="10"/>
    </row>
    <row r="952">
      <c r="A952" s="8"/>
      <c r="B952" s="9"/>
      <c r="C952" s="9"/>
      <c r="D952" s="9"/>
      <c r="E952" s="9"/>
      <c r="F952" s="9"/>
      <c r="G952" s="9"/>
      <c r="H952" s="9"/>
      <c r="I952" s="9"/>
      <c r="J952" s="10"/>
      <c r="K952" s="10"/>
      <c r="L952" s="10"/>
      <c r="M952" s="10"/>
      <c r="N952" s="11"/>
      <c r="O952" s="11"/>
      <c r="P952" s="11"/>
      <c r="Q952" s="11"/>
      <c r="R952" s="10"/>
      <c r="S952" s="10"/>
      <c r="T952" s="10"/>
      <c r="U952" s="10"/>
    </row>
    <row r="953">
      <c r="A953" s="8"/>
      <c r="B953" s="9"/>
      <c r="C953" s="9"/>
      <c r="D953" s="9"/>
      <c r="E953" s="9"/>
      <c r="F953" s="9"/>
      <c r="G953" s="9"/>
      <c r="H953" s="9"/>
      <c r="I953" s="9"/>
      <c r="J953" s="10"/>
      <c r="K953" s="10"/>
      <c r="L953" s="10"/>
      <c r="M953" s="10"/>
      <c r="N953" s="11"/>
      <c r="O953" s="11"/>
      <c r="P953" s="11"/>
      <c r="Q953" s="11"/>
      <c r="R953" s="10"/>
      <c r="S953" s="10"/>
      <c r="T953" s="10"/>
      <c r="U953" s="10"/>
    </row>
    <row r="954">
      <c r="A954" s="8"/>
      <c r="B954" s="9"/>
      <c r="C954" s="9"/>
      <c r="D954" s="9"/>
      <c r="E954" s="9"/>
      <c r="F954" s="9"/>
      <c r="G954" s="9"/>
      <c r="H954" s="9"/>
      <c r="I954" s="9"/>
      <c r="J954" s="10"/>
      <c r="K954" s="10"/>
      <c r="L954" s="10"/>
      <c r="M954" s="10"/>
      <c r="N954" s="11"/>
      <c r="O954" s="11"/>
      <c r="P954" s="11"/>
      <c r="Q954" s="11"/>
      <c r="R954" s="10"/>
      <c r="S954" s="10"/>
      <c r="T954" s="10"/>
      <c r="U954" s="10"/>
    </row>
    <row r="955">
      <c r="A955" s="8"/>
      <c r="B955" s="9"/>
      <c r="C955" s="9"/>
      <c r="D955" s="9"/>
      <c r="E955" s="9"/>
      <c r="F955" s="9"/>
      <c r="G955" s="9"/>
      <c r="H955" s="9"/>
      <c r="I955" s="9"/>
      <c r="J955" s="10"/>
      <c r="K955" s="10"/>
      <c r="L955" s="10"/>
      <c r="M955" s="10"/>
      <c r="N955" s="11"/>
      <c r="O955" s="11"/>
      <c r="P955" s="11"/>
      <c r="Q955" s="11"/>
      <c r="R955" s="10"/>
      <c r="S955" s="10"/>
      <c r="T955" s="10"/>
      <c r="U955" s="10"/>
    </row>
    <row r="956">
      <c r="A956" s="8"/>
      <c r="B956" s="9"/>
      <c r="C956" s="9"/>
      <c r="D956" s="9"/>
      <c r="E956" s="9"/>
      <c r="F956" s="9"/>
      <c r="G956" s="9"/>
      <c r="H956" s="9"/>
      <c r="I956" s="9"/>
      <c r="J956" s="10"/>
      <c r="K956" s="10"/>
      <c r="L956" s="10"/>
      <c r="M956" s="10"/>
      <c r="N956" s="11"/>
      <c r="O956" s="11"/>
      <c r="P956" s="11"/>
      <c r="Q956" s="11"/>
      <c r="R956" s="10"/>
      <c r="S956" s="10"/>
      <c r="T956" s="10"/>
      <c r="U956" s="10"/>
    </row>
    <row r="957">
      <c r="A957" s="8"/>
      <c r="B957" s="9"/>
      <c r="C957" s="9"/>
      <c r="D957" s="9"/>
      <c r="E957" s="9"/>
      <c r="F957" s="9"/>
      <c r="G957" s="9"/>
      <c r="H957" s="9"/>
      <c r="I957" s="9"/>
      <c r="J957" s="10"/>
      <c r="K957" s="10"/>
      <c r="L957" s="10"/>
      <c r="M957" s="10"/>
      <c r="N957" s="11"/>
      <c r="O957" s="11"/>
      <c r="P957" s="11"/>
      <c r="Q957" s="11"/>
      <c r="R957" s="10"/>
      <c r="S957" s="10"/>
      <c r="T957" s="10"/>
      <c r="U957" s="10"/>
    </row>
    <row r="958">
      <c r="A958" s="8"/>
      <c r="B958" s="9"/>
      <c r="C958" s="9"/>
      <c r="D958" s="9"/>
      <c r="E958" s="9"/>
      <c r="F958" s="9"/>
      <c r="G958" s="9"/>
      <c r="H958" s="9"/>
      <c r="I958" s="9"/>
      <c r="J958" s="10"/>
      <c r="K958" s="10"/>
      <c r="L958" s="10"/>
      <c r="M958" s="10"/>
      <c r="N958" s="11"/>
      <c r="O958" s="11"/>
      <c r="P958" s="11"/>
      <c r="Q958" s="11"/>
      <c r="R958" s="10"/>
      <c r="S958" s="10"/>
      <c r="T958" s="10"/>
      <c r="U958" s="10"/>
    </row>
    <row r="959">
      <c r="A959" s="8"/>
      <c r="B959" s="9"/>
      <c r="C959" s="9"/>
      <c r="D959" s="9"/>
      <c r="E959" s="9"/>
      <c r="F959" s="9"/>
      <c r="G959" s="9"/>
      <c r="H959" s="9"/>
      <c r="I959" s="9"/>
      <c r="J959" s="10"/>
      <c r="K959" s="10"/>
      <c r="L959" s="10"/>
      <c r="M959" s="10"/>
      <c r="N959" s="11"/>
      <c r="O959" s="11"/>
      <c r="P959" s="11"/>
      <c r="Q959" s="11"/>
      <c r="R959" s="10"/>
      <c r="S959" s="10"/>
      <c r="T959" s="10"/>
      <c r="U959" s="10"/>
    </row>
    <row r="960">
      <c r="A960" s="8"/>
      <c r="B960" s="9"/>
      <c r="C960" s="9"/>
      <c r="D960" s="9"/>
      <c r="E960" s="9"/>
      <c r="F960" s="9"/>
      <c r="G960" s="9"/>
      <c r="H960" s="9"/>
      <c r="I960" s="9"/>
      <c r="J960" s="10"/>
      <c r="K960" s="10"/>
      <c r="L960" s="10"/>
      <c r="M960" s="10"/>
      <c r="N960" s="11"/>
      <c r="O960" s="11"/>
      <c r="P960" s="11"/>
      <c r="Q960" s="11"/>
      <c r="R960" s="10"/>
      <c r="S960" s="10"/>
      <c r="T960" s="10"/>
      <c r="U960" s="10"/>
    </row>
    <row r="961">
      <c r="A961" s="8"/>
      <c r="B961" s="9"/>
      <c r="C961" s="9"/>
      <c r="D961" s="9"/>
      <c r="E961" s="9"/>
      <c r="F961" s="9"/>
      <c r="G961" s="9"/>
      <c r="H961" s="9"/>
      <c r="I961" s="9"/>
      <c r="J961" s="10"/>
      <c r="K961" s="10"/>
      <c r="L961" s="10"/>
      <c r="M961" s="10"/>
      <c r="N961" s="11"/>
      <c r="O961" s="11"/>
      <c r="P961" s="11"/>
      <c r="Q961" s="11"/>
      <c r="R961" s="10"/>
      <c r="S961" s="10"/>
      <c r="T961" s="10"/>
      <c r="U961" s="10"/>
    </row>
    <row r="962">
      <c r="A962" s="8"/>
      <c r="B962" s="9"/>
      <c r="C962" s="9"/>
      <c r="D962" s="9"/>
      <c r="E962" s="9"/>
      <c r="F962" s="9"/>
      <c r="G962" s="9"/>
      <c r="H962" s="9"/>
      <c r="I962" s="9"/>
      <c r="J962" s="10"/>
      <c r="K962" s="10"/>
      <c r="L962" s="10"/>
      <c r="M962" s="10"/>
      <c r="N962" s="11"/>
      <c r="O962" s="11"/>
      <c r="P962" s="11"/>
      <c r="Q962" s="11"/>
      <c r="R962" s="10"/>
      <c r="S962" s="10"/>
      <c r="T962" s="10"/>
      <c r="U962" s="10"/>
    </row>
    <row r="963">
      <c r="A963" s="8"/>
      <c r="B963" s="9"/>
      <c r="C963" s="9"/>
      <c r="D963" s="9"/>
      <c r="E963" s="9"/>
      <c r="F963" s="9"/>
      <c r="G963" s="9"/>
      <c r="H963" s="9"/>
      <c r="I963" s="9"/>
      <c r="J963" s="10"/>
      <c r="K963" s="10"/>
      <c r="L963" s="10"/>
      <c r="M963" s="10"/>
      <c r="N963" s="11"/>
      <c r="O963" s="11"/>
      <c r="P963" s="11"/>
      <c r="Q963" s="11"/>
      <c r="R963" s="10"/>
      <c r="S963" s="10"/>
      <c r="T963" s="10"/>
      <c r="U963" s="10"/>
    </row>
    <row r="964">
      <c r="A964" s="8"/>
      <c r="B964" s="9"/>
      <c r="C964" s="9"/>
      <c r="D964" s="9"/>
      <c r="E964" s="9"/>
      <c r="F964" s="9"/>
      <c r="G964" s="9"/>
      <c r="H964" s="9"/>
      <c r="I964" s="9"/>
      <c r="J964" s="10"/>
      <c r="K964" s="10"/>
      <c r="L964" s="10"/>
      <c r="M964" s="10"/>
      <c r="N964" s="11"/>
      <c r="O964" s="11"/>
      <c r="P964" s="11"/>
      <c r="Q964" s="11"/>
      <c r="R964" s="10"/>
      <c r="S964" s="10"/>
      <c r="T964" s="10"/>
      <c r="U964" s="10"/>
    </row>
    <row r="965">
      <c r="A965" s="8"/>
      <c r="B965" s="9"/>
      <c r="C965" s="9"/>
      <c r="D965" s="9"/>
      <c r="E965" s="9"/>
      <c r="F965" s="9"/>
      <c r="G965" s="9"/>
      <c r="H965" s="9"/>
      <c r="I965" s="9"/>
      <c r="J965" s="10"/>
      <c r="K965" s="10"/>
      <c r="L965" s="10"/>
      <c r="M965" s="10"/>
      <c r="N965" s="11"/>
      <c r="O965" s="11"/>
      <c r="P965" s="11"/>
      <c r="Q965" s="11"/>
      <c r="R965" s="10"/>
      <c r="S965" s="10"/>
      <c r="T965" s="10"/>
      <c r="U965" s="10"/>
    </row>
    <row r="966">
      <c r="A966" s="8"/>
      <c r="B966" s="9"/>
      <c r="C966" s="9"/>
      <c r="D966" s="9"/>
      <c r="E966" s="9"/>
      <c r="F966" s="9"/>
      <c r="G966" s="9"/>
      <c r="H966" s="9"/>
      <c r="I966" s="9"/>
      <c r="J966" s="10"/>
      <c r="K966" s="10"/>
      <c r="L966" s="10"/>
      <c r="M966" s="10"/>
      <c r="N966" s="11"/>
      <c r="O966" s="11"/>
      <c r="P966" s="11"/>
      <c r="Q966" s="11"/>
      <c r="R966" s="10"/>
      <c r="S966" s="10"/>
      <c r="T966" s="10"/>
      <c r="U966" s="10"/>
    </row>
    <row r="967">
      <c r="A967" s="8"/>
      <c r="B967" s="9"/>
      <c r="C967" s="9"/>
      <c r="D967" s="9"/>
      <c r="E967" s="9"/>
      <c r="F967" s="9"/>
      <c r="G967" s="9"/>
      <c r="H967" s="9"/>
      <c r="I967" s="9"/>
      <c r="J967" s="10"/>
      <c r="K967" s="10"/>
      <c r="L967" s="10"/>
      <c r="M967" s="10"/>
      <c r="N967" s="11"/>
      <c r="O967" s="11"/>
      <c r="P967" s="11"/>
      <c r="Q967" s="11"/>
      <c r="R967" s="10"/>
      <c r="S967" s="10"/>
      <c r="T967" s="10"/>
      <c r="U967" s="10"/>
    </row>
    <row r="968">
      <c r="A968" s="8"/>
      <c r="B968" s="9"/>
      <c r="C968" s="9"/>
      <c r="D968" s="9"/>
      <c r="E968" s="9"/>
      <c r="F968" s="9"/>
      <c r="G968" s="9"/>
      <c r="H968" s="9"/>
      <c r="I968" s="9"/>
      <c r="J968" s="10"/>
      <c r="K968" s="10"/>
      <c r="L968" s="10"/>
      <c r="M968" s="10"/>
      <c r="N968" s="11"/>
      <c r="O968" s="11"/>
      <c r="P968" s="11"/>
      <c r="Q968" s="11"/>
      <c r="R968" s="10"/>
      <c r="S968" s="10"/>
      <c r="T968" s="10"/>
      <c r="U968" s="10"/>
    </row>
    <row r="969">
      <c r="A969" s="8"/>
      <c r="B969" s="9"/>
      <c r="C969" s="9"/>
      <c r="D969" s="9"/>
      <c r="E969" s="9"/>
      <c r="F969" s="9"/>
      <c r="G969" s="9"/>
      <c r="H969" s="9"/>
      <c r="I969" s="9"/>
      <c r="J969" s="10"/>
      <c r="K969" s="10"/>
      <c r="L969" s="10"/>
      <c r="M969" s="10"/>
      <c r="N969" s="11"/>
      <c r="O969" s="11"/>
      <c r="P969" s="11"/>
      <c r="Q969" s="11"/>
      <c r="R969" s="10"/>
      <c r="S969" s="10"/>
      <c r="T969" s="10"/>
      <c r="U969" s="10"/>
    </row>
    <row r="970">
      <c r="A970" s="8"/>
      <c r="B970" s="9"/>
      <c r="C970" s="9"/>
      <c r="D970" s="9"/>
      <c r="E970" s="9"/>
      <c r="F970" s="9"/>
      <c r="G970" s="9"/>
      <c r="H970" s="9"/>
      <c r="I970" s="9"/>
      <c r="J970" s="10"/>
      <c r="K970" s="10"/>
      <c r="L970" s="10"/>
      <c r="M970" s="10"/>
      <c r="N970" s="11"/>
      <c r="O970" s="11"/>
      <c r="P970" s="11"/>
      <c r="Q970" s="11"/>
      <c r="R970" s="10"/>
      <c r="S970" s="10"/>
      <c r="T970" s="10"/>
      <c r="U970" s="10"/>
    </row>
    <row r="971">
      <c r="A971" s="8"/>
      <c r="B971" s="9"/>
      <c r="C971" s="9"/>
      <c r="D971" s="9"/>
      <c r="E971" s="9"/>
      <c r="F971" s="9"/>
      <c r="G971" s="9"/>
      <c r="H971" s="9"/>
      <c r="I971" s="9"/>
      <c r="J971" s="10"/>
      <c r="K971" s="10"/>
      <c r="L971" s="10"/>
      <c r="M971" s="10"/>
      <c r="N971" s="11"/>
      <c r="O971" s="11"/>
      <c r="P971" s="11"/>
      <c r="Q971" s="11"/>
      <c r="R971" s="10"/>
      <c r="S971" s="10"/>
      <c r="T971" s="10"/>
      <c r="U971" s="10"/>
    </row>
    <row r="972">
      <c r="A972" s="8"/>
      <c r="B972" s="9"/>
      <c r="C972" s="9"/>
      <c r="D972" s="9"/>
      <c r="E972" s="9"/>
      <c r="F972" s="9"/>
      <c r="G972" s="9"/>
      <c r="H972" s="9"/>
      <c r="I972" s="9"/>
      <c r="J972" s="10"/>
      <c r="K972" s="10"/>
      <c r="L972" s="10"/>
      <c r="M972" s="10"/>
      <c r="N972" s="11"/>
      <c r="O972" s="11"/>
      <c r="P972" s="11"/>
      <c r="Q972" s="11"/>
      <c r="R972" s="10"/>
      <c r="S972" s="10"/>
      <c r="T972" s="10"/>
      <c r="U972" s="10"/>
    </row>
    <row r="973">
      <c r="A973" s="8"/>
      <c r="B973" s="9"/>
      <c r="C973" s="9"/>
      <c r="D973" s="9"/>
      <c r="E973" s="9"/>
      <c r="F973" s="9"/>
      <c r="G973" s="9"/>
      <c r="H973" s="9"/>
      <c r="I973" s="9"/>
      <c r="J973" s="10"/>
      <c r="K973" s="10"/>
      <c r="L973" s="10"/>
      <c r="M973" s="10"/>
      <c r="N973" s="11"/>
      <c r="O973" s="11"/>
      <c r="P973" s="11"/>
      <c r="Q973" s="11"/>
      <c r="R973" s="10"/>
      <c r="S973" s="10"/>
      <c r="T973" s="10"/>
      <c r="U973" s="10"/>
    </row>
    <row r="974">
      <c r="A974" s="8"/>
      <c r="B974" s="9"/>
      <c r="C974" s="9"/>
      <c r="D974" s="9"/>
      <c r="E974" s="9"/>
      <c r="F974" s="9"/>
      <c r="G974" s="9"/>
      <c r="H974" s="9"/>
      <c r="I974" s="9"/>
      <c r="J974" s="10"/>
      <c r="K974" s="10"/>
      <c r="L974" s="10"/>
      <c r="M974" s="10"/>
      <c r="N974" s="11"/>
      <c r="O974" s="11"/>
      <c r="P974" s="11"/>
      <c r="Q974" s="11"/>
      <c r="R974" s="10"/>
      <c r="S974" s="10"/>
      <c r="T974" s="10"/>
      <c r="U974" s="10"/>
    </row>
    <row r="975">
      <c r="A975" s="8"/>
      <c r="B975" s="9"/>
      <c r="C975" s="9"/>
      <c r="D975" s="9"/>
      <c r="E975" s="9"/>
      <c r="F975" s="9"/>
      <c r="G975" s="9"/>
      <c r="H975" s="9"/>
      <c r="I975" s="9"/>
      <c r="J975" s="10"/>
      <c r="K975" s="10"/>
      <c r="L975" s="10"/>
      <c r="M975" s="10"/>
      <c r="N975" s="11"/>
      <c r="O975" s="11"/>
      <c r="P975" s="11"/>
      <c r="Q975" s="11"/>
      <c r="R975" s="10"/>
      <c r="S975" s="10"/>
      <c r="T975" s="10"/>
      <c r="U975" s="10"/>
    </row>
    <row r="976">
      <c r="A976" s="8"/>
      <c r="B976" s="9"/>
      <c r="C976" s="9"/>
      <c r="D976" s="9"/>
      <c r="E976" s="9"/>
      <c r="F976" s="9"/>
      <c r="G976" s="9"/>
      <c r="H976" s="9"/>
      <c r="I976" s="9"/>
      <c r="J976" s="10"/>
      <c r="K976" s="10"/>
      <c r="L976" s="10"/>
      <c r="M976" s="10"/>
      <c r="N976" s="11"/>
      <c r="O976" s="11"/>
      <c r="P976" s="11"/>
      <c r="Q976" s="11"/>
      <c r="R976" s="10"/>
      <c r="S976" s="10"/>
      <c r="T976" s="10"/>
      <c r="U976" s="10"/>
    </row>
    <row r="977">
      <c r="A977" s="8"/>
      <c r="B977" s="9"/>
      <c r="C977" s="9"/>
      <c r="D977" s="9"/>
      <c r="E977" s="9"/>
      <c r="F977" s="9"/>
      <c r="G977" s="9"/>
      <c r="H977" s="9"/>
      <c r="I977" s="9"/>
      <c r="J977" s="10"/>
      <c r="K977" s="10"/>
      <c r="L977" s="10"/>
      <c r="M977" s="10"/>
      <c r="N977" s="11"/>
      <c r="O977" s="11"/>
      <c r="P977" s="11"/>
      <c r="Q977" s="11"/>
      <c r="R977" s="10"/>
      <c r="S977" s="10"/>
      <c r="T977" s="10"/>
      <c r="U977" s="10"/>
    </row>
    <row r="978">
      <c r="A978" s="8"/>
      <c r="B978" s="9"/>
      <c r="C978" s="9"/>
      <c r="D978" s="9"/>
      <c r="E978" s="9"/>
      <c r="F978" s="9"/>
      <c r="G978" s="9"/>
      <c r="H978" s="9"/>
      <c r="I978" s="9"/>
      <c r="J978" s="10"/>
      <c r="K978" s="10"/>
      <c r="L978" s="10"/>
      <c r="M978" s="10"/>
      <c r="N978" s="11"/>
      <c r="O978" s="11"/>
      <c r="P978" s="11"/>
      <c r="Q978" s="11"/>
      <c r="R978" s="10"/>
      <c r="S978" s="10"/>
      <c r="T978" s="10"/>
      <c r="U978" s="10"/>
    </row>
    <row r="979">
      <c r="A979" s="8"/>
      <c r="B979" s="9"/>
      <c r="C979" s="9"/>
      <c r="D979" s="9"/>
      <c r="E979" s="9"/>
      <c r="F979" s="9"/>
      <c r="G979" s="9"/>
      <c r="H979" s="9"/>
      <c r="I979" s="9"/>
      <c r="J979" s="10"/>
      <c r="K979" s="10"/>
      <c r="L979" s="10"/>
      <c r="M979" s="10"/>
      <c r="N979" s="11"/>
      <c r="O979" s="11"/>
      <c r="P979" s="11"/>
      <c r="Q979" s="11"/>
      <c r="R979" s="10"/>
      <c r="S979" s="10"/>
      <c r="T979" s="10"/>
      <c r="U979" s="10"/>
    </row>
    <row r="980">
      <c r="A980" s="8"/>
      <c r="B980" s="9"/>
      <c r="C980" s="9"/>
      <c r="D980" s="9"/>
      <c r="E980" s="9"/>
      <c r="F980" s="9"/>
      <c r="G980" s="9"/>
      <c r="H980" s="9"/>
      <c r="I980" s="9"/>
      <c r="J980" s="10"/>
      <c r="K980" s="10"/>
      <c r="L980" s="10"/>
      <c r="M980" s="10"/>
      <c r="N980" s="11"/>
      <c r="O980" s="11"/>
      <c r="P980" s="11"/>
      <c r="Q980" s="11"/>
      <c r="R980" s="10"/>
      <c r="S980" s="10"/>
      <c r="T980" s="10"/>
      <c r="U980" s="10"/>
    </row>
    <row r="981">
      <c r="A981" s="8"/>
      <c r="B981" s="9"/>
      <c r="C981" s="9"/>
      <c r="D981" s="9"/>
      <c r="E981" s="9"/>
      <c r="F981" s="9"/>
      <c r="G981" s="9"/>
      <c r="H981" s="9"/>
      <c r="I981" s="9"/>
      <c r="J981" s="10"/>
      <c r="K981" s="10"/>
      <c r="L981" s="10"/>
      <c r="M981" s="10"/>
      <c r="N981" s="11"/>
      <c r="O981" s="11"/>
      <c r="P981" s="11"/>
      <c r="Q981" s="11"/>
      <c r="R981" s="10"/>
      <c r="S981" s="10"/>
      <c r="T981" s="10"/>
      <c r="U981" s="10"/>
    </row>
    <row r="982">
      <c r="A982" s="8"/>
      <c r="B982" s="9"/>
      <c r="C982" s="9"/>
      <c r="D982" s="9"/>
      <c r="E982" s="9"/>
      <c r="F982" s="9"/>
      <c r="G982" s="9"/>
      <c r="H982" s="9"/>
      <c r="I982" s="9"/>
      <c r="J982" s="10"/>
      <c r="K982" s="10"/>
      <c r="L982" s="10"/>
      <c r="M982" s="10"/>
      <c r="N982" s="11"/>
      <c r="O982" s="11"/>
      <c r="P982" s="11"/>
      <c r="Q982" s="11"/>
      <c r="R982" s="10"/>
      <c r="S982" s="10"/>
      <c r="T982" s="10"/>
      <c r="U982" s="10"/>
    </row>
    <row r="983">
      <c r="A983" s="8"/>
      <c r="B983" s="9"/>
      <c r="C983" s="9"/>
      <c r="D983" s="9"/>
      <c r="E983" s="9"/>
      <c r="F983" s="9"/>
      <c r="G983" s="9"/>
      <c r="H983" s="9"/>
      <c r="I983" s="9"/>
      <c r="J983" s="10"/>
      <c r="K983" s="10"/>
      <c r="L983" s="10"/>
      <c r="M983" s="10"/>
      <c r="N983" s="11"/>
      <c r="O983" s="11"/>
      <c r="P983" s="11"/>
      <c r="Q983" s="11"/>
      <c r="R983" s="10"/>
      <c r="S983" s="10"/>
      <c r="T983" s="10"/>
      <c r="U983" s="10"/>
    </row>
    <row r="984">
      <c r="A984" s="8"/>
      <c r="B984" s="9"/>
      <c r="C984" s="9"/>
      <c r="D984" s="9"/>
      <c r="E984" s="9"/>
      <c r="F984" s="9"/>
      <c r="G984" s="9"/>
      <c r="H984" s="9"/>
      <c r="I984" s="9"/>
      <c r="J984" s="10"/>
      <c r="K984" s="10"/>
      <c r="L984" s="10"/>
      <c r="M984" s="10"/>
      <c r="N984" s="11"/>
      <c r="O984" s="11"/>
      <c r="P984" s="11"/>
      <c r="Q984" s="11"/>
      <c r="R984" s="10"/>
      <c r="S984" s="10"/>
      <c r="T984" s="10"/>
      <c r="U984" s="10"/>
    </row>
    <row r="985">
      <c r="A985" s="8"/>
      <c r="B985" s="9"/>
      <c r="C985" s="9"/>
      <c r="D985" s="9"/>
      <c r="E985" s="9"/>
      <c r="F985" s="9"/>
      <c r="G985" s="9"/>
      <c r="H985" s="9"/>
      <c r="I985" s="9"/>
      <c r="J985" s="10"/>
      <c r="K985" s="10"/>
      <c r="L985" s="10"/>
      <c r="M985" s="10"/>
      <c r="N985" s="11"/>
      <c r="O985" s="11"/>
      <c r="P985" s="11"/>
      <c r="Q985" s="11"/>
      <c r="R985" s="10"/>
      <c r="S985" s="10"/>
      <c r="T985" s="10"/>
      <c r="U985" s="10"/>
    </row>
    <row r="986">
      <c r="A986" s="8"/>
      <c r="B986" s="9"/>
      <c r="C986" s="9"/>
      <c r="D986" s="9"/>
      <c r="E986" s="9"/>
      <c r="F986" s="9"/>
      <c r="G986" s="9"/>
      <c r="H986" s="9"/>
      <c r="I986" s="9"/>
      <c r="J986" s="10"/>
      <c r="K986" s="10"/>
      <c r="L986" s="10"/>
      <c r="M986" s="10"/>
      <c r="N986" s="11"/>
      <c r="O986" s="11"/>
      <c r="P986" s="11"/>
      <c r="Q986" s="11"/>
      <c r="R986" s="10"/>
      <c r="S986" s="10"/>
      <c r="T986" s="10"/>
      <c r="U986" s="10"/>
    </row>
    <row r="987">
      <c r="A987" s="8"/>
      <c r="B987" s="9"/>
      <c r="C987" s="9"/>
      <c r="D987" s="9"/>
      <c r="E987" s="9"/>
      <c r="F987" s="9"/>
      <c r="G987" s="9"/>
      <c r="H987" s="9"/>
      <c r="I987" s="9"/>
      <c r="J987" s="10"/>
      <c r="K987" s="10"/>
      <c r="L987" s="10"/>
      <c r="M987" s="10"/>
      <c r="N987" s="11"/>
      <c r="O987" s="11"/>
      <c r="P987" s="11"/>
      <c r="Q987" s="11"/>
      <c r="R987" s="10"/>
      <c r="S987" s="10"/>
      <c r="T987" s="10"/>
      <c r="U987" s="10"/>
    </row>
    <row r="988">
      <c r="A988" s="8"/>
      <c r="B988" s="9"/>
      <c r="C988" s="9"/>
      <c r="D988" s="9"/>
      <c r="E988" s="9"/>
      <c r="F988" s="9"/>
      <c r="G988" s="9"/>
      <c r="H988" s="9"/>
      <c r="I988" s="9"/>
      <c r="J988" s="10"/>
      <c r="K988" s="10"/>
      <c r="L988" s="10"/>
      <c r="M988" s="10"/>
      <c r="N988" s="11"/>
      <c r="O988" s="11"/>
      <c r="P988" s="11"/>
      <c r="Q988" s="11"/>
      <c r="R988" s="10"/>
      <c r="S988" s="10"/>
      <c r="T988" s="10"/>
      <c r="U988" s="10"/>
    </row>
    <row r="989">
      <c r="A989" s="8"/>
      <c r="B989" s="9"/>
      <c r="C989" s="9"/>
      <c r="D989" s="9"/>
      <c r="E989" s="9"/>
      <c r="F989" s="9"/>
      <c r="G989" s="9"/>
      <c r="H989" s="9"/>
      <c r="I989" s="9"/>
      <c r="J989" s="10"/>
      <c r="K989" s="10"/>
      <c r="L989" s="10"/>
      <c r="M989" s="10"/>
      <c r="N989" s="11"/>
      <c r="O989" s="11"/>
      <c r="P989" s="11"/>
      <c r="Q989" s="11"/>
      <c r="R989" s="10"/>
      <c r="S989" s="10"/>
      <c r="T989" s="10"/>
      <c r="U989" s="10"/>
    </row>
    <row r="990">
      <c r="A990" s="8"/>
      <c r="B990" s="9"/>
      <c r="C990" s="9"/>
      <c r="D990" s="9"/>
      <c r="E990" s="9"/>
      <c r="F990" s="9"/>
      <c r="G990" s="9"/>
      <c r="H990" s="9"/>
      <c r="I990" s="9"/>
      <c r="J990" s="10"/>
      <c r="K990" s="10"/>
      <c r="L990" s="10"/>
      <c r="M990" s="10"/>
      <c r="N990" s="11"/>
      <c r="O990" s="11"/>
      <c r="P990" s="11"/>
      <c r="Q990" s="11"/>
      <c r="R990" s="10"/>
      <c r="S990" s="10"/>
      <c r="T990" s="10"/>
      <c r="U990" s="10"/>
    </row>
    <row r="991">
      <c r="A991" s="8"/>
      <c r="B991" s="9"/>
      <c r="C991" s="9"/>
      <c r="D991" s="9"/>
      <c r="E991" s="9"/>
      <c r="F991" s="9"/>
      <c r="G991" s="9"/>
      <c r="H991" s="9"/>
      <c r="I991" s="9"/>
      <c r="J991" s="10"/>
      <c r="K991" s="10"/>
      <c r="L991" s="10"/>
      <c r="M991" s="10"/>
      <c r="N991" s="11"/>
      <c r="O991" s="11"/>
      <c r="P991" s="11"/>
      <c r="Q991" s="11"/>
      <c r="R991" s="10"/>
      <c r="S991" s="10"/>
      <c r="T991" s="10"/>
      <c r="U991" s="10"/>
    </row>
    <row r="992">
      <c r="A992" s="8"/>
      <c r="B992" s="9"/>
      <c r="C992" s="9"/>
      <c r="D992" s="9"/>
      <c r="E992" s="9"/>
      <c r="F992" s="9"/>
      <c r="G992" s="9"/>
      <c r="H992" s="9"/>
      <c r="I992" s="9"/>
      <c r="J992" s="10"/>
      <c r="K992" s="10"/>
      <c r="L992" s="10"/>
      <c r="M992" s="10"/>
      <c r="N992" s="11"/>
      <c r="O992" s="11"/>
      <c r="P992" s="11"/>
      <c r="Q992" s="11"/>
      <c r="R992" s="10"/>
      <c r="S992" s="10"/>
      <c r="T992" s="10"/>
      <c r="U992" s="10"/>
    </row>
    <row r="993">
      <c r="A993" s="8"/>
      <c r="B993" s="9"/>
      <c r="C993" s="9"/>
      <c r="D993" s="9"/>
      <c r="E993" s="9"/>
      <c r="F993" s="9"/>
      <c r="G993" s="9"/>
      <c r="H993" s="9"/>
      <c r="I993" s="9"/>
      <c r="J993" s="10"/>
      <c r="K993" s="10"/>
      <c r="L993" s="10"/>
      <c r="M993" s="10"/>
      <c r="N993" s="11"/>
      <c r="O993" s="11"/>
      <c r="P993" s="11"/>
      <c r="Q993" s="11"/>
      <c r="R993" s="10"/>
      <c r="S993" s="10"/>
      <c r="T993" s="10"/>
      <c r="U993" s="10"/>
    </row>
    <row r="994">
      <c r="A994" s="8"/>
      <c r="B994" s="9"/>
      <c r="C994" s="9"/>
      <c r="D994" s="9"/>
      <c r="E994" s="9"/>
      <c r="F994" s="9"/>
      <c r="G994" s="9"/>
      <c r="H994" s="9"/>
      <c r="I994" s="9"/>
      <c r="J994" s="10"/>
      <c r="K994" s="10"/>
      <c r="L994" s="10"/>
      <c r="M994" s="10"/>
      <c r="N994" s="11"/>
      <c r="O994" s="11"/>
      <c r="P994" s="11"/>
      <c r="Q994" s="11"/>
      <c r="R994" s="10"/>
      <c r="S994" s="10"/>
      <c r="T994" s="10"/>
      <c r="U994" s="10"/>
    </row>
    <row r="995">
      <c r="A995" s="8"/>
      <c r="B995" s="9"/>
      <c r="C995" s="9"/>
      <c r="D995" s="9"/>
      <c r="E995" s="9"/>
      <c r="F995" s="9"/>
      <c r="G995" s="9"/>
      <c r="H995" s="9"/>
      <c r="I995" s="9"/>
      <c r="J995" s="10"/>
      <c r="K995" s="10"/>
      <c r="L995" s="10"/>
      <c r="M995" s="10"/>
      <c r="N995" s="11"/>
      <c r="O995" s="11"/>
      <c r="P995" s="11"/>
      <c r="Q995" s="11"/>
      <c r="R995" s="10"/>
      <c r="S995" s="10"/>
      <c r="T995" s="10"/>
      <c r="U995" s="10"/>
    </row>
    <row r="996">
      <c r="A996" s="8"/>
      <c r="B996" s="9"/>
      <c r="C996" s="9"/>
      <c r="D996" s="9"/>
      <c r="E996" s="9"/>
      <c r="F996" s="9"/>
      <c r="G996" s="9"/>
      <c r="H996" s="9"/>
      <c r="I996" s="9"/>
      <c r="J996" s="10"/>
      <c r="K996" s="10"/>
      <c r="L996" s="10"/>
      <c r="M996" s="10"/>
      <c r="N996" s="11"/>
      <c r="O996" s="11"/>
      <c r="P996" s="11"/>
      <c r="Q996" s="11"/>
      <c r="R996" s="10"/>
      <c r="S996" s="10"/>
      <c r="T996" s="10"/>
      <c r="U996" s="10"/>
    </row>
    <row r="997">
      <c r="A997" s="8"/>
      <c r="B997" s="9"/>
      <c r="C997" s="9"/>
      <c r="D997" s="9"/>
      <c r="E997" s="9"/>
      <c r="F997" s="9"/>
      <c r="G997" s="9"/>
      <c r="H997" s="9"/>
      <c r="I997" s="9"/>
      <c r="J997" s="10"/>
      <c r="K997" s="10"/>
      <c r="L997" s="10"/>
      <c r="M997" s="10"/>
      <c r="N997" s="11"/>
      <c r="O997" s="11"/>
      <c r="P997" s="11"/>
      <c r="Q997" s="11"/>
      <c r="R997" s="10"/>
      <c r="S997" s="10"/>
      <c r="T997" s="10"/>
      <c r="U997" s="10"/>
    </row>
    <row r="998">
      <c r="A998" s="8"/>
      <c r="B998" s="9"/>
      <c r="C998" s="9"/>
      <c r="D998" s="9"/>
      <c r="E998" s="9"/>
      <c r="F998" s="9"/>
      <c r="G998" s="9"/>
      <c r="H998" s="9"/>
      <c r="I998" s="9"/>
      <c r="J998" s="10"/>
      <c r="K998" s="10"/>
      <c r="L998" s="10"/>
      <c r="M998" s="10"/>
      <c r="N998" s="11"/>
      <c r="O998" s="11"/>
      <c r="P998" s="11"/>
      <c r="Q998" s="11"/>
      <c r="R998" s="10"/>
      <c r="S998" s="10"/>
      <c r="T998" s="10"/>
      <c r="U998" s="10"/>
    </row>
    <row r="999">
      <c r="A999" s="8"/>
      <c r="B999" s="9"/>
      <c r="C999" s="9"/>
      <c r="D999" s="9"/>
      <c r="E999" s="9"/>
      <c r="F999" s="9"/>
      <c r="G999" s="9"/>
      <c r="H999" s="9"/>
      <c r="I999" s="9"/>
      <c r="J999" s="10"/>
      <c r="K999" s="10"/>
      <c r="L999" s="10"/>
      <c r="M999" s="10"/>
      <c r="N999" s="11"/>
      <c r="O999" s="11"/>
      <c r="P999" s="11"/>
      <c r="Q999" s="11"/>
      <c r="R999" s="10"/>
      <c r="S999" s="10"/>
      <c r="T999" s="10"/>
      <c r="U999" s="10"/>
    </row>
    <row r="1000">
      <c r="A1000" s="8"/>
      <c r="B1000" s="9"/>
      <c r="C1000" s="9"/>
      <c r="D1000" s="9"/>
      <c r="E1000" s="9"/>
      <c r="F1000" s="9"/>
      <c r="G1000" s="9"/>
      <c r="H1000" s="9"/>
      <c r="I1000" s="9"/>
      <c r="J1000" s="10"/>
      <c r="K1000" s="10"/>
      <c r="L1000" s="10"/>
      <c r="M1000" s="10"/>
      <c r="N1000" s="11"/>
      <c r="O1000" s="11"/>
      <c r="P1000" s="11"/>
      <c r="Q1000" s="11"/>
      <c r="R1000" s="10"/>
      <c r="S1000" s="10"/>
      <c r="T1000" s="10"/>
      <c r="U1000" s="10"/>
    </row>
    <row r="1001">
      <c r="A1001" s="8"/>
      <c r="B1001" s="9"/>
      <c r="C1001" s="9"/>
      <c r="D1001" s="9"/>
      <c r="E1001" s="9"/>
      <c r="F1001" s="9"/>
      <c r="G1001" s="9"/>
      <c r="H1001" s="9"/>
      <c r="I1001" s="9"/>
      <c r="J1001" s="10"/>
      <c r="K1001" s="10"/>
      <c r="L1001" s="10"/>
      <c r="M1001" s="10"/>
      <c r="N1001" s="11"/>
      <c r="O1001" s="11"/>
      <c r="P1001" s="11"/>
      <c r="Q1001" s="11"/>
      <c r="R1001" s="10"/>
      <c r="S1001" s="10"/>
      <c r="T1001" s="10"/>
      <c r="U1001" s="10"/>
    </row>
    <row r="1002">
      <c r="A1002" s="8"/>
      <c r="B1002" s="9"/>
      <c r="C1002" s="9"/>
      <c r="D1002" s="9"/>
      <c r="E1002" s="9"/>
      <c r="F1002" s="9"/>
      <c r="G1002" s="9"/>
      <c r="H1002" s="9"/>
      <c r="I1002" s="9"/>
      <c r="J1002" s="10"/>
      <c r="K1002" s="10"/>
      <c r="L1002" s="10"/>
      <c r="M1002" s="10"/>
      <c r="N1002" s="11"/>
      <c r="O1002" s="11"/>
      <c r="P1002" s="11"/>
      <c r="Q1002" s="11"/>
      <c r="R1002" s="10"/>
      <c r="S1002" s="10"/>
      <c r="T1002" s="10"/>
      <c r="U1002" s="10"/>
    </row>
    <row r="1003">
      <c r="A1003" s="8"/>
      <c r="B1003" s="9"/>
      <c r="C1003" s="9"/>
      <c r="D1003" s="9"/>
      <c r="E1003" s="9"/>
      <c r="F1003" s="9"/>
      <c r="G1003" s="9"/>
      <c r="H1003" s="9"/>
      <c r="I1003" s="9"/>
      <c r="J1003" s="10"/>
      <c r="K1003" s="10"/>
      <c r="L1003" s="10"/>
      <c r="M1003" s="10"/>
      <c r="N1003" s="11"/>
      <c r="O1003" s="11"/>
      <c r="P1003" s="11"/>
      <c r="Q1003" s="11"/>
      <c r="R1003" s="10"/>
      <c r="S1003" s="10"/>
      <c r="T1003" s="10"/>
      <c r="U1003" s="10"/>
    </row>
    <row r="1004">
      <c r="A1004" s="8"/>
      <c r="B1004" s="9"/>
      <c r="C1004" s="9"/>
      <c r="D1004" s="9"/>
      <c r="E1004" s="9"/>
      <c r="F1004" s="9"/>
      <c r="G1004" s="9"/>
      <c r="H1004" s="9"/>
      <c r="I1004" s="9"/>
      <c r="J1004" s="10"/>
      <c r="K1004" s="10"/>
      <c r="L1004" s="10"/>
      <c r="M1004" s="10"/>
      <c r="N1004" s="11"/>
      <c r="O1004" s="11"/>
      <c r="P1004" s="11"/>
      <c r="Q1004" s="11"/>
      <c r="R1004" s="10"/>
      <c r="S1004" s="10"/>
      <c r="T1004" s="10"/>
      <c r="U1004" s="10"/>
    </row>
    <row r="1005">
      <c r="A1005" s="8"/>
      <c r="B1005" s="9"/>
      <c r="C1005" s="9"/>
      <c r="D1005" s="9"/>
      <c r="E1005" s="9"/>
      <c r="F1005" s="9"/>
      <c r="G1005" s="9"/>
      <c r="H1005" s="9"/>
      <c r="I1005" s="9"/>
      <c r="J1005" s="10"/>
      <c r="K1005" s="10"/>
      <c r="L1005" s="10"/>
      <c r="M1005" s="10"/>
      <c r="N1005" s="11"/>
      <c r="O1005" s="11"/>
      <c r="P1005" s="11"/>
      <c r="Q1005" s="11"/>
      <c r="R1005" s="10"/>
      <c r="S1005" s="10"/>
      <c r="T1005" s="10"/>
      <c r="U1005" s="10"/>
    </row>
    <row r="1006">
      <c r="A1006" s="8"/>
      <c r="B1006" s="9"/>
      <c r="C1006" s="9"/>
      <c r="D1006" s="9"/>
      <c r="E1006" s="9"/>
      <c r="F1006" s="9"/>
      <c r="G1006" s="9"/>
      <c r="H1006" s="9"/>
      <c r="I1006" s="9"/>
      <c r="J1006" s="10"/>
      <c r="K1006" s="10"/>
      <c r="L1006" s="10"/>
      <c r="M1006" s="10"/>
      <c r="N1006" s="11"/>
      <c r="O1006" s="11"/>
      <c r="P1006" s="11"/>
      <c r="Q1006" s="11"/>
      <c r="R1006" s="10"/>
      <c r="S1006" s="10"/>
      <c r="T1006" s="10"/>
      <c r="U1006" s="10"/>
    </row>
    <row r="1007">
      <c r="A1007" s="8"/>
      <c r="B1007" s="9"/>
      <c r="C1007" s="9"/>
      <c r="D1007" s="9"/>
      <c r="E1007" s="9"/>
      <c r="F1007" s="9"/>
      <c r="G1007" s="9"/>
      <c r="H1007" s="9"/>
      <c r="I1007" s="9"/>
      <c r="J1007" s="10"/>
      <c r="K1007" s="10"/>
      <c r="L1007" s="10"/>
      <c r="M1007" s="10"/>
      <c r="N1007" s="11"/>
      <c r="O1007" s="11"/>
      <c r="P1007" s="11"/>
      <c r="Q1007" s="11"/>
      <c r="R1007" s="10"/>
      <c r="S1007" s="10"/>
      <c r="T1007" s="10"/>
      <c r="U1007" s="10"/>
    </row>
    <row r="1008">
      <c r="A1008" s="8"/>
      <c r="B1008" s="9"/>
      <c r="C1008" s="9"/>
      <c r="D1008" s="9"/>
      <c r="E1008" s="9"/>
      <c r="F1008" s="9"/>
      <c r="G1008" s="9"/>
      <c r="H1008" s="9"/>
      <c r="I1008" s="9"/>
      <c r="J1008" s="10"/>
      <c r="K1008" s="10"/>
      <c r="L1008" s="10"/>
      <c r="M1008" s="10"/>
      <c r="N1008" s="11"/>
      <c r="O1008" s="11"/>
      <c r="P1008" s="11"/>
      <c r="Q1008" s="11"/>
      <c r="R1008" s="10"/>
      <c r="S1008" s="10"/>
      <c r="T1008" s="10"/>
      <c r="U1008" s="10"/>
    </row>
    <row r="1009">
      <c r="A1009" s="8"/>
      <c r="B1009" s="9"/>
      <c r="C1009" s="9"/>
      <c r="D1009" s="9"/>
      <c r="E1009" s="9"/>
      <c r="F1009" s="9"/>
      <c r="G1009" s="9"/>
      <c r="H1009" s="9"/>
      <c r="I1009" s="9"/>
      <c r="J1009" s="10"/>
      <c r="K1009" s="10"/>
      <c r="L1009" s="10"/>
      <c r="M1009" s="10"/>
      <c r="N1009" s="11"/>
      <c r="O1009" s="11"/>
      <c r="P1009" s="11"/>
      <c r="Q1009" s="11"/>
      <c r="R1009" s="10"/>
      <c r="S1009" s="10"/>
      <c r="T1009" s="10"/>
      <c r="U1009" s="10"/>
    </row>
    <row r="1010">
      <c r="A1010" s="8"/>
      <c r="B1010" s="9"/>
      <c r="C1010" s="9"/>
      <c r="D1010" s="9"/>
      <c r="E1010" s="9"/>
      <c r="F1010" s="9"/>
      <c r="G1010" s="9"/>
      <c r="H1010" s="9"/>
      <c r="I1010" s="9"/>
      <c r="J1010" s="10"/>
      <c r="K1010" s="10"/>
      <c r="L1010" s="10"/>
      <c r="M1010" s="10"/>
      <c r="N1010" s="11"/>
      <c r="O1010" s="11"/>
      <c r="P1010" s="11"/>
      <c r="Q1010" s="11"/>
      <c r="R1010" s="10"/>
      <c r="S1010" s="10"/>
      <c r="T1010" s="10"/>
      <c r="U1010" s="10"/>
    </row>
    <row r="1011">
      <c r="A1011" s="8"/>
      <c r="B1011" s="9"/>
      <c r="C1011" s="9"/>
      <c r="D1011" s="9"/>
      <c r="E1011" s="9"/>
      <c r="F1011" s="9"/>
      <c r="G1011" s="9"/>
      <c r="H1011" s="9"/>
      <c r="I1011" s="9"/>
      <c r="J1011" s="10"/>
      <c r="K1011" s="10"/>
      <c r="L1011" s="10"/>
      <c r="M1011" s="10"/>
      <c r="N1011" s="11"/>
      <c r="O1011" s="11"/>
      <c r="P1011" s="11"/>
      <c r="Q1011" s="11"/>
      <c r="R1011" s="10"/>
      <c r="S1011" s="10"/>
      <c r="T1011" s="10"/>
      <c r="U1011" s="10"/>
    </row>
    <row r="1012">
      <c r="A1012" s="8"/>
      <c r="B1012" s="9"/>
      <c r="C1012" s="9"/>
      <c r="D1012" s="9"/>
      <c r="E1012" s="9"/>
      <c r="F1012" s="9"/>
      <c r="G1012" s="9"/>
      <c r="H1012" s="9"/>
      <c r="I1012" s="9"/>
      <c r="J1012" s="10"/>
      <c r="K1012" s="10"/>
      <c r="L1012" s="10"/>
      <c r="M1012" s="10"/>
      <c r="N1012" s="11"/>
      <c r="O1012" s="11"/>
      <c r="P1012" s="11"/>
      <c r="Q1012" s="11"/>
      <c r="R1012" s="10"/>
      <c r="S1012" s="10"/>
      <c r="T1012" s="10"/>
      <c r="U1012" s="10"/>
    </row>
    <row r="1013">
      <c r="A1013" s="8"/>
      <c r="B1013" s="9"/>
      <c r="C1013" s="9"/>
      <c r="D1013" s="9"/>
      <c r="E1013" s="9"/>
      <c r="F1013" s="9"/>
      <c r="G1013" s="9"/>
      <c r="H1013" s="9"/>
      <c r="I1013" s="9"/>
      <c r="J1013" s="10"/>
      <c r="K1013" s="10"/>
      <c r="L1013" s="10"/>
      <c r="M1013" s="10"/>
      <c r="N1013" s="11"/>
      <c r="O1013" s="11"/>
      <c r="P1013" s="11"/>
      <c r="Q1013" s="11"/>
      <c r="R1013" s="10"/>
      <c r="S1013" s="10"/>
      <c r="T1013" s="10"/>
      <c r="U1013" s="10"/>
    </row>
    <row r="1014">
      <c r="A1014" s="8"/>
      <c r="B1014" s="9"/>
      <c r="C1014" s="9"/>
      <c r="D1014" s="9"/>
      <c r="E1014" s="9"/>
      <c r="F1014" s="9"/>
      <c r="G1014" s="9"/>
      <c r="H1014" s="9"/>
      <c r="I1014" s="9"/>
      <c r="J1014" s="10"/>
      <c r="K1014" s="10"/>
      <c r="L1014" s="10"/>
      <c r="M1014" s="10"/>
      <c r="N1014" s="11"/>
      <c r="O1014" s="11"/>
      <c r="P1014" s="11"/>
      <c r="Q1014" s="11"/>
      <c r="R1014" s="10"/>
      <c r="S1014" s="10"/>
      <c r="T1014" s="10"/>
      <c r="U1014" s="10"/>
    </row>
    <row r="1015">
      <c r="A1015" s="8"/>
      <c r="B1015" s="9"/>
      <c r="C1015" s="9"/>
      <c r="D1015" s="9"/>
      <c r="E1015" s="9"/>
      <c r="F1015" s="9"/>
      <c r="G1015" s="9"/>
      <c r="H1015" s="9"/>
      <c r="I1015" s="9"/>
      <c r="J1015" s="10"/>
      <c r="K1015" s="10"/>
      <c r="L1015" s="10"/>
      <c r="M1015" s="10"/>
      <c r="N1015" s="11"/>
      <c r="O1015" s="11"/>
      <c r="P1015" s="11"/>
      <c r="Q1015" s="11"/>
      <c r="R1015" s="10"/>
      <c r="S1015" s="10"/>
      <c r="T1015" s="10"/>
      <c r="U1015" s="10"/>
    </row>
    <row r="1016">
      <c r="A1016" s="8"/>
      <c r="B1016" s="9"/>
      <c r="C1016" s="9"/>
      <c r="D1016" s="9"/>
      <c r="E1016" s="9"/>
      <c r="F1016" s="9"/>
      <c r="G1016" s="9"/>
      <c r="H1016" s="9"/>
      <c r="I1016" s="9"/>
      <c r="J1016" s="10"/>
      <c r="K1016" s="10"/>
      <c r="L1016" s="10"/>
      <c r="M1016" s="10"/>
      <c r="N1016" s="11"/>
      <c r="O1016" s="11"/>
      <c r="P1016" s="11"/>
      <c r="Q1016" s="11"/>
      <c r="R1016" s="10"/>
      <c r="S1016" s="10"/>
      <c r="T1016" s="10"/>
      <c r="U1016" s="10"/>
    </row>
    <row r="1017">
      <c r="A1017" s="8"/>
      <c r="B1017" s="9"/>
      <c r="C1017" s="9"/>
      <c r="D1017" s="9"/>
      <c r="E1017" s="9"/>
      <c r="F1017" s="9"/>
      <c r="G1017" s="9"/>
      <c r="H1017" s="9"/>
      <c r="I1017" s="9"/>
      <c r="J1017" s="10"/>
      <c r="K1017" s="10"/>
      <c r="L1017" s="10"/>
      <c r="M1017" s="10"/>
      <c r="N1017" s="11"/>
      <c r="O1017" s="11"/>
      <c r="P1017" s="11"/>
      <c r="Q1017" s="11"/>
      <c r="R1017" s="10"/>
      <c r="S1017" s="10"/>
      <c r="T1017" s="10"/>
      <c r="U1017" s="10"/>
    </row>
    <row r="1018">
      <c r="A1018" s="8"/>
      <c r="B1018" s="9"/>
      <c r="C1018" s="9"/>
      <c r="D1018" s="9"/>
      <c r="E1018" s="9"/>
      <c r="F1018" s="9"/>
      <c r="G1018" s="9"/>
      <c r="H1018" s="9"/>
      <c r="I1018" s="9"/>
      <c r="J1018" s="10"/>
      <c r="K1018" s="10"/>
      <c r="L1018" s="10"/>
      <c r="M1018" s="10"/>
      <c r="N1018" s="11"/>
      <c r="O1018" s="11"/>
      <c r="P1018" s="11"/>
      <c r="Q1018" s="11"/>
      <c r="R1018" s="10"/>
      <c r="S1018" s="10"/>
      <c r="T1018" s="10"/>
      <c r="U1018" s="10"/>
    </row>
    <row r="1019">
      <c r="A1019" s="8"/>
      <c r="B1019" s="9"/>
      <c r="C1019" s="9"/>
      <c r="D1019" s="9"/>
      <c r="E1019" s="9"/>
      <c r="F1019" s="9"/>
      <c r="G1019" s="9"/>
      <c r="H1019" s="9"/>
      <c r="I1019" s="9"/>
      <c r="J1019" s="10"/>
      <c r="K1019" s="10"/>
      <c r="L1019" s="10"/>
      <c r="M1019" s="10"/>
      <c r="N1019" s="11"/>
      <c r="O1019" s="11"/>
      <c r="P1019" s="11"/>
      <c r="Q1019" s="11"/>
      <c r="R1019" s="10"/>
      <c r="S1019" s="10"/>
      <c r="T1019" s="10"/>
      <c r="U1019" s="10"/>
    </row>
    <row r="1020">
      <c r="A1020" s="8"/>
      <c r="B1020" s="9"/>
      <c r="C1020" s="9"/>
      <c r="D1020" s="9"/>
      <c r="E1020" s="9"/>
      <c r="F1020" s="9"/>
      <c r="G1020" s="9"/>
      <c r="H1020" s="9"/>
      <c r="I1020" s="9"/>
      <c r="J1020" s="10"/>
      <c r="K1020" s="10"/>
      <c r="L1020" s="10"/>
      <c r="M1020" s="10"/>
      <c r="N1020" s="11"/>
      <c r="O1020" s="11"/>
      <c r="P1020" s="11"/>
      <c r="Q1020" s="11"/>
      <c r="R1020" s="10"/>
      <c r="S1020" s="10"/>
      <c r="T1020" s="10"/>
      <c r="U1020" s="10"/>
    </row>
    <row r="1021">
      <c r="A1021" s="8"/>
      <c r="B1021" s="9"/>
      <c r="C1021" s="9"/>
      <c r="D1021" s="9"/>
      <c r="E1021" s="9"/>
      <c r="F1021" s="9"/>
      <c r="G1021" s="9"/>
      <c r="H1021" s="9"/>
      <c r="I1021" s="9"/>
      <c r="J1021" s="10"/>
      <c r="K1021" s="10"/>
      <c r="L1021" s="10"/>
      <c r="M1021" s="10"/>
      <c r="N1021" s="11"/>
      <c r="O1021" s="11"/>
      <c r="P1021" s="11"/>
      <c r="Q1021" s="11"/>
      <c r="R1021" s="10"/>
      <c r="S1021" s="10"/>
      <c r="T1021" s="10"/>
      <c r="U1021" s="10"/>
    </row>
    <row r="1022">
      <c r="A1022" s="8"/>
      <c r="B1022" s="9"/>
      <c r="C1022" s="9"/>
      <c r="D1022" s="9"/>
      <c r="E1022" s="9"/>
      <c r="F1022" s="9"/>
      <c r="G1022" s="9"/>
      <c r="H1022" s="9"/>
      <c r="I1022" s="9"/>
      <c r="J1022" s="10"/>
      <c r="K1022" s="10"/>
      <c r="L1022" s="10"/>
      <c r="M1022" s="10"/>
      <c r="N1022" s="11"/>
      <c r="O1022" s="11"/>
      <c r="P1022" s="11"/>
      <c r="Q1022" s="11"/>
      <c r="R1022" s="10"/>
      <c r="S1022" s="10"/>
      <c r="T1022" s="10"/>
      <c r="U1022" s="10"/>
    </row>
    <row r="1023">
      <c r="A1023" s="8"/>
      <c r="B1023" s="9"/>
      <c r="C1023" s="9"/>
      <c r="D1023" s="9"/>
      <c r="E1023" s="9"/>
      <c r="F1023" s="9"/>
      <c r="G1023" s="9"/>
      <c r="H1023" s="9"/>
      <c r="I1023" s="9"/>
      <c r="J1023" s="10"/>
      <c r="K1023" s="10"/>
      <c r="L1023" s="10"/>
      <c r="M1023" s="10"/>
      <c r="N1023" s="11"/>
      <c r="O1023" s="11"/>
      <c r="P1023" s="11"/>
      <c r="Q1023" s="11"/>
      <c r="R1023" s="10"/>
      <c r="S1023" s="10"/>
      <c r="T1023" s="10"/>
      <c r="U1023" s="10"/>
    </row>
    <row r="1024">
      <c r="A1024" s="8"/>
      <c r="B1024" s="9"/>
      <c r="C1024" s="9"/>
      <c r="D1024" s="9"/>
      <c r="E1024" s="9"/>
      <c r="F1024" s="9"/>
      <c r="G1024" s="9"/>
      <c r="H1024" s="9"/>
      <c r="I1024" s="9"/>
      <c r="J1024" s="10"/>
      <c r="K1024" s="10"/>
      <c r="L1024" s="10"/>
      <c r="M1024" s="10"/>
      <c r="N1024" s="11"/>
      <c r="O1024" s="11"/>
      <c r="P1024" s="11"/>
      <c r="Q1024" s="11"/>
      <c r="R1024" s="10"/>
      <c r="S1024" s="10"/>
      <c r="T1024" s="10"/>
      <c r="U1024" s="10"/>
    </row>
    <row r="1025">
      <c r="A1025" s="8"/>
      <c r="B1025" s="9"/>
      <c r="C1025" s="9"/>
      <c r="D1025" s="9"/>
      <c r="E1025" s="9"/>
      <c r="F1025" s="9"/>
      <c r="G1025" s="9"/>
      <c r="H1025" s="9"/>
      <c r="I1025" s="9"/>
      <c r="J1025" s="10"/>
      <c r="K1025" s="10"/>
      <c r="L1025" s="10"/>
      <c r="M1025" s="10"/>
      <c r="N1025" s="11"/>
      <c r="O1025" s="11"/>
      <c r="P1025" s="11"/>
      <c r="Q1025" s="11"/>
      <c r="R1025" s="10"/>
      <c r="S1025" s="10"/>
      <c r="T1025" s="10"/>
      <c r="U1025" s="10"/>
    </row>
    <row r="1026">
      <c r="A1026" s="8"/>
      <c r="B1026" s="9"/>
      <c r="C1026" s="9"/>
      <c r="D1026" s="9"/>
      <c r="E1026" s="9"/>
      <c r="F1026" s="9"/>
      <c r="G1026" s="9"/>
      <c r="H1026" s="9"/>
      <c r="I1026" s="9"/>
      <c r="J1026" s="10"/>
      <c r="K1026" s="10"/>
      <c r="L1026" s="10"/>
      <c r="M1026" s="10"/>
      <c r="N1026" s="11"/>
      <c r="O1026" s="11"/>
      <c r="P1026" s="11"/>
      <c r="Q1026" s="11"/>
      <c r="R1026" s="10"/>
      <c r="S1026" s="10"/>
      <c r="T1026" s="10"/>
      <c r="U1026" s="10"/>
    </row>
    <row r="1027">
      <c r="A1027" s="8"/>
      <c r="B1027" s="9"/>
      <c r="C1027" s="9"/>
      <c r="D1027" s="9"/>
      <c r="E1027" s="9"/>
      <c r="F1027" s="9"/>
      <c r="G1027" s="9"/>
      <c r="H1027" s="9"/>
      <c r="I1027" s="9"/>
      <c r="J1027" s="10"/>
      <c r="K1027" s="10"/>
      <c r="L1027" s="10"/>
      <c r="M1027" s="10"/>
      <c r="N1027" s="11"/>
      <c r="O1027" s="11"/>
      <c r="P1027" s="11"/>
      <c r="Q1027" s="11"/>
      <c r="R1027" s="10"/>
      <c r="S1027" s="10"/>
      <c r="T1027" s="10"/>
      <c r="U1027" s="10"/>
    </row>
    <row r="1028">
      <c r="A1028" s="8"/>
      <c r="B1028" s="9"/>
      <c r="C1028" s="9"/>
      <c r="D1028" s="9"/>
      <c r="E1028" s="9"/>
      <c r="F1028" s="9"/>
      <c r="G1028" s="9"/>
      <c r="H1028" s="9"/>
      <c r="I1028" s="9"/>
      <c r="J1028" s="10"/>
      <c r="K1028" s="10"/>
      <c r="L1028" s="10"/>
      <c r="M1028" s="10"/>
      <c r="N1028" s="11"/>
      <c r="O1028" s="11"/>
      <c r="P1028" s="11"/>
      <c r="Q1028" s="11"/>
      <c r="R1028" s="10"/>
      <c r="S1028" s="10"/>
      <c r="T1028" s="10"/>
      <c r="U1028" s="10"/>
    </row>
    <row r="1029">
      <c r="A1029" s="8"/>
      <c r="B1029" s="9"/>
      <c r="C1029" s="9"/>
      <c r="D1029" s="9"/>
      <c r="E1029" s="9"/>
      <c r="F1029" s="9"/>
      <c r="G1029" s="9"/>
      <c r="H1029" s="9"/>
      <c r="I1029" s="9"/>
      <c r="J1029" s="10"/>
      <c r="K1029" s="10"/>
      <c r="L1029" s="10"/>
      <c r="M1029" s="10"/>
      <c r="N1029" s="11"/>
      <c r="O1029" s="11"/>
      <c r="P1029" s="11"/>
      <c r="Q1029" s="11"/>
      <c r="R1029" s="10"/>
      <c r="S1029" s="10"/>
      <c r="T1029" s="10"/>
      <c r="U1029" s="10"/>
    </row>
    <row r="1030">
      <c r="A1030" s="8"/>
      <c r="B1030" s="9"/>
      <c r="C1030" s="9"/>
      <c r="D1030" s="9"/>
      <c r="E1030" s="9"/>
      <c r="F1030" s="9"/>
      <c r="G1030" s="9"/>
      <c r="H1030" s="9"/>
      <c r="I1030" s="9"/>
      <c r="J1030" s="10"/>
      <c r="K1030" s="10"/>
      <c r="L1030" s="10"/>
      <c r="M1030" s="10"/>
      <c r="N1030" s="11"/>
      <c r="O1030" s="11"/>
      <c r="P1030" s="11"/>
      <c r="Q1030" s="11"/>
      <c r="R1030" s="10"/>
      <c r="S1030" s="10"/>
      <c r="T1030" s="10"/>
      <c r="U1030" s="10"/>
    </row>
    <row r="1031">
      <c r="A1031" s="8"/>
      <c r="B1031" s="9"/>
      <c r="C1031" s="9"/>
      <c r="D1031" s="9"/>
      <c r="E1031" s="9"/>
      <c r="F1031" s="9"/>
      <c r="G1031" s="9"/>
      <c r="H1031" s="9"/>
      <c r="I1031" s="9"/>
      <c r="J1031" s="10"/>
      <c r="K1031" s="10"/>
      <c r="L1031" s="10"/>
      <c r="M1031" s="10"/>
      <c r="N1031" s="11"/>
      <c r="O1031" s="11"/>
      <c r="P1031" s="11"/>
      <c r="Q1031" s="11"/>
      <c r="R1031" s="10"/>
      <c r="S1031" s="10"/>
      <c r="T1031" s="10"/>
      <c r="U1031" s="10"/>
    </row>
    <row r="1032">
      <c r="A1032" s="8"/>
      <c r="B1032" s="9"/>
      <c r="C1032" s="9"/>
      <c r="D1032" s="9"/>
      <c r="E1032" s="9"/>
      <c r="F1032" s="9"/>
      <c r="G1032" s="9"/>
      <c r="H1032" s="9"/>
      <c r="I1032" s="9"/>
      <c r="J1032" s="10"/>
      <c r="K1032" s="10"/>
      <c r="L1032" s="10"/>
      <c r="M1032" s="10"/>
      <c r="N1032" s="11"/>
      <c r="O1032" s="11"/>
      <c r="P1032" s="11"/>
      <c r="Q1032" s="11"/>
      <c r="R1032" s="10"/>
      <c r="S1032" s="10"/>
      <c r="T1032" s="10"/>
      <c r="U1032" s="10"/>
    </row>
    <row r="1033">
      <c r="A1033" s="8"/>
      <c r="B1033" s="9"/>
      <c r="C1033" s="9"/>
      <c r="D1033" s="9"/>
      <c r="E1033" s="9"/>
      <c r="F1033" s="9"/>
      <c r="G1033" s="9"/>
      <c r="H1033" s="9"/>
      <c r="I1033" s="9"/>
      <c r="J1033" s="10"/>
      <c r="K1033" s="10"/>
      <c r="L1033" s="10"/>
      <c r="M1033" s="10"/>
      <c r="N1033" s="11"/>
      <c r="O1033" s="11"/>
      <c r="P1033" s="11"/>
      <c r="Q1033" s="11"/>
      <c r="R1033" s="10"/>
      <c r="S1033" s="10"/>
      <c r="T1033" s="10"/>
      <c r="U1033" s="10"/>
    </row>
    <row r="1034">
      <c r="A1034" s="8"/>
      <c r="B1034" s="9"/>
      <c r="C1034" s="9"/>
      <c r="D1034" s="9"/>
      <c r="E1034" s="9"/>
      <c r="F1034" s="9"/>
      <c r="G1034" s="9"/>
      <c r="H1034" s="9"/>
      <c r="I1034" s="9"/>
      <c r="J1034" s="10"/>
      <c r="K1034" s="10"/>
      <c r="L1034" s="10"/>
      <c r="M1034" s="10"/>
      <c r="N1034" s="11"/>
      <c r="O1034" s="11"/>
      <c r="P1034" s="11"/>
      <c r="Q1034" s="11"/>
      <c r="R1034" s="10"/>
      <c r="S1034" s="10"/>
      <c r="T1034" s="10"/>
      <c r="U1034" s="10"/>
    </row>
    <row r="1035">
      <c r="A1035" s="8"/>
      <c r="B1035" s="9"/>
      <c r="C1035" s="9"/>
      <c r="D1035" s="9"/>
      <c r="E1035" s="9"/>
      <c r="F1035" s="9"/>
      <c r="G1035" s="9"/>
      <c r="H1035" s="9"/>
      <c r="I1035" s="9"/>
      <c r="J1035" s="10"/>
      <c r="K1035" s="10"/>
      <c r="L1035" s="10"/>
      <c r="M1035" s="10"/>
      <c r="N1035" s="11"/>
      <c r="O1035" s="11"/>
      <c r="P1035" s="11"/>
      <c r="Q1035" s="11"/>
      <c r="R1035" s="10"/>
      <c r="S1035" s="10"/>
      <c r="T1035" s="10"/>
      <c r="U1035" s="10"/>
    </row>
    <row r="1036">
      <c r="A1036" s="8"/>
      <c r="B1036" s="9"/>
      <c r="C1036" s="9"/>
      <c r="D1036" s="9"/>
      <c r="E1036" s="9"/>
      <c r="F1036" s="9"/>
      <c r="G1036" s="9"/>
      <c r="H1036" s="9"/>
      <c r="I1036" s="9"/>
      <c r="J1036" s="10"/>
      <c r="K1036" s="10"/>
      <c r="L1036" s="10"/>
      <c r="M1036" s="10"/>
      <c r="N1036" s="11"/>
      <c r="O1036" s="11"/>
      <c r="P1036" s="11"/>
      <c r="Q1036" s="11"/>
      <c r="R1036" s="10"/>
      <c r="S1036" s="10"/>
      <c r="T1036" s="10"/>
      <c r="U1036" s="10"/>
    </row>
    <row r="1037">
      <c r="A1037" s="8"/>
      <c r="B1037" s="9"/>
      <c r="C1037" s="9"/>
      <c r="D1037" s="9"/>
      <c r="E1037" s="9"/>
      <c r="F1037" s="9"/>
      <c r="G1037" s="9"/>
      <c r="H1037" s="9"/>
      <c r="I1037" s="9"/>
      <c r="J1037" s="10"/>
      <c r="K1037" s="10"/>
      <c r="L1037" s="10"/>
      <c r="M1037" s="10"/>
      <c r="N1037" s="11"/>
      <c r="O1037" s="11"/>
      <c r="P1037" s="11"/>
      <c r="Q1037" s="11"/>
      <c r="R1037" s="10"/>
      <c r="S1037" s="10"/>
      <c r="T1037" s="10"/>
      <c r="U1037" s="10"/>
    </row>
    <row r="1038">
      <c r="A1038" s="8"/>
      <c r="B1038" s="9"/>
      <c r="C1038" s="9"/>
      <c r="D1038" s="9"/>
      <c r="E1038" s="9"/>
      <c r="F1038" s="9"/>
      <c r="G1038" s="9"/>
      <c r="H1038" s="9"/>
      <c r="I1038" s="9"/>
      <c r="J1038" s="10"/>
      <c r="K1038" s="10"/>
      <c r="L1038" s="10"/>
      <c r="M1038" s="10"/>
      <c r="N1038" s="11"/>
      <c r="O1038" s="11"/>
      <c r="P1038" s="11"/>
      <c r="Q1038" s="11"/>
      <c r="R1038" s="10"/>
      <c r="S1038" s="10"/>
      <c r="T1038" s="10"/>
      <c r="U1038" s="10"/>
    </row>
    <row r="1039">
      <c r="A1039" s="8"/>
      <c r="B1039" s="9"/>
      <c r="C1039" s="9"/>
      <c r="D1039" s="9"/>
      <c r="E1039" s="9"/>
      <c r="F1039" s="9"/>
      <c r="G1039" s="9"/>
      <c r="H1039" s="9"/>
      <c r="I1039" s="9"/>
      <c r="J1039" s="10"/>
      <c r="K1039" s="10"/>
      <c r="L1039" s="10"/>
      <c r="M1039" s="10"/>
      <c r="N1039" s="11"/>
      <c r="O1039" s="11"/>
      <c r="P1039" s="11"/>
      <c r="Q1039" s="11"/>
      <c r="R1039" s="10"/>
      <c r="S1039" s="10"/>
      <c r="T1039" s="10"/>
      <c r="U1039" s="10"/>
    </row>
    <row r="1040">
      <c r="A1040" s="8"/>
      <c r="B1040" s="9"/>
      <c r="C1040" s="9"/>
      <c r="D1040" s="9"/>
      <c r="E1040" s="9"/>
      <c r="F1040" s="9"/>
      <c r="G1040" s="9"/>
      <c r="H1040" s="9"/>
      <c r="I1040" s="9"/>
      <c r="J1040" s="10"/>
      <c r="K1040" s="10"/>
      <c r="L1040" s="10"/>
      <c r="M1040" s="10"/>
      <c r="N1040" s="11"/>
      <c r="O1040" s="11"/>
      <c r="P1040" s="11"/>
      <c r="Q1040" s="11"/>
      <c r="R1040" s="10"/>
      <c r="S1040" s="10"/>
      <c r="T1040" s="10"/>
      <c r="U1040" s="10"/>
    </row>
    <row r="1041">
      <c r="A1041" s="8"/>
      <c r="B1041" s="9"/>
      <c r="C1041" s="9"/>
      <c r="D1041" s="9"/>
      <c r="E1041" s="9"/>
      <c r="F1041" s="9"/>
      <c r="G1041" s="9"/>
      <c r="H1041" s="9"/>
      <c r="I1041" s="9"/>
      <c r="J1041" s="10"/>
      <c r="K1041" s="10"/>
      <c r="L1041" s="10"/>
      <c r="M1041" s="10"/>
      <c r="N1041" s="11"/>
      <c r="O1041" s="11"/>
      <c r="P1041" s="11"/>
      <c r="Q1041" s="11"/>
      <c r="R1041" s="10"/>
      <c r="S1041" s="10"/>
      <c r="T1041" s="10"/>
      <c r="U1041" s="10"/>
    </row>
    <row r="1042">
      <c r="A1042" s="8"/>
      <c r="B1042" s="9"/>
      <c r="C1042" s="9"/>
      <c r="D1042" s="9"/>
      <c r="E1042" s="9"/>
      <c r="F1042" s="9"/>
      <c r="G1042" s="9"/>
      <c r="H1042" s="9"/>
      <c r="I1042" s="9"/>
      <c r="J1042" s="10"/>
      <c r="K1042" s="10"/>
      <c r="L1042" s="10"/>
      <c r="M1042" s="10"/>
      <c r="N1042" s="11"/>
      <c r="O1042" s="11"/>
      <c r="P1042" s="11"/>
      <c r="Q1042" s="11"/>
      <c r="R1042" s="10"/>
      <c r="S1042" s="10"/>
      <c r="T1042" s="10"/>
      <c r="U1042" s="10"/>
    </row>
    <row r="1043">
      <c r="A1043" s="8"/>
      <c r="B1043" s="9"/>
      <c r="C1043" s="9"/>
      <c r="D1043" s="9"/>
      <c r="E1043" s="9"/>
      <c r="F1043" s="9"/>
      <c r="G1043" s="9"/>
      <c r="H1043" s="9"/>
      <c r="I1043" s="9"/>
      <c r="J1043" s="10"/>
      <c r="K1043" s="10"/>
      <c r="L1043" s="10"/>
      <c r="M1043" s="10"/>
      <c r="N1043" s="11"/>
      <c r="O1043" s="11"/>
      <c r="P1043" s="11"/>
      <c r="Q1043" s="11"/>
      <c r="R1043" s="10"/>
      <c r="S1043" s="10"/>
      <c r="T1043" s="10"/>
      <c r="U1043" s="10"/>
    </row>
    <row r="1044">
      <c r="A1044" s="8"/>
      <c r="B1044" s="9"/>
      <c r="C1044" s="9"/>
      <c r="D1044" s="9"/>
      <c r="E1044" s="9"/>
      <c r="F1044" s="9"/>
      <c r="G1044" s="9"/>
      <c r="H1044" s="9"/>
      <c r="I1044" s="9"/>
      <c r="J1044" s="10"/>
      <c r="K1044" s="10"/>
      <c r="L1044" s="10"/>
      <c r="M1044" s="10"/>
      <c r="N1044" s="11"/>
      <c r="O1044" s="11"/>
      <c r="P1044" s="11"/>
      <c r="Q1044" s="11"/>
      <c r="R1044" s="10"/>
      <c r="S1044" s="10"/>
      <c r="T1044" s="10"/>
      <c r="U1044" s="10"/>
    </row>
    <row r="1045">
      <c r="A1045" s="8"/>
      <c r="B1045" s="9"/>
      <c r="C1045" s="9"/>
      <c r="D1045" s="9"/>
      <c r="E1045" s="9"/>
      <c r="F1045" s="9"/>
      <c r="G1045" s="9"/>
      <c r="H1045" s="9"/>
      <c r="I1045" s="9"/>
      <c r="J1045" s="10"/>
      <c r="K1045" s="10"/>
      <c r="L1045" s="10"/>
      <c r="M1045" s="10"/>
      <c r="N1045" s="11"/>
      <c r="O1045" s="11"/>
      <c r="P1045" s="11"/>
      <c r="Q1045" s="11"/>
      <c r="R1045" s="10"/>
      <c r="S1045" s="10"/>
      <c r="T1045" s="10"/>
      <c r="U1045" s="10"/>
    </row>
    <row r="1046">
      <c r="A1046" s="8"/>
      <c r="B1046" s="9"/>
      <c r="C1046" s="9"/>
      <c r="D1046" s="9"/>
      <c r="E1046" s="9"/>
      <c r="F1046" s="9"/>
      <c r="G1046" s="9"/>
      <c r="H1046" s="9"/>
      <c r="I1046" s="9"/>
      <c r="J1046" s="10"/>
      <c r="K1046" s="10"/>
      <c r="L1046" s="10"/>
      <c r="M1046" s="10"/>
      <c r="N1046" s="11"/>
      <c r="O1046" s="11"/>
      <c r="P1046" s="11"/>
      <c r="Q1046" s="11"/>
      <c r="R1046" s="10"/>
      <c r="S1046" s="10"/>
      <c r="T1046" s="10"/>
      <c r="U1046" s="10"/>
    </row>
    <row r="1047">
      <c r="A1047" s="8"/>
      <c r="B1047" s="9"/>
      <c r="C1047" s="9"/>
      <c r="D1047" s="9"/>
      <c r="E1047" s="9"/>
      <c r="F1047" s="9"/>
      <c r="G1047" s="9"/>
      <c r="H1047" s="9"/>
      <c r="I1047" s="9"/>
      <c r="J1047" s="10"/>
      <c r="K1047" s="10"/>
      <c r="L1047" s="10"/>
      <c r="M1047" s="10"/>
      <c r="N1047" s="11"/>
      <c r="O1047" s="11"/>
      <c r="P1047" s="11"/>
      <c r="Q1047" s="11"/>
      <c r="R1047" s="10"/>
      <c r="S1047" s="10"/>
      <c r="T1047" s="10"/>
      <c r="U1047" s="10"/>
    </row>
    <row r="1048">
      <c r="A1048" s="8"/>
      <c r="B1048" s="9"/>
      <c r="C1048" s="9"/>
      <c r="D1048" s="9"/>
      <c r="E1048" s="9"/>
      <c r="F1048" s="9"/>
      <c r="G1048" s="9"/>
      <c r="H1048" s="9"/>
      <c r="I1048" s="9"/>
      <c r="J1048" s="10"/>
      <c r="K1048" s="10"/>
      <c r="L1048" s="10"/>
      <c r="M1048" s="10"/>
      <c r="N1048" s="11"/>
      <c r="O1048" s="11"/>
      <c r="P1048" s="11"/>
      <c r="Q1048" s="11"/>
      <c r="R1048" s="10"/>
      <c r="S1048" s="10"/>
      <c r="T1048" s="10"/>
      <c r="U1048" s="10"/>
    </row>
    <row r="1049">
      <c r="A1049" s="8"/>
      <c r="B1049" s="9"/>
      <c r="C1049" s="9"/>
      <c r="D1049" s="9"/>
      <c r="E1049" s="9"/>
      <c r="F1049" s="9"/>
      <c r="G1049" s="9"/>
      <c r="H1049" s="9"/>
      <c r="I1049" s="9"/>
      <c r="J1049" s="10"/>
      <c r="K1049" s="10"/>
      <c r="L1049" s="10"/>
      <c r="M1049" s="10"/>
      <c r="N1049" s="11"/>
      <c r="O1049" s="11"/>
      <c r="P1049" s="11"/>
      <c r="Q1049" s="11"/>
      <c r="R1049" s="10"/>
      <c r="S1049" s="10"/>
      <c r="T1049" s="10"/>
      <c r="U1049" s="10"/>
    </row>
    <row r="1050">
      <c r="A1050" s="8"/>
      <c r="B1050" s="9"/>
      <c r="C1050" s="9"/>
      <c r="D1050" s="9"/>
      <c r="E1050" s="9"/>
      <c r="F1050" s="9"/>
      <c r="G1050" s="9"/>
      <c r="H1050" s="9"/>
      <c r="I1050" s="9"/>
      <c r="J1050" s="10"/>
      <c r="K1050" s="10"/>
      <c r="L1050" s="10"/>
      <c r="M1050" s="10"/>
      <c r="N1050" s="11"/>
      <c r="O1050" s="11"/>
      <c r="P1050" s="11"/>
      <c r="Q1050" s="11"/>
      <c r="R1050" s="10"/>
      <c r="S1050" s="10"/>
      <c r="T1050" s="10"/>
      <c r="U1050" s="10"/>
    </row>
    <row r="1051">
      <c r="A1051" s="8"/>
      <c r="B1051" s="9"/>
      <c r="C1051" s="9"/>
      <c r="D1051" s="9"/>
      <c r="E1051" s="9"/>
      <c r="F1051" s="9"/>
      <c r="G1051" s="9"/>
      <c r="H1051" s="9"/>
      <c r="I1051" s="9"/>
      <c r="J1051" s="10"/>
      <c r="K1051" s="10"/>
      <c r="L1051" s="10"/>
      <c r="M1051" s="10"/>
      <c r="N1051" s="11"/>
      <c r="O1051" s="11"/>
      <c r="P1051" s="11"/>
      <c r="Q1051" s="11"/>
      <c r="R1051" s="10"/>
      <c r="S1051" s="10"/>
      <c r="T1051" s="10"/>
      <c r="U1051" s="10"/>
    </row>
    <row r="1052">
      <c r="A1052" s="8"/>
      <c r="B1052" s="9"/>
      <c r="C1052" s="9"/>
      <c r="D1052" s="9"/>
      <c r="E1052" s="9"/>
      <c r="F1052" s="9"/>
      <c r="G1052" s="9"/>
      <c r="H1052" s="9"/>
      <c r="I1052" s="9"/>
      <c r="J1052" s="10"/>
      <c r="K1052" s="10"/>
      <c r="L1052" s="10"/>
      <c r="M1052" s="10"/>
      <c r="N1052" s="11"/>
      <c r="O1052" s="11"/>
      <c r="P1052" s="11"/>
      <c r="Q1052" s="11"/>
      <c r="R1052" s="10"/>
      <c r="S1052" s="10"/>
      <c r="T1052" s="10"/>
      <c r="U1052" s="10"/>
    </row>
    <row r="1053">
      <c r="A1053" s="8"/>
      <c r="B1053" s="9"/>
      <c r="C1053" s="9"/>
      <c r="D1053" s="9"/>
      <c r="E1053" s="9"/>
      <c r="F1053" s="9"/>
      <c r="G1053" s="9"/>
      <c r="H1053" s="9"/>
      <c r="I1053" s="9"/>
      <c r="J1053" s="10"/>
      <c r="K1053" s="10"/>
      <c r="L1053" s="10"/>
      <c r="M1053" s="10"/>
      <c r="N1053" s="11"/>
      <c r="O1053" s="11"/>
      <c r="P1053" s="11"/>
      <c r="Q1053" s="11"/>
      <c r="R1053" s="10"/>
      <c r="S1053" s="10"/>
      <c r="T1053" s="10"/>
      <c r="U1053" s="10"/>
    </row>
    <row r="1054">
      <c r="A1054" s="8"/>
      <c r="B1054" s="9"/>
      <c r="C1054" s="9"/>
      <c r="D1054" s="9"/>
      <c r="E1054" s="9"/>
      <c r="F1054" s="9"/>
      <c r="G1054" s="9"/>
      <c r="H1054" s="9"/>
      <c r="I1054" s="9"/>
      <c r="J1054" s="10"/>
      <c r="K1054" s="10"/>
      <c r="L1054" s="10"/>
      <c r="M1054" s="10"/>
      <c r="N1054" s="11"/>
      <c r="O1054" s="11"/>
      <c r="P1054" s="11"/>
      <c r="Q1054" s="11"/>
      <c r="R1054" s="10"/>
      <c r="S1054" s="10"/>
      <c r="T1054" s="10"/>
      <c r="U1054" s="10"/>
    </row>
    <row r="1055">
      <c r="A1055" s="8"/>
      <c r="B1055" s="9"/>
      <c r="C1055" s="9"/>
      <c r="D1055" s="9"/>
      <c r="E1055" s="9"/>
      <c r="F1055" s="9"/>
      <c r="G1055" s="9"/>
      <c r="H1055" s="9"/>
      <c r="I1055" s="9"/>
      <c r="J1055" s="10"/>
      <c r="K1055" s="10"/>
      <c r="L1055" s="10"/>
      <c r="M1055" s="10"/>
      <c r="N1055" s="11"/>
      <c r="O1055" s="11"/>
      <c r="P1055" s="11"/>
      <c r="Q1055" s="11"/>
      <c r="R1055" s="10"/>
      <c r="S1055" s="10"/>
      <c r="T1055" s="10"/>
      <c r="U1055" s="10"/>
    </row>
    <row r="1056">
      <c r="A1056" s="8"/>
      <c r="B1056" s="9"/>
      <c r="C1056" s="9"/>
      <c r="D1056" s="9"/>
      <c r="E1056" s="9"/>
      <c r="F1056" s="9"/>
      <c r="G1056" s="9"/>
      <c r="H1056" s="9"/>
      <c r="I1056" s="9"/>
      <c r="J1056" s="10"/>
      <c r="K1056" s="10"/>
      <c r="L1056" s="10"/>
      <c r="M1056" s="10"/>
      <c r="N1056" s="11"/>
      <c r="O1056" s="11"/>
      <c r="P1056" s="11"/>
      <c r="Q1056" s="11"/>
      <c r="R1056" s="10"/>
      <c r="S1056" s="10"/>
      <c r="T1056" s="10"/>
      <c r="U1056" s="10"/>
    </row>
    <row r="1057">
      <c r="A1057" s="8"/>
      <c r="B1057" s="9"/>
      <c r="C1057" s="9"/>
      <c r="D1057" s="9"/>
      <c r="E1057" s="9"/>
      <c r="F1057" s="9"/>
      <c r="G1057" s="9"/>
      <c r="H1057" s="9"/>
      <c r="I1057" s="9"/>
      <c r="J1057" s="10"/>
      <c r="K1057" s="10"/>
      <c r="L1057" s="10"/>
      <c r="M1057" s="10"/>
      <c r="N1057" s="11"/>
      <c r="O1057" s="11"/>
      <c r="P1057" s="11"/>
      <c r="Q1057" s="11"/>
      <c r="R1057" s="10"/>
      <c r="S1057" s="10"/>
      <c r="T1057" s="10"/>
      <c r="U1057" s="10"/>
    </row>
    <row r="1058">
      <c r="A1058" s="8"/>
      <c r="B1058" s="9"/>
      <c r="C1058" s="9"/>
      <c r="D1058" s="9"/>
      <c r="E1058" s="9"/>
      <c r="F1058" s="9"/>
      <c r="G1058" s="9"/>
      <c r="H1058" s="9"/>
      <c r="I1058" s="9"/>
      <c r="J1058" s="10"/>
      <c r="K1058" s="10"/>
      <c r="L1058" s="10"/>
      <c r="M1058" s="10"/>
      <c r="N1058" s="11"/>
      <c r="O1058" s="11"/>
      <c r="P1058" s="11"/>
      <c r="Q1058" s="11"/>
      <c r="R1058" s="10"/>
      <c r="S1058" s="10"/>
      <c r="T1058" s="10"/>
      <c r="U1058" s="10"/>
    </row>
    <row r="1059">
      <c r="A1059" s="8"/>
      <c r="B1059" s="9"/>
      <c r="C1059" s="9"/>
      <c r="D1059" s="9"/>
      <c r="E1059" s="9"/>
      <c r="F1059" s="9"/>
      <c r="G1059" s="9"/>
      <c r="H1059" s="9"/>
      <c r="I1059" s="9"/>
      <c r="J1059" s="10"/>
      <c r="K1059" s="10"/>
      <c r="L1059" s="10"/>
      <c r="M1059" s="10"/>
      <c r="N1059" s="11"/>
      <c r="O1059" s="11"/>
      <c r="P1059" s="11"/>
      <c r="Q1059" s="11"/>
      <c r="R1059" s="10"/>
      <c r="S1059" s="10"/>
      <c r="T1059" s="10"/>
      <c r="U1059" s="10"/>
    </row>
    <row r="1060">
      <c r="A1060" s="8"/>
      <c r="B1060" s="9"/>
      <c r="C1060" s="9"/>
      <c r="D1060" s="9"/>
      <c r="E1060" s="9"/>
      <c r="F1060" s="9"/>
      <c r="G1060" s="9"/>
      <c r="H1060" s="9"/>
      <c r="I1060" s="9"/>
      <c r="J1060" s="10"/>
      <c r="K1060" s="10"/>
      <c r="L1060" s="10"/>
      <c r="M1060" s="10"/>
      <c r="N1060" s="11"/>
      <c r="O1060" s="11"/>
      <c r="P1060" s="11"/>
      <c r="Q1060" s="11"/>
      <c r="R1060" s="10"/>
      <c r="S1060" s="10"/>
      <c r="T1060" s="10"/>
      <c r="U1060" s="10"/>
    </row>
    <row r="1061">
      <c r="A1061" s="8"/>
      <c r="B1061" s="9"/>
      <c r="C1061" s="9"/>
      <c r="D1061" s="9"/>
      <c r="E1061" s="9"/>
      <c r="F1061" s="9"/>
      <c r="G1061" s="9"/>
      <c r="H1061" s="9"/>
      <c r="I1061" s="9"/>
      <c r="J1061" s="10"/>
      <c r="K1061" s="10"/>
      <c r="L1061" s="10"/>
      <c r="M1061" s="10"/>
      <c r="N1061" s="11"/>
      <c r="O1061" s="11"/>
      <c r="P1061" s="11"/>
      <c r="Q1061" s="11"/>
      <c r="R1061" s="10"/>
      <c r="S1061" s="10"/>
      <c r="T1061" s="10"/>
      <c r="U1061" s="10"/>
    </row>
    <row r="1062">
      <c r="A1062" s="8"/>
      <c r="B1062" s="9"/>
      <c r="C1062" s="9"/>
      <c r="D1062" s="9"/>
      <c r="E1062" s="9"/>
      <c r="F1062" s="9"/>
      <c r="G1062" s="9"/>
      <c r="H1062" s="9"/>
      <c r="I1062" s="9"/>
      <c r="J1062" s="10"/>
      <c r="K1062" s="10"/>
      <c r="L1062" s="10"/>
      <c r="M1062" s="10"/>
      <c r="N1062" s="11"/>
      <c r="O1062" s="11"/>
      <c r="P1062" s="11"/>
      <c r="Q1062" s="11"/>
      <c r="R1062" s="10"/>
      <c r="S1062" s="10"/>
      <c r="T1062" s="10"/>
      <c r="U1062" s="10"/>
    </row>
    <row r="1063">
      <c r="A1063" s="8"/>
      <c r="B1063" s="9"/>
      <c r="C1063" s="9"/>
      <c r="D1063" s="9"/>
      <c r="E1063" s="9"/>
      <c r="F1063" s="9"/>
      <c r="G1063" s="9"/>
      <c r="H1063" s="9"/>
      <c r="I1063" s="9"/>
      <c r="J1063" s="10"/>
      <c r="K1063" s="10"/>
      <c r="L1063" s="10"/>
      <c r="M1063" s="10"/>
      <c r="N1063" s="11"/>
      <c r="O1063" s="11"/>
      <c r="P1063" s="11"/>
      <c r="Q1063" s="11"/>
      <c r="R1063" s="10"/>
      <c r="S1063" s="10"/>
      <c r="T1063" s="10"/>
      <c r="U1063" s="10"/>
    </row>
    <row r="1064">
      <c r="A1064" s="8"/>
      <c r="B1064" s="9"/>
      <c r="C1064" s="9"/>
      <c r="D1064" s="9"/>
      <c r="E1064" s="9"/>
      <c r="F1064" s="9"/>
      <c r="G1064" s="9"/>
      <c r="H1064" s="9"/>
      <c r="I1064" s="9"/>
      <c r="J1064" s="10"/>
      <c r="K1064" s="10"/>
      <c r="L1064" s="10"/>
      <c r="M1064" s="10"/>
      <c r="N1064" s="11"/>
      <c r="O1064" s="11"/>
      <c r="P1064" s="11"/>
      <c r="Q1064" s="11"/>
      <c r="R1064" s="10"/>
      <c r="S1064" s="10"/>
      <c r="T1064" s="10"/>
      <c r="U1064" s="10"/>
    </row>
    <row r="1065">
      <c r="A1065" s="8"/>
      <c r="B1065" s="9"/>
      <c r="C1065" s="9"/>
      <c r="D1065" s="9"/>
      <c r="E1065" s="9"/>
      <c r="F1065" s="9"/>
      <c r="G1065" s="9"/>
      <c r="H1065" s="9"/>
      <c r="I1065" s="9"/>
      <c r="J1065" s="10"/>
      <c r="K1065" s="10"/>
      <c r="L1065" s="10"/>
      <c r="M1065" s="10"/>
      <c r="N1065" s="11"/>
      <c r="O1065" s="11"/>
      <c r="P1065" s="11"/>
      <c r="Q1065" s="11"/>
      <c r="R1065" s="10"/>
      <c r="S1065" s="10"/>
      <c r="T1065" s="10"/>
      <c r="U1065" s="10"/>
    </row>
    <row r="1066">
      <c r="A1066" s="8"/>
      <c r="B1066" s="9"/>
      <c r="C1066" s="9"/>
      <c r="D1066" s="9"/>
      <c r="E1066" s="9"/>
      <c r="F1066" s="9"/>
      <c r="G1066" s="9"/>
      <c r="H1066" s="9"/>
      <c r="I1066" s="9"/>
      <c r="J1066" s="10"/>
      <c r="K1066" s="10"/>
      <c r="L1066" s="10"/>
      <c r="M1066" s="10"/>
      <c r="N1066" s="11"/>
      <c r="O1066" s="11"/>
      <c r="P1066" s="11"/>
      <c r="Q1066" s="11"/>
      <c r="R1066" s="10"/>
      <c r="S1066" s="10"/>
      <c r="T1066" s="10"/>
      <c r="U1066" s="10"/>
    </row>
    <row r="1067">
      <c r="A1067" s="8"/>
      <c r="B1067" s="9"/>
      <c r="C1067" s="9"/>
      <c r="D1067" s="9"/>
      <c r="E1067" s="9"/>
      <c r="F1067" s="9"/>
      <c r="G1067" s="9"/>
      <c r="H1067" s="9"/>
      <c r="I1067" s="9"/>
      <c r="J1067" s="10"/>
      <c r="K1067" s="10"/>
      <c r="L1067" s="10"/>
      <c r="M1067" s="10"/>
      <c r="N1067" s="11"/>
      <c r="O1067" s="11"/>
      <c r="P1067" s="11"/>
      <c r="Q1067" s="11"/>
      <c r="R1067" s="10"/>
      <c r="S1067" s="10"/>
      <c r="T1067" s="10"/>
      <c r="U1067" s="10"/>
    </row>
    <row r="1068">
      <c r="A1068" s="8"/>
      <c r="B1068" s="9"/>
      <c r="C1068" s="9"/>
      <c r="D1068" s="9"/>
      <c r="E1068" s="9"/>
      <c r="F1068" s="9"/>
      <c r="G1068" s="9"/>
      <c r="H1068" s="9"/>
      <c r="I1068" s="9"/>
      <c r="J1068" s="10"/>
      <c r="K1068" s="10"/>
      <c r="L1068" s="10"/>
      <c r="M1068" s="10"/>
      <c r="N1068" s="11"/>
      <c r="O1068" s="11"/>
      <c r="P1068" s="11"/>
      <c r="Q1068" s="11"/>
      <c r="R1068" s="10"/>
      <c r="S1068" s="10"/>
      <c r="T1068" s="10"/>
      <c r="U1068" s="10"/>
    </row>
    <row r="1069">
      <c r="A1069" s="8"/>
      <c r="B1069" s="9"/>
      <c r="C1069" s="9"/>
      <c r="D1069" s="9"/>
      <c r="E1069" s="9"/>
      <c r="F1069" s="9"/>
      <c r="G1069" s="9"/>
      <c r="H1069" s="9"/>
      <c r="I1069" s="9"/>
      <c r="J1069" s="10"/>
      <c r="K1069" s="10"/>
      <c r="L1069" s="10"/>
      <c r="M1069" s="10"/>
      <c r="N1069" s="11"/>
      <c r="O1069" s="11"/>
      <c r="P1069" s="11"/>
      <c r="Q1069" s="11"/>
      <c r="R1069" s="10"/>
      <c r="S1069" s="10"/>
      <c r="T1069" s="10"/>
      <c r="U1069" s="10"/>
    </row>
    <row r="1070">
      <c r="A1070" s="8"/>
      <c r="B1070" s="9"/>
      <c r="C1070" s="9"/>
      <c r="D1070" s="9"/>
      <c r="E1070" s="9"/>
      <c r="F1070" s="9"/>
      <c r="G1070" s="9"/>
      <c r="H1070" s="9"/>
      <c r="I1070" s="9"/>
      <c r="J1070" s="10"/>
      <c r="K1070" s="10"/>
      <c r="L1070" s="10"/>
      <c r="M1070" s="10"/>
      <c r="N1070" s="11"/>
      <c r="O1070" s="11"/>
      <c r="P1070" s="11"/>
      <c r="Q1070" s="11"/>
      <c r="R1070" s="10"/>
      <c r="S1070" s="10"/>
      <c r="T1070" s="10"/>
      <c r="U1070" s="10"/>
    </row>
    <row r="1071">
      <c r="A1071" s="8"/>
      <c r="B1071" s="9"/>
      <c r="C1071" s="9"/>
      <c r="D1071" s="9"/>
      <c r="E1071" s="9"/>
      <c r="F1071" s="9"/>
      <c r="G1071" s="9"/>
      <c r="H1071" s="9"/>
      <c r="I1071" s="9"/>
      <c r="J1071" s="10"/>
      <c r="K1071" s="10"/>
      <c r="L1071" s="10"/>
      <c r="M1071" s="10"/>
      <c r="N1071" s="11"/>
      <c r="O1071" s="11"/>
      <c r="P1071" s="11"/>
      <c r="Q1071" s="11"/>
      <c r="R1071" s="10"/>
      <c r="S1071" s="10"/>
      <c r="T1071" s="10"/>
      <c r="U1071" s="10"/>
    </row>
    <row r="1072">
      <c r="A1072" s="8"/>
      <c r="B1072" s="9"/>
      <c r="C1072" s="9"/>
      <c r="D1072" s="9"/>
      <c r="E1072" s="9"/>
      <c r="F1072" s="9"/>
      <c r="G1072" s="9"/>
      <c r="H1072" s="9"/>
      <c r="I1072" s="9"/>
      <c r="J1072" s="10"/>
      <c r="K1072" s="10"/>
      <c r="L1072" s="10"/>
      <c r="M1072" s="10"/>
      <c r="N1072" s="11"/>
      <c r="O1072" s="11"/>
      <c r="P1072" s="11"/>
      <c r="Q1072" s="11"/>
      <c r="R1072" s="10"/>
      <c r="S1072" s="10"/>
      <c r="T1072" s="10"/>
      <c r="U1072" s="10"/>
    </row>
    <row r="1073">
      <c r="A1073" s="8"/>
      <c r="B1073" s="9"/>
      <c r="C1073" s="9"/>
      <c r="D1073" s="9"/>
      <c r="E1073" s="9"/>
      <c r="F1073" s="9"/>
      <c r="G1073" s="9"/>
      <c r="H1073" s="9"/>
      <c r="I1073" s="9"/>
      <c r="J1073" s="10"/>
      <c r="K1073" s="10"/>
      <c r="L1073" s="10"/>
      <c r="M1073" s="10"/>
      <c r="N1073" s="11"/>
      <c r="O1073" s="11"/>
      <c r="P1073" s="11"/>
      <c r="Q1073" s="11"/>
      <c r="R1073" s="10"/>
      <c r="S1073" s="10"/>
      <c r="T1073" s="10"/>
      <c r="U1073" s="10"/>
    </row>
    <row r="1074">
      <c r="A1074" s="8"/>
      <c r="B1074" s="9"/>
      <c r="C1074" s="9"/>
      <c r="D1074" s="9"/>
      <c r="E1074" s="9"/>
      <c r="F1074" s="9"/>
      <c r="G1074" s="9"/>
      <c r="H1074" s="9"/>
      <c r="I1074" s="9"/>
      <c r="J1074" s="10"/>
      <c r="K1074" s="10"/>
      <c r="L1074" s="10"/>
      <c r="M1074" s="10"/>
      <c r="N1074" s="11"/>
      <c r="O1074" s="11"/>
      <c r="P1074" s="11"/>
      <c r="Q1074" s="11"/>
      <c r="R1074" s="10"/>
      <c r="S1074" s="10"/>
      <c r="T1074" s="10"/>
      <c r="U1074" s="10"/>
    </row>
    <row r="1075">
      <c r="A1075" s="8"/>
      <c r="B1075" s="9"/>
      <c r="C1075" s="9"/>
      <c r="D1075" s="9"/>
      <c r="E1075" s="9"/>
      <c r="F1075" s="9"/>
      <c r="G1075" s="9"/>
      <c r="H1075" s="9"/>
      <c r="I1075" s="9"/>
      <c r="J1075" s="10"/>
      <c r="K1075" s="10"/>
      <c r="L1075" s="10"/>
      <c r="M1075" s="10"/>
      <c r="N1075" s="11"/>
      <c r="O1075" s="11"/>
      <c r="P1075" s="11"/>
      <c r="Q1075" s="11"/>
      <c r="R1075" s="10"/>
      <c r="S1075" s="10"/>
      <c r="T1075" s="10"/>
      <c r="U1075" s="10"/>
    </row>
    <row r="1076">
      <c r="A1076" s="8"/>
      <c r="B1076" s="9"/>
      <c r="C1076" s="9"/>
      <c r="D1076" s="9"/>
      <c r="E1076" s="9"/>
      <c r="F1076" s="9"/>
      <c r="G1076" s="9"/>
      <c r="H1076" s="9"/>
      <c r="I1076" s="9"/>
      <c r="J1076" s="10"/>
      <c r="K1076" s="10"/>
      <c r="L1076" s="10"/>
      <c r="M1076" s="10"/>
      <c r="N1076" s="11"/>
      <c r="O1076" s="11"/>
      <c r="P1076" s="11"/>
      <c r="Q1076" s="11"/>
      <c r="R1076" s="10"/>
      <c r="S1076" s="10"/>
      <c r="T1076" s="10"/>
      <c r="U1076" s="10"/>
    </row>
    <row r="1077">
      <c r="A1077" s="8"/>
      <c r="B1077" s="9"/>
      <c r="C1077" s="9"/>
      <c r="D1077" s="9"/>
      <c r="E1077" s="9"/>
      <c r="F1077" s="9"/>
      <c r="G1077" s="9"/>
      <c r="H1077" s="9"/>
      <c r="I1077" s="9"/>
      <c r="J1077" s="10"/>
      <c r="K1077" s="10"/>
      <c r="L1077" s="10"/>
      <c r="M1077" s="10"/>
      <c r="N1077" s="11"/>
      <c r="O1077" s="11"/>
      <c r="P1077" s="11"/>
      <c r="Q1077" s="11"/>
      <c r="R1077" s="10"/>
      <c r="S1077" s="10"/>
      <c r="T1077" s="10"/>
      <c r="U1077" s="10"/>
    </row>
    <row r="1078">
      <c r="A1078" s="8"/>
      <c r="B1078" s="9"/>
      <c r="C1078" s="9"/>
      <c r="D1078" s="9"/>
      <c r="E1078" s="9"/>
      <c r="F1078" s="9"/>
      <c r="G1078" s="9"/>
      <c r="H1078" s="9"/>
      <c r="I1078" s="9"/>
      <c r="J1078" s="10"/>
      <c r="K1078" s="10"/>
      <c r="L1078" s="10"/>
      <c r="M1078" s="10"/>
      <c r="N1078" s="11"/>
      <c r="O1078" s="11"/>
      <c r="P1078" s="11"/>
      <c r="Q1078" s="11"/>
      <c r="R1078" s="10"/>
      <c r="S1078" s="10"/>
      <c r="T1078" s="10"/>
      <c r="U1078" s="10"/>
    </row>
    <row r="1079">
      <c r="A1079" s="8"/>
      <c r="B1079" s="9"/>
      <c r="C1079" s="9"/>
      <c r="D1079" s="9"/>
      <c r="E1079" s="9"/>
      <c r="F1079" s="9"/>
      <c r="G1079" s="9"/>
      <c r="H1079" s="9"/>
      <c r="I1079" s="9"/>
      <c r="J1079" s="10"/>
      <c r="K1079" s="10"/>
      <c r="L1079" s="10"/>
      <c r="M1079" s="10"/>
      <c r="N1079" s="11"/>
      <c r="O1079" s="11"/>
      <c r="P1079" s="11"/>
      <c r="Q1079" s="11"/>
      <c r="R1079" s="10"/>
      <c r="S1079" s="10"/>
      <c r="T1079" s="10"/>
      <c r="U1079" s="10"/>
    </row>
    <row r="1080">
      <c r="A1080" s="8"/>
      <c r="B1080" s="9"/>
      <c r="C1080" s="9"/>
      <c r="D1080" s="9"/>
      <c r="E1080" s="9"/>
      <c r="F1080" s="9"/>
      <c r="G1080" s="9"/>
      <c r="H1080" s="9"/>
      <c r="I1080" s="9"/>
      <c r="J1080" s="10"/>
      <c r="K1080" s="10"/>
      <c r="L1080" s="10"/>
      <c r="M1080" s="10"/>
      <c r="N1080" s="11"/>
      <c r="O1080" s="11"/>
      <c r="P1080" s="11"/>
      <c r="Q1080" s="11"/>
      <c r="R1080" s="10"/>
      <c r="S1080" s="10"/>
      <c r="T1080" s="10"/>
      <c r="U1080" s="10"/>
    </row>
    <row r="1081">
      <c r="A1081" s="8"/>
      <c r="B1081" s="9"/>
      <c r="C1081" s="9"/>
      <c r="D1081" s="9"/>
      <c r="E1081" s="9"/>
      <c r="F1081" s="9"/>
      <c r="G1081" s="9"/>
      <c r="H1081" s="9"/>
      <c r="I1081" s="9"/>
      <c r="J1081" s="10"/>
      <c r="K1081" s="10"/>
      <c r="L1081" s="10"/>
      <c r="M1081" s="10"/>
      <c r="N1081" s="11"/>
      <c r="O1081" s="11"/>
      <c r="P1081" s="11"/>
      <c r="Q1081" s="11"/>
      <c r="R1081" s="10"/>
      <c r="S1081" s="10"/>
      <c r="T1081" s="10"/>
      <c r="U1081" s="10"/>
    </row>
    <row r="1082">
      <c r="A1082" s="8"/>
      <c r="B1082" s="9"/>
      <c r="C1082" s="9"/>
      <c r="D1082" s="9"/>
      <c r="E1082" s="9"/>
      <c r="F1082" s="9"/>
      <c r="G1082" s="9"/>
      <c r="H1082" s="9"/>
      <c r="I1082" s="9"/>
      <c r="J1082" s="10"/>
      <c r="K1082" s="10"/>
      <c r="L1082" s="10"/>
      <c r="M1082" s="10"/>
      <c r="N1082" s="11"/>
      <c r="O1082" s="11"/>
      <c r="P1082" s="11"/>
      <c r="Q1082" s="11"/>
      <c r="R1082" s="10"/>
      <c r="S1082" s="10"/>
      <c r="T1082" s="10"/>
      <c r="U1082" s="10"/>
    </row>
    <row r="1083">
      <c r="A1083" s="8"/>
      <c r="B1083" s="9"/>
      <c r="C1083" s="9"/>
      <c r="D1083" s="9"/>
      <c r="E1083" s="9"/>
      <c r="F1083" s="9"/>
      <c r="G1083" s="9"/>
      <c r="H1083" s="9"/>
      <c r="I1083" s="9"/>
      <c r="J1083" s="10"/>
      <c r="K1083" s="10"/>
      <c r="L1083" s="10"/>
      <c r="M1083" s="10"/>
      <c r="N1083" s="11"/>
      <c r="O1083" s="11"/>
      <c r="P1083" s="11"/>
      <c r="Q1083" s="11"/>
      <c r="R1083" s="10"/>
      <c r="S1083" s="10"/>
      <c r="T1083" s="10"/>
      <c r="U1083" s="10"/>
    </row>
    <row r="1084">
      <c r="A1084" s="8"/>
      <c r="B1084" s="9"/>
      <c r="C1084" s="9"/>
      <c r="D1084" s="9"/>
      <c r="E1084" s="9"/>
      <c r="F1084" s="9"/>
      <c r="G1084" s="9"/>
      <c r="H1084" s="9"/>
      <c r="I1084" s="9"/>
      <c r="J1084" s="10"/>
      <c r="K1084" s="10"/>
      <c r="L1084" s="10"/>
      <c r="M1084" s="10"/>
      <c r="N1084" s="11"/>
      <c r="O1084" s="11"/>
      <c r="P1084" s="11"/>
      <c r="Q1084" s="11"/>
      <c r="R1084" s="10"/>
      <c r="S1084" s="10"/>
      <c r="T1084" s="10"/>
      <c r="U1084" s="10"/>
    </row>
    <row r="1085">
      <c r="A1085" s="8"/>
      <c r="B1085" s="9"/>
      <c r="C1085" s="9"/>
      <c r="D1085" s="9"/>
      <c r="E1085" s="9"/>
      <c r="F1085" s="9"/>
      <c r="G1085" s="9"/>
      <c r="H1085" s="9"/>
      <c r="I1085" s="9"/>
      <c r="J1085" s="10"/>
      <c r="K1085" s="10"/>
      <c r="L1085" s="10"/>
      <c r="M1085" s="10"/>
      <c r="N1085" s="11"/>
      <c r="O1085" s="11"/>
      <c r="P1085" s="11"/>
      <c r="Q1085" s="11"/>
      <c r="R1085" s="10"/>
      <c r="S1085" s="10"/>
      <c r="T1085" s="10"/>
      <c r="U1085" s="10"/>
    </row>
    <row r="1086">
      <c r="A1086" s="8"/>
      <c r="B1086" s="9"/>
      <c r="C1086" s="9"/>
      <c r="D1086" s="9"/>
      <c r="E1086" s="9"/>
      <c r="F1086" s="9"/>
      <c r="G1086" s="9"/>
      <c r="H1086" s="9"/>
      <c r="I1086" s="9"/>
      <c r="J1086" s="10"/>
      <c r="K1086" s="10"/>
      <c r="L1086" s="10"/>
      <c r="M1086" s="10"/>
      <c r="N1086" s="11"/>
      <c r="O1086" s="11"/>
      <c r="P1086" s="11"/>
      <c r="Q1086" s="11"/>
      <c r="R1086" s="10"/>
      <c r="S1086" s="10"/>
      <c r="T1086" s="10"/>
      <c r="U1086" s="10"/>
    </row>
    <row r="1087">
      <c r="A1087" s="8"/>
      <c r="B1087" s="9"/>
      <c r="C1087" s="9"/>
      <c r="D1087" s="9"/>
      <c r="E1087" s="9"/>
      <c r="F1087" s="9"/>
      <c r="G1087" s="9"/>
      <c r="H1087" s="9"/>
      <c r="I1087" s="9"/>
      <c r="J1087" s="10"/>
      <c r="K1087" s="10"/>
      <c r="L1087" s="10"/>
      <c r="M1087" s="10"/>
      <c r="N1087" s="11"/>
      <c r="O1087" s="11"/>
      <c r="P1087" s="11"/>
      <c r="Q1087" s="11"/>
      <c r="R1087" s="10"/>
      <c r="S1087" s="10"/>
      <c r="T1087" s="10"/>
      <c r="U1087" s="10"/>
    </row>
    <row r="1088">
      <c r="A1088" s="8"/>
      <c r="B1088" s="9"/>
      <c r="C1088" s="9"/>
      <c r="D1088" s="9"/>
      <c r="E1088" s="9"/>
      <c r="F1088" s="9"/>
      <c r="G1088" s="9"/>
      <c r="H1088" s="9"/>
      <c r="I1088" s="9"/>
      <c r="J1088" s="10"/>
      <c r="K1088" s="10"/>
      <c r="L1088" s="10"/>
      <c r="M1088" s="10"/>
      <c r="N1088" s="11"/>
      <c r="O1088" s="11"/>
      <c r="P1088" s="11"/>
      <c r="Q1088" s="11"/>
      <c r="R1088" s="10"/>
      <c r="S1088" s="10"/>
      <c r="T1088" s="10"/>
      <c r="U1088" s="10"/>
    </row>
    <row r="1089">
      <c r="A1089" s="8"/>
      <c r="B1089" s="9"/>
      <c r="C1089" s="9"/>
      <c r="D1089" s="9"/>
      <c r="E1089" s="9"/>
      <c r="F1089" s="9"/>
      <c r="G1089" s="9"/>
      <c r="H1089" s="9"/>
      <c r="I1089" s="9"/>
      <c r="J1089" s="10"/>
      <c r="K1089" s="10"/>
      <c r="L1089" s="10"/>
      <c r="M1089" s="10"/>
      <c r="N1089" s="11"/>
      <c r="O1089" s="11"/>
      <c r="P1089" s="11"/>
      <c r="Q1089" s="11"/>
      <c r="R1089" s="10"/>
      <c r="S1089" s="10"/>
      <c r="T1089" s="10"/>
      <c r="U1089" s="10"/>
    </row>
    <row r="1090">
      <c r="A1090" s="8"/>
      <c r="B1090" s="9"/>
      <c r="C1090" s="9"/>
      <c r="D1090" s="9"/>
      <c r="E1090" s="9"/>
      <c r="F1090" s="9"/>
      <c r="G1090" s="9"/>
      <c r="H1090" s="9"/>
      <c r="I1090" s="9"/>
      <c r="J1090" s="10"/>
      <c r="K1090" s="10"/>
      <c r="L1090" s="10"/>
      <c r="M1090" s="10"/>
      <c r="N1090" s="11"/>
      <c r="O1090" s="11"/>
      <c r="P1090" s="11"/>
      <c r="Q1090" s="11"/>
      <c r="R1090" s="10"/>
      <c r="S1090" s="10"/>
      <c r="T1090" s="10"/>
      <c r="U1090" s="10"/>
    </row>
    <row r="1091">
      <c r="A1091" s="8"/>
      <c r="B1091" s="9"/>
      <c r="C1091" s="9"/>
      <c r="D1091" s="9"/>
      <c r="E1091" s="9"/>
      <c r="F1091" s="9"/>
      <c r="G1091" s="9"/>
      <c r="H1091" s="9"/>
      <c r="I1091" s="9"/>
      <c r="J1091" s="10"/>
      <c r="K1091" s="10"/>
      <c r="L1091" s="10"/>
      <c r="M1091" s="10"/>
      <c r="N1091" s="11"/>
      <c r="O1091" s="11"/>
      <c r="P1091" s="11"/>
      <c r="Q1091" s="11"/>
      <c r="R1091" s="10"/>
      <c r="S1091" s="10"/>
      <c r="T1091" s="10"/>
      <c r="U1091" s="10"/>
    </row>
    <row r="1092">
      <c r="A1092" s="8"/>
      <c r="B1092" s="9"/>
      <c r="C1092" s="9"/>
      <c r="D1092" s="9"/>
      <c r="E1092" s="9"/>
      <c r="F1092" s="9"/>
      <c r="G1092" s="9"/>
      <c r="H1092" s="9"/>
      <c r="I1092" s="9"/>
      <c r="J1092" s="10"/>
      <c r="K1092" s="10"/>
      <c r="L1092" s="10"/>
      <c r="M1092" s="10"/>
      <c r="N1092" s="11"/>
      <c r="O1092" s="11"/>
      <c r="P1092" s="11"/>
      <c r="Q1092" s="11"/>
      <c r="R1092" s="10"/>
      <c r="S1092" s="10"/>
      <c r="T1092" s="10"/>
      <c r="U1092" s="10"/>
    </row>
    <row r="1093">
      <c r="A1093" s="8"/>
      <c r="B1093" s="9"/>
      <c r="C1093" s="9"/>
      <c r="D1093" s="9"/>
      <c r="E1093" s="9"/>
      <c r="F1093" s="9"/>
      <c r="G1093" s="9"/>
      <c r="H1093" s="9"/>
      <c r="I1093" s="9"/>
      <c r="J1093" s="10"/>
      <c r="K1093" s="10"/>
      <c r="L1093" s="10"/>
      <c r="M1093" s="10"/>
      <c r="N1093" s="11"/>
      <c r="O1093" s="11"/>
      <c r="P1093" s="11"/>
      <c r="Q1093" s="11"/>
      <c r="R1093" s="10"/>
      <c r="S1093" s="10"/>
      <c r="T1093" s="10"/>
      <c r="U1093" s="10"/>
    </row>
    <row r="1094">
      <c r="A1094" s="8"/>
      <c r="B1094" s="9"/>
      <c r="C1094" s="9"/>
      <c r="D1094" s="9"/>
      <c r="E1094" s="9"/>
      <c r="F1094" s="9"/>
      <c r="G1094" s="9"/>
      <c r="H1094" s="9"/>
      <c r="I1094" s="9"/>
      <c r="J1094" s="10"/>
      <c r="K1094" s="10"/>
      <c r="L1094" s="10"/>
      <c r="M1094" s="10"/>
      <c r="N1094" s="11"/>
      <c r="O1094" s="11"/>
      <c r="P1094" s="11"/>
      <c r="Q1094" s="11"/>
      <c r="R1094" s="10"/>
      <c r="S1094" s="10"/>
      <c r="T1094" s="10"/>
      <c r="U1094" s="10"/>
    </row>
    <row r="1095">
      <c r="A1095" s="8"/>
      <c r="B1095" s="9"/>
      <c r="C1095" s="9"/>
      <c r="D1095" s="9"/>
      <c r="E1095" s="9"/>
      <c r="F1095" s="9"/>
      <c r="G1095" s="9"/>
      <c r="H1095" s="9"/>
      <c r="I1095" s="9"/>
      <c r="J1095" s="10"/>
      <c r="K1095" s="10"/>
      <c r="L1095" s="10"/>
      <c r="M1095" s="10"/>
      <c r="N1095" s="11"/>
      <c r="O1095" s="11"/>
      <c r="P1095" s="11"/>
      <c r="Q1095" s="11"/>
      <c r="R1095" s="10"/>
      <c r="S1095" s="10"/>
      <c r="T1095" s="10"/>
      <c r="U1095" s="10"/>
    </row>
    <row r="1096">
      <c r="A1096" s="8"/>
      <c r="B1096" s="9"/>
      <c r="C1096" s="9"/>
      <c r="D1096" s="9"/>
      <c r="E1096" s="9"/>
      <c r="F1096" s="9"/>
      <c r="G1096" s="9"/>
      <c r="H1096" s="9"/>
      <c r="I1096" s="9"/>
      <c r="J1096" s="10"/>
      <c r="K1096" s="10"/>
      <c r="L1096" s="10"/>
      <c r="M1096" s="10"/>
      <c r="N1096" s="11"/>
      <c r="O1096" s="11"/>
      <c r="P1096" s="11"/>
      <c r="Q1096" s="11"/>
      <c r="R1096" s="10"/>
      <c r="S1096" s="10"/>
      <c r="T1096" s="10"/>
      <c r="U1096" s="10"/>
    </row>
    <row r="1097">
      <c r="A1097" s="8"/>
      <c r="B1097" s="9"/>
      <c r="C1097" s="9"/>
      <c r="D1097" s="9"/>
      <c r="E1097" s="9"/>
      <c r="F1097" s="9"/>
      <c r="G1097" s="9"/>
      <c r="H1097" s="9"/>
      <c r="I1097" s="9"/>
      <c r="J1097" s="10"/>
      <c r="K1097" s="10"/>
      <c r="L1097" s="10"/>
      <c r="M1097" s="10"/>
      <c r="N1097" s="11"/>
      <c r="O1097" s="11"/>
      <c r="P1097" s="11"/>
      <c r="Q1097" s="11"/>
      <c r="R1097" s="10"/>
      <c r="S1097" s="10"/>
      <c r="T1097" s="10"/>
      <c r="U1097" s="10"/>
    </row>
    <row r="1098">
      <c r="A1098" s="8"/>
      <c r="B1098" s="9"/>
      <c r="C1098" s="9"/>
      <c r="D1098" s="9"/>
      <c r="E1098" s="9"/>
      <c r="F1098" s="9"/>
      <c r="G1098" s="9"/>
      <c r="H1098" s="9"/>
      <c r="I1098" s="9"/>
      <c r="J1098" s="10"/>
      <c r="K1098" s="10"/>
      <c r="L1098" s="10"/>
      <c r="M1098" s="10"/>
      <c r="N1098" s="11"/>
      <c r="O1098" s="11"/>
      <c r="P1098" s="11"/>
      <c r="Q1098" s="11"/>
      <c r="R1098" s="10"/>
      <c r="S1098" s="10"/>
      <c r="T1098" s="10"/>
      <c r="U1098" s="10"/>
    </row>
    <row r="1099">
      <c r="A1099" s="8"/>
      <c r="B1099" s="9"/>
      <c r="C1099" s="9"/>
      <c r="D1099" s="9"/>
      <c r="E1099" s="9"/>
      <c r="F1099" s="9"/>
      <c r="G1099" s="9"/>
      <c r="H1099" s="9"/>
      <c r="I1099" s="9"/>
      <c r="J1099" s="10"/>
      <c r="K1099" s="10"/>
      <c r="L1099" s="10"/>
      <c r="M1099" s="10"/>
      <c r="N1099" s="11"/>
      <c r="O1099" s="11"/>
      <c r="P1099" s="11"/>
      <c r="Q1099" s="11"/>
      <c r="R1099" s="10"/>
      <c r="S1099" s="10"/>
      <c r="T1099" s="10"/>
      <c r="U1099" s="10"/>
    </row>
    <row r="1100">
      <c r="A1100" s="8"/>
      <c r="B1100" s="9"/>
      <c r="C1100" s="9"/>
      <c r="D1100" s="9"/>
      <c r="E1100" s="9"/>
      <c r="F1100" s="9"/>
      <c r="G1100" s="9"/>
      <c r="H1100" s="9"/>
      <c r="I1100" s="9"/>
      <c r="J1100" s="10"/>
      <c r="K1100" s="10"/>
      <c r="L1100" s="10"/>
      <c r="M1100" s="10"/>
      <c r="N1100" s="11"/>
      <c r="O1100" s="11"/>
      <c r="P1100" s="11"/>
      <c r="Q1100" s="11"/>
      <c r="R1100" s="10"/>
      <c r="S1100" s="10"/>
      <c r="T1100" s="10"/>
      <c r="U1100" s="10"/>
    </row>
    <row r="1101">
      <c r="A1101" s="8"/>
      <c r="B1101" s="9"/>
      <c r="C1101" s="9"/>
      <c r="D1101" s="9"/>
      <c r="E1101" s="9"/>
      <c r="F1101" s="9"/>
      <c r="G1101" s="9"/>
      <c r="H1101" s="9"/>
      <c r="I1101" s="9"/>
      <c r="J1101" s="10"/>
      <c r="K1101" s="10"/>
      <c r="L1101" s="10"/>
      <c r="M1101" s="10"/>
      <c r="N1101" s="11"/>
      <c r="O1101" s="11"/>
      <c r="P1101" s="11"/>
      <c r="Q1101" s="11"/>
      <c r="R1101" s="10"/>
      <c r="S1101" s="10"/>
      <c r="T1101" s="10"/>
      <c r="U1101" s="10"/>
    </row>
    <row r="1102">
      <c r="A1102" s="8"/>
      <c r="B1102" s="9"/>
      <c r="C1102" s="9"/>
      <c r="D1102" s="9"/>
      <c r="E1102" s="9"/>
      <c r="F1102" s="9"/>
      <c r="G1102" s="9"/>
      <c r="H1102" s="9"/>
      <c r="I1102" s="9"/>
      <c r="J1102" s="10"/>
      <c r="K1102" s="10"/>
      <c r="L1102" s="10"/>
      <c r="M1102" s="10"/>
      <c r="N1102" s="11"/>
      <c r="O1102" s="11"/>
      <c r="P1102" s="11"/>
      <c r="Q1102" s="11"/>
      <c r="R1102" s="10"/>
      <c r="S1102" s="10"/>
      <c r="T1102" s="10"/>
      <c r="U1102" s="10"/>
    </row>
    <row r="1103">
      <c r="A1103" s="8"/>
      <c r="B1103" s="9"/>
      <c r="C1103" s="9"/>
      <c r="D1103" s="9"/>
      <c r="E1103" s="9"/>
      <c r="F1103" s="9"/>
      <c r="G1103" s="9"/>
      <c r="H1103" s="9"/>
      <c r="I1103" s="9"/>
      <c r="J1103" s="10"/>
      <c r="K1103" s="10"/>
      <c r="L1103" s="10"/>
      <c r="M1103" s="10"/>
      <c r="N1103" s="11"/>
      <c r="O1103" s="11"/>
      <c r="P1103" s="11"/>
      <c r="Q1103" s="11"/>
      <c r="R1103" s="10"/>
      <c r="S1103" s="10"/>
      <c r="T1103" s="10"/>
      <c r="U1103" s="10"/>
    </row>
    <row r="1104">
      <c r="A1104" s="8"/>
      <c r="B1104" s="9"/>
      <c r="C1104" s="9"/>
      <c r="D1104" s="9"/>
      <c r="E1104" s="9"/>
      <c r="F1104" s="9"/>
      <c r="G1104" s="9"/>
      <c r="H1104" s="9"/>
      <c r="I1104" s="9"/>
      <c r="J1104" s="10"/>
      <c r="K1104" s="10"/>
      <c r="L1104" s="10"/>
      <c r="M1104" s="10"/>
      <c r="N1104" s="11"/>
      <c r="O1104" s="11"/>
      <c r="P1104" s="11"/>
      <c r="Q1104" s="11"/>
      <c r="R1104" s="10"/>
      <c r="S1104" s="10"/>
      <c r="T1104" s="10"/>
      <c r="U1104" s="10"/>
    </row>
    <row r="1105">
      <c r="A1105" s="8"/>
      <c r="B1105" s="9"/>
      <c r="C1105" s="9"/>
      <c r="D1105" s="9"/>
      <c r="E1105" s="9"/>
      <c r="F1105" s="9"/>
      <c r="G1105" s="9"/>
      <c r="H1105" s="9"/>
      <c r="I1105" s="9"/>
      <c r="J1105" s="10"/>
      <c r="K1105" s="10"/>
      <c r="L1105" s="10"/>
      <c r="M1105" s="10"/>
      <c r="N1105" s="11"/>
      <c r="O1105" s="11"/>
      <c r="P1105" s="11"/>
      <c r="Q1105" s="11"/>
      <c r="R1105" s="10"/>
      <c r="S1105" s="10"/>
      <c r="T1105" s="10"/>
      <c r="U1105" s="10"/>
    </row>
    <row r="1106">
      <c r="A1106" s="8"/>
      <c r="B1106" s="9"/>
      <c r="C1106" s="9"/>
      <c r="D1106" s="9"/>
      <c r="E1106" s="9"/>
      <c r="F1106" s="9"/>
      <c r="G1106" s="9"/>
      <c r="H1106" s="9"/>
      <c r="I1106" s="9"/>
      <c r="J1106" s="10"/>
      <c r="K1106" s="10"/>
      <c r="L1106" s="10"/>
      <c r="M1106" s="10"/>
      <c r="N1106" s="11"/>
      <c r="O1106" s="11"/>
      <c r="P1106" s="11"/>
      <c r="Q1106" s="11"/>
      <c r="R1106" s="10"/>
      <c r="S1106" s="10"/>
      <c r="T1106" s="10"/>
      <c r="U1106" s="10"/>
    </row>
    <row r="1107">
      <c r="A1107" s="8"/>
      <c r="B1107" s="9"/>
      <c r="C1107" s="9"/>
      <c r="D1107" s="9"/>
      <c r="E1107" s="9"/>
      <c r="F1107" s="9"/>
      <c r="G1107" s="9"/>
      <c r="H1107" s="9"/>
      <c r="I1107" s="9"/>
      <c r="J1107" s="10"/>
      <c r="K1107" s="10"/>
      <c r="L1107" s="10"/>
      <c r="M1107" s="10"/>
      <c r="N1107" s="11"/>
      <c r="O1107" s="11"/>
      <c r="P1107" s="11"/>
      <c r="Q1107" s="11"/>
      <c r="R1107" s="10"/>
      <c r="S1107" s="10"/>
      <c r="T1107" s="10"/>
      <c r="U1107" s="10"/>
    </row>
    <row r="1108">
      <c r="A1108" s="8"/>
      <c r="B1108" s="9"/>
      <c r="C1108" s="9"/>
      <c r="D1108" s="9"/>
      <c r="E1108" s="9"/>
      <c r="F1108" s="9"/>
      <c r="G1108" s="9"/>
      <c r="H1108" s="9"/>
      <c r="I1108" s="9"/>
      <c r="J1108" s="10"/>
      <c r="K1108" s="10"/>
      <c r="L1108" s="10"/>
      <c r="M1108" s="10"/>
      <c r="N1108" s="11"/>
      <c r="O1108" s="11"/>
      <c r="P1108" s="11"/>
      <c r="Q1108" s="11"/>
      <c r="R1108" s="10"/>
      <c r="S1108" s="10"/>
      <c r="T1108" s="10"/>
      <c r="U1108" s="10"/>
    </row>
    <row r="1109">
      <c r="A1109" s="8"/>
      <c r="B1109" s="9"/>
      <c r="C1109" s="9"/>
      <c r="D1109" s="9"/>
      <c r="E1109" s="9"/>
      <c r="F1109" s="9"/>
      <c r="G1109" s="9"/>
      <c r="H1109" s="9"/>
      <c r="I1109" s="9"/>
      <c r="J1109" s="10"/>
      <c r="K1109" s="10"/>
      <c r="L1109" s="10"/>
      <c r="M1109" s="10"/>
      <c r="N1109" s="11"/>
      <c r="O1109" s="11"/>
      <c r="P1109" s="11"/>
      <c r="Q1109" s="11"/>
      <c r="R1109" s="10"/>
      <c r="S1109" s="10"/>
      <c r="T1109" s="10"/>
      <c r="U1109" s="10"/>
    </row>
    <row r="1110">
      <c r="A1110" s="8"/>
      <c r="B1110" s="9"/>
      <c r="C1110" s="9"/>
      <c r="D1110" s="9"/>
      <c r="E1110" s="9"/>
      <c r="F1110" s="9"/>
      <c r="G1110" s="9"/>
      <c r="H1110" s="9"/>
      <c r="I1110" s="9"/>
      <c r="J1110" s="10"/>
      <c r="K1110" s="10"/>
      <c r="L1110" s="10"/>
      <c r="M1110" s="10"/>
      <c r="N1110" s="11"/>
      <c r="O1110" s="11"/>
      <c r="P1110" s="11"/>
      <c r="Q1110" s="11"/>
      <c r="R1110" s="10"/>
      <c r="S1110" s="10"/>
      <c r="T1110" s="10"/>
      <c r="U1110" s="10"/>
    </row>
    <row r="1111">
      <c r="A1111" s="8"/>
      <c r="B1111" s="9"/>
      <c r="C1111" s="9"/>
      <c r="D1111" s="9"/>
      <c r="E1111" s="9"/>
      <c r="F1111" s="9"/>
      <c r="G1111" s="9"/>
      <c r="H1111" s="9"/>
      <c r="I1111" s="9"/>
      <c r="J1111" s="10"/>
      <c r="K1111" s="10"/>
      <c r="L1111" s="10"/>
      <c r="M1111" s="10"/>
      <c r="N1111" s="11"/>
      <c r="O1111" s="11"/>
      <c r="P1111" s="11"/>
      <c r="Q1111" s="11"/>
      <c r="R1111" s="10"/>
      <c r="S1111" s="10"/>
      <c r="T1111" s="10"/>
      <c r="U1111" s="10"/>
    </row>
    <row r="1112">
      <c r="A1112" s="8"/>
      <c r="B1112" s="9"/>
      <c r="C1112" s="9"/>
      <c r="D1112" s="9"/>
      <c r="E1112" s="9"/>
      <c r="F1112" s="9"/>
      <c r="G1112" s="9"/>
      <c r="H1112" s="9"/>
      <c r="I1112" s="9"/>
      <c r="J1112" s="10"/>
      <c r="K1112" s="10"/>
      <c r="L1112" s="10"/>
      <c r="M1112" s="10"/>
      <c r="N1112" s="11"/>
      <c r="O1112" s="11"/>
      <c r="P1112" s="11"/>
      <c r="Q1112" s="11"/>
      <c r="R1112" s="10"/>
      <c r="S1112" s="10"/>
      <c r="T1112" s="10"/>
      <c r="U1112" s="10"/>
    </row>
    <row r="1113">
      <c r="A1113" s="8"/>
      <c r="B1113" s="9"/>
      <c r="C1113" s="9"/>
      <c r="D1113" s="9"/>
      <c r="E1113" s="9"/>
      <c r="F1113" s="9"/>
      <c r="G1113" s="9"/>
      <c r="H1113" s="9"/>
      <c r="I1113" s="9"/>
      <c r="J1113" s="10"/>
      <c r="K1113" s="10"/>
      <c r="L1113" s="10"/>
      <c r="M1113" s="10"/>
      <c r="N1113" s="11"/>
      <c r="O1113" s="11"/>
      <c r="P1113" s="11"/>
      <c r="Q1113" s="11"/>
      <c r="R1113" s="10"/>
      <c r="S1113" s="10"/>
      <c r="T1113" s="10"/>
      <c r="U1113" s="10"/>
    </row>
    <row r="1114">
      <c r="A1114" s="8"/>
      <c r="B1114" s="9"/>
      <c r="C1114" s="9"/>
      <c r="D1114" s="9"/>
      <c r="E1114" s="9"/>
      <c r="F1114" s="9"/>
      <c r="G1114" s="9"/>
      <c r="H1114" s="9"/>
      <c r="I1114" s="9"/>
      <c r="J1114" s="10"/>
      <c r="K1114" s="10"/>
      <c r="L1114" s="10"/>
      <c r="M1114" s="10"/>
      <c r="N1114" s="11"/>
      <c r="O1114" s="11"/>
      <c r="P1114" s="11"/>
      <c r="Q1114" s="11"/>
      <c r="R1114" s="10"/>
      <c r="S1114" s="10"/>
      <c r="T1114" s="10"/>
      <c r="U1114" s="10"/>
    </row>
    <row r="1115">
      <c r="A1115" s="8"/>
      <c r="B1115" s="9"/>
      <c r="C1115" s="9"/>
      <c r="D1115" s="9"/>
      <c r="E1115" s="9"/>
      <c r="F1115" s="9"/>
      <c r="G1115" s="9"/>
      <c r="H1115" s="9"/>
      <c r="I1115" s="9"/>
      <c r="J1115" s="10"/>
      <c r="K1115" s="10"/>
      <c r="L1115" s="10"/>
      <c r="M1115" s="10"/>
      <c r="N1115" s="11"/>
      <c r="O1115" s="11"/>
      <c r="P1115" s="11"/>
      <c r="Q1115" s="11"/>
      <c r="R1115" s="10"/>
      <c r="S1115" s="10"/>
      <c r="T1115" s="10"/>
      <c r="U1115" s="10"/>
    </row>
    <row r="1116">
      <c r="A1116" s="8"/>
      <c r="B1116" s="9"/>
      <c r="C1116" s="9"/>
      <c r="D1116" s="9"/>
      <c r="E1116" s="9"/>
      <c r="F1116" s="9"/>
      <c r="G1116" s="9"/>
      <c r="H1116" s="9"/>
      <c r="I1116" s="9"/>
      <c r="J1116" s="10"/>
      <c r="K1116" s="10"/>
      <c r="L1116" s="10"/>
      <c r="M1116" s="10"/>
      <c r="N1116" s="11"/>
      <c r="O1116" s="11"/>
      <c r="P1116" s="11"/>
      <c r="Q1116" s="11"/>
      <c r="R1116" s="10"/>
      <c r="S1116" s="10"/>
      <c r="T1116" s="10"/>
      <c r="U1116" s="10"/>
    </row>
    <row r="1117">
      <c r="A1117" s="8"/>
      <c r="B1117" s="9"/>
      <c r="C1117" s="9"/>
      <c r="D1117" s="9"/>
      <c r="E1117" s="9"/>
      <c r="F1117" s="9"/>
      <c r="G1117" s="9"/>
      <c r="H1117" s="9"/>
      <c r="I1117" s="9"/>
      <c r="J1117" s="10"/>
      <c r="K1117" s="10"/>
      <c r="L1117" s="10"/>
      <c r="M1117" s="10"/>
      <c r="N1117" s="11"/>
      <c r="O1117" s="11"/>
      <c r="P1117" s="11"/>
      <c r="Q1117" s="11"/>
      <c r="R1117" s="10"/>
      <c r="S1117" s="10"/>
      <c r="T1117" s="10"/>
      <c r="U1117" s="10"/>
    </row>
    <row r="1118">
      <c r="A1118" s="8"/>
      <c r="B1118" s="9"/>
      <c r="C1118" s="9"/>
      <c r="D1118" s="9"/>
      <c r="E1118" s="9"/>
      <c r="F1118" s="9"/>
      <c r="G1118" s="9"/>
      <c r="H1118" s="9"/>
      <c r="I1118" s="9"/>
      <c r="J1118" s="10"/>
      <c r="K1118" s="10"/>
      <c r="L1118" s="10"/>
      <c r="M1118" s="10"/>
      <c r="N1118" s="11"/>
      <c r="O1118" s="11"/>
      <c r="P1118" s="11"/>
      <c r="Q1118" s="11"/>
      <c r="R1118" s="10"/>
      <c r="S1118" s="10"/>
      <c r="T1118" s="10"/>
      <c r="U1118" s="10"/>
    </row>
    <row r="1119">
      <c r="A1119" s="8"/>
      <c r="B1119" s="9"/>
      <c r="C1119" s="9"/>
      <c r="D1119" s="9"/>
      <c r="E1119" s="9"/>
      <c r="F1119" s="9"/>
      <c r="G1119" s="9"/>
      <c r="H1119" s="9"/>
      <c r="I1119" s="9"/>
      <c r="J1119" s="10"/>
      <c r="K1119" s="10"/>
      <c r="L1119" s="10"/>
      <c r="M1119" s="10"/>
      <c r="N1119" s="11"/>
      <c r="O1119" s="11"/>
      <c r="P1119" s="11"/>
      <c r="Q1119" s="11"/>
      <c r="R1119" s="10"/>
      <c r="S1119" s="10"/>
      <c r="T1119" s="10"/>
      <c r="U1119" s="10"/>
    </row>
    <row r="1120">
      <c r="A1120" s="8"/>
      <c r="B1120" s="9"/>
      <c r="C1120" s="9"/>
      <c r="D1120" s="9"/>
      <c r="E1120" s="9"/>
      <c r="F1120" s="9"/>
      <c r="G1120" s="9"/>
      <c r="H1120" s="9"/>
      <c r="I1120" s="9"/>
      <c r="J1120" s="10"/>
      <c r="K1120" s="10"/>
      <c r="L1120" s="10"/>
      <c r="M1120" s="10"/>
      <c r="N1120" s="11"/>
      <c r="O1120" s="11"/>
      <c r="P1120" s="11"/>
      <c r="Q1120" s="11"/>
      <c r="R1120" s="10"/>
      <c r="S1120" s="10"/>
      <c r="T1120" s="10"/>
      <c r="U1120" s="10"/>
    </row>
    <row r="1121">
      <c r="A1121" s="8"/>
      <c r="B1121" s="9"/>
      <c r="C1121" s="9"/>
      <c r="D1121" s="9"/>
      <c r="E1121" s="9"/>
      <c r="F1121" s="9"/>
      <c r="G1121" s="9"/>
      <c r="H1121" s="9"/>
      <c r="I1121" s="9"/>
      <c r="J1121" s="10"/>
      <c r="K1121" s="10"/>
      <c r="L1121" s="10"/>
      <c r="M1121" s="10"/>
      <c r="N1121" s="11"/>
      <c r="O1121" s="11"/>
      <c r="P1121" s="11"/>
      <c r="Q1121" s="11"/>
      <c r="R1121" s="10"/>
      <c r="S1121" s="10"/>
      <c r="T1121" s="10"/>
      <c r="U1121" s="10"/>
    </row>
    <row r="1122">
      <c r="A1122" s="8"/>
      <c r="B1122" s="9"/>
      <c r="C1122" s="9"/>
      <c r="D1122" s="9"/>
      <c r="E1122" s="9"/>
      <c r="F1122" s="9"/>
      <c r="G1122" s="9"/>
      <c r="H1122" s="9"/>
      <c r="I1122" s="9"/>
      <c r="J1122" s="10"/>
      <c r="K1122" s="10"/>
      <c r="L1122" s="10"/>
      <c r="M1122" s="10"/>
      <c r="N1122" s="11"/>
      <c r="O1122" s="11"/>
      <c r="P1122" s="11"/>
      <c r="Q1122" s="11"/>
      <c r="R1122" s="10"/>
      <c r="S1122" s="10"/>
      <c r="T1122" s="10"/>
      <c r="U1122" s="10"/>
    </row>
    <row r="1123">
      <c r="A1123" s="8"/>
      <c r="B1123" s="9"/>
      <c r="C1123" s="9"/>
      <c r="D1123" s="9"/>
      <c r="E1123" s="9"/>
      <c r="F1123" s="9"/>
      <c r="G1123" s="9"/>
      <c r="H1123" s="9"/>
      <c r="I1123" s="9"/>
      <c r="J1123" s="10"/>
      <c r="K1123" s="10"/>
      <c r="L1123" s="10"/>
      <c r="M1123" s="10"/>
      <c r="N1123" s="11"/>
      <c r="O1123" s="11"/>
      <c r="P1123" s="11"/>
      <c r="Q1123" s="11"/>
      <c r="R1123" s="10"/>
      <c r="S1123" s="10"/>
      <c r="T1123" s="10"/>
      <c r="U1123" s="10"/>
    </row>
    <row r="1124">
      <c r="A1124" s="8"/>
      <c r="B1124" s="9"/>
      <c r="C1124" s="9"/>
      <c r="D1124" s="9"/>
      <c r="E1124" s="9"/>
      <c r="F1124" s="9"/>
      <c r="G1124" s="9"/>
      <c r="H1124" s="9"/>
      <c r="I1124" s="9"/>
      <c r="J1124" s="10"/>
      <c r="K1124" s="10"/>
      <c r="L1124" s="10"/>
      <c r="M1124" s="10"/>
      <c r="N1124" s="11"/>
      <c r="O1124" s="11"/>
      <c r="P1124" s="11"/>
      <c r="Q1124" s="11"/>
      <c r="R1124" s="10"/>
      <c r="S1124" s="10"/>
      <c r="T1124" s="10"/>
      <c r="U1124" s="10"/>
    </row>
    <row r="1125">
      <c r="A1125" s="8"/>
      <c r="B1125" s="9"/>
      <c r="C1125" s="9"/>
      <c r="D1125" s="9"/>
      <c r="E1125" s="9"/>
      <c r="F1125" s="9"/>
      <c r="G1125" s="9"/>
      <c r="H1125" s="9"/>
      <c r="I1125" s="9"/>
      <c r="J1125" s="10"/>
      <c r="K1125" s="10"/>
      <c r="L1125" s="10"/>
      <c r="M1125" s="10"/>
      <c r="N1125" s="11"/>
      <c r="O1125" s="11"/>
      <c r="P1125" s="11"/>
      <c r="Q1125" s="11"/>
      <c r="R1125" s="10"/>
      <c r="S1125" s="10"/>
      <c r="T1125" s="10"/>
      <c r="U1125" s="10"/>
    </row>
    <row r="1126">
      <c r="A1126" s="8"/>
      <c r="B1126" s="9"/>
      <c r="C1126" s="9"/>
      <c r="D1126" s="9"/>
      <c r="E1126" s="9"/>
      <c r="F1126" s="9"/>
      <c r="G1126" s="9"/>
      <c r="H1126" s="9"/>
      <c r="I1126" s="9"/>
      <c r="J1126" s="10"/>
      <c r="K1126" s="10"/>
      <c r="L1126" s="10"/>
      <c r="M1126" s="10"/>
      <c r="N1126" s="11"/>
      <c r="O1126" s="11"/>
      <c r="P1126" s="11"/>
      <c r="Q1126" s="11"/>
      <c r="R1126" s="10"/>
      <c r="S1126" s="10"/>
      <c r="T1126" s="10"/>
      <c r="U1126" s="10"/>
    </row>
    <row r="1127">
      <c r="A1127" s="8"/>
      <c r="B1127" s="9"/>
      <c r="C1127" s="9"/>
      <c r="D1127" s="9"/>
      <c r="E1127" s="9"/>
      <c r="F1127" s="9"/>
      <c r="G1127" s="9"/>
      <c r="H1127" s="9"/>
      <c r="I1127" s="9"/>
      <c r="J1127" s="10"/>
      <c r="K1127" s="10"/>
      <c r="L1127" s="10"/>
      <c r="M1127" s="10"/>
      <c r="N1127" s="11"/>
      <c r="O1127" s="11"/>
      <c r="P1127" s="11"/>
      <c r="Q1127" s="11"/>
      <c r="R1127" s="10"/>
      <c r="S1127" s="10"/>
      <c r="T1127" s="10"/>
      <c r="U1127" s="10"/>
    </row>
    <row r="1128">
      <c r="A1128" s="8"/>
      <c r="B1128" s="9"/>
      <c r="C1128" s="9"/>
      <c r="D1128" s="9"/>
      <c r="E1128" s="9"/>
      <c r="F1128" s="9"/>
      <c r="G1128" s="9"/>
      <c r="H1128" s="9"/>
      <c r="I1128" s="9"/>
      <c r="J1128" s="10"/>
      <c r="K1128" s="10"/>
      <c r="L1128" s="10"/>
      <c r="M1128" s="10"/>
      <c r="N1128" s="11"/>
      <c r="O1128" s="11"/>
      <c r="P1128" s="11"/>
      <c r="Q1128" s="11"/>
      <c r="R1128" s="10"/>
      <c r="S1128" s="10"/>
      <c r="T1128" s="10"/>
      <c r="U1128" s="10"/>
    </row>
    <row r="1129">
      <c r="A1129" s="8"/>
      <c r="B1129" s="9"/>
      <c r="C1129" s="9"/>
      <c r="D1129" s="9"/>
      <c r="E1129" s="9"/>
      <c r="F1129" s="9"/>
      <c r="G1129" s="9"/>
      <c r="H1129" s="9"/>
      <c r="I1129" s="9"/>
      <c r="J1129" s="10"/>
      <c r="K1129" s="10"/>
      <c r="L1129" s="10"/>
      <c r="M1129" s="10"/>
      <c r="N1129" s="11"/>
      <c r="O1129" s="11"/>
      <c r="P1129" s="11"/>
      <c r="Q1129" s="11"/>
      <c r="R1129" s="10"/>
      <c r="S1129" s="10"/>
      <c r="T1129" s="10"/>
      <c r="U1129" s="10"/>
    </row>
    <row r="1130">
      <c r="A1130" s="8"/>
      <c r="B1130" s="9"/>
      <c r="C1130" s="9"/>
      <c r="D1130" s="9"/>
      <c r="E1130" s="9"/>
      <c r="F1130" s="9"/>
      <c r="G1130" s="9"/>
      <c r="H1130" s="9"/>
      <c r="I1130" s="9"/>
      <c r="J1130" s="10"/>
      <c r="K1130" s="10"/>
      <c r="L1130" s="10"/>
      <c r="M1130" s="10"/>
      <c r="N1130" s="11"/>
      <c r="O1130" s="11"/>
      <c r="P1130" s="11"/>
      <c r="Q1130" s="11"/>
      <c r="R1130" s="10"/>
      <c r="S1130" s="10"/>
      <c r="T1130" s="10"/>
      <c r="U1130" s="10"/>
    </row>
    <row r="1131">
      <c r="A1131" s="8"/>
      <c r="B1131" s="9"/>
      <c r="C1131" s="9"/>
      <c r="D1131" s="9"/>
      <c r="E1131" s="9"/>
      <c r="F1131" s="9"/>
      <c r="G1131" s="9"/>
      <c r="H1131" s="9"/>
      <c r="I1131" s="9"/>
      <c r="J1131" s="10"/>
      <c r="K1131" s="10"/>
      <c r="L1131" s="10"/>
      <c r="M1131" s="10"/>
      <c r="N1131" s="11"/>
      <c r="O1131" s="11"/>
      <c r="P1131" s="11"/>
      <c r="Q1131" s="11"/>
      <c r="R1131" s="10"/>
      <c r="S1131" s="10"/>
      <c r="T1131" s="10"/>
      <c r="U1131" s="10"/>
    </row>
    <row r="1132">
      <c r="A1132" s="8"/>
      <c r="B1132" s="9"/>
      <c r="C1132" s="9"/>
      <c r="D1132" s="9"/>
      <c r="E1132" s="9"/>
      <c r="F1132" s="9"/>
      <c r="G1132" s="9"/>
      <c r="H1132" s="9"/>
      <c r="I1132" s="9"/>
      <c r="J1132" s="10"/>
      <c r="K1132" s="10"/>
      <c r="L1132" s="10"/>
      <c r="M1132" s="10"/>
      <c r="N1132" s="11"/>
      <c r="O1132" s="11"/>
      <c r="P1132" s="11"/>
      <c r="Q1132" s="11"/>
      <c r="R1132" s="10"/>
      <c r="S1132" s="10"/>
      <c r="T1132" s="10"/>
      <c r="U1132" s="10"/>
    </row>
    <row r="1133">
      <c r="A1133" s="8"/>
      <c r="B1133" s="9"/>
      <c r="C1133" s="9"/>
      <c r="D1133" s="9"/>
      <c r="E1133" s="9"/>
      <c r="F1133" s="9"/>
      <c r="G1133" s="9"/>
      <c r="H1133" s="9"/>
      <c r="I1133" s="9"/>
      <c r="J1133" s="10"/>
      <c r="K1133" s="10"/>
      <c r="L1133" s="10"/>
      <c r="M1133" s="10"/>
      <c r="N1133" s="11"/>
      <c r="O1133" s="11"/>
      <c r="P1133" s="11"/>
      <c r="Q1133" s="11"/>
      <c r="R1133" s="10"/>
      <c r="S1133" s="10"/>
      <c r="T1133" s="10"/>
      <c r="U1133" s="10"/>
    </row>
    <row r="1134">
      <c r="A1134" s="8"/>
      <c r="B1134" s="9"/>
      <c r="C1134" s="9"/>
      <c r="D1134" s="9"/>
      <c r="E1134" s="9"/>
      <c r="F1134" s="9"/>
      <c r="G1134" s="9"/>
      <c r="H1134" s="9"/>
      <c r="I1134" s="9"/>
      <c r="J1134" s="10"/>
      <c r="K1134" s="10"/>
      <c r="L1134" s="10"/>
      <c r="M1134" s="10"/>
      <c r="N1134" s="11"/>
      <c r="O1134" s="11"/>
      <c r="P1134" s="11"/>
      <c r="Q1134" s="11"/>
      <c r="R1134" s="10"/>
      <c r="S1134" s="10"/>
      <c r="T1134" s="10"/>
      <c r="U1134" s="10"/>
    </row>
    <row r="1135">
      <c r="A1135" s="8"/>
      <c r="B1135" s="9"/>
      <c r="C1135" s="9"/>
      <c r="D1135" s="9"/>
      <c r="E1135" s="9"/>
      <c r="F1135" s="9"/>
      <c r="G1135" s="9"/>
      <c r="H1135" s="9"/>
      <c r="I1135" s="9"/>
      <c r="J1135" s="10"/>
      <c r="K1135" s="10"/>
      <c r="L1135" s="10"/>
      <c r="M1135" s="10"/>
      <c r="N1135" s="11"/>
      <c r="O1135" s="11"/>
      <c r="P1135" s="11"/>
      <c r="Q1135" s="11"/>
      <c r="R1135" s="10"/>
      <c r="S1135" s="10"/>
      <c r="T1135" s="10"/>
      <c r="U1135" s="10"/>
    </row>
    <row r="1136">
      <c r="A1136" s="8"/>
      <c r="B1136" s="9"/>
      <c r="C1136" s="9"/>
      <c r="D1136" s="9"/>
      <c r="E1136" s="9"/>
      <c r="F1136" s="9"/>
      <c r="G1136" s="9"/>
      <c r="H1136" s="9"/>
      <c r="I1136" s="9"/>
      <c r="J1136" s="10"/>
      <c r="K1136" s="10"/>
      <c r="L1136" s="10"/>
      <c r="M1136" s="10"/>
      <c r="N1136" s="11"/>
      <c r="O1136" s="11"/>
      <c r="P1136" s="11"/>
      <c r="Q1136" s="11"/>
      <c r="R1136" s="10"/>
      <c r="S1136" s="10"/>
      <c r="T1136" s="10"/>
      <c r="U1136" s="10"/>
    </row>
    <row r="1137">
      <c r="A1137" s="8"/>
      <c r="B1137" s="9"/>
      <c r="C1137" s="9"/>
      <c r="D1137" s="9"/>
      <c r="E1137" s="9"/>
      <c r="F1137" s="9"/>
      <c r="G1137" s="9"/>
      <c r="H1137" s="9"/>
      <c r="I1137" s="9"/>
      <c r="J1137" s="10"/>
      <c r="K1137" s="10"/>
      <c r="L1137" s="10"/>
      <c r="M1137" s="10"/>
      <c r="N1137" s="11"/>
      <c r="O1137" s="11"/>
      <c r="P1137" s="11"/>
      <c r="Q1137" s="11"/>
      <c r="R1137" s="10"/>
      <c r="S1137" s="10"/>
      <c r="T1137" s="10"/>
      <c r="U1137" s="10"/>
    </row>
    <row r="1138">
      <c r="A1138" s="8"/>
      <c r="B1138" s="9"/>
      <c r="C1138" s="9"/>
      <c r="D1138" s="9"/>
      <c r="E1138" s="9"/>
      <c r="F1138" s="9"/>
      <c r="G1138" s="9"/>
      <c r="H1138" s="9"/>
      <c r="I1138" s="9"/>
      <c r="J1138" s="10"/>
      <c r="K1138" s="10"/>
      <c r="L1138" s="10"/>
      <c r="M1138" s="10"/>
      <c r="N1138" s="11"/>
      <c r="O1138" s="11"/>
      <c r="P1138" s="11"/>
      <c r="Q1138" s="11"/>
      <c r="R1138" s="10"/>
      <c r="S1138" s="10"/>
      <c r="T1138" s="10"/>
      <c r="U1138" s="10"/>
    </row>
    <row r="1139">
      <c r="A1139" s="8"/>
      <c r="B1139" s="9"/>
      <c r="C1139" s="9"/>
      <c r="D1139" s="9"/>
      <c r="E1139" s="9"/>
      <c r="F1139" s="9"/>
      <c r="G1139" s="9"/>
      <c r="H1139" s="9"/>
      <c r="I1139" s="9"/>
      <c r="J1139" s="10"/>
      <c r="K1139" s="10"/>
      <c r="L1139" s="10"/>
      <c r="M1139" s="10"/>
      <c r="N1139" s="11"/>
      <c r="O1139" s="11"/>
      <c r="P1139" s="11"/>
      <c r="Q1139" s="11"/>
      <c r="R1139" s="10"/>
      <c r="S1139" s="10"/>
      <c r="T1139" s="10"/>
      <c r="U1139" s="10"/>
    </row>
    <row r="1140">
      <c r="A1140" s="8"/>
      <c r="B1140" s="9"/>
      <c r="C1140" s="9"/>
      <c r="D1140" s="9"/>
      <c r="E1140" s="9"/>
      <c r="F1140" s="9"/>
      <c r="G1140" s="9"/>
      <c r="H1140" s="9"/>
      <c r="I1140" s="9"/>
      <c r="J1140" s="10"/>
      <c r="K1140" s="10"/>
      <c r="L1140" s="10"/>
      <c r="M1140" s="10"/>
      <c r="N1140" s="11"/>
      <c r="O1140" s="11"/>
      <c r="P1140" s="11"/>
      <c r="Q1140" s="11"/>
      <c r="R1140" s="10"/>
      <c r="S1140" s="10"/>
      <c r="T1140" s="10"/>
      <c r="U1140" s="10"/>
    </row>
    <row r="1141">
      <c r="A1141" s="8"/>
      <c r="B1141" s="9"/>
      <c r="C1141" s="9"/>
      <c r="D1141" s="9"/>
      <c r="E1141" s="9"/>
      <c r="F1141" s="9"/>
      <c r="G1141" s="9"/>
      <c r="H1141" s="9"/>
      <c r="I1141" s="9"/>
      <c r="J1141" s="10"/>
      <c r="K1141" s="10"/>
      <c r="L1141" s="10"/>
      <c r="M1141" s="10"/>
      <c r="N1141" s="11"/>
      <c r="O1141" s="11"/>
      <c r="P1141" s="11"/>
      <c r="Q1141" s="11"/>
      <c r="R1141" s="10"/>
      <c r="S1141" s="10"/>
      <c r="T1141" s="10"/>
      <c r="U1141" s="10"/>
    </row>
    <row r="1142">
      <c r="A1142" s="8"/>
      <c r="B1142" s="9"/>
      <c r="C1142" s="9"/>
      <c r="D1142" s="9"/>
      <c r="E1142" s="9"/>
      <c r="F1142" s="9"/>
      <c r="G1142" s="9"/>
      <c r="H1142" s="9"/>
      <c r="I1142" s="9"/>
      <c r="J1142" s="10"/>
      <c r="K1142" s="10"/>
      <c r="L1142" s="10"/>
      <c r="M1142" s="10"/>
      <c r="N1142" s="11"/>
      <c r="O1142" s="11"/>
      <c r="P1142" s="11"/>
      <c r="Q1142" s="11"/>
      <c r="R1142" s="10"/>
      <c r="S1142" s="10"/>
      <c r="T1142" s="10"/>
      <c r="U1142" s="10"/>
    </row>
    <row r="1143">
      <c r="A1143" s="8"/>
      <c r="B1143" s="9"/>
      <c r="C1143" s="9"/>
      <c r="D1143" s="9"/>
      <c r="E1143" s="9"/>
      <c r="F1143" s="9"/>
      <c r="G1143" s="9"/>
      <c r="H1143" s="9"/>
      <c r="I1143" s="9"/>
      <c r="J1143" s="10"/>
      <c r="K1143" s="10"/>
      <c r="L1143" s="10"/>
      <c r="M1143" s="10"/>
      <c r="N1143" s="11"/>
      <c r="O1143" s="11"/>
      <c r="P1143" s="11"/>
      <c r="Q1143" s="11"/>
      <c r="R1143" s="10"/>
      <c r="S1143" s="10"/>
      <c r="T1143" s="10"/>
      <c r="U1143" s="10"/>
    </row>
    <row r="1144">
      <c r="A1144" s="8"/>
      <c r="B1144" s="9"/>
      <c r="C1144" s="9"/>
      <c r="D1144" s="9"/>
      <c r="E1144" s="9"/>
      <c r="F1144" s="9"/>
      <c r="G1144" s="9"/>
      <c r="H1144" s="9"/>
      <c r="I1144" s="9"/>
      <c r="J1144" s="10"/>
      <c r="K1144" s="10"/>
      <c r="L1144" s="10"/>
      <c r="M1144" s="10"/>
      <c r="N1144" s="11"/>
      <c r="O1144" s="11"/>
      <c r="P1144" s="11"/>
      <c r="Q1144" s="11"/>
      <c r="R1144" s="10"/>
      <c r="S1144" s="10"/>
      <c r="T1144" s="10"/>
      <c r="U1144" s="10"/>
    </row>
    <row r="1145">
      <c r="A1145" s="8"/>
      <c r="B1145" s="9"/>
      <c r="C1145" s="9"/>
      <c r="D1145" s="9"/>
      <c r="E1145" s="9"/>
      <c r="F1145" s="9"/>
      <c r="G1145" s="9"/>
      <c r="H1145" s="9"/>
      <c r="I1145" s="9"/>
      <c r="J1145" s="10"/>
      <c r="K1145" s="10"/>
      <c r="L1145" s="10"/>
      <c r="M1145" s="10"/>
      <c r="N1145" s="11"/>
      <c r="O1145" s="11"/>
      <c r="P1145" s="11"/>
      <c r="Q1145" s="11"/>
      <c r="R1145" s="10"/>
      <c r="S1145" s="10"/>
      <c r="T1145" s="10"/>
      <c r="U1145" s="10"/>
    </row>
    <row r="1146">
      <c r="A1146" s="8"/>
      <c r="B1146" s="9"/>
      <c r="C1146" s="9"/>
      <c r="D1146" s="9"/>
      <c r="E1146" s="9"/>
      <c r="F1146" s="9"/>
      <c r="G1146" s="9"/>
      <c r="H1146" s="9"/>
      <c r="I1146" s="9"/>
      <c r="J1146" s="10"/>
      <c r="K1146" s="10"/>
      <c r="L1146" s="10"/>
      <c r="M1146" s="10"/>
      <c r="N1146" s="11"/>
      <c r="O1146" s="11"/>
      <c r="P1146" s="11"/>
      <c r="Q1146" s="11"/>
      <c r="R1146" s="10"/>
      <c r="S1146" s="10"/>
      <c r="T1146" s="10"/>
      <c r="U1146" s="10"/>
    </row>
    <row r="1147">
      <c r="A1147" s="8"/>
      <c r="B1147" s="9"/>
      <c r="C1147" s="9"/>
      <c r="D1147" s="9"/>
      <c r="E1147" s="9"/>
      <c r="F1147" s="9"/>
      <c r="G1147" s="9"/>
      <c r="H1147" s="9"/>
      <c r="I1147" s="9"/>
      <c r="J1147" s="10"/>
      <c r="K1147" s="10"/>
      <c r="L1147" s="10"/>
      <c r="M1147" s="10"/>
      <c r="N1147" s="11"/>
      <c r="O1147" s="11"/>
      <c r="P1147" s="11"/>
      <c r="Q1147" s="11"/>
      <c r="R1147" s="10"/>
      <c r="S1147" s="10"/>
      <c r="T1147" s="10"/>
      <c r="U1147" s="10"/>
    </row>
    <row r="1148">
      <c r="A1148" s="8"/>
      <c r="B1148" s="9"/>
      <c r="C1148" s="9"/>
      <c r="D1148" s="9"/>
      <c r="E1148" s="9"/>
      <c r="F1148" s="9"/>
      <c r="G1148" s="9"/>
      <c r="H1148" s="9"/>
      <c r="I1148" s="9"/>
      <c r="J1148" s="10"/>
      <c r="K1148" s="10"/>
      <c r="L1148" s="10"/>
      <c r="M1148" s="10"/>
      <c r="N1148" s="11"/>
      <c r="O1148" s="11"/>
      <c r="P1148" s="11"/>
      <c r="Q1148" s="11"/>
      <c r="R1148" s="10"/>
      <c r="S1148" s="10"/>
      <c r="T1148" s="10"/>
      <c r="U1148" s="10"/>
    </row>
    <row r="1149">
      <c r="A1149" s="8"/>
      <c r="B1149" s="9"/>
      <c r="C1149" s="9"/>
      <c r="D1149" s="9"/>
      <c r="E1149" s="9"/>
      <c r="F1149" s="9"/>
      <c r="G1149" s="9"/>
      <c r="H1149" s="9"/>
      <c r="I1149" s="9"/>
      <c r="J1149" s="10"/>
      <c r="K1149" s="10"/>
      <c r="L1149" s="10"/>
      <c r="M1149" s="10"/>
      <c r="N1149" s="11"/>
      <c r="O1149" s="11"/>
      <c r="P1149" s="11"/>
      <c r="Q1149" s="11"/>
      <c r="R1149" s="10"/>
      <c r="S1149" s="10"/>
      <c r="T1149" s="10"/>
      <c r="U1149" s="10"/>
    </row>
    <row r="1150">
      <c r="A1150" s="8"/>
      <c r="B1150" s="9"/>
      <c r="C1150" s="9"/>
      <c r="D1150" s="9"/>
      <c r="E1150" s="9"/>
      <c r="F1150" s="9"/>
      <c r="G1150" s="9"/>
      <c r="H1150" s="9"/>
      <c r="I1150" s="9"/>
      <c r="J1150" s="10"/>
      <c r="K1150" s="10"/>
      <c r="L1150" s="10"/>
      <c r="M1150" s="10"/>
      <c r="N1150" s="11"/>
      <c r="O1150" s="11"/>
      <c r="P1150" s="11"/>
      <c r="Q1150" s="11"/>
      <c r="R1150" s="10"/>
      <c r="S1150" s="10"/>
      <c r="T1150" s="10"/>
      <c r="U1150" s="10"/>
    </row>
    <row r="1151">
      <c r="A1151" s="8"/>
      <c r="B1151" s="9"/>
      <c r="C1151" s="9"/>
      <c r="D1151" s="9"/>
      <c r="E1151" s="9"/>
      <c r="F1151" s="9"/>
      <c r="G1151" s="9"/>
      <c r="H1151" s="9"/>
      <c r="I1151" s="9"/>
      <c r="J1151" s="10"/>
      <c r="K1151" s="10"/>
      <c r="L1151" s="10"/>
      <c r="M1151" s="10"/>
      <c r="N1151" s="11"/>
      <c r="O1151" s="11"/>
      <c r="P1151" s="11"/>
      <c r="Q1151" s="11"/>
      <c r="R1151" s="10"/>
      <c r="S1151" s="10"/>
      <c r="T1151" s="10"/>
      <c r="U1151" s="10"/>
    </row>
    <row r="1152">
      <c r="A1152" s="8"/>
      <c r="B1152" s="9"/>
      <c r="C1152" s="9"/>
      <c r="D1152" s="9"/>
      <c r="E1152" s="9"/>
      <c r="F1152" s="9"/>
      <c r="G1152" s="9"/>
      <c r="H1152" s="9"/>
      <c r="I1152" s="9"/>
      <c r="J1152" s="10"/>
      <c r="K1152" s="10"/>
      <c r="L1152" s="10"/>
      <c r="M1152" s="10"/>
      <c r="N1152" s="11"/>
      <c r="O1152" s="11"/>
      <c r="P1152" s="11"/>
      <c r="Q1152" s="11"/>
      <c r="R1152" s="10"/>
      <c r="S1152" s="10"/>
      <c r="T1152" s="10"/>
      <c r="U1152" s="10"/>
    </row>
    <row r="1153">
      <c r="A1153" s="8"/>
      <c r="B1153" s="9"/>
      <c r="C1153" s="9"/>
      <c r="D1153" s="9"/>
      <c r="E1153" s="9"/>
      <c r="F1153" s="9"/>
      <c r="G1153" s="9"/>
      <c r="H1153" s="9"/>
      <c r="I1153" s="9"/>
      <c r="J1153" s="10"/>
      <c r="K1153" s="10"/>
      <c r="L1153" s="10"/>
      <c r="M1153" s="10"/>
      <c r="N1153" s="11"/>
      <c r="O1153" s="11"/>
      <c r="P1153" s="11"/>
      <c r="Q1153" s="11"/>
      <c r="R1153" s="10"/>
      <c r="S1153" s="10"/>
      <c r="T1153" s="10"/>
      <c r="U1153" s="10"/>
    </row>
    <row r="1154">
      <c r="A1154" s="8"/>
      <c r="B1154" s="9"/>
      <c r="C1154" s="9"/>
      <c r="D1154" s="9"/>
      <c r="E1154" s="9"/>
      <c r="F1154" s="9"/>
      <c r="G1154" s="9"/>
      <c r="H1154" s="9"/>
      <c r="I1154" s="9"/>
      <c r="J1154" s="10"/>
      <c r="K1154" s="10"/>
      <c r="L1154" s="10"/>
      <c r="M1154" s="10"/>
      <c r="N1154" s="11"/>
      <c r="O1154" s="11"/>
      <c r="P1154" s="11"/>
      <c r="Q1154" s="11"/>
      <c r="R1154" s="10"/>
      <c r="S1154" s="10"/>
      <c r="T1154" s="10"/>
      <c r="U1154" s="10"/>
    </row>
    <row r="1155">
      <c r="A1155" s="8"/>
      <c r="B1155" s="9"/>
      <c r="C1155" s="9"/>
      <c r="D1155" s="9"/>
      <c r="E1155" s="9"/>
      <c r="F1155" s="9"/>
      <c r="G1155" s="9"/>
      <c r="H1155" s="9"/>
      <c r="I1155" s="9"/>
      <c r="J1155" s="10"/>
      <c r="K1155" s="10"/>
      <c r="L1155" s="10"/>
      <c r="M1155" s="10"/>
      <c r="N1155" s="11"/>
      <c r="O1155" s="11"/>
      <c r="P1155" s="11"/>
      <c r="Q1155" s="11"/>
      <c r="R1155" s="10"/>
      <c r="S1155" s="10"/>
      <c r="T1155" s="10"/>
      <c r="U1155" s="10"/>
    </row>
    <row r="1156">
      <c r="A1156" s="8"/>
      <c r="B1156" s="9"/>
      <c r="C1156" s="9"/>
      <c r="D1156" s="9"/>
      <c r="E1156" s="9"/>
      <c r="F1156" s="9"/>
      <c r="G1156" s="9"/>
      <c r="H1156" s="9"/>
      <c r="I1156" s="9"/>
      <c r="J1156" s="10"/>
      <c r="K1156" s="10"/>
      <c r="L1156" s="10"/>
      <c r="M1156" s="10"/>
      <c r="N1156" s="11"/>
      <c r="O1156" s="11"/>
      <c r="P1156" s="11"/>
      <c r="Q1156" s="11"/>
      <c r="R1156" s="10"/>
      <c r="S1156" s="10"/>
      <c r="T1156" s="10"/>
      <c r="U1156" s="10"/>
    </row>
    <row r="1157">
      <c r="A1157" s="8"/>
      <c r="B1157" s="9"/>
      <c r="C1157" s="9"/>
      <c r="D1157" s="9"/>
      <c r="E1157" s="9"/>
      <c r="F1157" s="9"/>
      <c r="G1157" s="9"/>
      <c r="H1157" s="9"/>
      <c r="I1157" s="9"/>
      <c r="J1157" s="10"/>
      <c r="K1157" s="10"/>
      <c r="L1157" s="10"/>
      <c r="M1157" s="10"/>
      <c r="N1157" s="11"/>
      <c r="O1157" s="11"/>
      <c r="P1157" s="11"/>
      <c r="Q1157" s="11"/>
      <c r="R1157" s="10"/>
      <c r="S1157" s="10"/>
      <c r="T1157" s="10"/>
      <c r="U1157" s="10"/>
    </row>
    <row r="1158">
      <c r="A1158" s="8"/>
      <c r="B1158" s="9"/>
      <c r="C1158" s="9"/>
      <c r="D1158" s="9"/>
      <c r="E1158" s="9"/>
      <c r="F1158" s="9"/>
      <c r="G1158" s="9"/>
      <c r="H1158" s="9"/>
      <c r="I1158" s="9"/>
      <c r="J1158" s="10"/>
      <c r="K1158" s="10"/>
      <c r="L1158" s="10"/>
      <c r="M1158" s="10"/>
      <c r="N1158" s="11"/>
      <c r="O1158" s="11"/>
      <c r="P1158" s="11"/>
      <c r="Q1158" s="11"/>
      <c r="R1158" s="10"/>
      <c r="S1158" s="10"/>
      <c r="T1158" s="10"/>
      <c r="U1158" s="10"/>
    </row>
    <row r="1159">
      <c r="A1159" s="8"/>
      <c r="B1159" s="9"/>
      <c r="C1159" s="9"/>
      <c r="D1159" s="9"/>
      <c r="E1159" s="9"/>
      <c r="F1159" s="9"/>
      <c r="G1159" s="9"/>
      <c r="H1159" s="9"/>
      <c r="I1159" s="9"/>
      <c r="J1159" s="10"/>
      <c r="K1159" s="10"/>
      <c r="L1159" s="10"/>
      <c r="M1159" s="10"/>
      <c r="N1159" s="11"/>
      <c r="O1159" s="11"/>
      <c r="P1159" s="11"/>
      <c r="Q1159" s="11"/>
      <c r="R1159" s="10"/>
      <c r="S1159" s="10"/>
      <c r="T1159" s="10"/>
      <c r="U1159" s="10"/>
    </row>
    <row r="1160">
      <c r="A1160" s="8"/>
      <c r="B1160" s="9"/>
      <c r="C1160" s="9"/>
      <c r="D1160" s="9"/>
      <c r="E1160" s="9"/>
      <c r="F1160" s="9"/>
      <c r="G1160" s="9"/>
      <c r="H1160" s="9"/>
      <c r="I1160" s="9"/>
      <c r="J1160" s="10"/>
      <c r="K1160" s="10"/>
      <c r="L1160" s="10"/>
      <c r="M1160" s="10"/>
      <c r="N1160" s="11"/>
      <c r="O1160" s="11"/>
      <c r="P1160" s="11"/>
      <c r="Q1160" s="11"/>
      <c r="R1160" s="10"/>
      <c r="S1160" s="10"/>
      <c r="T1160" s="10"/>
      <c r="U1160" s="10"/>
    </row>
    <row r="1161">
      <c r="A1161" s="8"/>
      <c r="B1161" s="9"/>
      <c r="C1161" s="9"/>
      <c r="D1161" s="9"/>
      <c r="E1161" s="9"/>
      <c r="F1161" s="9"/>
      <c r="G1161" s="9"/>
      <c r="H1161" s="9"/>
      <c r="I1161" s="9"/>
      <c r="J1161" s="10"/>
      <c r="K1161" s="10"/>
      <c r="L1161" s="10"/>
      <c r="M1161" s="10"/>
      <c r="N1161" s="11"/>
      <c r="O1161" s="11"/>
      <c r="P1161" s="11"/>
      <c r="Q1161" s="11"/>
      <c r="R1161" s="10"/>
      <c r="S1161" s="10"/>
      <c r="T1161" s="10"/>
      <c r="U1161" s="10"/>
    </row>
    <row r="1162">
      <c r="A1162" s="8"/>
      <c r="B1162" s="9"/>
      <c r="C1162" s="9"/>
      <c r="D1162" s="9"/>
      <c r="E1162" s="9"/>
      <c r="F1162" s="9"/>
      <c r="G1162" s="9"/>
      <c r="H1162" s="9"/>
      <c r="I1162" s="9"/>
      <c r="J1162" s="10"/>
      <c r="K1162" s="10"/>
      <c r="L1162" s="10"/>
      <c r="M1162" s="10"/>
      <c r="N1162" s="11"/>
      <c r="O1162" s="11"/>
      <c r="P1162" s="11"/>
      <c r="Q1162" s="11"/>
      <c r="R1162" s="10"/>
      <c r="S1162" s="10"/>
      <c r="T1162" s="10"/>
      <c r="U1162" s="10"/>
    </row>
    <row r="1163">
      <c r="A1163" s="8"/>
      <c r="B1163" s="9"/>
      <c r="C1163" s="9"/>
      <c r="D1163" s="9"/>
      <c r="E1163" s="9"/>
      <c r="F1163" s="9"/>
      <c r="G1163" s="9"/>
      <c r="H1163" s="9"/>
      <c r="I1163" s="9"/>
      <c r="J1163" s="10"/>
      <c r="K1163" s="10"/>
      <c r="L1163" s="10"/>
      <c r="M1163" s="10"/>
      <c r="N1163" s="11"/>
      <c r="O1163" s="11"/>
      <c r="P1163" s="11"/>
      <c r="Q1163" s="11"/>
      <c r="R1163" s="10"/>
      <c r="S1163" s="10"/>
      <c r="T1163" s="10"/>
      <c r="U1163" s="10"/>
    </row>
    <row r="1164">
      <c r="A1164" s="8"/>
      <c r="B1164" s="9"/>
      <c r="C1164" s="9"/>
      <c r="D1164" s="9"/>
      <c r="E1164" s="9"/>
      <c r="F1164" s="9"/>
      <c r="G1164" s="9"/>
      <c r="H1164" s="9"/>
      <c r="I1164" s="9"/>
      <c r="J1164" s="10"/>
      <c r="K1164" s="10"/>
      <c r="L1164" s="10"/>
      <c r="M1164" s="10"/>
      <c r="N1164" s="11"/>
      <c r="O1164" s="11"/>
      <c r="P1164" s="11"/>
      <c r="Q1164" s="11"/>
      <c r="R1164" s="10"/>
      <c r="S1164" s="10"/>
      <c r="T1164" s="10"/>
      <c r="U1164" s="10"/>
    </row>
    <row r="1165">
      <c r="A1165" s="8"/>
      <c r="B1165" s="9"/>
      <c r="C1165" s="9"/>
      <c r="D1165" s="9"/>
      <c r="E1165" s="9"/>
      <c r="F1165" s="9"/>
      <c r="G1165" s="9"/>
      <c r="H1165" s="9"/>
      <c r="I1165" s="9"/>
      <c r="J1165" s="10"/>
      <c r="K1165" s="10"/>
      <c r="L1165" s="10"/>
      <c r="M1165" s="10"/>
      <c r="N1165" s="11"/>
      <c r="O1165" s="11"/>
      <c r="P1165" s="11"/>
      <c r="Q1165" s="11"/>
      <c r="R1165" s="10"/>
      <c r="S1165" s="10"/>
      <c r="T1165" s="10"/>
      <c r="U1165" s="10"/>
    </row>
    <row r="1166">
      <c r="A1166" s="8"/>
      <c r="B1166" s="9"/>
      <c r="C1166" s="9"/>
      <c r="D1166" s="9"/>
      <c r="E1166" s="9"/>
      <c r="F1166" s="9"/>
      <c r="G1166" s="9"/>
      <c r="H1166" s="9"/>
      <c r="I1166" s="9"/>
      <c r="J1166" s="10"/>
      <c r="K1166" s="10"/>
      <c r="L1166" s="10"/>
      <c r="M1166" s="10"/>
      <c r="N1166" s="11"/>
      <c r="O1166" s="11"/>
      <c r="P1166" s="11"/>
      <c r="Q1166" s="11"/>
      <c r="R1166" s="10"/>
      <c r="S1166" s="10"/>
      <c r="T1166" s="10"/>
      <c r="U1166" s="10"/>
    </row>
    <row r="1167">
      <c r="A1167" s="8"/>
      <c r="B1167" s="9"/>
      <c r="C1167" s="9"/>
      <c r="D1167" s="9"/>
      <c r="E1167" s="9"/>
      <c r="F1167" s="9"/>
      <c r="G1167" s="9"/>
      <c r="H1167" s="9"/>
      <c r="I1167" s="9"/>
      <c r="J1167" s="10"/>
      <c r="K1167" s="10"/>
      <c r="L1167" s="10"/>
      <c r="M1167" s="10"/>
      <c r="N1167" s="11"/>
      <c r="O1167" s="11"/>
      <c r="P1167" s="11"/>
      <c r="Q1167" s="11"/>
      <c r="R1167" s="10"/>
      <c r="S1167" s="10"/>
      <c r="T1167" s="10"/>
      <c r="U1167" s="10"/>
    </row>
    <row r="1168">
      <c r="A1168" s="8"/>
      <c r="B1168" s="9"/>
      <c r="C1168" s="9"/>
      <c r="D1168" s="9"/>
      <c r="E1168" s="9"/>
      <c r="F1168" s="9"/>
      <c r="G1168" s="9"/>
      <c r="H1168" s="9"/>
      <c r="I1168" s="9"/>
      <c r="J1168" s="10"/>
      <c r="K1168" s="10"/>
      <c r="L1168" s="10"/>
      <c r="M1168" s="10"/>
      <c r="N1168" s="11"/>
      <c r="O1168" s="11"/>
      <c r="P1168" s="11"/>
      <c r="Q1168" s="11"/>
      <c r="R1168" s="10"/>
      <c r="S1168" s="10"/>
      <c r="T1168" s="10"/>
      <c r="U1168" s="10"/>
    </row>
    <row r="1169">
      <c r="A1169" s="8"/>
      <c r="B1169" s="9"/>
      <c r="C1169" s="9"/>
      <c r="D1169" s="9"/>
      <c r="E1169" s="9"/>
      <c r="F1169" s="9"/>
      <c r="G1169" s="9"/>
      <c r="H1169" s="9"/>
      <c r="I1169" s="9"/>
      <c r="J1169" s="10"/>
      <c r="K1169" s="10"/>
      <c r="L1169" s="10"/>
      <c r="M1169" s="10"/>
      <c r="N1169" s="11"/>
      <c r="O1169" s="11"/>
      <c r="P1169" s="11"/>
      <c r="Q1169" s="11"/>
      <c r="R1169" s="10"/>
      <c r="S1169" s="10"/>
      <c r="T1169" s="10"/>
      <c r="U1169" s="10"/>
    </row>
    <row r="1170">
      <c r="A1170" s="8"/>
      <c r="B1170" s="9"/>
      <c r="C1170" s="9"/>
      <c r="D1170" s="9"/>
      <c r="E1170" s="9"/>
      <c r="F1170" s="9"/>
      <c r="G1170" s="9"/>
      <c r="H1170" s="9"/>
      <c r="I1170" s="9"/>
      <c r="J1170" s="10"/>
      <c r="K1170" s="10"/>
      <c r="L1170" s="10"/>
      <c r="M1170" s="10"/>
      <c r="N1170" s="11"/>
      <c r="O1170" s="11"/>
      <c r="P1170" s="11"/>
      <c r="Q1170" s="11"/>
      <c r="R1170" s="10"/>
      <c r="S1170" s="10"/>
      <c r="T1170" s="10"/>
      <c r="U1170" s="10"/>
    </row>
    <row r="1171">
      <c r="A1171" s="8"/>
      <c r="B1171" s="9"/>
      <c r="C1171" s="9"/>
      <c r="D1171" s="9"/>
      <c r="E1171" s="9"/>
      <c r="F1171" s="9"/>
      <c r="G1171" s="9"/>
      <c r="H1171" s="9"/>
      <c r="I1171" s="9"/>
      <c r="J1171" s="10"/>
      <c r="K1171" s="10"/>
      <c r="L1171" s="10"/>
      <c r="M1171" s="10"/>
      <c r="N1171" s="11"/>
      <c r="O1171" s="11"/>
      <c r="P1171" s="11"/>
      <c r="Q1171" s="11"/>
      <c r="R1171" s="10"/>
      <c r="S1171" s="10"/>
      <c r="T1171" s="10"/>
      <c r="U1171" s="10"/>
    </row>
    <row r="1172">
      <c r="A1172" s="8"/>
      <c r="B1172" s="9"/>
      <c r="C1172" s="9"/>
      <c r="D1172" s="9"/>
      <c r="E1172" s="9"/>
      <c r="F1172" s="9"/>
      <c r="G1172" s="9"/>
      <c r="H1172" s="9"/>
      <c r="I1172" s="9"/>
      <c r="J1172" s="10"/>
      <c r="K1172" s="10"/>
      <c r="L1172" s="10"/>
      <c r="M1172" s="10"/>
      <c r="N1172" s="11"/>
      <c r="O1172" s="11"/>
      <c r="P1172" s="11"/>
      <c r="Q1172" s="11"/>
      <c r="R1172" s="10"/>
      <c r="S1172" s="10"/>
      <c r="T1172" s="10"/>
      <c r="U1172" s="10"/>
    </row>
    <row r="1173">
      <c r="A1173" s="8"/>
      <c r="B1173" s="9"/>
      <c r="C1173" s="9"/>
      <c r="D1173" s="9"/>
      <c r="E1173" s="9"/>
      <c r="F1173" s="9"/>
      <c r="G1173" s="9"/>
      <c r="H1173" s="9"/>
      <c r="I1173" s="9"/>
      <c r="J1173" s="10"/>
      <c r="K1173" s="10"/>
      <c r="L1173" s="10"/>
      <c r="M1173" s="10"/>
      <c r="N1173" s="11"/>
      <c r="O1173" s="11"/>
      <c r="P1173" s="11"/>
      <c r="Q1173" s="11"/>
      <c r="R1173" s="10"/>
      <c r="S1173" s="10"/>
      <c r="T1173" s="10"/>
      <c r="U1173" s="10"/>
    </row>
    <row r="1174">
      <c r="A1174" s="8"/>
      <c r="B1174" s="9"/>
      <c r="C1174" s="9"/>
      <c r="D1174" s="9"/>
      <c r="E1174" s="9"/>
      <c r="F1174" s="9"/>
      <c r="G1174" s="9"/>
      <c r="H1174" s="9"/>
      <c r="I1174" s="9"/>
      <c r="J1174" s="10"/>
      <c r="K1174" s="10"/>
      <c r="L1174" s="10"/>
      <c r="M1174" s="10"/>
      <c r="N1174" s="11"/>
      <c r="O1174" s="11"/>
      <c r="P1174" s="11"/>
      <c r="Q1174" s="11"/>
      <c r="R1174" s="10"/>
      <c r="S1174" s="10"/>
      <c r="T1174" s="10"/>
      <c r="U1174" s="10"/>
    </row>
    <row r="1175">
      <c r="A1175" s="8"/>
      <c r="B1175" s="9"/>
      <c r="C1175" s="9"/>
      <c r="D1175" s="9"/>
      <c r="E1175" s="9"/>
      <c r="F1175" s="9"/>
      <c r="G1175" s="9"/>
      <c r="H1175" s="9"/>
      <c r="I1175" s="9"/>
      <c r="J1175" s="10"/>
      <c r="K1175" s="10"/>
      <c r="L1175" s="10"/>
      <c r="M1175" s="10"/>
      <c r="N1175" s="11"/>
      <c r="O1175" s="11"/>
      <c r="P1175" s="11"/>
      <c r="Q1175" s="11"/>
      <c r="R1175" s="10"/>
      <c r="S1175" s="10"/>
      <c r="T1175" s="10"/>
      <c r="U1175" s="10"/>
    </row>
    <row r="1176">
      <c r="A1176" s="8"/>
      <c r="B1176" s="9"/>
      <c r="C1176" s="9"/>
      <c r="D1176" s="9"/>
      <c r="E1176" s="9"/>
      <c r="F1176" s="9"/>
      <c r="G1176" s="9"/>
      <c r="H1176" s="9"/>
      <c r="I1176" s="9"/>
      <c r="J1176" s="10"/>
      <c r="K1176" s="10"/>
      <c r="L1176" s="10"/>
      <c r="M1176" s="10"/>
      <c r="N1176" s="11"/>
      <c r="O1176" s="11"/>
      <c r="P1176" s="11"/>
      <c r="Q1176" s="11"/>
      <c r="R1176" s="10"/>
      <c r="S1176" s="10"/>
      <c r="T1176" s="10"/>
      <c r="U1176" s="10"/>
    </row>
    <row r="1177">
      <c r="A1177" s="8"/>
      <c r="B1177" s="9"/>
      <c r="C1177" s="9"/>
      <c r="D1177" s="9"/>
      <c r="E1177" s="9"/>
      <c r="F1177" s="9"/>
      <c r="G1177" s="9"/>
      <c r="H1177" s="9"/>
      <c r="I1177" s="9"/>
      <c r="J1177" s="10"/>
      <c r="K1177" s="10"/>
      <c r="L1177" s="10"/>
      <c r="M1177" s="10"/>
      <c r="N1177" s="11"/>
      <c r="O1177" s="11"/>
      <c r="P1177" s="11"/>
      <c r="Q1177" s="11"/>
      <c r="R1177" s="10"/>
      <c r="S1177" s="10"/>
      <c r="T1177" s="10"/>
      <c r="U1177" s="10"/>
    </row>
    <row r="1178">
      <c r="A1178" s="8"/>
      <c r="B1178" s="9"/>
      <c r="C1178" s="9"/>
      <c r="D1178" s="9"/>
      <c r="E1178" s="9"/>
      <c r="F1178" s="9"/>
      <c r="G1178" s="9"/>
      <c r="H1178" s="9"/>
      <c r="I1178" s="9"/>
      <c r="J1178" s="10"/>
      <c r="K1178" s="10"/>
      <c r="L1178" s="10"/>
      <c r="M1178" s="10"/>
      <c r="N1178" s="11"/>
      <c r="O1178" s="11"/>
      <c r="P1178" s="11"/>
      <c r="Q1178" s="11"/>
      <c r="R1178" s="10"/>
      <c r="S1178" s="10"/>
      <c r="T1178" s="10"/>
      <c r="U1178" s="10"/>
    </row>
    <row r="1179">
      <c r="A1179" s="8"/>
      <c r="B1179" s="9"/>
      <c r="C1179" s="9"/>
      <c r="D1179" s="9"/>
      <c r="E1179" s="9"/>
      <c r="F1179" s="9"/>
      <c r="G1179" s="9"/>
      <c r="H1179" s="9"/>
      <c r="I1179" s="9"/>
      <c r="J1179" s="10"/>
      <c r="K1179" s="10"/>
      <c r="L1179" s="10"/>
      <c r="M1179" s="10"/>
      <c r="N1179" s="11"/>
      <c r="O1179" s="11"/>
      <c r="P1179" s="11"/>
      <c r="Q1179" s="11"/>
      <c r="R1179" s="10"/>
      <c r="S1179" s="10"/>
      <c r="T1179" s="10"/>
      <c r="U1179" s="10"/>
    </row>
    <row r="1180">
      <c r="A1180" s="8"/>
      <c r="B1180" s="9"/>
      <c r="C1180" s="9"/>
      <c r="D1180" s="9"/>
      <c r="E1180" s="9"/>
      <c r="F1180" s="9"/>
      <c r="G1180" s="9"/>
      <c r="H1180" s="9"/>
      <c r="I1180" s="9"/>
      <c r="J1180" s="10"/>
      <c r="K1180" s="10"/>
      <c r="L1180" s="10"/>
      <c r="M1180" s="10"/>
      <c r="N1180" s="11"/>
      <c r="O1180" s="11"/>
      <c r="P1180" s="11"/>
      <c r="Q1180" s="11"/>
      <c r="R1180" s="10"/>
      <c r="S1180" s="10"/>
      <c r="T1180" s="10"/>
      <c r="U1180" s="10"/>
    </row>
    <row r="1181">
      <c r="A1181" s="8"/>
      <c r="B1181" s="9"/>
      <c r="C1181" s="9"/>
      <c r="D1181" s="9"/>
      <c r="E1181" s="9"/>
      <c r="F1181" s="9"/>
      <c r="G1181" s="9"/>
      <c r="H1181" s="9"/>
      <c r="I1181" s="9"/>
      <c r="J1181" s="10"/>
      <c r="K1181" s="10"/>
      <c r="L1181" s="10"/>
      <c r="M1181" s="10"/>
      <c r="N1181" s="11"/>
      <c r="O1181" s="11"/>
      <c r="P1181" s="11"/>
      <c r="Q1181" s="11"/>
      <c r="R1181" s="10"/>
      <c r="S1181" s="10"/>
      <c r="T1181" s="10"/>
      <c r="U1181" s="10"/>
    </row>
    <row r="1182">
      <c r="A1182" s="8"/>
      <c r="B1182" s="9"/>
      <c r="C1182" s="9"/>
      <c r="D1182" s="9"/>
      <c r="E1182" s="9"/>
      <c r="F1182" s="9"/>
      <c r="G1182" s="9"/>
      <c r="H1182" s="9"/>
      <c r="I1182" s="9"/>
      <c r="J1182" s="10"/>
      <c r="K1182" s="10"/>
      <c r="L1182" s="10"/>
      <c r="M1182" s="10"/>
      <c r="N1182" s="11"/>
      <c r="O1182" s="11"/>
      <c r="P1182" s="11"/>
      <c r="Q1182" s="11"/>
      <c r="R1182" s="10"/>
      <c r="S1182" s="10"/>
      <c r="T1182" s="10"/>
      <c r="U1182" s="10"/>
    </row>
    <row r="1183">
      <c r="A1183" s="8"/>
      <c r="B1183" s="9"/>
      <c r="C1183" s="9"/>
      <c r="D1183" s="9"/>
      <c r="E1183" s="9"/>
      <c r="F1183" s="9"/>
      <c r="G1183" s="9"/>
      <c r="H1183" s="9"/>
      <c r="I1183" s="9"/>
      <c r="J1183" s="10"/>
      <c r="K1183" s="10"/>
      <c r="L1183" s="10"/>
      <c r="M1183" s="10"/>
      <c r="N1183" s="11"/>
      <c r="O1183" s="11"/>
      <c r="P1183" s="11"/>
      <c r="Q1183" s="11"/>
      <c r="R1183" s="10"/>
      <c r="S1183" s="10"/>
      <c r="T1183" s="10"/>
      <c r="U1183" s="10"/>
    </row>
    <row r="1184">
      <c r="A1184" s="8"/>
      <c r="B1184" s="9"/>
      <c r="C1184" s="9"/>
      <c r="D1184" s="9"/>
      <c r="E1184" s="9"/>
      <c r="F1184" s="9"/>
      <c r="G1184" s="9"/>
      <c r="H1184" s="9"/>
      <c r="I1184" s="9"/>
      <c r="J1184" s="10"/>
      <c r="K1184" s="10"/>
      <c r="L1184" s="10"/>
      <c r="M1184" s="10"/>
      <c r="N1184" s="11"/>
      <c r="O1184" s="11"/>
      <c r="P1184" s="11"/>
      <c r="Q1184" s="11"/>
      <c r="R1184" s="10"/>
      <c r="S1184" s="10"/>
      <c r="T1184" s="10"/>
      <c r="U1184" s="10"/>
    </row>
    <row r="1185">
      <c r="A1185" s="8"/>
      <c r="B1185" s="9"/>
      <c r="C1185" s="9"/>
      <c r="D1185" s="9"/>
      <c r="E1185" s="9"/>
      <c r="F1185" s="9"/>
      <c r="G1185" s="9"/>
      <c r="H1185" s="9"/>
      <c r="I1185" s="9"/>
      <c r="J1185" s="10"/>
      <c r="K1185" s="10"/>
      <c r="L1185" s="10"/>
      <c r="M1185" s="10"/>
      <c r="N1185" s="11"/>
      <c r="O1185" s="11"/>
      <c r="P1185" s="11"/>
      <c r="Q1185" s="11"/>
      <c r="R1185" s="10"/>
      <c r="S1185" s="10"/>
      <c r="T1185" s="10"/>
      <c r="U1185" s="10"/>
    </row>
    <row r="1186">
      <c r="A1186" s="8"/>
      <c r="B1186" s="9"/>
      <c r="C1186" s="9"/>
      <c r="D1186" s="9"/>
      <c r="E1186" s="9"/>
      <c r="F1186" s="9"/>
      <c r="G1186" s="9"/>
      <c r="H1186" s="9"/>
      <c r="I1186" s="9"/>
      <c r="J1186" s="10"/>
      <c r="K1186" s="10"/>
      <c r="L1186" s="10"/>
      <c r="M1186" s="10"/>
      <c r="N1186" s="11"/>
      <c r="O1186" s="11"/>
      <c r="P1186" s="11"/>
      <c r="Q1186" s="11"/>
      <c r="R1186" s="10"/>
      <c r="S1186" s="10"/>
      <c r="T1186" s="10"/>
      <c r="U1186" s="10"/>
    </row>
    <row r="1187">
      <c r="A1187" s="8"/>
      <c r="B1187" s="9"/>
      <c r="C1187" s="9"/>
      <c r="D1187" s="9"/>
      <c r="E1187" s="9"/>
      <c r="F1187" s="9"/>
      <c r="G1187" s="9"/>
      <c r="H1187" s="9"/>
      <c r="I1187" s="9"/>
      <c r="J1187" s="10"/>
      <c r="K1187" s="10"/>
      <c r="L1187" s="10"/>
      <c r="M1187" s="10"/>
      <c r="N1187" s="11"/>
      <c r="O1187" s="11"/>
      <c r="P1187" s="11"/>
      <c r="Q1187" s="11"/>
      <c r="R1187" s="10"/>
      <c r="S1187" s="10"/>
      <c r="T1187" s="10"/>
      <c r="U1187" s="10"/>
    </row>
    <row r="1188">
      <c r="A1188" s="8"/>
      <c r="B1188" s="9"/>
      <c r="C1188" s="9"/>
      <c r="D1188" s="9"/>
      <c r="E1188" s="9"/>
      <c r="F1188" s="9"/>
      <c r="G1188" s="9"/>
      <c r="H1188" s="9"/>
      <c r="I1188" s="9"/>
      <c r="J1188" s="10"/>
      <c r="K1188" s="10"/>
      <c r="L1188" s="10"/>
      <c r="M1188" s="10"/>
      <c r="N1188" s="11"/>
      <c r="O1188" s="11"/>
      <c r="P1188" s="11"/>
      <c r="Q1188" s="11"/>
      <c r="R1188" s="10"/>
      <c r="S1188" s="10"/>
      <c r="T1188" s="10"/>
      <c r="U1188" s="10"/>
    </row>
    <row r="1189">
      <c r="A1189" s="8"/>
      <c r="B1189" s="9"/>
      <c r="C1189" s="9"/>
      <c r="D1189" s="9"/>
      <c r="E1189" s="9"/>
      <c r="F1189" s="9"/>
      <c r="G1189" s="9"/>
      <c r="H1189" s="9"/>
      <c r="I1189" s="9"/>
      <c r="J1189" s="10"/>
      <c r="K1189" s="10"/>
      <c r="L1189" s="10"/>
      <c r="M1189" s="10"/>
      <c r="N1189" s="11"/>
      <c r="O1189" s="11"/>
      <c r="P1189" s="11"/>
      <c r="Q1189" s="11"/>
      <c r="R1189" s="10"/>
      <c r="S1189" s="10"/>
      <c r="T1189" s="10"/>
      <c r="U1189" s="10"/>
    </row>
    <row r="1190">
      <c r="A1190" s="8"/>
      <c r="B1190" s="9"/>
      <c r="C1190" s="9"/>
      <c r="D1190" s="9"/>
      <c r="E1190" s="9"/>
      <c r="F1190" s="9"/>
      <c r="G1190" s="9"/>
      <c r="H1190" s="9"/>
      <c r="I1190" s="9"/>
      <c r="J1190" s="10"/>
      <c r="K1190" s="10"/>
      <c r="L1190" s="10"/>
      <c r="M1190" s="10"/>
      <c r="N1190" s="11"/>
      <c r="O1190" s="11"/>
      <c r="P1190" s="11"/>
      <c r="Q1190" s="11"/>
      <c r="R1190" s="10"/>
      <c r="S1190" s="10"/>
      <c r="T1190" s="10"/>
      <c r="U1190" s="10"/>
    </row>
    <row r="1191">
      <c r="A1191" s="8"/>
      <c r="B1191" s="9"/>
      <c r="C1191" s="9"/>
      <c r="D1191" s="9"/>
      <c r="E1191" s="9"/>
      <c r="F1191" s="9"/>
      <c r="G1191" s="9"/>
      <c r="H1191" s="9"/>
      <c r="I1191" s="9"/>
      <c r="J1191" s="10"/>
      <c r="K1191" s="10"/>
      <c r="L1191" s="10"/>
      <c r="M1191" s="10"/>
      <c r="N1191" s="11"/>
      <c r="O1191" s="11"/>
      <c r="P1191" s="11"/>
      <c r="Q1191" s="11"/>
      <c r="R1191" s="10"/>
      <c r="S1191" s="10"/>
      <c r="T1191" s="10"/>
      <c r="U1191" s="10"/>
    </row>
    <row r="1192">
      <c r="A1192" s="8"/>
      <c r="B1192" s="9"/>
      <c r="C1192" s="9"/>
      <c r="D1192" s="9"/>
      <c r="E1192" s="9"/>
      <c r="F1192" s="9"/>
      <c r="G1192" s="9"/>
      <c r="H1192" s="9"/>
      <c r="I1192" s="9"/>
      <c r="J1192" s="10"/>
      <c r="K1192" s="10"/>
      <c r="L1192" s="10"/>
      <c r="M1192" s="10"/>
      <c r="N1192" s="11"/>
      <c r="O1192" s="11"/>
      <c r="P1192" s="11"/>
      <c r="Q1192" s="11"/>
      <c r="R1192" s="10"/>
      <c r="S1192" s="10"/>
      <c r="T1192" s="10"/>
      <c r="U1192" s="10"/>
    </row>
    <row r="1193">
      <c r="A1193" s="8"/>
      <c r="B1193" s="9"/>
      <c r="C1193" s="9"/>
      <c r="D1193" s="9"/>
      <c r="E1193" s="9"/>
      <c r="F1193" s="9"/>
      <c r="G1193" s="9"/>
      <c r="H1193" s="9"/>
      <c r="I1193" s="9"/>
      <c r="J1193" s="10"/>
      <c r="K1193" s="10"/>
      <c r="L1193" s="10"/>
      <c r="M1193" s="10"/>
      <c r="N1193" s="11"/>
      <c r="O1193" s="11"/>
      <c r="P1193" s="11"/>
      <c r="Q1193" s="11"/>
      <c r="R1193" s="10"/>
      <c r="S1193" s="10"/>
      <c r="T1193" s="10"/>
      <c r="U1193" s="10"/>
    </row>
    <row r="1194">
      <c r="A1194" s="8"/>
      <c r="B1194" s="9"/>
      <c r="C1194" s="9"/>
      <c r="D1194" s="9"/>
      <c r="E1194" s="9"/>
      <c r="F1194" s="9"/>
      <c r="G1194" s="9"/>
      <c r="H1194" s="9"/>
      <c r="I1194" s="9"/>
      <c r="J1194" s="10"/>
      <c r="K1194" s="10"/>
      <c r="L1194" s="10"/>
      <c r="M1194" s="10"/>
      <c r="N1194" s="11"/>
      <c r="O1194" s="11"/>
      <c r="P1194" s="11"/>
      <c r="Q1194" s="11"/>
      <c r="R1194" s="10"/>
      <c r="S1194" s="10"/>
      <c r="T1194" s="10"/>
      <c r="U1194" s="10"/>
    </row>
    <row r="1195">
      <c r="A1195" s="8"/>
      <c r="B1195" s="9"/>
      <c r="C1195" s="9"/>
      <c r="D1195" s="9"/>
      <c r="E1195" s="9"/>
      <c r="F1195" s="9"/>
      <c r="G1195" s="9"/>
      <c r="H1195" s="9"/>
      <c r="I1195" s="9"/>
      <c r="J1195" s="10"/>
      <c r="K1195" s="10"/>
      <c r="L1195" s="10"/>
      <c r="M1195" s="10"/>
      <c r="N1195" s="11"/>
      <c r="O1195" s="11"/>
      <c r="P1195" s="11"/>
      <c r="Q1195" s="11"/>
      <c r="R1195" s="10"/>
      <c r="S1195" s="10"/>
      <c r="T1195" s="10"/>
      <c r="U1195" s="10"/>
    </row>
    <row r="1196">
      <c r="A1196" s="8"/>
      <c r="B1196" s="9"/>
      <c r="C1196" s="9"/>
      <c r="D1196" s="9"/>
      <c r="E1196" s="9"/>
      <c r="F1196" s="9"/>
      <c r="G1196" s="9"/>
      <c r="H1196" s="9"/>
      <c r="I1196" s="9"/>
      <c r="J1196" s="10"/>
      <c r="K1196" s="10"/>
      <c r="L1196" s="10"/>
      <c r="M1196" s="10"/>
      <c r="N1196" s="11"/>
      <c r="O1196" s="11"/>
      <c r="P1196" s="11"/>
      <c r="Q1196" s="11"/>
      <c r="R1196" s="10"/>
      <c r="S1196" s="10"/>
      <c r="T1196" s="10"/>
      <c r="U1196" s="10"/>
    </row>
    <row r="1197">
      <c r="A1197" s="8"/>
      <c r="B1197" s="9"/>
      <c r="C1197" s="9"/>
      <c r="D1197" s="9"/>
      <c r="E1197" s="9"/>
      <c r="F1197" s="9"/>
      <c r="G1197" s="9"/>
      <c r="H1197" s="9"/>
      <c r="I1197" s="9"/>
      <c r="J1197" s="10"/>
      <c r="K1197" s="10"/>
      <c r="L1197" s="10"/>
      <c r="M1197" s="10"/>
      <c r="N1197" s="11"/>
      <c r="O1197" s="11"/>
      <c r="P1197" s="11"/>
      <c r="Q1197" s="11"/>
      <c r="R1197" s="10"/>
      <c r="S1197" s="10"/>
      <c r="T1197" s="10"/>
      <c r="U1197" s="10"/>
    </row>
    <row r="1198">
      <c r="A1198" s="8"/>
      <c r="B1198" s="9"/>
      <c r="C1198" s="9"/>
      <c r="D1198" s="9"/>
      <c r="E1198" s="9"/>
      <c r="F1198" s="9"/>
      <c r="G1198" s="9"/>
      <c r="H1198" s="9"/>
      <c r="I1198" s="9"/>
      <c r="J1198" s="10"/>
      <c r="K1198" s="10"/>
      <c r="L1198" s="10"/>
      <c r="M1198" s="10"/>
      <c r="N1198" s="11"/>
      <c r="O1198" s="11"/>
      <c r="P1198" s="11"/>
      <c r="Q1198" s="11"/>
      <c r="R1198" s="10"/>
      <c r="S1198" s="10"/>
      <c r="T1198" s="10"/>
      <c r="U1198" s="10"/>
    </row>
    <row r="1199">
      <c r="A1199" s="8"/>
      <c r="B1199" s="9"/>
      <c r="C1199" s="9"/>
      <c r="D1199" s="9"/>
      <c r="E1199" s="9"/>
      <c r="F1199" s="9"/>
      <c r="G1199" s="9"/>
      <c r="H1199" s="9"/>
      <c r="I1199" s="9"/>
      <c r="J1199" s="10"/>
      <c r="K1199" s="10"/>
      <c r="L1199" s="10"/>
      <c r="M1199" s="10"/>
      <c r="N1199" s="11"/>
      <c r="O1199" s="11"/>
      <c r="P1199" s="11"/>
      <c r="Q1199" s="11"/>
      <c r="R1199" s="10"/>
      <c r="S1199" s="10"/>
      <c r="T1199" s="10"/>
      <c r="U1199" s="10"/>
    </row>
    <row r="1200">
      <c r="A1200" s="8"/>
      <c r="B1200" s="9"/>
      <c r="C1200" s="9"/>
      <c r="D1200" s="9"/>
      <c r="E1200" s="9"/>
      <c r="F1200" s="9"/>
      <c r="G1200" s="9"/>
      <c r="H1200" s="9"/>
      <c r="I1200" s="9"/>
      <c r="J1200" s="10"/>
      <c r="K1200" s="10"/>
      <c r="L1200" s="10"/>
      <c r="M1200" s="10"/>
      <c r="N1200" s="11"/>
      <c r="O1200" s="11"/>
      <c r="P1200" s="11"/>
      <c r="Q1200" s="11"/>
      <c r="R1200" s="10"/>
      <c r="S1200" s="10"/>
      <c r="T1200" s="10"/>
      <c r="U1200" s="10"/>
    </row>
    <row r="1201">
      <c r="A1201" s="8"/>
      <c r="B1201" s="9"/>
      <c r="C1201" s="9"/>
      <c r="D1201" s="9"/>
      <c r="E1201" s="9"/>
      <c r="F1201" s="9"/>
      <c r="G1201" s="9"/>
      <c r="H1201" s="9"/>
      <c r="I1201" s="9"/>
      <c r="J1201" s="10"/>
      <c r="K1201" s="10"/>
      <c r="L1201" s="10"/>
      <c r="M1201" s="10"/>
      <c r="N1201" s="11"/>
      <c r="O1201" s="11"/>
      <c r="P1201" s="11"/>
      <c r="Q1201" s="11"/>
      <c r="R1201" s="10"/>
      <c r="S1201" s="10"/>
      <c r="T1201" s="10"/>
      <c r="U1201" s="10"/>
    </row>
    <row r="1202">
      <c r="A1202" s="8"/>
      <c r="B1202" s="9"/>
      <c r="C1202" s="9"/>
      <c r="D1202" s="9"/>
      <c r="E1202" s="9"/>
      <c r="F1202" s="9"/>
      <c r="G1202" s="9"/>
      <c r="H1202" s="9"/>
      <c r="I1202" s="9"/>
      <c r="J1202" s="10"/>
      <c r="K1202" s="10"/>
      <c r="L1202" s="10"/>
      <c r="M1202" s="10"/>
      <c r="N1202" s="11"/>
      <c r="O1202" s="11"/>
      <c r="P1202" s="11"/>
      <c r="Q1202" s="11"/>
      <c r="R1202" s="10"/>
      <c r="S1202" s="10"/>
      <c r="T1202" s="10"/>
      <c r="U1202" s="10"/>
    </row>
    <row r="1203">
      <c r="A1203" s="8"/>
      <c r="B1203" s="9"/>
      <c r="C1203" s="9"/>
      <c r="D1203" s="9"/>
      <c r="E1203" s="9"/>
      <c r="F1203" s="9"/>
      <c r="G1203" s="9"/>
      <c r="H1203" s="9"/>
      <c r="I1203" s="9"/>
      <c r="J1203" s="10"/>
      <c r="K1203" s="10"/>
      <c r="L1203" s="10"/>
      <c r="M1203" s="10"/>
      <c r="N1203" s="11"/>
      <c r="O1203" s="11"/>
      <c r="P1203" s="11"/>
      <c r="Q1203" s="11"/>
      <c r="R1203" s="10"/>
      <c r="S1203" s="10"/>
      <c r="T1203" s="10"/>
      <c r="U1203" s="10"/>
    </row>
    <row r="1204">
      <c r="A1204" s="8"/>
      <c r="B1204" s="9"/>
      <c r="C1204" s="9"/>
      <c r="D1204" s="9"/>
      <c r="E1204" s="9"/>
      <c r="F1204" s="9"/>
      <c r="G1204" s="9"/>
      <c r="H1204" s="9"/>
      <c r="I1204" s="9"/>
      <c r="J1204" s="10"/>
      <c r="K1204" s="10"/>
      <c r="L1204" s="10"/>
      <c r="M1204" s="10"/>
      <c r="N1204" s="11"/>
      <c r="O1204" s="11"/>
      <c r="P1204" s="11"/>
      <c r="Q1204" s="11"/>
      <c r="R1204" s="10"/>
      <c r="S1204" s="10"/>
      <c r="T1204" s="10"/>
      <c r="U1204" s="10"/>
    </row>
    <row r="1205">
      <c r="A1205" s="8"/>
      <c r="B1205" s="9"/>
      <c r="C1205" s="9"/>
      <c r="D1205" s="9"/>
      <c r="E1205" s="9"/>
      <c r="F1205" s="9"/>
      <c r="G1205" s="9"/>
      <c r="H1205" s="9"/>
      <c r="I1205" s="9"/>
      <c r="J1205" s="10"/>
      <c r="K1205" s="10"/>
      <c r="L1205" s="10"/>
      <c r="M1205" s="10"/>
      <c r="N1205" s="11"/>
      <c r="O1205" s="11"/>
      <c r="P1205" s="11"/>
      <c r="Q1205" s="11"/>
      <c r="R1205" s="10"/>
      <c r="S1205" s="10"/>
      <c r="T1205" s="10"/>
      <c r="U1205" s="10"/>
    </row>
    <row r="1206">
      <c r="A1206" s="8"/>
      <c r="B1206" s="9"/>
      <c r="C1206" s="9"/>
      <c r="D1206" s="9"/>
      <c r="E1206" s="9"/>
      <c r="F1206" s="9"/>
      <c r="G1206" s="9"/>
      <c r="H1206" s="9"/>
      <c r="I1206" s="9"/>
      <c r="J1206" s="10"/>
      <c r="K1206" s="10"/>
      <c r="L1206" s="10"/>
      <c r="M1206" s="10"/>
      <c r="N1206" s="11"/>
      <c r="O1206" s="11"/>
      <c r="P1206" s="11"/>
      <c r="Q1206" s="11"/>
      <c r="R1206" s="10"/>
      <c r="S1206" s="10"/>
      <c r="T1206" s="10"/>
      <c r="U1206" s="10"/>
    </row>
    <row r="1207">
      <c r="A1207" s="8"/>
      <c r="B1207" s="9"/>
      <c r="C1207" s="9"/>
      <c r="D1207" s="9"/>
      <c r="E1207" s="9"/>
      <c r="F1207" s="9"/>
      <c r="G1207" s="9"/>
      <c r="H1207" s="9"/>
      <c r="I1207" s="9"/>
      <c r="J1207" s="10"/>
      <c r="K1207" s="10"/>
      <c r="L1207" s="10"/>
      <c r="M1207" s="10"/>
      <c r="N1207" s="11"/>
      <c r="O1207" s="11"/>
      <c r="P1207" s="11"/>
      <c r="Q1207" s="11"/>
      <c r="R1207" s="10"/>
      <c r="S1207" s="10"/>
      <c r="T1207" s="10"/>
      <c r="U1207" s="10"/>
    </row>
    <row r="1208">
      <c r="A1208" s="8"/>
      <c r="B1208" s="9"/>
      <c r="C1208" s="9"/>
      <c r="D1208" s="9"/>
      <c r="E1208" s="9"/>
      <c r="F1208" s="9"/>
      <c r="G1208" s="9"/>
      <c r="H1208" s="9"/>
      <c r="I1208" s="9"/>
      <c r="J1208" s="10"/>
      <c r="K1208" s="10"/>
      <c r="L1208" s="10"/>
      <c r="M1208" s="10"/>
      <c r="N1208" s="11"/>
      <c r="O1208" s="11"/>
      <c r="P1208" s="11"/>
      <c r="Q1208" s="11"/>
      <c r="R1208" s="10"/>
      <c r="S1208" s="10"/>
      <c r="T1208" s="10"/>
      <c r="U1208" s="10"/>
    </row>
    <row r="1209">
      <c r="A1209" s="8"/>
      <c r="B1209" s="9"/>
      <c r="C1209" s="9"/>
      <c r="D1209" s="9"/>
      <c r="E1209" s="9"/>
      <c r="F1209" s="9"/>
      <c r="G1209" s="9"/>
      <c r="H1209" s="9"/>
      <c r="I1209" s="9"/>
      <c r="J1209" s="10"/>
      <c r="K1209" s="10"/>
      <c r="L1209" s="10"/>
      <c r="M1209" s="10"/>
      <c r="N1209" s="11"/>
      <c r="O1209" s="11"/>
      <c r="P1209" s="11"/>
      <c r="Q1209" s="11"/>
      <c r="R1209" s="10"/>
      <c r="S1209" s="10"/>
      <c r="T1209" s="10"/>
      <c r="U1209" s="10"/>
    </row>
    <row r="1210">
      <c r="A1210" s="8"/>
      <c r="B1210" s="9"/>
      <c r="C1210" s="9"/>
      <c r="D1210" s="9"/>
      <c r="E1210" s="9"/>
      <c r="F1210" s="9"/>
      <c r="G1210" s="9"/>
      <c r="H1210" s="9"/>
      <c r="I1210" s="9"/>
      <c r="J1210" s="10"/>
      <c r="K1210" s="10"/>
      <c r="L1210" s="10"/>
      <c r="M1210" s="10"/>
      <c r="N1210" s="11"/>
      <c r="O1210" s="11"/>
      <c r="P1210" s="11"/>
      <c r="Q1210" s="11"/>
      <c r="R1210" s="10"/>
      <c r="S1210" s="10"/>
      <c r="T1210" s="10"/>
      <c r="U1210" s="10"/>
    </row>
    <row r="1211">
      <c r="A1211" s="8"/>
      <c r="B1211" s="9"/>
      <c r="C1211" s="9"/>
      <c r="D1211" s="9"/>
      <c r="E1211" s="9"/>
      <c r="F1211" s="9"/>
      <c r="G1211" s="9"/>
      <c r="H1211" s="9"/>
      <c r="I1211" s="9"/>
      <c r="J1211" s="10"/>
      <c r="K1211" s="10"/>
      <c r="L1211" s="10"/>
      <c r="M1211" s="10"/>
      <c r="N1211" s="11"/>
      <c r="O1211" s="11"/>
      <c r="P1211" s="11"/>
      <c r="Q1211" s="11"/>
      <c r="R1211" s="10"/>
      <c r="S1211" s="10"/>
      <c r="T1211" s="10"/>
      <c r="U1211" s="10"/>
    </row>
    <row r="1212">
      <c r="A1212" s="8"/>
      <c r="B1212" s="9"/>
      <c r="C1212" s="9"/>
      <c r="D1212" s="9"/>
      <c r="E1212" s="9"/>
      <c r="F1212" s="9"/>
      <c r="G1212" s="9"/>
      <c r="H1212" s="9"/>
      <c r="I1212" s="9"/>
      <c r="J1212" s="10"/>
      <c r="K1212" s="10"/>
      <c r="L1212" s="10"/>
      <c r="M1212" s="10"/>
      <c r="N1212" s="11"/>
      <c r="O1212" s="11"/>
      <c r="P1212" s="11"/>
      <c r="Q1212" s="11"/>
      <c r="R1212" s="10"/>
      <c r="S1212" s="10"/>
      <c r="T1212" s="10"/>
      <c r="U1212" s="10"/>
    </row>
    <row r="1213">
      <c r="A1213" s="8"/>
      <c r="B1213" s="9"/>
      <c r="C1213" s="9"/>
      <c r="D1213" s="9"/>
      <c r="E1213" s="9"/>
      <c r="F1213" s="9"/>
      <c r="G1213" s="9"/>
      <c r="H1213" s="9"/>
      <c r="I1213" s="9"/>
      <c r="J1213" s="10"/>
      <c r="K1213" s="10"/>
      <c r="L1213" s="10"/>
      <c r="M1213" s="10"/>
      <c r="N1213" s="11"/>
      <c r="O1213" s="11"/>
      <c r="P1213" s="11"/>
      <c r="Q1213" s="11"/>
      <c r="R1213" s="10"/>
      <c r="S1213" s="10"/>
      <c r="T1213" s="10"/>
      <c r="U1213" s="10"/>
    </row>
    <row r="1214">
      <c r="A1214" s="8"/>
      <c r="B1214" s="9"/>
      <c r="C1214" s="9"/>
      <c r="D1214" s="9"/>
      <c r="E1214" s="9"/>
      <c r="F1214" s="9"/>
      <c r="G1214" s="9"/>
      <c r="H1214" s="9"/>
      <c r="I1214" s="9"/>
      <c r="J1214" s="10"/>
      <c r="K1214" s="10"/>
      <c r="L1214" s="10"/>
      <c r="M1214" s="10"/>
      <c r="N1214" s="11"/>
      <c r="O1214" s="11"/>
      <c r="P1214" s="11"/>
      <c r="Q1214" s="11"/>
      <c r="R1214" s="10"/>
      <c r="S1214" s="10"/>
      <c r="T1214" s="10"/>
      <c r="U1214" s="10"/>
    </row>
    <row r="1215">
      <c r="A1215" s="8"/>
      <c r="B1215" s="9"/>
      <c r="C1215" s="9"/>
      <c r="D1215" s="9"/>
      <c r="E1215" s="9"/>
      <c r="F1215" s="9"/>
      <c r="G1215" s="9"/>
      <c r="H1215" s="9"/>
      <c r="I1215" s="9"/>
      <c r="J1215" s="10"/>
      <c r="K1215" s="10"/>
      <c r="L1215" s="10"/>
      <c r="M1215" s="10"/>
      <c r="N1215" s="11"/>
      <c r="O1215" s="11"/>
      <c r="P1215" s="11"/>
      <c r="Q1215" s="11"/>
      <c r="R1215" s="10"/>
      <c r="S1215" s="10"/>
      <c r="T1215" s="10"/>
      <c r="U1215" s="10"/>
    </row>
    <row r="1216">
      <c r="A1216" s="8"/>
      <c r="B1216" s="9"/>
      <c r="C1216" s="9"/>
      <c r="D1216" s="9"/>
      <c r="E1216" s="9"/>
      <c r="F1216" s="9"/>
      <c r="G1216" s="9"/>
      <c r="H1216" s="9"/>
      <c r="I1216" s="9"/>
      <c r="J1216" s="10"/>
      <c r="K1216" s="10"/>
      <c r="L1216" s="10"/>
      <c r="M1216" s="10"/>
      <c r="N1216" s="11"/>
      <c r="O1216" s="11"/>
      <c r="P1216" s="11"/>
      <c r="Q1216" s="11"/>
      <c r="R1216" s="10"/>
      <c r="S1216" s="10"/>
      <c r="T1216" s="10"/>
      <c r="U1216" s="10"/>
    </row>
    <row r="1217">
      <c r="A1217" s="8"/>
      <c r="B1217" s="9"/>
      <c r="C1217" s="9"/>
      <c r="D1217" s="9"/>
      <c r="E1217" s="9"/>
      <c r="F1217" s="9"/>
      <c r="G1217" s="9"/>
      <c r="H1217" s="9"/>
      <c r="I1217" s="9"/>
      <c r="J1217" s="10"/>
      <c r="K1217" s="10"/>
      <c r="L1217" s="10"/>
      <c r="M1217" s="10"/>
      <c r="N1217" s="11"/>
      <c r="O1217" s="11"/>
      <c r="P1217" s="11"/>
      <c r="Q1217" s="11"/>
      <c r="R1217" s="10"/>
      <c r="S1217" s="10"/>
      <c r="T1217" s="10"/>
      <c r="U1217" s="10"/>
    </row>
    <row r="1218">
      <c r="A1218" s="8"/>
      <c r="B1218" s="9"/>
      <c r="C1218" s="9"/>
      <c r="D1218" s="9"/>
      <c r="E1218" s="9"/>
      <c r="F1218" s="9"/>
      <c r="G1218" s="9"/>
      <c r="H1218" s="9"/>
      <c r="I1218" s="9"/>
      <c r="J1218" s="10"/>
      <c r="K1218" s="10"/>
      <c r="L1218" s="10"/>
      <c r="M1218" s="10"/>
      <c r="N1218" s="11"/>
      <c r="O1218" s="11"/>
      <c r="P1218" s="11"/>
      <c r="Q1218" s="11"/>
      <c r="R1218" s="10"/>
      <c r="S1218" s="10"/>
      <c r="T1218" s="10"/>
      <c r="U1218" s="10"/>
    </row>
    <row r="1219">
      <c r="A1219" s="8"/>
      <c r="B1219" s="9"/>
      <c r="C1219" s="9"/>
      <c r="D1219" s="9"/>
      <c r="E1219" s="9"/>
      <c r="F1219" s="9"/>
      <c r="G1219" s="9"/>
      <c r="H1219" s="9"/>
      <c r="I1219" s="9"/>
      <c r="J1219" s="10"/>
      <c r="K1219" s="10"/>
      <c r="L1219" s="10"/>
      <c r="M1219" s="10"/>
      <c r="N1219" s="11"/>
      <c r="O1219" s="11"/>
      <c r="P1219" s="11"/>
      <c r="Q1219" s="11"/>
      <c r="R1219" s="10"/>
      <c r="S1219" s="10"/>
      <c r="T1219" s="10"/>
      <c r="U1219" s="10"/>
    </row>
    <row r="1220">
      <c r="A1220" s="8"/>
      <c r="B1220" s="9"/>
      <c r="C1220" s="9"/>
      <c r="D1220" s="9"/>
      <c r="E1220" s="9"/>
      <c r="F1220" s="9"/>
      <c r="G1220" s="9"/>
      <c r="H1220" s="9"/>
      <c r="I1220" s="9"/>
      <c r="J1220" s="10"/>
      <c r="K1220" s="10"/>
      <c r="L1220" s="10"/>
      <c r="M1220" s="10"/>
      <c r="N1220" s="11"/>
      <c r="O1220" s="11"/>
      <c r="P1220" s="11"/>
      <c r="Q1220" s="11"/>
      <c r="R1220" s="10"/>
      <c r="S1220" s="10"/>
      <c r="T1220" s="10"/>
      <c r="U1220" s="10"/>
    </row>
    <row r="1221">
      <c r="A1221" s="8"/>
      <c r="B1221" s="9"/>
      <c r="C1221" s="9"/>
      <c r="D1221" s="9"/>
      <c r="E1221" s="9"/>
      <c r="F1221" s="9"/>
      <c r="G1221" s="9"/>
      <c r="H1221" s="9"/>
      <c r="I1221" s="9"/>
      <c r="J1221" s="10"/>
      <c r="K1221" s="10"/>
      <c r="L1221" s="10"/>
      <c r="M1221" s="10"/>
      <c r="N1221" s="11"/>
      <c r="O1221" s="11"/>
      <c r="P1221" s="11"/>
      <c r="Q1221" s="11"/>
      <c r="R1221" s="10"/>
      <c r="S1221" s="10"/>
      <c r="T1221" s="10"/>
      <c r="U1221" s="10"/>
    </row>
    <row r="1222">
      <c r="A1222" s="8"/>
      <c r="B1222" s="9"/>
      <c r="C1222" s="9"/>
      <c r="D1222" s="9"/>
      <c r="E1222" s="9"/>
      <c r="F1222" s="9"/>
      <c r="G1222" s="9"/>
      <c r="H1222" s="9"/>
      <c r="I1222" s="9"/>
      <c r="J1222" s="10"/>
      <c r="K1222" s="10"/>
      <c r="L1222" s="10"/>
      <c r="M1222" s="10"/>
      <c r="N1222" s="11"/>
      <c r="O1222" s="11"/>
      <c r="P1222" s="11"/>
      <c r="Q1222" s="11"/>
      <c r="R1222" s="10"/>
      <c r="S1222" s="10"/>
      <c r="T1222" s="10"/>
      <c r="U1222" s="10"/>
    </row>
    <row r="1223">
      <c r="A1223" s="8"/>
      <c r="B1223" s="9"/>
      <c r="C1223" s="9"/>
      <c r="D1223" s="9"/>
      <c r="E1223" s="9"/>
      <c r="F1223" s="9"/>
      <c r="G1223" s="9"/>
      <c r="H1223" s="9"/>
      <c r="I1223" s="9"/>
      <c r="J1223" s="10"/>
      <c r="K1223" s="10"/>
      <c r="L1223" s="10"/>
      <c r="M1223" s="10"/>
      <c r="N1223" s="11"/>
      <c r="O1223" s="11"/>
      <c r="P1223" s="11"/>
      <c r="Q1223" s="11"/>
      <c r="R1223" s="10"/>
      <c r="S1223" s="10"/>
      <c r="T1223" s="10"/>
      <c r="U1223" s="10"/>
    </row>
    <row r="1224">
      <c r="A1224" s="8"/>
      <c r="B1224" s="9"/>
      <c r="C1224" s="9"/>
      <c r="D1224" s="9"/>
      <c r="E1224" s="9"/>
      <c r="F1224" s="9"/>
      <c r="G1224" s="9"/>
      <c r="H1224" s="9"/>
      <c r="I1224" s="9"/>
      <c r="J1224" s="10"/>
      <c r="K1224" s="10"/>
      <c r="L1224" s="10"/>
      <c r="M1224" s="10"/>
      <c r="N1224" s="11"/>
      <c r="O1224" s="11"/>
      <c r="P1224" s="11"/>
      <c r="Q1224" s="11"/>
      <c r="R1224" s="10"/>
      <c r="S1224" s="10"/>
      <c r="T1224" s="10"/>
      <c r="U1224" s="10"/>
    </row>
    <row r="1225">
      <c r="A1225" s="8"/>
      <c r="B1225" s="9"/>
      <c r="C1225" s="9"/>
      <c r="D1225" s="9"/>
      <c r="E1225" s="9"/>
      <c r="F1225" s="9"/>
      <c r="G1225" s="9"/>
      <c r="H1225" s="9"/>
      <c r="I1225" s="9"/>
      <c r="J1225" s="10"/>
      <c r="K1225" s="10"/>
      <c r="L1225" s="10"/>
      <c r="M1225" s="10"/>
      <c r="N1225" s="11"/>
      <c r="O1225" s="11"/>
      <c r="P1225" s="11"/>
      <c r="Q1225" s="11"/>
      <c r="R1225" s="10"/>
      <c r="S1225" s="10"/>
      <c r="T1225" s="10"/>
      <c r="U1225" s="10"/>
    </row>
    <row r="1226">
      <c r="A1226" s="8"/>
      <c r="B1226" s="9"/>
      <c r="C1226" s="9"/>
      <c r="D1226" s="9"/>
      <c r="E1226" s="9"/>
      <c r="F1226" s="9"/>
      <c r="G1226" s="9"/>
      <c r="H1226" s="9"/>
      <c r="I1226" s="9"/>
      <c r="J1226" s="10"/>
      <c r="K1226" s="10"/>
      <c r="L1226" s="10"/>
      <c r="M1226" s="10"/>
      <c r="N1226" s="11"/>
      <c r="O1226" s="11"/>
      <c r="P1226" s="11"/>
      <c r="Q1226" s="11"/>
      <c r="R1226" s="10"/>
      <c r="S1226" s="10"/>
      <c r="T1226" s="10"/>
      <c r="U1226" s="10"/>
    </row>
    <row r="1227">
      <c r="A1227" s="8"/>
      <c r="B1227" s="9"/>
      <c r="C1227" s="9"/>
      <c r="D1227" s="9"/>
      <c r="E1227" s="9"/>
      <c r="F1227" s="9"/>
      <c r="G1227" s="9"/>
      <c r="H1227" s="9"/>
      <c r="I1227" s="9"/>
      <c r="J1227" s="10"/>
      <c r="K1227" s="10"/>
      <c r="L1227" s="10"/>
      <c r="M1227" s="10"/>
      <c r="N1227" s="11"/>
      <c r="O1227" s="11"/>
      <c r="P1227" s="11"/>
      <c r="Q1227" s="11"/>
      <c r="R1227" s="10"/>
      <c r="S1227" s="10"/>
      <c r="T1227" s="10"/>
      <c r="U1227" s="10"/>
    </row>
    <row r="1228">
      <c r="A1228" s="8"/>
      <c r="B1228" s="9"/>
      <c r="C1228" s="9"/>
      <c r="D1228" s="9"/>
      <c r="E1228" s="9"/>
      <c r="F1228" s="9"/>
      <c r="G1228" s="9"/>
      <c r="H1228" s="9"/>
      <c r="I1228" s="9"/>
      <c r="J1228" s="10"/>
      <c r="K1228" s="10"/>
      <c r="L1228" s="10"/>
      <c r="M1228" s="10"/>
      <c r="N1228" s="11"/>
      <c r="O1228" s="11"/>
      <c r="P1228" s="11"/>
      <c r="Q1228" s="11"/>
      <c r="R1228" s="10"/>
      <c r="S1228" s="10"/>
      <c r="T1228" s="10"/>
      <c r="U1228" s="10"/>
    </row>
    <row r="1229">
      <c r="A1229" s="8"/>
      <c r="B1229" s="9"/>
      <c r="C1229" s="9"/>
      <c r="D1229" s="9"/>
      <c r="E1229" s="9"/>
      <c r="F1229" s="9"/>
      <c r="G1229" s="9"/>
      <c r="H1229" s="9"/>
      <c r="I1229" s="9"/>
      <c r="J1229" s="10"/>
      <c r="K1229" s="10"/>
      <c r="L1229" s="10"/>
      <c r="M1229" s="10"/>
      <c r="N1229" s="11"/>
      <c r="O1229" s="11"/>
      <c r="P1229" s="11"/>
      <c r="Q1229" s="11"/>
      <c r="R1229" s="10"/>
      <c r="S1229" s="10"/>
      <c r="T1229" s="10"/>
      <c r="U1229" s="10"/>
    </row>
    <row r="1230">
      <c r="A1230" s="8"/>
      <c r="B1230" s="9"/>
      <c r="C1230" s="9"/>
      <c r="D1230" s="9"/>
      <c r="E1230" s="9"/>
      <c r="F1230" s="9"/>
      <c r="G1230" s="9"/>
      <c r="H1230" s="9"/>
      <c r="I1230" s="9"/>
      <c r="J1230" s="10"/>
      <c r="K1230" s="10"/>
      <c r="L1230" s="10"/>
      <c r="M1230" s="10"/>
      <c r="N1230" s="11"/>
      <c r="O1230" s="11"/>
      <c r="P1230" s="11"/>
      <c r="Q1230" s="11"/>
      <c r="R1230" s="10"/>
      <c r="S1230" s="10"/>
      <c r="T1230" s="10"/>
      <c r="U1230" s="10"/>
    </row>
    <row r="1231">
      <c r="A1231" s="8"/>
      <c r="B1231" s="9"/>
      <c r="C1231" s="9"/>
      <c r="D1231" s="9"/>
      <c r="E1231" s="9"/>
      <c r="F1231" s="9"/>
      <c r="G1231" s="9"/>
      <c r="H1231" s="9"/>
      <c r="I1231" s="9"/>
      <c r="J1231" s="10"/>
      <c r="K1231" s="10"/>
      <c r="L1231" s="10"/>
      <c r="M1231" s="10"/>
      <c r="N1231" s="11"/>
      <c r="O1231" s="11"/>
      <c r="P1231" s="11"/>
      <c r="Q1231" s="11"/>
      <c r="R1231" s="10"/>
      <c r="S1231" s="10"/>
      <c r="T1231" s="10"/>
      <c r="U1231" s="10"/>
    </row>
    <row r="1232">
      <c r="A1232" s="8"/>
      <c r="B1232" s="9"/>
      <c r="C1232" s="9"/>
      <c r="D1232" s="9"/>
      <c r="E1232" s="9"/>
      <c r="F1232" s="9"/>
      <c r="G1232" s="9"/>
      <c r="H1232" s="9"/>
      <c r="I1232" s="9"/>
      <c r="J1232" s="10"/>
      <c r="K1232" s="10"/>
      <c r="L1232" s="10"/>
      <c r="M1232" s="10"/>
      <c r="N1232" s="11"/>
      <c r="O1232" s="11"/>
      <c r="P1232" s="11"/>
      <c r="Q1232" s="11"/>
      <c r="R1232" s="10"/>
      <c r="S1232" s="10"/>
      <c r="T1232" s="10"/>
      <c r="U1232" s="10"/>
    </row>
    <row r="1233">
      <c r="A1233" s="8"/>
      <c r="B1233" s="9"/>
      <c r="C1233" s="9"/>
      <c r="D1233" s="9"/>
      <c r="E1233" s="9"/>
      <c r="F1233" s="9"/>
      <c r="G1233" s="9"/>
      <c r="H1233" s="9"/>
      <c r="I1233" s="9"/>
      <c r="J1233" s="10"/>
      <c r="K1233" s="10"/>
      <c r="L1233" s="10"/>
      <c r="M1233" s="10"/>
      <c r="N1233" s="11"/>
      <c r="O1233" s="11"/>
      <c r="P1233" s="11"/>
      <c r="Q1233" s="11"/>
      <c r="R1233" s="10"/>
      <c r="S1233" s="10"/>
      <c r="T1233" s="10"/>
      <c r="U1233" s="10"/>
    </row>
    <row r="1234">
      <c r="A1234" s="8"/>
      <c r="B1234" s="9"/>
      <c r="C1234" s="9"/>
      <c r="D1234" s="9"/>
      <c r="E1234" s="9"/>
      <c r="F1234" s="9"/>
      <c r="G1234" s="9"/>
      <c r="H1234" s="9"/>
      <c r="I1234" s="9"/>
      <c r="J1234" s="10"/>
      <c r="K1234" s="10"/>
      <c r="L1234" s="10"/>
      <c r="M1234" s="10"/>
      <c r="N1234" s="11"/>
      <c r="O1234" s="11"/>
      <c r="P1234" s="11"/>
      <c r="Q1234" s="11"/>
      <c r="R1234" s="10"/>
      <c r="S1234" s="10"/>
      <c r="T1234" s="10"/>
      <c r="U1234" s="10"/>
    </row>
    <row r="1235">
      <c r="A1235" s="8"/>
      <c r="B1235" s="9"/>
      <c r="C1235" s="9"/>
      <c r="D1235" s="9"/>
      <c r="E1235" s="9"/>
      <c r="F1235" s="9"/>
      <c r="G1235" s="9"/>
      <c r="H1235" s="9"/>
      <c r="I1235" s="9"/>
      <c r="J1235" s="10"/>
      <c r="K1235" s="10"/>
      <c r="L1235" s="10"/>
      <c r="M1235" s="10"/>
      <c r="N1235" s="11"/>
      <c r="O1235" s="11"/>
      <c r="P1235" s="11"/>
      <c r="Q1235" s="11"/>
      <c r="R1235" s="10"/>
      <c r="S1235" s="10"/>
      <c r="T1235" s="10"/>
      <c r="U1235" s="10"/>
    </row>
    <row r="1236">
      <c r="A1236" s="8"/>
      <c r="B1236" s="9"/>
      <c r="C1236" s="9"/>
      <c r="D1236" s="9"/>
      <c r="E1236" s="9"/>
      <c r="F1236" s="9"/>
      <c r="G1236" s="9"/>
      <c r="H1236" s="9"/>
      <c r="I1236" s="9"/>
      <c r="J1236" s="10"/>
      <c r="K1236" s="10"/>
      <c r="L1236" s="10"/>
      <c r="M1236" s="10"/>
      <c r="N1236" s="11"/>
      <c r="O1236" s="11"/>
      <c r="P1236" s="11"/>
      <c r="Q1236" s="11"/>
      <c r="R1236" s="10"/>
      <c r="S1236" s="10"/>
      <c r="T1236" s="10"/>
      <c r="U1236" s="10"/>
    </row>
    <row r="1237">
      <c r="A1237" s="8"/>
      <c r="B1237" s="9"/>
      <c r="C1237" s="9"/>
      <c r="D1237" s="9"/>
      <c r="E1237" s="9"/>
      <c r="F1237" s="9"/>
      <c r="G1237" s="9"/>
      <c r="H1237" s="9"/>
      <c r="I1237" s="9"/>
      <c r="J1237" s="10"/>
      <c r="K1237" s="10"/>
      <c r="L1237" s="10"/>
      <c r="M1237" s="10"/>
      <c r="N1237" s="11"/>
      <c r="O1237" s="11"/>
      <c r="P1237" s="11"/>
      <c r="Q1237" s="11"/>
      <c r="R1237" s="10"/>
      <c r="S1237" s="10"/>
      <c r="T1237" s="10"/>
      <c r="U1237" s="10"/>
    </row>
    <row r="1238">
      <c r="A1238" s="8"/>
      <c r="B1238" s="9"/>
      <c r="C1238" s="9"/>
      <c r="D1238" s="9"/>
      <c r="E1238" s="9"/>
      <c r="F1238" s="9"/>
      <c r="G1238" s="9"/>
      <c r="H1238" s="9"/>
      <c r="I1238" s="9"/>
      <c r="J1238" s="10"/>
      <c r="K1238" s="10"/>
      <c r="L1238" s="10"/>
      <c r="M1238" s="10"/>
      <c r="N1238" s="11"/>
      <c r="O1238" s="11"/>
      <c r="P1238" s="11"/>
      <c r="Q1238" s="11"/>
      <c r="R1238" s="10"/>
      <c r="S1238" s="10"/>
      <c r="T1238" s="10"/>
      <c r="U1238" s="10"/>
    </row>
    <row r="1239">
      <c r="A1239" s="8"/>
      <c r="B1239" s="9"/>
      <c r="C1239" s="9"/>
      <c r="D1239" s="9"/>
      <c r="E1239" s="9"/>
      <c r="F1239" s="9"/>
      <c r="G1239" s="9"/>
      <c r="H1239" s="9"/>
      <c r="I1239" s="9"/>
      <c r="J1239" s="10"/>
      <c r="K1239" s="10"/>
      <c r="L1239" s="10"/>
      <c r="M1239" s="10"/>
      <c r="N1239" s="11"/>
      <c r="O1239" s="11"/>
      <c r="P1239" s="11"/>
      <c r="Q1239" s="11"/>
      <c r="R1239" s="10"/>
      <c r="S1239" s="10"/>
      <c r="T1239" s="10"/>
      <c r="U1239" s="10"/>
    </row>
    <row r="1240">
      <c r="A1240" s="8"/>
      <c r="B1240" s="9"/>
      <c r="C1240" s="9"/>
      <c r="D1240" s="9"/>
      <c r="E1240" s="9"/>
      <c r="F1240" s="9"/>
      <c r="G1240" s="9"/>
      <c r="H1240" s="9"/>
      <c r="I1240" s="9"/>
      <c r="J1240" s="10"/>
      <c r="K1240" s="10"/>
      <c r="L1240" s="10"/>
      <c r="M1240" s="10"/>
      <c r="N1240" s="11"/>
      <c r="O1240" s="11"/>
      <c r="P1240" s="11"/>
      <c r="Q1240" s="11"/>
      <c r="R1240" s="10"/>
      <c r="S1240" s="10"/>
      <c r="T1240" s="10"/>
      <c r="U1240" s="10"/>
    </row>
    <row r="1241">
      <c r="A1241" s="8"/>
      <c r="B1241" s="9"/>
      <c r="C1241" s="9"/>
      <c r="D1241" s="9"/>
      <c r="E1241" s="9"/>
      <c r="F1241" s="9"/>
      <c r="G1241" s="9"/>
      <c r="H1241" s="9"/>
      <c r="I1241" s="9"/>
      <c r="J1241" s="10"/>
      <c r="K1241" s="10"/>
      <c r="L1241" s="10"/>
      <c r="M1241" s="10"/>
      <c r="N1241" s="11"/>
      <c r="O1241" s="11"/>
      <c r="P1241" s="11"/>
      <c r="Q1241" s="11"/>
      <c r="R1241" s="10"/>
      <c r="S1241" s="10"/>
      <c r="T1241" s="10"/>
      <c r="U1241" s="10"/>
    </row>
    <row r="1242">
      <c r="A1242" s="8"/>
      <c r="B1242" s="9"/>
      <c r="C1242" s="9"/>
      <c r="D1242" s="9"/>
      <c r="E1242" s="9"/>
      <c r="F1242" s="9"/>
      <c r="G1242" s="9"/>
      <c r="H1242" s="9"/>
      <c r="I1242" s="9"/>
      <c r="J1242" s="10"/>
      <c r="K1242" s="10"/>
      <c r="L1242" s="10"/>
      <c r="M1242" s="10"/>
      <c r="N1242" s="11"/>
      <c r="O1242" s="11"/>
      <c r="P1242" s="11"/>
      <c r="Q1242" s="11"/>
      <c r="R1242" s="10"/>
      <c r="S1242" s="10"/>
      <c r="T1242" s="10"/>
      <c r="U1242" s="10"/>
    </row>
    <row r="1243">
      <c r="A1243" s="8"/>
      <c r="B1243" s="9"/>
      <c r="C1243" s="9"/>
      <c r="D1243" s="9"/>
      <c r="E1243" s="9"/>
      <c r="F1243" s="9"/>
      <c r="G1243" s="9"/>
      <c r="H1243" s="9"/>
      <c r="I1243" s="9"/>
      <c r="J1243" s="10"/>
      <c r="K1243" s="10"/>
      <c r="L1243" s="10"/>
      <c r="M1243" s="10"/>
      <c r="N1243" s="11"/>
      <c r="O1243" s="11"/>
      <c r="P1243" s="11"/>
      <c r="Q1243" s="11"/>
      <c r="R1243" s="10"/>
      <c r="S1243" s="10"/>
      <c r="T1243" s="10"/>
      <c r="U1243" s="10"/>
    </row>
    <row r="1244">
      <c r="A1244" s="8"/>
      <c r="B1244" s="9"/>
      <c r="C1244" s="9"/>
      <c r="D1244" s="9"/>
      <c r="E1244" s="9"/>
      <c r="F1244" s="9"/>
      <c r="G1244" s="9"/>
      <c r="H1244" s="9"/>
      <c r="I1244" s="9"/>
      <c r="J1244" s="10"/>
      <c r="K1244" s="10"/>
      <c r="L1244" s="10"/>
      <c r="M1244" s="10"/>
      <c r="N1244" s="11"/>
      <c r="O1244" s="11"/>
      <c r="P1244" s="11"/>
      <c r="Q1244" s="11"/>
      <c r="R1244" s="10"/>
      <c r="S1244" s="10"/>
      <c r="T1244" s="10"/>
      <c r="U1244" s="10"/>
    </row>
    <row r="1245">
      <c r="A1245" s="8"/>
      <c r="B1245" s="9"/>
      <c r="C1245" s="9"/>
      <c r="D1245" s="9"/>
      <c r="E1245" s="9"/>
      <c r="F1245" s="9"/>
      <c r="G1245" s="9"/>
      <c r="H1245" s="9"/>
      <c r="I1245" s="9"/>
      <c r="J1245" s="10"/>
      <c r="K1245" s="10"/>
      <c r="L1245" s="10"/>
      <c r="M1245" s="10"/>
      <c r="N1245" s="11"/>
      <c r="O1245" s="11"/>
      <c r="P1245" s="11"/>
      <c r="Q1245" s="11"/>
      <c r="R1245" s="10"/>
      <c r="S1245" s="10"/>
      <c r="T1245" s="10"/>
      <c r="U1245" s="10"/>
    </row>
    <row r="1246">
      <c r="A1246" s="8"/>
      <c r="B1246" s="9"/>
      <c r="C1246" s="9"/>
      <c r="D1246" s="9"/>
      <c r="E1246" s="9"/>
      <c r="F1246" s="9"/>
      <c r="G1246" s="9"/>
      <c r="H1246" s="9"/>
      <c r="I1246" s="9"/>
      <c r="J1246" s="10"/>
      <c r="K1246" s="10"/>
      <c r="L1246" s="10"/>
      <c r="M1246" s="10"/>
      <c r="N1246" s="11"/>
      <c r="O1246" s="11"/>
      <c r="P1246" s="11"/>
      <c r="Q1246" s="11"/>
      <c r="R1246" s="10"/>
      <c r="S1246" s="10"/>
      <c r="T1246" s="10"/>
      <c r="U1246" s="10"/>
    </row>
    <row r="1247">
      <c r="A1247" s="8"/>
      <c r="B1247" s="9"/>
      <c r="C1247" s="9"/>
      <c r="D1247" s="9"/>
      <c r="E1247" s="9"/>
      <c r="F1247" s="9"/>
      <c r="G1247" s="9"/>
      <c r="H1247" s="9"/>
      <c r="I1247" s="9"/>
      <c r="J1247" s="10"/>
      <c r="K1247" s="10"/>
      <c r="L1247" s="10"/>
      <c r="M1247" s="10"/>
      <c r="N1247" s="11"/>
      <c r="O1247" s="11"/>
      <c r="P1247" s="11"/>
      <c r="Q1247" s="11"/>
      <c r="R1247" s="10"/>
      <c r="S1247" s="10"/>
      <c r="T1247" s="10"/>
      <c r="U1247" s="10"/>
    </row>
    <row r="1248">
      <c r="A1248" s="8"/>
      <c r="B1248" s="9"/>
      <c r="C1248" s="9"/>
      <c r="D1248" s="9"/>
      <c r="E1248" s="9"/>
      <c r="F1248" s="9"/>
      <c r="G1248" s="9"/>
      <c r="H1248" s="9"/>
      <c r="I1248" s="9"/>
      <c r="J1248" s="10"/>
      <c r="K1248" s="10"/>
      <c r="L1248" s="10"/>
      <c r="M1248" s="10"/>
      <c r="N1248" s="11"/>
      <c r="O1248" s="11"/>
      <c r="P1248" s="11"/>
      <c r="Q1248" s="11"/>
      <c r="R1248" s="10"/>
      <c r="S1248" s="10"/>
      <c r="T1248" s="10"/>
      <c r="U1248" s="10"/>
    </row>
    <row r="1249">
      <c r="A1249" s="8"/>
      <c r="B1249" s="9"/>
      <c r="C1249" s="9"/>
      <c r="D1249" s="9"/>
      <c r="E1249" s="9"/>
      <c r="F1249" s="9"/>
      <c r="G1249" s="9"/>
      <c r="H1249" s="9"/>
      <c r="I1249" s="9"/>
      <c r="J1249" s="10"/>
      <c r="K1249" s="10"/>
      <c r="L1249" s="10"/>
      <c r="M1249" s="10"/>
      <c r="N1249" s="11"/>
      <c r="O1249" s="11"/>
      <c r="P1249" s="11"/>
      <c r="Q1249" s="11"/>
      <c r="R1249" s="10"/>
      <c r="S1249" s="10"/>
      <c r="T1249" s="10"/>
      <c r="U1249" s="10"/>
    </row>
    <row r="1250">
      <c r="A1250" s="8"/>
      <c r="B1250" s="9"/>
      <c r="C1250" s="9"/>
      <c r="D1250" s="9"/>
      <c r="E1250" s="9"/>
      <c r="F1250" s="9"/>
      <c r="G1250" s="9"/>
      <c r="H1250" s="9"/>
      <c r="I1250" s="9"/>
      <c r="J1250" s="10"/>
      <c r="K1250" s="10"/>
      <c r="L1250" s="10"/>
      <c r="M1250" s="10"/>
      <c r="N1250" s="11"/>
      <c r="O1250" s="11"/>
      <c r="P1250" s="11"/>
      <c r="Q1250" s="11"/>
      <c r="R1250" s="10"/>
      <c r="S1250" s="10"/>
      <c r="T1250" s="10"/>
      <c r="U1250" s="10"/>
    </row>
    <row r="1251">
      <c r="A1251" s="8"/>
      <c r="B1251" s="9"/>
      <c r="C1251" s="9"/>
      <c r="D1251" s="9"/>
      <c r="E1251" s="9"/>
      <c r="F1251" s="9"/>
      <c r="G1251" s="9"/>
      <c r="H1251" s="9"/>
      <c r="I1251" s="9"/>
      <c r="J1251" s="10"/>
      <c r="K1251" s="10"/>
      <c r="L1251" s="10"/>
      <c r="M1251" s="10"/>
      <c r="N1251" s="11"/>
      <c r="O1251" s="11"/>
      <c r="P1251" s="11"/>
      <c r="Q1251" s="11"/>
      <c r="R1251" s="10"/>
      <c r="S1251" s="10"/>
      <c r="T1251" s="10"/>
      <c r="U1251" s="10"/>
    </row>
    <row r="1252">
      <c r="A1252" s="8"/>
      <c r="B1252" s="9"/>
      <c r="C1252" s="9"/>
      <c r="D1252" s="9"/>
      <c r="E1252" s="9"/>
      <c r="F1252" s="9"/>
      <c r="G1252" s="9"/>
      <c r="H1252" s="9"/>
      <c r="I1252" s="9"/>
      <c r="J1252" s="10"/>
      <c r="K1252" s="10"/>
      <c r="L1252" s="10"/>
      <c r="M1252" s="10"/>
      <c r="N1252" s="11"/>
      <c r="O1252" s="11"/>
      <c r="P1252" s="11"/>
      <c r="Q1252" s="11"/>
      <c r="R1252" s="10"/>
      <c r="S1252" s="10"/>
      <c r="T1252" s="10"/>
      <c r="U1252" s="10"/>
    </row>
    <row r="1253">
      <c r="A1253" s="8"/>
      <c r="B1253" s="9"/>
      <c r="C1253" s="9"/>
      <c r="D1253" s="9"/>
      <c r="E1253" s="9"/>
      <c r="F1253" s="9"/>
      <c r="G1253" s="9"/>
      <c r="H1253" s="9"/>
      <c r="I1253" s="9"/>
      <c r="J1253" s="10"/>
      <c r="K1253" s="10"/>
      <c r="L1253" s="10"/>
      <c r="M1253" s="10"/>
      <c r="N1253" s="11"/>
      <c r="O1253" s="11"/>
      <c r="P1253" s="11"/>
      <c r="Q1253" s="11"/>
      <c r="R1253" s="10"/>
      <c r="S1253" s="10"/>
      <c r="T1253" s="10"/>
      <c r="U1253" s="10"/>
    </row>
    <row r="1254">
      <c r="A1254" s="8"/>
      <c r="B1254" s="9"/>
      <c r="C1254" s="9"/>
      <c r="D1254" s="9"/>
      <c r="E1254" s="9"/>
      <c r="F1254" s="9"/>
      <c r="G1254" s="9"/>
      <c r="H1254" s="9"/>
      <c r="I1254" s="9"/>
      <c r="J1254" s="10"/>
      <c r="K1254" s="10"/>
      <c r="L1254" s="10"/>
      <c r="M1254" s="10"/>
      <c r="N1254" s="11"/>
      <c r="O1254" s="11"/>
      <c r="P1254" s="11"/>
      <c r="Q1254" s="11"/>
      <c r="R1254" s="10"/>
      <c r="S1254" s="10"/>
      <c r="T1254" s="10"/>
      <c r="U1254" s="10"/>
    </row>
    <row r="1255">
      <c r="A1255" s="8"/>
      <c r="B1255" s="9"/>
      <c r="C1255" s="9"/>
      <c r="D1255" s="9"/>
      <c r="E1255" s="9"/>
      <c r="F1255" s="9"/>
      <c r="G1255" s="9"/>
      <c r="H1255" s="9"/>
      <c r="I1255" s="9"/>
      <c r="J1255" s="10"/>
      <c r="K1255" s="10"/>
      <c r="L1255" s="10"/>
      <c r="M1255" s="10"/>
      <c r="N1255" s="11"/>
      <c r="O1255" s="11"/>
      <c r="P1255" s="11"/>
      <c r="Q1255" s="11"/>
      <c r="R1255" s="10"/>
      <c r="S1255" s="10"/>
      <c r="T1255" s="10"/>
      <c r="U1255" s="10"/>
    </row>
    <row r="1256">
      <c r="A1256" s="8"/>
      <c r="B1256" s="9"/>
      <c r="C1256" s="9"/>
      <c r="D1256" s="9"/>
      <c r="E1256" s="9"/>
      <c r="F1256" s="9"/>
      <c r="G1256" s="9"/>
      <c r="H1256" s="9"/>
      <c r="I1256" s="9"/>
      <c r="J1256" s="10"/>
      <c r="K1256" s="10"/>
      <c r="L1256" s="10"/>
      <c r="M1256" s="10"/>
      <c r="N1256" s="11"/>
      <c r="O1256" s="11"/>
      <c r="P1256" s="11"/>
      <c r="Q1256" s="11"/>
      <c r="R1256" s="10"/>
      <c r="S1256" s="10"/>
      <c r="T1256" s="10"/>
      <c r="U1256" s="10"/>
    </row>
    <row r="1257">
      <c r="A1257" s="8"/>
      <c r="B1257" s="9"/>
      <c r="C1257" s="9"/>
      <c r="D1257" s="9"/>
      <c r="E1257" s="9"/>
      <c r="F1257" s="9"/>
      <c r="G1257" s="9"/>
      <c r="H1257" s="9"/>
      <c r="I1257" s="9"/>
      <c r="J1257" s="10"/>
      <c r="K1257" s="10"/>
      <c r="L1257" s="10"/>
      <c r="M1257" s="10"/>
      <c r="N1257" s="11"/>
      <c r="O1257" s="11"/>
      <c r="P1257" s="11"/>
      <c r="Q1257" s="11"/>
      <c r="R1257" s="10"/>
      <c r="S1257" s="10"/>
      <c r="T1257" s="10"/>
      <c r="U1257" s="10"/>
    </row>
    <row r="1258">
      <c r="A1258" s="8"/>
      <c r="B1258" s="9"/>
      <c r="C1258" s="9"/>
      <c r="D1258" s="9"/>
      <c r="E1258" s="9"/>
      <c r="F1258" s="9"/>
      <c r="G1258" s="9"/>
      <c r="H1258" s="9"/>
      <c r="I1258" s="9"/>
      <c r="J1258" s="10"/>
      <c r="K1258" s="10"/>
      <c r="L1258" s="10"/>
      <c r="M1258" s="10"/>
      <c r="N1258" s="11"/>
      <c r="O1258" s="11"/>
      <c r="P1258" s="11"/>
      <c r="Q1258" s="11"/>
      <c r="R1258" s="10"/>
      <c r="S1258" s="10"/>
      <c r="T1258" s="10"/>
      <c r="U1258" s="10"/>
    </row>
    <row r="1259">
      <c r="A1259" s="8"/>
      <c r="B1259" s="9"/>
      <c r="C1259" s="9"/>
      <c r="D1259" s="9"/>
      <c r="E1259" s="9"/>
      <c r="F1259" s="9"/>
      <c r="G1259" s="9"/>
      <c r="H1259" s="9"/>
      <c r="I1259" s="9"/>
      <c r="J1259" s="10"/>
      <c r="K1259" s="10"/>
      <c r="L1259" s="10"/>
      <c r="M1259" s="10"/>
      <c r="N1259" s="11"/>
      <c r="O1259" s="11"/>
      <c r="P1259" s="11"/>
      <c r="Q1259" s="11"/>
      <c r="R1259" s="10"/>
      <c r="S1259" s="10"/>
      <c r="T1259" s="10"/>
      <c r="U1259" s="10"/>
    </row>
    <row r="1260">
      <c r="A1260" s="8"/>
      <c r="B1260" s="9"/>
      <c r="C1260" s="9"/>
      <c r="D1260" s="9"/>
      <c r="E1260" s="9"/>
      <c r="F1260" s="9"/>
      <c r="G1260" s="9"/>
      <c r="H1260" s="9"/>
      <c r="I1260" s="9"/>
      <c r="J1260" s="10"/>
      <c r="K1260" s="10"/>
      <c r="L1260" s="10"/>
      <c r="M1260" s="10"/>
      <c r="N1260" s="11"/>
      <c r="O1260" s="11"/>
      <c r="P1260" s="11"/>
      <c r="Q1260" s="11"/>
      <c r="R1260" s="10"/>
      <c r="S1260" s="10"/>
      <c r="T1260" s="10"/>
      <c r="U1260" s="10"/>
    </row>
    <row r="1261">
      <c r="A1261" s="8"/>
      <c r="B1261" s="9"/>
      <c r="C1261" s="9"/>
      <c r="D1261" s="9"/>
      <c r="E1261" s="9"/>
      <c r="F1261" s="9"/>
      <c r="G1261" s="9"/>
      <c r="H1261" s="9"/>
      <c r="I1261" s="9"/>
      <c r="J1261" s="10"/>
      <c r="K1261" s="10"/>
      <c r="L1261" s="10"/>
      <c r="M1261" s="10"/>
      <c r="N1261" s="11"/>
      <c r="O1261" s="11"/>
      <c r="P1261" s="11"/>
      <c r="Q1261" s="11"/>
      <c r="R1261" s="10"/>
      <c r="S1261" s="10"/>
      <c r="T1261" s="10"/>
      <c r="U1261" s="10"/>
    </row>
    <row r="1262">
      <c r="A1262" s="8"/>
      <c r="B1262" s="9"/>
      <c r="C1262" s="9"/>
      <c r="D1262" s="9"/>
      <c r="E1262" s="9"/>
      <c r="F1262" s="9"/>
      <c r="G1262" s="9"/>
      <c r="H1262" s="9"/>
      <c r="I1262" s="9"/>
      <c r="J1262" s="10"/>
      <c r="K1262" s="10"/>
      <c r="L1262" s="10"/>
      <c r="M1262" s="10"/>
      <c r="N1262" s="11"/>
      <c r="O1262" s="11"/>
      <c r="P1262" s="11"/>
      <c r="Q1262" s="11"/>
      <c r="R1262" s="10"/>
      <c r="S1262" s="10"/>
      <c r="T1262" s="10"/>
      <c r="U1262" s="10"/>
    </row>
    <row r="1263">
      <c r="A1263" s="8"/>
      <c r="B1263" s="9"/>
      <c r="C1263" s="9"/>
      <c r="D1263" s="9"/>
      <c r="E1263" s="9"/>
      <c r="F1263" s="9"/>
      <c r="G1263" s="9"/>
      <c r="H1263" s="9"/>
      <c r="I1263" s="9"/>
      <c r="J1263" s="10"/>
      <c r="K1263" s="10"/>
      <c r="L1263" s="10"/>
      <c r="M1263" s="10"/>
      <c r="N1263" s="11"/>
      <c r="O1263" s="11"/>
      <c r="P1263" s="11"/>
      <c r="Q1263" s="11"/>
      <c r="R1263" s="10"/>
      <c r="S1263" s="10"/>
      <c r="T1263" s="10"/>
      <c r="U1263" s="10"/>
    </row>
    <row r="1264">
      <c r="A1264" s="8"/>
      <c r="B1264" s="9"/>
      <c r="C1264" s="9"/>
      <c r="D1264" s="9"/>
      <c r="E1264" s="9"/>
      <c r="F1264" s="9"/>
      <c r="G1264" s="9"/>
      <c r="H1264" s="9"/>
      <c r="I1264" s="9"/>
      <c r="J1264" s="10"/>
      <c r="K1264" s="10"/>
      <c r="L1264" s="10"/>
      <c r="M1264" s="10"/>
      <c r="N1264" s="11"/>
      <c r="O1264" s="11"/>
      <c r="P1264" s="11"/>
      <c r="Q1264" s="11"/>
      <c r="R1264" s="10"/>
      <c r="S1264" s="10"/>
      <c r="T1264" s="10"/>
      <c r="U1264" s="10"/>
    </row>
    <row r="1265">
      <c r="A1265" s="8"/>
      <c r="B1265" s="9"/>
      <c r="C1265" s="9"/>
      <c r="D1265" s="9"/>
      <c r="E1265" s="9"/>
      <c r="F1265" s="9"/>
      <c r="G1265" s="9"/>
      <c r="H1265" s="9"/>
      <c r="I1265" s="9"/>
      <c r="J1265" s="10"/>
      <c r="K1265" s="10"/>
      <c r="L1265" s="10"/>
      <c r="M1265" s="10"/>
      <c r="N1265" s="11"/>
      <c r="O1265" s="11"/>
      <c r="P1265" s="11"/>
      <c r="Q1265" s="11"/>
      <c r="R1265" s="10"/>
      <c r="S1265" s="10"/>
      <c r="T1265" s="10"/>
      <c r="U1265" s="10"/>
    </row>
    <row r="1266">
      <c r="A1266" s="8"/>
      <c r="B1266" s="9"/>
      <c r="C1266" s="9"/>
      <c r="D1266" s="9"/>
      <c r="E1266" s="9"/>
      <c r="F1266" s="9"/>
      <c r="G1266" s="9"/>
      <c r="H1266" s="9"/>
      <c r="I1266" s="9"/>
      <c r="J1266" s="10"/>
      <c r="K1266" s="10"/>
      <c r="L1266" s="10"/>
      <c r="M1266" s="10"/>
      <c r="N1266" s="11"/>
      <c r="O1266" s="11"/>
      <c r="P1266" s="11"/>
      <c r="Q1266" s="11"/>
      <c r="R1266" s="10"/>
      <c r="S1266" s="10"/>
      <c r="T1266" s="10"/>
      <c r="U1266" s="10"/>
    </row>
    <row r="1267">
      <c r="A1267" s="8"/>
      <c r="B1267" s="9"/>
      <c r="C1267" s="9"/>
      <c r="D1267" s="9"/>
      <c r="E1267" s="9"/>
      <c r="F1267" s="9"/>
      <c r="G1267" s="9"/>
      <c r="H1267" s="9"/>
      <c r="I1267" s="9"/>
      <c r="J1267" s="10"/>
      <c r="K1267" s="10"/>
      <c r="L1267" s="10"/>
      <c r="M1267" s="10"/>
      <c r="N1267" s="11"/>
      <c r="O1267" s="11"/>
      <c r="P1267" s="11"/>
      <c r="Q1267" s="11"/>
      <c r="R1267" s="10"/>
      <c r="S1267" s="10"/>
      <c r="T1267" s="10"/>
      <c r="U1267" s="10"/>
    </row>
    <row r="1268">
      <c r="A1268" s="8"/>
      <c r="B1268" s="9"/>
      <c r="C1268" s="9"/>
      <c r="D1268" s="9"/>
      <c r="E1268" s="9"/>
      <c r="F1268" s="9"/>
      <c r="G1268" s="9"/>
      <c r="H1268" s="9"/>
      <c r="I1268" s="9"/>
      <c r="J1268" s="10"/>
      <c r="K1268" s="10"/>
      <c r="L1268" s="10"/>
      <c r="M1268" s="10"/>
      <c r="N1268" s="11"/>
      <c r="O1268" s="11"/>
      <c r="P1268" s="11"/>
      <c r="Q1268" s="11"/>
      <c r="R1268" s="10"/>
      <c r="S1268" s="10"/>
      <c r="T1268" s="10"/>
      <c r="U1268" s="10"/>
    </row>
    <row r="1269">
      <c r="A1269" s="8"/>
      <c r="B1269" s="9"/>
      <c r="C1269" s="9"/>
      <c r="D1269" s="9"/>
      <c r="E1269" s="9"/>
      <c r="F1269" s="9"/>
      <c r="G1269" s="9"/>
      <c r="H1269" s="9"/>
      <c r="I1269" s="9"/>
      <c r="J1269" s="10"/>
      <c r="K1269" s="10"/>
      <c r="L1269" s="10"/>
      <c r="M1269" s="10"/>
      <c r="N1269" s="11"/>
      <c r="O1269" s="11"/>
      <c r="P1269" s="11"/>
      <c r="Q1269" s="11"/>
      <c r="R1269" s="10"/>
      <c r="S1269" s="10"/>
      <c r="T1269" s="10"/>
      <c r="U1269" s="10"/>
    </row>
    <row r="1270">
      <c r="A1270" s="8"/>
      <c r="B1270" s="9"/>
      <c r="C1270" s="9"/>
      <c r="D1270" s="9"/>
      <c r="E1270" s="9"/>
      <c r="F1270" s="9"/>
      <c r="G1270" s="9"/>
      <c r="H1270" s="9"/>
      <c r="I1270" s="9"/>
      <c r="J1270" s="10"/>
      <c r="K1270" s="10"/>
      <c r="L1270" s="10"/>
      <c r="M1270" s="10"/>
      <c r="N1270" s="11"/>
      <c r="O1270" s="11"/>
      <c r="P1270" s="11"/>
      <c r="Q1270" s="11"/>
      <c r="R1270" s="10"/>
      <c r="S1270" s="10"/>
      <c r="T1270" s="10"/>
      <c r="U1270" s="10"/>
    </row>
    <row r="1271">
      <c r="A1271" s="8"/>
      <c r="B1271" s="9"/>
      <c r="C1271" s="9"/>
      <c r="D1271" s="9"/>
      <c r="E1271" s="9"/>
      <c r="F1271" s="9"/>
      <c r="G1271" s="9"/>
      <c r="H1271" s="9"/>
      <c r="I1271" s="9"/>
      <c r="J1271" s="10"/>
      <c r="K1271" s="10"/>
      <c r="L1271" s="10"/>
      <c r="M1271" s="10"/>
      <c r="N1271" s="11"/>
      <c r="O1271" s="11"/>
      <c r="P1271" s="11"/>
      <c r="Q1271" s="11"/>
      <c r="R1271" s="10"/>
      <c r="S1271" s="10"/>
      <c r="T1271" s="10"/>
      <c r="U1271" s="10"/>
    </row>
    <row r="1272">
      <c r="A1272" s="8"/>
      <c r="B1272" s="9"/>
      <c r="C1272" s="9"/>
      <c r="D1272" s="9"/>
      <c r="E1272" s="9"/>
      <c r="F1272" s="9"/>
      <c r="G1272" s="9"/>
      <c r="H1272" s="9"/>
      <c r="I1272" s="9"/>
      <c r="J1272" s="10"/>
      <c r="K1272" s="10"/>
      <c r="L1272" s="10"/>
      <c r="M1272" s="10"/>
      <c r="N1272" s="11"/>
      <c r="O1272" s="11"/>
      <c r="P1272" s="11"/>
      <c r="Q1272" s="11"/>
      <c r="R1272" s="10"/>
      <c r="S1272" s="10"/>
      <c r="T1272" s="10"/>
      <c r="U1272" s="10"/>
    </row>
    <row r="1273">
      <c r="A1273" s="8"/>
      <c r="B1273" s="9"/>
      <c r="C1273" s="9"/>
      <c r="D1273" s="9"/>
      <c r="E1273" s="9"/>
      <c r="F1273" s="9"/>
      <c r="G1273" s="9"/>
      <c r="H1273" s="9"/>
      <c r="I1273" s="9"/>
      <c r="J1273" s="10"/>
      <c r="K1273" s="10"/>
      <c r="L1273" s="10"/>
      <c r="M1273" s="10"/>
      <c r="N1273" s="11"/>
      <c r="O1273" s="11"/>
      <c r="P1273" s="11"/>
      <c r="Q1273" s="11"/>
      <c r="R1273" s="10"/>
      <c r="S1273" s="10"/>
      <c r="T1273" s="10"/>
      <c r="U1273" s="10"/>
    </row>
    <row r="1274">
      <c r="A1274" s="8"/>
      <c r="B1274" s="9"/>
      <c r="C1274" s="9"/>
      <c r="D1274" s="9"/>
      <c r="E1274" s="9"/>
      <c r="F1274" s="9"/>
      <c r="G1274" s="9"/>
      <c r="H1274" s="9"/>
      <c r="I1274" s="9"/>
      <c r="J1274" s="10"/>
      <c r="K1274" s="10"/>
      <c r="L1274" s="10"/>
      <c r="M1274" s="10"/>
      <c r="N1274" s="11"/>
      <c r="O1274" s="11"/>
      <c r="P1274" s="11"/>
      <c r="Q1274" s="11"/>
      <c r="R1274" s="10"/>
      <c r="S1274" s="10"/>
      <c r="T1274" s="10"/>
      <c r="U1274" s="10"/>
    </row>
    <row r="1275">
      <c r="A1275" s="8"/>
      <c r="B1275" s="9"/>
      <c r="C1275" s="9"/>
      <c r="D1275" s="9"/>
      <c r="E1275" s="9"/>
      <c r="F1275" s="9"/>
      <c r="G1275" s="9"/>
      <c r="H1275" s="9"/>
      <c r="I1275" s="9"/>
      <c r="J1275" s="10"/>
      <c r="K1275" s="10"/>
      <c r="L1275" s="10"/>
      <c r="M1275" s="10"/>
      <c r="N1275" s="11"/>
      <c r="O1275" s="11"/>
      <c r="P1275" s="11"/>
      <c r="Q1275" s="11"/>
      <c r="R1275" s="10"/>
      <c r="S1275" s="10"/>
      <c r="T1275" s="10"/>
      <c r="U1275" s="10"/>
    </row>
    <row r="1276">
      <c r="A1276" s="8"/>
      <c r="B1276" s="9"/>
      <c r="C1276" s="9"/>
      <c r="D1276" s="9"/>
      <c r="E1276" s="9"/>
      <c r="F1276" s="9"/>
      <c r="G1276" s="9"/>
      <c r="H1276" s="9"/>
      <c r="I1276" s="9"/>
      <c r="J1276" s="10"/>
      <c r="K1276" s="10"/>
      <c r="L1276" s="10"/>
      <c r="M1276" s="10"/>
      <c r="N1276" s="11"/>
      <c r="O1276" s="11"/>
      <c r="P1276" s="11"/>
      <c r="Q1276" s="11"/>
      <c r="R1276" s="10"/>
      <c r="S1276" s="10"/>
      <c r="T1276" s="10"/>
      <c r="U1276" s="10"/>
    </row>
    <row r="1277">
      <c r="A1277" s="8"/>
      <c r="B1277" s="9"/>
      <c r="C1277" s="9"/>
      <c r="D1277" s="9"/>
      <c r="E1277" s="9"/>
      <c r="F1277" s="9"/>
      <c r="G1277" s="9"/>
      <c r="H1277" s="9"/>
      <c r="I1277" s="9"/>
      <c r="J1277" s="10"/>
      <c r="K1277" s="10"/>
      <c r="L1277" s="10"/>
      <c r="M1277" s="10"/>
      <c r="N1277" s="11"/>
      <c r="O1277" s="11"/>
      <c r="P1277" s="11"/>
      <c r="Q1277" s="11"/>
      <c r="R1277" s="10"/>
      <c r="S1277" s="10"/>
      <c r="T1277" s="10"/>
      <c r="U1277" s="10"/>
    </row>
    <row r="1278">
      <c r="A1278" s="8"/>
      <c r="B1278" s="9"/>
      <c r="C1278" s="9"/>
      <c r="D1278" s="9"/>
      <c r="E1278" s="9"/>
      <c r="F1278" s="9"/>
      <c r="G1278" s="9"/>
      <c r="H1278" s="9"/>
      <c r="I1278" s="9"/>
      <c r="J1278" s="10"/>
      <c r="K1278" s="10"/>
      <c r="L1278" s="10"/>
      <c r="M1278" s="10"/>
      <c r="N1278" s="11"/>
      <c r="O1278" s="11"/>
      <c r="P1278" s="11"/>
      <c r="Q1278" s="11"/>
      <c r="R1278" s="10"/>
      <c r="S1278" s="10"/>
      <c r="T1278" s="10"/>
      <c r="U1278" s="10"/>
    </row>
    <row r="1279">
      <c r="A1279" s="8"/>
      <c r="B1279" s="9"/>
      <c r="C1279" s="9"/>
      <c r="D1279" s="9"/>
      <c r="E1279" s="9"/>
      <c r="F1279" s="9"/>
      <c r="G1279" s="9"/>
      <c r="H1279" s="9"/>
      <c r="I1279" s="9"/>
      <c r="J1279" s="10"/>
      <c r="K1279" s="10"/>
      <c r="L1279" s="10"/>
      <c r="M1279" s="10"/>
      <c r="N1279" s="11"/>
      <c r="O1279" s="11"/>
      <c r="P1279" s="11"/>
      <c r="Q1279" s="11"/>
      <c r="R1279" s="10"/>
      <c r="S1279" s="10"/>
      <c r="T1279" s="10"/>
      <c r="U1279" s="10"/>
    </row>
    <row r="1280">
      <c r="A1280" s="8"/>
      <c r="B1280" s="9"/>
      <c r="C1280" s="9"/>
      <c r="D1280" s="9"/>
      <c r="E1280" s="9"/>
      <c r="F1280" s="9"/>
      <c r="G1280" s="9"/>
      <c r="H1280" s="9"/>
      <c r="I1280" s="9"/>
      <c r="J1280" s="10"/>
      <c r="K1280" s="10"/>
      <c r="L1280" s="10"/>
      <c r="M1280" s="10"/>
      <c r="N1280" s="11"/>
      <c r="O1280" s="11"/>
      <c r="P1280" s="11"/>
      <c r="Q1280" s="11"/>
      <c r="R1280" s="10"/>
      <c r="S1280" s="10"/>
      <c r="T1280" s="10"/>
      <c r="U1280" s="10"/>
    </row>
    <row r="1281">
      <c r="A1281" s="8"/>
      <c r="B1281" s="9"/>
      <c r="C1281" s="9"/>
      <c r="D1281" s="9"/>
      <c r="E1281" s="9"/>
      <c r="F1281" s="9"/>
      <c r="G1281" s="9"/>
      <c r="H1281" s="9"/>
      <c r="I1281" s="9"/>
      <c r="J1281" s="10"/>
      <c r="K1281" s="10"/>
      <c r="L1281" s="10"/>
      <c r="M1281" s="10"/>
      <c r="N1281" s="11"/>
      <c r="O1281" s="11"/>
      <c r="P1281" s="11"/>
      <c r="Q1281" s="11"/>
      <c r="R1281" s="10"/>
      <c r="S1281" s="10"/>
      <c r="T1281" s="10"/>
      <c r="U1281" s="10"/>
    </row>
    <row r="1282">
      <c r="A1282" s="8"/>
      <c r="B1282" s="9"/>
      <c r="C1282" s="9"/>
      <c r="D1282" s="9"/>
      <c r="E1282" s="9"/>
      <c r="F1282" s="9"/>
      <c r="G1282" s="9"/>
      <c r="H1282" s="9"/>
      <c r="I1282" s="9"/>
      <c r="J1282" s="10"/>
      <c r="K1282" s="10"/>
      <c r="L1282" s="10"/>
      <c r="M1282" s="10"/>
      <c r="N1282" s="11"/>
      <c r="O1282" s="11"/>
      <c r="P1282" s="11"/>
      <c r="Q1282" s="11"/>
      <c r="R1282" s="10"/>
      <c r="S1282" s="10"/>
      <c r="T1282" s="10"/>
      <c r="U1282" s="10"/>
    </row>
    <row r="1283">
      <c r="A1283" s="8"/>
      <c r="B1283" s="9"/>
      <c r="C1283" s="9"/>
      <c r="D1283" s="9"/>
      <c r="E1283" s="9"/>
      <c r="F1283" s="9"/>
      <c r="G1283" s="9"/>
      <c r="H1283" s="9"/>
      <c r="I1283" s="9"/>
      <c r="J1283" s="10"/>
      <c r="K1283" s="10"/>
      <c r="L1283" s="10"/>
      <c r="M1283" s="10"/>
      <c r="N1283" s="11"/>
      <c r="O1283" s="11"/>
      <c r="P1283" s="11"/>
      <c r="Q1283" s="11"/>
      <c r="R1283" s="10"/>
      <c r="S1283" s="10"/>
      <c r="T1283" s="10"/>
      <c r="U1283" s="10"/>
    </row>
    <row r="1284">
      <c r="A1284" s="8"/>
      <c r="B1284" s="9"/>
      <c r="C1284" s="9"/>
      <c r="D1284" s="9"/>
      <c r="E1284" s="9"/>
      <c r="F1284" s="9"/>
      <c r="G1284" s="9"/>
      <c r="H1284" s="9"/>
      <c r="I1284" s="9"/>
      <c r="J1284" s="10"/>
      <c r="K1284" s="10"/>
      <c r="L1284" s="10"/>
      <c r="M1284" s="10"/>
      <c r="N1284" s="11"/>
      <c r="O1284" s="11"/>
      <c r="P1284" s="11"/>
      <c r="Q1284" s="11"/>
      <c r="R1284" s="10"/>
      <c r="S1284" s="10"/>
      <c r="T1284" s="10"/>
      <c r="U1284" s="10"/>
    </row>
    <row r="1285">
      <c r="A1285" s="8"/>
      <c r="B1285" s="9"/>
      <c r="C1285" s="9"/>
      <c r="D1285" s="9"/>
      <c r="E1285" s="9"/>
      <c r="F1285" s="9"/>
      <c r="G1285" s="9"/>
      <c r="H1285" s="9"/>
      <c r="I1285" s="9"/>
      <c r="J1285" s="10"/>
      <c r="K1285" s="10"/>
      <c r="L1285" s="10"/>
      <c r="M1285" s="10"/>
      <c r="N1285" s="11"/>
      <c r="O1285" s="11"/>
      <c r="P1285" s="11"/>
      <c r="Q1285" s="11"/>
      <c r="R1285" s="10"/>
      <c r="S1285" s="10"/>
      <c r="T1285" s="10"/>
      <c r="U1285" s="10"/>
    </row>
    <row r="1286">
      <c r="A1286" s="8"/>
      <c r="B1286" s="9"/>
      <c r="C1286" s="9"/>
      <c r="D1286" s="9"/>
      <c r="E1286" s="9"/>
      <c r="F1286" s="9"/>
      <c r="G1286" s="9"/>
      <c r="H1286" s="9"/>
      <c r="I1286" s="9"/>
      <c r="J1286" s="10"/>
      <c r="K1286" s="10"/>
      <c r="L1286" s="10"/>
      <c r="M1286" s="10"/>
      <c r="N1286" s="11"/>
      <c r="O1286" s="11"/>
      <c r="P1286" s="11"/>
      <c r="Q1286" s="11"/>
      <c r="R1286" s="10"/>
      <c r="S1286" s="10"/>
      <c r="T1286" s="10"/>
      <c r="U1286" s="10"/>
    </row>
    <row r="1287">
      <c r="A1287" s="8"/>
      <c r="B1287" s="9"/>
      <c r="C1287" s="9"/>
      <c r="D1287" s="9"/>
      <c r="E1287" s="9"/>
      <c r="F1287" s="9"/>
      <c r="G1287" s="9"/>
      <c r="H1287" s="9"/>
      <c r="I1287" s="9"/>
      <c r="J1287" s="10"/>
      <c r="K1287" s="10"/>
      <c r="L1287" s="10"/>
      <c r="M1287" s="10"/>
      <c r="N1287" s="11"/>
      <c r="O1287" s="11"/>
      <c r="P1287" s="11"/>
      <c r="Q1287" s="11"/>
      <c r="R1287" s="10"/>
      <c r="S1287" s="10"/>
      <c r="T1287" s="10"/>
      <c r="U1287" s="10"/>
    </row>
    <row r="1288">
      <c r="A1288" s="8"/>
      <c r="B1288" s="9"/>
      <c r="C1288" s="9"/>
      <c r="D1288" s="9"/>
      <c r="E1288" s="9"/>
      <c r="F1288" s="9"/>
      <c r="G1288" s="9"/>
      <c r="H1288" s="9"/>
      <c r="I1288" s="9"/>
      <c r="J1288" s="10"/>
      <c r="K1288" s="10"/>
      <c r="L1288" s="10"/>
      <c r="M1288" s="10"/>
      <c r="N1288" s="11"/>
      <c r="O1288" s="11"/>
      <c r="P1288" s="11"/>
      <c r="Q1288" s="11"/>
      <c r="R1288" s="10"/>
      <c r="S1288" s="10"/>
      <c r="T1288" s="10"/>
      <c r="U1288" s="10"/>
    </row>
    <row r="1289">
      <c r="A1289" s="8"/>
      <c r="B1289" s="9"/>
      <c r="C1289" s="9"/>
      <c r="D1289" s="9"/>
      <c r="E1289" s="9"/>
      <c r="F1289" s="9"/>
      <c r="G1289" s="9"/>
      <c r="H1289" s="9"/>
      <c r="I1289" s="9"/>
      <c r="J1289" s="10"/>
      <c r="K1289" s="10"/>
      <c r="L1289" s="10"/>
      <c r="M1289" s="10"/>
      <c r="N1289" s="11"/>
      <c r="O1289" s="11"/>
      <c r="P1289" s="11"/>
      <c r="Q1289" s="11"/>
      <c r="R1289" s="10"/>
      <c r="S1289" s="10"/>
      <c r="T1289" s="10"/>
      <c r="U1289" s="10"/>
    </row>
    <row r="1290">
      <c r="A1290" s="8"/>
      <c r="B1290" s="9"/>
      <c r="C1290" s="9"/>
      <c r="D1290" s="9"/>
      <c r="E1290" s="9"/>
      <c r="F1290" s="9"/>
      <c r="G1290" s="9"/>
      <c r="H1290" s="9"/>
      <c r="I1290" s="9"/>
      <c r="J1290" s="10"/>
      <c r="K1290" s="10"/>
      <c r="L1290" s="10"/>
      <c r="M1290" s="10"/>
      <c r="N1290" s="11"/>
      <c r="O1290" s="11"/>
      <c r="P1290" s="11"/>
      <c r="Q1290" s="11"/>
      <c r="R1290" s="10"/>
      <c r="S1290" s="10"/>
      <c r="T1290" s="10"/>
      <c r="U1290" s="10"/>
    </row>
    <row r="1291">
      <c r="A1291" s="8"/>
      <c r="B1291" s="9"/>
      <c r="C1291" s="9"/>
      <c r="D1291" s="9"/>
      <c r="E1291" s="9"/>
      <c r="F1291" s="9"/>
      <c r="G1291" s="9"/>
      <c r="H1291" s="9"/>
      <c r="I1291" s="9"/>
      <c r="J1291" s="10"/>
      <c r="K1291" s="10"/>
      <c r="L1291" s="10"/>
      <c r="M1291" s="10"/>
      <c r="N1291" s="11"/>
      <c r="O1291" s="11"/>
      <c r="P1291" s="11"/>
      <c r="Q1291" s="11"/>
      <c r="R1291" s="10"/>
      <c r="S1291" s="10"/>
      <c r="T1291" s="10"/>
      <c r="U1291" s="10"/>
    </row>
    <row r="1292">
      <c r="A1292" s="8"/>
      <c r="B1292" s="9"/>
      <c r="C1292" s="9"/>
      <c r="D1292" s="9"/>
      <c r="E1292" s="9"/>
      <c r="F1292" s="9"/>
      <c r="G1292" s="9"/>
      <c r="H1292" s="9"/>
      <c r="I1292" s="9"/>
      <c r="J1292" s="10"/>
      <c r="K1292" s="10"/>
      <c r="L1292" s="10"/>
      <c r="M1292" s="10"/>
      <c r="N1292" s="11"/>
      <c r="O1292" s="11"/>
      <c r="P1292" s="11"/>
      <c r="Q1292" s="11"/>
      <c r="R1292" s="10"/>
      <c r="S1292" s="10"/>
      <c r="T1292" s="10"/>
      <c r="U1292" s="10"/>
    </row>
    <row r="1293">
      <c r="A1293" s="8"/>
      <c r="B1293" s="9"/>
      <c r="C1293" s="9"/>
      <c r="D1293" s="9"/>
      <c r="E1293" s="9"/>
      <c r="F1293" s="9"/>
      <c r="G1293" s="9"/>
      <c r="H1293" s="9"/>
      <c r="I1293" s="9"/>
      <c r="J1293" s="10"/>
      <c r="K1293" s="10"/>
      <c r="L1293" s="10"/>
      <c r="M1293" s="10"/>
      <c r="N1293" s="11"/>
      <c r="O1293" s="11"/>
      <c r="P1293" s="11"/>
      <c r="Q1293" s="11"/>
      <c r="R1293" s="10"/>
      <c r="S1293" s="10"/>
      <c r="T1293" s="10"/>
      <c r="U1293" s="10"/>
    </row>
    <row r="1294">
      <c r="A1294" s="8"/>
      <c r="B1294" s="9"/>
      <c r="C1294" s="9"/>
      <c r="D1294" s="9"/>
      <c r="E1294" s="9"/>
      <c r="F1294" s="9"/>
      <c r="G1294" s="9"/>
      <c r="H1294" s="9"/>
      <c r="I1294" s="9"/>
      <c r="J1294" s="10"/>
      <c r="K1294" s="10"/>
      <c r="L1294" s="10"/>
      <c r="M1294" s="10"/>
      <c r="N1294" s="11"/>
      <c r="O1294" s="11"/>
      <c r="P1294" s="11"/>
      <c r="Q1294" s="11"/>
      <c r="R1294" s="10"/>
      <c r="S1294" s="10"/>
      <c r="T1294" s="10"/>
      <c r="U1294" s="10"/>
    </row>
    <row r="1295">
      <c r="A1295" s="8"/>
      <c r="B1295" s="9"/>
      <c r="C1295" s="9"/>
      <c r="D1295" s="9"/>
      <c r="E1295" s="9"/>
      <c r="F1295" s="9"/>
      <c r="G1295" s="9"/>
      <c r="H1295" s="9"/>
      <c r="I1295" s="9"/>
      <c r="J1295" s="10"/>
      <c r="K1295" s="10"/>
      <c r="L1295" s="10"/>
      <c r="M1295" s="10"/>
      <c r="N1295" s="11"/>
      <c r="O1295" s="11"/>
      <c r="P1295" s="11"/>
      <c r="Q1295" s="11"/>
      <c r="R1295" s="10"/>
      <c r="S1295" s="10"/>
      <c r="T1295" s="10"/>
      <c r="U1295" s="10"/>
    </row>
    <row r="1296">
      <c r="A1296" s="8"/>
      <c r="B1296" s="9"/>
      <c r="C1296" s="9"/>
      <c r="D1296" s="9"/>
      <c r="E1296" s="9"/>
      <c r="F1296" s="9"/>
      <c r="G1296" s="9"/>
      <c r="H1296" s="9"/>
      <c r="I1296" s="9"/>
      <c r="J1296" s="10"/>
      <c r="K1296" s="10"/>
      <c r="L1296" s="10"/>
      <c r="M1296" s="10"/>
      <c r="N1296" s="11"/>
      <c r="O1296" s="11"/>
      <c r="P1296" s="11"/>
      <c r="Q1296" s="11"/>
      <c r="R1296" s="10"/>
      <c r="S1296" s="10"/>
      <c r="T1296" s="10"/>
      <c r="U1296" s="10"/>
    </row>
    <row r="1297">
      <c r="A1297" s="8"/>
      <c r="B1297" s="9"/>
      <c r="C1297" s="9"/>
      <c r="D1297" s="9"/>
      <c r="E1297" s="9"/>
      <c r="F1297" s="9"/>
      <c r="G1297" s="9"/>
      <c r="H1297" s="9"/>
      <c r="I1297" s="9"/>
      <c r="J1297" s="10"/>
      <c r="K1297" s="10"/>
      <c r="L1297" s="10"/>
      <c r="M1297" s="10"/>
      <c r="N1297" s="11"/>
      <c r="O1297" s="11"/>
      <c r="P1297" s="11"/>
      <c r="Q1297" s="11"/>
      <c r="R1297" s="10"/>
      <c r="S1297" s="10"/>
      <c r="T1297" s="10"/>
      <c r="U1297" s="10"/>
    </row>
    <row r="1298">
      <c r="A1298" s="8"/>
      <c r="B1298" s="9"/>
      <c r="C1298" s="9"/>
      <c r="D1298" s="9"/>
      <c r="E1298" s="9"/>
      <c r="F1298" s="9"/>
      <c r="G1298" s="9"/>
      <c r="H1298" s="9"/>
      <c r="I1298" s="9"/>
      <c r="J1298" s="10"/>
      <c r="K1298" s="10"/>
      <c r="L1298" s="10"/>
      <c r="M1298" s="10"/>
      <c r="N1298" s="11"/>
      <c r="O1298" s="11"/>
      <c r="P1298" s="11"/>
      <c r="Q1298" s="11"/>
      <c r="R1298" s="10"/>
      <c r="S1298" s="10"/>
      <c r="T1298" s="10"/>
      <c r="U1298" s="10"/>
    </row>
    <row r="1299">
      <c r="A1299" s="8"/>
      <c r="B1299" s="9"/>
      <c r="C1299" s="9"/>
      <c r="D1299" s="9"/>
      <c r="E1299" s="9"/>
      <c r="F1299" s="9"/>
      <c r="G1299" s="9"/>
      <c r="H1299" s="9"/>
      <c r="I1299" s="9"/>
      <c r="J1299" s="10"/>
      <c r="K1299" s="10"/>
      <c r="L1299" s="10"/>
      <c r="M1299" s="10"/>
      <c r="N1299" s="11"/>
      <c r="O1299" s="11"/>
      <c r="P1299" s="11"/>
      <c r="Q1299" s="11"/>
      <c r="R1299" s="10"/>
      <c r="S1299" s="10"/>
      <c r="T1299" s="10"/>
      <c r="U1299" s="10"/>
    </row>
    <row r="1300">
      <c r="A1300" s="8"/>
      <c r="B1300" s="9"/>
      <c r="C1300" s="9"/>
      <c r="D1300" s="9"/>
      <c r="E1300" s="9"/>
      <c r="F1300" s="9"/>
      <c r="G1300" s="9"/>
      <c r="H1300" s="9"/>
      <c r="I1300" s="9"/>
      <c r="J1300" s="10"/>
      <c r="K1300" s="10"/>
      <c r="L1300" s="10"/>
      <c r="M1300" s="10"/>
      <c r="N1300" s="11"/>
      <c r="O1300" s="11"/>
      <c r="P1300" s="11"/>
      <c r="Q1300" s="11"/>
      <c r="R1300" s="10"/>
      <c r="S1300" s="10"/>
      <c r="T1300" s="10"/>
      <c r="U1300" s="10"/>
    </row>
    <row r="1301">
      <c r="A1301" s="8"/>
      <c r="B1301" s="9"/>
      <c r="C1301" s="9"/>
      <c r="D1301" s="9"/>
      <c r="E1301" s="9"/>
      <c r="F1301" s="9"/>
      <c r="G1301" s="9"/>
      <c r="H1301" s="9"/>
      <c r="I1301" s="9"/>
      <c r="J1301" s="10"/>
      <c r="K1301" s="10"/>
      <c r="L1301" s="10"/>
      <c r="M1301" s="10"/>
      <c r="N1301" s="11"/>
      <c r="O1301" s="11"/>
      <c r="P1301" s="11"/>
      <c r="Q1301" s="11"/>
      <c r="R1301" s="10"/>
      <c r="S1301" s="10"/>
      <c r="T1301" s="10"/>
      <c r="U1301" s="10"/>
    </row>
    <row r="1302">
      <c r="A1302" s="8"/>
      <c r="B1302" s="9"/>
      <c r="C1302" s="9"/>
      <c r="D1302" s="9"/>
      <c r="E1302" s="9"/>
      <c r="F1302" s="9"/>
      <c r="G1302" s="9"/>
      <c r="H1302" s="9"/>
      <c r="I1302" s="9"/>
      <c r="J1302" s="10"/>
      <c r="K1302" s="10"/>
      <c r="L1302" s="10"/>
      <c r="M1302" s="10"/>
      <c r="N1302" s="11"/>
      <c r="O1302" s="11"/>
      <c r="P1302" s="11"/>
      <c r="Q1302" s="11"/>
      <c r="R1302" s="10"/>
      <c r="S1302" s="10"/>
      <c r="T1302" s="10"/>
      <c r="U1302" s="10"/>
    </row>
    <row r="1303">
      <c r="A1303" s="8"/>
      <c r="B1303" s="9"/>
      <c r="C1303" s="9"/>
      <c r="D1303" s="9"/>
      <c r="E1303" s="9"/>
      <c r="F1303" s="9"/>
      <c r="G1303" s="9"/>
      <c r="H1303" s="9"/>
      <c r="I1303" s="9"/>
      <c r="J1303" s="10"/>
      <c r="K1303" s="10"/>
      <c r="L1303" s="10"/>
      <c r="M1303" s="10"/>
      <c r="N1303" s="11"/>
      <c r="O1303" s="11"/>
      <c r="P1303" s="11"/>
      <c r="Q1303" s="11"/>
      <c r="R1303" s="10"/>
      <c r="S1303" s="10"/>
      <c r="T1303" s="10"/>
      <c r="U1303" s="10"/>
    </row>
    <row r="1304">
      <c r="A1304" s="8"/>
      <c r="B1304" s="9"/>
      <c r="C1304" s="9"/>
      <c r="D1304" s="9"/>
      <c r="E1304" s="9"/>
      <c r="F1304" s="9"/>
      <c r="G1304" s="9"/>
      <c r="H1304" s="9"/>
      <c r="I1304" s="9"/>
      <c r="J1304" s="10"/>
      <c r="K1304" s="10"/>
      <c r="L1304" s="10"/>
      <c r="M1304" s="10"/>
      <c r="N1304" s="11"/>
      <c r="O1304" s="11"/>
      <c r="P1304" s="11"/>
      <c r="Q1304" s="11"/>
      <c r="R1304" s="10"/>
      <c r="S1304" s="10"/>
      <c r="T1304" s="10"/>
      <c r="U1304" s="10"/>
    </row>
    <row r="1305">
      <c r="A1305" s="8"/>
      <c r="B1305" s="9"/>
      <c r="C1305" s="9"/>
      <c r="D1305" s="9"/>
      <c r="E1305" s="9"/>
      <c r="F1305" s="9"/>
      <c r="G1305" s="9"/>
      <c r="H1305" s="9"/>
      <c r="I1305" s="9"/>
      <c r="J1305" s="10"/>
      <c r="K1305" s="10"/>
      <c r="L1305" s="10"/>
      <c r="M1305" s="10"/>
      <c r="N1305" s="11"/>
      <c r="O1305" s="11"/>
      <c r="P1305" s="11"/>
      <c r="Q1305" s="11"/>
      <c r="R1305" s="10"/>
      <c r="S1305" s="10"/>
      <c r="T1305" s="10"/>
      <c r="U1305" s="10"/>
    </row>
    <row r="1306">
      <c r="A1306" s="8"/>
      <c r="B1306" s="9"/>
      <c r="C1306" s="9"/>
      <c r="D1306" s="9"/>
      <c r="E1306" s="9"/>
      <c r="F1306" s="9"/>
      <c r="G1306" s="9"/>
      <c r="H1306" s="9"/>
      <c r="I1306" s="9"/>
      <c r="J1306" s="10"/>
      <c r="K1306" s="10"/>
      <c r="L1306" s="10"/>
      <c r="M1306" s="10"/>
      <c r="N1306" s="11"/>
      <c r="O1306" s="11"/>
      <c r="P1306" s="11"/>
      <c r="Q1306" s="11"/>
      <c r="R1306" s="10"/>
      <c r="S1306" s="10"/>
      <c r="T1306" s="10"/>
      <c r="U1306" s="10"/>
    </row>
    <row r="1307">
      <c r="A1307" s="8"/>
      <c r="B1307" s="9"/>
      <c r="C1307" s="9"/>
      <c r="D1307" s="9"/>
      <c r="E1307" s="9"/>
      <c r="F1307" s="9"/>
      <c r="G1307" s="9"/>
      <c r="H1307" s="9"/>
      <c r="I1307" s="9"/>
      <c r="J1307" s="10"/>
      <c r="K1307" s="10"/>
      <c r="L1307" s="10"/>
      <c r="M1307" s="10"/>
      <c r="N1307" s="11"/>
      <c r="O1307" s="11"/>
      <c r="P1307" s="11"/>
      <c r="Q1307" s="11"/>
      <c r="R1307" s="10"/>
      <c r="S1307" s="10"/>
      <c r="T1307" s="10"/>
      <c r="U1307" s="10"/>
    </row>
    <row r="1308">
      <c r="A1308" s="8"/>
      <c r="B1308" s="9"/>
      <c r="C1308" s="9"/>
      <c r="D1308" s="9"/>
      <c r="E1308" s="9"/>
      <c r="F1308" s="9"/>
      <c r="G1308" s="9"/>
      <c r="H1308" s="9"/>
      <c r="I1308" s="9"/>
      <c r="J1308" s="10"/>
      <c r="K1308" s="10"/>
      <c r="L1308" s="10"/>
      <c r="M1308" s="10"/>
      <c r="N1308" s="11"/>
      <c r="O1308" s="11"/>
      <c r="P1308" s="11"/>
      <c r="Q1308" s="11"/>
      <c r="R1308" s="10"/>
      <c r="S1308" s="10"/>
      <c r="T1308" s="10"/>
      <c r="U1308" s="10"/>
    </row>
    <row r="1309">
      <c r="A1309" s="8"/>
      <c r="B1309" s="9"/>
      <c r="C1309" s="9"/>
      <c r="D1309" s="9"/>
      <c r="E1309" s="9"/>
      <c r="F1309" s="9"/>
      <c r="G1309" s="9"/>
      <c r="H1309" s="9"/>
      <c r="I1309" s="9"/>
      <c r="J1309" s="10"/>
      <c r="K1309" s="10"/>
      <c r="L1309" s="10"/>
      <c r="M1309" s="10"/>
      <c r="N1309" s="11"/>
      <c r="O1309" s="11"/>
      <c r="P1309" s="11"/>
      <c r="Q1309" s="11"/>
      <c r="R1309" s="10"/>
      <c r="S1309" s="10"/>
      <c r="T1309" s="10"/>
      <c r="U1309" s="10"/>
    </row>
    <row r="1310">
      <c r="A1310" s="8"/>
      <c r="B1310" s="9"/>
      <c r="C1310" s="9"/>
      <c r="D1310" s="9"/>
      <c r="E1310" s="9"/>
      <c r="F1310" s="9"/>
      <c r="G1310" s="9"/>
      <c r="H1310" s="9"/>
      <c r="I1310" s="9"/>
      <c r="J1310" s="10"/>
      <c r="K1310" s="10"/>
      <c r="L1310" s="10"/>
      <c r="M1310" s="10"/>
      <c r="N1310" s="11"/>
      <c r="O1310" s="11"/>
      <c r="P1310" s="11"/>
      <c r="Q1310" s="11"/>
      <c r="R1310" s="10"/>
      <c r="S1310" s="10"/>
      <c r="T1310" s="10"/>
      <c r="U1310" s="10"/>
    </row>
    <row r="1311">
      <c r="A1311" s="8"/>
      <c r="B1311" s="9"/>
      <c r="C1311" s="9"/>
      <c r="D1311" s="9"/>
      <c r="E1311" s="9"/>
      <c r="F1311" s="9"/>
      <c r="G1311" s="9"/>
      <c r="H1311" s="9"/>
      <c r="I1311" s="9"/>
      <c r="J1311" s="10"/>
      <c r="K1311" s="10"/>
      <c r="L1311" s="10"/>
      <c r="M1311" s="10"/>
      <c r="N1311" s="11"/>
      <c r="O1311" s="11"/>
      <c r="P1311" s="11"/>
      <c r="Q1311" s="11"/>
      <c r="R1311" s="10"/>
      <c r="S1311" s="10"/>
      <c r="T1311" s="10"/>
      <c r="U1311" s="10"/>
    </row>
    <row r="1312">
      <c r="A1312" s="8"/>
      <c r="B1312" s="9"/>
      <c r="C1312" s="9"/>
      <c r="D1312" s="9"/>
      <c r="E1312" s="9"/>
      <c r="F1312" s="9"/>
      <c r="G1312" s="9"/>
      <c r="H1312" s="9"/>
      <c r="I1312" s="9"/>
      <c r="J1312" s="10"/>
      <c r="K1312" s="10"/>
      <c r="L1312" s="10"/>
      <c r="M1312" s="10"/>
      <c r="N1312" s="11"/>
      <c r="O1312" s="11"/>
      <c r="P1312" s="11"/>
      <c r="Q1312" s="11"/>
      <c r="R1312" s="10"/>
      <c r="S1312" s="10"/>
      <c r="T1312" s="10"/>
      <c r="U1312" s="10"/>
    </row>
    <row r="1313">
      <c r="A1313" s="8"/>
      <c r="B1313" s="9"/>
      <c r="C1313" s="9"/>
      <c r="D1313" s="9"/>
      <c r="E1313" s="9"/>
      <c r="F1313" s="9"/>
      <c r="G1313" s="9"/>
      <c r="H1313" s="9"/>
      <c r="I1313" s="9"/>
      <c r="J1313" s="10"/>
      <c r="K1313" s="10"/>
      <c r="L1313" s="10"/>
      <c r="M1313" s="10"/>
      <c r="N1313" s="11"/>
      <c r="O1313" s="11"/>
      <c r="P1313" s="11"/>
      <c r="Q1313" s="11"/>
      <c r="R1313" s="10"/>
      <c r="S1313" s="10"/>
      <c r="T1313" s="10"/>
      <c r="U1313" s="10"/>
    </row>
    <row r="1314">
      <c r="A1314" s="8"/>
      <c r="B1314" s="9"/>
      <c r="C1314" s="9"/>
      <c r="D1314" s="9"/>
      <c r="E1314" s="9"/>
      <c r="F1314" s="9"/>
      <c r="G1314" s="9"/>
      <c r="H1314" s="9"/>
      <c r="I1314" s="9"/>
      <c r="J1314" s="10"/>
      <c r="K1314" s="10"/>
      <c r="L1314" s="10"/>
      <c r="M1314" s="10"/>
      <c r="N1314" s="11"/>
      <c r="O1314" s="11"/>
      <c r="P1314" s="11"/>
      <c r="Q1314" s="11"/>
      <c r="R1314" s="10"/>
      <c r="S1314" s="10"/>
      <c r="T1314" s="10"/>
      <c r="U1314" s="10"/>
    </row>
    <row r="1315">
      <c r="A1315" s="8"/>
      <c r="B1315" s="9"/>
      <c r="C1315" s="9"/>
      <c r="D1315" s="9"/>
      <c r="E1315" s="9"/>
      <c r="F1315" s="9"/>
      <c r="G1315" s="9"/>
      <c r="H1315" s="9"/>
      <c r="I1315" s="9"/>
      <c r="J1315" s="10"/>
      <c r="K1315" s="10"/>
      <c r="L1315" s="10"/>
      <c r="M1315" s="10"/>
      <c r="N1315" s="11"/>
      <c r="O1315" s="11"/>
      <c r="P1315" s="11"/>
      <c r="Q1315" s="11"/>
      <c r="R1315" s="10"/>
      <c r="S1315" s="10"/>
      <c r="T1315" s="10"/>
      <c r="U1315" s="10"/>
    </row>
    <row r="1316">
      <c r="A1316" s="8"/>
      <c r="B1316" s="9"/>
      <c r="C1316" s="9"/>
      <c r="D1316" s="9"/>
      <c r="E1316" s="9"/>
      <c r="F1316" s="9"/>
      <c r="G1316" s="9"/>
      <c r="H1316" s="9"/>
      <c r="I1316" s="9"/>
      <c r="J1316" s="10"/>
      <c r="K1316" s="10"/>
      <c r="L1316" s="10"/>
      <c r="M1316" s="10"/>
      <c r="N1316" s="11"/>
      <c r="O1316" s="11"/>
      <c r="P1316" s="11"/>
      <c r="Q1316" s="11"/>
      <c r="R1316" s="10"/>
      <c r="S1316" s="10"/>
      <c r="T1316" s="10"/>
      <c r="U1316" s="10"/>
    </row>
    <row r="1317">
      <c r="A1317" s="8"/>
      <c r="B1317" s="9"/>
      <c r="C1317" s="9"/>
      <c r="D1317" s="9"/>
      <c r="E1317" s="9"/>
      <c r="F1317" s="9"/>
      <c r="G1317" s="9"/>
      <c r="H1317" s="9"/>
      <c r="I1317" s="9"/>
      <c r="J1317" s="10"/>
      <c r="K1317" s="10"/>
      <c r="L1317" s="10"/>
      <c r="M1317" s="10"/>
      <c r="N1317" s="11"/>
      <c r="O1317" s="11"/>
      <c r="P1317" s="11"/>
      <c r="Q1317" s="11"/>
      <c r="R1317" s="10"/>
      <c r="S1317" s="10"/>
      <c r="T1317" s="10"/>
      <c r="U1317" s="10"/>
    </row>
    <row r="1318">
      <c r="A1318" s="8"/>
      <c r="B1318" s="9"/>
      <c r="C1318" s="9"/>
      <c r="D1318" s="9"/>
      <c r="E1318" s="9"/>
      <c r="F1318" s="9"/>
      <c r="G1318" s="9"/>
      <c r="H1318" s="9"/>
      <c r="I1318" s="9"/>
      <c r="J1318" s="10"/>
      <c r="K1318" s="10"/>
      <c r="L1318" s="10"/>
      <c r="M1318" s="10"/>
      <c r="N1318" s="11"/>
      <c r="O1318" s="11"/>
      <c r="P1318" s="11"/>
      <c r="Q1318" s="11"/>
      <c r="R1318" s="10"/>
      <c r="S1318" s="10"/>
      <c r="T1318" s="10"/>
      <c r="U1318" s="10"/>
    </row>
    <row r="1319">
      <c r="A1319" s="8"/>
      <c r="B1319" s="9"/>
      <c r="C1319" s="9"/>
      <c r="D1319" s="9"/>
      <c r="E1319" s="9"/>
      <c r="F1319" s="9"/>
      <c r="G1319" s="9"/>
      <c r="H1319" s="9"/>
      <c r="I1319" s="9"/>
      <c r="J1319" s="10"/>
      <c r="K1319" s="10"/>
      <c r="L1319" s="10"/>
      <c r="M1319" s="10"/>
      <c r="N1319" s="11"/>
      <c r="O1319" s="11"/>
      <c r="P1319" s="11"/>
      <c r="Q1319" s="11"/>
      <c r="R1319" s="10"/>
      <c r="S1319" s="10"/>
      <c r="T1319" s="10"/>
      <c r="U1319" s="10"/>
    </row>
    <row r="1320">
      <c r="A1320" s="8"/>
      <c r="B1320" s="9"/>
      <c r="C1320" s="9"/>
      <c r="D1320" s="9"/>
      <c r="E1320" s="9"/>
      <c r="F1320" s="9"/>
      <c r="G1320" s="9"/>
      <c r="H1320" s="9"/>
      <c r="I1320" s="9"/>
      <c r="J1320" s="10"/>
      <c r="K1320" s="10"/>
      <c r="L1320" s="10"/>
      <c r="M1320" s="10"/>
      <c r="N1320" s="11"/>
      <c r="O1320" s="11"/>
      <c r="P1320" s="11"/>
      <c r="Q1320" s="11"/>
      <c r="R1320" s="10"/>
      <c r="S1320" s="10"/>
      <c r="T1320" s="10"/>
      <c r="U1320" s="10"/>
    </row>
    <row r="1321">
      <c r="A1321" s="8"/>
      <c r="B1321" s="9"/>
      <c r="C1321" s="9"/>
      <c r="D1321" s="9"/>
      <c r="E1321" s="9"/>
      <c r="F1321" s="9"/>
      <c r="G1321" s="9"/>
      <c r="H1321" s="9"/>
      <c r="I1321" s="9"/>
      <c r="J1321" s="10"/>
      <c r="K1321" s="10"/>
      <c r="L1321" s="10"/>
      <c r="M1321" s="10"/>
      <c r="N1321" s="11"/>
      <c r="O1321" s="11"/>
      <c r="P1321" s="11"/>
      <c r="Q1321" s="11"/>
      <c r="R1321" s="10"/>
      <c r="S1321" s="10"/>
      <c r="T1321" s="10"/>
      <c r="U1321" s="10"/>
    </row>
    <row r="1322">
      <c r="A1322" s="8"/>
      <c r="B1322" s="9"/>
      <c r="C1322" s="9"/>
      <c r="D1322" s="9"/>
      <c r="E1322" s="9"/>
      <c r="F1322" s="9"/>
      <c r="G1322" s="9"/>
      <c r="H1322" s="9"/>
      <c r="I1322" s="9"/>
      <c r="J1322" s="10"/>
      <c r="K1322" s="10"/>
      <c r="L1322" s="10"/>
      <c r="M1322" s="10"/>
      <c r="N1322" s="11"/>
      <c r="O1322" s="11"/>
      <c r="P1322" s="11"/>
      <c r="Q1322" s="11"/>
      <c r="R1322" s="10"/>
      <c r="S1322" s="10"/>
      <c r="T1322" s="10"/>
      <c r="U1322" s="10"/>
    </row>
    <row r="1323">
      <c r="A1323" s="8"/>
      <c r="B1323" s="9"/>
      <c r="C1323" s="9"/>
      <c r="D1323" s="9"/>
      <c r="E1323" s="9"/>
      <c r="F1323" s="9"/>
      <c r="G1323" s="9"/>
      <c r="H1323" s="9"/>
      <c r="I1323" s="9"/>
      <c r="J1323" s="10"/>
      <c r="K1323" s="10"/>
      <c r="L1323" s="10"/>
      <c r="M1323" s="10"/>
      <c r="N1323" s="11"/>
      <c r="O1323" s="11"/>
      <c r="P1323" s="11"/>
      <c r="Q1323" s="11"/>
      <c r="R1323" s="10"/>
      <c r="S1323" s="10"/>
      <c r="T1323" s="10"/>
      <c r="U1323" s="10"/>
    </row>
    <row r="1324">
      <c r="A1324" s="8"/>
      <c r="B1324" s="9"/>
      <c r="C1324" s="9"/>
      <c r="D1324" s="9"/>
      <c r="E1324" s="9"/>
      <c r="F1324" s="9"/>
      <c r="G1324" s="9"/>
      <c r="H1324" s="9"/>
      <c r="I1324" s="9"/>
      <c r="J1324" s="10"/>
      <c r="K1324" s="10"/>
      <c r="L1324" s="10"/>
      <c r="M1324" s="10"/>
      <c r="N1324" s="11"/>
      <c r="O1324" s="11"/>
      <c r="P1324" s="11"/>
      <c r="Q1324" s="11"/>
      <c r="R1324" s="10"/>
      <c r="S1324" s="10"/>
      <c r="T1324" s="10"/>
      <c r="U1324" s="10"/>
    </row>
    <row r="1325">
      <c r="A1325" s="8"/>
      <c r="B1325" s="9"/>
      <c r="C1325" s="9"/>
      <c r="D1325" s="9"/>
      <c r="E1325" s="9"/>
      <c r="F1325" s="9"/>
      <c r="G1325" s="9"/>
      <c r="H1325" s="9"/>
      <c r="I1325" s="9"/>
      <c r="J1325" s="10"/>
      <c r="K1325" s="10"/>
      <c r="L1325" s="10"/>
      <c r="M1325" s="10"/>
      <c r="N1325" s="11"/>
      <c r="O1325" s="11"/>
      <c r="P1325" s="11"/>
      <c r="Q1325" s="11"/>
      <c r="R1325" s="10"/>
      <c r="S1325" s="10"/>
      <c r="T1325" s="10"/>
      <c r="U1325" s="10"/>
    </row>
    <row r="1326">
      <c r="A1326" s="8"/>
      <c r="B1326" s="9"/>
      <c r="C1326" s="9"/>
      <c r="D1326" s="9"/>
      <c r="E1326" s="9"/>
      <c r="F1326" s="9"/>
      <c r="G1326" s="9"/>
      <c r="H1326" s="9"/>
      <c r="I1326" s="9"/>
      <c r="J1326" s="10"/>
      <c r="K1326" s="10"/>
      <c r="L1326" s="10"/>
      <c r="M1326" s="10"/>
      <c r="N1326" s="11"/>
      <c r="O1326" s="11"/>
      <c r="P1326" s="11"/>
      <c r="Q1326" s="11"/>
      <c r="R1326" s="10"/>
      <c r="S1326" s="10"/>
      <c r="T1326" s="10"/>
      <c r="U1326" s="10"/>
    </row>
    <row r="1327">
      <c r="A1327" s="8"/>
      <c r="B1327" s="9"/>
      <c r="C1327" s="9"/>
      <c r="D1327" s="9"/>
      <c r="E1327" s="9"/>
      <c r="F1327" s="9"/>
      <c r="G1327" s="9"/>
      <c r="H1327" s="9"/>
      <c r="I1327" s="9"/>
      <c r="J1327" s="10"/>
      <c r="K1327" s="10"/>
      <c r="L1327" s="10"/>
      <c r="M1327" s="10"/>
      <c r="N1327" s="11"/>
      <c r="O1327" s="11"/>
      <c r="P1327" s="11"/>
      <c r="Q1327" s="11"/>
      <c r="R1327" s="10"/>
      <c r="S1327" s="10"/>
      <c r="T1327" s="10"/>
      <c r="U1327" s="10"/>
    </row>
    <row r="1328">
      <c r="A1328" s="8"/>
      <c r="B1328" s="9"/>
      <c r="C1328" s="9"/>
      <c r="D1328" s="9"/>
      <c r="E1328" s="9"/>
      <c r="F1328" s="9"/>
      <c r="G1328" s="9"/>
      <c r="H1328" s="9"/>
      <c r="I1328" s="9"/>
      <c r="J1328" s="10"/>
      <c r="K1328" s="10"/>
      <c r="L1328" s="10"/>
      <c r="M1328" s="10"/>
      <c r="N1328" s="11"/>
      <c r="O1328" s="11"/>
      <c r="P1328" s="11"/>
      <c r="Q1328" s="11"/>
      <c r="R1328" s="10"/>
      <c r="S1328" s="10"/>
      <c r="T1328" s="10"/>
      <c r="U1328" s="10"/>
    </row>
    <row r="1329">
      <c r="A1329" s="8"/>
      <c r="B1329" s="9"/>
      <c r="C1329" s="9"/>
      <c r="D1329" s="9"/>
      <c r="E1329" s="9"/>
      <c r="F1329" s="9"/>
      <c r="G1329" s="9"/>
      <c r="H1329" s="9"/>
      <c r="I1329" s="9"/>
      <c r="J1329" s="10"/>
      <c r="K1329" s="10"/>
      <c r="L1329" s="10"/>
      <c r="M1329" s="10"/>
      <c r="N1329" s="11"/>
      <c r="O1329" s="11"/>
      <c r="P1329" s="11"/>
      <c r="Q1329" s="11"/>
      <c r="R1329" s="10"/>
      <c r="S1329" s="10"/>
      <c r="T1329" s="10"/>
      <c r="U1329" s="10"/>
    </row>
    <row r="1330">
      <c r="A1330" s="8"/>
      <c r="B1330" s="9"/>
      <c r="C1330" s="9"/>
      <c r="D1330" s="9"/>
      <c r="E1330" s="9"/>
      <c r="F1330" s="9"/>
      <c r="G1330" s="9"/>
      <c r="H1330" s="9"/>
      <c r="I1330" s="9"/>
      <c r="J1330" s="10"/>
      <c r="K1330" s="10"/>
      <c r="L1330" s="10"/>
      <c r="M1330" s="10"/>
      <c r="N1330" s="11"/>
      <c r="O1330" s="11"/>
      <c r="P1330" s="11"/>
      <c r="Q1330" s="11"/>
      <c r="R1330" s="10"/>
      <c r="S1330" s="10"/>
      <c r="T1330" s="10"/>
      <c r="U1330" s="10"/>
    </row>
    <row r="1331">
      <c r="A1331" s="8"/>
      <c r="B1331" s="9"/>
      <c r="C1331" s="9"/>
      <c r="D1331" s="9"/>
      <c r="E1331" s="9"/>
      <c r="F1331" s="9"/>
      <c r="G1331" s="9"/>
      <c r="H1331" s="9"/>
      <c r="I1331" s="9"/>
      <c r="J1331" s="10"/>
      <c r="K1331" s="10"/>
      <c r="L1331" s="10"/>
      <c r="M1331" s="10"/>
      <c r="N1331" s="11"/>
      <c r="O1331" s="11"/>
      <c r="P1331" s="11"/>
      <c r="Q1331" s="11"/>
      <c r="R1331" s="10"/>
      <c r="S1331" s="10"/>
      <c r="T1331" s="10"/>
      <c r="U1331" s="10"/>
    </row>
    <row r="1332">
      <c r="A1332" s="8"/>
      <c r="B1332" s="9"/>
      <c r="C1332" s="9"/>
      <c r="D1332" s="9"/>
      <c r="E1332" s="9"/>
      <c r="F1332" s="9"/>
      <c r="G1332" s="9"/>
      <c r="H1332" s="9"/>
      <c r="I1332" s="9"/>
      <c r="J1332" s="10"/>
      <c r="K1332" s="10"/>
      <c r="L1332" s="10"/>
      <c r="M1332" s="10"/>
      <c r="N1332" s="11"/>
      <c r="O1332" s="11"/>
      <c r="P1332" s="11"/>
      <c r="Q1332" s="11"/>
      <c r="R1332" s="10"/>
      <c r="S1332" s="10"/>
      <c r="T1332" s="10"/>
      <c r="U1332" s="10"/>
    </row>
    <row r="1333">
      <c r="A1333" s="8"/>
      <c r="B1333" s="9"/>
      <c r="C1333" s="9"/>
      <c r="D1333" s="9"/>
      <c r="E1333" s="9"/>
      <c r="F1333" s="9"/>
      <c r="G1333" s="9"/>
      <c r="H1333" s="9"/>
      <c r="I1333" s="9"/>
      <c r="J1333" s="10"/>
      <c r="K1333" s="10"/>
      <c r="L1333" s="10"/>
      <c r="M1333" s="10"/>
      <c r="N1333" s="11"/>
      <c r="O1333" s="11"/>
      <c r="P1333" s="11"/>
      <c r="Q1333" s="11"/>
      <c r="R1333" s="10"/>
      <c r="S1333" s="10"/>
      <c r="T1333" s="10"/>
      <c r="U1333" s="10"/>
    </row>
    <row r="1334">
      <c r="A1334" s="8"/>
      <c r="B1334" s="9"/>
      <c r="C1334" s="9"/>
      <c r="D1334" s="9"/>
      <c r="E1334" s="9"/>
      <c r="F1334" s="9"/>
      <c r="G1334" s="9"/>
      <c r="H1334" s="9"/>
      <c r="I1334" s="9"/>
      <c r="J1334" s="10"/>
      <c r="K1334" s="10"/>
      <c r="L1334" s="10"/>
      <c r="M1334" s="10"/>
      <c r="N1334" s="11"/>
      <c r="O1334" s="11"/>
      <c r="P1334" s="11"/>
      <c r="Q1334" s="11"/>
      <c r="R1334" s="10"/>
      <c r="S1334" s="10"/>
      <c r="T1334" s="10"/>
      <c r="U1334" s="10"/>
    </row>
    <row r="1335">
      <c r="A1335" s="8"/>
      <c r="B1335" s="9"/>
      <c r="C1335" s="9"/>
      <c r="D1335" s="9"/>
      <c r="E1335" s="9"/>
      <c r="F1335" s="9"/>
      <c r="G1335" s="9"/>
      <c r="H1335" s="9"/>
      <c r="I1335" s="9"/>
      <c r="J1335" s="10"/>
      <c r="K1335" s="10"/>
      <c r="L1335" s="10"/>
      <c r="M1335" s="10"/>
      <c r="N1335" s="11"/>
      <c r="O1335" s="11"/>
      <c r="P1335" s="11"/>
      <c r="Q1335" s="11"/>
      <c r="R1335" s="10"/>
      <c r="S1335" s="10"/>
      <c r="T1335" s="10"/>
      <c r="U1335" s="10"/>
    </row>
    <row r="1336">
      <c r="A1336" s="8"/>
      <c r="B1336" s="9"/>
      <c r="C1336" s="9"/>
      <c r="D1336" s="9"/>
      <c r="E1336" s="9"/>
      <c r="F1336" s="9"/>
      <c r="G1336" s="9"/>
      <c r="H1336" s="9"/>
      <c r="I1336" s="9"/>
      <c r="J1336" s="10"/>
      <c r="K1336" s="10"/>
      <c r="L1336" s="10"/>
      <c r="M1336" s="10"/>
      <c r="N1336" s="11"/>
      <c r="O1336" s="11"/>
      <c r="P1336" s="11"/>
      <c r="Q1336" s="11"/>
      <c r="R1336" s="10"/>
      <c r="S1336" s="10"/>
      <c r="T1336" s="10"/>
      <c r="U1336" s="10"/>
    </row>
    <row r="1337">
      <c r="A1337" s="8"/>
      <c r="B1337" s="9"/>
      <c r="C1337" s="9"/>
      <c r="D1337" s="9"/>
      <c r="E1337" s="9"/>
      <c r="F1337" s="9"/>
      <c r="G1337" s="9"/>
      <c r="H1337" s="9"/>
      <c r="I1337" s="9"/>
      <c r="J1337" s="10"/>
      <c r="K1337" s="10"/>
      <c r="L1337" s="10"/>
      <c r="M1337" s="10"/>
      <c r="N1337" s="11"/>
      <c r="O1337" s="11"/>
      <c r="P1337" s="11"/>
      <c r="Q1337" s="11"/>
      <c r="R1337" s="10"/>
      <c r="S1337" s="10"/>
      <c r="T1337" s="10"/>
      <c r="U1337" s="10"/>
    </row>
    <row r="1338">
      <c r="A1338" s="8"/>
      <c r="B1338" s="9"/>
      <c r="C1338" s="9"/>
      <c r="D1338" s="9"/>
      <c r="E1338" s="9"/>
      <c r="F1338" s="9"/>
      <c r="G1338" s="9"/>
      <c r="H1338" s="9"/>
      <c r="I1338" s="9"/>
      <c r="J1338" s="10"/>
      <c r="K1338" s="10"/>
      <c r="L1338" s="10"/>
      <c r="M1338" s="10"/>
      <c r="N1338" s="11"/>
      <c r="O1338" s="11"/>
      <c r="P1338" s="11"/>
      <c r="Q1338" s="11"/>
      <c r="R1338" s="10"/>
      <c r="S1338" s="10"/>
      <c r="T1338" s="10"/>
      <c r="U1338" s="10"/>
    </row>
    <row r="1339">
      <c r="A1339" s="8"/>
      <c r="B1339" s="9"/>
      <c r="C1339" s="9"/>
      <c r="D1339" s="9"/>
      <c r="E1339" s="9"/>
      <c r="F1339" s="9"/>
      <c r="G1339" s="9"/>
      <c r="H1339" s="9"/>
      <c r="I1339" s="9"/>
      <c r="J1339" s="10"/>
      <c r="K1339" s="10"/>
      <c r="L1339" s="10"/>
      <c r="M1339" s="10"/>
      <c r="N1339" s="11"/>
      <c r="O1339" s="11"/>
      <c r="P1339" s="11"/>
      <c r="Q1339" s="11"/>
      <c r="R1339" s="10"/>
      <c r="S1339" s="10"/>
      <c r="T1339" s="10"/>
      <c r="U1339" s="10"/>
    </row>
    <row r="1340">
      <c r="A1340" s="8"/>
      <c r="B1340" s="9"/>
      <c r="C1340" s="9"/>
      <c r="D1340" s="9"/>
      <c r="E1340" s="9"/>
      <c r="F1340" s="9"/>
      <c r="G1340" s="9"/>
      <c r="H1340" s="9"/>
      <c r="I1340" s="9"/>
      <c r="J1340" s="10"/>
      <c r="K1340" s="10"/>
      <c r="L1340" s="10"/>
      <c r="M1340" s="10"/>
      <c r="N1340" s="11"/>
      <c r="O1340" s="11"/>
      <c r="P1340" s="11"/>
      <c r="Q1340" s="11"/>
      <c r="R1340" s="10"/>
      <c r="S1340" s="10"/>
      <c r="T1340" s="10"/>
      <c r="U1340" s="10"/>
    </row>
    <row r="1341">
      <c r="A1341" s="8"/>
      <c r="B1341" s="9"/>
      <c r="C1341" s="9"/>
      <c r="D1341" s="9"/>
      <c r="E1341" s="9"/>
      <c r="F1341" s="9"/>
      <c r="G1341" s="9"/>
      <c r="H1341" s="9"/>
      <c r="I1341" s="9"/>
      <c r="J1341" s="10"/>
      <c r="K1341" s="10"/>
      <c r="L1341" s="10"/>
      <c r="M1341" s="10"/>
      <c r="N1341" s="11"/>
      <c r="O1341" s="11"/>
      <c r="P1341" s="11"/>
      <c r="Q1341" s="11"/>
      <c r="R1341" s="10"/>
      <c r="S1341" s="10"/>
      <c r="T1341" s="10"/>
      <c r="U1341" s="10"/>
    </row>
    <row r="1342">
      <c r="A1342" s="8"/>
      <c r="B1342" s="9"/>
      <c r="C1342" s="9"/>
      <c r="D1342" s="9"/>
      <c r="E1342" s="9"/>
      <c r="F1342" s="9"/>
      <c r="G1342" s="9"/>
      <c r="H1342" s="9"/>
      <c r="I1342" s="9"/>
      <c r="J1342" s="10"/>
      <c r="K1342" s="10"/>
      <c r="L1342" s="10"/>
      <c r="M1342" s="10"/>
      <c r="N1342" s="11"/>
      <c r="O1342" s="11"/>
      <c r="P1342" s="11"/>
      <c r="Q1342" s="11"/>
      <c r="R1342" s="10"/>
      <c r="S1342" s="10"/>
      <c r="T1342" s="10"/>
      <c r="U1342" s="10"/>
    </row>
    <row r="1343">
      <c r="A1343" s="8"/>
      <c r="B1343" s="9"/>
      <c r="C1343" s="9"/>
      <c r="D1343" s="9"/>
      <c r="E1343" s="9"/>
      <c r="F1343" s="9"/>
      <c r="G1343" s="9"/>
      <c r="H1343" s="9"/>
      <c r="I1343" s="9"/>
      <c r="J1343" s="10"/>
      <c r="K1343" s="10"/>
      <c r="L1343" s="10"/>
      <c r="M1343" s="10"/>
      <c r="N1343" s="11"/>
      <c r="O1343" s="11"/>
      <c r="P1343" s="11"/>
      <c r="Q1343" s="11"/>
      <c r="R1343" s="10"/>
      <c r="S1343" s="10"/>
      <c r="T1343" s="10"/>
      <c r="U1343" s="10"/>
    </row>
    <row r="1344">
      <c r="A1344" s="8"/>
      <c r="B1344" s="9"/>
      <c r="C1344" s="9"/>
      <c r="D1344" s="9"/>
      <c r="E1344" s="9"/>
      <c r="F1344" s="9"/>
      <c r="G1344" s="9"/>
      <c r="H1344" s="9"/>
      <c r="I1344" s="9"/>
      <c r="J1344" s="10"/>
      <c r="K1344" s="10"/>
      <c r="L1344" s="10"/>
      <c r="M1344" s="10"/>
      <c r="N1344" s="11"/>
      <c r="O1344" s="11"/>
      <c r="P1344" s="11"/>
      <c r="Q1344" s="11"/>
      <c r="R1344" s="10"/>
      <c r="S1344" s="10"/>
      <c r="T1344" s="10"/>
      <c r="U1344" s="10"/>
    </row>
    <row r="1345">
      <c r="A1345" s="8"/>
      <c r="B1345" s="9"/>
      <c r="C1345" s="9"/>
      <c r="D1345" s="9"/>
      <c r="E1345" s="9"/>
      <c r="F1345" s="9"/>
      <c r="G1345" s="9"/>
      <c r="H1345" s="9"/>
      <c r="I1345" s="9"/>
      <c r="J1345" s="10"/>
      <c r="K1345" s="10"/>
      <c r="L1345" s="10"/>
      <c r="M1345" s="10"/>
      <c r="N1345" s="11"/>
      <c r="O1345" s="11"/>
      <c r="P1345" s="11"/>
      <c r="Q1345" s="11"/>
      <c r="R1345" s="10"/>
      <c r="S1345" s="10"/>
      <c r="T1345" s="10"/>
      <c r="U1345" s="10"/>
    </row>
    <row r="1346">
      <c r="A1346" s="8"/>
      <c r="B1346" s="9"/>
      <c r="C1346" s="9"/>
      <c r="D1346" s="9"/>
      <c r="E1346" s="9"/>
      <c r="F1346" s="9"/>
      <c r="G1346" s="9"/>
      <c r="H1346" s="9"/>
      <c r="I1346" s="9"/>
      <c r="J1346" s="10"/>
      <c r="K1346" s="10"/>
      <c r="L1346" s="10"/>
      <c r="M1346" s="10"/>
      <c r="N1346" s="11"/>
      <c r="O1346" s="11"/>
      <c r="P1346" s="11"/>
      <c r="Q1346" s="11"/>
      <c r="R1346" s="10"/>
      <c r="S1346" s="10"/>
      <c r="T1346" s="10"/>
      <c r="U1346" s="10"/>
    </row>
    <row r="1347">
      <c r="A1347" s="8"/>
      <c r="B1347" s="9"/>
      <c r="C1347" s="9"/>
      <c r="D1347" s="9"/>
      <c r="E1347" s="9"/>
      <c r="F1347" s="9"/>
      <c r="G1347" s="9"/>
      <c r="H1347" s="9"/>
      <c r="I1347" s="9"/>
      <c r="J1347" s="10"/>
      <c r="K1347" s="10"/>
      <c r="L1347" s="10"/>
      <c r="M1347" s="10"/>
      <c r="N1347" s="11"/>
      <c r="O1347" s="11"/>
      <c r="P1347" s="11"/>
      <c r="Q1347" s="11"/>
      <c r="R1347" s="10"/>
      <c r="S1347" s="10"/>
      <c r="T1347" s="10"/>
      <c r="U1347" s="10"/>
    </row>
    <row r="1348">
      <c r="A1348" s="8"/>
      <c r="B1348" s="9"/>
      <c r="C1348" s="9"/>
      <c r="D1348" s="9"/>
      <c r="E1348" s="9"/>
      <c r="F1348" s="9"/>
      <c r="G1348" s="9"/>
      <c r="H1348" s="9"/>
      <c r="I1348" s="9"/>
      <c r="J1348" s="10"/>
      <c r="K1348" s="10"/>
      <c r="L1348" s="10"/>
      <c r="M1348" s="10"/>
      <c r="N1348" s="11"/>
      <c r="O1348" s="11"/>
      <c r="P1348" s="11"/>
      <c r="Q1348" s="11"/>
      <c r="R1348" s="10"/>
      <c r="S1348" s="10"/>
      <c r="T1348" s="10"/>
      <c r="U1348" s="10"/>
    </row>
    <row r="1349">
      <c r="A1349" s="8"/>
      <c r="B1349" s="9"/>
      <c r="C1349" s="9"/>
      <c r="D1349" s="9"/>
      <c r="E1349" s="9"/>
      <c r="F1349" s="9"/>
      <c r="G1349" s="9"/>
      <c r="H1349" s="9"/>
      <c r="I1349" s="9"/>
      <c r="J1349" s="10"/>
      <c r="K1349" s="10"/>
      <c r="L1349" s="10"/>
      <c r="M1349" s="10"/>
      <c r="N1349" s="11"/>
      <c r="O1349" s="11"/>
      <c r="P1349" s="11"/>
      <c r="Q1349" s="11"/>
      <c r="R1349" s="10"/>
      <c r="S1349" s="10"/>
      <c r="T1349" s="10"/>
      <c r="U1349" s="10"/>
    </row>
    <row r="1350">
      <c r="A1350" s="8"/>
      <c r="B1350" s="9"/>
      <c r="C1350" s="9"/>
      <c r="D1350" s="9"/>
      <c r="E1350" s="9"/>
      <c r="F1350" s="9"/>
      <c r="G1350" s="9"/>
      <c r="H1350" s="9"/>
      <c r="I1350" s="9"/>
      <c r="J1350" s="10"/>
      <c r="K1350" s="10"/>
      <c r="L1350" s="10"/>
      <c r="M1350" s="10"/>
      <c r="N1350" s="11"/>
      <c r="O1350" s="11"/>
      <c r="P1350" s="11"/>
      <c r="Q1350" s="11"/>
      <c r="R1350" s="10"/>
      <c r="S1350" s="10"/>
      <c r="T1350" s="10"/>
      <c r="U1350" s="10"/>
    </row>
    <row r="1351">
      <c r="A1351" s="8"/>
      <c r="B1351" s="9"/>
      <c r="C1351" s="9"/>
      <c r="D1351" s="9"/>
      <c r="E1351" s="9"/>
      <c r="F1351" s="9"/>
      <c r="G1351" s="9"/>
      <c r="H1351" s="9"/>
      <c r="I1351" s="9"/>
      <c r="J1351" s="10"/>
      <c r="K1351" s="10"/>
      <c r="L1351" s="10"/>
      <c r="M1351" s="10"/>
      <c r="N1351" s="11"/>
      <c r="O1351" s="11"/>
      <c r="P1351" s="11"/>
      <c r="Q1351" s="11"/>
      <c r="R1351" s="10"/>
      <c r="S1351" s="10"/>
      <c r="T1351" s="10"/>
      <c r="U1351" s="10"/>
    </row>
    <row r="1352">
      <c r="A1352" s="8"/>
      <c r="B1352" s="9"/>
      <c r="C1352" s="9"/>
      <c r="D1352" s="9"/>
      <c r="E1352" s="9"/>
      <c r="F1352" s="9"/>
      <c r="G1352" s="9"/>
      <c r="H1352" s="9"/>
      <c r="I1352" s="9"/>
      <c r="J1352" s="10"/>
      <c r="K1352" s="10"/>
      <c r="L1352" s="10"/>
      <c r="M1352" s="10"/>
      <c r="N1352" s="11"/>
      <c r="O1352" s="11"/>
      <c r="P1352" s="11"/>
      <c r="Q1352" s="11"/>
      <c r="R1352" s="10"/>
      <c r="S1352" s="10"/>
      <c r="T1352" s="10"/>
      <c r="U1352" s="10"/>
    </row>
    <row r="1353">
      <c r="A1353" s="8"/>
      <c r="B1353" s="9"/>
      <c r="C1353" s="9"/>
      <c r="D1353" s="9"/>
      <c r="E1353" s="9"/>
      <c r="F1353" s="9"/>
      <c r="G1353" s="9"/>
      <c r="H1353" s="9"/>
      <c r="I1353" s="9"/>
      <c r="J1353" s="10"/>
      <c r="K1353" s="10"/>
      <c r="L1353" s="10"/>
      <c r="M1353" s="10"/>
      <c r="N1353" s="11"/>
      <c r="O1353" s="11"/>
      <c r="P1353" s="11"/>
      <c r="Q1353" s="11"/>
      <c r="R1353" s="10"/>
      <c r="S1353" s="10"/>
      <c r="T1353" s="10"/>
      <c r="U1353" s="10"/>
    </row>
    <row r="1354">
      <c r="A1354" s="8"/>
      <c r="B1354" s="9"/>
      <c r="C1354" s="9"/>
      <c r="D1354" s="9"/>
      <c r="E1354" s="9"/>
      <c r="F1354" s="9"/>
      <c r="G1354" s="9"/>
      <c r="H1354" s="9"/>
      <c r="I1354" s="9"/>
      <c r="J1354" s="10"/>
      <c r="K1354" s="10"/>
      <c r="L1354" s="10"/>
      <c r="M1354" s="10"/>
      <c r="N1354" s="11"/>
      <c r="O1354" s="11"/>
      <c r="P1354" s="11"/>
      <c r="Q1354" s="11"/>
      <c r="R1354" s="10"/>
      <c r="S1354" s="10"/>
      <c r="T1354" s="10"/>
      <c r="U1354" s="10"/>
    </row>
    <row r="1355">
      <c r="A1355" s="8"/>
      <c r="B1355" s="9"/>
      <c r="C1355" s="9"/>
      <c r="D1355" s="9"/>
      <c r="E1355" s="9"/>
      <c r="F1355" s="9"/>
      <c r="G1355" s="9"/>
      <c r="H1355" s="9"/>
      <c r="I1355" s="9"/>
      <c r="J1355" s="10"/>
      <c r="K1355" s="10"/>
      <c r="L1355" s="10"/>
      <c r="M1355" s="10"/>
      <c r="N1355" s="11"/>
      <c r="O1355" s="11"/>
      <c r="P1355" s="11"/>
      <c r="Q1355" s="11"/>
      <c r="R1355" s="10"/>
      <c r="S1355" s="10"/>
      <c r="T1355" s="10"/>
      <c r="U1355" s="10"/>
    </row>
    <row r="1356">
      <c r="A1356" s="8"/>
      <c r="B1356" s="9"/>
      <c r="C1356" s="9"/>
      <c r="D1356" s="9"/>
      <c r="E1356" s="9"/>
      <c r="F1356" s="9"/>
      <c r="G1356" s="9"/>
      <c r="H1356" s="9"/>
      <c r="I1356" s="9"/>
      <c r="J1356" s="10"/>
      <c r="K1356" s="10"/>
      <c r="L1356" s="10"/>
      <c r="M1356" s="10"/>
      <c r="N1356" s="11"/>
      <c r="O1356" s="11"/>
      <c r="P1356" s="11"/>
      <c r="Q1356" s="11"/>
      <c r="R1356" s="10"/>
      <c r="S1356" s="10"/>
      <c r="T1356" s="10"/>
      <c r="U1356" s="10"/>
    </row>
    <row r="1357">
      <c r="A1357" s="8"/>
      <c r="B1357" s="9"/>
      <c r="C1357" s="9"/>
      <c r="D1357" s="9"/>
      <c r="E1357" s="9"/>
      <c r="F1357" s="9"/>
      <c r="G1357" s="9"/>
      <c r="H1357" s="9"/>
      <c r="I1357" s="9"/>
      <c r="J1357" s="10"/>
      <c r="K1357" s="10"/>
      <c r="L1357" s="10"/>
      <c r="M1357" s="10"/>
      <c r="N1357" s="11"/>
      <c r="O1357" s="11"/>
      <c r="P1357" s="11"/>
      <c r="Q1357" s="11"/>
      <c r="R1357" s="10"/>
      <c r="S1357" s="10"/>
      <c r="T1357" s="10"/>
      <c r="U1357" s="10"/>
    </row>
    <row r="1358">
      <c r="A1358" s="8"/>
      <c r="B1358" s="9"/>
      <c r="C1358" s="9"/>
      <c r="D1358" s="9"/>
      <c r="E1358" s="9"/>
      <c r="F1358" s="9"/>
      <c r="G1358" s="9"/>
      <c r="H1358" s="9"/>
      <c r="I1358" s="9"/>
      <c r="J1358" s="10"/>
      <c r="K1358" s="10"/>
      <c r="L1358" s="10"/>
      <c r="M1358" s="10"/>
      <c r="N1358" s="11"/>
      <c r="O1358" s="11"/>
      <c r="P1358" s="11"/>
      <c r="Q1358" s="11"/>
      <c r="R1358" s="10"/>
      <c r="S1358" s="10"/>
      <c r="T1358" s="10"/>
      <c r="U1358" s="10"/>
    </row>
    <row r="1359">
      <c r="A1359" s="8"/>
      <c r="B1359" s="9"/>
      <c r="C1359" s="9"/>
      <c r="D1359" s="9"/>
      <c r="E1359" s="9"/>
      <c r="F1359" s="9"/>
      <c r="G1359" s="9"/>
      <c r="H1359" s="9"/>
      <c r="I1359" s="9"/>
      <c r="J1359" s="10"/>
      <c r="K1359" s="10"/>
      <c r="L1359" s="10"/>
      <c r="M1359" s="10"/>
      <c r="N1359" s="11"/>
      <c r="O1359" s="11"/>
      <c r="P1359" s="11"/>
      <c r="Q1359" s="11"/>
      <c r="R1359" s="10"/>
      <c r="S1359" s="10"/>
      <c r="T1359" s="10"/>
      <c r="U1359" s="10"/>
    </row>
    <row r="1360">
      <c r="A1360" s="8"/>
      <c r="B1360" s="9"/>
      <c r="C1360" s="9"/>
      <c r="D1360" s="9"/>
      <c r="E1360" s="9"/>
      <c r="F1360" s="9"/>
      <c r="G1360" s="9"/>
      <c r="H1360" s="9"/>
      <c r="I1360" s="9"/>
      <c r="J1360" s="10"/>
      <c r="K1360" s="10"/>
      <c r="L1360" s="10"/>
      <c r="M1360" s="10"/>
      <c r="N1360" s="11"/>
      <c r="O1360" s="11"/>
      <c r="P1360" s="11"/>
      <c r="Q1360" s="11"/>
      <c r="R1360" s="10"/>
      <c r="S1360" s="10"/>
      <c r="T1360" s="10"/>
      <c r="U1360" s="10"/>
    </row>
    <row r="1361">
      <c r="A1361" s="8"/>
      <c r="B1361" s="9"/>
      <c r="C1361" s="9"/>
      <c r="D1361" s="9"/>
      <c r="E1361" s="9"/>
      <c r="F1361" s="9"/>
      <c r="G1361" s="9"/>
      <c r="H1361" s="9"/>
      <c r="I1361" s="9"/>
      <c r="J1361" s="10"/>
      <c r="K1361" s="10"/>
      <c r="L1361" s="10"/>
      <c r="M1361" s="10"/>
      <c r="N1361" s="11"/>
      <c r="O1361" s="11"/>
      <c r="P1361" s="11"/>
      <c r="Q1361" s="11"/>
      <c r="R1361" s="10"/>
      <c r="S1361" s="10"/>
      <c r="T1361" s="10"/>
      <c r="U1361" s="10"/>
    </row>
    <row r="1362">
      <c r="A1362" s="8"/>
      <c r="B1362" s="9"/>
      <c r="C1362" s="9"/>
      <c r="D1362" s="9"/>
      <c r="E1362" s="9"/>
      <c r="F1362" s="9"/>
      <c r="G1362" s="9"/>
      <c r="H1362" s="9"/>
      <c r="I1362" s="9"/>
      <c r="J1362" s="10"/>
      <c r="K1362" s="10"/>
      <c r="L1362" s="10"/>
      <c r="M1362" s="10"/>
      <c r="N1362" s="11"/>
      <c r="O1362" s="11"/>
      <c r="P1362" s="11"/>
      <c r="Q1362" s="11"/>
      <c r="R1362" s="10"/>
      <c r="S1362" s="10"/>
      <c r="T1362" s="10"/>
      <c r="U1362" s="10"/>
    </row>
    <row r="1363">
      <c r="A1363" s="8"/>
      <c r="B1363" s="9"/>
      <c r="C1363" s="9"/>
      <c r="D1363" s="9"/>
      <c r="E1363" s="9"/>
      <c r="F1363" s="9"/>
      <c r="G1363" s="9"/>
      <c r="H1363" s="9"/>
      <c r="I1363" s="9"/>
      <c r="J1363" s="10"/>
      <c r="K1363" s="10"/>
      <c r="L1363" s="10"/>
      <c r="M1363" s="10"/>
      <c r="N1363" s="11"/>
      <c r="O1363" s="11"/>
      <c r="P1363" s="11"/>
      <c r="Q1363" s="11"/>
      <c r="R1363" s="10"/>
      <c r="S1363" s="10"/>
      <c r="T1363" s="10"/>
      <c r="U1363" s="10"/>
    </row>
    <row r="1364">
      <c r="A1364" s="8"/>
      <c r="B1364" s="9"/>
      <c r="C1364" s="9"/>
      <c r="D1364" s="9"/>
      <c r="E1364" s="9"/>
      <c r="F1364" s="9"/>
      <c r="G1364" s="9"/>
      <c r="H1364" s="9"/>
      <c r="I1364" s="9"/>
      <c r="J1364" s="10"/>
      <c r="K1364" s="10"/>
      <c r="L1364" s="10"/>
      <c r="M1364" s="10"/>
      <c r="N1364" s="11"/>
      <c r="O1364" s="11"/>
      <c r="P1364" s="11"/>
      <c r="Q1364" s="11"/>
      <c r="R1364" s="10"/>
      <c r="S1364" s="10"/>
      <c r="T1364" s="10"/>
      <c r="U1364" s="10"/>
    </row>
    <row r="1365">
      <c r="A1365" s="8"/>
      <c r="B1365" s="9"/>
      <c r="C1365" s="9"/>
      <c r="D1365" s="9"/>
      <c r="E1365" s="9"/>
      <c r="F1365" s="9"/>
      <c r="G1365" s="9"/>
      <c r="H1365" s="9"/>
      <c r="I1365" s="9"/>
      <c r="J1365" s="10"/>
      <c r="K1365" s="10"/>
      <c r="L1365" s="10"/>
      <c r="M1365" s="10"/>
      <c r="N1365" s="11"/>
      <c r="O1365" s="11"/>
      <c r="P1365" s="11"/>
      <c r="Q1365" s="11"/>
      <c r="R1365" s="10"/>
      <c r="S1365" s="10"/>
      <c r="T1365" s="10"/>
      <c r="U1365" s="10"/>
    </row>
    <row r="1366">
      <c r="A1366" s="8"/>
      <c r="B1366" s="9"/>
      <c r="C1366" s="9"/>
      <c r="D1366" s="9"/>
      <c r="E1366" s="9"/>
      <c r="F1366" s="9"/>
      <c r="G1366" s="9"/>
      <c r="H1366" s="9"/>
      <c r="I1366" s="9"/>
      <c r="J1366" s="10"/>
      <c r="K1366" s="10"/>
      <c r="L1366" s="10"/>
      <c r="M1366" s="10"/>
      <c r="N1366" s="11"/>
      <c r="O1366" s="11"/>
      <c r="P1366" s="11"/>
      <c r="Q1366" s="11"/>
      <c r="R1366" s="10"/>
      <c r="S1366" s="10"/>
      <c r="T1366" s="10"/>
      <c r="U1366" s="10"/>
    </row>
    <row r="1367">
      <c r="A1367" s="8"/>
      <c r="B1367" s="9"/>
      <c r="C1367" s="9"/>
      <c r="D1367" s="9"/>
      <c r="E1367" s="9"/>
      <c r="F1367" s="9"/>
      <c r="G1367" s="9"/>
      <c r="H1367" s="9"/>
      <c r="I1367" s="9"/>
      <c r="J1367" s="10"/>
      <c r="K1367" s="10"/>
      <c r="L1367" s="10"/>
      <c r="M1367" s="10"/>
      <c r="N1367" s="11"/>
      <c r="O1367" s="11"/>
      <c r="P1367" s="11"/>
      <c r="Q1367" s="11"/>
      <c r="R1367" s="10"/>
      <c r="S1367" s="10"/>
      <c r="T1367" s="10"/>
      <c r="U1367" s="10"/>
    </row>
    <row r="1368">
      <c r="A1368" s="8"/>
      <c r="B1368" s="9"/>
      <c r="C1368" s="9"/>
      <c r="D1368" s="9"/>
      <c r="E1368" s="9"/>
      <c r="F1368" s="9"/>
      <c r="G1368" s="9"/>
      <c r="H1368" s="9"/>
      <c r="I1368" s="9"/>
      <c r="J1368" s="10"/>
      <c r="K1368" s="10"/>
      <c r="L1368" s="10"/>
      <c r="M1368" s="10"/>
      <c r="N1368" s="11"/>
      <c r="O1368" s="11"/>
      <c r="P1368" s="11"/>
      <c r="Q1368" s="11"/>
      <c r="R1368" s="10"/>
      <c r="S1368" s="10"/>
      <c r="T1368" s="10"/>
      <c r="U1368" s="10"/>
    </row>
    <row r="1369">
      <c r="A1369" s="8"/>
      <c r="B1369" s="9"/>
      <c r="C1369" s="9"/>
      <c r="D1369" s="9"/>
      <c r="E1369" s="9"/>
      <c r="F1369" s="9"/>
      <c r="G1369" s="9"/>
      <c r="H1369" s="9"/>
      <c r="I1369" s="9"/>
      <c r="J1369" s="10"/>
      <c r="K1369" s="10"/>
      <c r="L1369" s="10"/>
      <c r="M1369" s="10"/>
      <c r="N1369" s="11"/>
      <c r="O1369" s="11"/>
      <c r="P1369" s="11"/>
      <c r="Q1369" s="11"/>
      <c r="R1369" s="10"/>
      <c r="S1369" s="10"/>
      <c r="T1369" s="10"/>
      <c r="U1369" s="10"/>
    </row>
    <row r="1370">
      <c r="A1370" s="8"/>
      <c r="B1370" s="9"/>
      <c r="C1370" s="9"/>
      <c r="D1370" s="9"/>
      <c r="E1370" s="9"/>
      <c r="F1370" s="9"/>
      <c r="G1370" s="9"/>
      <c r="H1370" s="9"/>
      <c r="I1370" s="9"/>
      <c r="J1370" s="10"/>
      <c r="K1370" s="10"/>
      <c r="L1370" s="10"/>
      <c r="M1370" s="10"/>
      <c r="N1370" s="11"/>
      <c r="O1370" s="11"/>
      <c r="P1370" s="11"/>
      <c r="Q1370" s="11"/>
      <c r="R1370" s="10"/>
      <c r="S1370" s="10"/>
      <c r="T1370" s="10"/>
      <c r="U1370" s="10"/>
    </row>
    <row r="1371">
      <c r="A1371" s="8"/>
      <c r="B1371" s="9"/>
      <c r="C1371" s="9"/>
      <c r="D1371" s="9"/>
      <c r="E1371" s="9"/>
      <c r="F1371" s="9"/>
      <c r="G1371" s="9"/>
      <c r="H1371" s="9"/>
      <c r="I1371" s="9"/>
      <c r="J1371" s="10"/>
      <c r="K1371" s="10"/>
      <c r="L1371" s="10"/>
      <c r="M1371" s="10"/>
      <c r="N1371" s="11"/>
      <c r="O1371" s="11"/>
      <c r="P1371" s="11"/>
      <c r="Q1371" s="11"/>
      <c r="R1371" s="10"/>
      <c r="S1371" s="10"/>
      <c r="T1371" s="10"/>
      <c r="U1371" s="10"/>
    </row>
    <row r="1372">
      <c r="A1372" s="8"/>
      <c r="B1372" s="9"/>
      <c r="C1372" s="9"/>
      <c r="D1372" s="9"/>
      <c r="E1372" s="9"/>
      <c r="F1372" s="9"/>
      <c r="G1372" s="9"/>
      <c r="H1372" s="9"/>
      <c r="I1372" s="9"/>
      <c r="J1372" s="10"/>
      <c r="K1372" s="10"/>
      <c r="L1372" s="10"/>
      <c r="M1372" s="10"/>
      <c r="N1372" s="11"/>
      <c r="O1372" s="11"/>
      <c r="P1372" s="11"/>
      <c r="Q1372" s="11"/>
      <c r="R1372" s="10"/>
      <c r="S1372" s="10"/>
      <c r="T1372" s="10"/>
      <c r="U1372" s="10"/>
    </row>
    <row r="1373">
      <c r="A1373" s="8"/>
      <c r="B1373" s="9"/>
      <c r="C1373" s="9"/>
      <c r="D1373" s="9"/>
      <c r="E1373" s="9"/>
      <c r="F1373" s="9"/>
      <c r="G1373" s="9"/>
      <c r="H1373" s="9"/>
      <c r="I1373" s="9"/>
      <c r="J1373" s="10"/>
      <c r="K1373" s="10"/>
      <c r="L1373" s="10"/>
      <c r="M1373" s="10"/>
      <c r="N1373" s="11"/>
      <c r="O1373" s="11"/>
      <c r="P1373" s="11"/>
      <c r="Q1373" s="11"/>
      <c r="R1373" s="10"/>
      <c r="S1373" s="10"/>
      <c r="T1373" s="10"/>
      <c r="U1373" s="10"/>
    </row>
    <row r="1374">
      <c r="A1374" s="8"/>
      <c r="B1374" s="9"/>
      <c r="C1374" s="9"/>
      <c r="D1374" s="9"/>
      <c r="E1374" s="9"/>
      <c r="F1374" s="9"/>
      <c r="G1374" s="9"/>
      <c r="H1374" s="9"/>
      <c r="I1374" s="9"/>
      <c r="J1374" s="10"/>
      <c r="K1374" s="10"/>
      <c r="L1374" s="10"/>
      <c r="M1374" s="10"/>
      <c r="N1374" s="11"/>
      <c r="O1374" s="11"/>
      <c r="P1374" s="11"/>
      <c r="Q1374" s="11"/>
      <c r="R1374" s="10"/>
      <c r="S1374" s="10"/>
      <c r="T1374" s="10"/>
      <c r="U1374" s="10"/>
    </row>
    <row r="1375">
      <c r="A1375" s="8"/>
      <c r="B1375" s="9"/>
      <c r="C1375" s="9"/>
      <c r="D1375" s="9"/>
      <c r="E1375" s="9"/>
      <c r="F1375" s="9"/>
      <c r="G1375" s="9"/>
      <c r="H1375" s="9"/>
      <c r="I1375" s="9"/>
      <c r="J1375" s="10"/>
      <c r="K1375" s="10"/>
      <c r="L1375" s="10"/>
      <c r="M1375" s="10"/>
      <c r="N1375" s="11"/>
      <c r="O1375" s="11"/>
      <c r="P1375" s="11"/>
      <c r="Q1375" s="11"/>
      <c r="R1375" s="10"/>
      <c r="S1375" s="10"/>
      <c r="T1375" s="10"/>
      <c r="U1375" s="10"/>
    </row>
    <row r="1376">
      <c r="A1376" s="8"/>
      <c r="B1376" s="9"/>
      <c r="C1376" s="9"/>
      <c r="D1376" s="9"/>
      <c r="E1376" s="9"/>
      <c r="F1376" s="9"/>
      <c r="G1376" s="9"/>
      <c r="H1376" s="9"/>
      <c r="I1376" s="9"/>
      <c r="J1376" s="10"/>
      <c r="K1376" s="10"/>
      <c r="L1376" s="10"/>
      <c r="M1376" s="10"/>
      <c r="N1376" s="11"/>
      <c r="O1376" s="11"/>
      <c r="P1376" s="11"/>
      <c r="Q1376" s="11"/>
      <c r="R1376" s="10"/>
      <c r="S1376" s="10"/>
      <c r="T1376" s="10"/>
      <c r="U1376" s="10"/>
    </row>
    <row r="1377">
      <c r="A1377" s="8"/>
      <c r="B1377" s="9"/>
      <c r="C1377" s="9"/>
      <c r="D1377" s="9"/>
      <c r="E1377" s="9"/>
      <c r="F1377" s="9"/>
      <c r="G1377" s="9"/>
      <c r="H1377" s="9"/>
      <c r="I1377" s="9"/>
      <c r="J1377" s="10"/>
      <c r="K1377" s="10"/>
      <c r="L1377" s="10"/>
      <c r="M1377" s="10"/>
      <c r="N1377" s="11"/>
      <c r="O1377" s="11"/>
      <c r="P1377" s="11"/>
      <c r="Q1377" s="11"/>
      <c r="R1377" s="10"/>
      <c r="S1377" s="10"/>
      <c r="T1377" s="10"/>
      <c r="U1377" s="10"/>
    </row>
    <row r="1378">
      <c r="A1378" s="8"/>
      <c r="B1378" s="9"/>
      <c r="C1378" s="9"/>
      <c r="D1378" s="9"/>
      <c r="E1378" s="9"/>
      <c r="F1378" s="9"/>
      <c r="G1378" s="9"/>
      <c r="H1378" s="9"/>
      <c r="I1378" s="9"/>
      <c r="J1378" s="10"/>
      <c r="K1378" s="10"/>
      <c r="L1378" s="10"/>
      <c r="M1378" s="10"/>
      <c r="N1378" s="11"/>
      <c r="O1378" s="11"/>
      <c r="P1378" s="11"/>
      <c r="Q1378" s="11"/>
      <c r="R1378" s="10"/>
      <c r="S1378" s="10"/>
      <c r="T1378" s="10"/>
      <c r="U1378" s="10"/>
    </row>
    <row r="1379">
      <c r="A1379" s="8"/>
      <c r="B1379" s="9"/>
      <c r="C1379" s="9"/>
      <c r="D1379" s="9"/>
      <c r="E1379" s="9"/>
      <c r="F1379" s="9"/>
      <c r="G1379" s="9"/>
      <c r="H1379" s="9"/>
      <c r="I1379" s="9"/>
      <c r="J1379" s="10"/>
      <c r="K1379" s="10"/>
      <c r="L1379" s="10"/>
      <c r="M1379" s="10"/>
      <c r="N1379" s="11"/>
      <c r="O1379" s="11"/>
      <c r="P1379" s="11"/>
      <c r="Q1379" s="11"/>
      <c r="R1379" s="10"/>
      <c r="S1379" s="10"/>
      <c r="T1379" s="10"/>
      <c r="U1379" s="10"/>
    </row>
    <row r="1380">
      <c r="A1380" s="8"/>
      <c r="B1380" s="9"/>
      <c r="C1380" s="9"/>
      <c r="D1380" s="9"/>
      <c r="E1380" s="9"/>
      <c r="F1380" s="9"/>
      <c r="G1380" s="9"/>
      <c r="H1380" s="9"/>
      <c r="I1380" s="9"/>
      <c r="J1380" s="10"/>
      <c r="K1380" s="10"/>
      <c r="L1380" s="10"/>
      <c r="M1380" s="10"/>
      <c r="N1380" s="11"/>
      <c r="O1380" s="11"/>
      <c r="P1380" s="11"/>
      <c r="Q1380" s="11"/>
      <c r="R1380" s="10"/>
      <c r="S1380" s="10"/>
      <c r="T1380" s="10"/>
      <c r="U1380" s="10"/>
    </row>
    <row r="1381">
      <c r="A1381" s="8"/>
      <c r="B1381" s="9"/>
      <c r="C1381" s="9"/>
      <c r="D1381" s="9"/>
      <c r="E1381" s="9"/>
      <c r="F1381" s="9"/>
      <c r="G1381" s="9"/>
      <c r="H1381" s="9"/>
      <c r="I1381" s="9"/>
      <c r="J1381" s="10"/>
      <c r="K1381" s="10"/>
      <c r="L1381" s="10"/>
      <c r="M1381" s="10"/>
      <c r="N1381" s="11"/>
      <c r="O1381" s="11"/>
      <c r="P1381" s="11"/>
      <c r="Q1381" s="11"/>
      <c r="R1381" s="10"/>
      <c r="S1381" s="10"/>
      <c r="T1381" s="10"/>
      <c r="U1381" s="10"/>
    </row>
    <row r="1382">
      <c r="A1382" s="8"/>
      <c r="B1382" s="9"/>
      <c r="C1382" s="9"/>
      <c r="D1382" s="9"/>
      <c r="E1382" s="9"/>
      <c r="F1382" s="9"/>
      <c r="G1382" s="9"/>
      <c r="H1382" s="9"/>
      <c r="I1382" s="9"/>
      <c r="J1382" s="10"/>
      <c r="K1382" s="10"/>
      <c r="L1382" s="10"/>
      <c r="M1382" s="10"/>
      <c r="N1382" s="11"/>
      <c r="O1382" s="11"/>
      <c r="P1382" s="11"/>
      <c r="Q1382" s="11"/>
      <c r="R1382" s="10"/>
      <c r="S1382" s="10"/>
      <c r="T1382" s="10"/>
      <c r="U1382" s="10"/>
    </row>
    <row r="1383">
      <c r="A1383" s="8"/>
      <c r="B1383" s="9"/>
      <c r="C1383" s="9"/>
      <c r="D1383" s="9"/>
      <c r="E1383" s="9"/>
      <c r="F1383" s="9"/>
      <c r="G1383" s="9"/>
      <c r="H1383" s="9"/>
      <c r="I1383" s="9"/>
      <c r="J1383" s="10"/>
      <c r="K1383" s="10"/>
      <c r="L1383" s="10"/>
      <c r="M1383" s="10"/>
      <c r="N1383" s="11"/>
      <c r="O1383" s="11"/>
      <c r="P1383" s="11"/>
      <c r="Q1383" s="11"/>
      <c r="R1383" s="10"/>
      <c r="S1383" s="10"/>
      <c r="T1383" s="10"/>
      <c r="U1383" s="10"/>
    </row>
    <row r="1384">
      <c r="A1384" s="8"/>
      <c r="B1384" s="9"/>
      <c r="C1384" s="9"/>
      <c r="D1384" s="9"/>
      <c r="E1384" s="9"/>
      <c r="F1384" s="9"/>
      <c r="G1384" s="9"/>
      <c r="H1384" s="9"/>
      <c r="I1384" s="9"/>
      <c r="J1384" s="10"/>
      <c r="K1384" s="10"/>
      <c r="L1384" s="10"/>
      <c r="M1384" s="10"/>
      <c r="N1384" s="11"/>
      <c r="O1384" s="11"/>
      <c r="P1384" s="11"/>
      <c r="Q1384" s="11"/>
      <c r="R1384" s="10"/>
      <c r="S1384" s="10"/>
      <c r="T1384" s="10"/>
      <c r="U1384" s="10"/>
    </row>
    <row r="1385">
      <c r="A1385" s="8"/>
      <c r="B1385" s="9"/>
      <c r="C1385" s="9"/>
      <c r="D1385" s="9"/>
      <c r="E1385" s="9"/>
      <c r="F1385" s="9"/>
      <c r="G1385" s="9"/>
      <c r="H1385" s="9"/>
      <c r="I1385" s="9"/>
      <c r="J1385" s="10"/>
      <c r="K1385" s="10"/>
      <c r="L1385" s="10"/>
      <c r="M1385" s="10"/>
      <c r="N1385" s="11"/>
      <c r="O1385" s="11"/>
      <c r="P1385" s="11"/>
      <c r="Q1385" s="11"/>
      <c r="R1385" s="10"/>
      <c r="S1385" s="10"/>
      <c r="T1385" s="10"/>
      <c r="U1385" s="10"/>
    </row>
    <row r="1386">
      <c r="A1386" s="8"/>
      <c r="B1386" s="9"/>
      <c r="C1386" s="9"/>
      <c r="D1386" s="9"/>
      <c r="E1386" s="9"/>
      <c r="F1386" s="9"/>
      <c r="G1386" s="9"/>
      <c r="H1386" s="9"/>
      <c r="I1386" s="9"/>
      <c r="J1386" s="10"/>
      <c r="K1386" s="10"/>
      <c r="L1386" s="10"/>
      <c r="M1386" s="10"/>
      <c r="N1386" s="11"/>
      <c r="O1386" s="11"/>
      <c r="P1386" s="11"/>
      <c r="Q1386" s="11"/>
      <c r="R1386" s="10"/>
      <c r="S1386" s="10"/>
      <c r="T1386" s="10"/>
      <c r="U1386" s="10"/>
    </row>
    <row r="1387">
      <c r="A1387" s="8"/>
      <c r="B1387" s="9"/>
      <c r="C1387" s="9"/>
      <c r="D1387" s="9"/>
      <c r="E1387" s="9"/>
      <c r="F1387" s="9"/>
      <c r="G1387" s="9"/>
      <c r="H1387" s="9"/>
      <c r="I1387" s="9"/>
      <c r="J1387" s="10"/>
      <c r="K1387" s="10"/>
      <c r="L1387" s="10"/>
      <c r="M1387" s="10"/>
      <c r="N1387" s="11"/>
      <c r="O1387" s="11"/>
      <c r="P1387" s="11"/>
      <c r="Q1387" s="11"/>
      <c r="R1387" s="10"/>
      <c r="S1387" s="10"/>
      <c r="T1387" s="10"/>
      <c r="U1387" s="10"/>
    </row>
    <row r="1388">
      <c r="A1388" s="8"/>
      <c r="B1388" s="9"/>
      <c r="C1388" s="9"/>
      <c r="D1388" s="9"/>
      <c r="E1388" s="9"/>
      <c r="F1388" s="9"/>
      <c r="G1388" s="9"/>
      <c r="H1388" s="9"/>
      <c r="I1388" s="9"/>
      <c r="J1388" s="10"/>
      <c r="K1388" s="10"/>
      <c r="L1388" s="10"/>
      <c r="M1388" s="10"/>
      <c r="N1388" s="11"/>
      <c r="O1388" s="11"/>
      <c r="P1388" s="11"/>
      <c r="Q1388" s="11"/>
      <c r="R1388" s="10"/>
      <c r="S1388" s="10"/>
      <c r="T1388" s="10"/>
      <c r="U1388" s="10"/>
    </row>
    <row r="1389">
      <c r="A1389" s="8"/>
      <c r="B1389" s="9"/>
      <c r="C1389" s="9"/>
      <c r="D1389" s="9"/>
      <c r="E1389" s="9"/>
      <c r="F1389" s="9"/>
      <c r="G1389" s="9"/>
      <c r="H1389" s="9"/>
      <c r="I1389" s="9"/>
      <c r="J1389" s="10"/>
      <c r="K1389" s="10"/>
      <c r="L1389" s="10"/>
      <c r="M1389" s="10"/>
      <c r="N1389" s="11"/>
      <c r="O1389" s="11"/>
      <c r="P1389" s="11"/>
      <c r="Q1389" s="11"/>
      <c r="R1389" s="10"/>
      <c r="S1389" s="10"/>
      <c r="T1389" s="10"/>
      <c r="U1389" s="10"/>
    </row>
    <row r="1390">
      <c r="A1390" s="8"/>
      <c r="B1390" s="9"/>
      <c r="C1390" s="9"/>
      <c r="D1390" s="9"/>
      <c r="E1390" s="9"/>
      <c r="F1390" s="9"/>
      <c r="G1390" s="9"/>
      <c r="H1390" s="9"/>
      <c r="I1390" s="9"/>
      <c r="J1390" s="10"/>
      <c r="K1390" s="10"/>
      <c r="L1390" s="10"/>
      <c r="M1390" s="10"/>
      <c r="N1390" s="11"/>
      <c r="O1390" s="11"/>
      <c r="P1390" s="11"/>
      <c r="Q1390" s="11"/>
      <c r="R1390" s="10"/>
      <c r="S1390" s="10"/>
      <c r="T1390" s="10"/>
      <c r="U1390" s="10"/>
    </row>
    <row r="1391">
      <c r="A1391" s="8"/>
      <c r="B1391" s="9"/>
      <c r="C1391" s="9"/>
      <c r="D1391" s="9"/>
      <c r="E1391" s="9"/>
      <c r="F1391" s="9"/>
      <c r="G1391" s="9"/>
      <c r="H1391" s="9"/>
      <c r="I1391" s="9"/>
      <c r="J1391" s="10"/>
      <c r="K1391" s="10"/>
      <c r="L1391" s="10"/>
      <c r="M1391" s="10"/>
      <c r="N1391" s="11"/>
      <c r="O1391" s="11"/>
      <c r="P1391" s="11"/>
      <c r="Q1391" s="11"/>
      <c r="R1391" s="10"/>
      <c r="S1391" s="10"/>
      <c r="T1391" s="10"/>
      <c r="U1391" s="10"/>
    </row>
    <row r="1392">
      <c r="A1392" s="8"/>
      <c r="B1392" s="9"/>
      <c r="C1392" s="9"/>
      <c r="D1392" s="9"/>
      <c r="E1392" s="9"/>
      <c r="F1392" s="9"/>
      <c r="G1392" s="9"/>
      <c r="H1392" s="9"/>
      <c r="I1392" s="9"/>
      <c r="J1392" s="10"/>
      <c r="K1392" s="10"/>
      <c r="L1392" s="10"/>
      <c r="M1392" s="10"/>
      <c r="N1392" s="11"/>
      <c r="O1392" s="11"/>
      <c r="P1392" s="11"/>
      <c r="Q1392" s="11"/>
      <c r="R1392" s="10"/>
      <c r="S1392" s="10"/>
      <c r="T1392" s="10"/>
      <c r="U1392" s="10"/>
    </row>
    <row r="1393">
      <c r="A1393" s="8"/>
      <c r="B1393" s="9"/>
      <c r="C1393" s="9"/>
      <c r="D1393" s="9"/>
      <c r="E1393" s="9"/>
      <c r="F1393" s="9"/>
      <c r="G1393" s="9"/>
      <c r="H1393" s="9"/>
      <c r="I1393" s="9"/>
      <c r="J1393" s="10"/>
      <c r="K1393" s="10"/>
      <c r="L1393" s="10"/>
      <c r="M1393" s="10"/>
      <c r="N1393" s="11"/>
      <c r="O1393" s="11"/>
      <c r="P1393" s="11"/>
      <c r="Q1393" s="11"/>
      <c r="R1393" s="10"/>
      <c r="S1393" s="10"/>
      <c r="T1393" s="10"/>
      <c r="U1393" s="10"/>
    </row>
    <row r="1394">
      <c r="A1394" s="8"/>
      <c r="B1394" s="9"/>
      <c r="C1394" s="9"/>
      <c r="D1394" s="9"/>
      <c r="E1394" s="9"/>
      <c r="F1394" s="9"/>
      <c r="G1394" s="9"/>
      <c r="H1394" s="9"/>
      <c r="I1394" s="9"/>
      <c r="J1394" s="10"/>
      <c r="K1394" s="10"/>
      <c r="L1394" s="10"/>
      <c r="M1394" s="10"/>
      <c r="N1394" s="11"/>
      <c r="O1394" s="11"/>
      <c r="P1394" s="11"/>
      <c r="Q1394" s="11"/>
      <c r="R1394" s="10"/>
      <c r="S1394" s="10"/>
      <c r="T1394" s="10"/>
      <c r="U1394" s="10"/>
    </row>
    <row r="1395">
      <c r="A1395" s="8"/>
      <c r="B1395" s="9"/>
      <c r="C1395" s="9"/>
      <c r="D1395" s="9"/>
      <c r="E1395" s="9"/>
      <c r="F1395" s="9"/>
      <c r="G1395" s="9"/>
      <c r="H1395" s="9"/>
      <c r="I1395" s="9"/>
      <c r="J1395" s="10"/>
      <c r="K1395" s="10"/>
      <c r="L1395" s="10"/>
      <c r="M1395" s="10"/>
      <c r="N1395" s="11"/>
      <c r="O1395" s="11"/>
      <c r="P1395" s="11"/>
      <c r="Q1395" s="11"/>
      <c r="R1395" s="10"/>
      <c r="S1395" s="10"/>
      <c r="T1395" s="10"/>
      <c r="U1395" s="10"/>
    </row>
    <row r="1396">
      <c r="A1396" s="8"/>
      <c r="B1396" s="9"/>
      <c r="C1396" s="9"/>
      <c r="D1396" s="9"/>
      <c r="E1396" s="9"/>
      <c r="F1396" s="9"/>
      <c r="G1396" s="9"/>
      <c r="H1396" s="9"/>
      <c r="I1396" s="9"/>
      <c r="J1396" s="10"/>
      <c r="K1396" s="10"/>
      <c r="L1396" s="10"/>
      <c r="M1396" s="10"/>
      <c r="N1396" s="11"/>
      <c r="O1396" s="11"/>
      <c r="P1396" s="11"/>
      <c r="Q1396" s="11"/>
      <c r="R1396" s="10"/>
      <c r="S1396" s="10"/>
      <c r="T1396" s="10"/>
      <c r="U1396" s="10"/>
    </row>
    <row r="1397">
      <c r="A1397" s="8"/>
      <c r="B1397" s="9"/>
      <c r="C1397" s="9"/>
      <c r="D1397" s="9"/>
      <c r="E1397" s="9"/>
      <c r="F1397" s="9"/>
      <c r="G1397" s="9"/>
      <c r="H1397" s="9"/>
      <c r="I1397" s="9"/>
      <c r="J1397" s="10"/>
      <c r="K1397" s="10"/>
      <c r="L1397" s="10"/>
      <c r="M1397" s="10"/>
      <c r="N1397" s="11"/>
      <c r="O1397" s="11"/>
      <c r="P1397" s="11"/>
      <c r="Q1397" s="11"/>
      <c r="R1397" s="10"/>
      <c r="S1397" s="10"/>
      <c r="T1397" s="10"/>
      <c r="U1397" s="10"/>
    </row>
    <row r="1398">
      <c r="A1398" s="8"/>
      <c r="B1398" s="9"/>
      <c r="C1398" s="9"/>
      <c r="D1398" s="9"/>
      <c r="E1398" s="9"/>
      <c r="F1398" s="9"/>
      <c r="G1398" s="9"/>
      <c r="H1398" s="9"/>
      <c r="I1398" s="9"/>
      <c r="J1398" s="10"/>
      <c r="K1398" s="10"/>
      <c r="L1398" s="10"/>
      <c r="M1398" s="10"/>
      <c r="N1398" s="11"/>
      <c r="O1398" s="11"/>
      <c r="P1398" s="11"/>
      <c r="Q1398" s="11"/>
      <c r="R1398" s="10"/>
      <c r="S1398" s="10"/>
      <c r="T1398" s="10"/>
      <c r="U1398" s="10"/>
    </row>
    <row r="1399">
      <c r="A1399" s="8"/>
      <c r="B1399" s="9"/>
      <c r="C1399" s="9"/>
      <c r="D1399" s="9"/>
      <c r="E1399" s="9"/>
      <c r="F1399" s="9"/>
      <c r="G1399" s="9"/>
      <c r="H1399" s="9"/>
      <c r="I1399" s="9"/>
      <c r="J1399" s="10"/>
      <c r="K1399" s="10"/>
      <c r="L1399" s="10"/>
      <c r="M1399" s="10"/>
      <c r="N1399" s="11"/>
      <c r="O1399" s="11"/>
      <c r="P1399" s="11"/>
      <c r="Q1399" s="11"/>
      <c r="R1399" s="10"/>
      <c r="S1399" s="10"/>
      <c r="T1399" s="10"/>
      <c r="U1399" s="10"/>
    </row>
    <row r="1400">
      <c r="A1400" s="8"/>
      <c r="B1400" s="9"/>
      <c r="C1400" s="9"/>
      <c r="D1400" s="9"/>
      <c r="E1400" s="9"/>
      <c r="F1400" s="9"/>
      <c r="G1400" s="9"/>
      <c r="H1400" s="9"/>
      <c r="I1400" s="9"/>
      <c r="J1400" s="10"/>
      <c r="K1400" s="10"/>
      <c r="L1400" s="10"/>
      <c r="M1400" s="10"/>
      <c r="N1400" s="11"/>
      <c r="O1400" s="11"/>
      <c r="P1400" s="11"/>
      <c r="Q1400" s="11"/>
      <c r="R1400" s="10"/>
      <c r="S1400" s="10"/>
      <c r="T1400" s="10"/>
      <c r="U1400" s="10"/>
    </row>
    <row r="1401">
      <c r="A1401" s="8"/>
      <c r="B1401" s="9"/>
      <c r="C1401" s="9"/>
      <c r="D1401" s="9"/>
      <c r="E1401" s="9"/>
      <c r="F1401" s="9"/>
      <c r="G1401" s="9"/>
      <c r="H1401" s="9"/>
      <c r="I1401" s="9"/>
      <c r="J1401" s="10"/>
      <c r="K1401" s="10"/>
      <c r="L1401" s="10"/>
      <c r="M1401" s="10"/>
      <c r="N1401" s="11"/>
      <c r="O1401" s="11"/>
      <c r="P1401" s="11"/>
      <c r="Q1401" s="11"/>
      <c r="R1401" s="10"/>
      <c r="S1401" s="10"/>
      <c r="T1401" s="10"/>
      <c r="U1401" s="10"/>
    </row>
    <row r="1402">
      <c r="A1402" s="8"/>
      <c r="B1402" s="9"/>
      <c r="C1402" s="9"/>
      <c r="D1402" s="9"/>
      <c r="E1402" s="9"/>
      <c r="F1402" s="9"/>
      <c r="G1402" s="9"/>
      <c r="H1402" s="9"/>
      <c r="I1402" s="9"/>
      <c r="J1402" s="10"/>
      <c r="K1402" s="10"/>
      <c r="L1402" s="10"/>
      <c r="M1402" s="10"/>
      <c r="N1402" s="11"/>
      <c r="O1402" s="11"/>
      <c r="P1402" s="11"/>
      <c r="Q1402" s="11"/>
      <c r="R1402" s="10"/>
      <c r="S1402" s="10"/>
      <c r="T1402" s="10"/>
      <c r="U1402" s="10"/>
    </row>
    <row r="1403">
      <c r="A1403" s="8"/>
      <c r="B1403" s="9"/>
      <c r="C1403" s="9"/>
      <c r="D1403" s="9"/>
      <c r="E1403" s="9"/>
      <c r="F1403" s="9"/>
      <c r="G1403" s="9"/>
      <c r="H1403" s="9"/>
      <c r="I1403" s="9"/>
      <c r="J1403" s="10"/>
      <c r="K1403" s="10"/>
      <c r="L1403" s="10"/>
      <c r="M1403" s="10"/>
      <c r="N1403" s="11"/>
      <c r="O1403" s="11"/>
      <c r="P1403" s="11"/>
      <c r="Q1403" s="11"/>
      <c r="R1403" s="10"/>
      <c r="S1403" s="10"/>
      <c r="T1403" s="10"/>
      <c r="U1403" s="10"/>
    </row>
    <row r="1404">
      <c r="A1404" s="8"/>
      <c r="B1404" s="9"/>
      <c r="C1404" s="9"/>
      <c r="D1404" s="9"/>
      <c r="E1404" s="9"/>
      <c r="F1404" s="9"/>
      <c r="G1404" s="9"/>
      <c r="H1404" s="9"/>
      <c r="I1404" s="9"/>
      <c r="J1404" s="10"/>
      <c r="K1404" s="10"/>
      <c r="L1404" s="10"/>
      <c r="M1404" s="10"/>
      <c r="N1404" s="11"/>
      <c r="O1404" s="11"/>
      <c r="P1404" s="11"/>
      <c r="Q1404" s="11"/>
      <c r="R1404" s="10"/>
      <c r="S1404" s="10"/>
      <c r="T1404" s="10"/>
      <c r="U1404" s="10"/>
    </row>
    <row r="1405">
      <c r="A1405" s="8"/>
      <c r="B1405" s="9"/>
      <c r="C1405" s="9"/>
      <c r="D1405" s="9"/>
      <c r="E1405" s="9"/>
      <c r="F1405" s="9"/>
      <c r="G1405" s="9"/>
      <c r="H1405" s="9"/>
      <c r="I1405" s="9"/>
      <c r="J1405" s="10"/>
      <c r="K1405" s="10"/>
      <c r="L1405" s="10"/>
      <c r="M1405" s="10"/>
      <c r="N1405" s="11"/>
      <c r="O1405" s="11"/>
      <c r="P1405" s="11"/>
      <c r="Q1405" s="11"/>
      <c r="R1405" s="10"/>
      <c r="S1405" s="10"/>
      <c r="T1405" s="10"/>
      <c r="U1405" s="10"/>
    </row>
    <row r="1406">
      <c r="A1406" s="8"/>
      <c r="B1406" s="9"/>
      <c r="C1406" s="9"/>
      <c r="D1406" s="9"/>
      <c r="E1406" s="9"/>
      <c r="F1406" s="9"/>
      <c r="G1406" s="9"/>
      <c r="H1406" s="9"/>
      <c r="I1406" s="9"/>
      <c r="J1406" s="10"/>
      <c r="K1406" s="10"/>
      <c r="L1406" s="10"/>
      <c r="M1406" s="10"/>
      <c r="N1406" s="11"/>
      <c r="O1406" s="11"/>
      <c r="P1406" s="11"/>
      <c r="Q1406" s="11"/>
      <c r="R1406" s="10"/>
      <c r="S1406" s="10"/>
      <c r="T1406" s="10"/>
      <c r="U1406" s="10"/>
    </row>
    <row r="1407">
      <c r="A1407" s="8"/>
      <c r="B1407" s="9"/>
      <c r="C1407" s="9"/>
      <c r="D1407" s="9"/>
      <c r="E1407" s="9"/>
      <c r="F1407" s="9"/>
      <c r="G1407" s="9"/>
      <c r="H1407" s="9"/>
      <c r="I1407" s="9"/>
      <c r="J1407" s="10"/>
      <c r="K1407" s="10"/>
      <c r="L1407" s="10"/>
      <c r="M1407" s="10"/>
      <c r="N1407" s="11"/>
      <c r="O1407" s="11"/>
      <c r="P1407" s="11"/>
      <c r="Q1407" s="11"/>
      <c r="R1407" s="10"/>
      <c r="S1407" s="10"/>
      <c r="T1407" s="10"/>
      <c r="U1407" s="10"/>
    </row>
    <row r="1408">
      <c r="A1408" s="8"/>
      <c r="B1408" s="9"/>
      <c r="C1408" s="9"/>
      <c r="D1408" s="9"/>
      <c r="E1408" s="9"/>
      <c r="F1408" s="9"/>
      <c r="G1408" s="9"/>
      <c r="H1408" s="9"/>
      <c r="I1408" s="9"/>
      <c r="J1408" s="10"/>
      <c r="K1408" s="10"/>
      <c r="L1408" s="10"/>
      <c r="M1408" s="10"/>
      <c r="N1408" s="11"/>
      <c r="O1408" s="11"/>
      <c r="P1408" s="11"/>
      <c r="Q1408" s="11"/>
      <c r="R1408" s="10"/>
      <c r="S1408" s="10"/>
      <c r="T1408" s="10"/>
      <c r="U1408" s="10"/>
    </row>
    <row r="1409">
      <c r="A1409" s="8"/>
      <c r="B1409" s="9"/>
      <c r="C1409" s="9"/>
      <c r="D1409" s="9"/>
      <c r="E1409" s="9"/>
      <c r="F1409" s="9"/>
      <c r="G1409" s="9"/>
      <c r="H1409" s="9"/>
      <c r="I1409" s="9"/>
      <c r="J1409" s="10"/>
      <c r="K1409" s="10"/>
      <c r="L1409" s="10"/>
      <c r="M1409" s="10"/>
      <c r="N1409" s="11"/>
      <c r="O1409" s="11"/>
      <c r="P1409" s="11"/>
      <c r="Q1409" s="11"/>
      <c r="R1409" s="10"/>
      <c r="S1409" s="10"/>
      <c r="T1409" s="10"/>
      <c r="U1409" s="10"/>
    </row>
    <row r="1410">
      <c r="A1410" s="8"/>
      <c r="B1410" s="9"/>
      <c r="C1410" s="9"/>
      <c r="D1410" s="9"/>
      <c r="E1410" s="9"/>
      <c r="F1410" s="9"/>
      <c r="G1410" s="9"/>
      <c r="H1410" s="9"/>
      <c r="I1410" s="9"/>
      <c r="J1410" s="10"/>
      <c r="K1410" s="10"/>
      <c r="L1410" s="10"/>
      <c r="M1410" s="10"/>
      <c r="N1410" s="11"/>
      <c r="O1410" s="11"/>
      <c r="P1410" s="11"/>
      <c r="Q1410" s="11"/>
      <c r="R1410" s="10"/>
      <c r="S1410" s="10"/>
      <c r="T1410" s="10"/>
      <c r="U1410" s="10"/>
    </row>
    <row r="1411">
      <c r="A1411" s="8"/>
      <c r="B1411" s="9"/>
      <c r="C1411" s="9"/>
      <c r="D1411" s="9"/>
      <c r="E1411" s="9"/>
      <c r="F1411" s="9"/>
      <c r="G1411" s="9"/>
      <c r="H1411" s="9"/>
      <c r="I1411" s="9"/>
      <c r="J1411" s="10"/>
      <c r="K1411" s="10"/>
      <c r="L1411" s="10"/>
      <c r="M1411" s="10"/>
      <c r="N1411" s="11"/>
      <c r="O1411" s="11"/>
      <c r="P1411" s="11"/>
      <c r="Q1411" s="11"/>
      <c r="R1411" s="10"/>
      <c r="S1411" s="10"/>
      <c r="T1411" s="10"/>
      <c r="U1411" s="10"/>
    </row>
    <row r="1412">
      <c r="A1412" s="8"/>
      <c r="B1412" s="9"/>
      <c r="C1412" s="9"/>
      <c r="D1412" s="9"/>
      <c r="E1412" s="9"/>
      <c r="F1412" s="9"/>
      <c r="G1412" s="9"/>
      <c r="H1412" s="9"/>
      <c r="I1412" s="9"/>
      <c r="J1412" s="10"/>
      <c r="K1412" s="10"/>
      <c r="L1412" s="10"/>
      <c r="M1412" s="10"/>
      <c r="N1412" s="11"/>
      <c r="O1412" s="11"/>
      <c r="P1412" s="11"/>
      <c r="Q1412" s="11"/>
      <c r="R1412" s="10"/>
      <c r="S1412" s="10"/>
      <c r="T1412" s="10"/>
      <c r="U1412" s="10"/>
    </row>
    <row r="1413">
      <c r="A1413" s="8"/>
      <c r="B1413" s="9"/>
      <c r="C1413" s="9"/>
      <c r="D1413" s="9"/>
      <c r="E1413" s="9"/>
      <c r="F1413" s="9"/>
      <c r="G1413" s="9"/>
      <c r="H1413" s="9"/>
      <c r="I1413" s="9"/>
      <c r="J1413" s="10"/>
      <c r="K1413" s="10"/>
      <c r="L1413" s="10"/>
      <c r="M1413" s="10"/>
      <c r="N1413" s="11"/>
      <c r="O1413" s="11"/>
      <c r="P1413" s="11"/>
      <c r="Q1413" s="11"/>
      <c r="R1413" s="10"/>
      <c r="S1413" s="10"/>
      <c r="T1413" s="10"/>
      <c r="U1413" s="10"/>
    </row>
    <row r="1414">
      <c r="A1414" s="8"/>
      <c r="B1414" s="9"/>
      <c r="C1414" s="9"/>
      <c r="D1414" s="9"/>
      <c r="E1414" s="9"/>
      <c r="F1414" s="9"/>
      <c r="G1414" s="9"/>
      <c r="H1414" s="9"/>
      <c r="I1414" s="9"/>
      <c r="J1414" s="10"/>
      <c r="K1414" s="10"/>
      <c r="L1414" s="10"/>
      <c r="M1414" s="10"/>
      <c r="N1414" s="11"/>
      <c r="O1414" s="11"/>
      <c r="P1414" s="11"/>
      <c r="Q1414" s="11"/>
      <c r="R1414" s="10"/>
      <c r="S1414" s="10"/>
      <c r="T1414" s="10"/>
      <c r="U1414" s="10"/>
    </row>
    <row r="1415">
      <c r="A1415" s="8"/>
      <c r="B1415" s="9"/>
      <c r="C1415" s="9"/>
      <c r="D1415" s="9"/>
      <c r="E1415" s="9"/>
      <c r="F1415" s="9"/>
      <c r="G1415" s="9"/>
      <c r="H1415" s="9"/>
      <c r="I1415" s="9"/>
      <c r="J1415" s="10"/>
      <c r="K1415" s="10"/>
      <c r="L1415" s="10"/>
      <c r="M1415" s="10"/>
      <c r="N1415" s="11"/>
      <c r="O1415" s="11"/>
      <c r="P1415" s="11"/>
      <c r="Q1415" s="11"/>
      <c r="R1415" s="10"/>
      <c r="S1415" s="10"/>
      <c r="T1415" s="10"/>
      <c r="U1415" s="10"/>
    </row>
    <row r="1416">
      <c r="A1416" s="8"/>
      <c r="B1416" s="9"/>
      <c r="C1416" s="9"/>
      <c r="D1416" s="9"/>
      <c r="E1416" s="9"/>
      <c r="F1416" s="9"/>
      <c r="G1416" s="9"/>
      <c r="H1416" s="9"/>
      <c r="I1416" s="9"/>
      <c r="J1416" s="10"/>
      <c r="K1416" s="10"/>
      <c r="L1416" s="10"/>
      <c r="M1416" s="10"/>
      <c r="N1416" s="11"/>
      <c r="O1416" s="11"/>
      <c r="P1416" s="11"/>
      <c r="Q1416" s="11"/>
      <c r="R1416" s="10"/>
      <c r="S1416" s="10"/>
      <c r="T1416" s="10"/>
      <c r="U1416" s="10"/>
    </row>
    <row r="1417">
      <c r="A1417" s="8"/>
      <c r="B1417" s="9"/>
      <c r="C1417" s="9"/>
      <c r="D1417" s="9"/>
      <c r="E1417" s="9"/>
      <c r="F1417" s="9"/>
      <c r="G1417" s="9"/>
      <c r="H1417" s="9"/>
      <c r="I1417" s="9"/>
      <c r="J1417" s="10"/>
      <c r="K1417" s="10"/>
      <c r="L1417" s="10"/>
      <c r="M1417" s="10"/>
      <c r="N1417" s="11"/>
      <c r="O1417" s="11"/>
      <c r="P1417" s="11"/>
      <c r="Q1417" s="11"/>
      <c r="R1417" s="10"/>
      <c r="S1417" s="10"/>
      <c r="T1417" s="10"/>
      <c r="U1417" s="10"/>
    </row>
    <row r="1418">
      <c r="A1418" s="8"/>
      <c r="B1418" s="9"/>
      <c r="C1418" s="9"/>
      <c r="D1418" s="9"/>
      <c r="E1418" s="9"/>
      <c r="F1418" s="9"/>
      <c r="G1418" s="9"/>
      <c r="H1418" s="9"/>
      <c r="I1418" s="9"/>
      <c r="J1418" s="10"/>
      <c r="K1418" s="10"/>
      <c r="L1418" s="10"/>
      <c r="M1418" s="10"/>
      <c r="N1418" s="11"/>
      <c r="O1418" s="11"/>
      <c r="P1418" s="11"/>
      <c r="Q1418" s="11"/>
      <c r="R1418" s="10"/>
      <c r="S1418" s="10"/>
      <c r="T1418" s="10"/>
      <c r="U1418" s="10"/>
    </row>
    <row r="1419">
      <c r="A1419" s="8"/>
      <c r="B1419" s="9"/>
      <c r="C1419" s="9"/>
      <c r="D1419" s="9"/>
      <c r="E1419" s="9"/>
      <c r="F1419" s="9"/>
      <c r="G1419" s="9"/>
      <c r="H1419" s="9"/>
      <c r="I1419" s="9"/>
      <c r="J1419" s="10"/>
      <c r="K1419" s="10"/>
      <c r="L1419" s="10"/>
      <c r="M1419" s="10"/>
      <c r="N1419" s="11"/>
      <c r="O1419" s="11"/>
      <c r="P1419" s="11"/>
      <c r="Q1419" s="11"/>
      <c r="R1419" s="10"/>
      <c r="S1419" s="10"/>
      <c r="T1419" s="10"/>
      <c r="U1419" s="10"/>
    </row>
    <row r="1420">
      <c r="A1420" s="8"/>
      <c r="B1420" s="9"/>
      <c r="C1420" s="9"/>
      <c r="D1420" s="9"/>
      <c r="E1420" s="9"/>
      <c r="F1420" s="9"/>
      <c r="G1420" s="9"/>
      <c r="H1420" s="9"/>
      <c r="I1420" s="9"/>
      <c r="J1420" s="10"/>
      <c r="K1420" s="10"/>
      <c r="L1420" s="10"/>
      <c r="M1420" s="10"/>
      <c r="N1420" s="11"/>
      <c r="O1420" s="11"/>
      <c r="P1420" s="11"/>
      <c r="Q1420" s="11"/>
      <c r="R1420" s="10"/>
      <c r="S1420" s="10"/>
      <c r="T1420" s="10"/>
      <c r="U1420" s="10"/>
    </row>
    <row r="1421">
      <c r="A1421" s="8"/>
      <c r="B1421" s="9"/>
      <c r="C1421" s="9"/>
      <c r="D1421" s="9"/>
      <c r="E1421" s="9"/>
      <c r="F1421" s="9"/>
      <c r="G1421" s="9"/>
      <c r="H1421" s="9"/>
      <c r="I1421" s="9"/>
      <c r="J1421" s="10"/>
      <c r="K1421" s="10"/>
      <c r="L1421" s="10"/>
      <c r="M1421" s="10"/>
      <c r="N1421" s="11"/>
      <c r="O1421" s="11"/>
      <c r="P1421" s="11"/>
      <c r="Q1421" s="11"/>
      <c r="R1421" s="10"/>
      <c r="S1421" s="10"/>
      <c r="T1421" s="10"/>
      <c r="U1421" s="10"/>
    </row>
    <row r="1422">
      <c r="A1422" s="8"/>
      <c r="B1422" s="9"/>
      <c r="C1422" s="9"/>
      <c r="D1422" s="9"/>
      <c r="E1422" s="9"/>
      <c r="F1422" s="9"/>
      <c r="G1422" s="9"/>
      <c r="H1422" s="9"/>
      <c r="I1422" s="9"/>
      <c r="J1422" s="10"/>
      <c r="K1422" s="10"/>
      <c r="L1422" s="10"/>
      <c r="M1422" s="10"/>
      <c r="N1422" s="11"/>
      <c r="O1422" s="11"/>
      <c r="P1422" s="11"/>
      <c r="Q1422" s="11"/>
      <c r="R1422" s="10"/>
      <c r="S1422" s="10"/>
      <c r="T1422" s="10"/>
      <c r="U1422" s="10"/>
    </row>
    <row r="1423">
      <c r="A1423" s="8"/>
      <c r="B1423" s="9"/>
      <c r="C1423" s="9"/>
      <c r="D1423" s="9"/>
      <c r="E1423" s="9"/>
      <c r="F1423" s="9"/>
      <c r="G1423" s="9"/>
      <c r="H1423" s="9"/>
      <c r="I1423" s="9"/>
      <c r="J1423" s="10"/>
      <c r="K1423" s="10"/>
      <c r="L1423" s="10"/>
      <c r="M1423" s="10"/>
      <c r="N1423" s="11"/>
      <c r="O1423" s="11"/>
      <c r="P1423" s="11"/>
      <c r="Q1423" s="11"/>
      <c r="R1423" s="10"/>
      <c r="S1423" s="10"/>
      <c r="T1423" s="10"/>
      <c r="U1423" s="10"/>
    </row>
    <row r="1424">
      <c r="A1424" s="8"/>
      <c r="B1424" s="9"/>
      <c r="C1424" s="9"/>
      <c r="D1424" s="9"/>
      <c r="E1424" s="9"/>
      <c r="F1424" s="9"/>
      <c r="G1424" s="9"/>
      <c r="H1424" s="9"/>
      <c r="I1424" s="9"/>
      <c r="J1424" s="10"/>
      <c r="K1424" s="10"/>
      <c r="L1424" s="10"/>
      <c r="M1424" s="10"/>
      <c r="N1424" s="11"/>
      <c r="O1424" s="11"/>
      <c r="P1424" s="11"/>
      <c r="Q1424" s="11"/>
      <c r="R1424" s="10"/>
      <c r="S1424" s="10"/>
      <c r="T1424" s="10"/>
      <c r="U1424" s="10"/>
    </row>
    <row r="1425">
      <c r="A1425" s="8"/>
      <c r="B1425" s="9"/>
      <c r="C1425" s="9"/>
      <c r="D1425" s="9"/>
      <c r="E1425" s="9"/>
      <c r="F1425" s="9"/>
      <c r="G1425" s="9"/>
      <c r="H1425" s="9"/>
      <c r="I1425" s="9"/>
      <c r="J1425" s="10"/>
      <c r="K1425" s="10"/>
      <c r="L1425" s="10"/>
      <c r="M1425" s="10"/>
      <c r="N1425" s="11"/>
      <c r="O1425" s="11"/>
      <c r="P1425" s="11"/>
      <c r="Q1425" s="11"/>
      <c r="R1425" s="10"/>
      <c r="S1425" s="10"/>
      <c r="T1425" s="10"/>
      <c r="U1425" s="10"/>
    </row>
    <row r="1426">
      <c r="A1426" s="8"/>
      <c r="B1426" s="9"/>
      <c r="C1426" s="9"/>
      <c r="D1426" s="9"/>
      <c r="E1426" s="9"/>
      <c r="F1426" s="9"/>
      <c r="G1426" s="9"/>
      <c r="H1426" s="9"/>
      <c r="I1426" s="9"/>
      <c r="J1426" s="10"/>
      <c r="K1426" s="10"/>
      <c r="L1426" s="10"/>
      <c r="M1426" s="10"/>
      <c r="N1426" s="11"/>
      <c r="O1426" s="11"/>
      <c r="P1426" s="11"/>
      <c r="Q1426" s="11"/>
      <c r="R1426" s="10"/>
      <c r="S1426" s="10"/>
      <c r="T1426" s="10"/>
      <c r="U1426" s="10"/>
    </row>
    <row r="1427">
      <c r="A1427" s="8"/>
      <c r="B1427" s="9"/>
      <c r="C1427" s="9"/>
      <c r="D1427" s="9"/>
      <c r="E1427" s="9"/>
      <c r="F1427" s="9"/>
      <c r="G1427" s="9"/>
      <c r="H1427" s="9"/>
      <c r="I1427" s="9"/>
      <c r="J1427" s="10"/>
      <c r="K1427" s="10"/>
      <c r="L1427" s="10"/>
      <c r="M1427" s="10"/>
      <c r="N1427" s="11"/>
      <c r="O1427" s="11"/>
      <c r="P1427" s="11"/>
      <c r="Q1427" s="11"/>
      <c r="R1427" s="10"/>
      <c r="S1427" s="10"/>
      <c r="T1427" s="10"/>
      <c r="U1427" s="10"/>
    </row>
    <row r="1428">
      <c r="A1428" s="8"/>
      <c r="B1428" s="9"/>
      <c r="C1428" s="9"/>
      <c r="D1428" s="9"/>
      <c r="E1428" s="9"/>
      <c r="F1428" s="9"/>
      <c r="G1428" s="9"/>
      <c r="H1428" s="9"/>
      <c r="I1428" s="9"/>
      <c r="J1428" s="10"/>
      <c r="K1428" s="10"/>
      <c r="L1428" s="10"/>
      <c r="M1428" s="10"/>
      <c r="N1428" s="11"/>
      <c r="O1428" s="11"/>
      <c r="P1428" s="11"/>
      <c r="Q1428" s="11"/>
      <c r="R1428" s="10"/>
      <c r="S1428" s="10"/>
      <c r="T1428" s="10"/>
      <c r="U1428" s="10"/>
    </row>
    <row r="1429">
      <c r="A1429" s="8"/>
      <c r="B1429" s="9"/>
      <c r="C1429" s="9"/>
      <c r="D1429" s="9"/>
      <c r="E1429" s="9"/>
      <c r="F1429" s="9"/>
      <c r="G1429" s="9"/>
      <c r="H1429" s="9"/>
      <c r="I1429" s="9"/>
      <c r="J1429" s="10"/>
      <c r="K1429" s="10"/>
      <c r="L1429" s="10"/>
      <c r="M1429" s="10"/>
      <c r="N1429" s="11"/>
      <c r="O1429" s="11"/>
      <c r="P1429" s="11"/>
      <c r="Q1429" s="11"/>
      <c r="R1429" s="10"/>
      <c r="S1429" s="10"/>
      <c r="T1429" s="10"/>
      <c r="U1429" s="10"/>
    </row>
    <row r="1430">
      <c r="A1430" s="8"/>
      <c r="B1430" s="9"/>
      <c r="C1430" s="9"/>
      <c r="D1430" s="9"/>
      <c r="E1430" s="9"/>
      <c r="F1430" s="9"/>
      <c r="G1430" s="9"/>
      <c r="H1430" s="9"/>
      <c r="I1430" s="9"/>
      <c r="J1430" s="10"/>
      <c r="K1430" s="10"/>
      <c r="L1430" s="10"/>
      <c r="M1430" s="10"/>
      <c r="N1430" s="11"/>
      <c r="O1430" s="11"/>
      <c r="P1430" s="11"/>
      <c r="Q1430" s="11"/>
      <c r="R1430" s="10"/>
      <c r="S1430" s="10"/>
      <c r="T1430" s="10"/>
      <c r="U1430" s="10"/>
    </row>
    <row r="1431">
      <c r="A1431" s="8"/>
      <c r="B1431" s="9"/>
      <c r="C1431" s="9"/>
      <c r="D1431" s="9"/>
      <c r="E1431" s="9"/>
      <c r="F1431" s="9"/>
      <c r="G1431" s="9"/>
      <c r="H1431" s="9"/>
      <c r="I1431" s="9"/>
      <c r="J1431" s="10"/>
      <c r="K1431" s="10"/>
      <c r="L1431" s="10"/>
      <c r="M1431" s="10"/>
      <c r="N1431" s="11"/>
      <c r="O1431" s="11"/>
      <c r="P1431" s="11"/>
      <c r="Q1431" s="11"/>
      <c r="R1431" s="10"/>
      <c r="S1431" s="10"/>
      <c r="T1431" s="10"/>
      <c r="U1431" s="10"/>
    </row>
    <row r="1432">
      <c r="A1432" s="8"/>
      <c r="B1432" s="9"/>
      <c r="C1432" s="9"/>
      <c r="D1432" s="9"/>
      <c r="E1432" s="9"/>
      <c r="F1432" s="9"/>
      <c r="G1432" s="9"/>
      <c r="H1432" s="9"/>
      <c r="I1432" s="9"/>
      <c r="J1432" s="10"/>
      <c r="K1432" s="10"/>
      <c r="L1432" s="10"/>
      <c r="M1432" s="10"/>
      <c r="N1432" s="11"/>
      <c r="O1432" s="11"/>
      <c r="P1432" s="11"/>
      <c r="Q1432" s="11"/>
      <c r="R1432" s="10"/>
      <c r="S1432" s="10"/>
      <c r="T1432" s="10"/>
      <c r="U1432" s="10"/>
    </row>
    <row r="1433">
      <c r="A1433" s="8"/>
      <c r="B1433" s="9"/>
      <c r="C1433" s="9"/>
      <c r="D1433" s="9"/>
      <c r="E1433" s="9"/>
      <c r="F1433" s="9"/>
      <c r="G1433" s="9"/>
      <c r="H1433" s="9"/>
      <c r="I1433" s="9"/>
      <c r="J1433" s="10"/>
      <c r="K1433" s="10"/>
      <c r="L1433" s="10"/>
      <c r="M1433" s="10"/>
      <c r="N1433" s="11"/>
      <c r="O1433" s="11"/>
      <c r="P1433" s="11"/>
      <c r="Q1433" s="11"/>
      <c r="R1433" s="10"/>
      <c r="S1433" s="10"/>
      <c r="T1433" s="10"/>
      <c r="U1433" s="10"/>
    </row>
    <row r="1434">
      <c r="A1434" s="8"/>
      <c r="B1434" s="9"/>
      <c r="C1434" s="9"/>
      <c r="D1434" s="9"/>
      <c r="E1434" s="9"/>
      <c r="F1434" s="9"/>
      <c r="G1434" s="9"/>
      <c r="H1434" s="9"/>
      <c r="I1434" s="9"/>
      <c r="J1434" s="10"/>
      <c r="K1434" s="10"/>
      <c r="L1434" s="10"/>
      <c r="M1434" s="10"/>
      <c r="N1434" s="11"/>
      <c r="O1434" s="11"/>
      <c r="P1434" s="11"/>
      <c r="Q1434" s="11"/>
      <c r="R1434" s="10"/>
      <c r="S1434" s="10"/>
      <c r="T1434" s="10"/>
      <c r="U1434" s="10"/>
    </row>
    <row r="1435">
      <c r="A1435" s="8"/>
      <c r="B1435" s="9"/>
      <c r="C1435" s="9"/>
      <c r="D1435" s="9"/>
      <c r="E1435" s="9"/>
      <c r="F1435" s="9"/>
      <c r="G1435" s="9"/>
      <c r="H1435" s="9"/>
      <c r="I1435" s="9"/>
      <c r="J1435" s="10"/>
      <c r="K1435" s="10"/>
      <c r="L1435" s="10"/>
      <c r="M1435" s="10"/>
      <c r="N1435" s="11"/>
      <c r="O1435" s="11"/>
      <c r="P1435" s="11"/>
      <c r="Q1435" s="11"/>
      <c r="R1435" s="10"/>
      <c r="S1435" s="10"/>
      <c r="T1435" s="10"/>
      <c r="U1435" s="10"/>
    </row>
    <row r="1436">
      <c r="A1436" s="8"/>
      <c r="B1436" s="9"/>
      <c r="C1436" s="9"/>
      <c r="D1436" s="9"/>
      <c r="E1436" s="9"/>
      <c r="F1436" s="9"/>
      <c r="G1436" s="9"/>
      <c r="H1436" s="9"/>
      <c r="I1436" s="9"/>
      <c r="J1436" s="10"/>
      <c r="K1436" s="10"/>
      <c r="L1436" s="10"/>
      <c r="M1436" s="10"/>
      <c r="N1436" s="11"/>
      <c r="O1436" s="11"/>
      <c r="P1436" s="11"/>
      <c r="Q1436" s="11"/>
      <c r="R1436" s="10"/>
      <c r="S1436" s="10"/>
      <c r="T1436" s="10"/>
      <c r="U1436" s="10"/>
    </row>
    <row r="1437">
      <c r="A1437" s="8"/>
      <c r="B1437" s="9"/>
      <c r="C1437" s="9"/>
      <c r="D1437" s="9"/>
      <c r="E1437" s="9"/>
      <c r="F1437" s="9"/>
      <c r="G1437" s="9"/>
      <c r="H1437" s="9"/>
      <c r="I1437" s="9"/>
      <c r="J1437" s="10"/>
      <c r="K1437" s="10"/>
      <c r="L1437" s="10"/>
      <c r="M1437" s="10"/>
      <c r="N1437" s="11"/>
      <c r="O1437" s="11"/>
      <c r="P1437" s="11"/>
      <c r="Q1437" s="11"/>
      <c r="R1437" s="10"/>
      <c r="S1437" s="10"/>
      <c r="T1437" s="10"/>
      <c r="U1437" s="10"/>
    </row>
    <row r="1438">
      <c r="A1438" s="8"/>
      <c r="B1438" s="9"/>
      <c r="C1438" s="9"/>
      <c r="D1438" s="9"/>
      <c r="E1438" s="9"/>
      <c r="F1438" s="9"/>
      <c r="G1438" s="9"/>
      <c r="H1438" s="9"/>
      <c r="I1438" s="9"/>
      <c r="J1438" s="10"/>
      <c r="K1438" s="10"/>
      <c r="L1438" s="10"/>
      <c r="M1438" s="10"/>
      <c r="N1438" s="11"/>
      <c r="O1438" s="11"/>
      <c r="P1438" s="11"/>
      <c r="Q1438" s="11"/>
      <c r="R1438" s="10"/>
      <c r="S1438" s="10"/>
      <c r="T1438" s="10"/>
      <c r="U1438" s="10"/>
    </row>
    <row r="1439">
      <c r="A1439" s="8"/>
      <c r="B1439" s="9"/>
      <c r="C1439" s="9"/>
      <c r="D1439" s="9"/>
      <c r="E1439" s="9"/>
      <c r="F1439" s="9"/>
      <c r="G1439" s="9"/>
      <c r="H1439" s="9"/>
      <c r="I1439" s="9"/>
      <c r="J1439" s="10"/>
      <c r="K1439" s="10"/>
      <c r="L1439" s="10"/>
      <c r="M1439" s="10"/>
      <c r="N1439" s="11"/>
      <c r="O1439" s="11"/>
      <c r="P1439" s="11"/>
      <c r="Q1439" s="11"/>
      <c r="R1439" s="10"/>
      <c r="S1439" s="10"/>
      <c r="T1439" s="10"/>
      <c r="U1439" s="10"/>
    </row>
    <row r="1440">
      <c r="A1440" s="8"/>
      <c r="B1440" s="9"/>
      <c r="C1440" s="9"/>
      <c r="D1440" s="9"/>
      <c r="E1440" s="9"/>
      <c r="F1440" s="9"/>
      <c r="G1440" s="9"/>
      <c r="H1440" s="9"/>
      <c r="I1440" s="9"/>
      <c r="J1440" s="10"/>
      <c r="K1440" s="10"/>
      <c r="L1440" s="10"/>
      <c r="M1440" s="10"/>
      <c r="N1440" s="11"/>
      <c r="O1440" s="11"/>
      <c r="P1440" s="11"/>
      <c r="Q1440" s="11"/>
      <c r="R1440" s="10"/>
      <c r="S1440" s="10"/>
      <c r="T1440" s="10"/>
      <c r="U1440" s="10"/>
    </row>
    <row r="1441">
      <c r="A1441" s="8"/>
      <c r="B1441" s="9"/>
      <c r="C1441" s="9"/>
      <c r="D1441" s="9"/>
      <c r="E1441" s="9"/>
      <c r="F1441" s="9"/>
      <c r="G1441" s="9"/>
      <c r="H1441" s="9"/>
      <c r="I1441" s="9"/>
      <c r="J1441" s="10"/>
      <c r="K1441" s="10"/>
      <c r="L1441" s="10"/>
      <c r="M1441" s="10"/>
      <c r="N1441" s="11"/>
      <c r="O1441" s="11"/>
      <c r="P1441" s="11"/>
      <c r="Q1441" s="11"/>
      <c r="R1441" s="10"/>
      <c r="S1441" s="10"/>
      <c r="T1441" s="10"/>
      <c r="U1441" s="10"/>
    </row>
    <row r="1442">
      <c r="A1442" s="8"/>
      <c r="B1442" s="9"/>
      <c r="C1442" s="9"/>
      <c r="D1442" s="9"/>
      <c r="E1442" s="9"/>
      <c r="F1442" s="9"/>
      <c r="G1442" s="9"/>
      <c r="H1442" s="9"/>
      <c r="I1442" s="9"/>
      <c r="J1442" s="10"/>
      <c r="K1442" s="10"/>
      <c r="L1442" s="10"/>
      <c r="M1442" s="10"/>
      <c r="N1442" s="11"/>
      <c r="O1442" s="11"/>
      <c r="P1442" s="11"/>
      <c r="Q1442" s="11"/>
      <c r="R1442" s="10"/>
      <c r="S1442" s="10"/>
      <c r="T1442" s="10"/>
      <c r="U1442" s="10"/>
    </row>
    <row r="1443">
      <c r="A1443" s="8"/>
      <c r="B1443" s="9"/>
      <c r="C1443" s="9"/>
      <c r="D1443" s="9"/>
      <c r="E1443" s="9"/>
      <c r="F1443" s="9"/>
      <c r="G1443" s="9"/>
      <c r="H1443" s="9"/>
      <c r="I1443" s="9"/>
      <c r="J1443" s="10"/>
      <c r="K1443" s="10"/>
      <c r="L1443" s="10"/>
      <c r="M1443" s="10"/>
      <c r="N1443" s="11"/>
      <c r="O1443" s="11"/>
      <c r="P1443" s="11"/>
      <c r="Q1443" s="11"/>
      <c r="R1443" s="10"/>
      <c r="S1443" s="10"/>
      <c r="T1443" s="10"/>
      <c r="U1443" s="10"/>
    </row>
    <row r="1444">
      <c r="A1444" s="8"/>
      <c r="B1444" s="9"/>
      <c r="C1444" s="9"/>
      <c r="D1444" s="9"/>
      <c r="E1444" s="9"/>
      <c r="F1444" s="9"/>
      <c r="G1444" s="9"/>
      <c r="H1444" s="9"/>
      <c r="I1444" s="9"/>
      <c r="J1444" s="10"/>
      <c r="K1444" s="10"/>
      <c r="L1444" s="10"/>
      <c r="M1444" s="10"/>
      <c r="N1444" s="11"/>
      <c r="O1444" s="11"/>
      <c r="P1444" s="11"/>
      <c r="Q1444" s="11"/>
      <c r="R1444" s="10"/>
      <c r="S1444" s="10"/>
      <c r="T1444" s="10"/>
      <c r="U1444" s="10"/>
    </row>
    <row r="1445">
      <c r="A1445" s="8"/>
      <c r="B1445" s="9"/>
      <c r="C1445" s="9"/>
      <c r="D1445" s="9"/>
      <c r="E1445" s="9"/>
      <c r="F1445" s="9"/>
      <c r="G1445" s="9"/>
      <c r="H1445" s="9"/>
      <c r="I1445" s="9"/>
      <c r="J1445" s="10"/>
      <c r="K1445" s="10"/>
      <c r="L1445" s="10"/>
      <c r="M1445" s="10"/>
      <c r="N1445" s="11"/>
      <c r="O1445" s="11"/>
      <c r="P1445" s="11"/>
      <c r="Q1445" s="11"/>
      <c r="R1445" s="10"/>
      <c r="S1445" s="10"/>
      <c r="T1445" s="10"/>
      <c r="U1445" s="10"/>
    </row>
    <row r="1446">
      <c r="A1446" s="8"/>
      <c r="B1446" s="9"/>
      <c r="C1446" s="9"/>
      <c r="D1446" s="9"/>
      <c r="E1446" s="9"/>
      <c r="F1446" s="9"/>
      <c r="G1446" s="9"/>
      <c r="H1446" s="9"/>
      <c r="I1446" s="9"/>
      <c r="J1446" s="10"/>
      <c r="K1446" s="10"/>
      <c r="L1446" s="10"/>
      <c r="M1446" s="10"/>
      <c r="N1446" s="11"/>
      <c r="O1446" s="11"/>
      <c r="P1446" s="11"/>
      <c r="Q1446" s="11"/>
      <c r="R1446" s="10"/>
      <c r="S1446" s="10"/>
      <c r="T1446" s="10"/>
      <c r="U1446" s="10"/>
    </row>
    <row r="1447">
      <c r="A1447" s="8"/>
      <c r="B1447" s="9"/>
      <c r="C1447" s="9"/>
      <c r="D1447" s="9"/>
      <c r="E1447" s="9"/>
      <c r="F1447" s="9"/>
      <c r="G1447" s="9"/>
      <c r="H1447" s="9"/>
      <c r="I1447" s="9"/>
      <c r="J1447" s="10"/>
      <c r="K1447" s="10"/>
      <c r="L1447" s="10"/>
      <c r="M1447" s="10"/>
      <c r="N1447" s="11"/>
      <c r="O1447" s="11"/>
      <c r="P1447" s="11"/>
      <c r="Q1447" s="11"/>
      <c r="R1447" s="10"/>
      <c r="S1447" s="10"/>
      <c r="T1447" s="10"/>
      <c r="U1447" s="10"/>
    </row>
    <row r="1448">
      <c r="A1448" s="8"/>
      <c r="B1448" s="9"/>
      <c r="C1448" s="9"/>
      <c r="D1448" s="9"/>
      <c r="E1448" s="9"/>
      <c r="F1448" s="9"/>
      <c r="G1448" s="9"/>
      <c r="H1448" s="9"/>
      <c r="I1448" s="9"/>
      <c r="J1448" s="10"/>
      <c r="K1448" s="10"/>
      <c r="L1448" s="10"/>
      <c r="M1448" s="10"/>
      <c r="N1448" s="11"/>
      <c r="O1448" s="11"/>
      <c r="P1448" s="11"/>
      <c r="Q1448" s="11"/>
      <c r="R1448" s="10"/>
      <c r="S1448" s="10"/>
      <c r="T1448" s="10"/>
      <c r="U1448" s="10"/>
    </row>
    <row r="1449">
      <c r="A1449" s="8"/>
      <c r="B1449" s="9"/>
      <c r="C1449" s="9"/>
      <c r="D1449" s="9"/>
      <c r="E1449" s="9"/>
      <c r="F1449" s="9"/>
      <c r="G1449" s="9"/>
      <c r="H1449" s="9"/>
      <c r="I1449" s="9"/>
      <c r="J1449" s="10"/>
      <c r="K1449" s="10"/>
      <c r="L1449" s="10"/>
      <c r="M1449" s="10"/>
      <c r="N1449" s="11"/>
      <c r="O1449" s="11"/>
      <c r="P1449" s="11"/>
      <c r="Q1449" s="11"/>
      <c r="R1449" s="10"/>
      <c r="S1449" s="10"/>
      <c r="T1449" s="10"/>
      <c r="U1449" s="10"/>
    </row>
    <row r="1450">
      <c r="A1450" s="8"/>
      <c r="B1450" s="9"/>
      <c r="C1450" s="9"/>
      <c r="D1450" s="9"/>
      <c r="E1450" s="9"/>
      <c r="F1450" s="9"/>
      <c r="G1450" s="9"/>
      <c r="H1450" s="9"/>
      <c r="I1450" s="9"/>
      <c r="J1450" s="10"/>
      <c r="K1450" s="10"/>
      <c r="L1450" s="10"/>
      <c r="M1450" s="10"/>
      <c r="N1450" s="11"/>
      <c r="O1450" s="11"/>
      <c r="P1450" s="11"/>
      <c r="Q1450" s="11"/>
      <c r="R1450" s="10"/>
      <c r="S1450" s="10"/>
      <c r="T1450" s="10"/>
      <c r="U1450" s="10"/>
    </row>
    <row r="1451">
      <c r="A1451" s="8"/>
      <c r="B1451" s="9"/>
      <c r="C1451" s="9"/>
      <c r="D1451" s="9"/>
      <c r="E1451" s="9"/>
      <c r="F1451" s="9"/>
      <c r="G1451" s="9"/>
      <c r="H1451" s="9"/>
      <c r="I1451" s="9"/>
      <c r="J1451" s="10"/>
      <c r="K1451" s="10"/>
      <c r="L1451" s="10"/>
      <c r="M1451" s="10"/>
      <c r="N1451" s="11"/>
      <c r="O1451" s="11"/>
      <c r="P1451" s="11"/>
      <c r="Q1451" s="11"/>
      <c r="R1451" s="10"/>
      <c r="S1451" s="10"/>
      <c r="T1451" s="10"/>
      <c r="U1451" s="10"/>
    </row>
    <row r="1452">
      <c r="A1452" s="8"/>
      <c r="B1452" s="9"/>
      <c r="C1452" s="9"/>
      <c r="D1452" s="9"/>
      <c r="E1452" s="9"/>
      <c r="F1452" s="9"/>
      <c r="G1452" s="9"/>
      <c r="H1452" s="9"/>
      <c r="I1452" s="9"/>
      <c r="J1452" s="10"/>
      <c r="K1452" s="10"/>
      <c r="L1452" s="10"/>
      <c r="M1452" s="10"/>
      <c r="N1452" s="11"/>
      <c r="O1452" s="11"/>
      <c r="P1452" s="11"/>
      <c r="Q1452" s="11"/>
      <c r="R1452" s="10"/>
      <c r="S1452" s="10"/>
      <c r="T1452" s="10"/>
      <c r="U1452" s="10"/>
    </row>
    <row r="1453">
      <c r="A1453" s="8"/>
      <c r="B1453" s="9"/>
      <c r="C1453" s="9"/>
      <c r="D1453" s="9"/>
      <c r="E1453" s="9"/>
      <c r="F1453" s="9"/>
      <c r="G1453" s="9"/>
      <c r="H1453" s="9"/>
      <c r="I1453" s="9"/>
      <c r="J1453" s="10"/>
      <c r="K1453" s="10"/>
      <c r="L1453" s="10"/>
      <c r="M1453" s="10"/>
      <c r="N1453" s="11"/>
      <c r="O1453" s="11"/>
      <c r="P1453" s="11"/>
      <c r="Q1453" s="11"/>
      <c r="R1453" s="10"/>
      <c r="S1453" s="10"/>
      <c r="T1453" s="10"/>
      <c r="U1453" s="10"/>
    </row>
    <row r="1454">
      <c r="A1454" s="8"/>
      <c r="B1454" s="9"/>
      <c r="C1454" s="9"/>
      <c r="D1454" s="9"/>
      <c r="E1454" s="9"/>
      <c r="F1454" s="9"/>
      <c r="G1454" s="9"/>
      <c r="H1454" s="9"/>
      <c r="I1454" s="9"/>
      <c r="J1454" s="10"/>
      <c r="K1454" s="10"/>
      <c r="L1454" s="10"/>
      <c r="M1454" s="10"/>
      <c r="N1454" s="11"/>
      <c r="O1454" s="11"/>
      <c r="P1454" s="11"/>
      <c r="Q1454" s="11"/>
      <c r="R1454" s="10"/>
      <c r="S1454" s="10"/>
      <c r="T1454" s="10"/>
      <c r="U1454" s="10"/>
    </row>
    <row r="1455">
      <c r="A1455" s="8"/>
      <c r="B1455" s="9"/>
      <c r="C1455" s="9"/>
      <c r="D1455" s="9"/>
      <c r="E1455" s="9"/>
      <c r="F1455" s="9"/>
      <c r="G1455" s="9"/>
      <c r="H1455" s="9"/>
      <c r="I1455" s="9"/>
      <c r="J1455" s="10"/>
      <c r="K1455" s="10"/>
      <c r="L1455" s="10"/>
      <c r="M1455" s="10"/>
      <c r="N1455" s="11"/>
      <c r="O1455" s="11"/>
      <c r="P1455" s="11"/>
      <c r="Q1455" s="11"/>
      <c r="R1455" s="10"/>
      <c r="S1455" s="10"/>
      <c r="T1455" s="10"/>
      <c r="U1455" s="10"/>
    </row>
    <row r="1456">
      <c r="A1456" s="8"/>
      <c r="B1456" s="9"/>
      <c r="C1456" s="9"/>
      <c r="D1456" s="9"/>
      <c r="E1456" s="9"/>
      <c r="F1456" s="9"/>
      <c r="G1456" s="9"/>
      <c r="H1456" s="9"/>
      <c r="I1456" s="9"/>
      <c r="J1456" s="10"/>
      <c r="K1456" s="10"/>
      <c r="L1456" s="10"/>
      <c r="M1456" s="10"/>
      <c r="N1456" s="11"/>
      <c r="O1456" s="11"/>
      <c r="P1456" s="11"/>
      <c r="Q1456" s="11"/>
      <c r="R1456" s="10"/>
      <c r="S1456" s="10"/>
      <c r="T1456" s="10"/>
      <c r="U1456" s="10"/>
    </row>
    <row r="1457">
      <c r="A1457" s="8"/>
      <c r="B1457" s="9"/>
      <c r="C1457" s="9"/>
      <c r="D1457" s="9"/>
      <c r="E1457" s="9"/>
      <c r="F1457" s="9"/>
      <c r="G1457" s="9"/>
      <c r="H1457" s="9"/>
      <c r="I1457" s="9"/>
      <c r="J1457" s="10"/>
      <c r="K1457" s="10"/>
      <c r="L1457" s="10"/>
      <c r="M1457" s="10"/>
      <c r="N1457" s="11"/>
      <c r="O1457" s="11"/>
      <c r="P1457" s="11"/>
      <c r="Q1457" s="11"/>
      <c r="R1457" s="10"/>
      <c r="S1457" s="10"/>
      <c r="T1457" s="10"/>
      <c r="U1457" s="10"/>
    </row>
    <row r="1458">
      <c r="A1458" s="8"/>
      <c r="B1458" s="9"/>
      <c r="C1458" s="9"/>
      <c r="D1458" s="9"/>
      <c r="E1458" s="9"/>
      <c r="F1458" s="9"/>
      <c r="G1458" s="9"/>
      <c r="H1458" s="9"/>
      <c r="I1458" s="9"/>
      <c r="J1458" s="10"/>
      <c r="K1458" s="10"/>
      <c r="L1458" s="10"/>
      <c r="M1458" s="10"/>
      <c r="N1458" s="11"/>
      <c r="O1458" s="11"/>
      <c r="P1458" s="11"/>
      <c r="Q1458" s="11"/>
      <c r="R1458" s="10"/>
      <c r="S1458" s="10"/>
      <c r="T1458" s="10"/>
      <c r="U1458" s="10"/>
    </row>
    <row r="1459">
      <c r="A1459" s="8"/>
      <c r="B1459" s="9"/>
      <c r="C1459" s="9"/>
      <c r="D1459" s="9"/>
      <c r="E1459" s="9"/>
      <c r="F1459" s="9"/>
      <c r="G1459" s="9"/>
      <c r="H1459" s="9"/>
      <c r="I1459" s="9"/>
      <c r="J1459" s="10"/>
      <c r="K1459" s="10"/>
      <c r="L1459" s="10"/>
      <c r="M1459" s="10"/>
      <c r="N1459" s="11"/>
      <c r="O1459" s="11"/>
      <c r="P1459" s="11"/>
      <c r="Q1459" s="11"/>
      <c r="R1459" s="10"/>
      <c r="S1459" s="10"/>
      <c r="T1459" s="10"/>
      <c r="U1459" s="10"/>
    </row>
    <row r="1460">
      <c r="A1460" s="8"/>
      <c r="B1460" s="9"/>
      <c r="C1460" s="9"/>
      <c r="D1460" s="9"/>
      <c r="E1460" s="9"/>
      <c r="F1460" s="9"/>
      <c r="G1460" s="9"/>
      <c r="H1460" s="9"/>
      <c r="I1460" s="9"/>
      <c r="J1460" s="10"/>
      <c r="K1460" s="10"/>
      <c r="L1460" s="10"/>
      <c r="M1460" s="10"/>
      <c r="N1460" s="11"/>
      <c r="O1460" s="11"/>
      <c r="P1460" s="11"/>
      <c r="Q1460" s="11"/>
      <c r="R1460" s="10"/>
      <c r="S1460" s="10"/>
      <c r="T1460" s="10"/>
      <c r="U1460" s="10"/>
    </row>
    <row r="1461">
      <c r="A1461" s="8"/>
      <c r="B1461" s="9"/>
      <c r="C1461" s="9"/>
      <c r="D1461" s="9"/>
      <c r="E1461" s="9"/>
      <c r="F1461" s="9"/>
      <c r="G1461" s="9"/>
      <c r="H1461" s="9"/>
      <c r="I1461" s="9"/>
      <c r="J1461" s="10"/>
      <c r="K1461" s="10"/>
      <c r="L1461" s="10"/>
      <c r="M1461" s="10"/>
      <c r="N1461" s="11"/>
      <c r="O1461" s="11"/>
      <c r="P1461" s="11"/>
      <c r="Q1461" s="11"/>
      <c r="R1461" s="10"/>
      <c r="S1461" s="10"/>
      <c r="T1461" s="10"/>
      <c r="U1461" s="10"/>
    </row>
    <row r="1462">
      <c r="A1462" s="8"/>
      <c r="B1462" s="9"/>
      <c r="C1462" s="9"/>
      <c r="D1462" s="9"/>
      <c r="E1462" s="9"/>
      <c r="F1462" s="9"/>
      <c r="G1462" s="9"/>
      <c r="H1462" s="9"/>
      <c r="I1462" s="9"/>
      <c r="J1462" s="10"/>
      <c r="K1462" s="10"/>
      <c r="L1462" s="10"/>
      <c r="M1462" s="10"/>
      <c r="N1462" s="11"/>
      <c r="O1462" s="11"/>
      <c r="P1462" s="11"/>
      <c r="Q1462" s="11"/>
      <c r="R1462" s="10"/>
      <c r="S1462" s="10"/>
      <c r="T1462" s="10"/>
      <c r="U1462" s="10"/>
    </row>
    <row r="1463">
      <c r="A1463" s="8"/>
      <c r="B1463" s="9"/>
      <c r="C1463" s="9"/>
      <c r="D1463" s="9"/>
      <c r="E1463" s="9"/>
      <c r="F1463" s="9"/>
      <c r="G1463" s="9"/>
      <c r="H1463" s="9"/>
      <c r="I1463" s="9"/>
      <c r="J1463" s="10"/>
      <c r="K1463" s="10"/>
      <c r="L1463" s="10"/>
      <c r="M1463" s="10"/>
      <c r="N1463" s="11"/>
      <c r="O1463" s="11"/>
      <c r="P1463" s="11"/>
      <c r="Q1463" s="11"/>
      <c r="R1463" s="10"/>
      <c r="S1463" s="10"/>
      <c r="T1463" s="10"/>
      <c r="U1463" s="10"/>
    </row>
    <row r="1464">
      <c r="A1464" s="8"/>
      <c r="B1464" s="9"/>
      <c r="C1464" s="9"/>
      <c r="D1464" s="9"/>
      <c r="E1464" s="9"/>
      <c r="F1464" s="9"/>
      <c r="G1464" s="9"/>
      <c r="H1464" s="9"/>
      <c r="I1464" s="9"/>
      <c r="J1464" s="10"/>
      <c r="K1464" s="10"/>
      <c r="L1464" s="10"/>
      <c r="M1464" s="10"/>
      <c r="N1464" s="11"/>
      <c r="O1464" s="11"/>
      <c r="P1464" s="11"/>
      <c r="Q1464" s="11"/>
      <c r="R1464" s="10"/>
      <c r="S1464" s="10"/>
      <c r="T1464" s="10"/>
      <c r="U1464" s="10"/>
    </row>
    <row r="1465">
      <c r="A1465" s="8"/>
      <c r="B1465" s="9"/>
      <c r="C1465" s="9"/>
      <c r="D1465" s="9"/>
      <c r="E1465" s="9"/>
      <c r="F1465" s="9"/>
      <c r="G1465" s="9"/>
      <c r="H1465" s="9"/>
      <c r="I1465" s="9"/>
      <c r="J1465" s="10"/>
      <c r="K1465" s="10"/>
      <c r="L1465" s="10"/>
      <c r="M1465" s="10"/>
      <c r="N1465" s="11"/>
      <c r="O1465" s="11"/>
      <c r="P1465" s="11"/>
      <c r="Q1465" s="11"/>
      <c r="R1465" s="10"/>
      <c r="S1465" s="10"/>
      <c r="T1465" s="10"/>
      <c r="U1465" s="10"/>
    </row>
    <row r="1466">
      <c r="A1466" s="8"/>
      <c r="B1466" s="9"/>
      <c r="C1466" s="9"/>
      <c r="D1466" s="9"/>
      <c r="E1466" s="9"/>
      <c r="F1466" s="9"/>
      <c r="G1466" s="9"/>
      <c r="H1466" s="9"/>
      <c r="I1466" s="9"/>
      <c r="J1466" s="10"/>
      <c r="K1466" s="10"/>
      <c r="L1466" s="10"/>
      <c r="M1466" s="10"/>
      <c r="N1466" s="11"/>
      <c r="O1466" s="11"/>
      <c r="P1466" s="11"/>
      <c r="Q1466" s="11"/>
      <c r="R1466" s="10"/>
      <c r="S1466" s="10"/>
      <c r="T1466" s="10"/>
      <c r="U1466" s="10"/>
    </row>
    <row r="1467">
      <c r="A1467" s="8"/>
      <c r="B1467" s="9"/>
      <c r="C1467" s="9"/>
      <c r="D1467" s="9"/>
      <c r="E1467" s="9"/>
      <c r="F1467" s="9"/>
      <c r="G1467" s="9"/>
      <c r="H1467" s="9"/>
      <c r="I1467" s="9"/>
      <c r="J1467" s="10"/>
      <c r="K1467" s="10"/>
      <c r="L1467" s="10"/>
      <c r="M1467" s="10"/>
      <c r="N1467" s="11"/>
      <c r="O1467" s="11"/>
      <c r="P1467" s="11"/>
      <c r="Q1467" s="11"/>
      <c r="R1467" s="10"/>
      <c r="S1467" s="10"/>
      <c r="T1467" s="10"/>
      <c r="U1467" s="10"/>
    </row>
    <row r="1468">
      <c r="A1468" s="8"/>
      <c r="B1468" s="9"/>
      <c r="C1468" s="9"/>
      <c r="D1468" s="9"/>
      <c r="E1468" s="9"/>
      <c r="F1468" s="9"/>
      <c r="G1468" s="9"/>
      <c r="H1468" s="9"/>
      <c r="I1468" s="9"/>
      <c r="J1468" s="10"/>
      <c r="K1468" s="10"/>
      <c r="L1468" s="10"/>
      <c r="M1468" s="10"/>
      <c r="N1468" s="11"/>
      <c r="O1468" s="11"/>
      <c r="P1468" s="11"/>
      <c r="Q1468" s="11"/>
      <c r="R1468" s="10"/>
      <c r="S1468" s="10"/>
      <c r="T1468" s="10"/>
      <c r="U1468" s="10"/>
    </row>
    <row r="1469">
      <c r="A1469" s="8"/>
      <c r="B1469" s="9"/>
      <c r="C1469" s="9"/>
      <c r="D1469" s="9"/>
      <c r="E1469" s="9"/>
      <c r="F1469" s="9"/>
      <c r="G1469" s="9"/>
      <c r="H1469" s="9"/>
      <c r="I1469" s="9"/>
      <c r="J1469" s="10"/>
      <c r="K1469" s="10"/>
      <c r="L1469" s="10"/>
      <c r="M1469" s="10"/>
      <c r="N1469" s="11"/>
      <c r="O1469" s="11"/>
      <c r="P1469" s="11"/>
      <c r="Q1469" s="11"/>
      <c r="R1469" s="10"/>
      <c r="S1469" s="10"/>
      <c r="T1469" s="10"/>
      <c r="U1469" s="10"/>
    </row>
    <row r="1470">
      <c r="A1470" s="8"/>
      <c r="B1470" s="9"/>
      <c r="C1470" s="9"/>
      <c r="D1470" s="9"/>
      <c r="E1470" s="9"/>
      <c r="F1470" s="9"/>
      <c r="G1470" s="9"/>
      <c r="H1470" s="9"/>
      <c r="I1470" s="9"/>
      <c r="J1470" s="10"/>
      <c r="K1470" s="10"/>
      <c r="L1470" s="10"/>
      <c r="M1470" s="10"/>
      <c r="N1470" s="11"/>
      <c r="O1470" s="11"/>
      <c r="P1470" s="11"/>
      <c r="Q1470" s="11"/>
      <c r="R1470" s="10"/>
      <c r="S1470" s="10"/>
      <c r="T1470" s="10"/>
      <c r="U1470" s="10"/>
    </row>
    <row r="1471">
      <c r="A1471" s="8"/>
      <c r="B1471" s="9"/>
      <c r="C1471" s="9"/>
      <c r="D1471" s="9"/>
      <c r="E1471" s="9"/>
      <c r="F1471" s="9"/>
      <c r="G1471" s="9"/>
      <c r="H1471" s="9"/>
      <c r="I1471" s="9"/>
      <c r="J1471" s="10"/>
      <c r="K1471" s="10"/>
      <c r="L1471" s="10"/>
      <c r="M1471" s="10"/>
      <c r="N1471" s="11"/>
      <c r="O1471" s="11"/>
      <c r="P1471" s="11"/>
      <c r="Q1471" s="11"/>
      <c r="R1471" s="10"/>
      <c r="S1471" s="10"/>
      <c r="T1471" s="10"/>
      <c r="U1471" s="10"/>
    </row>
    <row r="1472">
      <c r="A1472" s="8"/>
      <c r="B1472" s="9"/>
      <c r="C1472" s="9"/>
      <c r="D1472" s="9"/>
      <c r="E1472" s="9"/>
      <c r="F1472" s="9"/>
      <c r="G1472" s="9"/>
      <c r="H1472" s="9"/>
      <c r="I1472" s="9"/>
      <c r="J1472" s="10"/>
      <c r="K1472" s="10"/>
      <c r="L1472" s="10"/>
      <c r="M1472" s="10"/>
      <c r="N1472" s="11"/>
      <c r="O1472" s="11"/>
      <c r="P1472" s="11"/>
      <c r="Q1472" s="11"/>
      <c r="R1472" s="10"/>
      <c r="S1472" s="10"/>
      <c r="T1472" s="10"/>
      <c r="U1472" s="10"/>
    </row>
    <row r="1473">
      <c r="A1473" s="8"/>
      <c r="B1473" s="9"/>
      <c r="C1473" s="9"/>
      <c r="D1473" s="9"/>
      <c r="E1473" s="9"/>
      <c r="F1473" s="9"/>
      <c r="G1473" s="9"/>
      <c r="H1473" s="9"/>
      <c r="I1473" s="9"/>
      <c r="J1473" s="10"/>
      <c r="K1473" s="10"/>
      <c r="L1473" s="10"/>
      <c r="M1473" s="10"/>
      <c r="N1473" s="11"/>
      <c r="O1473" s="11"/>
      <c r="P1473" s="11"/>
      <c r="Q1473" s="11"/>
      <c r="R1473" s="10"/>
      <c r="S1473" s="10"/>
      <c r="T1473" s="10"/>
      <c r="U1473" s="10"/>
    </row>
    <row r="1474">
      <c r="A1474" s="8"/>
      <c r="B1474" s="9"/>
      <c r="C1474" s="9"/>
      <c r="D1474" s="9"/>
      <c r="E1474" s="9"/>
      <c r="F1474" s="9"/>
      <c r="G1474" s="9"/>
      <c r="H1474" s="9"/>
      <c r="I1474" s="9"/>
      <c r="J1474" s="10"/>
      <c r="K1474" s="10"/>
      <c r="L1474" s="10"/>
      <c r="M1474" s="10"/>
      <c r="N1474" s="11"/>
      <c r="O1474" s="11"/>
      <c r="P1474" s="11"/>
      <c r="Q1474" s="11"/>
      <c r="R1474" s="10"/>
      <c r="S1474" s="10"/>
      <c r="T1474" s="10"/>
      <c r="U1474" s="10"/>
    </row>
    <row r="1475">
      <c r="A1475" s="8"/>
      <c r="B1475" s="9"/>
      <c r="C1475" s="9"/>
      <c r="D1475" s="9"/>
      <c r="E1475" s="9"/>
      <c r="F1475" s="9"/>
      <c r="G1475" s="9"/>
      <c r="H1475" s="9"/>
      <c r="I1475" s="9"/>
      <c r="J1475" s="10"/>
      <c r="K1475" s="10"/>
      <c r="L1475" s="10"/>
      <c r="M1475" s="10"/>
      <c r="N1475" s="11"/>
      <c r="O1475" s="11"/>
      <c r="P1475" s="11"/>
      <c r="Q1475" s="11"/>
      <c r="R1475" s="10"/>
      <c r="S1475" s="10"/>
      <c r="T1475" s="10"/>
      <c r="U1475" s="10"/>
    </row>
    <row r="1476">
      <c r="A1476" s="8"/>
      <c r="B1476" s="9"/>
      <c r="C1476" s="9"/>
      <c r="D1476" s="9"/>
      <c r="E1476" s="9"/>
      <c r="F1476" s="9"/>
      <c r="G1476" s="9"/>
      <c r="H1476" s="9"/>
      <c r="I1476" s="9"/>
      <c r="J1476" s="10"/>
      <c r="K1476" s="10"/>
      <c r="L1476" s="10"/>
      <c r="M1476" s="10"/>
      <c r="N1476" s="11"/>
      <c r="O1476" s="11"/>
      <c r="P1476" s="11"/>
      <c r="Q1476" s="11"/>
      <c r="R1476" s="10"/>
      <c r="S1476" s="10"/>
      <c r="T1476" s="10"/>
      <c r="U1476" s="10"/>
    </row>
    <row r="1477">
      <c r="A1477" s="8"/>
      <c r="B1477" s="9"/>
      <c r="C1477" s="9"/>
      <c r="D1477" s="9"/>
      <c r="E1477" s="9"/>
      <c r="F1477" s="9"/>
      <c r="G1477" s="9"/>
      <c r="H1477" s="9"/>
      <c r="I1477" s="9"/>
      <c r="J1477" s="10"/>
      <c r="K1477" s="10"/>
      <c r="L1477" s="10"/>
      <c r="M1477" s="10"/>
      <c r="N1477" s="11"/>
      <c r="O1477" s="11"/>
      <c r="P1477" s="11"/>
      <c r="Q1477" s="11"/>
      <c r="R1477" s="10"/>
      <c r="S1477" s="10"/>
      <c r="T1477" s="10"/>
      <c r="U1477" s="10"/>
    </row>
    <row r="1478">
      <c r="A1478" s="8"/>
      <c r="B1478" s="9"/>
      <c r="C1478" s="9"/>
      <c r="D1478" s="9"/>
      <c r="E1478" s="9"/>
      <c r="F1478" s="9"/>
      <c r="G1478" s="9"/>
      <c r="H1478" s="9"/>
      <c r="I1478" s="9"/>
      <c r="J1478" s="10"/>
      <c r="K1478" s="10"/>
      <c r="L1478" s="10"/>
      <c r="M1478" s="10"/>
      <c r="N1478" s="11"/>
      <c r="O1478" s="11"/>
      <c r="P1478" s="11"/>
      <c r="Q1478" s="11"/>
      <c r="R1478" s="10"/>
      <c r="S1478" s="10"/>
      <c r="T1478" s="10"/>
      <c r="U1478" s="10"/>
    </row>
    <row r="1479">
      <c r="A1479" s="8"/>
      <c r="B1479" s="9"/>
      <c r="C1479" s="9"/>
      <c r="D1479" s="9"/>
      <c r="E1479" s="9"/>
      <c r="F1479" s="9"/>
      <c r="G1479" s="9"/>
      <c r="H1479" s="9"/>
      <c r="I1479" s="9"/>
      <c r="J1479" s="10"/>
      <c r="K1479" s="10"/>
      <c r="L1479" s="10"/>
      <c r="M1479" s="10"/>
      <c r="N1479" s="11"/>
      <c r="O1479" s="11"/>
      <c r="P1479" s="11"/>
      <c r="Q1479" s="11"/>
      <c r="R1479" s="10"/>
      <c r="S1479" s="10"/>
      <c r="T1479" s="10"/>
      <c r="U1479" s="10"/>
    </row>
    <row r="1480">
      <c r="A1480" s="8"/>
      <c r="B1480" s="9"/>
      <c r="C1480" s="9"/>
      <c r="D1480" s="9"/>
      <c r="E1480" s="9"/>
      <c r="F1480" s="9"/>
      <c r="G1480" s="9"/>
      <c r="H1480" s="9"/>
      <c r="I1480" s="9"/>
      <c r="J1480" s="10"/>
      <c r="K1480" s="10"/>
      <c r="L1480" s="10"/>
      <c r="M1480" s="10"/>
      <c r="N1480" s="11"/>
      <c r="O1480" s="11"/>
      <c r="P1480" s="11"/>
      <c r="Q1480" s="11"/>
      <c r="R1480" s="10"/>
      <c r="S1480" s="10"/>
      <c r="T1480" s="10"/>
      <c r="U1480" s="10"/>
    </row>
    <row r="1481">
      <c r="A1481" s="8"/>
      <c r="B1481" s="9"/>
      <c r="C1481" s="9"/>
      <c r="D1481" s="9"/>
      <c r="E1481" s="9"/>
      <c r="F1481" s="9"/>
      <c r="G1481" s="9"/>
      <c r="H1481" s="9"/>
      <c r="I1481" s="9"/>
      <c r="J1481" s="10"/>
      <c r="K1481" s="10"/>
      <c r="L1481" s="10"/>
      <c r="M1481" s="10"/>
      <c r="N1481" s="11"/>
      <c r="O1481" s="11"/>
      <c r="P1481" s="11"/>
      <c r="Q1481" s="11"/>
      <c r="R1481" s="10"/>
      <c r="S1481" s="10"/>
      <c r="T1481" s="10"/>
      <c r="U1481" s="10"/>
    </row>
    <row r="1482">
      <c r="A1482" s="8"/>
      <c r="B1482" s="9"/>
      <c r="C1482" s="9"/>
      <c r="D1482" s="9"/>
      <c r="E1482" s="9"/>
      <c r="F1482" s="9"/>
      <c r="G1482" s="9"/>
      <c r="H1482" s="9"/>
      <c r="I1482" s="9"/>
      <c r="J1482" s="10"/>
      <c r="K1482" s="10"/>
      <c r="L1482" s="10"/>
      <c r="M1482" s="10"/>
      <c r="N1482" s="11"/>
      <c r="O1482" s="11"/>
      <c r="P1482" s="11"/>
      <c r="Q1482" s="11"/>
      <c r="R1482" s="10"/>
      <c r="S1482" s="10"/>
      <c r="T1482" s="10"/>
      <c r="U1482" s="10"/>
    </row>
    <row r="1483">
      <c r="A1483" s="8"/>
      <c r="B1483" s="9"/>
      <c r="C1483" s="9"/>
      <c r="D1483" s="9"/>
      <c r="E1483" s="9"/>
      <c r="F1483" s="9"/>
      <c r="G1483" s="9"/>
      <c r="H1483" s="9"/>
      <c r="I1483" s="9"/>
      <c r="J1483" s="10"/>
      <c r="K1483" s="10"/>
      <c r="L1483" s="10"/>
      <c r="M1483" s="10"/>
      <c r="N1483" s="11"/>
      <c r="O1483" s="11"/>
      <c r="P1483" s="11"/>
      <c r="Q1483" s="11"/>
      <c r="R1483" s="10"/>
      <c r="S1483" s="10"/>
      <c r="T1483" s="10"/>
      <c r="U1483" s="10"/>
    </row>
    <row r="1484">
      <c r="A1484" s="8"/>
      <c r="B1484" s="9"/>
      <c r="C1484" s="9"/>
      <c r="D1484" s="9"/>
      <c r="E1484" s="9"/>
      <c r="F1484" s="9"/>
      <c r="G1484" s="9"/>
      <c r="H1484" s="9"/>
      <c r="I1484" s="9"/>
      <c r="J1484" s="10"/>
      <c r="K1484" s="10"/>
      <c r="L1484" s="10"/>
      <c r="M1484" s="10"/>
      <c r="N1484" s="11"/>
      <c r="O1484" s="11"/>
      <c r="P1484" s="11"/>
      <c r="Q1484" s="11"/>
      <c r="R1484" s="10"/>
      <c r="S1484" s="10"/>
      <c r="T1484" s="10"/>
      <c r="U1484" s="10"/>
    </row>
    <row r="1485">
      <c r="A1485" s="8"/>
      <c r="B1485" s="9"/>
      <c r="C1485" s="9"/>
      <c r="D1485" s="9"/>
      <c r="E1485" s="9"/>
      <c r="F1485" s="9"/>
      <c r="G1485" s="9"/>
      <c r="H1485" s="9"/>
      <c r="I1485" s="9"/>
      <c r="J1485" s="10"/>
      <c r="K1485" s="10"/>
      <c r="L1485" s="10"/>
      <c r="M1485" s="10"/>
      <c r="N1485" s="11"/>
      <c r="O1485" s="11"/>
      <c r="P1485" s="11"/>
      <c r="Q1485" s="11"/>
      <c r="R1485" s="10"/>
      <c r="S1485" s="10"/>
      <c r="T1485" s="10"/>
      <c r="U1485" s="10"/>
    </row>
    <row r="1486">
      <c r="A1486" s="8"/>
      <c r="B1486" s="9"/>
      <c r="C1486" s="9"/>
      <c r="D1486" s="9"/>
      <c r="E1486" s="9"/>
      <c r="F1486" s="9"/>
      <c r="G1486" s="9"/>
      <c r="H1486" s="9"/>
      <c r="I1486" s="9"/>
      <c r="J1486" s="10"/>
      <c r="K1486" s="10"/>
      <c r="L1486" s="10"/>
      <c r="M1486" s="10"/>
      <c r="N1486" s="11"/>
      <c r="O1486" s="11"/>
      <c r="P1486" s="11"/>
      <c r="Q1486" s="11"/>
      <c r="R1486" s="10"/>
      <c r="S1486" s="10"/>
      <c r="T1486" s="10"/>
      <c r="U1486" s="10"/>
    </row>
    <row r="1487">
      <c r="A1487" s="8"/>
      <c r="B1487" s="9"/>
      <c r="C1487" s="9"/>
      <c r="D1487" s="9"/>
      <c r="E1487" s="9"/>
      <c r="F1487" s="9"/>
      <c r="G1487" s="9"/>
      <c r="H1487" s="9"/>
      <c r="I1487" s="9"/>
      <c r="J1487" s="10"/>
      <c r="K1487" s="10"/>
      <c r="L1487" s="10"/>
      <c r="M1487" s="10"/>
      <c r="N1487" s="11"/>
      <c r="O1487" s="11"/>
      <c r="P1487" s="11"/>
      <c r="Q1487" s="11"/>
      <c r="R1487" s="10"/>
      <c r="S1487" s="10"/>
      <c r="T1487" s="10"/>
      <c r="U1487" s="10"/>
    </row>
    <row r="1488">
      <c r="A1488" s="8"/>
      <c r="B1488" s="9"/>
      <c r="C1488" s="9"/>
      <c r="D1488" s="9"/>
      <c r="E1488" s="9"/>
      <c r="F1488" s="9"/>
      <c r="G1488" s="9"/>
      <c r="H1488" s="9"/>
      <c r="I1488" s="9"/>
      <c r="J1488" s="10"/>
      <c r="K1488" s="10"/>
      <c r="L1488" s="10"/>
      <c r="M1488" s="10"/>
      <c r="N1488" s="11"/>
      <c r="O1488" s="11"/>
      <c r="P1488" s="11"/>
      <c r="Q1488" s="11"/>
      <c r="R1488" s="10"/>
      <c r="S1488" s="10"/>
      <c r="T1488" s="10"/>
      <c r="U1488" s="10"/>
    </row>
    <row r="1489">
      <c r="A1489" s="8"/>
      <c r="B1489" s="9"/>
      <c r="C1489" s="9"/>
      <c r="D1489" s="9"/>
      <c r="E1489" s="9"/>
      <c r="F1489" s="9"/>
      <c r="G1489" s="9"/>
      <c r="H1489" s="9"/>
      <c r="I1489" s="9"/>
      <c r="J1489" s="10"/>
      <c r="K1489" s="10"/>
      <c r="L1489" s="10"/>
      <c r="M1489" s="10"/>
      <c r="N1489" s="11"/>
      <c r="O1489" s="11"/>
      <c r="P1489" s="11"/>
      <c r="Q1489" s="11"/>
      <c r="R1489" s="10"/>
      <c r="S1489" s="10"/>
      <c r="T1489" s="10"/>
      <c r="U1489" s="10"/>
    </row>
    <row r="1490">
      <c r="A1490" s="8"/>
      <c r="B1490" s="9"/>
      <c r="C1490" s="9"/>
      <c r="D1490" s="9"/>
      <c r="E1490" s="9"/>
      <c r="F1490" s="9"/>
      <c r="G1490" s="9"/>
      <c r="H1490" s="9"/>
      <c r="I1490" s="9"/>
      <c r="J1490" s="10"/>
      <c r="K1490" s="10"/>
      <c r="L1490" s="10"/>
      <c r="M1490" s="10"/>
      <c r="N1490" s="11"/>
      <c r="O1490" s="11"/>
      <c r="P1490" s="11"/>
      <c r="Q1490" s="11"/>
      <c r="R1490" s="10"/>
      <c r="S1490" s="10"/>
      <c r="T1490" s="10"/>
      <c r="U1490" s="10"/>
    </row>
    <row r="1491">
      <c r="A1491" s="8"/>
      <c r="B1491" s="9"/>
      <c r="C1491" s="9"/>
      <c r="D1491" s="9"/>
      <c r="E1491" s="9"/>
      <c r="F1491" s="9"/>
      <c r="G1491" s="9"/>
      <c r="H1491" s="9"/>
      <c r="I1491" s="9"/>
      <c r="J1491" s="10"/>
      <c r="K1491" s="10"/>
      <c r="L1491" s="10"/>
      <c r="M1491" s="10"/>
      <c r="N1491" s="11"/>
      <c r="O1491" s="11"/>
      <c r="P1491" s="11"/>
      <c r="Q1491" s="11"/>
      <c r="R1491" s="10"/>
      <c r="S1491" s="10"/>
      <c r="T1491" s="10"/>
      <c r="U1491" s="10"/>
    </row>
    <row r="1492">
      <c r="A1492" s="8"/>
      <c r="B1492" s="9"/>
      <c r="C1492" s="9"/>
      <c r="D1492" s="9"/>
      <c r="E1492" s="9"/>
      <c r="F1492" s="9"/>
      <c r="G1492" s="9"/>
      <c r="H1492" s="9"/>
      <c r="I1492" s="9"/>
      <c r="J1492" s="10"/>
      <c r="K1492" s="10"/>
      <c r="L1492" s="10"/>
      <c r="M1492" s="10"/>
      <c r="N1492" s="11"/>
      <c r="O1492" s="11"/>
      <c r="P1492" s="11"/>
      <c r="Q1492" s="11"/>
      <c r="R1492" s="10"/>
      <c r="S1492" s="10"/>
      <c r="T1492" s="10"/>
      <c r="U1492" s="10"/>
    </row>
    <row r="1493">
      <c r="A1493" s="8"/>
      <c r="B1493" s="9"/>
      <c r="C1493" s="9"/>
      <c r="D1493" s="9"/>
      <c r="E1493" s="9"/>
      <c r="F1493" s="9"/>
      <c r="G1493" s="9"/>
      <c r="H1493" s="9"/>
      <c r="I1493" s="9"/>
      <c r="J1493" s="10"/>
      <c r="K1493" s="10"/>
      <c r="L1493" s="10"/>
      <c r="M1493" s="10"/>
      <c r="N1493" s="11"/>
      <c r="O1493" s="11"/>
      <c r="P1493" s="11"/>
      <c r="Q1493" s="11"/>
      <c r="R1493" s="10"/>
      <c r="S1493" s="10"/>
      <c r="T1493" s="10"/>
      <c r="U1493" s="10"/>
    </row>
    <row r="1494">
      <c r="A1494" s="8"/>
      <c r="B1494" s="9"/>
      <c r="C1494" s="9"/>
      <c r="D1494" s="9"/>
      <c r="E1494" s="9"/>
      <c r="F1494" s="9"/>
      <c r="G1494" s="9"/>
      <c r="H1494" s="9"/>
      <c r="I1494" s="9"/>
      <c r="J1494" s="10"/>
      <c r="K1494" s="10"/>
      <c r="L1494" s="10"/>
      <c r="M1494" s="10"/>
      <c r="N1494" s="11"/>
      <c r="O1494" s="11"/>
      <c r="P1494" s="11"/>
      <c r="Q1494" s="11"/>
      <c r="R1494" s="10"/>
      <c r="S1494" s="10"/>
      <c r="T1494" s="10"/>
      <c r="U1494" s="10"/>
    </row>
    <row r="1495">
      <c r="A1495" s="8"/>
      <c r="B1495" s="9"/>
      <c r="C1495" s="9"/>
      <c r="D1495" s="9"/>
      <c r="E1495" s="9"/>
      <c r="F1495" s="9"/>
      <c r="G1495" s="9"/>
      <c r="H1495" s="9"/>
      <c r="I1495" s="9"/>
      <c r="J1495" s="10"/>
      <c r="K1495" s="10"/>
      <c r="L1495" s="10"/>
      <c r="M1495" s="10"/>
      <c r="N1495" s="11"/>
      <c r="O1495" s="11"/>
      <c r="P1495" s="11"/>
      <c r="Q1495" s="11"/>
      <c r="R1495" s="10"/>
      <c r="S1495" s="10"/>
      <c r="T1495" s="10"/>
      <c r="U1495" s="10"/>
    </row>
    <row r="1496">
      <c r="A1496" s="8"/>
      <c r="B1496" s="9"/>
      <c r="C1496" s="9"/>
      <c r="D1496" s="9"/>
      <c r="E1496" s="9"/>
      <c r="F1496" s="9"/>
      <c r="G1496" s="9"/>
      <c r="H1496" s="9"/>
      <c r="I1496" s="9"/>
      <c r="J1496" s="10"/>
      <c r="K1496" s="10"/>
      <c r="L1496" s="10"/>
      <c r="M1496" s="10"/>
      <c r="N1496" s="11"/>
      <c r="O1496" s="11"/>
      <c r="P1496" s="11"/>
      <c r="Q1496" s="11"/>
      <c r="R1496" s="10"/>
      <c r="S1496" s="10"/>
      <c r="T1496" s="10"/>
      <c r="U1496" s="10"/>
    </row>
    <row r="1497">
      <c r="A1497" s="8"/>
      <c r="B1497" s="9"/>
      <c r="C1497" s="9"/>
      <c r="D1497" s="9"/>
      <c r="E1497" s="9"/>
      <c r="F1497" s="9"/>
      <c r="G1497" s="9"/>
      <c r="H1497" s="9"/>
      <c r="I1497" s="9"/>
      <c r="J1497" s="10"/>
      <c r="K1497" s="10"/>
      <c r="L1497" s="10"/>
      <c r="M1497" s="10"/>
      <c r="N1497" s="11"/>
      <c r="O1497" s="11"/>
      <c r="P1497" s="11"/>
      <c r="Q1497" s="11"/>
      <c r="R1497" s="10"/>
      <c r="S1497" s="10"/>
      <c r="T1497" s="10"/>
      <c r="U1497" s="10"/>
    </row>
    <row r="1498">
      <c r="A1498" s="8"/>
      <c r="B1498" s="9"/>
      <c r="C1498" s="9"/>
      <c r="D1498" s="9"/>
      <c r="E1498" s="9"/>
      <c r="F1498" s="9"/>
      <c r="G1498" s="9"/>
      <c r="H1498" s="9"/>
      <c r="I1498" s="9"/>
      <c r="J1498" s="10"/>
      <c r="K1498" s="10"/>
      <c r="L1498" s="10"/>
      <c r="M1498" s="10"/>
      <c r="N1498" s="11"/>
      <c r="O1498" s="11"/>
      <c r="P1498" s="11"/>
      <c r="Q1498" s="11"/>
      <c r="R1498" s="10"/>
      <c r="S1498" s="10"/>
      <c r="T1498" s="10"/>
      <c r="U1498" s="10"/>
    </row>
    <row r="1499">
      <c r="A1499" s="8"/>
      <c r="B1499" s="9"/>
      <c r="C1499" s="9"/>
      <c r="D1499" s="9"/>
      <c r="E1499" s="9"/>
      <c r="F1499" s="9"/>
      <c r="G1499" s="9"/>
      <c r="H1499" s="9"/>
      <c r="I1499" s="9"/>
      <c r="J1499" s="10"/>
      <c r="K1499" s="10"/>
      <c r="L1499" s="10"/>
      <c r="M1499" s="10"/>
      <c r="N1499" s="11"/>
      <c r="O1499" s="11"/>
      <c r="P1499" s="11"/>
      <c r="Q1499" s="11"/>
      <c r="R1499" s="10"/>
      <c r="S1499" s="10"/>
      <c r="T1499" s="10"/>
      <c r="U1499" s="10"/>
    </row>
    <row r="1500">
      <c r="A1500" s="8"/>
      <c r="B1500" s="9"/>
      <c r="C1500" s="9"/>
      <c r="D1500" s="9"/>
      <c r="E1500" s="9"/>
      <c r="F1500" s="9"/>
      <c r="G1500" s="9"/>
      <c r="H1500" s="9"/>
      <c r="I1500" s="9"/>
      <c r="J1500" s="10"/>
      <c r="K1500" s="10"/>
      <c r="L1500" s="10"/>
      <c r="M1500" s="10"/>
      <c r="N1500" s="11"/>
      <c r="O1500" s="11"/>
      <c r="P1500" s="11"/>
      <c r="Q1500" s="11"/>
      <c r="R1500" s="10"/>
      <c r="S1500" s="10"/>
      <c r="T1500" s="10"/>
      <c r="U1500" s="10"/>
    </row>
    <row r="1501">
      <c r="A1501" s="8"/>
      <c r="B1501" s="9"/>
      <c r="C1501" s="9"/>
      <c r="D1501" s="9"/>
      <c r="E1501" s="9"/>
      <c r="F1501" s="9"/>
      <c r="G1501" s="9"/>
      <c r="H1501" s="9"/>
      <c r="I1501" s="9"/>
      <c r="J1501" s="10"/>
      <c r="K1501" s="10"/>
      <c r="L1501" s="10"/>
      <c r="M1501" s="10"/>
      <c r="N1501" s="11"/>
      <c r="O1501" s="11"/>
      <c r="P1501" s="11"/>
      <c r="Q1501" s="11"/>
      <c r="R1501" s="10"/>
      <c r="S1501" s="10"/>
      <c r="T1501" s="10"/>
      <c r="U1501" s="10"/>
    </row>
    <row r="1502">
      <c r="A1502" s="8"/>
      <c r="B1502" s="9"/>
      <c r="C1502" s="9"/>
      <c r="D1502" s="9"/>
      <c r="E1502" s="9"/>
      <c r="F1502" s="9"/>
      <c r="G1502" s="9"/>
      <c r="H1502" s="9"/>
      <c r="I1502" s="9"/>
      <c r="J1502" s="10"/>
      <c r="K1502" s="10"/>
      <c r="L1502" s="10"/>
      <c r="M1502" s="10"/>
      <c r="N1502" s="11"/>
      <c r="O1502" s="11"/>
      <c r="P1502" s="11"/>
      <c r="Q1502" s="11"/>
      <c r="R1502" s="10"/>
      <c r="S1502" s="10"/>
      <c r="T1502" s="10"/>
      <c r="U1502" s="10"/>
    </row>
    <row r="1503">
      <c r="A1503" s="8"/>
      <c r="B1503" s="9"/>
      <c r="C1503" s="9"/>
      <c r="D1503" s="9"/>
      <c r="E1503" s="9"/>
      <c r="F1503" s="9"/>
      <c r="G1503" s="9"/>
      <c r="H1503" s="9"/>
      <c r="I1503" s="9"/>
      <c r="J1503" s="10"/>
      <c r="K1503" s="10"/>
      <c r="L1503" s="10"/>
      <c r="M1503" s="10"/>
      <c r="N1503" s="11"/>
      <c r="O1503" s="11"/>
      <c r="P1503" s="11"/>
      <c r="Q1503" s="11"/>
      <c r="R1503" s="10"/>
      <c r="S1503" s="10"/>
      <c r="T1503" s="10"/>
      <c r="U1503" s="10"/>
    </row>
    <row r="1504">
      <c r="A1504" s="8"/>
      <c r="B1504" s="9"/>
      <c r="C1504" s="9"/>
      <c r="D1504" s="9"/>
      <c r="E1504" s="9"/>
      <c r="F1504" s="9"/>
      <c r="G1504" s="9"/>
      <c r="H1504" s="9"/>
      <c r="I1504" s="9"/>
      <c r="J1504" s="10"/>
      <c r="K1504" s="10"/>
      <c r="L1504" s="10"/>
      <c r="M1504" s="10"/>
      <c r="N1504" s="11"/>
      <c r="O1504" s="11"/>
      <c r="P1504" s="11"/>
      <c r="Q1504" s="11"/>
      <c r="R1504" s="10"/>
      <c r="S1504" s="10"/>
      <c r="T1504" s="10"/>
      <c r="U1504" s="10"/>
    </row>
    <row r="1505">
      <c r="A1505" s="8"/>
      <c r="B1505" s="9"/>
      <c r="C1505" s="9"/>
      <c r="D1505" s="9"/>
      <c r="E1505" s="9"/>
      <c r="F1505" s="9"/>
      <c r="G1505" s="9"/>
      <c r="H1505" s="9"/>
      <c r="I1505" s="9"/>
      <c r="J1505" s="10"/>
      <c r="K1505" s="10"/>
      <c r="L1505" s="10"/>
      <c r="M1505" s="10"/>
      <c r="N1505" s="11"/>
      <c r="O1505" s="11"/>
      <c r="P1505" s="11"/>
      <c r="Q1505" s="11"/>
      <c r="R1505" s="10"/>
      <c r="S1505" s="10"/>
      <c r="T1505" s="10"/>
      <c r="U1505" s="10"/>
    </row>
    <row r="1506">
      <c r="A1506" s="8"/>
      <c r="B1506" s="9"/>
      <c r="C1506" s="9"/>
      <c r="D1506" s="9"/>
      <c r="E1506" s="9"/>
      <c r="F1506" s="9"/>
      <c r="G1506" s="9"/>
      <c r="H1506" s="9"/>
      <c r="I1506" s="9"/>
      <c r="J1506" s="10"/>
      <c r="K1506" s="10"/>
      <c r="L1506" s="10"/>
      <c r="M1506" s="10"/>
      <c r="N1506" s="11"/>
      <c r="O1506" s="11"/>
      <c r="P1506" s="11"/>
      <c r="Q1506" s="11"/>
      <c r="R1506" s="10"/>
      <c r="S1506" s="10"/>
      <c r="T1506" s="10"/>
      <c r="U1506" s="10"/>
    </row>
    <row r="1507">
      <c r="A1507" s="8"/>
      <c r="B1507" s="9"/>
      <c r="C1507" s="9"/>
      <c r="D1507" s="9"/>
      <c r="E1507" s="9"/>
      <c r="F1507" s="9"/>
      <c r="G1507" s="9"/>
      <c r="H1507" s="9"/>
      <c r="I1507" s="9"/>
      <c r="J1507" s="10"/>
      <c r="K1507" s="10"/>
      <c r="L1507" s="10"/>
      <c r="M1507" s="10"/>
      <c r="N1507" s="11"/>
      <c r="O1507" s="11"/>
      <c r="P1507" s="11"/>
      <c r="Q1507" s="11"/>
      <c r="R1507" s="10"/>
      <c r="S1507" s="10"/>
      <c r="T1507" s="10"/>
      <c r="U1507" s="10"/>
    </row>
    <row r="1508">
      <c r="A1508" s="8"/>
      <c r="B1508" s="9"/>
      <c r="C1508" s="9"/>
      <c r="D1508" s="9"/>
      <c r="E1508" s="9"/>
      <c r="F1508" s="9"/>
      <c r="G1508" s="9"/>
      <c r="H1508" s="9"/>
      <c r="I1508" s="9"/>
      <c r="J1508" s="10"/>
      <c r="K1508" s="10"/>
      <c r="L1508" s="10"/>
      <c r="M1508" s="10"/>
      <c r="N1508" s="11"/>
      <c r="O1508" s="11"/>
      <c r="P1508" s="11"/>
      <c r="Q1508" s="11"/>
      <c r="R1508" s="10"/>
      <c r="S1508" s="10"/>
      <c r="T1508" s="10"/>
      <c r="U1508" s="10"/>
    </row>
    <row r="1509">
      <c r="A1509" s="8"/>
      <c r="B1509" s="9"/>
      <c r="C1509" s="9"/>
      <c r="D1509" s="9"/>
      <c r="E1509" s="9"/>
      <c r="F1509" s="9"/>
      <c r="G1509" s="9"/>
      <c r="H1509" s="9"/>
      <c r="I1509" s="9"/>
      <c r="J1509" s="10"/>
      <c r="K1509" s="10"/>
      <c r="L1509" s="10"/>
      <c r="M1509" s="10"/>
      <c r="N1509" s="11"/>
      <c r="O1509" s="11"/>
      <c r="P1509" s="11"/>
      <c r="Q1509" s="11"/>
      <c r="R1509" s="10"/>
      <c r="S1509" s="10"/>
      <c r="T1509" s="10"/>
      <c r="U1509" s="10"/>
    </row>
    <row r="1510">
      <c r="A1510" s="8"/>
      <c r="B1510" s="9"/>
      <c r="C1510" s="9"/>
      <c r="D1510" s="9"/>
      <c r="E1510" s="9"/>
      <c r="F1510" s="9"/>
      <c r="G1510" s="9"/>
      <c r="H1510" s="9"/>
      <c r="I1510" s="9"/>
      <c r="J1510" s="10"/>
      <c r="K1510" s="10"/>
      <c r="L1510" s="10"/>
      <c r="M1510" s="10"/>
      <c r="N1510" s="11"/>
      <c r="O1510" s="11"/>
      <c r="P1510" s="11"/>
      <c r="Q1510" s="11"/>
      <c r="R1510" s="10"/>
      <c r="S1510" s="10"/>
      <c r="T1510" s="10"/>
      <c r="U1510" s="10"/>
    </row>
    <row r="1511">
      <c r="A1511" s="8"/>
      <c r="B1511" s="9"/>
      <c r="C1511" s="9"/>
      <c r="D1511" s="9"/>
      <c r="E1511" s="9"/>
      <c r="F1511" s="9"/>
      <c r="G1511" s="9"/>
      <c r="H1511" s="9"/>
      <c r="I1511" s="9"/>
      <c r="J1511" s="10"/>
      <c r="K1511" s="10"/>
      <c r="L1511" s="10"/>
      <c r="M1511" s="10"/>
      <c r="N1511" s="11"/>
      <c r="O1511" s="11"/>
      <c r="P1511" s="11"/>
      <c r="Q1511" s="11"/>
      <c r="R1511" s="10"/>
      <c r="S1511" s="10"/>
      <c r="T1511" s="10"/>
      <c r="U1511" s="10"/>
    </row>
    <row r="1512">
      <c r="A1512" s="8"/>
      <c r="B1512" s="9"/>
      <c r="C1512" s="9"/>
      <c r="D1512" s="9"/>
      <c r="E1512" s="9"/>
      <c r="F1512" s="9"/>
      <c r="G1512" s="9"/>
      <c r="H1512" s="9"/>
      <c r="I1512" s="9"/>
      <c r="J1512" s="10"/>
      <c r="K1512" s="10"/>
      <c r="L1512" s="10"/>
      <c r="M1512" s="10"/>
      <c r="N1512" s="11"/>
      <c r="O1512" s="11"/>
      <c r="P1512" s="11"/>
      <c r="Q1512" s="11"/>
      <c r="R1512" s="10"/>
      <c r="S1512" s="10"/>
      <c r="T1512" s="10"/>
      <c r="U1512" s="10"/>
    </row>
    <row r="1513">
      <c r="A1513" s="8"/>
      <c r="B1513" s="9"/>
      <c r="C1513" s="9"/>
      <c r="D1513" s="9"/>
      <c r="E1513" s="9"/>
      <c r="F1513" s="9"/>
      <c r="G1513" s="9"/>
      <c r="H1513" s="9"/>
      <c r="I1513" s="9"/>
      <c r="J1513" s="10"/>
      <c r="K1513" s="10"/>
      <c r="L1513" s="10"/>
      <c r="M1513" s="10"/>
      <c r="N1513" s="11"/>
      <c r="O1513" s="11"/>
      <c r="P1513" s="11"/>
      <c r="Q1513" s="11"/>
      <c r="R1513" s="10"/>
      <c r="S1513" s="10"/>
      <c r="T1513" s="10"/>
      <c r="U1513" s="10"/>
    </row>
    <row r="1514">
      <c r="A1514" s="8"/>
      <c r="B1514" s="9"/>
      <c r="C1514" s="9"/>
      <c r="D1514" s="9"/>
      <c r="E1514" s="9"/>
      <c r="F1514" s="9"/>
      <c r="G1514" s="9"/>
      <c r="H1514" s="9"/>
      <c r="I1514" s="9"/>
      <c r="J1514" s="10"/>
      <c r="K1514" s="10"/>
      <c r="L1514" s="10"/>
      <c r="M1514" s="10"/>
      <c r="N1514" s="11"/>
      <c r="O1514" s="11"/>
      <c r="P1514" s="11"/>
      <c r="Q1514" s="11"/>
      <c r="R1514" s="10"/>
      <c r="S1514" s="10"/>
      <c r="T1514" s="10"/>
      <c r="U1514" s="10"/>
    </row>
    <row r="1515">
      <c r="A1515" s="8"/>
      <c r="B1515" s="9"/>
      <c r="C1515" s="9"/>
      <c r="D1515" s="9"/>
      <c r="E1515" s="9"/>
      <c r="F1515" s="9"/>
      <c r="G1515" s="9"/>
      <c r="H1515" s="9"/>
      <c r="I1515" s="9"/>
      <c r="J1515" s="10"/>
      <c r="K1515" s="10"/>
      <c r="L1515" s="10"/>
      <c r="M1515" s="10"/>
      <c r="N1515" s="11"/>
      <c r="O1515" s="11"/>
      <c r="P1515" s="11"/>
      <c r="Q1515" s="11"/>
      <c r="R1515" s="10"/>
      <c r="S1515" s="10"/>
      <c r="T1515" s="10"/>
      <c r="U1515" s="10"/>
    </row>
    <row r="1516">
      <c r="A1516" s="8"/>
      <c r="B1516" s="9"/>
      <c r="C1516" s="9"/>
      <c r="D1516" s="9"/>
      <c r="E1516" s="9"/>
      <c r="F1516" s="9"/>
      <c r="G1516" s="9"/>
      <c r="H1516" s="9"/>
      <c r="I1516" s="9"/>
      <c r="J1516" s="10"/>
      <c r="K1516" s="10"/>
      <c r="L1516" s="10"/>
      <c r="M1516" s="10"/>
      <c r="N1516" s="11"/>
      <c r="O1516" s="11"/>
      <c r="P1516" s="11"/>
      <c r="Q1516" s="11"/>
      <c r="R1516" s="10"/>
      <c r="S1516" s="10"/>
      <c r="T1516" s="10"/>
      <c r="U1516" s="10"/>
    </row>
    <row r="1517">
      <c r="A1517" s="8"/>
      <c r="B1517" s="9"/>
      <c r="C1517" s="9"/>
      <c r="D1517" s="9"/>
      <c r="E1517" s="9"/>
      <c r="F1517" s="9"/>
      <c r="G1517" s="9"/>
      <c r="H1517" s="9"/>
      <c r="I1517" s="9"/>
      <c r="J1517" s="10"/>
      <c r="K1517" s="10"/>
      <c r="L1517" s="10"/>
      <c r="M1517" s="10"/>
      <c r="N1517" s="11"/>
      <c r="O1517" s="11"/>
      <c r="P1517" s="11"/>
      <c r="Q1517" s="11"/>
      <c r="R1517" s="10"/>
      <c r="S1517" s="10"/>
      <c r="T1517" s="10"/>
      <c r="U1517" s="10"/>
    </row>
    <row r="1518">
      <c r="A1518" s="8"/>
      <c r="B1518" s="9"/>
      <c r="C1518" s="9"/>
      <c r="D1518" s="9"/>
      <c r="E1518" s="9"/>
      <c r="F1518" s="9"/>
      <c r="G1518" s="9"/>
      <c r="H1518" s="9"/>
      <c r="I1518" s="9"/>
      <c r="J1518" s="10"/>
      <c r="K1518" s="10"/>
      <c r="L1518" s="10"/>
      <c r="M1518" s="10"/>
      <c r="N1518" s="11"/>
      <c r="O1518" s="11"/>
      <c r="P1518" s="11"/>
      <c r="Q1518" s="11"/>
      <c r="R1518" s="10"/>
      <c r="S1518" s="10"/>
      <c r="T1518" s="10"/>
      <c r="U1518" s="10"/>
    </row>
    <row r="1519">
      <c r="A1519" s="8"/>
      <c r="B1519" s="9"/>
      <c r="C1519" s="9"/>
      <c r="D1519" s="9"/>
      <c r="E1519" s="9"/>
      <c r="F1519" s="9"/>
      <c r="G1519" s="9"/>
      <c r="H1519" s="9"/>
      <c r="I1519" s="9"/>
      <c r="J1519" s="10"/>
      <c r="K1519" s="10"/>
      <c r="L1519" s="10"/>
      <c r="M1519" s="10"/>
      <c r="N1519" s="11"/>
      <c r="O1519" s="11"/>
      <c r="P1519" s="11"/>
      <c r="Q1519" s="11"/>
      <c r="R1519" s="10"/>
      <c r="S1519" s="10"/>
      <c r="T1519" s="10"/>
      <c r="U1519" s="10"/>
    </row>
    <row r="1520">
      <c r="A1520" s="8"/>
      <c r="B1520" s="9"/>
      <c r="C1520" s="9"/>
      <c r="D1520" s="9"/>
      <c r="E1520" s="9"/>
      <c r="F1520" s="9"/>
      <c r="G1520" s="9"/>
      <c r="H1520" s="9"/>
      <c r="I1520" s="9"/>
      <c r="J1520" s="10"/>
      <c r="K1520" s="10"/>
      <c r="L1520" s="10"/>
      <c r="M1520" s="10"/>
      <c r="N1520" s="11"/>
      <c r="O1520" s="11"/>
      <c r="P1520" s="11"/>
      <c r="Q1520" s="11"/>
      <c r="R1520" s="10"/>
      <c r="S1520" s="10"/>
      <c r="T1520" s="10"/>
      <c r="U1520" s="10"/>
    </row>
    <row r="1521">
      <c r="A1521" s="8"/>
      <c r="B1521" s="9"/>
      <c r="C1521" s="9"/>
      <c r="D1521" s="9"/>
      <c r="E1521" s="9"/>
      <c r="F1521" s="9"/>
      <c r="G1521" s="9"/>
      <c r="H1521" s="9"/>
      <c r="I1521" s="9"/>
      <c r="J1521" s="10"/>
      <c r="K1521" s="10"/>
      <c r="L1521" s="10"/>
      <c r="M1521" s="10"/>
      <c r="N1521" s="11"/>
      <c r="O1521" s="11"/>
      <c r="P1521" s="11"/>
      <c r="Q1521" s="11"/>
      <c r="R1521" s="10"/>
      <c r="S1521" s="10"/>
      <c r="T1521" s="10"/>
      <c r="U1521" s="10"/>
    </row>
    <row r="1522">
      <c r="A1522" s="8"/>
      <c r="B1522" s="9"/>
      <c r="C1522" s="9"/>
      <c r="D1522" s="9"/>
      <c r="E1522" s="9"/>
      <c r="F1522" s="9"/>
      <c r="G1522" s="9"/>
      <c r="H1522" s="9"/>
      <c r="I1522" s="9"/>
      <c r="J1522" s="10"/>
      <c r="K1522" s="10"/>
      <c r="L1522" s="10"/>
      <c r="M1522" s="10"/>
      <c r="N1522" s="11"/>
      <c r="O1522" s="11"/>
      <c r="P1522" s="11"/>
      <c r="Q1522" s="11"/>
      <c r="R1522" s="10"/>
      <c r="S1522" s="10"/>
      <c r="T1522" s="10"/>
      <c r="U1522" s="10"/>
    </row>
    <row r="1523">
      <c r="A1523" s="8"/>
      <c r="B1523" s="9"/>
      <c r="C1523" s="9"/>
      <c r="D1523" s="9"/>
      <c r="E1523" s="9"/>
      <c r="F1523" s="9"/>
      <c r="G1523" s="9"/>
      <c r="H1523" s="9"/>
      <c r="I1523" s="9"/>
      <c r="J1523" s="10"/>
      <c r="K1523" s="10"/>
      <c r="L1523" s="10"/>
      <c r="M1523" s="10"/>
      <c r="N1523" s="11"/>
      <c r="O1523" s="11"/>
      <c r="P1523" s="11"/>
      <c r="Q1523" s="11"/>
      <c r="R1523" s="10"/>
      <c r="S1523" s="10"/>
      <c r="T1523" s="10"/>
      <c r="U1523" s="10"/>
    </row>
    <row r="1524">
      <c r="A1524" s="8"/>
      <c r="B1524" s="9"/>
      <c r="C1524" s="9"/>
      <c r="D1524" s="9"/>
      <c r="E1524" s="9"/>
      <c r="F1524" s="9"/>
      <c r="G1524" s="9"/>
      <c r="H1524" s="9"/>
      <c r="I1524" s="9"/>
      <c r="J1524" s="10"/>
      <c r="K1524" s="10"/>
      <c r="L1524" s="10"/>
      <c r="M1524" s="10"/>
      <c r="N1524" s="11"/>
      <c r="O1524" s="11"/>
      <c r="P1524" s="11"/>
      <c r="Q1524" s="11"/>
      <c r="R1524" s="10"/>
      <c r="S1524" s="10"/>
      <c r="T1524" s="10"/>
      <c r="U1524" s="10"/>
    </row>
    <row r="1525">
      <c r="A1525" s="8"/>
      <c r="B1525" s="9"/>
      <c r="C1525" s="9"/>
      <c r="D1525" s="9"/>
      <c r="E1525" s="9"/>
      <c r="F1525" s="9"/>
      <c r="G1525" s="9"/>
      <c r="H1525" s="9"/>
      <c r="I1525" s="9"/>
      <c r="J1525" s="10"/>
      <c r="K1525" s="10"/>
      <c r="L1525" s="10"/>
      <c r="M1525" s="10"/>
      <c r="N1525" s="11"/>
      <c r="O1525" s="11"/>
      <c r="P1525" s="11"/>
      <c r="Q1525" s="11"/>
      <c r="R1525" s="10"/>
      <c r="S1525" s="10"/>
      <c r="T1525" s="10"/>
      <c r="U1525" s="10"/>
    </row>
    <row r="1526">
      <c r="A1526" s="8"/>
      <c r="B1526" s="9"/>
      <c r="C1526" s="9"/>
      <c r="D1526" s="9"/>
      <c r="E1526" s="9"/>
      <c r="F1526" s="9"/>
      <c r="G1526" s="9"/>
      <c r="H1526" s="9"/>
      <c r="I1526" s="9"/>
      <c r="J1526" s="10"/>
      <c r="K1526" s="10"/>
      <c r="L1526" s="10"/>
      <c r="M1526" s="10"/>
      <c r="N1526" s="11"/>
      <c r="O1526" s="11"/>
      <c r="P1526" s="11"/>
      <c r="Q1526" s="11"/>
      <c r="R1526" s="10"/>
      <c r="S1526" s="10"/>
      <c r="T1526" s="10"/>
      <c r="U1526" s="10"/>
    </row>
    <row r="1527">
      <c r="A1527" s="8"/>
      <c r="B1527" s="9"/>
      <c r="C1527" s="9"/>
      <c r="D1527" s="9"/>
      <c r="E1527" s="9"/>
      <c r="F1527" s="9"/>
      <c r="G1527" s="9"/>
      <c r="H1527" s="9"/>
      <c r="I1527" s="9"/>
      <c r="J1527" s="10"/>
      <c r="K1527" s="10"/>
      <c r="L1527" s="10"/>
      <c r="M1527" s="10"/>
      <c r="N1527" s="11"/>
      <c r="O1527" s="11"/>
      <c r="P1527" s="11"/>
      <c r="Q1527" s="11"/>
      <c r="R1527" s="10"/>
      <c r="S1527" s="10"/>
      <c r="T1527" s="10"/>
      <c r="U1527" s="10"/>
    </row>
    <row r="1528">
      <c r="A1528" s="8"/>
      <c r="B1528" s="9"/>
      <c r="C1528" s="9"/>
      <c r="D1528" s="9"/>
      <c r="E1528" s="9"/>
      <c r="F1528" s="9"/>
      <c r="G1528" s="9"/>
      <c r="H1528" s="9"/>
      <c r="I1528" s="9"/>
      <c r="J1528" s="10"/>
      <c r="K1528" s="10"/>
      <c r="L1528" s="10"/>
      <c r="M1528" s="10"/>
      <c r="N1528" s="11"/>
      <c r="O1528" s="11"/>
      <c r="P1528" s="11"/>
      <c r="Q1528" s="11"/>
      <c r="R1528" s="10"/>
      <c r="S1528" s="10"/>
      <c r="T1528" s="10"/>
      <c r="U1528" s="10"/>
    </row>
    <row r="1529">
      <c r="A1529" s="8"/>
      <c r="B1529" s="9"/>
      <c r="C1529" s="9"/>
      <c r="D1529" s="9"/>
      <c r="E1529" s="9"/>
      <c r="F1529" s="9"/>
      <c r="G1529" s="9"/>
      <c r="H1529" s="9"/>
      <c r="I1529" s="9"/>
      <c r="J1529" s="10"/>
      <c r="K1529" s="10"/>
      <c r="L1529" s="10"/>
      <c r="M1529" s="10"/>
      <c r="N1529" s="11"/>
      <c r="O1529" s="11"/>
      <c r="P1529" s="11"/>
      <c r="Q1529" s="11"/>
      <c r="R1529" s="10"/>
      <c r="S1529" s="10"/>
      <c r="T1529" s="10"/>
      <c r="U1529" s="10"/>
    </row>
    <row r="1530">
      <c r="A1530" s="8"/>
      <c r="B1530" s="9"/>
      <c r="C1530" s="9"/>
      <c r="D1530" s="9"/>
      <c r="E1530" s="9"/>
      <c r="F1530" s="9"/>
      <c r="G1530" s="9"/>
      <c r="H1530" s="9"/>
      <c r="I1530" s="9"/>
      <c r="J1530" s="10"/>
      <c r="K1530" s="10"/>
      <c r="L1530" s="10"/>
      <c r="M1530" s="10"/>
      <c r="N1530" s="11"/>
      <c r="O1530" s="11"/>
      <c r="P1530" s="11"/>
      <c r="Q1530" s="11"/>
      <c r="R1530" s="10"/>
      <c r="S1530" s="10"/>
      <c r="T1530" s="10"/>
      <c r="U1530" s="10"/>
    </row>
    <row r="1531">
      <c r="A1531" s="8"/>
      <c r="B1531" s="9"/>
      <c r="C1531" s="9"/>
      <c r="D1531" s="9"/>
      <c r="E1531" s="9"/>
      <c r="F1531" s="9"/>
      <c r="G1531" s="9"/>
      <c r="H1531" s="9"/>
      <c r="I1531" s="9"/>
      <c r="J1531" s="10"/>
      <c r="K1531" s="10"/>
      <c r="L1531" s="10"/>
      <c r="M1531" s="10"/>
      <c r="N1531" s="11"/>
      <c r="O1531" s="11"/>
      <c r="P1531" s="11"/>
      <c r="Q1531" s="11"/>
      <c r="R1531" s="10"/>
      <c r="S1531" s="10"/>
      <c r="T1531" s="10"/>
      <c r="U1531" s="10"/>
    </row>
    <row r="1532">
      <c r="A1532" s="8"/>
      <c r="B1532" s="9"/>
      <c r="C1532" s="9"/>
      <c r="D1532" s="9"/>
      <c r="E1532" s="9"/>
      <c r="F1532" s="9"/>
      <c r="G1532" s="9"/>
      <c r="H1532" s="9"/>
      <c r="I1532" s="9"/>
      <c r="J1532" s="10"/>
      <c r="K1532" s="10"/>
      <c r="L1532" s="10"/>
      <c r="M1532" s="10"/>
      <c r="N1532" s="11"/>
      <c r="O1532" s="11"/>
      <c r="P1532" s="11"/>
      <c r="Q1532" s="11"/>
      <c r="R1532" s="10"/>
      <c r="S1532" s="10"/>
      <c r="T1532" s="10"/>
      <c r="U1532" s="10"/>
    </row>
    <row r="1533">
      <c r="A1533" s="8"/>
      <c r="B1533" s="9"/>
      <c r="C1533" s="9"/>
      <c r="D1533" s="9"/>
      <c r="E1533" s="9"/>
      <c r="F1533" s="9"/>
      <c r="G1533" s="9"/>
      <c r="H1533" s="9"/>
      <c r="I1533" s="9"/>
      <c r="J1533" s="10"/>
      <c r="K1533" s="10"/>
      <c r="L1533" s="10"/>
      <c r="M1533" s="10"/>
      <c r="N1533" s="11"/>
      <c r="O1533" s="11"/>
      <c r="P1533" s="11"/>
      <c r="Q1533" s="11"/>
      <c r="R1533" s="10"/>
      <c r="S1533" s="10"/>
      <c r="T1533" s="10"/>
      <c r="U1533" s="10"/>
    </row>
    <row r="1534">
      <c r="A1534" s="8"/>
      <c r="B1534" s="9"/>
      <c r="C1534" s="9"/>
      <c r="D1534" s="9"/>
      <c r="E1534" s="9"/>
      <c r="F1534" s="9"/>
      <c r="G1534" s="9"/>
      <c r="H1534" s="9"/>
      <c r="I1534" s="9"/>
      <c r="J1534" s="10"/>
      <c r="K1534" s="10"/>
      <c r="L1534" s="10"/>
      <c r="M1534" s="10"/>
      <c r="N1534" s="11"/>
      <c r="O1534" s="11"/>
      <c r="P1534" s="11"/>
      <c r="Q1534" s="11"/>
      <c r="R1534" s="10"/>
      <c r="S1534" s="10"/>
      <c r="T1534" s="10"/>
      <c r="U1534" s="10"/>
    </row>
    <row r="1535">
      <c r="A1535" s="8"/>
      <c r="B1535" s="9"/>
      <c r="C1535" s="9"/>
      <c r="D1535" s="9"/>
      <c r="E1535" s="9"/>
      <c r="F1535" s="9"/>
      <c r="G1535" s="9"/>
      <c r="H1535" s="9"/>
      <c r="I1535" s="9"/>
      <c r="J1535" s="10"/>
      <c r="K1535" s="10"/>
      <c r="L1535" s="10"/>
      <c r="M1535" s="10"/>
      <c r="N1535" s="11"/>
      <c r="O1535" s="11"/>
      <c r="P1535" s="11"/>
      <c r="Q1535" s="11"/>
      <c r="R1535" s="10"/>
      <c r="S1535" s="10"/>
      <c r="T1535" s="10"/>
      <c r="U1535" s="10"/>
    </row>
    <row r="1536">
      <c r="A1536" s="8"/>
      <c r="B1536" s="9"/>
      <c r="C1536" s="9"/>
      <c r="D1536" s="9"/>
      <c r="E1536" s="9"/>
      <c r="F1536" s="9"/>
      <c r="G1536" s="9"/>
      <c r="H1536" s="9"/>
      <c r="I1536" s="9"/>
      <c r="J1536" s="10"/>
      <c r="K1536" s="10"/>
      <c r="L1536" s="10"/>
      <c r="M1536" s="10"/>
      <c r="N1536" s="11"/>
      <c r="O1536" s="11"/>
      <c r="P1536" s="11"/>
      <c r="Q1536" s="11"/>
      <c r="R1536" s="10"/>
      <c r="S1536" s="10"/>
      <c r="T1536" s="10"/>
      <c r="U1536" s="10"/>
    </row>
    <row r="1537">
      <c r="A1537" s="8"/>
      <c r="B1537" s="9"/>
      <c r="C1537" s="9"/>
      <c r="D1537" s="9"/>
      <c r="E1537" s="9"/>
      <c r="F1537" s="9"/>
      <c r="G1537" s="9"/>
      <c r="H1537" s="9"/>
      <c r="I1537" s="9"/>
      <c r="J1537" s="10"/>
      <c r="K1537" s="10"/>
      <c r="L1537" s="10"/>
      <c r="M1537" s="10"/>
      <c r="N1537" s="11"/>
      <c r="O1537" s="11"/>
      <c r="P1537" s="11"/>
      <c r="Q1537" s="11"/>
      <c r="R1537" s="10"/>
      <c r="S1537" s="10"/>
      <c r="T1537" s="10"/>
      <c r="U1537" s="10"/>
    </row>
    <row r="1538">
      <c r="A1538" s="8"/>
      <c r="B1538" s="9"/>
      <c r="C1538" s="9"/>
      <c r="D1538" s="9"/>
      <c r="E1538" s="9"/>
      <c r="F1538" s="9"/>
      <c r="G1538" s="9"/>
      <c r="H1538" s="9"/>
      <c r="I1538" s="9"/>
      <c r="J1538" s="10"/>
      <c r="K1538" s="10"/>
      <c r="L1538" s="10"/>
      <c r="M1538" s="10"/>
      <c r="N1538" s="11"/>
      <c r="O1538" s="11"/>
      <c r="P1538" s="11"/>
      <c r="Q1538" s="11"/>
      <c r="R1538" s="10"/>
      <c r="S1538" s="10"/>
      <c r="T1538" s="10"/>
      <c r="U1538" s="10"/>
    </row>
    <row r="1539">
      <c r="A1539" s="8"/>
      <c r="B1539" s="9"/>
      <c r="C1539" s="9"/>
      <c r="D1539" s="9"/>
      <c r="E1539" s="9"/>
      <c r="F1539" s="9"/>
      <c r="G1539" s="9"/>
      <c r="H1539" s="9"/>
      <c r="I1539" s="9"/>
      <c r="J1539" s="10"/>
      <c r="K1539" s="10"/>
      <c r="L1539" s="10"/>
      <c r="M1539" s="10"/>
      <c r="N1539" s="11"/>
      <c r="O1539" s="11"/>
      <c r="P1539" s="11"/>
      <c r="Q1539" s="11"/>
      <c r="R1539" s="10"/>
      <c r="S1539" s="10"/>
      <c r="T1539" s="10"/>
      <c r="U1539" s="10"/>
    </row>
    <row r="1540">
      <c r="A1540" s="8"/>
      <c r="B1540" s="9"/>
      <c r="C1540" s="9"/>
      <c r="D1540" s="9"/>
      <c r="E1540" s="9"/>
      <c r="F1540" s="9"/>
      <c r="G1540" s="9"/>
      <c r="H1540" s="9"/>
      <c r="I1540" s="9"/>
      <c r="J1540" s="10"/>
      <c r="K1540" s="10"/>
      <c r="L1540" s="10"/>
      <c r="M1540" s="10"/>
      <c r="N1540" s="11"/>
      <c r="O1540" s="11"/>
      <c r="P1540" s="11"/>
      <c r="Q1540" s="11"/>
      <c r="R1540" s="10"/>
      <c r="S1540" s="10"/>
      <c r="T1540" s="10"/>
      <c r="U1540" s="10"/>
    </row>
    <row r="1541">
      <c r="A1541" s="8"/>
      <c r="B1541" s="9"/>
      <c r="C1541" s="9"/>
      <c r="D1541" s="9"/>
      <c r="E1541" s="9"/>
      <c r="F1541" s="9"/>
      <c r="G1541" s="9"/>
      <c r="H1541" s="9"/>
      <c r="I1541" s="9"/>
      <c r="J1541" s="10"/>
      <c r="K1541" s="10"/>
      <c r="L1541" s="10"/>
      <c r="M1541" s="10"/>
      <c r="N1541" s="11"/>
      <c r="O1541" s="11"/>
      <c r="P1541" s="11"/>
      <c r="Q1541" s="11"/>
      <c r="R1541" s="10"/>
      <c r="S1541" s="10"/>
      <c r="T1541" s="10"/>
      <c r="U1541" s="10"/>
    </row>
    <row r="1542">
      <c r="A1542" s="8"/>
      <c r="B1542" s="9"/>
      <c r="C1542" s="9"/>
      <c r="D1542" s="9"/>
      <c r="E1542" s="9"/>
      <c r="F1542" s="9"/>
      <c r="G1542" s="9"/>
      <c r="H1542" s="9"/>
      <c r="I1542" s="9"/>
      <c r="J1542" s="10"/>
      <c r="K1542" s="10"/>
      <c r="L1542" s="10"/>
      <c r="M1542" s="10"/>
      <c r="N1542" s="11"/>
      <c r="O1542" s="11"/>
      <c r="P1542" s="11"/>
      <c r="Q1542" s="11"/>
      <c r="R1542" s="10"/>
      <c r="S1542" s="10"/>
      <c r="T1542" s="10"/>
      <c r="U1542" s="10"/>
    </row>
    <row r="1543">
      <c r="A1543" s="8"/>
      <c r="B1543" s="9"/>
      <c r="C1543" s="9"/>
      <c r="D1543" s="9"/>
      <c r="E1543" s="9"/>
      <c r="F1543" s="9"/>
      <c r="G1543" s="9"/>
      <c r="H1543" s="9"/>
      <c r="I1543" s="9"/>
      <c r="J1543" s="10"/>
      <c r="K1543" s="10"/>
      <c r="L1543" s="10"/>
      <c r="M1543" s="10"/>
      <c r="N1543" s="11"/>
      <c r="O1543" s="11"/>
      <c r="P1543" s="11"/>
      <c r="Q1543" s="11"/>
      <c r="R1543" s="10"/>
      <c r="S1543" s="10"/>
      <c r="T1543" s="10"/>
      <c r="U1543" s="10"/>
    </row>
    <row r="1544">
      <c r="A1544" s="8"/>
      <c r="B1544" s="9"/>
      <c r="C1544" s="9"/>
      <c r="D1544" s="9"/>
      <c r="E1544" s="9"/>
      <c r="F1544" s="9"/>
      <c r="G1544" s="9"/>
      <c r="H1544" s="9"/>
      <c r="I1544" s="9"/>
      <c r="J1544" s="10"/>
      <c r="K1544" s="10"/>
      <c r="L1544" s="10"/>
      <c r="M1544" s="10"/>
      <c r="N1544" s="11"/>
      <c r="O1544" s="11"/>
      <c r="P1544" s="11"/>
      <c r="Q1544" s="11"/>
      <c r="R1544" s="10"/>
      <c r="S1544" s="10"/>
      <c r="T1544" s="10"/>
      <c r="U1544" s="10"/>
    </row>
    <row r="1545">
      <c r="A1545" s="8"/>
      <c r="B1545" s="9"/>
      <c r="C1545" s="9"/>
      <c r="D1545" s="9"/>
      <c r="E1545" s="9"/>
      <c r="F1545" s="9"/>
      <c r="G1545" s="9"/>
      <c r="H1545" s="9"/>
      <c r="I1545" s="9"/>
      <c r="J1545" s="10"/>
      <c r="K1545" s="10"/>
      <c r="L1545" s="10"/>
      <c r="M1545" s="10"/>
      <c r="N1545" s="11"/>
      <c r="O1545" s="11"/>
      <c r="P1545" s="11"/>
      <c r="Q1545" s="11"/>
      <c r="R1545" s="10"/>
      <c r="S1545" s="10"/>
      <c r="T1545" s="10"/>
      <c r="U1545" s="10"/>
    </row>
    <row r="1546">
      <c r="A1546" s="8"/>
      <c r="B1546" s="9"/>
      <c r="C1546" s="9"/>
      <c r="D1546" s="9"/>
      <c r="E1546" s="9"/>
      <c r="F1546" s="9"/>
      <c r="G1546" s="9"/>
      <c r="H1546" s="9"/>
      <c r="I1546" s="9"/>
      <c r="J1546" s="10"/>
      <c r="K1546" s="10"/>
      <c r="L1546" s="10"/>
      <c r="M1546" s="10"/>
      <c r="N1546" s="11"/>
      <c r="O1546" s="11"/>
      <c r="P1546" s="11"/>
      <c r="Q1546" s="11"/>
      <c r="R1546" s="10"/>
      <c r="S1546" s="10"/>
      <c r="T1546" s="10"/>
      <c r="U1546" s="10"/>
    </row>
    <row r="1547">
      <c r="A1547" s="8"/>
      <c r="B1547" s="9"/>
      <c r="C1547" s="9"/>
      <c r="D1547" s="9"/>
      <c r="E1547" s="9"/>
      <c r="F1547" s="9"/>
      <c r="G1547" s="9"/>
      <c r="H1547" s="9"/>
      <c r="I1547" s="9"/>
      <c r="J1547" s="10"/>
      <c r="K1547" s="10"/>
      <c r="L1547" s="10"/>
      <c r="M1547" s="10"/>
      <c r="N1547" s="11"/>
      <c r="O1547" s="11"/>
      <c r="P1547" s="11"/>
      <c r="Q1547" s="11"/>
      <c r="R1547" s="10"/>
      <c r="S1547" s="10"/>
      <c r="T1547" s="10"/>
      <c r="U1547" s="10"/>
    </row>
    <row r="1548">
      <c r="A1548" s="8"/>
      <c r="B1548" s="9"/>
      <c r="C1548" s="9"/>
      <c r="D1548" s="9"/>
      <c r="E1548" s="9"/>
      <c r="F1548" s="9"/>
      <c r="G1548" s="9"/>
      <c r="H1548" s="9"/>
      <c r="I1548" s="9"/>
      <c r="J1548" s="10"/>
      <c r="K1548" s="10"/>
      <c r="L1548" s="10"/>
      <c r="M1548" s="10"/>
      <c r="N1548" s="11"/>
      <c r="O1548" s="11"/>
      <c r="P1548" s="11"/>
      <c r="Q1548" s="11"/>
      <c r="R1548" s="10"/>
      <c r="S1548" s="10"/>
      <c r="T1548" s="10"/>
      <c r="U1548" s="10"/>
    </row>
    <row r="1549">
      <c r="A1549" s="8"/>
      <c r="B1549" s="9"/>
      <c r="C1549" s="9"/>
      <c r="D1549" s="9"/>
      <c r="E1549" s="9"/>
      <c r="F1549" s="9"/>
      <c r="G1549" s="9"/>
      <c r="H1549" s="9"/>
      <c r="I1549" s="9"/>
      <c r="J1549" s="10"/>
      <c r="K1549" s="10"/>
      <c r="L1549" s="10"/>
      <c r="M1549" s="10"/>
      <c r="N1549" s="11"/>
      <c r="O1549" s="11"/>
      <c r="P1549" s="11"/>
      <c r="Q1549" s="11"/>
      <c r="R1549" s="10"/>
      <c r="S1549" s="10"/>
      <c r="T1549" s="10"/>
      <c r="U1549" s="10"/>
    </row>
    <row r="1550">
      <c r="A1550" s="8"/>
      <c r="B1550" s="9"/>
      <c r="C1550" s="9"/>
      <c r="D1550" s="9"/>
      <c r="E1550" s="9"/>
      <c r="F1550" s="9"/>
      <c r="G1550" s="9"/>
      <c r="H1550" s="9"/>
      <c r="I1550" s="9"/>
      <c r="J1550" s="10"/>
      <c r="K1550" s="10"/>
      <c r="L1550" s="10"/>
      <c r="M1550" s="10"/>
      <c r="N1550" s="11"/>
      <c r="O1550" s="11"/>
      <c r="P1550" s="11"/>
      <c r="Q1550" s="11"/>
      <c r="R1550" s="10"/>
      <c r="S1550" s="10"/>
      <c r="T1550" s="10"/>
      <c r="U1550" s="10"/>
    </row>
    <row r="1551">
      <c r="A1551" s="8"/>
      <c r="B1551" s="9"/>
      <c r="C1551" s="9"/>
      <c r="D1551" s="9"/>
      <c r="E1551" s="9"/>
      <c r="F1551" s="9"/>
      <c r="G1551" s="9"/>
      <c r="H1551" s="9"/>
      <c r="I1551" s="9"/>
      <c r="J1551" s="10"/>
      <c r="K1551" s="10"/>
      <c r="L1551" s="10"/>
      <c r="M1551" s="10"/>
      <c r="N1551" s="11"/>
      <c r="O1551" s="11"/>
      <c r="P1551" s="11"/>
      <c r="Q1551" s="11"/>
      <c r="R1551" s="10"/>
      <c r="S1551" s="10"/>
      <c r="T1551" s="10"/>
      <c r="U1551" s="10"/>
    </row>
    <row r="1552">
      <c r="A1552" s="8"/>
      <c r="B1552" s="9"/>
      <c r="C1552" s="9"/>
      <c r="D1552" s="9"/>
      <c r="E1552" s="9"/>
      <c r="F1552" s="9"/>
      <c r="G1552" s="9"/>
      <c r="H1552" s="9"/>
      <c r="I1552" s="9"/>
      <c r="J1552" s="10"/>
      <c r="K1552" s="10"/>
      <c r="L1552" s="10"/>
      <c r="M1552" s="10"/>
      <c r="N1552" s="11"/>
      <c r="O1552" s="11"/>
      <c r="P1552" s="11"/>
      <c r="Q1552" s="11"/>
      <c r="R1552" s="10"/>
      <c r="S1552" s="10"/>
      <c r="T1552" s="10"/>
      <c r="U1552" s="10"/>
    </row>
    <row r="1553">
      <c r="A1553" s="8"/>
      <c r="B1553" s="9"/>
      <c r="C1553" s="9"/>
      <c r="D1553" s="9"/>
      <c r="E1553" s="9"/>
      <c r="F1553" s="9"/>
      <c r="G1553" s="9"/>
      <c r="H1553" s="9"/>
      <c r="I1553" s="9"/>
      <c r="J1553" s="10"/>
      <c r="K1553" s="10"/>
      <c r="L1553" s="10"/>
      <c r="M1553" s="10"/>
      <c r="N1553" s="11"/>
      <c r="O1553" s="11"/>
      <c r="P1553" s="11"/>
      <c r="Q1553" s="11"/>
      <c r="R1553" s="10"/>
      <c r="S1553" s="10"/>
      <c r="T1553" s="10"/>
      <c r="U1553" s="10"/>
    </row>
    <row r="1554">
      <c r="A1554" s="8"/>
      <c r="B1554" s="9"/>
      <c r="C1554" s="9"/>
      <c r="D1554" s="9"/>
      <c r="E1554" s="9"/>
      <c r="F1554" s="9"/>
      <c r="G1554" s="9"/>
      <c r="H1554" s="9"/>
      <c r="I1554" s="9"/>
      <c r="J1554" s="10"/>
      <c r="K1554" s="10"/>
      <c r="L1554" s="10"/>
      <c r="M1554" s="10"/>
      <c r="N1554" s="11"/>
      <c r="O1554" s="11"/>
      <c r="P1554" s="11"/>
      <c r="Q1554" s="11"/>
      <c r="R1554" s="10"/>
      <c r="S1554" s="10"/>
      <c r="T1554" s="10"/>
      <c r="U1554" s="10"/>
    </row>
    <row r="1555">
      <c r="A1555" s="8"/>
      <c r="B1555" s="9"/>
      <c r="C1555" s="9"/>
      <c r="D1555" s="9"/>
      <c r="E1555" s="9"/>
      <c r="F1555" s="9"/>
      <c r="G1555" s="9"/>
      <c r="H1555" s="9"/>
      <c r="I1555" s="9"/>
      <c r="J1555" s="10"/>
      <c r="K1555" s="10"/>
      <c r="L1555" s="10"/>
      <c r="M1555" s="10"/>
      <c r="N1555" s="11"/>
      <c r="O1555" s="11"/>
      <c r="P1555" s="11"/>
      <c r="Q1555" s="11"/>
      <c r="R1555" s="10"/>
      <c r="S1555" s="10"/>
      <c r="T1555" s="10"/>
      <c r="U1555" s="10"/>
    </row>
    <row r="1556">
      <c r="A1556" s="8"/>
      <c r="B1556" s="9"/>
      <c r="C1556" s="9"/>
      <c r="D1556" s="9"/>
      <c r="E1556" s="9"/>
      <c r="F1556" s="9"/>
      <c r="G1556" s="9"/>
      <c r="H1556" s="9"/>
      <c r="I1556" s="9"/>
      <c r="J1556" s="10"/>
      <c r="K1556" s="10"/>
      <c r="L1556" s="10"/>
      <c r="M1556" s="10"/>
      <c r="N1556" s="11"/>
      <c r="O1556" s="11"/>
      <c r="P1556" s="11"/>
      <c r="Q1556" s="11"/>
      <c r="R1556" s="10"/>
      <c r="S1556" s="10"/>
      <c r="T1556" s="10"/>
      <c r="U1556" s="10"/>
    </row>
    <row r="1557">
      <c r="A1557" s="8"/>
      <c r="B1557" s="9"/>
      <c r="C1557" s="9"/>
      <c r="D1557" s="9"/>
      <c r="E1557" s="9"/>
      <c r="F1557" s="9"/>
      <c r="G1557" s="9"/>
      <c r="H1557" s="9"/>
      <c r="I1557" s="9"/>
      <c r="J1557" s="10"/>
      <c r="K1557" s="10"/>
      <c r="L1557" s="10"/>
      <c r="M1557" s="10"/>
      <c r="N1557" s="11"/>
      <c r="O1557" s="11"/>
      <c r="P1557" s="11"/>
      <c r="Q1557" s="11"/>
      <c r="R1557" s="10"/>
      <c r="S1557" s="10"/>
      <c r="T1557" s="10"/>
      <c r="U1557" s="10"/>
    </row>
    <row r="1558">
      <c r="A1558" s="8"/>
      <c r="B1558" s="9"/>
      <c r="C1558" s="9"/>
      <c r="D1558" s="9"/>
      <c r="E1558" s="9"/>
      <c r="F1558" s="9"/>
      <c r="G1558" s="9"/>
      <c r="H1558" s="9"/>
      <c r="I1558" s="9"/>
      <c r="J1558" s="10"/>
      <c r="K1558" s="10"/>
      <c r="L1558" s="10"/>
      <c r="M1558" s="10"/>
      <c r="N1558" s="11"/>
      <c r="O1558" s="11"/>
      <c r="P1558" s="11"/>
      <c r="Q1558" s="11"/>
      <c r="R1558" s="10"/>
      <c r="S1558" s="10"/>
      <c r="T1558" s="10"/>
      <c r="U1558" s="10"/>
    </row>
    <row r="1559">
      <c r="A1559" s="8"/>
      <c r="B1559" s="9"/>
      <c r="C1559" s="9"/>
      <c r="D1559" s="9"/>
      <c r="E1559" s="9"/>
      <c r="F1559" s="9"/>
      <c r="G1559" s="9"/>
      <c r="H1559" s="9"/>
      <c r="I1559" s="9"/>
      <c r="J1559" s="10"/>
      <c r="K1559" s="10"/>
      <c r="L1559" s="10"/>
      <c r="M1559" s="10"/>
      <c r="N1559" s="11"/>
      <c r="O1559" s="11"/>
      <c r="P1559" s="11"/>
      <c r="Q1559" s="11"/>
      <c r="R1559" s="10"/>
      <c r="S1559" s="10"/>
      <c r="T1559" s="10"/>
      <c r="U1559" s="10"/>
    </row>
    <row r="1560">
      <c r="A1560" s="8"/>
      <c r="B1560" s="9"/>
      <c r="C1560" s="9"/>
      <c r="D1560" s="9"/>
      <c r="E1560" s="9"/>
      <c r="F1560" s="9"/>
      <c r="G1560" s="9"/>
      <c r="H1560" s="9"/>
      <c r="I1560" s="9"/>
      <c r="J1560" s="10"/>
      <c r="K1560" s="10"/>
      <c r="L1560" s="10"/>
      <c r="M1560" s="10"/>
      <c r="N1560" s="11"/>
      <c r="O1560" s="11"/>
      <c r="P1560" s="11"/>
      <c r="Q1560" s="11"/>
      <c r="R1560" s="10"/>
      <c r="S1560" s="10"/>
      <c r="T1560" s="10"/>
      <c r="U1560" s="10"/>
    </row>
    <row r="1561">
      <c r="A1561" s="8"/>
      <c r="B1561" s="9"/>
      <c r="C1561" s="9"/>
      <c r="D1561" s="9"/>
      <c r="E1561" s="9"/>
      <c r="F1561" s="9"/>
      <c r="G1561" s="9"/>
      <c r="H1561" s="9"/>
      <c r="I1561" s="9"/>
      <c r="J1561" s="10"/>
      <c r="K1561" s="10"/>
      <c r="L1561" s="10"/>
      <c r="M1561" s="10"/>
      <c r="N1561" s="11"/>
      <c r="O1561" s="11"/>
      <c r="P1561" s="11"/>
      <c r="Q1561" s="11"/>
      <c r="R1561" s="10"/>
      <c r="S1561" s="10"/>
      <c r="T1561" s="10"/>
      <c r="U1561" s="10"/>
    </row>
    <row r="1562">
      <c r="A1562" s="8"/>
      <c r="B1562" s="9"/>
      <c r="C1562" s="9"/>
      <c r="D1562" s="9"/>
      <c r="E1562" s="9"/>
      <c r="F1562" s="9"/>
      <c r="G1562" s="9"/>
      <c r="H1562" s="9"/>
      <c r="I1562" s="9"/>
      <c r="J1562" s="10"/>
      <c r="K1562" s="10"/>
      <c r="L1562" s="10"/>
      <c r="M1562" s="10"/>
      <c r="N1562" s="11"/>
      <c r="O1562" s="11"/>
      <c r="P1562" s="11"/>
      <c r="Q1562" s="11"/>
      <c r="R1562" s="10"/>
      <c r="S1562" s="10"/>
      <c r="T1562" s="10"/>
      <c r="U1562" s="10"/>
    </row>
    <row r="1563">
      <c r="A1563" s="8"/>
      <c r="B1563" s="9"/>
      <c r="C1563" s="9"/>
      <c r="D1563" s="9"/>
      <c r="E1563" s="9"/>
      <c r="F1563" s="9"/>
      <c r="G1563" s="9"/>
      <c r="H1563" s="9"/>
      <c r="I1563" s="9"/>
      <c r="J1563" s="10"/>
      <c r="K1563" s="10"/>
      <c r="L1563" s="10"/>
      <c r="M1563" s="10"/>
      <c r="N1563" s="11"/>
      <c r="O1563" s="11"/>
      <c r="P1563" s="11"/>
      <c r="Q1563" s="11"/>
      <c r="R1563" s="10"/>
      <c r="S1563" s="10"/>
      <c r="T1563" s="10"/>
      <c r="U1563" s="10"/>
    </row>
    <row r="1564">
      <c r="A1564" s="8"/>
      <c r="B1564" s="9"/>
      <c r="C1564" s="9"/>
      <c r="D1564" s="9"/>
      <c r="E1564" s="9"/>
      <c r="F1564" s="9"/>
      <c r="G1564" s="9"/>
      <c r="H1564" s="9"/>
      <c r="I1564" s="9"/>
      <c r="J1564" s="10"/>
      <c r="K1564" s="10"/>
      <c r="L1564" s="10"/>
      <c r="M1564" s="10"/>
      <c r="N1564" s="11"/>
      <c r="O1564" s="11"/>
      <c r="P1564" s="11"/>
      <c r="Q1564" s="11"/>
      <c r="R1564" s="10"/>
      <c r="S1564" s="10"/>
      <c r="T1564" s="10"/>
      <c r="U1564" s="10"/>
    </row>
    <row r="1565">
      <c r="A1565" s="8"/>
      <c r="B1565" s="9"/>
      <c r="C1565" s="9"/>
      <c r="D1565" s="9"/>
      <c r="E1565" s="9"/>
      <c r="F1565" s="9"/>
      <c r="G1565" s="9"/>
      <c r="H1565" s="9"/>
      <c r="I1565" s="9"/>
      <c r="J1565" s="10"/>
      <c r="K1565" s="10"/>
      <c r="L1565" s="10"/>
      <c r="M1565" s="10"/>
      <c r="N1565" s="11"/>
      <c r="O1565" s="11"/>
      <c r="P1565" s="11"/>
      <c r="Q1565" s="11"/>
      <c r="R1565" s="10"/>
      <c r="S1565" s="10"/>
      <c r="T1565" s="10"/>
      <c r="U1565" s="10"/>
    </row>
    <row r="1566">
      <c r="A1566" s="8"/>
      <c r="B1566" s="9"/>
      <c r="C1566" s="9"/>
      <c r="D1566" s="9"/>
      <c r="E1566" s="9"/>
      <c r="F1566" s="9"/>
      <c r="G1566" s="9"/>
      <c r="H1566" s="9"/>
      <c r="I1566" s="9"/>
      <c r="J1566" s="10"/>
      <c r="K1566" s="10"/>
      <c r="L1566" s="10"/>
      <c r="M1566" s="10"/>
      <c r="N1566" s="11"/>
      <c r="O1566" s="11"/>
      <c r="P1566" s="11"/>
      <c r="Q1566" s="11"/>
      <c r="R1566" s="10"/>
      <c r="S1566" s="10"/>
      <c r="T1566" s="10"/>
      <c r="U1566" s="10"/>
    </row>
    <row r="1567">
      <c r="A1567" s="8"/>
      <c r="B1567" s="9"/>
      <c r="C1567" s="9"/>
      <c r="D1567" s="9"/>
      <c r="E1567" s="9"/>
      <c r="F1567" s="9"/>
      <c r="G1567" s="9"/>
      <c r="H1567" s="9"/>
      <c r="I1567" s="9"/>
      <c r="J1567" s="10"/>
      <c r="K1567" s="10"/>
      <c r="L1567" s="10"/>
      <c r="M1567" s="10"/>
      <c r="N1567" s="11"/>
      <c r="O1567" s="11"/>
      <c r="P1567" s="11"/>
      <c r="Q1567" s="11"/>
      <c r="R1567" s="10"/>
      <c r="S1567" s="10"/>
      <c r="T1567" s="10"/>
      <c r="U1567" s="10"/>
    </row>
    <row r="1568">
      <c r="A1568" s="8"/>
      <c r="B1568" s="9"/>
      <c r="C1568" s="9"/>
      <c r="D1568" s="9"/>
      <c r="E1568" s="9"/>
      <c r="F1568" s="9"/>
      <c r="G1568" s="9"/>
      <c r="H1568" s="9"/>
      <c r="I1568" s="9"/>
      <c r="J1568" s="10"/>
      <c r="K1568" s="10"/>
      <c r="L1568" s="10"/>
      <c r="M1568" s="10"/>
      <c r="N1568" s="11"/>
      <c r="O1568" s="11"/>
      <c r="P1568" s="11"/>
      <c r="Q1568" s="11"/>
      <c r="R1568" s="10"/>
      <c r="S1568" s="10"/>
      <c r="T1568" s="10"/>
      <c r="U1568" s="10"/>
    </row>
    <row r="1569">
      <c r="A1569" s="8"/>
      <c r="B1569" s="9"/>
      <c r="C1569" s="9"/>
      <c r="D1569" s="9"/>
      <c r="E1569" s="9"/>
      <c r="F1569" s="9"/>
      <c r="G1569" s="9"/>
      <c r="H1569" s="9"/>
      <c r="I1569" s="9"/>
      <c r="J1569" s="10"/>
      <c r="K1569" s="10"/>
      <c r="L1569" s="10"/>
      <c r="M1569" s="10"/>
      <c r="N1569" s="11"/>
      <c r="O1569" s="11"/>
      <c r="P1569" s="11"/>
      <c r="Q1569" s="11"/>
      <c r="R1569" s="10"/>
      <c r="S1569" s="10"/>
      <c r="T1569" s="10"/>
      <c r="U1569" s="10"/>
    </row>
    <row r="1570">
      <c r="A1570" s="8"/>
      <c r="B1570" s="9"/>
      <c r="C1570" s="9"/>
      <c r="D1570" s="9"/>
      <c r="E1570" s="9"/>
      <c r="F1570" s="9"/>
      <c r="G1570" s="9"/>
      <c r="H1570" s="9"/>
      <c r="I1570" s="9"/>
      <c r="J1570" s="10"/>
      <c r="K1570" s="10"/>
      <c r="L1570" s="10"/>
      <c r="M1570" s="10"/>
      <c r="N1570" s="11"/>
      <c r="O1570" s="11"/>
      <c r="P1570" s="11"/>
      <c r="Q1570" s="11"/>
      <c r="R1570" s="10"/>
      <c r="S1570" s="10"/>
      <c r="T1570" s="10"/>
      <c r="U1570" s="10"/>
    </row>
    <row r="1571">
      <c r="A1571" s="8"/>
      <c r="B1571" s="9"/>
      <c r="C1571" s="9"/>
      <c r="D1571" s="9"/>
      <c r="E1571" s="9"/>
      <c r="F1571" s="9"/>
      <c r="G1571" s="9"/>
      <c r="H1571" s="9"/>
      <c r="I1571" s="9"/>
      <c r="J1571" s="10"/>
      <c r="K1571" s="10"/>
      <c r="L1571" s="10"/>
      <c r="M1571" s="10"/>
      <c r="N1571" s="11"/>
      <c r="O1571" s="11"/>
      <c r="P1571" s="11"/>
      <c r="Q1571" s="11"/>
      <c r="R1571" s="10"/>
      <c r="S1571" s="10"/>
      <c r="T1571" s="10"/>
      <c r="U1571" s="10"/>
    </row>
    <row r="1572">
      <c r="A1572" s="8"/>
      <c r="B1572" s="9"/>
      <c r="C1572" s="9"/>
      <c r="D1572" s="9"/>
      <c r="E1572" s="9"/>
      <c r="F1572" s="9"/>
      <c r="G1572" s="9"/>
      <c r="H1572" s="9"/>
      <c r="I1572" s="9"/>
      <c r="J1572" s="10"/>
      <c r="K1572" s="10"/>
      <c r="L1572" s="10"/>
      <c r="M1572" s="10"/>
      <c r="N1572" s="11"/>
      <c r="O1572" s="11"/>
      <c r="P1572" s="11"/>
      <c r="Q1572" s="11"/>
      <c r="R1572" s="10"/>
      <c r="S1572" s="10"/>
      <c r="T1572" s="10"/>
      <c r="U1572" s="10"/>
    </row>
    <row r="1573">
      <c r="A1573" s="8"/>
      <c r="B1573" s="9"/>
      <c r="C1573" s="9"/>
      <c r="D1573" s="9"/>
      <c r="E1573" s="9"/>
      <c r="F1573" s="9"/>
      <c r="G1573" s="9"/>
      <c r="H1573" s="9"/>
      <c r="I1573" s="9"/>
      <c r="J1573" s="10"/>
      <c r="K1573" s="10"/>
      <c r="L1573" s="10"/>
      <c r="M1573" s="10"/>
      <c r="N1573" s="11"/>
      <c r="O1573" s="11"/>
      <c r="P1573" s="11"/>
      <c r="Q1573" s="11"/>
      <c r="R1573" s="10"/>
      <c r="S1573" s="10"/>
      <c r="T1573" s="10"/>
      <c r="U1573" s="10"/>
    </row>
    <row r="1574">
      <c r="A1574" s="8"/>
      <c r="B1574" s="9"/>
      <c r="C1574" s="9"/>
      <c r="D1574" s="9"/>
      <c r="E1574" s="9"/>
      <c r="F1574" s="9"/>
      <c r="G1574" s="9"/>
      <c r="H1574" s="9"/>
      <c r="I1574" s="9"/>
      <c r="J1574" s="10"/>
      <c r="K1574" s="10"/>
      <c r="L1574" s="10"/>
      <c r="M1574" s="10"/>
      <c r="N1574" s="11"/>
      <c r="O1574" s="11"/>
      <c r="P1574" s="11"/>
      <c r="Q1574" s="11"/>
      <c r="R1574" s="10"/>
      <c r="S1574" s="10"/>
      <c r="T1574" s="10"/>
      <c r="U1574" s="10"/>
    </row>
    <row r="1575">
      <c r="A1575" s="8"/>
      <c r="B1575" s="9"/>
      <c r="C1575" s="9"/>
      <c r="D1575" s="9"/>
      <c r="E1575" s="9"/>
      <c r="F1575" s="9"/>
      <c r="G1575" s="9"/>
      <c r="H1575" s="9"/>
      <c r="I1575" s="9"/>
      <c r="J1575" s="10"/>
      <c r="K1575" s="10"/>
      <c r="L1575" s="10"/>
      <c r="M1575" s="10"/>
      <c r="N1575" s="11"/>
      <c r="O1575" s="11"/>
      <c r="P1575" s="11"/>
      <c r="Q1575" s="11"/>
      <c r="R1575" s="10"/>
      <c r="S1575" s="10"/>
      <c r="T1575" s="10"/>
      <c r="U1575" s="10"/>
    </row>
    <row r="1576">
      <c r="A1576" s="8"/>
      <c r="B1576" s="9"/>
      <c r="C1576" s="9"/>
      <c r="D1576" s="9"/>
      <c r="E1576" s="9"/>
      <c r="F1576" s="9"/>
      <c r="G1576" s="9"/>
      <c r="H1576" s="9"/>
      <c r="I1576" s="9"/>
      <c r="J1576" s="10"/>
      <c r="K1576" s="10"/>
      <c r="L1576" s="10"/>
      <c r="M1576" s="10"/>
      <c r="N1576" s="11"/>
      <c r="O1576" s="11"/>
      <c r="P1576" s="11"/>
      <c r="Q1576" s="11"/>
      <c r="R1576" s="10"/>
      <c r="S1576" s="10"/>
      <c r="T1576" s="10"/>
      <c r="U1576" s="10"/>
    </row>
    <row r="1577">
      <c r="A1577" s="8"/>
      <c r="B1577" s="9"/>
      <c r="C1577" s="9"/>
      <c r="D1577" s="9"/>
      <c r="E1577" s="9"/>
      <c r="F1577" s="9"/>
      <c r="G1577" s="9"/>
      <c r="H1577" s="9"/>
      <c r="I1577" s="9"/>
      <c r="J1577" s="10"/>
      <c r="K1577" s="10"/>
      <c r="L1577" s="10"/>
      <c r="M1577" s="10"/>
      <c r="N1577" s="11"/>
      <c r="O1577" s="11"/>
      <c r="P1577" s="11"/>
      <c r="Q1577" s="11"/>
      <c r="R1577" s="10"/>
      <c r="S1577" s="10"/>
      <c r="T1577" s="10"/>
      <c r="U1577" s="10"/>
    </row>
    <row r="1578">
      <c r="A1578" s="8"/>
      <c r="B1578" s="9"/>
      <c r="C1578" s="9"/>
      <c r="D1578" s="9"/>
      <c r="E1578" s="9"/>
      <c r="F1578" s="9"/>
      <c r="G1578" s="9"/>
      <c r="H1578" s="9"/>
      <c r="I1578" s="9"/>
      <c r="J1578" s="10"/>
      <c r="K1578" s="10"/>
      <c r="L1578" s="10"/>
      <c r="M1578" s="10"/>
      <c r="N1578" s="11"/>
      <c r="O1578" s="11"/>
      <c r="P1578" s="11"/>
      <c r="Q1578" s="11"/>
      <c r="R1578" s="10"/>
      <c r="S1578" s="10"/>
      <c r="T1578" s="10"/>
      <c r="U1578" s="10"/>
    </row>
    <row r="1579">
      <c r="A1579" s="8"/>
      <c r="B1579" s="9"/>
      <c r="C1579" s="9"/>
      <c r="D1579" s="9"/>
      <c r="E1579" s="9"/>
      <c r="F1579" s="9"/>
      <c r="G1579" s="9"/>
      <c r="H1579" s="9"/>
      <c r="I1579" s="9"/>
      <c r="J1579" s="10"/>
      <c r="K1579" s="10"/>
      <c r="L1579" s="10"/>
      <c r="M1579" s="10"/>
      <c r="N1579" s="11"/>
      <c r="O1579" s="11"/>
      <c r="P1579" s="11"/>
      <c r="Q1579" s="11"/>
      <c r="R1579" s="10"/>
      <c r="S1579" s="10"/>
      <c r="T1579" s="10"/>
      <c r="U1579" s="10"/>
    </row>
    <row r="1580">
      <c r="A1580" s="8"/>
      <c r="B1580" s="9"/>
      <c r="C1580" s="9"/>
      <c r="D1580" s="9"/>
      <c r="E1580" s="9"/>
      <c r="F1580" s="9"/>
      <c r="G1580" s="9"/>
      <c r="H1580" s="9"/>
      <c r="I1580" s="9"/>
      <c r="J1580" s="10"/>
      <c r="K1580" s="10"/>
      <c r="L1580" s="10"/>
      <c r="M1580" s="10"/>
      <c r="N1580" s="11"/>
      <c r="O1580" s="11"/>
      <c r="P1580" s="11"/>
      <c r="Q1580" s="11"/>
      <c r="R1580" s="10"/>
      <c r="S1580" s="10"/>
      <c r="T1580" s="10"/>
      <c r="U1580" s="10"/>
    </row>
    <row r="1581">
      <c r="A1581" s="8"/>
      <c r="B1581" s="9"/>
      <c r="C1581" s="9"/>
      <c r="D1581" s="9"/>
      <c r="E1581" s="9"/>
      <c r="F1581" s="9"/>
      <c r="G1581" s="9"/>
      <c r="H1581" s="9"/>
      <c r="I1581" s="9"/>
      <c r="J1581" s="10"/>
      <c r="K1581" s="10"/>
      <c r="L1581" s="10"/>
      <c r="M1581" s="10"/>
      <c r="N1581" s="11"/>
      <c r="O1581" s="11"/>
      <c r="P1581" s="11"/>
      <c r="Q1581" s="11"/>
      <c r="R1581" s="10"/>
      <c r="S1581" s="10"/>
      <c r="T1581" s="10"/>
      <c r="U1581" s="10"/>
    </row>
    <row r="1582">
      <c r="A1582" s="8"/>
      <c r="B1582" s="9"/>
      <c r="C1582" s="9"/>
      <c r="D1582" s="9"/>
      <c r="E1582" s="9"/>
      <c r="F1582" s="9"/>
      <c r="G1582" s="9"/>
      <c r="H1582" s="9"/>
      <c r="I1582" s="9"/>
      <c r="J1582" s="10"/>
      <c r="K1582" s="10"/>
      <c r="L1582" s="10"/>
      <c r="M1582" s="10"/>
      <c r="N1582" s="11"/>
      <c r="O1582" s="11"/>
      <c r="P1582" s="11"/>
      <c r="Q1582" s="11"/>
      <c r="R1582" s="10"/>
      <c r="S1582" s="10"/>
      <c r="T1582" s="10"/>
      <c r="U1582" s="10"/>
    </row>
    <row r="1583">
      <c r="A1583" s="8"/>
      <c r="B1583" s="9"/>
      <c r="C1583" s="9"/>
      <c r="D1583" s="9"/>
      <c r="E1583" s="9"/>
      <c r="F1583" s="9"/>
      <c r="G1583" s="9"/>
      <c r="H1583" s="9"/>
      <c r="I1583" s="9"/>
      <c r="J1583" s="10"/>
      <c r="K1583" s="10"/>
      <c r="L1583" s="10"/>
      <c r="M1583" s="10"/>
      <c r="N1583" s="11"/>
      <c r="O1583" s="11"/>
      <c r="P1583" s="11"/>
      <c r="Q1583" s="11"/>
      <c r="R1583" s="10"/>
      <c r="S1583" s="10"/>
      <c r="T1583" s="10"/>
      <c r="U1583" s="10"/>
    </row>
    <row r="1584">
      <c r="A1584" s="8"/>
      <c r="B1584" s="9"/>
      <c r="C1584" s="9"/>
      <c r="D1584" s="9"/>
      <c r="E1584" s="9"/>
      <c r="F1584" s="9"/>
      <c r="G1584" s="9"/>
      <c r="H1584" s="9"/>
      <c r="I1584" s="9"/>
      <c r="J1584" s="10"/>
      <c r="K1584" s="10"/>
      <c r="L1584" s="10"/>
      <c r="M1584" s="10"/>
      <c r="N1584" s="11"/>
      <c r="O1584" s="11"/>
      <c r="P1584" s="11"/>
      <c r="Q1584" s="11"/>
      <c r="R1584" s="10"/>
      <c r="S1584" s="10"/>
      <c r="T1584" s="10"/>
      <c r="U1584" s="10"/>
    </row>
    <row r="1585">
      <c r="A1585" s="8"/>
      <c r="B1585" s="9"/>
      <c r="C1585" s="9"/>
      <c r="D1585" s="9"/>
      <c r="E1585" s="9"/>
      <c r="F1585" s="9"/>
      <c r="G1585" s="9"/>
      <c r="H1585" s="9"/>
      <c r="I1585" s="9"/>
      <c r="J1585" s="10"/>
      <c r="K1585" s="10"/>
      <c r="L1585" s="10"/>
      <c r="M1585" s="10"/>
      <c r="N1585" s="11"/>
      <c r="O1585" s="11"/>
      <c r="P1585" s="11"/>
      <c r="Q1585" s="11"/>
      <c r="R1585" s="10"/>
      <c r="S1585" s="10"/>
      <c r="T1585" s="10"/>
      <c r="U1585" s="10"/>
    </row>
    <row r="1586">
      <c r="A1586" s="8"/>
      <c r="B1586" s="9"/>
      <c r="C1586" s="9"/>
      <c r="D1586" s="9"/>
      <c r="E1586" s="9"/>
      <c r="F1586" s="9"/>
      <c r="G1586" s="9"/>
      <c r="H1586" s="9"/>
      <c r="I1586" s="9"/>
      <c r="J1586" s="10"/>
      <c r="K1586" s="10"/>
      <c r="L1586" s="10"/>
      <c r="M1586" s="10"/>
      <c r="N1586" s="11"/>
      <c r="O1586" s="11"/>
      <c r="P1586" s="11"/>
      <c r="Q1586" s="11"/>
      <c r="R1586" s="10"/>
      <c r="S1586" s="10"/>
      <c r="T1586" s="10"/>
      <c r="U1586" s="10"/>
    </row>
    <row r="1587">
      <c r="A1587" s="8"/>
      <c r="B1587" s="9"/>
      <c r="C1587" s="9"/>
      <c r="D1587" s="9"/>
      <c r="E1587" s="9"/>
      <c r="F1587" s="9"/>
      <c r="G1587" s="9"/>
      <c r="H1587" s="9"/>
      <c r="I1587" s="9"/>
      <c r="J1587" s="10"/>
      <c r="K1587" s="10"/>
      <c r="L1587" s="10"/>
      <c r="M1587" s="10"/>
      <c r="N1587" s="11"/>
      <c r="O1587" s="11"/>
      <c r="P1587" s="11"/>
      <c r="Q1587" s="11"/>
      <c r="R1587" s="10"/>
      <c r="S1587" s="10"/>
      <c r="T1587" s="10"/>
      <c r="U1587" s="10"/>
    </row>
    <row r="1588">
      <c r="A1588" s="8"/>
      <c r="B1588" s="9"/>
      <c r="C1588" s="9"/>
      <c r="D1588" s="9"/>
      <c r="E1588" s="9"/>
      <c r="F1588" s="9"/>
      <c r="G1588" s="9"/>
      <c r="H1588" s="9"/>
      <c r="I1588" s="9"/>
      <c r="J1588" s="10"/>
      <c r="K1588" s="10"/>
      <c r="L1588" s="10"/>
      <c r="M1588" s="10"/>
      <c r="N1588" s="11"/>
      <c r="O1588" s="11"/>
      <c r="P1588" s="11"/>
      <c r="Q1588" s="11"/>
      <c r="R1588" s="10"/>
      <c r="S1588" s="10"/>
      <c r="T1588" s="10"/>
      <c r="U1588" s="10"/>
    </row>
    <row r="1589">
      <c r="A1589" s="8"/>
      <c r="B1589" s="9"/>
      <c r="C1589" s="9"/>
      <c r="D1589" s="9"/>
      <c r="E1589" s="9"/>
      <c r="F1589" s="9"/>
      <c r="G1589" s="9"/>
      <c r="H1589" s="9"/>
      <c r="I1589" s="9"/>
      <c r="J1589" s="10"/>
      <c r="K1589" s="10"/>
      <c r="L1589" s="10"/>
      <c r="M1589" s="10"/>
      <c r="N1589" s="11"/>
      <c r="O1589" s="11"/>
      <c r="P1589" s="11"/>
      <c r="Q1589" s="11"/>
      <c r="R1589" s="10"/>
      <c r="S1589" s="10"/>
      <c r="T1589" s="10"/>
      <c r="U1589" s="10"/>
    </row>
    <row r="1590">
      <c r="A1590" s="8"/>
      <c r="B1590" s="9"/>
      <c r="C1590" s="9"/>
      <c r="D1590" s="9"/>
      <c r="E1590" s="9"/>
      <c r="F1590" s="9"/>
      <c r="G1590" s="9"/>
      <c r="H1590" s="9"/>
      <c r="I1590" s="9"/>
      <c r="J1590" s="10"/>
      <c r="K1590" s="10"/>
      <c r="L1590" s="10"/>
      <c r="M1590" s="10"/>
      <c r="N1590" s="11"/>
      <c r="O1590" s="11"/>
      <c r="P1590" s="11"/>
      <c r="Q1590" s="11"/>
      <c r="R1590" s="10"/>
      <c r="S1590" s="10"/>
      <c r="T1590" s="10"/>
      <c r="U1590" s="10"/>
    </row>
    <row r="1591">
      <c r="A1591" s="8"/>
      <c r="B1591" s="9"/>
      <c r="C1591" s="9"/>
      <c r="D1591" s="9"/>
      <c r="E1591" s="9"/>
      <c r="F1591" s="9"/>
      <c r="G1591" s="9"/>
      <c r="H1591" s="9"/>
      <c r="I1591" s="9"/>
      <c r="J1591" s="10"/>
      <c r="K1591" s="10"/>
      <c r="L1591" s="10"/>
      <c r="M1591" s="10"/>
      <c r="N1591" s="11"/>
      <c r="O1591" s="11"/>
      <c r="P1591" s="11"/>
      <c r="Q1591" s="11"/>
      <c r="R1591" s="10"/>
      <c r="S1591" s="10"/>
      <c r="T1591" s="10"/>
      <c r="U1591" s="10"/>
    </row>
    <row r="1592">
      <c r="A1592" s="8"/>
      <c r="B1592" s="9"/>
      <c r="C1592" s="9"/>
      <c r="D1592" s="9"/>
      <c r="E1592" s="9"/>
      <c r="F1592" s="9"/>
      <c r="G1592" s="9"/>
      <c r="H1592" s="9"/>
      <c r="I1592" s="9"/>
      <c r="J1592" s="10"/>
      <c r="K1592" s="10"/>
      <c r="L1592" s="10"/>
      <c r="M1592" s="10"/>
      <c r="N1592" s="11"/>
      <c r="O1592" s="11"/>
      <c r="P1592" s="11"/>
      <c r="Q1592" s="11"/>
      <c r="R1592" s="10"/>
      <c r="S1592" s="10"/>
      <c r="T1592" s="10"/>
      <c r="U1592" s="10"/>
    </row>
    <row r="1593">
      <c r="A1593" s="8"/>
      <c r="B1593" s="9"/>
      <c r="C1593" s="9"/>
      <c r="D1593" s="9"/>
      <c r="E1593" s="9"/>
      <c r="F1593" s="9"/>
      <c r="G1593" s="9"/>
      <c r="H1593" s="9"/>
      <c r="I1593" s="9"/>
      <c r="J1593" s="10"/>
      <c r="K1593" s="10"/>
      <c r="L1593" s="10"/>
      <c r="M1593" s="10"/>
      <c r="N1593" s="11"/>
      <c r="O1593" s="11"/>
      <c r="P1593" s="11"/>
      <c r="Q1593" s="11"/>
      <c r="R1593" s="10"/>
      <c r="S1593" s="10"/>
      <c r="T1593" s="10"/>
      <c r="U1593" s="10"/>
    </row>
    <row r="1594">
      <c r="A1594" s="8"/>
      <c r="B1594" s="9"/>
      <c r="C1594" s="9"/>
      <c r="D1594" s="9"/>
      <c r="E1594" s="9"/>
      <c r="F1594" s="9"/>
      <c r="G1594" s="9"/>
      <c r="H1594" s="9"/>
      <c r="I1594" s="9"/>
      <c r="J1594" s="10"/>
      <c r="K1594" s="10"/>
      <c r="L1594" s="10"/>
      <c r="M1594" s="10"/>
      <c r="N1594" s="11"/>
      <c r="O1594" s="11"/>
      <c r="P1594" s="11"/>
      <c r="Q1594" s="11"/>
      <c r="R1594" s="10"/>
      <c r="S1594" s="10"/>
      <c r="T1594" s="10"/>
      <c r="U1594" s="10"/>
    </row>
    <row r="1595">
      <c r="A1595" s="8"/>
      <c r="B1595" s="9"/>
      <c r="C1595" s="9"/>
      <c r="D1595" s="9"/>
      <c r="E1595" s="9"/>
      <c r="F1595" s="9"/>
      <c r="G1595" s="9"/>
      <c r="H1595" s="9"/>
      <c r="I1595" s="9"/>
      <c r="J1595" s="10"/>
      <c r="K1595" s="10"/>
      <c r="L1595" s="10"/>
      <c r="M1595" s="10"/>
      <c r="N1595" s="11"/>
      <c r="O1595" s="11"/>
      <c r="P1595" s="11"/>
      <c r="Q1595" s="11"/>
      <c r="R1595" s="10"/>
      <c r="S1595" s="10"/>
      <c r="T1595" s="10"/>
      <c r="U1595" s="10"/>
    </row>
    <row r="1596">
      <c r="A1596" s="8"/>
      <c r="B1596" s="9"/>
      <c r="C1596" s="9"/>
      <c r="D1596" s="9"/>
      <c r="E1596" s="9"/>
      <c r="F1596" s="9"/>
      <c r="G1596" s="9"/>
      <c r="H1596" s="9"/>
      <c r="I1596" s="9"/>
      <c r="J1596" s="10"/>
      <c r="K1596" s="10"/>
      <c r="L1596" s="10"/>
      <c r="M1596" s="10"/>
      <c r="N1596" s="11"/>
      <c r="O1596" s="11"/>
      <c r="P1596" s="11"/>
      <c r="Q1596" s="11"/>
      <c r="R1596" s="10"/>
      <c r="S1596" s="10"/>
      <c r="T1596" s="10"/>
      <c r="U1596" s="10"/>
    </row>
    <row r="1597">
      <c r="A1597" s="8"/>
      <c r="B1597" s="9"/>
      <c r="C1597" s="9"/>
      <c r="D1597" s="9"/>
      <c r="E1597" s="9"/>
      <c r="F1597" s="9"/>
      <c r="G1597" s="9"/>
      <c r="H1597" s="9"/>
      <c r="I1597" s="9"/>
      <c r="J1597" s="10"/>
      <c r="K1597" s="10"/>
      <c r="L1597" s="10"/>
      <c r="M1597" s="10"/>
      <c r="N1597" s="11"/>
      <c r="O1597" s="11"/>
      <c r="P1597" s="11"/>
      <c r="Q1597" s="11"/>
      <c r="R1597" s="10"/>
      <c r="S1597" s="10"/>
      <c r="T1597" s="10"/>
      <c r="U1597" s="10"/>
    </row>
    <row r="1598">
      <c r="A1598" s="8"/>
      <c r="B1598" s="9"/>
      <c r="C1598" s="9"/>
      <c r="D1598" s="9"/>
      <c r="E1598" s="9"/>
      <c r="F1598" s="9"/>
      <c r="G1598" s="9"/>
      <c r="H1598" s="9"/>
      <c r="I1598" s="9"/>
      <c r="J1598" s="10"/>
      <c r="K1598" s="10"/>
      <c r="L1598" s="10"/>
      <c r="M1598" s="10"/>
      <c r="N1598" s="11"/>
      <c r="O1598" s="11"/>
      <c r="P1598" s="11"/>
      <c r="Q1598" s="11"/>
      <c r="R1598" s="10"/>
      <c r="S1598" s="10"/>
      <c r="T1598" s="10"/>
      <c r="U1598" s="10"/>
    </row>
    <row r="1599">
      <c r="A1599" s="8"/>
      <c r="B1599" s="9"/>
      <c r="C1599" s="9"/>
      <c r="D1599" s="9"/>
      <c r="E1599" s="9"/>
      <c r="F1599" s="9"/>
      <c r="G1599" s="9"/>
      <c r="H1599" s="9"/>
      <c r="I1599" s="9"/>
      <c r="J1599" s="10"/>
      <c r="K1599" s="10"/>
      <c r="L1599" s="10"/>
      <c r="M1599" s="10"/>
      <c r="N1599" s="11"/>
      <c r="O1599" s="11"/>
      <c r="P1599" s="11"/>
      <c r="Q1599" s="11"/>
      <c r="R1599" s="10"/>
      <c r="S1599" s="10"/>
      <c r="T1599" s="10"/>
      <c r="U1599" s="10"/>
    </row>
    <row r="1600">
      <c r="A1600" s="8"/>
      <c r="B1600" s="9"/>
      <c r="C1600" s="9"/>
      <c r="D1600" s="9"/>
      <c r="E1600" s="9"/>
      <c r="F1600" s="9"/>
      <c r="G1600" s="9"/>
      <c r="H1600" s="9"/>
      <c r="I1600" s="9"/>
      <c r="J1600" s="10"/>
      <c r="K1600" s="10"/>
      <c r="L1600" s="10"/>
      <c r="M1600" s="10"/>
      <c r="N1600" s="11"/>
      <c r="O1600" s="11"/>
      <c r="P1600" s="11"/>
      <c r="Q1600" s="11"/>
      <c r="R1600" s="10"/>
      <c r="S1600" s="10"/>
      <c r="T1600" s="10"/>
      <c r="U1600" s="10"/>
    </row>
    <row r="1601">
      <c r="A1601" s="8"/>
      <c r="B1601" s="9"/>
      <c r="C1601" s="9"/>
      <c r="D1601" s="9"/>
      <c r="E1601" s="9"/>
      <c r="F1601" s="9"/>
      <c r="G1601" s="9"/>
      <c r="H1601" s="9"/>
      <c r="I1601" s="9"/>
      <c r="J1601" s="10"/>
      <c r="K1601" s="10"/>
      <c r="L1601" s="10"/>
      <c r="M1601" s="10"/>
      <c r="N1601" s="11"/>
      <c r="O1601" s="11"/>
      <c r="P1601" s="11"/>
      <c r="Q1601" s="11"/>
      <c r="R1601" s="10"/>
      <c r="S1601" s="10"/>
      <c r="T1601" s="10"/>
      <c r="U1601" s="10"/>
    </row>
    <row r="1602">
      <c r="A1602" s="8"/>
      <c r="B1602" s="9"/>
      <c r="C1602" s="9"/>
      <c r="D1602" s="9"/>
      <c r="E1602" s="9"/>
      <c r="F1602" s="9"/>
      <c r="G1602" s="9"/>
      <c r="H1602" s="9"/>
      <c r="I1602" s="9"/>
      <c r="J1602" s="10"/>
      <c r="K1602" s="10"/>
      <c r="L1602" s="10"/>
      <c r="M1602" s="10"/>
      <c r="N1602" s="11"/>
      <c r="O1602" s="11"/>
      <c r="P1602" s="11"/>
      <c r="Q1602" s="11"/>
      <c r="R1602" s="10"/>
      <c r="S1602" s="10"/>
      <c r="T1602" s="10"/>
      <c r="U1602" s="10"/>
    </row>
    <row r="1603">
      <c r="A1603" s="8"/>
      <c r="B1603" s="9"/>
      <c r="C1603" s="9"/>
      <c r="D1603" s="9"/>
      <c r="E1603" s="9"/>
      <c r="F1603" s="9"/>
      <c r="G1603" s="9"/>
      <c r="H1603" s="9"/>
      <c r="I1603" s="9"/>
      <c r="J1603" s="10"/>
      <c r="K1603" s="10"/>
      <c r="L1603" s="10"/>
      <c r="M1603" s="10"/>
      <c r="N1603" s="11"/>
      <c r="O1603" s="11"/>
      <c r="P1603" s="11"/>
      <c r="Q1603" s="11"/>
      <c r="R1603" s="10"/>
      <c r="S1603" s="10"/>
      <c r="T1603" s="10"/>
      <c r="U1603" s="10"/>
    </row>
    <row r="1604">
      <c r="A1604" s="8"/>
      <c r="B1604" s="9"/>
      <c r="C1604" s="9"/>
      <c r="D1604" s="9"/>
      <c r="E1604" s="9"/>
      <c r="F1604" s="9"/>
      <c r="G1604" s="9"/>
      <c r="H1604" s="9"/>
      <c r="I1604" s="9"/>
      <c r="J1604" s="10"/>
      <c r="K1604" s="10"/>
      <c r="L1604" s="10"/>
      <c r="M1604" s="10"/>
      <c r="N1604" s="11"/>
      <c r="O1604" s="11"/>
      <c r="P1604" s="11"/>
      <c r="Q1604" s="11"/>
      <c r="R1604" s="10"/>
      <c r="S1604" s="10"/>
      <c r="T1604" s="10"/>
      <c r="U1604" s="10"/>
    </row>
    <row r="1605">
      <c r="A1605" s="8"/>
      <c r="B1605" s="9"/>
      <c r="C1605" s="9"/>
      <c r="D1605" s="9"/>
      <c r="E1605" s="9"/>
      <c r="F1605" s="9"/>
      <c r="G1605" s="9"/>
      <c r="H1605" s="9"/>
      <c r="I1605" s="9"/>
      <c r="J1605" s="10"/>
      <c r="K1605" s="10"/>
      <c r="L1605" s="10"/>
      <c r="M1605" s="10"/>
      <c r="N1605" s="11"/>
      <c r="O1605" s="11"/>
      <c r="P1605" s="11"/>
      <c r="Q1605" s="11"/>
      <c r="R1605" s="10"/>
      <c r="S1605" s="10"/>
      <c r="T1605" s="10"/>
      <c r="U1605" s="10"/>
    </row>
    <row r="1606">
      <c r="A1606" s="8"/>
      <c r="B1606" s="9"/>
      <c r="C1606" s="9"/>
      <c r="D1606" s="9"/>
      <c r="E1606" s="9"/>
      <c r="F1606" s="9"/>
      <c r="G1606" s="9"/>
      <c r="H1606" s="9"/>
      <c r="I1606" s="9"/>
      <c r="J1606" s="10"/>
      <c r="K1606" s="10"/>
      <c r="L1606" s="10"/>
      <c r="M1606" s="10"/>
      <c r="N1606" s="11"/>
      <c r="O1606" s="11"/>
      <c r="P1606" s="11"/>
      <c r="Q1606" s="11"/>
      <c r="R1606" s="10"/>
      <c r="S1606" s="10"/>
      <c r="T1606" s="10"/>
      <c r="U1606" s="10"/>
    </row>
    <row r="1607">
      <c r="A1607" s="8"/>
      <c r="B1607" s="9"/>
      <c r="C1607" s="9"/>
      <c r="D1607" s="9"/>
      <c r="E1607" s="9"/>
      <c r="F1607" s="9"/>
      <c r="G1607" s="9"/>
      <c r="H1607" s="9"/>
      <c r="I1607" s="9"/>
      <c r="J1607" s="10"/>
      <c r="K1607" s="10"/>
      <c r="L1607" s="10"/>
      <c r="M1607" s="10"/>
      <c r="N1607" s="11"/>
      <c r="O1607" s="11"/>
      <c r="P1607" s="11"/>
      <c r="Q1607" s="11"/>
      <c r="R1607" s="10"/>
      <c r="S1607" s="10"/>
      <c r="T1607" s="10"/>
      <c r="U1607" s="10"/>
    </row>
    <row r="1608">
      <c r="A1608" s="8"/>
      <c r="B1608" s="9"/>
      <c r="C1608" s="9"/>
      <c r="D1608" s="9"/>
      <c r="E1608" s="9"/>
      <c r="F1608" s="9"/>
      <c r="G1608" s="9"/>
      <c r="H1608" s="9"/>
      <c r="I1608" s="9"/>
      <c r="J1608" s="10"/>
      <c r="K1608" s="10"/>
      <c r="L1608" s="10"/>
      <c r="M1608" s="10"/>
      <c r="N1608" s="11"/>
      <c r="O1608" s="11"/>
      <c r="P1608" s="11"/>
      <c r="Q1608" s="11"/>
      <c r="R1608" s="10"/>
      <c r="S1608" s="10"/>
      <c r="T1608" s="10"/>
      <c r="U1608" s="10"/>
    </row>
    <row r="1609">
      <c r="A1609" s="8"/>
      <c r="B1609" s="9"/>
      <c r="C1609" s="9"/>
      <c r="D1609" s="9"/>
      <c r="E1609" s="9"/>
      <c r="F1609" s="9"/>
      <c r="G1609" s="9"/>
      <c r="H1609" s="9"/>
      <c r="I1609" s="9"/>
      <c r="J1609" s="10"/>
      <c r="K1609" s="10"/>
      <c r="L1609" s="10"/>
      <c r="M1609" s="10"/>
      <c r="N1609" s="11"/>
      <c r="O1609" s="11"/>
      <c r="P1609" s="11"/>
      <c r="Q1609" s="11"/>
      <c r="R1609" s="10"/>
      <c r="S1609" s="10"/>
      <c r="T1609" s="10"/>
      <c r="U1609" s="10"/>
    </row>
    <row r="1610">
      <c r="A1610" s="8"/>
      <c r="B1610" s="9"/>
      <c r="C1610" s="9"/>
      <c r="D1610" s="9"/>
      <c r="E1610" s="9"/>
      <c r="F1610" s="9"/>
      <c r="G1610" s="9"/>
      <c r="H1610" s="9"/>
      <c r="I1610" s="9"/>
      <c r="J1610" s="10"/>
      <c r="K1610" s="10"/>
      <c r="L1610" s="10"/>
      <c r="M1610" s="10"/>
      <c r="N1610" s="11"/>
      <c r="O1610" s="11"/>
      <c r="P1610" s="11"/>
      <c r="Q1610" s="11"/>
      <c r="R1610" s="10"/>
      <c r="S1610" s="10"/>
      <c r="T1610" s="10"/>
      <c r="U1610" s="10"/>
    </row>
    <row r="1611">
      <c r="A1611" s="8"/>
      <c r="B1611" s="9"/>
      <c r="C1611" s="9"/>
      <c r="D1611" s="9"/>
      <c r="E1611" s="9"/>
      <c r="F1611" s="9"/>
      <c r="G1611" s="9"/>
      <c r="H1611" s="9"/>
      <c r="I1611" s="9"/>
      <c r="J1611" s="10"/>
      <c r="K1611" s="10"/>
      <c r="L1611" s="10"/>
      <c r="M1611" s="10"/>
      <c r="N1611" s="11"/>
      <c r="O1611" s="11"/>
      <c r="P1611" s="11"/>
      <c r="Q1611" s="11"/>
      <c r="R1611" s="10"/>
      <c r="S1611" s="10"/>
      <c r="T1611" s="10"/>
      <c r="U1611" s="10"/>
    </row>
    <row r="1612">
      <c r="A1612" s="8"/>
      <c r="B1612" s="9"/>
      <c r="C1612" s="9"/>
      <c r="D1612" s="9"/>
      <c r="E1612" s="9"/>
      <c r="F1612" s="9"/>
      <c r="G1612" s="9"/>
      <c r="H1612" s="9"/>
      <c r="I1612" s="9"/>
      <c r="J1612" s="10"/>
      <c r="K1612" s="10"/>
      <c r="L1612" s="10"/>
      <c r="M1612" s="10"/>
      <c r="N1612" s="11"/>
      <c r="O1612" s="11"/>
      <c r="P1612" s="11"/>
      <c r="Q1612" s="11"/>
      <c r="R1612" s="10"/>
      <c r="S1612" s="10"/>
      <c r="T1612" s="10"/>
      <c r="U1612" s="10"/>
    </row>
    <row r="1613">
      <c r="A1613" s="8"/>
      <c r="B1613" s="9"/>
      <c r="C1613" s="9"/>
      <c r="D1613" s="9"/>
      <c r="E1613" s="9"/>
      <c r="F1613" s="9"/>
      <c r="G1613" s="9"/>
      <c r="H1613" s="9"/>
      <c r="I1613" s="9"/>
      <c r="J1613" s="10"/>
      <c r="K1613" s="10"/>
      <c r="L1613" s="10"/>
      <c r="M1613" s="10"/>
      <c r="N1613" s="11"/>
      <c r="O1613" s="11"/>
      <c r="P1613" s="11"/>
      <c r="Q1613" s="11"/>
      <c r="R1613" s="10"/>
      <c r="S1613" s="10"/>
      <c r="T1613" s="10"/>
      <c r="U1613" s="10"/>
    </row>
    <row r="1614">
      <c r="A1614" s="8"/>
      <c r="B1614" s="9"/>
      <c r="C1614" s="9"/>
      <c r="D1614" s="9"/>
      <c r="E1614" s="9"/>
      <c r="F1614" s="9"/>
      <c r="G1614" s="9"/>
      <c r="H1614" s="9"/>
      <c r="I1614" s="9"/>
      <c r="J1614" s="10"/>
      <c r="K1614" s="10"/>
      <c r="L1614" s="10"/>
      <c r="M1614" s="10"/>
      <c r="N1614" s="11"/>
      <c r="O1614" s="11"/>
      <c r="P1614" s="11"/>
      <c r="Q1614" s="11"/>
      <c r="R1614" s="10"/>
      <c r="S1614" s="10"/>
      <c r="T1614" s="10"/>
      <c r="U1614" s="10"/>
    </row>
    <row r="1615">
      <c r="A1615" s="8"/>
      <c r="B1615" s="9"/>
      <c r="C1615" s="9"/>
      <c r="D1615" s="9"/>
      <c r="E1615" s="9"/>
      <c r="F1615" s="9"/>
      <c r="G1615" s="9"/>
      <c r="H1615" s="9"/>
      <c r="I1615" s="9"/>
      <c r="J1615" s="10"/>
      <c r="K1615" s="10"/>
      <c r="L1615" s="10"/>
      <c r="M1615" s="10"/>
      <c r="N1615" s="11"/>
      <c r="O1615" s="11"/>
      <c r="P1615" s="11"/>
      <c r="Q1615" s="11"/>
      <c r="R1615" s="10"/>
      <c r="S1615" s="10"/>
      <c r="T1615" s="10"/>
      <c r="U1615" s="10"/>
    </row>
    <row r="1616">
      <c r="A1616" s="8"/>
      <c r="B1616" s="9"/>
      <c r="C1616" s="9"/>
      <c r="D1616" s="9"/>
      <c r="E1616" s="9"/>
      <c r="F1616" s="9"/>
      <c r="G1616" s="9"/>
      <c r="H1616" s="9"/>
      <c r="I1616" s="9"/>
      <c r="J1616" s="10"/>
      <c r="K1616" s="10"/>
      <c r="L1616" s="10"/>
      <c r="M1616" s="10"/>
      <c r="N1616" s="11"/>
      <c r="O1616" s="11"/>
      <c r="P1616" s="11"/>
      <c r="Q1616" s="11"/>
      <c r="R1616" s="10"/>
      <c r="S1616" s="10"/>
      <c r="T1616" s="10"/>
      <c r="U1616" s="10"/>
    </row>
    <row r="1617">
      <c r="A1617" s="8"/>
      <c r="B1617" s="9"/>
      <c r="C1617" s="9"/>
      <c r="D1617" s="9"/>
      <c r="E1617" s="9"/>
      <c r="F1617" s="9"/>
      <c r="G1617" s="9"/>
      <c r="H1617" s="9"/>
      <c r="I1617" s="9"/>
      <c r="J1617" s="10"/>
      <c r="K1617" s="10"/>
      <c r="L1617" s="10"/>
      <c r="M1617" s="10"/>
      <c r="N1617" s="11"/>
      <c r="O1617" s="11"/>
      <c r="P1617" s="11"/>
      <c r="Q1617" s="11"/>
      <c r="R1617" s="10"/>
      <c r="S1617" s="10"/>
      <c r="T1617" s="10"/>
      <c r="U1617" s="10"/>
    </row>
    <row r="1618">
      <c r="A1618" s="8"/>
      <c r="B1618" s="9"/>
      <c r="C1618" s="9"/>
      <c r="D1618" s="9"/>
      <c r="E1618" s="9"/>
      <c r="F1618" s="9"/>
      <c r="G1618" s="9"/>
      <c r="H1618" s="9"/>
      <c r="I1618" s="9"/>
      <c r="J1618" s="10"/>
      <c r="K1618" s="10"/>
      <c r="L1618" s="10"/>
      <c r="M1618" s="10"/>
      <c r="N1618" s="11"/>
      <c r="O1618" s="11"/>
      <c r="P1618" s="11"/>
      <c r="Q1618" s="11"/>
      <c r="R1618" s="10"/>
      <c r="S1618" s="10"/>
      <c r="T1618" s="10"/>
      <c r="U1618" s="10"/>
    </row>
    <row r="1619">
      <c r="A1619" s="8"/>
      <c r="B1619" s="9"/>
      <c r="C1619" s="9"/>
      <c r="D1619" s="9"/>
      <c r="E1619" s="9"/>
      <c r="F1619" s="9"/>
      <c r="G1619" s="9"/>
      <c r="H1619" s="9"/>
      <c r="I1619" s="9"/>
      <c r="J1619" s="10"/>
      <c r="K1619" s="10"/>
      <c r="L1619" s="10"/>
      <c r="M1619" s="10"/>
      <c r="N1619" s="11"/>
      <c r="O1619" s="11"/>
      <c r="P1619" s="11"/>
      <c r="Q1619" s="11"/>
      <c r="R1619" s="10"/>
      <c r="S1619" s="10"/>
      <c r="T1619" s="10"/>
      <c r="U1619" s="10"/>
    </row>
    <row r="1620">
      <c r="A1620" s="8"/>
      <c r="B1620" s="9"/>
      <c r="C1620" s="9"/>
      <c r="D1620" s="9"/>
      <c r="E1620" s="9"/>
      <c r="F1620" s="9"/>
      <c r="G1620" s="9"/>
      <c r="H1620" s="9"/>
      <c r="I1620" s="9"/>
      <c r="J1620" s="10"/>
      <c r="K1620" s="10"/>
      <c r="L1620" s="10"/>
      <c r="M1620" s="10"/>
      <c r="N1620" s="11"/>
      <c r="O1620" s="11"/>
      <c r="P1620" s="11"/>
      <c r="Q1620" s="11"/>
      <c r="R1620" s="10"/>
      <c r="S1620" s="10"/>
      <c r="T1620" s="10"/>
      <c r="U1620" s="10"/>
    </row>
    <row r="1621">
      <c r="A1621" s="8"/>
      <c r="B1621" s="9"/>
      <c r="C1621" s="9"/>
      <c r="D1621" s="9"/>
      <c r="E1621" s="9"/>
      <c r="F1621" s="9"/>
      <c r="G1621" s="9"/>
      <c r="H1621" s="9"/>
      <c r="I1621" s="9"/>
      <c r="J1621" s="10"/>
      <c r="K1621" s="10"/>
      <c r="L1621" s="10"/>
      <c r="M1621" s="10"/>
      <c r="N1621" s="11"/>
      <c r="O1621" s="11"/>
      <c r="P1621" s="11"/>
      <c r="Q1621" s="11"/>
      <c r="R1621" s="10"/>
      <c r="S1621" s="10"/>
      <c r="T1621" s="10"/>
      <c r="U1621" s="10"/>
    </row>
    <row r="1622">
      <c r="A1622" s="8"/>
      <c r="B1622" s="9"/>
      <c r="C1622" s="9"/>
      <c r="D1622" s="9"/>
      <c r="E1622" s="9"/>
      <c r="F1622" s="9"/>
      <c r="G1622" s="9"/>
      <c r="H1622" s="9"/>
      <c r="I1622" s="9"/>
      <c r="J1622" s="10"/>
      <c r="K1622" s="10"/>
      <c r="L1622" s="10"/>
      <c r="M1622" s="10"/>
      <c r="N1622" s="11"/>
      <c r="O1622" s="11"/>
      <c r="P1622" s="11"/>
      <c r="Q1622" s="11"/>
      <c r="R1622" s="10"/>
      <c r="S1622" s="10"/>
      <c r="T1622" s="10"/>
      <c r="U1622" s="10"/>
    </row>
    <row r="1623">
      <c r="A1623" s="8"/>
      <c r="B1623" s="9"/>
      <c r="C1623" s="9"/>
      <c r="D1623" s="9"/>
      <c r="E1623" s="9"/>
      <c r="F1623" s="9"/>
      <c r="G1623" s="9"/>
      <c r="H1623" s="9"/>
      <c r="I1623" s="9"/>
      <c r="J1623" s="10"/>
      <c r="K1623" s="10"/>
      <c r="L1623" s="10"/>
      <c r="M1623" s="10"/>
      <c r="N1623" s="11"/>
      <c r="O1623" s="11"/>
      <c r="P1623" s="11"/>
      <c r="Q1623" s="11"/>
      <c r="R1623" s="10"/>
      <c r="S1623" s="10"/>
      <c r="T1623" s="10"/>
      <c r="U1623" s="10"/>
    </row>
    <row r="1624">
      <c r="A1624" s="8"/>
      <c r="B1624" s="9"/>
      <c r="C1624" s="9"/>
      <c r="D1624" s="9"/>
      <c r="E1624" s="9"/>
      <c r="F1624" s="9"/>
      <c r="G1624" s="9"/>
      <c r="H1624" s="9"/>
      <c r="I1624" s="9"/>
      <c r="J1624" s="10"/>
      <c r="K1624" s="10"/>
      <c r="L1624" s="10"/>
      <c r="M1624" s="10"/>
      <c r="N1624" s="11"/>
      <c r="O1624" s="11"/>
      <c r="P1624" s="11"/>
      <c r="Q1624" s="11"/>
      <c r="R1624" s="10"/>
      <c r="S1624" s="10"/>
      <c r="T1624" s="10"/>
      <c r="U1624" s="10"/>
    </row>
    <row r="1625">
      <c r="A1625" s="8"/>
      <c r="B1625" s="9"/>
      <c r="C1625" s="9"/>
      <c r="D1625" s="9"/>
      <c r="E1625" s="9"/>
      <c r="F1625" s="9"/>
      <c r="G1625" s="9"/>
      <c r="H1625" s="9"/>
      <c r="I1625" s="9"/>
      <c r="J1625" s="10"/>
      <c r="K1625" s="10"/>
      <c r="L1625" s="10"/>
      <c r="M1625" s="10"/>
      <c r="N1625" s="11"/>
      <c r="O1625" s="11"/>
      <c r="P1625" s="11"/>
      <c r="Q1625" s="11"/>
      <c r="R1625" s="10"/>
      <c r="S1625" s="10"/>
      <c r="T1625" s="10"/>
      <c r="U1625" s="10"/>
    </row>
    <row r="1626">
      <c r="A1626" s="8"/>
      <c r="B1626" s="9"/>
      <c r="C1626" s="9"/>
      <c r="D1626" s="9"/>
      <c r="E1626" s="9"/>
      <c r="F1626" s="9"/>
      <c r="G1626" s="9"/>
      <c r="H1626" s="9"/>
      <c r="I1626" s="9"/>
      <c r="J1626" s="10"/>
      <c r="K1626" s="10"/>
      <c r="L1626" s="10"/>
      <c r="M1626" s="10"/>
      <c r="N1626" s="11"/>
      <c r="O1626" s="11"/>
      <c r="P1626" s="11"/>
      <c r="Q1626" s="11"/>
      <c r="R1626" s="10"/>
      <c r="S1626" s="10"/>
      <c r="T1626" s="10"/>
      <c r="U1626" s="10"/>
    </row>
    <row r="1627">
      <c r="A1627" s="8"/>
      <c r="B1627" s="9"/>
      <c r="C1627" s="9"/>
      <c r="D1627" s="9"/>
      <c r="E1627" s="9"/>
      <c r="F1627" s="9"/>
      <c r="G1627" s="9"/>
      <c r="H1627" s="9"/>
      <c r="I1627" s="9"/>
      <c r="J1627" s="10"/>
      <c r="K1627" s="10"/>
      <c r="L1627" s="10"/>
      <c r="M1627" s="10"/>
      <c r="N1627" s="11"/>
      <c r="O1627" s="11"/>
      <c r="P1627" s="11"/>
      <c r="Q1627" s="11"/>
      <c r="R1627" s="10"/>
      <c r="S1627" s="10"/>
      <c r="T1627" s="10"/>
      <c r="U1627" s="10"/>
    </row>
    <row r="1628">
      <c r="A1628" s="8"/>
      <c r="B1628" s="9"/>
      <c r="C1628" s="9"/>
      <c r="D1628" s="9"/>
      <c r="E1628" s="9"/>
      <c r="F1628" s="9"/>
      <c r="G1628" s="9"/>
      <c r="H1628" s="9"/>
      <c r="I1628" s="9"/>
      <c r="J1628" s="10"/>
      <c r="K1628" s="10"/>
      <c r="L1628" s="10"/>
      <c r="M1628" s="10"/>
      <c r="N1628" s="11"/>
      <c r="O1628" s="11"/>
      <c r="P1628" s="11"/>
      <c r="Q1628" s="11"/>
      <c r="R1628" s="10"/>
      <c r="S1628" s="10"/>
      <c r="T1628" s="10"/>
      <c r="U1628" s="10"/>
    </row>
    <row r="1629">
      <c r="A1629" s="8"/>
      <c r="B1629" s="9"/>
      <c r="C1629" s="9"/>
      <c r="D1629" s="9"/>
      <c r="E1629" s="9"/>
      <c r="F1629" s="9"/>
      <c r="G1629" s="9"/>
      <c r="H1629" s="9"/>
      <c r="I1629" s="9"/>
      <c r="J1629" s="10"/>
      <c r="K1629" s="10"/>
      <c r="L1629" s="10"/>
      <c r="M1629" s="10"/>
      <c r="N1629" s="11"/>
      <c r="O1629" s="11"/>
      <c r="P1629" s="11"/>
      <c r="Q1629" s="11"/>
      <c r="R1629" s="10"/>
      <c r="S1629" s="10"/>
      <c r="T1629" s="10"/>
      <c r="U1629" s="10"/>
    </row>
    <row r="1630">
      <c r="A1630" s="8"/>
      <c r="B1630" s="9"/>
      <c r="C1630" s="9"/>
      <c r="D1630" s="9"/>
      <c r="E1630" s="9"/>
      <c r="F1630" s="9"/>
      <c r="G1630" s="9"/>
      <c r="H1630" s="9"/>
      <c r="I1630" s="9"/>
      <c r="J1630" s="10"/>
      <c r="K1630" s="10"/>
      <c r="L1630" s="10"/>
      <c r="M1630" s="10"/>
      <c r="N1630" s="11"/>
      <c r="O1630" s="11"/>
      <c r="P1630" s="11"/>
      <c r="Q1630" s="11"/>
      <c r="R1630" s="10"/>
      <c r="S1630" s="10"/>
      <c r="T1630" s="10"/>
      <c r="U1630" s="10"/>
    </row>
    <row r="1631">
      <c r="A1631" s="8"/>
      <c r="B1631" s="9"/>
      <c r="C1631" s="9"/>
      <c r="D1631" s="9"/>
      <c r="E1631" s="9"/>
      <c r="F1631" s="9"/>
      <c r="G1631" s="9"/>
      <c r="H1631" s="9"/>
      <c r="I1631" s="9"/>
      <c r="J1631" s="10"/>
      <c r="K1631" s="10"/>
      <c r="L1631" s="10"/>
      <c r="M1631" s="10"/>
      <c r="N1631" s="11"/>
      <c r="O1631" s="11"/>
      <c r="P1631" s="11"/>
      <c r="Q1631" s="11"/>
      <c r="R1631" s="10"/>
      <c r="S1631" s="10"/>
      <c r="T1631" s="10"/>
      <c r="U1631" s="10"/>
    </row>
    <row r="1632">
      <c r="A1632" s="8"/>
      <c r="B1632" s="9"/>
      <c r="C1632" s="9"/>
      <c r="D1632" s="9"/>
      <c r="E1632" s="9"/>
      <c r="F1632" s="9"/>
      <c r="G1632" s="9"/>
      <c r="H1632" s="9"/>
      <c r="I1632" s="9"/>
      <c r="J1632" s="10"/>
      <c r="K1632" s="10"/>
      <c r="L1632" s="10"/>
      <c r="M1632" s="10"/>
      <c r="N1632" s="11"/>
      <c r="O1632" s="11"/>
      <c r="P1632" s="11"/>
      <c r="Q1632" s="11"/>
      <c r="R1632" s="10"/>
      <c r="S1632" s="10"/>
      <c r="T1632" s="10"/>
      <c r="U1632" s="10"/>
    </row>
    <row r="1633">
      <c r="A1633" s="8"/>
      <c r="B1633" s="9"/>
      <c r="C1633" s="9"/>
      <c r="D1633" s="9"/>
      <c r="E1633" s="9"/>
      <c r="F1633" s="9"/>
      <c r="G1633" s="9"/>
      <c r="H1633" s="9"/>
      <c r="I1633" s="9"/>
      <c r="J1633" s="10"/>
      <c r="K1633" s="10"/>
      <c r="L1633" s="10"/>
      <c r="M1633" s="10"/>
      <c r="N1633" s="11"/>
      <c r="O1633" s="11"/>
      <c r="P1633" s="11"/>
      <c r="Q1633" s="11"/>
      <c r="R1633" s="10"/>
      <c r="S1633" s="10"/>
      <c r="T1633" s="10"/>
      <c r="U1633" s="10"/>
    </row>
    <row r="1634">
      <c r="A1634" s="8"/>
      <c r="B1634" s="9"/>
      <c r="C1634" s="9"/>
      <c r="D1634" s="9"/>
      <c r="E1634" s="9"/>
      <c r="F1634" s="9"/>
      <c r="G1634" s="9"/>
      <c r="H1634" s="9"/>
      <c r="I1634" s="9"/>
      <c r="J1634" s="10"/>
      <c r="K1634" s="10"/>
      <c r="L1634" s="10"/>
      <c r="M1634" s="10"/>
      <c r="N1634" s="11"/>
      <c r="O1634" s="11"/>
      <c r="P1634" s="11"/>
      <c r="Q1634" s="11"/>
      <c r="R1634" s="10"/>
      <c r="S1634" s="10"/>
      <c r="T1634" s="10"/>
      <c r="U1634" s="10"/>
    </row>
    <row r="1635">
      <c r="A1635" s="8"/>
      <c r="B1635" s="9"/>
      <c r="C1635" s="9"/>
      <c r="D1635" s="9"/>
      <c r="E1635" s="9"/>
      <c r="F1635" s="9"/>
      <c r="G1635" s="9"/>
      <c r="H1635" s="9"/>
      <c r="I1635" s="9"/>
      <c r="J1635" s="10"/>
      <c r="K1635" s="10"/>
      <c r="L1635" s="10"/>
      <c r="M1635" s="10"/>
      <c r="N1635" s="11"/>
      <c r="O1635" s="11"/>
      <c r="P1635" s="11"/>
      <c r="Q1635" s="11"/>
      <c r="R1635" s="10"/>
      <c r="S1635" s="10"/>
      <c r="T1635" s="10"/>
      <c r="U1635" s="10"/>
    </row>
    <row r="1636">
      <c r="A1636" s="8"/>
      <c r="B1636" s="9"/>
      <c r="C1636" s="9"/>
      <c r="D1636" s="9"/>
      <c r="E1636" s="9"/>
      <c r="F1636" s="9"/>
      <c r="G1636" s="9"/>
      <c r="H1636" s="9"/>
      <c r="I1636" s="9"/>
      <c r="J1636" s="10"/>
      <c r="K1636" s="10"/>
      <c r="L1636" s="10"/>
      <c r="M1636" s="10"/>
      <c r="N1636" s="11"/>
      <c r="O1636" s="11"/>
      <c r="P1636" s="11"/>
      <c r="Q1636" s="11"/>
      <c r="R1636" s="10"/>
      <c r="S1636" s="10"/>
      <c r="T1636" s="10"/>
      <c r="U1636" s="10"/>
    </row>
    <row r="1637">
      <c r="A1637" s="8"/>
      <c r="B1637" s="9"/>
      <c r="C1637" s="9"/>
      <c r="D1637" s="9"/>
      <c r="E1637" s="9"/>
      <c r="F1637" s="9"/>
      <c r="G1637" s="9"/>
      <c r="H1637" s="9"/>
      <c r="I1637" s="9"/>
      <c r="J1637" s="10"/>
      <c r="K1637" s="10"/>
      <c r="L1637" s="10"/>
      <c r="M1637" s="10"/>
      <c r="N1637" s="11"/>
      <c r="O1637" s="11"/>
      <c r="P1637" s="11"/>
      <c r="Q1637" s="11"/>
      <c r="R1637" s="10"/>
      <c r="S1637" s="10"/>
      <c r="T1637" s="10"/>
      <c r="U1637" s="10"/>
    </row>
    <row r="1638">
      <c r="A1638" s="8"/>
      <c r="B1638" s="9"/>
      <c r="C1638" s="9"/>
      <c r="D1638" s="9"/>
      <c r="E1638" s="9"/>
      <c r="F1638" s="9"/>
      <c r="G1638" s="9"/>
      <c r="H1638" s="9"/>
      <c r="I1638" s="9"/>
      <c r="J1638" s="10"/>
      <c r="K1638" s="10"/>
      <c r="L1638" s="10"/>
      <c r="M1638" s="10"/>
      <c r="N1638" s="11"/>
      <c r="O1638" s="11"/>
      <c r="P1638" s="11"/>
      <c r="Q1638" s="11"/>
      <c r="R1638" s="10"/>
      <c r="S1638" s="10"/>
      <c r="T1638" s="10"/>
      <c r="U1638" s="10"/>
    </row>
    <row r="1639">
      <c r="A1639" s="8"/>
      <c r="B1639" s="9"/>
      <c r="C1639" s="9"/>
      <c r="D1639" s="9"/>
      <c r="E1639" s="9"/>
      <c r="F1639" s="9"/>
      <c r="G1639" s="9"/>
      <c r="H1639" s="9"/>
      <c r="I1639" s="9"/>
      <c r="J1639" s="10"/>
      <c r="K1639" s="10"/>
      <c r="L1639" s="10"/>
      <c r="M1639" s="10"/>
      <c r="N1639" s="11"/>
      <c r="O1639" s="11"/>
      <c r="P1639" s="11"/>
      <c r="Q1639" s="11"/>
      <c r="R1639" s="10"/>
      <c r="S1639" s="10"/>
      <c r="T1639" s="10"/>
      <c r="U1639" s="10"/>
    </row>
    <row r="1640">
      <c r="A1640" s="8"/>
      <c r="B1640" s="9"/>
      <c r="C1640" s="9"/>
      <c r="D1640" s="9"/>
      <c r="E1640" s="9"/>
      <c r="F1640" s="9"/>
      <c r="G1640" s="9"/>
      <c r="H1640" s="9"/>
      <c r="I1640" s="9"/>
      <c r="J1640" s="10"/>
      <c r="K1640" s="10"/>
      <c r="L1640" s="10"/>
      <c r="M1640" s="10"/>
      <c r="N1640" s="11"/>
      <c r="O1640" s="11"/>
      <c r="P1640" s="11"/>
      <c r="Q1640" s="11"/>
      <c r="R1640" s="10"/>
      <c r="S1640" s="10"/>
      <c r="T1640" s="10"/>
      <c r="U1640" s="10"/>
    </row>
    <row r="1641">
      <c r="A1641" s="8"/>
      <c r="B1641" s="9"/>
      <c r="C1641" s="9"/>
      <c r="D1641" s="9"/>
      <c r="E1641" s="9"/>
      <c r="F1641" s="9"/>
      <c r="G1641" s="9"/>
      <c r="H1641" s="9"/>
      <c r="I1641" s="9"/>
      <c r="J1641" s="10"/>
      <c r="K1641" s="10"/>
      <c r="L1641" s="10"/>
      <c r="M1641" s="10"/>
      <c r="N1641" s="11"/>
      <c r="O1641" s="11"/>
      <c r="P1641" s="11"/>
      <c r="Q1641" s="11"/>
      <c r="R1641" s="10"/>
      <c r="S1641" s="10"/>
      <c r="T1641" s="10"/>
      <c r="U1641" s="10"/>
    </row>
    <row r="1642">
      <c r="A1642" s="8"/>
      <c r="B1642" s="9"/>
      <c r="C1642" s="9"/>
      <c r="D1642" s="9"/>
      <c r="E1642" s="9"/>
      <c r="F1642" s="9"/>
      <c r="G1642" s="9"/>
      <c r="H1642" s="9"/>
      <c r="I1642" s="9"/>
      <c r="J1642" s="10"/>
      <c r="K1642" s="10"/>
      <c r="L1642" s="10"/>
      <c r="M1642" s="10"/>
      <c r="N1642" s="11"/>
      <c r="O1642" s="11"/>
      <c r="P1642" s="11"/>
      <c r="Q1642" s="11"/>
      <c r="R1642" s="10"/>
      <c r="S1642" s="10"/>
      <c r="T1642" s="10"/>
      <c r="U1642" s="10"/>
    </row>
    <row r="1643">
      <c r="A1643" s="8"/>
      <c r="B1643" s="9"/>
      <c r="C1643" s="9"/>
      <c r="D1643" s="9"/>
      <c r="E1643" s="9"/>
      <c r="F1643" s="9"/>
      <c r="G1643" s="9"/>
      <c r="H1643" s="9"/>
      <c r="I1643" s="9"/>
      <c r="J1643" s="10"/>
      <c r="K1643" s="10"/>
      <c r="L1643" s="10"/>
      <c r="M1643" s="10"/>
      <c r="N1643" s="11"/>
      <c r="O1643" s="11"/>
      <c r="P1643" s="11"/>
      <c r="Q1643" s="11"/>
      <c r="R1643" s="10"/>
      <c r="S1643" s="10"/>
      <c r="T1643" s="10"/>
      <c r="U1643" s="10"/>
    </row>
    <row r="1644">
      <c r="A1644" s="8"/>
      <c r="B1644" s="9"/>
      <c r="C1644" s="9"/>
      <c r="D1644" s="9"/>
      <c r="E1644" s="9"/>
      <c r="F1644" s="9"/>
      <c r="G1644" s="9"/>
      <c r="H1644" s="9"/>
      <c r="I1644" s="9"/>
      <c r="J1644" s="10"/>
      <c r="K1644" s="10"/>
      <c r="L1644" s="10"/>
      <c r="M1644" s="10"/>
      <c r="N1644" s="11"/>
      <c r="O1644" s="11"/>
      <c r="P1644" s="11"/>
      <c r="Q1644" s="11"/>
      <c r="R1644" s="10"/>
      <c r="S1644" s="10"/>
      <c r="T1644" s="10"/>
      <c r="U1644" s="10"/>
    </row>
    <row r="1645">
      <c r="A1645" s="8"/>
      <c r="B1645" s="9"/>
      <c r="C1645" s="9"/>
      <c r="D1645" s="9"/>
      <c r="E1645" s="9"/>
      <c r="F1645" s="9"/>
      <c r="G1645" s="9"/>
      <c r="H1645" s="9"/>
      <c r="I1645" s="9"/>
      <c r="J1645" s="10"/>
      <c r="K1645" s="10"/>
      <c r="L1645" s="10"/>
      <c r="M1645" s="10"/>
      <c r="N1645" s="11"/>
      <c r="O1645" s="11"/>
      <c r="P1645" s="11"/>
      <c r="Q1645" s="11"/>
      <c r="R1645" s="10"/>
      <c r="S1645" s="10"/>
      <c r="T1645" s="10"/>
      <c r="U1645" s="10"/>
    </row>
    <row r="1646">
      <c r="A1646" s="8"/>
      <c r="B1646" s="9"/>
      <c r="C1646" s="9"/>
      <c r="D1646" s="9"/>
      <c r="E1646" s="9"/>
      <c r="F1646" s="9"/>
      <c r="G1646" s="9"/>
      <c r="H1646" s="9"/>
      <c r="I1646" s="9"/>
      <c r="J1646" s="10"/>
      <c r="K1646" s="10"/>
      <c r="L1646" s="10"/>
      <c r="M1646" s="10"/>
      <c r="N1646" s="11"/>
      <c r="O1646" s="11"/>
      <c r="P1646" s="11"/>
      <c r="Q1646" s="11"/>
      <c r="R1646" s="10"/>
      <c r="S1646" s="10"/>
      <c r="T1646" s="10"/>
      <c r="U1646" s="10"/>
    </row>
    <row r="1647">
      <c r="A1647" s="8"/>
      <c r="B1647" s="9"/>
      <c r="C1647" s="9"/>
      <c r="D1647" s="9"/>
      <c r="E1647" s="9"/>
      <c r="F1647" s="9"/>
      <c r="G1647" s="9"/>
      <c r="H1647" s="9"/>
      <c r="I1647" s="9"/>
      <c r="J1647" s="10"/>
      <c r="K1647" s="10"/>
      <c r="L1647" s="10"/>
      <c r="M1647" s="10"/>
      <c r="N1647" s="11"/>
      <c r="O1647" s="11"/>
      <c r="P1647" s="11"/>
      <c r="Q1647" s="11"/>
      <c r="R1647" s="10"/>
      <c r="S1647" s="10"/>
      <c r="T1647" s="10"/>
      <c r="U1647" s="10"/>
    </row>
    <row r="1648">
      <c r="A1648" s="8"/>
      <c r="B1648" s="9"/>
      <c r="C1648" s="9"/>
      <c r="D1648" s="9"/>
      <c r="E1648" s="9"/>
      <c r="F1648" s="9"/>
      <c r="G1648" s="9"/>
      <c r="H1648" s="9"/>
      <c r="I1648" s="9"/>
      <c r="J1648" s="10"/>
      <c r="K1648" s="10"/>
      <c r="L1648" s="10"/>
      <c r="M1648" s="10"/>
      <c r="N1648" s="11"/>
      <c r="O1648" s="11"/>
      <c r="P1648" s="11"/>
      <c r="Q1648" s="11"/>
      <c r="R1648" s="10"/>
      <c r="S1648" s="10"/>
      <c r="T1648" s="10"/>
      <c r="U1648" s="10"/>
    </row>
    <row r="1649">
      <c r="A1649" s="8"/>
      <c r="B1649" s="9"/>
      <c r="C1649" s="9"/>
      <c r="D1649" s="9"/>
      <c r="E1649" s="9"/>
      <c r="F1649" s="9"/>
      <c r="G1649" s="9"/>
      <c r="H1649" s="9"/>
      <c r="I1649" s="9"/>
      <c r="J1649" s="10"/>
      <c r="K1649" s="10"/>
      <c r="L1649" s="10"/>
      <c r="M1649" s="10"/>
      <c r="N1649" s="11"/>
      <c r="O1649" s="11"/>
      <c r="P1649" s="11"/>
      <c r="Q1649" s="11"/>
      <c r="R1649" s="10"/>
      <c r="S1649" s="10"/>
      <c r="T1649" s="10"/>
      <c r="U1649" s="10"/>
    </row>
    <row r="1650">
      <c r="A1650" s="8"/>
      <c r="B1650" s="9"/>
      <c r="C1650" s="9"/>
      <c r="D1650" s="9"/>
      <c r="E1650" s="9"/>
      <c r="F1650" s="9"/>
      <c r="G1650" s="9"/>
      <c r="H1650" s="9"/>
      <c r="I1650" s="9"/>
      <c r="J1650" s="10"/>
      <c r="K1650" s="10"/>
      <c r="L1650" s="10"/>
      <c r="M1650" s="10"/>
      <c r="N1650" s="11"/>
      <c r="O1650" s="11"/>
      <c r="P1650" s="11"/>
      <c r="Q1650" s="11"/>
      <c r="R1650" s="10"/>
      <c r="S1650" s="10"/>
      <c r="T1650" s="10"/>
      <c r="U1650" s="10"/>
    </row>
    <row r="1651">
      <c r="A1651" s="8"/>
      <c r="B1651" s="9"/>
      <c r="C1651" s="9"/>
      <c r="D1651" s="9"/>
      <c r="E1651" s="9"/>
      <c r="F1651" s="9"/>
      <c r="G1651" s="9"/>
      <c r="H1651" s="9"/>
      <c r="I1651" s="9"/>
      <c r="J1651" s="10"/>
      <c r="K1651" s="10"/>
      <c r="L1651" s="10"/>
      <c r="M1651" s="10"/>
      <c r="N1651" s="11"/>
      <c r="O1651" s="11"/>
      <c r="P1651" s="11"/>
      <c r="Q1651" s="11"/>
      <c r="R1651" s="10"/>
      <c r="S1651" s="10"/>
      <c r="T1651" s="10"/>
      <c r="U1651" s="10"/>
    </row>
    <row r="1652">
      <c r="A1652" s="8"/>
      <c r="B1652" s="9"/>
      <c r="C1652" s="9"/>
      <c r="D1652" s="9"/>
      <c r="E1652" s="9"/>
      <c r="F1652" s="9"/>
      <c r="G1652" s="9"/>
      <c r="H1652" s="9"/>
      <c r="I1652" s="9"/>
      <c r="J1652" s="10"/>
      <c r="K1652" s="10"/>
      <c r="L1652" s="10"/>
      <c r="M1652" s="10"/>
      <c r="N1652" s="11"/>
      <c r="O1652" s="11"/>
      <c r="P1652" s="11"/>
      <c r="Q1652" s="11"/>
      <c r="R1652" s="10"/>
      <c r="S1652" s="10"/>
      <c r="T1652" s="10"/>
      <c r="U1652" s="10"/>
    </row>
    <row r="1653">
      <c r="A1653" s="8"/>
      <c r="B1653" s="9"/>
      <c r="C1653" s="9"/>
      <c r="D1653" s="9"/>
      <c r="E1653" s="9"/>
      <c r="F1653" s="9"/>
      <c r="G1653" s="9"/>
      <c r="H1653" s="9"/>
      <c r="I1653" s="9"/>
      <c r="J1653" s="10"/>
      <c r="K1653" s="10"/>
      <c r="L1653" s="10"/>
      <c r="M1653" s="10"/>
      <c r="N1653" s="11"/>
      <c r="O1653" s="11"/>
      <c r="P1653" s="11"/>
      <c r="Q1653" s="11"/>
      <c r="R1653" s="10"/>
      <c r="S1653" s="10"/>
      <c r="T1653" s="10"/>
      <c r="U1653" s="10"/>
    </row>
    <row r="1654">
      <c r="A1654" s="8"/>
      <c r="B1654" s="9"/>
      <c r="C1654" s="9"/>
      <c r="D1654" s="9"/>
      <c r="E1654" s="9"/>
      <c r="F1654" s="9"/>
      <c r="G1654" s="9"/>
      <c r="H1654" s="9"/>
      <c r="I1654" s="9"/>
      <c r="J1654" s="10"/>
      <c r="K1654" s="10"/>
      <c r="L1654" s="10"/>
      <c r="M1654" s="10"/>
      <c r="N1654" s="11"/>
      <c r="O1654" s="11"/>
      <c r="P1654" s="11"/>
      <c r="Q1654" s="11"/>
      <c r="R1654" s="10"/>
      <c r="S1654" s="10"/>
      <c r="T1654" s="10"/>
      <c r="U1654" s="10"/>
    </row>
    <row r="1655">
      <c r="A1655" s="8"/>
      <c r="B1655" s="9"/>
      <c r="C1655" s="9"/>
      <c r="D1655" s="9"/>
      <c r="E1655" s="9"/>
      <c r="F1655" s="9"/>
      <c r="G1655" s="9"/>
      <c r="H1655" s="9"/>
      <c r="I1655" s="9"/>
      <c r="J1655" s="10"/>
      <c r="K1655" s="10"/>
      <c r="L1655" s="10"/>
      <c r="M1655" s="10"/>
      <c r="N1655" s="11"/>
      <c r="O1655" s="11"/>
      <c r="P1655" s="11"/>
      <c r="Q1655" s="11"/>
      <c r="R1655" s="10"/>
      <c r="S1655" s="10"/>
      <c r="T1655" s="10"/>
      <c r="U1655" s="10"/>
    </row>
    <row r="1656">
      <c r="A1656" s="8"/>
      <c r="B1656" s="9"/>
      <c r="C1656" s="9"/>
      <c r="D1656" s="9"/>
      <c r="E1656" s="9"/>
      <c r="F1656" s="9"/>
      <c r="G1656" s="9"/>
      <c r="H1656" s="9"/>
      <c r="I1656" s="9"/>
      <c r="J1656" s="10"/>
      <c r="K1656" s="10"/>
      <c r="L1656" s="10"/>
      <c r="M1656" s="10"/>
      <c r="N1656" s="11"/>
      <c r="O1656" s="11"/>
      <c r="P1656" s="11"/>
      <c r="Q1656" s="11"/>
      <c r="R1656" s="10"/>
      <c r="S1656" s="10"/>
      <c r="T1656" s="10"/>
      <c r="U1656" s="10"/>
    </row>
    <row r="1657">
      <c r="A1657" s="8"/>
      <c r="B1657" s="9"/>
      <c r="C1657" s="9"/>
      <c r="D1657" s="9"/>
      <c r="E1657" s="9"/>
      <c r="F1657" s="9"/>
      <c r="G1657" s="9"/>
      <c r="H1657" s="9"/>
      <c r="I1657" s="9"/>
      <c r="J1657" s="10"/>
      <c r="K1657" s="10"/>
      <c r="L1657" s="10"/>
      <c r="M1657" s="10"/>
      <c r="N1657" s="11"/>
      <c r="O1657" s="11"/>
      <c r="P1657" s="11"/>
      <c r="Q1657" s="11"/>
      <c r="R1657" s="10"/>
      <c r="S1657" s="10"/>
      <c r="T1657" s="10"/>
      <c r="U1657" s="10"/>
    </row>
    <row r="1658">
      <c r="A1658" s="8"/>
      <c r="B1658" s="9"/>
      <c r="C1658" s="9"/>
      <c r="D1658" s="9"/>
      <c r="E1658" s="9"/>
      <c r="F1658" s="9"/>
      <c r="G1658" s="9"/>
      <c r="H1658" s="9"/>
      <c r="I1658" s="9"/>
      <c r="J1658" s="10"/>
      <c r="K1658" s="10"/>
      <c r="L1658" s="10"/>
      <c r="M1658" s="10"/>
      <c r="N1658" s="11"/>
      <c r="O1658" s="11"/>
      <c r="P1658" s="11"/>
      <c r="Q1658" s="11"/>
      <c r="R1658" s="10"/>
      <c r="S1658" s="10"/>
      <c r="T1658" s="10"/>
      <c r="U1658" s="10"/>
    </row>
    <row r="1659">
      <c r="A1659" s="8"/>
      <c r="B1659" s="9"/>
      <c r="C1659" s="9"/>
      <c r="D1659" s="9"/>
      <c r="E1659" s="9"/>
      <c r="F1659" s="9"/>
      <c r="G1659" s="9"/>
      <c r="H1659" s="9"/>
      <c r="I1659" s="9"/>
      <c r="J1659" s="10"/>
      <c r="K1659" s="10"/>
      <c r="L1659" s="10"/>
      <c r="M1659" s="10"/>
      <c r="N1659" s="11"/>
      <c r="O1659" s="11"/>
      <c r="P1659" s="11"/>
      <c r="Q1659" s="11"/>
      <c r="R1659" s="10"/>
      <c r="S1659" s="10"/>
      <c r="T1659" s="10"/>
      <c r="U1659" s="10"/>
    </row>
    <row r="1660">
      <c r="A1660" s="8"/>
      <c r="B1660" s="9"/>
      <c r="C1660" s="9"/>
      <c r="D1660" s="9"/>
      <c r="E1660" s="9"/>
      <c r="F1660" s="9"/>
      <c r="G1660" s="9"/>
      <c r="H1660" s="9"/>
      <c r="I1660" s="9"/>
      <c r="J1660" s="10"/>
      <c r="K1660" s="10"/>
      <c r="L1660" s="10"/>
      <c r="M1660" s="10"/>
      <c r="N1660" s="11"/>
      <c r="O1660" s="11"/>
      <c r="P1660" s="11"/>
      <c r="Q1660" s="11"/>
      <c r="R1660" s="10"/>
      <c r="S1660" s="10"/>
      <c r="T1660" s="10"/>
      <c r="U1660" s="10"/>
    </row>
    <row r="1661">
      <c r="A1661" s="8"/>
      <c r="B1661" s="9"/>
      <c r="C1661" s="9"/>
      <c r="D1661" s="9"/>
      <c r="E1661" s="9"/>
      <c r="F1661" s="9"/>
      <c r="G1661" s="9"/>
      <c r="H1661" s="9"/>
      <c r="I1661" s="9"/>
      <c r="J1661" s="10"/>
      <c r="K1661" s="10"/>
      <c r="L1661" s="10"/>
      <c r="M1661" s="10"/>
      <c r="N1661" s="11"/>
      <c r="O1661" s="11"/>
      <c r="P1661" s="11"/>
      <c r="Q1661" s="11"/>
      <c r="R1661" s="10"/>
      <c r="S1661" s="10"/>
      <c r="T1661" s="10"/>
      <c r="U1661" s="10"/>
    </row>
    <row r="1662">
      <c r="A1662" s="8"/>
      <c r="B1662" s="9"/>
      <c r="C1662" s="9"/>
      <c r="D1662" s="9"/>
      <c r="E1662" s="9"/>
      <c r="F1662" s="9"/>
      <c r="G1662" s="9"/>
      <c r="H1662" s="9"/>
      <c r="I1662" s="9"/>
      <c r="J1662" s="10"/>
      <c r="K1662" s="10"/>
      <c r="L1662" s="10"/>
      <c r="M1662" s="10"/>
      <c r="N1662" s="11"/>
      <c r="O1662" s="11"/>
      <c r="P1662" s="11"/>
      <c r="Q1662" s="11"/>
      <c r="R1662" s="10"/>
      <c r="S1662" s="10"/>
      <c r="T1662" s="10"/>
      <c r="U1662" s="10"/>
    </row>
    <row r="1663">
      <c r="A1663" s="8"/>
      <c r="B1663" s="9"/>
      <c r="C1663" s="9"/>
      <c r="D1663" s="9"/>
      <c r="E1663" s="9"/>
      <c r="F1663" s="9"/>
      <c r="G1663" s="9"/>
      <c r="H1663" s="9"/>
      <c r="I1663" s="9"/>
      <c r="J1663" s="10"/>
      <c r="K1663" s="10"/>
      <c r="L1663" s="10"/>
      <c r="M1663" s="10"/>
      <c r="N1663" s="11"/>
      <c r="O1663" s="11"/>
      <c r="P1663" s="11"/>
      <c r="Q1663" s="11"/>
      <c r="R1663" s="10"/>
      <c r="S1663" s="10"/>
      <c r="T1663" s="10"/>
      <c r="U1663" s="10"/>
    </row>
    <row r="1664">
      <c r="A1664" s="8"/>
      <c r="B1664" s="9"/>
      <c r="C1664" s="9"/>
      <c r="D1664" s="9"/>
      <c r="E1664" s="9"/>
      <c r="F1664" s="9"/>
      <c r="G1664" s="9"/>
      <c r="H1664" s="9"/>
      <c r="I1664" s="9"/>
      <c r="J1664" s="10"/>
      <c r="K1664" s="10"/>
      <c r="L1664" s="10"/>
      <c r="M1664" s="10"/>
      <c r="N1664" s="11"/>
      <c r="O1664" s="11"/>
      <c r="P1664" s="11"/>
      <c r="Q1664" s="11"/>
      <c r="R1664" s="10"/>
      <c r="S1664" s="10"/>
      <c r="T1664" s="10"/>
      <c r="U1664" s="10"/>
    </row>
    <row r="1665">
      <c r="A1665" s="8"/>
      <c r="B1665" s="9"/>
      <c r="C1665" s="9"/>
      <c r="D1665" s="9"/>
      <c r="E1665" s="9"/>
      <c r="F1665" s="9"/>
      <c r="G1665" s="9"/>
      <c r="H1665" s="9"/>
      <c r="I1665" s="9"/>
      <c r="J1665" s="10"/>
      <c r="K1665" s="10"/>
      <c r="L1665" s="10"/>
      <c r="M1665" s="10"/>
      <c r="N1665" s="11"/>
      <c r="O1665" s="11"/>
      <c r="P1665" s="11"/>
      <c r="Q1665" s="11"/>
      <c r="R1665" s="10"/>
      <c r="S1665" s="10"/>
      <c r="T1665" s="10"/>
      <c r="U1665" s="10"/>
    </row>
    <row r="1666">
      <c r="A1666" s="8"/>
      <c r="B1666" s="9"/>
      <c r="C1666" s="9"/>
      <c r="D1666" s="9"/>
      <c r="E1666" s="9"/>
      <c r="F1666" s="9"/>
      <c r="G1666" s="9"/>
      <c r="H1666" s="9"/>
      <c r="I1666" s="9"/>
      <c r="J1666" s="10"/>
      <c r="K1666" s="10"/>
      <c r="L1666" s="10"/>
      <c r="M1666" s="10"/>
      <c r="N1666" s="11"/>
      <c r="O1666" s="11"/>
      <c r="P1666" s="11"/>
      <c r="Q1666" s="11"/>
      <c r="R1666" s="10"/>
      <c r="S1666" s="10"/>
      <c r="T1666" s="10"/>
      <c r="U1666" s="10"/>
    </row>
    <row r="1667">
      <c r="A1667" s="8"/>
      <c r="B1667" s="9"/>
      <c r="C1667" s="9"/>
      <c r="D1667" s="9"/>
      <c r="E1667" s="9"/>
      <c r="F1667" s="9"/>
      <c r="G1667" s="9"/>
      <c r="H1667" s="9"/>
      <c r="I1667" s="9"/>
      <c r="J1667" s="10"/>
      <c r="K1667" s="10"/>
      <c r="L1667" s="10"/>
      <c r="M1667" s="10"/>
      <c r="N1667" s="11"/>
      <c r="O1667" s="11"/>
      <c r="P1667" s="11"/>
      <c r="Q1667" s="11"/>
      <c r="R1667" s="10"/>
      <c r="S1667" s="10"/>
      <c r="T1667" s="10"/>
      <c r="U1667" s="10"/>
    </row>
    <row r="1668">
      <c r="A1668" s="8"/>
      <c r="B1668" s="9"/>
      <c r="C1668" s="9"/>
      <c r="D1668" s="9"/>
      <c r="E1668" s="9"/>
      <c r="F1668" s="9"/>
      <c r="G1668" s="9"/>
      <c r="H1668" s="9"/>
      <c r="I1668" s="9"/>
      <c r="J1668" s="10"/>
      <c r="K1668" s="10"/>
      <c r="L1668" s="10"/>
      <c r="M1668" s="10"/>
      <c r="N1668" s="11"/>
      <c r="O1668" s="11"/>
      <c r="P1668" s="11"/>
      <c r="Q1668" s="11"/>
      <c r="R1668" s="10"/>
      <c r="S1668" s="10"/>
      <c r="T1668" s="10"/>
      <c r="U1668" s="10"/>
    </row>
    <row r="1669">
      <c r="A1669" s="8"/>
      <c r="B1669" s="9"/>
      <c r="C1669" s="9"/>
      <c r="D1669" s="9"/>
      <c r="E1669" s="9"/>
      <c r="F1669" s="9"/>
      <c r="G1669" s="9"/>
      <c r="H1669" s="9"/>
      <c r="I1669" s="9"/>
      <c r="J1669" s="10"/>
      <c r="K1669" s="10"/>
      <c r="L1669" s="10"/>
      <c r="M1669" s="10"/>
      <c r="N1669" s="11"/>
      <c r="O1669" s="11"/>
      <c r="P1669" s="11"/>
      <c r="Q1669" s="11"/>
      <c r="R1669" s="10"/>
      <c r="S1669" s="10"/>
      <c r="T1669" s="10"/>
      <c r="U1669" s="10"/>
    </row>
    <row r="1670">
      <c r="A1670" s="8"/>
      <c r="B1670" s="9"/>
      <c r="C1670" s="9"/>
      <c r="D1670" s="9"/>
      <c r="E1670" s="9"/>
      <c r="F1670" s="9"/>
      <c r="G1670" s="9"/>
      <c r="H1670" s="9"/>
      <c r="I1670" s="9"/>
      <c r="J1670" s="10"/>
      <c r="K1670" s="10"/>
      <c r="L1670" s="10"/>
      <c r="M1670" s="10"/>
      <c r="N1670" s="11"/>
      <c r="O1670" s="11"/>
      <c r="P1670" s="11"/>
      <c r="Q1670" s="11"/>
      <c r="R1670" s="10"/>
      <c r="S1670" s="10"/>
      <c r="T1670" s="10"/>
      <c r="U1670" s="10"/>
    </row>
    <row r="1671">
      <c r="A1671" s="8"/>
      <c r="B1671" s="9"/>
      <c r="C1671" s="9"/>
      <c r="D1671" s="9"/>
      <c r="E1671" s="9"/>
      <c r="F1671" s="9"/>
      <c r="G1671" s="9"/>
      <c r="H1671" s="9"/>
      <c r="I1671" s="9"/>
      <c r="J1671" s="10"/>
      <c r="K1671" s="10"/>
      <c r="L1671" s="10"/>
      <c r="M1671" s="10"/>
      <c r="N1671" s="11"/>
      <c r="O1671" s="11"/>
      <c r="P1671" s="11"/>
      <c r="Q1671" s="11"/>
      <c r="R1671" s="10"/>
      <c r="S1671" s="10"/>
      <c r="T1671" s="10"/>
      <c r="U1671" s="10"/>
    </row>
    <row r="1672">
      <c r="A1672" s="8"/>
      <c r="B1672" s="9"/>
      <c r="C1672" s="9"/>
      <c r="D1672" s="9"/>
      <c r="E1672" s="9"/>
      <c r="F1672" s="9"/>
      <c r="G1672" s="9"/>
      <c r="H1672" s="9"/>
      <c r="I1672" s="9"/>
      <c r="J1672" s="10"/>
      <c r="K1672" s="10"/>
      <c r="L1672" s="10"/>
      <c r="M1672" s="10"/>
      <c r="N1672" s="11"/>
      <c r="O1672" s="11"/>
      <c r="P1672" s="11"/>
      <c r="Q1672" s="11"/>
      <c r="R1672" s="10"/>
      <c r="S1672" s="10"/>
      <c r="T1672" s="10"/>
      <c r="U1672" s="10"/>
    </row>
    <row r="1673">
      <c r="A1673" s="8"/>
      <c r="B1673" s="9"/>
      <c r="C1673" s="9"/>
      <c r="D1673" s="9"/>
      <c r="E1673" s="9"/>
      <c r="F1673" s="9"/>
      <c r="G1673" s="9"/>
      <c r="H1673" s="9"/>
      <c r="I1673" s="9"/>
      <c r="J1673" s="10"/>
      <c r="K1673" s="10"/>
      <c r="L1673" s="10"/>
      <c r="M1673" s="10"/>
      <c r="N1673" s="11"/>
      <c r="O1673" s="11"/>
      <c r="P1673" s="11"/>
      <c r="Q1673" s="11"/>
      <c r="R1673" s="10"/>
      <c r="S1673" s="10"/>
      <c r="T1673" s="10"/>
      <c r="U1673" s="10"/>
    </row>
    <row r="1674">
      <c r="A1674" s="8"/>
      <c r="B1674" s="9"/>
      <c r="C1674" s="9"/>
      <c r="D1674" s="9"/>
      <c r="E1674" s="9"/>
      <c r="F1674" s="9"/>
      <c r="G1674" s="9"/>
      <c r="H1674" s="9"/>
      <c r="I1674" s="9"/>
      <c r="J1674" s="10"/>
      <c r="K1674" s="10"/>
      <c r="L1674" s="10"/>
      <c r="M1674" s="10"/>
      <c r="N1674" s="11"/>
      <c r="O1674" s="11"/>
      <c r="P1674" s="11"/>
      <c r="Q1674" s="11"/>
      <c r="R1674" s="10"/>
      <c r="S1674" s="10"/>
      <c r="T1674" s="10"/>
      <c r="U1674" s="10"/>
    </row>
    <row r="1675">
      <c r="A1675" s="8"/>
      <c r="B1675" s="9"/>
      <c r="C1675" s="9"/>
      <c r="D1675" s="9"/>
      <c r="E1675" s="9"/>
      <c r="F1675" s="9"/>
      <c r="G1675" s="9"/>
      <c r="H1675" s="9"/>
      <c r="I1675" s="9"/>
      <c r="J1675" s="10"/>
      <c r="K1675" s="10"/>
      <c r="L1675" s="10"/>
      <c r="M1675" s="10"/>
      <c r="N1675" s="11"/>
      <c r="O1675" s="11"/>
      <c r="P1675" s="11"/>
      <c r="Q1675" s="11"/>
      <c r="R1675" s="10"/>
      <c r="S1675" s="10"/>
      <c r="T1675" s="10"/>
      <c r="U1675" s="10"/>
    </row>
    <row r="1676">
      <c r="A1676" s="8"/>
      <c r="B1676" s="9"/>
      <c r="C1676" s="9"/>
      <c r="D1676" s="9"/>
      <c r="E1676" s="9"/>
      <c r="F1676" s="9"/>
      <c r="G1676" s="9"/>
      <c r="H1676" s="9"/>
      <c r="I1676" s="9"/>
      <c r="J1676" s="10"/>
      <c r="K1676" s="10"/>
      <c r="L1676" s="10"/>
      <c r="M1676" s="10"/>
      <c r="N1676" s="11"/>
      <c r="O1676" s="11"/>
      <c r="P1676" s="11"/>
      <c r="Q1676" s="11"/>
      <c r="R1676" s="10"/>
      <c r="S1676" s="10"/>
      <c r="T1676" s="10"/>
      <c r="U1676" s="10"/>
    </row>
    <row r="1677">
      <c r="A1677" s="8"/>
      <c r="B1677" s="9"/>
      <c r="C1677" s="9"/>
      <c r="D1677" s="9"/>
      <c r="E1677" s="9"/>
      <c r="F1677" s="9"/>
      <c r="G1677" s="9"/>
      <c r="H1677" s="9"/>
      <c r="I1677" s="9"/>
      <c r="J1677" s="10"/>
      <c r="K1677" s="10"/>
      <c r="L1677" s="10"/>
      <c r="M1677" s="10"/>
      <c r="N1677" s="11"/>
      <c r="O1677" s="11"/>
      <c r="P1677" s="11"/>
      <c r="Q1677" s="11"/>
      <c r="R1677" s="10"/>
      <c r="S1677" s="10"/>
      <c r="T1677" s="10"/>
      <c r="U1677" s="10"/>
    </row>
    <row r="1678">
      <c r="A1678" s="8"/>
      <c r="B1678" s="9"/>
      <c r="C1678" s="9"/>
      <c r="D1678" s="9"/>
      <c r="E1678" s="9"/>
      <c r="F1678" s="9"/>
      <c r="G1678" s="9"/>
      <c r="H1678" s="9"/>
      <c r="I1678" s="9"/>
      <c r="J1678" s="10"/>
      <c r="K1678" s="10"/>
      <c r="L1678" s="10"/>
      <c r="M1678" s="10"/>
      <c r="N1678" s="11"/>
      <c r="O1678" s="11"/>
      <c r="P1678" s="11"/>
      <c r="Q1678" s="11"/>
      <c r="R1678" s="10"/>
      <c r="S1678" s="10"/>
      <c r="T1678" s="10"/>
      <c r="U1678" s="10"/>
    </row>
    <row r="1679">
      <c r="A1679" s="8"/>
      <c r="B1679" s="9"/>
      <c r="C1679" s="9"/>
      <c r="D1679" s="9"/>
      <c r="E1679" s="9"/>
      <c r="F1679" s="9"/>
      <c r="G1679" s="9"/>
      <c r="H1679" s="9"/>
      <c r="I1679" s="9"/>
      <c r="J1679" s="10"/>
      <c r="K1679" s="10"/>
      <c r="L1679" s="10"/>
      <c r="M1679" s="10"/>
      <c r="N1679" s="11"/>
      <c r="O1679" s="11"/>
      <c r="P1679" s="11"/>
      <c r="Q1679" s="11"/>
      <c r="R1679" s="10"/>
      <c r="S1679" s="10"/>
      <c r="T1679" s="10"/>
      <c r="U1679" s="10"/>
    </row>
    <row r="1680">
      <c r="A1680" s="8"/>
      <c r="B1680" s="9"/>
      <c r="C1680" s="9"/>
      <c r="D1680" s="9"/>
      <c r="E1680" s="9"/>
      <c r="F1680" s="9"/>
      <c r="G1680" s="9"/>
      <c r="H1680" s="9"/>
      <c r="I1680" s="9"/>
      <c r="J1680" s="10"/>
      <c r="K1680" s="10"/>
      <c r="L1680" s="10"/>
      <c r="M1680" s="10"/>
      <c r="N1680" s="11"/>
      <c r="O1680" s="11"/>
      <c r="P1680" s="11"/>
      <c r="Q1680" s="11"/>
      <c r="R1680" s="10"/>
      <c r="S1680" s="10"/>
      <c r="T1680" s="10"/>
      <c r="U1680" s="10"/>
    </row>
    <row r="1681">
      <c r="A1681" s="8"/>
      <c r="B1681" s="9"/>
      <c r="C1681" s="9"/>
      <c r="D1681" s="9"/>
      <c r="E1681" s="9"/>
      <c r="F1681" s="9"/>
      <c r="G1681" s="9"/>
      <c r="H1681" s="9"/>
      <c r="I1681" s="9"/>
      <c r="J1681" s="10"/>
      <c r="K1681" s="10"/>
      <c r="L1681" s="10"/>
      <c r="M1681" s="10"/>
      <c r="N1681" s="11"/>
      <c r="O1681" s="11"/>
      <c r="P1681" s="11"/>
      <c r="Q1681" s="11"/>
      <c r="R1681" s="10"/>
      <c r="S1681" s="10"/>
      <c r="T1681" s="10"/>
      <c r="U1681" s="10"/>
    </row>
    <row r="1682">
      <c r="A1682" s="8"/>
      <c r="B1682" s="9"/>
      <c r="C1682" s="9"/>
      <c r="D1682" s="9"/>
      <c r="E1682" s="9"/>
      <c r="F1682" s="9"/>
      <c r="G1682" s="9"/>
      <c r="H1682" s="9"/>
      <c r="I1682" s="9"/>
      <c r="J1682" s="10"/>
      <c r="K1682" s="10"/>
      <c r="L1682" s="10"/>
      <c r="M1682" s="10"/>
      <c r="N1682" s="11"/>
      <c r="O1682" s="11"/>
      <c r="P1682" s="11"/>
      <c r="Q1682" s="11"/>
      <c r="R1682" s="10"/>
      <c r="S1682" s="10"/>
      <c r="T1682" s="10"/>
      <c r="U1682" s="10"/>
    </row>
    <row r="1683">
      <c r="A1683" s="8"/>
      <c r="B1683" s="9"/>
      <c r="C1683" s="9"/>
      <c r="D1683" s="9"/>
      <c r="E1683" s="9"/>
      <c r="F1683" s="9"/>
      <c r="G1683" s="9"/>
      <c r="H1683" s="9"/>
      <c r="I1683" s="9"/>
      <c r="J1683" s="10"/>
      <c r="K1683" s="10"/>
      <c r="L1683" s="10"/>
      <c r="M1683" s="10"/>
      <c r="N1683" s="11"/>
      <c r="O1683" s="11"/>
      <c r="P1683" s="11"/>
      <c r="Q1683" s="11"/>
      <c r="R1683" s="10"/>
      <c r="S1683" s="10"/>
      <c r="T1683" s="10"/>
      <c r="U1683" s="10"/>
    </row>
    <row r="1684">
      <c r="A1684" s="8"/>
      <c r="B1684" s="9"/>
      <c r="C1684" s="9"/>
      <c r="D1684" s="9"/>
      <c r="E1684" s="9"/>
      <c r="F1684" s="9"/>
      <c r="G1684" s="9"/>
      <c r="H1684" s="9"/>
      <c r="I1684" s="9"/>
      <c r="J1684" s="10"/>
      <c r="K1684" s="10"/>
      <c r="L1684" s="10"/>
      <c r="M1684" s="10"/>
      <c r="N1684" s="11"/>
      <c r="O1684" s="11"/>
      <c r="P1684" s="11"/>
      <c r="Q1684" s="11"/>
      <c r="R1684" s="10"/>
      <c r="S1684" s="10"/>
      <c r="T1684" s="10"/>
      <c r="U1684" s="10"/>
    </row>
    <row r="1685">
      <c r="A1685" s="8"/>
      <c r="B1685" s="9"/>
      <c r="C1685" s="9"/>
      <c r="D1685" s="9"/>
      <c r="E1685" s="9"/>
      <c r="F1685" s="9"/>
      <c r="G1685" s="9"/>
      <c r="H1685" s="9"/>
      <c r="I1685" s="9"/>
      <c r="J1685" s="10"/>
      <c r="K1685" s="10"/>
      <c r="L1685" s="10"/>
      <c r="M1685" s="10"/>
      <c r="N1685" s="11"/>
      <c r="O1685" s="11"/>
      <c r="P1685" s="11"/>
      <c r="Q1685" s="11"/>
      <c r="R1685" s="10"/>
      <c r="S1685" s="10"/>
      <c r="T1685" s="10"/>
      <c r="U1685" s="10"/>
    </row>
    <row r="1686">
      <c r="A1686" s="8"/>
      <c r="B1686" s="9"/>
      <c r="C1686" s="9"/>
      <c r="D1686" s="9"/>
      <c r="E1686" s="9"/>
      <c r="F1686" s="9"/>
      <c r="G1686" s="9"/>
      <c r="H1686" s="9"/>
      <c r="I1686" s="9"/>
      <c r="J1686" s="10"/>
      <c r="K1686" s="10"/>
      <c r="L1686" s="10"/>
      <c r="M1686" s="10"/>
      <c r="N1686" s="11"/>
      <c r="O1686" s="11"/>
      <c r="P1686" s="11"/>
      <c r="Q1686" s="11"/>
      <c r="R1686" s="10"/>
      <c r="S1686" s="10"/>
      <c r="T1686" s="10"/>
      <c r="U1686" s="10"/>
    </row>
    <row r="1687">
      <c r="A1687" s="8"/>
      <c r="B1687" s="9"/>
      <c r="C1687" s="9"/>
      <c r="D1687" s="9"/>
      <c r="E1687" s="9"/>
      <c r="F1687" s="9"/>
      <c r="G1687" s="9"/>
      <c r="H1687" s="9"/>
      <c r="I1687" s="9"/>
      <c r="J1687" s="10"/>
      <c r="K1687" s="10"/>
      <c r="L1687" s="10"/>
      <c r="M1687" s="10"/>
      <c r="N1687" s="11"/>
      <c r="O1687" s="11"/>
      <c r="P1687" s="11"/>
      <c r="Q1687" s="11"/>
      <c r="R1687" s="10"/>
      <c r="S1687" s="10"/>
      <c r="T1687" s="10"/>
      <c r="U1687" s="10"/>
    </row>
    <row r="1688">
      <c r="A1688" s="8"/>
      <c r="B1688" s="9"/>
      <c r="C1688" s="9"/>
      <c r="D1688" s="9"/>
      <c r="E1688" s="9"/>
      <c r="F1688" s="9"/>
      <c r="G1688" s="9"/>
      <c r="H1688" s="9"/>
      <c r="I1688" s="9"/>
      <c r="J1688" s="10"/>
      <c r="K1688" s="10"/>
      <c r="L1688" s="10"/>
      <c r="M1688" s="10"/>
      <c r="N1688" s="11"/>
      <c r="O1688" s="11"/>
      <c r="P1688" s="11"/>
      <c r="Q1688" s="11"/>
      <c r="R1688" s="10"/>
      <c r="S1688" s="10"/>
      <c r="T1688" s="10"/>
      <c r="U1688" s="10"/>
    </row>
    <row r="1689">
      <c r="A1689" s="8"/>
      <c r="B1689" s="9"/>
      <c r="C1689" s="9"/>
      <c r="D1689" s="9"/>
      <c r="E1689" s="9"/>
      <c r="F1689" s="9"/>
      <c r="G1689" s="9"/>
      <c r="H1689" s="9"/>
      <c r="I1689" s="9"/>
      <c r="J1689" s="10"/>
      <c r="K1689" s="10"/>
      <c r="L1689" s="10"/>
      <c r="M1689" s="10"/>
      <c r="N1689" s="11"/>
      <c r="O1689" s="11"/>
      <c r="P1689" s="11"/>
      <c r="Q1689" s="11"/>
      <c r="R1689" s="10"/>
      <c r="S1689" s="10"/>
      <c r="T1689" s="10"/>
      <c r="U1689" s="10"/>
    </row>
    <row r="1690">
      <c r="A1690" s="8"/>
      <c r="B1690" s="9"/>
      <c r="C1690" s="9"/>
      <c r="D1690" s="9"/>
      <c r="E1690" s="9"/>
      <c r="F1690" s="9"/>
      <c r="G1690" s="9"/>
      <c r="H1690" s="9"/>
      <c r="I1690" s="9"/>
      <c r="J1690" s="10"/>
      <c r="K1690" s="10"/>
      <c r="L1690" s="10"/>
      <c r="M1690" s="10"/>
      <c r="N1690" s="11"/>
      <c r="O1690" s="11"/>
      <c r="P1690" s="11"/>
      <c r="Q1690" s="11"/>
      <c r="R1690" s="10"/>
      <c r="S1690" s="10"/>
      <c r="T1690" s="10"/>
      <c r="U1690" s="10"/>
    </row>
    <row r="1691">
      <c r="A1691" s="8"/>
      <c r="B1691" s="9"/>
      <c r="C1691" s="9"/>
      <c r="D1691" s="9"/>
      <c r="E1691" s="9"/>
      <c r="F1691" s="9"/>
      <c r="G1691" s="9"/>
      <c r="H1691" s="9"/>
      <c r="I1691" s="9"/>
      <c r="J1691" s="10"/>
      <c r="K1691" s="10"/>
      <c r="L1691" s="10"/>
      <c r="M1691" s="10"/>
      <c r="N1691" s="11"/>
      <c r="O1691" s="11"/>
      <c r="P1691" s="11"/>
      <c r="Q1691" s="11"/>
      <c r="R1691" s="10"/>
      <c r="S1691" s="10"/>
      <c r="T1691" s="10"/>
      <c r="U1691" s="10"/>
    </row>
    <row r="1692">
      <c r="A1692" s="8"/>
      <c r="B1692" s="9"/>
      <c r="C1692" s="9"/>
      <c r="D1692" s="9"/>
      <c r="E1692" s="9"/>
      <c r="F1692" s="9"/>
      <c r="G1692" s="9"/>
      <c r="H1692" s="9"/>
      <c r="I1692" s="9"/>
      <c r="J1692" s="10"/>
      <c r="K1692" s="10"/>
      <c r="L1692" s="10"/>
      <c r="M1692" s="10"/>
      <c r="N1692" s="11"/>
      <c r="O1692" s="11"/>
      <c r="P1692" s="11"/>
      <c r="Q1692" s="11"/>
      <c r="R1692" s="10"/>
      <c r="S1692" s="10"/>
      <c r="T1692" s="10"/>
      <c r="U1692" s="10"/>
    </row>
    <row r="1693">
      <c r="A1693" s="8"/>
      <c r="B1693" s="9"/>
      <c r="C1693" s="9"/>
      <c r="D1693" s="9"/>
      <c r="E1693" s="9"/>
      <c r="F1693" s="9"/>
      <c r="G1693" s="9"/>
      <c r="H1693" s="9"/>
      <c r="I1693" s="9"/>
      <c r="J1693" s="10"/>
      <c r="K1693" s="10"/>
      <c r="L1693" s="10"/>
      <c r="M1693" s="10"/>
      <c r="N1693" s="11"/>
      <c r="O1693" s="11"/>
      <c r="P1693" s="11"/>
      <c r="Q1693" s="11"/>
      <c r="R1693" s="10"/>
      <c r="S1693" s="10"/>
      <c r="T1693" s="10"/>
      <c r="U1693" s="10"/>
    </row>
    <row r="1694">
      <c r="A1694" s="8"/>
      <c r="B1694" s="9"/>
      <c r="C1694" s="9"/>
      <c r="D1694" s="9"/>
      <c r="E1694" s="9"/>
      <c r="F1694" s="9"/>
      <c r="G1694" s="9"/>
      <c r="H1694" s="9"/>
      <c r="I1694" s="9"/>
      <c r="J1694" s="10"/>
      <c r="K1694" s="10"/>
      <c r="L1694" s="10"/>
      <c r="M1694" s="10"/>
      <c r="N1694" s="11"/>
      <c r="O1694" s="11"/>
      <c r="P1694" s="11"/>
      <c r="Q1694" s="11"/>
      <c r="R1694" s="10"/>
      <c r="S1694" s="10"/>
      <c r="T1694" s="10"/>
      <c r="U1694" s="10"/>
    </row>
    <row r="1695">
      <c r="A1695" s="8"/>
      <c r="B1695" s="9"/>
      <c r="C1695" s="9"/>
      <c r="D1695" s="9"/>
      <c r="E1695" s="9"/>
      <c r="F1695" s="9"/>
      <c r="G1695" s="9"/>
      <c r="H1695" s="9"/>
      <c r="I1695" s="9"/>
      <c r="J1695" s="10"/>
      <c r="K1695" s="10"/>
      <c r="L1695" s="10"/>
      <c r="M1695" s="10"/>
      <c r="N1695" s="11"/>
      <c r="O1695" s="11"/>
      <c r="P1695" s="11"/>
      <c r="Q1695" s="11"/>
      <c r="R1695" s="10"/>
      <c r="S1695" s="10"/>
      <c r="T1695" s="10"/>
      <c r="U1695" s="10"/>
    </row>
    <row r="1696">
      <c r="A1696" s="8"/>
      <c r="B1696" s="9"/>
      <c r="C1696" s="9"/>
      <c r="D1696" s="9"/>
      <c r="E1696" s="9"/>
      <c r="F1696" s="9"/>
      <c r="G1696" s="9"/>
      <c r="H1696" s="9"/>
      <c r="I1696" s="9"/>
      <c r="J1696" s="10"/>
      <c r="K1696" s="10"/>
      <c r="L1696" s="10"/>
      <c r="M1696" s="10"/>
      <c r="N1696" s="11"/>
      <c r="O1696" s="11"/>
      <c r="P1696" s="11"/>
      <c r="Q1696" s="11"/>
      <c r="R1696" s="10"/>
      <c r="S1696" s="10"/>
      <c r="T1696" s="10"/>
      <c r="U1696" s="10"/>
    </row>
    <row r="1697">
      <c r="A1697" s="8"/>
      <c r="B1697" s="9"/>
      <c r="C1697" s="9"/>
      <c r="D1697" s="9"/>
      <c r="E1697" s="9"/>
      <c r="F1697" s="9"/>
      <c r="G1697" s="9"/>
      <c r="H1697" s="9"/>
      <c r="I1697" s="9"/>
      <c r="J1697" s="10"/>
      <c r="K1697" s="10"/>
      <c r="L1697" s="10"/>
      <c r="M1697" s="10"/>
      <c r="N1697" s="11"/>
      <c r="O1697" s="11"/>
      <c r="P1697" s="11"/>
      <c r="Q1697" s="11"/>
      <c r="R1697" s="10"/>
      <c r="S1697" s="10"/>
      <c r="T1697" s="10"/>
      <c r="U1697" s="10"/>
    </row>
    <row r="1698">
      <c r="A1698" s="8"/>
      <c r="B1698" s="9"/>
      <c r="C1698" s="9"/>
      <c r="D1698" s="9"/>
      <c r="E1698" s="9"/>
      <c r="F1698" s="9"/>
      <c r="G1698" s="9"/>
      <c r="H1698" s="9"/>
      <c r="I1698" s="9"/>
      <c r="J1698" s="10"/>
      <c r="K1698" s="10"/>
      <c r="L1698" s="10"/>
      <c r="M1698" s="10"/>
      <c r="N1698" s="11"/>
      <c r="O1698" s="11"/>
      <c r="P1698" s="11"/>
      <c r="Q1698" s="11"/>
      <c r="R1698" s="10"/>
      <c r="S1698" s="10"/>
      <c r="T1698" s="10"/>
      <c r="U1698" s="10"/>
    </row>
    <row r="1699">
      <c r="A1699" s="8"/>
      <c r="B1699" s="9"/>
      <c r="C1699" s="9"/>
      <c r="D1699" s="9"/>
      <c r="E1699" s="9"/>
      <c r="F1699" s="9"/>
      <c r="G1699" s="9"/>
      <c r="H1699" s="9"/>
      <c r="I1699" s="9"/>
      <c r="J1699" s="10"/>
      <c r="K1699" s="10"/>
      <c r="L1699" s="10"/>
      <c r="M1699" s="10"/>
      <c r="N1699" s="11"/>
      <c r="O1699" s="11"/>
      <c r="P1699" s="11"/>
      <c r="Q1699" s="11"/>
      <c r="R1699" s="10"/>
      <c r="S1699" s="10"/>
      <c r="T1699" s="10"/>
      <c r="U1699" s="10"/>
    </row>
    <row r="1700">
      <c r="A1700" s="8"/>
      <c r="B1700" s="9"/>
      <c r="C1700" s="9"/>
      <c r="D1700" s="9"/>
      <c r="E1700" s="9"/>
      <c r="F1700" s="9"/>
      <c r="G1700" s="9"/>
      <c r="H1700" s="9"/>
      <c r="I1700" s="9"/>
      <c r="J1700" s="10"/>
      <c r="K1700" s="10"/>
      <c r="L1700" s="10"/>
      <c r="M1700" s="10"/>
      <c r="N1700" s="11"/>
      <c r="O1700" s="11"/>
      <c r="P1700" s="11"/>
      <c r="Q1700" s="11"/>
      <c r="R1700" s="10"/>
      <c r="S1700" s="10"/>
      <c r="T1700" s="10"/>
      <c r="U1700" s="10"/>
    </row>
    <row r="1701">
      <c r="A1701" s="8"/>
      <c r="B1701" s="9"/>
      <c r="C1701" s="9"/>
      <c r="D1701" s="9"/>
      <c r="E1701" s="9"/>
      <c r="F1701" s="9"/>
      <c r="G1701" s="9"/>
      <c r="H1701" s="9"/>
      <c r="I1701" s="9"/>
      <c r="J1701" s="10"/>
      <c r="K1701" s="10"/>
      <c r="L1701" s="10"/>
      <c r="M1701" s="10"/>
      <c r="N1701" s="11"/>
      <c r="O1701" s="11"/>
      <c r="P1701" s="11"/>
      <c r="Q1701" s="11"/>
      <c r="R1701" s="10"/>
      <c r="S1701" s="10"/>
      <c r="T1701" s="10"/>
      <c r="U1701" s="10"/>
    </row>
    <row r="1702">
      <c r="A1702" s="8"/>
      <c r="B1702" s="9"/>
      <c r="C1702" s="9"/>
      <c r="D1702" s="9"/>
      <c r="E1702" s="9"/>
      <c r="F1702" s="9"/>
      <c r="G1702" s="9"/>
      <c r="H1702" s="9"/>
      <c r="I1702" s="9"/>
      <c r="J1702" s="10"/>
      <c r="K1702" s="10"/>
      <c r="L1702" s="10"/>
      <c r="M1702" s="10"/>
      <c r="N1702" s="11"/>
      <c r="O1702" s="11"/>
      <c r="P1702" s="11"/>
      <c r="Q1702" s="11"/>
      <c r="R1702" s="10"/>
      <c r="S1702" s="10"/>
      <c r="T1702" s="10"/>
      <c r="U1702" s="10"/>
    </row>
    <row r="1703">
      <c r="A1703" s="8"/>
      <c r="B1703" s="9"/>
      <c r="C1703" s="9"/>
      <c r="D1703" s="9"/>
      <c r="E1703" s="9"/>
      <c r="F1703" s="9"/>
      <c r="G1703" s="9"/>
      <c r="H1703" s="9"/>
      <c r="I1703" s="9"/>
      <c r="J1703" s="10"/>
      <c r="K1703" s="10"/>
      <c r="L1703" s="10"/>
      <c r="M1703" s="10"/>
      <c r="N1703" s="11"/>
      <c r="O1703" s="11"/>
      <c r="P1703" s="11"/>
      <c r="Q1703" s="11"/>
      <c r="R1703" s="10"/>
      <c r="S1703" s="10"/>
      <c r="T1703" s="10"/>
      <c r="U1703" s="10"/>
    </row>
    <row r="1704">
      <c r="A1704" s="8"/>
      <c r="B1704" s="9"/>
      <c r="C1704" s="9"/>
      <c r="D1704" s="9"/>
      <c r="E1704" s="9"/>
      <c r="F1704" s="9"/>
      <c r="G1704" s="9"/>
      <c r="H1704" s="9"/>
      <c r="I1704" s="9"/>
      <c r="J1704" s="10"/>
      <c r="K1704" s="10"/>
      <c r="L1704" s="10"/>
      <c r="M1704" s="10"/>
      <c r="N1704" s="11"/>
      <c r="O1704" s="11"/>
      <c r="P1704" s="11"/>
      <c r="Q1704" s="11"/>
      <c r="R1704" s="10"/>
      <c r="S1704" s="10"/>
      <c r="T1704" s="10"/>
      <c r="U1704" s="10"/>
    </row>
    <row r="1705">
      <c r="A1705" s="8"/>
      <c r="B1705" s="9"/>
      <c r="C1705" s="9"/>
      <c r="D1705" s="9"/>
      <c r="E1705" s="9"/>
      <c r="F1705" s="9"/>
      <c r="G1705" s="9"/>
      <c r="H1705" s="9"/>
      <c r="I1705" s="9"/>
      <c r="J1705" s="10"/>
      <c r="K1705" s="10"/>
      <c r="L1705" s="10"/>
      <c r="M1705" s="10"/>
      <c r="N1705" s="11"/>
      <c r="O1705" s="11"/>
      <c r="P1705" s="11"/>
      <c r="Q1705" s="11"/>
      <c r="R1705" s="10"/>
      <c r="S1705" s="10"/>
      <c r="T1705" s="10"/>
      <c r="U1705" s="10"/>
    </row>
    <row r="1706">
      <c r="A1706" s="8"/>
      <c r="B1706" s="9"/>
      <c r="C1706" s="9"/>
      <c r="D1706" s="9"/>
      <c r="E1706" s="9"/>
      <c r="F1706" s="9"/>
      <c r="G1706" s="9"/>
      <c r="H1706" s="9"/>
      <c r="I1706" s="9"/>
      <c r="J1706" s="10"/>
      <c r="K1706" s="10"/>
      <c r="L1706" s="10"/>
      <c r="M1706" s="10"/>
      <c r="N1706" s="11"/>
      <c r="O1706" s="11"/>
      <c r="P1706" s="11"/>
      <c r="Q1706" s="11"/>
      <c r="R1706" s="10"/>
      <c r="S1706" s="10"/>
      <c r="T1706" s="10"/>
      <c r="U1706" s="10"/>
    </row>
    <row r="1707">
      <c r="A1707" s="8"/>
      <c r="B1707" s="9"/>
      <c r="C1707" s="9"/>
      <c r="D1707" s="9"/>
      <c r="E1707" s="9"/>
      <c r="F1707" s="9"/>
      <c r="G1707" s="9"/>
      <c r="H1707" s="9"/>
      <c r="I1707" s="9"/>
      <c r="J1707" s="10"/>
      <c r="K1707" s="10"/>
      <c r="L1707" s="10"/>
      <c r="M1707" s="10"/>
      <c r="N1707" s="11"/>
      <c r="O1707" s="11"/>
      <c r="P1707" s="11"/>
      <c r="Q1707" s="11"/>
      <c r="R1707" s="10"/>
      <c r="S1707" s="10"/>
      <c r="T1707" s="10"/>
      <c r="U1707" s="10"/>
    </row>
    <row r="1708">
      <c r="A1708" s="8"/>
      <c r="B1708" s="9"/>
      <c r="C1708" s="9"/>
      <c r="D1708" s="9"/>
      <c r="E1708" s="9"/>
      <c r="F1708" s="9"/>
      <c r="G1708" s="9"/>
      <c r="H1708" s="9"/>
      <c r="I1708" s="9"/>
      <c r="J1708" s="10"/>
      <c r="K1708" s="10"/>
      <c r="L1708" s="10"/>
      <c r="M1708" s="10"/>
      <c r="N1708" s="11"/>
      <c r="O1708" s="11"/>
      <c r="P1708" s="11"/>
      <c r="Q1708" s="11"/>
      <c r="R1708" s="10"/>
      <c r="S1708" s="10"/>
      <c r="T1708" s="10"/>
      <c r="U1708" s="10"/>
    </row>
    <row r="1709">
      <c r="A1709" s="8"/>
      <c r="B1709" s="9"/>
      <c r="C1709" s="9"/>
      <c r="D1709" s="9"/>
      <c r="E1709" s="9"/>
      <c r="F1709" s="9"/>
      <c r="G1709" s="9"/>
      <c r="H1709" s="9"/>
      <c r="I1709" s="9"/>
      <c r="J1709" s="10"/>
      <c r="K1709" s="10"/>
      <c r="L1709" s="10"/>
      <c r="M1709" s="10"/>
      <c r="N1709" s="11"/>
      <c r="O1709" s="11"/>
      <c r="P1709" s="11"/>
      <c r="Q1709" s="11"/>
      <c r="R1709" s="10"/>
      <c r="S1709" s="10"/>
      <c r="T1709" s="10"/>
      <c r="U1709" s="10"/>
    </row>
    <row r="1710">
      <c r="A1710" s="8"/>
      <c r="B1710" s="9"/>
      <c r="C1710" s="9"/>
      <c r="D1710" s="9"/>
      <c r="E1710" s="9"/>
      <c r="F1710" s="9"/>
      <c r="G1710" s="9"/>
      <c r="H1710" s="9"/>
      <c r="I1710" s="9"/>
      <c r="J1710" s="10"/>
      <c r="K1710" s="10"/>
      <c r="L1710" s="10"/>
      <c r="M1710" s="10"/>
      <c r="N1710" s="11"/>
      <c r="O1710" s="11"/>
      <c r="P1710" s="11"/>
      <c r="Q1710" s="11"/>
      <c r="R1710" s="10"/>
      <c r="S1710" s="10"/>
      <c r="T1710" s="10"/>
      <c r="U1710" s="10"/>
    </row>
    <row r="1711">
      <c r="A1711" s="8"/>
      <c r="B1711" s="9"/>
      <c r="C1711" s="9"/>
      <c r="D1711" s="9"/>
      <c r="E1711" s="9"/>
      <c r="F1711" s="9"/>
      <c r="G1711" s="9"/>
      <c r="H1711" s="9"/>
      <c r="I1711" s="9"/>
      <c r="J1711" s="10"/>
      <c r="K1711" s="10"/>
      <c r="L1711" s="10"/>
      <c r="M1711" s="10"/>
      <c r="N1711" s="11"/>
      <c r="O1711" s="11"/>
      <c r="P1711" s="11"/>
      <c r="Q1711" s="11"/>
      <c r="R1711" s="10"/>
      <c r="S1711" s="10"/>
      <c r="T1711" s="10"/>
      <c r="U1711" s="10"/>
    </row>
    <row r="1712">
      <c r="A1712" s="8"/>
      <c r="B1712" s="9"/>
      <c r="C1712" s="9"/>
      <c r="D1712" s="9"/>
      <c r="E1712" s="9"/>
      <c r="F1712" s="9"/>
      <c r="G1712" s="9"/>
      <c r="H1712" s="9"/>
      <c r="I1712" s="9"/>
      <c r="J1712" s="10"/>
      <c r="K1712" s="10"/>
      <c r="L1712" s="10"/>
      <c r="M1712" s="10"/>
      <c r="N1712" s="11"/>
      <c r="O1712" s="11"/>
      <c r="P1712" s="11"/>
      <c r="Q1712" s="11"/>
      <c r="R1712" s="10"/>
      <c r="S1712" s="10"/>
      <c r="T1712" s="10"/>
      <c r="U1712" s="10"/>
    </row>
    <row r="1713">
      <c r="A1713" s="8"/>
      <c r="B1713" s="9"/>
      <c r="C1713" s="9"/>
      <c r="D1713" s="9"/>
      <c r="E1713" s="9"/>
      <c r="F1713" s="9"/>
      <c r="G1713" s="9"/>
      <c r="H1713" s="9"/>
      <c r="I1713" s="9"/>
      <c r="J1713" s="10"/>
      <c r="K1713" s="10"/>
      <c r="L1713" s="10"/>
      <c r="M1713" s="10"/>
      <c r="N1713" s="11"/>
      <c r="O1713" s="11"/>
      <c r="P1713" s="11"/>
      <c r="Q1713" s="11"/>
      <c r="R1713" s="10"/>
      <c r="S1713" s="10"/>
      <c r="T1713" s="10"/>
      <c r="U1713" s="10"/>
    </row>
    <row r="1714">
      <c r="A1714" s="8"/>
      <c r="B1714" s="9"/>
      <c r="C1714" s="9"/>
      <c r="D1714" s="9"/>
      <c r="E1714" s="9"/>
      <c r="F1714" s="9"/>
      <c r="G1714" s="9"/>
      <c r="H1714" s="9"/>
      <c r="I1714" s="9"/>
      <c r="J1714" s="10"/>
      <c r="K1714" s="10"/>
      <c r="L1714" s="10"/>
      <c r="M1714" s="10"/>
      <c r="N1714" s="11"/>
      <c r="O1714" s="11"/>
      <c r="P1714" s="11"/>
      <c r="Q1714" s="11"/>
      <c r="R1714" s="10"/>
      <c r="S1714" s="10"/>
      <c r="T1714" s="10"/>
      <c r="U1714" s="10"/>
    </row>
    <row r="1715">
      <c r="A1715" s="8"/>
      <c r="B1715" s="9"/>
      <c r="C1715" s="9"/>
      <c r="D1715" s="9"/>
      <c r="E1715" s="9"/>
      <c r="F1715" s="9"/>
      <c r="G1715" s="9"/>
      <c r="H1715" s="9"/>
      <c r="I1715" s="9"/>
      <c r="J1715" s="10"/>
      <c r="K1715" s="10"/>
      <c r="L1715" s="10"/>
      <c r="M1715" s="10"/>
      <c r="N1715" s="11"/>
      <c r="O1715" s="11"/>
      <c r="P1715" s="11"/>
      <c r="Q1715" s="11"/>
      <c r="R1715" s="10"/>
      <c r="S1715" s="10"/>
      <c r="T1715" s="10"/>
      <c r="U1715" s="10"/>
    </row>
    <row r="1716">
      <c r="A1716" s="8"/>
      <c r="B1716" s="9"/>
      <c r="C1716" s="9"/>
      <c r="D1716" s="9"/>
      <c r="E1716" s="9"/>
      <c r="F1716" s="9"/>
      <c r="G1716" s="9"/>
      <c r="H1716" s="9"/>
      <c r="I1716" s="9"/>
      <c r="J1716" s="10"/>
      <c r="K1716" s="10"/>
      <c r="L1716" s="10"/>
      <c r="M1716" s="10"/>
      <c r="N1716" s="11"/>
      <c r="O1716" s="11"/>
      <c r="P1716" s="11"/>
      <c r="Q1716" s="11"/>
      <c r="R1716" s="10"/>
      <c r="S1716" s="10"/>
      <c r="T1716" s="10"/>
      <c r="U1716" s="10"/>
    </row>
    <row r="1717">
      <c r="A1717" s="8"/>
      <c r="B1717" s="9"/>
      <c r="C1717" s="9"/>
      <c r="D1717" s="9"/>
      <c r="E1717" s="9"/>
      <c r="F1717" s="9"/>
      <c r="G1717" s="9"/>
      <c r="H1717" s="9"/>
      <c r="I1717" s="9"/>
      <c r="J1717" s="10"/>
      <c r="K1717" s="10"/>
      <c r="L1717" s="10"/>
      <c r="M1717" s="10"/>
      <c r="N1717" s="11"/>
      <c r="O1717" s="11"/>
      <c r="P1717" s="11"/>
      <c r="Q1717" s="11"/>
      <c r="R1717" s="10"/>
      <c r="S1717" s="10"/>
      <c r="T1717" s="10"/>
      <c r="U1717" s="10"/>
    </row>
    <row r="1718">
      <c r="A1718" s="8"/>
      <c r="B1718" s="9"/>
      <c r="C1718" s="9"/>
      <c r="D1718" s="9"/>
      <c r="E1718" s="9"/>
      <c r="F1718" s="9"/>
      <c r="G1718" s="9"/>
      <c r="H1718" s="9"/>
      <c r="I1718" s="9"/>
      <c r="J1718" s="10"/>
      <c r="K1718" s="10"/>
      <c r="L1718" s="10"/>
      <c r="M1718" s="10"/>
      <c r="N1718" s="11"/>
      <c r="O1718" s="11"/>
      <c r="P1718" s="11"/>
      <c r="Q1718" s="11"/>
      <c r="R1718" s="10"/>
      <c r="S1718" s="10"/>
      <c r="T1718" s="10"/>
      <c r="U1718" s="10"/>
    </row>
    <row r="1719">
      <c r="A1719" s="8"/>
      <c r="B1719" s="9"/>
      <c r="C1719" s="9"/>
      <c r="D1719" s="9"/>
      <c r="E1719" s="9"/>
      <c r="F1719" s="9"/>
      <c r="G1719" s="9"/>
      <c r="H1719" s="9"/>
      <c r="I1719" s="9"/>
      <c r="J1719" s="10"/>
      <c r="K1719" s="10"/>
      <c r="L1719" s="10"/>
      <c r="M1719" s="10"/>
      <c r="N1719" s="11"/>
      <c r="O1719" s="11"/>
      <c r="P1719" s="11"/>
      <c r="Q1719" s="11"/>
      <c r="R1719" s="10"/>
      <c r="S1719" s="10"/>
      <c r="T1719" s="10"/>
      <c r="U1719" s="10"/>
    </row>
    <row r="1720">
      <c r="A1720" s="8"/>
      <c r="B1720" s="9"/>
      <c r="C1720" s="9"/>
      <c r="D1720" s="9"/>
      <c r="E1720" s="9"/>
      <c r="F1720" s="9"/>
      <c r="G1720" s="9"/>
      <c r="H1720" s="9"/>
      <c r="I1720" s="9"/>
      <c r="J1720" s="10"/>
      <c r="K1720" s="10"/>
      <c r="L1720" s="10"/>
      <c r="M1720" s="10"/>
      <c r="N1720" s="11"/>
      <c r="O1720" s="11"/>
      <c r="P1720" s="11"/>
      <c r="Q1720" s="11"/>
      <c r="R1720" s="10"/>
      <c r="S1720" s="10"/>
      <c r="T1720" s="10"/>
      <c r="U1720" s="10"/>
    </row>
    <row r="1721">
      <c r="A1721" s="8"/>
      <c r="B1721" s="9"/>
      <c r="C1721" s="9"/>
      <c r="D1721" s="9"/>
      <c r="E1721" s="9"/>
      <c r="F1721" s="9"/>
      <c r="G1721" s="9"/>
      <c r="H1721" s="9"/>
      <c r="I1721" s="9"/>
      <c r="J1721" s="10"/>
      <c r="K1721" s="10"/>
      <c r="L1721" s="10"/>
      <c r="M1721" s="10"/>
      <c r="N1721" s="11"/>
      <c r="O1721" s="11"/>
      <c r="P1721" s="11"/>
      <c r="Q1721" s="11"/>
      <c r="R1721" s="10"/>
      <c r="S1721" s="10"/>
      <c r="T1721" s="10"/>
      <c r="U1721" s="10"/>
    </row>
    <row r="1722">
      <c r="A1722" s="8"/>
      <c r="B1722" s="9"/>
      <c r="C1722" s="9"/>
      <c r="D1722" s="9"/>
      <c r="E1722" s="9"/>
      <c r="F1722" s="9"/>
      <c r="G1722" s="9"/>
      <c r="H1722" s="9"/>
      <c r="I1722" s="9"/>
      <c r="J1722" s="10"/>
      <c r="K1722" s="10"/>
      <c r="L1722" s="10"/>
      <c r="M1722" s="10"/>
      <c r="N1722" s="11"/>
      <c r="O1722" s="11"/>
      <c r="P1722" s="11"/>
      <c r="Q1722" s="11"/>
      <c r="R1722" s="10"/>
      <c r="S1722" s="10"/>
      <c r="T1722" s="10"/>
      <c r="U1722" s="10"/>
    </row>
    <row r="1723">
      <c r="A1723" s="8"/>
      <c r="B1723" s="9"/>
      <c r="C1723" s="9"/>
      <c r="D1723" s="9"/>
      <c r="E1723" s="9"/>
      <c r="F1723" s="9"/>
      <c r="G1723" s="9"/>
      <c r="H1723" s="9"/>
      <c r="I1723" s="9"/>
      <c r="J1723" s="10"/>
      <c r="K1723" s="10"/>
      <c r="L1723" s="10"/>
      <c r="M1723" s="10"/>
      <c r="N1723" s="11"/>
      <c r="O1723" s="11"/>
      <c r="P1723" s="11"/>
      <c r="Q1723" s="11"/>
      <c r="R1723" s="10"/>
      <c r="S1723" s="10"/>
      <c r="T1723" s="10"/>
      <c r="U1723" s="10"/>
    </row>
    <row r="1724">
      <c r="A1724" s="8"/>
      <c r="B1724" s="9"/>
      <c r="C1724" s="9"/>
      <c r="D1724" s="9"/>
      <c r="E1724" s="9"/>
      <c r="F1724" s="9"/>
      <c r="G1724" s="9"/>
      <c r="H1724" s="9"/>
      <c r="I1724" s="9"/>
      <c r="J1724" s="10"/>
      <c r="K1724" s="10"/>
      <c r="L1724" s="10"/>
      <c r="M1724" s="10"/>
      <c r="N1724" s="11"/>
      <c r="O1724" s="11"/>
      <c r="P1724" s="11"/>
      <c r="Q1724" s="11"/>
      <c r="R1724" s="10"/>
      <c r="S1724" s="10"/>
      <c r="T1724" s="10"/>
      <c r="U1724" s="10"/>
    </row>
    <row r="1725">
      <c r="A1725" s="8"/>
      <c r="B1725" s="9"/>
      <c r="C1725" s="9"/>
      <c r="D1725" s="9"/>
      <c r="E1725" s="9"/>
      <c r="F1725" s="9"/>
      <c r="G1725" s="9"/>
      <c r="H1725" s="9"/>
      <c r="I1725" s="9"/>
      <c r="J1725" s="10"/>
      <c r="K1725" s="10"/>
      <c r="L1725" s="10"/>
      <c r="M1725" s="10"/>
      <c r="N1725" s="11"/>
      <c r="O1725" s="11"/>
      <c r="P1725" s="11"/>
      <c r="Q1725" s="11"/>
      <c r="R1725" s="10"/>
      <c r="S1725" s="10"/>
      <c r="T1725" s="10"/>
      <c r="U1725" s="10"/>
    </row>
    <row r="1726">
      <c r="A1726" s="8"/>
      <c r="B1726" s="9"/>
      <c r="C1726" s="9"/>
      <c r="D1726" s="9"/>
      <c r="E1726" s="9"/>
      <c r="F1726" s="9"/>
      <c r="G1726" s="9"/>
      <c r="H1726" s="9"/>
      <c r="I1726" s="9"/>
      <c r="J1726" s="10"/>
      <c r="K1726" s="10"/>
      <c r="L1726" s="10"/>
      <c r="M1726" s="10"/>
      <c r="N1726" s="11"/>
      <c r="O1726" s="11"/>
      <c r="P1726" s="11"/>
      <c r="Q1726" s="11"/>
      <c r="R1726" s="10"/>
      <c r="S1726" s="10"/>
      <c r="T1726" s="10"/>
      <c r="U1726" s="10"/>
    </row>
    <row r="1727">
      <c r="A1727" s="8"/>
      <c r="B1727" s="9"/>
      <c r="C1727" s="9"/>
      <c r="D1727" s="9"/>
      <c r="E1727" s="9"/>
      <c r="F1727" s="9"/>
      <c r="G1727" s="9"/>
      <c r="H1727" s="9"/>
      <c r="I1727" s="9"/>
      <c r="J1727" s="10"/>
      <c r="K1727" s="10"/>
      <c r="L1727" s="10"/>
      <c r="M1727" s="10"/>
      <c r="N1727" s="11"/>
      <c r="O1727" s="11"/>
      <c r="P1727" s="11"/>
      <c r="Q1727" s="11"/>
      <c r="R1727" s="10"/>
      <c r="S1727" s="10"/>
      <c r="T1727" s="10"/>
      <c r="U1727" s="10"/>
    </row>
    <row r="1728">
      <c r="A1728" s="8"/>
      <c r="B1728" s="9"/>
      <c r="C1728" s="9"/>
      <c r="D1728" s="9"/>
      <c r="E1728" s="9"/>
      <c r="F1728" s="9"/>
      <c r="G1728" s="9"/>
      <c r="H1728" s="9"/>
      <c r="I1728" s="9"/>
      <c r="J1728" s="10"/>
      <c r="K1728" s="10"/>
      <c r="L1728" s="10"/>
      <c r="M1728" s="10"/>
      <c r="N1728" s="11"/>
      <c r="O1728" s="11"/>
      <c r="P1728" s="11"/>
      <c r="Q1728" s="11"/>
      <c r="R1728" s="10"/>
      <c r="S1728" s="10"/>
      <c r="T1728" s="10"/>
      <c r="U1728" s="10"/>
    </row>
    <row r="1729">
      <c r="A1729" s="8"/>
      <c r="B1729" s="9"/>
      <c r="C1729" s="9"/>
      <c r="D1729" s="9"/>
      <c r="E1729" s="9"/>
      <c r="F1729" s="9"/>
      <c r="G1729" s="9"/>
      <c r="H1729" s="9"/>
      <c r="I1729" s="9"/>
      <c r="J1729" s="10"/>
      <c r="K1729" s="10"/>
      <c r="L1729" s="10"/>
      <c r="M1729" s="10"/>
      <c r="N1729" s="11"/>
      <c r="O1729" s="11"/>
      <c r="P1729" s="11"/>
      <c r="Q1729" s="11"/>
      <c r="R1729" s="10"/>
      <c r="S1729" s="10"/>
      <c r="T1729" s="10"/>
      <c r="U1729" s="10"/>
    </row>
    <row r="1730">
      <c r="A1730" s="8"/>
      <c r="B1730" s="9"/>
      <c r="C1730" s="9"/>
      <c r="D1730" s="9"/>
      <c r="E1730" s="9"/>
      <c r="F1730" s="9"/>
      <c r="G1730" s="9"/>
      <c r="H1730" s="9"/>
      <c r="I1730" s="9"/>
      <c r="J1730" s="10"/>
      <c r="K1730" s="10"/>
      <c r="L1730" s="10"/>
      <c r="M1730" s="10"/>
      <c r="N1730" s="11"/>
      <c r="O1730" s="11"/>
      <c r="P1730" s="11"/>
      <c r="Q1730" s="11"/>
      <c r="R1730" s="10"/>
      <c r="S1730" s="10"/>
      <c r="T1730" s="10"/>
      <c r="U1730" s="10"/>
    </row>
    <row r="1731">
      <c r="A1731" s="8"/>
      <c r="B1731" s="9"/>
      <c r="C1731" s="9"/>
      <c r="D1731" s="9"/>
      <c r="E1731" s="9"/>
      <c r="F1731" s="9"/>
      <c r="G1731" s="9"/>
      <c r="H1731" s="9"/>
      <c r="I1731" s="9"/>
      <c r="J1731" s="10"/>
      <c r="K1731" s="10"/>
      <c r="L1731" s="10"/>
      <c r="M1731" s="10"/>
      <c r="N1731" s="11"/>
      <c r="O1731" s="11"/>
      <c r="P1731" s="11"/>
      <c r="Q1731" s="11"/>
      <c r="R1731" s="10"/>
      <c r="S1731" s="10"/>
      <c r="T1731" s="10"/>
      <c r="U1731" s="10"/>
    </row>
    <row r="1732">
      <c r="A1732" s="8"/>
      <c r="B1732" s="9"/>
      <c r="C1732" s="9"/>
      <c r="D1732" s="9"/>
      <c r="E1732" s="9"/>
      <c r="F1732" s="9"/>
      <c r="G1732" s="9"/>
      <c r="H1732" s="9"/>
      <c r="I1732" s="9"/>
      <c r="J1732" s="10"/>
      <c r="K1732" s="10"/>
      <c r="L1732" s="10"/>
      <c r="M1732" s="10"/>
      <c r="N1732" s="11"/>
      <c r="O1732" s="11"/>
      <c r="P1732" s="11"/>
      <c r="Q1732" s="11"/>
      <c r="R1732" s="10"/>
      <c r="S1732" s="10"/>
      <c r="T1732" s="10"/>
      <c r="U1732" s="10"/>
    </row>
    <row r="1733">
      <c r="A1733" s="8"/>
      <c r="B1733" s="9"/>
      <c r="C1733" s="9"/>
      <c r="D1733" s="9"/>
      <c r="E1733" s="9"/>
      <c r="F1733" s="9"/>
      <c r="G1733" s="9"/>
      <c r="H1733" s="9"/>
      <c r="I1733" s="9"/>
      <c r="J1733" s="10"/>
      <c r="K1733" s="10"/>
      <c r="L1733" s="10"/>
      <c r="M1733" s="10"/>
      <c r="N1733" s="11"/>
      <c r="O1733" s="11"/>
      <c r="P1733" s="11"/>
      <c r="Q1733" s="11"/>
      <c r="R1733" s="10"/>
      <c r="S1733" s="10"/>
      <c r="T1733" s="10"/>
      <c r="U1733" s="10"/>
    </row>
    <row r="1734">
      <c r="A1734" s="8"/>
      <c r="B1734" s="9"/>
      <c r="C1734" s="9"/>
      <c r="D1734" s="9"/>
      <c r="E1734" s="9"/>
      <c r="F1734" s="9"/>
      <c r="G1734" s="9"/>
      <c r="H1734" s="9"/>
      <c r="I1734" s="9"/>
      <c r="J1734" s="10"/>
      <c r="K1734" s="10"/>
      <c r="L1734" s="10"/>
      <c r="M1734" s="10"/>
      <c r="N1734" s="11"/>
      <c r="O1734" s="11"/>
      <c r="P1734" s="11"/>
      <c r="Q1734" s="11"/>
      <c r="R1734" s="10"/>
      <c r="S1734" s="10"/>
      <c r="T1734" s="10"/>
      <c r="U1734" s="10"/>
    </row>
    <row r="1735">
      <c r="A1735" s="8"/>
      <c r="B1735" s="9"/>
      <c r="C1735" s="9"/>
      <c r="D1735" s="9"/>
      <c r="E1735" s="9"/>
      <c r="F1735" s="9"/>
      <c r="G1735" s="9"/>
      <c r="H1735" s="9"/>
      <c r="I1735" s="9"/>
      <c r="J1735" s="10"/>
      <c r="K1735" s="10"/>
      <c r="L1735" s="10"/>
      <c r="M1735" s="10"/>
      <c r="N1735" s="11"/>
      <c r="O1735" s="11"/>
      <c r="P1735" s="11"/>
      <c r="Q1735" s="11"/>
      <c r="R1735" s="10"/>
      <c r="S1735" s="10"/>
      <c r="T1735" s="10"/>
      <c r="U1735" s="10"/>
    </row>
    <row r="1736">
      <c r="A1736" s="8"/>
      <c r="B1736" s="9"/>
      <c r="C1736" s="9"/>
      <c r="D1736" s="9"/>
      <c r="E1736" s="9"/>
      <c r="F1736" s="9"/>
      <c r="G1736" s="9"/>
      <c r="H1736" s="9"/>
      <c r="I1736" s="9"/>
      <c r="J1736" s="10"/>
      <c r="K1736" s="10"/>
      <c r="L1736" s="10"/>
      <c r="M1736" s="10"/>
      <c r="N1736" s="11"/>
      <c r="O1736" s="11"/>
      <c r="P1736" s="11"/>
      <c r="Q1736" s="11"/>
      <c r="R1736" s="10"/>
      <c r="S1736" s="10"/>
      <c r="T1736" s="10"/>
      <c r="U1736" s="10"/>
    </row>
    <row r="1737">
      <c r="A1737" s="8"/>
      <c r="B1737" s="9"/>
      <c r="C1737" s="9"/>
      <c r="D1737" s="9"/>
      <c r="E1737" s="9"/>
      <c r="F1737" s="9"/>
      <c r="G1737" s="9"/>
      <c r="H1737" s="9"/>
      <c r="I1737" s="9"/>
      <c r="J1737" s="10"/>
      <c r="K1737" s="10"/>
      <c r="L1737" s="10"/>
      <c r="M1737" s="10"/>
      <c r="N1737" s="11"/>
      <c r="O1737" s="11"/>
      <c r="P1737" s="11"/>
      <c r="Q1737" s="11"/>
      <c r="R1737" s="10"/>
      <c r="S1737" s="10"/>
      <c r="T1737" s="10"/>
      <c r="U1737" s="10"/>
    </row>
    <row r="1738">
      <c r="A1738" s="8"/>
      <c r="B1738" s="9"/>
      <c r="C1738" s="9"/>
      <c r="D1738" s="9"/>
      <c r="E1738" s="9"/>
      <c r="F1738" s="9"/>
      <c r="G1738" s="9"/>
      <c r="H1738" s="9"/>
      <c r="I1738" s="9"/>
      <c r="J1738" s="10"/>
      <c r="K1738" s="10"/>
      <c r="L1738" s="10"/>
      <c r="M1738" s="10"/>
      <c r="N1738" s="11"/>
      <c r="O1738" s="11"/>
      <c r="P1738" s="11"/>
      <c r="Q1738" s="11"/>
      <c r="R1738" s="10"/>
      <c r="S1738" s="10"/>
      <c r="T1738" s="10"/>
      <c r="U1738" s="10"/>
    </row>
    <row r="1739">
      <c r="A1739" s="8"/>
      <c r="B1739" s="9"/>
      <c r="C1739" s="9"/>
      <c r="D1739" s="9"/>
      <c r="E1739" s="9"/>
      <c r="F1739" s="9"/>
      <c r="G1739" s="9"/>
      <c r="H1739" s="9"/>
      <c r="I1739" s="9"/>
      <c r="J1739" s="10"/>
      <c r="K1739" s="10"/>
      <c r="L1739" s="10"/>
      <c r="M1739" s="10"/>
      <c r="N1739" s="11"/>
      <c r="O1739" s="11"/>
      <c r="P1739" s="11"/>
      <c r="Q1739" s="11"/>
      <c r="R1739" s="10"/>
      <c r="S1739" s="10"/>
      <c r="T1739" s="10"/>
      <c r="U1739" s="10"/>
    </row>
    <row r="1740">
      <c r="A1740" s="8"/>
      <c r="B1740" s="9"/>
      <c r="C1740" s="9"/>
      <c r="D1740" s="9"/>
      <c r="E1740" s="9"/>
      <c r="F1740" s="9"/>
      <c r="G1740" s="9"/>
      <c r="H1740" s="9"/>
      <c r="I1740" s="9"/>
      <c r="J1740" s="10"/>
      <c r="K1740" s="10"/>
      <c r="L1740" s="10"/>
      <c r="M1740" s="10"/>
      <c r="N1740" s="11"/>
      <c r="O1740" s="11"/>
      <c r="P1740" s="11"/>
      <c r="Q1740" s="11"/>
      <c r="R1740" s="10"/>
      <c r="S1740" s="10"/>
      <c r="T1740" s="10"/>
      <c r="U1740" s="10"/>
    </row>
    <row r="1741">
      <c r="A1741" s="8"/>
      <c r="B1741" s="9"/>
      <c r="C1741" s="9"/>
      <c r="D1741" s="9"/>
      <c r="E1741" s="9"/>
      <c r="F1741" s="9"/>
      <c r="G1741" s="9"/>
      <c r="H1741" s="9"/>
      <c r="I1741" s="9"/>
      <c r="J1741" s="10"/>
      <c r="K1741" s="10"/>
      <c r="L1741" s="10"/>
      <c r="M1741" s="10"/>
      <c r="N1741" s="11"/>
      <c r="O1741" s="11"/>
      <c r="P1741" s="11"/>
      <c r="Q1741" s="11"/>
      <c r="R1741" s="10"/>
      <c r="S1741" s="10"/>
      <c r="T1741" s="10"/>
      <c r="U1741" s="10"/>
    </row>
    <row r="1742">
      <c r="A1742" s="8"/>
      <c r="B1742" s="9"/>
      <c r="C1742" s="9"/>
      <c r="D1742" s="9"/>
      <c r="E1742" s="9"/>
      <c r="F1742" s="9"/>
      <c r="G1742" s="9"/>
      <c r="H1742" s="9"/>
      <c r="I1742" s="9"/>
      <c r="J1742" s="10"/>
      <c r="K1742" s="10"/>
      <c r="L1742" s="10"/>
      <c r="M1742" s="10"/>
      <c r="N1742" s="11"/>
      <c r="O1742" s="11"/>
      <c r="P1742" s="11"/>
      <c r="Q1742" s="11"/>
      <c r="R1742" s="10"/>
      <c r="S1742" s="10"/>
      <c r="T1742" s="10"/>
      <c r="U1742" s="10"/>
    </row>
    <row r="1743">
      <c r="A1743" s="8"/>
      <c r="B1743" s="9"/>
      <c r="C1743" s="9"/>
      <c r="D1743" s="9"/>
      <c r="E1743" s="9"/>
      <c r="F1743" s="9"/>
      <c r="G1743" s="9"/>
      <c r="H1743" s="9"/>
      <c r="I1743" s="9"/>
      <c r="J1743" s="10"/>
      <c r="K1743" s="10"/>
      <c r="L1743" s="10"/>
      <c r="M1743" s="10"/>
      <c r="N1743" s="11"/>
      <c r="O1743" s="11"/>
      <c r="P1743" s="11"/>
      <c r="Q1743" s="11"/>
      <c r="R1743" s="10"/>
      <c r="S1743" s="10"/>
      <c r="T1743" s="10"/>
      <c r="U1743" s="10"/>
    </row>
    <row r="1744">
      <c r="A1744" s="8"/>
      <c r="B1744" s="9"/>
      <c r="C1744" s="9"/>
      <c r="D1744" s="9"/>
      <c r="E1744" s="9"/>
      <c r="F1744" s="9"/>
      <c r="G1744" s="9"/>
      <c r="H1744" s="9"/>
      <c r="I1744" s="9"/>
      <c r="J1744" s="10"/>
      <c r="K1744" s="10"/>
      <c r="L1744" s="10"/>
      <c r="M1744" s="10"/>
      <c r="N1744" s="11"/>
      <c r="O1744" s="11"/>
      <c r="P1744" s="11"/>
      <c r="Q1744" s="11"/>
      <c r="R1744" s="10"/>
      <c r="S1744" s="10"/>
      <c r="T1744" s="10"/>
      <c r="U1744" s="10"/>
    </row>
    <row r="1745">
      <c r="A1745" s="8"/>
      <c r="B1745" s="9"/>
      <c r="C1745" s="9"/>
      <c r="D1745" s="9"/>
      <c r="E1745" s="9"/>
      <c r="F1745" s="9"/>
      <c r="G1745" s="9"/>
      <c r="H1745" s="9"/>
      <c r="I1745" s="9"/>
      <c r="J1745" s="10"/>
      <c r="K1745" s="10"/>
      <c r="L1745" s="10"/>
      <c r="M1745" s="10"/>
      <c r="N1745" s="11"/>
      <c r="O1745" s="11"/>
      <c r="P1745" s="11"/>
      <c r="Q1745" s="11"/>
      <c r="R1745" s="10"/>
      <c r="S1745" s="10"/>
      <c r="T1745" s="10"/>
      <c r="U1745" s="10"/>
    </row>
    <row r="1746">
      <c r="A1746" s="8"/>
      <c r="B1746" s="9"/>
      <c r="C1746" s="9"/>
      <c r="D1746" s="9"/>
      <c r="E1746" s="9"/>
      <c r="F1746" s="9"/>
      <c r="G1746" s="9"/>
      <c r="H1746" s="9"/>
      <c r="I1746" s="9"/>
      <c r="J1746" s="10"/>
      <c r="K1746" s="10"/>
      <c r="L1746" s="10"/>
      <c r="M1746" s="10"/>
      <c r="N1746" s="11"/>
      <c r="O1746" s="11"/>
      <c r="P1746" s="11"/>
      <c r="Q1746" s="11"/>
      <c r="R1746" s="10"/>
      <c r="S1746" s="10"/>
      <c r="T1746" s="10"/>
      <c r="U1746" s="10"/>
    </row>
    <row r="1747">
      <c r="A1747" s="8"/>
      <c r="B1747" s="9"/>
      <c r="C1747" s="9"/>
      <c r="D1747" s="9"/>
      <c r="E1747" s="9"/>
      <c r="F1747" s="9"/>
      <c r="G1747" s="9"/>
      <c r="H1747" s="9"/>
      <c r="I1747" s="9"/>
      <c r="J1747" s="10"/>
      <c r="K1747" s="10"/>
      <c r="L1747" s="10"/>
      <c r="M1747" s="10"/>
      <c r="N1747" s="11"/>
      <c r="O1747" s="11"/>
      <c r="P1747" s="11"/>
      <c r="Q1747" s="11"/>
      <c r="R1747" s="10"/>
      <c r="S1747" s="10"/>
      <c r="T1747" s="10"/>
      <c r="U1747" s="10"/>
    </row>
    <row r="1748">
      <c r="A1748" s="8"/>
      <c r="B1748" s="9"/>
      <c r="C1748" s="9"/>
      <c r="D1748" s="9"/>
      <c r="E1748" s="9"/>
      <c r="F1748" s="9"/>
      <c r="G1748" s="9"/>
      <c r="H1748" s="9"/>
      <c r="I1748" s="9"/>
      <c r="J1748" s="10"/>
      <c r="K1748" s="10"/>
      <c r="L1748" s="10"/>
      <c r="M1748" s="10"/>
      <c r="N1748" s="11"/>
      <c r="O1748" s="11"/>
      <c r="P1748" s="11"/>
      <c r="Q1748" s="11"/>
      <c r="R1748" s="10"/>
      <c r="S1748" s="10"/>
      <c r="T1748" s="10"/>
      <c r="U1748" s="10"/>
    </row>
    <row r="1749">
      <c r="A1749" s="8"/>
      <c r="B1749" s="9"/>
      <c r="C1749" s="9"/>
      <c r="D1749" s="9"/>
      <c r="E1749" s="9"/>
      <c r="F1749" s="9"/>
      <c r="G1749" s="9"/>
      <c r="H1749" s="9"/>
      <c r="I1749" s="9"/>
      <c r="J1749" s="10"/>
      <c r="K1749" s="10"/>
      <c r="L1749" s="10"/>
      <c r="M1749" s="10"/>
      <c r="N1749" s="11"/>
      <c r="O1749" s="11"/>
      <c r="P1749" s="11"/>
      <c r="Q1749" s="11"/>
      <c r="R1749" s="10"/>
      <c r="S1749" s="10"/>
      <c r="T1749" s="10"/>
      <c r="U1749" s="10"/>
    </row>
    <row r="1750">
      <c r="A1750" s="8"/>
      <c r="B1750" s="9"/>
      <c r="C1750" s="9"/>
      <c r="D1750" s="9"/>
      <c r="E1750" s="9"/>
      <c r="F1750" s="9"/>
      <c r="G1750" s="9"/>
      <c r="H1750" s="9"/>
      <c r="I1750" s="9"/>
      <c r="J1750" s="10"/>
      <c r="K1750" s="10"/>
      <c r="L1750" s="10"/>
      <c r="M1750" s="10"/>
      <c r="N1750" s="11"/>
      <c r="O1750" s="11"/>
      <c r="P1750" s="11"/>
      <c r="Q1750" s="11"/>
      <c r="R1750" s="10"/>
      <c r="S1750" s="10"/>
      <c r="T1750" s="10"/>
      <c r="U1750" s="10"/>
    </row>
    <row r="1751">
      <c r="A1751" s="8"/>
      <c r="B1751" s="9"/>
      <c r="C1751" s="9"/>
      <c r="D1751" s="9"/>
      <c r="E1751" s="9"/>
      <c r="F1751" s="9"/>
      <c r="G1751" s="9"/>
      <c r="H1751" s="9"/>
      <c r="I1751" s="9"/>
      <c r="J1751" s="10"/>
      <c r="K1751" s="10"/>
      <c r="L1751" s="10"/>
      <c r="M1751" s="10"/>
      <c r="N1751" s="11"/>
      <c r="O1751" s="11"/>
      <c r="P1751" s="11"/>
      <c r="Q1751" s="11"/>
      <c r="R1751" s="10"/>
      <c r="S1751" s="10"/>
      <c r="T1751" s="10"/>
      <c r="U1751" s="10"/>
    </row>
    <row r="1752">
      <c r="A1752" s="8"/>
      <c r="B1752" s="9"/>
      <c r="C1752" s="9"/>
      <c r="D1752" s="9"/>
      <c r="E1752" s="9"/>
      <c r="F1752" s="9"/>
      <c r="G1752" s="9"/>
      <c r="H1752" s="9"/>
      <c r="I1752" s="9"/>
      <c r="J1752" s="10"/>
      <c r="K1752" s="10"/>
      <c r="L1752" s="10"/>
      <c r="M1752" s="10"/>
      <c r="N1752" s="11"/>
      <c r="O1752" s="11"/>
      <c r="P1752" s="11"/>
      <c r="Q1752" s="11"/>
      <c r="R1752" s="10"/>
      <c r="S1752" s="10"/>
      <c r="T1752" s="10"/>
      <c r="U1752" s="10"/>
    </row>
    <row r="1753">
      <c r="A1753" s="8"/>
      <c r="B1753" s="9"/>
      <c r="C1753" s="9"/>
      <c r="D1753" s="9"/>
      <c r="E1753" s="9"/>
      <c r="F1753" s="9"/>
      <c r="G1753" s="9"/>
      <c r="H1753" s="9"/>
      <c r="I1753" s="9"/>
      <c r="J1753" s="10"/>
      <c r="K1753" s="10"/>
      <c r="L1753" s="10"/>
      <c r="M1753" s="10"/>
      <c r="N1753" s="11"/>
      <c r="O1753" s="11"/>
      <c r="P1753" s="11"/>
      <c r="Q1753" s="11"/>
      <c r="R1753" s="10"/>
      <c r="S1753" s="10"/>
      <c r="T1753" s="10"/>
      <c r="U1753" s="10"/>
    </row>
    <row r="1754">
      <c r="A1754" s="8"/>
      <c r="B1754" s="9"/>
      <c r="C1754" s="9"/>
      <c r="D1754" s="9"/>
      <c r="E1754" s="9"/>
      <c r="F1754" s="9"/>
      <c r="G1754" s="9"/>
      <c r="H1754" s="9"/>
      <c r="I1754" s="9"/>
      <c r="J1754" s="10"/>
      <c r="K1754" s="10"/>
      <c r="L1754" s="10"/>
      <c r="M1754" s="10"/>
      <c r="N1754" s="11"/>
      <c r="O1754" s="11"/>
      <c r="P1754" s="11"/>
      <c r="Q1754" s="11"/>
      <c r="R1754" s="10"/>
      <c r="S1754" s="10"/>
      <c r="T1754" s="10"/>
      <c r="U1754" s="10"/>
    </row>
    <row r="1755">
      <c r="A1755" s="8"/>
      <c r="B1755" s="9"/>
      <c r="C1755" s="9"/>
      <c r="D1755" s="9"/>
      <c r="E1755" s="9"/>
      <c r="F1755" s="9"/>
      <c r="G1755" s="9"/>
      <c r="H1755" s="9"/>
      <c r="I1755" s="9"/>
      <c r="J1755" s="10"/>
      <c r="K1755" s="10"/>
      <c r="L1755" s="10"/>
      <c r="M1755" s="10"/>
      <c r="N1755" s="11"/>
      <c r="O1755" s="11"/>
      <c r="P1755" s="11"/>
      <c r="Q1755" s="11"/>
      <c r="R1755" s="10"/>
      <c r="S1755" s="10"/>
      <c r="T1755" s="10"/>
      <c r="U1755" s="10"/>
    </row>
    <row r="1756">
      <c r="A1756" s="8"/>
      <c r="B1756" s="9"/>
      <c r="C1756" s="9"/>
      <c r="D1756" s="9"/>
      <c r="E1756" s="9"/>
      <c r="F1756" s="9"/>
      <c r="G1756" s="9"/>
      <c r="H1756" s="9"/>
      <c r="I1756" s="9"/>
      <c r="J1756" s="10"/>
      <c r="K1756" s="10"/>
      <c r="L1756" s="10"/>
      <c r="M1756" s="10"/>
      <c r="N1756" s="11"/>
      <c r="O1756" s="11"/>
      <c r="P1756" s="11"/>
      <c r="Q1756" s="11"/>
      <c r="R1756" s="10"/>
      <c r="S1756" s="10"/>
      <c r="T1756" s="10"/>
      <c r="U1756" s="10"/>
    </row>
    <row r="1757">
      <c r="A1757" s="8"/>
      <c r="B1757" s="9"/>
      <c r="C1757" s="9"/>
      <c r="D1757" s="9"/>
      <c r="E1757" s="9"/>
      <c r="F1757" s="9"/>
      <c r="G1757" s="9"/>
      <c r="H1757" s="9"/>
      <c r="I1757" s="9"/>
      <c r="J1757" s="10"/>
      <c r="K1757" s="10"/>
      <c r="L1757" s="10"/>
      <c r="M1757" s="10"/>
      <c r="N1757" s="11"/>
      <c r="O1757" s="11"/>
      <c r="P1757" s="11"/>
      <c r="Q1757" s="11"/>
      <c r="R1757" s="10"/>
      <c r="S1757" s="10"/>
      <c r="T1757" s="10"/>
      <c r="U1757" s="10"/>
    </row>
    <row r="1758">
      <c r="A1758" s="8"/>
      <c r="B1758" s="9"/>
      <c r="C1758" s="9"/>
      <c r="D1758" s="9"/>
      <c r="E1758" s="9"/>
      <c r="F1758" s="9"/>
      <c r="G1758" s="9"/>
      <c r="H1758" s="9"/>
      <c r="I1758" s="9"/>
      <c r="J1758" s="10"/>
      <c r="K1758" s="10"/>
      <c r="L1758" s="10"/>
      <c r="M1758" s="10"/>
      <c r="N1758" s="11"/>
      <c r="O1758" s="11"/>
      <c r="P1758" s="11"/>
      <c r="Q1758" s="11"/>
      <c r="R1758" s="10"/>
      <c r="S1758" s="10"/>
      <c r="T1758" s="10"/>
      <c r="U1758" s="10"/>
    </row>
    <row r="1759">
      <c r="A1759" s="8"/>
      <c r="B1759" s="9"/>
      <c r="C1759" s="9"/>
      <c r="D1759" s="9"/>
      <c r="E1759" s="9"/>
      <c r="F1759" s="9"/>
      <c r="G1759" s="9"/>
      <c r="H1759" s="9"/>
      <c r="I1759" s="9"/>
      <c r="J1759" s="10"/>
      <c r="K1759" s="10"/>
      <c r="L1759" s="10"/>
      <c r="M1759" s="10"/>
      <c r="N1759" s="11"/>
      <c r="O1759" s="11"/>
      <c r="P1759" s="11"/>
      <c r="Q1759" s="11"/>
      <c r="R1759" s="10"/>
      <c r="S1759" s="10"/>
      <c r="T1759" s="10"/>
      <c r="U1759" s="10"/>
    </row>
    <row r="1760">
      <c r="A1760" s="8"/>
      <c r="B1760" s="9"/>
      <c r="C1760" s="9"/>
      <c r="D1760" s="9"/>
      <c r="E1760" s="9"/>
      <c r="F1760" s="9"/>
      <c r="G1760" s="9"/>
      <c r="H1760" s="9"/>
      <c r="I1760" s="9"/>
      <c r="J1760" s="10"/>
      <c r="K1760" s="10"/>
      <c r="L1760" s="10"/>
      <c r="M1760" s="10"/>
      <c r="N1760" s="11"/>
      <c r="O1760" s="11"/>
      <c r="P1760" s="11"/>
      <c r="Q1760" s="11"/>
      <c r="R1760" s="10"/>
      <c r="S1760" s="10"/>
      <c r="T1760" s="10"/>
      <c r="U1760" s="10"/>
    </row>
    <row r="1761">
      <c r="A1761" s="8"/>
      <c r="B1761" s="9"/>
      <c r="C1761" s="9"/>
      <c r="D1761" s="9"/>
      <c r="E1761" s="9"/>
      <c r="F1761" s="9"/>
      <c r="G1761" s="9"/>
      <c r="H1761" s="9"/>
      <c r="I1761" s="9"/>
      <c r="J1761" s="10"/>
      <c r="K1761" s="10"/>
      <c r="L1761" s="10"/>
      <c r="M1761" s="10"/>
      <c r="N1761" s="11"/>
      <c r="O1761" s="11"/>
      <c r="P1761" s="11"/>
      <c r="Q1761" s="11"/>
      <c r="R1761" s="10"/>
      <c r="S1761" s="10"/>
      <c r="T1761" s="10"/>
      <c r="U1761" s="10"/>
    </row>
    <row r="1762">
      <c r="A1762" s="8"/>
      <c r="B1762" s="9"/>
      <c r="C1762" s="9"/>
      <c r="D1762" s="9"/>
      <c r="E1762" s="9"/>
      <c r="F1762" s="9"/>
      <c r="G1762" s="9"/>
      <c r="H1762" s="9"/>
      <c r="I1762" s="9"/>
      <c r="J1762" s="10"/>
      <c r="K1762" s="10"/>
      <c r="L1762" s="10"/>
      <c r="M1762" s="10"/>
      <c r="N1762" s="11"/>
      <c r="O1762" s="11"/>
      <c r="P1762" s="11"/>
      <c r="Q1762" s="11"/>
      <c r="R1762" s="10"/>
      <c r="S1762" s="10"/>
      <c r="T1762" s="10"/>
      <c r="U1762" s="10"/>
    </row>
    <row r="1763">
      <c r="A1763" s="8"/>
      <c r="B1763" s="9"/>
      <c r="C1763" s="9"/>
      <c r="D1763" s="9"/>
      <c r="E1763" s="9"/>
      <c r="F1763" s="9"/>
      <c r="G1763" s="9"/>
      <c r="H1763" s="9"/>
      <c r="I1763" s="9"/>
      <c r="J1763" s="10"/>
      <c r="K1763" s="10"/>
      <c r="L1763" s="10"/>
      <c r="M1763" s="10"/>
      <c r="N1763" s="11"/>
      <c r="O1763" s="11"/>
      <c r="P1763" s="11"/>
      <c r="Q1763" s="11"/>
      <c r="R1763" s="10"/>
      <c r="S1763" s="10"/>
      <c r="T1763" s="10"/>
      <c r="U1763" s="10"/>
    </row>
    <row r="1764">
      <c r="A1764" s="8"/>
      <c r="B1764" s="9"/>
      <c r="C1764" s="9"/>
      <c r="D1764" s="9"/>
      <c r="E1764" s="9"/>
      <c r="F1764" s="9"/>
      <c r="G1764" s="9"/>
      <c r="H1764" s="9"/>
      <c r="I1764" s="9"/>
      <c r="J1764" s="10"/>
      <c r="K1764" s="10"/>
      <c r="L1764" s="10"/>
      <c r="M1764" s="10"/>
      <c r="N1764" s="11"/>
      <c r="O1764" s="11"/>
      <c r="P1764" s="11"/>
      <c r="Q1764" s="11"/>
      <c r="R1764" s="10"/>
      <c r="S1764" s="10"/>
      <c r="T1764" s="10"/>
      <c r="U1764" s="10"/>
    </row>
    <row r="1765">
      <c r="A1765" s="8"/>
      <c r="B1765" s="9"/>
      <c r="C1765" s="9"/>
      <c r="D1765" s="9"/>
      <c r="E1765" s="9"/>
      <c r="F1765" s="9"/>
      <c r="G1765" s="9"/>
      <c r="H1765" s="9"/>
      <c r="I1765" s="9"/>
      <c r="J1765" s="10"/>
      <c r="K1765" s="10"/>
      <c r="L1765" s="10"/>
      <c r="M1765" s="10"/>
      <c r="N1765" s="11"/>
      <c r="O1765" s="11"/>
      <c r="P1765" s="11"/>
      <c r="Q1765" s="11"/>
      <c r="R1765" s="10"/>
      <c r="S1765" s="10"/>
      <c r="T1765" s="10"/>
      <c r="U1765" s="10"/>
    </row>
    <row r="1766">
      <c r="A1766" s="8"/>
      <c r="B1766" s="9"/>
      <c r="C1766" s="9"/>
      <c r="D1766" s="9"/>
      <c r="E1766" s="9"/>
      <c r="F1766" s="9"/>
      <c r="G1766" s="9"/>
      <c r="H1766" s="9"/>
      <c r="I1766" s="9"/>
      <c r="J1766" s="10"/>
      <c r="K1766" s="10"/>
      <c r="L1766" s="10"/>
      <c r="M1766" s="10"/>
      <c r="N1766" s="11"/>
      <c r="O1766" s="11"/>
      <c r="P1766" s="11"/>
      <c r="Q1766" s="11"/>
      <c r="R1766" s="10"/>
      <c r="S1766" s="10"/>
      <c r="T1766" s="10"/>
      <c r="U1766" s="10"/>
    </row>
    <row r="1767">
      <c r="A1767" s="8"/>
      <c r="B1767" s="9"/>
      <c r="C1767" s="9"/>
      <c r="D1767" s="9"/>
      <c r="E1767" s="9"/>
      <c r="F1767" s="9"/>
      <c r="G1767" s="9"/>
      <c r="H1767" s="9"/>
      <c r="I1767" s="9"/>
      <c r="J1767" s="10"/>
      <c r="K1767" s="10"/>
      <c r="L1767" s="10"/>
      <c r="M1767" s="10"/>
      <c r="N1767" s="11"/>
      <c r="O1767" s="11"/>
      <c r="P1767" s="11"/>
      <c r="Q1767" s="11"/>
      <c r="R1767" s="10"/>
      <c r="S1767" s="10"/>
      <c r="T1767" s="10"/>
      <c r="U1767" s="10"/>
    </row>
    <row r="1768">
      <c r="A1768" s="8"/>
      <c r="B1768" s="9"/>
      <c r="C1768" s="9"/>
      <c r="D1768" s="9"/>
      <c r="E1768" s="9"/>
      <c r="F1768" s="9"/>
      <c r="G1768" s="9"/>
      <c r="H1768" s="9"/>
      <c r="I1768" s="9"/>
      <c r="J1768" s="10"/>
      <c r="K1768" s="10"/>
      <c r="L1768" s="10"/>
      <c r="M1768" s="10"/>
      <c r="N1768" s="11"/>
      <c r="O1768" s="11"/>
      <c r="P1768" s="11"/>
      <c r="Q1768" s="11"/>
      <c r="R1768" s="10"/>
      <c r="S1768" s="10"/>
      <c r="T1768" s="10"/>
      <c r="U1768" s="10"/>
    </row>
    <row r="1769">
      <c r="A1769" s="8"/>
      <c r="B1769" s="9"/>
      <c r="C1769" s="9"/>
      <c r="D1769" s="9"/>
      <c r="E1769" s="9"/>
      <c r="F1769" s="9"/>
      <c r="G1769" s="9"/>
      <c r="H1769" s="9"/>
      <c r="I1769" s="9"/>
      <c r="J1769" s="10"/>
      <c r="K1769" s="10"/>
      <c r="L1769" s="10"/>
      <c r="M1769" s="10"/>
      <c r="N1769" s="11"/>
      <c r="O1769" s="11"/>
      <c r="P1769" s="11"/>
      <c r="Q1769" s="11"/>
      <c r="R1769" s="10"/>
      <c r="S1769" s="10"/>
      <c r="T1769" s="10"/>
      <c r="U1769" s="10"/>
    </row>
    <row r="1770">
      <c r="A1770" s="8"/>
      <c r="B1770" s="9"/>
      <c r="C1770" s="9"/>
      <c r="D1770" s="9"/>
      <c r="E1770" s="9"/>
      <c r="F1770" s="9"/>
      <c r="G1770" s="9"/>
      <c r="H1770" s="9"/>
      <c r="I1770" s="9"/>
      <c r="J1770" s="10"/>
      <c r="K1770" s="10"/>
      <c r="L1770" s="10"/>
      <c r="M1770" s="10"/>
      <c r="N1770" s="11"/>
      <c r="O1770" s="11"/>
      <c r="P1770" s="11"/>
      <c r="Q1770" s="11"/>
      <c r="R1770" s="10"/>
      <c r="S1770" s="10"/>
      <c r="T1770" s="10"/>
      <c r="U1770" s="10"/>
    </row>
    <row r="1771">
      <c r="A1771" s="8"/>
      <c r="B1771" s="9"/>
      <c r="C1771" s="9"/>
      <c r="D1771" s="9"/>
      <c r="E1771" s="9"/>
      <c r="F1771" s="9"/>
      <c r="G1771" s="9"/>
      <c r="H1771" s="9"/>
      <c r="I1771" s="9"/>
      <c r="J1771" s="10"/>
      <c r="K1771" s="10"/>
      <c r="L1771" s="10"/>
      <c r="M1771" s="10"/>
      <c r="N1771" s="11"/>
      <c r="O1771" s="11"/>
      <c r="P1771" s="11"/>
      <c r="Q1771" s="11"/>
      <c r="R1771" s="10"/>
      <c r="S1771" s="10"/>
      <c r="T1771" s="10"/>
      <c r="U1771" s="10"/>
    </row>
    <row r="1772">
      <c r="A1772" s="8"/>
      <c r="B1772" s="9"/>
      <c r="C1772" s="9"/>
      <c r="D1772" s="9"/>
      <c r="E1772" s="9"/>
      <c r="F1772" s="9"/>
      <c r="G1772" s="9"/>
      <c r="H1772" s="9"/>
      <c r="I1772" s="9"/>
      <c r="J1772" s="10"/>
      <c r="K1772" s="10"/>
      <c r="L1772" s="10"/>
      <c r="M1772" s="10"/>
      <c r="N1772" s="11"/>
      <c r="O1772" s="11"/>
      <c r="P1772" s="11"/>
      <c r="Q1772" s="11"/>
      <c r="R1772" s="10"/>
      <c r="S1772" s="10"/>
      <c r="T1772" s="10"/>
      <c r="U1772" s="10"/>
    </row>
    <row r="1773">
      <c r="A1773" s="8"/>
      <c r="B1773" s="9"/>
      <c r="C1773" s="9"/>
      <c r="D1773" s="9"/>
      <c r="E1773" s="9"/>
      <c r="F1773" s="9"/>
      <c r="G1773" s="9"/>
      <c r="H1773" s="9"/>
      <c r="I1773" s="9"/>
      <c r="J1773" s="10"/>
      <c r="K1773" s="10"/>
      <c r="L1773" s="10"/>
      <c r="M1773" s="10"/>
      <c r="N1773" s="11"/>
      <c r="O1773" s="11"/>
      <c r="P1773" s="11"/>
      <c r="Q1773" s="11"/>
      <c r="R1773" s="10"/>
      <c r="S1773" s="10"/>
      <c r="T1773" s="10"/>
      <c r="U1773" s="10"/>
    </row>
    <row r="1774">
      <c r="A1774" s="8"/>
      <c r="B1774" s="9"/>
      <c r="C1774" s="9"/>
      <c r="D1774" s="9"/>
      <c r="E1774" s="9"/>
      <c r="F1774" s="9"/>
      <c r="G1774" s="9"/>
      <c r="H1774" s="9"/>
      <c r="I1774" s="9"/>
      <c r="J1774" s="10"/>
      <c r="K1774" s="10"/>
      <c r="L1774" s="10"/>
      <c r="M1774" s="10"/>
      <c r="N1774" s="11"/>
      <c r="O1774" s="11"/>
      <c r="P1774" s="11"/>
      <c r="Q1774" s="11"/>
      <c r="R1774" s="10"/>
      <c r="S1774" s="10"/>
      <c r="T1774" s="10"/>
      <c r="U1774" s="10"/>
    </row>
    <row r="1775">
      <c r="A1775" s="8"/>
      <c r="B1775" s="9"/>
      <c r="C1775" s="9"/>
      <c r="D1775" s="9"/>
      <c r="E1775" s="9"/>
      <c r="F1775" s="9"/>
      <c r="G1775" s="9"/>
      <c r="H1775" s="9"/>
      <c r="I1775" s="9"/>
      <c r="J1775" s="10"/>
      <c r="K1775" s="10"/>
      <c r="L1775" s="10"/>
      <c r="M1775" s="10"/>
      <c r="N1775" s="11"/>
      <c r="O1775" s="11"/>
      <c r="P1775" s="11"/>
      <c r="Q1775" s="11"/>
      <c r="R1775" s="10"/>
      <c r="S1775" s="10"/>
      <c r="T1775" s="10"/>
      <c r="U1775" s="10"/>
    </row>
    <row r="1776">
      <c r="A1776" s="8"/>
      <c r="B1776" s="9"/>
      <c r="C1776" s="9"/>
      <c r="D1776" s="9"/>
      <c r="E1776" s="9"/>
      <c r="F1776" s="9"/>
      <c r="G1776" s="9"/>
      <c r="H1776" s="9"/>
      <c r="I1776" s="9"/>
      <c r="J1776" s="10"/>
      <c r="K1776" s="10"/>
      <c r="L1776" s="10"/>
      <c r="M1776" s="10"/>
      <c r="N1776" s="11"/>
      <c r="O1776" s="11"/>
      <c r="P1776" s="11"/>
      <c r="Q1776" s="11"/>
      <c r="R1776" s="10"/>
      <c r="S1776" s="10"/>
      <c r="T1776" s="10"/>
      <c r="U1776" s="10"/>
    </row>
    <row r="1777">
      <c r="A1777" s="8"/>
      <c r="B1777" s="9"/>
      <c r="C1777" s="9"/>
      <c r="D1777" s="9"/>
      <c r="E1777" s="9"/>
      <c r="F1777" s="9"/>
      <c r="G1777" s="9"/>
      <c r="H1777" s="9"/>
      <c r="I1777" s="9"/>
      <c r="J1777" s="10"/>
      <c r="K1777" s="10"/>
      <c r="L1777" s="10"/>
      <c r="M1777" s="10"/>
      <c r="N1777" s="11"/>
      <c r="O1777" s="11"/>
      <c r="P1777" s="11"/>
      <c r="Q1777" s="11"/>
      <c r="R1777" s="10"/>
      <c r="S1777" s="10"/>
      <c r="T1777" s="10"/>
      <c r="U1777" s="10"/>
    </row>
    <row r="1778">
      <c r="A1778" s="8"/>
      <c r="B1778" s="9"/>
      <c r="C1778" s="9"/>
      <c r="D1778" s="9"/>
      <c r="E1778" s="9"/>
      <c r="F1778" s="9"/>
      <c r="G1778" s="9"/>
      <c r="H1778" s="9"/>
      <c r="I1778" s="9"/>
      <c r="J1778" s="10"/>
      <c r="K1778" s="10"/>
      <c r="L1778" s="10"/>
      <c r="M1778" s="10"/>
      <c r="N1778" s="11"/>
      <c r="O1778" s="11"/>
      <c r="P1778" s="11"/>
      <c r="Q1778" s="11"/>
      <c r="R1778" s="10"/>
      <c r="S1778" s="10"/>
      <c r="T1778" s="10"/>
      <c r="U1778" s="10"/>
    </row>
    <row r="1779">
      <c r="A1779" s="8"/>
      <c r="B1779" s="9"/>
      <c r="C1779" s="9"/>
      <c r="D1779" s="9"/>
      <c r="E1779" s="9"/>
      <c r="F1779" s="9"/>
      <c r="G1779" s="9"/>
      <c r="H1779" s="9"/>
      <c r="I1779" s="9"/>
      <c r="J1779" s="10"/>
      <c r="K1779" s="10"/>
      <c r="L1779" s="10"/>
      <c r="M1779" s="10"/>
      <c r="N1779" s="11"/>
      <c r="O1779" s="11"/>
      <c r="P1779" s="11"/>
      <c r="Q1779" s="11"/>
      <c r="R1779" s="10"/>
      <c r="S1779" s="10"/>
      <c r="T1779" s="10"/>
      <c r="U1779" s="10"/>
    </row>
    <row r="1780">
      <c r="A1780" s="8"/>
      <c r="B1780" s="9"/>
      <c r="C1780" s="9"/>
      <c r="D1780" s="9"/>
      <c r="E1780" s="9"/>
      <c r="F1780" s="9"/>
      <c r="G1780" s="9"/>
      <c r="H1780" s="9"/>
      <c r="I1780" s="9"/>
      <c r="J1780" s="10"/>
      <c r="K1780" s="10"/>
      <c r="L1780" s="10"/>
      <c r="M1780" s="10"/>
      <c r="N1780" s="11"/>
      <c r="O1780" s="11"/>
      <c r="P1780" s="11"/>
      <c r="Q1780" s="11"/>
      <c r="R1780" s="10"/>
      <c r="S1780" s="10"/>
      <c r="T1780" s="10"/>
      <c r="U1780" s="10"/>
    </row>
    <row r="1781">
      <c r="A1781" s="8"/>
      <c r="B1781" s="9"/>
      <c r="C1781" s="9"/>
      <c r="D1781" s="9"/>
      <c r="E1781" s="9"/>
      <c r="F1781" s="9"/>
      <c r="G1781" s="9"/>
      <c r="H1781" s="9"/>
      <c r="I1781" s="9"/>
      <c r="J1781" s="10"/>
      <c r="K1781" s="10"/>
      <c r="L1781" s="10"/>
      <c r="M1781" s="10"/>
      <c r="N1781" s="11"/>
      <c r="O1781" s="11"/>
      <c r="P1781" s="11"/>
      <c r="Q1781" s="11"/>
      <c r="R1781" s="10"/>
      <c r="S1781" s="10"/>
      <c r="T1781" s="10"/>
      <c r="U1781" s="10"/>
    </row>
    <row r="1782">
      <c r="A1782" s="8"/>
      <c r="B1782" s="9"/>
      <c r="C1782" s="9"/>
      <c r="D1782" s="9"/>
      <c r="E1782" s="9"/>
      <c r="F1782" s="9"/>
      <c r="G1782" s="9"/>
      <c r="H1782" s="9"/>
      <c r="I1782" s="9"/>
      <c r="J1782" s="10"/>
      <c r="K1782" s="10"/>
      <c r="L1782" s="10"/>
      <c r="M1782" s="10"/>
      <c r="N1782" s="11"/>
      <c r="O1782" s="11"/>
      <c r="P1782" s="11"/>
      <c r="Q1782" s="11"/>
      <c r="R1782" s="10"/>
      <c r="S1782" s="10"/>
      <c r="T1782" s="10"/>
      <c r="U1782" s="10"/>
    </row>
    <row r="1783">
      <c r="A1783" s="8"/>
      <c r="B1783" s="9"/>
      <c r="C1783" s="9"/>
      <c r="D1783" s="9"/>
      <c r="E1783" s="9"/>
      <c r="F1783" s="9"/>
      <c r="G1783" s="9"/>
      <c r="H1783" s="9"/>
      <c r="I1783" s="9"/>
      <c r="J1783" s="10"/>
      <c r="K1783" s="10"/>
      <c r="L1783" s="10"/>
      <c r="M1783" s="10"/>
      <c r="N1783" s="11"/>
      <c r="O1783" s="11"/>
      <c r="P1783" s="11"/>
      <c r="Q1783" s="11"/>
      <c r="R1783" s="10"/>
      <c r="S1783" s="10"/>
      <c r="T1783" s="10"/>
      <c r="U1783" s="10"/>
    </row>
    <row r="1784">
      <c r="A1784" s="8"/>
      <c r="B1784" s="9"/>
      <c r="C1784" s="9"/>
      <c r="D1784" s="9"/>
      <c r="E1784" s="9"/>
      <c r="F1784" s="9"/>
      <c r="G1784" s="9"/>
      <c r="H1784" s="9"/>
      <c r="I1784" s="9"/>
      <c r="J1784" s="10"/>
      <c r="K1784" s="10"/>
      <c r="L1784" s="10"/>
      <c r="M1784" s="10"/>
      <c r="N1784" s="11"/>
      <c r="O1784" s="11"/>
      <c r="P1784" s="11"/>
      <c r="Q1784" s="11"/>
      <c r="R1784" s="10"/>
      <c r="S1784" s="10"/>
      <c r="T1784" s="10"/>
      <c r="U1784" s="10"/>
    </row>
    <row r="1785">
      <c r="A1785" s="8"/>
      <c r="B1785" s="9"/>
      <c r="C1785" s="9"/>
      <c r="D1785" s="9"/>
      <c r="E1785" s="9"/>
      <c r="F1785" s="9"/>
      <c r="G1785" s="9"/>
      <c r="H1785" s="9"/>
      <c r="I1785" s="9"/>
      <c r="J1785" s="10"/>
      <c r="K1785" s="10"/>
      <c r="L1785" s="10"/>
      <c r="M1785" s="10"/>
      <c r="N1785" s="11"/>
      <c r="O1785" s="11"/>
      <c r="P1785" s="11"/>
      <c r="Q1785" s="11"/>
      <c r="R1785" s="10"/>
      <c r="S1785" s="10"/>
      <c r="T1785" s="10"/>
      <c r="U1785" s="10"/>
    </row>
    <row r="1786">
      <c r="A1786" s="8"/>
      <c r="B1786" s="9"/>
      <c r="C1786" s="9"/>
      <c r="D1786" s="9"/>
      <c r="E1786" s="9"/>
      <c r="F1786" s="9"/>
      <c r="G1786" s="9"/>
      <c r="H1786" s="9"/>
      <c r="I1786" s="9"/>
      <c r="J1786" s="10"/>
      <c r="K1786" s="10"/>
      <c r="L1786" s="10"/>
      <c r="M1786" s="10"/>
      <c r="N1786" s="11"/>
      <c r="O1786" s="11"/>
      <c r="P1786" s="11"/>
      <c r="Q1786" s="11"/>
      <c r="R1786" s="10"/>
      <c r="S1786" s="10"/>
      <c r="T1786" s="10"/>
      <c r="U1786" s="10"/>
    </row>
    <row r="1787">
      <c r="A1787" s="8"/>
      <c r="B1787" s="9"/>
      <c r="C1787" s="9"/>
      <c r="D1787" s="9"/>
      <c r="E1787" s="9"/>
      <c r="F1787" s="9"/>
      <c r="G1787" s="9"/>
      <c r="H1787" s="9"/>
      <c r="I1787" s="9"/>
      <c r="J1787" s="10"/>
      <c r="K1787" s="10"/>
      <c r="L1787" s="10"/>
      <c r="M1787" s="10"/>
      <c r="N1787" s="11"/>
      <c r="O1787" s="11"/>
      <c r="P1787" s="11"/>
      <c r="Q1787" s="11"/>
      <c r="R1787" s="10"/>
      <c r="S1787" s="10"/>
      <c r="T1787" s="10"/>
      <c r="U1787" s="10"/>
    </row>
    <row r="1788">
      <c r="A1788" s="8"/>
      <c r="B1788" s="9"/>
      <c r="C1788" s="9"/>
      <c r="D1788" s="9"/>
      <c r="E1788" s="9"/>
      <c r="F1788" s="9"/>
      <c r="G1788" s="9"/>
      <c r="H1788" s="9"/>
      <c r="I1788" s="9"/>
      <c r="J1788" s="10"/>
      <c r="K1788" s="10"/>
      <c r="L1788" s="10"/>
      <c r="M1788" s="10"/>
      <c r="N1788" s="11"/>
      <c r="O1788" s="11"/>
      <c r="P1788" s="11"/>
      <c r="Q1788" s="11"/>
      <c r="R1788" s="10"/>
      <c r="S1788" s="10"/>
      <c r="T1788" s="10"/>
      <c r="U1788" s="10"/>
    </row>
    <row r="1789">
      <c r="A1789" s="8"/>
      <c r="B1789" s="9"/>
      <c r="C1789" s="9"/>
      <c r="D1789" s="9"/>
      <c r="E1789" s="9"/>
      <c r="F1789" s="9"/>
      <c r="G1789" s="9"/>
      <c r="H1789" s="9"/>
      <c r="I1789" s="9"/>
      <c r="J1789" s="10"/>
      <c r="K1789" s="10"/>
      <c r="L1789" s="10"/>
      <c r="M1789" s="10"/>
      <c r="N1789" s="11"/>
      <c r="O1789" s="11"/>
      <c r="P1789" s="11"/>
      <c r="Q1789" s="11"/>
      <c r="R1789" s="10"/>
      <c r="S1789" s="10"/>
      <c r="T1789" s="10"/>
      <c r="U1789" s="10"/>
    </row>
    <row r="1790">
      <c r="A1790" s="8"/>
      <c r="B1790" s="9"/>
      <c r="C1790" s="9"/>
      <c r="D1790" s="9"/>
      <c r="E1790" s="9"/>
      <c r="F1790" s="9"/>
      <c r="G1790" s="9"/>
      <c r="H1790" s="9"/>
      <c r="I1790" s="9"/>
      <c r="J1790" s="10"/>
      <c r="K1790" s="10"/>
      <c r="L1790" s="10"/>
      <c r="M1790" s="10"/>
      <c r="N1790" s="11"/>
      <c r="O1790" s="11"/>
      <c r="P1790" s="11"/>
      <c r="Q1790" s="11"/>
      <c r="R1790" s="10"/>
      <c r="S1790" s="10"/>
      <c r="T1790" s="10"/>
      <c r="U1790" s="10"/>
    </row>
    <row r="1791">
      <c r="A1791" s="8"/>
      <c r="B1791" s="9"/>
      <c r="C1791" s="9"/>
      <c r="D1791" s="9"/>
      <c r="E1791" s="9"/>
      <c r="F1791" s="9"/>
      <c r="G1791" s="9"/>
      <c r="H1791" s="9"/>
      <c r="I1791" s="9"/>
      <c r="J1791" s="10"/>
      <c r="K1791" s="10"/>
      <c r="L1791" s="10"/>
      <c r="M1791" s="10"/>
      <c r="N1791" s="11"/>
      <c r="O1791" s="11"/>
      <c r="P1791" s="11"/>
      <c r="Q1791" s="11"/>
      <c r="R1791" s="10"/>
      <c r="S1791" s="10"/>
      <c r="T1791" s="10"/>
      <c r="U1791" s="10"/>
    </row>
    <row r="1792">
      <c r="A1792" s="8"/>
      <c r="B1792" s="9"/>
      <c r="C1792" s="9"/>
      <c r="D1792" s="9"/>
      <c r="E1792" s="9"/>
      <c r="F1792" s="9"/>
      <c r="G1792" s="9"/>
      <c r="H1792" s="9"/>
      <c r="I1792" s="9"/>
      <c r="J1792" s="10"/>
      <c r="K1792" s="10"/>
      <c r="L1792" s="10"/>
      <c r="M1792" s="10"/>
      <c r="N1792" s="11"/>
      <c r="O1792" s="11"/>
      <c r="P1792" s="11"/>
      <c r="Q1792" s="11"/>
      <c r="R1792" s="10"/>
      <c r="S1792" s="10"/>
      <c r="T1792" s="10"/>
      <c r="U1792" s="10"/>
    </row>
    <row r="1793">
      <c r="A1793" s="8"/>
      <c r="B1793" s="9"/>
      <c r="C1793" s="9"/>
      <c r="D1793" s="9"/>
      <c r="E1793" s="9"/>
      <c r="F1793" s="9"/>
      <c r="G1793" s="9"/>
      <c r="H1793" s="9"/>
      <c r="I1793" s="9"/>
      <c r="J1793" s="10"/>
      <c r="K1793" s="10"/>
      <c r="L1793" s="10"/>
      <c r="M1793" s="10"/>
      <c r="N1793" s="11"/>
      <c r="O1793" s="11"/>
      <c r="P1793" s="11"/>
      <c r="Q1793" s="11"/>
      <c r="R1793" s="10"/>
      <c r="S1793" s="10"/>
      <c r="T1793" s="10"/>
      <c r="U1793" s="10"/>
    </row>
    <row r="1794">
      <c r="A1794" s="8"/>
      <c r="B1794" s="9"/>
      <c r="C1794" s="9"/>
      <c r="D1794" s="9"/>
      <c r="E1794" s="9"/>
      <c r="F1794" s="9"/>
      <c r="G1794" s="9"/>
      <c r="H1794" s="9"/>
      <c r="I1794" s="9"/>
      <c r="J1794" s="10"/>
      <c r="K1794" s="10"/>
      <c r="L1794" s="10"/>
      <c r="M1794" s="10"/>
      <c r="N1794" s="11"/>
      <c r="O1794" s="11"/>
      <c r="P1794" s="11"/>
      <c r="Q1794" s="11"/>
      <c r="R1794" s="10"/>
      <c r="S1794" s="10"/>
      <c r="T1794" s="10"/>
      <c r="U1794" s="10"/>
    </row>
    <row r="1795">
      <c r="A1795" s="8"/>
      <c r="B1795" s="9"/>
      <c r="C1795" s="9"/>
      <c r="D1795" s="9"/>
      <c r="E1795" s="9"/>
      <c r="F1795" s="9"/>
      <c r="G1795" s="9"/>
      <c r="H1795" s="9"/>
      <c r="I1795" s="9"/>
      <c r="J1795" s="10"/>
      <c r="K1795" s="10"/>
      <c r="L1795" s="10"/>
      <c r="M1795" s="10"/>
      <c r="N1795" s="11"/>
      <c r="O1795" s="11"/>
      <c r="P1795" s="11"/>
      <c r="Q1795" s="11"/>
      <c r="R1795" s="10"/>
      <c r="S1795" s="10"/>
      <c r="T1795" s="10"/>
      <c r="U1795" s="10"/>
    </row>
    <row r="1796">
      <c r="A1796" s="8"/>
      <c r="B1796" s="9"/>
      <c r="C1796" s="9"/>
      <c r="D1796" s="9"/>
      <c r="E1796" s="9"/>
      <c r="F1796" s="9"/>
      <c r="G1796" s="9"/>
      <c r="H1796" s="9"/>
      <c r="I1796" s="9"/>
      <c r="J1796" s="10"/>
      <c r="K1796" s="10"/>
      <c r="L1796" s="10"/>
      <c r="M1796" s="10"/>
      <c r="N1796" s="11"/>
      <c r="O1796" s="11"/>
      <c r="P1796" s="11"/>
      <c r="Q1796" s="11"/>
      <c r="R1796" s="10"/>
      <c r="S1796" s="10"/>
      <c r="T1796" s="10"/>
      <c r="U1796" s="10"/>
    </row>
    <row r="1797">
      <c r="A1797" s="8"/>
      <c r="B1797" s="9"/>
      <c r="C1797" s="9"/>
      <c r="D1797" s="9"/>
      <c r="E1797" s="9"/>
      <c r="F1797" s="9"/>
      <c r="G1797" s="9"/>
      <c r="H1797" s="9"/>
      <c r="I1797" s="9"/>
      <c r="J1797" s="10"/>
      <c r="K1797" s="10"/>
      <c r="L1797" s="10"/>
      <c r="M1797" s="10"/>
      <c r="N1797" s="11"/>
      <c r="O1797" s="11"/>
      <c r="P1797" s="11"/>
      <c r="Q1797" s="11"/>
      <c r="R1797" s="10"/>
      <c r="S1797" s="10"/>
      <c r="T1797" s="10"/>
      <c r="U1797" s="10"/>
    </row>
    <row r="1798">
      <c r="A1798" s="8"/>
      <c r="B1798" s="9"/>
      <c r="C1798" s="9"/>
      <c r="D1798" s="9"/>
      <c r="E1798" s="9"/>
      <c r="F1798" s="9"/>
      <c r="G1798" s="9"/>
      <c r="H1798" s="9"/>
      <c r="I1798" s="9"/>
      <c r="J1798" s="10"/>
      <c r="K1798" s="10"/>
      <c r="L1798" s="10"/>
      <c r="M1798" s="10"/>
      <c r="N1798" s="11"/>
      <c r="O1798" s="11"/>
      <c r="P1798" s="11"/>
      <c r="Q1798" s="11"/>
      <c r="R1798" s="10"/>
      <c r="S1798" s="10"/>
      <c r="T1798" s="10"/>
      <c r="U1798" s="10"/>
    </row>
    <row r="1799">
      <c r="A1799" s="8"/>
      <c r="B1799" s="9"/>
      <c r="C1799" s="9"/>
      <c r="D1799" s="9"/>
      <c r="E1799" s="9"/>
      <c r="F1799" s="9"/>
      <c r="G1799" s="9"/>
      <c r="H1799" s="9"/>
      <c r="I1799" s="9"/>
      <c r="J1799" s="10"/>
      <c r="K1799" s="10"/>
      <c r="L1799" s="10"/>
      <c r="M1799" s="10"/>
      <c r="N1799" s="11"/>
      <c r="O1799" s="11"/>
      <c r="P1799" s="11"/>
      <c r="Q1799" s="11"/>
      <c r="R1799" s="10"/>
      <c r="S1799" s="10"/>
      <c r="T1799" s="10"/>
      <c r="U1799" s="10"/>
    </row>
    <row r="1800">
      <c r="A1800" s="8"/>
      <c r="B1800" s="9"/>
      <c r="C1800" s="9"/>
      <c r="D1800" s="9"/>
      <c r="E1800" s="9"/>
      <c r="F1800" s="9"/>
      <c r="G1800" s="9"/>
      <c r="H1800" s="9"/>
      <c r="I1800" s="9"/>
      <c r="J1800" s="10"/>
      <c r="K1800" s="10"/>
      <c r="L1800" s="10"/>
      <c r="M1800" s="10"/>
      <c r="N1800" s="11"/>
      <c r="O1800" s="11"/>
      <c r="P1800" s="11"/>
      <c r="Q1800" s="11"/>
      <c r="R1800" s="10"/>
      <c r="S1800" s="10"/>
      <c r="T1800" s="10"/>
      <c r="U1800" s="10"/>
    </row>
    <row r="1801">
      <c r="A1801" s="8"/>
      <c r="B1801" s="9"/>
      <c r="C1801" s="9"/>
      <c r="D1801" s="9"/>
      <c r="E1801" s="9"/>
      <c r="F1801" s="9"/>
      <c r="G1801" s="9"/>
      <c r="H1801" s="9"/>
      <c r="I1801" s="9"/>
      <c r="J1801" s="10"/>
      <c r="K1801" s="10"/>
      <c r="L1801" s="10"/>
      <c r="M1801" s="10"/>
      <c r="N1801" s="11"/>
      <c r="O1801" s="11"/>
      <c r="P1801" s="11"/>
      <c r="Q1801" s="11"/>
      <c r="R1801" s="10"/>
      <c r="S1801" s="10"/>
      <c r="T1801" s="10"/>
      <c r="U1801" s="10"/>
    </row>
    <row r="1802">
      <c r="A1802" s="8"/>
      <c r="B1802" s="9"/>
      <c r="C1802" s="9"/>
      <c r="D1802" s="9"/>
      <c r="E1802" s="9"/>
      <c r="F1802" s="9"/>
      <c r="G1802" s="9"/>
      <c r="H1802" s="9"/>
      <c r="I1802" s="9"/>
      <c r="J1802" s="10"/>
      <c r="K1802" s="10"/>
      <c r="L1802" s="10"/>
      <c r="M1802" s="10"/>
      <c r="N1802" s="11"/>
      <c r="O1802" s="11"/>
      <c r="P1802" s="11"/>
      <c r="Q1802" s="11"/>
      <c r="R1802" s="10"/>
      <c r="S1802" s="10"/>
      <c r="T1802" s="10"/>
      <c r="U1802" s="10"/>
    </row>
    <row r="1803">
      <c r="A1803" s="8"/>
      <c r="B1803" s="9"/>
      <c r="C1803" s="9"/>
      <c r="D1803" s="9"/>
      <c r="E1803" s="9"/>
      <c r="F1803" s="9"/>
      <c r="G1803" s="9"/>
      <c r="H1803" s="9"/>
      <c r="I1803" s="9"/>
      <c r="J1803" s="10"/>
      <c r="K1803" s="10"/>
      <c r="L1803" s="10"/>
      <c r="M1803" s="10"/>
      <c r="N1803" s="11"/>
      <c r="O1803" s="11"/>
      <c r="P1803" s="11"/>
      <c r="Q1803" s="11"/>
      <c r="R1803" s="10"/>
      <c r="S1803" s="10"/>
      <c r="T1803" s="10"/>
      <c r="U1803" s="10"/>
    </row>
    <row r="1804">
      <c r="A1804" s="8"/>
      <c r="B1804" s="9"/>
      <c r="C1804" s="9"/>
      <c r="D1804" s="9"/>
      <c r="E1804" s="9"/>
      <c r="F1804" s="9"/>
      <c r="G1804" s="9"/>
      <c r="H1804" s="9"/>
      <c r="I1804" s="9"/>
      <c r="J1804" s="10"/>
      <c r="K1804" s="10"/>
      <c r="L1804" s="10"/>
      <c r="M1804" s="10"/>
      <c r="N1804" s="11"/>
      <c r="O1804" s="11"/>
      <c r="P1804" s="11"/>
      <c r="Q1804" s="11"/>
      <c r="R1804" s="10"/>
      <c r="S1804" s="10"/>
      <c r="T1804" s="10"/>
      <c r="U1804" s="10"/>
    </row>
    <row r="1805">
      <c r="A1805" s="8"/>
      <c r="B1805" s="9"/>
      <c r="C1805" s="9"/>
      <c r="D1805" s="9"/>
      <c r="E1805" s="9"/>
      <c r="F1805" s="9"/>
      <c r="G1805" s="9"/>
      <c r="H1805" s="9"/>
      <c r="I1805" s="9"/>
      <c r="J1805" s="10"/>
      <c r="K1805" s="10"/>
      <c r="L1805" s="10"/>
      <c r="M1805" s="10"/>
      <c r="N1805" s="11"/>
      <c r="O1805" s="11"/>
      <c r="P1805" s="11"/>
      <c r="Q1805" s="11"/>
      <c r="R1805" s="10"/>
      <c r="S1805" s="10"/>
      <c r="T1805" s="10"/>
      <c r="U1805" s="10"/>
    </row>
    <row r="1806">
      <c r="A1806" s="8"/>
      <c r="B1806" s="9"/>
      <c r="C1806" s="9"/>
      <c r="D1806" s="9"/>
      <c r="E1806" s="9"/>
      <c r="F1806" s="9"/>
      <c r="G1806" s="9"/>
      <c r="H1806" s="9"/>
      <c r="I1806" s="9"/>
      <c r="J1806" s="10"/>
      <c r="K1806" s="10"/>
      <c r="L1806" s="10"/>
      <c r="M1806" s="10"/>
      <c r="N1806" s="11"/>
      <c r="O1806" s="11"/>
      <c r="P1806" s="11"/>
      <c r="Q1806" s="11"/>
      <c r="R1806" s="10"/>
      <c r="S1806" s="10"/>
      <c r="T1806" s="10"/>
      <c r="U1806" s="10"/>
    </row>
    <row r="1807">
      <c r="A1807" s="8"/>
      <c r="B1807" s="9"/>
      <c r="C1807" s="9"/>
      <c r="D1807" s="9"/>
      <c r="E1807" s="9"/>
      <c r="F1807" s="9"/>
      <c r="G1807" s="9"/>
      <c r="H1807" s="9"/>
      <c r="I1807" s="9"/>
      <c r="J1807" s="10"/>
      <c r="K1807" s="10"/>
      <c r="L1807" s="10"/>
      <c r="M1807" s="10"/>
      <c r="N1807" s="11"/>
      <c r="O1807" s="11"/>
      <c r="P1807" s="11"/>
      <c r="Q1807" s="11"/>
      <c r="R1807" s="10"/>
      <c r="S1807" s="10"/>
      <c r="T1807" s="10"/>
      <c r="U1807" s="10"/>
    </row>
    <row r="1808">
      <c r="A1808" s="8"/>
      <c r="B1808" s="9"/>
      <c r="C1808" s="9"/>
      <c r="D1808" s="9"/>
      <c r="E1808" s="9"/>
      <c r="F1808" s="9"/>
      <c r="G1808" s="9"/>
      <c r="H1808" s="9"/>
      <c r="I1808" s="9"/>
      <c r="J1808" s="10"/>
      <c r="K1808" s="10"/>
      <c r="L1808" s="10"/>
      <c r="M1808" s="10"/>
      <c r="N1808" s="11"/>
      <c r="O1808" s="11"/>
      <c r="P1808" s="11"/>
      <c r="Q1808" s="11"/>
      <c r="R1808" s="10"/>
      <c r="S1808" s="10"/>
      <c r="T1808" s="10"/>
      <c r="U1808" s="10"/>
    </row>
    <row r="1809">
      <c r="A1809" s="8"/>
      <c r="B1809" s="9"/>
      <c r="C1809" s="9"/>
      <c r="D1809" s="9"/>
      <c r="E1809" s="9"/>
      <c r="F1809" s="9"/>
      <c r="G1809" s="9"/>
      <c r="H1809" s="9"/>
      <c r="I1809" s="9"/>
      <c r="J1809" s="10"/>
      <c r="K1809" s="10"/>
      <c r="L1809" s="10"/>
      <c r="M1809" s="10"/>
      <c r="N1809" s="11"/>
      <c r="O1809" s="11"/>
      <c r="P1809" s="11"/>
      <c r="Q1809" s="11"/>
      <c r="R1809" s="10"/>
      <c r="S1809" s="10"/>
      <c r="T1809" s="10"/>
      <c r="U1809" s="10"/>
    </row>
    <row r="1810">
      <c r="A1810" s="8"/>
      <c r="B1810" s="9"/>
      <c r="C1810" s="9"/>
      <c r="D1810" s="9"/>
      <c r="E1810" s="9"/>
      <c r="F1810" s="9"/>
      <c r="G1810" s="9"/>
      <c r="H1810" s="9"/>
      <c r="I1810" s="9"/>
      <c r="J1810" s="10"/>
      <c r="K1810" s="10"/>
      <c r="L1810" s="10"/>
      <c r="M1810" s="10"/>
      <c r="N1810" s="11"/>
      <c r="O1810" s="11"/>
      <c r="P1810" s="11"/>
      <c r="Q1810" s="11"/>
      <c r="R1810" s="10"/>
      <c r="S1810" s="10"/>
      <c r="T1810" s="10"/>
      <c r="U1810" s="10"/>
    </row>
    <row r="1811">
      <c r="A1811" s="8"/>
      <c r="B1811" s="9"/>
      <c r="C1811" s="9"/>
      <c r="D1811" s="9"/>
      <c r="E1811" s="9"/>
      <c r="F1811" s="9"/>
      <c r="G1811" s="9"/>
      <c r="H1811" s="9"/>
      <c r="I1811" s="9"/>
      <c r="J1811" s="10"/>
      <c r="K1811" s="10"/>
      <c r="L1811" s="10"/>
      <c r="M1811" s="10"/>
      <c r="N1811" s="11"/>
      <c r="O1811" s="11"/>
      <c r="P1811" s="11"/>
      <c r="Q1811" s="11"/>
      <c r="R1811" s="10"/>
      <c r="S1811" s="10"/>
      <c r="T1811" s="10"/>
      <c r="U1811" s="10"/>
    </row>
    <row r="1812">
      <c r="A1812" s="8"/>
      <c r="B1812" s="9"/>
      <c r="C1812" s="9"/>
      <c r="D1812" s="9"/>
      <c r="E1812" s="9"/>
      <c r="F1812" s="9"/>
      <c r="G1812" s="9"/>
      <c r="H1812" s="9"/>
      <c r="I1812" s="9"/>
      <c r="J1812" s="10"/>
      <c r="K1812" s="10"/>
      <c r="L1812" s="10"/>
      <c r="M1812" s="10"/>
      <c r="N1812" s="11"/>
      <c r="O1812" s="11"/>
      <c r="P1812" s="11"/>
      <c r="Q1812" s="11"/>
      <c r="R1812" s="10"/>
      <c r="S1812" s="10"/>
      <c r="T1812" s="10"/>
      <c r="U1812" s="10"/>
    </row>
    <row r="1813">
      <c r="A1813" s="8"/>
      <c r="B1813" s="9"/>
      <c r="C1813" s="9"/>
      <c r="D1813" s="9"/>
      <c r="E1813" s="9"/>
      <c r="F1813" s="9"/>
      <c r="G1813" s="9"/>
      <c r="H1813" s="9"/>
      <c r="I1813" s="9"/>
      <c r="J1813" s="10"/>
      <c r="K1813" s="10"/>
      <c r="L1813" s="10"/>
      <c r="M1813" s="10"/>
      <c r="N1813" s="11"/>
      <c r="O1813" s="11"/>
      <c r="P1813" s="11"/>
      <c r="Q1813" s="11"/>
      <c r="R1813" s="10"/>
      <c r="S1813" s="10"/>
      <c r="T1813" s="10"/>
      <c r="U1813" s="10"/>
    </row>
    <row r="1814">
      <c r="A1814" s="8"/>
      <c r="B1814" s="9"/>
      <c r="C1814" s="9"/>
      <c r="D1814" s="9"/>
      <c r="E1814" s="9"/>
      <c r="F1814" s="9"/>
      <c r="G1814" s="9"/>
      <c r="H1814" s="9"/>
      <c r="I1814" s="9"/>
      <c r="J1814" s="10"/>
      <c r="K1814" s="10"/>
      <c r="L1814" s="10"/>
      <c r="M1814" s="10"/>
      <c r="N1814" s="11"/>
      <c r="O1814" s="11"/>
      <c r="P1814" s="11"/>
      <c r="Q1814" s="11"/>
      <c r="R1814" s="10"/>
      <c r="S1814" s="10"/>
      <c r="T1814" s="10"/>
      <c r="U1814" s="10"/>
    </row>
    <row r="1815">
      <c r="A1815" s="8"/>
      <c r="B1815" s="9"/>
      <c r="C1815" s="9"/>
      <c r="D1815" s="9"/>
      <c r="E1815" s="9"/>
      <c r="F1815" s="9"/>
      <c r="G1815" s="9"/>
      <c r="H1815" s="9"/>
      <c r="I1815" s="9"/>
      <c r="J1815" s="10"/>
      <c r="K1815" s="10"/>
      <c r="L1815" s="10"/>
      <c r="M1815" s="10"/>
      <c r="N1815" s="11"/>
      <c r="O1815" s="11"/>
      <c r="P1815" s="11"/>
      <c r="Q1815" s="11"/>
      <c r="R1815" s="10"/>
      <c r="S1815" s="10"/>
      <c r="T1815" s="10"/>
      <c r="U1815" s="10"/>
    </row>
    <row r="1816">
      <c r="A1816" s="8"/>
      <c r="B1816" s="9"/>
      <c r="C1816" s="9"/>
      <c r="D1816" s="9"/>
      <c r="E1816" s="9"/>
      <c r="F1816" s="9"/>
      <c r="G1816" s="9"/>
      <c r="H1816" s="9"/>
      <c r="I1816" s="9"/>
      <c r="J1816" s="10"/>
      <c r="K1816" s="10"/>
      <c r="L1816" s="10"/>
      <c r="M1816" s="10"/>
      <c r="N1816" s="11"/>
      <c r="O1816" s="11"/>
      <c r="P1816" s="11"/>
      <c r="Q1816" s="11"/>
      <c r="R1816" s="10"/>
      <c r="S1816" s="10"/>
      <c r="T1816" s="10"/>
      <c r="U1816" s="10"/>
    </row>
    <row r="1817">
      <c r="A1817" s="8"/>
      <c r="B1817" s="9"/>
      <c r="C1817" s="9"/>
      <c r="D1817" s="9"/>
      <c r="E1817" s="9"/>
      <c r="F1817" s="9"/>
      <c r="G1817" s="9"/>
      <c r="H1817" s="9"/>
      <c r="I1817" s="9"/>
      <c r="J1817" s="10"/>
      <c r="K1817" s="10"/>
      <c r="L1817" s="10"/>
      <c r="M1817" s="10"/>
      <c r="N1817" s="11"/>
      <c r="O1817" s="11"/>
      <c r="P1817" s="11"/>
      <c r="Q1817" s="11"/>
      <c r="R1817" s="10"/>
      <c r="S1817" s="10"/>
      <c r="T1817" s="10"/>
      <c r="U1817" s="10"/>
    </row>
    <row r="1818">
      <c r="A1818" s="8"/>
      <c r="B1818" s="9"/>
      <c r="C1818" s="9"/>
      <c r="D1818" s="9"/>
      <c r="E1818" s="9"/>
      <c r="F1818" s="9"/>
      <c r="G1818" s="9"/>
      <c r="H1818" s="9"/>
      <c r="I1818" s="9"/>
      <c r="J1818" s="10"/>
      <c r="K1818" s="10"/>
      <c r="L1818" s="10"/>
      <c r="M1818" s="10"/>
      <c r="N1818" s="11"/>
      <c r="O1818" s="11"/>
      <c r="P1818" s="11"/>
      <c r="Q1818" s="11"/>
      <c r="R1818" s="10"/>
      <c r="S1818" s="10"/>
      <c r="T1818" s="10"/>
      <c r="U1818" s="10"/>
    </row>
    <row r="1819">
      <c r="A1819" s="8"/>
      <c r="B1819" s="9"/>
      <c r="C1819" s="9"/>
      <c r="D1819" s="9"/>
      <c r="E1819" s="9"/>
      <c r="F1819" s="9"/>
      <c r="G1819" s="9"/>
      <c r="H1819" s="9"/>
      <c r="I1819" s="9"/>
      <c r="J1819" s="10"/>
      <c r="K1819" s="10"/>
      <c r="L1819" s="10"/>
      <c r="M1819" s="10"/>
      <c r="N1819" s="11"/>
      <c r="O1819" s="11"/>
      <c r="P1819" s="11"/>
      <c r="Q1819" s="11"/>
      <c r="R1819" s="10"/>
      <c r="S1819" s="10"/>
      <c r="T1819" s="10"/>
      <c r="U1819" s="10"/>
    </row>
    <row r="1820">
      <c r="A1820" s="8"/>
      <c r="B1820" s="9"/>
      <c r="C1820" s="9"/>
      <c r="D1820" s="9"/>
      <c r="E1820" s="9"/>
      <c r="F1820" s="9"/>
      <c r="G1820" s="9"/>
      <c r="H1820" s="9"/>
      <c r="I1820" s="9"/>
      <c r="J1820" s="10"/>
      <c r="K1820" s="10"/>
      <c r="L1820" s="10"/>
      <c r="M1820" s="10"/>
      <c r="N1820" s="11"/>
      <c r="O1820" s="11"/>
      <c r="P1820" s="11"/>
      <c r="Q1820" s="11"/>
      <c r="R1820" s="10"/>
      <c r="S1820" s="10"/>
      <c r="T1820" s="10"/>
      <c r="U1820" s="10"/>
    </row>
    <row r="1821">
      <c r="A1821" s="8"/>
      <c r="B1821" s="9"/>
      <c r="C1821" s="9"/>
      <c r="D1821" s="9"/>
      <c r="E1821" s="9"/>
      <c r="F1821" s="9"/>
      <c r="G1821" s="9"/>
      <c r="H1821" s="9"/>
      <c r="I1821" s="9"/>
      <c r="J1821" s="10"/>
      <c r="K1821" s="10"/>
      <c r="L1821" s="10"/>
      <c r="M1821" s="10"/>
      <c r="N1821" s="11"/>
      <c r="O1821" s="11"/>
      <c r="P1821" s="11"/>
      <c r="Q1821" s="11"/>
      <c r="R1821" s="10"/>
      <c r="S1821" s="10"/>
      <c r="T1821" s="10"/>
      <c r="U1821" s="10"/>
    </row>
    <row r="1822">
      <c r="A1822" s="8"/>
      <c r="B1822" s="9"/>
      <c r="C1822" s="9"/>
      <c r="D1822" s="9"/>
      <c r="E1822" s="9"/>
      <c r="F1822" s="9"/>
      <c r="G1822" s="9"/>
      <c r="H1822" s="9"/>
      <c r="I1822" s="9"/>
      <c r="J1822" s="10"/>
      <c r="K1822" s="10"/>
      <c r="L1822" s="10"/>
      <c r="M1822" s="10"/>
      <c r="N1822" s="11"/>
      <c r="O1822" s="11"/>
      <c r="P1822" s="11"/>
      <c r="Q1822" s="11"/>
      <c r="R1822" s="10"/>
      <c r="S1822" s="10"/>
      <c r="T1822" s="10"/>
      <c r="U1822" s="10"/>
    </row>
    <row r="1823">
      <c r="A1823" s="8"/>
      <c r="B1823" s="9"/>
      <c r="C1823" s="9"/>
      <c r="D1823" s="9"/>
      <c r="E1823" s="9"/>
      <c r="F1823" s="9"/>
      <c r="G1823" s="9"/>
      <c r="H1823" s="9"/>
      <c r="I1823" s="9"/>
      <c r="J1823" s="10"/>
      <c r="K1823" s="10"/>
      <c r="L1823" s="10"/>
      <c r="M1823" s="10"/>
      <c r="N1823" s="11"/>
      <c r="O1823" s="11"/>
      <c r="P1823" s="11"/>
      <c r="Q1823" s="11"/>
      <c r="R1823" s="10"/>
      <c r="S1823" s="10"/>
      <c r="T1823" s="10"/>
      <c r="U1823" s="10"/>
    </row>
    <row r="1824">
      <c r="A1824" s="8"/>
      <c r="B1824" s="9"/>
      <c r="C1824" s="9"/>
      <c r="D1824" s="9"/>
      <c r="E1824" s="9"/>
      <c r="F1824" s="9"/>
      <c r="G1824" s="9"/>
      <c r="H1824" s="9"/>
      <c r="I1824" s="9"/>
      <c r="J1824" s="10"/>
      <c r="K1824" s="10"/>
      <c r="L1824" s="10"/>
      <c r="M1824" s="10"/>
      <c r="N1824" s="11"/>
      <c r="O1824" s="11"/>
      <c r="P1824" s="11"/>
      <c r="Q1824" s="11"/>
      <c r="R1824" s="10"/>
      <c r="S1824" s="10"/>
      <c r="T1824" s="10"/>
      <c r="U1824" s="10"/>
    </row>
    <row r="1825">
      <c r="A1825" s="8"/>
      <c r="B1825" s="9"/>
      <c r="C1825" s="9"/>
      <c r="D1825" s="9"/>
      <c r="E1825" s="9"/>
      <c r="F1825" s="9"/>
      <c r="G1825" s="9"/>
      <c r="H1825" s="9"/>
      <c r="I1825" s="9"/>
      <c r="J1825" s="10"/>
      <c r="K1825" s="10"/>
      <c r="L1825" s="10"/>
      <c r="M1825" s="10"/>
      <c r="N1825" s="11"/>
      <c r="O1825" s="11"/>
      <c r="P1825" s="11"/>
      <c r="Q1825" s="11"/>
      <c r="R1825" s="10"/>
      <c r="S1825" s="10"/>
      <c r="T1825" s="10"/>
      <c r="U1825" s="10"/>
    </row>
    <row r="1826">
      <c r="A1826" s="8"/>
      <c r="B1826" s="9"/>
      <c r="C1826" s="9"/>
      <c r="D1826" s="9"/>
      <c r="E1826" s="9"/>
      <c r="F1826" s="9"/>
      <c r="G1826" s="9"/>
      <c r="H1826" s="9"/>
      <c r="I1826" s="9"/>
      <c r="J1826" s="10"/>
      <c r="K1826" s="10"/>
      <c r="L1826" s="10"/>
      <c r="M1826" s="10"/>
      <c r="N1826" s="11"/>
      <c r="O1826" s="11"/>
      <c r="P1826" s="11"/>
      <c r="Q1826" s="11"/>
      <c r="R1826" s="10"/>
      <c r="S1826" s="10"/>
      <c r="T1826" s="10"/>
      <c r="U1826" s="10"/>
    </row>
    <row r="1827">
      <c r="A1827" s="8"/>
      <c r="B1827" s="9"/>
      <c r="C1827" s="9"/>
      <c r="D1827" s="9"/>
      <c r="E1827" s="9"/>
      <c r="F1827" s="9"/>
      <c r="G1827" s="9"/>
      <c r="H1827" s="9"/>
      <c r="I1827" s="9"/>
      <c r="J1827" s="10"/>
      <c r="K1827" s="10"/>
      <c r="L1827" s="10"/>
      <c r="M1827" s="10"/>
      <c r="N1827" s="11"/>
      <c r="O1827" s="11"/>
      <c r="P1827" s="11"/>
      <c r="Q1827" s="11"/>
      <c r="R1827" s="10"/>
      <c r="S1827" s="10"/>
      <c r="T1827" s="10"/>
      <c r="U1827" s="10"/>
    </row>
    <row r="1828">
      <c r="A1828" s="8"/>
      <c r="B1828" s="9"/>
      <c r="C1828" s="9"/>
      <c r="D1828" s="9"/>
      <c r="E1828" s="9"/>
      <c r="F1828" s="9"/>
      <c r="G1828" s="9"/>
      <c r="H1828" s="9"/>
      <c r="I1828" s="9"/>
      <c r="J1828" s="10"/>
      <c r="K1828" s="10"/>
      <c r="L1828" s="10"/>
      <c r="M1828" s="10"/>
      <c r="N1828" s="11"/>
      <c r="O1828" s="11"/>
      <c r="P1828" s="11"/>
      <c r="Q1828" s="11"/>
      <c r="R1828" s="10"/>
      <c r="S1828" s="10"/>
      <c r="T1828" s="10"/>
      <c r="U1828" s="10"/>
    </row>
    <row r="1829">
      <c r="A1829" s="8"/>
      <c r="B1829" s="9"/>
      <c r="C1829" s="9"/>
      <c r="D1829" s="9"/>
      <c r="E1829" s="9"/>
      <c r="F1829" s="9"/>
      <c r="G1829" s="9"/>
      <c r="H1829" s="9"/>
      <c r="I1829" s="9"/>
      <c r="J1829" s="10"/>
      <c r="K1829" s="10"/>
      <c r="L1829" s="10"/>
      <c r="M1829" s="10"/>
      <c r="N1829" s="11"/>
      <c r="O1829" s="11"/>
      <c r="P1829" s="11"/>
      <c r="Q1829" s="11"/>
      <c r="R1829" s="10"/>
      <c r="S1829" s="10"/>
      <c r="T1829" s="10"/>
      <c r="U1829" s="10"/>
    </row>
    <row r="1830">
      <c r="A1830" s="8"/>
      <c r="B1830" s="9"/>
      <c r="C1830" s="9"/>
      <c r="D1830" s="9"/>
      <c r="E1830" s="9"/>
      <c r="F1830" s="9"/>
      <c r="G1830" s="9"/>
      <c r="H1830" s="9"/>
      <c r="I1830" s="9"/>
      <c r="J1830" s="10"/>
      <c r="K1830" s="10"/>
      <c r="L1830" s="10"/>
      <c r="M1830" s="10"/>
      <c r="N1830" s="11"/>
      <c r="O1830" s="11"/>
      <c r="P1830" s="11"/>
      <c r="Q1830" s="11"/>
      <c r="R1830" s="10"/>
      <c r="S1830" s="10"/>
      <c r="T1830" s="10"/>
      <c r="U1830" s="10"/>
    </row>
    <row r="1831">
      <c r="A1831" s="8"/>
      <c r="B1831" s="9"/>
      <c r="C1831" s="9"/>
      <c r="D1831" s="9"/>
      <c r="E1831" s="9"/>
      <c r="F1831" s="9"/>
      <c r="G1831" s="9"/>
      <c r="H1831" s="9"/>
      <c r="I1831" s="9"/>
      <c r="J1831" s="10"/>
      <c r="K1831" s="10"/>
      <c r="L1831" s="10"/>
      <c r="M1831" s="10"/>
      <c r="N1831" s="11"/>
      <c r="O1831" s="11"/>
      <c r="P1831" s="11"/>
      <c r="Q1831" s="11"/>
      <c r="R1831" s="10"/>
      <c r="S1831" s="10"/>
      <c r="T1831" s="10"/>
      <c r="U1831" s="10"/>
    </row>
    <row r="1832">
      <c r="A1832" s="8"/>
      <c r="B1832" s="9"/>
      <c r="C1832" s="9"/>
      <c r="D1832" s="9"/>
      <c r="E1832" s="9"/>
      <c r="F1832" s="9"/>
      <c r="G1832" s="9"/>
      <c r="H1832" s="9"/>
      <c r="I1832" s="9"/>
      <c r="J1832" s="10"/>
      <c r="K1832" s="10"/>
      <c r="L1832" s="10"/>
      <c r="M1832" s="10"/>
      <c r="N1832" s="11"/>
      <c r="O1832" s="11"/>
      <c r="P1832" s="11"/>
      <c r="Q1832" s="11"/>
      <c r="R1832" s="10"/>
      <c r="S1832" s="10"/>
      <c r="T1832" s="10"/>
      <c r="U1832" s="10"/>
    </row>
    <row r="1833">
      <c r="A1833" s="8"/>
      <c r="B1833" s="9"/>
      <c r="C1833" s="9"/>
      <c r="D1833" s="9"/>
      <c r="E1833" s="9"/>
      <c r="F1833" s="9"/>
      <c r="G1833" s="9"/>
      <c r="H1833" s="9"/>
      <c r="I1833" s="9"/>
      <c r="J1833" s="10"/>
      <c r="K1833" s="10"/>
      <c r="L1833" s="10"/>
      <c r="M1833" s="10"/>
      <c r="N1833" s="11"/>
      <c r="O1833" s="11"/>
      <c r="P1833" s="11"/>
      <c r="Q1833" s="11"/>
      <c r="R1833" s="10"/>
      <c r="S1833" s="10"/>
      <c r="T1833" s="10"/>
      <c r="U1833" s="10"/>
    </row>
    <row r="1834">
      <c r="A1834" s="8"/>
      <c r="B1834" s="9"/>
      <c r="C1834" s="9"/>
      <c r="D1834" s="9"/>
      <c r="E1834" s="9"/>
      <c r="F1834" s="9"/>
      <c r="G1834" s="9"/>
      <c r="H1834" s="9"/>
      <c r="I1834" s="9"/>
      <c r="J1834" s="10"/>
      <c r="K1834" s="10"/>
      <c r="L1834" s="10"/>
      <c r="M1834" s="10"/>
      <c r="N1834" s="11"/>
      <c r="O1834" s="11"/>
      <c r="P1834" s="11"/>
      <c r="Q1834" s="11"/>
      <c r="R1834" s="10"/>
      <c r="S1834" s="10"/>
      <c r="T1834" s="10"/>
      <c r="U1834" s="10"/>
    </row>
    <row r="1835">
      <c r="A1835" s="8"/>
      <c r="B1835" s="9"/>
      <c r="C1835" s="9"/>
      <c r="D1835" s="9"/>
      <c r="E1835" s="9"/>
      <c r="F1835" s="9"/>
      <c r="G1835" s="9"/>
      <c r="H1835" s="9"/>
      <c r="I1835" s="9"/>
      <c r="J1835" s="10"/>
      <c r="K1835" s="10"/>
      <c r="L1835" s="10"/>
      <c r="M1835" s="10"/>
      <c r="N1835" s="11"/>
      <c r="O1835" s="11"/>
      <c r="P1835" s="11"/>
      <c r="Q1835" s="11"/>
      <c r="R1835" s="10"/>
      <c r="S1835" s="10"/>
      <c r="T1835" s="10"/>
      <c r="U1835" s="10"/>
    </row>
    <row r="1836">
      <c r="A1836" s="8"/>
      <c r="B1836" s="9"/>
      <c r="C1836" s="9"/>
      <c r="D1836" s="9"/>
      <c r="E1836" s="9"/>
      <c r="F1836" s="9"/>
      <c r="G1836" s="9"/>
      <c r="H1836" s="9"/>
      <c r="I1836" s="9"/>
      <c r="J1836" s="10"/>
      <c r="K1836" s="10"/>
      <c r="L1836" s="10"/>
      <c r="M1836" s="10"/>
      <c r="N1836" s="11"/>
      <c r="O1836" s="11"/>
      <c r="P1836" s="11"/>
      <c r="Q1836" s="11"/>
      <c r="R1836" s="10"/>
      <c r="S1836" s="10"/>
      <c r="T1836" s="10"/>
      <c r="U1836" s="10"/>
    </row>
    <row r="1837">
      <c r="A1837" s="8"/>
      <c r="B1837" s="9"/>
      <c r="C1837" s="9"/>
      <c r="D1837" s="9"/>
      <c r="E1837" s="9"/>
      <c r="F1837" s="9"/>
      <c r="G1837" s="9"/>
      <c r="H1837" s="9"/>
      <c r="I1837" s="9"/>
      <c r="J1837" s="10"/>
      <c r="K1837" s="10"/>
      <c r="L1837" s="10"/>
      <c r="M1837" s="10"/>
      <c r="N1837" s="11"/>
      <c r="O1837" s="11"/>
      <c r="P1837" s="11"/>
      <c r="Q1837" s="11"/>
      <c r="R1837" s="10"/>
      <c r="S1837" s="10"/>
      <c r="T1837" s="10"/>
      <c r="U1837" s="10"/>
    </row>
    <row r="1838">
      <c r="A1838" s="8"/>
      <c r="B1838" s="9"/>
      <c r="C1838" s="9"/>
      <c r="D1838" s="9"/>
      <c r="E1838" s="9"/>
      <c r="F1838" s="9"/>
      <c r="G1838" s="9"/>
      <c r="H1838" s="9"/>
      <c r="I1838" s="9"/>
      <c r="J1838" s="10"/>
      <c r="K1838" s="10"/>
      <c r="L1838" s="10"/>
      <c r="M1838" s="10"/>
      <c r="N1838" s="11"/>
      <c r="O1838" s="11"/>
      <c r="P1838" s="11"/>
      <c r="Q1838" s="11"/>
      <c r="R1838" s="10"/>
      <c r="S1838" s="10"/>
      <c r="T1838" s="10"/>
      <c r="U1838" s="10"/>
    </row>
    <row r="1839">
      <c r="A1839" s="8"/>
      <c r="B1839" s="9"/>
      <c r="C1839" s="9"/>
      <c r="D1839" s="9"/>
      <c r="E1839" s="9"/>
      <c r="F1839" s="9"/>
      <c r="G1839" s="9"/>
      <c r="H1839" s="9"/>
      <c r="I1839" s="9"/>
      <c r="J1839" s="10"/>
      <c r="K1839" s="10"/>
      <c r="L1839" s="10"/>
      <c r="M1839" s="10"/>
      <c r="N1839" s="11"/>
      <c r="O1839" s="11"/>
      <c r="P1839" s="11"/>
      <c r="Q1839" s="11"/>
      <c r="R1839" s="10"/>
      <c r="S1839" s="10"/>
      <c r="T1839" s="10"/>
      <c r="U1839" s="10"/>
    </row>
    <row r="1840">
      <c r="A1840" s="8"/>
      <c r="B1840" s="9"/>
      <c r="C1840" s="9"/>
      <c r="D1840" s="9"/>
      <c r="E1840" s="9"/>
      <c r="F1840" s="9"/>
      <c r="G1840" s="9"/>
      <c r="H1840" s="9"/>
      <c r="I1840" s="9"/>
      <c r="J1840" s="10"/>
      <c r="K1840" s="10"/>
      <c r="L1840" s="10"/>
      <c r="M1840" s="10"/>
      <c r="N1840" s="11"/>
      <c r="O1840" s="11"/>
      <c r="P1840" s="11"/>
      <c r="Q1840" s="11"/>
      <c r="R1840" s="10"/>
      <c r="S1840" s="10"/>
      <c r="T1840" s="10"/>
      <c r="U1840" s="10"/>
    </row>
    <row r="1841">
      <c r="A1841" s="8"/>
      <c r="B1841" s="9"/>
      <c r="C1841" s="9"/>
      <c r="D1841" s="9"/>
      <c r="E1841" s="9"/>
      <c r="F1841" s="9"/>
      <c r="G1841" s="9"/>
      <c r="H1841" s="9"/>
      <c r="I1841" s="9"/>
      <c r="J1841" s="10"/>
      <c r="K1841" s="10"/>
      <c r="L1841" s="10"/>
      <c r="M1841" s="10"/>
      <c r="N1841" s="11"/>
      <c r="O1841" s="11"/>
      <c r="P1841" s="11"/>
      <c r="Q1841" s="11"/>
      <c r="R1841" s="10"/>
      <c r="S1841" s="10"/>
      <c r="T1841" s="10"/>
      <c r="U1841" s="10"/>
    </row>
    <row r="1842">
      <c r="A1842" s="8"/>
      <c r="B1842" s="9"/>
      <c r="C1842" s="9"/>
      <c r="D1842" s="9"/>
      <c r="E1842" s="9"/>
      <c r="F1842" s="9"/>
      <c r="G1842" s="9"/>
      <c r="H1842" s="9"/>
      <c r="I1842" s="9"/>
      <c r="J1842" s="10"/>
      <c r="K1842" s="10"/>
      <c r="L1842" s="10"/>
      <c r="M1842" s="10"/>
      <c r="N1842" s="11"/>
      <c r="O1842" s="11"/>
      <c r="P1842" s="11"/>
      <c r="Q1842" s="11"/>
      <c r="R1842" s="10"/>
      <c r="S1842" s="10"/>
      <c r="T1842" s="10"/>
      <c r="U1842" s="10"/>
    </row>
    <row r="1843">
      <c r="A1843" s="8"/>
      <c r="B1843" s="9"/>
      <c r="C1843" s="9"/>
      <c r="D1843" s="9"/>
      <c r="E1843" s="9"/>
      <c r="F1843" s="9"/>
      <c r="G1843" s="9"/>
      <c r="H1843" s="9"/>
      <c r="I1843" s="9"/>
      <c r="J1843" s="10"/>
      <c r="K1843" s="10"/>
      <c r="L1843" s="10"/>
      <c r="M1843" s="10"/>
      <c r="N1843" s="11"/>
      <c r="O1843" s="11"/>
      <c r="P1843" s="11"/>
      <c r="Q1843" s="11"/>
      <c r="R1843" s="10"/>
      <c r="S1843" s="10"/>
      <c r="T1843" s="10"/>
      <c r="U1843" s="10"/>
    </row>
    <row r="1844">
      <c r="A1844" s="8"/>
      <c r="B1844" s="9"/>
      <c r="C1844" s="9"/>
      <c r="D1844" s="9"/>
      <c r="E1844" s="9"/>
      <c r="F1844" s="9"/>
      <c r="G1844" s="9"/>
      <c r="H1844" s="9"/>
      <c r="I1844" s="9"/>
      <c r="J1844" s="10"/>
      <c r="K1844" s="10"/>
      <c r="L1844" s="10"/>
      <c r="M1844" s="10"/>
      <c r="N1844" s="11"/>
      <c r="O1844" s="11"/>
      <c r="P1844" s="11"/>
      <c r="Q1844" s="11"/>
      <c r="R1844" s="10"/>
      <c r="S1844" s="10"/>
      <c r="T1844" s="10"/>
      <c r="U1844" s="10"/>
    </row>
    <row r="1845">
      <c r="A1845" s="8"/>
      <c r="B1845" s="9"/>
      <c r="C1845" s="9"/>
      <c r="D1845" s="9"/>
      <c r="E1845" s="9"/>
      <c r="F1845" s="9"/>
      <c r="G1845" s="9"/>
      <c r="H1845" s="9"/>
      <c r="I1845" s="9"/>
      <c r="J1845" s="10"/>
      <c r="K1845" s="10"/>
      <c r="L1845" s="10"/>
      <c r="M1845" s="10"/>
      <c r="N1845" s="11"/>
      <c r="O1845" s="11"/>
      <c r="P1845" s="11"/>
      <c r="Q1845" s="11"/>
      <c r="R1845" s="10"/>
      <c r="S1845" s="10"/>
      <c r="T1845" s="10"/>
      <c r="U1845" s="10"/>
    </row>
    <row r="1846">
      <c r="A1846" s="8"/>
      <c r="B1846" s="9"/>
      <c r="C1846" s="9"/>
      <c r="D1846" s="9"/>
      <c r="E1846" s="9"/>
      <c r="F1846" s="9"/>
      <c r="G1846" s="9"/>
      <c r="H1846" s="9"/>
      <c r="I1846" s="9"/>
      <c r="J1846" s="10"/>
      <c r="K1846" s="10"/>
      <c r="L1846" s="10"/>
      <c r="M1846" s="10"/>
      <c r="N1846" s="11"/>
      <c r="O1846" s="11"/>
      <c r="P1846" s="11"/>
      <c r="Q1846" s="11"/>
      <c r="R1846" s="10"/>
      <c r="S1846" s="10"/>
      <c r="T1846" s="10"/>
      <c r="U1846" s="10"/>
    </row>
    <row r="1847">
      <c r="A1847" s="8"/>
      <c r="B1847" s="9"/>
      <c r="C1847" s="9"/>
      <c r="D1847" s="9"/>
      <c r="E1847" s="9"/>
      <c r="F1847" s="9"/>
      <c r="G1847" s="9"/>
      <c r="H1847" s="9"/>
      <c r="I1847" s="9"/>
      <c r="J1847" s="10"/>
      <c r="K1847" s="10"/>
      <c r="L1847" s="10"/>
      <c r="M1847" s="10"/>
      <c r="N1847" s="11"/>
      <c r="O1847" s="11"/>
      <c r="P1847" s="11"/>
      <c r="Q1847" s="11"/>
      <c r="R1847" s="10"/>
      <c r="S1847" s="10"/>
      <c r="T1847" s="10"/>
      <c r="U1847" s="10"/>
    </row>
    <row r="1848">
      <c r="A1848" s="8"/>
      <c r="B1848" s="9"/>
      <c r="C1848" s="9"/>
      <c r="D1848" s="9"/>
      <c r="E1848" s="9"/>
      <c r="F1848" s="9"/>
      <c r="G1848" s="9"/>
      <c r="H1848" s="9"/>
      <c r="I1848" s="9"/>
      <c r="J1848" s="10"/>
      <c r="K1848" s="10"/>
      <c r="L1848" s="10"/>
      <c r="M1848" s="10"/>
      <c r="N1848" s="11"/>
      <c r="O1848" s="11"/>
      <c r="P1848" s="11"/>
      <c r="Q1848" s="11"/>
      <c r="R1848" s="10"/>
      <c r="S1848" s="10"/>
      <c r="T1848" s="10"/>
      <c r="U1848" s="10"/>
    </row>
    <row r="1849">
      <c r="A1849" s="8"/>
      <c r="B1849" s="9"/>
      <c r="C1849" s="9"/>
      <c r="D1849" s="9"/>
      <c r="E1849" s="9"/>
      <c r="F1849" s="9"/>
      <c r="G1849" s="9"/>
      <c r="H1849" s="9"/>
      <c r="I1849" s="9"/>
      <c r="J1849" s="10"/>
      <c r="K1849" s="10"/>
      <c r="L1849" s="10"/>
      <c r="M1849" s="10"/>
      <c r="N1849" s="11"/>
      <c r="O1849" s="11"/>
      <c r="P1849" s="11"/>
      <c r="Q1849" s="11"/>
      <c r="R1849" s="10"/>
      <c r="S1849" s="10"/>
      <c r="T1849" s="10"/>
      <c r="U1849" s="10"/>
    </row>
    <row r="1850">
      <c r="A1850" s="8"/>
      <c r="B1850" s="9"/>
      <c r="C1850" s="9"/>
      <c r="D1850" s="9"/>
      <c r="E1850" s="9"/>
      <c r="F1850" s="9"/>
      <c r="G1850" s="9"/>
      <c r="H1850" s="9"/>
      <c r="I1850" s="9"/>
      <c r="J1850" s="10"/>
      <c r="K1850" s="10"/>
      <c r="L1850" s="10"/>
      <c r="M1850" s="10"/>
      <c r="N1850" s="11"/>
      <c r="O1850" s="11"/>
      <c r="P1850" s="11"/>
      <c r="Q1850" s="11"/>
      <c r="R1850" s="10"/>
      <c r="S1850" s="10"/>
      <c r="T1850" s="10"/>
      <c r="U1850" s="10"/>
    </row>
    <row r="1851">
      <c r="A1851" s="8"/>
      <c r="B1851" s="9"/>
      <c r="C1851" s="9"/>
      <c r="D1851" s="9"/>
      <c r="E1851" s="9"/>
      <c r="F1851" s="9"/>
      <c r="G1851" s="9"/>
      <c r="H1851" s="9"/>
      <c r="I1851" s="9"/>
      <c r="J1851" s="10"/>
      <c r="K1851" s="10"/>
      <c r="L1851" s="10"/>
      <c r="M1851" s="10"/>
      <c r="N1851" s="11"/>
      <c r="O1851" s="11"/>
      <c r="P1851" s="11"/>
      <c r="Q1851" s="11"/>
      <c r="R1851" s="10"/>
      <c r="S1851" s="10"/>
      <c r="T1851" s="10"/>
      <c r="U1851" s="10"/>
    </row>
    <row r="1852">
      <c r="A1852" s="8"/>
      <c r="B1852" s="9"/>
      <c r="C1852" s="9"/>
      <c r="D1852" s="9"/>
      <c r="E1852" s="9"/>
      <c r="F1852" s="9"/>
      <c r="G1852" s="9"/>
      <c r="H1852" s="9"/>
      <c r="I1852" s="9"/>
      <c r="J1852" s="10"/>
      <c r="K1852" s="10"/>
      <c r="L1852" s="10"/>
      <c r="M1852" s="10"/>
      <c r="N1852" s="11"/>
      <c r="O1852" s="11"/>
      <c r="P1852" s="11"/>
      <c r="Q1852" s="11"/>
      <c r="R1852" s="10"/>
      <c r="S1852" s="10"/>
      <c r="T1852" s="10"/>
      <c r="U1852" s="10"/>
    </row>
    <row r="1853">
      <c r="A1853" s="8"/>
      <c r="B1853" s="9"/>
      <c r="C1853" s="9"/>
      <c r="D1853" s="9"/>
      <c r="E1853" s="9"/>
      <c r="F1853" s="9"/>
      <c r="G1853" s="9"/>
      <c r="H1853" s="9"/>
      <c r="I1853" s="9"/>
      <c r="J1853" s="10"/>
      <c r="K1853" s="10"/>
      <c r="L1853" s="10"/>
      <c r="M1853" s="10"/>
      <c r="N1853" s="11"/>
      <c r="O1853" s="11"/>
      <c r="P1853" s="11"/>
      <c r="Q1853" s="11"/>
      <c r="R1853" s="10"/>
      <c r="S1853" s="10"/>
      <c r="T1853" s="10"/>
      <c r="U1853" s="10"/>
    </row>
    <row r="1854">
      <c r="A1854" s="8"/>
      <c r="B1854" s="9"/>
      <c r="C1854" s="9"/>
      <c r="D1854" s="9"/>
      <c r="E1854" s="9"/>
      <c r="F1854" s="9"/>
      <c r="G1854" s="9"/>
      <c r="H1854" s="9"/>
      <c r="I1854" s="9"/>
      <c r="J1854" s="10"/>
      <c r="K1854" s="10"/>
      <c r="L1854" s="10"/>
      <c r="M1854" s="10"/>
      <c r="N1854" s="11"/>
      <c r="O1854" s="11"/>
      <c r="P1854" s="11"/>
      <c r="Q1854" s="11"/>
      <c r="R1854" s="10"/>
      <c r="S1854" s="10"/>
      <c r="T1854" s="10"/>
      <c r="U1854" s="10"/>
    </row>
    <row r="1855">
      <c r="A1855" s="8"/>
      <c r="B1855" s="9"/>
      <c r="C1855" s="9"/>
      <c r="D1855" s="9"/>
      <c r="E1855" s="9"/>
      <c r="F1855" s="9"/>
      <c r="G1855" s="9"/>
      <c r="H1855" s="9"/>
      <c r="I1855" s="9"/>
      <c r="J1855" s="10"/>
      <c r="K1855" s="10"/>
      <c r="L1855" s="10"/>
      <c r="M1855" s="10"/>
      <c r="N1855" s="11"/>
      <c r="O1855" s="11"/>
      <c r="P1855" s="11"/>
      <c r="Q1855" s="11"/>
      <c r="R1855" s="10"/>
      <c r="S1855" s="10"/>
      <c r="T1855" s="10"/>
      <c r="U1855" s="10"/>
    </row>
    <row r="1856">
      <c r="A1856" s="8"/>
      <c r="B1856" s="9"/>
      <c r="C1856" s="9"/>
      <c r="D1856" s="9"/>
      <c r="E1856" s="9"/>
      <c r="F1856" s="9"/>
      <c r="G1856" s="9"/>
      <c r="H1856" s="9"/>
      <c r="I1856" s="9"/>
      <c r="J1856" s="10"/>
      <c r="K1856" s="10"/>
      <c r="L1856" s="10"/>
      <c r="M1856" s="10"/>
      <c r="N1856" s="11"/>
      <c r="O1856" s="11"/>
      <c r="P1856" s="11"/>
      <c r="Q1856" s="11"/>
      <c r="R1856" s="10"/>
      <c r="S1856" s="10"/>
      <c r="T1856" s="10"/>
      <c r="U1856" s="10"/>
    </row>
    <row r="1857">
      <c r="A1857" s="8"/>
      <c r="B1857" s="9"/>
      <c r="C1857" s="9"/>
      <c r="D1857" s="9"/>
      <c r="E1857" s="9"/>
      <c r="F1857" s="9"/>
      <c r="G1857" s="9"/>
      <c r="H1857" s="9"/>
      <c r="I1857" s="9"/>
      <c r="J1857" s="10"/>
      <c r="K1857" s="10"/>
      <c r="L1857" s="10"/>
      <c r="M1857" s="10"/>
      <c r="N1857" s="11"/>
      <c r="O1857" s="11"/>
      <c r="P1857" s="11"/>
      <c r="Q1857" s="11"/>
      <c r="R1857" s="10"/>
      <c r="S1857" s="10"/>
      <c r="T1857" s="10"/>
      <c r="U1857" s="10"/>
    </row>
    <row r="1858">
      <c r="A1858" s="8"/>
      <c r="B1858" s="9"/>
      <c r="C1858" s="9"/>
      <c r="D1858" s="9"/>
      <c r="E1858" s="9"/>
      <c r="F1858" s="9"/>
      <c r="G1858" s="9"/>
      <c r="H1858" s="9"/>
      <c r="I1858" s="9"/>
      <c r="J1858" s="10"/>
      <c r="K1858" s="10"/>
      <c r="L1858" s="10"/>
      <c r="M1858" s="10"/>
      <c r="N1858" s="11"/>
      <c r="O1858" s="11"/>
      <c r="P1858" s="11"/>
      <c r="Q1858" s="11"/>
      <c r="R1858" s="10"/>
      <c r="S1858" s="10"/>
      <c r="T1858" s="10"/>
      <c r="U1858" s="10"/>
    </row>
    <row r="1859">
      <c r="A1859" s="8"/>
      <c r="B1859" s="9"/>
      <c r="C1859" s="9"/>
      <c r="D1859" s="9"/>
      <c r="E1859" s="9"/>
      <c r="F1859" s="9"/>
      <c r="G1859" s="9"/>
      <c r="H1859" s="9"/>
      <c r="I1859" s="9"/>
      <c r="J1859" s="10"/>
      <c r="K1859" s="10"/>
      <c r="L1859" s="10"/>
      <c r="M1859" s="10"/>
      <c r="N1859" s="11"/>
      <c r="O1859" s="11"/>
      <c r="P1859" s="11"/>
      <c r="Q1859" s="11"/>
      <c r="R1859" s="10"/>
      <c r="S1859" s="10"/>
      <c r="T1859" s="10"/>
      <c r="U1859" s="10"/>
    </row>
    <row r="1860">
      <c r="A1860" s="8"/>
      <c r="B1860" s="9"/>
      <c r="C1860" s="9"/>
      <c r="D1860" s="9"/>
      <c r="E1860" s="9"/>
      <c r="F1860" s="9"/>
      <c r="G1860" s="9"/>
      <c r="H1860" s="9"/>
      <c r="I1860" s="9"/>
      <c r="J1860" s="10"/>
      <c r="K1860" s="10"/>
      <c r="L1860" s="10"/>
      <c r="M1860" s="10"/>
      <c r="N1860" s="11"/>
      <c r="O1860" s="11"/>
      <c r="P1860" s="11"/>
      <c r="Q1860" s="11"/>
      <c r="R1860" s="10"/>
      <c r="S1860" s="10"/>
      <c r="T1860" s="10"/>
      <c r="U1860" s="10"/>
    </row>
    <row r="1861">
      <c r="A1861" s="8"/>
      <c r="B1861" s="9"/>
      <c r="C1861" s="9"/>
      <c r="D1861" s="9"/>
      <c r="E1861" s="9"/>
      <c r="F1861" s="9"/>
      <c r="G1861" s="9"/>
      <c r="H1861" s="9"/>
      <c r="I1861" s="9"/>
      <c r="J1861" s="10"/>
      <c r="K1861" s="10"/>
      <c r="L1861" s="10"/>
      <c r="M1861" s="10"/>
      <c r="N1861" s="11"/>
      <c r="O1861" s="11"/>
      <c r="P1861" s="11"/>
      <c r="Q1861" s="11"/>
      <c r="R1861" s="10"/>
      <c r="S1861" s="10"/>
      <c r="T1861" s="10"/>
      <c r="U1861" s="10"/>
    </row>
    <row r="1862">
      <c r="A1862" s="8"/>
      <c r="B1862" s="9"/>
      <c r="C1862" s="9"/>
      <c r="D1862" s="9"/>
      <c r="E1862" s="9"/>
      <c r="F1862" s="9"/>
      <c r="G1862" s="9"/>
      <c r="H1862" s="9"/>
      <c r="I1862" s="9"/>
      <c r="J1862" s="10"/>
      <c r="K1862" s="10"/>
      <c r="L1862" s="10"/>
      <c r="M1862" s="10"/>
      <c r="N1862" s="11"/>
      <c r="O1862" s="11"/>
      <c r="P1862" s="11"/>
      <c r="Q1862" s="11"/>
      <c r="R1862" s="10"/>
      <c r="S1862" s="10"/>
      <c r="T1862" s="10"/>
      <c r="U1862" s="10"/>
    </row>
    <row r="1863">
      <c r="A1863" s="8"/>
      <c r="B1863" s="9"/>
      <c r="C1863" s="9"/>
      <c r="D1863" s="9"/>
      <c r="E1863" s="9"/>
      <c r="F1863" s="9"/>
      <c r="G1863" s="9"/>
      <c r="H1863" s="9"/>
      <c r="I1863" s="9"/>
      <c r="J1863" s="10"/>
      <c r="K1863" s="10"/>
      <c r="L1863" s="10"/>
      <c r="M1863" s="10"/>
      <c r="N1863" s="11"/>
      <c r="O1863" s="11"/>
      <c r="P1863" s="11"/>
      <c r="Q1863" s="11"/>
      <c r="R1863" s="10"/>
      <c r="S1863" s="10"/>
      <c r="T1863" s="10"/>
      <c r="U1863" s="10"/>
    </row>
    <row r="1864">
      <c r="A1864" s="8"/>
      <c r="B1864" s="9"/>
      <c r="C1864" s="9"/>
      <c r="D1864" s="9"/>
      <c r="E1864" s="9"/>
      <c r="F1864" s="9"/>
      <c r="G1864" s="9"/>
      <c r="H1864" s="9"/>
      <c r="I1864" s="9"/>
      <c r="J1864" s="10"/>
      <c r="K1864" s="10"/>
      <c r="L1864" s="10"/>
      <c r="M1864" s="10"/>
      <c r="N1864" s="11"/>
      <c r="O1864" s="11"/>
      <c r="P1864" s="11"/>
      <c r="Q1864" s="11"/>
      <c r="R1864" s="10"/>
      <c r="S1864" s="10"/>
      <c r="T1864" s="10"/>
      <c r="U1864" s="10"/>
    </row>
    <row r="1865">
      <c r="A1865" s="8"/>
      <c r="B1865" s="9"/>
      <c r="C1865" s="9"/>
      <c r="D1865" s="9"/>
      <c r="E1865" s="9"/>
      <c r="F1865" s="9"/>
      <c r="G1865" s="9"/>
      <c r="H1865" s="9"/>
      <c r="I1865" s="9"/>
      <c r="J1865" s="10"/>
      <c r="K1865" s="10"/>
      <c r="L1865" s="10"/>
      <c r="M1865" s="10"/>
      <c r="N1865" s="11"/>
      <c r="O1865" s="11"/>
      <c r="P1865" s="11"/>
      <c r="Q1865" s="11"/>
      <c r="R1865" s="10"/>
      <c r="S1865" s="10"/>
      <c r="T1865" s="10"/>
      <c r="U1865" s="10"/>
    </row>
    <row r="1866">
      <c r="A1866" s="8"/>
      <c r="B1866" s="9"/>
      <c r="C1866" s="9"/>
      <c r="D1866" s="9"/>
      <c r="E1866" s="9"/>
      <c r="F1866" s="9"/>
      <c r="G1866" s="9"/>
      <c r="H1866" s="9"/>
      <c r="I1866" s="9"/>
      <c r="J1866" s="10"/>
      <c r="K1866" s="10"/>
      <c r="L1866" s="10"/>
      <c r="M1866" s="10"/>
      <c r="N1866" s="11"/>
      <c r="O1866" s="11"/>
      <c r="P1866" s="11"/>
      <c r="Q1866" s="11"/>
      <c r="R1866" s="10"/>
      <c r="S1866" s="10"/>
      <c r="T1866" s="10"/>
      <c r="U1866" s="10"/>
    </row>
    <row r="1867">
      <c r="A1867" s="8"/>
      <c r="B1867" s="9"/>
      <c r="C1867" s="9"/>
      <c r="D1867" s="9"/>
      <c r="E1867" s="9"/>
      <c r="F1867" s="9"/>
      <c r="G1867" s="9"/>
      <c r="H1867" s="9"/>
      <c r="I1867" s="9"/>
      <c r="J1867" s="10"/>
      <c r="K1867" s="10"/>
      <c r="L1867" s="10"/>
      <c r="M1867" s="10"/>
      <c r="N1867" s="11"/>
      <c r="O1867" s="11"/>
      <c r="P1867" s="11"/>
      <c r="Q1867" s="11"/>
      <c r="R1867" s="10"/>
      <c r="S1867" s="10"/>
      <c r="T1867" s="10"/>
      <c r="U1867" s="10"/>
    </row>
    <row r="1868">
      <c r="A1868" s="8"/>
      <c r="B1868" s="9"/>
      <c r="C1868" s="9"/>
      <c r="D1868" s="9"/>
      <c r="E1868" s="9"/>
      <c r="F1868" s="9"/>
      <c r="G1868" s="9"/>
      <c r="H1868" s="9"/>
      <c r="I1868" s="9"/>
      <c r="J1868" s="10"/>
      <c r="K1868" s="10"/>
      <c r="L1868" s="10"/>
      <c r="M1868" s="10"/>
      <c r="N1868" s="11"/>
      <c r="O1868" s="11"/>
      <c r="P1868" s="11"/>
      <c r="Q1868" s="11"/>
      <c r="R1868" s="10"/>
      <c r="S1868" s="10"/>
      <c r="T1868" s="10"/>
      <c r="U1868" s="10"/>
    </row>
    <row r="1869">
      <c r="A1869" s="8"/>
      <c r="B1869" s="9"/>
      <c r="C1869" s="9"/>
      <c r="D1869" s="9"/>
      <c r="E1869" s="9"/>
      <c r="F1869" s="9"/>
      <c r="G1869" s="9"/>
      <c r="H1869" s="9"/>
      <c r="I1869" s="9"/>
      <c r="J1869" s="10"/>
      <c r="K1869" s="10"/>
      <c r="L1869" s="10"/>
      <c r="M1869" s="10"/>
      <c r="N1869" s="11"/>
      <c r="O1869" s="11"/>
      <c r="P1869" s="11"/>
      <c r="Q1869" s="11"/>
      <c r="R1869" s="10"/>
      <c r="S1869" s="10"/>
      <c r="T1869" s="10"/>
      <c r="U1869" s="10"/>
    </row>
    <row r="1870">
      <c r="A1870" s="8"/>
      <c r="B1870" s="9"/>
      <c r="C1870" s="9"/>
      <c r="D1870" s="9"/>
      <c r="E1870" s="9"/>
      <c r="F1870" s="9"/>
      <c r="G1870" s="9"/>
      <c r="H1870" s="9"/>
      <c r="I1870" s="9"/>
      <c r="J1870" s="10"/>
      <c r="K1870" s="10"/>
      <c r="L1870" s="10"/>
      <c r="M1870" s="10"/>
      <c r="N1870" s="11"/>
      <c r="O1870" s="11"/>
      <c r="P1870" s="11"/>
      <c r="Q1870" s="11"/>
      <c r="R1870" s="10"/>
      <c r="S1870" s="10"/>
      <c r="T1870" s="10"/>
      <c r="U1870" s="10"/>
    </row>
    <row r="1871">
      <c r="A1871" s="8"/>
      <c r="B1871" s="9"/>
      <c r="C1871" s="9"/>
      <c r="D1871" s="9"/>
      <c r="E1871" s="9"/>
      <c r="F1871" s="9"/>
      <c r="G1871" s="9"/>
      <c r="H1871" s="9"/>
      <c r="I1871" s="9"/>
      <c r="J1871" s="10"/>
      <c r="K1871" s="10"/>
      <c r="L1871" s="10"/>
      <c r="M1871" s="10"/>
      <c r="N1871" s="11"/>
      <c r="O1871" s="11"/>
      <c r="P1871" s="11"/>
      <c r="Q1871" s="11"/>
      <c r="R1871" s="10"/>
      <c r="S1871" s="10"/>
      <c r="T1871" s="10"/>
      <c r="U1871" s="10"/>
    </row>
    <row r="1872">
      <c r="A1872" s="8"/>
      <c r="B1872" s="9"/>
      <c r="C1872" s="9"/>
      <c r="D1872" s="9"/>
      <c r="E1872" s="9"/>
      <c r="F1872" s="9"/>
      <c r="G1872" s="9"/>
      <c r="H1872" s="9"/>
      <c r="I1872" s="9"/>
      <c r="J1872" s="10"/>
      <c r="K1872" s="10"/>
      <c r="L1872" s="10"/>
      <c r="M1872" s="10"/>
      <c r="N1872" s="11"/>
      <c r="O1872" s="11"/>
      <c r="P1872" s="11"/>
      <c r="Q1872" s="11"/>
      <c r="R1872" s="10"/>
      <c r="S1872" s="10"/>
      <c r="T1872" s="10"/>
      <c r="U1872" s="10"/>
    </row>
    <row r="1873">
      <c r="A1873" s="8"/>
      <c r="B1873" s="9"/>
      <c r="C1873" s="9"/>
      <c r="D1873" s="9"/>
      <c r="E1873" s="9"/>
      <c r="F1873" s="9"/>
      <c r="G1873" s="9"/>
      <c r="H1873" s="9"/>
      <c r="I1873" s="9"/>
      <c r="J1873" s="10"/>
      <c r="K1873" s="10"/>
      <c r="L1873" s="10"/>
      <c r="M1873" s="10"/>
      <c r="N1873" s="11"/>
      <c r="O1873" s="11"/>
      <c r="P1873" s="11"/>
      <c r="Q1873" s="11"/>
      <c r="R1873" s="10"/>
      <c r="S1873" s="10"/>
      <c r="T1873" s="10"/>
      <c r="U1873" s="10"/>
    </row>
    <row r="1874">
      <c r="A1874" s="8"/>
      <c r="B1874" s="9"/>
      <c r="C1874" s="9"/>
      <c r="D1874" s="9"/>
      <c r="E1874" s="9"/>
      <c r="F1874" s="9"/>
      <c r="G1874" s="9"/>
      <c r="H1874" s="9"/>
      <c r="I1874" s="9"/>
      <c r="J1874" s="10"/>
      <c r="K1874" s="10"/>
      <c r="L1874" s="10"/>
      <c r="M1874" s="10"/>
      <c r="N1874" s="11"/>
      <c r="O1874" s="11"/>
      <c r="P1874" s="11"/>
      <c r="Q1874" s="11"/>
      <c r="R1874" s="10"/>
      <c r="S1874" s="10"/>
      <c r="T1874" s="10"/>
      <c r="U1874" s="10"/>
    </row>
    <row r="1875">
      <c r="A1875" s="8"/>
      <c r="B1875" s="9"/>
      <c r="C1875" s="9"/>
      <c r="D1875" s="9"/>
      <c r="E1875" s="9"/>
      <c r="F1875" s="9"/>
      <c r="G1875" s="9"/>
      <c r="H1875" s="9"/>
      <c r="I1875" s="9"/>
      <c r="J1875" s="10"/>
      <c r="K1875" s="10"/>
      <c r="L1875" s="10"/>
      <c r="M1875" s="10"/>
      <c r="N1875" s="11"/>
      <c r="O1875" s="11"/>
      <c r="P1875" s="11"/>
      <c r="Q1875" s="11"/>
      <c r="R1875" s="10"/>
      <c r="S1875" s="10"/>
      <c r="T1875" s="10"/>
      <c r="U1875" s="10"/>
    </row>
    <row r="1876">
      <c r="A1876" s="8"/>
      <c r="B1876" s="9"/>
      <c r="C1876" s="9"/>
      <c r="D1876" s="9"/>
      <c r="E1876" s="9"/>
      <c r="F1876" s="9"/>
      <c r="G1876" s="9"/>
      <c r="H1876" s="9"/>
      <c r="I1876" s="9"/>
      <c r="J1876" s="10"/>
      <c r="K1876" s="10"/>
      <c r="L1876" s="10"/>
      <c r="M1876" s="10"/>
      <c r="N1876" s="11"/>
      <c r="O1876" s="11"/>
      <c r="P1876" s="11"/>
      <c r="Q1876" s="11"/>
      <c r="R1876" s="10"/>
      <c r="S1876" s="10"/>
      <c r="T1876" s="10"/>
      <c r="U1876" s="10"/>
    </row>
    <row r="1877">
      <c r="A1877" s="8"/>
      <c r="B1877" s="9"/>
      <c r="C1877" s="9"/>
      <c r="D1877" s="9"/>
      <c r="E1877" s="9"/>
      <c r="F1877" s="9"/>
      <c r="G1877" s="9"/>
      <c r="H1877" s="9"/>
      <c r="I1877" s="9"/>
      <c r="J1877" s="10"/>
      <c r="K1877" s="10"/>
      <c r="L1877" s="10"/>
      <c r="M1877" s="10"/>
      <c r="N1877" s="11"/>
      <c r="O1877" s="11"/>
      <c r="P1877" s="11"/>
      <c r="Q1877" s="11"/>
      <c r="R1877" s="10"/>
      <c r="S1877" s="10"/>
      <c r="T1877" s="10"/>
      <c r="U1877" s="10"/>
    </row>
    <row r="1878">
      <c r="A1878" s="8"/>
      <c r="B1878" s="9"/>
      <c r="C1878" s="9"/>
      <c r="D1878" s="9"/>
      <c r="E1878" s="9"/>
      <c r="F1878" s="9"/>
      <c r="G1878" s="9"/>
      <c r="H1878" s="9"/>
      <c r="I1878" s="9"/>
      <c r="J1878" s="10"/>
      <c r="K1878" s="10"/>
      <c r="L1878" s="10"/>
      <c r="M1878" s="10"/>
      <c r="N1878" s="11"/>
      <c r="O1878" s="11"/>
      <c r="P1878" s="11"/>
      <c r="Q1878" s="11"/>
      <c r="R1878" s="10"/>
      <c r="S1878" s="10"/>
      <c r="T1878" s="10"/>
      <c r="U1878" s="10"/>
    </row>
    <row r="1879">
      <c r="A1879" s="8"/>
      <c r="B1879" s="9"/>
      <c r="C1879" s="9"/>
      <c r="D1879" s="9"/>
      <c r="E1879" s="9"/>
      <c r="F1879" s="9"/>
      <c r="G1879" s="9"/>
      <c r="H1879" s="9"/>
      <c r="I1879" s="9"/>
      <c r="J1879" s="10"/>
      <c r="K1879" s="10"/>
      <c r="L1879" s="10"/>
      <c r="M1879" s="10"/>
      <c r="N1879" s="11"/>
      <c r="O1879" s="11"/>
      <c r="P1879" s="11"/>
      <c r="Q1879" s="11"/>
      <c r="R1879" s="10"/>
      <c r="S1879" s="10"/>
      <c r="T1879" s="10"/>
      <c r="U1879" s="10"/>
    </row>
    <row r="1880">
      <c r="A1880" s="8"/>
      <c r="B1880" s="9"/>
      <c r="C1880" s="9"/>
      <c r="D1880" s="9"/>
      <c r="E1880" s="9"/>
      <c r="F1880" s="9"/>
      <c r="G1880" s="9"/>
      <c r="H1880" s="9"/>
      <c r="I1880" s="9"/>
      <c r="J1880" s="10"/>
      <c r="K1880" s="10"/>
      <c r="L1880" s="10"/>
      <c r="M1880" s="10"/>
      <c r="N1880" s="11"/>
      <c r="O1880" s="11"/>
      <c r="P1880" s="11"/>
      <c r="Q1880" s="11"/>
      <c r="R1880" s="10"/>
      <c r="S1880" s="10"/>
      <c r="T1880" s="10"/>
      <c r="U1880" s="10"/>
    </row>
    <row r="1881">
      <c r="A1881" s="8"/>
      <c r="B1881" s="9"/>
      <c r="C1881" s="9"/>
      <c r="D1881" s="9"/>
      <c r="E1881" s="9"/>
      <c r="F1881" s="9"/>
      <c r="G1881" s="9"/>
      <c r="H1881" s="9"/>
      <c r="I1881" s="9"/>
      <c r="J1881" s="10"/>
      <c r="K1881" s="10"/>
      <c r="L1881" s="10"/>
      <c r="M1881" s="10"/>
      <c r="N1881" s="11"/>
      <c r="O1881" s="11"/>
      <c r="P1881" s="11"/>
      <c r="Q1881" s="11"/>
      <c r="R1881" s="10"/>
      <c r="S1881" s="10"/>
      <c r="T1881" s="10"/>
      <c r="U1881" s="10"/>
    </row>
    <row r="1882">
      <c r="A1882" s="8"/>
      <c r="B1882" s="9"/>
      <c r="C1882" s="9"/>
      <c r="D1882" s="9"/>
      <c r="E1882" s="9"/>
      <c r="F1882" s="9"/>
      <c r="G1882" s="9"/>
      <c r="H1882" s="9"/>
      <c r="I1882" s="9"/>
      <c r="J1882" s="10"/>
      <c r="K1882" s="10"/>
      <c r="L1882" s="10"/>
      <c r="M1882" s="10"/>
      <c r="N1882" s="11"/>
      <c r="O1882" s="11"/>
      <c r="P1882" s="11"/>
      <c r="Q1882" s="11"/>
      <c r="R1882" s="10"/>
      <c r="S1882" s="10"/>
      <c r="T1882" s="10"/>
      <c r="U1882" s="10"/>
    </row>
    <row r="1883">
      <c r="A1883" s="8"/>
      <c r="B1883" s="9"/>
      <c r="C1883" s="9"/>
      <c r="D1883" s="9"/>
      <c r="E1883" s="9"/>
      <c r="F1883" s="9"/>
      <c r="G1883" s="9"/>
      <c r="H1883" s="9"/>
      <c r="I1883" s="9"/>
      <c r="J1883" s="10"/>
      <c r="K1883" s="10"/>
      <c r="L1883" s="10"/>
      <c r="M1883" s="10"/>
      <c r="N1883" s="11"/>
      <c r="O1883" s="11"/>
      <c r="P1883" s="11"/>
      <c r="Q1883" s="11"/>
      <c r="R1883" s="10"/>
      <c r="S1883" s="10"/>
      <c r="T1883" s="10"/>
      <c r="U1883" s="10"/>
    </row>
    <row r="1884">
      <c r="A1884" s="8"/>
      <c r="B1884" s="9"/>
      <c r="C1884" s="9"/>
      <c r="D1884" s="9"/>
      <c r="E1884" s="9"/>
      <c r="F1884" s="9"/>
      <c r="G1884" s="9"/>
      <c r="H1884" s="9"/>
      <c r="I1884" s="9"/>
      <c r="J1884" s="10"/>
      <c r="K1884" s="10"/>
      <c r="L1884" s="10"/>
      <c r="M1884" s="10"/>
      <c r="N1884" s="11"/>
      <c r="O1884" s="11"/>
      <c r="P1884" s="11"/>
      <c r="Q1884" s="11"/>
      <c r="R1884" s="10"/>
      <c r="S1884" s="10"/>
      <c r="T1884" s="10"/>
      <c r="U1884" s="10"/>
    </row>
    <row r="1885">
      <c r="A1885" s="8"/>
      <c r="B1885" s="9"/>
      <c r="C1885" s="9"/>
      <c r="D1885" s="9"/>
      <c r="E1885" s="9"/>
      <c r="F1885" s="9"/>
      <c r="G1885" s="9"/>
      <c r="H1885" s="9"/>
      <c r="I1885" s="9"/>
      <c r="J1885" s="10"/>
      <c r="K1885" s="10"/>
      <c r="L1885" s="10"/>
      <c r="M1885" s="10"/>
      <c r="N1885" s="11"/>
      <c r="O1885" s="11"/>
      <c r="P1885" s="11"/>
      <c r="Q1885" s="11"/>
      <c r="R1885" s="10"/>
      <c r="S1885" s="10"/>
      <c r="T1885" s="10"/>
      <c r="U1885" s="10"/>
    </row>
    <row r="1886">
      <c r="A1886" s="8"/>
      <c r="B1886" s="9"/>
      <c r="C1886" s="9"/>
      <c r="D1886" s="9"/>
      <c r="E1886" s="9"/>
      <c r="F1886" s="9"/>
      <c r="G1886" s="9"/>
      <c r="H1886" s="9"/>
      <c r="I1886" s="9"/>
      <c r="J1886" s="10"/>
      <c r="K1886" s="10"/>
      <c r="L1886" s="10"/>
      <c r="M1886" s="10"/>
      <c r="N1886" s="11"/>
      <c r="O1886" s="11"/>
      <c r="P1886" s="11"/>
      <c r="Q1886" s="11"/>
      <c r="R1886" s="10"/>
      <c r="S1886" s="10"/>
      <c r="T1886" s="10"/>
      <c r="U1886" s="10"/>
    </row>
    <row r="1887">
      <c r="A1887" s="8"/>
      <c r="B1887" s="9"/>
      <c r="C1887" s="9"/>
      <c r="D1887" s="9"/>
      <c r="E1887" s="9"/>
      <c r="F1887" s="9"/>
      <c r="G1887" s="9"/>
      <c r="H1887" s="9"/>
      <c r="I1887" s="9"/>
      <c r="J1887" s="10"/>
      <c r="K1887" s="10"/>
      <c r="L1887" s="10"/>
      <c r="M1887" s="10"/>
      <c r="N1887" s="11"/>
      <c r="O1887" s="11"/>
      <c r="P1887" s="11"/>
      <c r="Q1887" s="11"/>
      <c r="R1887" s="10"/>
      <c r="S1887" s="10"/>
      <c r="T1887" s="10"/>
      <c r="U1887" s="10"/>
    </row>
    <row r="1888">
      <c r="A1888" s="8"/>
      <c r="B1888" s="9"/>
      <c r="C1888" s="9"/>
      <c r="D1888" s="9"/>
      <c r="E1888" s="9"/>
      <c r="F1888" s="9"/>
      <c r="G1888" s="9"/>
      <c r="H1888" s="9"/>
      <c r="I1888" s="9"/>
      <c r="J1888" s="10"/>
      <c r="K1888" s="10"/>
      <c r="L1888" s="10"/>
      <c r="M1888" s="10"/>
      <c r="N1888" s="11"/>
      <c r="O1888" s="11"/>
      <c r="P1888" s="11"/>
      <c r="Q1888" s="11"/>
      <c r="R1888" s="10"/>
      <c r="S1888" s="10"/>
      <c r="T1888" s="10"/>
      <c r="U1888" s="10"/>
    </row>
    <row r="1889">
      <c r="A1889" s="8"/>
      <c r="B1889" s="9"/>
      <c r="C1889" s="9"/>
      <c r="D1889" s="9"/>
      <c r="E1889" s="9"/>
      <c r="F1889" s="9"/>
      <c r="G1889" s="9"/>
      <c r="H1889" s="9"/>
      <c r="I1889" s="9"/>
      <c r="J1889" s="10"/>
      <c r="K1889" s="10"/>
      <c r="L1889" s="10"/>
      <c r="M1889" s="10"/>
      <c r="N1889" s="11"/>
      <c r="O1889" s="11"/>
      <c r="P1889" s="11"/>
      <c r="Q1889" s="11"/>
      <c r="R1889" s="10"/>
      <c r="S1889" s="10"/>
      <c r="T1889" s="10"/>
      <c r="U1889" s="10"/>
    </row>
    <row r="1890">
      <c r="A1890" s="8"/>
      <c r="B1890" s="9"/>
      <c r="C1890" s="9"/>
      <c r="D1890" s="9"/>
      <c r="E1890" s="9"/>
      <c r="F1890" s="9"/>
      <c r="G1890" s="9"/>
      <c r="H1890" s="9"/>
      <c r="I1890" s="9"/>
      <c r="J1890" s="10"/>
      <c r="K1890" s="10"/>
      <c r="L1890" s="10"/>
      <c r="M1890" s="10"/>
      <c r="N1890" s="11"/>
      <c r="O1890" s="11"/>
      <c r="P1890" s="11"/>
      <c r="Q1890" s="11"/>
      <c r="R1890" s="10"/>
      <c r="S1890" s="10"/>
      <c r="T1890" s="10"/>
      <c r="U1890" s="10"/>
    </row>
    <row r="1891">
      <c r="A1891" s="8"/>
      <c r="B1891" s="9"/>
      <c r="C1891" s="9"/>
      <c r="D1891" s="9"/>
      <c r="E1891" s="9"/>
      <c r="F1891" s="9"/>
      <c r="G1891" s="9"/>
      <c r="H1891" s="9"/>
      <c r="I1891" s="9"/>
      <c r="J1891" s="10"/>
      <c r="K1891" s="10"/>
      <c r="L1891" s="10"/>
      <c r="M1891" s="10"/>
      <c r="N1891" s="11"/>
      <c r="O1891" s="11"/>
      <c r="P1891" s="11"/>
      <c r="Q1891" s="11"/>
      <c r="R1891" s="10"/>
      <c r="S1891" s="10"/>
      <c r="T1891" s="10"/>
      <c r="U1891" s="10"/>
    </row>
    <row r="1892">
      <c r="A1892" s="8"/>
      <c r="B1892" s="9"/>
      <c r="C1892" s="9"/>
      <c r="D1892" s="9"/>
      <c r="E1892" s="9"/>
      <c r="F1892" s="9"/>
      <c r="G1892" s="9"/>
      <c r="H1892" s="9"/>
      <c r="I1892" s="9"/>
      <c r="J1892" s="10"/>
      <c r="K1892" s="10"/>
      <c r="L1892" s="10"/>
      <c r="M1892" s="10"/>
      <c r="N1892" s="11"/>
      <c r="O1892" s="11"/>
      <c r="P1892" s="11"/>
      <c r="Q1892" s="11"/>
      <c r="R1892" s="10"/>
      <c r="S1892" s="10"/>
      <c r="T1892" s="10"/>
      <c r="U1892" s="10"/>
    </row>
    <row r="1893">
      <c r="A1893" s="8"/>
      <c r="B1893" s="9"/>
      <c r="C1893" s="9"/>
      <c r="D1893" s="9"/>
      <c r="E1893" s="9"/>
      <c r="F1893" s="9"/>
      <c r="G1893" s="9"/>
      <c r="H1893" s="9"/>
      <c r="I1893" s="9"/>
      <c r="J1893" s="10"/>
      <c r="K1893" s="10"/>
      <c r="L1893" s="10"/>
      <c r="M1893" s="10"/>
      <c r="N1893" s="11"/>
      <c r="O1893" s="11"/>
      <c r="P1893" s="11"/>
      <c r="Q1893" s="11"/>
      <c r="R1893" s="10"/>
      <c r="S1893" s="10"/>
      <c r="T1893" s="10"/>
      <c r="U1893" s="10"/>
    </row>
    <row r="1894">
      <c r="A1894" s="8"/>
      <c r="B1894" s="9"/>
      <c r="C1894" s="9"/>
      <c r="D1894" s="9"/>
      <c r="E1894" s="9"/>
      <c r="F1894" s="9"/>
      <c r="G1894" s="9"/>
      <c r="H1894" s="9"/>
      <c r="I1894" s="9"/>
      <c r="J1894" s="10"/>
      <c r="K1894" s="10"/>
      <c r="L1894" s="10"/>
      <c r="M1894" s="10"/>
      <c r="N1894" s="11"/>
      <c r="O1894" s="11"/>
      <c r="P1894" s="11"/>
      <c r="Q1894" s="11"/>
      <c r="R1894" s="10"/>
      <c r="S1894" s="10"/>
      <c r="T1894" s="10"/>
      <c r="U1894" s="10"/>
    </row>
    <row r="1895">
      <c r="A1895" s="8"/>
      <c r="B1895" s="9"/>
      <c r="C1895" s="9"/>
      <c r="D1895" s="9"/>
      <c r="E1895" s="9"/>
      <c r="F1895" s="9"/>
      <c r="G1895" s="9"/>
      <c r="H1895" s="9"/>
      <c r="I1895" s="9"/>
      <c r="J1895" s="10"/>
      <c r="K1895" s="10"/>
      <c r="L1895" s="10"/>
      <c r="M1895" s="10"/>
      <c r="N1895" s="11"/>
      <c r="O1895" s="11"/>
      <c r="P1895" s="11"/>
      <c r="Q1895" s="11"/>
      <c r="R1895" s="10"/>
      <c r="S1895" s="10"/>
      <c r="T1895" s="10"/>
      <c r="U1895" s="10"/>
    </row>
    <row r="1896">
      <c r="A1896" s="8"/>
      <c r="B1896" s="9"/>
      <c r="C1896" s="9"/>
      <c r="D1896" s="9"/>
      <c r="E1896" s="9"/>
      <c r="F1896" s="9"/>
      <c r="G1896" s="9"/>
      <c r="H1896" s="9"/>
      <c r="I1896" s="9"/>
      <c r="J1896" s="10"/>
      <c r="K1896" s="10"/>
      <c r="L1896" s="10"/>
      <c r="M1896" s="10"/>
      <c r="N1896" s="11"/>
      <c r="O1896" s="11"/>
      <c r="P1896" s="11"/>
      <c r="Q1896" s="11"/>
      <c r="R1896" s="10"/>
      <c r="S1896" s="10"/>
      <c r="T1896" s="10"/>
      <c r="U1896" s="10"/>
    </row>
    <row r="1897">
      <c r="A1897" s="8"/>
      <c r="B1897" s="9"/>
      <c r="C1897" s="9"/>
      <c r="D1897" s="9"/>
      <c r="E1897" s="9"/>
      <c r="F1897" s="9"/>
      <c r="G1897" s="9"/>
      <c r="H1897" s="9"/>
      <c r="I1897" s="9"/>
      <c r="J1897" s="10"/>
      <c r="K1897" s="10"/>
      <c r="L1897" s="10"/>
      <c r="M1897" s="10"/>
      <c r="N1897" s="11"/>
      <c r="O1897" s="11"/>
      <c r="P1897" s="11"/>
      <c r="Q1897" s="11"/>
      <c r="R1897" s="10"/>
      <c r="S1897" s="10"/>
      <c r="T1897" s="10"/>
      <c r="U1897" s="10"/>
    </row>
    <row r="1898">
      <c r="A1898" s="8"/>
      <c r="B1898" s="9"/>
      <c r="C1898" s="9"/>
      <c r="D1898" s="9"/>
      <c r="E1898" s="9"/>
      <c r="F1898" s="9"/>
      <c r="G1898" s="9"/>
      <c r="H1898" s="9"/>
      <c r="I1898" s="9"/>
      <c r="J1898" s="10"/>
      <c r="K1898" s="10"/>
      <c r="L1898" s="10"/>
      <c r="M1898" s="10"/>
      <c r="N1898" s="11"/>
      <c r="O1898" s="11"/>
      <c r="P1898" s="11"/>
      <c r="Q1898" s="11"/>
      <c r="R1898" s="10"/>
      <c r="S1898" s="10"/>
      <c r="T1898" s="10"/>
      <c r="U1898" s="10"/>
    </row>
    <row r="1899">
      <c r="A1899" s="8"/>
      <c r="B1899" s="9"/>
      <c r="C1899" s="9"/>
      <c r="D1899" s="9"/>
      <c r="E1899" s="9"/>
      <c r="F1899" s="9"/>
      <c r="G1899" s="9"/>
      <c r="H1899" s="9"/>
      <c r="I1899" s="9"/>
      <c r="J1899" s="10"/>
      <c r="K1899" s="10"/>
      <c r="L1899" s="10"/>
      <c r="M1899" s="10"/>
      <c r="N1899" s="11"/>
      <c r="O1899" s="11"/>
      <c r="P1899" s="11"/>
      <c r="Q1899" s="11"/>
      <c r="R1899" s="10"/>
      <c r="S1899" s="10"/>
      <c r="T1899" s="10"/>
      <c r="U1899" s="10"/>
    </row>
    <row r="1900">
      <c r="A1900" s="8"/>
      <c r="B1900" s="9"/>
      <c r="C1900" s="9"/>
      <c r="D1900" s="9"/>
      <c r="E1900" s="9"/>
      <c r="F1900" s="9"/>
      <c r="G1900" s="9"/>
      <c r="H1900" s="9"/>
      <c r="I1900" s="9"/>
      <c r="J1900" s="10"/>
      <c r="K1900" s="10"/>
      <c r="L1900" s="10"/>
      <c r="M1900" s="10"/>
      <c r="N1900" s="11"/>
      <c r="O1900" s="11"/>
      <c r="P1900" s="11"/>
      <c r="Q1900" s="11"/>
      <c r="R1900" s="10"/>
      <c r="S1900" s="10"/>
      <c r="T1900" s="10"/>
      <c r="U1900" s="10"/>
    </row>
    <row r="1901">
      <c r="A1901" s="8"/>
      <c r="B1901" s="9"/>
      <c r="C1901" s="9"/>
      <c r="D1901" s="9"/>
      <c r="E1901" s="9"/>
      <c r="F1901" s="9"/>
      <c r="G1901" s="9"/>
      <c r="H1901" s="9"/>
      <c r="I1901" s="9"/>
      <c r="J1901" s="10"/>
      <c r="K1901" s="10"/>
      <c r="L1901" s="10"/>
      <c r="M1901" s="10"/>
      <c r="N1901" s="11"/>
      <c r="O1901" s="11"/>
      <c r="P1901" s="11"/>
      <c r="Q1901" s="11"/>
      <c r="R1901" s="10"/>
      <c r="S1901" s="10"/>
      <c r="T1901" s="10"/>
      <c r="U1901" s="10"/>
    </row>
    <row r="1902">
      <c r="A1902" s="8"/>
      <c r="B1902" s="9"/>
      <c r="C1902" s="9"/>
      <c r="D1902" s="9"/>
      <c r="E1902" s="9"/>
      <c r="F1902" s="9"/>
      <c r="G1902" s="9"/>
      <c r="H1902" s="9"/>
      <c r="I1902" s="9"/>
      <c r="J1902" s="10"/>
      <c r="K1902" s="10"/>
      <c r="L1902" s="10"/>
      <c r="M1902" s="10"/>
      <c r="N1902" s="11"/>
      <c r="O1902" s="11"/>
      <c r="P1902" s="11"/>
      <c r="Q1902" s="11"/>
      <c r="R1902" s="10"/>
      <c r="S1902" s="10"/>
      <c r="T1902" s="10"/>
      <c r="U1902" s="10"/>
    </row>
    <row r="1903">
      <c r="A1903" s="8"/>
      <c r="B1903" s="9"/>
      <c r="C1903" s="9"/>
      <c r="D1903" s="9"/>
      <c r="E1903" s="9"/>
      <c r="F1903" s="9"/>
      <c r="G1903" s="9"/>
      <c r="H1903" s="9"/>
      <c r="I1903" s="9"/>
      <c r="J1903" s="10"/>
      <c r="K1903" s="10"/>
      <c r="L1903" s="10"/>
      <c r="M1903" s="10"/>
      <c r="N1903" s="11"/>
      <c r="O1903" s="11"/>
      <c r="P1903" s="11"/>
      <c r="Q1903" s="11"/>
      <c r="R1903" s="10"/>
      <c r="S1903" s="10"/>
      <c r="T1903" s="10"/>
      <c r="U1903" s="10"/>
    </row>
    <row r="1904">
      <c r="A1904" s="8"/>
      <c r="B1904" s="9"/>
      <c r="C1904" s="9"/>
      <c r="D1904" s="9"/>
      <c r="E1904" s="9"/>
      <c r="F1904" s="9"/>
      <c r="G1904" s="9"/>
      <c r="H1904" s="9"/>
      <c r="I1904" s="9"/>
      <c r="J1904" s="10"/>
      <c r="K1904" s="10"/>
      <c r="L1904" s="10"/>
      <c r="M1904" s="10"/>
      <c r="N1904" s="11"/>
      <c r="O1904" s="11"/>
      <c r="P1904" s="11"/>
      <c r="Q1904" s="11"/>
      <c r="R1904" s="10"/>
      <c r="S1904" s="10"/>
      <c r="T1904" s="10"/>
      <c r="U1904" s="10"/>
    </row>
    <row r="1905">
      <c r="A1905" s="8"/>
      <c r="B1905" s="9"/>
      <c r="C1905" s="9"/>
      <c r="D1905" s="9"/>
      <c r="E1905" s="9"/>
      <c r="F1905" s="9"/>
      <c r="G1905" s="9"/>
      <c r="H1905" s="9"/>
      <c r="I1905" s="9"/>
      <c r="J1905" s="10"/>
      <c r="K1905" s="10"/>
      <c r="L1905" s="10"/>
      <c r="M1905" s="10"/>
      <c r="N1905" s="11"/>
      <c r="O1905" s="11"/>
      <c r="P1905" s="11"/>
      <c r="Q1905" s="11"/>
      <c r="R1905" s="10"/>
      <c r="S1905" s="10"/>
      <c r="T1905" s="10"/>
      <c r="U1905" s="10"/>
    </row>
    <row r="1906">
      <c r="A1906" s="8"/>
      <c r="B1906" s="9"/>
      <c r="C1906" s="9"/>
      <c r="D1906" s="9"/>
      <c r="E1906" s="9"/>
      <c r="F1906" s="9"/>
      <c r="G1906" s="9"/>
      <c r="H1906" s="9"/>
      <c r="I1906" s="9"/>
      <c r="J1906" s="10"/>
      <c r="K1906" s="10"/>
      <c r="L1906" s="10"/>
      <c r="M1906" s="10"/>
      <c r="N1906" s="11"/>
      <c r="O1906" s="11"/>
      <c r="P1906" s="11"/>
      <c r="Q1906" s="11"/>
      <c r="R1906" s="10"/>
      <c r="S1906" s="10"/>
      <c r="T1906" s="10"/>
      <c r="U1906" s="10"/>
    </row>
    <row r="1907">
      <c r="A1907" s="8"/>
      <c r="B1907" s="9"/>
      <c r="C1907" s="9"/>
      <c r="D1907" s="9"/>
      <c r="E1907" s="9"/>
      <c r="F1907" s="9"/>
      <c r="G1907" s="9"/>
      <c r="H1907" s="9"/>
      <c r="I1907" s="9"/>
      <c r="J1907" s="10"/>
      <c r="K1907" s="10"/>
      <c r="L1907" s="10"/>
      <c r="M1907" s="10"/>
      <c r="N1907" s="11"/>
      <c r="O1907" s="11"/>
      <c r="P1907" s="11"/>
      <c r="Q1907" s="11"/>
      <c r="R1907" s="10"/>
      <c r="S1907" s="10"/>
      <c r="T1907" s="10"/>
      <c r="U1907" s="10"/>
    </row>
    <row r="1908">
      <c r="A1908" s="8"/>
      <c r="B1908" s="9"/>
      <c r="C1908" s="9"/>
      <c r="D1908" s="9"/>
      <c r="E1908" s="9"/>
      <c r="F1908" s="9"/>
      <c r="G1908" s="9"/>
      <c r="H1908" s="9"/>
      <c r="I1908" s="9"/>
      <c r="J1908" s="10"/>
      <c r="K1908" s="10"/>
      <c r="L1908" s="10"/>
      <c r="M1908" s="10"/>
      <c r="N1908" s="11"/>
      <c r="O1908" s="11"/>
      <c r="P1908" s="11"/>
      <c r="Q1908" s="11"/>
      <c r="R1908" s="10"/>
      <c r="S1908" s="10"/>
      <c r="T1908" s="10"/>
      <c r="U1908" s="10"/>
    </row>
    <row r="1909">
      <c r="A1909" s="8"/>
      <c r="B1909" s="9"/>
      <c r="C1909" s="9"/>
      <c r="D1909" s="9"/>
      <c r="E1909" s="9"/>
      <c r="F1909" s="9"/>
      <c r="G1909" s="9"/>
      <c r="H1909" s="9"/>
      <c r="I1909" s="9"/>
      <c r="J1909" s="10"/>
      <c r="K1909" s="10"/>
      <c r="L1909" s="10"/>
      <c r="M1909" s="10"/>
      <c r="N1909" s="11"/>
      <c r="O1909" s="11"/>
      <c r="P1909" s="11"/>
      <c r="Q1909" s="11"/>
      <c r="R1909" s="10"/>
      <c r="S1909" s="10"/>
      <c r="T1909" s="10"/>
      <c r="U1909" s="10"/>
    </row>
    <row r="1910">
      <c r="A1910" s="8"/>
      <c r="B1910" s="9"/>
      <c r="C1910" s="9"/>
      <c r="D1910" s="9"/>
      <c r="E1910" s="9"/>
      <c r="F1910" s="9"/>
      <c r="G1910" s="9"/>
      <c r="H1910" s="9"/>
      <c r="I1910" s="9"/>
      <c r="J1910" s="10"/>
      <c r="K1910" s="10"/>
      <c r="L1910" s="10"/>
      <c r="M1910" s="10"/>
      <c r="N1910" s="11"/>
      <c r="O1910" s="11"/>
      <c r="P1910" s="11"/>
      <c r="Q1910" s="11"/>
      <c r="R1910" s="10"/>
      <c r="S1910" s="10"/>
      <c r="T1910" s="10"/>
      <c r="U1910" s="10"/>
    </row>
    <row r="1911">
      <c r="A1911" s="8"/>
      <c r="B1911" s="9"/>
      <c r="C1911" s="9"/>
      <c r="D1911" s="9"/>
      <c r="E1911" s="9"/>
      <c r="F1911" s="9"/>
      <c r="G1911" s="9"/>
      <c r="H1911" s="9"/>
      <c r="I1911" s="9"/>
      <c r="J1911" s="10"/>
      <c r="K1911" s="10"/>
      <c r="L1911" s="10"/>
      <c r="M1911" s="10"/>
      <c r="N1911" s="11"/>
      <c r="O1911" s="11"/>
      <c r="P1911" s="11"/>
      <c r="Q1911" s="11"/>
      <c r="R1911" s="10"/>
      <c r="S1911" s="10"/>
      <c r="T1911" s="10"/>
      <c r="U1911" s="10"/>
    </row>
    <row r="1912">
      <c r="A1912" s="8"/>
      <c r="B1912" s="9"/>
      <c r="C1912" s="9"/>
      <c r="D1912" s="9"/>
      <c r="E1912" s="9"/>
      <c r="F1912" s="9"/>
      <c r="G1912" s="9"/>
      <c r="H1912" s="9"/>
      <c r="I1912" s="9"/>
      <c r="J1912" s="10"/>
      <c r="K1912" s="10"/>
      <c r="L1912" s="10"/>
      <c r="M1912" s="10"/>
      <c r="N1912" s="11"/>
      <c r="O1912" s="11"/>
      <c r="P1912" s="11"/>
      <c r="Q1912" s="11"/>
      <c r="R1912" s="10"/>
      <c r="S1912" s="10"/>
      <c r="T1912" s="10"/>
      <c r="U1912" s="10"/>
    </row>
    <row r="1913">
      <c r="A1913" s="8"/>
      <c r="B1913" s="9"/>
      <c r="C1913" s="9"/>
      <c r="D1913" s="9"/>
      <c r="E1913" s="9"/>
      <c r="F1913" s="9"/>
      <c r="G1913" s="9"/>
      <c r="H1913" s="9"/>
      <c r="I1913" s="9"/>
      <c r="J1913" s="10"/>
      <c r="K1913" s="10"/>
      <c r="L1913" s="10"/>
      <c r="M1913" s="10"/>
      <c r="N1913" s="11"/>
      <c r="O1913" s="11"/>
      <c r="P1913" s="11"/>
      <c r="Q1913" s="11"/>
      <c r="R1913" s="10"/>
      <c r="S1913" s="10"/>
      <c r="T1913" s="10"/>
      <c r="U1913" s="10"/>
    </row>
    <row r="1914">
      <c r="A1914" s="8"/>
      <c r="B1914" s="9"/>
      <c r="C1914" s="9"/>
      <c r="D1914" s="9"/>
      <c r="E1914" s="9"/>
      <c r="F1914" s="9"/>
      <c r="G1914" s="9"/>
      <c r="H1914" s="9"/>
      <c r="I1914" s="9"/>
      <c r="J1914" s="10"/>
      <c r="K1914" s="10"/>
      <c r="L1914" s="10"/>
      <c r="M1914" s="10"/>
      <c r="N1914" s="11"/>
      <c r="O1914" s="11"/>
      <c r="P1914" s="11"/>
      <c r="Q1914" s="11"/>
      <c r="R1914" s="10"/>
      <c r="S1914" s="10"/>
      <c r="T1914" s="10"/>
      <c r="U1914" s="10"/>
    </row>
    <row r="1915">
      <c r="A1915" s="8"/>
      <c r="B1915" s="9"/>
      <c r="C1915" s="9"/>
      <c r="D1915" s="9"/>
      <c r="E1915" s="9"/>
      <c r="F1915" s="9"/>
      <c r="G1915" s="9"/>
      <c r="H1915" s="9"/>
      <c r="I1915" s="9"/>
      <c r="J1915" s="10"/>
      <c r="K1915" s="10"/>
      <c r="L1915" s="10"/>
      <c r="M1915" s="10"/>
      <c r="N1915" s="11"/>
      <c r="O1915" s="11"/>
      <c r="P1915" s="11"/>
      <c r="Q1915" s="11"/>
      <c r="R1915" s="10"/>
      <c r="S1915" s="10"/>
      <c r="T1915" s="10"/>
      <c r="U1915" s="10"/>
    </row>
    <row r="1916">
      <c r="A1916" s="8"/>
      <c r="B1916" s="9"/>
      <c r="C1916" s="9"/>
      <c r="D1916" s="9"/>
      <c r="E1916" s="9"/>
      <c r="F1916" s="9"/>
      <c r="G1916" s="9"/>
      <c r="H1916" s="9"/>
      <c r="I1916" s="9"/>
      <c r="J1916" s="10"/>
      <c r="K1916" s="10"/>
      <c r="L1916" s="10"/>
      <c r="M1916" s="10"/>
      <c r="N1916" s="11"/>
      <c r="O1916" s="11"/>
      <c r="P1916" s="11"/>
      <c r="Q1916" s="11"/>
      <c r="R1916" s="10"/>
      <c r="S1916" s="10"/>
      <c r="T1916" s="10"/>
      <c r="U1916" s="10"/>
    </row>
    <row r="1917">
      <c r="A1917" s="8"/>
      <c r="B1917" s="9"/>
      <c r="C1917" s="9"/>
      <c r="D1917" s="9"/>
      <c r="E1917" s="9"/>
      <c r="F1917" s="9"/>
      <c r="G1917" s="9"/>
      <c r="H1917" s="9"/>
      <c r="I1917" s="9"/>
      <c r="J1917" s="10"/>
      <c r="K1917" s="10"/>
      <c r="L1917" s="10"/>
      <c r="M1917" s="10"/>
      <c r="N1917" s="11"/>
      <c r="O1917" s="11"/>
      <c r="P1917" s="11"/>
      <c r="Q1917" s="11"/>
      <c r="R1917" s="10"/>
      <c r="S1917" s="10"/>
      <c r="T1917" s="10"/>
      <c r="U1917" s="10"/>
    </row>
    <row r="1918">
      <c r="A1918" s="8"/>
      <c r="B1918" s="9"/>
      <c r="C1918" s="9"/>
      <c r="D1918" s="9"/>
      <c r="E1918" s="9"/>
      <c r="F1918" s="9"/>
      <c r="G1918" s="9"/>
      <c r="H1918" s="9"/>
      <c r="I1918" s="9"/>
      <c r="J1918" s="10"/>
      <c r="K1918" s="10"/>
      <c r="L1918" s="10"/>
      <c r="M1918" s="10"/>
      <c r="N1918" s="11"/>
      <c r="O1918" s="11"/>
      <c r="P1918" s="11"/>
      <c r="Q1918" s="11"/>
      <c r="R1918" s="10"/>
      <c r="S1918" s="10"/>
      <c r="T1918" s="10"/>
      <c r="U1918" s="10"/>
    </row>
    <row r="1919">
      <c r="A1919" s="8"/>
      <c r="B1919" s="9"/>
      <c r="C1919" s="9"/>
      <c r="D1919" s="9"/>
      <c r="E1919" s="9"/>
      <c r="F1919" s="9"/>
      <c r="G1919" s="9"/>
      <c r="H1919" s="9"/>
      <c r="I1919" s="9"/>
      <c r="J1919" s="10"/>
      <c r="K1919" s="10"/>
      <c r="L1919" s="10"/>
      <c r="M1919" s="10"/>
      <c r="N1919" s="11"/>
      <c r="O1919" s="11"/>
      <c r="P1919" s="11"/>
      <c r="Q1919" s="11"/>
      <c r="R1919" s="10"/>
      <c r="S1919" s="10"/>
      <c r="T1919" s="10"/>
      <c r="U1919" s="10"/>
    </row>
    <row r="1920">
      <c r="A1920" s="8"/>
      <c r="B1920" s="9"/>
      <c r="C1920" s="9"/>
      <c r="D1920" s="9"/>
      <c r="E1920" s="9"/>
      <c r="F1920" s="9"/>
      <c r="G1920" s="9"/>
      <c r="H1920" s="9"/>
      <c r="I1920" s="9"/>
      <c r="J1920" s="10"/>
      <c r="K1920" s="10"/>
      <c r="L1920" s="10"/>
      <c r="M1920" s="10"/>
      <c r="N1920" s="11"/>
      <c r="O1920" s="11"/>
      <c r="P1920" s="11"/>
      <c r="Q1920" s="11"/>
      <c r="R1920" s="10"/>
      <c r="S1920" s="10"/>
      <c r="T1920" s="10"/>
      <c r="U1920" s="10"/>
    </row>
    <row r="1921">
      <c r="A1921" s="8"/>
      <c r="B1921" s="9"/>
      <c r="C1921" s="9"/>
      <c r="D1921" s="9"/>
      <c r="E1921" s="9"/>
      <c r="F1921" s="9"/>
      <c r="G1921" s="9"/>
      <c r="H1921" s="9"/>
      <c r="I1921" s="9"/>
      <c r="J1921" s="10"/>
      <c r="K1921" s="10"/>
      <c r="L1921" s="10"/>
      <c r="M1921" s="10"/>
      <c r="N1921" s="11"/>
      <c r="O1921" s="11"/>
      <c r="P1921" s="11"/>
      <c r="Q1921" s="11"/>
      <c r="R1921" s="10"/>
      <c r="S1921" s="10"/>
      <c r="T1921" s="10"/>
      <c r="U1921" s="10"/>
    </row>
    <row r="1922">
      <c r="A1922" s="8"/>
      <c r="B1922" s="9"/>
      <c r="C1922" s="9"/>
      <c r="D1922" s="9"/>
      <c r="E1922" s="9"/>
      <c r="F1922" s="9"/>
      <c r="G1922" s="9"/>
      <c r="H1922" s="9"/>
      <c r="I1922" s="9"/>
      <c r="J1922" s="10"/>
      <c r="K1922" s="10"/>
      <c r="L1922" s="10"/>
      <c r="M1922" s="10"/>
      <c r="N1922" s="11"/>
      <c r="O1922" s="11"/>
      <c r="P1922" s="11"/>
      <c r="Q1922" s="11"/>
      <c r="R1922" s="10"/>
      <c r="S1922" s="10"/>
      <c r="T1922" s="10"/>
      <c r="U1922" s="10"/>
    </row>
    <row r="1923">
      <c r="A1923" s="8"/>
      <c r="B1923" s="9"/>
      <c r="C1923" s="9"/>
      <c r="D1923" s="9"/>
      <c r="E1923" s="9"/>
      <c r="F1923" s="9"/>
      <c r="G1923" s="9"/>
      <c r="H1923" s="9"/>
      <c r="I1923" s="9"/>
      <c r="J1923" s="10"/>
      <c r="K1923" s="10"/>
      <c r="L1923" s="10"/>
      <c r="M1923" s="10"/>
      <c r="N1923" s="11"/>
      <c r="O1923" s="11"/>
      <c r="P1923" s="11"/>
      <c r="Q1923" s="11"/>
      <c r="R1923" s="10"/>
      <c r="S1923" s="10"/>
      <c r="T1923" s="10"/>
      <c r="U1923" s="10"/>
    </row>
    <row r="1924">
      <c r="A1924" s="8"/>
      <c r="B1924" s="9"/>
      <c r="C1924" s="9"/>
      <c r="D1924" s="9"/>
      <c r="E1924" s="9"/>
      <c r="F1924" s="9"/>
      <c r="G1924" s="9"/>
      <c r="H1924" s="9"/>
      <c r="I1924" s="9"/>
      <c r="J1924" s="10"/>
      <c r="K1924" s="10"/>
      <c r="L1924" s="10"/>
      <c r="M1924" s="10"/>
      <c r="N1924" s="11"/>
      <c r="O1924" s="11"/>
      <c r="P1924" s="11"/>
      <c r="Q1924" s="11"/>
      <c r="R1924" s="10"/>
      <c r="S1924" s="10"/>
      <c r="T1924" s="10"/>
      <c r="U1924" s="10"/>
    </row>
    <row r="1925">
      <c r="A1925" s="8"/>
      <c r="B1925" s="9"/>
      <c r="C1925" s="9"/>
      <c r="D1925" s="9"/>
      <c r="E1925" s="9"/>
      <c r="F1925" s="9"/>
      <c r="G1925" s="9"/>
      <c r="H1925" s="9"/>
      <c r="I1925" s="9"/>
      <c r="J1925" s="10"/>
      <c r="K1925" s="10"/>
      <c r="L1925" s="10"/>
      <c r="M1925" s="10"/>
      <c r="N1925" s="11"/>
      <c r="O1925" s="11"/>
      <c r="P1925" s="11"/>
      <c r="Q1925" s="11"/>
      <c r="R1925" s="10"/>
      <c r="S1925" s="10"/>
      <c r="T1925" s="10"/>
      <c r="U1925" s="10"/>
    </row>
    <row r="1926">
      <c r="A1926" s="8"/>
      <c r="B1926" s="9"/>
      <c r="C1926" s="9"/>
      <c r="D1926" s="9"/>
      <c r="E1926" s="9"/>
      <c r="F1926" s="9"/>
      <c r="G1926" s="9"/>
      <c r="H1926" s="9"/>
      <c r="I1926" s="9"/>
      <c r="J1926" s="10"/>
      <c r="K1926" s="10"/>
      <c r="L1926" s="10"/>
      <c r="M1926" s="10"/>
      <c r="N1926" s="11"/>
      <c r="O1926" s="11"/>
      <c r="P1926" s="11"/>
      <c r="Q1926" s="11"/>
      <c r="R1926" s="10"/>
      <c r="S1926" s="10"/>
      <c r="T1926" s="10"/>
      <c r="U1926" s="10"/>
    </row>
    <row r="1927">
      <c r="A1927" s="8"/>
      <c r="B1927" s="9"/>
      <c r="C1927" s="9"/>
      <c r="D1927" s="9"/>
      <c r="E1927" s="9"/>
      <c r="F1927" s="9"/>
      <c r="G1927" s="9"/>
      <c r="H1927" s="9"/>
      <c r="I1927" s="9"/>
      <c r="J1927" s="10"/>
      <c r="K1927" s="10"/>
      <c r="L1927" s="10"/>
      <c r="M1927" s="10"/>
      <c r="N1927" s="11"/>
      <c r="O1927" s="11"/>
      <c r="P1927" s="11"/>
      <c r="Q1927" s="11"/>
      <c r="R1927" s="10"/>
      <c r="S1927" s="10"/>
      <c r="T1927" s="10"/>
      <c r="U1927" s="10"/>
    </row>
    <row r="1928">
      <c r="A1928" s="8"/>
      <c r="B1928" s="9"/>
      <c r="C1928" s="9"/>
      <c r="D1928" s="9"/>
      <c r="E1928" s="9"/>
      <c r="F1928" s="9"/>
      <c r="G1928" s="9"/>
      <c r="H1928" s="9"/>
      <c r="I1928" s="9"/>
      <c r="J1928" s="10"/>
      <c r="K1928" s="10"/>
      <c r="L1928" s="10"/>
      <c r="M1928" s="10"/>
      <c r="N1928" s="11"/>
      <c r="O1928" s="11"/>
      <c r="P1928" s="11"/>
      <c r="Q1928" s="11"/>
      <c r="R1928" s="10"/>
      <c r="S1928" s="10"/>
      <c r="T1928" s="10"/>
      <c r="U1928" s="10"/>
    </row>
    <row r="1929">
      <c r="A1929" s="8"/>
      <c r="B1929" s="9"/>
      <c r="C1929" s="9"/>
      <c r="D1929" s="9"/>
      <c r="E1929" s="9"/>
      <c r="F1929" s="9"/>
      <c r="G1929" s="9"/>
      <c r="H1929" s="9"/>
      <c r="I1929" s="9"/>
      <c r="J1929" s="10"/>
      <c r="K1929" s="10"/>
      <c r="L1929" s="10"/>
      <c r="M1929" s="10"/>
      <c r="N1929" s="11"/>
      <c r="O1929" s="11"/>
      <c r="P1929" s="11"/>
      <c r="Q1929" s="11"/>
      <c r="R1929" s="10"/>
      <c r="S1929" s="10"/>
      <c r="T1929" s="10"/>
      <c r="U1929" s="10"/>
    </row>
    <row r="1930">
      <c r="A1930" s="8"/>
      <c r="B1930" s="9"/>
      <c r="C1930" s="9"/>
      <c r="D1930" s="9"/>
      <c r="E1930" s="9"/>
      <c r="F1930" s="9"/>
      <c r="G1930" s="9"/>
      <c r="H1930" s="9"/>
      <c r="I1930" s="9"/>
      <c r="J1930" s="10"/>
      <c r="K1930" s="10"/>
      <c r="L1930" s="10"/>
      <c r="M1930" s="10"/>
      <c r="N1930" s="11"/>
      <c r="O1930" s="11"/>
      <c r="P1930" s="11"/>
      <c r="Q1930" s="11"/>
      <c r="R1930" s="10"/>
      <c r="S1930" s="10"/>
      <c r="T1930" s="10"/>
      <c r="U1930" s="10"/>
    </row>
    <row r="1931">
      <c r="A1931" s="8"/>
      <c r="B1931" s="9"/>
      <c r="C1931" s="9"/>
      <c r="D1931" s="9"/>
      <c r="E1931" s="9"/>
      <c r="F1931" s="9"/>
      <c r="G1931" s="9"/>
      <c r="H1931" s="9"/>
      <c r="I1931" s="9"/>
      <c r="J1931" s="10"/>
      <c r="K1931" s="10"/>
      <c r="L1931" s="10"/>
      <c r="M1931" s="10"/>
      <c r="N1931" s="11"/>
      <c r="O1931" s="11"/>
      <c r="P1931" s="11"/>
      <c r="Q1931" s="11"/>
      <c r="R1931" s="10"/>
      <c r="S1931" s="10"/>
      <c r="T1931" s="10"/>
      <c r="U1931" s="10"/>
    </row>
    <row r="1932">
      <c r="A1932" s="8"/>
      <c r="B1932" s="9"/>
      <c r="C1932" s="9"/>
      <c r="D1932" s="9"/>
      <c r="E1932" s="9"/>
      <c r="F1932" s="9"/>
      <c r="G1932" s="9"/>
      <c r="H1932" s="9"/>
      <c r="I1932" s="9"/>
      <c r="J1932" s="10"/>
      <c r="K1932" s="10"/>
      <c r="L1932" s="10"/>
      <c r="M1932" s="10"/>
      <c r="N1932" s="11"/>
      <c r="O1932" s="11"/>
      <c r="P1932" s="11"/>
      <c r="Q1932" s="11"/>
      <c r="R1932" s="10"/>
      <c r="S1932" s="10"/>
      <c r="T1932" s="10"/>
      <c r="U1932" s="10"/>
    </row>
    <row r="1933">
      <c r="A1933" s="8"/>
      <c r="B1933" s="9"/>
      <c r="C1933" s="9"/>
      <c r="D1933" s="9"/>
      <c r="E1933" s="9"/>
      <c r="F1933" s="9"/>
      <c r="G1933" s="9"/>
      <c r="H1933" s="9"/>
      <c r="I1933" s="9"/>
      <c r="J1933" s="10"/>
      <c r="K1933" s="10"/>
      <c r="L1933" s="10"/>
      <c r="M1933" s="10"/>
      <c r="N1933" s="11"/>
      <c r="O1933" s="11"/>
      <c r="P1933" s="11"/>
      <c r="Q1933" s="11"/>
      <c r="R1933" s="10"/>
      <c r="S1933" s="10"/>
      <c r="T1933" s="10"/>
      <c r="U1933" s="10"/>
    </row>
    <row r="1934">
      <c r="A1934" s="8"/>
      <c r="B1934" s="9"/>
      <c r="C1934" s="9"/>
      <c r="D1934" s="9"/>
      <c r="E1934" s="9"/>
      <c r="F1934" s="9"/>
      <c r="G1934" s="9"/>
      <c r="H1934" s="9"/>
      <c r="I1934" s="9"/>
      <c r="J1934" s="10"/>
      <c r="K1934" s="10"/>
      <c r="L1934" s="10"/>
      <c r="M1934" s="10"/>
      <c r="N1934" s="11"/>
      <c r="O1934" s="11"/>
      <c r="P1934" s="11"/>
      <c r="Q1934" s="11"/>
      <c r="R1934" s="10"/>
      <c r="S1934" s="10"/>
      <c r="T1934" s="10"/>
      <c r="U1934" s="10"/>
    </row>
    <row r="1935">
      <c r="A1935" s="8"/>
      <c r="B1935" s="9"/>
      <c r="C1935" s="9"/>
      <c r="D1935" s="9"/>
      <c r="E1935" s="9"/>
      <c r="F1935" s="9"/>
      <c r="G1935" s="9"/>
      <c r="H1935" s="9"/>
      <c r="I1935" s="9"/>
      <c r="J1935" s="10"/>
      <c r="K1935" s="10"/>
      <c r="L1935" s="10"/>
      <c r="M1935" s="10"/>
      <c r="N1935" s="11"/>
      <c r="O1935" s="11"/>
      <c r="P1935" s="11"/>
      <c r="Q1935" s="11"/>
      <c r="R1935" s="10"/>
      <c r="S1935" s="10"/>
      <c r="T1935" s="10"/>
      <c r="U1935" s="10"/>
    </row>
    <row r="1936">
      <c r="A1936" s="8"/>
      <c r="B1936" s="9"/>
      <c r="C1936" s="9"/>
      <c r="D1936" s="9"/>
      <c r="E1936" s="9"/>
      <c r="F1936" s="9"/>
      <c r="G1936" s="9"/>
      <c r="H1936" s="9"/>
      <c r="I1936" s="9"/>
      <c r="J1936" s="10"/>
      <c r="K1936" s="10"/>
      <c r="L1936" s="10"/>
      <c r="M1936" s="10"/>
      <c r="N1936" s="11"/>
      <c r="O1936" s="11"/>
      <c r="P1936" s="11"/>
      <c r="Q1936" s="11"/>
      <c r="R1936" s="10"/>
      <c r="S1936" s="10"/>
      <c r="T1936" s="10"/>
      <c r="U1936" s="10"/>
    </row>
    <row r="1937">
      <c r="A1937" s="8"/>
      <c r="B1937" s="9"/>
      <c r="C1937" s="9"/>
      <c r="D1937" s="9"/>
      <c r="E1937" s="9"/>
      <c r="F1937" s="9"/>
      <c r="G1937" s="9"/>
      <c r="H1937" s="9"/>
      <c r="I1937" s="9"/>
      <c r="J1937" s="10"/>
      <c r="K1937" s="10"/>
      <c r="L1937" s="10"/>
      <c r="M1937" s="10"/>
      <c r="N1937" s="11"/>
      <c r="O1937" s="11"/>
      <c r="P1937" s="11"/>
      <c r="Q1937" s="11"/>
      <c r="R1937" s="10"/>
      <c r="S1937" s="10"/>
      <c r="T1937" s="10"/>
      <c r="U1937" s="10"/>
    </row>
    <row r="1938">
      <c r="A1938" s="8"/>
      <c r="B1938" s="9"/>
      <c r="C1938" s="9"/>
      <c r="D1938" s="9"/>
      <c r="E1938" s="9"/>
      <c r="F1938" s="9"/>
      <c r="G1938" s="9"/>
      <c r="H1938" s="9"/>
      <c r="I1938" s="9"/>
      <c r="J1938" s="10"/>
      <c r="K1938" s="10"/>
      <c r="L1938" s="10"/>
      <c r="M1938" s="10"/>
      <c r="N1938" s="11"/>
      <c r="O1938" s="11"/>
      <c r="P1938" s="11"/>
      <c r="Q1938" s="11"/>
      <c r="R1938" s="10"/>
      <c r="S1938" s="10"/>
      <c r="T1938" s="10"/>
      <c r="U1938" s="10"/>
    </row>
    <row r="1939">
      <c r="A1939" s="8"/>
      <c r="B1939" s="9"/>
      <c r="C1939" s="9"/>
      <c r="D1939" s="9"/>
      <c r="E1939" s="9"/>
      <c r="F1939" s="9"/>
      <c r="G1939" s="9"/>
      <c r="H1939" s="9"/>
      <c r="I1939" s="9"/>
      <c r="J1939" s="10"/>
      <c r="K1939" s="10"/>
      <c r="L1939" s="10"/>
      <c r="M1939" s="10"/>
      <c r="N1939" s="11"/>
      <c r="O1939" s="11"/>
      <c r="P1939" s="11"/>
      <c r="Q1939" s="11"/>
      <c r="R1939" s="10"/>
      <c r="S1939" s="10"/>
      <c r="T1939" s="10"/>
      <c r="U1939" s="10"/>
    </row>
    <row r="1940">
      <c r="A1940" s="8"/>
      <c r="B1940" s="9"/>
      <c r="C1940" s="9"/>
      <c r="D1940" s="9"/>
      <c r="E1940" s="9"/>
      <c r="F1940" s="9"/>
      <c r="G1940" s="9"/>
      <c r="H1940" s="9"/>
      <c r="I1940" s="9"/>
      <c r="J1940" s="10"/>
      <c r="K1940" s="10"/>
      <c r="L1940" s="10"/>
      <c r="M1940" s="10"/>
      <c r="N1940" s="11"/>
      <c r="O1940" s="11"/>
      <c r="P1940" s="11"/>
      <c r="Q1940" s="11"/>
      <c r="R1940" s="10"/>
      <c r="S1940" s="10"/>
      <c r="T1940" s="10"/>
      <c r="U1940" s="10"/>
    </row>
    <row r="1941">
      <c r="A1941" s="8"/>
      <c r="B1941" s="9"/>
      <c r="C1941" s="9"/>
      <c r="D1941" s="9"/>
      <c r="E1941" s="9"/>
      <c r="F1941" s="9"/>
      <c r="G1941" s="9"/>
      <c r="H1941" s="9"/>
      <c r="I1941" s="9"/>
      <c r="J1941" s="10"/>
      <c r="K1941" s="10"/>
      <c r="L1941" s="10"/>
      <c r="M1941" s="10"/>
      <c r="N1941" s="11"/>
      <c r="O1941" s="11"/>
      <c r="P1941" s="11"/>
      <c r="Q1941" s="11"/>
      <c r="R1941" s="10"/>
      <c r="S1941" s="10"/>
      <c r="T1941" s="10"/>
      <c r="U1941" s="10"/>
    </row>
    <row r="1942">
      <c r="A1942" s="8"/>
      <c r="B1942" s="9"/>
      <c r="C1942" s="9"/>
      <c r="D1942" s="9"/>
      <c r="E1942" s="9"/>
      <c r="F1942" s="9"/>
      <c r="G1942" s="9"/>
      <c r="H1942" s="9"/>
      <c r="I1942" s="9"/>
      <c r="J1942" s="10"/>
      <c r="K1942" s="10"/>
      <c r="L1942" s="10"/>
      <c r="M1942" s="10"/>
      <c r="N1942" s="11"/>
      <c r="O1942" s="11"/>
      <c r="P1942" s="11"/>
      <c r="Q1942" s="11"/>
      <c r="R1942" s="10"/>
      <c r="S1942" s="10"/>
      <c r="T1942" s="10"/>
      <c r="U1942" s="10"/>
    </row>
    <row r="1943">
      <c r="A1943" s="8"/>
      <c r="B1943" s="9"/>
      <c r="C1943" s="9"/>
      <c r="D1943" s="9"/>
      <c r="E1943" s="9"/>
      <c r="F1943" s="9"/>
      <c r="G1943" s="9"/>
      <c r="H1943" s="9"/>
      <c r="I1943" s="9"/>
      <c r="J1943" s="10"/>
      <c r="K1943" s="10"/>
      <c r="L1943" s="10"/>
      <c r="M1943" s="10"/>
      <c r="N1943" s="11"/>
      <c r="O1943" s="11"/>
      <c r="P1943" s="11"/>
      <c r="Q1943" s="11"/>
      <c r="R1943" s="10"/>
      <c r="S1943" s="10"/>
      <c r="T1943" s="10"/>
      <c r="U1943" s="10"/>
    </row>
    <row r="1944">
      <c r="A1944" s="8"/>
      <c r="B1944" s="9"/>
      <c r="C1944" s="9"/>
      <c r="D1944" s="9"/>
      <c r="E1944" s="9"/>
      <c r="F1944" s="9"/>
      <c r="G1944" s="9"/>
      <c r="H1944" s="9"/>
      <c r="I1944" s="9"/>
      <c r="J1944" s="10"/>
      <c r="K1944" s="10"/>
      <c r="L1944" s="10"/>
      <c r="M1944" s="10"/>
      <c r="N1944" s="11"/>
      <c r="O1944" s="11"/>
      <c r="P1944" s="11"/>
      <c r="Q1944" s="11"/>
      <c r="R1944" s="10"/>
      <c r="S1944" s="10"/>
      <c r="T1944" s="10"/>
      <c r="U1944" s="10"/>
    </row>
    <row r="1945">
      <c r="A1945" s="8"/>
      <c r="B1945" s="9"/>
      <c r="C1945" s="9"/>
      <c r="D1945" s="9"/>
      <c r="E1945" s="9"/>
      <c r="F1945" s="9"/>
      <c r="G1945" s="9"/>
      <c r="H1945" s="9"/>
      <c r="I1945" s="9"/>
      <c r="J1945" s="10"/>
      <c r="K1945" s="10"/>
      <c r="L1945" s="10"/>
      <c r="M1945" s="10"/>
      <c r="N1945" s="11"/>
      <c r="O1945" s="11"/>
      <c r="P1945" s="11"/>
      <c r="Q1945" s="11"/>
      <c r="R1945" s="10"/>
      <c r="S1945" s="10"/>
      <c r="T1945" s="10"/>
      <c r="U1945" s="10"/>
    </row>
    <row r="1946">
      <c r="A1946" s="8"/>
      <c r="B1946" s="9"/>
      <c r="C1946" s="9"/>
      <c r="D1946" s="9"/>
      <c r="E1946" s="9"/>
      <c r="F1946" s="9"/>
      <c r="G1946" s="9"/>
      <c r="H1946" s="9"/>
      <c r="I1946" s="9"/>
      <c r="J1946" s="10"/>
      <c r="K1946" s="10"/>
      <c r="L1946" s="10"/>
      <c r="M1946" s="10"/>
      <c r="N1946" s="11"/>
      <c r="O1946" s="11"/>
      <c r="P1946" s="11"/>
      <c r="Q1946" s="11"/>
      <c r="R1946" s="10"/>
      <c r="S1946" s="10"/>
      <c r="T1946" s="10"/>
      <c r="U1946" s="10"/>
    </row>
    <row r="1947">
      <c r="A1947" s="8"/>
      <c r="B1947" s="9"/>
      <c r="C1947" s="9"/>
      <c r="D1947" s="9"/>
      <c r="E1947" s="9"/>
      <c r="F1947" s="9"/>
      <c r="G1947" s="9"/>
      <c r="H1947" s="9"/>
      <c r="I1947" s="9"/>
      <c r="J1947" s="10"/>
      <c r="K1947" s="10"/>
      <c r="L1947" s="10"/>
      <c r="M1947" s="10"/>
      <c r="N1947" s="11"/>
      <c r="O1947" s="11"/>
      <c r="P1947" s="11"/>
      <c r="Q1947" s="11"/>
      <c r="R1947" s="10"/>
      <c r="S1947" s="10"/>
      <c r="T1947" s="10"/>
      <c r="U1947" s="10"/>
    </row>
    <row r="1948">
      <c r="A1948" s="8"/>
      <c r="B1948" s="9"/>
      <c r="C1948" s="9"/>
      <c r="D1948" s="9"/>
      <c r="E1948" s="9"/>
      <c r="F1948" s="9"/>
      <c r="G1948" s="9"/>
      <c r="H1948" s="9"/>
      <c r="I1948" s="9"/>
      <c r="J1948" s="10"/>
      <c r="K1948" s="10"/>
      <c r="L1948" s="10"/>
      <c r="M1948" s="10"/>
      <c r="N1948" s="11"/>
      <c r="O1948" s="11"/>
      <c r="P1948" s="11"/>
      <c r="Q1948" s="11"/>
      <c r="R1948" s="10"/>
      <c r="S1948" s="10"/>
      <c r="T1948" s="10"/>
      <c r="U1948" s="10"/>
    </row>
    <row r="1949">
      <c r="A1949" s="8"/>
      <c r="B1949" s="9"/>
      <c r="C1949" s="9"/>
      <c r="D1949" s="9"/>
      <c r="E1949" s="9"/>
      <c r="F1949" s="9"/>
      <c r="G1949" s="9"/>
      <c r="H1949" s="9"/>
      <c r="I1949" s="9"/>
      <c r="J1949" s="10"/>
      <c r="K1949" s="10"/>
      <c r="L1949" s="10"/>
      <c r="M1949" s="10"/>
      <c r="N1949" s="11"/>
      <c r="O1949" s="11"/>
      <c r="P1949" s="11"/>
      <c r="Q1949" s="11"/>
      <c r="R1949" s="10"/>
      <c r="S1949" s="10"/>
      <c r="T1949" s="10"/>
      <c r="U1949" s="10"/>
    </row>
    <row r="1950">
      <c r="A1950" s="8"/>
      <c r="B1950" s="9"/>
      <c r="C1950" s="9"/>
      <c r="D1950" s="9"/>
      <c r="E1950" s="9"/>
      <c r="F1950" s="9"/>
      <c r="G1950" s="9"/>
      <c r="H1950" s="9"/>
      <c r="I1950" s="9"/>
      <c r="J1950" s="10"/>
      <c r="K1950" s="10"/>
      <c r="L1950" s="10"/>
      <c r="M1950" s="10"/>
      <c r="N1950" s="11"/>
      <c r="O1950" s="11"/>
      <c r="P1950" s="11"/>
      <c r="Q1950" s="11"/>
      <c r="R1950" s="10"/>
      <c r="S1950" s="10"/>
      <c r="T1950" s="10"/>
      <c r="U1950" s="10"/>
    </row>
    <row r="1951">
      <c r="A1951" s="8"/>
      <c r="B1951" s="9"/>
      <c r="C1951" s="9"/>
      <c r="D1951" s="9"/>
      <c r="E1951" s="9"/>
      <c r="F1951" s="9"/>
      <c r="G1951" s="9"/>
      <c r="H1951" s="9"/>
      <c r="I1951" s="9"/>
      <c r="J1951" s="10"/>
      <c r="K1951" s="10"/>
      <c r="L1951" s="10"/>
      <c r="M1951" s="10"/>
      <c r="N1951" s="11"/>
      <c r="O1951" s="11"/>
      <c r="P1951" s="11"/>
      <c r="Q1951" s="11"/>
      <c r="R1951" s="10"/>
      <c r="S1951" s="10"/>
      <c r="T1951" s="10"/>
      <c r="U1951" s="10"/>
    </row>
    <row r="1952">
      <c r="A1952" s="8"/>
      <c r="B1952" s="9"/>
      <c r="C1952" s="9"/>
      <c r="D1952" s="9"/>
      <c r="E1952" s="9"/>
      <c r="F1952" s="9"/>
      <c r="G1952" s="9"/>
      <c r="H1952" s="9"/>
      <c r="I1952" s="9"/>
      <c r="J1952" s="10"/>
      <c r="K1952" s="10"/>
      <c r="L1952" s="10"/>
      <c r="M1952" s="10"/>
      <c r="N1952" s="11"/>
      <c r="O1952" s="11"/>
      <c r="P1952" s="11"/>
      <c r="Q1952" s="11"/>
      <c r="R1952" s="10"/>
      <c r="S1952" s="10"/>
      <c r="T1952" s="10"/>
      <c r="U1952" s="10"/>
    </row>
    <row r="1953">
      <c r="A1953" s="8"/>
      <c r="B1953" s="9"/>
      <c r="C1953" s="9"/>
      <c r="D1953" s="9"/>
      <c r="E1953" s="9"/>
      <c r="F1953" s="9"/>
      <c r="G1953" s="9"/>
      <c r="H1953" s="9"/>
      <c r="I1953" s="9"/>
      <c r="J1953" s="10"/>
      <c r="K1953" s="10"/>
      <c r="L1953" s="10"/>
      <c r="M1953" s="10"/>
      <c r="N1953" s="11"/>
      <c r="O1953" s="11"/>
      <c r="P1953" s="11"/>
      <c r="Q1953" s="11"/>
      <c r="R1953" s="10"/>
      <c r="S1953" s="10"/>
      <c r="T1953" s="10"/>
      <c r="U1953" s="10"/>
    </row>
    <row r="1954">
      <c r="A1954" s="8"/>
      <c r="B1954" s="9"/>
      <c r="C1954" s="9"/>
      <c r="D1954" s="9"/>
      <c r="E1954" s="9"/>
      <c r="F1954" s="9"/>
      <c r="G1954" s="9"/>
      <c r="H1954" s="9"/>
      <c r="I1954" s="9"/>
      <c r="J1954" s="10"/>
      <c r="K1954" s="10"/>
      <c r="L1954" s="10"/>
      <c r="M1954" s="10"/>
      <c r="N1954" s="11"/>
      <c r="O1954" s="11"/>
      <c r="P1954" s="11"/>
      <c r="Q1954" s="11"/>
      <c r="R1954" s="10"/>
      <c r="S1954" s="10"/>
      <c r="T1954" s="10"/>
      <c r="U1954" s="10"/>
    </row>
    <row r="1955">
      <c r="A1955" s="8"/>
      <c r="B1955" s="9"/>
      <c r="C1955" s="9"/>
      <c r="D1955" s="9"/>
      <c r="E1955" s="9"/>
      <c r="F1955" s="9"/>
      <c r="G1955" s="9"/>
      <c r="H1955" s="9"/>
      <c r="I1955" s="9"/>
      <c r="J1955" s="10"/>
      <c r="K1955" s="10"/>
      <c r="L1955" s="10"/>
      <c r="M1955" s="10"/>
      <c r="N1955" s="11"/>
      <c r="O1955" s="11"/>
      <c r="P1955" s="11"/>
      <c r="Q1955" s="11"/>
      <c r="R1955" s="10"/>
      <c r="S1955" s="10"/>
      <c r="T1955" s="10"/>
      <c r="U1955" s="10"/>
    </row>
    <row r="1956">
      <c r="A1956" s="8"/>
      <c r="B1956" s="9"/>
      <c r="C1956" s="9"/>
      <c r="D1956" s="9"/>
      <c r="E1956" s="9"/>
      <c r="F1956" s="9"/>
      <c r="G1956" s="9"/>
      <c r="H1956" s="9"/>
      <c r="I1956" s="9"/>
      <c r="J1956" s="10"/>
      <c r="K1956" s="10"/>
      <c r="L1956" s="10"/>
      <c r="M1956" s="10"/>
      <c r="N1956" s="11"/>
      <c r="O1956" s="11"/>
      <c r="P1956" s="11"/>
      <c r="Q1956" s="11"/>
      <c r="R1956" s="10"/>
      <c r="S1956" s="10"/>
      <c r="T1956" s="10"/>
      <c r="U1956" s="10"/>
    </row>
    <row r="1957">
      <c r="A1957" s="8"/>
      <c r="B1957" s="9"/>
      <c r="C1957" s="9"/>
      <c r="D1957" s="9"/>
      <c r="E1957" s="9"/>
      <c r="F1957" s="9"/>
      <c r="G1957" s="9"/>
      <c r="H1957" s="9"/>
      <c r="I1957" s="9"/>
      <c r="J1957" s="10"/>
      <c r="K1957" s="10"/>
      <c r="L1957" s="10"/>
      <c r="M1957" s="10"/>
      <c r="N1957" s="11"/>
      <c r="O1957" s="11"/>
      <c r="P1957" s="11"/>
      <c r="Q1957" s="11"/>
      <c r="R1957" s="10"/>
      <c r="S1957" s="10"/>
      <c r="T1957" s="10"/>
      <c r="U1957" s="10"/>
    </row>
    <row r="1958">
      <c r="A1958" s="8"/>
      <c r="B1958" s="9"/>
      <c r="C1958" s="9"/>
      <c r="D1958" s="9"/>
      <c r="E1958" s="9"/>
      <c r="F1958" s="9"/>
      <c r="G1958" s="9"/>
      <c r="H1958" s="9"/>
      <c r="I1958" s="9"/>
      <c r="J1958" s="10"/>
      <c r="K1958" s="10"/>
      <c r="L1958" s="10"/>
      <c r="M1958" s="10"/>
      <c r="N1958" s="11"/>
      <c r="O1958" s="11"/>
      <c r="P1958" s="11"/>
      <c r="Q1958" s="11"/>
      <c r="R1958" s="10"/>
      <c r="S1958" s="10"/>
      <c r="T1958" s="10"/>
      <c r="U1958" s="10"/>
    </row>
    <row r="1959">
      <c r="A1959" s="8"/>
      <c r="B1959" s="9"/>
      <c r="C1959" s="9"/>
      <c r="D1959" s="9"/>
      <c r="E1959" s="9"/>
      <c r="F1959" s="9"/>
      <c r="G1959" s="9"/>
      <c r="H1959" s="9"/>
      <c r="I1959" s="9"/>
      <c r="J1959" s="10"/>
      <c r="K1959" s="10"/>
      <c r="L1959" s="10"/>
      <c r="M1959" s="10"/>
      <c r="N1959" s="11"/>
      <c r="O1959" s="11"/>
      <c r="P1959" s="11"/>
      <c r="Q1959" s="11"/>
      <c r="R1959" s="10"/>
      <c r="S1959" s="10"/>
      <c r="T1959" s="10"/>
      <c r="U1959" s="10"/>
    </row>
    <row r="1960">
      <c r="A1960" s="8"/>
      <c r="B1960" s="9"/>
      <c r="C1960" s="9"/>
      <c r="D1960" s="9"/>
      <c r="E1960" s="9"/>
      <c r="F1960" s="9"/>
      <c r="G1960" s="9"/>
      <c r="H1960" s="9"/>
      <c r="I1960" s="9"/>
      <c r="J1960" s="10"/>
      <c r="K1960" s="10"/>
      <c r="L1960" s="10"/>
      <c r="M1960" s="10"/>
      <c r="N1960" s="11"/>
      <c r="O1960" s="11"/>
      <c r="P1960" s="11"/>
      <c r="Q1960" s="11"/>
      <c r="R1960" s="10"/>
      <c r="S1960" s="10"/>
      <c r="T1960" s="10"/>
      <c r="U1960" s="10"/>
    </row>
    <row r="1961">
      <c r="A1961" s="8"/>
      <c r="B1961" s="9"/>
      <c r="C1961" s="9"/>
      <c r="D1961" s="9"/>
      <c r="E1961" s="9"/>
      <c r="F1961" s="9"/>
      <c r="G1961" s="9"/>
      <c r="H1961" s="9"/>
      <c r="I1961" s="9"/>
      <c r="J1961" s="10"/>
      <c r="K1961" s="10"/>
      <c r="L1961" s="10"/>
      <c r="M1961" s="10"/>
      <c r="N1961" s="11"/>
      <c r="O1961" s="11"/>
      <c r="P1961" s="11"/>
      <c r="Q1961" s="11"/>
      <c r="R1961" s="10"/>
      <c r="S1961" s="10"/>
      <c r="T1961" s="10"/>
      <c r="U1961" s="10"/>
    </row>
    <row r="1962">
      <c r="A1962" s="8"/>
      <c r="B1962" s="9"/>
      <c r="C1962" s="9"/>
      <c r="D1962" s="9"/>
      <c r="E1962" s="9"/>
      <c r="F1962" s="9"/>
      <c r="G1962" s="9"/>
      <c r="H1962" s="9"/>
      <c r="I1962" s="9"/>
      <c r="J1962" s="10"/>
      <c r="K1962" s="10"/>
      <c r="L1962" s="10"/>
      <c r="M1962" s="10"/>
      <c r="N1962" s="11"/>
      <c r="O1962" s="11"/>
      <c r="P1962" s="11"/>
      <c r="Q1962" s="11"/>
      <c r="R1962" s="10"/>
      <c r="S1962" s="10"/>
      <c r="T1962" s="10"/>
      <c r="U1962" s="10"/>
    </row>
    <row r="1963">
      <c r="A1963" s="8"/>
      <c r="B1963" s="9"/>
      <c r="C1963" s="9"/>
      <c r="D1963" s="9"/>
      <c r="E1963" s="9"/>
      <c r="F1963" s="9"/>
      <c r="G1963" s="9"/>
      <c r="H1963" s="9"/>
      <c r="I1963" s="9"/>
      <c r="J1963" s="10"/>
      <c r="K1963" s="10"/>
      <c r="L1963" s="10"/>
      <c r="M1963" s="10"/>
      <c r="N1963" s="11"/>
      <c r="O1963" s="11"/>
      <c r="P1963" s="11"/>
      <c r="Q1963" s="11"/>
      <c r="R1963" s="10"/>
      <c r="S1963" s="10"/>
      <c r="T1963" s="10"/>
      <c r="U1963" s="10"/>
    </row>
    <row r="1964">
      <c r="A1964" s="8"/>
      <c r="B1964" s="9"/>
      <c r="C1964" s="9"/>
      <c r="D1964" s="9"/>
      <c r="E1964" s="9"/>
      <c r="F1964" s="9"/>
      <c r="G1964" s="9"/>
      <c r="H1964" s="9"/>
      <c r="I1964" s="9"/>
      <c r="J1964" s="10"/>
      <c r="K1964" s="10"/>
      <c r="L1964" s="10"/>
      <c r="M1964" s="10"/>
      <c r="N1964" s="11"/>
      <c r="O1964" s="11"/>
      <c r="P1964" s="11"/>
      <c r="Q1964" s="11"/>
      <c r="R1964" s="10"/>
      <c r="S1964" s="10"/>
      <c r="T1964" s="10"/>
      <c r="U1964" s="10"/>
    </row>
    <row r="1965">
      <c r="A1965" s="8"/>
      <c r="B1965" s="9"/>
      <c r="C1965" s="9"/>
      <c r="D1965" s="9"/>
      <c r="E1965" s="9"/>
      <c r="F1965" s="9"/>
      <c r="G1965" s="9"/>
      <c r="H1965" s="9"/>
      <c r="I1965" s="9"/>
      <c r="J1965" s="10"/>
      <c r="K1965" s="10"/>
      <c r="L1965" s="10"/>
      <c r="M1965" s="10"/>
      <c r="N1965" s="11"/>
      <c r="O1965" s="11"/>
      <c r="P1965" s="11"/>
      <c r="Q1965" s="11"/>
      <c r="R1965" s="10"/>
      <c r="S1965" s="10"/>
      <c r="T1965" s="10"/>
      <c r="U1965" s="10"/>
    </row>
    <row r="1966">
      <c r="A1966" s="8"/>
      <c r="B1966" s="9"/>
      <c r="C1966" s="9"/>
      <c r="D1966" s="9"/>
      <c r="E1966" s="9"/>
      <c r="F1966" s="9"/>
      <c r="G1966" s="9"/>
      <c r="H1966" s="9"/>
      <c r="I1966" s="9"/>
      <c r="J1966" s="10"/>
      <c r="K1966" s="10"/>
      <c r="L1966" s="10"/>
      <c r="M1966" s="10"/>
      <c r="N1966" s="11"/>
      <c r="O1966" s="11"/>
      <c r="P1966" s="11"/>
      <c r="Q1966" s="11"/>
      <c r="R1966" s="10"/>
      <c r="S1966" s="10"/>
      <c r="T1966" s="10"/>
      <c r="U1966" s="10"/>
    </row>
    <row r="1967">
      <c r="A1967" s="8"/>
      <c r="B1967" s="9"/>
      <c r="C1967" s="9"/>
      <c r="D1967" s="9"/>
      <c r="E1967" s="9"/>
      <c r="F1967" s="9"/>
      <c r="G1967" s="9"/>
      <c r="H1967" s="9"/>
      <c r="I1967" s="9"/>
      <c r="J1967" s="10"/>
      <c r="K1967" s="10"/>
      <c r="L1967" s="10"/>
      <c r="M1967" s="10"/>
      <c r="N1967" s="11"/>
      <c r="O1967" s="11"/>
      <c r="P1967" s="11"/>
      <c r="Q1967" s="11"/>
      <c r="R1967" s="10"/>
      <c r="S1967" s="10"/>
      <c r="T1967" s="10"/>
      <c r="U1967" s="10"/>
    </row>
    <row r="1968">
      <c r="A1968" s="8"/>
      <c r="B1968" s="9"/>
      <c r="C1968" s="9"/>
      <c r="D1968" s="9"/>
      <c r="E1968" s="9"/>
      <c r="F1968" s="9"/>
      <c r="G1968" s="9"/>
      <c r="H1968" s="9"/>
      <c r="I1968" s="9"/>
      <c r="J1968" s="10"/>
      <c r="K1968" s="10"/>
      <c r="L1968" s="10"/>
      <c r="M1968" s="10"/>
      <c r="N1968" s="11"/>
      <c r="O1968" s="11"/>
      <c r="P1968" s="11"/>
      <c r="Q1968" s="11"/>
      <c r="R1968" s="10"/>
      <c r="S1968" s="10"/>
      <c r="T1968" s="10"/>
      <c r="U1968" s="10"/>
    </row>
    <row r="1969">
      <c r="A1969" s="8"/>
      <c r="B1969" s="9"/>
      <c r="C1969" s="9"/>
      <c r="D1969" s="9"/>
      <c r="E1969" s="9"/>
      <c r="F1969" s="9"/>
      <c r="G1969" s="9"/>
      <c r="H1969" s="9"/>
      <c r="I1969" s="9"/>
      <c r="J1969" s="10"/>
      <c r="K1969" s="10"/>
      <c r="L1969" s="10"/>
      <c r="M1969" s="10"/>
      <c r="N1969" s="11"/>
      <c r="O1969" s="11"/>
      <c r="P1969" s="11"/>
      <c r="Q1969" s="11"/>
      <c r="R1969" s="10"/>
      <c r="S1969" s="10"/>
      <c r="T1969" s="10"/>
      <c r="U1969" s="10"/>
    </row>
    <row r="1970">
      <c r="A1970" s="8"/>
      <c r="B1970" s="9"/>
      <c r="C1970" s="9"/>
      <c r="D1970" s="9"/>
      <c r="E1970" s="9"/>
      <c r="F1970" s="9"/>
      <c r="G1970" s="9"/>
      <c r="H1970" s="9"/>
      <c r="I1970" s="9"/>
      <c r="J1970" s="10"/>
      <c r="K1970" s="10"/>
      <c r="L1970" s="10"/>
      <c r="M1970" s="10"/>
      <c r="N1970" s="11"/>
      <c r="O1970" s="11"/>
      <c r="P1970" s="11"/>
      <c r="Q1970" s="11"/>
      <c r="R1970" s="10"/>
      <c r="S1970" s="10"/>
      <c r="T1970" s="10"/>
      <c r="U1970" s="10"/>
    </row>
    <row r="1971">
      <c r="A1971" s="8"/>
      <c r="B1971" s="9"/>
      <c r="C1971" s="9"/>
      <c r="D1971" s="9"/>
      <c r="E1971" s="9"/>
      <c r="F1971" s="9"/>
      <c r="G1971" s="9"/>
      <c r="H1971" s="9"/>
      <c r="I1971" s="9"/>
      <c r="J1971" s="10"/>
      <c r="K1971" s="10"/>
      <c r="L1971" s="10"/>
      <c r="M1971" s="10"/>
      <c r="N1971" s="11"/>
      <c r="O1971" s="11"/>
      <c r="P1971" s="11"/>
      <c r="Q1971" s="11"/>
      <c r="R1971" s="10"/>
      <c r="S1971" s="10"/>
      <c r="T1971" s="10"/>
      <c r="U1971" s="10"/>
    </row>
    <row r="1972">
      <c r="A1972" s="8"/>
      <c r="B1972" s="9"/>
      <c r="C1972" s="9"/>
      <c r="D1972" s="9"/>
      <c r="E1972" s="9"/>
      <c r="F1972" s="9"/>
      <c r="G1972" s="9"/>
      <c r="H1972" s="9"/>
      <c r="I1972" s="9"/>
      <c r="J1972" s="10"/>
      <c r="K1972" s="10"/>
      <c r="L1972" s="10"/>
      <c r="M1972" s="10"/>
      <c r="N1972" s="11"/>
      <c r="O1972" s="11"/>
      <c r="P1972" s="11"/>
      <c r="Q1972" s="11"/>
      <c r="R1972" s="10"/>
      <c r="S1972" s="10"/>
      <c r="T1972" s="10"/>
      <c r="U1972" s="10"/>
    </row>
    <row r="1973">
      <c r="A1973" s="8"/>
      <c r="B1973" s="9"/>
      <c r="C1973" s="9"/>
      <c r="D1973" s="9"/>
      <c r="E1973" s="9"/>
      <c r="F1973" s="9"/>
      <c r="G1973" s="9"/>
      <c r="H1973" s="9"/>
      <c r="I1973" s="9"/>
      <c r="J1973" s="10"/>
      <c r="K1973" s="10"/>
      <c r="L1973" s="10"/>
      <c r="M1973" s="10"/>
      <c r="N1973" s="11"/>
      <c r="O1973" s="11"/>
      <c r="P1973" s="11"/>
      <c r="Q1973" s="11"/>
      <c r="R1973" s="10"/>
      <c r="S1973" s="10"/>
      <c r="T1973" s="10"/>
      <c r="U1973" s="10"/>
    </row>
    <row r="1974">
      <c r="A1974" s="8"/>
      <c r="B1974" s="9"/>
      <c r="C1974" s="9"/>
      <c r="D1974" s="9"/>
      <c r="E1974" s="9"/>
      <c r="F1974" s="9"/>
      <c r="G1974" s="9"/>
      <c r="H1974" s="9"/>
      <c r="I1974" s="9"/>
      <c r="J1974" s="10"/>
      <c r="K1974" s="10"/>
      <c r="L1974" s="10"/>
      <c r="M1974" s="10"/>
      <c r="N1974" s="11"/>
      <c r="O1974" s="11"/>
      <c r="P1974" s="11"/>
      <c r="Q1974" s="11"/>
      <c r="R1974" s="10"/>
      <c r="S1974" s="10"/>
      <c r="T1974" s="10"/>
      <c r="U1974" s="10"/>
    </row>
    <row r="1975">
      <c r="A1975" s="8"/>
      <c r="B1975" s="9"/>
      <c r="C1975" s="9"/>
      <c r="D1975" s="9"/>
      <c r="E1975" s="9"/>
      <c r="F1975" s="9"/>
      <c r="G1975" s="9"/>
      <c r="H1975" s="9"/>
      <c r="I1975" s="9"/>
      <c r="J1975" s="10"/>
      <c r="K1975" s="10"/>
      <c r="L1975" s="10"/>
      <c r="M1975" s="10"/>
      <c r="N1975" s="11"/>
      <c r="O1975" s="11"/>
      <c r="P1975" s="11"/>
      <c r="Q1975" s="11"/>
      <c r="R1975" s="10"/>
      <c r="S1975" s="10"/>
      <c r="T1975" s="10"/>
      <c r="U1975" s="10"/>
    </row>
    <row r="1976">
      <c r="A1976" s="8"/>
      <c r="B1976" s="9"/>
      <c r="C1976" s="9"/>
      <c r="D1976" s="9"/>
      <c r="E1976" s="9"/>
      <c r="F1976" s="9"/>
      <c r="G1976" s="9"/>
      <c r="H1976" s="9"/>
      <c r="I1976" s="9"/>
      <c r="J1976" s="10"/>
      <c r="K1976" s="10"/>
      <c r="L1976" s="10"/>
      <c r="M1976" s="10"/>
      <c r="N1976" s="11"/>
      <c r="O1976" s="11"/>
      <c r="P1976" s="11"/>
      <c r="Q1976" s="11"/>
      <c r="R1976" s="10"/>
      <c r="S1976" s="10"/>
      <c r="T1976" s="10"/>
      <c r="U1976" s="10"/>
    </row>
    <row r="1977">
      <c r="A1977" s="8"/>
      <c r="B1977" s="9"/>
      <c r="C1977" s="9"/>
      <c r="D1977" s="9"/>
      <c r="E1977" s="9"/>
      <c r="F1977" s="9"/>
      <c r="G1977" s="9"/>
      <c r="H1977" s="9"/>
      <c r="I1977" s="9"/>
      <c r="J1977" s="10"/>
      <c r="K1977" s="10"/>
      <c r="L1977" s="10"/>
      <c r="M1977" s="10"/>
      <c r="N1977" s="11"/>
      <c r="O1977" s="11"/>
      <c r="P1977" s="11"/>
      <c r="Q1977" s="11"/>
      <c r="R1977" s="10"/>
      <c r="S1977" s="10"/>
      <c r="T1977" s="10"/>
      <c r="U1977" s="10"/>
    </row>
    <row r="1978">
      <c r="A1978" s="8"/>
      <c r="B1978" s="9"/>
      <c r="C1978" s="9"/>
      <c r="D1978" s="9"/>
      <c r="E1978" s="9"/>
      <c r="F1978" s="9"/>
      <c r="G1978" s="9"/>
      <c r="H1978" s="9"/>
      <c r="I1978" s="9"/>
      <c r="J1978" s="10"/>
      <c r="K1978" s="10"/>
      <c r="L1978" s="10"/>
      <c r="M1978" s="10"/>
      <c r="N1978" s="11"/>
      <c r="O1978" s="11"/>
      <c r="P1978" s="11"/>
      <c r="Q1978" s="11"/>
      <c r="R1978" s="10"/>
      <c r="S1978" s="10"/>
      <c r="T1978" s="10"/>
      <c r="U1978" s="10"/>
    </row>
    <row r="1979">
      <c r="A1979" s="8"/>
      <c r="B1979" s="9"/>
      <c r="C1979" s="9"/>
      <c r="D1979" s="9"/>
      <c r="E1979" s="9"/>
      <c r="F1979" s="9"/>
      <c r="G1979" s="9"/>
      <c r="H1979" s="9"/>
      <c r="I1979" s="9"/>
      <c r="J1979" s="10"/>
      <c r="K1979" s="10"/>
      <c r="L1979" s="10"/>
      <c r="M1979" s="10"/>
      <c r="N1979" s="11"/>
      <c r="O1979" s="11"/>
      <c r="P1979" s="11"/>
      <c r="Q1979" s="11"/>
      <c r="R1979" s="10"/>
      <c r="S1979" s="10"/>
      <c r="T1979" s="10"/>
      <c r="U1979" s="10"/>
    </row>
    <row r="1980">
      <c r="A1980" s="8"/>
      <c r="B1980" s="9"/>
      <c r="C1980" s="9"/>
      <c r="D1980" s="9"/>
      <c r="E1980" s="9"/>
      <c r="F1980" s="9"/>
      <c r="G1980" s="9"/>
      <c r="H1980" s="9"/>
      <c r="I1980" s="9"/>
      <c r="J1980" s="10"/>
      <c r="K1980" s="10"/>
      <c r="L1980" s="10"/>
      <c r="M1980" s="10"/>
      <c r="N1980" s="11"/>
      <c r="O1980" s="11"/>
      <c r="P1980" s="11"/>
      <c r="Q1980" s="11"/>
      <c r="R1980" s="10"/>
      <c r="S1980" s="10"/>
      <c r="T1980" s="10"/>
      <c r="U1980" s="10"/>
    </row>
    <row r="1981">
      <c r="A1981" s="8"/>
      <c r="B1981" s="9"/>
      <c r="C1981" s="9"/>
      <c r="D1981" s="9"/>
      <c r="E1981" s="9"/>
      <c r="F1981" s="9"/>
      <c r="G1981" s="9"/>
      <c r="H1981" s="9"/>
      <c r="I1981" s="9"/>
      <c r="J1981" s="10"/>
      <c r="K1981" s="10"/>
      <c r="L1981" s="10"/>
      <c r="M1981" s="10"/>
      <c r="N1981" s="11"/>
      <c r="O1981" s="11"/>
      <c r="P1981" s="11"/>
      <c r="Q1981" s="11"/>
      <c r="R1981" s="10"/>
      <c r="S1981" s="10"/>
      <c r="T1981" s="10"/>
      <c r="U1981" s="10"/>
    </row>
    <row r="1982">
      <c r="A1982" s="8"/>
      <c r="B1982" s="9"/>
      <c r="C1982" s="9"/>
      <c r="D1982" s="9"/>
      <c r="E1982" s="9"/>
      <c r="F1982" s="9"/>
      <c r="G1982" s="9"/>
      <c r="H1982" s="9"/>
      <c r="I1982" s="9"/>
      <c r="J1982" s="10"/>
      <c r="K1982" s="10"/>
      <c r="L1982" s="10"/>
      <c r="M1982" s="10"/>
      <c r="N1982" s="11"/>
      <c r="O1982" s="11"/>
      <c r="P1982" s="11"/>
      <c r="Q1982" s="11"/>
      <c r="R1982" s="10"/>
      <c r="S1982" s="10"/>
      <c r="T1982" s="10"/>
      <c r="U1982" s="10"/>
    </row>
    <row r="1983">
      <c r="A1983" s="8"/>
      <c r="B1983" s="9"/>
      <c r="C1983" s="9"/>
      <c r="D1983" s="9"/>
      <c r="E1983" s="9"/>
      <c r="F1983" s="9"/>
      <c r="G1983" s="9"/>
      <c r="H1983" s="9"/>
      <c r="I1983" s="9"/>
      <c r="J1983" s="10"/>
      <c r="K1983" s="10"/>
      <c r="L1983" s="10"/>
      <c r="M1983" s="10"/>
      <c r="N1983" s="11"/>
      <c r="O1983" s="11"/>
      <c r="P1983" s="11"/>
      <c r="Q1983" s="11"/>
      <c r="R1983" s="10"/>
      <c r="S1983" s="10"/>
      <c r="T1983" s="10"/>
      <c r="U1983" s="10"/>
    </row>
    <row r="1984">
      <c r="A1984" s="8"/>
      <c r="B1984" s="9"/>
      <c r="C1984" s="9"/>
      <c r="D1984" s="9"/>
      <c r="E1984" s="9"/>
      <c r="F1984" s="9"/>
      <c r="G1984" s="9"/>
      <c r="H1984" s="9"/>
      <c r="I1984" s="9"/>
      <c r="J1984" s="10"/>
      <c r="K1984" s="10"/>
      <c r="L1984" s="10"/>
      <c r="M1984" s="10"/>
      <c r="N1984" s="11"/>
      <c r="O1984" s="11"/>
      <c r="P1984" s="11"/>
      <c r="Q1984" s="11"/>
      <c r="R1984" s="10"/>
      <c r="S1984" s="10"/>
      <c r="T1984" s="10"/>
      <c r="U1984" s="10"/>
    </row>
    <row r="1985">
      <c r="A1985" s="8"/>
      <c r="B1985" s="9"/>
      <c r="C1985" s="9"/>
      <c r="D1985" s="9"/>
      <c r="E1985" s="9"/>
      <c r="F1985" s="9"/>
      <c r="G1985" s="9"/>
      <c r="H1985" s="9"/>
      <c r="I1985" s="9"/>
      <c r="J1985" s="10"/>
      <c r="K1985" s="10"/>
      <c r="L1985" s="10"/>
      <c r="M1985" s="10"/>
      <c r="N1985" s="11"/>
      <c r="O1985" s="11"/>
      <c r="P1985" s="11"/>
      <c r="Q1985" s="11"/>
      <c r="R1985" s="10"/>
      <c r="S1985" s="10"/>
      <c r="T1985" s="10"/>
      <c r="U1985" s="10"/>
    </row>
    <row r="1986">
      <c r="A1986" s="8"/>
      <c r="B1986" s="9"/>
      <c r="C1986" s="9"/>
      <c r="D1986" s="9"/>
      <c r="E1986" s="9"/>
      <c r="F1986" s="9"/>
      <c r="G1986" s="9"/>
      <c r="H1986" s="9"/>
      <c r="I1986" s="9"/>
      <c r="J1986" s="10"/>
      <c r="K1986" s="10"/>
      <c r="L1986" s="10"/>
      <c r="M1986" s="10"/>
      <c r="N1986" s="11"/>
      <c r="O1986" s="11"/>
      <c r="P1986" s="11"/>
      <c r="Q1986" s="11"/>
      <c r="R1986" s="10"/>
      <c r="S1986" s="10"/>
      <c r="T1986" s="10"/>
      <c r="U1986" s="10"/>
    </row>
    <row r="1987">
      <c r="A1987" s="8"/>
      <c r="B1987" s="9"/>
      <c r="C1987" s="9"/>
      <c r="D1987" s="9"/>
      <c r="E1987" s="9"/>
      <c r="F1987" s="9"/>
      <c r="G1987" s="9"/>
      <c r="H1987" s="9"/>
      <c r="I1987" s="9"/>
      <c r="J1987" s="10"/>
      <c r="K1987" s="10"/>
      <c r="L1987" s="10"/>
      <c r="M1987" s="10"/>
      <c r="N1987" s="11"/>
      <c r="O1987" s="11"/>
      <c r="P1987" s="11"/>
      <c r="Q1987" s="11"/>
      <c r="R1987" s="10"/>
      <c r="S1987" s="10"/>
      <c r="T1987" s="10"/>
      <c r="U1987" s="10"/>
    </row>
    <row r="1988">
      <c r="A1988" s="8"/>
      <c r="B1988" s="9"/>
      <c r="C1988" s="9"/>
      <c r="D1988" s="9"/>
      <c r="E1988" s="9"/>
      <c r="F1988" s="9"/>
      <c r="G1988" s="9"/>
      <c r="H1988" s="9"/>
      <c r="I1988" s="9"/>
      <c r="J1988" s="10"/>
      <c r="K1988" s="10"/>
      <c r="L1988" s="10"/>
      <c r="M1988" s="10"/>
      <c r="N1988" s="11"/>
      <c r="O1988" s="11"/>
      <c r="P1988" s="11"/>
      <c r="Q1988" s="11"/>
      <c r="R1988" s="10"/>
      <c r="S1988" s="10"/>
      <c r="T1988" s="10"/>
      <c r="U1988" s="10"/>
    </row>
    <row r="1989">
      <c r="A1989" s="8"/>
      <c r="B1989" s="9"/>
      <c r="C1989" s="9"/>
      <c r="D1989" s="9"/>
      <c r="E1989" s="9"/>
      <c r="F1989" s="9"/>
      <c r="G1989" s="9"/>
      <c r="H1989" s="9"/>
      <c r="I1989" s="9"/>
      <c r="J1989" s="10"/>
      <c r="K1989" s="10"/>
      <c r="L1989" s="10"/>
      <c r="M1989" s="10"/>
      <c r="N1989" s="11"/>
      <c r="O1989" s="11"/>
      <c r="P1989" s="11"/>
      <c r="Q1989" s="11"/>
      <c r="R1989" s="10"/>
      <c r="S1989" s="10"/>
      <c r="T1989" s="10"/>
      <c r="U1989" s="10"/>
    </row>
    <row r="1990">
      <c r="A1990" s="8"/>
      <c r="B1990" s="9"/>
      <c r="C1990" s="9"/>
      <c r="D1990" s="9"/>
      <c r="E1990" s="9"/>
      <c r="F1990" s="9"/>
      <c r="G1990" s="9"/>
      <c r="H1990" s="9"/>
      <c r="I1990" s="9"/>
      <c r="J1990" s="10"/>
      <c r="K1990" s="10"/>
      <c r="L1990" s="10"/>
      <c r="M1990" s="10"/>
      <c r="N1990" s="11"/>
      <c r="O1990" s="11"/>
      <c r="P1990" s="11"/>
      <c r="Q1990" s="11"/>
      <c r="R1990" s="10"/>
      <c r="S1990" s="10"/>
      <c r="T1990" s="10"/>
      <c r="U1990" s="10"/>
    </row>
    <row r="1991">
      <c r="A1991" s="8"/>
      <c r="B1991" s="9"/>
      <c r="C1991" s="9"/>
      <c r="D1991" s="9"/>
      <c r="E1991" s="9"/>
      <c r="F1991" s="9"/>
      <c r="G1991" s="9"/>
      <c r="H1991" s="9"/>
      <c r="I1991" s="9"/>
      <c r="J1991" s="10"/>
      <c r="K1991" s="10"/>
      <c r="L1991" s="10"/>
      <c r="M1991" s="10"/>
      <c r="N1991" s="11"/>
      <c r="O1991" s="11"/>
      <c r="P1991" s="11"/>
      <c r="Q1991" s="11"/>
      <c r="R1991" s="10"/>
      <c r="S1991" s="10"/>
      <c r="T1991" s="10"/>
      <c r="U1991" s="10"/>
    </row>
    <row r="1992">
      <c r="A1992" s="8"/>
      <c r="B1992" s="9"/>
      <c r="C1992" s="9"/>
      <c r="D1992" s="9"/>
      <c r="E1992" s="9"/>
      <c r="F1992" s="9"/>
      <c r="G1992" s="9"/>
      <c r="H1992" s="9"/>
      <c r="I1992" s="9"/>
      <c r="J1992" s="10"/>
      <c r="K1992" s="10"/>
      <c r="L1992" s="10"/>
      <c r="M1992" s="10"/>
      <c r="N1992" s="11"/>
      <c r="O1992" s="11"/>
      <c r="P1992" s="11"/>
      <c r="Q1992" s="11"/>
      <c r="R1992" s="10"/>
      <c r="S1992" s="10"/>
      <c r="T1992" s="10"/>
      <c r="U1992" s="10"/>
    </row>
    <row r="1993">
      <c r="A1993" s="8"/>
      <c r="B1993" s="9"/>
      <c r="C1993" s="9"/>
      <c r="D1993" s="9"/>
      <c r="E1993" s="9"/>
      <c r="F1993" s="9"/>
      <c r="G1993" s="9"/>
      <c r="H1993" s="9"/>
      <c r="I1993" s="9"/>
      <c r="J1993" s="10"/>
      <c r="K1993" s="10"/>
      <c r="L1993" s="10"/>
      <c r="M1993" s="10"/>
      <c r="N1993" s="11"/>
      <c r="O1993" s="11"/>
      <c r="P1993" s="11"/>
      <c r="Q1993" s="11"/>
      <c r="R1993" s="10"/>
      <c r="S1993" s="10"/>
      <c r="T1993" s="10"/>
      <c r="U1993" s="10"/>
    </row>
    <row r="1994">
      <c r="A1994" s="8"/>
      <c r="B1994" s="9"/>
      <c r="C1994" s="9"/>
      <c r="D1994" s="9"/>
      <c r="E1994" s="9"/>
      <c r="F1994" s="9"/>
      <c r="G1994" s="9"/>
      <c r="H1994" s="9"/>
      <c r="I1994" s="9"/>
      <c r="J1994" s="10"/>
      <c r="K1994" s="10"/>
      <c r="L1994" s="10"/>
      <c r="M1994" s="10"/>
      <c r="N1994" s="11"/>
      <c r="O1994" s="11"/>
      <c r="P1994" s="11"/>
      <c r="Q1994" s="11"/>
      <c r="R1994" s="10"/>
      <c r="S1994" s="10"/>
      <c r="T1994" s="10"/>
      <c r="U1994" s="10"/>
    </row>
    <row r="1995">
      <c r="A1995" s="8"/>
      <c r="B1995" s="9"/>
      <c r="C1995" s="9"/>
      <c r="D1995" s="9"/>
      <c r="E1995" s="9"/>
      <c r="F1995" s="9"/>
      <c r="G1995" s="9"/>
      <c r="H1995" s="9"/>
      <c r="I1995" s="9"/>
      <c r="J1995" s="10"/>
      <c r="K1995" s="10"/>
      <c r="L1995" s="10"/>
      <c r="M1995" s="10"/>
      <c r="N1995" s="11"/>
      <c r="O1995" s="11"/>
      <c r="P1995" s="11"/>
      <c r="Q1995" s="11"/>
      <c r="R1995" s="10"/>
      <c r="S1995" s="10"/>
      <c r="T1995" s="10"/>
      <c r="U1995" s="10"/>
    </row>
    <row r="1996">
      <c r="A1996" s="8"/>
      <c r="B1996" s="9"/>
      <c r="C1996" s="9"/>
      <c r="D1996" s="9"/>
      <c r="E1996" s="9"/>
      <c r="F1996" s="9"/>
      <c r="G1996" s="9"/>
      <c r="H1996" s="9"/>
      <c r="I1996" s="9"/>
      <c r="J1996" s="10"/>
      <c r="K1996" s="10"/>
      <c r="L1996" s="10"/>
      <c r="M1996" s="10"/>
      <c r="N1996" s="11"/>
      <c r="O1996" s="11"/>
      <c r="P1996" s="11"/>
      <c r="Q1996" s="11"/>
      <c r="R1996" s="10"/>
      <c r="S1996" s="10"/>
      <c r="T1996" s="10"/>
      <c r="U1996" s="10"/>
    </row>
    <row r="1997">
      <c r="A1997" s="8"/>
      <c r="B1997" s="9"/>
      <c r="C1997" s="9"/>
      <c r="D1997" s="9"/>
      <c r="E1997" s="9"/>
      <c r="F1997" s="9"/>
      <c r="G1997" s="9"/>
      <c r="H1997" s="9"/>
      <c r="I1997" s="9"/>
      <c r="J1997" s="10"/>
      <c r="K1997" s="10"/>
      <c r="L1997" s="10"/>
      <c r="M1997" s="10"/>
      <c r="N1997" s="11"/>
      <c r="O1997" s="11"/>
      <c r="P1997" s="11"/>
      <c r="Q1997" s="11"/>
      <c r="R1997" s="10"/>
      <c r="S1997" s="10"/>
      <c r="T1997" s="10"/>
      <c r="U1997" s="10"/>
    </row>
    <row r="1998">
      <c r="A1998" s="8"/>
      <c r="B1998" s="9"/>
      <c r="C1998" s="9"/>
      <c r="D1998" s="9"/>
      <c r="E1998" s="9"/>
      <c r="F1998" s="9"/>
      <c r="G1998" s="9"/>
      <c r="H1998" s="9"/>
      <c r="I1998" s="9"/>
      <c r="J1998" s="10"/>
      <c r="K1998" s="10"/>
      <c r="L1998" s="10"/>
      <c r="M1998" s="10"/>
      <c r="N1998" s="11"/>
      <c r="O1998" s="11"/>
      <c r="P1998" s="11"/>
      <c r="Q1998" s="11"/>
      <c r="R1998" s="10"/>
      <c r="S1998" s="10"/>
      <c r="T1998" s="10"/>
      <c r="U1998" s="10"/>
    </row>
    <row r="1999">
      <c r="A1999" s="8"/>
      <c r="B1999" s="9"/>
      <c r="C1999" s="9"/>
      <c r="D1999" s="9"/>
      <c r="E1999" s="9"/>
      <c r="F1999" s="9"/>
      <c r="G1999" s="9"/>
      <c r="H1999" s="9"/>
      <c r="I1999" s="9"/>
      <c r="J1999" s="10"/>
      <c r="K1999" s="10"/>
      <c r="L1999" s="10"/>
      <c r="M1999" s="10"/>
      <c r="N1999" s="11"/>
      <c r="O1999" s="11"/>
      <c r="P1999" s="11"/>
      <c r="Q1999" s="11"/>
      <c r="R1999" s="10"/>
      <c r="S1999" s="10"/>
      <c r="T1999" s="10"/>
      <c r="U1999" s="10"/>
    </row>
    <row r="2000">
      <c r="A2000" s="8"/>
      <c r="B2000" s="9"/>
      <c r="C2000" s="9"/>
      <c r="D2000" s="9"/>
      <c r="E2000" s="9"/>
      <c r="F2000" s="9"/>
      <c r="G2000" s="9"/>
      <c r="H2000" s="9"/>
      <c r="I2000" s="9"/>
      <c r="J2000" s="10"/>
      <c r="K2000" s="10"/>
      <c r="L2000" s="10"/>
      <c r="M2000" s="10"/>
      <c r="N2000" s="11"/>
      <c r="O2000" s="11"/>
      <c r="P2000" s="11"/>
      <c r="Q2000" s="11"/>
      <c r="R2000" s="10"/>
      <c r="S2000" s="10"/>
      <c r="T2000" s="10"/>
      <c r="U2000" s="10"/>
    </row>
    <row r="2001">
      <c r="A2001" s="8"/>
      <c r="B2001" s="9"/>
      <c r="C2001" s="9"/>
      <c r="D2001" s="9"/>
      <c r="E2001" s="9"/>
      <c r="F2001" s="9"/>
      <c r="G2001" s="9"/>
      <c r="H2001" s="9"/>
      <c r="I2001" s="9"/>
      <c r="J2001" s="10"/>
      <c r="K2001" s="10"/>
      <c r="L2001" s="10"/>
      <c r="M2001" s="10"/>
      <c r="N2001" s="11"/>
      <c r="O2001" s="11"/>
      <c r="P2001" s="11"/>
      <c r="Q2001" s="11"/>
      <c r="R2001" s="10"/>
      <c r="S2001" s="10"/>
      <c r="T2001" s="10"/>
      <c r="U2001" s="10"/>
    </row>
    <row r="2002">
      <c r="A2002" s="8"/>
      <c r="B2002" s="9"/>
      <c r="C2002" s="9"/>
      <c r="D2002" s="9"/>
      <c r="E2002" s="9"/>
      <c r="F2002" s="9"/>
      <c r="G2002" s="9"/>
      <c r="H2002" s="9"/>
      <c r="I2002" s="9"/>
      <c r="J2002" s="10"/>
      <c r="K2002" s="10"/>
      <c r="L2002" s="10"/>
      <c r="M2002" s="10"/>
      <c r="N2002" s="11"/>
      <c r="O2002" s="11"/>
      <c r="P2002" s="11"/>
      <c r="Q2002" s="11"/>
      <c r="R2002" s="10"/>
      <c r="S2002" s="10"/>
      <c r="T2002" s="10"/>
      <c r="U2002" s="10"/>
    </row>
    <row r="2003">
      <c r="A2003" s="8"/>
      <c r="B2003" s="9"/>
      <c r="C2003" s="9"/>
      <c r="D2003" s="9"/>
      <c r="E2003" s="9"/>
      <c r="F2003" s="9"/>
      <c r="G2003" s="9"/>
      <c r="H2003" s="9"/>
      <c r="I2003" s="9"/>
      <c r="J2003" s="10"/>
      <c r="K2003" s="10"/>
      <c r="L2003" s="10"/>
      <c r="M2003" s="10"/>
      <c r="N2003" s="11"/>
      <c r="O2003" s="11"/>
      <c r="P2003" s="11"/>
      <c r="Q2003" s="11"/>
      <c r="R2003" s="10"/>
      <c r="S2003" s="10"/>
      <c r="T2003" s="10"/>
      <c r="U2003" s="10"/>
    </row>
    <row r="2004">
      <c r="A2004" s="8"/>
      <c r="B2004" s="9"/>
      <c r="C2004" s="9"/>
      <c r="D2004" s="9"/>
      <c r="E2004" s="9"/>
      <c r="F2004" s="9"/>
      <c r="G2004" s="9"/>
      <c r="H2004" s="9"/>
      <c r="I2004" s="9"/>
      <c r="J2004" s="10"/>
      <c r="K2004" s="10"/>
      <c r="L2004" s="10"/>
      <c r="M2004" s="10"/>
      <c r="N2004" s="11"/>
      <c r="O2004" s="11"/>
      <c r="P2004" s="11"/>
      <c r="Q2004" s="11"/>
      <c r="R2004" s="10"/>
      <c r="S2004" s="10"/>
      <c r="T2004" s="10"/>
      <c r="U2004" s="10"/>
    </row>
    <row r="2005">
      <c r="A2005" s="8"/>
      <c r="B2005" s="9"/>
      <c r="C2005" s="9"/>
      <c r="D2005" s="9"/>
      <c r="E2005" s="9"/>
      <c r="F2005" s="9"/>
      <c r="G2005" s="9"/>
      <c r="H2005" s="9"/>
      <c r="I2005" s="9"/>
      <c r="J2005" s="10"/>
      <c r="K2005" s="10"/>
      <c r="L2005" s="10"/>
      <c r="M2005" s="10"/>
      <c r="N2005" s="11"/>
      <c r="O2005" s="11"/>
      <c r="P2005" s="11"/>
      <c r="Q2005" s="11"/>
      <c r="R2005" s="10"/>
      <c r="S2005" s="10"/>
      <c r="T2005" s="10"/>
      <c r="U2005" s="10"/>
    </row>
    <row r="2006">
      <c r="A2006" s="8"/>
      <c r="B2006" s="9"/>
      <c r="C2006" s="9"/>
      <c r="D2006" s="9"/>
      <c r="E2006" s="9"/>
      <c r="F2006" s="9"/>
      <c r="G2006" s="9"/>
      <c r="H2006" s="9"/>
      <c r="I2006" s="9"/>
      <c r="J2006" s="10"/>
      <c r="K2006" s="10"/>
      <c r="L2006" s="10"/>
      <c r="M2006" s="10"/>
      <c r="N2006" s="11"/>
      <c r="O2006" s="11"/>
      <c r="P2006" s="11"/>
      <c r="Q2006" s="11"/>
      <c r="R2006" s="10"/>
      <c r="S2006" s="10"/>
      <c r="T2006" s="10"/>
      <c r="U2006" s="10"/>
    </row>
    <row r="2007">
      <c r="A2007" s="8"/>
      <c r="B2007" s="9"/>
      <c r="C2007" s="9"/>
      <c r="D2007" s="9"/>
      <c r="E2007" s="9"/>
      <c r="F2007" s="9"/>
      <c r="G2007" s="9"/>
      <c r="H2007" s="9"/>
      <c r="I2007" s="9"/>
      <c r="J2007" s="10"/>
      <c r="K2007" s="10"/>
      <c r="L2007" s="10"/>
      <c r="M2007" s="10"/>
      <c r="N2007" s="11"/>
      <c r="O2007" s="11"/>
      <c r="P2007" s="11"/>
      <c r="Q2007" s="11"/>
      <c r="R2007" s="10"/>
      <c r="S2007" s="10"/>
      <c r="T2007" s="10"/>
      <c r="U2007" s="10"/>
    </row>
    <row r="2008">
      <c r="A2008" s="8"/>
      <c r="B2008" s="9"/>
      <c r="C2008" s="9"/>
      <c r="D2008" s="9"/>
      <c r="E2008" s="9"/>
      <c r="F2008" s="9"/>
      <c r="G2008" s="9"/>
      <c r="H2008" s="9"/>
      <c r="I2008" s="9"/>
      <c r="J2008" s="10"/>
      <c r="K2008" s="10"/>
      <c r="L2008" s="10"/>
      <c r="M2008" s="10"/>
      <c r="N2008" s="11"/>
      <c r="O2008" s="11"/>
      <c r="P2008" s="11"/>
      <c r="Q2008" s="11"/>
      <c r="R2008" s="10"/>
      <c r="S2008" s="10"/>
      <c r="T2008" s="10"/>
      <c r="U2008" s="10"/>
    </row>
    <row r="2009">
      <c r="A2009" s="8"/>
      <c r="B2009" s="9"/>
      <c r="C2009" s="9"/>
      <c r="D2009" s="9"/>
      <c r="E2009" s="9"/>
      <c r="F2009" s="9"/>
      <c r="G2009" s="9"/>
      <c r="H2009" s="9"/>
      <c r="I2009" s="9"/>
      <c r="J2009" s="10"/>
      <c r="K2009" s="10"/>
      <c r="L2009" s="10"/>
      <c r="M2009" s="10"/>
      <c r="N2009" s="11"/>
      <c r="O2009" s="11"/>
      <c r="P2009" s="11"/>
      <c r="Q2009" s="11"/>
      <c r="R2009" s="10"/>
      <c r="S2009" s="10"/>
      <c r="T2009" s="10"/>
      <c r="U2009" s="10"/>
    </row>
    <row r="2010">
      <c r="A2010" s="8"/>
      <c r="B2010" s="9"/>
      <c r="C2010" s="9"/>
      <c r="D2010" s="9"/>
      <c r="E2010" s="9"/>
      <c r="F2010" s="9"/>
      <c r="G2010" s="9"/>
      <c r="H2010" s="9"/>
      <c r="I2010" s="9"/>
      <c r="J2010" s="10"/>
      <c r="K2010" s="10"/>
      <c r="L2010" s="10"/>
      <c r="M2010" s="10"/>
      <c r="N2010" s="11"/>
      <c r="O2010" s="11"/>
      <c r="P2010" s="11"/>
      <c r="Q2010" s="11"/>
      <c r="R2010" s="10"/>
      <c r="S2010" s="10"/>
      <c r="T2010" s="10"/>
      <c r="U2010" s="10"/>
    </row>
    <row r="2011">
      <c r="A2011" s="8"/>
      <c r="B2011" s="9"/>
      <c r="C2011" s="9"/>
      <c r="D2011" s="9"/>
      <c r="E2011" s="9"/>
      <c r="F2011" s="9"/>
      <c r="G2011" s="9"/>
      <c r="H2011" s="9"/>
      <c r="I2011" s="9"/>
      <c r="J2011" s="10"/>
      <c r="K2011" s="10"/>
      <c r="L2011" s="10"/>
      <c r="M2011" s="10"/>
      <c r="N2011" s="11"/>
      <c r="O2011" s="11"/>
      <c r="P2011" s="11"/>
      <c r="Q2011" s="11"/>
      <c r="R2011" s="10"/>
      <c r="S2011" s="10"/>
      <c r="T2011" s="10"/>
      <c r="U2011" s="10"/>
    </row>
    <row r="2012">
      <c r="A2012" s="8"/>
      <c r="B2012" s="9"/>
      <c r="C2012" s="9"/>
      <c r="D2012" s="9"/>
      <c r="E2012" s="9"/>
      <c r="F2012" s="9"/>
      <c r="G2012" s="9"/>
      <c r="H2012" s="9"/>
      <c r="I2012" s="9"/>
      <c r="J2012" s="10"/>
      <c r="K2012" s="10"/>
      <c r="L2012" s="10"/>
      <c r="M2012" s="10"/>
      <c r="N2012" s="11"/>
      <c r="O2012" s="11"/>
      <c r="P2012" s="11"/>
      <c r="Q2012" s="11"/>
      <c r="R2012" s="10"/>
      <c r="S2012" s="10"/>
      <c r="T2012" s="10"/>
      <c r="U2012" s="10"/>
    </row>
    <row r="2013">
      <c r="A2013" s="8"/>
      <c r="B2013" s="9"/>
      <c r="C2013" s="9"/>
      <c r="D2013" s="9"/>
      <c r="E2013" s="9"/>
      <c r="F2013" s="9"/>
      <c r="G2013" s="9"/>
      <c r="H2013" s="9"/>
      <c r="I2013" s="9"/>
      <c r="J2013" s="10"/>
      <c r="K2013" s="10"/>
      <c r="L2013" s="10"/>
      <c r="M2013" s="10"/>
      <c r="N2013" s="11"/>
      <c r="O2013" s="11"/>
      <c r="P2013" s="11"/>
      <c r="Q2013" s="11"/>
      <c r="R2013" s="10"/>
      <c r="S2013" s="10"/>
      <c r="T2013" s="10"/>
      <c r="U2013" s="10"/>
    </row>
    <row r="2014">
      <c r="A2014" s="8"/>
      <c r="B2014" s="9"/>
      <c r="C2014" s="9"/>
      <c r="D2014" s="9"/>
      <c r="E2014" s="9"/>
      <c r="F2014" s="9"/>
      <c r="G2014" s="9"/>
      <c r="H2014" s="9"/>
      <c r="I2014" s="9"/>
      <c r="J2014" s="10"/>
      <c r="K2014" s="10"/>
      <c r="L2014" s="10"/>
      <c r="M2014" s="10"/>
      <c r="N2014" s="11"/>
      <c r="O2014" s="11"/>
      <c r="P2014" s="11"/>
      <c r="Q2014" s="11"/>
      <c r="R2014" s="10"/>
      <c r="S2014" s="10"/>
      <c r="T2014" s="10"/>
      <c r="U2014" s="10"/>
    </row>
    <row r="2015">
      <c r="A2015" s="8"/>
      <c r="B2015" s="9"/>
      <c r="C2015" s="9"/>
      <c r="D2015" s="9"/>
      <c r="E2015" s="9"/>
      <c r="F2015" s="9"/>
      <c r="G2015" s="9"/>
      <c r="H2015" s="9"/>
      <c r="I2015" s="9"/>
      <c r="J2015" s="10"/>
      <c r="K2015" s="10"/>
      <c r="L2015" s="10"/>
      <c r="M2015" s="10"/>
      <c r="N2015" s="11"/>
      <c r="O2015" s="11"/>
      <c r="P2015" s="11"/>
      <c r="Q2015" s="11"/>
      <c r="R2015" s="10"/>
      <c r="S2015" s="10"/>
      <c r="T2015" s="10"/>
      <c r="U2015" s="10"/>
    </row>
    <row r="2016">
      <c r="A2016" s="8"/>
      <c r="B2016" s="9"/>
      <c r="C2016" s="9"/>
      <c r="D2016" s="9"/>
      <c r="E2016" s="9"/>
      <c r="F2016" s="9"/>
      <c r="G2016" s="9"/>
      <c r="H2016" s="9"/>
      <c r="I2016" s="9"/>
      <c r="J2016" s="10"/>
      <c r="K2016" s="10"/>
      <c r="L2016" s="10"/>
      <c r="M2016" s="10"/>
      <c r="N2016" s="11"/>
      <c r="O2016" s="11"/>
      <c r="P2016" s="11"/>
      <c r="Q2016" s="11"/>
      <c r="R2016" s="10"/>
      <c r="S2016" s="10"/>
      <c r="T2016" s="10"/>
      <c r="U2016" s="10"/>
    </row>
    <row r="2017">
      <c r="A2017" s="8"/>
      <c r="B2017" s="9"/>
      <c r="C2017" s="9"/>
      <c r="D2017" s="9"/>
      <c r="E2017" s="9"/>
      <c r="F2017" s="9"/>
      <c r="G2017" s="9"/>
      <c r="H2017" s="9"/>
      <c r="I2017" s="9"/>
      <c r="J2017" s="10"/>
      <c r="K2017" s="10"/>
      <c r="L2017" s="10"/>
      <c r="M2017" s="10"/>
      <c r="N2017" s="11"/>
      <c r="O2017" s="11"/>
      <c r="P2017" s="11"/>
      <c r="Q2017" s="11"/>
      <c r="R2017" s="10"/>
      <c r="S2017" s="10"/>
      <c r="T2017" s="10"/>
      <c r="U2017" s="10"/>
    </row>
    <row r="2018">
      <c r="A2018" s="8"/>
      <c r="B2018" s="9"/>
      <c r="C2018" s="9"/>
      <c r="D2018" s="9"/>
      <c r="E2018" s="9"/>
      <c r="F2018" s="9"/>
      <c r="G2018" s="9"/>
      <c r="H2018" s="9"/>
      <c r="I2018" s="9"/>
      <c r="J2018" s="10"/>
      <c r="K2018" s="10"/>
      <c r="L2018" s="10"/>
      <c r="M2018" s="10"/>
      <c r="N2018" s="11"/>
      <c r="O2018" s="11"/>
      <c r="P2018" s="11"/>
      <c r="Q2018" s="11"/>
      <c r="R2018" s="10"/>
      <c r="S2018" s="10"/>
      <c r="T2018" s="10"/>
      <c r="U2018" s="10"/>
    </row>
    <row r="2019">
      <c r="A2019" s="8"/>
      <c r="B2019" s="9"/>
      <c r="C2019" s="9"/>
      <c r="D2019" s="9"/>
      <c r="E2019" s="9"/>
      <c r="F2019" s="9"/>
      <c r="G2019" s="9"/>
      <c r="H2019" s="9"/>
      <c r="I2019" s="9"/>
      <c r="J2019" s="10"/>
      <c r="K2019" s="10"/>
      <c r="L2019" s="10"/>
      <c r="M2019" s="10"/>
      <c r="N2019" s="11"/>
      <c r="O2019" s="11"/>
      <c r="P2019" s="11"/>
      <c r="Q2019" s="11"/>
      <c r="R2019" s="10"/>
      <c r="S2019" s="10"/>
      <c r="T2019" s="10"/>
      <c r="U2019" s="10"/>
    </row>
    <row r="2020">
      <c r="A2020" s="8"/>
      <c r="B2020" s="9"/>
      <c r="C2020" s="9"/>
      <c r="D2020" s="9"/>
      <c r="E2020" s="9"/>
      <c r="F2020" s="9"/>
      <c r="G2020" s="9"/>
      <c r="H2020" s="9"/>
      <c r="I2020" s="9"/>
      <c r="J2020" s="10"/>
      <c r="K2020" s="10"/>
      <c r="L2020" s="10"/>
      <c r="M2020" s="10"/>
      <c r="N2020" s="11"/>
      <c r="O2020" s="11"/>
      <c r="P2020" s="11"/>
      <c r="Q2020" s="11"/>
      <c r="R2020" s="10"/>
      <c r="S2020" s="10"/>
      <c r="T2020" s="10"/>
      <c r="U2020" s="10"/>
    </row>
    <row r="2021">
      <c r="A2021" s="8"/>
      <c r="B2021" s="9"/>
      <c r="C2021" s="9"/>
      <c r="D2021" s="9"/>
      <c r="E2021" s="9"/>
      <c r="F2021" s="9"/>
      <c r="G2021" s="9"/>
      <c r="H2021" s="9"/>
      <c r="I2021" s="9"/>
      <c r="J2021" s="10"/>
      <c r="K2021" s="10"/>
      <c r="L2021" s="10"/>
      <c r="M2021" s="10"/>
      <c r="N2021" s="11"/>
      <c r="O2021" s="11"/>
      <c r="P2021" s="11"/>
      <c r="Q2021" s="11"/>
      <c r="R2021" s="10"/>
      <c r="S2021" s="10"/>
      <c r="T2021" s="10"/>
      <c r="U2021" s="10"/>
    </row>
    <row r="2022">
      <c r="A2022" s="8"/>
      <c r="B2022" s="9"/>
      <c r="C2022" s="9"/>
      <c r="D2022" s="9"/>
      <c r="E2022" s="9"/>
      <c r="F2022" s="9"/>
      <c r="G2022" s="9"/>
      <c r="H2022" s="9"/>
      <c r="I2022" s="9"/>
      <c r="J2022" s="10"/>
      <c r="K2022" s="10"/>
      <c r="L2022" s="10"/>
      <c r="M2022" s="10"/>
      <c r="N2022" s="11"/>
      <c r="O2022" s="11"/>
      <c r="P2022" s="11"/>
      <c r="Q2022" s="11"/>
      <c r="R2022" s="10"/>
      <c r="S2022" s="10"/>
      <c r="T2022" s="10"/>
      <c r="U2022" s="10"/>
    </row>
    <row r="2023">
      <c r="A2023" s="8"/>
      <c r="B2023" s="9"/>
      <c r="C2023" s="9"/>
      <c r="D2023" s="9"/>
      <c r="E2023" s="9"/>
      <c r="F2023" s="9"/>
      <c r="G2023" s="9"/>
      <c r="H2023" s="9"/>
      <c r="I2023" s="9"/>
      <c r="J2023" s="10"/>
      <c r="K2023" s="10"/>
      <c r="L2023" s="10"/>
      <c r="M2023" s="10"/>
      <c r="N2023" s="11"/>
      <c r="O2023" s="11"/>
      <c r="P2023" s="11"/>
      <c r="Q2023" s="11"/>
      <c r="R2023" s="10"/>
      <c r="S2023" s="10"/>
      <c r="T2023" s="10"/>
      <c r="U2023" s="10"/>
    </row>
    <row r="2024">
      <c r="A2024" s="8"/>
      <c r="B2024" s="9"/>
      <c r="C2024" s="9"/>
      <c r="D2024" s="9"/>
      <c r="E2024" s="9"/>
      <c r="F2024" s="9"/>
      <c r="G2024" s="9"/>
      <c r="H2024" s="9"/>
      <c r="I2024" s="9"/>
      <c r="J2024" s="10"/>
      <c r="K2024" s="10"/>
      <c r="L2024" s="10"/>
      <c r="M2024" s="10"/>
      <c r="N2024" s="11"/>
      <c r="O2024" s="11"/>
      <c r="P2024" s="11"/>
      <c r="Q2024" s="11"/>
      <c r="R2024" s="10"/>
      <c r="S2024" s="10"/>
      <c r="T2024" s="10"/>
      <c r="U2024" s="10"/>
    </row>
    <row r="2025">
      <c r="A2025" s="8"/>
      <c r="B2025" s="9"/>
      <c r="C2025" s="9"/>
      <c r="D2025" s="9"/>
      <c r="E2025" s="9"/>
      <c r="F2025" s="9"/>
      <c r="G2025" s="9"/>
      <c r="H2025" s="9"/>
      <c r="I2025" s="9"/>
      <c r="J2025" s="10"/>
      <c r="K2025" s="10"/>
      <c r="L2025" s="10"/>
      <c r="M2025" s="10"/>
      <c r="N2025" s="11"/>
      <c r="O2025" s="11"/>
      <c r="P2025" s="11"/>
      <c r="Q2025" s="11"/>
      <c r="R2025" s="10"/>
      <c r="S2025" s="10"/>
      <c r="T2025" s="10"/>
      <c r="U2025" s="10"/>
    </row>
    <row r="2026">
      <c r="A2026" s="8"/>
      <c r="B2026" s="9"/>
      <c r="C2026" s="9"/>
      <c r="D2026" s="9"/>
      <c r="E2026" s="9"/>
      <c r="F2026" s="9"/>
      <c r="G2026" s="9"/>
      <c r="H2026" s="9"/>
      <c r="I2026" s="9"/>
      <c r="J2026" s="10"/>
      <c r="K2026" s="10"/>
      <c r="L2026" s="10"/>
      <c r="M2026" s="10"/>
      <c r="N2026" s="11"/>
      <c r="O2026" s="11"/>
      <c r="P2026" s="11"/>
      <c r="Q2026" s="11"/>
      <c r="R2026" s="10"/>
      <c r="S2026" s="10"/>
      <c r="T2026" s="10"/>
      <c r="U2026" s="10"/>
    </row>
    <row r="2027">
      <c r="A2027" s="8"/>
      <c r="B2027" s="9"/>
      <c r="C2027" s="9"/>
      <c r="D2027" s="9"/>
      <c r="E2027" s="9"/>
      <c r="F2027" s="9"/>
      <c r="G2027" s="9"/>
      <c r="H2027" s="9"/>
      <c r="I2027" s="9"/>
      <c r="J2027" s="10"/>
      <c r="K2027" s="10"/>
      <c r="L2027" s="10"/>
      <c r="M2027" s="10"/>
      <c r="N2027" s="11"/>
      <c r="O2027" s="11"/>
      <c r="P2027" s="11"/>
      <c r="Q2027" s="11"/>
      <c r="R2027" s="10"/>
      <c r="S2027" s="10"/>
      <c r="T2027" s="10"/>
      <c r="U2027" s="10"/>
    </row>
    <row r="2028">
      <c r="A2028" s="8"/>
      <c r="B2028" s="9"/>
      <c r="C2028" s="9"/>
      <c r="D2028" s="9"/>
      <c r="E2028" s="9"/>
      <c r="F2028" s="9"/>
      <c r="G2028" s="9"/>
      <c r="H2028" s="9"/>
      <c r="I2028" s="9"/>
      <c r="J2028" s="10"/>
      <c r="K2028" s="10"/>
      <c r="L2028" s="10"/>
      <c r="M2028" s="10"/>
      <c r="N2028" s="11"/>
      <c r="O2028" s="11"/>
      <c r="P2028" s="11"/>
      <c r="Q2028" s="11"/>
      <c r="R2028" s="10"/>
      <c r="S2028" s="10"/>
      <c r="T2028" s="10"/>
      <c r="U2028" s="10"/>
    </row>
    <row r="2029">
      <c r="A2029" s="8"/>
      <c r="B2029" s="9"/>
      <c r="C2029" s="9"/>
      <c r="D2029" s="9"/>
      <c r="E2029" s="9"/>
      <c r="F2029" s="9"/>
      <c r="G2029" s="9"/>
      <c r="H2029" s="9"/>
      <c r="I2029" s="9"/>
      <c r="J2029" s="10"/>
      <c r="K2029" s="10"/>
      <c r="L2029" s="10"/>
      <c r="M2029" s="10"/>
      <c r="N2029" s="11"/>
      <c r="O2029" s="11"/>
      <c r="P2029" s="11"/>
      <c r="Q2029" s="11"/>
      <c r="R2029" s="10"/>
      <c r="S2029" s="10"/>
      <c r="T2029" s="10"/>
      <c r="U2029" s="10"/>
    </row>
    <row r="2030">
      <c r="A2030" s="8"/>
      <c r="B2030" s="9"/>
      <c r="C2030" s="9"/>
      <c r="D2030" s="9"/>
      <c r="E2030" s="9"/>
      <c r="F2030" s="9"/>
      <c r="G2030" s="9"/>
      <c r="H2030" s="9"/>
      <c r="I2030" s="9"/>
      <c r="J2030" s="10"/>
      <c r="K2030" s="10"/>
      <c r="L2030" s="10"/>
      <c r="M2030" s="10"/>
      <c r="N2030" s="11"/>
      <c r="O2030" s="11"/>
      <c r="P2030" s="11"/>
      <c r="Q2030" s="11"/>
      <c r="R2030" s="10"/>
      <c r="S2030" s="10"/>
      <c r="T2030" s="10"/>
      <c r="U2030" s="10"/>
    </row>
    <row r="2031">
      <c r="A2031" s="8"/>
      <c r="B2031" s="9"/>
      <c r="C2031" s="9"/>
      <c r="D2031" s="9"/>
      <c r="E2031" s="9"/>
      <c r="F2031" s="9"/>
      <c r="G2031" s="9"/>
      <c r="H2031" s="9"/>
      <c r="I2031" s="9"/>
      <c r="J2031" s="10"/>
      <c r="K2031" s="10"/>
      <c r="L2031" s="10"/>
      <c r="M2031" s="10"/>
      <c r="N2031" s="11"/>
      <c r="O2031" s="11"/>
      <c r="P2031" s="11"/>
      <c r="Q2031" s="11"/>
      <c r="R2031" s="10"/>
      <c r="S2031" s="10"/>
      <c r="T2031" s="10"/>
      <c r="U2031" s="10"/>
    </row>
    <row r="2032">
      <c r="A2032" s="8"/>
      <c r="B2032" s="9"/>
      <c r="C2032" s="9"/>
      <c r="D2032" s="9"/>
      <c r="E2032" s="9"/>
      <c r="F2032" s="9"/>
      <c r="G2032" s="9"/>
      <c r="H2032" s="9"/>
      <c r="I2032" s="9"/>
      <c r="J2032" s="10"/>
      <c r="K2032" s="10"/>
      <c r="L2032" s="10"/>
      <c r="M2032" s="10"/>
      <c r="N2032" s="11"/>
      <c r="O2032" s="11"/>
      <c r="P2032" s="11"/>
      <c r="Q2032" s="11"/>
      <c r="R2032" s="10"/>
      <c r="S2032" s="10"/>
      <c r="T2032" s="10"/>
      <c r="U2032" s="10"/>
    </row>
    <row r="2033">
      <c r="A2033" s="8"/>
      <c r="B2033" s="9"/>
      <c r="C2033" s="9"/>
      <c r="D2033" s="9"/>
      <c r="E2033" s="9"/>
      <c r="F2033" s="9"/>
      <c r="G2033" s="9"/>
      <c r="H2033" s="9"/>
      <c r="I2033" s="9"/>
      <c r="J2033" s="10"/>
      <c r="K2033" s="10"/>
      <c r="L2033" s="10"/>
      <c r="M2033" s="10"/>
      <c r="N2033" s="11"/>
      <c r="O2033" s="11"/>
      <c r="P2033" s="11"/>
      <c r="Q2033" s="11"/>
      <c r="R2033" s="10"/>
      <c r="S2033" s="10"/>
      <c r="T2033" s="10"/>
      <c r="U2033" s="10"/>
    </row>
    <row r="2034">
      <c r="A2034" s="8"/>
      <c r="B2034" s="9"/>
      <c r="C2034" s="9"/>
      <c r="D2034" s="9"/>
      <c r="E2034" s="9"/>
      <c r="F2034" s="9"/>
      <c r="G2034" s="9"/>
      <c r="H2034" s="9"/>
      <c r="I2034" s="9"/>
      <c r="J2034" s="10"/>
      <c r="K2034" s="10"/>
      <c r="L2034" s="10"/>
      <c r="M2034" s="10"/>
      <c r="N2034" s="11"/>
      <c r="O2034" s="11"/>
      <c r="P2034" s="11"/>
      <c r="Q2034" s="11"/>
      <c r="R2034" s="10"/>
      <c r="S2034" s="10"/>
      <c r="T2034" s="10"/>
      <c r="U2034" s="10"/>
    </row>
    <row r="2035">
      <c r="A2035" s="8"/>
      <c r="B2035" s="9"/>
      <c r="C2035" s="9"/>
      <c r="D2035" s="9"/>
      <c r="E2035" s="9"/>
      <c r="F2035" s="9"/>
      <c r="G2035" s="9"/>
      <c r="H2035" s="9"/>
      <c r="I2035" s="9"/>
      <c r="J2035" s="10"/>
      <c r="K2035" s="10"/>
      <c r="L2035" s="10"/>
      <c r="M2035" s="10"/>
      <c r="N2035" s="11"/>
      <c r="O2035" s="11"/>
      <c r="P2035" s="11"/>
      <c r="Q2035" s="11"/>
      <c r="R2035" s="10"/>
      <c r="S2035" s="10"/>
      <c r="T2035" s="10"/>
      <c r="U2035" s="10"/>
    </row>
    <row r="2036">
      <c r="A2036" s="8"/>
      <c r="B2036" s="9"/>
      <c r="C2036" s="9"/>
      <c r="D2036" s="9"/>
      <c r="E2036" s="9"/>
      <c r="F2036" s="9"/>
      <c r="G2036" s="9"/>
      <c r="H2036" s="9"/>
      <c r="I2036" s="9"/>
      <c r="J2036" s="10"/>
      <c r="K2036" s="10"/>
      <c r="L2036" s="10"/>
      <c r="M2036" s="10"/>
      <c r="N2036" s="11"/>
      <c r="O2036" s="11"/>
      <c r="P2036" s="11"/>
      <c r="Q2036" s="11"/>
      <c r="R2036" s="10"/>
      <c r="S2036" s="10"/>
      <c r="T2036" s="10"/>
      <c r="U2036" s="10"/>
    </row>
    <row r="2037">
      <c r="A2037" s="8"/>
      <c r="B2037" s="9"/>
      <c r="C2037" s="9"/>
      <c r="D2037" s="9"/>
      <c r="E2037" s="9"/>
      <c r="F2037" s="9"/>
      <c r="G2037" s="9"/>
      <c r="H2037" s="9"/>
      <c r="I2037" s="9"/>
      <c r="J2037" s="10"/>
      <c r="K2037" s="10"/>
      <c r="L2037" s="10"/>
      <c r="M2037" s="10"/>
      <c r="N2037" s="11"/>
      <c r="O2037" s="11"/>
      <c r="P2037" s="11"/>
      <c r="Q2037" s="11"/>
      <c r="R2037" s="10"/>
      <c r="S2037" s="10"/>
      <c r="T2037" s="10"/>
      <c r="U2037" s="10"/>
    </row>
    <row r="2038">
      <c r="A2038" s="8"/>
      <c r="B2038" s="9"/>
      <c r="C2038" s="9"/>
      <c r="D2038" s="9"/>
      <c r="E2038" s="9"/>
      <c r="F2038" s="9"/>
      <c r="G2038" s="9"/>
      <c r="H2038" s="9"/>
      <c r="I2038" s="9"/>
      <c r="J2038" s="10"/>
      <c r="K2038" s="10"/>
      <c r="L2038" s="10"/>
      <c r="M2038" s="10"/>
      <c r="N2038" s="11"/>
      <c r="O2038" s="11"/>
      <c r="P2038" s="11"/>
      <c r="Q2038" s="11"/>
      <c r="R2038" s="10"/>
      <c r="S2038" s="10"/>
      <c r="T2038" s="10"/>
      <c r="U2038" s="10"/>
    </row>
    <row r="2039">
      <c r="A2039" s="8"/>
      <c r="B2039" s="9"/>
      <c r="C2039" s="9"/>
      <c r="D2039" s="9"/>
      <c r="E2039" s="9"/>
      <c r="F2039" s="9"/>
      <c r="G2039" s="9"/>
      <c r="H2039" s="9"/>
      <c r="I2039" s="9"/>
      <c r="J2039" s="10"/>
      <c r="K2039" s="10"/>
      <c r="L2039" s="10"/>
      <c r="M2039" s="10"/>
      <c r="N2039" s="11"/>
      <c r="O2039" s="11"/>
      <c r="P2039" s="11"/>
      <c r="Q2039" s="11"/>
      <c r="R2039" s="10"/>
      <c r="S2039" s="10"/>
      <c r="T2039" s="10"/>
      <c r="U2039" s="10"/>
    </row>
    <row r="2040">
      <c r="A2040" s="8"/>
      <c r="B2040" s="9"/>
      <c r="C2040" s="9"/>
      <c r="D2040" s="9"/>
      <c r="E2040" s="9"/>
      <c r="F2040" s="9"/>
      <c r="G2040" s="9"/>
      <c r="H2040" s="9"/>
      <c r="I2040" s="9"/>
      <c r="J2040" s="10"/>
      <c r="K2040" s="10"/>
      <c r="L2040" s="10"/>
      <c r="M2040" s="10"/>
      <c r="N2040" s="11"/>
      <c r="O2040" s="11"/>
      <c r="P2040" s="11"/>
      <c r="Q2040" s="11"/>
      <c r="R2040" s="10"/>
      <c r="S2040" s="10"/>
      <c r="T2040" s="10"/>
      <c r="U2040" s="10"/>
    </row>
    <row r="2041">
      <c r="A2041" s="8"/>
      <c r="B2041" s="9"/>
      <c r="C2041" s="9"/>
      <c r="D2041" s="9"/>
      <c r="E2041" s="9"/>
      <c r="F2041" s="9"/>
      <c r="G2041" s="9"/>
      <c r="H2041" s="9"/>
      <c r="I2041" s="9"/>
      <c r="J2041" s="10"/>
      <c r="K2041" s="10"/>
      <c r="L2041" s="10"/>
      <c r="M2041" s="10"/>
      <c r="N2041" s="11"/>
      <c r="O2041" s="11"/>
      <c r="P2041" s="11"/>
      <c r="Q2041" s="11"/>
      <c r="R2041" s="10"/>
      <c r="S2041" s="10"/>
      <c r="T2041" s="10"/>
      <c r="U2041" s="10"/>
    </row>
    <row r="2042">
      <c r="A2042" s="8"/>
      <c r="B2042" s="9"/>
      <c r="C2042" s="9"/>
      <c r="D2042" s="9"/>
      <c r="E2042" s="9"/>
      <c r="F2042" s="9"/>
      <c r="G2042" s="9"/>
      <c r="H2042" s="9"/>
      <c r="I2042" s="9"/>
      <c r="J2042" s="10"/>
      <c r="K2042" s="10"/>
      <c r="L2042" s="10"/>
      <c r="M2042" s="10"/>
      <c r="N2042" s="11"/>
      <c r="O2042" s="11"/>
      <c r="P2042" s="11"/>
      <c r="Q2042" s="11"/>
      <c r="R2042" s="10"/>
      <c r="S2042" s="10"/>
      <c r="T2042" s="10"/>
      <c r="U2042" s="10"/>
    </row>
    <row r="2043">
      <c r="A2043" s="8"/>
      <c r="B2043" s="9"/>
      <c r="C2043" s="9"/>
      <c r="D2043" s="9"/>
      <c r="E2043" s="9"/>
      <c r="F2043" s="9"/>
      <c r="G2043" s="9"/>
      <c r="H2043" s="9"/>
      <c r="I2043" s="9"/>
      <c r="J2043" s="10"/>
      <c r="K2043" s="10"/>
      <c r="L2043" s="10"/>
      <c r="M2043" s="10"/>
      <c r="N2043" s="11"/>
      <c r="O2043" s="11"/>
      <c r="P2043" s="11"/>
      <c r="Q2043" s="11"/>
      <c r="R2043" s="10"/>
      <c r="S2043" s="10"/>
      <c r="T2043" s="10"/>
      <c r="U2043" s="10"/>
    </row>
    <row r="2044">
      <c r="A2044" s="8"/>
      <c r="B2044" s="9"/>
      <c r="C2044" s="9"/>
      <c r="D2044" s="9"/>
      <c r="E2044" s="9"/>
      <c r="F2044" s="9"/>
      <c r="G2044" s="9"/>
      <c r="H2044" s="9"/>
      <c r="I2044" s="9"/>
      <c r="J2044" s="10"/>
      <c r="K2044" s="10"/>
      <c r="L2044" s="10"/>
      <c r="M2044" s="10"/>
      <c r="N2044" s="11"/>
      <c r="O2044" s="11"/>
      <c r="P2044" s="11"/>
      <c r="Q2044" s="11"/>
      <c r="R2044" s="10"/>
      <c r="S2044" s="10"/>
      <c r="T2044" s="10"/>
      <c r="U2044" s="10"/>
    </row>
    <row r="2045">
      <c r="A2045" s="8"/>
      <c r="B2045" s="9"/>
      <c r="C2045" s="9"/>
      <c r="D2045" s="9"/>
      <c r="E2045" s="9"/>
      <c r="F2045" s="9"/>
      <c r="G2045" s="9"/>
      <c r="H2045" s="9"/>
      <c r="I2045" s="9"/>
      <c r="J2045" s="10"/>
      <c r="K2045" s="10"/>
      <c r="L2045" s="10"/>
      <c r="M2045" s="10"/>
      <c r="N2045" s="11"/>
      <c r="O2045" s="11"/>
      <c r="P2045" s="11"/>
      <c r="Q2045" s="11"/>
      <c r="R2045" s="10"/>
      <c r="S2045" s="10"/>
      <c r="T2045" s="10"/>
      <c r="U2045" s="10"/>
    </row>
    <row r="2046">
      <c r="A2046" s="8"/>
      <c r="B2046" s="9"/>
      <c r="C2046" s="9"/>
      <c r="D2046" s="9"/>
      <c r="E2046" s="9"/>
      <c r="F2046" s="9"/>
      <c r="G2046" s="9"/>
      <c r="H2046" s="9"/>
      <c r="I2046" s="9"/>
      <c r="J2046" s="10"/>
      <c r="K2046" s="10"/>
      <c r="L2046" s="10"/>
      <c r="M2046" s="10"/>
      <c r="N2046" s="11"/>
      <c r="O2046" s="11"/>
      <c r="P2046" s="11"/>
      <c r="Q2046" s="11"/>
      <c r="R2046" s="10"/>
      <c r="S2046" s="10"/>
      <c r="T2046" s="10"/>
      <c r="U2046" s="10"/>
    </row>
    <row r="2047">
      <c r="A2047" s="8"/>
      <c r="B2047" s="9"/>
      <c r="C2047" s="9"/>
      <c r="D2047" s="9"/>
      <c r="E2047" s="9"/>
      <c r="F2047" s="9"/>
      <c r="G2047" s="9"/>
      <c r="H2047" s="9"/>
      <c r="I2047" s="9"/>
      <c r="J2047" s="10"/>
      <c r="K2047" s="10"/>
      <c r="L2047" s="10"/>
      <c r="M2047" s="10"/>
      <c r="N2047" s="11"/>
      <c r="O2047" s="11"/>
      <c r="P2047" s="11"/>
      <c r="Q2047" s="11"/>
      <c r="R2047" s="10"/>
      <c r="S2047" s="10"/>
      <c r="T2047" s="10"/>
      <c r="U2047" s="10"/>
    </row>
    <row r="2048">
      <c r="A2048" s="8"/>
      <c r="B2048" s="9"/>
      <c r="C2048" s="9"/>
      <c r="D2048" s="9"/>
      <c r="E2048" s="9"/>
      <c r="F2048" s="9"/>
      <c r="G2048" s="9"/>
      <c r="H2048" s="9"/>
      <c r="I2048" s="9"/>
      <c r="J2048" s="10"/>
      <c r="K2048" s="10"/>
      <c r="L2048" s="10"/>
      <c r="M2048" s="10"/>
      <c r="N2048" s="11"/>
      <c r="O2048" s="11"/>
      <c r="P2048" s="11"/>
      <c r="Q2048" s="11"/>
      <c r="R2048" s="10"/>
      <c r="S2048" s="10"/>
      <c r="T2048" s="10"/>
      <c r="U2048" s="10"/>
    </row>
    <row r="2049">
      <c r="A2049" s="8"/>
      <c r="B2049" s="9"/>
      <c r="C2049" s="9"/>
      <c r="D2049" s="9"/>
      <c r="E2049" s="9"/>
      <c r="F2049" s="9"/>
      <c r="G2049" s="9"/>
      <c r="H2049" s="9"/>
      <c r="I2049" s="9"/>
      <c r="J2049" s="10"/>
      <c r="K2049" s="10"/>
      <c r="L2049" s="10"/>
      <c r="M2049" s="10"/>
      <c r="N2049" s="11"/>
      <c r="O2049" s="11"/>
      <c r="P2049" s="11"/>
      <c r="Q2049" s="11"/>
      <c r="R2049" s="10"/>
      <c r="S2049" s="10"/>
      <c r="T2049" s="10"/>
      <c r="U2049" s="10"/>
    </row>
    <row r="2050">
      <c r="A2050" s="8"/>
      <c r="B2050" s="9"/>
      <c r="C2050" s="9"/>
      <c r="D2050" s="9"/>
      <c r="E2050" s="9"/>
      <c r="F2050" s="9"/>
      <c r="G2050" s="9"/>
      <c r="H2050" s="9"/>
      <c r="I2050" s="9"/>
      <c r="J2050" s="10"/>
      <c r="K2050" s="10"/>
      <c r="L2050" s="10"/>
      <c r="M2050" s="10"/>
      <c r="N2050" s="11"/>
      <c r="O2050" s="11"/>
      <c r="P2050" s="11"/>
      <c r="Q2050" s="11"/>
      <c r="R2050" s="10"/>
      <c r="S2050" s="10"/>
      <c r="T2050" s="10"/>
      <c r="U2050" s="10"/>
    </row>
    <row r="2051">
      <c r="A2051" s="8"/>
      <c r="B2051" s="9"/>
      <c r="C2051" s="9"/>
      <c r="D2051" s="9"/>
      <c r="E2051" s="9"/>
      <c r="F2051" s="9"/>
      <c r="G2051" s="9"/>
      <c r="H2051" s="9"/>
      <c r="I2051" s="9"/>
      <c r="J2051" s="10"/>
      <c r="K2051" s="10"/>
      <c r="L2051" s="10"/>
      <c r="M2051" s="10"/>
      <c r="N2051" s="11"/>
      <c r="O2051" s="11"/>
      <c r="P2051" s="11"/>
      <c r="Q2051" s="11"/>
      <c r="R2051" s="10"/>
      <c r="S2051" s="10"/>
      <c r="T2051" s="10"/>
      <c r="U2051" s="10"/>
    </row>
    <row r="2052">
      <c r="A2052" s="8"/>
      <c r="B2052" s="9"/>
      <c r="C2052" s="9"/>
      <c r="D2052" s="9"/>
      <c r="E2052" s="9"/>
      <c r="F2052" s="9"/>
      <c r="G2052" s="9"/>
      <c r="H2052" s="9"/>
      <c r="I2052" s="9"/>
      <c r="J2052" s="10"/>
      <c r="K2052" s="10"/>
      <c r="L2052" s="10"/>
      <c r="M2052" s="10"/>
      <c r="N2052" s="11"/>
      <c r="O2052" s="11"/>
      <c r="P2052" s="11"/>
      <c r="Q2052" s="11"/>
      <c r="R2052" s="10"/>
      <c r="S2052" s="10"/>
      <c r="T2052" s="10"/>
      <c r="U2052" s="10"/>
    </row>
    <row r="2053">
      <c r="A2053" s="8"/>
      <c r="B2053" s="9"/>
      <c r="C2053" s="9"/>
      <c r="D2053" s="9"/>
      <c r="E2053" s="9"/>
      <c r="F2053" s="9"/>
      <c r="G2053" s="9"/>
      <c r="H2053" s="9"/>
      <c r="I2053" s="9"/>
      <c r="J2053" s="10"/>
      <c r="K2053" s="10"/>
      <c r="L2053" s="10"/>
      <c r="M2053" s="10"/>
      <c r="N2053" s="11"/>
      <c r="O2053" s="11"/>
      <c r="P2053" s="11"/>
      <c r="Q2053" s="11"/>
      <c r="R2053" s="10"/>
      <c r="S2053" s="10"/>
      <c r="T2053" s="10"/>
      <c r="U2053" s="10"/>
    </row>
    <row r="2054">
      <c r="A2054" s="8"/>
      <c r="B2054" s="9"/>
      <c r="C2054" s="9"/>
      <c r="D2054" s="9"/>
      <c r="E2054" s="9"/>
      <c r="F2054" s="9"/>
      <c r="G2054" s="9"/>
      <c r="H2054" s="9"/>
      <c r="I2054" s="9"/>
      <c r="J2054" s="10"/>
      <c r="K2054" s="10"/>
      <c r="L2054" s="10"/>
      <c r="M2054" s="10"/>
      <c r="N2054" s="11"/>
      <c r="O2054" s="11"/>
      <c r="P2054" s="11"/>
      <c r="Q2054" s="11"/>
      <c r="R2054" s="10"/>
      <c r="S2054" s="10"/>
      <c r="T2054" s="10"/>
      <c r="U2054" s="10"/>
    </row>
    <row r="2055">
      <c r="A2055" s="8"/>
      <c r="B2055" s="9"/>
      <c r="C2055" s="9"/>
      <c r="D2055" s="9"/>
      <c r="E2055" s="9"/>
      <c r="F2055" s="9"/>
      <c r="G2055" s="9"/>
      <c r="H2055" s="9"/>
      <c r="I2055" s="9"/>
      <c r="J2055" s="10"/>
      <c r="K2055" s="10"/>
      <c r="L2055" s="10"/>
      <c r="M2055" s="10"/>
      <c r="N2055" s="11"/>
      <c r="O2055" s="11"/>
      <c r="P2055" s="11"/>
      <c r="Q2055" s="11"/>
      <c r="R2055" s="10"/>
      <c r="S2055" s="10"/>
      <c r="T2055" s="10"/>
      <c r="U2055" s="10"/>
    </row>
    <row r="2056">
      <c r="A2056" s="8"/>
      <c r="B2056" s="9"/>
      <c r="C2056" s="9"/>
      <c r="D2056" s="9"/>
      <c r="E2056" s="9"/>
      <c r="F2056" s="9"/>
      <c r="G2056" s="9"/>
      <c r="H2056" s="9"/>
      <c r="I2056" s="9"/>
      <c r="J2056" s="10"/>
      <c r="K2056" s="10"/>
      <c r="L2056" s="10"/>
      <c r="M2056" s="10"/>
      <c r="N2056" s="11"/>
      <c r="O2056" s="11"/>
      <c r="P2056" s="11"/>
      <c r="Q2056" s="11"/>
      <c r="R2056" s="10"/>
      <c r="S2056" s="10"/>
      <c r="T2056" s="10"/>
      <c r="U2056" s="10"/>
    </row>
    <row r="2057">
      <c r="A2057" s="8"/>
      <c r="B2057" s="9"/>
      <c r="C2057" s="9"/>
      <c r="D2057" s="9"/>
      <c r="E2057" s="9"/>
      <c r="F2057" s="9"/>
      <c r="G2057" s="9"/>
      <c r="H2057" s="9"/>
      <c r="I2057" s="9"/>
      <c r="J2057" s="10"/>
      <c r="K2057" s="10"/>
      <c r="L2057" s="10"/>
      <c r="M2057" s="10"/>
      <c r="N2057" s="11"/>
      <c r="O2057" s="11"/>
      <c r="P2057" s="11"/>
      <c r="Q2057" s="11"/>
      <c r="R2057" s="10"/>
      <c r="S2057" s="10"/>
      <c r="T2057" s="10"/>
      <c r="U2057" s="10"/>
    </row>
    <row r="2058">
      <c r="A2058" s="8"/>
      <c r="B2058" s="9"/>
      <c r="C2058" s="9"/>
      <c r="D2058" s="9"/>
      <c r="E2058" s="9"/>
      <c r="F2058" s="9"/>
      <c r="G2058" s="9"/>
      <c r="H2058" s="9"/>
      <c r="I2058" s="9"/>
      <c r="J2058" s="10"/>
      <c r="K2058" s="10"/>
      <c r="L2058" s="10"/>
      <c r="M2058" s="10"/>
      <c r="N2058" s="11"/>
      <c r="O2058" s="11"/>
      <c r="P2058" s="11"/>
      <c r="Q2058" s="11"/>
      <c r="R2058" s="10"/>
      <c r="S2058" s="10"/>
      <c r="T2058" s="10"/>
      <c r="U2058" s="10"/>
    </row>
    <row r="2059">
      <c r="A2059" s="8"/>
      <c r="B2059" s="9"/>
      <c r="C2059" s="9"/>
      <c r="D2059" s="9"/>
      <c r="E2059" s="9"/>
      <c r="F2059" s="9"/>
      <c r="G2059" s="9"/>
      <c r="H2059" s="9"/>
      <c r="I2059" s="9"/>
      <c r="J2059" s="10"/>
      <c r="K2059" s="10"/>
      <c r="L2059" s="10"/>
      <c r="M2059" s="10"/>
      <c r="N2059" s="11"/>
      <c r="O2059" s="11"/>
      <c r="P2059" s="11"/>
      <c r="Q2059" s="11"/>
      <c r="R2059" s="10"/>
      <c r="S2059" s="10"/>
      <c r="T2059" s="10"/>
      <c r="U2059" s="10"/>
    </row>
    <row r="2060">
      <c r="A2060" s="8"/>
      <c r="B2060" s="9"/>
      <c r="C2060" s="9"/>
      <c r="D2060" s="9"/>
      <c r="E2060" s="9"/>
      <c r="F2060" s="9"/>
      <c r="G2060" s="9"/>
      <c r="H2060" s="9"/>
      <c r="I2060" s="9"/>
      <c r="J2060" s="10"/>
      <c r="K2060" s="10"/>
      <c r="L2060" s="10"/>
      <c r="M2060" s="10"/>
      <c r="N2060" s="11"/>
      <c r="O2060" s="11"/>
      <c r="P2060" s="11"/>
      <c r="Q2060" s="11"/>
      <c r="R2060" s="10"/>
      <c r="S2060" s="10"/>
      <c r="T2060" s="10"/>
      <c r="U2060" s="10"/>
    </row>
    <row r="2061">
      <c r="A2061" s="8"/>
      <c r="B2061" s="9"/>
      <c r="C2061" s="9"/>
      <c r="D2061" s="9"/>
      <c r="E2061" s="9"/>
      <c r="F2061" s="9"/>
      <c r="G2061" s="9"/>
      <c r="H2061" s="9"/>
      <c r="I2061" s="9"/>
      <c r="J2061" s="10"/>
      <c r="K2061" s="10"/>
      <c r="L2061" s="10"/>
      <c r="M2061" s="10"/>
      <c r="N2061" s="11"/>
      <c r="O2061" s="11"/>
      <c r="P2061" s="11"/>
      <c r="Q2061" s="11"/>
      <c r="R2061" s="10"/>
      <c r="S2061" s="10"/>
      <c r="T2061" s="10"/>
      <c r="U2061" s="10"/>
    </row>
    <row r="2062">
      <c r="A2062" s="8"/>
      <c r="B2062" s="9"/>
      <c r="C2062" s="9"/>
      <c r="D2062" s="9"/>
      <c r="E2062" s="9"/>
      <c r="F2062" s="9"/>
      <c r="G2062" s="9"/>
      <c r="H2062" s="9"/>
      <c r="I2062" s="9"/>
      <c r="J2062" s="10"/>
      <c r="K2062" s="10"/>
      <c r="L2062" s="10"/>
      <c r="M2062" s="10"/>
      <c r="N2062" s="11"/>
      <c r="O2062" s="11"/>
      <c r="P2062" s="11"/>
      <c r="Q2062" s="11"/>
      <c r="R2062" s="10"/>
      <c r="S2062" s="10"/>
      <c r="T2062" s="10"/>
      <c r="U2062" s="10"/>
    </row>
    <row r="2063">
      <c r="A2063" s="8"/>
      <c r="B2063" s="9"/>
      <c r="C2063" s="9"/>
      <c r="D2063" s="9"/>
      <c r="E2063" s="9"/>
      <c r="F2063" s="9"/>
      <c r="G2063" s="9"/>
      <c r="H2063" s="9"/>
      <c r="I2063" s="9"/>
      <c r="J2063" s="10"/>
      <c r="K2063" s="10"/>
      <c r="L2063" s="10"/>
      <c r="M2063" s="10"/>
      <c r="N2063" s="11"/>
      <c r="O2063" s="11"/>
      <c r="P2063" s="11"/>
      <c r="Q2063" s="11"/>
      <c r="R2063" s="10"/>
      <c r="S2063" s="10"/>
      <c r="T2063" s="10"/>
      <c r="U2063" s="10"/>
    </row>
    <row r="2064">
      <c r="A2064" s="8"/>
      <c r="B2064" s="9"/>
      <c r="C2064" s="9"/>
      <c r="D2064" s="9"/>
      <c r="E2064" s="9"/>
      <c r="F2064" s="9"/>
      <c r="G2064" s="9"/>
      <c r="H2064" s="9"/>
      <c r="I2064" s="9"/>
      <c r="J2064" s="10"/>
      <c r="K2064" s="10"/>
      <c r="L2064" s="10"/>
      <c r="M2064" s="10"/>
      <c r="N2064" s="11"/>
      <c r="O2064" s="11"/>
      <c r="P2064" s="11"/>
      <c r="Q2064" s="11"/>
      <c r="R2064" s="10"/>
      <c r="S2064" s="10"/>
      <c r="T2064" s="10"/>
      <c r="U2064" s="10"/>
    </row>
    <row r="2065">
      <c r="A2065" s="8"/>
      <c r="B2065" s="9"/>
      <c r="C2065" s="9"/>
      <c r="D2065" s="9"/>
      <c r="E2065" s="9"/>
      <c r="F2065" s="9"/>
      <c r="G2065" s="9"/>
      <c r="H2065" s="9"/>
      <c r="I2065" s="9"/>
      <c r="J2065" s="10"/>
      <c r="K2065" s="10"/>
      <c r="L2065" s="10"/>
      <c r="M2065" s="10"/>
      <c r="N2065" s="11"/>
      <c r="O2065" s="11"/>
      <c r="P2065" s="11"/>
      <c r="Q2065" s="11"/>
      <c r="R2065" s="10"/>
      <c r="S2065" s="10"/>
      <c r="T2065" s="10"/>
      <c r="U2065" s="10"/>
    </row>
    <row r="2066">
      <c r="A2066" s="8"/>
      <c r="B2066" s="9"/>
      <c r="C2066" s="9"/>
      <c r="D2066" s="9"/>
      <c r="E2066" s="9"/>
      <c r="F2066" s="9"/>
      <c r="G2066" s="9"/>
      <c r="H2066" s="9"/>
      <c r="I2066" s="9"/>
      <c r="J2066" s="10"/>
      <c r="K2066" s="10"/>
      <c r="L2066" s="10"/>
      <c r="M2066" s="10"/>
      <c r="N2066" s="11"/>
      <c r="O2066" s="11"/>
      <c r="P2066" s="11"/>
      <c r="Q2066" s="11"/>
      <c r="R2066" s="10"/>
      <c r="S2066" s="10"/>
      <c r="T2066" s="10"/>
      <c r="U2066" s="10"/>
    </row>
    <row r="2067">
      <c r="A2067" s="8"/>
      <c r="B2067" s="9"/>
      <c r="C2067" s="9"/>
      <c r="D2067" s="9"/>
      <c r="E2067" s="9"/>
      <c r="F2067" s="9"/>
      <c r="G2067" s="9"/>
      <c r="H2067" s="9"/>
      <c r="I2067" s="9"/>
      <c r="J2067" s="10"/>
      <c r="K2067" s="10"/>
      <c r="L2067" s="10"/>
      <c r="M2067" s="10"/>
      <c r="N2067" s="11"/>
      <c r="O2067" s="11"/>
      <c r="P2067" s="11"/>
      <c r="Q2067" s="11"/>
      <c r="R2067" s="10"/>
      <c r="S2067" s="10"/>
      <c r="T2067" s="10"/>
      <c r="U2067" s="10"/>
    </row>
    <row r="2068">
      <c r="A2068" s="8"/>
      <c r="B2068" s="9"/>
      <c r="C2068" s="9"/>
      <c r="D2068" s="9"/>
      <c r="E2068" s="9"/>
      <c r="F2068" s="9"/>
      <c r="G2068" s="9"/>
      <c r="H2068" s="9"/>
      <c r="I2068" s="9"/>
      <c r="J2068" s="10"/>
      <c r="K2068" s="10"/>
      <c r="L2068" s="10"/>
      <c r="M2068" s="10"/>
      <c r="N2068" s="11"/>
      <c r="O2068" s="11"/>
      <c r="P2068" s="11"/>
      <c r="Q2068" s="11"/>
      <c r="R2068" s="10"/>
      <c r="S2068" s="10"/>
      <c r="T2068" s="10"/>
      <c r="U2068" s="10"/>
    </row>
    <row r="2069">
      <c r="A2069" s="8"/>
      <c r="B2069" s="9"/>
      <c r="C2069" s="9"/>
      <c r="D2069" s="9"/>
      <c r="E2069" s="9"/>
      <c r="F2069" s="9"/>
      <c r="G2069" s="9"/>
      <c r="H2069" s="9"/>
      <c r="I2069" s="9"/>
      <c r="J2069" s="10"/>
      <c r="K2069" s="10"/>
      <c r="L2069" s="10"/>
      <c r="M2069" s="10"/>
      <c r="N2069" s="11"/>
      <c r="O2069" s="11"/>
      <c r="P2069" s="11"/>
      <c r="Q2069" s="11"/>
      <c r="R2069" s="10"/>
      <c r="S2069" s="10"/>
      <c r="T2069" s="10"/>
      <c r="U2069" s="10"/>
    </row>
    <row r="2070">
      <c r="A2070" s="8"/>
      <c r="B2070" s="9"/>
      <c r="C2070" s="9"/>
      <c r="D2070" s="9"/>
      <c r="E2070" s="9"/>
      <c r="F2070" s="9"/>
      <c r="G2070" s="9"/>
      <c r="H2070" s="9"/>
      <c r="I2070" s="9"/>
      <c r="J2070" s="10"/>
      <c r="K2070" s="10"/>
      <c r="L2070" s="10"/>
      <c r="M2070" s="10"/>
      <c r="N2070" s="11"/>
      <c r="O2070" s="11"/>
      <c r="P2070" s="11"/>
      <c r="Q2070" s="11"/>
      <c r="R2070" s="10"/>
      <c r="S2070" s="10"/>
      <c r="T2070" s="10"/>
      <c r="U2070" s="10"/>
    </row>
    <row r="2071">
      <c r="A2071" s="8"/>
      <c r="B2071" s="9"/>
      <c r="C2071" s="9"/>
      <c r="D2071" s="9"/>
      <c r="E2071" s="9"/>
      <c r="F2071" s="9"/>
      <c r="G2071" s="9"/>
      <c r="H2071" s="9"/>
      <c r="I2071" s="9"/>
      <c r="J2071" s="10"/>
      <c r="K2071" s="10"/>
      <c r="L2071" s="10"/>
      <c r="M2071" s="10"/>
      <c r="N2071" s="11"/>
      <c r="O2071" s="11"/>
      <c r="P2071" s="11"/>
      <c r="Q2071" s="11"/>
      <c r="R2071" s="10"/>
      <c r="S2071" s="10"/>
      <c r="T2071" s="10"/>
      <c r="U2071" s="10"/>
    </row>
    <row r="2072">
      <c r="A2072" s="8"/>
      <c r="B2072" s="9"/>
      <c r="C2072" s="9"/>
      <c r="D2072" s="9"/>
      <c r="E2072" s="9"/>
      <c r="F2072" s="9"/>
      <c r="G2072" s="9"/>
      <c r="H2072" s="9"/>
      <c r="I2072" s="9"/>
      <c r="J2072" s="10"/>
      <c r="K2072" s="10"/>
      <c r="L2072" s="10"/>
      <c r="M2072" s="10"/>
      <c r="N2072" s="11"/>
      <c r="O2072" s="11"/>
      <c r="P2072" s="11"/>
      <c r="Q2072" s="11"/>
      <c r="R2072" s="10"/>
      <c r="S2072" s="10"/>
      <c r="T2072" s="10"/>
      <c r="U2072" s="10"/>
    </row>
    <row r="2073">
      <c r="A2073" s="8"/>
      <c r="B2073" s="9"/>
      <c r="C2073" s="9"/>
      <c r="D2073" s="9"/>
      <c r="E2073" s="9"/>
      <c r="F2073" s="9"/>
      <c r="G2073" s="9"/>
      <c r="H2073" s="9"/>
      <c r="I2073" s="9"/>
      <c r="J2073" s="10"/>
      <c r="K2073" s="10"/>
      <c r="L2073" s="10"/>
      <c r="M2073" s="10"/>
      <c r="N2073" s="11"/>
      <c r="O2073" s="11"/>
      <c r="P2073" s="11"/>
      <c r="Q2073" s="11"/>
      <c r="R2073" s="10"/>
      <c r="S2073" s="10"/>
      <c r="T2073" s="10"/>
      <c r="U2073" s="10"/>
    </row>
    <row r="2074">
      <c r="A2074" s="8"/>
      <c r="B2074" s="9"/>
      <c r="C2074" s="9"/>
      <c r="D2074" s="9"/>
      <c r="E2074" s="9"/>
      <c r="F2074" s="9"/>
      <c r="G2074" s="9"/>
      <c r="H2074" s="9"/>
      <c r="I2074" s="9"/>
      <c r="J2074" s="10"/>
      <c r="K2074" s="10"/>
      <c r="L2074" s="10"/>
      <c r="M2074" s="10"/>
      <c r="N2074" s="11"/>
      <c r="O2074" s="11"/>
      <c r="P2074" s="11"/>
      <c r="Q2074" s="11"/>
      <c r="R2074" s="10"/>
      <c r="S2074" s="10"/>
      <c r="T2074" s="10"/>
      <c r="U2074" s="10"/>
    </row>
    <row r="2075">
      <c r="A2075" s="8"/>
      <c r="B2075" s="9"/>
      <c r="C2075" s="9"/>
      <c r="D2075" s="9"/>
      <c r="E2075" s="9"/>
      <c r="F2075" s="9"/>
      <c r="G2075" s="9"/>
      <c r="H2075" s="9"/>
      <c r="I2075" s="9"/>
      <c r="J2075" s="10"/>
      <c r="K2075" s="10"/>
      <c r="L2075" s="10"/>
      <c r="M2075" s="10"/>
      <c r="N2075" s="11"/>
      <c r="O2075" s="11"/>
      <c r="P2075" s="11"/>
      <c r="Q2075" s="11"/>
      <c r="R2075" s="10"/>
      <c r="S2075" s="10"/>
      <c r="T2075" s="10"/>
      <c r="U2075" s="10"/>
    </row>
    <row r="2076">
      <c r="A2076" s="8"/>
      <c r="B2076" s="9"/>
      <c r="C2076" s="9"/>
      <c r="D2076" s="9"/>
      <c r="E2076" s="9"/>
      <c r="F2076" s="9"/>
      <c r="G2076" s="9"/>
      <c r="H2076" s="9"/>
      <c r="I2076" s="9"/>
      <c r="J2076" s="10"/>
      <c r="K2076" s="10"/>
      <c r="L2076" s="10"/>
      <c r="M2076" s="10"/>
      <c r="N2076" s="11"/>
      <c r="O2076" s="11"/>
      <c r="P2076" s="11"/>
      <c r="Q2076" s="11"/>
      <c r="R2076" s="10"/>
      <c r="S2076" s="10"/>
      <c r="T2076" s="10"/>
      <c r="U2076" s="10"/>
    </row>
    <row r="2077">
      <c r="A2077" s="8"/>
      <c r="B2077" s="9"/>
      <c r="C2077" s="9"/>
      <c r="D2077" s="9"/>
      <c r="E2077" s="9"/>
      <c r="F2077" s="9"/>
      <c r="G2077" s="9"/>
      <c r="H2077" s="9"/>
      <c r="I2077" s="9"/>
      <c r="J2077" s="10"/>
      <c r="K2077" s="10"/>
      <c r="L2077" s="10"/>
      <c r="M2077" s="10"/>
      <c r="N2077" s="11"/>
      <c r="O2077" s="11"/>
      <c r="P2077" s="11"/>
      <c r="Q2077" s="11"/>
      <c r="R2077" s="10"/>
      <c r="S2077" s="10"/>
      <c r="T2077" s="10"/>
      <c r="U2077" s="10"/>
    </row>
    <row r="2078">
      <c r="A2078" s="8"/>
      <c r="B2078" s="9"/>
      <c r="C2078" s="9"/>
      <c r="D2078" s="9"/>
      <c r="E2078" s="9"/>
      <c r="F2078" s="9"/>
      <c r="G2078" s="9"/>
      <c r="H2078" s="9"/>
      <c r="I2078" s="9"/>
      <c r="J2078" s="10"/>
      <c r="K2078" s="10"/>
      <c r="L2078" s="10"/>
      <c r="M2078" s="10"/>
      <c r="N2078" s="11"/>
      <c r="O2078" s="11"/>
      <c r="P2078" s="11"/>
      <c r="Q2078" s="11"/>
      <c r="R2078" s="10"/>
      <c r="S2078" s="10"/>
      <c r="T2078" s="10"/>
      <c r="U2078" s="10"/>
    </row>
    <row r="2079">
      <c r="A2079" s="8"/>
      <c r="B2079" s="9"/>
      <c r="C2079" s="9"/>
      <c r="D2079" s="9"/>
      <c r="E2079" s="9"/>
      <c r="F2079" s="9"/>
      <c r="G2079" s="9"/>
      <c r="H2079" s="9"/>
      <c r="I2079" s="9"/>
      <c r="J2079" s="10"/>
      <c r="K2079" s="10"/>
      <c r="L2079" s="10"/>
      <c r="M2079" s="10"/>
      <c r="N2079" s="11"/>
      <c r="O2079" s="11"/>
      <c r="P2079" s="11"/>
      <c r="Q2079" s="11"/>
      <c r="R2079" s="10"/>
      <c r="S2079" s="10"/>
      <c r="T2079" s="10"/>
      <c r="U2079" s="10"/>
    </row>
    <row r="2080">
      <c r="A2080" s="8"/>
      <c r="B2080" s="9"/>
      <c r="C2080" s="9"/>
      <c r="D2080" s="9"/>
      <c r="E2080" s="9"/>
      <c r="F2080" s="9"/>
      <c r="G2080" s="9"/>
      <c r="H2080" s="9"/>
      <c r="I2080" s="9"/>
      <c r="J2080" s="10"/>
      <c r="K2080" s="10"/>
      <c r="L2080" s="10"/>
      <c r="M2080" s="10"/>
      <c r="N2080" s="11"/>
      <c r="O2080" s="11"/>
      <c r="P2080" s="11"/>
      <c r="Q2080" s="11"/>
      <c r="R2080" s="10"/>
      <c r="S2080" s="10"/>
      <c r="T2080" s="10"/>
      <c r="U2080" s="10"/>
    </row>
    <row r="2081">
      <c r="A2081" s="8"/>
      <c r="B2081" s="9"/>
      <c r="C2081" s="9"/>
      <c r="D2081" s="9"/>
      <c r="E2081" s="9"/>
      <c r="F2081" s="9"/>
      <c r="G2081" s="9"/>
      <c r="H2081" s="9"/>
      <c r="I2081" s="9"/>
      <c r="J2081" s="10"/>
      <c r="K2081" s="10"/>
      <c r="L2081" s="10"/>
      <c r="M2081" s="10"/>
      <c r="N2081" s="11"/>
      <c r="O2081" s="11"/>
      <c r="P2081" s="11"/>
      <c r="Q2081" s="11"/>
      <c r="R2081" s="10"/>
      <c r="S2081" s="10"/>
      <c r="T2081" s="10"/>
      <c r="U2081" s="10"/>
    </row>
    <row r="2082">
      <c r="A2082" s="8"/>
      <c r="B2082" s="9"/>
      <c r="C2082" s="9"/>
      <c r="D2082" s="9"/>
      <c r="E2082" s="9"/>
      <c r="F2082" s="9"/>
      <c r="G2082" s="9"/>
      <c r="H2082" s="9"/>
      <c r="I2082" s="9"/>
      <c r="J2082" s="10"/>
      <c r="K2082" s="10"/>
      <c r="L2082" s="10"/>
      <c r="M2082" s="10"/>
      <c r="N2082" s="11"/>
      <c r="O2082" s="11"/>
      <c r="P2082" s="11"/>
      <c r="Q2082" s="11"/>
      <c r="R2082" s="10"/>
      <c r="S2082" s="10"/>
      <c r="T2082" s="10"/>
      <c r="U2082" s="10"/>
    </row>
    <row r="2083">
      <c r="A2083" s="8"/>
      <c r="B2083" s="9"/>
      <c r="C2083" s="9"/>
      <c r="D2083" s="9"/>
      <c r="E2083" s="9"/>
      <c r="F2083" s="9"/>
      <c r="G2083" s="9"/>
      <c r="H2083" s="9"/>
      <c r="I2083" s="9"/>
      <c r="J2083" s="10"/>
      <c r="K2083" s="10"/>
      <c r="L2083" s="10"/>
      <c r="M2083" s="10"/>
      <c r="N2083" s="11"/>
      <c r="O2083" s="11"/>
      <c r="P2083" s="11"/>
      <c r="Q2083" s="11"/>
      <c r="R2083" s="10"/>
      <c r="S2083" s="10"/>
      <c r="T2083" s="10"/>
      <c r="U2083" s="10"/>
    </row>
    <row r="2084">
      <c r="A2084" s="8"/>
      <c r="B2084" s="9"/>
      <c r="C2084" s="9"/>
      <c r="D2084" s="9"/>
      <c r="E2084" s="9"/>
      <c r="F2084" s="9"/>
      <c r="G2084" s="9"/>
      <c r="H2084" s="9"/>
      <c r="I2084" s="9"/>
      <c r="J2084" s="10"/>
      <c r="K2084" s="10"/>
      <c r="L2084" s="10"/>
      <c r="M2084" s="10"/>
      <c r="N2084" s="11"/>
      <c r="O2084" s="11"/>
      <c r="P2084" s="11"/>
      <c r="Q2084" s="11"/>
      <c r="R2084" s="10"/>
      <c r="S2084" s="10"/>
      <c r="T2084" s="10"/>
      <c r="U2084" s="10"/>
    </row>
    <row r="2085">
      <c r="A2085" s="8"/>
      <c r="B2085" s="9"/>
      <c r="C2085" s="9"/>
      <c r="D2085" s="9"/>
      <c r="E2085" s="9"/>
      <c r="F2085" s="9"/>
      <c r="G2085" s="9"/>
      <c r="H2085" s="9"/>
      <c r="I2085" s="9"/>
      <c r="J2085" s="10"/>
      <c r="K2085" s="10"/>
      <c r="L2085" s="10"/>
      <c r="M2085" s="10"/>
      <c r="N2085" s="11"/>
      <c r="O2085" s="11"/>
      <c r="P2085" s="11"/>
      <c r="Q2085" s="11"/>
      <c r="R2085" s="10"/>
      <c r="S2085" s="10"/>
      <c r="T2085" s="10"/>
      <c r="U2085" s="10"/>
    </row>
    <row r="2086">
      <c r="A2086" s="8"/>
      <c r="B2086" s="9"/>
      <c r="C2086" s="9"/>
      <c r="D2086" s="9"/>
      <c r="E2086" s="9"/>
      <c r="F2086" s="9"/>
      <c r="G2086" s="9"/>
      <c r="H2086" s="9"/>
      <c r="I2086" s="9"/>
      <c r="J2086" s="10"/>
      <c r="K2086" s="10"/>
      <c r="L2086" s="10"/>
      <c r="M2086" s="10"/>
      <c r="N2086" s="11"/>
      <c r="O2086" s="11"/>
      <c r="P2086" s="11"/>
      <c r="Q2086" s="11"/>
      <c r="R2086" s="10"/>
      <c r="S2086" s="10"/>
      <c r="T2086" s="10"/>
      <c r="U2086" s="10"/>
    </row>
    <row r="2087">
      <c r="A2087" s="8"/>
      <c r="B2087" s="9"/>
      <c r="C2087" s="9"/>
      <c r="D2087" s="9"/>
      <c r="E2087" s="9"/>
      <c r="F2087" s="9"/>
      <c r="G2087" s="9"/>
      <c r="H2087" s="9"/>
      <c r="I2087" s="9"/>
      <c r="J2087" s="10"/>
      <c r="K2087" s="10"/>
      <c r="L2087" s="10"/>
      <c r="M2087" s="10"/>
      <c r="N2087" s="11"/>
      <c r="O2087" s="11"/>
      <c r="P2087" s="11"/>
      <c r="Q2087" s="11"/>
      <c r="R2087" s="10"/>
      <c r="S2087" s="10"/>
      <c r="T2087" s="10"/>
      <c r="U2087" s="10"/>
    </row>
    <row r="2088">
      <c r="A2088" s="8"/>
      <c r="B2088" s="9"/>
      <c r="C2088" s="9"/>
      <c r="D2088" s="9"/>
      <c r="E2088" s="9"/>
      <c r="F2088" s="9"/>
      <c r="G2088" s="9"/>
      <c r="H2088" s="9"/>
      <c r="I2088" s="9"/>
      <c r="J2088" s="10"/>
      <c r="K2088" s="10"/>
      <c r="L2088" s="10"/>
      <c r="M2088" s="10"/>
      <c r="N2088" s="11"/>
      <c r="O2088" s="11"/>
      <c r="P2088" s="11"/>
      <c r="Q2088" s="11"/>
      <c r="R2088" s="10"/>
      <c r="S2088" s="10"/>
      <c r="T2088" s="10"/>
      <c r="U2088" s="10"/>
    </row>
    <row r="2089">
      <c r="A2089" s="8"/>
      <c r="B2089" s="9"/>
      <c r="C2089" s="9"/>
      <c r="D2089" s="9"/>
      <c r="E2089" s="9"/>
      <c r="F2089" s="9"/>
      <c r="G2089" s="9"/>
      <c r="H2089" s="9"/>
      <c r="I2089" s="9"/>
      <c r="J2089" s="10"/>
      <c r="K2089" s="10"/>
      <c r="L2089" s="10"/>
      <c r="M2089" s="10"/>
      <c r="N2089" s="11"/>
      <c r="O2089" s="11"/>
      <c r="P2089" s="11"/>
      <c r="Q2089" s="11"/>
      <c r="R2089" s="10"/>
      <c r="S2089" s="10"/>
      <c r="T2089" s="10"/>
      <c r="U2089" s="10"/>
    </row>
    <row r="2090">
      <c r="A2090" s="8"/>
      <c r="B2090" s="9"/>
      <c r="C2090" s="9"/>
      <c r="D2090" s="9"/>
      <c r="E2090" s="9"/>
      <c r="F2090" s="9"/>
      <c r="G2090" s="9"/>
      <c r="H2090" s="9"/>
      <c r="I2090" s="9"/>
      <c r="J2090" s="10"/>
      <c r="K2090" s="10"/>
      <c r="L2090" s="10"/>
      <c r="M2090" s="10"/>
      <c r="N2090" s="11"/>
      <c r="O2090" s="11"/>
      <c r="P2090" s="11"/>
      <c r="Q2090" s="11"/>
      <c r="R2090" s="10"/>
      <c r="S2090" s="10"/>
      <c r="T2090" s="10"/>
      <c r="U2090" s="10"/>
    </row>
    <row r="2091">
      <c r="A2091" s="8"/>
      <c r="B2091" s="9"/>
      <c r="C2091" s="9"/>
      <c r="D2091" s="9"/>
      <c r="E2091" s="9"/>
      <c r="F2091" s="9"/>
      <c r="G2091" s="9"/>
      <c r="H2091" s="9"/>
      <c r="I2091" s="9"/>
      <c r="J2091" s="10"/>
      <c r="K2091" s="10"/>
      <c r="L2091" s="10"/>
      <c r="M2091" s="10"/>
      <c r="N2091" s="11"/>
      <c r="O2091" s="11"/>
      <c r="P2091" s="11"/>
      <c r="Q2091" s="11"/>
      <c r="R2091" s="10"/>
      <c r="S2091" s="10"/>
      <c r="T2091" s="10"/>
      <c r="U2091" s="10"/>
    </row>
    <row r="2092">
      <c r="A2092" s="8"/>
      <c r="B2092" s="9"/>
      <c r="C2092" s="9"/>
      <c r="D2092" s="9"/>
      <c r="E2092" s="9"/>
      <c r="F2092" s="9"/>
      <c r="G2092" s="9"/>
      <c r="H2092" s="9"/>
      <c r="I2092" s="9"/>
      <c r="J2092" s="10"/>
      <c r="K2092" s="10"/>
      <c r="L2092" s="10"/>
      <c r="M2092" s="10"/>
      <c r="N2092" s="11"/>
      <c r="O2092" s="11"/>
      <c r="P2092" s="11"/>
      <c r="Q2092" s="11"/>
      <c r="R2092" s="10"/>
      <c r="S2092" s="10"/>
      <c r="T2092" s="10"/>
      <c r="U2092" s="10"/>
    </row>
    <row r="2093">
      <c r="A2093" s="8"/>
      <c r="B2093" s="9"/>
      <c r="C2093" s="9"/>
      <c r="D2093" s="9"/>
      <c r="E2093" s="9"/>
      <c r="F2093" s="9"/>
      <c r="G2093" s="9"/>
      <c r="H2093" s="9"/>
      <c r="I2093" s="9"/>
      <c r="J2093" s="10"/>
      <c r="K2093" s="10"/>
      <c r="L2093" s="10"/>
      <c r="M2093" s="10"/>
      <c r="N2093" s="11"/>
      <c r="O2093" s="11"/>
      <c r="P2093" s="11"/>
      <c r="Q2093" s="11"/>
      <c r="R2093" s="10"/>
      <c r="S2093" s="10"/>
      <c r="T2093" s="10"/>
      <c r="U2093" s="10"/>
    </row>
    <row r="2094">
      <c r="A2094" s="8"/>
      <c r="B2094" s="9"/>
      <c r="C2094" s="9"/>
      <c r="D2094" s="9"/>
      <c r="E2094" s="9"/>
      <c r="F2094" s="9"/>
      <c r="G2094" s="9"/>
      <c r="H2094" s="9"/>
      <c r="I2094" s="9"/>
      <c r="J2094" s="10"/>
      <c r="K2094" s="10"/>
      <c r="L2094" s="10"/>
      <c r="M2094" s="10"/>
      <c r="N2094" s="11"/>
      <c r="O2094" s="11"/>
      <c r="P2094" s="11"/>
      <c r="Q2094" s="11"/>
      <c r="R2094" s="10"/>
      <c r="S2094" s="10"/>
      <c r="T2094" s="10"/>
      <c r="U2094" s="10"/>
    </row>
    <row r="2095">
      <c r="A2095" s="8"/>
      <c r="B2095" s="9"/>
      <c r="C2095" s="9"/>
      <c r="D2095" s="9"/>
      <c r="E2095" s="9"/>
      <c r="F2095" s="9"/>
      <c r="G2095" s="9"/>
      <c r="H2095" s="9"/>
      <c r="I2095" s="9"/>
      <c r="J2095" s="10"/>
      <c r="K2095" s="10"/>
      <c r="L2095" s="10"/>
      <c r="M2095" s="10"/>
      <c r="N2095" s="11"/>
      <c r="O2095" s="11"/>
      <c r="P2095" s="11"/>
      <c r="Q2095" s="11"/>
      <c r="R2095" s="10"/>
      <c r="S2095" s="10"/>
      <c r="T2095" s="10"/>
      <c r="U2095" s="10"/>
    </row>
    <row r="2096">
      <c r="A2096" s="8"/>
      <c r="B2096" s="9"/>
      <c r="C2096" s="9"/>
      <c r="D2096" s="9"/>
      <c r="E2096" s="9"/>
      <c r="F2096" s="9"/>
      <c r="G2096" s="9"/>
      <c r="H2096" s="9"/>
      <c r="I2096" s="9"/>
      <c r="J2096" s="10"/>
      <c r="K2096" s="10"/>
      <c r="L2096" s="10"/>
      <c r="M2096" s="10"/>
      <c r="N2096" s="11"/>
      <c r="O2096" s="11"/>
      <c r="P2096" s="11"/>
      <c r="Q2096" s="11"/>
      <c r="R2096" s="10"/>
      <c r="S2096" s="10"/>
      <c r="T2096" s="10"/>
      <c r="U2096" s="10"/>
    </row>
    <row r="2097">
      <c r="A2097" s="8"/>
      <c r="B2097" s="9"/>
      <c r="C2097" s="9"/>
      <c r="D2097" s="9"/>
      <c r="E2097" s="9"/>
      <c r="F2097" s="9"/>
      <c r="G2097" s="9"/>
      <c r="H2097" s="9"/>
      <c r="I2097" s="9"/>
      <c r="J2097" s="10"/>
      <c r="K2097" s="10"/>
      <c r="L2097" s="10"/>
      <c r="M2097" s="10"/>
      <c r="N2097" s="11"/>
      <c r="O2097" s="11"/>
      <c r="P2097" s="11"/>
      <c r="Q2097" s="11"/>
      <c r="R2097" s="10"/>
      <c r="S2097" s="10"/>
      <c r="T2097" s="10"/>
      <c r="U2097" s="10"/>
    </row>
    <row r="2098">
      <c r="A2098" s="8"/>
      <c r="B2098" s="9"/>
      <c r="C2098" s="9"/>
      <c r="D2098" s="9"/>
      <c r="E2098" s="9"/>
      <c r="F2098" s="9"/>
      <c r="G2098" s="9"/>
      <c r="H2098" s="9"/>
      <c r="I2098" s="9"/>
      <c r="J2098" s="10"/>
      <c r="K2098" s="10"/>
      <c r="L2098" s="10"/>
      <c r="M2098" s="10"/>
      <c r="N2098" s="11"/>
      <c r="O2098" s="11"/>
      <c r="P2098" s="11"/>
      <c r="Q2098" s="11"/>
      <c r="R2098" s="10"/>
      <c r="S2098" s="10"/>
      <c r="T2098" s="10"/>
      <c r="U2098" s="10"/>
    </row>
    <row r="2099">
      <c r="A2099" s="8"/>
      <c r="B2099" s="9"/>
      <c r="C2099" s="9"/>
      <c r="D2099" s="9"/>
      <c r="E2099" s="9"/>
      <c r="F2099" s="9"/>
      <c r="G2099" s="9"/>
      <c r="H2099" s="9"/>
      <c r="I2099" s="9"/>
      <c r="J2099" s="10"/>
      <c r="K2099" s="10"/>
      <c r="L2099" s="10"/>
      <c r="M2099" s="10"/>
      <c r="N2099" s="11"/>
      <c r="O2099" s="11"/>
      <c r="P2099" s="11"/>
      <c r="Q2099" s="11"/>
      <c r="R2099" s="10"/>
      <c r="S2099" s="10"/>
      <c r="T2099" s="10"/>
      <c r="U2099" s="10"/>
    </row>
    <row r="2100">
      <c r="A2100" s="8"/>
      <c r="B2100" s="9"/>
      <c r="C2100" s="9"/>
      <c r="D2100" s="9"/>
      <c r="E2100" s="9"/>
      <c r="F2100" s="9"/>
      <c r="G2100" s="9"/>
      <c r="H2100" s="9"/>
      <c r="I2100" s="9"/>
      <c r="J2100" s="10"/>
      <c r="K2100" s="10"/>
      <c r="L2100" s="10"/>
      <c r="M2100" s="10"/>
      <c r="N2100" s="11"/>
      <c r="O2100" s="11"/>
      <c r="P2100" s="11"/>
      <c r="Q2100" s="11"/>
      <c r="R2100" s="10"/>
      <c r="S2100" s="10"/>
      <c r="T2100" s="10"/>
      <c r="U2100" s="10"/>
    </row>
    <row r="2101">
      <c r="A2101" s="8"/>
      <c r="B2101" s="9"/>
      <c r="C2101" s="9"/>
      <c r="D2101" s="9"/>
      <c r="E2101" s="9"/>
      <c r="F2101" s="9"/>
      <c r="G2101" s="9"/>
      <c r="H2101" s="9"/>
      <c r="I2101" s="9"/>
      <c r="J2101" s="10"/>
      <c r="K2101" s="10"/>
      <c r="L2101" s="10"/>
      <c r="M2101" s="10"/>
      <c r="N2101" s="11"/>
      <c r="O2101" s="11"/>
      <c r="P2101" s="11"/>
      <c r="Q2101" s="11"/>
      <c r="R2101" s="10"/>
      <c r="S2101" s="10"/>
      <c r="T2101" s="10"/>
      <c r="U2101" s="10"/>
    </row>
    <row r="2102">
      <c r="A2102" s="8"/>
      <c r="B2102" s="9"/>
      <c r="C2102" s="9"/>
      <c r="D2102" s="9"/>
      <c r="E2102" s="9"/>
      <c r="F2102" s="9"/>
      <c r="G2102" s="9"/>
      <c r="H2102" s="9"/>
      <c r="I2102" s="9"/>
      <c r="J2102" s="10"/>
      <c r="K2102" s="10"/>
      <c r="L2102" s="10"/>
      <c r="M2102" s="10"/>
      <c r="N2102" s="11"/>
      <c r="O2102" s="11"/>
      <c r="P2102" s="11"/>
      <c r="Q2102" s="11"/>
      <c r="R2102" s="10"/>
      <c r="S2102" s="10"/>
      <c r="T2102" s="10"/>
      <c r="U2102" s="10"/>
    </row>
    <row r="2103">
      <c r="A2103" s="8"/>
      <c r="B2103" s="9"/>
      <c r="C2103" s="9"/>
      <c r="D2103" s="9"/>
      <c r="E2103" s="9"/>
      <c r="F2103" s="9"/>
      <c r="G2103" s="9"/>
      <c r="H2103" s="9"/>
      <c r="I2103" s="9"/>
      <c r="J2103" s="10"/>
      <c r="K2103" s="10"/>
      <c r="L2103" s="10"/>
      <c r="M2103" s="10"/>
      <c r="N2103" s="11"/>
      <c r="O2103" s="11"/>
      <c r="P2103" s="11"/>
      <c r="Q2103" s="11"/>
      <c r="R2103" s="10"/>
      <c r="S2103" s="10"/>
      <c r="T2103" s="10"/>
      <c r="U2103" s="10"/>
    </row>
    <row r="2104">
      <c r="A2104" s="8"/>
      <c r="B2104" s="9"/>
      <c r="C2104" s="9"/>
      <c r="D2104" s="9"/>
      <c r="E2104" s="9"/>
      <c r="F2104" s="9"/>
      <c r="G2104" s="9"/>
      <c r="H2104" s="9"/>
      <c r="I2104" s="9"/>
      <c r="J2104" s="10"/>
      <c r="K2104" s="10"/>
      <c r="L2104" s="10"/>
      <c r="M2104" s="10"/>
      <c r="N2104" s="11"/>
      <c r="O2104" s="11"/>
      <c r="P2104" s="11"/>
      <c r="Q2104" s="11"/>
      <c r="R2104" s="10"/>
      <c r="S2104" s="10"/>
      <c r="T2104" s="10"/>
      <c r="U2104" s="10"/>
    </row>
    <row r="2105">
      <c r="A2105" s="8"/>
      <c r="B2105" s="9"/>
      <c r="C2105" s="9"/>
      <c r="D2105" s="9"/>
      <c r="E2105" s="9"/>
      <c r="F2105" s="9"/>
      <c r="G2105" s="9"/>
      <c r="H2105" s="9"/>
      <c r="I2105" s="9"/>
      <c r="J2105" s="10"/>
      <c r="K2105" s="10"/>
      <c r="L2105" s="10"/>
      <c r="M2105" s="10"/>
      <c r="N2105" s="11"/>
      <c r="O2105" s="11"/>
      <c r="P2105" s="11"/>
      <c r="Q2105" s="11"/>
      <c r="R2105" s="10"/>
      <c r="S2105" s="10"/>
      <c r="T2105" s="10"/>
      <c r="U2105" s="10"/>
    </row>
    <row r="2106">
      <c r="A2106" s="8"/>
      <c r="B2106" s="9"/>
      <c r="C2106" s="9"/>
      <c r="D2106" s="9"/>
      <c r="E2106" s="9"/>
      <c r="F2106" s="9"/>
      <c r="G2106" s="9"/>
      <c r="H2106" s="9"/>
      <c r="I2106" s="9"/>
      <c r="J2106" s="10"/>
      <c r="K2106" s="10"/>
      <c r="L2106" s="10"/>
      <c r="M2106" s="10"/>
      <c r="N2106" s="11"/>
      <c r="O2106" s="11"/>
      <c r="P2106" s="11"/>
      <c r="Q2106" s="11"/>
      <c r="R2106" s="10"/>
      <c r="S2106" s="10"/>
      <c r="T2106" s="10"/>
      <c r="U2106" s="10"/>
    </row>
    <row r="2107">
      <c r="A2107" s="8"/>
      <c r="B2107" s="9"/>
      <c r="C2107" s="9"/>
      <c r="D2107" s="9"/>
      <c r="E2107" s="9"/>
      <c r="F2107" s="9"/>
      <c r="G2107" s="9"/>
      <c r="H2107" s="9"/>
      <c r="I2107" s="9"/>
      <c r="J2107" s="10"/>
      <c r="K2107" s="10"/>
      <c r="L2107" s="10"/>
      <c r="M2107" s="10"/>
      <c r="N2107" s="11"/>
      <c r="O2107" s="11"/>
      <c r="P2107" s="11"/>
      <c r="Q2107" s="11"/>
      <c r="R2107" s="10"/>
      <c r="S2107" s="10"/>
      <c r="T2107" s="10"/>
      <c r="U2107" s="10"/>
    </row>
    <row r="2108">
      <c r="A2108" s="8"/>
      <c r="B2108" s="9"/>
      <c r="C2108" s="9"/>
      <c r="D2108" s="9"/>
      <c r="E2108" s="9"/>
      <c r="F2108" s="9"/>
      <c r="G2108" s="9"/>
      <c r="H2108" s="9"/>
      <c r="I2108" s="9"/>
      <c r="J2108" s="10"/>
      <c r="K2108" s="10"/>
      <c r="L2108" s="10"/>
      <c r="M2108" s="10"/>
      <c r="N2108" s="11"/>
      <c r="O2108" s="11"/>
      <c r="P2108" s="11"/>
      <c r="Q2108" s="11"/>
      <c r="R2108" s="10"/>
      <c r="S2108" s="10"/>
      <c r="T2108" s="10"/>
      <c r="U2108" s="10"/>
    </row>
    <row r="2109">
      <c r="A2109" s="8"/>
      <c r="B2109" s="9"/>
      <c r="C2109" s="9"/>
      <c r="D2109" s="9"/>
      <c r="E2109" s="9"/>
      <c r="F2109" s="9"/>
      <c r="G2109" s="9"/>
      <c r="H2109" s="9"/>
      <c r="I2109" s="9"/>
      <c r="J2109" s="10"/>
      <c r="K2109" s="10"/>
      <c r="L2109" s="10"/>
      <c r="M2109" s="10"/>
      <c r="N2109" s="11"/>
      <c r="O2109" s="11"/>
      <c r="P2109" s="11"/>
      <c r="Q2109" s="11"/>
      <c r="R2109" s="10"/>
      <c r="S2109" s="10"/>
      <c r="T2109" s="10"/>
      <c r="U2109" s="10"/>
    </row>
    <row r="2110">
      <c r="A2110" s="8"/>
      <c r="B2110" s="9"/>
      <c r="C2110" s="9"/>
      <c r="D2110" s="9"/>
      <c r="E2110" s="9"/>
      <c r="F2110" s="9"/>
      <c r="G2110" s="9"/>
      <c r="H2110" s="9"/>
      <c r="I2110" s="9"/>
      <c r="J2110" s="10"/>
      <c r="K2110" s="10"/>
      <c r="L2110" s="10"/>
      <c r="M2110" s="10"/>
      <c r="N2110" s="11"/>
      <c r="O2110" s="11"/>
      <c r="P2110" s="11"/>
      <c r="Q2110" s="11"/>
      <c r="R2110" s="10"/>
      <c r="S2110" s="10"/>
      <c r="T2110" s="10"/>
      <c r="U2110" s="10"/>
    </row>
    <row r="2111">
      <c r="A2111" s="8"/>
      <c r="B2111" s="9"/>
      <c r="C2111" s="9"/>
      <c r="D2111" s="9"/>
      <c r="E2111" s="9"/>
      <c r="F2111" s="9"/>
      <c r="G2111" s="9"/>
      <c r="H2111" s="9"/>
      <c r="I2111" s="9"/>
      <c r="J2111" s="10"/>
      <c r="K2111" s="10"/>
      <c r="L2111" s="10"/>
      <c r="M2111" s="10"/>
      <c r="N2111" s="11"/>
      <c r="O2111" s="11"/>
      <c r="P2111" s="11"/>
      <c r="Q2111" s="11"/>
      <c r="R2111" s="10"/>
      <c r="S2111" s="10"/>
      <c r="T2111" s="10"/>
      <c r="U2111" s="10"/>
    </row>
    <row r="2112">
      <c r="A2112" s="8"/>
      <c r="B2112" s="9"/>
      <c r="C2112" s="9"/>
      <c r="D2112" s="9"/>
      <c r="E2112" s="9"/>
      <c r="F2112" s="9"/>
      <c r="G2112" s="9"/>
      <c r="H2112" s="9"/>
      <c r="I2112" s="9"/>
      <c r="J2112" s="10"/>
      <c r="K2112" s="10"/>
      <c r="L2112" s="10"/>
      <c r="M2112" s="10"/>
      <c r="N2112" s="11"/>
      <c r="O2112" s="11"/>
      <c r="P2112" s="11"/>
      <c r="Q2112" s="11"/>
      <c r="R2112" s="10"/>
      <c r="S2112" s="10"/>
      <c r="T2112" s="10"/>
      <c r="U2112" s="10"/>
    </row>
    <row r="2113">
      <c r="A2113" s="8"/>
      <c r="B2113" s="9"/>
      <c r="C2113" s="9"/>
      <c r="D2113" s="9"/>
      <c r="E2113" s="9"/>
      <c r="F2113" s="9"/>
      <c r="G2113" s="9"/>
      <c r="H2113" s="9"/>
      <c r="I2113" s="9"/>
      <c r="J2113" s="10"/>
      <c r="K2113" s="10"/>
      <c r="L2113" s="10"/>
      <c r="M2113" s="10"/>
      <c r="N2113" s="11"/>
      <c r="O2113" s="11"/>
      <c r="P2113" s="11"/>
      <c r="Q2113" s="11"/>
      <c r="R2113" s="10"/>
      <c r="S2113" s="10"/>
      <c r="T2113" s="10"/>
      <c r="U2113" s="10"/>
    </row>
    <row r="2114">
      <c r="A2114" s="8"/>
      <c r="B2114" s="9"/>
      <c r="C2114" s="9"/>
      <c r="D2114" s="9"/>
      <c r="E2114" s="9"/>
      <c r="F2114" s="9"/>
      <c r="G2114" s="9"/>
      <c r="H2114" s="9"/>
      <c r="I2114" s="9"/>
      <c r="J2114" s="10"/>
      <c r="K2114" s="10"/>
      <c r="L2114" s="10"/>
      <c r="M2114" s="10"/>
      <c r="N2114" s="11"/>
      <c r="O2114" s="11"/>
      <c r="P2114" s="11"/>
      <c r="Q2114" s="11"/>
      <c r="R2114" s="10"/>
      <c r="S2114" s="10"/>
      <c r="T2114" s="10"/>
      <c r="U2114" s="10"/>
    </row>
    <row r="2115">
      <c r="A2115" s="8"/>
      <c r="B2115" s="9"/>
      <c r="C2115" s="9"/>
      <c r="D2115" s="9"/>
      <c r="E2115" s="9"/>
      <c r="F2115" s="9"/>
      <c r="G2115" s="9"/>
      <c r="H2115" s="9"/>
      <c r="I2115" s="9"/>
      <c r="J2115" s="10"/>
      <c r="K2115" s="10"/>
      <c r="L2115" s="10"/>
      <c r="M2115" s="10"/>
      <c r="N2115" s="11"/>
      <c r="O2115" s="11"/>
      <c r="P2115" s="11"/>
      <c r="Q2115" s="11"/>
      <c r="R2115" s="10"/>
      <c r="S2115" s="10"/>
      <c r="T2115" s="10"/>
      <c r="U2115" s="10"/>
    </row>
    <row r="2116">
      <c r="A2116" s="8"/>
      <c r="B2116" s="9"/>
      <c r="C2116" s="9"/>
      <c r="D2116" s="9"/>
      <c r="E2116" s="9"/>
      <c r="F2116" s="9"/>
      <c r="G2116" s="9"/>
      <c r="H2116" s="9"/>
      <c r="I2116" s="9"/>
      <c r="J2116" s="10"/>
      <c r="K2116" s="10"/>
      <c r="L2116" s="10"/>
      <c r="M2116" s="10"/>
      <c r="N2116" s="11"/>
      <c r="O2116" s="11"/>
      <c r="P2116" s="11"/>
      <c r="Q2116" s="11"/>
      <c r="R2116" s="10"/>
      <c r="S2116" s="10"/>
      <c r="T2116" s="10"/>
      <c r="U2116" s="10"/>
    </row>
    <row r="2117">
      <c r="A2117" s="8"/>
      <c r="B2117" s="9"/>
      <c r="C2117" s="9"/>
      <c r="D2117" s="9"/>
      <c r="E2117" s="9"/>
      <c r="F2117" s="9"/>
      <c r="G2117" s="9"/>
      <c r="H2117" s="9"/>
      <c r="I2117" s="9"/>
      <c r="J2117" s="10"/>
      <c r="K2117" s="10"/>
      <c r="L2117" s="10"/>
      <c r="M2117" s="10"/>
      <c r="N2117" s="11"/>
      <c r="O2117" s="11"/>
      <c r="P2117" s="11"/>
      <c r="Q2117" s="11"/>
      <c r="R2117" s="10"/>
      <c r="S2117" s="10"/>
      <c r="T2117" s="10"/>
      <c r="U2117" s="10"/>
    </row>
    <row r="2118">
      <c r="A2118" s="8"/>
      <c r="B2118" s="9"/>
      <c r="C2118" s="9"/>
      <c r="D2118" s="9"/>
      <c r="E2118" s="9"/>
      <c r="F2118" s="9"/>
      <c r="G2118" s="9"/>
      <c r="H2118" s="9"/>
      <c r="I2118" s="9"/>
      <c r="J2118" s="10"/>
      <c r="K2118" s="10"/>
      <c r="L2118" s="10"/>
      <c r="M2118" s="10"/>
      <c r="N2118" s="11"/>
      <c r="O2118" s="11"/>
      <c r="P2118" s="11"/>
      <c r="Q2118" s="11"/>
      <c r="R2118" s="10"/>
      <c r="S2118" s="10"/>
      <c r="T2118" s="10"/>
      <c r="U2118" s="10"/>
    </row>
    <row r="2119">
      <c r="A2119" s="8"/>
      <c r="B2119" s="9"/>
      <c r="C2119" s="9"/>
      <c r="D2119" s="9"/>
      <c r="E2119" s="9"/>
      <c r="F2119" s="9"/>
      <c r="G2119" s="9"/>
      <c r="H2119" s="9"/>
      <c r="I2119" s="9"/>
      <c r="J2119" s="10"/>
      <c r="K2119" s="10"/>
      <c r="L2119" s="10"/>
      <c r="M2119" s="10"/>
      <c r="N2119" s="11"/>
      <c r="O2119" s="11"/>
      <c r="P2119" s="11"/>
      <c r="Q2119" s="11"/>
      <c r="R2119" s="10"/>
      <c r="S2119" s="10"/>
      <c r="T2119" s="10"/>
      <c r="U2119" s="10"/>
    </row>
    <row r="2120">
      <c r="A2120" s="8"/>
      <c r="B2120" s="9"/>
      <c r="C2120" s="9"/>
      <c r="D2120" s="9"/>
      <c r="E2120" s="9"/>
      <c r="F2120" s="9"/>
      <c r="G2120" s="9"/>
      <c r="H2120" s="9"/>
      <c r="I2120" s="9"/>
      <c r="J2120" s="10"/>
      <c r="K2120" s="10"/>
      <c r="L2120" s="10"/>
      <c r="M2120" s="10"/>
      <c r="N2120" s="11"/>
      <c r="O2120" s="11"/>
      <c r="P2120" s="11"/>
      <c r="Q2120" s="11"/>
      <c r="R2120" s="10"/>
      <c r="S2120" s="10"/>
      <c r="T2120" s="10"/>
      <c r="U2120" s="10"/>
    </row>
    <row r="2121">
      <c r="A2121" s="8"/>
      <c r="B2121" s="9"/>
      <c r="C2121" s="9"/>
      <c r="D2121" s="9"/>
      <c r="E2121" s="9"/>
      <c r="F2121" s="9"/>
      <c r="G2121" s="9"/>
      <c r="H2121" s="9"/>
      <c r="I2121" s="9"/>
      <c r="J2121" s="10"/>
      <c r="K2121" s="10"/>
      <c r="L2121" s="10"/>
      <c r="M2121" s="10"/>
      <c r="N2121" s="11"/>
      <c r="O2121" s="11"/>
      <c r="P2121" s="11"/>
      <c r="Q2121" s="11"/>
      <c r="R2121" s="10"/>
      <c r="S2121" s="10"/>
      <c r="T2121" s="10"/>
      <c r="U2121" s="10"/>
    </row>
    <row r="2122">
      <c r="A2122" s="8"/>
      <c r="B2122" s="9"/>
      <c r="C2122" s="9"/>
      <c r="D2122" s="9"/>
      <c r="E2122" s="9"/>
      <c r="F2122" s="9"/>
      <c r="G2122" s="9"/>
      <c r="H2122" s="9"/>
      <c r="I2122" s="9"/>
      <c r="J2122" s="10"/>
      <c r="K2122" s="10"/>
      <c r="L2122" s="10"/>
      <c r="M2122" s="10"/>
      <c r="N2122" s="11"/>
      <c r="O2122" s="11"/>
      <c r="P2122" s="11"/>
      <c r="Q2122" s="11"/>
      <c r="R2122" s="10"/>
      <c r="S2122" s="10"/>
      <c r="T2122" s="10"/>
      <c r="U2122" s="10"/>
    </row>
    <row r="2123">
      <c r="A2123" s="8"/>
      <c r="B2123" s="9"/>
      <c r="C2123" s="9"/>
      <c r="D2123" s="9"/>
      <c r="E2123" s="9"/>
      <c r="F2123" s="9"/>
      <c r="G2123" s="9"/>
      <c r="H2123" s="9"/>
      <c r="I2123" s="9"/>
      <c r="J2123" s="10"/>
      <c r="K2123" s="10"/>
      <c r="L2123" s="10"/>
      <c r="M2123" s="10"/>
      <c r="N2123" s="11"/>
      <c r="O2123" s="11"/>
      <c r="P2123" s="11"/>
      <c r="Q2123" s="11"/>
      <c r="R2123" s="10"/>
      <c r="S2123" s="10"/>
      <c r="T2123" s="10"/>
      <c r="U2123" s="10"/>
    </row>
    <row r="2124">
      <c r="A2124" s="8"/>
      <c r="B2124" s="9"/>
      <c r="C2124" s="9"/>
      <c r="D2124" s="9"/>
      <c r="E2124" s="9"/>
      <c r="F2124" s="9"/>
      <c r="G2124" s="9"/>
      <c r="H2124" s="9"/>
      <c r="I2124" s="9"/>
      <c r="J2124" s="10"/>
      <c r="K2124" s="10"/>
      <c r="L2124" s="10"/>
      <c r="M2124" s="10"/>
      <c r="N2124" s="11"/>
      <c r="O2124" s="11"/>
      <c r="P2124" s="11"/>
      <c r="Q2124" s="11"/>
      <c r="R2124" s="10"/>
      <c r="S2124" s="10"/>
      <c r="T2124" s="10"/>
      <c r="U2124" s="10"/>
    </row>
    <row r="2125">
      <c r="A2125" s="8"/>
      <c r="B2125" s="9"/>
      <c r="C2125" s="9"/>
      <c r="D2125" s="9"/>
      <c r="E2125" s="9"/>
      <c r="F2125" s="9"/>
      <c r="G2125" s="9"/>
      <c r="H2125" s="9"/>
      <c r="I2125" s="9"/>
      <c r="J2125" s="10"/>
      <c r="K2125" s="10"/>
      <c r="L2125" s="10"/>
      <c r="M2125" s="10"/>
      <c r="N2125" s="11"/>
      <c r="O2125" s="11"/>
      <c r="P2125" s="11"/>
      <c r="Q2125" s="11"/>
      <c r="R2125" s="10"/>
      <c r="S2125" s="10"/>
      <c r="T2125" s="10"/>
      <c r="U2125" s="10"/>
    </row>
    <row r="2126">
      <c r="A2126" s="8"/>
      <c r="B2126" s="9"/>
      <c r="C2126" s="9"/>
      <c r="D2126" s="9"/>
      <c r="E2126" s="9"/>
      <c r="F2126" s="9"/>
      <c r="G2126" s="9"/>
      <c r="H2126" s="9"/>
      <c r="I2126" s="9"/>
      <c r="J2126" s="10"/>
      <c r="K2126" s="10"/>
      <c r="L2126" s="10"/>
      <c r="M2126" s="10"/>
      <c r="N2126" s="11"/>
      <c r="O2126" s="11"/>
      <c r="P2126" s="11"/>
      <c r="Q2126" s="11"/>
      <c r="R2126" s="10"/>
      <c r="S2126" s="10"/>
      <c r="T2126" s="10"/>
      <c r="U2126" s="10"/>
    </row>
    <row r="2127">
      <c r="A2127" s="8"/>
      <c r="B2127" s="9"/>
      <c r="C2127" s="9"/>
      <c r="D2127" s="9"/>
      <c r="E2127" s="9"/>
      <c r="F2127" s="9"/>
      <c r="G2127" s="9"/>
      <c r="H2127" s="9"/>
      <c r="I2127" s="9"/>
      <c r="J2127" s="10"/>
      <c r="K2127" s="10"/>
      <c r="L2127" s="10"/>
      <c r="M2127" s="10"/>
      <c r="N2127" s="11"/>
      <c r="O2127" s="11"/>
      <c r="P2127" s="11"/>
      <c r="Q2127" s="11"/>
      <c r="R2127" s="10"/>
      <c r="S2127" s="10"/>
      <c r="T2127" s="10"/>
      <c r="U2127" s="10"/>
    </row>
    <row r="2128">
      <c r="A2128" s="8"/>
      <c r="B2128" s="9"/>
      <c r="C2128" s="9"/>
      <c r="D2128" s="9"/>
      <c r="E2128" s="9"/>
      <c r="F2128" s="9"/>
      <c r="G2128" s="9"/>
      <c r="H2128" s="9"/>
      <c r="I2128" s="9"/>
      <c r="J2128" s="10"/>
      <c r="K2128" s="10"/>
      <c r="L2128" s="10"/>
      <c r="M2128" s="10"/>
      <c r="N2128" s="11"/>
      <c r="O2128" s="11"/>
      <c r="P2128" s="11"/>
      <c r="Q2128" s="11"/>
      <c r="R2128" s="10"/>
      <c r="S2128" s="10"/>
      <c r="T2128" s="10"/>
      <c r="U2128" s="10"/>
    </row>
    <row r="2129">
      <c r="A2129" s="8"/>
      <c r="B2129" s="9"/>
      <c r="C2129" s="9"/>
      <c r="D2129" s="9"/>
      <c r="E2129" s="9"/>
      <c r="F2129" s="9"/>
      <c r="G2129" s="9"/>
      <c r="H2129" s="9"/>
      <c r="I2129" s="9"/>
      <c r="J2129" s="10"/>
      <c r="K2129" s="10"/>
      <c r="L2129" s="10"/>
      <c r="M2129" s="10"/>
      <c r="N2129" s="11"/>
      <c r="O2129" s="11"/>
      <c r="P2129" s="11"/>
      <c r="Q2129" s="11"/>
      <c r="R2129" s="10"/>
      <c r="S2129" s="10"/>
      <c r="T2129" s="10"/>
      <c r="U2129" s="10"/>
    </row>
    <row r="2130">
      <c r="A2130" s="8"/>
      <c r="B2130" s="9"/>
      <c r="C2130" s="9"/>
      <c r="D2130" s="9"/>
      <c r="E2130" s="9"/>
      <c r="F2130" s="9"/>
      <c r="G2130" s="9"/>
      <c r="H2130" s="9"/>
      <c r="I2130" s="9"/>
      <c r="J2130" s="10"/>
      <c r="K2130" s="10"/>
      <c r="L2130" s="10"/>
      <c r="M2130" s="10"/>
      <c r="N2130" s="11"/>
      <c r="O2130" s="11"/>
      <c r="P2130" s="11"/>
      <c r="Q2130" s="11"/>
      <c r="R2130" s="10"/>
      <c r="S2130" s="10"/>
      <c r="T2130" s="10"/>
      <c r="U2130" s="10"/>
    </row>
    <row r="2131">
      <c r="A2131" s="8"/>
      <c r="B2131" s="9"/>
      <c r="C2131" s="9"/>
      <c r="D2131" s="9"/>
      <c r="E2131" s="9"/>
      <c r="F2131" s="9"/>
      <c r="G2131" s="9"/>
      <c r="H2131" s="9"/>
      <c r="I2131" s="9"/>
      <c r="J2131" s="10"/>
      <c r="K2131" s="10"/>
      <c r="L2131" s="10"/>
      <c r="M2131" s="10"/>
      <c r="N2131" s="11"/>
      <c r="O2131" s="11"/>
      <c r="P2131" s="11"/>
      <c r="Q2131" s="11"/>
      <c r="R2131" s="10"/>
      <c r="S2131" s="10"/>
      <c r="T2131" s="10"/>
      <c r="U2131" s="10"/>
    </row>
    <row r="2132">
      <c r="A2132" s="8"/>
      <c r="B2132" s="9"/>
      <c r="C2132" s="9"/>
      <c r="D2132" s="9"/>
      <c r="E2132" s="9"/>
      <c r="F2132" s="9"/>
      <c r="G2132" s="9"/>
      <c r="H2132" s="9"/>
      <c r="I2132" s="9"/>
      <c r="J2132" s="10"/>
      <c r="K2132" s="10"/>
      <c r="L2132" s="10"/>
      <c r="M2132" s="10"/>
      <c r="N2132" s="11"/>
      <c r="O2132" s="11"/>
      <c r="P2132" s="11"/>
      <c r="Q2132" s="11"/>
      <c r="R2132" s="10"/>
      <c r="S2132" s="10"/>
      <c r="T2132" s="10"/>
      <c r="U2132" s="10"/>
    </row>
    <row r="2133">
      <c r="A2133" s="8"/>
      <c r="B2133" s="9"/>
      <c r="C2133" s="9"/>
      <c r="D2133" s="9"/>
      <c r="E2133" s="9"/>
      <c r="F2133" s="9"/>
      <c r="G2133" s="9"/>
      <c r="H2133" s="9"/>
      <c r="I2133" s="9"/>
      <c r="J2133" s="10"/>
      <c r="K2133" s="10"/>
      <c r="L2133" s="10"/>
      <c r="M2133" s="10"/>
      <c r="N2133" s="11"/>
      <c r="O2133" s="11"/>
      <c r="P2133" s="11"/>
      <c r="Q2133" s="11"/>
      <c r="R2133" s="10"/>
      <c r="S2133" s="10"/>
      <c r="T2133" s="10"/>
      <c r="U2133" s="10"/>
    </row>
    <row r="2134">
      <c r="A2134" s="8"/>
      <c r="B2134" s="9"/>
      <c r="C2134" s="9"/>
      <c r="D2134" s="9"/>
      <c r="E2134" s="9"/>
      <c r="F2134" s="9"/>
      <c r="G2134" s="9"/>
      <c r="H2134" s="9"/>
      <c r="I2134" s="9"/>
      <c r="J2134" s="10"/>
      <c r="K2134" s="10"/>
      <c r="L2134" s="10"/>
      <c r="M2134" s="10"/>
      <c r="N2134" s="11"/>
      <c r="O2134" s="11"/>
      <c r="P2134" s="11"/>
      <c r="Q2134" s="11"/>
      <c r="R2134" s="10"/>
      <c r="S2134" s="10"/>
      <c r="T2134" s="10"/>
      <c r="U2134" s="10"/>
    </row>
    <row r="2135">
      <c r="A2135" s="8"/>
      <c r="B2135" s="9"/>
      <c r="C2135" s="9"/>
      <c r="D2135" s="9"/>
      <c r="E2135" s="9"/>
      <c r="F2135" s="9"/>
      <c r="G2135" s="9"/>
      <c r="H2135" s="9"/>
      <c r="I2135" s="9"/>
      <c r="J2135" s="10"/>
      <c r="K2135" s="10"/>
      <c r="L2135" s="10"/>
      <c r="M2135" s="10"/>
      <c r="N2135" s="11"/>
      <c r="O2135" s="11"/>
      <c r="P2135" s="11"/>
      <c r="Q2135" s="11"/>
      <c r="R2135" s="10"/>
      <c r="S2135" s="10"/>
      <c r="T2135" s="10"/>
      <c r="U2135" s="10"/>
    </row>
    <row r="2136">
      <c r="A2136" s="8"/>
      <c r="B2136" s="9"/>
      <c r="C2136" s="9"/>
      <c r="D2136" s="9"/>
      <c r="E2136" s="9"/>
      <c r="F2136" s="9"/>
      <c r="G2136" s="9"/>
      <c r="H2136" s="9"/>
      <c r="I2136" s="9"/>
      <c r="J2136" s="10"/>
      <c r="K2136" s="10"/>
      <c r="L2136" s="10"/>
      <c r="M2136" s="10"/>
      <c r="N2136" s="11"/>
      <c r="O2136" s="11"/>
      <c r="P2136" s="11"/>
      <c r="Q2136" s="11"/>
      <c r="R2136" s="10"/>
      <c r="S2136" s="10"/>
      <c r="T2136" s="10"/>
      <c r="U2136" s="10"/>
    </row>
    <row r="2137">
      <c r="A2137" s="8"/>
      <c r="B2137" s="9"/>
      <c r="C2137" s="9"/>
      <c r="D2137" s="9"/>
      <c r="E2137" s="9"/>
      <c r="F2137" s="9"/>
      <c r="G2137" s="9"/>
      <c r="H2137" s="9"/>
      <c r="I2137" s="9"/>
      <c r="J2137" s="10"/>
      <c r="K2137" s="10"/>
      <c r="L2137" s="10"/>
      <c r="M2137" s="10"/>
      <c r="N2137" s="11"/>
      <c r="O2137" s="11"/>
      <c r="P2137" s="11"/>
      <c r="Q2137" s="11"/>
      <c r="R2137" s="10"/>
      <c r="S2137" s="10"/>
      <c r="T2137" s="10"/>
      <c r="U2137" s="10"/>
    </row>
    <row r="2138">
      <c r="A2138" s="8"/>
      <c r="B2138" s="9"/>
      <c r="C2138" s="9"/>
      <c r="D2138" s="9"/>
      <c r="E2138" s="9"/>
      <c r="F2138" s="9"/>
      <c r="G2138" s="9"/>
      <c r="H2138" s="9"/>
      <c r="I2138" s="9"/>
      <c r="J2138" s="10"/>
      <c r="K2138" s="10"/>
      <c r="L2138" s="10"/>
      <c r="M2138" s="10"/>
      <c r="N2138" s="11"/>
      <c r="O2138" s="11"/>
      <c r="P2138" s="11"/>
      <c r="Q2138" s="11"/>
      <c r="R2138" s="10"/>
      <c r="S2138" s="10"/>
      <c r="T2138" s="10"/>
      <c r="U2138" s="10"/>
    </row>
    <row r="2139">
      <c r="A2139" s="8"/>
      <c r="B2139" s="9"/>
      <c r="C2139" s="9"/>
      <c r="D2139" s="9"/>
      <c r="E2139" s="9"/>
      <c r="F2139" s="9"/>
      <c r="G2139" s="9"/>
      <c r="H2139" s="9"/>
      <c r="I2139" s="9"/>
      <c r="J2139" s="10"/>
      <c r="K2139" s="10"/>
      <c r="L2139" s="10"/>
      <c r="M2139" s="10"/>
      <c r="N2139" s="11"/>
      <c r="O2139" s="11"/>
      <c r="P2139" s="11"/>
      <c r="Q2139" s="11"/>
      <c r="R2139" s="10"/>
      <c r="S2139" s="10"/>
      <c r="T2139" s="10"/>
      <c r="U2139" s="10"/>
    </row>
    <row r="2140">
      <c r="A2140" s="8"/>
      <c r="B2140" s="9"/>
      <c r="C2140" s="9"/>
      <c r="D2140" s="9"/>
      <c r="E2140" s="9"/>
      <c r="F2140" s="9"/>
      <c r="G2140" s="9"/>
      <c r="H2140" s="9"/>
      <c r="I2140" s="9"/>
      <c r="J2140" s="10"/>
      <c r="K2140" s="10"/>
      <c r="L2140" s="10"/>
      <c r="M2140" s="10"/>
      <c r="N2140" s="11"/>
      <c r="O2140" s="11"/>
      <c r="P2140" s="11"/>
      <c r="Q2140" s="11"/>
      <c r="R2140" s="10"/>
      <c r="S2140" s="10"/>
      <c r="T2140" s="10"/>
      <c r="U2140" s="10"/>
    </row>
    <row r="2141">
      <c r="A2141" s="8"/>
      <c r="B2141" s="9"/>
      <c r="C2141" s="9"/>
      <c r="D2141" s="9"/>
      <c r="E2141" s="9"/>
      <c r="F2141" s="9"/>
      <c r="G2141" s="9"/>
      <c r="H2141" s="9"/>
      <c r="I2141" s="9"/>
      <c r="J2141" s="10"/>
      <c r="K2141" s="10"/>
      <c r="L2141" s="10"/>
      <c r="M2141" s="10"/>
      <c r="N2141" s="11"/>
      <c r="O2141" s="11"/>
      <c r="P2141" s="11"/>
      <c r="Q2141" s="11"/>
      <c r="R2141" s="10"/>
      <c r="S2141" s="10"/>
      <c r="T2141" s="10"/>
      <c r="U2141" s="10"/>
    </row>
    <row r="2142">
      <c r="A2142" s="8"/>
      <c r="B2142" s="9"/>
      <c r="C2142" s="9"/>
      <c r="D2142" s="9"/>
      <c r="E2142" s="9"/>
      <c r="F2142" s="9"/>
      <c r="G2142" s="9"/>
      <c r="H2142" s="9"/>
      <c r="I2142" s="9"/>
      <c r="J2142" s="10"/>
      <c r="K2142" s="10"/>
      <c r="L2142" s="10"/>
      <c r="M2142" s="10"/>
      <c r="N2142" s="11"/>
      <c r="O2142" s="11"/>
      <c r="P2142" s="11"/>
      <c r="Q2142" s="11"/>
      <c r="R2142" s="10"/>
      <c r="S2142" s="10"/>
      <c r="T2142" s="10"/>
      <c r="U2142" s="10"/>
    </row>
    <row r="2143">
      <c r="A2143" s="8"/>
      <c r="B2143" s="9"/>
      <c r="C2143" s="9"/>
      <c r="D2143" s="9"/>
      <c r="E2143" s="9"/>
      <c r="F2143" s="9"/>
      <c r="G2143" s="9"/>
      <c r="H2143" s="9"/>
      <c r="I2143" s="9"/>
      <c r="J2143" s="10"/>
      <c r="K2143" s="10"/>
      <c r="L2143" s="10"/>
      <c r="M2143" s="10"/>
      <c r="N2143" s="11"/>
      <c r="O2143" s="11"/>
      <c r="P2143" s="11"/>
      <c r="Q2143" s="11"/>
      <c r="R2143" s="10"/>
      <c r="S2143" s="10"/>
      <c r="T2143" s="10"/>
      <c r="U2143" s="10"/>
    </row>
    <row r="2144">
      <c r="A2144" s="8"/>
      <c r="B2144" s="9"/>
      <c r="C2144" s="9"/>
      <c r="D2144" s="9"/>
      <c r="E2144" s="9"/>
      <c r="F2144" s="9"/>
      <c r="G2144" s="9"/>
      <c r="H2144" s="9"/>
      <c r="I2144" s="9"/>
      <c r="J2144" s="10"/>
      <c r="K2144" s="10"/>
      <c r="L2144" s="10"/>
      <c r="M2144" s="10"/>
      <c r="N2144" s="11"/>
      <c r="O2144" s="11"/>
      <c r="P2144" s="11"/>
      <c r="Q2144" s="11"/>
      <c r="R2144" s="10"/>
      <c r="S2144" s="10"/>
      <c r="T2144" s="10"/>
      <c r="U2144" s="10"/>
    </row>
    <row r="2145">
      <c r="A2145" s="8"/>
      <c r="B2145" s="9"/>
      <c r="C2145" s="9"/>
      <c r="D2145" s="9"/>
      <c r="E2145" s="9"/>
      <c r="F2145" s="9"/>
      <c r="G2145" s="9"/>
      <c r="H2145" s="9"/>
      <c r="I2145" s="9"/>
      <c r="J2145" s="10"/>
      <c r="K2145" s="10"/>
      <c r="L2145" s="10"/>
      <c r="M2145" s="10"/>
      <c r="N2145" s="11"/>
      <c r="O2145" s="11"/>
      <c r="P2145" s="11"/>
      <c r="Q2145" s="11"/>
      <c r="R2145" s="10"/>
      <c r="S2145" s="10"/>
      <c r="T2145" s="10"/>
      <c r="U2145" s="10"/>
    </row>
    <row r="2146">
      <c r="A2146" s="8"/>
      <c r="B2146" s="9"/>
      <c r="C2146" s="9"/>
      <c r="D2146" s="9"/>
      <c r="E2146" s="9"/>
      <c r="F2146" s="9"/>
      <c r="G2146" s="9"/>
      <c r="H2146" s="9"/>
      <c r="I2146" s="9"/>
      <c r="J2146" s="10"/>
      <c r="K2146" s="10"/>
      <c r="L2146" s="10"/>
      <c r="M2146" s="10"/>
      <c r="N2146" s="11"/>
      <c r="O2146" s="11"/>
      <c r="P2146" s="11"/>
      <c r="Q2146" s="11"/>
      <c r="R2146" s="10"/>
      <c r="S2146" s="10"/>
      <c r="T2146" s="10"/>
      <c r="U2146" s="10"/>
    </row>
    <row r="2147">
      <c r="A2147" s="8"/>
      <c r="B2147" s="9"/>
      <c r="C2147" s="9"/>
      <c r="D2147" s="9"/>
      <c r="E2147" s="9"/>
      <c r="F2147" s="9"/>
      <c r="G2147" s="9"/>
      <c r="H2147" s="9"/>
      <c r="I2147" s="9"/>
      <c r="J2147" s="10"/>
      <c r="K2147" s="10"/>
      <c r="L2147" s="10"/>
      <c r="M2147" s="10"/>
      <c r="N2147" s="11"/>
      <c r="O2147" s="11"/>
      <c r="P2147" s="11"/>
      <c r="Q2147" s="11"/>
      <c r="R2147" s="10"/>
      <c r="S2147" s="10"/>
      <c r="T2147" s="10"/>
      <c r="U2147" s="10"/>
    </row>
    <row r="2148">
      <c r="A2148" s="8"/>
      <c r="B2148" s="9"/>
      <c r="C2148" s="9"/>
      <c r="D2148" s="9"/>
      <c r="E2148" s="9"/>
      <c r="F2148" s="9"/>
      <c r="G2148" s="9"/>
      <c r="H2148" s="9"/>
      <c r="I2148" s="9"/>
      <c r="J2148" s="10"/>
      <c r="K2148" s="10"/>
      <c r="L2148" s="10"/>
      <c r="M2148" s="10"/>
      <c r="N2148" s="11"/>
      <c r="O2148" s="11"/>
      <c r="P2148" s="11"/>
      <c r="Q2148" s="11"/>
      <c r="R2148" s="10"/>
      <c r="S2148" s="10"/>
      <c r="T2148" s="10"/>
      <c r="U2148" s="10"/>
    </row>
    <row r="2149">
      <c r="A2149" s="8"/>
      <c r="B2149" s="9"/>
      <c r="C2149" s="9"/>
      <c r="D2149" s="9"/>
      <c r="E2149" s="9"/>
      <c r="F2149" s="9"/>
      <c r="G2149" s="9"/>
      <c r="H2149" s="9"/>
      <c r="I2149" s="9"/>
      <c r="J2149" s="10"/>
      <c r="K2149" s="10"/>
      <c r="L2149" s="10"/>
      <c r="M2149" s="10"/>
      <c r="N2149" s="11"/>
      <c r="O2149" s="11"/>
      <c r="P2149" s="11"/>
      <c r="Q2149" s="11"/>
      <c r="R2149" s="10"/>
      <c r="S2149" s="10"/>
      <c r="T2149" s="10"/>
      <c r="U2149" s="10"/>
    </row>
    <row r="2150">
      <c r="A2150" s="8"/>
      <c r="B2150" s="9"/>
      <c r="C2150" s="9"/>
      <c r="D2150" s="9"/>
      <c r="E2150" s="9"/>
      <c r="F2150" s="9"/>
      <c r="G2150" s="9"/>
      <c r="H2150" s="9"/>
      <c r="I2150" s="9"/>
      <c r="J2150" s="10"/>
      <c r="K2150" s="10"/>
      <c r="L2150" s="10"/>
      <c r="M2150" s="10"/>
      <c r="N2150" s="11"/>
      <c r="O2150" s="11"/>
      <c r="P2150" s="11"/>
      <c r="Q2150" s="11"/>
      <c r="R2150" s="10"/>
      <c r="S2150" s="10"/>
      <c r="T2150" s="10"/>
      <c r="U2150" s="10"/>
    </row>
    <row r="2151">
      <c r="A2151" s="8"/>
      <c r="B2151" s="9"/>
      <c r="C2151" s="9"/>
      <c r="D2151" s="9"/>
      <c r="E2151" s="9"/>
      <c r="F2151" s="9"/>
      <c r="G2151" s="9"/>
      <c r="H2151" s="9"/>
      <c r="I2151" s="9"/>
      <c r="J2151" s="10"/>
      <c r="K2151" s="10"/>
      <c r="L2151" s="10"/>
      <c r="M2151" s="10"/>
      <c r="N2151" s="11"/>
      <c r="O2151" s="11"/>
      <c r="P2151" s="11"/>
      <c r="Q2151" s="11"/>
      <c r="R2151" s="10"/>
      <c r="S2151" s="10"/>
      <c r="T2151" s="10"/>
      <c r="U2151" s="10"/>
    </row>
    <row r="2152">
      <c r="A2152" s="8"/>
      <c r="B2152" s="9"/>
      <c r="C2152" s="9"/>
      <c r="D2152" s="9"/>
      <c r="E2152" s="9"/>
      <c r="F2152" s="9"/>
      <c r="G2152" s="9"/>
      <c r="H2152" s="9"/>
      <c r="I2152" s="9"/>
      <c r="J2152" s="10"/>
      <c r="K2152" s="10"/>
      <c r="L2152" s="10"/>
      <c r="M2152" s="10"/>
      <c r="N2152" s="11"/>
      <c r="O2152" s="11"/>
      <c r="P2152" s="11"/>
      <c r="Q2152" s="11"/>
      <c r="R2152" s="10"/>
      <c r="S2152" s="10"/>
      <c r="T2152" s="10"/>
      <c r="U2152" s="10"/>
    </row>
    <row r="2153">
      <c r="A2153" s="8"/>
      <c r="B2153" s="9"/>
      <c r="C2153" s="9"/>
      <c r="D2153" s="9"/>
      <c r="E2153" s="9"/>
      <c r="F2153" s="9"/>
      <c r="G2153" s="9"/>
      <c r="H2153" s="9"/>
      <c r="I2153" s="9"/>
      <c r="J2153" s="10"/>
      <c r="K2153" s="10"/>
      <c r="L2153" s="10"/>
      <c r="M2153" s="10"/>
      <c r="N2153" s="11"/>
      <c r="O2153" s="11"/>
      <c r="P2153" s="11"/>
      <c r="Q2153" s="11"/>
      <c r="R2153" s="10"/>
      <c r="S2153" s="10"/>
      <c r="T2153" s="10"/>
      <c r="U2153" s="10"/>
    </row>
    <row r="2154">
      <c r="A2154" s="8"/>
      <c r="B2154" s="9"/>
      <c r="C2154" s="9"/>
      <c r="D2154" s="9"/>
      <c r="E2154" s="9"/>
      <c r="F2154" s="9"/>
      <c r="G2154" s="9"/>
      <c r="H2154" s="9"/>
      <c r="I2154" s="9"/>
      <c r="J2154" s="10"/>
      <c r="K2154" s="10"/>
      <c r="L2154" s="10"/>
      <c r="M2154" s="10"/>
      <c r="N2154" s="11"/>
      <c r="O2154" s="11"/>
      <c r="P2154" s="11"/>
      <c r="Q2154" s="11"/>
      <c r="R2154" s="10"/>
      <c r="S2154" s="10"/>
      <c r="T2154" s="10"/>
      <c r="U2154" s="10"/>
    </row>
    <row r="2155">
      <c r="A2155" s="8"/>
      <c r="B2155" s="9"/>
      <c r="C2155" s="9"/>
      <c r="D2155" s="9"/>
      <c r="E2155" s="9"/>
      <c r="F2155" s="9"/>
      <c r="G2155" s="9"/>
      <c r="H2155" s="9"/>
      <c r="I2155" s="9"/>
      <c r="J2155" s="10"/>
      <c r="K2155" s="10"/>
      <c r="L2155" s="10"/>
      <c r="M2155" s="10"/>
      <c r="N2155" s="11"/>
      <c r="O2155" s="11"/>
      <c r="P2155" s="11"/>
      <c r="Q2155" s="11"/>
      <c r="R2155" s="10"/>
      <c r="S2155" s="10"/>
      <c r="T2155" s="10"/>
      <c r="U2155" s="10"/>
    </row>
    <row r="2156">
      <c r="A2156" s="8"/>
      <c r="B2156" s="9"/>
      <c r="C2156" s="9"/>
      <c r="D2156" s="9"/>
      <c r="E2156" s="9"/>
      <c r="F2156" s="9"/>
      <c r="G2156" s="9"/>
      <c r="H2156" s="9"/>
      <c r="I2156" s="9"/>
      <c r="J2156" s="10"/>
      <c r="K2156" s="10"/>
      <c r="L2156" s="10"/>
      <c r="M2156" s="10"/>
      <c r="N2156" s="11"/>
      <c r="O2156" s="11"/>
      <c r="P2156" s="11"/>
      <c r="Q2156" s="11"/>
      <c r="R2156" s="10"/>
      <c r="S2156" s="10"/>
      <c r="T2156" s="10"/>
      <c r="U2156" s="10"/>
    </row>
    <row r="2157">
      <c r="A2157" s="8"/>
      <c r="B2157" s="9"/>
      <c r="C2157" s="9"/>
      <c r="D2157" s="9"/>
      <c r="E2157" s="9"/>
      <c r="F2157" s="9"/>
      <c r="G2157" s="9"/>
      <c r="H2157" s="9"/>
      <c r="I2157" s="9"/>
      <c r="J2157" s="10"/>
      <c r="K2157" s="10"/>
      <c r="L2157" s="10"/>
      <c r="M2157" s="10"/>
      <c r="N2157" s="11"/>
      <c r="O2157" s="11"/>
      <c r="P2157" s="11"/>
      <c r="Q2157" s="11"/>
      <c r="R2157" s="10"/>
      <c r="S2157" s="10"/>
      <c r="T2157" s="10"/>
      <c r="U2157" s="10"/>
    </row>
    <row r="2158">
      <c r="A2158" s="8"/>
      <c r="B2158" s="9"/>
      <c r="C2158" s="9"/>
      <c r="D2158" s="9"/>
      <c r="E2158" s="9"/>
      <c r="F2158" s="9"/>
      <c r="G2158" s="9"/>
      <c r="H2158" s="9"/>
      <c r="I2158" s="9"/>
      <c r="J2158" s="10"/>
      <c r="K2158" s="10"/>
      <c r="L2158" s="10"/>
      <c r="M2158" s="10"/>
      <c r="N2158" s="11"/>
      <c r="O2158" s="11"/>
      <c r="P2158" s="11"/>
      <c r="Q2158" s="11"/>
      <c r="R2158" s="10"/>
      <c r="S2158" s="10"/>
      <c r="T2158" s="10"/>
      <c r="U2158" s="10"/>
    </row>
    <row r="2159">
      <c r="A2159" s="8"/>
      <c r="B2159" s="9"/>
      <c r="C2159" s="9"/>
      <c r="D2159" s="9"/>
      <c r="E2159" s="9"/>
      <c r="F2159" s="9"/>
      <c r="G2159" s="9"/>
      <c r="H2159" s="9"/>
      <c r="I2159" s="9"/>
      <c r="J2159" s="10"/>
      <c r="K2159" s="10"/>
      <c r="L2159" s="10"/>
      <c r="M2159" s="10"/>
      <c r="N2159" s="11"/>
      <c r="O2159" s="11"/>
      <c r="P2159" s="11"/>
      <c r="Q2159" s="11"/>
      <c r="R2159" s="10"/>
      <c r="S2159" s="10"/>
      <c r="T2159" s="10"/>
      <c r="U2159" s="10"/>
    </row>
    <row r="2160">
      <c r="A2160" s="8"/>
      <c r="B2160" s="9"/>
      <c r="C2160" s="9"/>
      <c r="D2160" s="9"/>
      <c r="E2160" s="9"/>
      <c r="F2160" s="9"/>
      <c r="G2160" s="9"/>
      <c r="H2160" s="9"/>
      <c r="I2160" s="9"/>
      <c r="J2160" s="10"/>
      <c r="K2160" s="10"/>
      <c r="L2160" s="10"/>
      <c r="M2160" s="10"/>
      <c r="N2160" s="11"/>
      <c r="O2160" s="11"/>
      <c r="P2160" s="11"/>
      <c r="Q2160" s="11"/>
      <c r="R2160" s="10"/>
      <c r="S2160" s="10"/>
      <c r="T2160" s="10"/>
      <c r="U2160" s="10"/>
    </row>
    <row r="2161">
      <c r="A2161" s="8"/>
      <c r="B2161" s="9"/>
      <c r="C2161" s="9"/>
      <c r="D2161" s="9"/>
      <c r="E2161" s="9"/>
      <c r="F2161" s="9"/>
      <c r="G2161" s="9"/>
      <c r="H2161" s="9"/>
      <c r="I2161" s="9"/>
      <c r="J2161" s="10"/>
      <c r="K2161" s="10"/>
      <c r="L2161" s="10"/>
      <c r="M2161" s="10"/>
      <c r="N2161" s="11"/>
      <c r="O2161" s="11"/>
      <c r="P2161" s="11"/>
      <c r="Q2161" s="11"/>
      <c r="R2161" s="10"/>
      <c r="S2161" s="10"/>
      <c r="T2161" s="10"/>
      <c r="U2161" s="10"/>
    </row>
    <row r="2162">
      <c r="A2162" s="8"/>
      <c r="B2162" s="9"/>
      <c r="C2162" s="9"/>
      <c r="D2162" s="9"/>
      <c r="E2162" s="9"/>
      <c r="F2162" s="9"/>
      <c r="G2162" s="9"/>
      <c r="H2162" s="9"/>
      <c r="I2162" s="9"/>
      <c r="J2162" s="10"/>
      <c r="K2162" s="10"/>
      <c r="L2162" s="10"/>
      <c r="M2162" s="10"/>
      <c r="N2162" s="11"/>
      <c r="O2162" s="11"/>
      <c r="P2162" s="11"/>
      <c r="Q2162" s="11"/>
      <c r="R2162" s="10"/>
      <c r="S2162" s="10"/>
      <c r="T2162" s="10"/>
      <c r="U2162" s="10"/>
    </row>
    <row r="2163">
      <c r="A2163" s="8"/>
      <c r="B2163" s="9"/>
      <c r="C2163" s="9"/>
      <c r="D2163" s="9"/>
      <c r="E2163" s="9"/>
      <c r="F2163" s="9"/>
      <c r="G2163" s="9"/>
      <c r="H2163" s="9"/>
      <c r="I2163" s="9"/>
      <c r="J2163" s="10"/>
      <c r="K2163" s="10"/>
      <c r="L2163" s="10"/>
      <c r="M2163" s="10"/>
      <c r="N2163" s="11"/>
      <c r="O2163" s="11"/>
      <c r="P2163" s="11"/>
      <c r="Q2163" s="11"/>
      <c r="R2163" s="10"/>
      <c r="S2163" s="10"/>
      <c r="T2163" s="10"/>
      <c r="U2163" s="10"/>
    </row>
    <row r="2164">
      <c r="A2164" s="8"/>
      <c r="B2164" s="9"/>
      <c r="C2164" s="9"/>
      <c r="D2164" s="9"/>
      <c r="E2164" s="9"/>
      <c r="F2164" s="9"/>
      <c r="G2164" s="9"/>
      <c r="H2164" s="9"/>
      <c r="I2164" s="9"/>
      <c r="J2164" s="10"/>
      <c r="K2164" s="10"/>
      <c r="L2164" s="10"/>
      <c r="M2164" s="10"/>
      <c r="N2164" s="11"/>
      <c r="O2164" s="11"/>
      <c r="P2164" s="11"/>
      <c r="Q2164" s="11"/>
      <c r="R2164" s="10"/>
      <c r="S2164" s="10"/>
      <c r="T2164" s="10"/>
      <c r="U2164" s="10"/>
    </row>
    <row r="2165">
      <c r="A2165" s="8"/>
      <c r="B2165" s="9"/>
      <c r="C2165" s="9"/>
      <c r="D2165" s="9"/>
      <c r="E2165" s="9"/>
      <c r="F2165" s="9"/>
      <c r="G2165" s="9"/>
      <c r="H2165" s="9"/>
      <c r="I2165" s="9"/>
      <c r="J2165" s="10"/>
      <c r="K2165" s="10"/>
      <c r="L2165" s="10"/>
      <c r="M2165" s="10"/>
      <c r="N2165" s="11"/>
      <c r="O2165" s="11"/>
      <c r="P2165" s="11"/>
      <c r="Q2165" s="11"/>
      <c r="R2165" s="10"/>
      <c r="S2165" s="10"/>
      <c r="T2165" s="10"/>
      <c r="U2165" s="10"/>
    </row>
    <row r="2166">
      <c r="A2166" s="8"/>
      <c r="B2166" s="9"/>
      <c r="C2166" s="9"/>
      <c r="D2166" s="9"/>
      <c r="E2166" s="9"/>
      <c r="F2166" s="9"/>
      <c r="G2166" s="9"/>
      <c r="H2166" s="9"/>
      <c r="I2166" s="9"/>
      <c r="J2166" s="10"/>
      <c r="K2166" s="10"/>
      <c r="L2166" s="10"/>
      <c r="M2166" s="10"/>
      <c r="N2166" s="11"/>
      <c r="O2166" s="11"/>
      <c r="P2166" s="11"/>
      <c r="Q2166" s="11"/>
      <c r="R2166" s="10"/>
      <c r="S2166" s="10"/>
      <c r="T2166" s="10"/>
      <c r="U2166" s="10"/>
    </row>
    <row r="2167">
      <c r="A2167" s="8"/>
      <c r="B2167" s="9"/>
      <c r="C2167" s="9"/>
      <c r="D2167" s="9"/>
      <c r="E2167" s="9"/>
      <c r="F2167" s="9"/>
      <c r="G2167" s="9"/>
      <c r="H2167" s="9"/>
      <c r="I2167" s="9"/>
      <c r="J2167" s="10"/>
      <c r="K2167" s="10"/>
      <c r="L2167" s="10"/>
      <c r="M2167" s="10"/>
      <c r="N2167" s="11"/>
      <c r="O2167" s="11"/>
      <c r="P2167" s="11"/>
      <c r="Q2167" s="11"/>
      <c r="R2167" s="10"/>
      <c r="S2167" s="10"/>
      <c r="T2167" s="10"/>
      <c r="U2167" s="10"/>
    </row>
    <row r="2168">
      <c r="A2168" s="8"/>
      <c r="B2168" s="9"/>
      <c r="C2168" s="9"/>
      <c r="D2168" s="9"/>
      <c r="E2168" s="9"/>
      <c r="F2168" s="9"/>
      <c r="G2168" s="9"/>
      <c r="H2168" s="9"/>
      <c r="I2168" s="9"/>
      <c r="J2168" s="10"/>
      <c r="K2168" s="10"/>
      <c r="L2168" s="10"/>
      <c r="M2168" s="10"/>
      <c r="N2168" s="11"/>
      <c r="O2168" s="11"/>
      <c r="P2168" s="11"/>
      <c r="Q2168" s="11"/>
      <c r="R2168" s="10"/>
      <c r="S2168" s="10"/>
      <c r="T2168" s="10"/>
      <c r="U2168" s="10"/>
    </row>
    <row r="2169">
      <c r="A2169" s="8"/>
      <c r="B2169" s="9"/>
      <c r="C2169" s="9"/>
      <c r="D2169" s="9"/>
      <c r="E2169" s="9"/>
      <c r="F2169" s="9"/>
      <c r="G2169" s="9"/>
      <c r="H2169" s="9"/>
      <c r="I2169" s="9"/>
      <c r="J2169" s="10"/>
      <c r="K2169" s="10"/>
      <c r="L2169" s="10"/>
      <c r="M2169" s="10"/>
      <c r="N2169" s="11"/>
      <c r="O2169" s="11"/>
      <c r="P2169" s="11"/>
      <c r="Q2169" s="11"/>
      <c r="R2169" s="10"/>
      <c r="S2169" s="10"/>
      <c r="T2169" s="10"/>
      <c r="U2169" s="10"/>
    </row>
    <row r="2170">
      <c r="A2170" s="8"/>
      <c r="B2170" s="9"/>
      <c r="C2170" s="9"/>
      <c r="D2170" s="9"/>
      <c r="E2170" s="9"/>
      <c r="F2170" s="9"/>
      <c r="G2170" s="9"/>
      <c r="H2170" s="9"/>
      <c r="I2170" s="9"/>
      <c r="J2170" s="10"/>
      <c r="K2170" s="10"/>
      <c r="L2170" s="10"/>
      <c r="M2170" s="10"/>
      <c r="N2170" s="11"/>
      <c r="O2170" s="11"/>
      <c r="P2170" s="11"/>
      <c r="Q2170" s="11"/>
      <c r="R2170" s="10"/>
      <c r="S2170" s="10"/>
      <c r="T2170" s="10"/>
      <c r="U2170" s="10"/>
    </row>
    <row r="2171">
      <c r="A2171" s="8"/>
      <c r="B2171" s="9"/>
      <c r="C2171" s="9"/>
      <c r="D2171" s="9"/>
      <c r="E2171" s="9"/>
      <c r="F2171" s="9"/>
      <c r="G2171" s="9"/>
      <c r="H2171" s="9"/>
      <c r="I2171" s="9"/>
      <c r="J2171" s="10"/>
      <c r="K2171" s="10"/>
      <c r="L2171" s="10"/>
      <c r="M2171" s="10"/>
      <c r="N2171" s="11"/>
      <c r="O2171" s="11"/>
      <c r="P2171" s="11"/>
      <c r="Q2171" s="11"/>
      <c r="R2171" s="10"/>
      <c r="S2171" s="10"/>
      <c r="T2171" s="10"/>
      <c r="U2171" s="10"/>
    </row>
    <row r="2172">
      <c r="A2172" s="8"/>
      <c r="B2172" s="9"/>
      <c r="C2172" s="9"/>
      <c r="D2172" s="9"/>
      <c r="E2172" s="9"/>
      <c r="F2172" s="9"/>
      <c r="G2172" s="9"/>
      <c r="H2172" s="9"/>
      <c r="I2172" s="9"/>
      <c r="J2172" s="10"/>
      <c r="K2172" s="10"/>
      <c r="L2172" s="10"/>
      <c r="M2172" s="10"/>
      <c r="N2172" s="11"/>
      <c r="O2172" s="11"/>
      <c r="P2172" s="11"/>
      <c r="Q2172" s="11"/>
      <c r="R2172" s="10"/>
      <c r="S2172" s="10"/>
      <c r="T2172" s="10"/>
      <c r="U2172" s="10"/>
    </row>
    <row r="2173">
      <c r="A2173" s="8"/>
      <c r="B2173" s="9"/>
      <c r="C2173" s="9"/>
      <c r="D2173" s="9"/>
      <c r="E2173" s="9"/>
      <c r="F2173" s="9"/>
      <c r="G2173" s="9"/>
      <c r="H2173" s="9"/>
      <c r="I2173" s="9"/>
      <c r="J2173" s="10"/>
      <c r="K2173" s="10"/>
      <c r="L2173" s="10"/>
      <c r="M2173" s="10"/>
      <c r="N2173" s="11"/>
      <c r="O2173" s="11"/>
      <c r="P2173" s="11"/>
      <c r="Q2173" s="11"/>
      <c r="R2173" s="10"/>
      <c r="S2173" s="10"/>
      <c r="T2173" s="10"/>
      <c r="U2173" s="10"/>
    </row>
    <row r="2174">
      <c r="A2174" s="8"/>
      <c r="B2174" s="9"/>
      <c r="C2174" s="9"/>
      <c r="D2174" s="9"/>
      <c r="E2174" s="9"/>
      <c r="F2174" s="9"/>
      <c r="G2174" s="9"/>
      <c r="H2174" s="9"/>
      <c r="I2174" s="9"/>
      <c r="J2174" s="10"/>
      <c r="K2174" s="10"/>
      <c r="L2174" s="10"/>
      <c r="M2174" s="10"/>
      <c r="N2174" s="11"/>
      <c r="O2174" s="11"/>
      <c r="P2174" s="11"/>
      <c r="Q2174" s="11"/>
      <c r="R2174" s="10"/>
      <c r="S2174" s="10"/>
      <c r="T2174" s="10"/>
      <c r="U2174" s="10"/>
    </row>
    <row r="2175">
      <c r="A2175" s="8"/>
      <c r="B2175" s="9"/>
      <c r="C2175" s="9"/>
      <c r="D2175" s="9"/>
      <c r="E2175" s="9"/>
      <c r="F2175" s="9"/>
      <c r="G2175" s="9"/>
      <c r="H2175" s="9"/>
      <c r="I2175" s="9"/>
      <c r="J2175" s="10"/>
      <c r="K2175" s="10"/>
      <c r="L2175" s="10"/>
      <c r="M2175" s="10"/>
      <c r="N2175" s="11"/>
      <c r="O2175" s="11"/>
      <c r="P2175" s="11"/>
      <c r="Q2175" s="11"/>
      <c r="R2175" s="10"/>
      <c r="S2175" s="10"/>
      <c r="T2175" s="10"/>
      <c r="U2175" s="10"/>
    </row>
    <row r="2176">
      <c r="A2176" s="8"/>
      <c r="B2176" s="9"/>
      <c r="C2176" s="9"/>
      <c r="D2176" s="9"/>
      <c r="E2176" s="9"/>
      <c r="F2176" s="9"/>
      <c r="G2176" s="9"/>
      <c r="H2176" s="9"/>
      <c r="I2176" s="9"/>
      <c r="J2176" s="10"/>
      <c r="K2176" s="10"/>
      <c r="L2176" s="10"/>
      <c r="M2176" s="10"/>
      <c r="N2176" s="11"/>
      <c r="O2176" s="11"/>
      <c r="P2176" s="11"/>
      <c r="Q2176" s="11"/>
      <c r="R2176" s="10"/>
      <c r="S2176" s="10"/>
      <c r="T2176" s="10"/>
      <c r="U2176" s="10"/>
    </row>
    <row r="2177">
      <c r="A2177" s="8"/>
      <c r="B2177" s="9"/>
      <c r="C2177" s="9"/>
      <c r="D2177" s="9"/>
      <c r="E2177" s="9"/>
      <c r="F2177" s="9"/>
      <c r="G2177" s="9"/>
      <c r="H2177" s="9"/>
      <c r="I2177" s="9"/>
      <c r="J2177" s="10"/>
      <c r="K2177" s="10"/>
      <c r="L2177" s="10"/>
      <c r="M2177" s="10"/>
      <c r="N2177" s="11"/>
      <c r="O2177" s="11"/>
      <c r="P2177" s="11"/>
      <c r="Q2177" s="11"/>
      <c r="R2177" s="10"/>
      <c r="S2177" s="10"/>
      <c r="T2177" s="10"/>
      <c r="U2177" s="10"/>
    </row>
    <row r="2178">
      <c r="A2178" s="8"/>
      <c r="B2178" s="9"/>
      <c r="C2178" s="9"/>
      <c r="D2178" s="9"/>
      <c r="E2178" s="9"/>
      <c r="F2178" s="9"/>
      <c r="G2178" s="9"/>
      <c r="H2178" s="9"/>
      <c r="I2178" s="9"/>
      <c r="J2178" s="10"/>
      <c r="K2178" s="10"/>
      <c r="L2178" s="10"/>
      <c r="M2178" s="10"/>
      <c r="N2178" s="11"/>
      <c r="O2178" s="11"/>
      <c r="P2178" s="11"/>
      <c r="Q2178" s="11"/>
      <c r="R2178" s="10"/>
      <c r="S2178" s="10"/>
      <c r="T2178" s="10"/>
      <c r="U2178" s="10"/>
    </row>
    <row r="2179">
      <c r="A2179" s="8"/>
      <c r="B2179" s="9"/>
      <c r="C2179" s="9"/>
      <c r="D2179" s="9"/>
      <c r="E2179" s="9"/>
      <c r="F2179" s="9"/>
      <c r="G2179" s="9"/>
      <c r="H2179" s="9"/>
      <c r="I2179" s="9"/>
      <c r="J2179" s="10"/>
      <c r="K2179" s="10"/>
      <c r="L2179" s="10"/>
      <c r="M2179" s="10"/>
      <c r="N2179" s="11"/>
      <c r="O2179" s="11"/>
      <c r="P2179" s="11"/>
      <c r="Q2179" s="11"/>
      <c r="R2179" s="10"/>
      <c r="S2179" s="10"/>
      <c r="T2179" s="10"/>
      <c r="U2179" s="10"/>
    </row>
    <row r="2180">
      <c r="A2180" s="8"/>
      <c r="B2180" s="9"/>
      <c r="C2180" s="9"/>
      <c r="D2180" s="9"/>
      <c r="E2180" s="9"/>
      <c r="F2180" s="9"/>
      <c r="G2180" s="9"/>
      <c r="H2180" s="9"/>
      <c r="I2180" s="9"/>
      <c r="J2180" s="10"/>
      <c r="K2180" s="10"/>
      <c r="L2180" s="10"/>
      <c r="M2180" s="10"/>
      <c r="N2180" s="11"/>
      <c r="O2180" s="11"/>
      <c r="P2180" s="11"/>
      <c r="Q2180" s="11"/>
      <c r="R2180" s="10"/>
      <c r="S2180" s="10"/>
      <c r="T2180" s="10"/>
      <c r="U2180" s="10"/>
    </row>
    <row r="2181">
      <c r="A2181" s="8"/>
      <c r="B2181" s="9"/>
      <c r="C2181" s="9"/>
      <c r="D2181" s="9"/>
      <c r="E2181" s="9"/>
      <c r="F2181" s="9"/>
      <c r="G2181" s="9"/>
      <c r="H2181" s="9"/>
      <c r="I2181" s="9"/>
      <c r="J2181" s="10"/>
      <c r="K2181" s="10"/>
      <c r="L2181" s="10"/>
      <c r="M2181" s="10"/>
      <c r="N2181" s="11"/>
      <c r="O2181" s="11"/>
      <c r="P2181" s="11"/>
      <c r="Q2181" s="11"/>
      <c r="R2181" s="10"/>
      <c r="S2181" s="10"/>
      <c r="T2181" s="10"/>
      <c r="U2181" s="10"/>
    </row>
    <row r="2182">
      <c r="A2182" s="8"/>
      <c r="B2182" s="9"/>
      <c r="C2182" s="9"/>
      <c r="D2182" s="9"/>
      <c r="E2182" s="9"/>
      <c r="F2182" s="9"/>
      <c r="G2182" s="9"/>
      <c r="H2182" s="9"/>
      <c r="I2182" s="9"/>
      <c r="J2182" s="10"/>
      <c r="K2182" s="10"/>
      <c r="L2182" s="10"/>
      <c r="M2182" s="10"/>
      <c r="N2182" s="11"/>
      <c r="O2182" s="11"/>
      <c r="P2182" s="11"/>
      <c r="Q2182" s="11"/>
      <c r="R2182" s="10"/>
      <c r="S2182" s="10"/>
      <c r="T2182" s="10"/>
      <c r="U2182" s="10"/>
    </row>
    <row r="2183">
      <c r="A2183" s="8"/>
      <c r="B2183" s="9"/>
      <c r="C2183" s="9"/>
      <c r="D2183" s="9"/>
      <c r="E2183" s="9"/>
      <c r="F2183" s="9"/>
      <c r="G2183" s="9"/>
      <c r="H2183" s="9"/>
      <c r="I2183" s="9"/>
      <c r="J2183" s="10"/>
      <c r="K2183" s="10"/>
      <c r="L2183" s="10"/>
      <c r="M2183" s="10"/>
      <c r="N2183" s="11"/>
      <c r="O2183" s="11"/>
      <c r="P2183" s="11"/>
      <c r="Q2183" s="11"/>
      <c r="R2183" s="10"/>
      <c r="S2183" s="10"/>
      <c r="T2183" s="10"/>
      <c r="U2183" s="10"/>
    </row>
    <row r="2184">
      <c r="A2184" s="8"/>
      <c r="B2184" s="9"/>
      <c r="C2184" s="9"/>
      <c r="D2184" s="9"/>
      <c r="E2184" s="9"/>
      <c r="F2184" s="9"/>
      <c r="G2184" s="9"/>
      <c r="H2184" s="9"/>
      <c r="I2184" s="9"/>
      <c r="J2184" s="10"/>
      <c r="K2184" s="10"/>
      <c r="L2184" s="10"/>
      <c r="M2184" s="10"/>
      <c r="N2184" s="11"/>
      <c r="O2184" s="11"/>
      <c r="P2184" s="11"/>
      <c r="Q2184" s="11"/>
      <c r="R2184" s="10"/>
      <c r="S2184" s="10"/>
      <c r="T2184" s="10"/>
      <c r="U2184" s="10"/>
    </row>
    <row r="2185">
      <c r="A2185" s="8"/>
      <c r="B2185" s="9"/>
      <c r="C2185" s="9"/>
      <c r="D2185" s="9"/>
      <c r="E2185" s="9"/>
      <c r="F2185" s="9"/>
      <c r="G2185" s="9"/>
      <c r="H2185" s="9"/>
      <c r="I2185" s="9"/>
      <c r="J2185" s="10"/>
      <c r="K2185" s="10"/>
      <c r="L2185" s="10"/>
      <c r="M2185" s="10"/>
      <c r="N2185" s="11"/>
      <c r="O2185" s="11"/>
      <c r="P2185" s="11"/>
      <c r="Q2185" s="11"/>
      <c r="R2185" s="10"/>
      <c r="S2185" s="10"/>
      <c r="T2185" s="10"/>
      <c r="U2185" s="10"/>
    </row>
    <row r="2186">
      <c r="A2186" s="8"/>
      <c r="B2186" s="9"/>
      <c r="C2186" s="9"/>
      <c r="D2186" s="9"/>
      <c r="E2186" s="9"/>
      <c r="F2186" s="9"/>
      <c r="G2186" s="9"/>
      <c r="H2186" s="9"/>
      <c r="I2186" s="9"/>
      <c r="J2186" s="10"/>
      <c r="K2186" s="10"/>
      <c r="L2186" s="10"/>
      <c r="M2186" s="10"/>
      <c r="N2186" s="11"/>
      <c r="O2186" s="11"/>
      <c r="P2186" s="11"/>
      <c r="Q2186" s="11"/>
      <c r="R2186" s="10"/>
      <c r="S2186" s="10"/>
      <c r="T2186" s="10"/>
      <c r="U2186" s="10"/>
    </row>
    <row r="2187">
      <c r="A2187" s="8"/>
      <c r="B2187" s="9"/>
      <c r="C2187" s="9"/>
      <c r="D2187" s="9"/>
      <c r="E2187" s="9"/>
      <c r="F2187" s="9"/>
      <c r="G2187" s="9"/>
      <c r="H2187" s="9"/>
      <c r="I2187" s="9"/>
      <c r="J2187" s="10"/>
      <c r="K2187" s="10"/>
      <c r="L2187" s="10"/>
      <c r="M2187" s="10"/>
      <c r="N2187" s="11"/>
      <c r="O2187" s="11"/>
      <c r="P2187" s="11"/>
      <c r="Q2187" s="11"/>
      <c r="R2187" s="10"/>
      <c r="S2187" s="10"/>
      <c r="T2187" s="10"/>
      <c r="U2187" s="10"/>
    </row>
    <row r="2188">
      <c r="A2188" s="8"/>
      <c r="B2188" s="9"/>
      <c r="C2188" s="9"/>
      <c r="D2188" s="9"/>
      <c r="E2188" s="9"/>
      <c r="F2188" s="9"/>
      <c r="G2188" s="9"/>
      <c r="H2188" s="9"/>
      <c r="I2188" s="9"/>
      <c r="J2188" s="10"/>
      <c r="K2188" s="10"/>
      <c r="L2188" s="10"/>
      <c r="M2188" s="10"/>
      <c r="N2188" s="11"/>
      <c r="O2188" s="11"/>
      <c r="P2188" s="11"/>
      <c r="Q2188" s="11"/>
      <c r="R2188" s="10"/>
      <c r="S2188" s="10"/>
      <c r="T2188" s="10"/>
      <c r="U2188" s="10"/>
    </row>
    <row r="2189">
      <c r="A2189" s="8"/>
      <c r="B2189" s="9"/>
      <c r="C2189" s="9"/>
      <c r="D2189" s="9"/>
      <c r="E2189" s="9"/>
      <c r="F2189" s="9"/>
      <c r="G2189" s="9"/>
      <c r="H2189" s="9"/>
      <c r="I2189" s="9"/>
      <c r="J2189" s="10"/>
      <c r="K2189" s="10"/>
      <c r="L2189" s="10"/>
      <c r="M2189" s="10"/>
      <c r="N2189" s="11"/>
      <c r="O2189" s="11"/>
      <c r="P2189" s="11"/>
      <c r="Q2189" s="11"/>
      <c r="R2189" s="10"/>
      <c r="S2189" s="10"/>
      <c r="T2189" s="10"/>
      <c r="U2189" s="10"/>
    </row>
    <row r="2190">
      <c r="A2190" s="8"/>
      <c r="B2190" s="9"/>
      <c r="C2190" s="9"/>
      <c r="D2190" s="9"/>
      <c r="E2190" s="9"/>
      <c r="F2190" s="9"/>
      <c r="G2190" s="9"/>
      <c r="H2190" s="9"/>
      <c r="I2190" s="9"/>
      <c r="J2190" s="10"/>
      <c r="K2190" s="10"/>
      <c r="L2190" s="10"/>
      <c r="M2190" s="10"/>
      <c r="N2190" s="11"/>
      <c r="O2190" s="11"/>
      <c r="P2190" s="11"/>
      <c r="Q2190" s="11"/>
      <c r="R2190" s="10"/>
      <c r="S2190" s="10"/>
      <c r="T2190" s="10"/>
      <c r="U2190" s="10"/>
    </row>
    <row r="2191">
      <c r="A2191" s="8"/>
      <c r="B2191" s="9"/>
      <c r="C2191" s="9"/>
      <c r="D2191" s="9"/>
      <c r="E2191" s="9"/>
      <c r="F2191" s="9"/>
      <c r="G2191" s="9"/>
      <c r="H2191" s="9"/>
      <c r="I2191" s="9"/>
      <c r="J2191" s="10"/>
      <c r="K2191" s="10"/>
      <c r="L2191" s="10"/>
      <c r="M2191" s="10"/>
      <c r="N2191" s="11"/>
      <c r="O2191" s="11"/>
      <c r="P2191" s="11"/>
      <c r="Q2191" s="11"/>
      <c r="R2191" s="10"/>
      <c r="S2191" s="10"/>
      <c r="T2191" s="10"/>
      <c r="U2191" s="10"/>
    </row>
    <row r="2192">
      <c r="A2192" s="8"/>
      <c r="B2192" s="9"/>
      <c r="C2192" s="9"/>
      <c r="D2192" s="9"/>
      <c r="E2192" s="9"/>
      <c r="F2192" s="9"/>
      <c r="G2192" s="9"/>
      <c r="H2192" s="9"/>
      <c r="I2192" s="9"/>
      <c r="J2192" s="10"/>
      <c r="K2192" s="10"/>
      <c r="L2192" s="10"/>
      <c r="M2192" s="10"/>
      <c r="N2192" s="11"/>
      <c r="O2192" s="11"/>
      <c r="P2192" s="11"/>
      <c r="Q2192" s="11"/>
      <c r="R2192" s="10"/>
      <c r="S2192" s="10"/>
      <c r="T2192" s="10"/>
      <c r="U2192" s="10"/>
    </row>
    <row r="2193">
      <c r="A2193" s="8"/>
      <c r="B2193" s="9"/>
      <c r="C2193" s="9"/>
      <c r="D2193" s="9"/>
      <c r="E2193" s="9"/>
      <c r="F2193" s="9"/>
      <c r="G2193" s="9"/>
      <c r="H2193" s="9"/>
      <c r="I2193" s="9"/>
      <c r="J2193" s="10"/>
      <c r="K2193" s="10"/>
      <c r="L2193" s="10"/>
      <c r="M2193" s="10"/>
      <c r="N2193" s="11"/>
      <c r="O2193" s="11"/>
      <c r="P2193" s="11"/>
      <c r="Q2193" s="11"/>
      <c r="R2193" s="10"/>
      <c r="S2193" s="10"/>
      <c r="T2193" s="10"/>
      <c r="U2193" s="10"/>
    </row>
    <row r="2194">
      <c r="A2194" s="8"/>
      <c r="B2194" s="9"/>
      <c r="C2194" s="9"/>
      <c r="D2194" s="9"/>
      <c r="E2194" s="9"/>
      <c r="F2194" s="9"/>
      <c r="G2194" s="9"/>
      <c r="H2194" s="9"/>
      <c r="I2194" s="9"/>
      <c r="J2194" s="10"/>
      <c r="K2194" s="10"/>
      <c r="L2194" s="10"/>
      <c r="M2194" s="10"/>
      <c r="N2194" s="11"/>
      <c r="O2194" s="11"/>
      <c r="P2194" s="11"/>
      <c r="Q2194" s="11"/>
      <c r="R2194" s="10"/>
      <c r="S2194" s="10"/>
      <c r="T2194" s="10"/>
      <c r="U2194" s="10"/>
    </row>
    <row r="2195">
      <c r="A2195" s="8"/>
      <c r="B2195" s="9"/>
      <c r="C2195" s="9"/>
      <c r="D2195" s="9"/>
      <c r="E2195" s="9"/>
      <c r="F2195" s="9"/>
      <c r="G2195" s="9"/>
      <c r="H2195" s="9"/>
      <c r="I2195" s="9"/>
      <c r="J2195" s="10"/>
      <c r="K2195" s="10"/>
      <c r="L2195" s="10"/>
      <c r="M2195" s="10"/>
      <c r="N2195" s="11"/>
      <c r="O2195" s="11"/>
      <c r="P2195" s="11"/>
      <c r="Q2195" s="11"/>
      <c r="R2195" s="10"/>
      <c r="S2195" s="10"/>
      <c r="T2195" s="10"/>
      <c r="U2195" s="10"/>
    </row>
    <row r="2196">
      <c r="A2196" s="8"/>
      <c r="B2196" s="9"/>
      <c r="C2196" s="9"/>
      <c r="D2196" s="9"/>
      <c r="E2196" s="9"/>
      <c r="F2196" s="9"/>
      <c r="G2196" s="9"/>
      <c r="H2196" s="9"/>
      <c r="I2196" s="9"/>
      <c r="J2196" s="10"/>
      <c r="K2196" s="10"/>
      <c r="L2196" s="10"/>
      <c r="M2196" s="10"/>
      <c r="N2196" s="11"/>
      <c r="O2196" s="11"/>
      <c r="P2196" s="11"/>
      <c r="Q2196" s="11"/>
      <c r="R2196" s="10"/>
      <c r="S2196" s="10"/>
      <c r="T2196" s="10"/>
      <c r="U2196" s="10"/>
    </row>
    <row r="2197">
      <c r="A2197" s="8"/>
      <c r="B2197" s="9"/>
      <c r="C2197" s="9"/>
      <c r="D2197" s="9"/>
      <c r="E2197" s="9"/>
      <c r="F2197" s="9"/>
      <c r="G2197" s="9"/>
      <c r="H2197" s="9"/>
      <c r="I2197" s="9"/>
      <c r="J2197" s="10"/>
      <c r="K2197" s="10"/>
      <c r="L2197" s="10"/>
      <c r="M2197" s="10"/>
      <c r="N2197" s="11"/>
      <c r="O2197" s="11"/>
      <c r="P2197" s="11"/>
      <c r="Q2197" s="11"/>
      <c r="R2197" s="10"/>
      <c r="S2197" s="10"/>
      <c r="T2197" s="10"/>
      <c r="U2197" s="10"/>
    </row>
    <row r="2198">
      <c r="A2198" s="8"/>
      <c r="B2198" s="9"/>
      <c r="C2198" s="9"/>
      <c r="D2198" s="9"/>
      <c r="E2198" s="9"/>
      <c r="F2198" s="9"/>
      <c r="G2198" s="9"/>
      <c r="H2198" s="9"/>
      <c r="I2198" s="9"/>
      <c r="J2198" s="10"/>
      <c r="K2198" s="10"/>
      <c r="L2198" s="10"/>
      <c r="M2198" s="10"/>
      <c r="N2198" s="11"/>
      <c r="O2198" s="11"/>
      <c r="P2198" s="11"/>
      <c r="Q2198" s="11"/>
      <c r="R2198" s="10"/>
      <c r="S2198" s="10"/>
      <c r="T2198" s="10"/>
      <c r="U2198" s="10"/>
    </row>
    <row r="2199">
      <c r="A2199" s="8"/>
      <c r="B2199" s="9"/>
      <c r="C2199" s="9"/>
      <c r="D2199" s="9"/>
      <c r="E2199" s="9"/>
      <c r="F2199" s="9"/>
      <c r="G2199" s="9"/>
      <c r="H2199" s="9"/>
      <c r="I2199" s="9"/>
      <c r="J2199" s="10"/>
      <c r="K2199" s="10"/>
      <c r="L2199" s="10"/>
      <c r="M2199" s="10"/>
      <c r="N2199" s="11"/>
      <c r="O2199" s="11"/>
      <c r="P2199" s="11"/>
      <c r="Q2199" s="11"/>
      <c r="R2199" s="10"/>
      <c r="S2199" s="10"/>
      <c r="T2199" s="10"/>
      <c r="U2199" s="10"/>
    </row>
    <row r="2200">
      <c r="A2200" s="8"/>
      <c r="B2200" s="9"/>
      <c r="C2200" s="9"/>
      <c r="D2200" s="9"/>
      <c r="E2200" s="9"/>
      <c r="F2200" s="9"/>
      <c r="G2200" s="9"/>
      <c r="H2200" s="9"/>
      <c r="I2200" s="9"/>
      <c r="J2200" s="10"/>
      <c r="K2200" s="10"/>
      <c r="L2200" s="10"/>
      <c r="M2200" s="10"/>
      <c r="N2200" s="11"/>
      <c r="O2200" s="11"/>
      <c r="P2200" s="11"/>
      <c r="Q2200" s="11"/>
      <c r="R2200" s="10"/>
      <c r="S2200" s="10"/>
      <c r="T2200" s="10"/>
      <c r="U2200" s="10"/>
    </row>
    <row r="2201">
      <c r="A2201" s="8"/>
      <c r="B2201" s="9"/>
      <c r="C2201" s="9"/>
      <c r="D2201" s="9"/>
      <c r="E2201" s="9"/>
      <c r="F2201" s="9"/>
      <c r="G2201" s="9"/>
      <c r="H2201" s="9"/>
      <c r="I2201" s="9"/>
      <c r="J2201" s="10"/>
      <c r="K2201" s="10"/>
      <c r="L2201" s="10"/>
      <c r="M2201" s="10"/>
      <c r="N2201" s="11"/>
      <c r="O2201" s="11"/>
      <c r="P2201" s="11"/>
      <c r="Q2201" s="11"/>
      <c r="R2201" s="10"/>
      <c r="S2201" s="10"/>
      <c r="T2201" s="10"/>
      <c r="U2201" s="10"/>
    </row>
    <row r="2202">
      <c r="A2202" s="8"/>
      <c r="B2202" s="9"/>
      <c r="C2202" s="9"/>
      <c r="D2202" s="9"/>
      <c r="E2202" s="9"/>
      <c r="F2202" s="9"/>
      <c r="G2202" s="9"/>
      <c r="H2202" s="9"/>
      <c r="I2202" s="9"/>
      <c r="J2202" s="10"/>
      <c r="K2202" s="10"/>
      <c r="L2202" s="10"/>
      <c r="M2202" s="10"/>
      <c r="N2202" s="11"/>
      <c r="O2202" s="11"/>
      <c r="P2202" s="11"/>
      <c r="Q2202" s="11"/>
      <c r="R2202" s="10"/>
      <c r="S2202" s="10"/>
      <c r="T2202" s="10"/>
      <c r="U2202" s="10"/>
    </row>
    <row r="2203">
      <c r="A2203" s="8"/>
      <c r="B2203" s="9"/>
      <c r="C2203" s="9"/>
      <c r="D2203" s="9"/>
      <c r="E2203" s="9"/>
      <c r="F2203" s="9"/>
      <c r="G2203" s="9"/>
      <c r="H2203" s="9"/>
      <c r="I2203" s="9"/>
      <c r="J2203" s="10"/>
      <c r="K2203" s="10"/>
      <c r="L2203" s="10"/>
      <c r="M2203" s="10"/>
      <c r="N2203" s="11"/>
      <c r="O2203" s="11"/>
      <c r="P2203" s="11"/>
      <c r="Q2203" s="11"/>
      <c r="R2203" s="10"/>
      <c r="S2203" s="10"/>
      <c r="T2203" s="10"/>
      <c r="U2203" s="10"/>
    </row>
    <row r="2204">
      <c r="A2204" s="8"/>
      <c r="B2204" s="9"/>
      <c r="C2204" s="9"/>
      <c r="D2204" s="9"/>
      <c r="E2204" s="9"/>
      <c r="F2204" s="9"/>
      <c r="G2204" s="9"/>
      <c r="H2204" s="9"/>
      <c r="I2204" s="9"/>
      <c r="J2204" s="10"/>
      <c r="K2204" s="10"/>
      <c r="L2204" s="10"/>
      <c r="M2204" s="10"/>
      <c r="N2204" s="11"/>
      <c r="O2204" s="11"/>
      <c r="P2204" s="11"/>
      <c r="Q2204" s="11"/>
      <c r="R2204" s="10"/>
      <c r="S2204" s="10"/>
      <c r="T2204" s="10"/>
      <c r="U2204" s="10"/>
    </row>
    <row r="2205">
      <c r="A2205" s="8"/>
      <c r="B2205" s="9"/>
      <c r="C2205" s="9"/>
      <c r="D2205" s="9"/>
      <c r="E2205" s="9"/>
      <c r="F2205" s="9"/>
      <c r="G2205" s="9"/>
      <c r="H2205" s="9"/>
      <c r="I2205" s="9"/>
      <c r="J2205" s="10"/>
      <c r="K2205" s="10"/>
      <c r="L2205" s="10"/>
      <c r="M2205" s="10"/>
      <c r="N2205" s="11"/>
      <c r="O2205" s="11"/>
      <c r="P2205" s="11"/>
      <c r="Q2205" s="11"/>
      <c r="R2205" s="10"/>
      <c r="S2205" s="10"/>
      <c r="T2205" s="10"/>
      <c r="U2205" s="10"/>
    </row>
    <row r="2206">
      <c r="A2206" s="8"/>
      <c r="B2206" s="9"/>
      <c r="C2206" s="9"/>
      <c r="D2206" s="9"/>
      <c r="E2206" s="9"/>
      <c r="F2206" s="9"/>
      <c r="G2206" s="9"/>
      <c r="H2206" s="9"/>
      <c r="I2206" s="9"/>
      <c r="J2206" s="10"/>
      <c r="K2206" s="10"/>
      <c r="L2206" s="10"/>
      <c r="M2206" s="10"/>
      <c r="N2206" s="11"/>
      <c r="O2206" s="11"/>
      <c r="P2206" s="11"/>
      <c r="Q2206" s="11"/>
      <c r="R2206" s="10"/>
      <c r="S2206" s="10"/>
      <c r="T2206" s="10"/>
      <c r="U2206" s="10"/>
    </row>
    <row r="2207">
      <c r="A2207" s="8"/>
      <c r="B2207" s="9"/>
      <c r="C2207" s="9"/>
      <c r="D2207" s="9"/>
      <c r="E2207" s="9"/>
      <c r="F2207" s="9"/>
      <c r="G2207" s="9"/>
      <c r="H2207" s="9"/>
      <c r="I2207" s="9"/>
      <c r="J2207" s="10"/>
      <c r="K2207" s="10"/>
      <c r="L2207" s="10"/>
      <c r="M2207" s="10"/>
      <c r="N2207" s="11"/>
      <c r="O2207" s="11"/>
      <c r="P2207" s="11"/>
      <c r="Q2207" s="11"/>
      <c r="R2207" s="10"/>
      <c r="S2207" s="10"/>
      <c r="T2207" s="10"/>
      <c r="U2207" s="10"/>
    </row>
    <row r="2208">
      <c r="A2208" s="8"/>
      <c r="B2208" s="9"/>
      <c r="C2208" s="9"/>
      <c r="D2208" s="9"/>
      <c r="E2208" s="9"/>
      <c r="F2208" s="9"/>
      <c r="G2208" s="9"/>
      <c r="H2208" s="9"/>
      <c r="I2208" s="9"/>
      <c r="J2208" s="10"/>
      <c r="K2208" s="10"/>
      <c r="L2208" s="10"/>
      <c r="M2208" s="10"/>
      <c r="N2208" s="11"/>
      <c r="O2208" s="11"/>
      <c r="P2208" s="11"/>
      <c r="Q2208" s="11"/>
      <c r="R2208" s="10"/>
      <c r="S2208" s="10"/>
      <c r="T2208" s="10"/>
      <c r="U2208" s="10"/>
    </row>
    <row r="2209">
      <c r="A2209" s="8"/>
      <c r="B2209" s="9"/>
      <c r="C2209" s="9"/>
      <c r="D2209" s="9"/>
      <c r="E2209" s="9"/>
      <c r="F2209" s="9"/>
      <c r="G2209" s="9"/>
      <c r="H2209" s="9"/>
      <c r="I2209" s="9"/>
      <c r="J2209" s="10"/>
      <c r="K2209" s="10"/>
      <c r="L2209" s="10"/>
      <c r="M2209" s="10"/>
      <c r="N2209" s="11"/>
      <c r="O2209" s="11"/>
      <c r="P2209" s="11"/>
      <c r="Q2209" s="11"/>
      <c r="R2209" s="10"/>
      <c r="S2209" s="10"/>
      <c r="T2209" s="10"/>
      <c r="U2209" s="10"/>
    </row>
    <row r="2210">
      <c r="A2210" s="8"/>
      <c r="B2210" s="9"/>
      <c r="C2210" s="9"/>
      <c r="D2210" s="9"/>
      <c r="E2210" s="9"/>
      <c r="F2210" s="9"/>
      <c r="G2210" s="9"/>
      <c r="H2210" s="9"/>
      <c r="I2210" s="9"/>
      <c r="J2210" s="10"/>
      <c r="K2210" s="10"/>
      <c r="L2210" s="10"/>
      <c r="M2210" s="10"/>
      <c r="N2210" s="11"/>
      <c r="O2210" s="11"/>
      <c r="P2210" s="11"/>
      <c r="Q2210" s="11"/>
      <c r="R2210" s="10"/>
      <c r="S2210" s="10"/>
      <c r="T2210" s="10"/>
      <c r="U2210" s="10"/>
    </row>
    <row r="2211">
      <c r="A2211" s="8"/>
      <c r="B2211" s="9"/>
      <c r="C2211" s="9"/>
      <c r="D2211" s="9"/>
      <c r="E2211" s="9"/>
      <c r="F2211" s="9"/>
      <c r="G2211" s="9"/>
      <c r="H2211" s="9"/>
      <c r="I2211" s="9"/>
      <c r="J2211" s="10"/>
      <c r="K2211" s="10"/>
      <c r="L2211" s="10"/>
      <c r="M2211" s="10"/>
      <c r="N2211" s="11"/>
      <c r="O2211" s="11"/>
      <c r="P2211" s="11"/>
      <c r="Q2211" s="11"/>
      <c r="R2211" s="10"/>
      <c r="S2211" s="10"/>
      <c r="T2211" s="10"/>
      <c r="U2211" s="10"/>
    </row>
    <row r="2212">
      <c r="A2212" s="8"/>
      <c r="B2212" s="9"/>
      <c r="C2212" s="9"/>
      <c r="D2212" s="9"/>
      <c r="E2212" s="9"/>
      <c r="F2212" s="9"/>
      <c r="G2212" s="9"/>
      <c r="H2212" s="9"/>
      <c r="I2212" s="9"/>
      <c r="J2212" s="10"/>
      <c r="K2212" s="10"/>
      <c r="L2212" s="10"/>
      <c r="M2212" s="10"/>
      <c r="N2212" s="11"/>
      <c r="O2212" s="11"/>
      <c r="P2212" s="11"/>
      <c r="Q2212" s="11"/>
      <c r="R2212" s="10"/>
      <c r="S2212" s="10"/>
      <c r="T2212" s="10"/>
      <c r="U2212" s="10"/>
    </row>
    <row r="2213">
      <c r="A2213" s="8"/>
      <c r="B2213" s="9"/>
      <c r="C2213" s="9"/>
      <c r="D2213" s="9"/>
      <c r="E2213" s="9"/>
      <c r="F2213" s="9"/>
      <c r="G2213" s="9"/>
      <c r="H2213" s="9"/>
      <c r="I2213" s="9"/>
      <c r="J2213" s="10"/>
      <c r="K2213" s="10"/>
      <c r="L2213" s="10"/>
      <c r="M2213" s="10"/>
      <c r="N2213" s="11"/>
      <c r="O2213" s="11"/>
      <c r="P2213" s="11"/>
      <c r="Q2213" s="11"/>
      <c r="R2213" s="10"/>
      <c r="S2213" s="10"/>
      <c r="T2213" s="10"/>
      <c r="U2213" s="10"/>
    </row>
    <row r="2214">
      <c r="A2214" s="8"/>
      <c r="B2214" s="9"/>
      <c r="C2214" s="9"/>
      <c r="D2214" s="9"/>
      <c r="E2214" s="9"/>
      <c r="F2214" s="9"/>
      <c r="G2214" s="9"/>
      <c r="H2214" s="9"/>
      <c r="I2214" s="9"/>
      <c r="J2214" s="10"/>
      <c r="K2214" s="10"/>
      <c r="L2214" s="10"/>
      <c r="M2214" s="10"/>
      <c r="N2214" s="11"/>
      <c r="O2214" s="11"/>
      <c r="P2214" s="11"/>
      <c r="Q2214" s="11"/>
      <c r="R2214" s="10"/>
      <c r="S2214" s="10"/>
      <c r="T2214" s="10"/>
      <c r="U2214" s="10"/>
    </row>
    <row r="2215">
      <c r="A2215" s="8"/>
      <c r="B2215" s="9"/>
      <c r="C2215" s="9"/>
      <c r="D2215" s="9"/>
      <c r="E2215" s="9"/>
      <c r="F2215" s="9"/>
      <c r="G2215" s="9"/>
      <c r="H2215" s="9"/>
      <c r="I2215" s="9"/>
      <c r="J2215" s="10"/>
      <c r="K2215" s="10"/>
      <c r="L2215" s="10"/>
      <c r="M2215" s="10"/>
      <c r="N2215" s="11"/>
      <c r="O2215" s="11"/>
      <c r="P2215" s="11"/>
      <c r="Q2215" s="11"/>
      <c r="R2215" s="10"/>
      <c r="S2215" s="10"/>
      <c r="T2215" s="10"/>
      <c r="U2215" s="10"/>
    </row>
    <row r="2216">
      <c r="A2216" s="8"/>
      <c r="B2216" s="9"/>
      <c r="C2216" s="9"/>
      <c r="D2216" s="9"/>
      <c r="E2216" s="9"/>
      <c r="F2216" s="9"/>
      <c r="G2216" s="9"/>
      <c r="H2216" s="9"/>
      <c r="I2216" s="9"/>
      <c r="J2216" s="10"/>
      <c r="K2216" s="10"/>
      <c r="L2216" s="10"/>
      <c r="M2216" s="10"/>
      <c r="N2216" s="11"/>
      <c r="O2216" s="11"/>
      <c r="P2216" s="11"/>
      <c r="Q2216" s="11"/>
      <c r="R2216" s="10"/>
      <c r="S2216" s="10"/>
      <c r="T2216" s="10"/>
      <c r="U2216" s="10"/>
    </row>
    <row r="2217">
      <c r="A2217" s="8"/>
      <c r="B2217" s="9"/>
      <c r="C2217" s="9"/>
      <c r="D2217" s="9"/>
      <c r="E2217" s="9"/>
      <c r="F2217" s="9"/>
      <c r="G2217" s="9"/>
      <c r="H2217" s="9"/>
      <c r="I2217" s="9"/>
      <c r="J2217" s="10"/>
      <c r="K2217" s="10"/>
      <c r="L2217" s="10"/>
      <c r="M2217" s="10"/>
      <c r="N2217" s="11"/>
      <c r="O2217" s="11"/>
      <c r="P2217" s="11"/>
      <c r="Q2217" s="11"/>
      <c r="R2217" s="10"/>
      <c r="S2217" s="10"/>
      <c r="T2217" s="10"/>
      <c r="U2217" s="10"/>
    </row>
    <row r="2218">
      <c r="A2218" s="8"/>
      <c r="B2218" s="9"/>
      <c r="C2218" s="9"/>
      <c r="D2218" s="9"/>
      <c r="E2218" s="9"/>
      <c r="F2218" s="9"/>
      <c r="G2218" s="9"/>
      <c r="H2218" s="9"/>
      <c r="I2218" s="9"/>
      <c r="J2218" s="10"/>
      <c r="K2218" s="10"/>
      <c r="L2218" s="10"/>
      <c r="M2218" s="10"/>
      <c r="N2218" s="11"/>
      <c r="O2218" s="11"/>
      <c r="P2218" s="11"/>
      <c r="Q2218" s="11"/>
      <c r="R2218" s="10"/>
      <c r="S2218" s="10"/>
      <c r="T2218" s="10"/>
      <c r="U2218" s="10"/>
    </row>
    <row r="2219">
      <c r="A2219" s="8"/>
      <c r="B2219" s="9"/>
      <c r="C2219" s="9"/>
      <c r="D2219" s="9"/>
      <c r="E2219" s="9"/>
      <c r="F2219" s="9"/>
      <c r="G2219" s="9"/>
      <c r="H2219" s="9"/>
      <c r="I2219" s="9"/>
      <c r="J2219" s="10"/>
      <c r="K2219" s="10"/>
      <c r="L2219" s="10"/>
      <c r="M2219" s="10"/>
      <c r="N2219" s="11"/>
      <c r="O2219" s="11"/>
      <c r="P2219" s="11"/>
      <c r="Q2219" s="11"/>
      <c r="R2219" s="10"/>
      <c r="S2219" s="10"/>
      <c r="T2219" s="10"/>
      <c r="U2219" s="10"/>
    </row>
    <row r="2220">
      <c r="A2220" s="8"/>
      <c r="B2220" s="9"/>
      <c r="C2220" s="9"/>
      <c r="D2220" s="9"/>
      <c r="E2220" s="9"/>
      <c r="F2220" s="9"/>
      <c r="G2220" s="9"/>
      <c r="H2220" s="9"/>
      <c r="I2220" s="9"/>
      <c r="J2220" s="10"/>
      <c r="K2220" s="10"/>
      <c r="L2220" s="10"/>
      <c r="M2220" s="10"/>
      <c r="N2220" s="11"/>
      <c r="O2220" s="11"/>
      <c r="P2220" s="11"/>
      <c r="Q2220" s="11"/>
      <c r="R2220" s="10"/>
      <c r="S2220" s="10"/>
      <c r="T2220" s="10"/>
      <c r="U2220" s="10"/>
    </row>
    <row r="2221">
      <c r="A2221" s="8"/>
      <c r="B2221" s="9"/>
      <c r="C2221" s="9"/>
      <c r="D2221" s="9"/>
      <c r="E2221" s="9"/>
      <c r="F2221" s="9"/>
      <c r="G2221" s="9"/>
      <c r="H2221" s="9"/>
      <c r="I2221" s="9"/>
      <c r="J2221" s="10"/>
      <c r="K2221" s="10"/>
      <c r="L2221" s="10"/>
      <c r="M2221" s="10"/>
      <c r="N2221" s="11"/>
      <c r="O2221" s="11"/>
      <c r="P2221" s="11"/>
      <c r="Q2221" s="11"/>
      <c r="R2221" s="10"/>
      <c r="S2221" s="10"/>
      <c r="T2221" s="10"/>
      <c r="U2221" s="10"/>
    </row>
    <row r="2222">
      <c r="A2222" s="8"/>
      <c r="B2222" s="9"/>
      <c r="C2222" s="9"/>
      <c r="D2222" s="9"/>
      <c r="E2222" s="9"/>
      <c r="F2222" s="9"/>
      <c r="G2222" s="9"/>
      <c r="H2222" s="9"/>
      <c r="I2222" s="9"/>
      <c r="J2222" s="10"/>
      <c r="K2222" s="10"/>
      <c r="L2222" s="10"/>
      <c r="M2222" s="10"/>
      <c r="N2222" s="11"/>
      <c r="O2222" s="11"/>
      <c r="P2222" s="11"/>
      <c r="Q2222" s="11"/>
      <c r="R2222" s="10"/>
      <c r="S2222" s="10"/>
      <c r="T2222" s="10"/>
      <c r="U2222" s="10"/>
    </row>
    <row r="2223">
      <c r="A2223" s="8"/>
      <c r="B2223" s="9"/>
      <c r="C2223" s="9"/>
      <c r="D2223" s="9"/>
      <c r="E2223" s="9"/>
      <c r="F2223" s="9"/>
      <c r="G2223" s="9"/>
      <c r="H2223" s="9"/>
      <c r="I2223" s="9"/>
      <c r="J2223" s="10"/>
      <c r="K2223" s="10"/>
      <c r="L2223" s="10"/>
      <c r="M2223" s="10"/>
      <c r="N2223" s="11"/>
      <c r="O2223" s="11"/>
      <c r="P2223" s="11"/>
      <c r="Q2223" s="11"/>
      <c r="R2223" s="10"/>
      <c r="S2223" s="10"/>
      <c r="T2223" s="10"/>
      <c r="U2223" s="10"/>
    </row>
    <row r="2224">
      <c r="A2224" s="8"/>
      <c r="B2224" s="9"/>
      <c r="C2224" s="9"/>
      <c r="D2224" s="9"/>
      <c r="E2224" s="9"/>
      <c r="F2224" s="9"/>
      <c r="G2224" s="9"/>
      <c r="H2224" s="9"/>
      <c r="I2224" s="9"/>
      <c r="J2224" s="10"/>
      <c r="K2224" s="10"/>
      <c r="L2224" s="10"/>
      <c r="M2224" s="10"/>
      <c r="N2224" s="11"/>
      <c r="O2224" s="11"/>
      <c r="P2224" s="11"/>
      <c r="Q2224" s="11"/>
      <c r="R2224" s="10"/>
      <c r="S2224" s="10"/>
      <c r="T2224" s="10"/>
      <c r="U2224" s="10"/>
    </row>
    <row r="2225">
      <c r="A2225" s="8"/>
      <c r="B2225" s="9"/>
      <c r="C2225" s="9"/>
      <c r="D2225" s="9"/>
      <c r="E2225" s="9"/>
      <c r="F2225" s="9"/>
      <c r="G2225" s="9"/>
      <c r="H2225" s="9"/>
      <c r="I2225" s="9"/>
      <c r="J2225" s="10"/>
      <c r="K2225" s="10"/>
      <c r="L2225" s="10"/>
      <c r="M2225" s="10"/>
      <c r="N2225" s="11"/>
      <c r="O2225" s="11"/>
      <c r="P2225" s="11"/>
      <c r="Q2225" s="11"/>
      <c r="R2225" s="10"/>
      <c r="S2225" s="10"/>
      <c r="T2225" s="10"/>
      <c r="U2225" s="10"/>
    </row>
    <row r="2226">
      <c r="A2226" s="8"/>
      <c r="B2226" s="9"/>
      <c r="C2226" s="9"/>
      <c r="D2226" s="9"/>
      <c r="E2226" s="9"/>
      <c r="F2226" s="9"/>
      <c r="G2226" s="9"/>
      <c r="H2226" s="9"/>
      <c r="I2226" s="9"/>
      <c r="J2226" s="10"/>
      <c r="K2226" s="10"/>
      <c r="L2226" s="10"/>
      <c r="M2226" s="10"/>
      <c r="N2226" s="11"/>
      <c r="O2226" s="11"/>
      <c r="P2226" s="11"/>
      <c r="Q2226" s="11"/>
      <c r="R2226" s="10"/>
      <c r="S2226" s="10"/>
      <c r="T2226" s="10"/>
      <c r="U2226" s="10"/>
    </row>
    <row r="2227">
      <c r="A2227" s="8"/>
      <c r="B2227" s="9"/>
      <c r="C2227" s="9"/>
      <c r="D2227" s="9"/>
      <c r="E2227" s="9"/>
      <c r="F2227" s="9"/>
      <c r="G2227" s="9"/>
      <c r="H2227" s="9"/>
      <c r="I2227" s="9"/>
      <c r="J2227" s="10"/>
      <c r="K2227" s="10"/>
      <c r="L2227" s="10"/>
      <c r="M2227" s="10"/>
      <c r="N2227" s="11"/>
      <c r="O2227" s="11"/>
      <c r="P2227" s="11"/>
      <c r="Q2227" s="11"/>
      <c r="R2227" s="10"/>
      <c r="S2227" s="10"/>
      <c r="T2227" s="10"/>
      <c r="U2227" s="10"/>
    </row>
    <row r="2228">
      <c r="A2228" s="8"/>
      <c r="B2228" s="9"/>
      <c r="C2228" s="9"/>
      <c r="D2228" s="9"/>
      <c r="E2228" s="9"/>
      <c r="F2228" s="9"/>
      <c r="G2228" s="9"/>
      <c r="H2228" s="9"/>
      <c r="I2228" s="9"/>
      <c r="J2228" s="10"/>
      <c r="K2228" s="10"/>
      <c r="L2228" s="10"/>
      <c r="M2228" s="10"/>
      <c r="N2228" s="11"/>
      <c r="O2228" s="11"/>
      <c r="P2228" s="11"/>
      <c r="Q2228" s="11"/>
      <c r="R2228" s="10"/>
      <c r="S2228" s="10"/>
      <c r="T2228" s="10"/>
      <c r="U2228" s="10"/>
    </row>
    <row r="2229">
      <c r="A2229" s="8"/>
      <c r="B2229" s="9"/>
      <c r="C2229" s="9"/>
      <c r="D2229" s="9"/>
      <c r="E2229" s="9"/>
      <c r="F2229" s="9"/>
      <c r="G2229" s="9"/>
      <c r="H2229" s="9"/>
      <c r="I2229" s="9"/>
      <c r="J2229" s="10"/>
      <c r="K2229" s="10"/>
      <c r="L2229" s="10"/>
      <c r="M2229" s="10"/>
      <c r="N2229" s="11"/>
      <c r="O2229" s="11"/>
      <c r="P2229" s="11"/>
      <c r="Q2229" s="11"/>
      <c r="R2229" s="10"/>
      <c r="S2229" s="10"/>
      <c r="T2229" s="10"/>
      <c r="U2229" s="10"/>
    </row>
    <row r="2230">
      <c r="A2230" s="8"/>
      <c r="B2230" s="9"/>
      <c r="C2230" s="9"/>
      <c r="D2230" s="9"/>
      <c r="E2230" s="9"/>
      <c r="F2230" s="9"/>
      <c r="G2230" s="9"/>
      <c r="H2230" s="9"/>
      <c r="I2230" s="9"/>
      <c r="J2230" s="10"/>
      <c r="K2230" s="10"/>
      <c r="L2230" s="10"/>
      <c r="M2230" s="10"/>
      <c r="N2230" s="11"/>
      <c r="O2230" s="11"/>
      <c r="P2230" s="11"/>
      <c r="Q2230" s="11"/>
      <c r="R2230" s="10"/>
      <c r="S2230" s="10"/>
      <c r="T2230" s="10"/>
      <c r="U2230" s="10"/>
    </row>
    <row r="2231">
      <c r="A2231" s="8"/>
      <c r="B2231" s="9"/>
      <c r="C2231" s="9"/>
      <c r="D2231" s="9"/>
      <c r="E2231" s="9"/>
      <c r="F2231" s="9"/>
      <c r="G2231" s="9"/>
      <c r="H2231" s="9"/>
      <c r="I2231" s="9"/>
      <c r="J2231" s="10"/>
      <c r="K2231" s="10"/>
      <c r="L2231" s="10"/>
      <c r="M2231" s="10"/>
      <c r="N2231" s="11"/>
      <c r="O2231" s="11"/>
      <c r="P2231" s="11"/>
      <c r="Q2231" s="11"/>
      <c r="R2231" s="10"/>
      <c r="S2231" s="10"/>
      <c r="T2231" s="10"/>
      <c r="U2231" s="10"/>
    </row>
    <row r="2232">
      <c r="A2232" s="8"/>
      <c r="B2232" s="9"/>
      <c r="C2232" s="9"/>
      <c r="D2232" s="9"/>
      <c r="E2232" s="9"/>
      <c r="F2232" s="9"/>
      <c r="G2232" s="9"/>
      <c r="H2232" s="9"/>
      <c r="I2232" s="9"/>
      <c r="J2232" s="10"/>
      <c r="K2232" s="10"/>
      <c r="L2232" s="10"/>
      <c r="M2232" s="10"/>
      <c r="N2232" s="11"/>
      <c r="O2232" s="11"/>
      <c r="P2232" s="11"/>
      <c r="Q2232" s="11"/>
      <c r="R2232" s="10"/>
      <c r="S2232" s="10"/>
      <c r="T2232" s="10"/>
      <c r="U2232" s="10"/>
    </row>
    <row r="2233">
      <c r="A2233" s="8"/>
      <c r="B2233" s="9"/>
      <c r="C2233" s="9"/>
      <c r="D2233" s="9"/>
      <c r="E2233" s="9"/>
      <c r="F2233" s="9"/>
      <c r="G2233" s="9"/>
      <c r="H2233" s="9"/>
      <c r="I2233" s="9"/>
      <c r="J2233" s="10"/>
      <c r="K2233" s="10"/>
      <c r="L2233" s="10"/>
      <c r="M2233" s="10"/>
      <c r="N2233" s="11"/>
      <c r="O2233" s="11"/>
      <c r="P2233" s="11"/>
      <c r="Q2233" s="11"/>
      <c r="R2233" s="10"/>
      <c r="S2233" s="10"/>
      <c r="T2233" s="10"/>
      <c r="U2233" s="10"/>
    </row>
    <row r="2234">
      <c r="A2234" s="8"/>
      <c r="B2234" s="9"/>
      <c r="C2234" s="9"/>
      <c r="D2234" s="9"/>
      <c r="E2234" s="9"/>
      <c r="F2234" s="9"/>
      <c r="G2234" s="9"/>
      <c r="H2234" s="9"/>
      <c r="I2234" s="9"/>
      <c r="J2234" s="10"/>
      <c r="K2234" s="10"/>
      <c r="L2234" s="10"/>
      <c r="M2234" s="10"/>
      <c r="N2234" s="11"/>
      <c r="O2234" s="11"/>
      <c r="P2234" s="11"/>
      <c r="Q2234" s="11"/>
      <c r="R2234" s="10"/>
      <c r="S2234" s="10"/>
      <c r="T2234" s="10"/>
      <c r="U2234" s="10"/>
    </row>
    <row r="2235">
      <c r="A2235" s="8"/>
      <c r="B2235" s="9"/>
      <c r="C2235" s="9"/>
      <c r="D2235" s="9"/>
      <c r="E2235" s="9"/>
      <c r="F2235" s="9"/>
      <c r="G2235" s="9"/>
      <c r="H2235" s="9"/>
      <c r="I2235" s="9"/>
      <c r="J2235" s="10"/>
      <c r="K2235" s="10"/>
      <c r="L2235" s="10"/>
      <c r="M2235" s="10"/>
      <c r="N2235" s="11"/>
      <c r="O2235" s="11"/>
      <c r="P2235" s="11"/>
      <c r="Q2235" s="11"/>
      <c r="R2235" s="10"/>
      <c r="S2235" s="10"/>
      <c r="T2235" s="10"/>
      <c r="U2235" s="10"/>
    </row>
    <row r="2236">
      <c r="A2236" s="8"/>
      <c r="B2236" s="9"/>
      <c r="C2236" s="9"/>
      <c r="D2236" s="9"/>
      <c r="E2236" s="9"/>
      <c r="F2236" s="9"/>
      <c r="G2236" s="9"/>
      <c r="H2236" s="9"/>
      <c r="I2236" s="9"/>
      <c r="J2236" s="10"/>
      <c r="K2236" s="10"/>
      <c r="L2236" s="10"/>
      <c r="M2236" s="10"/>
      <c r="N2236" s="11"/>
      <c r="O2236" s="11"/>
      <c r="P2236" s="11"/>
      <c r="Q2236" s="11"/>
      <c r="R2236" s="10"/>
      <c r="S2236" s="10"/>
      <c r="T2236" s="10"/>
      <c r="U2236" s="10"/>
    </row>
    <row r="2237">
      <c r="A2237" s="8"/>
      <c r="B2237" s="9"/>
      <c r="C2237" s="9"/>
      <c r="D2237" s="9"/>
      <c r="E2237" s="9"/>
      <c r="F2237" s="9"/>
      <c r="G2237" s="9"/>
      <c r="H2237" s="9"/>
      <c r="I2237" s="9"/>
      <c r="J2237" s="10"/>
      <c r="K2237" s="10"/>
      <c r="L2237" s="10"/>
      <c r="M2237" s="10"/>
      <c r="N2237" s="11"/>
      <c r="O2237" s="11"/>
      <c r="P2237" s="11"/>
      <c r="Q2237" s="11"/>
      <c r="R2237" s="10"/>
      <c r="S2237" s="10"/>
      <c r="T2237" s="10"/>
      <c r="U2237" s="10"/>
    </row>
    <row r="2238">
      <c r="A2238" s="8"/>
      <c r="B2238" s="9"/>
      <c r="C2238" s="9"/>
      <c r="D2238" s="9"/>
      <c r="E2238" s="9"/>
      <c r="F2238" s="9"/>
      <c r="G2238" s="9"/>
      <c r="H2238" s="9"/>
      <c r="I2238" s="9"/>
      <c r="J2238" s="10"/>
      <c r="K2238" s="10"/>
      <c r="L2238" s="10"/>
      <c r="M2238" s="10"/>
      <c r="N2238" s="11"/>
      <c r="O2238" s="11"/>
      <c r="P2238" s="11"/>
      <c r="Q2238" s="11"/>
      <c r="R2238" s="10"/>
      <c r="S2238" s="10"/>
      <c r="T2238" s="10"/>
      <c r="U2238" s="10"/>
    </row>
    <row r="2239">
      <c r="A2239" s="8"/>
      <c r="B2239" s="9"/>
      <c r="C2239" s="9"/>
      <c r="D2239" s="9"/>
      <c r="E2239" s="9"/>
      <c r="F2239" s="9"/>
      <c r="G2239" s="9"/>
      <c r="H2239" s="9"/>
      <c r="I2239" s="9"/>
      <c r="J2239" s="10"/>
      <c r="K2239" s="10"/>
      <c r="L2239" s="10"/>
      <c r="M2239" s="10"/>
      <c r="N2239" s="11"/>
      <c r="O2239" s="11"/>
      <c r="P2239" s="11"/>
      <c r="Q2239" s="11"/>
      <c r="R2239" s="10"/>
      <c r="S2239" s="10"/>
      <c r="T2239" s="10"/>
      <c r="U2239" s="10"/>
    </row>
    <row r="2240">
      <c r="A2240" s="8"/>
      <c r="B2240" s="9"/>
      <c r="C2240" s="9"/>
      <c r="D2240" s="9"/>
      <c r="E2240" s="9"/>
      <c r="F2240" s="9"/>
      <c r="G2240" s="9"/>
      <c r="H2240" s="9"/>
      <c r="I2240" s="9"/>
      <c r="J2240" s="10"/>
      <c r="K2240" s="10"/>
      <c r="L2240" s="10"/>
      <c r="M2240" s="10"/>
      <c r="N2240" s="11"/>
      <c r="O2240" s="11"/>
      <c r="P2240" s="11"/>
      <c r="Q2240" s="11"/>
      <c r="R2240" s="10"/>
      <c r="S2240" s="10"/>
      <c r="T2240" s="10"/>
      <c r="U2240" s="10"/>
    </row>
    <row r="2241">
      <c r="A2241" s="8"/>
      <c r="B2241" s="9"/>
      <c r="C2241" s="9"/>
      <c r="D2241" s="9"/>
      <c r="E2241" s="9"/>
      <c r="F2241" s="9"/>
      <c r="G2241" s="9"/>
      <c r="H2241" s="9"/>
      <c r="I2241" s="9"/>
      <c r="J2241" s="10"/>
      <c r="K2241" s="10"/>
      <c r="L2241" s="10"/>
      <c r="M2241" s="10"/>
      <c r="N2241" s="11"/>
      <c r="O2241" s="11"/>
      <c r="P2241" s="11"/>
      <c r="Q2241" s="11"/>
      <c r="R2241" s="10"/>
      <c r="S2241" s="10"/>
      <c r="T2241" s="10"/>
      <c r="U2241" s="10"/>
    </row>
    <row r="2242">
      <c r="A2242" s="8"/>
      <c r="B2242" s="9"/>
      <c r="C2242" s="9"/>
      <c r="D2242" s="9"/>
      <c r="E2242" s="9"/>
      <c r="F2242" s="9"/>
      <c r="G2242" s="9"/>
      <c r="H2242" s="9"/>
      <c r="I2242" s="9"/>
      <c r="J2242" s="10"/>
      <c r="K2242" s="10"/>
      <c r="L2242" s="10"/>
      <c r="M2242" s="10"/>
      <c r="N2242" s="11"/>
      <c r="O2242" s="11"/>
      <c r="P2242" s="11"/>
      <c r="Q2242" s="11"/>
      <c r="R2242" s="10"/>
      <c r="S2242" s="10"/>
      <c r="T2242" s="10"/>
      <c r="U2242" s="10"/>
    </row>
    <row r="2243">
      <c r="A2243" s="8"/>
      <c r="B2243" s="9"/>
      <c r="C2243" s="9"/>
      <c r="D2243" s="9"/>
      <c r="E2243" s="9"/>
      <c r="F2243" s="9"/>
      <c r="G2243" s="9"/>
      <c r="H2243" s="9"/>
      <c r="I2243" s="9"/>
      <c r="J2243" s="10"/>
      <c r="K2243" s="10"/>
      <c r="L2243" s="10"/>
      <c r="M2243" s="10"/>
      <c r="N2243" s="11"/>
      <c r="O2243" s="11"/>
      <c r="P2243" s="11"/>
      <c r="Q2243" s="11"/>
      <c r="R2243" s="10"/>
      <c r="S2243" s="10"/>
      <c r="T2243" s="10"/>
      <c r="U2243" s="10"/>
    </row>
    <row r="2244">
      <c r="A2244" s="8"/>
      <c r="B2244" s="9"/>
      <c r="C2244" s="9"/>
      <c r="D2244" s="9"/>
      <c r="E2244" s="9"/>
      <c r="F2244" s="9"/>
      <c r="G2244" s="9"/>
      <c r="H2244" s="9"/>
      <c r="I2244" s="9"/>
      <c r="J2244" s="10"/>
      <c r="K2244" s="10"/>
      <c r="L2244" s="10"/>
      <c r="M2244" s="10"/>
      <c r="N2244" s="11"/>
      <c r="O2244" s="11"/>
      <c r="P2244" s="11"/>
      <c r="Q2244" s="11"/>
      <c r="R2244" s="10"/>
      <c r="S2244" s="10"/>
      <c r="T2244" s="10"/>
      <c r="U2244" s="10"/>
    </row>
    <row r="2245">
      <c r="A2245" s="8"/>
      <c r="B2245" s="9"/>
      <c r="C2245" s="9"/>
      <c r="D2245" s="9"/>
      <c r="E2245" s="9"/>
      <c r="F2245" s="9"/>
      <c r="G2245" s="9"/>
      <c r="H2245" s="9"/>
      <c r="I2245" s="9"/>
      <c r="J2245" s="10"/>
      <c r="K2245" s="10"/>
      <c r="L2245" s="10"/>
      <c r="M2245" s="10"/>
      <c r="N2245" s="11"/>
      <c r="O2245" s="11"/>
      <c r="P2245" s="11"/>
      <c r="Q2245" s="11"/>
      <c r="R2245" s="10"/>
      <c r="S2245" s="10"/>
      <c r="T2245" s="10"/>
      <c r="U2245" s="10"/>
    </row>
    <row r="2246">
      <c r="A2246" s="8"/>
      <c r="B2246" s="9"/>
      <c r="C2246" s="9"/>
      <c r="D2246" s="9"/>
      <c r="E2246" s="9"/>
      <c r="F2246" s="9"/>
      <c r="G2246" s="9"/>
      <c r="H2246" s="9"/>
      <c r="I2246" s="9"/>
      <c r="J2246" s="10"/>
      <c r="K2246" s="10"/>
      <c r="L2246" s="10"/>
      <c r="M2246" s="10"/>
      <c r="N2246" s="11"/>
      <c r="O2246" s="11"/>
      <c r="P2246" s="11"/>
      <c r="Q2246" s="11"/>
      <c r="R2246" s="10"/>
      <c r="S2246" s="10"/>
      <c r="T2246" s="10"/>
      <c r="U2246" s="10"/>
    </row>
    <row r="2247">
      <c r="A2247" s="8"/>
      <c r="B2247" s="9"/>
      <c r="C2247" s="9"/>
      <c r="D2247" s="9"/>
      <c r="E2247" s="9"/>
      <c r="F2247" s="9"/>
      <c r="G2247" s="9"/>
      <c r="H2247" s="9"/>
      <c r="I2247" s="9"/>
      <c r="J2247" s="10"/>
      <c r="K2247" s="10"/>
      <c r="L2247" s="10"/>
      <c r="M2247" s="10"/>
      <c r="N2247" s="11"/>
      <c r="O2247" s="11"/>
      <c r="P2247" s="11"/>
      <c r="Q2247" s="11"/>
      <c r="R2247" s="10"/>
      <c r="S2247" s="10"/>
      <c r="T2247" s="10"/>
      <c r="U2247" s="10"/>
    </row>
    <row r="2248">
      <c r="A2248" s="8"/>
      <c r="B2248" s="9"/>
      <c r="C2248" s="9"/>
      <c r="D2248" s="9"/>
      <c r="E2248" s="9"/>
      <c r="F2248" s="9"/>
      <c r="G2248" s="9"/>
      <c r="H2248" s="9"/>
      <c r="I2248" s="9"/>
      <c r="J2248" s="10"/>
      <c r="K2248" s="10"/>
      <c r="L2248" s="10"/>
      <c r="M2248" s="10"/>
      <c r="N2248" s="11"/>
      <c r="O2248" s="11"/>
      <c r="P2248" s="11"/>
      <c r="Q2248" s="11"/>
      <c r="R2248" s="10"/>
      <c r="S2248" s="10"/>
      <c r="T2248" s="10"/>
      <c r="U2248" s="10"/>
    </row>
    <row r="2249">
      <c r="A2249" s="8"/>
      <c r="B2249" s="9"/>
      <c r="C2249" s="9"/>
      <c r="D2249" s="9"/>
      <c r="E2249" s="9"/>
      <c r="F2249" s="9"/>
      <c r="G2249" s="9"/>
      <c r="H2249" s="9"/>
      <c r="I2249" s="9"/>
      <c r="J2249" s="10"/>
      <c r="K2249" s="10"/>
      <c r="L2249" s="10"/>
      <c r="M2249" s="10"/>
      <c r="N2249" s="11"/>
      <c r="O2249" s="11"/>
      <c r="P2249" s="11"/>
      <c r="Q2249" s="11"/>
      <c r="R2249" s="10"/>
      <c r="S2249" s="10"/>
      <c r="T2249" s="10"/>
      <c r="U2249" s="10"/>
    </row>
    <row r="2250">
      <c r="A2250" s="8"/>
      <c r="B2250" s="9"/>
      <c r="C2250" s="9"/>
      <c r="D2250" s="9"/>
      <c r="E2250" s="9"/>
      <c r="F2250" s="9"/>
      <c r="G2250" s="9"/>
      <c r="H2250" s="9"/>
      <c r="I2250" s="9"/>
      <c r="J2250" s="10"/>
      <c r="K2250" s="10"/>
      <c r="L2250" s="10"/>
      <c r="M2250" s="10"/>
      <c r="N2250" s="11"/>
      <c r="O2250" s="11"/>
      <c r="P2250" s="11"/>
      <c r="Q2250" s="11"/>
      <c r="R2250" s="10"/>
      <c r="S2250" s="10"/>
      <c r="T2250" s="10"/>
      <c r="U2250" s="10"/>
    </row>
    <row r="2251">
      <c r="A2251" s="8"/>
      <c r="B2251" s="9"/>
      <c r="C2251" s="9"/>
      <c r="D2251" s="9"/>
      <c r="E2251" s="9"/>
      <c r="F2251" s="9"/>
      <c r="G2251" s="9"/>
      <c r="H2251" s="9"/>
      <c r="I2251" s="9"/>
      <c r="J2251" s="10"/>
      <c r="K2251" s="10"/>
      <c r="L2251" s="10"/>
      <c r="M2251" s="10"/>
      <c r="N2251" s="11"/>
      <c r="O2251" s="11"/>
      <c r="P2251" s="11"/>
      <c r="Q2251" s="11"/>
      <c r="R2251" s="10"/>
      <c r="S2251" s="10"/>
      <c r="T2251" s="10"/>
      <c r="U2251" s="10"/>
    </row>
    <row r="2252">
      <c r="A2252" s="8"/>
      <c r="B2252" s="9"/>
      <c r="C2252" s="9"/>
      <c r="D2252" s="9"/>
      <c r="E2252" s="9"/>
      <c r="F2252" s="9"/>
      <c r="G2252" s="9"/>
      <c r="H2252" s="9"/>
      <c r="I2252" s="9"/>
      <c r="J2252" s="10"/>
      <c r="K2252" s="10"/>
      <c r="L2252" s="10"/>
      <c r="M2252" s="10"/>
      <c r="N2252" s="11"/>
      <c r="O2252" s="11"/>
      <c r="P2252" s="11"/>
      <c r="Q2252" s="11"/>
      <c r="R2252" s="10"/>
      <c r="S2252" s="10"/>
      <c r="T2252" s="10"/>
      <c r="U2252" s="10"/>
    </row>
    <row r="2253">
      <c r="A2253" s="8"/>
      <c r="B2253" s="9"/>
      <c r="C2253" s="9"/>
      <c r="D2253" s="9"/>
      <c r="E2253" s="9"/>
      <c r="F2253" s="9"/>
      <c r="G2253" s="9"/>
      <c r="H2253" s="9"/>
      <c r="I2253" s="9"/>
      <c r="J2253" s="10"/>
      <c r="K2253" s="10"/>
      <c r="L2253" s="10"/>
      <c r="M2253" s="10"/>
      <c r="N2253" s="11"/>
      <c r="O2253" s="11"/>
      <c r="P2253" s="11"/>
      <c r="Q2253" s="11"/>
      <c r="R2253" s="10"/>
      <c r="S2253" s="10"/>
      <c r="T2253" s="10"/>
      <c r="U2253" s="10"/>
    </row>
    <row r="2254">
      <c r="A2254" s="8"/>
      <c r="B2254" s="9"/>
      <c r="C2254" s="9"/>
      <c r="D2254" s="9"/>
      <c r="E2254" s="9"/>
      <c r="F2254" s="9"/>
      <c r="G2254" s="9"/>
      <c r="H2254" s="9"/>
      <c r="I2254" s="9"/>
      <c r="J2254" s="10"/>
      <c r="K2254" s="10"/>
      <c r="L2254" s="10"/>
      <c r="M2254" s="10"/>
      <c r="N2254" s="11"/>
      <c r="O2254" s="11"/>
      <c r="P2254" s="11"/>
      <c r="Q2254" s="11"/>
      <c r="R2254" s="10"/>
      <c r="S2254" s="10"/>
      <c r="T2254" s="10"/>
      <c r="U2254" s="10"/>
    </row>
    <row r="2255">
      <c r="A2255" s="8"/>
      <c r="B2255" s="9"/>
      <c r="C2255" s="9"/>
      <c r="D2255" s="9"/>
      <c r="E2255" s="9"/>
      <c r="F2255" s="9"/>
      <c r="G2255" s="9"/>
      <c r="H2255" s="9"/>
      <c r="I2255" s="9"/>
      <c r="J2255" s="10"/>
      <c r="K2255" s="10"/>
      <c r="L2255" s="10"/>
      <c r="M2255" s="10"/>
      <c r="N2255" s="11"/>
      <c r="O2255" s="11"/>
      <c r="P2255" s="11"/>
      <c r="Q2255" s="11"/>
      <c r="R2255" s="10"/>
      <c r="S2255" s="10"/>
      <c r="T2255" s="10"/>
      <c r="U2255" s="10"/>
    </row>
    <row r="2256">
      <c r="A2256" s="8"/>
      <c r="B2256" s="9"/>
      <c r="C2256" s="9"/>
      <c r="D2256" s="9"/>
      <c r="E2256" s="9"/>
      <c r="F2256" s="9"/>
      <c r="G2256" s="9"/>
      <c r="H2256" s="9"/>
      <c r="I2256" s="9"/>
      <c r="J2256" s="10"/>
      <c r="K2256" s="10"/>
      <c r="L2256" s="10"/>
      <c r="M2256" s="10"/>
      <c r="N2256" s="11"/>
      <c r="O2256" s="11"/>
      <c r="P2256" s="11"/>
      <c r="Q2256" s="11"/>
      <c r="R2256" s="10"/>
      <c r="S2256" s="10"/>
      <c r="T2256" s="10"/>
      <c r="U2256" s="10"/>
    </row>
    <row r="2257">
      <c r="A2257" s="8"/>
      <c r="B2257" s="9"/>
      <c r="C2257" s="9"/>
      <c r="D2257" s="9"/>
      <c r="E2257" s="9"/>
      <c r="F2257" s="9"/>
      <c r="G2257" s="9"/>
      <c r="H2257" s="9"/>
      <c r="I2257" s="9"/>
      <c r="J2257" s="10"/>
      <c r="K2257" s="10"/>
      <c r="L2257" s="10"/>
      <c r="M2257" s="10"/>
      <c r="N2257" s="11"/>
      <c r="O2257" s="11"/>
      <c r="P2257" s="11"/>
      <c r="Q2257" s="11"/>
      <c r="R2257" s="10"/>
      <c r="S2257" s="10"/>
      <c r="T2257" s="10"/>
      <c r="U2257" s="10"/>
    </row>
    <row r="2258">
      <c r="A2258" s="8"/>
      <c r="B2258" s="9"/>
      <c r="C2258" s="9"/>
      <c r="D2258" s="9"/>
      <c r="E2258" s="9"/>
      <c r="F2258" s="9"/>
      <c r="G2258" s="9"/>
      <c r="H2258" s="9"/>
      <c r="I2258" s="9"/>
      <c r="J2258" s="10"/>
      <c r="K2258" s="10"/>
      <c r="L2258" s="10"/>
      <c r="M2258" s="10"/>
      <c r="N2258" s="11"/>
      <c r="O2258" s="11"/>
      <c r="P2258" s="11"/>
      <c r="Q2258" s="11"/>
      <c r="R2258" s="10"/>
      <c r="S2258" s="10"/>
      <c r="T2258" s="10"/>
      <c r="U2258" s="10"/>
    </row>
    <row r="2259">
      <c r="A2259" s="8"/>
      <c r="B2259" s="9"/>
      <c r="C2259" s="9"/>
      <c r="D2259" s="9"/>
      <c r="E2259" s="9"/>
      <c r="F2259" s="9"/>
      <c r="G2259" s="9"/>
      <c r="H2259" s="9"/>
      <c r="I2259" s="9"/>
      <c r="J2259" s="10"/>
      <c r="K2259" s="10"/>
      <c r="L2259" s="10"/>
      <c r="M2259" s="10"/>
      <c r="N2259" s="11"/>
      <c r="O2259" s="11"/>
      <c r="P2259" s="11"/>
      <c r="Q2259" s="11"/>
      <c r="R2259" s="10"/>
      <c r="S2259" s="10"/>
      <c r="T2259" s="10"/>
      <c r="U2259" s="10"/>
    </row>
    <row r="2260">
      <c r="A2260" s="8"/>
      <c r="B2260" s="9"/>
      <c r="C2260" s="9"/>
      <c r="D2260" s="9"/>
      <c r="E2260" s="9"/>
      <c r="F2260" s="9"/>
      <c r="G2260" s="9"/>
      <c r="H2260" s="9"/>
      <c r="I2260" s="9"/>
      <c r="J2260" s="10"/>
      <c r="K2260" s="10"/>
      <c r="L2260" s="10"/>
      <c r="M2260" s="10"/>
      <c r="N2260" s="11"/>
      <c r="O2260" s="11"/>
      <c r="P2260" s="11"/>
      <c r="Q2260" s="11"/>
      <c r="R2260" s="10"/>
      <c r="S2260" s="10"/>
      <c r="T2260" s="10"/>
      <c r="U2260" s="10"/>
    </row>
    <row r="2261">
      <c r="A2261" s="8"/>
      <c r="B2261" s="9"/>
      <c r="C2261" s="9"/>
      <c r="D2261" s="9"/>
      <c r="E2261" s="9"/>
      <c r="F2261" s="9"/>
      <c r="G2261" s="9"/>
      <c r="H2261" s="9"/>
      <c r="I2261" s="9"/>
      <c r="J2261" s="10"/>
      <c r="K2261" s="10"/>
      <c r="L2261" s="10"/>
      <c r="M2261" s="10"/>
      <c r="N2261" s="11"/>
      <c r="O2261" s="11"/>
      <c r="P2261" s="11"/>
      <c r="Q2261" s="11"/>
      <c r="R2261" s="10"/>
      <c r="S2261" s="10"/>
      <c r="T2261" s="10"/>
      <c r="U2261" s="10"/>
    </row>
    <row r="2262">
      <c r="A2262" s="8"/>
      <c r="B2262" s="9"/>
      <c r="C2262" s="9"/>
      <c r="D2262" s="9"/>
      <c r="E2262" s="9"/>
      <c r="F2262" s="9"/>
      <c r="G2262" s="9"/>
      <c r="H2262" s="9"/>
      <c r="I2262" s="9"/>
      <c r="J2262" s="10"/>
      <c r="K2262" s="10"/>
      <c r="L2262" s="10"/>
      <c r="M2262" s="10"/>
      <c r="N2262" s="11"/>
      <c r="O2262" s="11"/>
      <c r="P2262" s="11"/>
      <c r="Q2262" s="11"/>
      <c r="R2262" s="10"/>
      <c r="S2262" s="10"/>
      <c r="T2262" s="10"/>
      <c r="U2262" s="10"/>
    </row>
    <row r="2263">
      <c r="A2263" s="8"/>
      <c r="B2263" s="9"/>
      <c r="C2263" s="9"/>
      <c r="D2263" s="9"/>
      <c r="E2263" s="9"/>
      <c r="F2263" s="9"/>
      <c r="G2263" s="9"/>
      <c r="H2263" s="9"/>
      <c r="I2263" s="9"/>
      <c r="J2263" s="10"/>
      <c r="K2263" s="10"/>
      <c r="L2263" s="10"/>
      <c r="M2263" s="10"/>
      <c r="N2263" s="11"/>
      <c r="O2263" s="11"/>
      <c r="P2263" s="11"/>
      <c r="Q2263" s="11"/>
      <c r="R2263" s="10"/>
      <c r="S2263" s="10"/>
      <c r="T2263" s="10"/>
      <c r="U2263" s="10"/>
    </row>
    <row r="2264">
      <c r="A2264" s="8"/>
      <c r="B2264" s="9"/>
      <c r="C2264" s="9"/>
      <c r="D2264" s="9"/>
      <c r="E2264" s="9"/>
      <c r="F2264" s="9"/>
      <c r="G2264" s="9"/>
      <c r="H2264" s="9"/>
      <c r="I2264" s="9"/>
      <c r="J2264" s="10"/>
      <c r="K2264" s="10"/>
      <c r="L2264" s="10"/>
      <c r="M2264" s="10"/>
      <c r="N2264" s="11"/>
      <c r="O2264" s="11"/>
      <c r="P2264" s="11"/>
      <c r="Q2264" s="11"/>
      <c r="R2264" s="10"/>
      <c r="S2264" s="10"/>
      <c r="T2264" s="10"/>
      <c r="U2264" s="10"/>
    </row>
    <row r="2265">
      <c r="A2265" s="8"/>
      <c r="B2265" s="9"/>
      <c r="C2265" s="9"/>
      <c r="D2265" s="9"/>
      <c r="E2265" s="9"/>
      <c r="F2265" s="9"/>
      <c r="G2265" s="9"/>
      <c r="H2265" s="9"/>
      <c r="I2265" s="9"/>
      <c r="J2265" s="10"/>
      <c r="K2265" s="10"/>
      <c r="L2265" s="10"/>
      <c r="M2265" s="10"/>
      <c r="N2265" s="11"/>
      <c r="O2265" s="11"/>
      <c r="P2265" s="11"/>
      <c r="Q2265" s="11"/>
      <c r="R2265" s="10"/>
      <c r="S2265" s="10"/>
      <c r="T2265" s="10"/>
      <c r="U2265" s="10"/>
    </row>
    <row r="2266">
      <c r="A2266" s="8"/>
      <c r="B2266" s="9"/>
      <c r="C2266" s="9"/>
      <c r="D2266" s="9"/>
      <c r="E2266" s="9"/>
      <c r="F2266" s="9"/>
      <c r="G2266" s="9"/>
      <c r="H2266" s="9"/>
      <c r="I2266" s="9"/>
      <c r="J2266" s="10"/>
      <c r="K2266" s="10"/>
      <c r="L2266" s="10"/>
      <c r="M2266" s="10"/>
      <c r="N2266" s="11"/>
      <c r="O2266" s="11"/>
      <c r="P2266" s="11"/>
      <c r="Q2266" s="11"/>
      <c r="R2266" s="10"/>
      <c r="S2266" s="10"/>
      <c r="T2266" s="10"/>
      <c r="U2266" s="10"/>
    </row>
    <row r="2267">
      <c r="A2267" s="8"/>
      <c r="B2267" s="9"/>
      <c r="C2267" s="9"/>
      <c r="D2267" s="9"/>
      <c r="E2267" s="9"/>
      <c r="F2267" s="9"/>
      <c r="G2267" s="9"/>
      <c r="H2267" s="9"/>
      <c r="I2267" s="9"/>
      <c r="J2267" s="10"/>
      <c r="K2267" s="10"/>
      <c r="L2267" s="10"/>
      <c r="M2267" s="10"/>
      <c r="N2267" s="11"/>
      <c r="O2267" s="11"/>
      <c r="P2267" s="11"/>
      <c r="Q2267" s="11"/>
      <c r="R2267" s="10"/>
      <c r="S2267" s="10"/>
      <c r="T2267" s="10"/>
      <c r="U2267" s="10"/>
    </row>
    <row r="2268">
      <c r="A2268" s="8"/>
      <c r="B2268" s="9"/>
      <c r="C2268" s="9"/>
      <c r="D2268" s="9"/>
      <c r="E2268" s="9"/>
      <c r="F2268" s="9"/>
      <c r="G2268" s="9"/>
      <c r="H2268" s="9"/>
      <c r="I2268" s="9"/>
      <c r="J2268" s="10"/>
      <c r="K2268" s="10"/>
      <c r="L2268" s="10"/>
      <c r="M2268" s="10"/>
      <c r="N2268" s="11"/>
      <c r="O2268" s="11"/>
      <c r="P2268" s="11"/>
      <c r="Q2268" s="11"/>
      <c r="R2268" s="10"/>
      <c r="S2268" s="10"/>
      <c r="T2268" s="10"/>
      <c r="U2268" s="10"/>
    </row>
    <row r="2269">
      <c r="A2269" s="8"/>
      <c r="B2269" s="9"/>
      <c r="C2269" s="9"/>
      <c r="D2269" s="9"/>
      <c r="E2269" s="9"/>
      <c r="F2269" s="9"/>
      <c r="G2269" s="9"/>
      <c r="H2269" s="9"/>
      <c r="I2269" s="9"/>
      <c r="J2269" s="10"/>
      <c r="K2269" s="10"/>
      <c r="L2269" s="10"/>
      <c r="M2269" s="10"/>
      <c r="N2269" s="11"/>
      <c r="O2269" s="11"/>
      <c r="P2269" s="11"/>
      <c r="Q2269" s="11"/>
      <c r="R2269" s="10"/>
      <c r="S2269" s="10"/>
      <c r="T2269" s="10"/>
      <c r="U2269" s="10"/>
    </row>
    <row r="2270">
      <c r="A2270" s="8"/>
      <c r="B2270" s="9"/>
      <c r="C2270" s="9"/>
      <c r="D2270" s="9"/>
      <c r="E2270" s="9"/>
      <c r="F2270" s="9"/>
      <c r="G2270" s="9"/>
      <c r="H2270" s="9"/>
      <c r="I2270" s="9"/>
      <c r="J2270" s="10"/>
      <c r="K2270" s="10"/>
      <c r="L2270" s="10"/>
      <c r="M2270" s="10"/>
      <c r="N2270" s="11"/>
      <c r="O2270" s="11"/>
      <c r="P2270" s="11"/>
      <c r="Q2270" s="11"/>
      <c r="R2270" s="10"/>
      <c r="S2270" s="10"/>
      <c r="T2270" s="10"/>
      <c r="U2270" s="10"/>
    </row>
    <row r="2271">
      <c r="A2271" s="8"/>
      <c r="B2271" s="9"/>
      <c r="C2271" s="9"/>
      <c r="D2271" s="9"/>
      <c r="E2271" s="9"/>
      <c r="F2271" s="9"/>
      <c r="G2271" s="9"/>
      <c r="H2271" s="9"/>
      <c r="I2271" s="9"/>
      <c r="J2271" s="10"/>
      <c r="K2271" s="10"/>
      <c r="L2271" s="10"/>
      <c r="M2271" s="10"/>
      <c r="N2271" s="11"/>
      <c r="O2271" s="11"/>
      <c r="P2271" s="11"/>
      <c r="Q2271" s="11"/>
      <c r="R2271" s="10"/>
      <c r="S2271" s="10"/>
      <c r="T2271" s="10"/>
      <c r="U2271" s="10"/>
    </row>
    <row r="2272">
      <c r="A2272" s="8"/>
      <c r="B2272" s="9"/>
      <c r="C2272" s="9"/>
      <c r="D2272" s="9"/>
      <c r="E2272" s="9"/>
      <c r="F2272" s="9"/>
      <c r="G2272" s="9"/>
      <c r="H2272" s="9"/>
      <c r="I2272" s="9"/>
      <c r="J2272" s="10"/>
      <c r="K2272" s="10"/>
      <c r="L2272" s="10"/>
      <c r="M2272" s="10"/>
      <c r="N2272" s="11"/>
      <c r="O2272" s="11"/>
      <c r="P2272" s="11"/>
      <c r="Q2272" s="11"/>
      <c r="R2272" s="10"/>
      <c r="S2272" s="10"/>
      <c r="T2272" s="10"/>
      <c r="U2272" s="10"/>
    </row>
    <row r="2273">
      <c r="A2273" s="8"/>
      <c r="B2273" s="9"/>
      <c r="C2273" s="9"/>
      <c r="D2273" s="9"/>
      <c r="E2273" s="9"/>
      <c r="F2273" s="9"/>
      <c r="G2273" s="9"/>
      <c r="H2273" s="9"/>
      <c r="I2273" s="9"/>
      <c r="J2273" s="10"/>
      <c r="K2273" s="10"/>
      <c r="L2273" s="10"/>
      <c r="M2273" s="10"/>
      <c r="N2273" s="11"/>
      <c r="O2273" s="11"/>
      <c r="P2273" s="11"/>
      <c r="Q2273" s="11"/>
      <c r="R2273" s="10"/>
      <c r="S2273" s="10"/>
      <c r="T2273" s="10"/>
      <c r="U2273" s="10"/>
    </row>
    <row r="2274">
      <c r="A2274" s="8"/>
      <c r="B2274" s="9"/>
      <c r="C2274" s="9"/>
      <c r="D2274" s="9"/>
      <c r="E2274" s="9"/>
      <c r="F2274" s="9"/>
      <c r="G2274" s="9"/>
      <c r="H2274" s="9"/>
      <c r="I2274" s="9"/>
      <c r="J2274" s="10"/>
      <c r="K2274" s="10"/>
      <c r="L2274" s="10"/>
      <c r="M2274" s="10"/>
      <c r="N2274" s="11"/>
      <c r="O2274" s="11"/>
      <c r="P2274" s="11"/>
      <c r="Q2274" s="11"/>
      <c r="R2274" s="10"/>
      <c r="S2274" s="10"/>
      <c r="T2274" s="10"/>
      <c r="U2274" s="10"/>
    </row>
    <row r="2275">
      <c r="A2275" s="8"/>
      <c r="B2275" s="9"/>
      <c r="C2275" s="9"/>
      <c r="D2275" s="9"/>
      <c r="E2275" s="9"/>
      <c r="F2275" s="9"/>
      <c r="G2275" s="9"/>
      <c r="H2275" s="9"/>
      <c r="I2275" s="9"/>
      <c r="J2275" s="10"/>
      <c r="K2275" s="10"/>
      <c r="L2275" s="10"/>
      <c r="M2275" s="10"/>
      <c r="N2275" s="11"/>
      <c r="O2275" s="11"/>
      <c r="P2275" s="11"/>
      <c r="Q2275" s="11"/>
      <c r="R2275" s="10"/>
      <c r="S2275" s="10"/>
      <c r="T2275" s="10"/>
      <c r="U2275" s="10"/>
    </row>
    <row r="2276">
      <c r="A2276" s="8"/>
      <c r="B2276" s="9"/>
      <c r="C2276" s="9"/>
      <c r="D2276" s="9"/>
      <c r="E2276" s="9"/>
      <c r="F2276" s="9"/>
      <c r="G2276" s="9"/>
      <c r="H2276" s="9"/>
      <c r="I2276" s="9"/>
      <c r="J2276" s="10"/>
      <c r="K2276" s="10"/>
      <c r="L2276" s="10"/>
      <c r="M2276" s="10"/>
      <c r="N2276" s="11"/>
      <c r="O2276" s="11"/>
      <c r="P2276" s="11"/>
      <c r="Q2276" s="11"/>
      <c r="R2276" s="10"/>
      <c r="S2276" s="10"/>
      <c r="T2276" s="10"/>
      <c r="U2276" s="10"/>
    </row>
    <row r="2277">
      <c r="A2277" s="8"/>
      <c r="B2277" s="9"/>
      <c r="C2277" s="9"/>
      <c r="D2277" s="9"/>
      <c r="E2277" s="9"/>
      <c r="F2277" s="9"/>
      <c r="G2277" s="9"/>
      <c r="H2277" s="9"/>
      <c r="I2277" s="9"/>
      <c r="J2277" s="10"/>
      <c r="K2277" s="10"/>
      <c r="L2277" s="10"/>
      <c r="M2277" s="10"/>
      <c r="N2277" s="11"/>
      <c r="O2277" s="11"/>
      <c r="P2277" s="11"/>
      <c r="Q2277" s="11"/>
      <c r="R2277" s="10"/>
      <c r="S2277" s="10"/>
      <c r="T2277" s="10"/>
      <c r="U2277" s="10"/>
    </row>
    <row r="2278">
      <c r="A2278" s="8"/>
      <c r="B2278" s="9"/>
      <c r="C2278" s="9"/>
      <c r="D2278" s="9"/>
      <c r="E2278" s="9"/>
      <c r="F2278" s="9"/>
      <c r="G2278" s="9"/>
      <c r="H2278" s="9"/>
      <c r="I2278" s="9"/>
      <c r="J2278" s="10"/>
      <c r="K2278" s="10"/>
      <c r="L2278" s="10"/>
      <c r="M2278" s="10"/>
      <c r="N2278" s="11"/>
      <c r="O2278" s="11"/>
      <c r="P2278" s="11"/>
      <c r="Q2278" s="11"/>
      <c r="R2278" s="10"/>
      <c r="S2278" s="10"/>
      <c r="T2278" s="10"/>
      <c r="U2278" s="10"/>
    </row>
    <row r="2279">
      <c r="A2279" s="8"/>
      <c r="B2279" s="9"/>
      <c r="C2279" s="9"/>
      <c r="D2279" s="9"/>
      <c r="E2279" s="9"/>
      <c r="F2279" s="9"/>
      <c r="G2279" s="9"/>
      <c r="H2279" s="9"/>
      <c r="I2279" s="9"/>
      <c r="J2279" s="10"/>
      <c r="K2279" s="10"/>
      <c r="L2279" s="10"/>
      <c r="M2279" s="10"/>
      <c r="N2279" s="11"/>
      <c r="O2279" s="11"/>
      <c r="P2279" s="11"/>
      <c r="Q2279" s="11"/>
      <c r="R2279" s="10"/>
      <c r="S2279" s="10"/>
      <c r="T2279" s="10"/>
      <c r="U2279" s="10"/>
    </row>
    <row r="2280">
      <c r="A2280" s="8"/>
      <c r="B2280" s="9"/>
      <c r="C2280" s="9"/>
      <c r="D2280" s="9"/>
      <c r="E2280" s="9"/>
      <c r="F2280" s="9"/>
      <c r="G2280" s="9"/>
      <c r="H2280" s="9"/>
      <c r="I2280" s="9"/>
      <c r="J2280" s="10"/>
      <c r="K2280" s="10"/>
      <c r="L2280" s="10"/>
      <c r="M2280" s="10"/>
      <c r="N2280" s="11"/>
      <c r="O2280" s="11"/>
      <c r="P2280" s="11"/>
      <c r="Q2280" s="11"/>
      <c r="R2280" s="10"/>
      <c r="S2280" s="10"/>
      <c r="T2280" s="10"/>
      <c r="U2280" s="10"/>
    </row>
    <row r="2281">
      <c r="A2281" s="8"/>
      <c r="B2281" s="9"/>
      <c r="C2281" s="9"/>
      <c r="D2281" s="9"/>
      <c r="E2281" s="9"/>
      <c r="F2281" s="9"/>
      <c r="G2281" s="9"/>
      <c r="H2281" s="9"/>
      <c r="I2281" s="9"/>
      <c r="J2281" s="10"/>
      <c r="K2281" s="10"/>
      <c r="L2281" s="10"/>
      <c r="M2281" s="10"/>
      <c r="N2281" s="11"/>
      <c r="O2281" s="11"/>
      <c r="P2281" s="11"/>
      <c r="Q2281" s="11"/>
      <c r="R2281" s="10"/>
      <c r="S2281" s="10"/>
      <c r="T2281" s="10"/>
      <c r="U2281" s="10"/>
    </row>
    <row r="2282">
      <c r="A2282" s="8"/>
      <c r="B2282" s="9"/>
      <c r="C2282" s="9"/>
      <c r="D2282" s="9"/>
      <c r="E2282" s="9"/>
      <c r="F2282" s="9"/>
      <c r="G2282" s="9"/>
      <c r="H2282" s="9"/>
      <c r="I2282" s="9"/>
      <c r="J2282" s="10"/>
      <c r="K2282" s="10"/>
      <c r="L2282" s="10"/>
      <c r="M2282" s="10"/>
      <c r="N2282" s="11"/>
      <c r="O2282" s="11"/>
      <c r="P2282" s="11"/>
      <c r="Q2282" s="11"/>
      <c r="R2282" s="10"/>
      <c r="S2282" s="10"/>
      <c r="T2282" s="10"/>
      <c r="U2282" s="10"/>
    </row>
    <row r="2283">
      <c r="A2283" s="8"/>
      <c r="B2283" s="9"/>
      <c r="C2283" s="9"/>
      <c r="D2283" s="9"/>
      <c r="E2283" s="9"/>
      <c r="F2283" s="9"/>
      <c r="G2283" s="9"/>
      <c r="H2283" s="9"/>
      <c r="I2283" s="9"/>
      <c r="J2283" s="10"/>
      <c r="K2283" s="10"/>
      <c r="L2283" s="10"/>
      <c r="M2283" s="10"/>
      <c r="N2283" s="11"/>
      <c r="O2283" s="11"/>
      <c r="P2283" s="11"/>
      <c r="Q2283" s="11"/>
      <c r="R2283" s="10"/>
      <c r="S2283" s="10"/>
      <c r="T2283" s="10"/>
      <c r="U2283" s="10"/>
    </row>
    <row r="2284">
      <c r="A2284" s="8"/>
      <c r="B2284" s="9"/>
      <c r="C2284" s="9"/>
      <c r="D2284" s="9"/>
      <c r="E2284" s="9"/>
      <c r="F2284" s="9"/>
      <c r="G2284" s="9"/>
      <c r="H2284" s="9"/>
      <c r="I2284" s="9"/>
      <c r="J2284" s="10"/>
      <c r="K2284" s="10"/>
      <c r="L2284" s="10"/>
      <c r="M2284" s="10"/>
      <c r="N2284" s="11"/>
      <c r="O2284" s="11"/>
      <c r="P2284" s="11"/>
      <c r="Q2284" s="11"/>
      <c r="R2284" s="10"/>
      <c r="S2284" s="10"/>
      <c r="T2284" s="10"/>
      <c r="U2284" s="10"/>
    </row>
    <row r="2285">
      <c r="A2285" s="8"/>
      <c r="B2285" s="9"/>
      <c r="C2285" s="9"/>
      <c r="D2285" s="9"/>
      <c r="E2285" s="9"/>
      <c r="F2285" s="9"/>
      <c r="G2285" s="9"/>
      <c r="H2285" s="9"/>
      <c r="I2285" s="9"/>
      <c r="J2285" s="10"/>
      <c r="K2285" s="10"/>
      <c r="L2285" s="10"/>
      <c r="M2285" s="10"/>
      <c r="N2285" s="11"/>
      <c r="O2285" s="11"/>
      <c r="P2285" s="11"/>
      <c r="Q2285" s="11"/>
      <c r="R2285" s="10"/>
      <c r="S2285" s="10"/>
      <c r="T2285" s="10"/>
      <c r="U2285" s="10"/>
    </row>
    <row r="2286">
      <c r="A2286" s="8"/>
      <c r="B2286" s="9"/>
      <c r="C2286" s="9"/>
      <c r="D2286" s="9"/>
      <c r="E2286" s="9"/>
      <c r="F2286" s="9"/>
      <c r="G2286" s="9"/>
      <c r="H2286" s="9"/>
      <c r="I2286" s="9"/>
      <c r="J2286" s="10"/>
      <c r="K2286" s="10"/>
      <c r="L2286" s="10"/>
      <c r="M2286" s="10"/>
      <c r="N2286" s="11"/>
      <c r="O2286" s="11"/>
      <c r="P2286" s="11"/>
      <c r="Q2286" s="11"/>
      <c r="R2286" s="10"/>
      <c r="S2286" s="10"/>
      <c r="T2286" s="10"/>
      <c r="U2286" s="10"/>
    </row>
    <row r="2287">
      <c r="A2287" s="8"/>
      <c r="B2287" s="9"/>
      <c r="C2287" s="9"/>
      <c r="D2287" s="9"/>
      <c r="E2287" s="9"/>
      <c r="F2287" s="9"/>
      <c r="G2287" s="9"/>
      <c r="H2287" s="9"/>
      <c r="I2287" s="9"/>
      <c r="J2287" s="10"/>
      <c r="K2287" s="10"/>
      <c r="L2287" s="10"/>
      <c r="M2287" s="10"/>
      <c r="N2287" s="11"/>
      <c r="O2287" s="11"/>
      <c r="P2287" s="11"/>
      <c r="Q2287" s="11"/>
      <c r="R2287" s="10"/>
      <c r="S2287" s="10"/>
      <c r="T2287" s="10"/>
      <c r="U2287" s="10"/>
    </row>
    <row r="2288">
      <c r="A2288" s="8"/>
      <c r="B2288" s="9"/>
      <c r="C2288" s="9"/>
      <c r="D2288" s="9"/>
      <c r="E2288" s="9"/>
      <c r="F2288" s="9"/>
      <c r="G2288" s="9"/>
      <c r="H2288" s="9"/>
      <c r="I2288" s="9"/>
      <c r="J2288" s="10"/>
      <c r="K2288" s="10"/>
      <c r="L2288" s="10"/>
      <c r="M2288" s="10"/>
      <c r="N2288" s="11"/>
      <c r="O2288" s="11"/>
      <c r="P2288" s="11"/>
      <c r="Q2288" s="11"/>
      <c r="R2288" s="10"/>
      <c r="S2288" s="10"/>
      <c r="T2288" s="10"/>
      <c r="U2288" s="10"/>
    </row>
    <row r="2289">
      <c r="A2289" s="8"/>
      <c r="B2289" s="9"/>
      <c r="C2289" s="9"/>
      <c r="D2289" s="9"/>
      <c r="E2289" s="9"/>
      <c r="F2289" s="9"/>
      <c r="G2289" s="9"/>
      <c r="H2289" s="9"/>
      <c r="I2289" s="9"/>
      <c r="J2289" s="10"/>
      <c r="K2289" s="10"/>
      <c r="L2289" s="10"/>
      <c r="M2289" s="10"/>
      <c r="N2289" s="11"/>
      <c r="O2289" s="11"/>
      <c r="P2289" s="11"/>
      <c r="Q2289" s="11"/>
      <c r="R2289" s="10"/>
      <c r="S2289" s="10"/>
      <c r="T2289" s="10"/>
      <c r="U2289" s="10"/>
    </row>
    <row r="2290">
      <c r="A2290" s="8"/>
      <c r="B2290" s="9"/>
      <c r="C2290" s="9"/>
      <c r="D2290" s="9"/>
      <c r="E2290" s="9"/>
      <c r="F2290" s="9"/>
      <c r="G2290" s="9"/>
      <c r="H2290" s="9"/>
      <c r="I2290" s="9"/>
      <c r="J2290" s="10"/>
      <c r="K2290" s="10"/>
      <c r="L2290" s="10"/>
      <c r="M2290" s="10"/>
      <c r="N2290" s="11"/>
      <c r="O2290" s="11"/>
      <c r="P2290" s="11"/>
      <c r="Q2290" s="11"/>
      <c r="R2290" s="10"/>
      <c r="S2290" s="10"/>
      <c r="T2290" s="10"/>
      <c r="U2290" s="10"/>
    </row>
    <row r="2291">
      <c r="A2291" s="8"/>
      <c r="B2291" s="9"/>
      <c r="C2291" s="9"/>
      <c r="D2291" s="9"/>
      <c r="E2291" s="9"/>
      <c r="F2291" s="9"/>
      <c r="G2291" s="9"/>
      <c r="H2291" s="9"/>
      <c r="I2291" s="9"/>
      <c r="J2291" s="10"/>
      <c r="K2291" s="10"/>
      <c r="L2291" s="10"/>
      <c r="M2291" s="10"/>
      <c r="N2291" s="11"/>
      <c r="O2291" s="11"/>
      <c r="P2291" s="11"/>
      <c r="Q2291" s="11"/>
      <c r="R2291" s="10"/>
      <c r="S2291" s="10"/>
      <c r="T2291" s="10"/>
      <c r="U2291" s="10"/>
    </row>
    <row r="2292">
      <c r="A2292" s="8"/>
      <c r="B2292" s="9"/>
      <c r="C2292" s="9"/>
      <c r="D2292" s="9"/>
      <c r="E2292" s="9"/>
      <c r="F2292" s="9"/>
      <c r="G2292" s="9"/>
      <c r="H2292" s="9"/>
      <c r="I2292" s="9"/>
      <c r="J2292" s="10"/>
      <c r="K2292" s="10"/>
      <c r="L2292" s="10"/>
      <c r="M2292" s="10"/>
      <c r="N2292" s="11"/>
      <c r="O2292" s="11"/>
      <c r="P2292" s="11"/>
      <c r="Q2292" s="11"/>
      <c r="R2292" s="10"/>
      <c r="S2292" s="10"/>
      <c r="T2292" s="10"/>
      <c r="U2292" s="10"/>
    </row>
    <row r="2293">
      <c r="A2293" s="8"/>
      <c r="B2293" s="9"/>
      <c r="C2293" s="9"/>
      <c r="D2293" s="9"/>
      <c r="E2293" s="9"/>
      <c r="F2293" s="9"/>
      <c r="G2293" s="9"/>
      <c r="H2293" s="9"/>
      <c r="I2293" s="9"/>
      <c r="J2293" s="10"/>
      <c r="K2293" s="10"/>
      <c r="L2293" s="10"/>
      <c r="M2293" s="10"/>
      <c r="N2293" s="11"/>
      <c r="O2293" s="11"/>
      <c r="P2293" s="11"/>
      <c r="Q2293" s="11"/>
      <c r="R2293" s="10"/>
      <c r="S2293" s="10"/>
      <c r="T2293" s="10"/>
      <c r="U2293" s="10"/>
    </row>
    <row r="2294">
      <c r="A2294" s="8"/>
      <c r="B2294" s="9"/>
      <c r="C2294" s="9"/>
      <c r="D2294" s="9"/>
      <c r="E2294" s="9"/>
      <c r="F2294" s="9"/>
      <c r="G2294" s="9"/>
      <c r="H2294" s="9"/>
      <c r="I2294" s="9"/>
      <c r="J2294" s="10"/>
      <c r="K2294" s="10"/>
      <c r="L2294" s="10"/>
      <c r="M2294" s="10"/>
      <c r="N2294" s="11"/>
      <c r="O2294" s="11"/>
      <c r="P2294" s="11"/>
      <c r="Q2294" s="11"/>
      <c r="R2294" s="10"/>
      <c r="S2294" s="10"/>
      <c r="T2294" s="10"/>
      <c r="U2294" s="10"/>
    </row>
    <row r="2295">
      <c r="A2295" s="8"/>
      <c r="B2295" s="9"/>
      <c r="C2295" s="9"/>
      <c r="D2295" s="9"/>
      <c r="E2295" s="9"/>
      <c r="F2295" s="9"/>
      <c r="G2295" s="9"/>
      <c r="H2295" s="9"/>
      <c r="I2295" s="9"/>
      <c r="J2295" s="10"/>
      <c r="K2295" s="10"/>
      <c r="L2295" s="10"/>
      <c r="M2295" s="10"/>
      <c r="N2295" s="11"/>
      <c r="O2295" s="11"/>
      <c r="P2295" s="11"/>
      <c r="Q2295" s="11"/>
      <c r="R2295" s="10"/>
      <c r="S2295" s="10"/>
      <c r="T2295" s="10"/>
      <c r="U2295" s="10"/>
    </row>
    <row r="2296">
      <c r="A2296" s="8"/>
      <c r="B2296" s="9"/>
      <c r="C2296" s="9"/>
      <c r="D2296" s="9"/>
      <c r="E2296" s="9"/>
      <c r="F2296" s="9"/>
      <c r="G2296" s="9"/>
      <c r="H2296" s="9"/>
      <c r="I2296" s="9"/>
      <c r="J2296" s="10"/>
      <c r="K2296" s="10"/>
      <c r="L2296" s="10"/>
      <c r="M2296" s="10"/>
      <c r="N2296" s="11"/>
      <c r="O2296" s="11"/>
      <c r="P2296" s="11"/>
      <c r="Q2296" s="11"/>
      <c r="R2296" s="10"/>
      <c r="S2296" s="10"/>
      <c r="T2296" s="10"/>
      <c r="U2296" s="10"/>
    </row>
    <row r="2297">
      <c r="A2297" s="8"/>
      <c r="B2297" s="9"/>
      <c r="C2297" s="9"/>
      <c r="D2297" s="9"/>
      <c r="E2297" s="9"/>
      <c r="F2297" s="9"/>
      <c r="G2297" s="9"/>
      <c r="H2297" s="9"/>
      <c r="I2297" s="9"/>
      <c r="J2297" s="10"/>
      <c r="K2297" s="10"/>
      <c r="L2297" s="10"/>
      <c r="M2297" s="10"/>
      <c r="N2297" s="11"/>
      <c r="O2297" s="11"/>
      <c r="P2297" s="11"/>
      <c r="Q2297" s="11"/>
      <c r="R2297" s="10"/>
      <c r="S2297" s="10"/>
      <c r="T2297" s="10"/>
      <c r="U2297" s="10"/>
    </row>
    <row r="2298">
      <c r="A2298" s="8"/>
      <c r="B2298" s="9"/>
      <c r="C2298" s="9"/>
      <c r="D2298" s="9"/>
      <c r="E2298" s="9"/>
      <c r="F2298" s="9"/>
      <c r="G2298" s="9"/>
      <c r="H2298" s="9"/>
      <c r="I2298" s="9"/>
      <c r="J2298" s="10"/>
      <c r="K2298" s="10"/>
      <c r="L2298" s="10"/>
      <c r="M2298" s="10"/>
      <c r="N2298" s="11"/>
      <c r="O2298" s="11"/>
      <c r="P2298" s="11"/>
      <c r="Q2298" s="11"/>
      <c r="R2298" s="10"/>
      <c r="S2298" s="10"/>
      <c r="T2298" s="10"/>
      <c r="U2298" s="10"/>
    </row>
    <row r="2299">
      <c r="A2299" s="8"/>
      <c r="B2299" s="9"/>
      <c r="C2299" s="9"/>
      <c r="D2299" s="9"/>
      <c r="E2299" s="9"/>
      <c r="F2299" s="9"/>
      <c r="G2299" s="9"/>
      <c r="H2299" s="9"/>
      <c r="I2299" s="9"/>
      <c r="J2299" s="10"/>
      <c r="K2299" s="10"/>
      <c r="L2299" s="10"/>
      <c r="M2299" s="10"/>
      <c r="N2299" s="11"/>
      <c r="O2299" s="11"/>
      <c r="P2299" s="11"/>
      <c r="Q2299" s="11"/>
      <c r="R2299" s="10"/>
      <c r="S2299" s="10"/>
      <c r="T2299" s="10"/>
      <c r="U2299" s="10"/>
    </row>
    <row r="2300">
      <c r="A2300" s="8"/>
      <c r="B2300" s="9"/>
      <c r="C2300" s="9"/>
      <c r="D2300" s="9"/>
      <c r="E2300" s="9"/>
      <c r="F2300" s="9"/>
      <c r="G2300" s="9"/>
      <c r="H2300" s="9"/>
      <c r="I2300" s="9"/>
      <c r="J2300" s="10"/>
      <c r="K2300" s="10"/>
      <c r="L2300" s="10"/>
      <c r="M2300" s="10"/>
      <c r="N2300" s="11"/>
      <c r="O2300" s="11"/>
      <c r="P2300" s="11"/>
      <c r="Q2300" s="11"/>
      <c r="R2300" s="10"/>
      <c r="S2300" s="10"/>
      <c r="T2300" s="10"/>
      <c r="U2300" s="10"/>
    </row>
    <row r="2301">
      <c r="A2301" s="8"/>
      <c r="B2301" s="9"/>
      <c r="C2301" s="9"/>
      <c r="D2301" s="9"/>
      <c r="E2301" s="9"/>
      <c r="F2301" s="9"/>
      <c r="G2301" s="9"/>
      <c r="H2301" s="9"/>
      <c r="I2301" s="9"/>
      <c r="J2301" s="10"/>
      <c r="K2301" s="10"/>
      <c r="L2301" s="10"/>
      <c r="M2301" s="10"/>
      <c r="N2301" s="11"/>
      <c r="O2301" s="11"/>
      <c r="P2301" s="11"/>
      <c r="Q2301" s="11"/>
      <c r="R2301" s="10"/>
      <c r="S2301" s="10"/>
      <c r="T2301" s="10"/>
      <c r="U2301" s="10"/>
    </row>
    <row r="2302">
      <c r="A2302" s="8"/>
      <c r="B2302" s="9"/>
      <c r="C2302" s="9"/>
      <c r="D2302" s="9"/>
      <c r="E2302" s="9"/>
      <c r="F2302" s="9"/>
      <c r="G2302" s="9"/>
      <c r="H2302" s="9"/>
      <c r="I2302" s="9"/>
      <c r="J2302" s="10"/>
      <c r="K2302" s="10"/>
      <c r="L2302" s="10"/>
      <c r="M2302" s="10"/>
      <c r="N2302" s="11"/>
      <c r="O2302" s="11"/>
      <c r="P2302" s="11"/>
      <c r="Q2302" s="11"/>
      <c r="R2302" s="10"/>
      <c r="S2302" s="10"/>
      <c r="T2302" s="10"/>
      <c r="U2302" s="10"/>
    </row>
    <row r="2303">
      <c r="A2303" s="8"/>
      <c r="B2303" s="9"/>
      <c r="C2303" s="9"/>
      <c r="D2303" s="9"/>
      <c r="E2303" s="9"/>
      <c r="F2303" s="9"/>
      <c r="G2303" s="9"/>
      <c r="H2303" s="9"/>
      <c r="I2303" s="9"/>
      <c r="J2303" s="10"/>
      <c r="K2303" s="10"/>
      <c r="L2303" s="10"/>
      <c r="M2303" s="10"/>
      <c r="N2303" s="11"/>
      <c r="O2303" s="11"/>
      <c r="P2303" s="11"/>
      <c r="Q2303" s="11"/>
      <c r="R2303" s="10"/>
      <c r="S2303" s="10"/>
      <c r="T2303" s="10"/>
      <c r="U2303" s="10"/>
    </row>
    <row r="2304">
      <c r="A2304" s="8"/>
      <c r="B2304" s="9"/>
      <c r="C2304" s="9"/>
      <c r="D2304" s="9"/>
      <c r="E2304" s="9"/>
      <c r="F2304" s="9"/>
      <c r="G2304" s="9"/>
      <c r="H2304" s="9"/>
      <c r="I2304" s="9"/>
      <c r="J2304" s="10"/>
      <c r="K2304" s="10"/>
      <c r="L2304" s="10"/>
      <c r="M2304" s="10"/>
      <c r="N2304" s="11"/>
      <c r="O2304" s="11"/>
      <c r="P2304" s="11"/>
      <c r="Q2304" s="11"/>
      <c r="R2304" s="10"/>
      <c r="S2304" s="10"/>
      <c r="T2304" s="10"/>
      <c r="U2304" s="10"/>
    </row>
    <row r="2305">
      <c r="A2305" s="8"/>
      <c r="B2305" s="9"/>
      <c r="C2305" s="9"/>
      <c r="D2305" s="9"/>
      <c r="E2305" s="9"/>
      <c r="F2305" s="9"/>
      <c r="G2305" s="9"/>
      <c r="H2305" s="9"/>
      <c r="I2305" s="9"/>
      <c r="J2305" s="10"/>
      <c r="K2305" s="10"/>
      <c r="L2305" s="10"/>
      <c r="M2305" s="10"/>
      <c r="N2305" s="11"/>
      <c r="O2305" s="11"/>
      <c r="P2305" s="11"/>
      <c r="Q2305" s="11"/>
      <c r="R2305" s="10"/>
      <c r="S2305" s="10"/>
      <c r="T2305" s="10"/>
      <c r="U2305" s="10"/>
    </row>
    <row r="2306">
      <c r="A2306" s="8"/>
      <c r="B2306" s="9"/>
      <c r="C2306" s="9"/>
      <c r="D2306" s="9"/>
      <c r="E2306" s="9"/>
      <c r="F2306" s="9"/>
      <c r="G2306" s="9"/>
      <c r="H2306" s="9"/>
      <c r="I2306" s="9"/>
      <c r="J2306" s="10"/>
      <c r="K2306" s="10"/>
      <c r="L2306" s="10"/>
      <c r="M2306" s="10"/>
      <c r="N2306" s="11"/>
      <c r="O2306" s="11"/>
      <c r="P2306" s="11"/>
      <c r="Q2306" s="11"/>
      <c r="R2306" s="10"/>
      <c r="S2306" s="10"/>
      <c r="T2306" s="10"/>
      <c r="U2306" s="10"/>
    </row>
    <row r="2307">
      <c r="A2307" s="8"/>
      <c r="B2307" s="9"/>
      <c r="C2307" s="9"/>
      <c r="D2307" s="9"/>
      <c r="E2307" s="9"/>
      <c r="F2307" s="9"/>
      <c r="G2307" s="9"/>
      <c r="H2307" s="9"/>
      <c r="I2307" s="9"/>
      <c r="J2307" s="10"/>
      <c r="K2307" s="10"/>
      <c r="L2307" s="10"/>
      <c r="M2307" s="10"/>
      <c r="N2307" s="11"/>
      <c r="O2307" s="11"/>
      <c r="P2307" s="11"/>
      <c r="Q2307" s="11"/>
      <c r="R2307" s="10"/>
      <c r="S2307" s="10"/>
      <c r="T2307" s="10"/>
      <c r="U2307" s="10"/>
    </row>
    <row r="2308">
      <c r="A2308" s="8"/>
      <c r="B2308" s="9"/>
      <c r="C2308" s="9"/>
      <c r="D2308" s="9"/>
      <c r="E2308" s="9"/>
      <c r="F2308" s="9"/>
      <c r="G2308" s="9"/>
      <c r="H2308" s="9"/>
      <c r="I2308" s="9"/>
      <c r="J2308" s="10"/>
      <c r="K2308" s="10"/>
      <c r="L2308" s="10"/>
      <c r="M2308" s="10"/>
      <c r="N2308" s="11"/>
      <c r="O2308" s="11"/>
      <c r="P2308" s="11"/>
      <c r="Q2308" s="11"/>
      <c r="R2308" s="10"/>
      <c r="S2308" s="10"/>
      <c r="T2308" s="10"/>
      <c r="U2308" s="10"/>
    </row>
    <row r="2309">
      <c r="A2309" s="8"/>
      <c r="B2309" s="9"/>
      <c r="C2309" s="9"/>
      <c r="D2309" s="9"/>
      <c r="E2309" s="9"/>
      <c r="F2309" s="9"/>
      <c r="G2309" s="9"/>
      <c r="H2309" s="9"/>
      <c r="I2309" s="9"/>
      <c r="J2309" s="10"/>
      <c r="K2309" s="10"/>
      <c r="L2309" s="10"/>
      <c r="M2309" s="10"/>
      <c r="N2309" s="11"/>
      <c r="O2309" s="11"/>
      <c r="P2309" s="11"/>
      <c r="Q2309" s="11"/>
      <c r="R2309" s="10"/>
      <c r="S2309" s="10"/>
      <c r="T2309" s="10"/>
      <c r="U2309" s="10"/>
    </row>
    <row r="2310">
      <c r="A2310" s="8"/>
      <c r="B2310" s="9"/>
      <c r="C2310" s="9"/>
      <c r="D2310" s="9"/>
      <c r="E2310" s="9"/>
      <c r="F2310" s="9"/>
      <c r="G2310" s="9"/>
      <c r="H2310" s="9"/>
      <c r="I2310" s="9"/>
      <c r="J2310" s="10"/>
      <c r="K2310" s="10"/>
      <c r="L2310" s="10"/>
      <c r="M2310" s="10"/>
      <c r="N2310" s="11"/>
      <c r="O2310" s="11"/>
      <c r="P2310" s="11"/>
      <c r="Q2310" s="11"/>
      <c r="R2310" s="10"/>
      <c r="S2310" s="10"/>
      <c r="T2310" s="10"/>
      <c r="U2310" s="10"/>
    </row>
    <row r="2311">
      <c r="A2311" s="8"/>
      <c r="B2311" s="9"/>
      <c r="C2311" s="9"/>
      <c r="D2311" s="9"/>
      <c r="E2311" s="9"/>
      <c r="F2311" s="9"/>
      <c r="G2311" s="9"/>
      <c r="H2311" s="9"/>
      <c r="I2311" s="9"/>
      <c r="J2311" s="10"/>
      <c r="K2311" s="10"/>
      <c r="L2311" s="10"/>
      <c r="M2311" s="10"/>
      <c r="N2311" s="11"/>
      <c r="O2311" s="11"/>
      <c r="P2311" s="11"/>
      <c r="Q2311" s="11"/>
      <c r="R2311" s="10"/>
      <c r="S2311" s="10"/>
      <c r="T2311" s="10"/>
      <c r="U2311" s="10"/>
    </row>
    <row r="2312">
      <c r="A2312" s="8"/>
      <c r="B2312" s="9"/>
      <c r="C2312" s="9"/>
      <c r="D2312" s="9"/>
      <c r="E2312" s="9"/>
      <c r="F2312" s="9"/>
      <c r="G2312" s="9"/>
      <c r="H2312" s="9"/>
      <c r="I2312" s="9"/>
      <c r="J2312" s="10"/>
      <c r="K2312" s="10"/>
      <c r="L2312" s="10"/>
      <c r="M2312" s="10"/>
      <c r="N2312" s="11"/>
      <c r="O2312" s="11"/>
      <c r="P2312" s="11"/>
      <c r="Q2312" s="11"/>
      <c r="R2312" s="10"/>
      <c r="S2312" s="10"/>
      <c r="T2312" s="10"/>
      <c r="U2312" s="10"/>
    </row>
    <row r="2313">
      <c r="A2313" s="8"/>
      <c r="B2313" s="9"/>
      <c r="C2313" s="9"/>
      <c r="D2313" s="9"/>
      <c r="E2313" s="9"/>
      <c r="F2313" s="9"/>
      <c r="G2313" s="9"/>
      <c r="H2313" s="9"/>
      <c r="I2313" s="9"/>
      <c r="J2313" s="10"/>
      <c r="K2313" s="10"/>
      <c r="L2313" s="10"/>
      <c r="M2313" s="10"/>
      <c r="N2313" s="11"/>
      <c r="O2313" s="11"/>
      <c r="P2313" s="11"/>
      <c r="Q2313" s="11"/>
      <c r="R2313" s="10"/>
      <c r="S2313" s="10"/>
      <c r="T2313" s="10"/>
      <c r="U2313" s="10"/>
    </row>
    <row r="2314">
      <c r="A2314" s="8"/>
      <c r="B2314" s="9"/>
      <c r="C2314" s="9"/>
      <c r="D2314" s="9"/>
      <c r="E2314" s="9"/>
      <c r="F2314" s="9"/>
      <c r="G2314" s="9"/>
      <c r="H2314" s="9"/>
      <c r="I2314" s="9"/>
      <c r="J2314" s="10"/>
      <c r="K2314" s="10"/>
      <c r="L2314" s="10"/>
      <c r="M2314" s="10"/>
      <c r="N2314" s="11"/>
      <c r="O2314" s="11"/>
      <c r="P2314" s="11"/>
      <c r="Q2314" s="11"/>
      <c r="R2314" s="10"/>
      <c r="S2314" s="10"/>
      <c r="T2314" s="10"/>
      <c r="U2314" s="10"/>
    </row>
    <row r="2315">
      <c r="A2315" s="8"/>
      <c r="B2315" s="9"/>
      <c r="C2315" s="9"/>
      <c r="D2315" s="9"/>
      <c r="E2315" s="9"/>
      <c r="F2315" s="9"/>
      <c r="G2315" s="9"/>
      <c r="H2315" s="9"/>
      <c r="I2315" s="9"/>
      <c r="J2315" s="10"/>
      <c r="K2315" s="10"/>
      <c r="L2315" s="10"/>
      <c r="M2315" s="10"/>
      <c r="N2315" s="11"/>
      <c r="O2315" s="11"/>
      <c r="P2315" s="11"/>
      <c r="Q2315" s="11"/>
      <c r="R2315" s="10"/>
      <c r="S2315" s="10"/>
      <c r="T2315" s="10"/>
      <c r="U2315" s="10"/>
    </row>
    <row r="2316">
      <c r="A2316" s="8"/>
      <c r="B2316" s="9"/>
      <c r="C2316" s="9"/>
      <c r="D2316" s="9"/>
      <c r="E2316" s="9"/>
      <c r="F2316" s="9"/>
      <c r="G2316" s="9"/>
      <c r="H2316" s="9"/>
      <c r="I2316" s="9"/>
      <c r="J2316" s="10"/>
      <c r="K2316" s="10"/>
      <c r="L2316" s="10"/>
      <c r="M2316" s="10"/>
      <c r="N2316" s="11"/>
      <c r="O2316" s="11"/>
      <c r="P2316" s="11"/>
      <c r="Q2316" s="11"/>
      <c r="R2316" s="10"/>
      <c r="S2316" s="10"/>
      <c r="T2316" s="10"/>
      <c r="U2316" s="10"/>
    </row>
    <row r="2317">
      <c r="A2317" s="8"/>
      <c r="B2317" s="9"/>
      <c r="C2317" s="9"/>
      <c r="D2317" s="9"/>
      <c r="E2317" s="9"/>
      <c r="F2317" s="9"/>
      <c r="G2317" s="9"/>
      <c r="H2317" s="9"/>
      <c r="I2317" s="9"/>
      <c r="J2317" s="10"/>
      <c r="K2317" s="10"/>
      <c r="L2317" s="10"/>
      <c r="M2317" s="10"/>
      <c r="N2317" s="11"/>
      <c r="O2317" s="11"/>
      <c r="P2317" s="11"/>
      <c r="Q2317" s="11"/>
      <c r="R2317" s="10"/>
      <c r="S2317" s="10"/>
      <c r="T2317" s="10"/>
      <c r="U2317" s="10"/>
    </row>
    <row r="2318">
      <c r="A2318" s="8"/>
      <c r="B2318" s="9"/>
      <c r="C2318" s="9"/>
      <c r="D2318" s="9"/>
      <c r="E2318" s="9"/>
      <c r="F2318" s="9"/>
      <c r="G2318" s="9"/>
      <c r="H2318" s="9"/>
      <c r="I2318" s="9"/>
      <c r="J2318" s="10"/>
      <c r="K2318" s="10"/>
      <c r="L2318" s="10"/>
      <c r="M2318" s="10"/>
      <c r="N2318" s="11"/>
      <c r="O2318" s="11"/>
      <c r="P2318" s="11"/>
      <c r="Q2318" s="11"/>
      <c r="R2318" s="10"/>
      <c r="S2318" s="10"/>
      <c r="T2318" s="10"/>
      <c r="U2318" s="10"/>
    </row>
    <row r="2319">
      <c r="A2319" s="8"/>
      <c r="B2319" s="9"/>
      <c r="C2319" s="9"/>
      <c r="D2319" s="9"/>
      <c r="E2319" s="9"/>
      <c r="F2319" s="9"/>
      <c r="G2319" s="9"/>
      <c r="H2319" s="9"/>
      <c r="I2319" s="9"/>
      <c r="J2319" s="10"/>
      <c r="K2319" s="10"/>
      <c r="L2319" s="10"/>
      <c r="M2319" s="10"/>
      <c r="N2319" s="11"/>
      <c r="O2319" s="11"/>
      <c r="P2319" s="11"/>
      <c r="Q2319" s="11"/>
      <c r="R2319" s="10"/>
      <c r="S2319" s="10"/>
      <c r="T2319" s="10"/>
      <c r="U2319" s="10"/>
    </row>
    <row r="2320">
      <c r="A2320" s="8"/>
      <c r="B2320" s="9"/>
      <c r="C2320" s="9"/>
      <c r="D2320" s="9"/>
      <c r="E2320" s="9"/>
      <c r="F2320" s="9"/>
      <c r="G2320" s="9"/>
      <c r="H2320" s="9"/>
      <c r="I2320" s="9"/>
      <c r="J2320" s="10"/>
      <c r="K2320" s="10"/>
      <c r="L2320" s="10"/>
      <c r="M2320" s="10"/>
      <c r="N2320" s="11"/>
      <c r="O2320" s="11"/>
      <c r="P2320" s="11"/>
      <c r="Q2320" s="11"/>
      <c r="R2320" s="10"/>
      <c r="S2320" s="10"/>
      <c r="T2320" s="10"/>
      <c r="U2320" s="10"/>
    </row>
    <row r="2321">
      <c r="A2321" s="8"/>
      <c r="B2321" s="9"/>
      <c r="C2321" s="9"/>
      <c r="D2321" s="9"/>
      <c r="E2321" s="9"/>
      <c r="F2321" s="9"/>
      <c r="G2321" s="9"/>
      <c r="H2321" s="9"/>
      <c r="I2321" s="9"/>
      <c r="J2321" s="10"/>
      <c r="K2321" s="10"/>
      <c r="L2321" s="10"/>
      <c r="M2321" s="10"/>
      <c r="N2321" s="11"/>
      <c r="O2321" s="11"/>
      <c r="P2321" s="11"/>
      <c r="Q2321" s="11"/>
      <c r="R2321" s="10"/>
      <c r="S2321" s="10"/>
      <c r="T2321" s="10"/>
      <c r="U2321" s="10"/>
    </row>
    <row r="2322">
      <c r="A2322" s="8"/>
      <c r="B2322" s="9"/>
      <c r="C2322" s="9"/>
      <c r="D2322" s="9"/>
      <c r="E2322" s="9"/>
      <c r="F2322" s="9"/>
      <c r="G2322" s="9"/>
      <c r="H2322" s="9"/>
      <c r="I2322" s="9"/>
      <c r="J2322" s="10"/>
      <c r="K2322" s="10"/>
      <c r="L2322" s="10"/>
      <c r="M2322" s="10"/>
      <c r="N2322" s="11"/>
      <c r="O2322" s="11"/>
      <c r="P2322" s="11"/>
      <c r="Q2322" s="11"/>
      <c r="R2322" s="10"/>
      <c r="S2322" s="10"/>
      <c r="T2322" s="10"/>
      <c r="U2322" s="10"/>
    </row>
    <row r="2323">
      <c r="A2323" s="8"/>
      <c r="B2323" s="9"/>
      <c r="C2323" s="9"/>
      <c r="D2323" s="9"/>
      <c r="E2323" s="9"/>
      <c r="F2323" s="9"/>
      <c r="G2323" s="9"/>
      <c r="H2323" s="9"/>
      <c r="I2323" s="9"/>
      <c r="J2323" s="10"/>
      <c r="K2323" s="10"/>
      <c r="L2323" s="10"/>
      <c r="M2323" s="10"/>
      <c r="N2323" s="11"/>
      <c r="O2323" s="11"/>
      <c r="P2323" s="11"/>
      <c r="Q2323" s="11"/>
      <c r="R2323" s="10"/>
      <c r="S2323" s="10"/>
      <c r="T2323" s="10"/>
      <c r="U2323" s="10"/>
    </row>
    <row r="2324">
      <c r="A2324" s="8"/>
      <c r="B2324" s="9"/>
      <c r="C2324" s="9"/>
      <c r="D2324" s="9"/>
      <c r="E2324" s="9"/>
      <c r="F2324" s="9"/>
      <c r="G2324" s="9"/>
      <c r="H2324" s="9"/>
      <c r="I2324" s="9"/>
      <c r="J2324" s="10"/>
      <c r="K2324" s="10"/>
      <c r="L2324" s="10"/>
      <c r="M2324" s="10"/>
      <c r="N2324" s="11"/>
      <c r="O2324" s="11"/>
      <c r="P2324" s="11"/>
      <c r="Q2324" s="11"/>
      <c r="R2324" s="10"/>
      <c r="S2324" s="10"/>
      <c r="T2324" s="10"/>
      <c r="U2324" s="10"/>
    </row>
    <row r="2325">
      <c r="A2325" s="8"/>
      <c r="B2325" s="9"/>
      <c r="C2325" s="9"/>
      <c r="D2325" s="9"/>
      <c r="E2325" s="9"/>
      <c r="F2325" s="9"/>
      <c r="G2325" s="9"/>
      <c r="H2325" s="9"/>
      <c r="I2325" s="9"/>
      <c r="J2325" s="10"/>
      <c r="K2325" s="10"/>
      <c r="L2325" s="10"/>
      <c r="M2325" s="10"/>
      <c r="N2325" s="11"/>
      <c r="O2325" s="11"/>
      <c r="P2325" s="11"/>
      <c r="Q2325" s="11"/>
      <c r="R2325" s="10"/>
      <c r="S2325" s="10"/>
      <c r="T2325" s="10"/>
      <c r="U2325" s="10"/>
    </row>
    <row r="2326">
      <c r="A2326" s="8"/>
      <c r="B2326" s="9"/>
      <c r="C2326" s="9"/>
      <c r="D2326" s="9"/>
      <c r="E2326" s="9"/>
      <c r="F2326" s="9"/>
      <c r="G2326" s="9"/>
      <c r="H2326" s="9"/>
      <c r="I2326" s="9"/>
      <c r="J2326" s="10"/>
      <c r="K2326" s="10"/>
      <c r="L2326" s="10"/>
      <c r="M2326" s="10"/>
      <c r="N2326" s="11"/>
      <c r="O2326" s="11"/>
      <c r="P2326" s="11"/>
      <c r="Q2326" s="11"/>
      <c r="R2326" s="10"/>
      <c r="S2326" s="10"/>
      <c r="T2326" s="10"/>
      <c r="U2326" s="10"/>
    </row>
    <row r="2327">
      <c r="A2327" s="8"/>
      <c r="B2327" s="9"/>
      <c r="C2327" s="9"/>
      <c r="D2327" s="9"/>
      <c r="E2327" s="9"/>
      <c r="F2327" s="9"/>
      <c r="G2327" s="9"/>
      <c r="H2327" s="9"/>
      <c r="I2327" s="9"/>
      <c r="J2327" s="10"/>
      <c r="K2327" s="10"/>
      <c r="L2327" s="10"/>
      <c r="M2327" s="10"/>
      <c r="N2327" s="11"/>
      <c r="O2327" s="11"/>
      <c r="P2327" s="11"/>
      <c r="Q2327" s="11"/>
      <c r="R2327" s="10"/>
      <c r="S2327" s="10"/>
      <c r="T2327" s="10"/>
      <c r="U2327" s="10"/>
    </row>
    <row r="2328">
      <c r="A2328" s="8"/>
      <c r="B2328" s="9"/>
      <c r="C2328" s="9"/>
      <c r="D2328" s="9"/>
      <c r="E2328" s="9"/>
      <c r="F2328" s="9"/>
      <c r="G2328" s="9"/>
      <c r="H2328" s="9"/>
      <c r="I2328" s="9"/>
      <c r="J2328" s="10"/>
      <c r="K2328" s="10"/>
      <c r="L2328" s="10"/>
      <c r="M2328" s="10"/>
      <c r="N2328" s="11"/>
      <c r="O2328" s="11"/>
      <c r="P2328" s="11"/>
      <c r="Q2328" s="11"/>
      <c r="R2328" s="10"/>
      <c r="S2328" s="10"/>
      <c r="T2328" s="10"/>
      <c r="U2328" s="10"/>
    </row>
    <row r="2329">
      <c r="A2329" s="8"/>
      <c r="B2329" s="9"/>
      <c r="C2329" s="9"/>
      <c r="D2329" s="9"/>
      <c r="E2329" s="9"/>
      <c r="F2329" s="9"/>
      <c r="G2329" s="9"/>
      <c r="H2329" s="9"/>
      <c r="I2329" s="9"/>
      <c r="J2329" s="10"/>
      <c r="K2329" s="10"/>
      <c r="L2329" s="10"/>
      <c r="M2329" s="10"/>
      <c r="N2329" s="11"/>
      <c r="O2329" s="11"/>
      <c r="P2329" s="11"/>
      <c r="Q2329" s="11"/>
      <c r="R2329" s="10"/>
      <c r="S2329" s="10"/>
      <c r="T2329" s="10"/>
      <c r="U2329" s="10"/>
    </row>
    <row r="2330">
      <c r="A2330" s="8"/>
      <c r="B2330" s="9"/>
      <c r="C2330" s="9"/>
      <c r="D2330" s="9"/>
      <c r="E2330" s="9"/>
      <c r="F2330" s="9"/>
      <c r="G2330" s="9"/>
      <c r="H2330" s="9"/>
      <c r="I2330" s="9"/>
      <c r="J2330" s="10"/>
      <c r="K2330" s="10"/>
      <c r="L2330" s="10"/>
      <c r="M2330" s="10"/>
      <c r="N2330" s="11"/>
      <c r="O2330" s="11"/>
      <c r="P2330" s="11"/>
      <c r="Q2330" s="11"/>
      <c r="R2330" s="10"/>
      <c r="S2330" s="10"/>
      <c r="T2330" s="10"/>
      <c r="U2330" s="10"/>
    </row>
    <row r="2331">
      <c r="A2331" s="8"/>
      <c r="B2331" s="9"/>
      <c r="C2331" s="9"/>
      <c r="D2331" s="9"/>
      <c r="E2331" s="9"/>
      <c r="F2331" s="9"/>
      <c r="G2331" s="9"/>
      <c r="H2331" s="9"/>
      <c r="I2331" s="9"/>
      <c r="J2331" s="10"/>
      <c r="K2331" s="10"/>
      <c r="L2331" s="10"/>
      <c r="M2331" s="10"/>
      <c r="N2331" s="11"/>
      <c r="O2331" s="11"/>
      <c r="P2331" s="11"/>
      <c r="Q2331" s="11"/>
      <c r="R2331" s="10"/>
      <c r="S2331" s="10"/>
      <c r="T2331" s="10"/>
      <c r="U2331" s="10"/>
    </row>
    <row r="2332">
      <c r="A2332" s="8"/>
      <c r="B2332" s="9"/>
      <c r="C2332" s="9"/>
      <c r="D2332" s="9"/>
      <c r="E2332" s="9"/>
      <c r="F2332" s="9"/>
      <c r="G2332" s="9"/>
      <c r="H2332" s="9"/>
      <c r="I2332" s="9"/>
      <c r="J2332" s="10"/>
      <c r="K2332" s="10"/>
      <c r="L2332" s="10"/>
      <c r="M2332" s="10"/>
      <c r="N2332" s="11"/>
      <c r="O2332" s="11"/>
      <c r="P2332" s="11"/>
      <c r="Q2332" s="11"/>
      <c r="R2332" s="10"/>
      <c r="S2332" s="10"/>
      <c r="T2332" s="10"/>
      <c r="U2332" s="10"/>
    </row>
    <row r="2333">
      <c r="A2333" s="8"/>
      <c r="B2333" s="9"/>
      <c r="C2333" s="9"/>
      <c r="D2333" s="9"/>
      <c r="E2333" s="9"/>
      <c r="F2333" s="9"/>
      <c r="G2333" s="9"/>
      <c r="H2333" s="9"/>
      <c r="I2333" s="9"/>
      <c r="J2333" s="10"/>
      <c r="K2333" s="10"/>
      <c r="L2333" s="10"/>
      <c r="M2333" s="10"/>
      <c r="N2333" s="11"/>
      <c r="O2333" s="11"/>
      <c r="P2333" s="11"/>
      <c r="Q2333" s="11"/>
      <c r="R2333" s="10"/>
      <c r="S2333" s="10"/>
      <c r="T2333" s="10"/>
      <c r="U2333" s="10"/>
    </row>
    <row r="2334">
      <c r="A2334" s="8"/>
      <c r="B2334" s="9"/>
      <c r="C2334" s="9"/>
      <c r="D2334" s="9"/>
      <c r="E2334" s="9"/>
      <c r="F2334" s="9"/>
      <c r="G2334" s="9"/>
      <c r="H2334" s="9"/>
      <c r="I2334" s="9"/>
      <c r="J2334" s="10"/>
      <c r="K2334" s="10"/>
      <c r="L2334" s="10"/>
      <c r="M2334" s="10"/>
      <c r="N2334" s="11"/>
      <c r="O2334" s="11"/>
      <c r="P2334" s="11"/>
      <c r="Q2334" s="11"/>
      <c r="R2334" s="10"/>
      <c r="S2334" s="10"/>
      <c r="T2334" s="10"/>
      <c r="U2334" s="10"/>
    </row>
    <row r="2335">
      <c r="A2335" s="8"/>
      <c r="B2335" s="9"/>
      <c r="C2335" s="9"/>
      <c r="D2335" s="9"/>
      <c r="E2335" s="9"/>
      <c r="F2335" s="9"/>
      <c r="G2335" s="9"/>
      <c r="H2335" s="9"/>
      <c r="I2335" s="9"/>
      <c r="J2335" s="10"/>
      <c r="K2335" s="10"/>
      <c r="L2335" s="10"/>
      <c r="M2335" s="10"/>
      <c r="N2335" s="11"/>
      <c r="O2335" s="11"/>
      <c r="P2335" s="11"/>
      <c r="Q2335" s="11"/>
      <c r="R2335" s="10"/>
      <c r="S2335" s="10"/>
      <c r="T2335" s="10"/>
      <c r="U2335" s="10"/>
    </row>
    <row r="2336">
      <c r="A2336" s="8"/>
      <c r="B2336" s="9"/>
      <c r="C2336" s="9"/>
      <c r="D2336" s="9"/>
      <c r="E2336" s="9"/>
      <c r="F2336" s="9"/>
      <c r="G2336" s="9"/>
      <c r="H2336" s="9"/>
      <c r="I2336" s="9"/>
      <c r="J2336" s="10"/>
      <c r="K2336" s="10"/>
      <c r="L2336" s="10"/>
      <c r="M2336" s="10"/>
      <c r="N2336" s="11"/>
      <c r="O2336" s="11"/>
      <c r="P2336" s="11"/>
      <c r="Q2336" s="11"/>
      <c r="R2336" s="10"/>
      <c r="S2336" s="10"/>
      <c r="T2336" s="10"/>
      <c r="U2336" s="10"/>
    </row>
    <row r="2337">
      <c r="A2337" s="8"/>
      <c r="B2337" s="9"/>
      <c r="C2337" s="9"/>
      <c r="D2337" s="9"/>
      <c r="E2337" s="9"/>
      <c r="F2337" s="9"/>
      <c r="G2337" s="9"/>
      <c r="H2337" s="9"/>
      <c r="I2337" s="9"/>
      <c r="J2337" s="10"/>
      <c r="K2337" s="10"/>
      <c r="L2337" s="10"/>
      <c r="M2337" s="10"/>
      <c r="N2337" s="11"/>
      <c r="O2337" s="11"/>
      <c r="P2337" s="11"/>
      <c r="Q2337" s="11"/>
      <c r="R2337" s="10"/>
      <c r="S2337" s="10"/>
      <c r="T2337" s="10"/>
      <c r="U2337" s="10"/>
    </row>
    <row r="2338">
      <c r="A2338" s="8"/>
      <c r="B2338" s="9"/>
      <c r="C2338" s="9"/>
      <c r="D2338" s="9"/>
      <c r="E2338" s="9"/>
      <c r="F2338" s="9"/>
      <c r="G2338" s="9"/>
      <c r="H2338" s="9"/>
      <c r="I2338" s="9"/>
      <c r="J2338" s="10"/>
      <c r="K2338" s="10"/>
      <c r="L2338" s="10"/>
      <c r="M2338" s="10"/>
      <c r="N2338" s="11"/>
      <c r="O2338" s="11"/>
      <c r="P2338" s="11"/>
      <c r="Q2338" s="11"/>
      <c r="R2338" s="10"/>
      <c r="S2338" s="10"/>
      <c r="T2338" s="10"/>
      <c r="U2338" s="10"/>
    </row>
    <row r="2339">
      <c r="A2339" s="8"/>
      <c r="B2339" s="9"/>
      <c r="C2339" s="9"/>
      <c r="D2339" s="9"/>
      <c r="E2339" s="9"/>
      <c r="F2339" s="9"/>
      <c r="G2339" s="9"/>
      <c r="H2339" s="9"/>
      <c r="I2339" s="9"/>
      <c r="J2339" s="10"/>
      <c r="K2339" s="10"/>
      <c r="L2339" s="10"/>
      <c r="M2339" s="10"/>
      <c r="N2339" s="11"/>
      <c r="O2339" s="11"/>
      <c r="P2339" s="11"/>
      <c r="Q2339" s="11"/>
      <c r="R2339" s="10"/>
      <c r="S2339" s="10"/>
      <c r="T2339" s="10"/>
      <c r="U2339" s="10"/>
    </row>
    <row r="2340">
      <c r="A2340" s="8"/>
      <c r="B2340" s="9"/>
      <c r="C2340" s="9"/>
      <c r="D2340" s="9"/>
      <c r="E2340" s="9"/>
      <c r="F2340" s="9"/>
      <c r="G2340" s="9"/>
      <c r="H2340" s="9"/>
      <c r="I2340" s="9"/>
      <c r="J2340" s="10"/>
      <c r="K2340" s="10"/>
      <c r="L2340" s="10"/>
      <c r="M2340" s="10"/>
      <c r="N2340" s="11"/>
      <c r="O2340" s="11"/>
      <c r="P2340" s="11"/>
      <c r="Q2340" s="11"/>
      <c r="R2340" s="10"/>
      <c r="S2340" s="10"/>
      <c r="T2340" s="10"/>
      <c r="U2340" s="10"/>
    </row>
    <row r="2341">
      <c r="A2341" s="8"/>
      <c r="B2341" s="9"/>
      <c r="C2341" s="9"/>
      <c r="D2341" s="9"/>
      <c r="E2341" s="9"/>
      <c r="F2341" s="9"/>
      <c r="G2341" s="9"/>
      <c r="H2341" s="9"/>
      <c r="I2341" s="9"/>
      <c r="J2341" s="10"/>
      <c r="K2341" s="10"/>
      <c r="L2341" s="10"/>
      <c r="M2341" s="10"/>
      <c r="N2341" s="11"/>
      <c r="O2341" s="11"/>
      <c r="P2341" s="11"/>
      <c r="Q2341" s="11"/>
      <c r="R2341" s="10"/>
      <c r="S2341" s="10"/>
      <c r="T2341" s="10"/>
      <c r="U2341" s="10"/>
    </row>
    <row r="2342">
      <c r="A2342" s="8"/>
      <c r="B2342" s="9"/>
      <c r="C2342" s="9"/>
      <c r="D2342" s="9"/>
      <c r="E2342" s="9"/>
      <c r="F2342" s="9"/>
      <c r="G2342" s="9"/>
      <c r="H2342" s="9"/>
      <c r="I2342" s="9"/>
      <c r="J2342" s="10"/>
      <c r="K2342" s="10"/>
      <c r="L2342" s="10"/>
      <c r="M2342" s="10"/>
      <c r="N2342" s="11"/>
      <c r="O2342" s="11"/>
      <c r="P2342" s="11"/>
      <c r="Q2342" s="11"/>
      <c r="R2342" s="10"/>
      <c r="S2342" s="10"/>
      <c r="T2342" s="10"/>
      <c r="U2342" s="10"/>
    </row>
    <row r="2343">
      <c r="A2343" s="8"/>
      <c r="B2343" s="9"/>
      <c r="C2343" s="9"/>
      <c r="D2343" s="9"/>
      <c r="E2343" s="9"/>
      <c r="F2343" s="9"/>
      <c r="G2343" s="9"/>
      <c r="H2343" s="9"/>
      <c r="I2343" s="9"/>
      <c r="J2343" s="10"/>
      <c r="K2343" s="10"/>
      <c r="L2343" s="10"/>
      <c r="M2343" s="10"/>
      <c r="N2343" s="11"/>
      <c r="O2343" s="11"/>
      <c r="P2343" s="11"/>
      <c r="Q2343" s="11"/>
      <c r="R2343" s="10"/>
      <c r="S2343" s="10"/>
      <c r="T2343" s="10"/>
      <c r="U2343" s="10"/>
    </row>
    <row r="2344">
      <c r="A2344" s="8"/>
      <c r="B2344" s="9"/>
      <c r="C2344" s="9"/>
      <c r="D2344" s="9"/>
      <c r="E2344" s="9"/>
      <c r="F2344" s="9"/>
      <c r="G2344" s="9"/>
      <c r="H2344" s="9"/>
      <c r="I2344" s="9"/>
      <c r="J2344" s="10"/>
      <c r="K2344" s="10"/>
      <c r="L2344" s="10"/>
      <c r="M2344" s="10"/>
      <c r="N2344" s="11"/>
      <c r="O2344" s="11"/>
      <c r="P2344" s="11"/>
      <c r="Q2344" s="11"/>
      <c r="R2344" s="10"/>
      <c r="S2344" s="10"/>
      <c r="T2344" s="10"/>
      <c r="U2344" s="10"/>
    </row>
    <row r="2345">
      <c r="A2345" s="8"/>
      <c r="B2345" s="9"/>
      <c r="C2345" s="9"/>
      <c r="D2345" s="9"/>
      <c r="E2345" s="9"/>
      <c r="F2345" s="9"/>
      <c r="G2345" s="9"/>
      <c r="H2345" s="9"/>
      <c r="I2345" s="9"/>
      <c r="J2345" s="10"/>
      <c r="K2345" s="10"/>
      <c r="L2345" s="10"/>
      <c r="M2345" s="10"/>
      <c r="N2345" s="11"/>
      <c r="O2345" s="11"/>
      <c r="P2345" s="11"/>
      <c r="Q2345" s="11"/>
      <c r="R2345" s="10"/>
      <c r="S2345" s="10"/>
      <c r="T2345" s="10"/>
      <c r="U2345" s="10"/>
    </row>
    <row r="2346">
      <c r="A2346" s="8"/>
      <c r="B2346" s="9"/>
      <c r="C2346" s="9"/>
      <c r="D2346" s="9"/>
      <c r="E2346" s="9"/>
      <c r="F2346" s="9"/>
      <c r="G2346" s="9"/>
      <c r="H2346" s="9"/>
      <c r="I2346" s="9"/>
      <c r="J2346" s="10"/>
      <c r="K2346" s="10"/>
      <c r="L2346" s="10"/>
      <c r="M2346" s="10"/>
      <c r="N2346" s="11"/>
      <c r="O2346" s="11"/>
      <c r="P2346" s="11"/>
      <c r="Q2346" s="11"/>
      <c r="R2346" s="10"/>
      <c r="S2346" s="10"/>
      <c r="T2346" s="10"/>
      <c r="U2346" s="10"/>
    </row>
    <row r="2347">
      <c r="A2347" s="8"/>
      <c r="B2347" s="9"/>
      <c r="C2347" s="9"/>
      <c r="D2347" s="9"/>
      <c r="E2347" s="9"/>
      <c r="F2347" s="9"/>
      <c r="G2347" s="9"/>
      <c r="H2347" s="9"/>
      <c r="I2347" s="9"/>
      <c r="J2347" s="10"/>
      <c r="K2347" s="10"/>
      <c r="L2347" s="10"/>
      <c r="M2347" s="10"/>
      <c r="N2347" s="11"/>
      <c r="O2347" s="11"/>
      <c r="P2347" s="11"/>
      <c r="Q2347" s="11"/>
      <c r="R2347" s="10"/>
      <c r="S2347" s="10"/>
      <c r="T2347" s="10"/>
      <c r="U2347" s="10"/>
    </row>
    <row r="2348">
      <c r="A2348" s="8"/>
      <c r="B2348" s="9"/>
      <c r="C2348" s="9"/>
      <c r="D2348" s="9"/>
      <c r="E2348" s="9"/>
      <c r="F2348" s="9"/>
      <c r="G2348" s="9"/>
      <c r="H2348" s="9"/>
      <c r="I2348" s="9"/>
      <c r="J2348" s="10"/>
      <c r="K2348" s="10"/>
      <c r="L2348" s="10"/>
      <c r="M2348" s="10"/>
      <c r="N2348" s="11"/>
      <c r="O2348" s="11"/>
      <c r="P2348" s="11"/>
      <c r="Q2348" s="11"/>
      <c r="R2348" s="10"/>
      <c r="S2348" s="10"/>
      <c r="T2348" s="10"/>
      <c r="U2348" s="10"/>
    </row>
    <row r="2349">
      <c r="A2349" s="8"/>
      <c r="B2349" s="9"/>
      <c r="C2349" s="9"/>
      <c r="D2349" s="9"/>
      <c r="E2349" s="9"/>
      <c r="F2349" s="9"/>
      <c r="G2349" s="9"/>
      <c r="H2349" s="9"/>
      <c r="I2349" s="9"/>
      <c r="J2349" s="10"/>
      <c r="K2349" s="10"/>
      <c r="L2349" s="10"/>
      <c r="M2349" s="10"/>
      <c r="N2349" s="11"/>
      <c r="O2349" s="11"/>
      <c r="P2349" s="11"/>
      <c r="Q2349" s="11"/>
      <c r="R2349" s="10"/>
      <c r="S2349" s="10"/>
      <c r="T2349" s="10"/>
      <c r="U2349" s="10"/>
    </row>
    <row r="2350">
      <c r="A2350" s="8"/>
      <c r="B2350" s="9"/>
      <c r="C2350" s="9"/>
      <c r="D2350" s="9"/>
      <c r="E2350" s="9"/>
      <c r="F2350" s="9"/>
      <c r="G2350" s="9"/>
      <c r="H2350" s="9"/>
      <c r="I2350" s="9"/>
      <c r="J2350" s="10"/>
      <c r="K2350" s="10"/>
      <c r="L2350" s="10"/>
      <c r="M2350" s="10"/>
      <c r="N2350" s="11"/>
      <c r="O2350" s="11"/>
      <c r="P2350" s="11"/>
      <c r="Q2350" s="11"/>
      <c r="R2350" s="10"/>
      <c r="S2350" s="10"/>
      <c r="T2350" s="10"/>
      <c r="U2350" s="10"/>
    </row>
    <row r="2351">
      <c r="A2351" s="8"/>
      <c r="B2351" s="9"/>
      <c r="C2351" s="9"/>
      <c r="D2351" s="9"/>
      <c r="E2351" s="9"/>
      <c r="F2351" s="9"/>
      <c r="G2351" s="9"/>
      <c r="H2351" s="9"/>
      <c r="I2351" s="9"/>
      <c r="J2351" s="10"/>
      <c r="K2351" s="10"/>
      <c r="L2351" s="10"/>
      <c r="M2351" s="10"/>
      <c r="N2351" s="11"/>
      <c r="O2351" s="11"/>
      <c r="P2351" s="11"/>
      <c r="Q2351" s="11"/>
      <c r="R2351" s="10"/>
      <c r="S2351" s="10"/>
      <c r="T2351" s="10"/>
      <c r="U2351" s="10"/>
    </row>
    <row r="2352">
      <c r="A2352" s="8"/>
      <c r="B2352" s="9"/>
      <c r="C2352" s="9"/>
      <c r="D2352" s="9"/>
      <c r="E2352" s="9"/>
      <c r="F2352" s="9"/>
      <c r="G2352" s="9"/>
      <c r="H2352" s="9"/>
      <c r="I2352" s="9"/>
      <c r="J2352" s="10"/>
      <c r="K2352" s="10"/>
      <c r="L2352" s="10"/>
      <c r="M2352" s="10"/>
      <c r="N2352" s="11"/>
      <c r="O2352" s="11"/>
      <c r="P2352" s="11"/>
      <c r="Q2352" s="11"/>
      <c r="R2352" s="10"/>
      <c r="S2352" s="10"/>
      <c r="T2352" s="10"/>
      <c r="U2352" s="10"/>
    </row>
    <row r="2353">
      <c r="A2353" s="8"/>
      <c r="B2353" s="9"/>
      <c r="C2353" s="9"/>
      <c r="D2353" s="9"/>
      <c r="E2353" s="9"/>
      <c r="F2353" s="9"/>
      <c r="G2353" s="9"/>
      <c r="H2353" s="9"/>
      <c r="I2353" s="9"/>
      <c r="J2353" s="10"/>
      <c r="K2353" s="10"/>
      <c r="L2353" s="10"/>
      <c r="M2353" s="10"/>
      <c r="N2353" s="11"/>
      <c r="O2353" s="11"/>
      <c r="P2353" s="11"/>
      <c r="Q2353" s="11"/>
      <c r="R2353" s="10"/>
      <c r="S2353" s="10"/>
      <c r="T2353" s="10"/>
      <c r="U2353" s="10"/>
    </row>
    <row r="2354">
      <c r="A2354" s="8"/>
      <c r="B2354" s="9"/>
      <c r="C2354" s="9"/>
      <c r="D2354" s="9"/>
      <c r="E2354" s="9"/>
      <c r="F2354" s="9"/>
      <c r="G2354" s="9"/>
      <c r="H2354" s="9"/>
      <c r="I2354" s="9"/>
      <c r="J2354" s="10"/>
      <c r="K2354" s="10"/>
      <c r="L2354" s="10"/>
      <c r="M2354" s="10"/>
      <c r="N2354" s="11"/>
      <c r="O2354" s="11"/>
      <c r="P2354" s="11"/>
      <c r="Q2354" s="11"/>
      <c r="R2354" s="10"/>
      <c r="S2354" s="10"/>
      <c r="T2354" s="10"/>
      <c r="U2354" s="10"/>
    </row>
    <row r="2355">
      <c r="A2355" s="8"/>
      <c r="B2355" s="9"/>
      <c r="C2355" s="9"/>
      <c r="D2355" s="9"/>
      <c r="E2355" s="9"/>
      <c r="F2355" s="9"/>
      <c r="G2355" s="9"/>
      <c r="H2355" s="9"/>
      <c r="I2355" s="9"/>
      <c r="J2355" s="10"/>
      <c r="K2355" s="10"/>
      <c r="L2355" s="10"/>
      <c r="M2355" s="10"/>
      <c r="N2355" s="11"/>
      <c r="O2355" s="11"/>
      <c r="P2355" s="11"/>
      <c r="Q2355" s="11"/>
      <c r="R2355" s="10"/>
      <c r="S2355" s="10"/>
      <c r="T2355" s="10"/>
      <c r="U2355" s="10"/>
    </row>
    <row r="2356">
      <c r="A2356" s="8"/>
      <c r="B2356" s="9"/>
      <c r="C2356" s="9"/>
      <c r="D2356" s="9"/>
      <c r="E2356" s="9"/>
      <c r="F2356" s="9"/>
      <c r="G2356" s="9"/>
      <c r="H2356" s="9"/>
      <c r="I2356" s="9"/>
      <c r="J2356" s="10"/>
      <c r="K2356" s="10"/>
      <c r="L2356" s="10"/>
      <c r="M2356" s="10"/>
      <c r="N2356" s="11"/>
      <c r="O2356" s="11"/>
      <c r="P2356" s="11"/>
      <c r="Q2356" s="11"/>
      <c r="R2356" s="10"/>
      <c r="S2356" s="10"/>
      <c r="T2356" s="10"/>
      <c r="U2356" s="10"/>
    </row>
    <row r="2357">
      <c r="A2357" s="8"/>
      <c r="B2357" s="9"/>
      <c r="C2357" s="9"/>
      <c r="D2357" s="9"/>
      <c r="E2357" s="9"/>
      <c r="F2357" s="9"/>
      <c r="G2357" s="9"/>
      <c r="H2357" s="9"/>
      <c r="I2357" s="9"/>
      <c r="J2357" s="10"/>
      <c r="K2357" s="10"/>
      <c r="L2357" s="10"/>
      <c r="M2357" s="10"/>
      <c r="N2357" s="11"/>
      <c r="O2357" s="11"/>
      <c r="P2357" s="11"/>
      <c r="Q2357" s="11"/>
      <c r="R2357" s="10"/>
      <c r="S2357" s="10"/>
      <c r="T2357" s="10"/>
      <c r="U2357" s="10"/>
    </row>
    <row r="2358">
      <c r="A2358" s="8"/>
      <c r="B2358" s="9"/>
      <c r="C2358" s="9"/>
      <c r="D2358" s="9"/>
      <c r="E2358" s="9"/>
      <c r="F2358" s="9"/>
      <c r="G2358" s="9"/>
      <c r="H2358" s="9"/>
      <c r="I2358" s="9"/>
      <c r="J2358" s="10"/>
      <c r="K2358" s="10"/>
      <c r="L2358" s="10"/>
      <c r="M2358" s="10"/>
      <c r="N2358" s="11"/>
      <c r="O2358" s="11"/>
      <c r="P2358" s="11"/>
      <c r="Q2358" s="11"/>
      <c r="R2358" s="10"/>
      <c r="S2358" s="10"/>
      <c r="T2358" s="10"/>
      <c r="U2358" s="10"/>
    </row>
    <row r="2359">
      <c r="A2359" s="8"/>
      <c r="B2359" s="9"/>
      <c r="C2359" s="9"/>
      <c r="D2359" s="9"/>
      <c r="E2359" s="9"/>
      <c r="F2359" s="9"/>
      <c r="G2359" s="9"/>
      <c r="H2359" s="9"/>
      <c r="I2359" s="9"/>
      <c r="J2359" s="10"/>
      <c r="K2359" s="10"/>
      <c r="L2359" s="10"/>
      <c r="M2359" s="10"/>
      <c r="N2359" s="11"/>
      <c r="O2359" s="11"/>
      <c r="P2359" s="11"/>
      <c r="Q2359" s="11"/>
      <c r="R2359" s="10"/>
      <c r="S2359" s="10"/>
      <c r="T2359" s="10"/>
      <c r="U2359" s="10"/>
    </row>
    <row r="2360">
      <c r="A2360" s="8"/>
      <c r="B2360" s="9"/>
      <c r="C2360" s="9"/>
      <c r="D2360" s="9"/>
      <c r="E2360" s="9"/>
      <c r="F2360" s="9"/>
      <c r="G2360" s="9"/>
      <c r="H2360" s="9"/>
      <c r="I2360" s="9"/>
      <c r="J2360" s="10"/>
      <c r="K2360" s="10"/>
      <c r="L2360" s="10"/>
      <c r="M2360" s="10"/>
      <c r="N2360" s="11"/>
      <c r="O2360" s="11"/>
      <c r="P2360" s="11"/>
      <c r="Q2360" s="11"/>
      <c r="R2360" s="10"/>
      <c r="S2360" s="10"/>
      <c r="T2360" s="10"/>
      <c r="U2360" s="10"/>
    </row>
    <row r="2361">
      <c r="A2361" s="8"/>
      <c r="B2361" s="9"/>
      <c r="C2361" s="9"/>
      <c r="D2361" s="9"/>
      <c r="E2361" s="9"/>
      <c r="F2361" s="9"/>
      <c r="G2361" s="9"/>
      <c r="H2361" s="9"/>
      <c r="I2361" s="9"/>
      <c r="J2361" s="10"/>
      <c r="K2361" s="10"/>
      <c r="L2361" s="10"/>
      <c r="M2361" s="10"/>
      <c r="N2361" s="11"/>
      <c r="O2361" s="11"/>
      <c r="P2361" s="11"/>
      <c r="Q2361" s="11"/>
      <c r="R2361" s="10"/>
      <c r="S2361" s="10"/>
      <c r="T2361" s="10"/>
      <c r="U2361" s="10"/>
    </row>
    <row r="2362">
      <c r="A2362" s="8"/>
      <c r="B2362" s="9"/>
      <c r="C2362" s="9"/>
      <c r="D2362" s="9"/>
      <c r="E2362" s="9"/>
      <c r="F2362" s="9"/>
      <c r="G2362" s="9"/>
      <c r="H2362" s="9"/>
      <c r="I2362" s="9"/>
      <c r="J2362" s="10"/>
      <c r="K2362" s="10"/>
      <c r="L2362" s="10"/>
      <c r="M2362" s="10"/>
      <c r="N2362" s="11"/>
      <c r="O2362" s="11"/>
      <c r="P2362" s="11"/>
      <c r="Q2362" s="11"/>
      <c r="R2362" s="10"/>
      <c r="S2362" s="10"/>
      <c r="T2362" s="10"/>
      <c r="U2362" s="10"/>
    </row>
    <row r="2363">
      <c r="A2363" s="8"/>
      <c r="B2363" s="9"/>
      <c r="C2363" s="9"/>
      <c r="D2363" s="9"/>
      <c r="E2363" s="9"/>
      <c r="F2363" s="9"/>
      <c r="G2363" s="9"/>
      <c r="H2363" s="9"/>
      <c r="I2363" s="9"/>
      <c r="J2363" s="10"/>
      <c r="K2363" s="10"/>
      <c r="L2363" s="10"/>
      <c r="M2363" s="10"/>
      <c r="N2363" s="11"/>
      <c r="O2363" s="11"/>
      <c r="P2363" s="11"/>
      <c r="Q2363" s="11"/>
      <c r="R2363" s="10"/>
      <c r="S2363" s="10"/>
      <c r="T2363" s="10"/>
      <c r="U2363" s="10"/>
    </row>
    <row r="2364">
      <c r="A2364" s="8"/>
      <c r="B2364" s="9"/>
      <c r="C2364" s="9"/>
      <c r="D2364" s="9"/>
      <c r="E2364" s="9"/>
      <c r="F2364" s="9"/>
      <c r="G2364" s="9"/>
      <c r="H2364" s="9"/>
      <c r="I2364" s="9"/>
      <c r="J2364" s="10"/>
      <c r="K2364" s="10"/>
      <c r="L2364" s="10"/>
      <c r="M2364" s="10"/>
      <c r="N2364" s="11"/>
      <c r="O2364" s="11"/>
      <c r="P2364" s="11"/>
      <c r="Q2364" s="11"/>
      <c r="R2364" s="10"/>
      <c r="S2364" s="10"/>
      <c r="T2364" s="10"/>
      <c r="U2364" s="10"/>
    </row>
    <row r="2365">
      <c r="A2365" s="8"/>
      <c r="B2365" s="9"/>
      <c r="C2365" s="9"/>
      <c r="D2365" s="9"/>
      <c r="E2365" s="9"/>
      <c r="F2365" s="9"/>
      <c r="G2365" s="9"/>
      <c r="H2365" s="9"/>
      <c r="I2365" s="9"/>
      <c r="J2365" s="10"/>
      <c r="K2365" s="10"/>
      <c r="L2365" s="10"/>
      <c r="M2365" s="10"/>
      <c r="N2365" s="11"/>
      <c r="O2365" s="11"/>
      <c r="P2365" s="11"/>
      <c r="Q2365" s="11"/>
      <c r="R2365" s="10"/>
      <c r="S2365" s="10"/>
      <c r="T2365" s="10"/>
      <c r="U2365" s="10"/>
    </row>
    <row r="2366">
      <c r="A2366" s="8"/>
      <c r="B2366" s="9"/>
      <c r="C2366" s="9"/>
      <c r="D2366" s="9"/>
      <c r="E2366" s="9"/>
      <c r="F2366" s="9"/>
      <c r="G2366" s="9"/>
      <c r="H2366" s="9"/>
      <c r="I2366" s="9"/>
      <c r="J2366" s="10"/>
      <c r="K2366" s="10"/>
      <c r="L2366" s="10"/>
      <c r="M2366" s="10"/>
      <c r="N2366" s="11"/>
      <c r="O2366" s="11"/>
      <c r="P2366" s="11"/>
      <c r="Q2366" s="11"/>
      <c r="R2366" s="10"/>
      <c r="S2366" s="10"/>
      <c r="T2366" s="10"/>
      <c r="U2366" s="10"/>
    </row>
    <row r="2367">
      <c r="A2367" s="8"/>
      <c r="B2367" s="9"/>
      <c r="C2367" s="9"/>
      <c r="D2367" s="9"/>
      <c r="E2367" s="9"/>
      <c r="F2367" s="9"/>
      <c r="G2367" s="9"/>
      <c r="H2367" s="9"/>
      <c r="I2367" s="9"/>
      <c r="J2367" s="10"/>
      <c r="K2367" s="10"/>
      <c r="L2367" s="10"/>
      <c r="M2367" s="10"/>
      <c r="N2367" s="11"/>
      <c r="O2367" s="11"/>
      <c r="P2367" s="11"/>
      <c r="Q2367" s="11"/>
      <c r="R2367" s="10"/>
      <c r="S2367" s="10"/>
      <c r="T2367" s="10"/>
      <c r="U2367" s="10"/>
    </row>
    <row r="2368">
      <c r="A2368" s="8"/>
      <c r="B2368" s="9"/>
      <c r="C2368" s="9"/>
      <c r="D2368" s="9"/>
      <c r="E2368" s="9"/>
      <c r="F2368" s="9"/>
      <c r="G2368" s="9"/>
      <c r="H2368" s="9"/>
      <c r="I2368" s="9"/>
      <c r="J2368" s="10"/>
      <c r="K2368" s="10"/>
      <c r="L2368" s="10"/>
      <c r="M2368" s="10"/>
      <c r="N2368" s="11"/>
      <c r="O2368" s="11"/>
      <c r="P2368" s="11"/>
      <c r="Q2368" s="11"/>
      <c r="R2368" s="10"/>
      <c r="S2368" s="10"/>
      <c r="T2368" s="10"/>
      <c r="U2368" s="10"/>
    </row>
    <row r="2369">
      <c r="A2369" s="8"/>
      <c r="B2369" s="9"/>
      <c r="C2369" s="9"/>
      <c r="D2369" s="9"/>
      <c r="E2369" s="9"/>
      <c r="F2369" s="9"/>
      <c r="G2369" s="9"/>
      <c r="H2369" s="9"/>
      <c r="I2369" s="9"/>
      <c r="J2369" s="10"/>
      <c r="K2369" s="10"/>
      <c r="L2369" s="10"/>
      <c r="M2369" s="10"/>
      <c r="N2369" s="11"/>
      <c r="O2369" s="11"/>
      <c r="P2369" s="11"/>
      <c r="Q2369" s="11"/>
      <c r="R2369" s="10"/>
      <c r="S2369" s="10"/>
      <c r="T2369" s="10"/>
      <c r="U2369" s="10"/>
    </row>
    <row r="2370">
      <c r="A2370" s="8"/>
      <c r="B2370" s="9"/>
      <c r="C2370" s="9"/>
      <c r="D2370" s="9"/>
      <c r="E2370" s="9"/>
      <c r="F2370" s="9"/>
      <c r="G2370" s="9"/>
      <c r="H2370" s="9"/>
      <c r="I2370" s="9"/>
      <c r="J2370" s="10"/>
      <c r="K2370" s="10"/>
      <c r="L2370" s="10"/>
      <c r="M2370" s="10"/>
      <c r="N2370" s="11"/>
      <c r="O2370" s="11"/>
      <c r="P2370" s="11"/>
      <c r="Q2370" s="11"/>
      <c r="R2370" s="10"/>
      <c r="S2370" s="10"/>
      <c r="T2370" s="10"/>
      <c r="U2370" s="10"/>
    </row>
    <row r="2371">
      <c r="A2371" s="8"/>
      <c r="B2371" s="9"/>
      <c r="C2371" s="9"/>
      <c r="D2371" s="9"/>
      <c r="E2371" s="9"/>
      <c r="F2371" s="9"/>
      <c r="G2371" s="9"/>
      <c r="H2371" s="9"/>
      <c r="I2371" s="9"/>
      <c r="J2371" s="10"/>
      <c r="K2371" s="10"/>
      <c r="L2371" s="10"/>
      <c r="M2371" s="10"/>
      <c r="N2371" s="11"/>
      <c r="O2371" s="11"/>
      <c r="P2371" s="11"/>
      <c r="Q2371" s="11"/>
      <c r="R2371" s="10"/>
      <c r="S2371" s="10"/>
      <c r="T2371" s="10"/>
      <c r="U2371" s="10"/>
    </row>
    <row r="2372">
      <c r="A2372" s="8"/>
      <c r="B2372" s="9"/>
      <c r="C2372" s="9"/>
      <c r="D2372" s="9"/>
      <c r="E2372" s="9"/>
      <c r="F2372" s="9"/>
      <c r="G2372" s="9"/>
      <c r="H2372" s="9"/>
      <c r="I2372" s="9"/>
      <c r="J2372" s="10"/>
      <c r="K2372" s="10"/>
      <c r="L2372" s="10"/>
      <c r="M2372" s="10"/>
      <c r="N2372" s="11"/>
      <c r="O2372" s="11"/>
      <c r="P2372" s="11"/>
      <c r="Q2372" s="11"/>
      <c r="R2372" s="10"/>
      <c r="S2372" s="10"/>
      <c r="T2372" s="10"/>
      <c r="U2372" s="10"/>
    </row>
    <row r="2373">
      <c r="A2373" s="8"/>
      <c r="B2373" s="9"/>
      <c r="C2373" s="9"/>
      <c r="D2373" s="9"/>
      <c r="E2373" s="9"/>
      <c r="F2373" s="9"/>
      <c r="G2373" s="9"/>
      <c r="H2373" s="9"/>
      <c r="I2373" s="9"/>
      <c r="J2373" s="10"/>
      <c r="K2373" s="10"/>
      <c r="L2373" s="10"/>
      <c r="M2373" s="10"/>
      <c r="N2373" s="11"/>
      <c r="O2373" s="11"/>
      <c r="P2373" s="11"/>
      <c r="Q2373" s="11"/>
      <c r="R2373" s="10"/>
      <c r="S2373" s="10"/>
      <c r="T2373" s="10"/>
      <c r="U2373" s="10"/>
    </row>
    <row r="2374">
      <c r="A2374" s="8"/>
      <c r="B2374" s="9"/>
      <c r="C2374" s="9"/>
      <c r="D2374" s="9"/>
      <c r="E2374" s="9"/>
      <c r="F2374" s="9"/>
      <c r="G2374" s="9"/>
      <c r="H2374" s="9"/>
      <c r="I2374" s="9"/>
      <c r="J2374" s="10"/>
      <c r="K2374" s="10"/>
      <c r="L2374" s="10"/>
      <c r="M2374" s="10"/>
      <c r="N2374" s="11"/>
      <c r="O2374" s="11"/>
      <c r="P2374" s="11"/>
      <c r="Q2374" s="11"/>
      <c r="R2374" s="10"/>
      <c r="S2374" s="10"/>
      <c r="T2374" s="10"/>
      <c r="U2374" s="10"/>
    </row>
    <row r="2375">
      <c r="A2375" s="8"/>
      <c r="B2375" s="9"/>
      <c r="C2375" s="9"/>
      <c r="D2375" s="9"/>
      <c r="E2375" s="9"/>
      <c r="F2375" s="9"/>
      <c r="G2375" s="9"/>
      <c r="H2375" s="9"/>
      <c r="I2375" s="9"/>
      <c r="J2375" s="10"/>
      <c r="K2375" s="10"/>
      <c r="L2375" s="10"/>
      <c r="M2375" s="10"/>
      <c r="N2375" s="11"/>
      <c r="O2375" s="11"/>
      <c r="P2375" s="11"/>
      <c r="Q2375" s="11"/>
      <c r="R2375" s="10"/>
      <c r="S2375" s="10"/>
      <c r="T2375" s="10"/>
      <c r="U2375" s="10"/>
    </row>
    <row r="2376">
      <c r="A2376" s="8"/>
      <c r="B2376" s="9"/>
      <c r="C2376" s="9"/>
      <c r="D2376" s="9"/>
      <c r="E2376" s="9"/>
      <c r="F2376" s="9"/>
      <c r="G2376" s="9"/>
      <c r="H2376" s="9"/>
      <c r="I2376" s="9"/>
      <c r="J2376" s="10"/>
      <c r="K2376" s="10"/>
      <c r="L2376" s="10"/>
      <c r="M2376" s="10"/>
      <c r="N2376" s="11"/>
      <c r="O2376" s="11"/>
      <c r="P2376" s="11"/>
      <c r="Q2376" s="11"/>
      <c r="R2376" s="10"/>
      <c r="S2376" s="10"/>
      <c r="T2376" s="10"/>
      <c r="U2376" s="10"/>
    </row>
    <row r="2377">
      <c r="A2377" s="8"/>
      <c r="B2377" s="9"/>
      <c r="C2377" s="9"/>
      <c r="D2377" s="9"/>
      <c r="E2377" s="9"/>
      <c r="F2377" s="9"/>
      <c r="G2377" s="9"/>
      <c r="H2377" s="9"/>
      <c r="I2377" s="9"/>
      <c r="J2377" s="10"/>
      <c r="K2377" s="10"/>
      <c r="L2377" s="10"/>
      <c r="M2377" s="10"/>
      <c r="N2377" s="11"/>
      <c r="O2377" s="11"/>
      <c r="P2377" s="11"/>
      <c r="Q2377" s="11"/>
      <c r="R2377" s="10"/>
      <c r="S2377" s="10"/>
      <c r="T2377" s="10"/>
      <c r="U2377" s="10"/>
    </row>
    <row r="2378">
      <c r="A2378" s="8"/>
      <c r="B2378" s="9"/>
      <c r="C2378" s="9"/>
      <c r="D2378" s="9"/>
      <c r="E2378" s="9"/>
      <c r="F2378" s="9"/>
      <c r="G2378" s="9"/>
      <c r="H2378" s="9"/>
      <c r="I2378" s="9"/>
      <c r="J2378" s="10"/>
      <c r="K2378" s="10"/>
      <c r="L2378" s="10"/>
      <c r="M2378" s="10"/>
      <c r="N2378" s="11"/>
      <c r="O2378" s="11"/>
      <c r="P2378" s="11"/>
      <c r="Q2378" s="11"/>
      <c r="R2378" s="10"/>
      <c r="S2378" s="10"/>
      <c r="T2378" s="10"/>
      <c r="U2378" s="10"/>
    </row>
    <row r="2379">
      <c r="A2379" s="8"/>
      <c r="B2379" s="9"/>
      <c r="C2379" s="9"/>
      <c r="D2379" s="9"/>
      <c r="E2379" s="9"/>
      <c r="F2379" s="9"/>
      <c r="G2379" s="9"/>
      <c r="H2379" s="9"/>
      <c r="I2379" s="9"/>
      <c r="J2379" s="10"/>
      <c r="K2379" s="10"/>
      <c r="L2379" s="10"/>
      <c r="M2379" s="10"/>
      <c r="N2379" s="11"/>
      <c r="O2379" s="11"/>
      <c r="P2379" s="11"/>
      <c r="Q2379" s="11"/>
      <c r="R2379" s="10"/>
      <c r="S2379" s="10"/>
      <c r="T2379" s="10"/>
      <c r="U2379" s="10"/>
    </row>
    <row r="2380">
      <c r="A2380" s="8"/>
      <c r="B2380" s="9"/>
      <c r="C2380" s="9"/>
      <c r="D2380" s="9"/>
      <c r="E2380" s="9"/>
      <c r="F2380" s="9"/>
      <c r="G2380" s="9"/>
      <c r="H2380" s="9"/>
      <c r="I2380" s="9"/>
      <c r="J2380" s="10"/>
      <c r="K2380" s="10"/>
      <c r="L2380" s="10"/>
      <c r="M2380" s="10"/>
      <c r="N2380" s="11"/>
      <c r="O2380" s="11"/>
      <c r="P2380" s="11"/>
      <c r="Q2380" s="11"/>
      <c r="R2380" s="10"/>
      <c r="S2380" s="10"/>
      <c r="T2380" s="10"/>
      <c r="U2380" s="10"/>
    </row>
    <row r="2381">
      <c r="A2381" s="8"/>
      <c r="B2381" s="9"/>
      <c r="C2381" s="9"/>
      <c r="D2381" s="9"/>
      <c r="E2381" s="9"/>
      <c r="F2381" s="9"/>
      <c r="G2381" s="9"/>
      <c r="H2381" s="9"/>
      <c r="I2381" s="9"/>
      <c r="J2381" s="10"/>
      <c r="K2381" s="10"/>
      <c r="L2381" s="10"/>
      <c r="M2381" s="10"/>
      <c r="N2381" s="11"/>
      <c r="O2381" s="11"/>
      <c r="P2381" s="11"/>
      <c r="Q2381" s="11"/>
      <c r="R2381" s="10"/>
      <c r="S2381" s="10"/>
      <c r="T2381" s="10"/>
      <c r="U2381" s="10"/>
    </row>
    <row r="2382">
      <c r="A2382" s="8"/>
      <c r="B2382" s="9"/>
      <c r="C2382" s="9"/>
      <c r="D2382" s="9"/>
      <c r="E2382" s="9"/>
      <c r="F2382" s="9"/>
      <c r="G2382" s="9"/>
      <c r="H2382" s="9"/>
      <c r="I2382" s="9"/>
      <c r="J2382" s="10"/>
      <c r="K2382" s="10"/>
      <c r="L2382" s="10"/>
      <c r="M2382" s="10"/>
      <c r="N2382" s="11"/>
      <c r="O2382" s="11"/>
      <c r="P2382" s="11"/>
      <c r="Q2382" s="11"/>
      <c r="R2382" s="10"/>
      <c r="S2382" s="10"/>
      <c r="T2382" s="10"/>
      <c r="U2382" s="10"/>
    </row>
    <row r="2383">
      <c r="A2383" s="8"/>
      <c r="B2383" s="9"/>
      <c r="C2383" s="9"/>
      <c r="D2383" s="9"/>
      <c r="E2383" s="9"/>
      <c r="F2383" s="9"/>
      <c r="G2383" s="9"/>
      <c r="H2383" s="9"/>
      <c r="I2383" s="9"/>
      <c r="J2383" s="10"/>
      <c r="K2383" s="10"/>
      <c r="L2383" s="10"/>
      <c r="M2383" s="10"/>
      <c r="N2383" s="11"/>
      <c r="O2383" s="11"/>
      <c r="P2383" s="11"/>
      <c r="Q2383" s="11"/>
      <c r="R2383" s="10"/>
      <c r="S2383" s="10"/>
      <c r="T2383" s="10"/>
      <c r="U2383" s="10"/>
    </row>
    <row r="2384">
      <c r="A2384" s="8"/>
      <c r="B2384" s="9"/>
      <c r="C2384" s="9"/>
      <c r="D2384" s="9"/>
      <c r="E2384" s="9"/>
      <c r="F2384" s="9"/>
      <c r="G2384" s="9"/>
      <c r="H2384" s="9"/>
      <c r="I2384" s="9"/>
      <c r="J2384" s="10"/>
      <c r="K2384" s="10"/>
      <c r="L2384" s="10"/>
      <c r="M2384" s="10"/>
      <c r="N2384" s="11"/>
      <c r="O2384" s="11"/>
      <c r="P2384" s="11"/>
      <c r="Q2384" s="11"/>
      <c r="R2384" s="10"/>
      <c r="S2384" s="10"/>
      <c r="T2384" s="10"/>
      <c r="U2384" s="10"/>
    </row>
    <row r="2385">
      <c r="A2385" s="8"/>
      <c r="B2385" s="9"/>
      <c r="C2385" s="9"/>
      <c r="D2385" s="9"/>
      <c r="E2385" s="9"/>
      <c r="F2385" s="9"/>
      <c r="G2385" s="9"/>
      <c r="H2385" s="9"/>
      <c r="I2385" s="9"/>
      <c r="J2385" s="10"/>
      <c r="K2385" s="10"/>
      <c r="L2385" s="10"/>
      <c r="M2385" s="10"/>
      <c r="N2385" s="11"/>
      <c r="O2385" s="11"/>
      <c r="P2385" s="11"/>
      <c r="Q2385" s="11"/>
      <c r="R2385" s="10"/>
      <c r="S2385" s="10"/>
      <c r="T2385" s="10"/>
      <c r="U2385" s="10"/>
    </row>
    <row r="2386">
      <c r="A2386" s="8"/>
      <c r="B2386" s="9"/>
      <c r="C2386" s="9"/>
      <c r="D2386" s="9"/>
      <c r="E2386" s="9"/>
      <c r="F2386" s="9"/>
      <c r="G2386" s="9"/>
      <c r="H2386" s="9"/>
      <c r="I2386" s="9"/>
      <c r="J2386" s="10"/>
      <c r="K2386" s="10"/>
      <c r="L2386" s="10"/>
      <c r="M2386" s="10"/>
      <c r="N2386" s="11"/>
      <c r="O2386" s="11"/>
      <c r="P2386" s="11"/>
      <c r="Q2386" s="11"/>
      <c r="R2386" s="10"/>
      <c r="S2386" s="10"/>
      <c r="T2386" s="10"/>
      <c r="U2386" s="10"/>
    </row>
    <row r="2387">
      <c r="A2387" s="8"/>
      <c r="B2387" s="9"/>
      <c r="C2387" s="9"/>
      <c r="D2387" s="9"/>
      <c r="E2387" s="9"/>
      <c r="F2387" s="9"/>
      <c r="G2387" s="9"/>
      <c r="H2387" s="9"/>
      <c r="I2387" s="9"/>
      <c r="J2387" s="10"/>
      <c r="K2387" s="10"/>
      <c r="L2387" s="10"/>
      <c r="M2387" s="10"/>
      <c r="N2387" s="11"/>
      <c r="O2387" s="11"/>
      <c r="P2387" s="11"/>
      <c r="Q2387" s="11"/>
      <c r="R2387" s="10"/>
      <c r="S2387" s="10"/>
      <c r="T2387" s="10"/>
      <c r="U2387" s="10"/>
    </row>
    <row r="2388">
      <c r="A2388" s="8"/>
      <c r="B2388" s="9"/>
      <c r="C2388" s="9"/>
      <c r="D2388" s="9"/>
      <c r="E2388" s="9"/>
      <c r="F2388" s="9"/>
      <c r="G2388" s="9"/>
      <c r="H2388" s="9"/>
      <c r="I2388" s="9"/>
      <c r="J2388" s="10"/>
      <c r="K2388" s="10"/>
      <c r="L2388" s="10"/>
      <c r="M2388" s="10"/>
      <c r="N2388" s="11"/>
      <c r="O2388" s="11"/>
      <c r="P2388" s="11"/>
      <c r="Q2388" s="11"/>
      <c r="R2388" s="10"/>
      <c r="S2388" s="10"/>
      <c r="T2388" s="10"/>
      <c r="U2388" s="10"/>
    </row>
    <row r="2389">
      <c r="A2389" s="8"/>
      <c r="B2389" s="9"/>
      <c r="C2389" s="9"/>
      <c r="D2389" s="9"/>
      <c r="E2389" s="9"/>
      <c r="F2389" s="9"/>
      <c r="G2389" s="9"/>
      <c r="H2389" s="9"/>
      <c r="I2389" s="9"/>
      <c r="J2389" s="10"/>
      <c r="K2389" s="10"/>
      <c r="L2389" s="10"/>
      <c r="M2389" s="10"/>
      <c r="N2389" s="11"/>
      <c r="O2389" s="11"/>
      <c r="P2389" s="11"/>
      <c r="Q2389" s="11"/>
      <c r="R2389" s="10"/>
      <c r="S2389" s="10"/>
      <c r="T2389" s="10"/>
      <c r="U2389" s="10"/>
    </row>
    <row r="2390">
      <c r="A2390" s="8"/>
      <c r="B2390" s="9"/>
      <c r="C2390" s="9"/>
      <c r="D2390" s="9"/>
      <c r="E2390" s="9"/>
      <c r="F2390" s="9"/>
      <c r="G2390" s="9"/>
      <c r="H2390" s="9"/>
      <c r="I2390" s="9"/>
      <c r="J2390" s="10"/>
      <c r="K2390" s="10"/>
      <c r="L2390" s="10"/>
      <c r="M2390" s="10"/>
      <c r="N2390" s="11"/>
      <c r="O2390" s="11"/>
      <c r="P2390" s="11"/>
      <c r="Q2390" s="11"/>
      <c r="R2390" s="10"/>
      <c r="S2390" s="10"/>
      <c r="T2390" s="10"/>
      <c r="U2390" s="10"/>
    </row>
    <row r="2391">
      <c r="A2391" s="8"/>
      <c r="B2391" s="9"/>
      <c r="C2391" s="9"/>
      <c r="D2391" s="9"/>
      <c r="E2391" s="9"/>
      <c r="F2391" s="9"/>
      <c r="G2391" s="9"/>
      <c r="H2391" s="9"/>
      <c r="I2391" s="9"/>
      <c r="J2391" s="10"/>
      <c r="K2391" s="10"/>
      <c r="L2391" s="10"/>
      <c r="M2391" s="10"/>
      <c r="N2391" s="11"/>
      <c r="O2391" s="11"/>
      <c r="P2391" s="11"/>
      <c r="Q2391" s="11"/>
      <c r="R2391" s="10"/>
      <c r="S2391" s="10"/>
      <c r="T2391" s="10"/>
      <c r="U2391" s="10"/>
    </row>
    <row r="2392">
      <c r="A2392" s="8"/>
      <c r="B2392" s="9"/>
      <c r="C2392" s="9"/>
      <c r="D2392" s="9"/>
      <c r="E2392" s="9"/>
      <c r="F2392" s="9"/>
      <c r="G2392" s="9"/>
      <c r="H2392" s="9"/>
      <c r="I2392" s="9"/>
      <c r="J2392" s="10"/>
      <c r="K2392" s="10"/>
      <c r="L2392" s="10"/>
      <c r="M2392" s="10"/>
      <c r="N2392" s="11"/>
      <c r="O2392" s="11"/>
      <c r="P2392" s="11"/>
      <c r="Q2392" s="11"/>
      <c r="R2392" s="10"/>
      <c r="S2392" s="10"/>
      <c r="T2392" s="10"/>
      <c r="U2392" s="10"/>
    </row>
    <row r="2393">
      <c r="A2393" s="8"/>
      <c r="B2393" s="9"/>
      <c r="C2393" s="9"/>
      <c r="D2393" s="9"/>
      <c r="E2393" s="9"/>
      <c r="F2393" s="9"/>
      <c r="G2393" s="9"/>
      <c r="H2393" s="9"/>
      <c r="I2393" s="9"/>
      <c r="J2393" s="10"/>
      <c r="K2393" s="10"/>
      <c r="L2393" s="10"/>
      <c r="M2393" s="10"/>
      <c r="N2393" s="11"/>
      <c r="O2393" s="11"/>
      <c r="P2393" s="11"/>
      <c r="Q2393" s="11"/>
      <c r="R2393" s="10"/>
      <c r="S2393" s="10"/>
      <c r="T2393" s="10"/>
      <c r="U2393" s="10"/>
    </row>
    <row r="2394">
      <c r="A2394" s="8"/>
      <c r="B2394" s="9"/>
      <c r="C2394" s="9"/>
      <c r="D2394" s="9"/>
      <c r="E2394" s="9"/>
      <c r="F2394" s="9"/>
      <c r="G2394" s="9"/>
      <c r="H2394" s="9"/>
      <c r="I2394" s="9"/>
      <c r="J2394" s="10"/>
      <c r="K2394" s="10"/>
      <c r="L2394" s="10"/>
      <c r="M2394" s="10"/>
      <c r="N2394" s="11"/>
      <c r="O2394" s="11"/>
      <c r="P2394" s="11"/>
      <c r="Q2394" s="11"/>
      <c r="R2394" s="10"/>
      <c r="S2394" s="10"/>
      <c r="T2394" s="10"/>
      <c r="U2394" s="10"/>
    </row>
    <row r="2395">
      <c r="A2395" s="8"/>
      <c r="B2395" s="9"/>
      <c r="C2395" s="9"/>
      <c r="D2395" s="9"/>
      <c r="E2395" s="9"/>
      <c r="F2395" s="9"/>
      <c r="G2395" s="9"/>
      <c r="H2395" s="9"/>
      <c r="I2395" s="9"/>
      <c r="J2395" s="10"/>
      <c r="K2395" s="10"/>
      <c r="L2395" s="10"/>
      <c r="M2395" s="10"/>
      <c r="N2395" s="11"/>
      <c r="O2395" s="11"/>
      <c r="P2395" s="11"/>
      <c r="Q2395" s="11"/>
      <c r="R2395" s="10"/>
      <c r="S2395" s="10"/>
      <c r="T2395" s="10"/>
      <c r="U2395" s="10"/>
    </row>
    <row r="2396">
      <c r="A2396" s="8"/>
      <c r="B2396" s="9"/>
      <c r="C2396" s="9"/>
      <c r="D2396" s="9"/>
      <c r="E2396" s="9"/>
      <c r="F2396" s="9"/>
      <c r="G2396" s="9"/>
      <c r="H2396" s="9"/>
      <c r="I2396" s="9"/>
      <c r="J2396" s="10"/>
      <c r="K2396" s="10"/>
      <c r="L2396" s="10"/>
      <c r="M2396" s="10"/>
      <c r="N2396" s="11"/>
      <c r="O2396" s="11"/>
      <c r="P2396" s="11"/>
      <c r="Q2396" s="11"/>
      <c r="R2396" s="10"/>
      <c r="S2396" s="10"/>
      <c r="T2396" s="10"/>
      <c r="U2396" s="10"/>
    </row>
    <row r="2397">
      <c r="A2397" s="8"/>
      <c r="B2397" s="9"/>
      <c r="C2397" s="9"/>
      <c r="D2397" s="9"/>
      <c r="E2397" s="9"/>
      <c r="F2397" s="9"/>
      <c r="G2397" s="9"/>
      <c r="H2397" s="9"/>
      <c r="I2397" s="9"/>
      <c r="J2397" s="10"/>
      <c r="K2397" s="10"/>
      <c r="L2397" s="10"/>
      <c r="M2397" s="10"/>
      <c r="N2397" s="11"/>
      <c r="O2397" s="11"/>
      <c r="P2397" s="11"/>
      <c r="Q2397" s="11"/>
      <c r="R2397" s="10"/>
      <c r="S2397" s="10"/>
      <c r="T2397" s="10"/>
      <c r="U2397" s="10"/>
    </row>
    <row r="2398">
      <c r="A2398" s="8"/>
      <c r="B2398" s="9"/>
      <c r="C2398" s="9"/>
      <c r="D2398" s="9"/>
      <c r="E2398" s="9"/>
      <c r="F2398" s="9"/>
      <c r="G2398" s="9"/>
      <c r="H2398" s="9"/>
      <c r="I2398" s="9"/>
      <c r="J2398" s="10"/>
      <c r="K2398" s="10"/>
      <c r="L2398" s="10"/>
      <c r="M2398" s="10"/>
      <c r="N2398" s="11"/>
      <c r="O2398" s="11"/>
      <c r="P2398" s="11"/>
      <c r="Q2398" s="11"/>
      <c r="R2398" s="10"/>
      <c r="S2398" s="10"/>
      <c r="T2398" s="10"/>
      <c r="U2398" s="10"/>
    </row>
    <row r="2399">
      <c r="A2399" s="8"/>
      <c r="B2399" s="9"/>
      <c r="C2399" s="9"/>
      <c r="D2399" s="9"/>
      <c r="E2399" s="9"/>
      <c r="F2399" s="9"/>
      <c r="G2399" s="9"/>
      <c r="H2399" s="9"/>
      <c r="I2399" s="9"/>
      <c r="J2399" s="10"/>
      <c r="K2399" s="10"/>
      <c r="L2399" s="10"/>
      <c r="M2399" s="10"/>
      <c r="N2399" s="11"/>
      <c r="O2399" s="11"/>
      <c r="P2399" s="11"/>
      <c r="Q2399" s="11"/>
      <c r="R2399" s="10"/>
      <c r="S2399" s="10"/>
      <c r="T2399" s="10"/>
      <c r="U2399" s="10"/>
    </row>
    <row r="2400">
      <c r="A2400" s="8"/>
      <c r="B2400" s="9"/>
      <c r="C2400" s="9"/>
      <c r="D2400" s="9"/>
      <c r="E2400" s="9"/>
      <c r="F2400" s="9"/>
      <c r="G2400" s="9"/>
      <c r="H2400" s="9"/>
      <c r="I2400" s="9"/>
      <c r="J2400" s="10"/>
      <c r="K2400" s="10"/>
      <c r="L2400" s="10"/>
      <c r="M2400" s="10"/>
      <c r="N2400" s="11"/>
      <c r="O2400" s="11"/>
      <c r="P2400" s="11"/>
      <c r="Q2400" s="11"/>
      <c r="R2400" s="10"/>
      <c r="S2400" s="10"/>
      <c r="T2400" s="10"/>
      <c r="U2400" s="10"/>
    </row>
    <row r="2401">
      <c r="A2401" s="8"/>
      <c r="B2401" s="9"/>
      <c r="C2401" s="9"/>
      <c r="D2401" s="9"/>
      <c r="E2401" s="9"/>
      <c r="F2401" s="9"/>
      <c r="G2401" s="9"/>
      <c r="H2401" s="9"/>
      <c r="I2401" s="9"/>
      <c r="J2401" s="10"/>
      <c r="K2401" s="10"/>
      <c r="L2401" s="10"/>
      <c r="M2401" s="10"/>
      <c r="N2401" s="11"/>
      <c r="O2401" s="11"/>
      <c r="P2401" s="11"/>
      <c r="Q2401" s="11"/>
      <c r="R2401" s="10"/>
      <c r="S2401" s="10"/>
      <c r="T2401" s="10"/>
      <c r="U2401" s="10"/>
    </row>
    <row r="2402">
      <c r="A2402" s="8"/>
      <c r="B2402" s="9"/>
      <c r="C2402" s="9"/>
      <c r="D2402" s="9"/>
      <c r="E2402" s="9"/>
      <c r="F2402" s="9"/>
      <c r="G2402" s="9"/>
      <c r="H2402" s="9"/>
      <c r="I2402" s="9"/>
      <c r="J2402" s="10"/>
      <c r="K2402" s="10"/>
      <c r="L2402" s="10"/>
      <c r="M2402" s="10"/>
      <c r="N2402" s="11"/>
      <c r="O2402" s="11"/>
      <c r="P2402" s="11"/>
      <c r="Q2402" s="11"/>
      <c r="R2402" s="10"/>
      <c r="S2402" s="10"/>
      <c r="T2402" s="10"/>
      <c r="U2402" s="10"/>
    </row>
    <row r="2403">
      <c r="A2403" s="8"/>
      <c r="B2403" s="9"/>
      <c r="C2403" s="9"/>
      <c r="D2403" s="9"/>
      <c r="E2403" s="9"/>
      <c r="F2403" s="9"/>
      <c r="G2403" s="9"/>
      <c r="H2403" s="9"/>
      <c r="I2403" s="9"/>
      <c r="J2403" s="10"/>
      <c r="K2403" s="10"/>
      <c r="L2403" s="10"/>
      <c r="M2403" s="10"/>
      <c r="N2403" s="11"/>
      <c r="O2403" s="11"/>
      <c r="P2403" s="11"/>
      <c r="Q2403" s="11"/>
      <c r="R2403" s="10"/>
      <c r="S2403" s="10"/>
      <c r="T2403" s="10"/>
      <c r="U2403" s="10"/>
    </row>
    <row r="2404">
      <c r="A2404" s="8"/>
      <c r="B2404" s="9"/>
      <c r="C2404" s="9"/>
      <c r="D2404" s="9"/>
      <c r="E2404" s="9"/>
      <c r="F2404" s="9"/>
      <c r="G2404" s="9"/>
      <c r="H2404" s="9"/>
      <c r="I2404" s="9"/>
      <c r="J2404" s="10"/>
      <c r="K2404" s="10"/>
      <c r="L2404" s="10"/>
      <c r="M2404" s="10"/>
      <c r="N2404" s="11"/>
      <c r="O2404" s="11"/>
      <c r="P2404" s="11"/>
      <c r="Q2404" s="11"/>
      <c r="R2404" s="10"/>
      <c r="S2404" s="10"/>
      <c r="T2404" s="10"/>
      <c r="U2404" s="10"/>
    </row>
    <row r="2405">
      <c r="A2405" s="8"/>
      <c r="B2405" s="9"/>
      <c r="C2405" s="9"/>
      <c r="D2405" s="9"/>
      <c r="E2405" s="9"/>
      <c r="F2405" s="9"/>
      <c r="G2405" s="9"/>
      <c r="H2405" s="9"/>
      <c r="I2405" s="9"/>
      <c r="J2405" s="10"/>
      <c r="K2405" s="10"/>
      <c r="L2405" s="10"/>
      <c r="M2405" s="10"/>
      <c r="N2405" s="11"/>
      <c r="O2405" s="11"/>
      <c r="P2405" s="11"/>
      <c r="Q2405" s="11"/>
      <c r="R2405" s="10"/>
      <c r="S2405" s="10"/>
      <c r="T2405" s="10"/>
      <c r="U2405" s="10"/>
    </row>
    <row r="2406">
      <c r="A2406" s="8"/>
      <c r="B2406" s="9"/>
      <c r="C2406" s="9"/>
      <c r="D2406" s="9"/>
      <c r="E2406" s="9"/>
      <c r="F2406" s="9"/>
      <c r="G2406" s="9"/>
      <c r="H2406" s="9"/>
      <c r="I2406" s="9"/>
      <c r="J2406" s="10"/>
      <c r="K2406" s="10"/>
      <c r="L2406" s="10"/>
      <c r="M2406" s="10"/>
      <c r="N2406" s="11"/>
      <c r="O2406" s="11"/>
      <c r="P2406" s="11"/>
      <c r="Q2406" s="11"/>
      <c r="R2406" s="10"/>
      <c r="S2406" s="10"/>
      <c r="T2406" s="10"/>
      <c r="U2406" s="10"/>
    </row>
    <row r="2407">
      <c r="A2407" s="8"/>
      <c r="B2407" s="9"/>
      <c r="C2407" s="9"/>
      <c r="D2407" s="9"/>
      <c r="E2407" s="9"/>
      <c r="F2407" s="9"/>
      <c r="G2407" s="9"/>
      <c r="H2407" s="9"/>
      <c r="I2407" s="9"/>
      <c r="J2407" s="10"/>
      <c r="K2407" s="10"/>
      <c r="L2407" s="10"/>
      <c r="M2407" s="10"/>
      <c r="N2407" s="11"/>
      <c r="O2407" s="11"/>
      <c r="P2407" s="11"/>
      <c r="Q2407" s="11"/>
      <c r="R2407" s="10"/>
      <c r="S2407" s="10"/>
      <c r="T2407" s="10"/>
      <c r="U2407" s="10"/>
    </row>
    <row r="2408">
      <c r="A2408" s="8"/>
      <c r="B2408" s="9"/>
      <c r="C2408" s="9"/>
      <c r="D2408" s="9"/>
      <c r="E2408" s="9"/>
      <c r="F2408" s="9"/>
      <c r="G2408" s="9"/>
      <c r="H2408" s="9"/>
      <c r="I2408" s="9"/>
      <c r="J2408" s="10"/>
      <c r="K2408" s="10"/>
      <c r="L2408" s="10"/>
      <c r="M2408" s="10"/>
      <c r="N2408" s="11"/>
      <c r="O2408" s="11"/>
      <c r="P2408" s="11"/>
      <c r="Q2408" s="11"/>
      <c r="R2408" s="10"/>
      <c r="S2408" s="10"/>
      <c r="T2408" s="10"/>
      <c r="U2408" s="10"/>
    </row>
    <row r="2409">
      <c r="A2409" s="8"/>
      <c r="B2409" s="9"/>
      <c r="C2409" s="9"/>
      <c r="D2409" s="9"/>
      <c r="E2409" s="9"/>
      <c r="F2409" s="9"/>
      <c r="G2409" s="9"/>
      <c r="H2409" s="9"/>
      <c r="I2409" s="9"/>
      <c r="J2409" s="10"/>
      <c r="K2409" s="10"/>
      <c r="L2409" s="10"/>
      <c r="M2409" s="10"/>
      <c r="N2409" s="11"/>
      <c r="O2409" s="11"/>
      <c r="P2409" s="11"/>
      <c r="Q2409" s="11"/>
      <c r="R2409" s="10"/>
      <c r="S2409" s="10"/>
      <c r="T2409" s="10"/>
      <c r="U2409" s="10"/>
    </row>
    <row r="2410">
      <c r="A2410" s="8"/>
      <c r="B2410" s="9"/>
      <c r="C2410" s="9"/>
      <c r="D2410" s="9"/>
      <c r="E2410" s="9"/>
      <c r="F2410" s="9"/>
      <c r="G2410" s="9"/>
      <c r="H2410" s="9"/>
      <c r="I2410" s="9"/>
      <c r="J2410" s="10"/>
      <c r="K2410" s="10"/>
      <c r="L2410" s="10"/>
      <c r="M2410" s="10"/>
      <c r="N2410" s="11"/>
      <c r="O2410" s="11"/>
      <c r="P2410" s="11"/>
      <c r="Q2410" s="11"/>
      <c r="R2410" s="10"/>
      <c r="S2410" s="10"/>
      <c r="T2410" s="10"/>
      <c r="U2410" s="10"/>
    </row>
    <row r="2411">
      <c r="A2411" s="8"/>
      <c r="B2411" s="9"/>
      <c r="C2411" s="9"/>
      <c r="D2411" s="9"/>
      <c r="E2411" s="9"/>
      <c r="F2411" s="9"/>
      <c r="G2411" s="9"/>
      <c r="H2411" s="9"/>
      <c r="I2411" s="9"/>
      <c r="J2411" s="10"/>
      <c r="K2411" s="10"/>
      <c r="L2411" s="10"/>
      <c r="M2411" s="10"/>
      <c r="N2411" s="11"/>
      <c r="O2411" s="11"/>
      <c r="P2411" s="11"/>
      <c r="Q2411" s="11"/>
      <c r="R2411" s="10"/>
      <c r="S2411" s="10"/>
      <c r="T2411" s="10"/>
      <c r="U2411" s="10"/>
    </row>
    <row r="2412">
      <c r="A2412" s="8"/>
      <c r="B2412" s="9"/>
      <c r="C2412" s="9"/>
      <c r="D2412" s="9"/>
      <c r="E2412" s="9"/>
      <c r="F2412" s="9"/>
      <c r="G2412" s="9"/>
      <c r="H2412" s="9"/>
      <c r="I2412" s="9"/>
      <c r="J2412" s="10"/>
      <c r="K2412" s="10"/>
      <c r="L2412" s="10"/>
      <c r="M2412" s="10"/>
      <c r="N2412" s="11"/>
      <c r="O2412" s="11"/>
      <c r="P2412" s="11"/>
      <c r="Q2412" s="11"/>
      <c r="R2412" s="10"/>
      <c r="S2412" s="10"/>
      <c r="T2412" s="10"/>
      <c r="U2412" s="10"/>
    </row>
    <row r="2413">
      <c r="A2413" s="8"/>
      <c r="B2413" s="9"/>
      <c r="C2413" s="9"/>
      <c r="D2413" s="9"/>
      <c r="E2413" s="9"/>
      <c r="F2413" s="9"/>
      <c r="G2413" s="9"/>
      <c r="H2413" s="9"/>
      <c r="I2413" s="9"/>
      <c r="J2413" s="10"/>
      <c r="K2413" s="10"/>
      <c r="L2413" s="10"/>
      <c r="M2413" s="10"/>
      <c r="N2413" s="11"/>
      <c r="O2413" s="11"/>
      <c r="P2413" s="11"/>
      <c r="Q2413" s="11"/>
      <c r="R2413" s="10"/>
      <c r="S2413" s="10"/>
      <c r="T2413" s="10"/>
      <c r="U2413" s="10"/>
    </row>
    <row r="2414">
      <c r="A2414" s="8"/>
      <c r="B2414" s="9"/>
      <c r="C2414" s="9"/>
      <c r="D2414" s="9"/>
      <c r="E2414" s="9"/>
      <c r="F2414" s="9"/>
      <c r="G2414" s="9"/>
      <c r="H2414" s="9"/>
      <c r="I2414" s="9"/>
      <c r="J2414" s="10"/>
      <c r="K2414" s="10"/>
      <c r="L2414" s="10"/>
      <c r="M2414" s="10"/>
      <c r="N2414" s="11"/>
      <c r="O2414" s="11"/>
      <c r="P2414" s="11"/>
      <c r="Q2414" s="11"/>
      <c r="R2414" s="10"/>
      <c r="S2414" s="10"/>
      <c r="T2414" s="10"/>
      <c r="U2414" s="10"/>
    </row>
    <row r="2415">
      <c r="A2415" s="8"/>
      <c r="B2415" s="9"/>
      <c r="C2415" s="9"/>
      <c r="D2415" s="9"/>
      <c r="E2415" s="9"/>
      <c r="F2415" s="9"/>
      <c r="G2415" s="9"/>
      <c r="H2415" s="9"/>
      <c r="I2415" s="9"/>
      <c r="J2415" s="10"/>
      <c r="K2415" s="10"/>
      <c r="L2415" s="10"/>
      <c r="M2415" s="10"/>
      <c r="N2415" s="11"/>
      <c r="O2415" s="11"/>
      <c r="P2415" s="11"/>
      <c r="Q2415" s="11"/>
      <c r="R2415" s="10"/>
      <c r="S2415" s="10"/>
      <c r="T2415" s="10"/>
      <c r="U2415" s="10"/>
    </row>
    <row r="2416">
      <c r="A2416" s="8"/>
      <c r="B2416" s="9"/>
      <c r="C2416" s="9"/>
      <c r="D2416" s="9"/>
      <c r="E2416" s="9"/>
      <c r="F2416" s="9"/>
      <c r="G2416" s="9"/>
      <c r="H2416" s="9"/>
      <c r="I2416" s="9"/>
      <c r="J2416" s="10"/>
      <c r="K2416" s="10"/>
      <c r="L2416" s="10"/>
      <c r="M2416" s="10"/>
      <c r="N2416" s="11"/>
      <c r="O2416" s="11"/>
      <c r="P2416" s="11"/>
      <c r="Q2416" s="11"/>
      <c r="R2416" s="10"/>
      <c r="S2416" s="10"/>
      <c r="T2416" s="10"/>
      <c r="U2416" s="10"/>
    </row>
    <row r="2417">
      <c r="A2417" s="8"/>
      <c r="B2417" s="9"/>
      <c r="C2417" s="9"/>
      <c r="D2417" s="9"/>
      <c r="E2417" s="9"/>
      <c r="F2417" s="9"/>
      <c r="G2417" s="9"/>
      <c r="H2417" s="9"/>
      <c r="I2417" s="9"/>
      <c r="J2417" s="10"/>
      <c r="K2417" s="10"/>
      <c r="L2417" s="10"/>
      <c r="M2417" s="10"/>
      <c r="N2417" s="11"/>
      <c r="O2417" s="11"/>
      <c r="P2417" s="11"/>
      <c r="Q2417" s="11"/>
      <c r="R2417" s="10"/>
      <c r="S2417" s="10"/>
      <c r="T2417" s="10"/>
      <c r="U2417" s="10"/>
    </row>
    <row r="2418">
      <c r="A2418" s="8"/>
      <c r="B2418" s="9"/>
      <c r="C2418" s="9"/>
      <c r="D2418" s="9"/>
      <c r="E2418" s="9"/>
      <c r="F2418" s="9"/>
      <c r="G2418" s="9"/>
      <c r="H2418" s="9"/>
      <c r="I2418" s="9"/>
      <c r="J2418" s="10"/>
      <c r="K2418" s="10"/>
      <c r="L2418" s="10"/>
      <c r="M2418" s="10"/>
      <c r="N2418" s="11"/>
      <c r="O2418" s="11"/>
      <c r="P2418" s="11"/>
      <c r="Q2418" s="11"/>
      <c r="R2418" s="10"/>
      <c r="S2418" s="10"/>
      <c r="T2418" s="10"/>
      <c r="U2418" s="10"/>
    </row>
    <row r="2419">
      <c r="A2419" s="8"/>
      <c r="B2419" s="9"/>
      <c r="C2419" s="9"/>
      <c r="D2419" s="9"/>
      <c r="E2419" s="9"/>
      <c r="F2419" s="9"/>
      <c r="G2419" s="9"/>
      <c r="H2419" s="9"/>
      <c r="I2419" s="9"/>
      <c r="J2419" s="10"/>
      <c r="K2419" s="10"/>
      <c r="L2419" s="10"/>
      <c r="M2419" s="10"/>
      <c r="N2419" s="11"/>
      <c r="O2419" s="11"/>
      <c r="P2419" s="11"/>
      <c r="Q2419" s="11"/>
      <c r="R2419" s="10"/>
      <c r="S2419" s="10"/>
      <c r="T2419" s="10"/>
      <c r="U2419" s="10"/>
    </row>
    <row r="2420">
      <c r="A2420" s="8"/>
      <c r="B2420" s="9"/>
      <c r="C2420" s="9"/>
      <c r="D2420" s="9"/>
      <c r="E2420" s="9"/>
      <c r="F2420" s="9"/>
      <c r="G2420" s="9"/>
      <c r="H2420" s="9"/>
      <c r="I2420" s="9"/>
      <c r="J2420" s="10"/>
      <c r="K2420" s="10"/>
      <c r="L2420" s="10"/>
      <c r="M2420" s="10"/>
      <c r="N2420" s="11"/>
      <c r="O2420" s="11"/>
      <c r="P2420" s="11"/>
      <c r="Q2420" s="11"/>
      <c r="R2420" s="10"/>
      <c r="S2420" s="10"/>
      <c r="T2420" s="10"/>
      <c r="U2420" s="10"/>
    </row>
    <row r="2421">
      <c r="A2421" s="8"/>
      <c r="B2421" s="9"/>
      <c r="C2421" s="9"/>
      <c r="D2421" s="9"/>
      <c r="E2421" s="9"/>
      <c r="F2421" s="9"/>
      <c r="G2421" s="9"/>
      <c r="H2421" s="9"/>
      <c r="I2421" s="9"/>
      <c r="J2421" s="10"/>
      <c r="K2421" s="10"/>
      <c r="L2421" s="10"/>
      <c r="M2421" s="10"/>
      <c r="N2421" s="11"/>
      <c r="O2421" s="11"/>
      <c r="P2421" s="11"/>
      <c r="Q2421" s="11"/>
      <c r="R2421" s="10"/>
      <c r="S2421" s="10"/>
      <c r="T2421" s="10"/>
      <c r="U2421" s="10"/>
    </row>
    <row r="2422">
      <c r="A2422" s="8"/>
      <c r="B2422" s="9"/>
      <c r="C2422" s="9"/>
      <c r="D2422" s="9"/>
      <c r="E2422" s="9"/>
      <c r="F2422" s="9"/>
      <c r="G2422" s="9"/>
      <c r="H2422" s="9"/>
      <c r="I2422" s="9"/>
      <c r="J2422" s="10"/>
      <c r="K2422" s="10"/>
      <c r="L2422" s="10"/>
      <c r="M2422" s="10"/>
      <c r="N2422" s="11"/>
      <c r="O2422" s="11"/>
      <c r="P2422" s="11"/>
      <c r="Q2422" s="11"/>
      <c r="R2422" s="10"/>
      <c r="S2422" s="10"/>
      <c r="T2422" s="10"/>
      <c r="U2422" s="10"/>
    </row>
    <row r="2423">
      <c r="A2423" s="8"/>
      <c r="B2423" s="9"/>
      <c r="C2423" s="9"/>
      <c r="D2423" s="9"/>
      <c r="E2423" s="9"/>
      <c r="F2423" s="9"/>
      <c r="G2423" s="9"/>
      <c r="H2423" s="9"/>
      <c r="I2423" s="9"/>
      <c r="J2423" s="10"/>
      <c r="K2423" s="10"/>
      <c r="L2423" s="10"/>
      <c r="M2423" s="10"/>
      <c r="N2423" s="11"/>
      <c r="O2423" s="11"/>
      <c r="P2423" s="11"/>
      <c r="Q2423" s="11"/>
      <c r="R2423" s="10"/>
      <c r="S2423" s="10"/>
      <c r="T2423" s="10"/>
      <c r="U2423" s="10"/>
    </row>
    <row r="2424">
      <c r="A2424" s="8"/>
      <c r="B2424" s="9"/>
      <c r="C2424" s="9"/>
      <c r="D2424" s="9"/>
      <c r="E2424" s="9"/>
      <c r="F2424" s="9"/>
      <c r="G2424" s="9"/>
      <c r="H2424" s="9"/>
      <c r="I2424" s="9"/>
      <c r="J2424" s="10"/>
      <c r="K2424" s="10"/>
      <c r="L2424" s="10"/>
      <c r="M2424" s="10"/>
      <c r="N2424" s="11"/>
      <c r="O2424" s="11"/>
      <c r="P2424" s="11"/>
      <c r="Q2424" s="11"/>
      <c r="R2424" s="10"/>
      <c r="S2424" s="10"/>
      <c r="T2424" s="10"/>
      <c r="U2424" s="10"/>
    </row>
    <row r="2425">
      <c r="A2425" s="8"/>
      <c r="B2425" s="9"/>
      <c r="C2425" s="9"/>
      <c r="D2425" s="9"/>
      <c r="E2425" s="9"/>
      <c r="F2425" s="9"/>
      <c r="G2425" s="9"/>
      <c r="H2425" s="9"/>
      <c r="I2425" s="9"/>
      <c r="J2425" s="10"/>
      <c r="K2425" s="10"/>
      <c r="L2425" s="10"/>
      <c r="M2425" s="10"/>
      <c r="N2425" s="11"/>
      <c r="O2425" s="11"/>
      <c r="P2425" s="11"/>
      <c r="Q2425" s="11"/>
      <c r="R2425" s="10"/>
      <c r="S2425" s="10"/>
      <c r="T2425" s="10"/>
      <c r="U2425" s="10"/>
    </row>
    <row r="2426">
      <c r="A2426" s="8"/>
      <c r="B2426" s="9"/>
      <c r="C2426" s="9"/>
      <c r="D2426" s="9"/>
      <c r="E2426" s="9"/>
      <c r="F2426" s="9"/>
      <c r="G2426" s="9"/>
      <c r="H2426" s="9"/>
      <c r="I2426" s="9"/>
      <c r="J2426" s="10"/>
      <c r="K2426" s="10"/>
      <c r="L2426" s="10"/>
      <c r="M2426" s="10"/>
      <c r="N2426" s="11"/>
      <c r="O2426" s="11"/>
      <c r="P2426" s="11"/>
      <c r="Q2426" s="11"/>
      <c r="R2426" s="10"/>
      <c r="S2426" s="10"/>
      <c r="T2426" s="10"/>
      <c r="U2426" s="10"/>
    </row>
    <row r="2427">
      <c r="A2427" s="8"/>
      <c r="B2427" s="9"/>
      <c r="C2427" s="9"/>
      <c r="D2427" s="9"/>
      <c r="E2427" s="9"/>
      <c r="F2427" s="9"/>
      <c r="G2427" s="9"/>
      <c r="H2427" s="9"/>
      <c r="I2427" s="9"/>
      <c r="J2427" s="10"/>
      <c r="K2427" s="10"/>
      <c r="L2427" s="10"/>
      <c r="M2427" s="10"/>
      <c r="N2427" s="11"/>
      <c r="O2427" s="11"/>
      <c r="P2427" s="11"/>
      <c r="Q2427" s="11"/>
      <c r="R2427" s="10"/>
      <c r="S2427" s="10"/>
      <c r="T2427" s="10"/>
      <c r="U2427" s="10"/>
    </row>
    <row r="2428">
      <c r="A2428" s="8"/>
      <c r="B2428" s="9"/>
      <c r="C2428" s="9"/>
      <c r="D2428" s="9"/>
      <c r="E2428" s="9"/>
      <c r="F2428" s="9"/>
      <c r="G2428" s="9"/>
      <c r="H2428" s="9"/>
      <c r="I2428" s="9"/>
      <c r="J2428" s="10"/>
      <c r="K2428" s="10"/>
      <c r="L2428" s="10"/>
      <c r="M2428" s="10"/>
      <c r="N2428" s="11"/>
      <c r="O2428" s="11"/>
      <c r="P2428" s="11"/>
      <c r="Q2428" s="11"/>
      <c r="R2428" s="10"/>
      <c r="S2428" s="10"/>
      <c r="T2428" s="10"/>
      <c r="U2428" s="10"/>
    </row>
    <row r="2429">
      <c r="A2429" s="8"/>
      <c r="B2429" s="9"/>
      <c r="C2429" s="9"/>
      <c r="D2429" s="9"/>
      <c r="E2429" s="9"/>
      <c r="F2429" s="9"/>
      <c r="G2429" s="9"/>
      <c r="H2429" s="9"/>
      <c r="I2429" s="9"/>
      <c r="J2429" s="10"/>
      <c r="K2429" s="10"/>
      <c r="L2429" s="10"/>
      <c r="M2429" s="10"/>
      <c r="N2429" s="11"/>
      <c r="O2429" s="11"/>
      <c r="P2429" s="11"/>
      <c r="Q2429" s="11"/>
      <c r="R2429" s="10"/>
      <c r="S2429" s="10"/>
      <c r="T2429" s="10"/>
      <c r="U2429" s="10"/>
    </row>
    <row r="2430">
      <c r="A2430" s="8"/>
      <c r="B2430" s="9"/>
      <c r="C2430" s="9"/>
      <c r="D2430" s="9"/>
      <c r="E2430" s="9"/>
      <c r="F2430" s="9"/>
      <c r="G2430" s="9"/>
      <c r="H2430" s="9"/>
      <c r="I2430" s="9"/>
      <c r="J2430" s="10"/>
      <c r="K2430" s="10"/>
      <c r="L2430" s="10"/>
      <c r="M2430" s="10"/>
      <c r="N2430" s="11"/>
      <c r="O2430" s="11"/>
      <c r="P2430" s="11"/>
      <c r="Q2430" s="11"/>
      <c r="R2430" s="10"/>
      <c r="S2430" s="10"/>
      <c r="T2430" s="10"/>
      <c r="U2430" s="10"/>
    </row>
    <row r="2431">
      <c r="A2431" s="8"/>
      <c r="B2431" s="9"/>
      <c r="C2431" s="9"/>
      <c r="D2431" s="9"/>
      <c r="E2431" s="9"/>
      <c r="F2431" s="9"/>
      <c r="G2431" s="9"/>
      <c r="H2431" s="9"/>
      <c r="I2431" s="9"/>
      <c r="J2431" s="10"/>
      <c r="K2431" s="10"/>
      <c r="L2431" s="10"/>
      <c r="M2431" s="10"/>
      <c r="N2431" s="11"/>
      <c r="O2431" s="11"/>
      <c r="P2431" s="11"/>
      <c r="Q2431" s="11"/>
      <c r="R2431" s="10"/>
      <c r="S2431" s="10"/>
      <c r="T2431" s="10"/>
      <c r="U2431" s="10"/>
    </row>
    <row r="2432">
      <c r="A2432" s="8"/>
      <c r="B2432" s="9"/>
      <c r="C2432" s="9"/>
      <c r="D2432" s="9"/>
      <c r="E2432" s="9"/>
      <c r="F2432" s="9"/>
      <c r="G2432" s="9"/>
      <c r="H2432" s="9"/>
      <c r="I2432" s="9"/>
      <c r="J2432" s="10"/>
      <c r="K2432" s="10"/>
      <c r="L2432" s="10"/>
      <c r="M2432" s="10"/>
      <c r="N2432" s="11"/>
      <c r="O2432" s="11"/>
      <c r="P2432" s="11"/>
      <c r="Q2432" s="11"/>
      <c r="R2432" s="10"/>
      <c r="S2432" s="10"/>
      <c r="T2432" s="10"/>
      <c r="U2432" s="10"/>
    </row>
    <row r="2433">
      <c r="A2433" s="8"/>
      <c r="B2433" s="9"/>
      <c r="C2433" s="9"/>
      <c r="D2433" s="9"/>
      <c r="E2433" s="9"/>
      <c r="F2433" s="9"/>
      <c r="G2433" s="9"/>
      <c r="H2433" s="9"/>
      <c r="I2433" s="9"/>
      <c r="J2433" s="10"/>
      <c r="K2433" s="10"/>
      <c r="L2433" s="10"/>
      <c r="M2433" s="10"/>
      <c r="N2433" s="11"/>
      <c r="O2433" s="11"/>
      <c r="P2433" s="11"/>
      <c r="Q2433" s="11"/>
      <c r="R2433" s="10"/>
      <c r="S2433" s="10"/>
      <c r="T2433" s="10"/>
      <c r="U2433" s="10"/>
    </row>
    <row r="2434">
      <c r="A2434" s="8"/>
      <c r="B2434" s="9"/>
      <c r="C2434" s="9"/>
      <c r="D2434" s="9"/>
      <c r="E2434" s="9"/>
      <c r="F2434" s="9"/>
      <c r="G2434" s="9"/>
      <c r="H2434" s="9"/>
      <c r="I2434" s="9"/>
      <c r="J2434" s="10"/>
      <c r="K2434" s="10"/>
      <c r="L2434" s="10"/>
      <c r="M2434" s="10"/>
      <c r="N2434" s="11"/>
      <c r="O2434" s="11"/>
      <c r="P2434" s="11"/>
      <c r="Q2434" s="11"/>
      <c r="R2434" s="10"/>
      <c r="S2434" s="10"/>
      <c r="T2434" s="10"/>
      <c r="U2434" s="10"/>
    </row>
    <row r="2435">
      <c r="A2435" s="8"/>
      <c r="B2435" s="9"/>
      <c r="C2435" s="9"/>
      <c r="D2435" s="9"/>
      <c r="E2435" s="9"/>
      <c r="F2435" s="9"/>
      <c r="G2435" s="9"/>
      <c r="H2435" s="9"/>
      <c r="I2435" s="9"/>
      <c r="J2435" s="10"/>
      <c r="K2435" s="10"/>
      <c r="L2435" s="10"/>
      <c r="M2435" s="10"/>
      <c r="N2435" s="11"/>
      <c r="O2435" s="11"/>
      <c r="P2435" s="11"/>
      <c r="Q2435" s="11"/>
      <c r="R2435" s="10"/>
      <c r="S2435" s="10"/>
      <c r="T2435" s="10"/>
      <c r="U2435" s="10"/>
    </row>
    <row r="2436">
      <c r="A2436" s="8"/>
      <c r="B2436" s="9"/>
      <c r="C2436" s="9"/>
      <c r="D2436" s="9"/>
      <c r="E2436" s="9"/>
      <c r="F2436" s="9"/>
      <c r="G2436" s="9"/>
      <c r="H2436" s="9"/>
      <c r="I2436" s="9"/>
      <c r="J2436" s="10"/>
      <c r="K2436" s="10"/>
      <c r="L2436" s="10"/>
      <c r="M2436" s="10"/>
      <c r="N2436" s="11"/>
      <c r="O2436" s="11"/>
      <c r="P2436" s="11"/>
      <c r="Q2436" s="11"/>
      <c r="R2436" s="10"/>
      <c r="S2436" s="10"/>
      <c r="T2436" s="10"/>
      <c r="U2436" s="10"/>
    </row>
    <row r="2437">
      <c r="A2437" s="8"/>
      <c r="B2437" s="9"/>
      <c r="C2437" s="9"/>
      <c r="D2437" s="9"/>
      <c r="E2437" s="9"/>
      <c r="F2437" s="9"/>
      <c r="G2437" s="9"/>
      <c r="H2437" s="9"/>
      <c r="I2437" s="9"/>
      <c r="J2437" s="10"/>
      <c r="K2437" s="10"/>
      <c r="L2437" s="10"/>
      <c r="M2437" s="10"/>
      <c r="N2437" s="11"/>
      <c r="O2437" s="11"/>
      <c r="P2437" s="11"/>
      <c r="Q2437" s="11"/>
      <c r="R2437" s="10"/>
      <c r="S2437" s="10"/>
      <c r="T2437" s="10"/>
      <c r="U2437" s="10"/>
    </row>
    <row r="2438">
      <c r="A2438" s="8"/>
      <c r="B2438" s="9"/>
      <c r="C2438" s="9"/>
      <c r="D2438" s="9"/>
      <c r="E2438" s="9"/>
      <c r="F2438" s="9"/>
      <c r="G2438" s="9"/>
      <c r="H2438" s="9"/>
      <c r="I2438" s="9"/>
      <c r="J2438" s="10"/>
      <c r="K2438" s="10"/>
      <c r="L2438" s="10"/>
      <c r="M2438" s="10"/>
      <c r="N2438" s="11"/>
      <c r="O2438" s="11"/>
      <c r="P2438" s="11"/>
      <c r="Q2438" s="11"/>
      <c r="R2438" s="10"/>
      <c r="S2438" s="10"/>
      <c r="T2438" s="10"/>
      <c r="U2438" s="10"/>
    </row>
    <row r="2439">
      <c r="A2439" s="8"/>
      <c r="B2439" s="9"/>
      <c r="C2439" s="9"/>
      <c r="D2439" s="9"/>
      <c r="E2439" s="9"/>
      <c r="F2439" s="9"/>
      <c r="G2439" s="9"/>
      <c r="H2439" s="9"/>
      <c r="I2439" s="9"/>
      <c r="J2439" s="10"/>
      <c r="K2439" s="10"/>
      <c r="L2439" s="10"/>
      <c r="M2439" s="10"/>
      <c r="N2439" s="11"/>
      <c r="O2439" s="11"/>
      <c r="P2439" s="11"/>
      <c r="Q2439" s="11"/>
      <c r="R2439" s="10"/>
      <c r="S2439" s="10"/>
      <c r="T2439" s="10"/>
      <c r="U2439" s="10"/>
    </row>
    <row r="2440">
      <c r="A2440" s="8"/>
      <c r="B2440" s="9"/>
      <c r="C2440" s="9"/>
      <c r="D2440" s="9"/>
      <c r="E2440" s="9"/>
      <c r="F2440" s="9"/>
      <c r="G2440" s="9"/>
      <c r="H2440" s="9"/>
      <c r="I2440" s="9"/>
      <c r="J2440" s="10"/>
      <c r="K2440" s="10"/>
      <c r="L2440" s="10"/>
      <c r="M2440" s="10"/>
      <c r="N2440" s="11"/>
      <c r="O2440" s="11"/>
      <c r="P2440" s="11"/>
      <c r="Q2440" s="11"/>
      <c r="R2440" s="10"/>
      <c r="S2440" s="10"/>
      <c r="T2440" s="10"/>
      <c r="U2440" s="10"/>
    </row>
    <row r="2441">
      <c r="A2441" s="8"/>
      <c r="B2441" s="9"/>
      <c r="C2441" s="9"/>
      <c r="D2441" s="9"/>
      <c r="E2441" s="9"/>
      <c r="F2441" s="9"/>
      <c r="G2441" s="9"/>
      <c r="H2441" s="9"/>
      <c r="I2441" s="9"/>
      <c r="J2441" s="10"/>
      <c r="K2441" s="10"/>
      <c r="L2441" s="10"/>
      <c r="M2441" s="10"/>
      <c r="N2441" s="11"/>
      <c r="O2441" s="11"/>
      <c r="P2441" s="11"/>
      <c r="Q2441" s="11"/>
      <c r="R2441" s="10"/>
      <c r="S2441" s="10"/>
      <c r="T2441" s="10"/>
      <c r="U2441" s="10"/>
    </row>
    <row r="2442">
      <c r="A2442" s="8"/>
      <c r="B2442" s="9"/>
      <c r="C2442" s="9"/>
      <c r="D2442" s="9"/>
      <c r="E2442" s="9"/>
      <c r="F2442" s="9"/>
      <c r="G2442" s="9"/>
      <c r="H2442" s="9"/>
      <c r="I2442" s="9"/>
      <c r="J2442" s="10"/>
      <c r="K2442" s="10"/>
      <c r="L2442" s="10"/>
      <c r="M2442" s="10"/>
      <c r="N2442" s="11"/>
      <c r="O2442" s="11"/>
      <c r="P2442" s="11"/>
      <c r="Q2442" s="11"/>
      <c r="R2442" s="10"/>
      <c r="S2442" s="10"/>
      <c r="T2442" s="10"/>
      <c r="U2442" s="10"/>
    </row>
    <row r="2443">
      <c r="A2443" s="8"/>
      <c r="B2443" s="9"/>
      <c r="C2443" s="9"/>
      <c r="D2443" s="9"/>
      <c r="E2443" s="9"/>
      <c r="F2443" s="9"/>
      <c r="G2443" s="9"/>
      <c r="H2443" s="9"/>
      <c r="I2443" s="9"/>
      <c r="J2443" s="10"/>
      <c r="K2443" s="10"/>
      <c r="L2443" s="10"/>
      <c r="M2443" s="10"/>
      <c r="N2443" s="11"/>
      <c r="O2443" s="11"/>
      <c r="P2443" s="11"/>
      <c r="Q2443" s="11"/>
      <c r="R2443" s="10"/>
      <c r="S2443" s="10"/>
      <c r="T2443" s="10"/>
      <c r="U2443" s="10"/>
    </row>
    <row r="2444">
      <c r="A2444" s="8"/>
      <c r="B2444" s="9"/>
      <c r="C2444" s="9"/>
      <c r="D2444" s="9"/>
      <c r="E2444" s="9"/>
      <c r="F2444" s="9"/>
      <c r="G2444" s="9"/>
      <c r="H2444" s="9"/>
      <c r="I2444" s="9"/>
      <c r="J2444" s="10"/>
      <c r="K2444" s="10"/>
      <c r="L2444" s="10"/>
      <c r="M2444" s="10"/>
      <c r="N2444" s="11"/>
      <c r="O2444" s="11"/>
      <c r="P2444" s="11"/>
      <c r="Q2444" s="11"/>
      <c r="R2444" s="10"/>
      <c r="S2444" s="10"/>
      <c r="T2444" s="10"/>
      <c r="U2444" s="10"/>
    </row>
    <row r="2445">
      <c r="A2445" s="8"/>
      <c r="B2445" s="9"/>
      <c r="C2445" s="9"/>
      <c r="D2445" s="9"/>
      <c r="E2445" s="9"/>
      <c r="F2445" s="9"/>
      <c r="G2445" s="9"/>
      <c r="H2445" s="9"/>
      <c r="I2445" s="9"/>
      <c r="J2445" s="10"/>
      <c r="K2445" s="10"/>
      <c r="L2445" s="10"/>
      <c r="M2445" s="10"/>
      <c r="N2445" s="11"/>
      <c r="O2445" s="11"/>
      <c r="P2445" s="11"/>
      <c r="Q2445" s="11"/>
      <c r="R2445" s="10"/>
      <c r="S2445" s="10"/>
      <c r="T2445" s="10"/>
      <c r="U2445" s="10"/>
    </row>
    <row r="2446">
      <c r="A2446" s="8"/>
      <c r="B2446" s="9"/>
      <c r="C2446" s="9"/>
      <c r="D2446" s="9"/>
      <c r="E2446" s="9"/>
      <c r="F2446" s="9"/>
      <c r="G2446" s="9"/>
      <c r="H2446" s="9"/>
      <c r="I2446" s="9"/>
      <c r="J2446" s="10"/>
      <c r="K2446" s="10"/>
      <c r="L2446" s="10"/>
      <c r="M2446" s="10"/>
      <c r="N2446" s="11"/>
      <c r="O2446" s="11"/>
      <c r="P2446" s="11"/>
      <c r="Q2446" s="11"/>
      <c r="R2446" s="10"/>
      <c r="S2446" s="10"/>
      <c r="T2446" s="10"/>
      <c r="U2446" s="10"/>
    </row>
    <row r="2447">
      <c r="A2447" s="8"/>
      <c r="B2447" s="9"/>
      <c r="C2447" s="9"/>
      <c r="D2447" s="9"/>
      <c r="E2447" s="9"/>
      <c r="F2447" s="9"/>
      <c r="G2447" s="9"/>
      <c r="H2447" s="9"/>
      <c r="I2447" s="9"/>
      <c r="J2447" s="10"/>
      <c r="K2447" s="10"/>
      <c r="L2447" s="10"/>
      <c r="M2447" s="10"/>
      <c r="N2447" s="11"/>
      <c r="O2447" s="11"/>
      <c r="P2447" s="11"/>
      <c r="Q2447" s="11"/>
      <c r="R2447" s="10"/>
      <c r="S2447" s="10"/>
      <c r="T2447" s="10"/>
      <c r="U2447" s="10"/>
    </row>
    <row r="2448">
      <c r="A2448" s="8"/>
      <c r="B2448" s="9"/>
      <c r="C2448" s="9"/>
      <c r="D2448" s="9"/>
      <c r="E2448" s="9"/>
      <c r="F2448" s="9"/>
      <c r="G2448" s="9"/>
      <c r="H2448" s="9"/>
      <c r="I2448" s="9"/>
      <c r="J2448" s="10"/>
      <c r="K2448" s="10"/>
      <c r="L2448" s="10"/>
      <c r="M2448" s="10"/>
      <c r="N2448" s="11"/>
      <c r="O2448" s="11"/>
      <c r="P2448" s="11"/>
      <c r="Q2448" s="11"/>
      <c r="R2448" s="10"/>
      <c r="S2448" s="10"/>
      <c r="T2448" s="10"/>
      <c r="U2448" s="10"/>
    </row>
    <row r="2449">
      <c r="A2449" s="8"/>
      <c r="B2449" s="9"/>
      <c r="C2449" s="9"/>
      <c r="D2449" s="9"/>
      <c r="E2449" s="9"/>
      <c r="F2449" s="9"/>
      <c r="G2449" s="9"/>
      <c r="H2449" s="9"/>
      <c r="I2449" s="9"/>
      <c r="J2449" s="10"/>
      <c r="K2449" s="10"/>
      <c r="L2449" s="10"/>
      <c r="M2449" s="10"/>
      <c r="N2449" s="11"/>
      <c r="O2449" s="11"/>
      <c r="P2449" s="11"/>
      <c r="Q2449" s="11"/>
      <c r="R2449" s="10"/>
      <c r="S2449" s="10"/>
      <c r="T2449" s="10"/>
      <c r="U2449" s="10"/>
    </row>
    <row r="2450">
      <c r="A2450" s="8"/>
      <c r="B2450" s="9"/>
      <c r="C2450" s="9"/>
      <c r="D2450" s="9"/>
      <c r="E2450" s="9"/>
      <c r="F2450" s="9"/>
      <c r="G2450" s="9"/>
      <c r="H2450" s="9"/>
      <c r="I2450" s="9"/>
      <c r="J2450" s="10"/>
      <c r="K2450" s="10"/>
      <c r="L2450" s="10"/>
      <c r="M2450" s="10"/>
      <c r="N2450" s="11"/>
      <c r="O2450" s="11"/>
      <c r="P2450" s="11"/>
      <c r="Q2450" s="11"/>
      <c r="R2450" s="10"/>
      <c r="S2450" s="10"/>
      <c r="T2450" s="10"/>
      <c r="U2450" s="10"/>
    </row>
    <row r="2451">
      <c r="A2451" s="8"/>
      <c r="B2451" s="9"/>
      <c r="C2451" s="9"/>
      <c r="D2451" s="9"/>
      <c r="E2451" s="9"/>
      <c r="F2451" s="9"/>
      <c r="G2451" s="9"/>
      <c r="H2451" s="9"/>
      <c r="I2451" s="9"/>
      <c r="J2451" s="10"/>
      <c r="K2451" s="10"/>
      <c r="L2451" s="10"/>
      <c r="M2451" s="10"/>
      <c r="N2451" s="11"/>
      <c r="O2451" s="11"/>
      <c r="P2451" s="11"/>
      <c r="Q2451" s="11"/>
      <c r="R2451" s="10"/>
      <c r="S2451" s="10"/>
      <c r="T2451" s="10"/>
      <c r="U2451" s="10"/>
    </row>
    <row r="2452">
      <c r="A2452" s="8"/>
      <c r="B2452" s="9"/>
      <c r="C2452" s="9"/>
      <c r="D2452" s="9"/>
      <c r="E2452" s="9"/>
      <c r="F2452" s="9"/>
      <c r="G2452" s="9"/>
      <c r="H2452" s="9"/>
      <c r="I2452" s="9"/>
      <c r="J2452" s="10"/>
      <c r="K2452" s="10"/>
      <c r="L2452" s="10"/>
      <c r="M2452" s="10"/>
      <c r="N2452" s="11"/>
      <c r="O2452" s="11"/>
      <c r="P2452" s="11"/>
      <c r="Q2452" s="11"/>
      <c r="R2452" s="10"/>
      <c r="S2452" s="10"/>
      <c r="T2452" s="10"/>
      <c r="U2452" s="10"/>
    </row>
    <row r="2453">
      <c r="A2453" s="8"/>
      <c r="B2453" s="9"/>
      <c r="C2453" s="9"/>
      <c r="D2453" s="9"/>
      <c r="E2453" s="9"/>
      <c r="F2453" s="9"/>
      <c r="G2453" s="9"/>
      <c r="H2453" s="9"/>
      <c r="I2453" s="9"/>
      <c r="J2453" s="10"/>
      <c r="K2453" s="10"/>
      <c r="L2453" s="10"/>
      <c r="M2453" s="10"/>
      <c r="N2453" s="11"/>
      <c r="O2453" s="11"/>
      <c r="P2453" s="11"/>
      <c r="Q2453" s="11"/>
      <c r="R2453" s="10"/>
      <c r="S2453" s="10"/>
      <c r="T2453" s="10"/>
      <c r="U2453" s="10"/>
    </row>
    <row r="2454">
      <c r="A2454" s="8"/>
      <c r="B2454" s="9"/>
      <c r="C2454" s="9"/>
      <c r="D2454" s="9"/>
      <c r="E2454" s="9"/>
      <c r="F2454" s="9"/>
      <c r="G2454" s="9"/>
      <c r="H2454" s="9"/>
      <c r="I2454" s="9"/>
      <c r="J2454" s="10"/>
      <c r="K2454" s="10"/>
      <c r="L2454" s="10"/>
      <c r="M2454" s="10"/>
      <c r="N2454" s="11"/>
      <c r="O2454" s="11"/>
      <c r="P2454" s="11"/>
      <c r="Q2454" s="11"/>
      <c r="R2454" s="10"/>
      <c r="S2454" s="10"/>
      <c r="T2454" s="10"/>
      <c r="U2454" s="10"/>
    </row>
    <row r="2455">
      <c r="A2455" s="8"/>
      <c r="B2455" s="9"/>
      <c r="C2455" s="9"/>
      <c r="D2455" s="9"/>
      <c r="E2455" s="9"/>
      <c r="F2455" s="9"/>
      <c r="G2455" s="9"/>
      <c r="H2455" s="9"/>
      <c r="I2455" s="9"/>
      <c r="J2455" s="10"/>
      <c r="K2455" s="10"/>
      <c r="L2455" s="10"/>
      <c r="M2455" s="10"/>
      <c r="N2455" s="11"/>
      <c r="O2455" s="11"/>
      <c r="P2455" s="11"/>
      <c r="Q2455" s="11"/>
      <c r="R2455" s="10"/>
      <c r="S2455" s="10"/>
      <c r="T2455" s="10"/>
      <c r="U2455" s="10"/>
    </row>
    <row r="2456">
      <c r="A2456" s="8"/>
      <c r="B2456" s="9"/>
      <c r="C2456" s="9"/>
      <c r="D2456" s="9"/>
      <c r="E2456" s="9"/>
      <c r="F2456" s="9"/>
      <c r="G2456" s="9"/>
      <c r="H2456" s="9"/>
      <c r="I2456" s="9"/>
      <c r="J2456" s="10"/>
      <c r="K2456" s="10"/>
      <c r="L2456" s="10"/>
      <c r="M2456" s="10"/>
      <c r="N2456" s="11"/>
      <c r="O2456" s="11"/>
      <c r="P2456" s="11"/>
      <c r="Q2456" s="11"/>
      <c r="R2456" s="10"/>
      <c r="S2456" s="10"/>
      <c r="T2456" s="10"/>
      <c r="U2456" s="10"/>
    </row>
    <row r="2457">
      <c r="A2457" s="8"/>
      <c r="B2457" s="9"/>
      <c r="C2457" s="9"/>
      <c r="D2457" s="9"/>
      <c r="E2457" s="9"/>
      <c r="F2457" s="9"/>
      <c r="G2457" s="9"/>
      <c r="H2457" s="9"/>
      <c r="I2457" s="9"/>
      <c r="J2457" s="10"/>
      <c r="K2457" s="10"/>
      <c r="L2457" s="10"/>
      <c r="M2457" s="10"/>
      <c r="N2457" s="11"/>
      <c r="O2457" s="11"/>
      <c r="P2457" s="11"/>
      <c r="Q2457" s="11"/>
      <c r="R2457" s="10"/>
      <c r="S2457" s="10"/>
      <c r="T2457" s="10"/>
      <c r="U2457" s="10"/>
    </row>
    <row r="2458">
      <c r="A2458" s="8"/>
      <c r="B2458" s="9"/>
      <c r="C2458" s="9"/>
      <c r="D2458" s="9"/>
      <c r="E2458" s="9"/>
      <c r="F2458" s="9"/>
      <c r="G2458" s="9"/>
      <c r="H2458" s="9"/>
      <c r="I2458" s="9"/>
      <c r="J2458" s="10"/>
      <c r="K2458" s="10"/>
      <c r="L2458" s="10"/>
      <c r="M2458" s="10"/>
      <c r="N2458" s="11"/>
      <c r="O2458" s="11"/>
      <c r="P2458" s="11"/>
      <c r="Q2458" s="11"/>
      <c r="R2458" s="10"/>
      <c r="S2458" s="10"/>
      <c r="T2458" s="10"/>
      <c r="U2458" s="10"/>
    </row>
    <row r="2459">
      <c r="A2459" s="8"/>
      <c r="B2459" s="9"/>
      <c r="C2459" s="9"/>
      <c r="D2459" s="9"/>
      <c r="E2459" s="9"/>
      <c r="F2459" s="9"/>
      <c r="G2459" s="9"/>
      <c r="H2459" s="9"/>
      <c r="I2459" s="9"/>
      <c r="J2459" s="10"/>
      <c r="K2459" s="10"/>
      <c r="L2459" s="10"/>
      <c r="M2459" s="10"/>
      <c r="N2459" s="11"/>
      <c r="O2459" s="11"/>
      <c r="P2459" s="11"/>
      <c r="Q2459" s="11"/>
      <c r="R2459" s="10"/>
      <c r="S2459" s="10"/>
      <c r="T2459" s="10"/>
      <c r="U2459" s="10"/>
    </row>
    <row r="2460">
      <c r="A2460" s="8"/>
      <c r="B2460" s="9"/>
      <c r="C2460" s="9"/>
      <c r="D2460" s="9"/>
      <c r="E2460" s="9"/>
      <c r="F2460" s="9"/>
      <c r="G2460" s="9"/>
      <c r="H2460" s="9"/>
      <c r="I2460" s="9"/>
      <c r="J2460" s="10"/>
      <c r="K2460" s="10"/>
      <c r="L2460" s="10"/>
      <c r="M2460" s="10"/>
      <c r="N2460" s="11"/>
      <c r="O2460" s="11"/>
      <c r="P2460" s="11"/>
      <c r="Q2460" s="11"/>
      <c r="R2460" s="10"/>
      <c r="S2460" s="10"/>
      <c r="T2460" s="10"/>
      <c r="U2460" s="10"/>
    </row>
    <row r="2461">
      <c r="A2461" s="8"/>
      <c r="B2461" s="9"/>
      <c r="C2461" s="9"/>
      <c r="D2461" s="9"/>
      <c r="E2461" s="9"/>
      <c r="F2461" s="9"/>
      <c r="G2461" s="9"/>
      <c r="H2461" s="9"/>
      <c r="I2461" s="9"/>
      <c r="J2461" s="10"/>
      <c r="K2461" s="10"/>
      <c r="L2461" s="10"/>
      <c r="M2461" s="10"/>
      <c r="N2461" s="11"/>
      <c r="O2461" s="11"/>
      <c r="P2461" s="11"/>
      <c r="Q2461" s="11"/>
      <c r="R2461" s="10"/>
      <c r="S2461" s="10"/>
      <c r="T2461" s="10"/>
      <c r="U2461" s="10"/>
    </row>
    <row r="2462">
      <c r="A2462" s="8"/>
      <c r="B2462" s="9"/>
      <c r="C2462" s="9"/>
      <c r="D2462" s="9"/>
      <c r="E2462" s="9"/>
      <c r="F2462" s="9"/>
      <c r="G2462" s="9"/>
      <c r="H2462" s="9"/>
      <c r="I2462" s="9"/>
      <c r="J2462" s="10"/>
      <c r="K2462" s="10"/>
      <c r="L2462" s="10"/>
      <c r="M2462" s="10"/>
      <c r="N2462" s="11"/>
      <c r="O2462" s="11"/>
      <c r="P2462" s="11"/>
      <c r="Q2462" s="11"/>
      <c r="R2462" s="10"/>
      <c r="S2462" s="10"/>
      <c r="T2462" s="10"/>
      <c r="U2462" s="10"/>
    </row>
    <row r="2463">
      <c r="A2463" s="8"/>
      <c r="B2463" s="9"/>
      <c r="C2463" s="9"/>
      <c r="D2463" s="9"/>
      <c r="E2463" s="9"/>
      <c r="F2463" s="9"/>
      <c r="G2463" s="9"/>
      <c r="H2463" s="9"/>
      <c r="I2463" s="9"/>
      <c r="J2463" s="10"/>
      <c r="K2463" s="10"/>
      <c r="L2463" s="10"/>
      <c r="M2463" s="10"/>
      <c r="N2463" s="11"/>
      <c r="O2463" s="11"/>
      <c r="P2463" s="11"/>
      <c r="Q2463" s="11"/>
      <c r="R2463" s="10"/>
      <c r="S2463" s="10"/>
      <c r="T2463" s="10"/>
      <c r="U2463" s="10"/>
    </row>
    <row r="2464">
      <c r="A2464" s="8"/>
      <c r="B2464" s="9"/>
      <c r="C2464" s="9"/>
      <c r="D2464" s="9"/>
      <c r="E2464" s="9"/>
      <c r="F2464" s="9"/>
      <c r="G2464" s="9"/>
      <c r="H2464" s="9"/>
      <c r="I2464" s="9"/>
      <c r="J2464" s="10"/>
      <c r="K2464" s="10"/>
      <c r="L2464" s="10"/>
      <c r="M2464" s="10"/>
      <c r="N2464" s="11"/>
      <c r="O2464" s="11"/>
      <c r="P2464" s="11"/>
      <c r="Q2464" s="11"/>
      <c r="R2464" s="10"/>
      <c r="S2464" s="10"/>
      <c r="T2464" s="10"/>
      <c r="U2464" s="10"/>
    </row>
    <row r="2465">
      <c r="A2465" s="8"/>
      <c r="B2465" s="9"/>
      <c r="C2465" s="9"/>
      <c r="D2465" s="9"/>
      <c r="E2465" s="9"/>
      <c r="F2465" s="9"/>
      <c r="G2465" s="9"/>
      <c r="H2465" s="9"/>
      <c r="I2465" s="9"/>
      <c r="J2465" s="10"/>
      <c r="K2465" s="10"/>
      <c r="L2465" s="10"/>
      <c r="M2465" s="10"/>
      <c r="N2465" s="11"/>
      <c r="O2465" s="11"/>
      <c r="P2465" s="11"/>
      <c r="Q2465" s="11"/>
      <c r="R2465" s="10"/>
      <c r="S2465" s="10"/>
      <c r="T2465" s="10"/>
      <c r="U2465" s="10"/>
    </row>
    <row r="2466">
      <c r="A2466" s="8"/>
      <c r="B2466" s="9"/>
      <c r="C2466" s="9"/>
      <c r="D2466" s="9"/>
      <c r="E2466" s="9"/>
      <c r="F2466" s="9"/>
      <c r="G2466" s="9"/>
      <c r="H2466" s="9"/>
      <c r="I2466" s="9"/>
      <c r="J2466" s="10"/>
      <c r="K2466" s="10"/>
      <c r="L2466" s="10"/>
      <c r="M2466" s="10"/>
      <c r="N2466" s="11"/>
      <c r="O2466" s="11"/>
      <c r="P2466" s="11"/>
      <c r="Q2466" s="11"/>
      <c r="R2466" s="10"/>
      <c r="S2466" s="10"/>
      <c r="T2466" s="10"/>
      <c r="U2466" s="10"/>
    </row>
    <row r="2467">
      <c r="A2467" s="8"/>
      <c r="B2467" s="9"/>
      <c r="C2467" s="9"/>
      <c r="D2467" s="9"/>
      <c r="E2467" s="9"/>
      <c r="F2467" s="9"/>
      <c r="G2467" s="9"/>
      <c r="H2467" s="9"/>
      <c r="I2467" s="9"/>
      <c r="J2467" s="10"/>
      <c r="K2467" s="10"/>
      <c r="L2467" s="10"/>
      <c r="M2467" s="10"/>
      <c r="N2467" s="11"/>
      <c r="O2467" s="11"/>
      <c r="P2467" s="11"/>
      <c r="Q2467" s="11"/>
      <c r="R2467" s="10"/>
      <c r="S2467" s="10"/>
      <c r="T2467" s="10"/>
      <c r="U2467" s="10"/>
    </row>
    <row r="2468">
      <c r="A2468" s="8"/>
      <c r="B2468" s="9"/>
      <c r="C2468" s="9"/>
      <c r="D2468" s="9"/>
      <c r="E2468" s="9"/>
      <c r="F2468" s="9"/>
      <c r="G2468" s="9"/>
      <c r="H2468" s="9"/>
      <c r="I2468" s="9"/>
      <c r="J2468" s="10"/>
      <c r="K2468" s="10"/>
      <c r="L2468" s="10"/>
      <c r="M2468" s="10"/>
      <c r="N2468" s="11"/>
      <c r="O2468" s="11"/>
      <c r="P2468" s="11"/>
      <c r="Q2468" s="11"/>
      <c r="R2468" s="10"/>
      <c r="S2468" s="10"/>
      <c r="T2468" s="10"/>
      <c r="U2468" s="10"/>
    </row>
    <row r="2469">
      <c r="A2469" s="8"/>
      <c r="B2469" s="9"/>
      <c r="C2469" s="9"/>
      <c r="D2469" s="9"/>
      <c r="E2469" s="9"/>
      <c r="F2469" s="9"/>
      <c r="G2469" s="9"/>
      <c r="H2469" s="9"/>
      <c r="I2469" s="9"/>
      <c r="J2469" s="10"/>
      <c r="K2469" s="10"/>
      <c r="L2469" s="10"/>
      <c r="M2469" s="10"/>
      <c r="N2469" s="11"/>
      <c r="O2469" s="11"/>
      <c r="P2469" s="11"/>
      <c r="Q2469" s="11"/>
      <c r="R2469" s="10"/>
      <c r="S2469" s="10"/>
      <c r="T2469" s="10"/>
      <c r="U2469" s="10"/>
    </row>
    <row r="2470">
      <c r="A2470" s="8"/>
      <c r="B2470" s="9"/>
      <c r="C2470" s="9"/>
      <c r="D2470" s="9"/>
      <c r="E2470" s="9"/>
      <c r="F2470" s="9"/>
      <c r="G2470" s="9"/>
      <c r="H2470" s="9"/>
      <c r="I2470" s="9"/>
      <c r="J2470" s="10"/>
      <c r="K2470" s="10"/>
      <c r="L2470" s="10"/>
      <c r="M2470" s="10"/>
      <c r="N2470" s="11"/>
      <c r="O2470" s="11"/>
      <c r="P2470" s="11"/>
      <c r="Q2470" s="11"/>
      <c r="R2470" s="10"/>
      <c r="S2470" s="10"/>
      <c r="T2470" s="10"/>
      <c r="U2470" s="10"/>
    </row>
    <row r="2471">
      <c r="A2471" s="8"/>
      <c r="B2471" s="9"/>
      <c r="C2471" s="9"/>
      <c r="D2471" s="9"/>
      <c r="E2471" s="9"/>
      <c r="F2471" s="9"/>
      <c r="G2471" s="9"/>
      <c r="H2471" s="9"/>
      <c r="I2471" s="9"/>
      <c r="J2471" s="10"/>
      <c r="K2471" s="10"/>
      <c r="L2471" s="10"/>
      <c r="M2471" s="10"/>
      <c r="N2471" s="11"/>
      <c r="O2471" s="11"/>
      <c r="P2471" s="11"/>
      <c r="Q2471" s="11"/>
      <c r="R2471" s="10"/>
      <c r="S2471" s="10"/>
      <c r="T2471" s="10"/>
      <c r="U2471" s="10"/>
    </row>
    <row r="2472">
      <c r="A2472" s="8"/>
      <c r="B2472" s="9"/>
      <c r="C2472" s="9"/>
      <c r="D2472" s="9"/>
      <c r="E2472" s="9"/>
      <c r="F2472" s="9"/>
      <c r="G2472" s="9"/>
      <c r="H2472" s="9"/>
      <c r="I2472" s="9"/>
      <c r="J2472" s="10"/>
      <c r="K2472" s="10"/>
      <c r="L2472" s="10"/>
      <c r="M2472" s="10"/>
      <c r="N2472" s="11"/>
      <c r="O2472" s="11"/>
      <c r="P2472" s="11"/>
      <c r="Q2472" s="11"/>
      <c r="R2472" s="10"/>
      <c r="S2472" s="10"/>
      <c r="T2472" s="10"/>
      <c r="U2472" s="10"/>
    </row>
    <row r="2473">
      <c r="A2473" s="8"/>
      <c r="B2473" s="9"/>
      <c r="C2473" s="9"/>
      <c r="D2473" s="9"/>
      <c r="E2473" s="9"/>
      <c r="F2473" s="9"/>
      <c r="G2473" s="9"/>
      <c r="H2473" s="9"/>
      <c r="I2473" s="9"/>
      <c r="J2473" s="10"/>
      <c r="K2473" s="10"/>
      <c r="L2473" s="10"/>
      <c r="M2473" s="10"/>
      <c r="N2473" s="11"/>
      <c r="O2473" s="11"/>
      <c r="P2473" s="11"/>
      <c r="Q2473" s="11"/>
      <c r="R2473" s="10"/>
      <c r="S2473" s="10"/>
      <c r="T2473" s="10"/>
      <c r="U2473" s="10"/>
    </row>
    <row r="2474">
      <c r="A2474" s="8"/>
      <c r="B2474" s="9"/>
      <c r="C2474" s="9"/>
      <c r="D2474" s="9"/>
      <c r="E2474" s="9"/>
      <c r="F2474" s="9"/>
      <c r="G2474" s="9"/>
      <c r="H2474" s="9"/>
      <c r="I2474" s="9"/>
      <c r="J2474" s="10"/>
      <c r="K2474" s="10"/>
      <c r="L2474" s="10"/>
      <c r="M2474" s="10"/>
      <c r="N2474" s="11"/>
      <c r="O2474" s="11"/>
      <c r="P2474" s="11"/>
      <c r="Q2474" s="11"/>
      <c r="R2474" s="10"/>
      <c r="S2474" s="10"/>
      <c r="T2474" s="10"/>
      <c r="U2474" s="10"/>
    </row>
    <row r="2475">
      <c r="A2475" s="8"/>
      <c r="B2475" s="9"/>
      <c r="C2475" s="9"/>
      <c r="D2475" s="9"/>
      <c r="E2475" s="9"/>
      <c r="F2475" s="9"/>
      <c r="G2475" s="9"/>
      <c r="H2475" s="9"/>
      <c r="I2475" s="9"/>
      <c r="J2475" s="10"/>
      <c r="K2475" s="10"/>
      <c r="L2475" s="10"/>
      <c r="M2475" s="10"/>
      <c r="N2475" s="11"/>
      <c r="O2475" s="11"/>
      <c r="P2475" s="11"/>
      <c r="Q2475" s="11"/>
      <c r="R2475" s="10"/>
      <c r="S2475" s="10"/>
      <c r="T2475" s="10"/>
      <c r="U2475" s="10"/>
    </row>
    <row r="2476">
      <c r="A2476" s="8"/>
      <c r="B2476" s="9"/>
      <c r="C2476" s="9"/>
      <c r="D2476" s="9"/>
      <c r="E2476" s="9"/>
      <c r="F2476" s="9"/>
      <c r="G2476" s="9"/>
      <c r="H2476" s="9"/>
      <c r="I2476" s="9"/>
      <c r="J2476" s="10"/>
      <c r="K2476" s="10"/>
      <c r="L2476" s="10"/>
      <c r="M2476" s="10"/>
      <c r="N2476" s="11"/>
      <c r="O2476" s="11"/>
      <c r="P2476" s="11"/>
      <c r="Q2476" s="11"/>
      <c r="R2476" s="10"/>
      <c r="S2476" s="10"/>
      <c r="T2476" s="10"/>
      <c r="U2476" s="10"/>
    </row>
    <row r="2477">
      <c r="A2477" s="8"/>
      <c r="B2477" s="9"/>
      <c r="C2477" s="9"/>
      <c r="D2477" s="9"/>
      <c r="E2477" s="9"/>
      <c r="F2477" s="9"/>
      <c r="G2477" s="9"/>
      <c r="H2477" s="9"/>
      <c r="I2477" s="9"/>
      <c r="J2477" s="10"/>
      <c r="K2477" s="10"/>
      <c r="L2477" s="10"/>
      <c r="M2477" s="10"/>
      <c r="N2477" s="11"/>
      <c r="O2477" s="11"/>
      <c r="P2477" s="11"/>
      <c r="Q2477" s="11"/>
      <c r="R2477" s="10"/>
      <c r="S2477" s="10"/>
      <c r="T2477" s="10"/>
      <c r="U2477" s="10"/>
    </row>
    <row r="2478">
      <c r="A2478" s="8"/>
      <c r="B2478" s="9"/>
      <c r="C2478" s="9"/>
      <c r="D2478" s="9"/>
      <c r="E2478" s="9"/>
      <c r="F2478" s="9"/>
      <c r="G2478" s="9"/>
      <c r="H2478" s="9"/>
      <c r="I2478" s="9"/>
      <c r="J2478" s="10"/>
      <c r="K2478" s="10"/>
      <c r="L2478" s="10"/>
      <c r="M2478" s="10"/>
      <c r="N2478" s="11"/>
      <c r="O2478" s="11"/>
      <c r="P2478" s="11"/>
      <c r="Q2478" s="11"/>
      <c r="R2478" s="10"/>
      <c r="S2478" s="10"/>
      <c r="T2478" s="10"/>
      <c r="U2478" s="10"/>
    </row>
    <row r="2479">
      <c r="A2479" s="8"/>
      <c r="B2479" s="9"/>
      <c r="C2479" s="9"/>
      <c r="D2479" s="9"/>
      <c r="E2479" s="9"/>
      <c r="F2479" s="9"/>
      <c r="G2479" s="9"/>
      <c r="H2479" s="9"/>
      <c r="I2479" s="9"/>
      <c r="J2479" s="10"/>
      <c r="K2479" s="10"/>
      <c r="L2479" s="10"/>
      <c r="M2479" s="10"/>
      <c r="N2479" s="11"/>
      <c r="O2479" s="11"/>
      <c r="P2479" s="11"/>
      <c r="Q2479" s="11"/>
      <c r="R2479" s="10"/>
      <c r="S2479" s="10"/>
      <c r="T2479" s="10"/>
      <c r="U2479" s="10"/>
    </row>
    <row r="2480">
      <c r="A2480" s="8"/>
      <c r="B2480" s="9"/>
      <c r="C2480" s="9"/>
      <c r="D2480" s="9"/>
      <c r="E2480" s="9"/>
      <c r="F2480" s="9"/>
      <c r="G2480" s="9"/>
      <c r="H2480" s="9"/>
      <c r="I2480" s="9"/>
      <c r="J2480" s="10"/>
      <c r="K2480" s="10"/>
      <c r="L2480" s="10"/>
      <c r="M2480" s="10"/>
      <c r="N2480" s="11"/>
      <c r="O2480" s="11"/>
      <c r="P2480" s="11"/>
      <c r="Q2480" s="11"/>
      <c r="R2480" s="10"/>
      <c r="S2480" s="10"/>
      <c r="T2480" s="10"/>
      <c r="U2480" s="10"/>
    </row>
    <row r="2481">
      <c r="A2481" s="8"/>
      <c r="B2481" s="9"/>
      <c r="C2481" s="9"/>
      <c r="D2481" s="9"/>
      <c r="E2481" s="9"/>
      <c r="F2481" s="9"/>
      <c r="G2481" s="9"/>
      <c r="H2481" s="9"/>
      <c r="I2481" s="9"/>
      <c r="J2481" s="10"/>
      <c r="K2481" s="10"/>
      <c r="L2481" s="10"/>
      <c r="M2481" s="10"/>
      <c r="N2481" s="11"/>
      <c r="O2481" s="11"/>
      <c r="P2481" s="11"/>
      <c r="Q2481" s="11"/>
      <c r="R2481" s="10"/>
      <c r="S2481" s="10"/>
      <c r="T2481" s="10"/>
      <c r="U2481" s="10"/>
    </row>
    <row r="2482">
      <c r="A2482" s="8"/>
      <c r="B2482" s="9"/>
      <c r="C2482" s="9"/>
      <c r="D2482" s="9"/>
      <c r="E2482" s="9"/>
      <c r="F2482" s="9"/>
      <c r="G2482" s="9"/>
      <c r="H2482" s="9"/>
      <c r="I2482" s="9"/>
      <c r="J2482" s="10"/>
      <c r="K2482" s="10"/>
      <c r="L2482" s="10"/>
      <c r="M2482" s="10"/>
      <c r="N2482" s="11"/>
      <c r="O2482" s="11"/>
      <c r="P2482" s="11"/>
      <c r="Q2482" s="11"/>
      <c r="R2482" s="10"/>
      <c r="S2482" s="10"/>
      <c r="T2482" s="10"/>
      <c r="U2482" s="10"/>
    </row>
    <row r="2483">
      <c r="A2483" s="8"/>
      <c r="B2483" s="9"/>
      <c r="C2483" s="9"/>
      <c r="D2483" s="9"/>
      <c r="E2483" s="9"/>
      <c r="F2483" s="9"/>
      <c r="G2483" s="9"/>
      <c r="H2483" s="9"/>
      <c r="I2483" s="9"/>
      <c r="J2483" s="10"/>
      <c r="K2483" s="10"/>
      <c r="L2483" s="10"/>
      <c r="M2483" s="10"/>
      <c r="N2483" s="11"/>
      <c r="O2483" s="11"/>
      <c r="P2483" s="11"/>
      <c r="Q2483" s="11"/>
      <c r="R2483" s="10"/>
      <c r="S2483" s="10"/>
      <c r="T2483" s="10"/>
      <c r="U2483" s="10"/>
    </row>
    <row r="2484">
      <c r="A2484" s="8"/>
      <c r="B2484" s="9"/>
      <c r="C2484" s="9"/>
      <c r="D2484" s="9"/>
      <c r="E2484" s="9"/>
      <c r="F2484" s="9"/>
      <c r="G2484" s="9"/>
      <c r="H2484" s="9"/>
      <c r="I2484" s="9"/>
      <c r="J2484" s="10"/>
      <c r="K2484" s="10"/>
      <c r="L2484" s="10"/>
      <c r="M2484" s="10"/>
      <c r="N2484" s="11"/>
      <c r="O2484" s="11"/>
      <c r="P2484" s="11"/>
      <c r="Q2484" s="11"/>
      <c r="R2484" s="10"/>
      <c r="S2484" s="10"/>
      <c r="T2484" s="10"/>
      <c r="U2484" s="10"/>
    </row>
    <row r="2485">
      <c r="A2485" s="8"/>
      <c r="B2485" s="9"/>
      <c r="C2485" s="9"/>
      <c r="D2485" s="9"/>
      <c r="E2485" s="9"/>
      <c r="F2485" s="9"/>
      <c r="G2485" s="9"/>
      <c r="H2485" s="9"/>
      <c r="I2485" s="9"/>
      <c r="J2485" s="10"/>
      <c r="K2485" s="10"/>
      <c r="L2485" s="10"/>
      <c r="M2485" s="10"/>
      <c r="N2485" s="11"/>
      <c r="O2485" s="11"/>
      <c r="P2485" s="11"/>
      <c r="Q2485" s="11"/>
      <c r="R2485" s="10"/>
      <c r="S2485" s="10"/>
      <c r="T2485" s="10"/>
      <c r="U2485" s="10"/>
    </row>
    <row r="2486">
      <c r="A2486" s="8"/>
      <c r="B2486" s="9"/>
      <c r="C2486" s="9"/>
      <c r="D2486" s="9"/>
      <c r="E2486" s="9"/>
      <c r="F2486" s="9"/>
      <c r="G2486" s="9"/>
      <c r="H2486" s="9"/>
      <c r="I2486" s="9"/>
      <c r="J2486" s="10"/>
      <c r="K2486" s="10"/>
      <c r="L2486" s="10"/>
      <c r="M2486" s="10"/>
      <c r="N2486" s="11"/>
      <c r="O2486" s="11"/>
      <c r="P2486" s="11"/>
      <c r="Q2486" s="11"/>
      <c r="R2486" s="10"/>
      <c r="S2486" s="10"/>
      <c r="T2486" s="10"/>
      <c r="U2486" s="10"/>
    </row>
    <row r="2487">
      <c r="A2487" s="8"/>
      <c r="B2487" s="9"/>
      <c r="C2487" s="9"/>
      <c r="D2487" s="9"/>
      <c r="E2487" s="9"/>
      <c r="F2487" s="9"/>
      <c r="G2487" s="9"/>
      <c r="H2487" s="9"/>
      <c r="I2487" s="9"/>
      <c r="J2487" s="10"/>
      <c r="K2487" s="10"/>
      <c r="L2487" s="10"/>
      <c r="M2487" s="10"/>
      <c r="N2487" s="11"/>
      <c r="O2487" s="11"/>
      <c r="P2487" s="11"/>
      <c r="Q2487" s="11"/>
      <c r="R2487" s="10"/>
      <c r="S2487" s="10"/>
      <c r="T2487" s="10"/>
      <c r="U2487" s="10"/>
    </row>
    <row r="2488">
      <c r="A2488" s="8"/>
      <c r="B2488" s="9"/>
      <c r="C2488" s="9"/>
      <c r="D2488" s="9"/>
      <c r="E2488" s="9"/>
      <c r="F2488" s="9"/>
      <c r="G2488" s="9"/>
      <c r="H2488" s="9"/>
      <c r="I2488" s="9"/>
      <c r="J2488" s="10"/>
      <c r="K2488" s="10"/>
      <c r="L2488" s="10"/>
      <c r="M2488" s="10"/>
      <c r="N2488" s="11"/>
      <c r="O2488" s="11"/>
      <c r="P2488" s="11"/>
      <c r="Q2488" s="11"/>
      <c r="R2488" s="10"/>
      <c r="S2488" s="10"/>
      <c r="T2488" s="10"/>
      <c r="U2488" s="10"/>
    </row>
    <row r="2489">
      <c r="A2489" s="8"/>
      <c r="B2489" s="9"/>
      <c r="C2489" s="9"/>
      <c r="D2489" s="9"/>
      <c r="E2489" s="9"/>
      <c r="F2489" s="9"/>
      <c r="G2489" s="9"/>
      <c r="H2489" s="9"/>
      <c r="I2489" s="9"/>
      <c r="J2489" s="10"/>
      <c r="K2489" s="10"/>
      <c r="L2489" s="10"/>
      <c r="M2489" s="10"/>
      <c r="N2489" s="11"/>
      <c r="O2489" s="11"/>
      <c r="P2489" s="11"/>
      <c r="Q2489" s="11"/>
      <c r="R2489" s="10"/>
      <c r="S2489" s="10"/>
      <c r="T2489" s="10"/>
      <c r="U2489" s="10"/>
    </row>
    <row r="2490">
      <c r="A2490" s="8"/>
      <c r="B2490" s="9"/>
      <c r="C2490" s="9"/>
      <c r="D2490" s="9"/>
      <c r="E2490" s="9"/>
      <c r="F2490" s="9"/>
      <c r="G2490" s="9"/>
      <c r="H2490" s="9"/>
      <c r="I2490" s="9"/>
      <c r="J2490" s="10"/>
      <c r="K2490" s="10"/>
      <c r="L2490" s="10"/>
      <c r="M2490" s="10"/>
      <c r="N2490" s="11"/>
      <c r="O2490" s="11"/>
      <c r="P2490" s="11"/>
      <c r="Q2490" s="11"/>
      <c r="R2490" s="10"/>
      <c r="S2490" s="10"/>
      <c r="T2490" s="10"/>
      <c r="U2490" s="10"/>
    </row>
    <row r="2491">
      <c r="A2491" s="8"/>
      <c r="B2491" s="9"/>
      <c r="C2491" s="9"/>
      <c r="D2491" s="9"/>
      <c r="E2491" s="9"/>
      <c r="F2491" s="9"/>
      <c r="G2491" s="9"/>
      <c r="H2491" s="9"/>
      <c r="I2491" s="9"/>
      <c r="J2491" s="10"/>
      <c r="K2491" s="10"/>
      <c r="L2491" s="10"/>
      <c r="M2491" s="10"/>
      <c r="N2491" s="11"/>
      <c r="O2491" s="11"/>
      <c r="P2491" s="11"/>
      <c r="Q2491" s="11"/>
      <c r="R2491" s="10"/>
      <c r="S2491" s="10"/>
      <c r="T2491" s="10"/>
      <c r="U2491" s="10"/>
    </row>
    <row r="2492">
      <c r="A2492" s="8"/>
      <c r="B2492" s="9"/>
      <c r="C2492" s="9"/>
      <c r="D2492" s="9"/>
      <c r="E2492" s="9"/>
      <c r="F2492" s="9"/>
      <c r="G2492" s="9"/>
      <c r="H2492" s="9"/>
      <c r="I2492" s="9"/>
      <c r="J2492" s="10"/>
      <c r="K2492" s="10"/>
      <c r="L2492" s="10"/>
      <c r="M2492" s="10"/>
      <c r="N2492" s="11"/>
      <c r="O2492" s="11"/>
      <c r="P2492" s="11"/>
      <c r="Q2492" s="11"/>
      <c r="R2492" s="10"/>
      <c r="S2492" s="10"/>
      <c r="T2492" s="10"/>
      <c r="U2492" s="10"/>
    </row>
    <row r="2493">
      <c r="A2493" s="8"/>
      <c r="B2493" s="9"/>
      <c r="C2493" s="9"/>
      <c r="D2493" s="9"/>
      <c r="E2493" s="9"/>
      <c r="F2493" s="9"/>
      <c r="G2493" s="9"/>
      <c r="H2493" s="9"/>
      <c r="I2493" s="9"/>
      <c r="J2493" s="10"/>
      <c r="K2493" s="10"/>
      <c r="L2493" s="10"/>
      <c r="M2493" s="10"/>
      <c r="N2493" s="11"/>
      <c r="O2493" s="11"/>
      <c r="P2493" s="11"/>
      <c r="Q2493" s="11"/>
      <c r="R2493" s="10"/>
      <c r="S2493" s="10"/>
      <c r="T2493" s="10"/>
      <c r="U2493" s="10"/>
    </row>
    <row r="2494">
      <c r="A2494" s="8"/>
      <c r="B2494" s="9"/>
      <c r="C2494" s="9"/>
      <c r="D2494" s="9"/>
      <c r="E2494" s="9"/>
      <c r="F2494" s="9"/>
      <c r="G2494" s="9"/>
      <c r="H2494" s="9"/>
      <c r="I2494" s="9"/>
      <c r="J2494" s="10"/>
      <c r="K2494" s="10"/>
      <c r="L2494" s="10"/>
      <c r="M2494" s="10"/>
      <c r="N2494" s="11"/>
      <c r="O2494" s="11"/>
      <c r="P2494" s="11"/>
      <c r="Q2494" s="11"/>
      <c r="R2494" s="10"/>
      <c r="S2494" s="10"/>
      <c r="T2494" s="10"/>
      <c r="U2494" s="10"/>
    </row>
    <row r="2495">
      <c r="A2495" s="8"/>
      <c r="B2495" s="9"/>
      <c r="C2495" s="9"/>
      <c r="D2495" s="9"/>
      <c r="E2495" s="9"/>
      <c r="F2495" s="9"/>
      <c r="G2495" s="9"/>
      <c r="H2495" s="9"/>
      <c r="I2495" s="9"/>
      <c r="J2495" s="10"/>
      <c r="K2495" s="10"/>
      <c r="L2495" s="10"/>
      <c r="M2495" s="10"/>
      <c r="N2495" s="11"/>
      <c r="O2495" s="11"/>
      <c r="P2495" s="11"/>
      <c r="Q2495" s="11"/>
      <c r="R2495" s="10"/>
      <c r="S2495" s="10"/>
      <c r="T2495" s="10"/>
      <c r="U2495" s="10"/>
    </row>
    <row r="2496">
      <c r="A2496" s="8"/>
      <c r="B2496" s="9"/>
      <c r="C2496" s="9"/>
      <c r="D2496" s="9"/>
      <c r="E2496" s="9"/>
      <c r="F2496" s="9"/>
      <c r="G2496" s="9"/>
      <c r="H2496" s="9"/>
      <c r="I2496" s="9"/>
      <c r="J2496" s="10"/>
      <c r="K2496" s="10"/>
      <c r="L2496" s="10"/>
      <c r="M2496" s="10"/>
      <c r="N2496" s="11"/>
      <c r="O2496" s="11"/>
      <c r="P2496" s="11"/>
      <c r="Q2496" s="11"/>
      <c r="R2496" s="10"/>
      <c r="S2496" s="10"/>
      <c r="T2496" s="10"/>
      <c r="U2496" s="10"/>
    </row>
    <row r="2497">
      <c r="A2497" s="8"/>
      <c r="B2497" s="9"/>
      <c r="C2497" s="9"/>
      <c r="D2497" s="9"/>
      <c r="E2497" s="9"/>
      <c r="F2497" s="9"/>
      <c r="G2497" s="9"/>
      <c r="H2497" s="9"/>
      <c r="I2497" s="9"/>
      <c r="J2497" s="10"/>
      <c r="K2497" s="10"/>
      <c r="L2497" s="10"/>
      <c r="M2497" s="10"/>
      <c r="N2497" s="11"/>
      <c r="O2497" s="11"/>
      <c r="P2497" s="11"/>
      <c r="Q2497" s="11"/>
      <c r="R2497" s="10"/>
      <c r="S2497" s="10"/>
      <c r="T2497" s="10"/>
      <c r="U2497" s="10"/>
    </row>
    <row r="2498">
      <c r="A2498" s="8"/>
      <c r="B2498" s="9"/>
      <c r="C2498" s="9"/>
      <c r="D2498" s="9"/>
      <c r="E2498" s="9"/>
      <c r="F2498" s="9"/>
      <c r="G2498" s="9"/>
      <c r="H2498" s="9"/>
      <c r="I2498" s="9"/>
      <c r="J2498" s="10"/>
      <c r="K2498" s="10"/>
      <c r="L2498" s="10"/>
      <c r="M2498" s="10"/>
      <c r="N2498" s="11"/>
      <c r="O2498" s="11"/>
      <c r="P2498" s="11"/>
      <c r="Q2498" s="11"/>
      <c r="R2498" s="10"/>
      <c r="S2498" s="10"/>
      <c r="T2498" s="10"/>
      <c r="U2498" s="10"/>
    </row>
    <row r="2499">
      <c r="A2499" s="8"/>
      <c r="B2499" s="9"/>
      <c r="C2499" s="9"/>
      <c r="D2499" s="9"/>
      <c r="E2499" s="9"/>
      <c r="F2499" s="9"/>
      <c r="G2499" s="9"/>
      <c r="H2499" s="9"/>
      <c r="I2499" s="9"/>
      <c r="J2499" s="10"/>
      <c r="K2499" s="10"/>
      <c r="L2499" s="10"/>
      <c r="M2499" s="10"/>
      <c r="N2499" s="11"/>
      <c r="O2499" s="11"/>
      <c r="P2499" s="11"/>
      <c r="Q2499" s="11"/>
      <c r="R2499" s="10"/>
      <c r="S2499" s="10"/>
      <c r="T2499" s="10"/>
      <c r="U2499" s="10"/>
    </row>
    <row r="2500">
      <c r="A2500" s="8"/>
      <c r="B2500" s="9"/>
      <c r="C2500" s="9"/>
      <c r="D2500" s="9"/>
      <c r="E2500" s="9"/>
      <c r="F2500" s="9"/>
      <c r="G2500" s="9"/>
      <c r="H2500" s="9"/>
      <c r="I2500" s="9"/>
      <c r="J2500" s="10"/>
      <c r="K2500" s="10"/>
      <c r="L2500" s="10"/>
      <c r="M2500" s="10"/>
      <c r="N2500" s="11"/>
      <c r="O2500" s="11"/>
      <c r="P2500" s="11"/>
      <c r="Q2500" s="11"/>
      <c r="R2500" s="10"/>
      <c r="S2500" s="10"/>
      <c r="T2500" s="10"/>
      <c r="U2500" s="10"/>
    </row>
    <row r="2501">
      <c r="A2501" s="8"/>
      <c r="B2501" s="9"/>
      <c r="C2501" s="9"/>
      <c r="D2501" s="9"/>
      <c r="E2501" s="9"/>
      <c r="F2501" s="9"/>
      <c r="G2501" s="9"/>
      <c r="H2501" s="9"/>
      <c r="I2501" s="9"/>
      <c r="J2501" s="10"/>
      <c r="K2501" s="10"/>
      <c r="L2501" s="10"/>
      <c r="M2501" s="10"/>
      <c r="N2501" s="11"/>
      <c r="O2501" s="11"/>
      <c r="P2501" s="11"/>
      <c r="Q2501" s="11"/>
      <c r="R2501" s="10"/>
      <c r="S2501" s="10"/>
      <c r="T2501" s="10"/>
      <c r="U2501" s="10"/>
    </row>
    <row r="2502">
      <c r="A2502" s="8"/>
      <c r="B2502" s="9"/>
      <c r="C2502" s="9"/>
      <c r="D2502" s="9"/>
      <c r="E2502" s="9"/>
      <c r="F2502" s="9"/>
      <c r="G2502" s="9"/>
      <c r="H2502" s="9"/>
      <c r="I2502" s="9"/>
      <c r="J2502" s="10"/>
      <c r="K2502" s="10"/>
      <c r="L2502" s="10"/>
      <c r="M2502" s="10"/>
      <c r="N2502" s="11"/>
      <c r="O2502" s="11"/>
      <c r="P2502" s="11"/>
      <c r="Q2502" s="11"/>
      <c r="R2502" s="10"/>
      <c r="S2502" s="10"/>
      <c r="T2502" s="10"/>
      <c r="U2502" s="10"/>
    </row>
    <row r="2503">
      <c r="A2503" s="8"/>
      <c r="B2503" s="9"/>
      <c r="C2503" s="9"/>
      <c r="D2503" s="9"/>
      <c r="E2503" s="9"/>
      <c r="F2503" s="9"/>
      <c r="G2503" s="9"/>
      <c r="H2503" s="9"/>
      <c r="I2503" s="9"/>
      <c r="J2503" s="10"/>
      <c r="K2503" s="10"/>
      <c r="L2503" s="10"/>
      <c r="M2503" s="10"/>
      <c r="N2503" s="11"/>
      <c r="O2503" s="11"/>
      <c r="P2503" s="11"/>
      <c r="Q2503" s="11"/>
      <c r="R2503" s="10"/>
      <c r="S2503" s="10"/>
      <c r="T2503" s="10"/>
      <c r="U2503" s="10"/>
    </row>
    <row r="2504">
      <c r="A2504" s="8"/>
      <c r="B2504" s="9"/>
      <c r="C2504" s="9"/>
      <c r="D2504" s="9"/>
      <c r="E2504" s="9"/>
      <c r="F2504" s="9"/>
      <c r="G2504" s="9"/>
      <c r="H2504" s="9"/>
      <c r="I2504" s="9"/>
      <c r="J2504" s="10"/>
      <c r="K2504" s="10"/>
      <c r="L2504" s="10"/>
      <c r="M2504" s="10"/>
      <c r="N2504" s="11"/>
      <c r="O2504" s="11"/>
      <c r="P2504" s="11"/>
      <c r="Q2504" s="11"/>
      <c r="R2504" s="10"/>
      <c r="S2504" s="10"/>
      <c r="T2504" s="10"/>
      <c r="U2504" s="10"/>
    </row>
    <row r="2505">
      <c r="A2505" s="8"/>
      <c r="B2505" s="9"/>
      <c r="C2505" s="9"/>
      <c r="D2505" s="9"/>
      <c r="E2505" s="9"/>
      <c r="F2505" s="9"/>
      <c r="G2505" s="9"/>
      <c r="H2505" s="9"/>
      <c r="I2505" s="9"/>
      <c r="J2505" s="10"/>
      <c r="K2505" s="10"/>
      <c r="L2505" s="10"/>
      <c r="M2505" s="10"/>
      <c r="N2505" s="11"/>
      <c r="O2505" s="11"/>
      <c r="P2505" s="11"/>
      <c r="Q2505" s="11"/>
      <c r="R2505" s="10"/>
      <c r="S2505" s="10"/>
      <c r="T2505" s="10"/>
      <c r="U2505" s="10"/>
    </row>
    <row r="2506">
      <c r="A2506" s="8"/>
      <c r="B2506" s="9"/>
      <c r="C2506" s="9"/>
      <c r="D2506" s="9"/>
      <c r="E2506" s="9"/>
      <c r="F2506" s="9"/>
      <c r="G2506" s="9"/>
      <c r="H2506" s="9"/>
      <c r="I2506" s="9"/>
      <c r="J2506" s="10"/>
      <c r="K2506" s="10"/>
      <c r="L2506" s="10"/>
      <c r="M2506" s="10"/>
      <c r="N2506" s="11"/>
      <c r="O2506" s="11"/>
      <c r="P2506" s="11"/>
      <c r="Q2506" s="11"/>
      <c r="R2506" s="10"/>
      <c r="S2506" s="10"/>
      <c r="T2506" s="10"/>
      <c r="U2506" s="10"/>
    </row>
    <row r="2507">
      <c r="A2507" s="8"/>
      <c r="B2507" s="9"/>
      <c r="C2507" s="9"/>
      <c r="D2507" s="9"/>
      <c r="E2507" s="9"/>
      <c r="F2507" s="9"/>
      <c r="G2507" s="9"/>
      <c r="H2507" s="9"/>
      <c r="I2507" s="9"/>
      <c r="J2507" s="10"/>
      <c r="K2507" s="10"/>
      <c r="L2507" s="10"/>
      <c r="M2507" s="10"/>
      <c r="N2507" s="11"/>
      <c r="O2507" s="11"/>
      <c r="P2507" s="11"/>
      <c r="Q2507" s="11"/>
      <c r="R2507" s="10"/>
      <c r="S2507" s="10"/>
      <c r="T2507" s="10"/>
      <c r="U2507" s="10"/>
    </row>
    <row r="2508">
      <c r="A2508" s="8"/>
      <c r="B2508" s="9"/>
      <c r="C2508" s="9"/>
      <c r="D2508" s="9"/>
      <c r="E2508" s="9"/>
      <c r="F2508" s="9"/>
      <c r="G2508" s="9"/>
      <c r="H2508" s="9"/>
      <c r="I2508" s="9"/>
      <c r="J2508" s="10"/>
      <c r="K2508" s="10"/>
      <c r="L2508" s="10"/>
      <c r="M2508" s="10"/>
      <c r="N2508" s="11"/>
      <c r="O2508" s="11"/>
      <c r="P2508" s="11"/>
      <c r="Q2508" s="11"/>
      <c r="R2508" s="10"/>
      <c r="S2508" s="10"/>
      <c r="T2508" s="10"/>
      <c r="U2508" s="10"/>
    </row>
    <row r="2509">
      <c r="A2509" s="8"/>
      <c r="B2509" s="9"/>
      <c r="C2509" s="9"/>
      <c r="D2509" s="9"/>
      <c r="E2509" s="9"/>
      <c r="F2509" s="9"/>
      <c r="G2509" s="9"/>
      <c r="H2509" s="9"/>
      <c r="I2509" s="9"/>
      <c r="J2509" s="10"/>
      <c r="K2509" s="10"/>
      <c r="L2509" s="10"/>
      <c r="M2509" s="10"/>
      <c r="N2509" s="11"/>
      <c r="O2509" s="11"/>
      <c r="P2509" s="11"/>
      <c r="Q2509" s="11"/>
      <c r="R2509" s="10"/>
      <c r="S2509" s="10"/>
      <c r="T2509" s="10"/>
      <c r="U2509" s="10"/>
    </row>
    <row r="2510">
      <c r="A2510" s="8"/>
      <c r="B2510" s="9"/>
      <c r="C2510" s="9"/>
      <c r="D2510" s="9"/>
      <c r="E2510" s="9"/>
      <c r="F2510" s="9"/>
      <c r="G2510" s="9"/>
      <c r="H2510" s="9"/>
      <c r="I2510" s="9"/>
      <c r="J2510" s="10"/>
      <c r="K2510" s="10"/>
      <c r="L2510" s="10"/>
      <c r="M2510" s="10"/>
      <c r="N2510" s="11"/>
      <c r="O2510" s="11"/>
      <c r="P2510" s="11"/>
      <c r="Q2510" s="11"/>
      <c r="R2510" s="10"/>
      <c r="S2510" s="10"/>
      <c r="T2510" s="10"/>
      <c r="U2510" s="10"/>
    </row>
    <row r="2511">
      <c r="A2511" s="8"/>
      <c r="B2511" s="9"/>
      <c r="C2511" s="9"/>
      <c r="D2511" s="9"/>
      <c r="E2511" s="9"/>
      <c r="F2511" s="9"/>
      <c r="G2511" s="9"/>
      <c r="H2511" s="9"/>
      <c r="I2511" s="9"/>
      <c r="J2511" s="10"/>
      <c r="K2511" s="10"/>
      <c r="L2511" s="10"/>
      <c r="M2511" s="10"/>
      <c r="N2511" s="11"/>
      <c r="O2511" s="11"/>
      <c r="P2511" s="11"/>
      <c r="Q2511" s="11"/>
      <c r="R2511" s="10"/>
      <c r="S2511" s="10"/>
      <c r="T2511" s="10"/>
      <c r="U2511" s="10"/>
    </row>
    <row r="2512">
      <c r="A2512" s="8"/>
      <c r="B2512" s="9"/>
      <c r="C2512" s="9"/>
      <c r="D2512" s="9"/>
      <c r="E2512" s="9"/>
      <c r="F2512" s="9"/>
      <c r="G2512" s="9"/>
      <c r="H2512" s="9"/>
      <c r="I2512" s="9"/>
      <c r="J2512" s="10"/>
      <c r="K2512" s="10"/>
      <c r="L2512" s="10"/>
      <c r="M2512" s="10"/>
      <c r="N2512" s="11"/>
      <c r="O2512" s="11"/>
      <c r="P2512" s="11"/>
      <c r="Q2512" s="11"/>
      <c r="R2512" s="10"/>
      <c r="S2512" s="10"/>
      <c r="T2512" s="10"/>
      <c r="U2512" s="10"/>
    </row>
    <row r="2513">
      <c r="A2513" s="8"/>
      <c r="B2513" s="9"/>
      <c r="C2513" s="9"/>
      <c r="D2513" s="9"/>
      <c r="E2513" s="9"/>
      <c r="F2513" s="9"/>
      <c r="G2513" s="9"/>
      <c r="H2513" s="9"/>
      <c r="I2513" s="9"/>
      <c r="J2513" s="10"/>
      <c r="K2513" s="10"/>
      <c r="L2513" s="10"/>
      <c r="M2513" s="10"/>
      <c r="N2513" s="11"/>
      <c r="O2513" s="11"/>
      <c r="P2513" s="11"/>
      <c r="Q2513" s="11"/>
      <c r="R2513" s="10"/>
      <c r="S2513" s="10"/>
      <c r="T2513" s="10"/>
      <c r="U2513" s="10"/>
    </row>
    <row r="2514">
      <c r="A2514" s="8"/>
      <c r="B2514" s="9"/>
      <c r="C2514" s="9"/>
      <c r="D2514" s="9"/>
      <c r="E2514" s="9"/>
      <c r="F2514" s="9"/>
      <c r="G2514" s="9"/>
      <c r="H2514" s="9"/>
      <c r="I2514" s="9"/>
      <c r="J2514" s="10"/>
      <c r="K2514" s="10"/>
      <c r="L2514" s="10"/>
      <c r="M2514" s="10"/>
      <c r="N2514" s="11"/>
      <c r="O2514" s="11"/>
      <c r="P2514" s="11"/>
      <c r="Q2514" s="11"/>
      <c r="R2514" s="10"/>
      <c r="S2514" s="10"/>
      <c r="T2514" s="10"/>
      <c r="U2514" s="10"/>
    </row>
    <row r="2515">
      <c r="A2515" s="8"/>
      <c r="B2515" s="9"/>
      <c r="C2515" s="9"/>
      <c r="D2515" s="9"/>
      <c r="E2515" s="9"/>
      <c r="F2515" s="9"/>
      <c r="G2515" s="9"/>
      <c r="H2515" s="9"/>
      <c r="I2515" s="9"/>
      <c r="J2515" s="10"/>
      <c r="K2515" s="10"/>
      <c r="L2515" s="10"/>
      <c r="M2515" s="10"/>
      <c r="N2515" s="11"/>
      <c r="O2515" s="11"/>
      <c r="P2515" s="11"/>
      <c r="Q2515" s="11"/>
      <c r="R2515" s="10"/>
      <c r="S2515" s="10"/>
      <c r="T2515" s="10"/>
      <c r="U2515" s="10"/>
    </row>
    <row r="2516">
      <c r="A2516" s="8"/>
      <c r="B2516" s="9"/>
      <c r="C2516" s="9"/>
      <c r="D2516" s="9"/>
      <c r="E2516" s="9"/>
      <c r="F2516" s="9"/>
      <c r="G2516" s="9"/>
      <c r="H2516" s="9"/>
      <c r="I2516" s="9"/>
      <c r="J2516" s="10"/>
      <c r="K2516" s="10"/>
      <c r="L2516" s="10"/>
      <c r="M2516" s="10"/>
      <c r="N2516" s="11"/>
      <c r="O2516" s="11"/>
      <c r="P2516" s="11"/>
      <c r="Q2516" s="11"/>
      <c r="R2516" s="10"/>
      <c r="S2516" s="10"/>
      <c r="T2516" s="10"/>
      <c r="U2516" s="10"/>
    </row>
    <row r="2517">
      <c r="A2517" s="8"/>
      <c r="B2517" s="9"/>
      <c r="C2517" s="9"/>
      <c r="D2517" s="9"/>
      <c r="E2517" s="9"/>
      <c r="F2517" s="9"/>
      <c r="G2517" s="9"/>
      <c r="H2517" s="9"/>
      <c r="I2517" s="9"/>
      <c r="J2517" s="10"/>
      <c r="K2517" s="10"/>
      <c r="L2517" s="10"/>
      <c r="M2517" s="10"/>
      <c r="N2517" s="11"/>
      <c r="O2517" s="11"/>
      <c r="P2517" s="11"/>
      <c r="Q2517" s="11"/>
      <c r="R2517" s="10"/>
      <c r="S2517" s="10"/>
      <c r="T2517" s="10"/>
      <c r="U2517" s="10"/>
    </row>
    <row r="2518">
      <c r="A2518" s="8"/>
      <c r="B2518" s="9"/>
      <c r="C2518" s="9"/>
      <c r="D2518" s="9"/>
      <c r="E2518" s="9"/>
      <c r="F2518" s="9"/>
      <c r="G2518" s="9"/>
      <c r="H2518" s="9"/>
      <c r="I2518" s="9"/>
      <c r="J2518" s="10"/>
      <c r="K2518" s="10"/>
      <c r="L2518" s="10"/>
      <c r="M2518" s="10"/>
      <c r="N2518" s="11"/>
      <c r="O2518" s="11"/>
      <c r="P2518" s="11"/>
      <c r="Q2518" s="11"/>
      <c r="R2518" s="10"/>
      <c r="S2518" s="10"/>
      <c r="T2518" s="10"/>
      <c r="U2518" s="10"/>
    </row>
    <row r="2519">
      <c r="A2519" s="8"/>
      <c r="B2519" s="9"/>
      <c r="C2519" s="9"/>
      <c r="D2519" s="9"/>
      <c r="E2519" s="9"/>
      <c r="F2519" s="9"/>
      <c r="G2519" s="9"/>
      <c r="H2519" s="9"/>
      <c r="I2519" s="9"/>
      <c r="J2519" s="10"/>
      <c r="K2519" s="10"/>
      <c r="L2519" s="10"/>
      <c r="M2519" s="10"/>
      <c r="N2519" s="11"/>
      <c r="O2519" s="11"/>
      <c r="P2519" s="11"/>
      <c r="Q2519" s="11"/>
      <c r="R2519" s="10"/>
      <c r="S2519" s="10"/>
      <c r="T2519" s="10"/>
      <c r="U2519" s="10"/>
    </row>
    <row r="2520">
      <c r="A2520" s="8"/>
      <c r="B2520" s="9"/>
      <c r="C2520" s="9"/>
      <c r="D2520" s="9"/>
      <c r="E2520" s="9"/>
      <c r="F2520" s="9"/>
      <c r="G2520" s="9"/>
      <c r="H2520" s="9"/>
      <c r="I2520" s="9"/>
      <c r="J2520" s="10"/>
      <c r="K2520" s="10"/>
      <c r="L2520" s="10"/>
      <c r="M2520" s="10"/>
      <c r="N2520" s="11"/>
      <c r="O2520" s="11"/>
      <c r="P2520" s="11"/>
      <c r="Q2520" s="11"/>
      <c r="R2520" s="10"/>
      <c r="S2520" s="10"/>
      <c r="T2520" s="10"/>
      <c r="U2520" s="10"/>
    </row>
    <row r="2521">
      <c r="A2521" s="8"/>
      <c r="B2521" s="9"/>
      <c r="C2521" s="9"/>
      <c r="D2521" s="9"/>
      <c r="E2521" s="9"/>
      <c r="F2521" s="9"/>
      <c r="G2521" s="9"/>
      <c r="H2521" s="9"/>
      <c r="I2521" s="9"/>
      <c r="J2521" s="10"/>
      <c r="K2521" s="10"/>
      <c r="L2521" s="10"/>
      <c r="M2521" s="10"/>
      <c r="N2521" s="11"/>
      <c r="O2521" s="11"/>
      <c r="P2521" s="11"/>
      <c r="Q2521" s="11"/>
      <c r="R2521" s="10"/>
      <c r="S2521" s="10"/>
      <c r="T2521" s="10"/>
      <c r="U2521" s="10"/>
    </row>
    <row r="2522">
      <c r="A2522" s="8"/>
      <c r="B2522" s="9"/>
      <c r="C2522" s="9"/>
      <c r="D2522" s="9"/>
      <c r="E2522" s="9"/>
      <c r="F2522" s="9"/>
      <c r="G2522" s="9"/>
      <c r="H2522" s="9"/>
      <c r="I2522" s="9"/>
      <c r="J2522" s="10"/>
      <c r="K2522" s="10"/>
      <c r="L2522" s="10"/>
      <c r="M2522" s="10"/>
      <c r="N2522" s="11"/>
      <c r="O2522" s="11"/>
      <c r="P2522" s="11"/>
      <c r="Q2522" s="11"/>
      <c r="R2522" s="10"/>
      <c r="S2522" s="10"/>
      <c r="T2522" s="10"/>
      <c r="U2522" s="10"/>
    </row>
    <row r="2523">
      <c r="A2523" s="8"/>
      <c r="B2523" s="9"/>
      <c r="C2523" s="9"/>
      <c r="D2523" s="9"/>
      <c r="E2523" s="9"/>
      <c r="F2523" s="9"/>
      <c r="G2523" s="9"/>
      <c r="H2523" s="9"/>
      <c r="I2523" s="9"/>
      <c r="J2523" s="10"/>
      <c r="K2523" s="10"/>
      <c r="L2523" s="10"/>
      <c r="M2523" s="10"/>
      <c r="N2523" s="11"/>
      <c r="O2523" s="11"/>
      <c r="P2523" s="11"/>
      <c r="Q2523" s="11"/>
      <c r="R2523" s="10"/>
      <c r="S2523" s="10"/>
      <c r="T2523" s="10"/>
      <c r="U2523" s="10"/>
    </row>
    <row r="2524">
      <c r="A2524" s="8"/>
      <c r="B2524" s="9"/>
      <c r="C2524" s="9"/>
      <c r="D2524" s="9"/>
      <c r="E2524" s="9"/>
      <c r="F2524" s="9"/>
      <c r="G2524" s="9"/>
      <c r="H2524" s="9"/>
      <c r="I2524" s="9"/>
      <c r="J2524" s="10"/>
      <c r="K2524" s="10"/>
      <c r="L2524" s="10"/>
      <c r="M2524" s="10"/>
      <c r="N2524" s="11"/>
      <c r="O2524" s="11"/>
      <c r="P2524" s="11"/>
      <c r="Q2524" s="11"/>
      <c r="R2524" s="10"/>
      <c r="S2524" s="10"/>
      <c r="T2524" s="10"/>
      <c r="U2524" s="10"/>
    </row>
    <row r="2525">
      <c r="A2525" s="8"/>
      <c r="B2525" s="9"/>
      <c r="C2525" s="9"/>
      <c r="D2525" s="9"/>
      <c r="E2525" s="9"/>
      <c r="F2525" s="9"/>
      <c r="G2525" s="9"/>
      <c r="H2525" s="9"/>
      <c r="I2525" s="9"/>
      <c r="J2525" s="10"/>
      <c r="K2525" s="10"/>
      <c r="L2525" s="10"/>
      <c r="M2525" s="10"/>
      <c r="N2525" s="11"/>
      <c r="O2525" s="11"/>
      <c r="P2525" s="11"/>
      <c r="Q2525" s="11"/>
      <c r="R2525" s="10"/>
      <c r="S2525" s="10"/>
      <c r="T2525" s="10"/>
      <c r="U2525" s="10"/>
    </row>
    <row r="2526">
      <c r="A2526" s="8"/>
      <c r="B2526" s="9"/>
      <c r="C2526" s="9"/>
      <c r="D2526" s="9"/>
      <c r="E2526" s="9"/>
      <c r="F2526" s="9"/>
      <c r="G2526" s="9"/>
      <c r="H2526" s="9"/>
      <c r="I2526" s="9"/>
      <c r="J2526" s="10"/>
      <c r="K2526" s="10"/>
      <c r="L2526" s="10"/>
      <c r="M2526" s="10"/>
      <c r="N2526" s="11"/>
      <c r="O2526" s="11"/>
      <c r="P2526" s="11"/>
      <c r="Q2526" s="11"/>
      <c r="R2526" s="10"/>
      <c r="S2526" s="10"/>
      <c r="T2526" s="10"/>
      <c r="U2526" s="10"/>
    </row>
    <row r="2527">
      <c r="A2527" s="8"/>
      <c r="B2527" s="9"/>
      <c r="C2527" s="9"/>
      <c r="D2527" s="9"/>
      <c r="E2527" s="9"/>
      <c r="F2527" s="9"/>
      <c r="G2527" s="9"/>
      <c r="H2527" s="9"/>
      <c r="I2527" s="9"/>
      <c r="J2527" s="10"/>
      <c r="K2527" s="10"/>
      <c r="L2527" s="10"/>
      <c r="M2527" s="10"/>
      <c r="N2527" s="11"/>
      <c r="O2527" s="11"/>
      <c r="P2527" s="11"/>
      <c r="Q2527" s="11"/>
      <c r="R2527" s="10"/>
      <c r="S2527" s="10"/>
      <c r="T2527" s="10"/>
      <c r="U2527" s="10"/>
    </row>
    <row r="2528">
      <c r="A2528" s="8"/>
      <c r="B2528" s="9"/>
      <c r="C2528" s="9"/>
      <c r="D2528" s="9"/>
      <c r="E2528" s="9"/>
      <c r="F2528" s="9"/>
      <c r="G2528" s="9"/>
      <c r="H2528" s="9"/>
      <c r="I2528" s="9"/>
      <c r="J2528" s="10"/>
      <c r="K2528" s="10"/>
      <c r="L2528" s="10"/>
      <c r="M2528" s="10"/>
      <c r="N2528" s="11"/>
      <c r="O2528" s="11"/>
      <c r="P2528" s="11"/>
      <c r="Q2528" s="11"/>
      <c r="R2528" s="10"/>
      <c r="S2528" s="10"/>
      <c r="T2528" s="10"/>
      <c r="U2528" s="10"/>
    </row>
    <row r="2529">
      <c r="A2529" s="8"/>
      <c r="B2529" s="9"/>
      <c r="C2529" s="9"/>
      <c r="D2529" s="9"/>
      <c r="E2529" s="9"/>
      <c r="F2529" s="9"/>
      <c r="G2529" s="9"/>
      <c r="H2529" s="9"/>
      <c r="I2529" s="9"/>
      <c r="J2529" s="10"/>
      <c r="K2529" s="10"/>
      <c r="L2529" s="10"/>
      <c r="M2529" s="10"/>
      <c r="N2529" s="11"/>
      <c r="O2529" s="11"/>
      <c r="P2529" s="11"/>
      <c r="Q2529" s="11"/>
      <c r="R2529" s="10"/>
      <c r="S2529" s="10"/>
      <c r="T2529" s="10"/>
      <c r="U2529" s="10"/>
    </row>
    <row r="2530">
      <c r="A2530" s="8"/>
      <c r="B2530" s="9"/>
      <c r="C2530" s="9"/>
      <c r="D2530" s="9"/>
      <c r="E2530" s="9"/>
      <c r="F2530" s="9"/>
      <c r="G2530" s="9"/>
      <c r="H2530" s="9"/>
      <c r="I2530" s="9"/>
      <c r="J2530" s="10"/>
      <c r="K2530" s="10"/>
      <c r="L2530" s="10"/>
      <c r="M2530" s="10"/>
      <c r="N2530" s="11"/>
      <c r="O2530" s="11"/>
      <c r="P2530" s="11"/>
      <c r="Q2530" s="11"/>
      <c r="R2530" s="10"/>
      <c r="S2530" s="10"/>
      <c r="T2530" s="10"/>
      <c r="U2530" s="10"/>
    </row>
    <row r="2531">
      <c r="A2531" s="8"/>
      <c r="B2531" s="9"/>
      <c r="C2531" s="9"/>
      <c r="D2531" s="9"/>
      <c r="E2531" s="9"/>
      <c r="F2531" s="9"/>
      <c r="G2531" s="9"/>
      <c r="H2531" s="9"/>
      <c r="I2531" s="9"/>
      <c r="J2531" s="10"/>
      <c r="K2531" s="10"/>
      <c r="L2531" s="10"/>
      <c r="M2531" s="10"/>
      <c r="N2531" s="11"/>
      <c r="O2531" s="11"/>
      <c r="P2531" s="11"/>
      <c r="Q2531" s="11"/>
      <c r="R2531" s="10"/>
      <c r="S2531" s="10"/>
      <c r="T2531" s="10"/>
      <c r="U2531" s="10"/>
    </row>
    <row r="2532">
      <c r="A2532" s="8"/>
      <c r="B2532" s="9"/>
      <c r="C2532" s="9"/>
      <c r="D2532" s="9"/>
      <c r="E2532" s="9"/>
      <c r="F2532" s="9"/>
      <c r="G2532" s="9"/>
      <c r="H2532" s="9"/>
      <c r="I2532" s="9"/>
      <c r="J2532" s="10"/>
      <c r="K2532" s="10"/>
      <c r="L2532" s="10"/>
      <c r="M2532" s="10"/>
      <c r="N2532" s="11"/>
      <c r="O2532" s="11"/>
      <c r="P2532" s="11"/>
      <c r="Q2532" s="11"/>
      <c r="R2532" s="10"/>
      <c r="S2532" s="10"/>
      <c r="T2532" s="10"/>
      <c r="U2532" s="10"/>
    </row>
    <row r="2533">
      <c r="A2533" s="8"/>
      <c r="B2533" s="9"/>
      <c r="C2533" s="9"/>
      <c r="D2533" s="9"/>
      <c r="E2533" s="9"/>
      <c r="F2533" s="9"/>
      <c r="G2533" s="9"/>
      <c r="H2533" s="9"/>
      <c r="I2533" s="9"/>
      <c r="J2533" s="10"/>
      <c r="K2533" s="10"/>
      <c r="L2533" s="10"/>
      <c r="M2533" s="10"/>
      <c r="N2533" s="11"/>
      <c r="O2533" s="11"/>
      <c r="P2533" s="11"/>
      <c r="Q2533" s="11"/>
      <c r="R2533" s="10"/>
      <c r="S2533" s="10"/>
      <c r="T2533" s="10"/>
      <c r="U2533" s="10"/>
    </row>
    <row r="2534">
      <c r="A2534" s="8"/>
      <c r="B2534" s="9"/>
      <c r="C2534" s="9"/>
      <c r="D2534" s="9"/>
      <c r="E2534" s="9"/>
      <c r="F2534" s="9"/>
      <c r="G2534" s="9"/>
      <c r="H2534" s="9"/>
      <c r="I2534" s="9"/>
      <c r="J2534" s="10"/>
      <c r="K2534" s="10"/>
      <c r="L2534" s="10"/>
      <c r="M2534" s="10"/>
      <c r="N2534" s="11"/>
      <c r="O2534" s="11"/>
      <c r="P2534" s="11"/>
      <c r="Q2534" s="11"/>
      <c r="R2534" s="10"/>
      <c r="S2534" s="10"/>
      <c r="T2534" s="10"/>
      <c r="U2534" s="10"/>
    </row>
    <row r="2535">
      <c r="A2535" s="8"/>
      <c r="B2535" s="9"/>
      <c r="C2535" s="9"/>
      <c r="D2535" s="9"/>
      <c r="E2535" s="9"/>
      <c r="F2535" s="9"/>
      <c r="G2535" s="9"/>
      <c r="H2535" s="9"/>
      <c r="I2535" s="9"/>
      <c r="J2535" s="10"/>
      <c r="K2535" s="10"/>
      <c r="L2535" s="10"/>
      <c r="M2535" s="10"/>
      <c r="N2535" s="11"/>
      <c r="O2535" s="11"/>
      <c r="P2535" s="11"/>
      <c r="Q2535" s="11"/>
      <c r="R2535" s="10"/>
      <c r="S2535" s="10"/>
      <c r="T2535" s="10"/>
      <c r="U2535" s="10"/>
    </row>
    <row r="2536">
      <c r="A2536" s="8"/>
      <c r="B2536" s="9"/>
      <c r="C2536" s="9"/>
      <c r="D2536" s="9"/>
      <c r="E2536" s="9"/>
      <c r="F2536" s="9"/>
      <c r="G2536" s="9"/>
      <c r="H2536" s="9"/>
      <c r="I2536" s="9"/>
      <c r="J2536" s="10"/>
      <c r="K2536" s="10"/>
      <c r="L2536" s="10"/>
      <c r="M2536" s="10"/>
      <c r="N2536" s="11"/>
      <c r="O2536" s="11"/>
      <c r="P2536" s="11"/>
      <c r="Q2536" s="11"/>
      <c r="R2536" s="10"/>
      <c r="S2536" s="10"/>
      <c r="T2536" s="10"/>
      <c r="U2536" s="10"/>
    </row>
    <row r="2537">
      <c r="A2537" s="8"/>
      <c r="B2537" s="9"/>
      <c r="C2537" s="9"/>
      <c r="D2537" s="9"/>
      <c r="E2537" s="9"/>
      <c r="F2537" s="9"/>
      <c r="G2537" s="9"/>
      <c r="H2537" s="9"/>
      <c r="I2537" s="9"/>
      <c r="J2537" s="10"/>
      <c r="K2537" s="10"/>
      <c r="L2537" s="10"/>
      <c r="M2537" s="10"/>
      <c r="N2537" s="11"/>
      <c r="O2537" s="11"/>
      <c r="P2537" s="11"/>
      <c r="Q2537" s="11"/>
      <c r="R2537" s="10"/>
      <c r="S2537" s="10"/>
      <c r="T2537" s="10"/>
      <c r="U2537" s="10"/>
    </row>
    <row r="2538">
      <c r="A2538" s="8"/>
      <c r="B2538" s="9"/>
      <c r="C2538" s="9"/>
      <c r="D2538" s="9"/>
      <c r="E2538" s="9"/>
      <c r="F2538" s="9"/>
      <c r="G2538" s="9"/>
      <c r="H2538" s="9"/>
      <c r="I2538" s="9"/>
      <c r="J2538" s="10"/>
      <c r="K2538" s="10"/>
      <c r="L2538" s="10"/>
      <c r="M2538" s="10"/>
      <c r="N2538" s="11"/>
      <c r="O2538" s="11"/>
      <c r="P2538" s="11"/>
      <c r="Q2538" s="11"/>
      <c r="R2538" s="10"/>
      <c r="S2538" s="10"/>
      <c r="T2538" s="10"/>
      <c r="U2538" s="10"/>
    </row>
    <row r="2539">
      <c r="A2539" s="8"/>
      <c r="B2539" s="9"/>
      <c r="C2539" s="9"/>
      <c r="D2539" s="9"/>
      <c r="E2539" s="9"/>
      <c r="F2539" s="9"/>
      <c r="G2539" s="9"/>
      <c r="H2539" s="9"/>
      <c r="I2539" s="9"/>
      <c r="J2539" s="10"/>
      <c r="K2539" s="10"/>
      <c r="L2539" s="10"/>
      <c r="M2539" s="10"/>
      <c r="N2539" s="11"/>
      <c r="O2539" s="11"/>
      <c r="P2539" s="11"/>
      <c r="Q2539" s="11"/>
      <c r="R2539" s="10"/>
      <c r="S2539" s="10"/>
      <c r="T2539" s="10"/>
      <c r="U2539" s="10"/>
    </row>
    <row r="2540">
      <c r="A2540" s="8"/>
      <c r="B2540" s="9"/>
      <c r="C2540" s="9"/>
      <c r="D2540" s="9"/>
      <c r="E2540" s="9"/>
      <c r="F2540" s="9"/>
      <c r="G2540" s="9"/>
      <c r="H2540" s="9"/>
      <c r="I2540" s="9"/>
      <c r="J2540" s="10"/>
      <c r="K2540" s="10"/>
      <c r="L2540" s="10"/>
      <c r="M2540" s="10"/>
      <c r="N2540" s="11"/>
      <c r="O2540" s="11"/>
      <c r="P2540" s="11"/>
      <c r="Q2540" s="11"/>
      <c r="R2540" s="10"/>
      <c r="S2540" s="10"/>
      <c r="T2540" s="10"/>
      <c r="U2540" s="10"/>
    </row>
    <row r="2541">
      <c r="A2541" s="8"/>
      <c r="B2541" s="9"/>
      <c r="C2541" s="9"/>
      <c r="D2541" s="9"/>
      <c r="E2541" s="9"/>
      <c r="F2541" s="9"/>
      <c r="G2541" s="9"/>
      <c r="H2541" s="9"/>
      <c r="I2541" s="9"/>
      <c r="J2541" s="10"/>
      <c r="K2541" s="10"/>
      <c r="L2541" s="10"/>
      <c r="M2541" s="10"/>
      <c r="N2541" s="11"/>
      <c r="O2541" s="11"/>
      <c r="P2541" s="11"/>
      <c r="Q2541" s="11"/>
      <c r="R2541" s="10"/>
      <c r="S2541" s="10"/>
      <c r="T2541" s="10"/>
      <c r="U2541" s="10"/>
    </row>
    <row r="2542">
      <c r="A2542" s="8"/>
      <c r="B2542" s="9"/>
      <c r="C2542" s="9"/>
      <c r="D2542" s="9"/>
      <c r="E2542" s="9"/>
      <c r="F2542" s="9"/>
      <c r="G2542" s="9"/>
      <c r="H2542" s="9"/>
      <c r="I2542" s="9"/>
      <c r="J2542" s="10"/>
      <c r="K2542" s="10"/>
      <c r="L2542" s="10"/>
      <c r="M2542" s="10"/>
      <c r="N2542" s="11"/>
      <c r="O2542" s="11"/>
      <c r="P2542" s="11"/>
      <c r="Q2542" s="11"/>
      <c r="R2542" s="10"/>
      <c r="S2542" s="10"/>
      <c r="T2542" s="10"/>
      <c r="U2542" s="10"/>
    </row>
    <row r="2543">
      <c r="A2543" s="8"/>
      <c r="B2543" s="9"/>
      <c r="C2543" s="9"/>
      <c r="D2543" s="9"/>
      <c r="E2543" s="9"/>
      <c r="F2543" s="9"/>
      <c r="G2543" s="9"/>
      <c r="H2543" s="9"/>
      <c r="I2543" s="9"/>
      <c r="J2543" s="10"/>
      <c r="K2543" s="10"/>
      <c r="L2543" s="10"/>
      <c r="M2543" s="10"/>
      <c r="N2543" s="11"/>
      <c r="O2543" s="11"/>
      <c r="P2543" s="11"/>
      <c r="Q2543" s="11"/>
      <c r="R2543" s="10"/>
      <c r="S2543" s="10"/>
      <c r="T2543" s="10"/>
      <c r="U2543" s="10"/>
    </row>
    <row r="2544">
      <c r="A2544" s="8"/>
      <c r="B2544" s="9"/>
      <c r="C2544" s="9"/>
      <c r="D2544" s="9"/>
      <c r="E2544" s="9"/>
      <c r="F2544" s="9"/>
      <c r="G2544" s="9"/>
      <c r="H2544" s="9"/>
      <c r="I2544" s="9"/>
      <c r="J2544" s="10"/>
      <c r="K2544" s="10"/>
      <c r="L2544" s="10"/>
      <c r="M2544" s="10"/>
      <c r="N2544" s="11"/>
      <c r="O2544" s="11"/>
      <c r="P2544" s="11"/>
      <c r="Q2544" s="11"/>
      <c r="R2544" s="10"/>
      <c r="S2544" s="10"/>
      <c r="T2544" s="10"/>
      <c r="U2544" s="10"/>
    </row>
    <row r="2545">
      <c r="A2545" s="8"/>
      <c r="B2545" s="9"/>
      <c r="C2545" s="9"/>
      <c r="D2545" s="9"/>
      <c r="E2545" s="9"/>
      <c r="F2545" s="9"/>
      <c r="G2545" s="9"/>
      <c r="H2545" s="9"/>
      <c r="I2545" s="9"/>
      <c r="J2545" s="10"/>
      <c r="K2545" s="10"/>
      <c r="L2545" s="10"/>
      <c r="M2545" s="10"/>
      <c r="N2545" s="11"/>
      <c r="O2545" s="11"/>
      <c r="P2545" s="11"/>
      <c r="Q2545" s="11"/>
      <c r="R2545" s="10"/>
      <c r="S2545" s="10"/>
      <c r="T2545" s="10"/>
      <c r="U2545" s="10"/>
    </row>
    <row r="2546">
      <c r="A2546" s="8"/>
      <c r="B2546" s="9"/>
      <c r="C2546" s="9"/>
      <c r="D2546" s="9"/>
      <c r="E2546" s="9"/>
      <c r="F2546" s="9"/>
      <c r="G2546" s="9"/>
      <c r="H2546" s="9"/>
      <c r="I2546" s="9"/>
      <c r="J2546" s="10"/>
      <c r="K2546" s="10"/>
      <c r="L2546" s="10"/>
      <c r="M2546" s="10"/>
      <c r="N2546" s="11"/>
      <c r="O2546" s="11"/>
      <c r="P2546" s="11"/>
      <c r="Q2546" s="11"/>
      <c r="R2546" s="10"/>
      <c r="S2546" s="10"/>
      <c r="T2546" s="10"/>
      <c r="U2546" s="10"/>
    </row>
    <row r="2547">
      <c r="A2547" s="8"/>
      <c r="B2547" s="9"/>
      <c r="C2547" s="9"/>
      <c r="D2547" s="9"/>
      <c r="E2547" s="9"/>
      <c r="F2547" s="9"/>
      <c r="G2547" s="9"/>
      <c r="H2547" s="9"/>
      <c r="I2547" s="9"/>
      <c r="J2547" s="10"/>
      <c r="K2547" s="10"/>
      <c r="L2547" s="10"/>
      <c r="M2547" s="10"/>
      <c r="N2547" s="11"/>
      <c r="O2547" s="11"/>
      <c r="P2547" s="11"/>
      <c r="Q2547" s="11"/>
      <c r="R2547" s="10"/>
      <c r="S2547" s="10"/>
      <c r="T2547" s="10"/>
      <c r="U2547" s="10"/>
    </row>
    <row r="2548">
      <c r="A2548" s="8"/>
      <c r="B2548" s="9"/>
      <c r="C2548" s="9"/>
      <c r="D2548" s="9"/>
      <c r="E2548" s="9"/>
      <c r="F2548" s="9"/>
      <c r="G2548" s="9"/>
      <c r="H2548" s="9"/>
      <c r="I2548" s="9"/>
      <c r="J2548" s="10"/>
      <c r="K2548" s="10"/>
      <c r="L2548" s="10"/>
      <c r="M2548" s="10"/>
      <c r="N2548" s="11"/>
      <c r="O2548" s="11"/>
      <c r="P2548" s="11"/>
      <c r="Q2548" s="11"/>
      <c r="R2548" s="10"/>
      <c r="S2548" s="10"/>
      <c r="T2548" s="10"/>
      <c r="U2548" s="10"/>
    </row>
    <row r="2549">
      <c r="A2549" s="8"/>
      <c r="B2549" s="9"/>
      <c r="C2549" s="9"/>
      <c r="D2549" s="9"/>
      <c r="E2549" s="9"/>
      <c r="F2549" s="9"/>
      <c r="G2549" s="9"/>
      <c r="H2549" s="9"/>
      <c r="I2549" s="9"/>
      <c r="J2549" s="10"/>
      <c r="K2549" s="10"/>
      <c r="L2549" s="10"/>
      <c r="M2549" s="10"/>
      <c r="N2549" s="11"/>
      <c r="O2549" s="11"/>
      <c r="P2549" s="11"/>
      <c r="Q2549" s="11"/>
      <c r="R2549" s="10"/>
      <c r="S2549" s="10"/>
      <c r="T2549" s="10"/>
      <c r="U2549" s="10"/>
    </row>
    <row r="2550">
      <c r="A2550" s="8"/>
      <c r="B2550" s="9"/>
      <c r="C2550" s="9"/>
      <c r="D2550" s="9"/>
      <c r="E2550" s="9"/>
      <c r="F2550" s="9"/>
      <c r="G2550" s="9"/>
      <c r="H2550" s="9"/>
      <c r="I2550" s="9"/>
      <c r="J2550" s="10"/>
      <c r="K2550" s="10"/>
      <c r="L2550" s="10"/>
      <c r="M2550" s="10"/>
      <c r="N2550" s="11"/>
      <c r="O2550" s="11"/>
      <c r="P2550" s="11"/>
      <c r="Q2550" s="11"/>
      <c r="R2550" s="10"/>
      <c r="S2550" s="10"/>
      <c r="T2550" s="10"/>
      <c r="U2550" s="10"/>
    </row>
    <row r="2551">
      <c r="A2551" s="8"/>
      <c r="B2551" s="9"/>
      <c r="C2551" s="9"/>
      <c r="D2551" s="9"/>
      <c r="E2551" s="9"/>
      <c r="F2551" s="9"/>
      <c r="G2551" s="9"/>
      <c r="H2551" s="9"/>
      <c r="I2551" s="9"/>
      <c r="J2551" s="10"/>
      <c r="K2551" s="10"/>
      <c r="L2551" s="10"/>
      <c r="M2551" s="10"/>
      <c r="N2551" s="11"/>
      <c r="O2551" s="11"/>
      <c r="P2551" s="11"/>
      <c r="Q2551" s="11"/>
      <c r="R2551" s="10"/>
      <c r="S2551" s="10"/>
      <c r="T2551" s="10"/>
      <c r="U2551" s="10"/>
    </row>
    <row r="2552">
      <c r="A2552" s="8"/>
      <c r="B2552" s="9"/>
      <c r="C2552" s="9"/>
      <c r="D2552" s="9"/>
      <c r="E2552" s="9"/>
      <c r="F2552" s="9"/>
      <c r="G2552" s="9"/>
      <c r="H2552" s="9"/>
      <c r="I2552" s="9"/>
      <c r="J2552" s="10"/>
      <c r="K2552" s="10"/>
      <c r="L2552" s="10"/>
      <c r="M2552" s="10"/>
      <c r="N2552" s="11"/>
      <c r="O2552" s="11"/>
      <c r="P2552" s="11"/>
      <c r="Q2552" s="11"/>
      <c r="R2552" s="10"/>
      <c r="S2552" s="10"/>
      <c r="T2552" s="10"/>
      <c r="U2552" s="10"/>
    </row>
    <row r="2553">
      <c r="A2553" s="8"/>
      <c r="B2553" s="9"/>
      <c r="C2553" s="9"/>
      <c r="D2553" s="9"/>
      <c r="E2553" s="9"/>
      <c r="F2553" s="9"/>
      <c r="G2553" s="9"/>
      <c r="H2553" s="9"/>
      <c r="I2553" s="9"/>
      <c r="J2553" s="10"/>
      <c r="K2553" s="10"/>
      <c r="L2553" s="10"/>
      <c r="M2553" s="10"/>
      <c r="N2553" s="11"/>
      <c r="O2553" s="11"/>
      <c r="P2553" s="11"/>
      <c r="Q2553" s="11"/>
      <c r="R2553" s="10"/>
      <c r="S2553" s="10"/>
      <c r="T2553" s="10"/>
      <c r="U2553" s="10"/>
    </row>
    <row r="2554">
      <c r="A2554" s="8"/>
      <c r="B2554" s="9"/>
      <c r="C2554" s="9"/>
      <c r="D2554" s="9"/>
      <c r="E2554" s="9"/>
      <c r="F2554" s="9"/>
      <c r="G2554" s="9"/>
      <c r="H2554" s="9"/>
      <c r="I2554" s="9"/>
      <c r="J2554" s="10"/>
      <c r="K2554" s="10"/>
      <c r="L2554" s="10"/>
      <c r="M2554" s="10"/>
      <c r="N2554" s="11"/>
      <c r="O2554" s="11"/>
      <c r="P2554" s="11"/>
      <c r="Q2554" s="11"/>
      <c r="R2554" s="10"/>
      <c r="S2554" s="10"/>
      <c r="T2554" s="10"/>
      <c r="U2554" s="10"/>
    </row>
    <row r="2555">
      <c r="A2555" s="8"/>
      <c r="B2555" s="9"/>
      <c r="C2555" s="9"/>
      <c r="D2555" s="9"/>
      <c r="E2555" s="9"/>
      <c r="F2555" s="9"/>
      <c r="G2555" s="9"/>
      <c r="H2555" s="9"/>
      <c r="I2555" s="9"/>
      <c r="J2555" s="10"/>
      <c r="K2555" s="10"/>
      <c r="L2555" s="10"/>
      <c r="M2555" s="10"/>
      <c r="N2555" s="11"/>
      <c r="O2555" s="11"/>
      <c r="P2555" s="11"/>
      <c r="Q2555" s="11"/>
      <c r="R2555" s="10"/>
      <c r="S2555" s="10"/>
      <c r="T2555" s="10"/>
      <c r="U2555" s="10"/>
    </row>
    <row r="2556">
      <c r="A2556" s="8"/>
      <c r="B2556" s="9"/>
      <c r="C2556" s="9"/>
      <c r="D2556" s="9"/>
      <c r="E2556" s="9"/>
      <c r="F2556" s="9"/>
      <c r="G2556" s="9"/>
      <c r="H2556" s="9"/>
      <c r="I2556" s="9"/>
      <c r="J2556" s="10"/>
      <c r="K2556" s="10"/>
      <c r="L2556" s="10"/>
      <c r="M2556" s="10"/>
      <c r="N2556" s="11"/>
      <c r="O2556" s="11"/>
      <c r="P2556" s="11"/>
      <c r="Q2556" s="11"/>
      <c r="R2556" s="10"/>
      <c r="S2556" s="10"/>
      <c r="T2556" s="10"/>
      <c r="U2556" s="10"/>
    </row>
    <row r="2557">
      <c r="A2557" s="8"/>
      <c r="B2557" s="9"/>
      <c r="C2557" s="9"/>
      <c r="D2557" s="9"/>
      <c r="E2557" s="9"/>
      <c r="F2557" s="9"/>
      <c r="G2557" s="9"/>
      <c r="H2557" s="9"/>
      <c r="I2557" s="9"/>
      <c r="J2557" s="10"/>
      <c r="K2557" s="10"/>
      <c r="L2557" s="10"/>
      <c r="M2557" s="10"/>
      <c r="N2557" s="11"/>
      <c r="O2557" s="11"/>
      <c r="P2557" s="11"/>
      <c r="Q2557" s="11"/>
      <c r="R2557" s="10"/>
      <c r="S2557" s="10"/>
      <c r="T2557" s="10"/>
      <c r="U2557" s="10"/>
    </row>
    <row r="2558">
      <c r="A2558" s="8"/>
      <c r="B2558" s="9"/>
      <c r="C2558" s="9"/>
      <c r="D2558" s="9"/>
      <c r="E2558" s="9"/>
      <c r="F2558" s="9"/>
      <c r="G2558" s="9"/>
      <c r="H2558" s="9"/>
      <c r="I2558" s="9"/>
      <c r="J2558" s="10"/>
      <c r="K2558" s="10"/>
      <c r="L2558" s="10"/>
      <c r="M2558" s="10"/>
      <c r="N2558" s="11"/>
      <c r="O2558" s="11"/>
      <c r="P2558" s="11"/>
      <c r="Q2558" s="11"/>
      <c r="R2558" s="10"/>
      <c r="S2558" s="10"/>
      <c r="T2558" s="10"/>
      <c r="U2558" s="10"/>
    </row>
    <row r="2559">
      <c r="A2559" s="8"/>
      <c r="B2559" s="9"/>
      <c r="C2559" s="9"/>
      <c r="D2559" s="9"/>
      <c r="E2559" s="9"/>
      <c r="F2559" s="9"/>
      <c r="G2559" s="9"/>
      <c r="H2559" s="9"/>
      <c r="I2559" s="9"/>
      <c r="J2559" s="10"/>
      <c r="K2559" s="10"/>
      <c r="L2559" s="10"/>
      <c r="M2559" s="10"/>
      <c r="N2559" s="11"/>
      <c r="O2559" s="11"/>
      <c r="P2559" s="11"/>
      <c r="Q2559" s="11"/>
      <c r="R2559" s="10"/>
      <c r="S2559" s="10"/>
      <c r="T2559" s="10"/>
      <c r="U2559" s="10"/>
    </row>
    <row r="2560">
      <c r="A2560" s="8"/>
      <c r="B2560" s="9"/>
      <c r="C2560" s="9"/>
      <c r="D2560" s="9"/>
      <c r="E2560" s="9"/>
      <c r="F2560" s="9"/>
      <c r="G2560" s="9"/>
      <c r="H2560" s="9"/>
      <c r="I2560" s="9"/>
      <c r="J2560" s="10"/>
      <c r="K2560" s="10"/>
      <c r="L2560" s="10"/>
      <c r="M2560" s="10"/>
      <c r="N2560" s="11"/>
      <c r="O2560" s="11"/>
      <c r="P2560" s="11"/>
      <c r="Q2560" s="11"/>
      <c r="R2560" s="10"/>
      <c r="S2560" s="10"/>
      <c r="T2560" s="10"/>
      <c r="U2560" s="10"/>
    </row>
    <row r="2561">
      <c r="A2561" s="8"/>
      <c r="B2561" s="9"/>
      <c r="C2561" s="9"/>
      <c r="D2561" s="9"/>
      <c r="E2561" s="9"/>
      <c r="F2561" s="9"/>
      <c r="G2561" s="9"/>
      <c r="H2561" s="9"/>
      <c r="I2561" s="9"/>
      <c r="J2561" s="10"/>
      <c r="K2561" s="10"/>
      <c r="L2561" s="10"/>
      <c r="M2561" s="10"/>
      <c r="N2561" s="11"/>
      <c r="O2561" s="11"/>
      <c r="P2561" s="11"/>
      <c r="Q2561" s="11"/>
      <c r="R2561" s="10"/>
      <c r="S2561" s="10"/>
      <c r="T2561" s="10"/>
      <c r="U2561" s="10"/>
    </row>
    <row r="2562">
      <c r="A2562" s="8"/>
      <c r="B2562" s="9"/>
      <c r="C2562" s="9"/>
      <c r="D2562" s="9"/>
      <c r="E2562" s="9"/>
      <c r="F2562" s="9"/>
      <c r="G2562" s="9"/>
      <c r="H2562" s="9"/>
      <c r="I2562" s="9"/>
      <c r="J2562" s="10"/>
      <c r="K2562" s="10"/>
      <c r="L2562" s="10"/>
      <c r="M2562" s="10"/>
      <c r="N2562" s="11"/>
      <c r="O2562" s="11"/>
      <c r="P2562" s="11"/>
      <c r="Q2562" s="11"/>
      <c r="R2562" s="10"/>
      <c r="S2562" s="10"/>
      <c r="T2562" s="10"/>
      <c r="U2562" s="10"/>
    </row>
    <row r="2563">
      <c r="A2563" s="8"/>
      <c r="B2563" s="9"/>
      <c r="C2563" s="9"/>
      <c r="D2563" s="9"/>
      <c r="E2563" s="9"/>
      <c r="F2563" s="9"/>
      <c r="G2563" s="9"/>
      <c r="H2563" s="9"/>
      <c r="I2563" s="9"/>
      <c r="J2563" s="10"/>
      <c r="K2563" s="10"/>
      <c r="L2563" s="10"/>
      <c r="M2563" s="10"/>
      <c r="N2563" s="11"/>
      <c r="O2563" s="11"/>
      <c r="P2563" s="11"/>
      <c r="Q2563" s="11"/>
      <c r="R2563" s="10"/>
      <c r="S2563" s="10"/>
      <c r="T2563" s="10"/>
      <c r="U2563" s="10"/>
    </row>
    <row r="2564">
      <c r="A2564" s="8"/>
      <c r="B2564" s="9"/>
      <c r="C2564" s="9"/>
      <c r="D2564" s="9"/>
      <c r="E2564" s="9"/>
      <c r="F2564" s="9"/>
      <c r="G2564" s="9"/>
      <c r="H2564" s="9"/>
      <c r="I2564" s="9"/>
      <c r="J2564" s="10"/>
      <c r="K2564" s="10"/>
      <c r="L2564" s="10"/>
      <c r="M2564" s="10"/>
      <c r="N2564" s="11"/>
      <c r="O2564" s="11"/>
      <c r="P2564" s="11"/>
      <c r="Q2564" s="11"/>
      <c r="R2564" s="10"/>
      <c r="S2564" s="10"/>
      <c r="T2564" s="10"/>
      <c r="U2564" s="10"/>
    </row>
    <row r="2565">
      <c r="A2565" s="8"/>
      <c r="B2565" s="9"/>
      <c r="C2565" s="9"/>
      <c r="D2565" s="9"/>
      <c r="E2565" s="9"/>
      <c r="F2565" s="9"/>
      <c r="G2565" s="9"/>
      <c r="H2565" s="9"/>
      <c r="I2565" s="9"/>
      <c r="J2565" s="10"/>
      <c r="K2565" s="10"/>
      <c r="L2565" s="10"/>
      <c r="M2565" s="10"/>
      <c r="N2565" s="11"/>
      <c r="O2565" s="11"/>
      <c r="P2565" s="11"/>
      <c r="Q2565" s="11"/>
      <c r="R2565" s="10"/>
      <c r="S2565" s="10"/>
      <c r="T2565" s="10"/>
      <c r="U2565" s="10"/>
    </row>
    <row r="2566">
      <c r="A2566" s="8"/>
      <c r="B2566" s="9"/>
      <c r="C2566" s="9"/>
      <c r="D2566" s="9"/>
      <c r="E2566" s="9"/>
      <c r="F2566" s="9"/>
      <c r="G2566" s="9"/>
      <c r="H2566" s="9"/>
      <c r="I2566" s="9"/>
      <c r="J2566" s="10"/>
      <c r="K2566" s="10"/>
      <c r="L2566" s="10"/>
      <c r="M2566" s="10"/>
      <c r="N2566" s="11"/>
      <c r="O2566" s="11"/>
      <c r="P2566" s="11"/>
      <c r="Q2566" s="11"/>
      <c r="R2566" s="10"/>
      <c r="S2566" s="10"/>
      <c r="T2566" s="10"/>
      <c r="U2566" s="10"/>
    </row>
    <row r="2567">
      <c r="A2567" s="8"/>
      <c r="B2567" s="9"/>
      <c r="C2567" s="9"/>
      <c r="D2567" s="9"/>
      <c r="E2567" s="9"/>
      <c r="F2567" s="9"/>
      <c r="G2567" s="9"/>
      <c r="H2567" s="9"/>
      <c r="I2567" s="9"/>
      <c r="J2567" s="10"/>
      <c r="K2567" s="10"/>
      <c r="L2567" s="10"/>
      <c r="M2567" s="10"/>
      <c r="N2567" s="11"/>
      <c r="O2567" s="11"/>
      <c r="P2567" s="11"/>
      <c r="Q2567" s="11"/>
      <c r="R2567" s="10"/>
      <c r="S2567" s="10"/>
      <c r="T2567" s="10"/>
      <c r="U2567" s="10"/>
    </row>
    <row r="2568">
      <c r="A2568" s="8"/>
      <c r="B2568" s="9"/>
      <c r="C2568" s="9"/>
      <c r="D2568" s="9"/>
      <c r="E2568" s="9"/>
      <c r="F2568" s="9"/>
      <c r="G2568" s="9"/>
      <c r="H2568" s="9"/>
      <c r="I2568" s="9"/>
      <c r="J2568" s="10"/>
      <c r="K2568" s="10"/>
      <c r="L2568" s="10"/>
      <c r="M2568" s="10"/>
      <c r="N2568" s="11"/>
      <c r="O2568" s="11"/>
      <c r="P2568" s="11"/>
      <c r="Q2568" s="11"/>
      <c r="R2568" s="10"/>
      <c r="S2568" s="10"/>
      <c r="T2568" s="10"/>
      <c r="U2568" s="10"/>
    </row>
    <row r="2569">
      <c r="A2569" s="8"/>
      <c r="B2569" s="9"/>
      <c r="C2569" s="9"/>
      <c r="D2569" s="9"/>
      <c r="E2569" s="9"/>
      <c r="F2569" s="9"/>
      <c r="G2569" s="9"/>
      <c r="H2569" s="9"/>
      <c r="I2569" s="9"/>
      <c r="J2569" s="10"/>
      <c r="K2569" s="10"/>
      <c r="L2569" s="10"/>
      <c r="M2569" s="10"/>
      <c r="N2569" s="11"/>
      <c r="O2569" s="11"/>
      <c r="P2569" s="11"/>
      <c r="Q2569" s="11"/>
      <c r="R2569" s="10"/>
      <c r="S2569" s="10"/>
      <c r="T2569" s="10"/>
      <c r="U2569" s="10"/>
    </row>
    <row r="2570">
      <c r="A2570" s="8"/>
      <c r="B2570" s="9"/>
      <c r="C2570" s="9"/>
      <c r="D2570" s="9"/>
      <c r="E2570" s="9"/>
      <c r="F2570" s="9"/>
      <c r="G2570" s="9"/>
      <c r="H2570" s="9"/>
      <c r="I2570" s="9"/>
      <c r="J2570" s="10"/>
      <c r="K2570" s="10"/>
      <c r="L2570" s="10"/>
      <c r="M2570" s="10"/>
      <c r="N2570" s="11"/>
      <c r="O2570" s="11"/>
      <c r="P2570" s="11"/>
      <c r="Q2570" s="11"/>
      <c r="R2570" s="10"/>
      <c r="S2570" s="10"/>
      <c r="T2570" s="10"/>
      <c r="U2570" s="10"/>
    </row>
    <row r="2571">
      <c r="A2571" s="8"/>
      <c r="B2571" s="9"/>
      <c r="C2571" s="9"/>
      <c r="D2571" s="9"/>
      <c r="E2571" s="9"/>
      <c r="F2571" s="9"/>
      <c r="G2571" s="9"/>
      <c r="H2571" s="9"/>
      <c r="I2571" s="9"/>
      <c r="J2571" s="10"/>
      <c r="K2571" s="10"/>
      <c r="L2571" s="10"/>
      <c r="M2571" s="10"/>
      <c r="N2571" s="11"/>
      <c r="O2571" s="11"/>
      <c r="P2571" s="11"/>
      <c r="Q2571" s="11"/>
      <c r="R2571" s="10"/>
      <c r="S2571" s="10"/>
      <c r="T2571" s="10"/>
      <c r="U2571" s="10"/>
    </row>
    <row r="2572">
      <c r="A2572" s="8"/>
      <c r="B2572" s="9"/>
      <c r="C2572" s="9"/>
      <c r="D2572" s="9"/>
      <c r="E2572" s="9"/>
      <c r="F2572" s="9"/>
      <c r="G2572" s="9"/>
      <c r="H2572" s="9"/>
      <c r="I2572" s="9"/>
      <c r="J2572" s="10"/>
      <c r="K2572" s="10"/>
      <c r="L2572" s="10"/>
      <c r="M2572" s="10"/>
      <c r="N2572" s="11"/>
      <c r="O2572" s="11"/>
      <c r="P2572" s="11"/>
      <c r="Q2572" s="11"/>
      <c r="R2572" s="10"/>
      <c r="S2572" s="10"/>
      <c r="T2572" s="10"/>
      <c r="U2572" s="10"/>
    </row>
    <row r="2573">
      <c r="A2573" s="8"/>
      <c r="B2573" s="9"/>
      <c r="C2573" s="9"/>
      <c r="D2573" s="9"/>
      <c r="E2573" s="9"/>
      <c r="F2573" s="9"/>
      <c r="G2573" s="9"/>
      <c r="H2573" s="9"/>
      <c r="I2573" s="9"/>
      <c r="J2573" s="10"/>
      <c r="K2573" s="10"/>
      <c r="L2573" s="10"/>
      <c r="M2573" s="10"/>
      <c r="N2573" s="11"/>
      <c r="O2573" s="11"/>
      <c r="P2573" s="11"/>
      <c r="Q2573" s="11"/>
      <c r="R2573" s="10"/>
      <c r="S2573" s="10"/>
      <c r="T2573" s="10"/>
      <c r="U2573" s="10"/>
    </row>
    <row r="2574">
      <c r="A2574" s="8"/>
      <c r="B2574" s="9"/>
      <c r="C2574" s="9"/>
      <c r="D2574" s="9"/>
      <c r="E2574" s="9"/>
      <c r="F2574" s="9"/>
      <c r="G2574" s="9"/>
      <c r="H2574" s="9"/>
      <c r="I2574" s="9"/>
      <c r="J2574" s="10"/>
      <c r="K2574" s="10"/>
      <c r="L2574" s="10"/>
      <c r="M2574" s="10"/>
      <c r="N2574" s="11"/>
      <c r="O2574" s="11"/>
      <c r="P2574" s="11"/>
      <c r="Q2574" s="11"/>
      <c r="R2574" s="10"/>
      <c r="S2574" s="10"/>
      <c r="T2574" s="10"/>
      <c r="U2574" s="10"/>
    </row>
    <row r="2575">
      <c r="A2575" s="8"/>
      <c r="B2575" s="9"/>
      <c r="C2575" s="9"/>
      <c r="D2575" s="9"/>
      <c r="E2575" s="9"/>
      <c r="F2575" s="9"/>
      <c r="G2575" s="9"/>
      <c r="H2575" s="9"/>
      <c r="I2575" s="9"/>
      <c r="J2575" s="10"/>
      <c r="K2575" s="10"/>
      <c r="L2575" s="10"/>
      <c r="M2575" s="10"/>
      <c r="N2575" s="11"/>
      <c r="O2575" s="11"/>
      <c r="P2575" s="11"/>
      <c r="Q2575" s="11"/>
      <c r="R2575" s="10"/>
      <c r="S2575" s="10"/>
      <c r="T2575" s="10"/>
      <c r="U2575" s="10"/>
    </row>
    <row r="2576">
      <c r="A2576" s="8"/>
      <c r="B2576" s="9"/>
      <c r="C2576" s="9"/>
      <c r="D2576" s="9"/>
      <c r="E2576" s="9"/>
      <c r="F2576" s="9"/>
      <c r="G2576" s="9"/>
      <c r="H2576" s="9"/>
      <c r="I2576" s="9"/>
      <c r="J2576" s="10"/>
      <c r="K2576" s="10"/>
      <c r="L2576" s="10"/>
      <c r="M2576" s="10"/>
      <c r="N2576" s="11"/>
      <c r="O2576" s="11"/>
      <c r="P2576" s="11"/>
      <c r="Q2576" s="11"/>
      <c r="R2576" s="10"/>
      <c r="S2576" s="10"/>
      <c r="T2576" s="10"/>
      <c r="U2576" s="10"/>
    </row>
    <row r="2577">
      <c r="A2577" s="8"/>
      <c r="B2577" s="9"/>
      <c r="C2577" s="9"/>
      <c r="D2577" s="9"/>
      <c r="E2577" s="9"/>
      <c r="F2577" s="9"/>
      <c r="G2577" s="9"/>
      <c r="H2577" s="9"/>
      <c r="I2577" s="9"/>
      <c r="J2577" s="10"/>
      <c r="K2577" s="10"/>
      <c r="L2577" s="10"/>
      <c r="M2577" s="10"/>
      <c r="N2577" s="11"/>
      <c r="O2577" s="11"/>
      <c r="P2577" s="11"/>
      <c r="Q2577" s="11"/>
      <c r="R2577" s="10"/>
      <c r="S2577" s="10"/>
      <c r="T2577" s="10"/>
      <c r="U2577" s="10"/>
    </row>
    <row r="2578">
      <c r="A2578" s="8"/>
      <c r="B2578" s="9"/>
      <c r="C2578" s="9"/>
      <c r="D2578" s="9"/>
      <c r="E2578" s="9"/>
      <c r="F2578" s="9"/>
      <c r="G2578" s="9"/>
      <c r="H2578" s="9"/>
      <c r="I2578" s="9"/>
      <c r="J2578" s="10"/>
      <c r="K2578" s="10"/>
      <c r="L2578" s="10"/>
      <c r="M2578" s="10"/>
      <c r="N2578" s="11"/>
      <c r="O2578" s="11"/>
      <c r="P2578" s="11"/>
      <c r="Q2578" s="11"/>
      <c r="R2578" s="10"/>
      <c r="S2578" s="10"/>
      <c r="T2578" s="10"/>
      <c r="U2578" s="10"/>
    </row>
    <row r="2579">
      <c r="A2579" s="8"/>
      <c r="B2579" s="9"/>
      <c r="C2579" s="9"/>
      <c r="D2579" s="9"/>
      <c r="E2579" s="9"/>
      <c r="F2579" s="9"/>
      <c r="G2579" s="9"/>
      <c r="H2579" s="9"/>
      <c r="I2579" s="9"/>
      <c r="J2579" s="10"/>
      <c r="K2579" s="10"/>
      <c r="L2579" s="10"/>
      <c r="M2579" s="10"/>
      <c r="N2579" s="11"/>
      <c r="O2579" s="11"/>
      <c r="P2579" s="11"/>
      <c r="Q2579" s="11"/>
      <c r="R2579" s="10"/>
      <c r="S2579" s="10"/>
      <c r="T2579" s="10"/>
      <c r="U2579" s="10"/>
    </row>
    <row r="2580">
      <c r="A2580" s="8"/>
      <c r="B2580" s="9"/>
      <c r="C2580" s="9"/>
      <c r="D2580" s="9"/>
      <c r="E2580" s="9"/>
      <c r="F2580" s="9"/>
      <c r="G2580" s="9"/>
      <c r="H2580" s="9"/>
      <c r="I2580" s="9"/>
      <c r="J2580" s="10"/>
      <c r="K2580" s="10"/>
      <c r="L2580" s="10"/>
      <c r="M2580" s="10"/>
      <c r="N2580" s="11"/>
      <c r="O2580" s="11"/>
      <c r="P2580" s="11"/>
      <c r="Q2580" s="11"/>
      <c r="R2580" s="10"/>
      <c r="S2580" s="10"/>
      <c r="T2580" s="10"/>
      <c r="U2580" s="10"/>
    </row>
    <row r="2581">
      <c r="A2581" s="8"/>
      <c r="B2581" s="9"/>
      <c r="C2581" s="9"/>
      <c r="D2581" s="9"/>
      <c r="E2581" s="9"/>
      <c r="F2581" s="9"/>
      <c r="G2581" s="9"/>
      <c r="H2581" s="9"/>
      <c r="I2581" s="9"/>
      <c r="J2581" s="10"/>
      <c r="K2581" s="10"/>
      <c r="L2581" s="10"/>
      <c r="M2581" s="10"/>
      <c r="N2581" s="11"/>
      <c r="O2581" s="11"/>
      <c r="P2581" s="11"/>
      <c r="Q2581" s="11"/>
      <c r="R2581" s="10"/>
      <c r="S2581" s="10"/>
      <c r="T2581" s="10"/>
      <c r="U2581" s="10"/>
    </row>
    <row r="2582">
      <c r="A2582" s="8"/>
      <c r="B2582" s="9"/>
      <c r="C2582" s="9"/>
      <c r="D2582" s="9"/>
      <c r="E2582" s="9"/>
      <c r="F2582" s="9"/>
      <c r="G2582" s="9"/>
      <c r="H2582" s="9"/>
      <c r="I2582" s="9"/>
      <c r="J2582" s="10"/>
      <c r="K2582" s="10"/>
      <c r="L2582" s="10"/>
      <c r="M2582" s="10"/>
      <c r="N2582" s="11"/>
      <c r="O2582" s="11"/>
      <c r="P2582" s="11"/>
      <c r="Q2582" s="11"/>
      <c r="R2582" s="10"/>
      <c r="S2582" s="10"/>
      <c r="T2582" s="10"/>
      <c r="U2582" s="10"/>
    </row>
    <row r="2583">
      <c r="A2583" s="8"/>
      <c r="B2583" s="9"/>
      <c r="C2583" s="9"/>
      <c r="D2583" s="9"/>
      <c r="E2583" s="9"/>
      <c r="F2583" s="9"/>
      <c r="G2583" s="9"/>
      <c r="H2583" s="9"/>
      <c r="I2583" s="9"/>
      <c r="J2583" s="10"/>
      <c r="K2583" s="10"/>
      <c r="L2583" s="10"/>
      <c r="M2583" s="10"/>
      <c r="N2583" s="11"/>
      <c r="O2583" s="11"/>
      <c r="P2583" s="11"/>
      <c r="Q2583" s="11"/>
      <c r="R2583" s="10"/>
      <c r="S2583" s="10"/>
      <c r="T2583" s="10"/>
      <c r="U2583" s="10"/>
    </row>
    <row r="2584">
      <c r="A2584" s="8"/>
      <c r="B2584" s="9"/>
      <c r="C2584" s="9"/>
      <c r="D2584" s="9"/>
      <c r="E2584" s="9"/>
      <c r="F2584" s="9"/>
      <c r="G2584" s="9"/>
      <c r="H2584" s="9"/>
      <c r="I2584" s="9"/>
      <c r="J2584" s="10"/>
      <c r="K2584" s="10"/>
      <c r="L2584" s="10"/>
      <c r="M2584" s="10"/>
      <c r="N2584" s="11"/>
      <c r="O2584" s="11"/>
      <c r="P2584" s="11"/>
      <c r="Q2584" s="11"/>
      <c r="R2584" s="10"/>
      <c r="S2584" s="10"/>
      <c r="T2584" s="10"/>
      <c r="U2584" s="10"/>
    </row>
    <row r="2585">
      <c r="A2585" s="8"/>
      <c r="B2585" s="9"/>
      <c r="C2585" s="9"/>
      <c r="D2585" s="9"/>
      <c r="E2585" s="9"/>
      <c r="F2585" s="9"/>
      <c r="G2585" s="9"/>
      <c r="H2585" s="9"/>
      <c r="I2585" s="9"/>
      <c r="J2585" s="10"/>
      <c r="K2585" s="10"/>
      <c r="L2585" s="10"/>
      <c r="M2585" s="10"/>
      <c r="N2585" s="11"/>
      <c r="O2585" s="11"/>
      <c r="P2585" s="11"/>
      <c r="Q2585" s="11"/>
      <c r="R2585" s="10"/>
      <c r="S2585" s="10"/>
      <c r="T2585" s="10"/>
      <c r="U2585" s="10"/>
    </row>
    <row r="2586">
      <c r="A2586" s="8"/>
      <c r="B2586" s="9"/>
      <c r="C2586" s="9"/>
      <c r="D2586" s="9"/>
      <c r="E2586" s="9"/>
      <c r="F2586" s="9"/>
      <c r="G2586" s="9"/>
      <c r="H2586" s="9"/>
      <c r="I2586" s="9"/>
      <c r="J2586" s="10"/>
      <c r="K2586" s="10"/>
      <c r="L2586" s="10"/>
      <c r="M2586" s="10"/>
      <c r="N2586" s="11"/>
      <c r="O2586" s="11"/>
      <c r="P2586" s="11"/>
      <c r="Q2586" s="11"/>
      <c r="R2586" s="10"/>
      <c r="S2586" s="10"/>
      <c r="T2586" s="10"/>
      <c r="U2586" s="10"/>
    </row>
    <row r="2587">
      <c r="A2587" s="8"/>
      <c r="B2587" s="9"/>
      <c r="C2587" s="9"/>
      <c r="D2587" s="9"/>
      <c r="E2587" s="9"/>
      <c r="F2587" s="9"/>
      <c r="G2587" s="9"/>
      <c r="H2587" s="9"/>
      <c r="I2587" s="9"/>
      <c r="J2587" s="10"/>
      <c r="K2587" s="10"/>
      <c r="L2587" s="10"/>
      <c r="M2587" s="10"/>
      <c r="N2587" s="11"/>
      <c r="O2587" s="11"/>
      <c r="P2587" s="11"/>
      <c r="Q2587" s="11"/>
      <c r="R2587" s="10"/>
      <c r="S2587" s="10"/>
      <c r="T2587" s="10"/>
      <c r="U2587" s="10"/>
    </row>
    <row r="2588">
      <c r="A2588" s="8"/>
      <c r="B2588" s="9"/>
      <c r="C2588" s="9"/>
      <c r="D2588" s="9"/>
      <c r="E2588" s="9"/>
      <c r="F2588" s="9"/>
      <c r="G2588" s="9"/>
      <c r="H2588" s="9"/>
      <c r="I2588" s="9"/>
      <c r="J2588" s="10"/>
      <c r="K2588" s="10"/>
      <c r="L2588" s="10"/>
      <c r="M2588" s="10"/>
      <c r="N2588" s="11"/>
      <c r="O2588" s="11"/>
      <c r="P2588" s="11"/>
      <c r="Q2588" s="11"/>
      <c r="R2588" s="10"/>
      <c r="S2588" s="10"/>
      <c r="T2588" s="10"/>
      <c r="U2588" s="10"/>
    </row>
    <row r="2589">
      <c r="A2589" s="8"/>
      <c r="B2589" s="9"/>
      <c r="C2589" s="9"/>
      <c r="D2589" s="9"/>
      <c r="E2589" s="9"/>
      <c r="F2589" s="9"/>
      <c r="G2589" s="9"/>
      <c r="H2589" s="9"/>
      <c r="I2589" s="9"/>
      <c r="J2589" s="10"/>
      <c r="K2589" s="10"/>
      <c r="L2589" s="10"/>
      <c r="M2589" s="10"/>
      <c r="N2589" s="11"/>
      <c r="O2589" s="11"/>
      <c r="P2589" s="11"/>
      <c r="Q2589" s="11"/>
      <c r="R2589" s="10"/>
      <c r="S2589" s="10"/>
      <c r="T2589" s="10"/>
      <c r="U2589" s="10"/>
    </row>
    <row r="2590">
      <c r="A2590" s="8"/>
      <c r="B2590" s="9"/>
      <c r="C2590" s="9"/>
      <c r="D2590" s="9"/>
      <c r="E2590" s="9"/>
      <c r="F2590" s="9"/>
      <c r="G2590" s="9"/>
      <c r="H2590" s="9"/>
      <c r="I2590" s="9"/>
      <c r="J2590" s="10"/>
      <c r="K2590" s="10"/>
      <c r="L2590" s="10"/>
      <c r="M2590" s="10"/>
      <c r="N2590" s="11"/>
      <c r="O2590" s="11"/>
      <c r="P2590" s="11"/>
      <c r="Q2590" s="11"/>
      <c r="R2590" s="10"/>
      <c r="S2590" s="10"/>
      <c r="T2590" s="10"/>
      <c r="U2590" s="10"/>
    </row>
    <row r="2591">
      <c r="A2591" s="8"/>
      <c r="B2591" s="9"/>
      <c r="C2591" s="9"/>
      <c r="D2591" s="9"/>
      <c r="E2591" s="9"/>
      <c r="F2591" s="9"/>
      <c r="G2591" s="9"/>
      <c r="H2591" s="9"/>
      <c r="I2591" s="9"/>
      <c r="J2591" s="10"/>
      <c r="K2591" s="10"/>
      <c r="L2591" s="10"/>
      <c r="M2591" s="10"/>
      <c r="N2591" s="11"/>
      <c r="O2591" s="11"/>
      <c r="P2591" s="11"/>
      <c r="Q2591" s="11"/>
      <c r="R2591" s="10"/>
      <c r="S2591" s="10"/>
      <c r="T2591" s="10"/>
      <c r="U2591" s="10"/>
    </row>
    <row r="2592">
      <c r="A2592" s="8"/>
      <c r="B2592" s="9"/>
      <c r="C2592" s="9"/>
      <c r="D2592" s="9"/>
      <c r="E2592" s="9"/>
      <c r="F2592" s="9"/>
      <c r="G2592" s="9"/>
      <c r="H2592" s="9"/>
      <c r="I2592" s="9"/>
      <c r="J2592" s="10"/>
      <c r="K2592" s="10"/>
      <c r="L2592" s="10"/>
      <c r="M2592" s="10"/>
      <c r="N2592" s="11"/>
      <c r="O2592" s="11"/>
      <c r="P2592" s="11"/>
      <c r="Q2592" s="11"/>
      <c r="R2592" s="10"/>
      <c r="S2592" s="10"/>
      <c r="T2592" s="10"/>
      <c r="U2592" s="10"/>
    </row>
    <row r="2593">
      <c r="A2593" s="8"/>
      <c r="B2593" s="9"/>
      <c r="C2593" s="9"/>
      <c r="D2593" s="9"/>
      <c r="E2593" s="9"/>
      <c r="F2593" s="9"/>
      <c r="G2593" s="9"/>
      <c r="H2593" s="9"/>
      <c r="I2593" s="9"/>
      <c r="J2593" s="10"/>
      <c r="K2593" s="10"/>
      <c r="L2593" s="10"/>
      <c r="M2593" s="10"/>
      <c r="N2593" s="11"/>
      <c r="O2593" s="11"/>
      <c r="P2593" s="11"/>
      <c r="Q2593" s="11"/>
      <c r="R2593" s="10"/>
      <c r="S2593" s="10"/>
      <c r="T2593" s="10"/>
      <c r="U2593" s="10"/>
    </row>
    <row r="2594">
      <c r="A2594" s="8"/>
      <c r="B2594" s="9"/>
      <c r="C2594" s="9"/>
      <c r="D2594" s="9"/>
      <c r="E2594" s="9"/>
      <c r="F2594" s="9"/>
      <c r="G2594" s="9"/>
      <c r="H2594" s="9"/>
      <c r="I2594" s="9"/>
      <c r="J2594" s="10"/>
      <c r="K2594" s="10"/>
      <c r="L2594" s="10"/>
      <c r="M2594" s="10"/>
      <c r="N2594" s="11"/>
      <c r="O2594" s="11"/>
      <c r="P2594" s="11"/>
      <c r="Q2594" s="11"/>
      <c r="R2594" s="10"/>
      <c r="S2594" s="10"/>
      <c r="T2594" s="10"/>
      <c r="U2594" s="10"/>
    </row>
    <row r="2595">
      <c r="A2595" s="8"/>
      <c r="B2595" s="9"/>
      <c r="C2595" s="9"/>
      <c r="D2595" s="9"/>
      <c r="E2595" s="9"/>
      <c r="F2595" s="9"/>
      <c r="G2595" s="9"/>
      <c r="H2595" s="9"/>
      <c r="I2595" s="9"/>
      <c r="J2595" s="10"/>
      <c r="K2595" s="10"/>
      <c r="L2595" s="10"/>
      <c r="M2595" s="10"/>
      <c r="N2595" s="11"/>
      <c r="O2595" s="11"/>
      <c r="P2595" s="11"/>
      <c r="Q2595" s="11"/>
      <c r="R2595" s="10"/>
      <c r="S2595" s="10"/>
      <c r="T2595" s="10"/>
      <c r="U2595" s="10"/>
    </row>
    <row r="2596">
      <c r="A2596" s="8"/>
      <c r="B2596" s="9"/>
      <c r="C2596" s="9"/>
      <c r="D2596" s="9"/>
      <c r="E2596" s="9"/>
      <c r="F2596" s="9"/>
      <c r="G2596" s="9"/>
      <c r="H2596" s="9"/>
      <c r="I2596" s="9"/>
      <c r="J2596" s="10"/>
      <c r="K2596" s="10"/>
      <c r="L2596" s="10"/>
      <c r="M2596" s="10"/>
      <c r="N2596" s="11"/>
      <c r="O2596" s="11"/>
      <c r="P2596" s="11"/>
      <c r="Q2596" s="11"/>
      <c r="R2596" s="10"/>
      <c r="S2596" s="10"/>
      <c r="T2596" s="10"/>
      <c r="U2596" s="10"/>
    </row>
    <row r="2597">
      <c r="A2597" s="8"/>
      <c r="B2597" s="9"/>
      <c r="C2597" s="9"/>
      <c r="D2597" s="9"/>
      <c r="E2597" s="9"/>
      <c r="F2597" s="9"/>
      <c r="G2597" s="9"/>
      <c r="H2597" s="9"/>
      <c r="I2597" s="9"/>
      <c r="J2597" s="10"/>
      <c r="K2597" s="10"/>
      <c r="L2597" s="10"/>
      <c r="M2597" s="10"/>
      <c r="N2597" s="11"/>
      <c r="O2597" s="11"/>
      <c r="P2597" s="11"/>
      <c r="Q2597" s="11"/>
      <c r="R2597" s="10"/>
      <c r="S2597" s="10"/>
      <c r="T2597" s="10"/>
      <c r="U2597" s="10"/>
    </row>
    <row r="2598">
      <c r="A2598" s="8"/>
      <c r="B2598" s="9"/>
      <c r="C2598" s="9"/>
      <c r="D2598" s="9"/>
      <c r="E2598" s="9"/>
      <c r="F2598" s="9"/>
      <c r="G2598" s="9"/>
      <c r="H2598" s="9"/>
      <c r="I2598" s="9"/>
      <c r="J2598" s="10"/>
      <c r="K2598" s="10"/>
      <c r="L2598" s="10"/>
      <c r="M2598" s="10"/>
      <c r="N2598" s="11"/>
      <c r="O2598" s="11"/>
      <c r="P2598" s="11"/>
      <c r="Q2598" s="11"/>
      <c r="R2598" s="10"/>
      <c r="S2598" s="10"/>
      <c r="T2598" s="10"/>
      <c r="U2598" s="10"/>
    </row>
    <row r="2599">
      <c r="A2599" s="8"/>
      <c r="B2599" s="9"/>
      <c r="C2599" s="9"/>
      <c r="D2599" s="9"/>
      <c r="E2599" s="9"/>
      <c r="F2599" s="9"/>
      <c r="G2599" s="9"/>
      <c r="H2599" s="9"/>
      <c r="I2599" s="9"/>
      <c r="J2599" s="10"/>
      <c r="K2599" s="10"/>
      <c r="L2599" s="10"/>
      <c r="M2599" s="10"/>
      <c r="N2599" s="11"/>
      <c r="O2599" s="11"/>
      <c r="P2599" s="11"/>
      <c r="Q2599" s="11"/>
      <c r="R2599" s="10"/>
      <c r="S2599" s="10"/>
      <c r="T2599" s="10"/>
      <c r="U2599" s="10"/>
    </row>
    <row r="2600">
      <c r="A2600" s="8"/>
      <c r="B2600" s="9"/>
      <c r="C2600" s="9"/>
      <c r="D2600" s="9"/>
      <c r="E2600" s="9"/>
      <c r="F2600" s="9"/>
      <c r="G2600" s="9"/>
      <c r="H2600" s="9"/>
      <c r="I2600" s="9"/>
      <c r="J2600" s="10"/>
      <c r="K2600" s="10"/>
      <c r="L2600" s="10"/>
      <c r="M2600" s="10"/>
      <c r="N2600" s="11"/>
      <c r="O2600" s="11"/>
      <c r="P2600" s="11"/>
      <c r="Q2600" s="11"/>
      <c r="R2600" s="10"/>
      <c r="S2600" s="10"/>
      <c r="T2600" s="10"/>
      <c r="U2600" s="10"/>
    </row>
    <row r="2601">
      <c r="A2601" s="8"/>
      <c r="B2601" s="9"/>
      <c r="C2601" s="9"/>
      <c r="D2601" s="9"/>
      <c r="E2601" s="9"/>
      <c r="F2601" s="9"/>
      <c r="G2601" s="9"/>
      <c r="H2601" s="9"/>
      <c r="I2601" s="9"/>
      <c r="J2601" s="10"/>
      <c r="K2601" s="10"/>
      <c r="L2601" s="10"/>
      <c r="M2601" s="10"/>
      <c r="N2601" s="11"/>
      <c r="O2601" s="11"/>
      <c r="P2601" s="11"/>
      <c r="Q2601" s="11"/>
      <c r="R2601" s="10"/>
      <c r="S2601" s="10"/>
      <c r="T2601" s="10"/>
      <c r="U2601" s="10"/>
    </row>
    <row r="2602">
      <c r="A2602" s="8"/>
      <c r="B2602" s="9"/>
      <c r="C2602" s="9"/>
      <c r="D2602" s="9"/>
      <c r="E2602" s="9"/>
      <c r="F2602" s="9"/>
      <c r="G2602" s="9"/>
      <c r="H2602" s="9"/>
      <c r="I2602" s="9"/>
      <c r="J2602" s="10"/>
      <c r="K2602" s="10"/>
      <c r="L2602" s="10"/>
      <c r="M2602" s="10"/>
      <c r="N2602" s="11"/>
      <c r="O2602" s="11"/>
      <c r="P2602" s="11"/>
      <c r="Q2602" s="11"/>
      <c r="R2602" s="10"/>
      <c r="S2602" s="10"/>
      <c r="T2602" s="10"/>
      <c r="U2602" s="10"/>
    </row>
    <row r="2603">
      <c r="A2603" s="8"/>
      <c r="B2603" s="9"/>
      <c r="C2603" s="9"/>
      <c r="D2603" s="9"/>
      <c r="E2603" s="9"/>
      <c r="F2603" s="9"/>
      <c r="G2603" s="9"/>
      <c r="H2603" s="9"/>
      <c r="I2603" s="9"/>
      <c r="J2603" s="10"/>
      <c r="K2603" s="10"/>
      <c r="L2603" s="10"/>
      <c r="M2603" s="10"/>
      <c r="N2603" s="11"/>
      <c r="O2603" s="11"/>
      <c r="P2603" s="11"/>
      <c r="Q2603" s="11"/>
      <c r="R2603" s="10"/>
      <c r="S2603" s="10"/>
      <c r="T2603" s="10"/>
      <c r="U2603" s="10"/>
    </row>
    <row r="2604">
      <c r="A2604" s="8"/>
      <c r="B2604" s="9"/>
      <c r="C2604" s="9"/>
      <c r="D2604" s="9"/>
      <c r="E2604" s="9"/>
      <c r="F2604" s="9"/>
      <c r="G2604" s="9"/>
      <c r="H2604" s="9"/>
      <c r="I2604" s="9"/>
      <c r="J2604" s="10"/>
      <c r="K2604" s="10"/>
      <c r="L2604" s="10"/>
      <c r="M2604" s="10"/>
      <c r="N2604" s="11"/>
      <c r="O2604" s="11"/>
      <c r="P2604" s="11"/>
      <c r="Q2604" s="11"/>
      <c r="R2604" s="10"/>
      <c r="S2604" s="10"/>
      <c r="T2604" s="10"/>
      <c r="U2604" s="10"/>
    </row>
    <row r="2605">
      <c r="A2605" s="8"/>
      <c r="B2605" s="9"/>
      <c r="C2605" s="9"/>
      <c r="D2605" s="9"/>
      <c r="E2605" s="9"/>
      <c r="F2605" s="9"/>
      <c r="G2605" s="9"/>
      <c r="H2605" s="9"/>
      <c r="I2605" s="9"/>
      <c r="J2605" s="10"/>
      <c r="K2605" s="10"/>
      <c r="L2605" s="10"/>
      <c r="M2605" s="10"/>
      <c r="N2605" s="11"/>
      <c r="O2605" s="11"/>
      <c r="P2605" s="11"/>
      <c r="Q2605" s="11"/>
      <c r="R2605" s="10"/>
      <c r="S2605" s="10"/>
      <c r="T2605" s="10"/>
      <c r="U2605" s="10"/>
    </row>
    <row r="2606">
      <c r="A2606" s="8"/>
      <c r="B2606" s="9"/>
      <c r="C2606" s="9"/>
      <c r="D2606" s="9"/>
      <c r="E2606" s="9"/>
      <c r="F2606" s="9"/>
      <c r="G2606" s="9"/>
      <c r="H2606" s="9"/>
      <c r="I2606" s="9"/>
      <c r="J2606" s="10"/>
      <c r="K2606" s="10"/>
      <c r="L2606" s="10"/>
      <c r="M2606" s="10"/>
      <c r="N2606" s="11"/>
      <c r="O2606" s="11"/>
      <c r="P2606" s="11"/>
      <c r="Q2606" s="11"/>
      <c r="R2606" s="10"/>
      <c r="S2606" s="10"/>
      <c r="T2606" s="10"/>
      <c r="U2606" s="10"/>
    </row>
    <row r="2607">
      <c r="A2607" s="8"/>
      <c r="B2607" s="9"/>
      <c r="C2607" s="9"/>
      <c r="D2607" s="9"/>
      <c r="E2607" s="9"/>
      <c r="F2607" s="9"/>
      <c r="G2607" s="9"/>
      <c r="H2607" s="9"/>
      <c r="I2607" s="9"/>
      <c r="J2607" s="10"/>
      <c r="K2607" s="10"/>
      <c r="L2607" s="10"/>
      <c r="M2607" s="10"/>
      <c r="N2607" s="11"/>
      <c r="O2607" s="11"/>
      <c r="P2607" s="11"/>
      <c r="Q2607" s="11"/>
      <c r="R2607" s="10"/>
      <c r="S2607" s="10"/>
      <c r="T2607" s="10"/>
      <c r="U2607" s="10"/>
    </row>
    <row r="2608">
      <c r="A2608" s="8"/>
      <c r="B2608" s="9"/>
      <c r="C2608" s="9"/>
      <c r="D2608" s="9"/>
      <c r="E2608" s="9"/>
      <c r="F2608" s="9"/>
      <c r="G2608" s="9"/>
      <c r="H2608" s="9"/>
      <c r="I2608" s="9"/>
      <c r="J2608" s="10"/>
      <c r="K2608" s="10"/>
      <c r="L2608" s="10"/>
      <c r="M2608" s="10"/>
      <c r="N2608" s="11"/>
      <c r="O2608" s="11"/>
      <c r="P2608" s="11"/>
      <c r="Q2608" s="11"/>
      <c r="R2608" s="10"/>
      <c r="S2608" s="10"/>
      <c r="T2608" s="10"/>
      <c r="U2608" s="10"/>
    </row>
    <row r="2609">
      <c r="A2609" s="8"/>
      <c r="B2609" s="9"/>
      <c r="C2609" s="9"/>
      <c r="D2609" s="9"/>
      <c r="E2609" s="9"/>
      <c r="F2609" s="9"/>
      <c r="G2609" s="9"/>
      <c r="H2609" s="9"/>
      <c r="I2609" s="9"/>
      <c r="J2609" s="10"/>
      <c r="K2609" s="10"/>
      <c r="L2609" s="10"/>
      <c r="M2609" s="10"/>
      <c r="N2609" s="11"/>
      <c r="O2609" s="11"/>
      <c r="P2609" s="11"/>
      <c r="Q2609" s="11"/>
      <c r="R2609" s="10"/>
      <c r="S2609" s="10"/>
      <c r="T2609" s="10"/>
      <c r="U2609" s="10"/>
    </row>
    <row r="2610">
      <c r="A2610" s="8"/>
      <c r="B2610" s="9"/>
      <c r="C2610" s="9"/>
      <c r="D2610" s="9"/>
      <c r="E2610" s="9"/>
      <c r="F2610" s="9"/>
      <c r="G2610" s="9"/>
      <c r="H2610" s="9"/>
      <c r="I2610" s="9"/>
      <c r="J2610" s="10"/>
      <c r="K2610" s="10"/>
      <c r="L2610" s="10"/>
      <c r="M2610" s="10"/>
      <c r="N2610" s="11"/>
      <c r="O2610" s="11"/>
      <c r="P2610" s="11"/>
      <c r="Q2610" s="11"/>
      <c r="R2610" s="10"/>
      <c r="S2610" s="10"/>
      <c r="T2610" s="10"/>
      <c r="U2610" s="10"/>
    </row>
    <row r="2611">
      <c r="A2611" s="8"/>
      <c r="B2611" s="9"/>
      <c r="C2611" s="9"/>
      <c r="D2611" s="9"/>
      <c r="E2611" s="9"/>
      <c r="F2611" s="9"/>
      <c r="G2611" s="9"/>
      <c r="H2611" s="9"/>
      <c r="I2611" s="9"/>
      <c r="J2611" s="10"/>
      <c r="K2611" s="10"/>
      <c r="L2611" s="10"/>
      <c r="M2611" s="10"/>
      <c r="N2611" s="11"/>
      <c r="O2611" s="11"/>
      <c r="P2611" s="11"/>
      <c r="Q2611" s="11"/>
      <c r="R2611" s="10"/>
      <c r="S2611" s="10"/>
      <c r="T2611" s="10"/>
      <c r="U2611" s="10"/>
    </row>
    <row r="2612">
      <c r="A2612" s="8"/>
      <c r="B2612" s="9"/>
      <c r="C2612" s="9"/>
      <c r="D2612" s="9"/>
      <c r="E2612" s="9"/>
      <c r="F2612" s="9"/>
      <c r="G2612" s="9"/>
      <c r="H2612" s="9"/>
      <c r="I2612" s="9"/>
      <c r="J2612" s="10"/>
      <c r="K2612" s="10"/>
      <c r="L2612" s="10"/>
      <c r="M2612" s="10"/>
      <c r="N2612" s="11"/>
      <c r="O2612" s="11"/>
      <c r="P2612" s="11"/>
      <c r="Q2612" s="11"/>
      <c r="R2612" s="10"/>
      <c r="S2612" s="10"/>
      <c r="T2612" s="10"/>
      <c r="U2612" s="10"/>
    </row>
    <row r="2613">
      <c r="A2613" s="8"/>
      <c r="B2613" s="9"/>
      <c r="C2613" s="9"/>
      <c r="D2613" s="9"/>
      <c r="E2613" s="9"/>
      <c r="F2613" s="9"/>
      <c r="G2613" s="9"/>
      <c r="H2613" s="9"/>
      <c r="I2613" s="9"/>
      <c r="J2613" s="10"/>
      <c r="K2613" s="10"/>
      <c r="L2613" s="10"/>
      <c r="M2613" s="10"/>
      <c r="N2613" s="11"/>
      <c r="O2613" s="11"/>
      <c r="P2613" s="11"/>
      <c r="Q2613" s="11"/>
      <c r="R2613" s="10"/>
      <c r="S2613" s="10"/>
      <c r="T2613" s="10"/>
      <c r="U2613" s="10"/>
    </row>
    <row r="2614">
      <c r="A2614" s="8"/>
      <c r="B2614" s="9"/>
      <c r="C2614" s="9"/>
      <c r="D2614" s="9"/>
      <c r="E2614" s="9"/>
      <c r="F2614" s="9"/>
      <c r="G2614" s="9"/>
      <c r="H2614" s="9"/>
      <c r="I2614" s="9"/>
      <c r="J2614" s="10"/>
      <c r="K2614" s="10"/>
      <c r="L2614" s="10"/>
      <c r="M2614" s="10"/>
      <c r="N2614" s="11"/>
      <c r="O2614" s="11"/>
      <c r="P2614" s="11"/>
      <c r="Q2614" s="11"/>
      <c r="R2614" s="10"/>
      <c r="S2614" s="10"/>
      <c r="T2614" s="10"/>
      <c r="U2614" s="10"/>
    </row>
    <row r="2615">
      <c r="A2615" s="8"/>
      <c r="B2615" s="9"/>
      <c r="C2615" s="9"/>
      <c r="D2615" s="9"/>
      <c r="E2615" s="9"/>
      <c r="F2615" s="9"/>
      <c r="G2615" s="9"/>
      <c r="H2615" s="9"/>
      <c r="I2615" s="9"/>
      <c r="J2615" s="10"/>
      <c r="K2615" s="10"/>
      <c r="L2615" s="10"/>
      <c r="M2615" s="10"/>
      <c r="N2615" s="11"/>
      <c r="O2615" s="11"/>
      <c r="P2615" s="11"/>
      <c r="Q2615" s="11"/>
      <c r="R2615" s="10"/>
      <c r="S2615" s="10"/>
      <c r="T2615" s="10"/>
      <c r="U2615" s="10"/>
    </row>
    <row r="2616">
      <c r="A2616" s="8"/>
      <c r="B2616" s="9"/>
      <c r="C2616" s="9"/>
      <c r="D2616" s="9"/>
      <c r="E2616" s="9"/>
      <c r="F2616" s="9"/>
      <c r="G2616" s="9"/>
      <c r="H2616" s="9"/>
      <c r="I2616" s="9"/>
      <c r="J2616" s="10"/>
      <c r="K2616" s="10"/>
      <c r="L2616" s="10"/>
      <c r="M2616" s="10"/>
      <c r="N2616" s="11"/>
      <c r="O2616" s="11"/>
      <c r="P2616" s="11"/>
      <c r="Q2616" s="11"/>
      <c r="R2616" s="10"/>
      <c r="S2616" s="10"/>
      <c r="T2616" s="10"/>
      <c r="U2616" s="10"/>
    </row>
    <row r="2617">
      <c r="A2617" s="8"/>
      <c r="B2617" s="9"/>
      <c r="C2617" s="9"/>
      <c r="D2617" s="9"/>
      <c r="E2617" s="9"/>
      <c r="F2617" s="9"/>
      <c r="G2617" s="9"/>
      <c r="H2617" s="9"/>
      <c r="I2617" s="9"/>
      <c r="J2617" s="10"/>
      <c r="K2617" s="10"/>
      <c r="L2617" s="10"/>
      <c r="M2617" s="10"/>
      <c r="N2617" s="11"/>
      <c r="O2617" s="11"/>
      <c r="P2617" s="11"/>
      <c r="Q2617" s="11"/>
      <c r="R2617" s="10"/>
      <c r="S2617" s="10"/>
      <c r="T2617" s="10"/>
      <c r="U2617" s="10"/>
    </row>
    <row r="2618">
      <c r="A2618" s="8"/>
      <c r="B2618" s="9"/>
      <c r="C2618" s="9"/>
      <c r="D2618" s="9"/>
      <c r="E2618" s="9"/>
      <c r="F2618" s="9"/>
      <c r="G2618" s="9"/>
      <c r="H2618" s="9"/>
      <c r="I2618" s="9"/>
      <c r="J2618" s="10"/>
      <c r="K2618" s="10"/>
      <c r="L2618" s="10"/>
      <c r="M2618" s="10"/>
      <c r="N2618" s="11"/>
      <c r="O2618" s="11"/>
      <c r="P2618" s="11"/>
      <c r="Q2618" s="11"/>
      <c r="R2618" s="10"/>
      <c r="S2618" s="10"/>
      <c r="T2618" s="10"/>
      <c r="U2618" s="10"/>
    </row>
    <row r="2619">
      <c r="A2619" s="8"/>
      <c r="B2619" s="9"/>
      <c r="C2619" s="9"/>
      <c r="D2619" s="9"/>
      <c r="E2619" s="9"/>
      <c r="F2619" s="9"/>
      <c r="G2619" s="9"/>
      <c r="H2619" s="9"/>
      <c r="I2619" s="9"/>
      <c r="J2619" s="10"/>
      <c r="K2619" s="10"/>
      <c r="L2619" s="10"/>
      <c r="M2619" s="10"/>
      <c r="N2619" s="11"/>
      <c r="O2619" s="11"/>
      <c r="P2619" s="11"/>
      <c r="Q2619" s="11"/>
      <c r="R2619" s="10"/>
      <c r="S2619" s="10"/>
      <c r="T2619" s="10"/>
      <c r="U2619" s="10"/>
    </row>
    <row r="2620">
      <c r="A2620" s="8"/>
      <c r="B2620" s="9"/>
      <c r="C2620" s="9"/>
      <c r="D2620" s="9"/>
      <c r="E2620" s="9"/>
      <c r="F2620" s="9"/>
      <c r="G2620" s="9"/>
      <c r="H2620" s="9"/>
      <c r="I2620" s="9"/>
      <c r="J2620" s="10"/>
      <c r="K2620" s="10"/>
      <c r="L2620" s="10"/>
      <c r="M2620" s="10"/>
      <c r="N2620" s="11"/>
      <c r="O2620" s="11"/>
      <c r="P2620" s="11"/>
      <c r="Q2620" s="11"/>
      <c r="R2620" s="10"/>
      <c r="S2620" s="10"/>
      <c r="T2620" s="10"/>
      <c r="U2620" s="10"/>
    </row>
    <row r="2621">
      <c r="A2621" s="8"/>
      <c r="B2621" s="9"/>
      <c r="C2621" s="9"/>
      <c r="D2621" s="9"/>
      <c r="E2621" s="9"/>
      <c r="F2621" s="9"/>
      <c r="G2621" s="9"/>
      <c r="H2621" s="9"/>
      <c r="I2621" s="9"/>
      <c r="J2621" s="10"/>
      <c r="K2621" s="10"/>
      <c r="L2621" s="10"/>
      <c r="M2621" s="10"/>
      <c r="N2621" s="11"/>
      <c r="O2621" s="11"/>
      <c r="P2621" s="11"/>
      <c r="Q2621" s="11"/>
      <c r="R2621" s="10"/>
      <c r="S2621" s="10"/>
      <c r="T2621" s="10"/>
      <c r="U2621" s="10"/>
    </row>
    <row r="2622">
      <c r="A2622" s="8"/>
      <c r="B2622" s="9"/>
      <c r="C2622" s="9"/>
      <c r="D2622" s="9"/>
      <c r="E2622" s="9"/>
      <c r="F2622" s="9"/>
      <c r="G2622" s="9"/>
      <c r="H2622" s="9"/>
      <c r="I2622" s="9"/>
      <c r="J2622" s="10"/>
      <c r="K2622" s="10"/>
      <c r="L2622" s="10"/>
      <c r="M2622" s="10"/>
      <c r="N2622" s="11"/>
      <c r="O2622" s="11"/>
      <c r="P2622" s="11"/>
      <c r="Q2622" s="11"/>
      <c r="R2622" s="10"/>
      <c r="S2622" s="10"/>
      <c r="T2622" s="10"/>
      <c r="U2622" s="10"/>
    </row>
    <row r="2623">
      <c r="A2623" s="8"/>
      <c r="B2623" s="9"/>
      <c r="C2623" s="9"/>
      <c r="D2623" s="9"/>
      <c r="E2623" s="9"/>
      <c r="F2623" s="9"/>
      <c r="G2623" s="9"/>
      <c r="H2623" s="9"/>
      <c r="I2623" s="9"/>
      <c r="J2623" s="10"/>
      <c r="K2623" s="10"/>
      <c r="L2623" s="10"/>
      <c r="M2623" s="10"/>
      <c r="N2623" s="11"/>
      <c r="O2623" s="11"/>
      <c r="P2623" s="11"/>
      <c r="Q2623" s="11"/>
      <c r="R2623" s="10"/>
      <c r="S2623" s="10"/>
      <c r="T2623" s="10"/>
      <c r="U2623" s="10"/>
    </row>
    <row r="2624">
      <c r="A2624" s="8"/>
      <c r="B2624" s="9"/>
      <c r="C2624" s="9"/>
      <c r="D2624" s="9"/>
      <c r="E2624" s="9"/>
      <c r="F2624" s="9"/>
      <c r="G2624" s="9"/>
      <c r="H2624" s="9"/>
      <c r="I2624" s="9"/>
      <c r="J2624" s="10"/>
      <c r="K2624" s="10"/>
      <c r="L2624" s="10"/>
      <c r="M2624" s="10"/>
      <c r="N2624" s="11"/>
      <c r="O2624" s="11"/>
      <c r="P2624" s="11"/>
      <c r="Q2624" s="11"/>
      <c r="R2624" s="10"/>
      <c r="S2624" s="10"/>
      <c r="T2624" s="10"/>
      <c r="U2624" s="10"/>
    </row>
    <row r="2625">
      <c r="A2625" s="8"/>
      <c r="B2625" s="9"/>
      <c r="C2625" s="9"/>
      <c r="D2625" s="9"/>
      <c r="E2625" s="9"/>
      <c r="F2625" s="9"/>
      <c r="G2625" s="9"/>
      <c r="H2625" s="9"/>
      <c r="I2625" s="9"/>
      <c r="J2625" s="10"/>
      <c r="K2625" s="10"/>
      <c r="L2625" s="10"/>
      <c r="M2625" s="10"/>
      <c r="N2625" s="11"/>
      <c r="O2625" s="11"/>
      <c r="P2625" s="11"/>
      <c r="Q2625" s="11"/>
      <c r="R2625" s="10"/>
      <c r="S2625" s="10"/>
      <c r="T2625" s="10"/>
      <c r="U2625" s="10"/>
    </row>
    <row r="2626">
      <c r="A2626" s="8"/>
      <c r="B2626" s="9"/>
      <c r="C2626" s="9"/>
      <c r="D2626" s="9"/>
      <c r="E2626" s="9"/>
      <c r="F2626" s="9"/>
      <c r="G2626" s="9"/>
      <c r="H2626" s="9"/>
      <c r="I2626" s="9"/>
      <c r="J2626" s="10"/>
      <c r="K2626" s="10"/>
      <c r="L2626" s="10"/>
      <c r="M2626" s="10"/>
      <c r="N2626" s="11"/>
      <c r="O2626" s="11"/>
      <c r="P2626" s="11"/>
      <c r="Q2626" s="11"/>
      <c r="R2626" s="10"/>
      <c r="S2626" s="10"/>
      <c r="T2626" s="10"/>
      <c r="U2626" s="10"/>
    </row>
    <row r="2627">
      <c r="A2627" s="8"/>
      <c r="B2627" s="9"/>
      <c r="C2627" s="9"/>
      <c r="D2627" s="9"/>
      <c r="E2627" s="9"/>
      <c r="F2627" s="9"/>
      <c r="G2627" s="9"/>
      <c r="H2627" s="9"/>
      <c r="I2627" s="9"/>
      <c r="J2627" s="10"/>
      <c r="K2627" s="10"/>
      <c r="L2627" s="10"/>
      <c r="M2627" s="10"/>
      <c r="N2627" s="11"/>
      <c r="O2627" s="11"/>
      <c r="P2627" s="11"/>
      <c r="Q2627" s="11"/>
      <c r="R2627" s="10"/>
      <c r="S2627" s="10"/>
      <c r="T2627" s="10"/>
      <c r="U2627" s="10"/>
    </row>
    <row r="2628">
      <c r="A2628" s="8"/>
      <c r="B2628" s="9"/>
      <c r="C2628" s="9"/>
      <c r="D2628" s="9"/>
      <c r="E2628" s="9"/>
      <c r="F2628" s="9"/>
      <c r="G2628" s="9"/>
      <c r="H2628" s="9"/>
      <c r="I2628" s="9"/>
      <c r="J2628" s="10"/>
      <c r="K2628" s="10"/>
      <c r="L2628" s="10"/>
      <c r="M2628" s="10"/>
      <c r="N2628" s="11"/>
      <c r="O2628" s="11"/>
      <c r="P2628" s="11"/>
      <c r="Q2628" s="11"/>
      <c r="R2628" s="10"/>
      <c r="S2628" s="10"/>
      <c r="T2628" s="10"/>
      <c r="U2628" s="10"/>
    </row>
    <row r="2629">
      <c r="A2629" s="8"/>
      <c r="B2629" s="9"/>
      <c r="C2629" s="9"/>
      <c r="D2629" s="9"/>
      <c r="E2629" s="9"/>
      <c r="F2629" s="9"/>
      <c r="G2629" s="9"/>
      <c r="H2629" s="9"/>
      <c r="I2629" s="9"/>
      <c r="J2629" s="10"/>
      <c r="K2629" s="10"/>
      <c r="L2629" s="10"/>
      <c r="M2629" s="10"/>
      <c r="N2629" s="11"/>
      <c r="O2629" s="11"/>
      <c r="P2629" s="11"/>
      <c r="Q2629" s="11"/>
      <c r="R2629" s="10"/>
      <c r="S2629" s="10"/>
      <c r="T2629" s="10"/>
      <c r="U2629" s="10"/>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3.0"/>
    <col customWidth="1" min="4" max="25" width="63.43"/>
  </cols>
  <sheetData>
    <row r="1">
      <c r="A1" s="2" t="s">
        <v>1</v>
      </c>
      <c r="B1" s="2" t="s">
        <v>730</v>
      </c>
      <c r="C1" s="2" t="s">
        <v>731</v>
      </c>
      <c r="D1" s="8"/>
      <c r="E1" s="8"/>
      <c r="F1" s="8"/>
      <c r="G1" s="8"/>
      <c r="H1" s="8"/>
      <c r="I1" s="8"/>
      <c r="J1" s="8"/>
      <c r="K1" s="8"/>
      <c r="L1" s="8"/>
      <c r="M1" s="8"/>
      <c r="N1" s="8"/>
      <c r="O1" s="8"/>
      <c r="P1" s="8"/>
      <c r="Q1" s="8"/>
      <c r="R1" s="8"/>
      <c r="S1" s="8"/>
      <c r="T1" s="8"/>
      <c r="U1" s="8"/>
      <c r="V1" s="8"/>
      <c r="W1" s="8"/>
      <c r="X1" s="8"/>
      <c r="Y1" s="8"/>
    </row>
    <row r="2">
      <c r="A2" s="2" t="s">
        <v>732</v>
      </c>
      <c r="B2" s="12">
        <v>44411.0</v>
      </c>
      <c r="C2" s="2" t="s">
        <v>733</v>
      </c>
      <c r="D2" s="8"/>
      <c r="E2" s="8"/>
      <c r="F2" s="8"/>
      <c r="G2" s="8"/>
      <c r="H2" s="8"/>
      <c r="I2" s="8"/>
      <c r="J2" s="8"/>
      <c r="K2" s="8"/>
      <c r="L2" s="8"/>
      <c r="M2" s="8"/>
      <c r="N2" s="8"/>
      <c r="O2" s="8"/>
      <c r="P2" s="8"/>
      <c r="Q2" s="8"/>
      <c r="R2" s="8"/>
      <c r="S2" s="8"/>
      <c r="T2" s="8"/>
      <c r="U2" s="8"/>
      <c r="V2" s="8"/>
      <c r="W2" s="8"/>
      <c r="X2" s="8"/>
      <c r="Y2" s="8"/>
    </row>
    <row r="3">
      <c r="A3" s="2" t="s">
        <v>58</v>
      </c>
      <c r="B3" s="13">
        <v>44405.0</v>
      </c>
      <c r="C3" s="2" t="s">
        <v>733</v>
      </c>
      <c r="D3" s="8"/>
      <c r="E3" s="8"/>
      <c r="F3" s="8"/>
      <c r="G3" s="8"/>
      <c r="H3" s="8"/>
      <c r="I3" s="8"/>
      <c r="J3" s="8"/>
      <c r="K3" s="8"/>
      <c r="L3" s="8"/>
      <c r="M3" s="8"/>
      <c r="N3" s="8"/>
      <c r="O3" s="8"/>
      <c r="P3" s="8"/>
      <c r="Q3" s="8"/>
      <c r="R3" s="8"/>
      <c r="S3" s="8"/>
      <c r="T3" s="8"/>
      <c r="U3" s="8"/>
      <c r="V3" s="8"/>
      <c r="W3" s="8"/>
      <c r="X3" s="8"/>
      <c r="Y3" s="8"/>
    </row>
    <row r="4">
      <c r="A4" s="2" t="s">
        <v>73</v>
      </c>
      <c r="B4" s="13">
        <v>44405.0</v>
      </c>
      <c r="C4" s="2" t="s">
        <v>733</v>
      </c>
      <c r="D4" s="8"/>
      <c r="E4" s="8"/>
      <c r="F4" s="8"/>
      <c r="G4" s="8"/>
      <c r="H4" s="8"/>
      <c r="I4" s="8"/>
      <c r="J4" s="8"/>
      <c r="K4" s="8"/>
      <c r="L4" s="8"/>
      <c r="M4" s="8"/>
      <c r="N4" s="8"/>
      <c r="O4" s="8"/>
      <c r="P4" s="8"/>
      <c r="Q4" s="8"/>
      <c r="R4" s="8"/>
      <c r="S4" s="8"/>
      <c r="T4" s="8"/>
      <c r="U4" s="8"/>
      <c r="V4" s="8"/>
      <c r="W4" s="8"/>
      <c r="X4" s="8"/>
      <c r="Y4" s="8"/>
    </row>
    <row r="5">
      <c r="A5" s="2" t="s">
        <v>734</v>
      </c>
      <c r="B5" s="13">
        <v>44411.0</v>
      </c>
      <c r="C5" s="2" t="s">
        <v>733</v>
      </c>
      <c r="D5" s="8"/>
      <c r="E5" s="8"/>
      <c r="F5" s="8"/>
      <c r="G5" s="8"/>
      <c r="H5" s="8"/>
      <c r="I5" s="8"/>
      <c r="J5" s="8"/>
      <c r="K5" s="8"/>
      <c r="L5" s="8"/>
      <c r="M5" s="8"/>
      <c r="N5" s="8"/>
      <c r="O5" s="8"/>
      <c r="P5" s="8"/>
      <c r="Q5" s="8"/>
      <c r="R5" s="8"/>
      <c r="S5" s="8"/>
      <c r="T5" s="8"/>
      <c r="U5" s="8"/>
      <c r="V5" s="8"/>
      <c r="W5" s="8"/>
      <c r="X5" s="8"/>
      <c r="Y5" s="8"/>
    </row>
    <row r="6">
      <c r="A6" s="2" t="s">
        <v>88</v>
      </c>
      <c r="B6" s="2" t="s">
        <v>733</v>
      </c>
      <c r="C6" s="2" t="s">
        <v>733</v>
      </c>
      <c r="D6" s="8"/>
      <c r="E6" s="8"/>
      <c r="F6" s="8"/>
      <c r="G6" s="8"/>
      <c r="H6" s="8"/>
      <c r="I6" s="8"/>
      <c r="J6" s="8"/>
      <c r="K6" s="8"/>
      <c r="L6" s="8"/>
      <c r="M6" s="8"/>
      <c r="N6" s="8"/>
      <c r="O6" s="8"/>
      <c r="P6" s="8"/>
      <c r="Q6" s="8"/>
      <c r="R6" s="8"/>
      <c r="S6" s="8"/>
      <c r="T6" s="8"/>
      <c r="U6" s="8"/>
      <c r="V6" s="8"/>
      <c r="W6" s="8"/>
      <c r="X6" s="8"/>
      <c r="Y6" s="8"/>
    </row>
    <row r="7">
      <c r="A7" s="2" t="s">
        <v>93</v>
      </c>
      <c r="B7" s="13">
        <v>44404.0</v>
      </c>
      <c r="C7" s="2" t="s">
        <v>733</v>
      </c>
      <c r="D7" s="8"/>
      <c r="E7" s="8"/>
      <c r="F7" s="8"/>
      <c r="G7" s="8"/>
      <c r="H7" s="8"/>
      <c r="I7" s="8"/>
      <c r="J7" s="8"/>
      <c r="K7" s="8"/>
      <c r="L7" s="8"/>
      <c r="M7" s="8"/>
      <c r="N7" s="8"/>
      <c r="O7" s="8"/>
      <c r="P7" s="8"/>
      <c r="Q7" s="8"/>
      <c r="R7" s="8"/>
      <c r="S7" s="8"/>
      <c r="T7" s="8"/>
      <c r="U7" s="8"/>
      <c r="V7" s="8"/>
      <c r="W7" s="8"/>
      <c r="X7" s="8"/>
      <c r="Y7" s="8"/>
    </row>
    <row r="8">
      <c r="A8" s="2" t="s">
        <v>163</v>
      </c>
      <c r="B8" s="2" t="s">
        <v>733</v>
      </c>
      <c r="C8" s="2" t="s">
        <v>733</v>
      </c>
      <c r="D8" s="8"/>
      <c r="E8" s="8"/>
      <c r="F8" s="8"/>
      <c r="G8" s="8"/>
      <c r="H8" s="8"/>
      <c r="I8" s="8"/>
      <c r="J8" s="8"/>
      <c r="K8" s="8"/>
      <c r="L8" s="8"/>
      <c r="M8" s="8"/>
      <c r="N8" s="8"/>
      <c r="O8" s="8"/>
      <c r="P8" s="8"/>
      <c r="Q8" s="8"/>
      <c r="R8" s="8"/>
      <c r="S8" s="8"/>
      <c r="T8" s="8"/>
      <c r="U8" s="8"/>
      <c r="V8" s="8"/>
      <c r="W8" s="8"/>
      <c r="X8" s="8"/>
      <c r="Y8" s="8"/>
    </row>
    <row r="9">
      <c r="A9" s="2" t="s">
        <v>164</v>
      </c>
      <c r="B9" s="13">
        <v>44411.0</v>
      </c>
      <c r="C9" s="2" t="s">
        <v>733</v>
      </c>
      <c r="D9" s="8"/>
      <c r="E9" s="8"/>
      <c r="F9" s="8"/>
      <c r="G9" s="8"/>
      <c r="H9" s="8"/>
      <c r="I9" s="8"/>
      <c r="J9" s="8"/>
      <c r="K9" s="8"/>
      <c r="L9" s="8"/>
      <c r="M9" s="8"/>
      <c r="N9" s="8"/>
      <c r="O9" s="8"/>
      <c r="P9" s="8"/>
      <c r="Q9" s="8"/>
      <c r="R9" s="8"/>
      <c r="S9" s="8"/>
      <c r="T9" s="8"/>
      <c r="U9" s="8"/>
      <c r="V9" s="8"/>
      <c r="W9" s="8"/>
      <c r="X9" s="8"/>
      <c r="Y9" s="8"/>
    </row>
    <row r="10">
      <c r="A10" s="2" t="s">
        <v>735</v>
      </c>
      <c r="B10" s="13">
        <v>44405.0</v>
      </c>
      <c r="C10" s="2" t="s">
        <v>733</v>
      </c>
      <c r="D10" s="8"/>
      <c r="E10" s="8"/>
      <c r="F10" s="8"/>
      <c r="G10" s="8"/>
      <c r="H10" s="8"/>
      <c r="I10" s="8"/>
      <c r="J10" s="8"/>
      <c r="K10" s="8"/>
      <c r="L10" s="8"/>
      <c r="M10" s="8"/>
      <c r="N10" s="8"/>
      <c r="O10" s="8"/>
      <c r="P10" s="8"/>
      <c r="Q10" s="8"/>
      <c r="R10" s="8"/>
      <c r="S10" s="8"/>
      <c r="T10" s="8"/>
      <c r="U10" s="8"/>
      <c r="V10" s="8"/>
      <c r="W10" s="8"/>
      <c r="X10" s="8"/>
      <c r="Y10" s="8"/>
    </row>
    <row r="11">
      <c r="A11" s="2" t="s">
        <v>192</v>
      </c>
      <c r="B11" s="13">
        <v>44399.0</v>
      </c>
      <c r="C11" s="2" t="s">
        <v>733</v>
      </c>
      <c r="D11" s="8"/>
      <c r="E11" s="8"/>
      <c r="F11" s="8"/>
      <c r="G11" s="8"/>
      <c r="H11" s="8"/>
      <c r="I11" s="8"/>
      <c r="J11" s="8"/>
      <c r="K11" s="8"/>
      <c r="L11" s="8"/>
      <c r="M11" s="8"/>
      <c r="N11" s="8"/>
      <c r="O11" s="8"/>
      <c r="P11" s="8"/>
      <c r="Q11" s="8"/>
      <c r="R11" s="8"/>
      <c r="S11" s="8"/>
      <c r="T11" s="8"/>
      <c r="U11" s="8"/>
      <c r="V11" s="8"/>
      <c r="W11" s="8"/>
      <c r="X11" s="8"/>
      <c r="Y11" s="8"/>
    </row>
    <row r="12">
      <c r="A12" s="2" t="s">
        <v>200</v>
      </c>
      <c r="B12" s="2" t="s">
        <v>733</v>
      </c>
      <c r="C12" s="2" t="s">
        <v>733</v>
      </c>
      <c r="D12" s="8"/>
      <c r="E12" s="8"/>
      <c r="F12" s="8"/>
      <c r="G12" s="8"/>
      <c r="H12" s="8"/>
      <c r="I12" s="8"/>
      <c r="J12" s="8"/>
      <c r="K12" s="8"/>
      <c r="L12" s="8"/>
      <c r="M12" s="8"/>
      <c r="N12" s="8"/>
      <c r="O12" s="8"/>
      <c r="P12" s="8"/>
      <c r="Q12" s="8"/>
      <c r="R12" s="8"/>
      <c r="S12" s="8"/>
      <c r="T12" s="8"/>
      <c r="U12" s="8"/>
      <c r="V12" s="8"/>
      <c r="W12" s="8"/>
      <c r="X12" s="8"/>
      <c r="Y12" s="8"/>
    </row>
    <row r="13">
      <c r="A13" s="2" t="s">
        <v>226</v>
      </c>
      <c r="B13" s="13">
        <v>44410.0</v>
      </c>
      <c r="C13" s="2" t="s">
        <v>733</v>
      </c>
      <c r="D13" s="8"/>
      <c r="E13" s="8"/>
      <c r="F13" s="8"/>
      <c r="G13" s="8"/>
      <c r="H13" s="8"/>
      <c r="I13" s="8"/>
      <c r="J13" s="8"/>
      <c r="K13" s="8"/>
      <c r="L13" s="8"/>
      <c r="M13" s="8"/>
      <c r="N13" s="8"/>
      <c r="O13" s="8"/>
      <c r="P13" s="8"/>
      <c r="Q13" s="8"/>
      <c r="R13" s="8"/>
      <c r="S13" s="8"/>
      <c r="T13" s="8"/>
      <c r="U13" s="8"/>
      <c r="V13" s="8"/>
      <c r="W13" s="8"/>
      <c r="X13" s="8"/>
      <c r="Y13" s="8"/>
    </row>
    <row r="14">
      <c r="A14" s="2" t="s">
        <v>254</v>
      </c>
      <c r="B14" s="13">
        <v>44405.0</v>
      </c>
      <c r="C14" s="2" t="s">
        <v>733</v>
      </c>
      <c r="D14" s="8"/>
      <c r="E14" s="8"/>
      <c r="F14" s="8"/>
      <c r="G14" s="8"/>
      <c r="H14" s="8"/>
      <c r="I14" s="8"/>
      <c r="J14" s="8"/>
      <c r="K14" s="8"/>
      <c r="L14" s="8"/>
      <c r="M14" s="8"/>
      <c r="N14" s="8"/>
      <c r="O14" s="8"/>
      <c r="P14" s="8"/>
      <c r="Q14" s="8"/>
      <c r="R14" s="8"/>
      <c r="S14" s="8"/>
      <c r="T14" s="8"/>
      <c r="U14" s="8"/>
      <c r="V14" s="8"/>
      <c r="W14" s="8"/>
      <c r="X14" s="8"/>
      <c r="Y14" s="8"/>
    </row>
    <row r="15">
      <c r="A15" s="2" t="s">
        <v>286</v>
      </c>
      <c r="B15" s="13">
        <v>44405.0</v>
      </c>
      <c r="C15" s="2" t="s">
        <v>733</v>
      </c>
      <c r="D15" s="8"/>
      <c r="E15" s="8"/>
      <c r="F15" s="8"/>
      <c r="G15" s="8"/>
      <c r="H15" s="8"/>
      <c r="I15" s="8"/>
      <c r="J15" s="8"/>
      <c r="K15" s="8"/>
      <c r="L15" s="8"/>
      <c r="M15" s="8"/>
      <c r="N15" s="8"/>
      <c r="O15" s="8"/>
      <c r="P15" s="8"/>
      <c r="Q15" s="8"/>
      <c r="R15" s="8"/>
      <c r="S15" s="8"/>
      <c r="T15" s="8"/>
      <c r="U15" s="8"/>
      <c r="V15" s="8"/>
      <c r="W15" s="8"/>
      <c r="X15" s="8"/>
      <c r="Y15" s="8"/>
    </row>
    <row r="16">
      <c r="A16" s="2" t="s">
        <v>326</v>
      </c>
      <c r="B16" s="13">
        <v>44407.0</v>
      </c>
      <c r="C16" s="2" t="s">
        <v>733</v>
      </c>
      <c r="D16" s="8"/>
      <c r="E16" s="2" t="s">
        <v>736</v>
      </c>
      <c r="F16" s="8"/>
      <c r="G16" s="8"/>
      <c r="H16" s="8"/>
      <c r="I16" s="8"/>
      <c r="J16" s="8"/>
      <c r="K16" s="8"/>
      <c r="L16" s="8"/>
      <c r="M16" s="8"/>
      <c r="N16" s="8"/>
      <c r="O16" s="8"/>
      <c r="P16" s="8"/>
      <c r="Q16" s="8"/>
      <c r="R16" s="8"/>
      <c r="S16" s="8"/>
      <c r="T16" s="8"/>
      <c r="U16" s="8"/>
      <c r="V16" s="8"/>
      <c r="W16" s="8"/>
      <c r="X16" s="8"/>
      <c r="Y16" s="8"/>
    </row>
    <row r="17">
      <c r="A17" s="2" t="s">
        <v>358</v>
      </c>
      <c r="B17" s="2" t="s">
        <v>733</v>
      </c>
      <c r="C17" s="2" t="s">
        <v>733</v>
      </c>
      <c r="D17" s="8"/>
      <c r="E17" s="8"/>
      <c r="F17" s="8"/>
      <c r="G17" s="8"/>
      <c r="H17" s="8"/>
      <c r="I17" s="8"/>
      <c r="J17" s="8"/>
      <c r="K17" s="8"/>
      <c r="L17" s="8"/>
      <c r="M17" s="8"/>
      <c r="N17" s="8"/>
      <c r="O17" s="8"/>
      <c r="P17" s="8"/>
      <c r="Q17" s="8"/>
      <c r="R17" s="8"/>
      <c r="S17" s="8"/>
      <c r="T17" s="8"/>
      <c r="U17" s="8"/>
      <c r="V17" s="8"/>
      <c r="W17" s="8"/>
      <c r="X17" s="8"/>
      <c r="Y17" s="8"/>
    </row>
    <row r="18">
      <c r="A18" s="2" t="s">
        <v>443</v>
      </c>
      <c r="B18" s="13">
        <v>44392.0</v>
      </c>
      <c r="C18" s="2" t="s">
        <v>733</v>
      </c>
      <c r="D18" s="8"/>
      <c r="E18" s="8"/>
      <c r="F18" s="8"/>
      <c r="G18" s="8"/>
      <c r="H18" s="8"/>
      <c r="I18" s="8"/>
      <c r="J18" s="8"/>
      <c r="K18" s="8"/>
      <c r="L18" s="8"/>
      <c r="M18" s="8"/>
      <c r="N18" s="8"/>
      <c r="O18" s="8"/>
      <c r="P18" s="8"/>
      <c r="Q18" s="8"/>
      <c r="R18" s="8"/>
      <c r="S18" s="8"/>
      <c r="T18" s="8"/>
      <c r="U18" s="8"/>
      <c r="V18" s="8"/>
      <c r="W18" s="8"/>
      <c r="X18" s="8"/>
      <c r="Y18" s="8"/>
    </row>
    <row r="19">
      <c r="A19" s="2" t="s">
        <v>513</v>
      </c>
      <c r="B19" s="13">
        <v>44405.0</v>
      </c>
      <c r="C19" s="2">
        <v>0.28</v>
      </c>
      <c r="D19" s="8"/>
      <c r="E19" s="8"/>
      <c r="F19" s="8"/>
      <c r="G19" s="8"/>
      <c r="H19" s="8"/>
      <c r="I19" s="8"/>
      <c r="J19" s="8"/>
      <c r="K19" s="8"/>
      <c r="L19" s="8"/>
      <c r="M19" s="8"/>
      <c r="N19" s="8"/>
      <c r="O19" s="8"/>
      <c r="P19" s="8"/>
      <c r="Q19" s="8"/>
      <c r="R19" s="8"/>
      <c r="S19" s="8"/>
      <c r="T19" s="8"/>
      <c r="U19" s="8"/>
      <c r="V19" s="8"/>
      <c r="W19" s="8"/>
      <c r="X19" s="8"/>
      <c r="Y19" s="8"/>
    </row>
    <row r="20">
      <c r="A20" s="2" t="s">
        <v>537</v>
      </c>
      <c r="B20" s="2" t="s">
        <v>733</v>
      </c>
      <c r="C20" s="2" t="s">
        <v>733</v>
      </c>
      <c r="D20" s="8"/>
      <c r="E20" s="2" t="s">
        <v>736</v>
      </c>
      <c r="F20" s="8"/>
      <c r="G20" s="8"/>
      <c r="H20" s="8"/>
      <c r="I20" s="8"/>
      <c r="J20" s="8"/>
      <c r="K20" s="8"/>
      <c r="L20" s="8"/>
      <c r="M20" s="8"/>
      <c r="N20" s="8"/>
      <c r="O20" s="8"/>
      <c r="P20" s="8"/>
      <c r="Q20" s="8"/>
      <c r="R20" s="8"/>
      <c r="S20" s="8"/>
      <c r="T20" s="8"/>
      <c r="U20" s="8"/>
      <c r="V20" s="8"/>
      <c r="W20" s="8"/>
      <c r="X20" s="8"/>
      <c r="Y20" s="8"/>
    </row>
    <row r="21">
      <c r="A21" s="2" t="s">
        <v>550</v>
      </c>
      <c r="B21" s="13">
        <v>44411.0</v>
      </c>
      <c r="C21" s="2" t="s">
        <v>733</v>
      </c>
      <c r="D21" s="8"/>
      <c r="E21" s="8"/>
      <c r="F21" s="8"/>
      <c r="G21" s="8"/>
      <c r="H21" s="8"/>
      <c r="I21" s="8"/>
      <c r="J21" s="8"/>
      <c r="K21" s="8"/>
      <c r="L21" s="8"/>
      <c r="M21" s="8"/>
      <c r="N21" s="8"/>
      <c r="O21" s="8"/>
      <c r="P21" s="8"/>
      <c r="Q21" s="8"/>
      <c r="R21" s="8"/>
      <c r="S21" s="8"/>
      <c r="T21" s="8"/>
      <c r="U21" s="8"/>
      <c r="V21" s="8"/>
      <c r="W21" s="8"/>
      <c r="X21" s="8"/>
      <c r="Y21" s="8"/>
    </row>
    <row r="22">
      <c r="A22" s="2" t="s">
        <v>589</v>
      </c>
      <c r="B22" s="2" t="s">
        <v>733</v>
      </c>
      <c r="C22" s="2" t="s">
        <v>733</v>
      </c>
      <c r="D22" s="8"/>
      <c r="E22" s="8"/>
      <c r="F22" s="8"/>
      <c r="G22" s="8"/>
      <c r="H22" s="8"/>
      <c r="I22" s="8"/>
      <c r="J22" s="8"/>
      <c r="K22" s="8"/>
      <c r="L22" s="8"/>
      <c r="M22" s="8"/>
      <c r="N22" s="8"/>
      <c r="O22" s="8"/>
      <c r="P22" s="8"/>
      <c r="Q22" s="8"/>
      <c r="R22" s="8"/>
      <c r="S22" s="8"/>
      <c r="T22" s="8"/>
      <c r="U22" s="8"/>
      <c r="V22" s="8"/>
      <c r="W22" s="8"/>
      <c r="X22" s="8"/>
      <c r="Y22" s="8"/>
    </row>
    <row r="23">
      <c r="A23" s="2" t="s">
        <v>591</v>
      </c>
      <c r="B23" s="13">
        <v>44410.0</v>
      </c>
      <c r="C23" s="2" t="s">
        <v>733</v>
      </c>
      <c r="D23" s="8"/>
      <c r="E23" s="8"/>
      <c r="F23" s="8"/>
      <c r="G23" s="8"/>
      <c r="H23" s="8"/>
      <c r="I23" s="8"/>
      <c r="J23" s="8"/>
      <c r="K23" s="8"/>
      <c r="L23" s="8"/>
      <c r="M23" s="8"/>
      <c r="N23" s="8"/>
      <c r="O23" s="8"/>
      <c r="P23" s="8"/>
      <c r="Q23" s="8"/>
      <c r="R23" s="8"/>
      <c r="S23" s="8"/>
      <c r="T23" s="8"/>
      <c r="U23" s="8"/>
      <c r="V23" s="8"/>
      <c r="W23" s="8"/>
      <c r="X23" s="8"/>
      <c r="Y23" s="8"/>
    </row>
    <row r="24">
      <c r="A24" s="2" t="s">
        <v>626</v>
      </c>
      <c r="B24" s="13">
        <v>44406.0</v>
      </c>
      <c r="C24" s="2" t="s">
        <v>733</v>
      </c>
      <c r="D24" s="8"/>
      <c r="E24" s="2" t="s">
        <v>736</v>
      </c>
      <c r="F24" s="8"/>
      <c r="G24" s="8"/>
      <c r="H24" s="8"/>
      <c r="I24" s="8"/>
      <c r="J24" s="8"/>
      <c r="K24" s="8"/>
      <c r="L24" s="8"/>
      <c r="M24" s="8"/>
      <c r="N24" s="8"/>
      <c r="O24" s="8"/>
      <c r="P24" s="8"/>
      <c r="Q24" s="8"/>
      <c r="R24" s="8"/>
      <c r="S24" s="8"/>
      <c r="T24" s="8"/>
      <c r="U24" s="8"/>
      <c r="V24" s="8"/>
      <c r="W24" s="8"/>
      <c r="X24" s="8"/>
      <c r="Y24" s="8"/>
    </row>
    <row r="25">
      <c r="A25" s="8"/>
      <c r="B25" s="8"/>
      <c r="C25" s="8"/>
      <c r="D25" s="8"/>
      <c r="E25" s="8"/>
      <c r="F25" s="8"/>
      <c r="G25" s="8"/>
      <c r="H25" s="8"/>
      <c r="I25" s="8"/>
      <c r="J25" s="8"/>
      <c r="K25" s="8"/>
      <c r="L25" s="8"/>
      <c r="M25" s="8"/>
      <c r="N25" s="8"/>
      <c r="O25" s="8"/>
      <c r="P25" s="8"/>
      <c r="Q25" s="8"/>
      <c r="R25" s="8"/>
      <c r="S25" s="8"/>
      <c r="T25" s="8"/>
      <c r="U25" s="8"/>
      <c r="V25" s="8"/>
      <c r="W25" s="8"/>
      <c r="X25" s="8"/>
      <c r="Y25" s="8"/>
    </row>
    <row r="26">
      <c r="A26" s="8"/>
      <c r="B26" s="8"/>
      <c r="C26" s="8"/>
      <c r="D26" s="8"/>
      <c r="E26" s="8"/>
      <c r="F26" s="8"/>
      <c r="G26" s="8"/>
      <c r="H26" s="8"/>
      <c r="I26" s="8"/>
      <c r="J26" s="8"/>
      <c r="K26" s="8"/>
      <c r="L26" s="8"/>
      <c r="M26" s="8"/>
      <c r="N26" s="8"/>
      <c r="O26" s="8"/>
      <c r="P26" s="8"/>
      <c r="Q26" s="8"/>
      <c r="R26" s="8"/>
      <c r="S26" s="8"/>
      <c r="T26" s="8"/>
      <c r="U26" s="8"/>
      <c r="V26" s="8"/>
      <c r="W26" s="8"/>
      <c r="X26" s="8"/>
      <c r="Y26" s="8"/>
    </row>
    <row r="27">
      <c r="A27" s="8"/>
      <c r="B27" s="8"/>
      <c r="C27" s="8"/>
      <c r="D27" s="8"/>
      <c r="E27" s="8"/>
      <c r="F27" s="8"/>
      <c r="G27" s="8"/>
      <c r="H27" s="8"/>
      <c r="I27" s="8"/>
      <c r="J27" s="8"/>
      <c r="K27" s="8"/>
      <c r="L27" s="8"/>
      <c r="M27" s="8"/>
      <c r="N27" s="8"/>
      <c r="O27" s="8"/>
      <c r="P27" s="8"/>
      <c r="Q27" s="8"/>
      <c r="R27" s="8"/>
      <c r="S27" s="8"/>
      <c r="T27" s="8"/>
      <c r="U27" s="8"/>
      <c r="V27" s="8"/>
      <c r="W27" s="8"/>
      <c r="X27" s="8"/>
      <c r="Y27" s="8"/>
    </row>
    <row r="28">
      <c r="A28" s="8"/>
      <c r="B28" s="8"/>
      <c r="C28" s="8"/>
      <c r="D28" s="8"/>
      <c r="E28" s="8"/>
      <c r="F28" s="8"/>
      <c r="G28" s="8"/>
      <c r="H28" s="8"/>
      <c r="I28" s="8"/>
      <c r="J28" s="8"/>
      <c r="K28" s="8"/>
      <c r="L28" s="8"/>
      <c r="M28" s="8"/>
      <c r="N28" s="8"/>
      <c r="O28" s="8"/>
      <c r="P28" s="8"/>
      <c r="Q28" s="8"/>
      <c r="R28" s="8"/>
      <c r="S28" s="8"/>
      <c r="T28" s="8"/>
      <c r="U28" s="8"/>
      <c r="V28" s="8"/>
      <c r="W28" s="8"/>
      <c r="X28" s="8"/>
      <c r="Y28" s="8"/>
    </row>
    <row r="29">
      <c r="A29" s="8"/>
      <c r="B29" s="8"/>
      <c r="C29" s="8"/>
      <c r="D29" s="8"/>
      <c r="E29" s="8"/>
      <c r="F29" s="8"/>
      <c r="G29" s="8"/>
      <c r="H29" s="8"/>
      <c r="I29" s="8"/>
      <c r="J29" s="8"/>
      <c r="K29" s="8"/>
      <c r="L29" s="8"/>
      <c r="M29" s="8"/>
      <c r="N29" s="8"/>
      <c r="O29" s="8"/>
      <c r="P29" s="8"/>
      <c r="Q29" s="8"/>
      <c r="R29" s="8"/>
      <c r="S29" s="8"/>
      <c r="T29" s="8"/>
      <c r="U29" s="8"/>
      <c r="V29" s="8"/>
      <c r="W29" s="8"/>
      <c r="X29" s="8"/>
      <c r="Y29" s="8"/>
    </row>
    <row r="30">
      <c r="A30" s="8"/>
      <c r="B30" s="8"/>
      <c r="C30" s="8"/>
      <c r="D30" s="8"/>
      <c r="E30" s="8"/>
      <c r="F30" s="8"/>
      <c r="G30" s="8"/>
      <c r="H30" s="8"/>
      <c r="I30" s="8"/>
      <c r="J30" s="8"/>
      <c r="K30" s="8"/>
      <c r="L30" s="8"/>
      <c r="M30" s="8"/>
      <c r="N30" s="8"/>
      <c r="O30" s="8"/>
      <c r="P30" s="8"/>
      <c r="Q30" s="8"/>
      <c r="R30" s="8"/>
      <c r="S30" s="8"/>
      <c r="T30" s="8"/>
      <c r="U30" s="8"/>
      <c r="V30" s="8"/>
      <c r="W30" s="8"/>
      <c r="X30" s="8"/>
      <c r="Y30" s="8"/>
    </row>
    <row r="31">
      <c r="A31" s="8"/>
      <c r="B31" s="8"/>
      <c r="C31" s="8"/>
      <c r="D31" s="8"/>
      <c r="E31" s="8"/>
      <c r="F31" s="8"/>
      <c r="G31" s="8"/>
      <c r="H31" s="8"/>
      <c r="I31" s="8"/>
      <c r="J31" s="8"/>
      <c r="K31" s="8"/>
      <c r="L31" s="8"/>
      <c r="M31" s="8"/>
      <c r="N31" s="8"/>
      <c r="O31" s="8"/>
      <c r="P31" s="8"/>
      <c r="Q31" s="8"/>
      <c r="R31" s="8"/>
      <c r="S31" s="8"/>
      <c r="T31" s="8"/>
      <c r="U31" s="8"/>
      <c r="V31" s="8"/>
      <c r="W31" s="8"/>
      <c r="X31" s="8"/>
      <c r="Y31" s="8"/>
    </row>
    <row r="32">
      <c r="A32" s="8"/>
      <c r="B32" s="8"/>
      <c r="C32" s="8"/>
      <c r="D32" s="8"/>
      <c r="E32" s="8"/>
      <c r="F32" s="8"/>
      <c r="G32" s="8"/>
      <c r="H32" s="8"/>
      <c r="I32" s="8"/>
      <c r="J32" s="8"/>
      <c r="K32" s="8"/>
      <c r="L32" s="8"/>
      <c r="M32" s="8"/>
      <c r="N32" s="8"/>
      <c r="O32" s="8"/>
      <c r="P32" s="8"/>
      <c r="Q32" s="8"/>
      <c r="R32" s="8"/>
      <c r="S32" s="8"/>
      <c r="T32" s="8"/>
      <c r="U32" s="8"/>
      <c r="V32" s="8"/>
      <c r="W32" s="8"/>
      <c r="X32" s="8"/>
      <c r="Y32" s="8"/>
    </row>
    <row r="33">
      <c r="A33" s="8"/>
      <c r="B33" s="8"/>
      <c r="C33" s="8"/>
      <c r="D33" s="8"/>
      <c r="E33" s="8"/>
      <c r="F33" s="8"/>
      <c r="G33" s="8"/>
      <c r="H33" s="8"/>
      <c r="I33" s="8"/>
      <c r="J33" s="8"/>
      <c r="K33" s="8"/>
      <c r="L33" s="8"/>
      <c r="M33" s="8"/>
      <c r="N33" s="8"/>
      <c r="O33" s="8"/>
      <c r="P33" s="8"/>
      <c r="Q33" s="8"/>
      <c r="R33" s="8"/>
      <c r="S33" s="8"/>
      <c r="T33" s="8"/>
      <c r="U33" s="8"/>
      <c r="V33" s="8"/>
      <c r="W33" s="8"/>
      <c r="X33" s="8"/>
      <c r="Y33" s="8"/>
    </row>
    <row r="34">
      <c r="A34" s="8"/>
      <c r="B34" s="8"/>
      <c r="C34" s="8"/>
      <c r="D34" s="8"/>
      <c r="E34" s="8"/>
      <c r="F34" s="8"/>
      <c r="G34" s="8"/>
      <c r="H34" s="8"/>
      <c r="I34" s="8"/>
      <c r="J34" s="8"/>
      <c r="K34" s="8"/>
      <c r="L34" s="8"/>
      <c r="M34" s="8"/>
      <c r="N34" s="8"/>
      <c r="O34" s="8"/>
      <c r="P34" s="8"/>
      <c r="Q34" s="8"/>
      <c r="R34" s="8"/>
      <c r="S34" s="8"/>
      <c r="T34" s="8"/>
      <c r="U34" s="8"/>
      <c r="V34" s="8"/>
      <c r="W34" s="8"/>
      <c r="X34" s="8"/>
      <c r="Y34" s="8"/>
    </row>
    <row r="35">
      <c r="A35" s="8"/>
      <c r="B35" s="8"/>
      <c r="C35" s="8"/>
      <c r="D35" s="8"/>
      <c r="E35" s="8"/>
      <c r="F35" s="8"/>
      <c r="G35" s="8"/>
      <c r="H35" s="8"/>
      <c r="I35" s="8"/>
      <c r="J35" s="8"/>
      <c r="K35" s="8"/>
      <c r="L35" s="8"/>
      <c r="M35" s="8"/>
      <c r="N35" s="8"/>
      <c r="O35" s="8"/>
      <c r="P35" s="8"/>
      <c r="Q35" s="8"/>
      <c r="R35" s="8"/>
      <c r="S35" s="8"/>
      <c r="T35" s="8"/>
      <c r="U35" s="8"/>
      <c r="V35" s="8"/>
      <c r="W35" s="8"/>
      <c r="X35" s="8"/>
      <c r="Y35" s="8"/>
    </row>
    <row r="36">
      <c r="A36" s="8"/>
      <c r="B36" s="8"/>
      <c r="C36" s="8"/>
      <c r="D36" s="8"/>
      <c r="E36" s="8"/>
      <c r="F36" s="8"/>
      <c r="G36" s="8"/>
      <c r="H36" s="8"/>
      <c r="I36" s="8"/>
      <c r="J36" s="8"/>
      <c r="K36" s="8"/>
      <c r="L36" s="8"/>
      <c r="M36" s="8"/>
      <c r="N36" s="8"/>
      <c r="O36" s="8"/>
      <c r="P36" s="8"/>
      <c r="Q36" s="8"/>
      <c r="R36" s="8"/>
      <c r="S36" s="8"/>
      <c r="T36" s="8"/>
      <c r="U36" s="8"/>
      <c r="V36" s="8"/>
      <c r="W36" s="8"/>
      <c r="X36" s="8"/>
      <c r="Y36" s="8"/>
    </row>
    <row r="37">
      <c r="A37" s="8"/>
      <c r="B37" s="8"/>
      <c r="C37" s="8"/>
      <c r="D37" s="8"/>
      <c r="E37" s="8"/>
      <c r="F37" s="8"/>
      <c r="G37" s="8"/>
      <c r="H37" s="8"/>
      <c r="I37" s="8"/>
      <c r="J37" s="8"/>
      <c r="K37" s="8"/>
      <c r="L37" s="8"/>
      <c r="M37" s="8"/>
      <c r="N37" s="8"/>
      <c r="O37" s="8"/>
      <c r="P37" s="8"/>
      <c r="Q37" s="8"/>
      <c r="R37" s="8"/>
      <c r="S37" s="8"/>
      <c r="T37" s="8"/>
      <c r="U37" s="8"/>
      <c r="V37" s="8"/>
      <c r="W37" s="8"/>
      <c r="X37" s="8"/>
      <c r="Y37" s="8"/>
    </row>
    <row r="38">
      <c r="A38" s="8"/>
      <c r="B38" s="8"/>
      <c r="C38" s="8"/>
      <c r="D38" s="8"/>
      <c r="E38" s="8"/>
      <c r="F38" s="8"/>
      <c r="G38" s="8"/>
      <c r="H38" s="8"/>
      <c r="I38" s="8"/>
      <c r="J38" s="8"/>
      <c r="K38" s="8"/>
      <c r="L38" s="8"/>
      <c r="M38" s="8"/>
      <c r="N38" s="8"/>
      <c r="O38" s="8"/>
      <c r="P38" s="8"/>
      <c r="Q38" s="8"/>
      <c r="R38" s="8"/>
      <c r="S38" s="8"/>
      <c r="T38" s="8"/>
      <c r="U38" s="8"/>
      <c r="V38" s="8"/>
      <c r="W38" s="8"/>
      <c r="X38" s="8"/>
      <c r="Y38" s="8"/>
    </row>
    <row r="39">
      <c r="A39" s="8"/>
      <c r="B39" s="8"/>
      <c r="C39" s="8"/>
      <c r="D39" s="8"/>
      <c r="E39" s="8"/>
      <c r="F39" s="8"/>
      <c r="G39" s="8"/>
      <c r="H39" s="8"/>
      <c r="I39" s="8"/>
      <c r="J39" s="8"/>
      <c r="K39" s="8"/>
      <c r="L39" s="8"/>
      <c r="M39" s="8"/>
      <c r="N39" s="8"/>
      <c r="O39" s="8"/>
      <c r="P39" s="8"/>
      <c r="Q39" s="8"/>
      <c r="R39" s="8"/>
      <c r="S39" s="8"/>
      <c r="T39" s="8"/>
      <c r="U39" s="8"/>
      <c r="V39" s="8"/>
      <c r="W39" s="8"/>
      <c r="X39" s="8"/>
      <c r="Y39" s="8"/>
    </row>
    <row r="40">
      <c r="A40" s="8"/>
      <c r="B40" s="8"/>
      <c r="C40" s="8"/>
      <c r="D40" s="8"/>
      <c r="E40" s="8"/>
      <c r="F40" s="8"/>
      <c r="G40" s="8"/>
      <c r="H40" s="8"/>
      <c r="I40" s="8"/>
      <c r="J40" s="8"/>
      <c r="K40" s="8"/>
      <c r="L40" s="8"/>
      <c r="M40" s="8"/>
      <c r="N40" s="8"/>
      <c r="O40" s="8"/>
      <c r="P40" s="8"/>
      <c r="Q40" s="8"/>
      <c r="R40" s="8"/>
      <c r="S40" s="8"/>
      <c r="T40" s="8"/>
      <c r="U40" s="8"/>
      <c r="V40" s="8"/>
      <c r="W40" s="8"/>
      <c r="X40" s="8"/>
      <c r="Y40" s="8"/>
    </row>
    <row r="41">
      <c r="A41" s="8"/>
      <c r="B41" s="8"/>
      <c r="C41" s="8"/>
      <c r="D41" s="8"/>
      <c r="E41" s="8"/>
      <c r="F41" s="8"/>
      <c r="G41" s="8"/>
      <c r="H41" s="8"/>
      <c r="I41" s="8"/>
      <c r="J41" s="8"/>
      <c r="K41" s="8"/>
      <c r="L41" s="8"/>
      <c r="M41" s="8"/>
      <c r="N41" s="8"/>
      <c r="O41" s="8"/>
      <c r="P41" s="8"/>
      <c r="Q41" s="8"/>
      <c r="R41" s="8"/>
      <c r="S41" s="8"/>
      <c r="T41" s="8"/>
      <c r="U41" s="8"/>
      <c r="V41" s="8"/>
      <c r="W41" s="8"/>
      <c r="X41" s="8"/>
      <c r="Y41" s="8"/>
    </row>
    <row r="42">
      <c r="A42" s="8"/>
      <c r="B42" s="8"/>
      <c r="C42" s="8"/>
      <c r="D42" s="8"/>
      <c r="E42" s="8"/>
      <c r="F42" s="8"/>
      <c r="G42" s="8"/>
      <c r="H42" s="8"/>
      <c r="I42" s="8"/>
      <c r="J42" s="8"/>
      <c r="K42" s="8"/>
      <c r="L42" s="8"/>
      <c r="M42" s="8"/>
      <c r="N42" s="8"/>
      <c r="O42" s="8"/>
      <c r="P42" s="8"/>
      <c r="Q42" s="8"/>
      <c r="R42" s="8"/>
      <c r="S42" s="8"/>
      <c r="T42" s="8"/>
      <c r="U42" s="8"/>
      <c r="V42" s="8"/>
      <c r="W42" s="8"/>
      <c r="X42" s="8"/>
      <c r="Y42" s="8"/>
    </row>
    <row r="43">
      <c r="A43" s="8"/>
      <c r="B43" s="8"/>
      <c r="C43" s="8"/>
      <c r="D43" s="8"/>
      <c r="E43" s="8"/>
      <c r="F43" s="8"/>
      <c r="G43" s="8"/>
      <c r="H43" s="8"/>
      <c r="I43" s="8"/>
      <c r="J43" s="8"/>
      <c r="K43" s="8"/>
      <c r="L43" s="8"/>
      <c r="M43" s="8"/>
      <c r="N43" s="8"/>
      <c r="O43" s="8"/>
      <c r="P43" s="8"/>
      <c r="Q43" s="8"/>
      <c r="R43" s="8"/>
      <c r="S43" s="8"/>
      <c r="T43" s="8"/>
      <c r="U43" s="8"/>
      <c r="V43" s="8"/>
      <c r="W43" s="8"/>
      <c r="X43" s="8"/>
      <c r="Y43" s="8"/>
    </row>
    <row r="44">
      <c r="A44" s="8"/>
      <c r="B44" s="8"/>
      <c r="C44" s="8"/>
      <c r="D44" s="8"/>
      <c r="E44" s="8"/>
      <c r="F44" s="8"/>
      <c r="G44" s="8"/>
      <c r="H44" s="8"/>
      <c r="I44" s="8"/>
      <c r="J44" s="8"/>
      <c r="K44" s="8"/>
      <c r="L44" s="8"/>
      <c r="M44" s="8"/>
      <c r="N44" s="8"/>
      <c r="O44" s="8"/>
      <c r="P44" s="8"/>
      <c r="Q44" s="8"/>
      <c r="R44" s="8"/>
      <c r="S44" s="8"/>
      <c r="T44" s="8"/>
      <c r="U44" s="8"/>
      <c r="V44" s="8"/>
      <c r="W44" s="8"/>
      <c r="X44" s="8"/>
      <c r="Y44" s="8"/>
    </row>
    <row r="45">
      <c r="A45" s="8"/>
      <c r="B45" s="8"/>
      <c r="C45" s="8"/>
      <c r="D45" s="8"/>
      <c r="E45" s="8"/>
      <c r="F45" s="8"/>
      <c r="G45" s="8"/>
      <c r="H45" s="8"/>
      <c r="I45" s="8"/>
      <c r="J45" s="8"/>
      <c r="K45" s="8"/>
      <c r="L45" s="8"/>
      <c r="M45" s="8"/>
      <c r="N45" s="8"/>
      <c r="O45" s="8"/>
      <c r="P45" s="8"/>
      <c r="Q45" s="8"/>
      <c r="R45" s="8"/>
      <c r="S45" s="8"/>
      <c r="T45" s="8"/>
      <c r="U45" s="8"/>
      <c r="V45" s="8"/>
      <c r="W45" s="8"/>
      <c r="X45" s="8"/>
      <c r="Y45" s="8"/>
    </row>
    <row r="46">
      <c r="A46" s="8"/>
      <c r="B46" s="8"/>
      <c r="C46" s="8"/>
      <c r="D46" s="8"/>
      <c r="E46" s="8"/>
      <c r="F46" s="8"/>
      <c r="G46" s="8"/>
      <c r="H46" s="8"/>
      <c r="I46" s="8"/>
      <c r="J46" s="8"/>
      <c r="K46" s="8"/>
      <c r="L46" s="8"/>
      <c r="M46" s="8"/>
      <c r="N46" s="8"/>
      <c r="O46" s="8"/>
      <c r="P46" s="8"/>
      <c r="Q46" s="8"/>
      <c r="R46" s="8"/>
      <c r="S46" s="8"/>
      <c r="T46" s="8"/>
      <c r="U46" s="8"/>
      <c r="V46" s="8"/>
      <c r="W46" s="8"/>
      <c r="X46" s="8"/>
      <c r="Y46" s="8"/>
    </row>
    <row r="47">
      <c r="A47" s="8"/>
      <c r="B47" s="8"/>
      <c r="C47" s="8"/>
      <c r="D47" s="8"/>
      <c r="E47" s="8"/>
      <c r="F47" s="8"/>
      <c r="G47" s="8"/>
      <c r="H47" s="8"/>
      <c r="I47" s="8"/>
      <c r="J47" s="8"/>
      <c r="K47" s="8"/>
      <c r="L47" s="8"/>
      <c r="M47" s="8"/>
      <c r="N47" s="8"/>
      <c r="O47" s="8"/>
      <c r="P47" s="8"/>
      <c r="Q47" s="8"/>
      <c r="R47" s="8"/>
      <c r="S47" s="8"/>
      <c r="T47" s="8"/>
      <c r="U47" s="8"/>
      <c r="V47" s="8"/>
      <c r="W47" s="8"/>
      <c r="X47" s="8"/>
      <c r="Y47" s="8"/>
    </row>
    <row r="48">
      <c r="A48" s="8"/>
      <c r="B48" s="8"/>
      <c r="C48" s="8"/>
      <c r="D48" s="8"/>
      <c r="E48" s="8"/>
      <c r="F48" s="8"/>
      <c r="G48" s="8"/>
      <c r="H48" s="8"/>
      <c r="I48" s="8"/>
      <c r="J48" s="8"/>
      <c r="K48" s="8"/>
      <c r="L48" s="8"/>
      <c r="M48" s="8"/>
      <c r="N48" s="8"/>
      <c r="O48" s="8"/>
      <c r="P48" s="8"/>
      <c r="Q48" s="8"/>
      <c r="R48" s="8"/>
      <c r="S48" s="8"/>
      <c r="T48" s="8"/>
      <c r="U48" s="8"/>
      <c r="V48" s="8"/>
      <c r="W48" s="8"/>
      <c r="X48" s="8"/>
      <c r="Y48" s="8"/>
    </row>
    <row r="49">
      <c r="A49" s="8"/>
      <c r="B49" s="8"/>
      <c r="C49" s="8"/>
      <c r="D49" s="8"/>
      <c r="E49" s="8"/>
      <c r="F49" s="8"/>
      <c r="G49" s="8"/>
      <c r="H49" s="8"/>
      <c r="I49" s="8"/>
      <c r="J49" s="8"/>
      <c r="K49" s="8"/>
      <c r="L49" s="8"/>
      <c r="M49" s="8"/>
      <c r="N49" s="8"/>
      <c r="O49" s="8"/>
      <c r="P49" s="8"/>
      <c r="Q49" s="8"/>
      <c r="R49" s="8"/>
      <c r="S49" s="8"/>
      <c r="T49" s="8"/>
      <c r="U49" s="8"/>
      <c r="V49" s="8"/>
      <c r="W49" s="8"/>
      <c r="X49" s="8"/>
      <c r="Y49" s="8"/>
    </row>
    <row r="50">
      <c r="A50" s="8"/>
      <c r="B50" s="8"/>
      <c r="C50" s="8"/>
      <c r="D50" s="8"/>
      <c r="E50" s="8"/>
      <c r="F50" s="8"/>
      <c r="G50" s="8"/>
      <c r="H50" s="8"/>
      <c r="I50" s="8"/>
      <c r="J50" s="8"/>
      <c r="K50" s="8"/>
      <c r="L50" s="8"/>
      <c r="M50" s="8"/>
      <c r="N50" s="8"/>
      <c r="O50" s="8"/>
      <c r="P50" s="8"/>
      <c r="Q50" s="8"/>
      <c r="R50" s="8"/>
      <c r="S50" s="8"/>
      <c r="T50" s="8"/>
      <c r="U50" s="8"/>
      <c r="V50" s="8"/>
      <c r="W50" s="8"/>
      <c r="X50" s="8"/>
      <c r="Y50" s="8"/>
    </row>
    <row r="51">
      <c r="A51" s="8"/>
      <c r="B51" s="8"/>
      <c r="C51" s="8"/>
      <c r="D51" s="8"/>
      <c r="E51" s="8"/>
      <c r="F51" s="8"/>
      <c r="G51" s="8"/>
      <c r="H51" s="8"/>
      <c r="I51" s="8"/>
      <c r="J51" s="8"/>
      <c r="K51" s="8"/>
      <c r="L51" s="8"/>
      <c r="M51" s="8"/>
      <c r="N51" s="8"/>
      <c r="O51" s="8"/>
      <c r="P51" s="8"/>
      <c r="Q51" s="8"/>
      <c r="R51" s="8"/>
      <c r="S51" s="8"/>
      <c r="T51" s="8"/>
      <c r="U51" s="8"/>
      <c r="V51" s="8"/>
      <c r="W51" s="8"/>
      <c r="X51" s="8"/>
      <c r="Y51" s="8"/>
    </row>
    <row r="52">
      <c r="A52" s="8"/>
      <c r="B52" s="8"/>
      <c r="C52" s="8"/>
      <c r="D52" s="8"/>
      <c r="E52" s="8"/>
      <c r="F52" s="8"/>
      <c r="G52" s="8"/>
      <c r="H52" s="8"/>
      <c r="I52" s="8"/>
      <c r="J52" s="8"/>
      <c r="K52" s="8"/>
      <c r="L52" s="8"/>
      <c r="M52" s="8"/>
      <c r="N52" s="8"/>
      <c r="O52" s="8"/>
      <c r="P52" s="8"/>
      <c r="Q52" s="8"/>
      <c r="R52" s="8"/>
      <c r="S52" s="8"/>
      <c r="T52" s="8"/>
      <c r="U52" s="8"/>
      <c r="V52" s="8"/>
      <c r="W52" s="8"/>
      <c r="X52" s="8"/>
      <c r="Y52" s="8"/>
    </row>
    <row r="53">
      <c r="A53" s="8"/>
      <c r="B53" s="8"/>
      <c r="C53" s="8"/>
      <c r="D53" s="8"/>
      <c r="E53" s="8"/>
      <c r="F53" s="8"/>
      <c r="G53" s="8"/>
      <c r="H53" s="8"/>
      <c r="I53" s="8"/>
      <c r="J53" s="8"/>
      <c r="K53" s="8"/>
      <c r="L53" s="8"/>
      <c r="M53" s="8"/>
      <c r="N53" s="8"/>
      <c r="O53" s="8"/>
      <c r="P53" s="8"/>
      <c r="Q53" s="8"/>
      <c r="R53" s="8"/>
      <c r="S53" s="8"/>
      <c r="T53" s="8"/>
      <c r="U53" s="8"/>
      <c r="V53" s="8"/>
      <c r="W53" s="8"/>
      <c r="X53" s="8"/>
      <c r="Y53" s="8"/>
    </row>
    <row r="54">
      <c r="A54" s="8"/>
      <c r="B54" s="8"/>
      <c r="C54" s="8"/>
      <c r="D54" s="8"/>
      <c r="E54" s="8"/>
      <c r="F54" s="8"/>
      <c r="G54" s="8"/>
      <c r="H54" s="8"/>
      <c r="I54" s="8"/>
      <c r="J54" s="8"/>
      <c r="K54" s="8"/>
      <c r="L54" s="8"/>
      <c r="M54" s="8"/>
      <c r="N54" s="8"/>
      <c r="O54" s="8"/>
      <c r="P54" s="8"/>
      <c r="Q54" s="8"/>
      <c r="R54" s="8"/>
      <c r="S54" s="8"/>
      <c r="T54" s="8"/>
      <c r="U54" s="8"/>
      <c r="V54" s="8"/>
      <c r="W54" s="8"/>
      <c r="X54" s="8"/>
      <c r="Y54" s="8"/>
    </row>
    <row r="55">
      <c r="A55" s="8"/>
      <c r="B55" s="8"/>
      <c r="C55" s="8"/>
      <c r="D55" s="8"/>
      <c r="E55" s="8"/>
      <c r="F55" s="8"/>
      <c r="G55" s="8"/>
      <c r="H55" s="8"/>
      <c r="I55" s="8"/>
      <c r="J55" s="8"/>
      <c r="K55" s="8"/>
      <c r="L55" s="8"/>
      <c r="M55" s="8"/>
      <c r="N55" s="8"/>
      <c r="O55" s="8"/>
      <c r="P55" s="8"/>
      <c r="Q55" s="8"/>
      <c r="R55" s="8"/>
      <c r="S55" s="8"/>
      <c r="T55" s="8"/>
      <c r="U55" s="8"/>
      <c r="V55" s="8"/>
      <c r="W55" s="8"/>
      <c r="X55" s="8"/>
      <c r="Y55" s="8"/>
    </row>
    <row r="56">
      <c r="A56" s="8"/>
      <c r="B56" s="8"/>
      <c r="C56" s="8"/>
      <c r="D56" s="8"/>
      <c r="E56" s="8"/>
      <c r="F56" s="8"/>
      <c r="G56" s="8"/>
      <c r="H56" s="8"/>
      <c r="I56" s="8"/>
      <c r="J56" s="8"/>
      <c r="K56" s="8"/>
      <c r="L56" s="8"/>
      <c r="M56" s="8"/>
      <c r="N56" s="8"/>
      <c r="O56" s="8"/>
      <c r="P56" s="8"/>
      <c r="Q56" s="8"/>
      <c r="R56" s="8"/>
      <c r="S56" s="8"/>
      <c r="T56" s="8"/>
      <c r="U56" s="8"/>
      <c r="V56" s="8"/>
      <c r="W56" s="8"/>
      <c r="X56" s="8"/>
      <c r="Y56" s="8"/>
    </row>
    <row r="57">
      <c r="A57" s="8"/>
      <c r="B57" s="8"/>
      <c r="C57" s="8"/>
      <c r="D57" s="8"/>
      <c r="E57" s="8"/>
      <c r="F57" s="8"/>
      <c r="G57" s="8"/>
      <c r="H57" s="8"/>
      <c r="I57" s="8"/>
      <c r="J57" s="8"/>
      <c r="K57" s="8"/>
      <c r="L57" s="8"/>
      <c r="M57" s="8"/>
      <c r="N57" s="8"/>
      <c r="O57" s="8"/>
      <c r="P57" s="8"/>
      <c r="Q57" s="8"/>
      <c r="R57" s="8"/>
      <c r="S57" s="8"/>
      <c r="T57" s="8"/>
      <c r="U57" s="8"/>
      <c r="V57" s="8"/>
      <c r="W57" s="8"/>
      <c r="X57" s="8"/>
      <c r="Y57" s="8"/>
    </row>
    <row r="58">
      <c r="A58" s="8"/>
      <c r="B58" s="8"/>
      <c r="C58" s="8"/>
      <c r="D58" s="8"/>
      <c r="E58" s="8"/>
      <c r="F58" s="8"/>
      <c r="G58" s="8"/>
      <c r="H58" s="8"/>
      <c r="I58" s="8"/>
      <c r="J58" s="8"/>
      <c r="K58" s="8"/>
      <c r="L58" s="8"/>
      <c r="M58" s="8"/>
      <c r="N58" s="8"/>
      <c r="O58" s="8"/>
      <c r="P58" s="8"/>
      <c r="Q58" s="8"/>
      <c r="R58" s="8"/>
      <c r="S58" s="8"/>
      <c r="T58" s="8"/>
      <c r="U58" s="8"/>
      <c r="V58" s="8"/>
      <c r="W58" s="8"/>
      <c r="X58" s="8"/>
      <c r="Y58" s="8"/>
    </row>
    <row r="59">
      <c r="A59" s="8"/>
      <c r="B59" s="8"/>
      <c r="C59" s="8"/>
      <c r="D59" s="8"/>
      <c r="E59" s="8"/>
      <c r="F59" s="8"/>
      <c r="G59" s="8"/>
      <c r="H59" s="8"/>
      <c r="I59" s="8"/>
      <c r="J59" s="8"/>
      <c r="K59" s="8"/>
      <c r="L59" s="8"/>
      <c r="M59" s="8"/>
      <c r="N59" s="8"/>
      <c r="O59" s="8"/>
      <c r="P59" s="8"/>
      <c r="Q59" s="8"/>
      <c r="R59" s="8"/>
      <c r="S59" s="8"/>
      <c r="T59" s="8"/>
      <c r="U59" s="8"/>
      <c r="V59" s="8"/>
      <c r="W59" s="8"/>
      <c r="X59" s="8"/>
      <c r="Y59" s="8"/>
    </row>
    <row r="60">
      <c r="A60" s="8"/>
      <c r="B60" s="8"/>
      <c r="C60" s="8"/>
      <c r="D60" s="8"/>
      <c r="E60" s="8"/>
      <c r="F60" s="8"/>
      <c r="G60" s="8"/>
      <c r="H60" s="8"/>
      <c r="I60" s="8"/>
      <c r="J60" s="8"/>
      <c r="K60" s="8"/>
      <c r="L60" s="8"/>
      <c r="M60" s="8"/>
      <c r="N60" s="8"/>
      <c r="O60" s="8"/>
      <c r="P60" s="8"/>
      <c r="Q60" s="8"/>
      <c r="R60" s="8"/>
      <c r="S60" s="8"/>
      <c r="T60" s="8"/>
      <c r="U60" s="8"/>
      <c r="V60" s="8"/>
      <c r="W60" s="8"/>
      <c r="X60" s="8"/>
      <c r="Y60" s="8"/>
    </row>
    <row r="61">
      <c r="A61" s="8"/>
      <c r="B61" s="8"/>
      <c r="C61" s="8"/>
      <c r="D61" s="8"/>
      <c r="E61" s="8"/>
      <c r="F61" s="8"/>
      <c r="G61" s="8"/>
      <c r="H61" s="8"/>
      <c r="I61" s="8"/>
      <c r="J61" s="8"/>
      <c r="K61" s="8"/>
      <c r="L61" s="8"/>
      <c r="M61" s="8"/>
      <c r="N61" s="8"/>
      <c r="O61" s="8"/>
      <c r="P61" s="8"/>
      <c r="Q61" s="8"/>
      <c r="R61" s="8"/>
      <c r="S61" s="8"/>
      <c r="T61" s="8"/>
      <c r="U61" s="8"/>
      <c r="V61" s="8"/>
      <c r="W61" s="8"/>
      <c r="X61" s="8"/>
      <c r="Y61" s="8"/>
    </row>
    <row r="62">
      <c r="A62" s="8"/>
      <c r="B62" s="8"/>
      <c r="C62" s="8"/>
      <c r="D62" s="8"/>
      <c r="E62" s="8"/>
      <c r="F62" s="8"/>
      <c r="G62" s="8"/>
      <c r="H62" s="8"/>
      <c r="I62" s="8"/>
      <c r="J62" s="8"/>
      <c r="K62" s="8"/>
      <c r="L62" s="8"/>
      <c r="M62" s="8"/>
      <c r="N62" s="8"/>
      <c r="O62" s="8"/>
      <c r="P62" s="8"/>
      <c r="Q62" s="8"/>
      <c r="R62" s="8"/>
      <c r="S62" s="8"/>
      <c r="T62" s="8"/>
      <c r="U62" s="8"/>
      <c r="V62" s="8"/>
      <c r="W62" s="8"/>
      <c r="X62" s="8"/>
      <c r="Y62" s="8"/>
    </row>
    <row r="63">
      <c r="A63" s="8"/>
      <c r="B63" s="8"/>
      <c r="C63" s="8"/>
      <c r="D63" s="8"/>
      <c r="E63" s="8"/>
      <c r="F63" s="8"/>
      <c r="G63" s="8"/>
      <c r="H63" s="8"/>
      <c r="I63" s="8"/>
      <c r="J63" s="8"/>
      <c r="K63" s="8"/>
      <c r="L63" s="8"/>
      <c r="M63" s="8"/>
      <c r="N63" s="8"/>
      <c r="O63" s="8"/>
      <c r="P63" s="8"/>
      <c r="Q63" s="8"/>
      <c r="R63" s="8"/>
      <c r="S63" s="8"/>
      <c r="T63" s="8"/>
      <c r="U63" s="8"/>
      <c r="V63" s="8"/>
      <c r="W63" s="8"/>
      <c r="X63" s="8"/>
      <c r="Y63" s="8"/>
    </row>
    <row r="64">
      <c r="A64" s="8"/>
      <c r="B64" s="8"/>
      <c r="C64" s="8"/>
      <c r="D64" s="8"/>
      <c r="E64" s="8"/>
      <c r="F64" s="8"/>
      <c r="G64" s="8"/>
      <c r="H64" s="8"/>
      <c r="I64" s="8"/>
      <c r="J64" s="8"/>
      <c r="K64" s="8"/>
      <c r="L64" s="8"/>
      <c r="M64" s="8"/>
      <c r="N64" s="8"/>
      <c r="O64" s="8"/>
      <c r="P64" s="8"/>
      <c r="Q64" s="8"/>
      <c r="R64" s="8"/>
      <c r="S64" s="8"/>
      <c r="T64" s="8"/>
      <c r="U64" s="8"/>
      <c r="V64" s="8"/>
      <c r="W64" s="8"/>
      <c r="X64" s="8"/>
      <c r="Y64" s="8"/>
    </row>
    <row r="65">
      <c r="A65" s="8"/>
      <c r="B65" s="8"/>
      <c r="C65" s="8"/>
      <c r="D65" s="8"/>
      <c r="E65" s="8"/>
      <c r="F65" s="8"/>
      <c r="G65" s="8"/>
      <c r="H65" s="8"/>
      <c r="I65" s="8"/>
      <c r="J65" s="8"/>
      <c r="K65" s="8"/>
      <c r="L65" s="8"/>
      <c r="M65" s="8"/>
      <c r="N65" s="8"/>
      <c r="O65" s="8"/>
      <c r="P65" s="8"/>
      <c r="Q65" s="8"/>
      <c r="R65" s="8"/>
      <c r="S65" s="8"/>
      <c r="T65" s="8"/>
      <c r="U65" s="8"/>
      <c r="V65" s="8"/>
      <c r="W65" s="8"/>
      <c r="X65" s="8"/>
      <c r="Y65" s="8"/>
    </row>
    <row r="66">
      <c r="A66" s="8"/>
      <c r="B66" s="8"/>
      <c r="C66" s="8"/>
      <c r="D66" s="8"/>
      <c r="E66" s="8"/>
      <c r="F66" s="8"/>
      <c r="G66" s="8"/>
      <c r="H66" s="8"/>
      <c r="I66" s="8"/>
      <c r="J66" s="8"/>
      <c r="K66" s="8"/>
      <c r="L66" s="8"/>
      <c r="M66" s="8"/>
      <c r="N66" s="8"/>
      <c r="O66" s="8"/>
      <c r="P66" s="8"/>
      <c r="Q66" s="8"/>
      <c r="R66" s="8"/>
      <c r="S66" s="8"/>
      <c r="T66" s="8"/>
      <c r="U66" s="8"/>
      <c r="V66" s="8"/>
      <c r="W66" s="8"/>
      <c r="X66" s="8"/>
      <c r="Y66" s="8"/>
    </row>
    <row r="67">
      <c r="A67" s="8"/>
      <c r="B67" s="8"/>
      <c r="C67" s="8"/>
      <c r="D67" s="8"/>
      <c r="E67" s="8"/>
      <c r="F67" s="8"/>
      <c r="G67" s="8"/>
      <c r="H67" s="8"/>
      <c r="I67" s="8"/>
      <c r="J67" s="8"/>
      <c r="K67" s="8"/>
      <c r="L67" s="8"/>
      <c r="M67" s="8"/>
      <c r="N67" s="8"/>
      <c r="O67" s="8"/>
      <c r="P67" s="8"/>
      <c r="Q67" s="8"/>
      <c r="R67" s="8"/>
      <c r="S67" s="8"/>
      <c r="T67" s="8"/>
      <c r="U67" s="8"/>
      <c r="V67" s="8"/>
      <c r="W67" s="8"/>
      <c r="X67" s="8"/>
      <c r="Y67" s="8"/>
    </row>
    <row r="68">
      <c r="A68" s="8"/>
      <c r="B68" s="8"/>
      <c r="C68" s="8"/>
      <c r="D68" s="8"/>
      <c r="E68" s="8"/>
      <c r="F68" s="8"/>
      <c r="G68" s="8"/>
      <c r="H68" s="8"/>
      <c r="I68" s="8"/>
      <c r="J68" s="8"/>
      <c r="K68" s="8"/>
      <c r="L68" s="8"/>
      <c r="M68" s="8"/>
      <c r="N68" s="8"/>
      <c r="O68" s="8"/>
      <c r="P68" s="8"/>
      <c r="Q68" s="8"/>
      <c r="R68" s="8"/>
      <c r="S68" s="8"/>
      <c r="T68" s="8"/>
      <c r="U68" s="8"/>
      <c r="V68" s="8"/>
      <c r="W68" s="8"/>
      <c r="X68" s="8"/>
      <c r="Y68" s="8"/>
    </row>
    <row r="69">
      <c r="A69" s="8"/>
      <c r="B69" s="8"/>
      <c r="C69" s="8"/>
      <c r="D69" s="8"/>
      <c r="E69" s="8"/>
      <c r="F69" s="8"/>
      <c r="G69" s="8"/>
      <c r="H69" s="8"/>
      <c r="I69" s="8"/>
      <c r="J69" s="8"/>
      <c r="K69" s="8"/>
      <c r="L69" s="8"/>
      <c r="M69" s="8"/>
      <c r="N69" s="8"/>
      <c r="O69" s="8"/>
      <c r="P69" s="8"/>
      <c r="Q69" s="8"/>
      <c r="R69" s="8"/>
      <c r="S69" s="8"/>
      <c r="T69" s="8"/>
      <c r="U69" s="8"/>
      <c r="V69" s="8"/>
      <c r="W69" s="8"/>
      <c r="X69" s="8"/>
      <c r="Y69" s="8"/>
    </row>
    <row r="70">
      <c r="A70" s="8"/>
      <c r="B70" s="8"/>
      <c r="C70" s="8"/>
      <c r="D70" s="8"/>
      <c r="E70" s="8"/>
      <c r="F70" s="8"/>
      <c r="G70" s="8"/>
      <c r="H70" s="8"/>
      <c r="I70" s="8"/>
      <c r="J70" s="8"/>
      <c r="K70" s="8"/>
      <c r="L70" s="8"/>
      <c r="M70" s="8"/>
      <c r="N70" s="8"/>
      <c r="O70" s="8"/>
      <c r="P70" s="8"/>
      <c r="Q70" s="8"/>
      <c r="R70" s="8"/>
      <c r="S70" s="8"/>
      <c r="T70" s="8"/>
      <c r="U70" s="8"/>
      <c r="V70" s="8"/>
      <c r="W70" s="8"/>
      <c r="X70" s="8"/>
      <c r="Y70" s="8"/>
    </row>
    <row r="71">
      <c r="A71" s="8"/>
      <c r="B71" s="8"/>
      <c r="C71" s="8"/>
      <c r="D71" s="8"/>
      <c r="E71" s="8"/>
      <c r="F71" s="8"/>
      <c r="G71" s="8"/>
      <c r="H71" s="8"/>
      <c r="I71" s="8"/>
      <c r="J71" s="8"/>
      <c r="K71" s="8"/>
      <c r="L71" s="8"/>
      <c r="M71" s="8"/>
      <c r="N71" s="8"/>
      <c r="O71" s="8"/>
      <c r="P71" s="8"/>
      <c r="Q71" s="8"/>
      <c r="R71" s="8"/>
      <c r="S71" s="8"/>
      <c r="T71" s="8"/>
      <c r="U71" s="8"/>
      <c r="V71" s="8"/>
      <c r="W71" s="8"/>
      <c r="X71" s="8"/>
      <c r="Y71" s="8"/>
    </row>
    <row r="72">
      <c r="A72" s="8"/>
      <c r="B72" s="8"/>
      <c r="C72" s="8"/>
      <c r="D72" s="8"/>
      <c r="E72" s="8"/>
      <c r="F72" s="8"/>
      <c r="G72" s="8"/>
      <c r="H72" s="8"/>
      <c r="I72" s="8"/>
      <c r="J72" s="8"/>
      <c r="K72" s="8"/>
      <c r="L72" s="8"/>
      <c r="M72" s="8"/>
      <c r="N72" s="8"/>
      <c r="O72" s="8"/>
      <c r="P72" s="8"/>
      <c r="Q72" s="8"/>
      <c r="R72" s="8"/>
      <c r="S72" s="8"/>
      <c r="T72" s="8"/>
      <c r="U72" s="8"/>
      <c r="V72" s="8"/>
      <c r="W72" s="8"/>
      <c r="X72" s="8"/>
      <c r="Y72" s="8"/>
    </row>
    <row r="73">
      <c r="A73" s="8"/>
      <c r="B73" s="8"/>
      <c r="C73" s="8"/>
      <c r="D73" s="8"/>
      <c r="E73" s="8"/>
      <c r="F73" s="8"/>
      <c r="G73" s="8"/>
      <c r="H73" s="8"/>
      <c r="I73" s="8"/>
      <c r="J73" s="8"/>
      <c r="K73" s="8"/>
      <c r="L73" s="8"/>
      <c r="M73" s="8"/>
      <c r="N73" s="8"/>
      <c r="O73" s="8"/>
      <c r="P73" s="8"/>
      <c r="Q73" s="8"/>
      <c r="R73" s="8"/>
      <c r="S73" s="8"/>
      <c r="T73" s="8"/>
      <c r="U73" s="8"/>
      <c r="V73" s="8"/>
      <c r="W73" s="8"/>
      <c r="X73" s="8"/>
      <c r="Y73" s="8"/>
    </row>
    <row r="74">
      <c r="A74" s="8"/>
      <c r="B74" s="8"/>
      <c r="C74" s="8"/>
      <c r="D74" s="8"/>
      <c r="E74" s="8"/>
      <c r="F74" s="8"/>
      <c r="G74" s="8"/>
      <c r="H74" s="8"/>
      <c r="I74" s="8"/>
      <c r="J74" s="8"/>
      <c r="K74" s="8"/>
      <c r="L74" s="8"/>
      <c r="M74" s="8"/>
      <c r="N74" s="8"/>
      <c r="O74" s="8"/>
      <c r="P74" s="8"/>
      <c r="Q74" s="8"/>
      <c r="R74" s="8"/>
      <c r="S74" s="8"/>
      <c r="T74" s="8"/>
      <c r="U74" s="8"/>
      <c r="V74" s="8"/>
      <c r="W74" s="8"/>
      <c r="X74" s="8"/>
      <c r="Y74" s="8"/>
    </row>
    <row r="75">
      <c r="A75" s="8"/>
      <c r="B75" s="8"/>
      <c r="C75" s="8"/>
      <c r="D75" s="8"/>
      <c r="E75" s="8"/>
      <c r="F75" s="8"/>
      <c r="G75" s="8"/>
      <c r="H75" s="8"/>
      <c r="I75" s="8"/>
      <c r="J75" s="8"/>
      <c r="K75" s="8"/>
      <c r="L75" s="8"/>
      <c r="M75" s="8"/>
      <c r="N75" s="8"/>
      <c r="O75" s="8"/>
      <c r="P75" s="8"/>
      <c r="Q75" s="8"/>
      <c r="R75" s="8"/>
      <c r="S75" s="8"/>
      <c r="T75" s="8"/>
      <c r="U75" s="8"/>
      <c r="V75" s="8"/>
      <c r="W75" s="8"/>
      <c r="X75" s="8"/>
      <c r="Y75" s="8"/>
    </row>
    <row r="76">
      <c r="A76" s="8"/>
      <c r="B76" s="8"/>
      <c r="C76" s="8"/>
      <c r="D76" s="8"/>
      <c r="E76" s="8"/>
      <c r="F76" s="8"/>
      <c r="G76" s="8"/>
      <c r="H76" s="8"/>
      <c r="I76" s="8"/>
      <c r="J76" s="8"/>
      <c r="K76" s="8"/>
      <c r="L76" s="8"/>
      <c r="M76" s="8"/>
      <c r="N76" s="8"/>
      <c r="O76" s="8"/>
      <c r="P76" s="8"/>
      <c r="Q76" s="8"/>
      <c r="R76" s="8"/>
      <c r="S76" s="8"/>
      <c r="T76" s="8"/>
      <c r="U76" s="8"/>
      <c r="V76" s="8"/>
      <c r="W76" s="8"/>
      <c r="X76" s="8"/>
      <c r="Y76" s="8"/>
    </row>
    <row r="77">
      <c r="A77" s="8"/>
      <c r="B77" s="8"/>
      <c r="C77" s="8"/>
      <c r="D77" s="8"/>
      <c r="E77" s="8"/>
      <c r="F77" s="8"/>
      <c r="G77" s="8"/>
      <c r="H77" s="8"/>
      <c r="I77" s="8"/>
      <c r="J77" s="8"/>
      <c r="K77" s="8"/>
      <c r="L77" s="8"/>
      <c r="M77" s="8"/>
      <c r="N77" s="8"/>
      <c r="O77" s="8"/>
      <c r="P77" s="8"/>
      <c r="Q77" s="8"/>
      <c r="R77" s="8"/>
      <c r="S77" s="8"/>
      <c r="T77" s="8"/>
      <c r="U77" s="8"/>
      <c r="V77" s="8"/>
      <c r="W77" s="8"/>
      <c r="X77" s="8"/>
      <c r="Y77" s="8"/>
    </row>
    <row r="78">
      <c r="A78" s="8"/>
      <c r="B78" s="8"/>
      <c r="C78" s="8"/>
      <c r="D78" s="8"/>
      <c r="E78" s="8"/>
      <c r="F78" s="8"/>
      <c r="G78" s="8"/>
      <c r="H78" s="8"/>
      <c r="I78" s="8"/>
      <c r="J78" s="8"/>
      <c r="K78" s="8"/>
      <c r="L78" s="8"/>
      <c r="M78" s="8"/>
      <c r="N78" s="8"/>
      <c r="O78" s="8"/>
      <c r="P78" s="8"/>
      <c r="Q78" s="8"/>
      <c r="R78" s="8"/>
      <c r="S78" s="8"/>
      <c r="T78" s="8"/>
      <c r="U78" s="8"/>
      <c r="V78" s="8"/>
      <c r="W78" s="8"/>
      <c r="X78" s="8"/>
      <c r="Y78" s="8"/>
    </row>
    <row r="79">
      <c r="A79" s="8"/>
      <c r="B79" s="8"/>
      <c r="C79" s="8"/>
      <c r="D79" s="8"/>
      <c r="E79" s="8"/>
      <c r="F79" s="8"/>
      <c r="G79" s="8"/>
      <c r="H79" s="8"/>
      <c r="I79" s="8"/>
      <c r="J79" s="8"/>
      <c r="K79" s="8"/>
      <c r="L79" s="8"/>
      <c r="M79" s="8"/>
      <c r="N79" s="8"/>
      <c r="O79" s="8"/>
      <c r="P79" s="8"/>
      <c r="Q79" s="8"/>
      <c r="R79" s="8"/>
      <c r="S79" s="8"/>
      <c r="T79" s="8"/>
      <c r="U79" s="8"/>
      <c r="V79" s="8"/>
      <c r="W79" s="8"/>
      <c r="X79" s="8"/>
      <c r="Y79" s="8"/>
    </row>
    <row r="80">
      <c r="A80" s="8"/>
      <c r="B80" s="8"/>
      <c r="C80" s="8"/>
      <c r="D80" s="8"/>
      <c r="E80" s="8"/>
      <c r="F80" s="8"/>
      <c r="G80" s="8"/>
      <c r="H80" s="8"/>
      <c r="I80" s="8"/>
      <c r="J80" s="8"/>
      <c r="K80" s="8"/>
      <c r="L80" s="8"/>
      <c r="M80" s="8"/>
      <c r="N80" s="8"/>
      <c r="O80" s="8"/>
      <c r="P80" s="8"/>
      <c r="Q80" s="8"/>
      <c r="R80" s="8"/>
      <c r="S80" s="8"/>
      <c r="T80" s="8"/>
      <c r="U80" s="8"/>
      <c r="V80" s="8"/>
      <c r="W80" s="8"/>
      <c r="X80" s="8"/>
      <c r="Y80" s="8"/>
    </row>
    <row r="81">
      <c r="A81" s="8"/>
      <c r="B81" s="8"/>
      <c r="C81" s="8"/>
      <c r="D81" s="8"/>
      <c r="E81" s="8"/>
      <c r="F81" s="8"/>
      <c r="G81" s="8"/>
      <c r="H81" s="8"/>
      <c r="I81" s="8"/>
      <c r="J81" s="8"/>
      <c r="K81" s="8"/>
      <c r="L81" s="8"/>
      <c r="M81" s="8"/>
      <c r="N81" s="8"/>
      <c r="O81" s="8"/>
      <c r="P81" s="8"/>
      <c r="Q81" s="8"/>
      <c r="R81" s="8"/>
      <c r="S81" s="8"/>
      <c r="T81" s="8"/>
      <c r="U81" s="8"/>
      <c r="V81" s="8"/>
      <c r="W81" s="8"/>
      <c r="X81" s="8"/>
      <c r="Y81" s="8"/>
    </row>
    <row r="82">
      <c r="A82" s="8"/>
      <c r="B82" s="8"/>
      <c r="C82" s="8"/>
      <c r="D82" s="8"/>
      <c r="E82" s="8"/>
      <c r="F82" s="8"/>
      <c r="G82" s="8"/>
      <c r="H82" s="8"/>
      <c r="I82" s="8"/>
      <c r="J82" s="8"/>
      <c r="K82" s="8"/>
      <c r="L82" s="8"/>
      <c r="M82" s="8"/>
      <c r="N82" s="8"/>
      <c r="O82" s="8"/>
      <c r="P82" s="8"/>
      <c r="Q82" s="8"/>
      <c r="R82" s="8"/>
      <c r="S82" s="8"/>
      <c r="T82" s="8"/>
      <c r="U82" s="8"/>
      <c r="V82" s="8"/>
      <c r="W82" s="8"/>
      <c r="X82" s="8"/>
      <c r="Y82" s="8"/>
    </row>
    <row r="83">
      <c r="A83" s="8"/>
      <c r="B83" s="8"/>
      <c r="C83" s="8"/>
      <c r="D83" s="8"/>
      <c r="E83" s="8"/>
      <c r="F83" s="8"/>
      <c r="G83" s="8"/>
      <c r="H83" s="8"/>
      <c r="I83" s="8"/>
      <c r="J83" s="8"/>
      <c r="K83" s="8"/>
      <c r="L83" s="8"/>
      <c r="M83" s="8"/>
      <c r="N83" s="8"/>
      <c r="O83" s="8"/>
      <c r="P83" s="8"/>
      <c r="Q83" s="8"/>
      <c r="R83" s="8"/>
      <c r="S83" s="8"/>
      <c r="T83" s="8"/>
      <c r="U83" s="8"/>
      <c r="V83" s="8"/>
      <c r="W83" s="8"/>
      <c r="X83" s="8"/>
      <c r="Y83" s="8"/>
    </row>
    <row r="84">
      <c r="A84" s="8"/>
      <c r="B84" s="8"/>
      <c r="C84" s="8"/>
      <c r="D84" s="8"/>
      <c r="E84" s="8"/>
      <c r="F84" s="8"/>
      <c r="G84" s="8"/>
      <c r="H84" s="8"/>
      <c r="I84" s="8"/>
      <c r="J84" s="8"/>
      <c r="K84" s="8"/>
      <c r="L84" s="8"/>
      <c r="M84" s="8"/>
      <c r="N84" s="8"/>
      <c r="O84" s="8"/>
      <c r="P84" s="8"/>
      <c r="Q84" s="8"/>
      <c r="R84" s="8"/>
      <c r="S84" s="8"/>
      <c r="T84" s="8"/>
      <c r="U84" s="8"/>
      <c r="V84" s="8"/>
      <c r="W84" s="8"/>
      <c r="X84" s="8"/>
      <c r="Y84" s="8"/>
    </row>
    <row r="85">
      <c r="A85" s="8"/>
      <c r="B85" s="8"/>
      <c r="C85" s="8"/>
      <c r="D85" s="8"/>
      <c r="E85" s="8"/>
      <c r="F85" s="8"/>
      <c r="G85" s="8"/>
      <c r="H85" s="8"/>
      <c r="I85" s="8"/>
      <c r="J85" s="8"/>
      <c r="K85" s="8"/>
      <c r="L85" s="8"/>
      <c r="M85" s="8"/>
      <c r="N85" s="8"/>
      <c r="O85" s="8"/>
      <c r="P85" s="8"/>
      <c r="Q85" s="8"/>
      <c r="R85" s="8"/>
      <c r="S85" s="8"/>
      <c r="T85" s="8"/>
      <c r="U85" s="8"/>
      <c r="V85" s="8"/>
      <c r="W85" s="8"/>
      <c r="X85" s="8"/>
      <c r="Y85" s="8"/>
    </row>
    <row r="86">
      <c r="A86" s="8"/>
      <c r="B86" s="8"/>
      <c r="C86" s="8"/>
      <c r="D86" s="8"/>
      <c r="E86" s="8"/>
      <c r="F86" s="8"/>
      <c r="G86" s="8"/>
      <c r="H86" s="8"/>
      <c r="I86" s="8"/>
      <c r="J86" s="8"/>
      <c r="K86" s="8"/>
      <c r="L86" s="8"/>
      <c r="M86" s="8"/>
      <c r="N86" s="8"/>
      <c r="O86" s="8"/>
      <c r="P86" s="8"/>
      <c r="Q86" s="8"/>
      <c r="R86" s="8"/>
      <c r="S86" s="8"/>
      <c r="T86" s="8"/>
      <c r="U86" s="8"/>
      <c r="V86" s="8"/>
      <c r="W86" s="8"/>
      <c r="X86" s="8"/>
      <c r="Y86" s="8"/>
    </row>
    <row r="87">
      <c r="A87" s="8"/>
      <c r="B87" s="8"/>
      <c r="C87" s="8"/>
      <c r="D87" s="8"/>
      <c r="E87" s="8"/>
      <c r="F87" s="8"/>
      <c r="G87" s="8"/>
      <c r="H87" s="8"/>
      <c r="I87" s="8"/>
      <c r="J87" s="8"/>
      <c r="K87" s="8"/>
      <c r="L87" s="8"/>
      <c r="M87" s="8"/>
      <c r="N87" s="8"/>
      <c r="O87" s="8"/>
      <c r="P87" s="8"/>
      <c r="Q87" s="8"/>
      <c r="R87" s="8"/>
      <c r="S87" s="8"/>
      <c r="T87" s="8"/>
      <c r="U87" s="8"/>
      <c r="V87" s="8"/>
      <c r="W87" s="8"/>
      <c r="X87" s="8"/>
      <c r="Y87" s="8"/>
    </row>
    <row r="88">
      <c r="A88" s="8"/>
      <c r="B88" s="8"/>
      <c r="C88" s="8"/>
      <c r="D88" s="8"/>
      <c r="E88" s="8"/>
      <c r="F88" s="8"/>
      <c r="G88" s="8"/>
      <c r="H88" s="8"/>
      <c r="I88" s="8"/>
      <c r="J88" s="8"/>
      <c r="K88" s="8"/>
      <c r="L88" s="8"/>
      <c r="M88" s="8"/>
      <c r="N88" s="8"/>
      <c r="O88" s="8"/>
      <c r="P88" s="8"/>
      <c r="Q88" s="8"/>
      <c r="R88" s="8"/>
      <c r="S88" s="8"/>
      <c r="T88" s="8"/>
      <c r="U88" s="8"/>
      <c r="V88" s="8"/>
      <c r="W88" s="8"/>
      <c r="X88" s="8"/>
      <c r="Y88" s="8"/>
    </row>
    <row r="89">
      <c r="A89" s="8"/>
      <c r="B89" s="8"/>
      <c r="C89" s="8"/>
      <c r="D89" s="8"/>
      <c r="E89" s="8"/>
      <c r="F89" s="8"/>
      <c r="G89" s="8"/>
      <c r="H89" s="8"/>
      <c r="I89" s="8"/>
      <c r="J89" s="8"/>
      <c r="K89" s="8"/>
      <c r="L89" s="8"/>
      <c r="M89" s="8"/>
      <c r="N89" s="8"/>
      <c r="O89" s="8"/>
      <c r="P89" s="8"/>
      <c r="Q89" s="8"/>
      <c r="R89" s="8"/>
      <c r="S89" s="8"/>
      <c r="T89" s="8"/>
      <c r="U89" s="8"/>
      <c r="V89" s="8"/>
      <c r="W89" s="8"/>
      <c r="X89" s="8"/>
      <c r="Y89" s="8"/>
    </row>
    <row r="90">
      <c r="A90" s="8"/>
      <c r="B90" s="8"/>
      <c r="C90" s="8"/>
      <c r="D90" s="8"/>
      <c r="E90" s="8"/>
      <c r="F90" s="8"/>
      <c r="G90" s="8"/>
      <c r="H90" s="8"/>
      <c r="I90" s="8"/>
      <c r="J90" s="8"/>
      <c r="K90" s="8"/>
      <c r="L90" s="8"/>
      <c r="M90" s="8"/>
      <c r="N90" s="8"/>
      <c r="O90" s="8"/>
      <c r="P90" s="8"/>
      <c r="Q90" s="8"/>
      <c r="R90" s="8"/>
      <c r="S90" s="8"/>
      <c r="T90" s="8"/>
      <c r="U90" s="8"/>
      <c r="V90" s="8"/>
      <c r="W90" s="8"/>
      <c r="X90" s="8"/>
      <c r="Y90" s="8"/>
    </row>
    <row r="91">
      <c r="A91" s="8"/>
      <c r="B91" s="8"/>
      <c r="C91" s="8"/>
      <c r="D91" s="8"/>
      <c r="E91" s="8"/>
      <c r="F91" s="8"/>
      <c r="G91" s="8"/>
      <c r="H91" s="8"/>
      <c r="I91" s="8"/>
      <c r="J91" s="8"/>
      <c r="K91" s="8"/>
      <c r="L91" s="8"/>
      <c r="M91" s="8"/>
      <c r="N91" s="8"/>
      <c r="O91" s="8"/>
      <c r="P91" s="8"/>
      <c r="Q91" s="8"/>
      <c r="R91" s="8"/>
      <c r="S91" s="8"/>
      <c r="T91" s="8"/>
      <c r="U91" s="8"/>
      <c r="V91" s="8"/>
      <c r="W91" s="8"/>
      <c r="X91" s="8"/>
      <c r="Y91" s="8"/>
    </row>
    <row r="92">
      <c r="A92" s="8"/>
      <c r="B92" s="8"/>
      <c r="C92" s="8"/>
      <c r="D92" s="8"/>
      <c r="E92" s="8"/>
      <c r="F92" s="8"/>
      <c r="G92" s="8"/>
      <c r="H92" s="8"/>
      <c r="I92" s="8"/>
      <c r="J92" s="8"/>
      <c r="K92" s="8"/>
      <c r="L92" s="8"/>
      <c r="M92" s="8"/>
      <c r="N92" s="8"/>
      <c r="O92" s="8"/>
      <c r="P92" s="8"/>
      <c r="Q92" s="8"/>
      <c r="R92" s="8"/>
      <c r="S92" s="8"/>
      <c r="T92" s="8"/>
      <c r="U92" s="8"/>
      <c r="V92" s="8"/>
      <c r="W92" s="8"/>
      <c r="X92" s="8"/>
      <c r="Y92" s="8"/>
    </row>
    <row r="93">
      <c r="A93" s="8"/>
      <c r="B93" s="8"/>
      <c r="C93" s="8"/>
      <c r="D93" s="8"/>
      <c r="E93" s="8"/>
      <c r="F93" s="8"/>
      <c r="G93" s="8"/>
      <c r="H93" s="8"/>
      <c r="I93" s="8"/>
      <c r="J93" s="8"/>
      <c r="K93" s="8"/>
      <c r="L93" s="8"/>
      <c r="M93" s="8"/>
      <c r="N93" s="8"/>
      <c r="O93" s="8"/>
      <c r="P93" s="8"/>
      <c r="Q93" s="8"/>
      <c r="R93" s="8"/>
      <c r="S93" s="8"/>
      <c r="T93" s="8"/>
      <c r="U93" s="8"/>
      <c r="V93" s="8"/>
      <c r="W93" s="8"/>
      <c r="X93" s="8"/>
      <c r="Y93" s="8"/>
    </row>
    <row r="94">
      <c r="A94" s="8"/>
      <c r="B94" s="8"/>
      <c r="C94" s="8"/>
      <c r="D94" s="8"/>
      <c r="E94" s="8"/>
      <c r="F94" s="8"/>
      <c r="G94" s="8"/>
      <c r="H94" s="8"/>
      <c r="I94" s="8"/>
      <c r="J94" s="8"/>
      <c r="K94" s="8"/>
      <c r="L94" s="8"/>
      <c r="M94" s="8"/>
      <c r="N94" s="8"/>
      <c r="O94" s="8"/>
      <c r="P94" s="8"/>
      <c r="Q94" s="8"/>
      <c r="R94" s="8"/>
      <c r="S94" s="8"/>
      <c r="T94" s="8"/>
      <c r="U94" s="8"/>
      <c r="V94" s="8"/>
      <c r="W94" s="8"/>
      <c r="X94" s="8"/>
      <c r="Y94" s="8"/>
    </row>
    <row r="95">
      <c r="A95" s="8"/>
      <c r="B95" s="8"/>
      <c r="C95" s="8"/>
      <c r="D95" s="8"/>
      <c r="E95" s="8"/>
      <c r="F95" s="8"/>
      <c r="G95" s="8"/>
      <c r="H95" s="8"/>
      <c r="I95" s="8"/>
      <c r="J95" s="8"/>
      <c r="K95" s="8"/>
      <c r="L95" s="8"/>
      <c r="M95" s="8"/>
      <c r="N95" s="8"/>
      <c r="O95" s="8"/>
      <c r="P95" s="8"/>
      <c r="Q95" s="8"/>
      <c r="R95" s="8"/>
      <c r="S95" s="8"/>
      <c r="T95" s="8"/>
      <c r="U95" s="8"/>
      <c r="V95" s="8"/>
      <c r="W95" s="8"/>
      <c r="X95" s="8"/>
      <c r="Y95" s="8"/>
    </row>
    <row r="96">
      <c r="A96" s="8"/>
      <c r="B96" s="8"/>
      <c r="C96" s="8"/>
      <c r="D96" s="8"/>
      <c r="E96" s="8"/>
      <c r="F96" s="8"/>
      <c r="G96" s="8"/>
      <c r="H96" s="8"/>
      <c r="I96" s="8"/>
      <c r="J96" s="8"/>
      <c r="K96" s="8"/>
      <c r="L96" s="8"/>
      <c r="M96" s="8"/>
      <c r="N96" s="8"/>
      <c r="O96" s="8"/>
      <c r="P96" s="8"/>
      <c r="Q96" s="8"/>
      <c r="R96" s="8"/>
      <c r="S96" s="8"/>
      <c r="T96" s="8"/>
      <c r="U96" s="8"/>
      <c r="V96" s="8"/>
      <c r="W96" s="8"/>
      <c r="X96" s="8"/>
      <c r="Y96" s="8"/>
    </row>
    <row r="97">
      <c r="A97" s="8"/>
      <c r="B97" s="8"/>
      <c r="C97" s="8"/>
      <c r="D97" s="8"/>
      <c r="E97" s="8"/>
      <c r="F97" s="8"/>
      <c r="G97" s="8"/>
      <c r="H97" s="8"/>
      <c r="I97" s="8"/>
      <c r="J97" s="8"/>
      <c r="K97" s="8"/>
      <c r="L97" s="8"/>
      <c r="M97" s="8"/>
      <c r="N97" s="8"/>
      <c r="O97" s="8"/>
      <c r="P97" s="8"/>
      <c r="Q97" s="8"/>
      <c r="R97" s="8"/>
      <c r="S97" s="8"/>
      <c r="T97" s="8"/>
      <c r="U97" s="8"/>
      <c r="V97" s="8"/>
      <c r="W97" s="8"/>
      <c r="X97" s="8"/>
      <c r="Y97" s="8"/>
    </row>
    <row r="98">
      <c r="A98" s="8"/>
      <c r="B98" s="8"/>
      <c r="C98" s="8"/>
      <c r="D98" s="8"/>
      <c r="E98" s="8"/>
      <c r="F98" s="8"/>
      <c r="G98" s="8"/>
      <c r="H98" s="8"/>
      <c r="I98" s="8"/>
      <c r="J98" s="8"/>
      <c r="K98" s="8"/>
      <c r="L98" s="8"/>
      <c r="M98" s="8"/>
      <c r="N98" s="8"/>
      <c r="O98" s="8"/>
      <c r="P98" s="8"/>
      <c r="Q98" s="8"/>
      <c r="R98" s="8"/>
      <c r="S98" s="8"/>
      <c r="T98" s="8"/>
      <c r="U98" s="8"/>
      <c r="V98" s="8"/>
      <c r="W98" s="8"/>
      <c r="X98" s="8"/>
      <c r="Y98" s="8"/>
    </row>
    <row r="99">
      <c r="A99" s="8"/>
      <c r="B99" s="8"/>
      <c r="C99" s="8"/>
      <c r="D99" s="8"/>
      <c r="E99" s="8"/>
      <c r="F99" s="8"/>
      <c r="G99" s="8"/>
      <c r="H99" s="8"/>
      <c r="I99" s="8"/>
      <c r="J99" s="8"/>
      <c r="K99" s="8"/>
      <c r="L99" s="8"/>
      <c r="M99" s="8"/>
      <c r="N99" s="8"/>
      <c r="O99" s="8"/>
      <c r="P99" s="8"/>
      <c r="Q99" s="8"/>
      <c r="R99" s="8"/>
      <c r="S99" s="8"/>
      <c r="T99" s="8"/>
      <c r="U99" s="8"/>
      <c r="V99" s="8"/>
      <c r="W99" s="8"/>
      <c r="X99" s="8"/>
      <c r="Y99" s="8"/>
    </row>
    <row r="100">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c r="A232" s="8"/>
      <c r="B232" s="8"/>
      <c r="C232" s="8"/>
      <c r="D232" s="8"/>
      <c r="E232" s="8"/>
      <c r="F232" s="8"/>
      <c r="G232" s="8"/>
      <c r="H232" s="8"/>
      <c r="I232" s="8"/>
      <c r="J232" s="8"/>
      <c r="K232" s="8"/>
      <c r="L232" s="8"/>
      <c r="M232" s="8"/>
      <c r="N232" s="8"/>
      <c r="O232" s="8"/>
      <c r="P232" s="8"/>
      <c r="Q232" s="8"/>
      <c r="R232" s="8"/>
      <c r="S232" s="8"/>
      <c r="T232" s="8"/>
      <c r="U232" s="8"/>
      <c r="V232" s="8"/>
      <c r="W232" s="8"/>
      <c r="X232" s="8"/>
      <c r="Y232" s="8"/>
    </row>
    <row r="233">
      <c r="A233" s="8"/>
      <c r="B233" s="8"/>
      <c r="C233" s="8"/>
      <c r="D233" s="8"/>
      <c r="E233" s="8"/>
      <c r="F233" s="8"/>
      <c r="G233" s="8"/>
      <c r="H233" s="8"/>
      <c r="I233" s="8"/>
      <c r="J233" s="8"/>
      <c r="K233" s="8"/>
      <c r="L233" s="8"/>
      <c r="M233" s="8"/>
      <c r="N233" s="8"/>
      <c r="O233" s="8"/>
      <c r="P233" s="8"/>
      <c r="Q233" s="8"/>
      <c r="R233" s="8"/>
      <c r="S233" s="8"/>
      <c r="T233" s="8"/>
      <c r="U233" s="8"/>
      <c r="V233" s="8"/>
      <c r="W233" s="8"/>
      <c r="X233" s="8"/>
      <c r="Y233" s="8"/>
    </row>
    <row r="234">
      <c r="A234" s="8"/>
      <c r="B234" s="8"/>
      <c r="C234" s="8"/>
      <c r="D234" s="8"/>
      <c r="E234" s="8"/>
      <c r="F234" s="8"/>
      <c r="G234" s="8"/>
      <c r="H234" s="8"/>
      <c r="I234" s="8"/>
      <c r="J234" s="8"/>
      <c r="K234" s="8"/>
      <c r="L234" s="8"/>
      <c r="M234" s="8"/>
      <c r="N234" s="8"/>
      <c r="O234" s="8"/>
      <c r="P234" s="8"/>
      <c r="Q234" s="8"/>
      <c r="R234" s="8"/>
      <c r="S234" s="8"/>
      <c r="T234" s="8"/>
      <c r="U234" s="8"/>
      <c r="V234" s="8"/>
      <c r="W234" s="8"/>
      <c r="X234" s="8"/>
      <c r="Y234" s="8"/>
    </row>
    <row r="235">
      <c r="A235" s="8"/>
      <c r="B235" s="8"/>
      <c r="C235" s="8"/>
      <c r="D235" s="8"/>
      <c r="E235" s="8"/>
      <c r="F235" s="8"/>
      <c r="G235" s="8"/>
      <c r="H235" s="8"/>
      <c r="I235" s="8"/>
      <c r="J235" s="8"/>
      <c r="K235" s="8"/>
      <c r="L235" s="8"/>
      <c r="M235" s="8"/>
      <c r="N235" s="8"/>
      <c r="O235" s="8"/>
      <c r="P235" s="8"/>
      <c r="Q235" s="8"/>
      <c r="R235" s="8"/>
      <c r="S235" s="8"/>
      <c r="T235" s="8"/>
      <c r="U235" s="8"/>
      <c r="V235" s="8"/>
      <c r="W235" s="8"/>
      <c r="X235" s="8"/>
      <c r="Y235" s="8"/>
    </row>
    <row r="236">
      <c r="A236" s="8"/>
      <c r="B236" s="8"/>
      <c r="C236" s="8"/>
      <c r="D236" s="8"/>
      <c r="E236" s="8"/>
      <c r="F236" s="8"/>
      <c r="G236" s="8"/>
      <c r="H236" s="8"/>
      <c r="I236" s="8"/>
      <c r="J236" s="8"/>
      <c r="K236" s="8"/>
      <c r="L236" s="8"/>
      <c r="M236" s="8"/>
      <c r="N236" s="8"/>
      <c r="O236" s="8"/>
      <c r="P236" s="8"/>
      <c r="Q236" s="8"/>
      <c r="R236" s="8"/>
      <c r="S236" s="8"/>
      <c r="T236" s="8"/>
      <c r="U236" s="8"/>
      <c r="V236" s="8"/>
      <c r="W236" s="8"/>
      <c r="X236" s="8"/>
      <c r="Y236" s="8"/>
    </row>
    <row r="237">
      <c r="A237" s="8"/>
      <c r="B237" s="8"/>
      <c r="C237" s="8"/>
      <c r="D237" s="8"/>
      <c r="E237" s="8"/>
      <c r="F237" s="8"/>
      <c r="G237" s="8"/>
      <c r="H237" s="8"/>
      <c r="I237" s="8"/>
      <c r="J237" s="8"/>
      <c r="K237" s="8"/>
      <c r="L237" s="8"/>
      <c r="M237" s="8"/>
      <c r="N237" s="8"/>
      <c r="O237" s="8"/>
      <c r="P237" s="8"/>
      <c r="Q237" s="8"/>
      <c r="R237" s="8"/>
      <c r="S237" s="8"/>
      <c r="T237" s="8"/>
      <c r="U237" s="8"/>
      <c r="V237" s="8"/>
      <c r="W237" s="8"/>
      <c r="X237" s="8"/>
      <c r="Y237" s="8"/>
    </row>
    <row r="238">
      <c r="A238" s="8"/>
      <c r="B238" s="8"/>
      <c r="C238" s="8"/>
      <c r="D238" s="8"/>
      <c r="E238" s="8"/>
      <c r="F238" s="8"/>
      <c r="G238" s="8"/>
      <c r="H238" s="8"/>
      <c r="I238" s="8"/>
      <c r="J238" s="8"/>
      <c r="K238" s="8"/>
      <c r="L238" s="8"/>
      <c r="M238" s="8"/>
      <c r="N238" s="8"/>
      <c r="O238" s="8"/>
      <c r="P238" s="8"/>
      <c r="Q238" s="8"/>
      <c r="R238" s="8"/>
      <c r="S238" s="8"/>
      <c r="T238" s="8"/>
      <c r="U238" s="8"/>
      <c r="V238" s="8"/>
      <c r="W238" s="8"/>
      <c r="X238" s="8"/>
      <c r="Y238" s="8"/>
    </row>
    <row r="239">
      <c r="A239" s="8"/>
      <c r="B239" s="8"/>
      <c r="C239" s="8"/>
      <c r="D239" s="8"/>
      <c r="E239" s="8"/>
      <c r="F239" s="8"/>
      <c r="G239" s="8"/>
      <c r="H239" s="8"/>
      <c r="I239" s="8"/>
      <c r="J239" s="8"/>
      <c r="K239" s="8"/>
      <c r="L239" s="8"/>
      <c r="M239" s="8"/>
      <c r="N239" s="8"/>
      <c r="O239" s="8"/>
      <c r="P239" s="8"/>
      <c r="Q239" s="8"/>
      <c r="R239" s="8"/>
      <c r="S239" s="8"/>
      <c r="T239" s="8"/>
      <c r="U239" s="8"/>
      <c r="V239" s="8"/>
      <c r="W239" s="8"/>
      <c r="X239" s="8"/>
      <c r="Y239" s="8"/>
    </row>
    <row r="240">
      <c r="A240" s="8"/>
      <c r="B240" s="8"/>
      <c r="C240" s="8"/>
      <c r="D240" s="8"/>
      <c r="E240" s="8"/>
      <c r="F240" s="8"/>
      <c r="G240" s="8"/>
      <c r="H240" s="8"/>
      <c r="I240" s="8"/>
      <c r="J240" s="8"/>
      <c r="K240" s="8"/>
      <c r="L240" s="8"/>
      <c r="M240" s="8"/>
      <c r="N240" s="8"/>
      <c r="O240" s="8"/>
      <c r="P240" s="8"/>
      <c r="Q240" s="8"/>
      <c r="R240" s="8"/>
      <c r="S240" s="8"/>
      <c r="T240" s="8"/>
      <c r="U240" s="8"/>
      <c r="V240" s="8"/>
      <c r="W240" s="8"/>
      <c r="X240" s="8"/>
      <c r="Y240" s="8"/>
    </row>
    <row r="241">
      <c r="A241" s="8"/>
      <c r="B241" s="8"/>
      <c r="C241" s="8"/>
      <c r="D241" s="8"/>
      <c r="E241" s="8"/>
      <c r="F241" s="8"/>
      <c r="G241" s="8"/>
      <c r="H241" s="8"/>
      <c r="I241" s="8"/>
      <c r="J241" s="8"/>
      <c r="K241" s="8"/>
      <c r="L241" s="8"/>
      <c r="M241" s="8"/>
      <c r="N241" s="8"/>
      <c r="O241" s="8"/>
      <c r="P241" s="8"/>
      <c r="Q241" s="8"/>
      <c r="R241" s="8"/>
      <c r="S241" s="8"/>
      <c r="T241" s="8"/>
      <c r="U241" s="8"/>
      <c r="V241" s="8"/>
      <c r="W241" s="8"/>
      <c r="X241" s="8"/>
      <c r="Y241" s="8"/>
    </row>
    <row r="242">
      <c r="A242" s="8"/>
      <c r="B242" s="8"/>
      <c r="C242" s="8"/>
      <c r="D242" s="8"/>
      <c r="E242" s="8"/>
      <c r="F242" s="8"/>
      <c r="G242" s="8"/>
      <c r="H242" s="8"/>
      <c r="I242" s="8"/>
      <c r="J242" s="8"/>
      <c r="K242" s="8"/>
      <c r="L242" s="8"/>
      <c r="M242" s="8"/>
      <c r="N242" s="8"/>
      <c r="O242" s="8"/>
      <c r="P242" s="8"/>
      <c r="Q242" s="8"/>
      <c r="R242" s="8"/>
      <c r="S242" s="8"/>
      <c r="T242" s="8"/>
      <c r="U242" s="8"/>
      <c r="V242" s="8"/>
      <c r="W242" s="8"/>
      <c r="X242" s="8"/>
      <c r="Y242" s="8"/>
    </row>
    <row r="243">
      <c r="A243" s="8"/>
      <c r="B243" s="8"/>
      <c r="C243" s="8"/>
      <c r="D243" s="8"/>
      <c r="E243" s="8"/>
      <c r="F243" s="8"/>
      <c r="G243" s="8"/>
      <c r="H243" s="8"/>
      <c r="I243" s="8"/>
      <c r="J243" s="8"/>
      <c r="K243" s="8"/>
      <c r="L243" s="8"/>
      <c r="M243" s="8"/>
      <c r="N243" s="8"/>
      <c r="O243" s="8"/>
      <c r="P243" s="8"/>
      <c r="Q243" s="8"/>
      <c r="R243" s="8"/>
      <c r="S243" s="8"/>
      <c r="T243" s="8"/>
      <c r="U243" s="8"/>
      <c r="V243" s="8"/>
      <c r="W243" s="8"/>
      <c r="X243" s="8"/>
      <c r="Y243" s="8"/>
    </row>
    <row r="244">
      <c r="A244" s="8"/>
      <c r="B244" s="8"/>
      <c r="C244" s="8"/>
      <c r="D244" s="8"/>
      <c r="E244" s="8"/>
      <c r="F244" s="8"/>
      <c r="G244" s="8"/>
      <c r="H244" s="8"/>
      <c r="I244" s="8"/>
      <c r="J244" s="8"/>
      <c r="K244" s="8"/>
      <c r="L244" s="8"/>
      <c r="M244" s="8"/>
      <c r="N244" s="8"/>
      <c r="O244" s="8"/>
      <c r="P244" s="8"/>
      <c r="Q244" s="8"/>
      <c r="R244" s="8"/>
      <c r="S244" s="8"/>
      <c r="T244" s="8"/>
      <c r="U244" s="8"/>
      <c r="V244" s="8"/>
      <c r="W244" s="8"/>
      <c r="X244" s="8"/>
      <c r="Y244" s="8"/>
    </row>
    <row r="245">
      <c r="A245" s="8"/>
      <c r="B245" s="8"/>
      <c r="C245" s="8"/>
      <c r="D245" s="8"/>
      <c r="E245" s="8"/>
      <c r="F245" s="8"/>
      <c r="G245" s="8"/>
      <c r="H245" s="8"/>
      <c r="I245" s="8"/>
      <c r="J245" s="8"/>
      <c r="K245" s="8"/>
      <c r="L245" s="8"/>
      <c r="M245" s="8"/>
      <c r="N245" s="8"/>
      <c r="O245" s="8"/>
      <c r="P245" s="8"/>
      <c r="Q245" s="8"/>
      <c r="R245" s="8"/>
      <c r="S245" s="8"/>
      <c r="T245" s="8"/>
      <c r="U245" s="8"/>
      <c r="V245" s="8"/>
      <c r="W245" s="8"/>
      <c r="X245" s="8"/>
      <c r="Y245" s="8"/>
    </row>
    <row r="246">
      <c r="A246" s="8"/>
      <c r="B246" s="8"/>
      <c r="C246" s="8"/>
      <c r="D246" s="8"/>
      <c r="E246" s="8"/>
      <c r="F246" s="8"/>
      <c r="G246" s="8"/>
      <c r="H246" s="8"/>
      <c r="I246" s="8"/>
      <c r="J246" s="8"/>
      <c r="K246" s="8"/>
      <c r="L246" s="8"/>
      <c r="M246" s="8"/>
      <c r="N246" s="8"/>
      <c r="O246" s="8"/>
      <c r="P246" s="8"/>
      <c r="Q246" s="8"/>
      <c r="R246" s="8"/>
      <c r="S246" s="8"/>
      <c r="T246" s="8"/>
      <c r="U246" s="8"/>
      <c r="V246" s="8"/>
      <c r="W246" s="8"/>
      <c r="X246" s="8"/>
      <c r="Y246" s="8"/>
    </row>
    <row r="247">
      <c r="A247" s="8"/>
      <c r="B247" s="8"/>
      <c r="C247" s="8"/>
      <c r="D247" s="8"/>
      <c r="E247" s="8"/>
      <c r="F247" s="8"/>
      <c r="G247" s="8"/>
      <c r="H247" s="8"/>
      <c r="I247" s="8"/>
      <c r="J247" s="8"/>
      <c r="K247" s="8"/>
      <c r="L247" s="8"/>
      <c r="M247" s="8"/>
      <c r="N247" s="8"/>
      <c r="O247" s="8"/>
      <c r="P247" s="8"/>
      <c r="Q247" s="8"/>
      <c r="R247" s="8"/>
      <c r="S247" s="8"/>
      <c r="T247" s="8"/>
      <c r="U247" s="8"/>
      <c r="V247" s="8"/>
      <c r="W247" s="8"/>
      <c r="X247" s="8"/>
      <c r="Y247" s="8"/>
    </row>
    <row r="248">
      <c r="A248" s="8"/>
      <c r="B248" s="8"/>
      <c r="C248" s="8"/>
      <c r="D248" s="8"/>
      <c r="E248" s="8"/>
      <c r="F248" s="8"/>
      <c r="G248" s="8"/>
      <c r="H248" s="8"/>
      <c r="I248" s="8"/>
      <c r="J248" s="8"/>
      <c r="K248" s="8"/>
      <c r="L248" s="8"/>
      <c r="M248" s="8"/>
      <c r="N248" s="8"/>
      <c r="O248" s="8"/>
      <c r="P248" s="8"/>
      <c r="Q248" s="8"/>
      <c r="R248" s="8"/>
      <c r="S248" s="8"/>
      <c r="T248" s="8"/>
      <c r="U248" s="8"/>
      <c r="V248" s="8"/>
      <c r="W248" s="8"/>
      <c r="X248" s="8"/>
      <c r="Y248" s="8"/>
    </row>
    <row r="249">
      <c r="A249" s="8"/>
      <c r="B249" s="8"/>
      <c r="C249" s="8"/>
      <c r="D249" s="8"/>
      <c r="E249" s="8"/>
      <c r="F249" s="8"/>
      <c r="G249" s="8"/>
      <c r="H249" s="8"/>
      <c r="I249" s="8"/>
      <c r="J249" s="8"/>
      <c r="K249" s="8"/>
      <c r="L249" s="8"/>
      <c r="M249" s="8"/>
      <c r="N249" s="8"/>
      <c r="O249" s="8"/>
      <c r="P249" s="8"/>
      <c r="Q249" s="8"/>
      <c r="R249" s="8"/>
      <c r="S249" s="8"/>
      <c r="T249" s="8"/>
      <c r="U249" s="8"/>
      <c r="V249" s="8"/>
      <c r="W249" s="8"/>
      <c r="X249" s="8"/>
      <c r="Y249" s="8"/>
    </row>
    <row r="250">
      <c r="A250" s="8"/>
      <c r="B250" s="8"/>
      <c r="C250" s="8"/>
      <c r="D250" s="8"/>
      <c r="E250" s="8"/>
      <c r="F250" s="8"/>
      <c r="G250" s="8"/>
      <c r="H250" s="8"/>
      <c r="I250" s="8"/>
      <c r="J250" s="8"/>
      <c r="K250" s="8"/>
      <c r="L250" s="8"/>
      <c r="M250" s="8"/>
      <c r="N250" s="8"/>
      <c r="O250" s="8"/>
      <c r="P250" s="8"/>
      <c r="Q250" s="8"/>
      <c r="R250" s="8"/>
      <c r="S250" s="8"/>
      <c r="T250" s="8"/>
      <c r="U250" s="8"/>
      <c r="V250" s="8"/>
      <c r="W250" s="8"/>
      <c r="X250" s="8"/>
      <c r="Y250" s="8"/>
    </row>
    <row r="251">
      <c r="A251" s="8"/>
      <c r="B251" s="8"/>
      <c r="C251" s="8"/>
      <c r="D251" s="8"/>
      <c r="E251" s="8"/>
      <c r="F251" s="8"/>
      <c r="G251" s="8"/>
      <c r="H251" s="8"/>
      <c r="I251" s="8"/>
      <c r="J251" s="8"/>
      <c r="K251" s="8"/>
      <c r="L251" s="8"/>
      <c r="M251" s="8"/>
      <c r="N251" s="8"/>
      <c r="O251" s="8"/>
      <c r="P251" s="8"/>
      <c r="Q251" s="8"/>
      <c r="R251" s="8"/>
      <c r="S251" s="8"/>
      <c r="T251" s="8"/>
      <c r="U251" s="8"/>
      <c r="V251" s="8"/>
      <c r="W251" s="8"/>
      <c r="X251" s="8"/>
      <c r="Y251" s="8"/>
    </row>
    <row r="252">
      <c r="A252" s="8"/>
      <c r="B252" s="8"/>
      <c r="C252" s="8"/>
      <c r="D252" s="8"/>
      <c r="E252" s="8"/>
      <c r="F252" s="8"/>
      <c r="G252" s="8"/>
      <c r="H252" s="8"/>
      <c r="I252" s="8"/>
      <c r="J252" s="8"/>
      <c r="K252" s="8"/>
      <c r="L252" s="8"/>
      <c r="M252" s="8"/>
      <c r="N252" s="8"/>
      <c r="O252" s="8"/>
      <c r="P252" s="8"/>
      <c r="Q252" s="8"/>
      <c r="R252" s="8"/>
      <c r="S252" s="8"/>
      <c r="T252" s="8"/>
      <c r="U252" s="8"/>
      <c r="V252" s="8"/>
      <c r="W252" s="8"/>
      <c r="X252" s="8"/>
      <c r="Y252" s="8"/>
    </row>
    <row r="253">
      <c r="A253" s="8"/>
      <c r="B253" s="8"/>
      <c r="C253" s="8"/>
      <c r="D253" s="8"/>
      <c r="E253" s="8"/>
      <c r="F253" s="8"/>
      <c r="G253" s="8"/>
      <c r="H253" s="8"/>
      <c r="I253" s="8"/>
      <c r="J253" s="8"/>
      <c r="K253" s="8"/>
      <c r="L253" s="8"/>
      <c r="M253" s="8"/>
      <c r="N253" s="8"/>
      <c r="O253" s="8"/>
      <c r="P253" s="8"/>
      <c r="Q253" s="8"/>
      <c r="R253" s="8"/>
      <c r="S253" s="8"/>
      <c r="T253" s="8"/>
      <c r="U253" s="8"/>
      <c r="V253" s="8"/>
      <c r="W253" s="8"/>
      <c r="X253" s="8"/>
      <c r="Y253" s="8"/>
    </row>
    <row r="254">
      <c r="A254" s="8"/>
      <c r="B254" s="8"/>
      <c r="C254" s="8"/>
      <c r="D254" s="8"/>
      <c r="E254" s="8"/>
      <c r="F254" s="8"/>
      <c r="G254" s="8"/>
      <c r="H254" s="8"/>
      <c r="I254" s="8"/>
      <c r="J254" s="8"/>
      <c r="K254" s="8"/>
      <c r="L254" s="8"/>
      <c r="M254" s="8"/>
      <c r="N254" s="8"/>
      <c r="O254" s="8"/>
      <c r="P254" s="8"/>
      <c r="Q254" s="8"/>
      <c r="R254" s="8"/>
      <c r="S254" s="8"/>
      <c r="T254" s="8"/>
      <c r="U254" s="8"/>
      <c r="V254" s="8"/>
      <c r="W254" s="8"/>
      <c r="X254" s="8"/>
      <c r="Y254" s="8"/>
    </row>
    <row r="255">
      <c r="A255" s="8"/>
      <c r="B255" s="8"/>
      <c r="C255" s="8"/>
      <c r="D255" s="8"/>
      <c r="E255" s="8"/>
      <c r="F255" s="8"/>
      <c r="G255" s="8"/>
      <c r="H255" s="8"/>
      <c r="I255" s="8"/>
      <c r="J255" s="8"/>
      <c r="K255" s="8"/>
      <c r="L255" s="8"/>
      <c r="M255" s="8"/>
      <c r="N255" s="8"/>
      <c r="O255" s="8"/>
      <c r="P255" s="8"/>
      <c r="Q255" s="8"/>
      <c r="R255" s="8"/>
      <c r="S255" s="8"/>
      <c r="T255" s="8"/>
      <c r="U255" s="8"/>
      <c r="V255" s="8"/>
      <c r="W255" s="8"/>
      <c r="X255" s="8"/>
      <c r="Y255" s="8"/>
    </row>
    <row r="256">
      <c r="A256" s="8"/>
      <c r="B256" s="8"/>
      <c r="C256" s="8"/>
      <c r="D256" s="8"/>
      <c r="E256" s="8"/>
      <c r="F256" s="8"/>
      <c r="G256" s="8"/>
      <c r="H256" s="8"/>
      <c r="I256" s="8"/>
      <c r="J256" s="8"/>
      <c r="K256" s="8"/>
      <c r="L256" s="8"/>
      <c r="M256" s="8"/>
      <c r="N256" s="8"/>
      <c r="O256" s="8"/>
      <c r="P256" s="8"/>
      <c r="Q256" s="8"/>
      <c r="R256" s="8"/>
      <c r="S256" s="8"/>
      <c r="T256" s="8"/>
      <c r="U256" s="8"/>
      <c r="V256" s="8"/>
      <c r="W256" s="8"/>
      <c r="X256" s="8"/>
      <c r="Y256" s="8"/>
    </row>
    <row r="257">
      <c r="A257" s="8"/>
      <c r="B257" s="8"/>
      <c r="C257" s="8"/>
      <c r="D257" s="8"/>
      <c r="E257" s="8"/>
      <c r="F257" s="8"/>
      <c r="G257" s="8"/>
      <c r="H257" s="8"/>
      <c r="I257" s="8"/>
      <c r="J257" s="8"/>
      <c r="K257" s="8"/>
      <c r="L257" s="8"/>
      <c r="M257" s="8"/>
      <c r="N257" s="8"/>
      <c r="O257" s="8"/>
      <c r="P257" s="8"/>
      <c r="Q257" s="8"/>
      <c r="R257" s="8"/>
      <c r="S257" s="8"/>
      <c r="T257" s="8"/>
      <c r="U257" s="8"/>
      <c r="V257" s="8"/>
      <c r="W257" s="8"/>
      <c r="X257" s="8"/>
      <c r="Y257" s="8"/>
    </row>
    <row r="258">
      <c r="A258" s="8"/>
      <c r="B258" s="8"/>
      <c r="C258" s="8"/>
      <c r="D258" s="8"/>
      <c r="E258" s="8"/>
      <c r="F258" s="8"/>
      <c r="G258" s="8"/>
      <c r="H258" s="8"/>
      <c r="I258" s="8"/>
      <c r="J258" s="8"/>
      <c r="K258" s="8"/>
      <c r="L258" s="8"/>
      <c r="M258" s="8"/>
      <c r="N258" s="8"/>
      <c r="O258" s="8"/>
      <c r="P258" s="8"/>
      <c r="Q258" s="8"/>
      <c r="R258" s="8"/>
      <c r="S258" s="8"/>
      <c r="T258" s="8"/>
      <c r="U258" s="8"/>
      <c r="V258" s="8"/>
      <c r="W258" s="8"/>
      <c r="X258" s="8"/>
      <c r="Y258" s="8"/>
    </row>
    <row r="259">
      <c r="A259" s="8"/>
      <c r="B259" s="8"/>
      <c r="C259" s="8"/>
      <c r="D259" s="8"/>
      <c r="E259" s="8"/>
      <c r="F259" s="8"/>
      <c r="G259" s="8"/>
      <c r="H259" s="8"/>
      <c r="I259" s="8"/>
      <c r="J259" s="8"/>
      <c r="K259" s="8"/>
      <c r="L259" s="8"/>
      <c r="M259" s="8"/>
      <c r="N259" s="8"/>
      <c r="O259" s="8"/>
      <c r="P259" s="8"/>
      <c r="Q259" s="8"/>
      <c r="R259" s="8"/>
      <c r="S259" s="8"/>
      <c r="T259" s="8"/>
      <c r="U259" s="8"/>
      <c r="V259" s="8"/>
      <c r="W259" s="8"/>
      <c r="X259" s="8"/>
      <c r="Y259" s="8"/>
    </row>
    <row r="260">
      <c r="A260" s="8"/>
      <c r="B260" s="8"/>
      <c r="C260" s="8"/>
      <c r="D260" s="8"/>
      <c r="E260" s="8"/>
      <c r="F260" s="8"/>
      <c r="G260" s="8"/>
      <c r="H260" s="8"/>
      <c r="I260" s="8"/>
      <c r="J260" s="8"/>
      <c r="K260" s="8"/>
      <c r="L260" s="8"/>
      <c r="M260" s="8"/>
      <c r="N260" s="8"/>
      <c r="O260" s="8"/>
      <c r="P260" s="8"/>
      <c r="Q260" s="8"/>
      <c r="R260" s="8"/>
      <c r="S260" s="8"/>
      <c r="T260" s="8"/>
      <c r="U260" s="8"/>
      <c r="V260" s="8"/>
      <c r="W260" s="8"/>
      <c r="X260" s="8"/>
      <c r="Y260" s="8"/>
    </row>
    <row r="261">
      <c r="A261" s="8"/>
      <c r="B261" s="8"/>
      <c r="C261" s="8"/>
      <c r="D261" s="8"/>
      <c r="E261" s="8"/>
      <c r="F261" s="8"/>
      <c r="G261" s="8"/>
      <c r="H261" s="8"/>
      <c r="I261" s="8"/>
      <c r="J261" s="8"/>
      <c r="K261" s="8"/>
      <c r="L261" s="8"/>
      <c r="M261" s="8"/>
      <c r="N261" s="8"/>
      <c r="O261" s="8"/>
      <c r="P261" s="8"/>
      <c r="Q261" s="8"/>
      <c r="R261" s="8"/>
      <c r="S261" s="8"/>
      <c r="T261" s="8"/>
      <c r="U261" s="8"/>
      <c r="V261" s="8"/>
      <c r="W261" s="8"/>
      <c r="X261" s="8"/>
      <c r="Y261" s="8"/>
    </row>
    <row r="262">
      <c r="A262" s="8"/>
      <c r="B262" s="8"/>
      <c r="C262" s="8"/>
      <c r="D262" s="8"/>
      <c r="E262" s="8"/>
      <c r="F262" s="8"/>
      <c r="G262" s="8"/>
      <c r="H262" s="8"/>
      <c r="I262" s="8"/>
      <c r="J262" s="8"/>
      <c r="K262" s="8"/>
      <c r="L262" s="8"/>
      <c r="M262" s="8"/>
      <c r="N262" s="8"/>
      <c r="O262" s="8"/>
      <c r="P262" s="8"/>
      <c r="Q262" s="8"/>
      <c r="R262" s="8"/>
      <c r="S262" s="8"/>
      <c r="T262" s="8"/>
      <c r="U262" s="8"/>
      <c r="V262" s="8"/>
      <c r="W262" s="8"/>
      <c r="X262" s="8"/>
      <c r="Y262" s="8"/>
    </row>
    <row r="263">
      <c r="A263" s="8"/>
      <c r="B263" s="8"/>
      <c r="C263" s="8"/>
      <c r="D263" s="8"/>
      <c r="E263" s="8"/>
      <c r="F263" s="8"/>
      <c r="G263" s="8"/>
      <c r="H263" s="8"/>
      <c r="I263" s="8"/>
      <c r="J263" s="8"/>
      <c r="K263" s="8"/>
      <c r="L263" s="8"/>
      <c r="M263" s="8"/>
      <c r="N263" s="8"/>
      <c r="O263" s="8"/>
      <c r="P263" s="8"/>
      <c r="Q263" s="8"/>
      <c r="R263" s="8"/>
      <c r="S263" s="8"/>
      <c r="T263" s="8"/>
      <c r="U263" s="8"/>
      <c r="V263" s="8"/>
      <c r="W263" s="8"/>
      <c r="X263" s="8"/>
      <c r="Y263" s="8"/>
    </row>
    <row r="264">
      <c r="A264" s="8"/>
      <c r="B264" s="8"/>
      <c r="C264" s="8"/>
      <c r="D264" s="8"/>
      <c r="E264" s="8"/>
      <c r="F264" s="8"/>
      <c r="G264" s="8"/>
      <c r="H264" s="8"/>
      <c r="I264" s="8"/>
      <c r="J264" s="8"/>
      <c r="K264" s="8"/>
      <c r="L264" s="8"/>
      <c r="M264" s="8"/>
      <c r="N264" s="8"/>
      <c r="O264" s="8"/>
      <c r="P264" s="8"/>
      <c r="Q264" s="8"/>
      <c r="R264" s="8"/>
      <c r="S264" s="8"/>
      <c r="T264" s="8"/>
      <c r="U264" s="8"/>
      <c r="V264" s="8"/>
      <c r="W264" s="8"/>
      <c r="X264" s="8"/>
      <c r="Y264" s="8"/>
    </row>
    <row r="265">
      <c r="A265" s="8"/>
      <c r="B265" s="8"/>
      <c r="C265" s="8"/>
      <c r="D265" s="8"/>
      <c r="E265" s="8"/>
      <c r="F265" s="8"/>
      <c r="G265" s="8"/>
      <c r="H265" s="8"/>
      <c r="I265" s="8"/>
      <c r="J265" s="8"/>
      <c r="K265" s="8"/>
      <c r="L265" s="8"/>
      <c r="M265" s="8"/>
      <c r="N265" s="8"/>
      <c r="O265" s="8"/>
      <c r="P265" s="8"/>
      <c r="Q265" s="8"/>
      <c r="R265" s="8"/>
      <c r="S265" s="8"/>
      <c r="T265" s="8"/>
      <c r="U265" s="8"/>
      <c r="V265" s="8"/>
      <c r="W265" s="8"/>
      <c r="X265" s="8"/>
      <c r="Y265" s="8"/>
    </row>
    <row r="266">
      <c r="A266" s="8"/>
      <c r="B266" s="8"/>
      <c r="C266" s="8"/>
      <c r="D266" s="8"/>
      <c r="E266" s="8"/>
      <c r="F266" s="8"/>
      <c r="G266" s="8"/>
      <c r="H266" s="8"/>
      <c r="I266" s="8"/>
      <c r="J266" s="8"/>
      <c r="K266" s="8"/>
      <c r="L266" s="8"/>
      <c r="M266" s="8"/>
      <c r="N266" s="8"/>
      <c r="O266" s="8"/>
      <c r="P266" s="8"/>
      <c r="Q266" s="8"/>
      <c r="R266" s="8"/>
      <c r="S266" s="8"/>
      <c r="T266" s="8"/>
      <c r="U266" s="8"/>
      <c r="V266" s="8"/>
      <c r="W266" s="8"/>
      <c r="X266" s="8"/>
      <c r="Y266" s="8"/>
    </row>
    <row r="267">
      <c r="A267" s="8"/>
      <c r="B267" s="8"/>
      <c r="C267" s="8"/>
      <c r="D267" s="8"/>
      <c r="E267" s="8"/>
      <c r="F267" s="8"/>
      <c r="G267" s="8"/>
      <c r="H267" s="8"/>
      <c r="I267" s="8"/>
      <c r="J267" s="8"/>
      <c r="K267" s="8"/>
      <c r="L267" s="8"/>
      <c r="M267" s="8"/>
      <c r="N267" s="8"/>
      <c r="O267" s="8"/>
      <c r="P267" s="8"/>
      <c r="Q267" s="8"/>
      <c r="R267" s="8"/>
      <c r="S267" s="8"/>
      <c r="T267" s="8"/>
      <c r="U267" s="8"/>
      <c r="V267" s="8"/>
      <c r="W267" s="8"/>
      <c r="X267" s="8"/>
      <c r="Y267" s="8"/>
    </row>
    <row r="268">
      <c r="A268" s="8"/>
      <c r="B268" s="8"/>
      <c r="C268" s="8"/>
      <c r="D268" s="8"/>
      <c r="E268" s="8"/>
      <c r="F268" s="8"/>
      <c r="G268" s="8"/>
      <c r="H268" s="8"/>
      <c r="I268" s="8"/>
      <c r="J268" s="8"/>
      <c r="K268" s="8"/>
      <c r="L268" s="8"/>
      <c r="M268" s="8"/>
      <c r="N268" s="8"/>
      <c r="O268" s="8"/>
      <c r="P268" s="8"/>
      <c r="Q268" s="8"/>
      <c r="R268" s="8"/>
      <c r="S268" s="8"/>
      <c r="T268" s="8"/>
      <c r="U268" s="8"/>
      <c r="V268" s="8"/>
      <c r="W268" s="8"/>
      <c r="X268" s="8"/>
      <c r="Y268" s="8"/>
    </row>
    <row r="269">
      <c r="A269" s="8"/>
      <c r="B269" s="8"/>
      <c r="C269" s="8"/>
      <c r="D269" s="8"/>
      <c r="E269" s="8"/>
      <c r="F269" s="8"/>
      <c r="G269" s="8"/>
      <c r="H269" s="8"/>
      <c r="I269" s="8"/>
      <c r="J269" s="8"/>
      <c r="K269" s="8"/>
      <c r="L269" s="8"/>
      <c r="M269" s="8"/>
      <c r="N269" s="8"/>
      <c r="O269" s="8"/>
      <c r="P269" s="8"/>
      <c r="Q269" s="8"/>
      <c r="R269" s="8"/>
      <c r="S269" s="8"/>
      <c r="T269" s="8"/>
      <c r="U269" s="8"/>
      <c r="V269" s="8"/>
      <c r="W269" s="8"/>
      <c r="X269" s="8"/>
      <c r="Y269" s="8"/>
    </row>
    <row r="270">
      <c r="A270" s="8"/>
      <c r="B270" s="8"/>
      <c r="C270" s="8"/>
      <c r="D270" s="8"/>
      <c r="E270" s="8"/>
      <c r="F270" s="8"/>
      <c r="G270" s="8"/>
      <c r="H270" s="8"/>
      <c r="I270" s="8"/>
      <c r="J270" s="8"/>
      <c r="K270" s="8"/>
      <c r="L270" s="8"/>
      <c r="M270" s="8"/>
      <c r="N270" s="8"/>
      <c r="O270" s="8"/>
      <c r="P270" s="8"/>
      <c r="Q270" s="8"/>
      <c r="R270" s="8"/>
      <c r="S270" s="8"/>
      <c r="T270" s="8"/>
      <c r="U270" s="8"/>
      <c r="V270" s="8"/>
      <c r="W270" s="8"/>
      <c r="X270" s="8"/>
      <c r="Y270" s="8"/>
    </row>
    <row r="271">
      <c r="A271" s="8"/>
      <c r="B271" s="8"/>
      <c r="C271" s="8"/>
      <c r="D271" s="8"/>
      <c r="E271" s="8"/>
      <c r="F271" s="8"/>
      <c r="G271" s="8"/>
      <c r="H271" s="8"/>
      <c r="I271" s="8"/>
      <c r="J271" s="8"/>
      <c r="K271" s="8"/>
      <c r="L271" s="8"/>
      <c r="M271" s="8"/>
      <c r="N271" s="8"/>
      <c r="O271" s="8"/>
      <c r="P271" s="8"/>
      <c r="Q271" s="8"/>
      <c r="R271" s="8"/>
      <c r="S271" s="8"/>
      <c r="T271" s="8"/>
      <c r="U271" s="8"/>
      <c r="V271" s="8"/>
      <c r="W271" s="8"/>
      <c r="X271" s="8"/>
      <c r="Y271" s="8"/>
    </row>
    <row r="272">
      <c r="A272" s="8"/>
      <c r="B272" s="8"/>
      <c r="C272" s="8"/>
      <c r="D272" s="8"/>
      <c r="E272" s="8"/>
      <c r="F272" s="8"/>
      <c r="G272" s="8"/>
      <c r="H272" s="8"/>
      <c r="I272" s="8"/>
      <c r="J272" s="8"/>
      <c r="K272" s="8"/>
      <c r="L272" s="8"/>
      <c r="M272" s="8"/>
      <c r="N272" s="8"/>
      <c r="O272" s="8"/>
      <c r="P272" s="8"/>
      <c r="Q272" s="8"/>
      <c r="R272" s="8"/>
      <c r="S272" s="8"/>
      <c r="T272" s="8"/>
      <c r="U272" s="8"/>
      <c r="V272" s="8"/>
      <c r="W272" s="8"/>
      <c r="X272" s="8"/>
      <c r="Y272" s="8"/>
    </row>
    <row r="273">
      <c r="A273" s="8"/>
      <c r="B273" s="8"/>
      <c r="C273" s="8"/>
      <c r="D273" s="8"/>
      <c r="E273" s="8"/>
      <c r="F273" s="8"/>
      <c r="G273" s="8"/>
      <c r="H273" s="8"/>
      <c r="I273" s="8"/>
      <c r="J273" s="8"/>
      <c r="K273" s="8"/>
      <c r="L273" s="8"/>
      <c r="M273" s="8"/>
      <c r="N273" s="8"/>
      <c r="O273" s="8"/>
      <c r="P273" s="8"/>
      <c r="Q273" s="8"/>
      <c r="R273" s="8"/>
      <c r="S273" s="8"/>
      <c r="T273" s="8"/>
      <c r="U273" s="8"/>
      <c r="V273" s="8"/>
      <c r="W273" s="8"/>
      <c r="X273" s="8"/>
      <c r="Y273" s="8"/>
    </row>
    <row r="274">
      <c r="A274" s="8"/>
      <c r="B274" s="8"/>
      <c r="C274" s="8"/>
      <c r="D274" s="8"/>
      <c r="E274" s="8"/>
      <c r="F274" s="8"/>
      <c r="G274" s="8"/>
      <c r="H274" s="8"/>
      <c r="I274" s="8"/>
      <c r="J274" s="8"/>
      <c r="K274" s="8"/>
      <c r="L274" s="8"/>
      <c r="M274" s="8"/>
      <c r="N274" s="8"/>
      <c r="O274" s="8"/>
      <c r="P274" s="8"/>
      <c r="Q274" s="8"/>
      <c r="R274" s="8"/>
      <c r="S274" s="8"/>
      <c r="T274" s="8"/>
      <c r="U274" s="8"/>
      <c r="V274" s="8"/>
      <c r="W274" s="8"/>
      <c r="X274" s="8"/>
      <c r="Y274" s="8"/>
    </row>
    <row r="275">
      <c r="A275" s="8"/>
      <c r="B275" s="8"/>
      <c r="C275" s="8"/>
      <c r="D275" s="8"/>
      <c r="E275" s="8"/>
      <c r="F275" s="8"/>
      <c r="G275" s="8"/>
      <c r="H275" s="8"/>
      <c r="I275" s="8"/>
      <c r="J275" s="8"/>
      <c r="K275" s="8"/>
      <c r="L275" s="8"/>
      <c r="M275" s="8"/>
      <c r="N275" s="8"/>
      <c r="O275" s="8"/>
      <c r="P275" s="8"/>
      <c r="Q275" s="8"/>
      <c r="R275" s="8"/>
      <c r="S275" s="8"/>
      <c r="T275" s="8"/>
      <c r="U275" s="8"/>
      <c r="V275" s="8"/>
      <c r="W275" s="8"/>
      <c r="X275" s="8"/>
      <c r="Y275" s="8"/>
    </row>
    <row r="276">
      <c r="A276" s="8"/>
      <c r="B276" s="8"/>
      <c r="C276" s="8"/>
      <c r="D276" s="8"/>
      <c r="E276" s="8"/>
      <c r="F276" s="8"/>
      <c r="G276" s="8"/>
      <c r="H276" s="8"/>
      <c r="I276" s="8"/>
      <c r="J276" s="8"/>
      <c r="K276" s="8"/>
      <c r="L276" s="8"/>
      <c r="M276" s="8"/>
      <c r="N276" s="8"/>
      <c r="O276" s="8"/>
      <c r="P276" s="8"/>
      <c r="Q276" s="8"/>
      <c r="R276" s="8"/>
      <c r="S276" s="8"/>
      <c r="T276" s="8"/>
      <c r="U276" s="8"/>
      <c r="V276" s="8"/>
      <c r="W276" s="8"/>
      <c r="X276" s="8"/>
      <c r="Y276" s="8"/>
    </row>
    <row r="277">
      <c r="A277" s="8"/>
      <c r="B277" s="8"/>
      <c r="C277" s="8"/>
      <c r="D277" s="8"/>
      <c r="E277" s="8"/>
      <c r="F277" s="8"/>
      <c r="G277" s="8"/>
      <c r="H277" s="8"/>
      <c r="I277" s="8"/>
      <c r="J277" s="8"/>
      <c r="K277" s="8"/>
      <c r="L277" s="8"/>
      <c r="M277" s="8"/>
      <c r="N277" s="8"/>
      <c r="O277" s="8"/>
      <c r="P277" s="8"/>
      <c r="Q277" s="8"/>
      <c r="R277" s="8"/>
      <c r="S277" s="8"/>
      <c r="T277" s="8"/>
      <c r="U277" s="8"/>
      <c r="V277" s="8"/>
      <c r="W277" s="8"/>
      <c r="X277" s="8"/>
      <c r="Y277" s="8"/>
    </row>
    <row r="278">
      <c r="A278" s="8"/>
      <c r="B278" s="8"/>
      <c r="C278" s="8"/>
      <c r="D278" s="8"/>
      <c r="E278" s="8"/>
      <c r="F278" s="8"/>
      <c r="G278" s="8"/>
      <c r="H278" s="8"/>
      <c r="I278" s="8"/>
      <c r="J278" s="8"/>
      <c r="K278" s="8"/>
      <c r="L278" s="8"/>
      <c r="M278" s="8"/>
      <c r="N278" s="8"/>
      <c r="O278" s="8"/>
      <c r="P278" s="8"/>
      <c r="Q278" s="8"/>
      <c r="R278" s="8"/>
      <c r="S278" s="8"/>
      <c r="T278" s="8"/>
      <c r="U278" s="8"/>
      <c r="V278" s="8"/>
      <c r="W278" s="8"/>
      <c r="X278" s="8"/>
      <c r="Y278" s="8"/>
    </row>
    <row r="279">
      <c r="A279" s="8"/>
      <c r="B279" s="8"/>
      <c r="C279" s="8"/>
      <c r="D279" s="8"/>
      <c r="E279" s="8"/>
      <c r="F279" s="8"/>
      <c r="G279" s="8"/>
      <c r="H279" s="8"/>
      <c r="I279" s="8"/>
      <c r="J279" s="8"/>
      <c r="K279" s="8"/>
      <c r="L279" s="8"/>
      <c r="M279" s="8"/>
      <c r="N279" s="8"/>
      <c r="O279" s="8"/>
      <c r="P279" s="8"/>
      <c r="Q279" s="8"/>
      <c r="R279" s="8"/>
      <c r="S279" s="8"/>
      <c r="T279" s="8"/>
      <c r="U279" s="8"/>
      <c r="V279" s="8"/>
      <c r="W279" s="8"/>
      <c r="X279" s="8"/>
      <c r="Y279" s="8"/>
    </row>
    <row r="280">
      <c r="A280" s="8"/>
      <c r="B280" s="8"/>
      <c r="C280" s="8"/>
      <c r="D280" s="8"/>
      <c r="E280" s="8"/>
      <c r="F280" s="8"/>
      <c r="G280" s="8"/>
      <c r="H280" s="8"/>
      <c r="I280" s="8"/>
      <c r="J280" s="8"/>
      <c r="K280" s="8"/>
      <c r="L280" s="8"/>
      <c r="M280" s="8"/>
      <c r="N280" s="8"/>
      <c r="O280" s="8"/>
      <c r="P280" s="8"/>
      <c r="Q280" s="8"/>
      <c r="R280" s="8"/>
      <c r="S280" s="8"/>
      <c r="T280" s="8"/>
      <c r="U280" s="8"/>
      <c r="V280" s="8"/>
      <c r="W280" s="8"/>
      <c r="X280" s="8"/>
      <c r="Y280" s="8"/>
    </row>
    <row r="281">
      <c r="A281" s="8"/>
      <c r="B281" s="8"/>
      <c r="C281" s="8"/>
      <c r="D281" s="8"/>
      <c r="E281" s="8"/>
      <c r="F281" s="8"/>
      <c r="G281" s="8"/>
      <c r="H281" s="8"/>
      <c r="I281" s="8"/>
      <c r="J281" s="8"/>
      <c r="K281" s="8"/>
      <c r="L281" s="8"/>
      <c r="M281" s="8"/>
      <c r="N281" s="8"/>
      <c r="O281" s="8"/>
      <c r="P281" s="8"/>
      <c r="Q281" s="8"/>
      <c r="R281" s="8"/>
      <c r="S281" s="8"/>
      <c r="T281" s="8"/>
      <c r="U281" s="8"/>
      <c r="V281" s="8"/>
      <c r="W281" s="8"/>
      <c r="X281" s="8"/>
      <c r="Y281" s="8"/>
    </row>
    <row r="282">
      <c r="A282" s="8"/>
      <c r="B282" s="8"/>
      <c r="C282" s="8"/>
      <c r="D282" s="8"/>
      <c r="E282" s="8"/>
      <c r="F282" s="8"/>
      <c r="G282" s="8"/>
      <c r="H282" s="8"/>
      <c r="I282" s="8"/>
      <c r="J282" s="8"/>
      <c r="K282" s="8"/>
      <c r="L282" s="8"/>
      <c r="M282" s="8"/>
      <c r="N282" s="8"/>
      <c r="O282" s="8"/>
      <c r="P282" s="8"/>
      <c r="Q282" s="8"/>
      <c r="R282" s="8"/>
      <c r="S282" s="8"/>
      <c r="T282" s="8"/>
      <c r="U282" s="8"/>
      <c r="V282" s="8"/>
      <c r="W282" s="8"/>
      <c r="X282" s="8"/>
      <c r="Y282" s="8"/>
    </row>
    <row r="283">
      <c r="A283" s="8"/>
      <c r="B283" s="8"/>
      <c r="C283" s="8"/>
      <c r="D283" s="8"/>
      <c r="E283" s="8"/>
      <c r="F283" s="8"/>
      <c r="G283" s="8"/>
      <c r="H283" s="8"/>
      <c r="I283" s="8"/>
      <c r="J283" s="8"/>
      <c r="K283" s="8"/>
      <c r="L283" s="8"/>
      <c r="M283" s="8"/>
      <c r="N283" s="8"/>
      <c r="O283" s="8"/>
      <c r="P283" s="8"/>
      <c r="Q283" s="8"/>
      <c r="R283" s="8"/>
      <c r="S283" s="8"/>
      <c r="T283" s="8"/>
      <c r="U283" s="8"/>
      <c r="V283" s="8"/>
      <c r="W283" s="8"/>
      <c r="X283" s="8"/>
      <c r="Y283" s="8"/>
    </row>
    <row r="284">
      <c r="A284" s="8"/>
      <c r="B284" s="8"/>
      <c r="C284" s="8"/>
      <c r="D284" s="8"/>
      <c r="E284" s="8"/>
      <c r="F284" s="8"/>
      <c r="G284" s="8"/>
      <c r="H284" s="8"/>
      <c r="I284" s="8"/>
      <c r="J284" s="8"/>
      <c r="K284" s="8"/>
      <c r="L284" s="8"/>
      <c r="M284" s="8"/>
      <c r="N284" s="8"/>
      <c r="O284" s="8"/>
      <c r="P284" s="8"/>
      <c r="Q284" s="8"/>
      <c r="R284" s="8"/>
      <c r="S284" s="8"/>
      <c r="T284" s="8"/>
      <c r="U284" s="8"/>
      <c r="V284" s="8"/>
      <c r="W284" s="8"/>
      <c r="X284" s="8"/>
      <c r="Y284" s="8"/>
    </row>
    <row r="285">
      <c r="A285" s="8"/>
      <c r="B285" s="8"/>
      <c r="C285" s="8"/>
      <c r="D285" s="8"/>
      <c r="E285" s="8"/>
      <c r="F285" s="8"/>
      <c r="G285" s="8"/>
      <c r="H285" s="8"/>
      <c r="I285" s="8"/>
      <c r="J285" s="8"/>
      <c r="K285" s="8"/>
      <c r="L285" s="8"/>
      <c r="M285" s="8"/>
      <c r="N285" s="8"/>
      <c r="O285" s="8"/>
      <c r="P285" s="8"/>
      <c r="Q285" s="8"/>
      <c r="R285" s="8"/>
      <c r="S285" s="8"/>
      <c r="T285" s="8"/>
      <c r="U285" s="8"/>
      <c r="V285" s="8"/>
      <c r="W285" s="8"/>
      <c r="X285" s="8"/>
      <c r="Y285" s="8"/>
    </row>
    <row r="286">
      <c r="A286" s="8"/>
      <c r="B286" s="8"/>
      <c r="C286" s="8"/>
      <c r="D286" s="8"/>
      <c r="E286" s="8"/>
      <c r="F286" s="8"/>
      <c r="G286" s="8"/>
      <c r="H286" s="8"/>
      <c r="I286" s="8"/>
      <c r="J286" s="8"/>
      <c r="K286" s="8"/>
      <c r="L286" s="8"/>
      <c r="M286" s="8"/>
      <c r="N286" s="8"/>
      <c r="O286" s="8"/>
      <c r="P286" s="8"/>
      <c r="Q286" s="8"/>
      <c r="R286" s="8"/>
      <c r="S286" s="8"/>
      <c r="T286" s="8"/>
      <c r="U286" s="8"/>
      <c r="V286" s="8"/>
      <c r="W286" s="8"/>
      <c r="X286" s="8"/>
      <c r="Y286" s="8"/>
    </row>
    <row r="287">
      <c r="A287" s="8"/>
      <c r="B287" s="8"/>
      <c r="C287" s="8"/>
      <c r="D287" s="8"/>
      <c r="E287" s="8"/>
      <c r="F287" s="8"/>
      <c r="G287" s="8"/>
      <c r="H287" s="8"/>
      <c r="I287" s="8"/>
      <c r="J287" s="8"/>
      <c r="K287" s="8"/>
      <c r="L287" s="8"/>
      <c r="M287" s="8"/>
      <c r="N287" s="8"/>
      <c r="O287" s="8"/>
      <c r="P287" s="8"/>
      <c r="Q287" s="8"/>
      <c r="R287" s="8"/>
      <c r="S287" s="8"/>
      <c r="T287" s="8"/>
      <c r="U287" s="8"/>
      <c r="V287" s="8"/>
      <c r="W287" s="8"/>
      <c r="X287" s="8"/>
      <c r="Y287" s="8"/>
    </row>
    <row r="288">
      <c r="A288" s="8"/>
      <c r="B288" s="8"/>
      <c r="C288" s="8"/>
      <c r="D288" s="8"/>
      <c r="E288" s="8"/>
      <c r="F288" s="8"/>
      <c r="G288" s="8"/>
      <c r="H288" s="8"/>
      <c r="I288" s="8"/>
      <c r="J288" s="8"/>
      <c r="K288" s="8"/>
      <c r="L288" s="8"/>
      <c r="M288" s="8"/>
      <c r="N288" s="8"/>
      <c r="O288" s="8"/>
      <c r="P288" s="8"/>
      <c r="Q288" s="8"/>
      <c r="R288" s="8"/>
      <c r="S288" s="8"/>
      <c r="T288" s="8"/>
      <c r="U288" s="8"/>
      <c r="V288" s="8"/>
      <c r="W288" s="8"/>
      <c r="X288" s="8"/>
      <c r="Y288" s="8"/>
    </row>
    <row r="289">
      <c r="A289" s="8"/>
      <c r="B289" s="8"/>
      <c r="C289" s="8"/>
      <c r="D289" s="8"/>
      <c r="E289" s="8"/>
      <c r="F289" s="8"/>
      <c r="G289" s="8"/>
      <c r="H289" s="8"/>
      <c r="I289" s="8"/>
      <c r="J289" s="8"/>
      <c r="K289" s="8"/>
      <c r="L289" s="8"/>
      <c r="M289" s="8"/>
      <c r="N289" s="8"/>
      <c r="O289" s="8"/>
      <c r="P289" s="8"/>
      <c r="Q289" s="8"/>
      <c r="R289" s="8"/>
      <c r="S289" s="8"/>
      <c r="T289" s="8"/>
      <c r="U289" s="8"/>
      <c r="V289" s="8"/>
      <c r="W289" s="8"/>
      <c r="X289" s="8"/>
      <c r="Y289" s="8"/>
    </row>
    <row r="290">
      <c r="A290" s="8"/>
      <c r="B290" s="8"/>
      <c r="C290" s="8"/>
      <c r="D290" s="8"/>
      <c r="E290" s="8"/>
      <c r="F290" s="8"/>
      <c r="G290" s="8"/>
      <c r="H290" s="8"/>
      <c r="I290" s="8"/>
      <c r="J290" s="8"/>
      <c r="K290" s="8"/>
      <c r="L290" s="8"/>
      <c r="M290" s="8"/>
      <c r="N290" s="8"/>
      <c r="O290" s="8"/>
      <c r="P290" s="8"/>
      <c r="Q290" s="8"/>
      <c r="R290" s="8"/>
      <c r="S290" s="8"/>
      <c r="T290" s="8"/>
      <c r="U290" s="8"/>
      <c r="V290" s="8"/>
      <c r="W290" s="8"/>
      <c r="X290" s="8"/>
      <c r="Y290" s="8"/>
    </row>
    <row r="291">
      <c r="A291" s="8"/>
      <c r="B291" s="8"/>
      <c r="C291" s="8"/>
      <c r="D291" s="8"/>
      <c r="E291" s="8"/>
      <c r="F291" s="8"/>
      <c r="G291" s="8"/>
      <c r="H291" s="8"/>
      <c r="I291" s="8"/>
      <c r="J291" s="8"/>
      <c r="K291" s="8"/>
      <c r="L291" s="8"/>
      <c r="M291" s="8"/>
      <c r="N291" s="8"/>
      <c r="O291" s="8"/>
      <c r="P291" s="8"/>
      <c r="Q291" s="8"/>
      <c r="R291" s="8"/>
      <c r="S291" s="8"/>
      <c r="T291" s="8"/>
      <c r="U291" s="8"/>
      <c r="V291" s="8"/>
      <c r="W291" s="8"/>
      <c r="X291" s="8"/>
      <c r="Y291" s="8"/>
    </row>
    <row r="292">
      <c r="A292" s="8"/>
      <c r="B292" s="8"/>
      <c r="C292" s="8"/>
      <c r="D292" s="8"/>
      <c r="E292" s="8"/>
      <c r="F292" s="8"/>
      <c r="G292" s="8"/>
      <c r="H292" s="8"/>
      <c r="I292" s="8"/>
      <c r="J292" s="8"/>
      <c r="K292" s="8"/>
      <c r="L292" s="8"/>
      <c r="M292" s="8"/>
      <c r="N292" s="8"/>
      <c r="O292" s="8"/>
      <c r="P292" s="8"/>
      <c r="Q292" s="8"/>
      <c r="R292" s="8"/>
      <c r="S292" s="8"/>
      <c r="T292" s="8"/>
      <c r="U292" s="8"/>
      <c r="V292" s="8"/>
      <c r="W292" s="8"/>
      <c r="X292" s="8"/>
      <c r="Y292" s="8"/>
    </row>
    <row r="293">
      <c r="A293" s="8"/>
      <c r="B293" s="8"/>
      <c r="C293" s="8"/>
      <c r="D293" s="8"/>
      <c r="E293" s="8"/>
      <c r="F293" s="8"/>
      <c r="G293" s="8"/>
      <c r="H293" s="8"/>
      <c r="I293" s="8"/>
      <c r="J293" s="8"/>
      <c r="K293" s="8"/>
      <c r="L293" s="8"/>
      <c r="M293" s="8"/>
      <c r="N293" s="8"/>
      <c r="O293" s="8"/>
      <c r="P293" s="8"/>
      <c r="Q293" s="8"/>
      <c r="R293" s="8"/>
      <c r="S293" s="8"/>
      <c r="T293" s="8"/>
      <c r="U293" s="8"/>
      <c r="V293" s="8"/>
      <c r="W293" s="8"/>
      <c r="X293" s="8"/>
      <c r="Y293" s="8"/>
    </row>
    <row r="294">
      <c r="A294" s="8"/>
      <c r="B294" s="8"/>
      <c r="C294" s="8"/>
      <c r="D294" s="8"/>
      <c r="E294" s="8"/>
      <c r="F294" s="8"/>
      <c r="G294" s="8"/>
      <c r="H294" s="8"/>
      <c r="I294" s="8"/>
      <c r="J294" s="8"/>
      <c r="K294" s="8"/>
      <c r="L294" s="8"/>
      <c r="M294" s="8"/>
      <c r="N294" s="8"/>
      <c r="O294" s="8"/>
      <c r="P294" s="8"/>
      <c r="Q294" s="8"/>
      <c r="R294" s="8"/>
      <c r="S294" s="8"/>
      <c r="T294" s="8"/>
      <c r="U294" s="8"/>
      <c r="V294" s="8"/>
      <c r="W294" s="8"/>
      <c r="X294" s="8"/>
      <c r="Y294" s="8"/>
    </row>
    <row r="295">
      <c r="A295" s="8"/>
      <c r="B295" s="8"/>
      <c r="C295" s="8"/>
      <c r="D295" s="8"/>
      <c r="E295" s="8"/>
      <c r="F295" s="8"/>
      <c r="G295" s="8"/>
      <c r="H295" s="8"/>
      <c r="I295" s="8"/>
      <c r="J295" s="8"/>
      <c r="K295" s="8"/>
      <c r="L295" s="8"/>
      <c r="M295" s="8"/>
      <c r="N295" s="8"/>
      <c r="O295" s="8"/>
      <c r="P295" s="8"/>
      <c r="Q295" s="8"/>
      <c r="R295" s="8"/>
      <c r="S295" s="8"/>
      <c r="T295" s="8"/>
      <c r="U295" s="8"/>
      <c r="V295" s="8"/>
      <c r="W295" s="8"/>
      <c r="X295" s="8"/>
      <c r="Y295" s="8"/>
    </row>
    <row r="296">
      <c r="A296" s="8"/>
      <c r="B296" s="8"/>
      <c r="C296" s="8"/>
      <c r="D296" s="8"/>
      <c r="E296" s="8"/>
      <c r="F296" s="8"/>
      <c r="G296" s="8"/>
      <c r="H296" s="8"/>
      <c r="I296" s="8"/>
      <c r="J296" s="8"/>
      <c r="K296" s="8"/>
      <c r="L296" s="8"/>
      <c r="M296" s="8"/>
      <c r="N296" s="8"/>
      <c r="O296" s="8"/>
      <c r="P296" s="8"/>
      <c r="Q296" s="8"/>
      <c r="R296" s="8"/>
      <c r="S296" s="8"/>
      <c r="T296" s="8"/>
      <c r="U296" s="8"/>
      <c r="V296" s="8"/>
      <c r="W296" s="8"/>
      <c r="X296" s="8"/>
      <c r="Y296" s="8"/>
    </row>
    <row r="297">
      <c r="A297" s="8"/>
      <c r="B297" s="8"/>
      <c r="C297" s="8"/>
      <c r="D297" s="8"/>
      <c r="E297" s="8"/>
      <c r="F297" s="8"/>
      <c r="G297" s="8"/>
      <c r="H297" s="8"/>
      <c r="I297" s="8"/>
      <c r="J297" s="8"/>
      <c r="K297" s="8"/>
      <c r="L297" s="8"/>
      <c r="M297" s="8"/>
      <c r="N297" s="8"/>
      <c r="O297" s="8"/>
      <c r="P297" s="8"/>
      <c r="Q297" s="8"/>
      <c r="R297" s="8"/>
      <c r="S297" s="8"/>
      <c r="T297" s="8"/>
      <c r="U297" s="8"/>
      <c r="V297" s="8"/>
      <c r="W297" s="8"/>
      <c r="X297" s="8"/>
      <c r="Y297" s="8"/>
    </row>
    <row r="298">
      <c r="A298" s="8"/>
      <c r="B298" s="8"/>
      <c r="C298" s="8"/>
      <c r="D298" s="8"/>
      <c r="E298" s="8"/>
      <c r="F298" s="8"/>
      <c r="G298" s="8"/>
      <c r="H298" s="8"/>
      <c r="I298" s="8"/>
      <c r="J298" s="8"/>
      <c r="K298" s="8"/>
      <c r="L298" s="8"/>
      <c r="M298" s="8"/>
      <c r="N298" s="8"/>
      <c r="O298" s="8"/>
      <c r="P298" s="8"/>
      <c r="Q298" s="8"/>
      <c r="R298" s="8"/>
      <c r="S298" s="8"/>
      <c r="T298" s="8"/>
      <c r="U298" s="8"/>
      <c r="V298" s="8"/>
      <c r="W298" s="8"/>
      <c r="X298" s="8"/>
      <c r="Y298" s="8"/>
    </row>
    <row r="299">
      <c r="A299" s="8"/>
      <c r="B299" s="8"/>
      <c r="C299" s="8"/>
      <c r="D299" s="8"/>
      <c r="E299" s="8"/>
      <c r="F299" s="8"/>
      <c r="G299" s="8"/>
      <c r="H299" s="8"/>
      <c r="I299" s="8"/>
      <c r="J299" s="8"/>
      <c r="K299" s="8"/>
      <c r="L299" s="8"/>
      <c r="M299" s="8"/>
      <c r="N299" s="8"/>
      <c r="O299" s="8"/>
      <c r="P299" s="8"/>
      <c r="Q299" s="8"/>
      <c r="R299" s="8"/>
      <c r="S299" s="8"/>
      <c r="T299" s="8"/>
      <c r="U299" s="8"/>
      <c r="V299" s="8"/>
      <c r="W299" s="8"/>
      <c r="X299" s="8"/>
      <c r="Y299" s="8"/>
    </row>
    <row r="300">
      <c r="A300" s="8"/>
      <c r="B300" s="8"/>
      <c r="C300" s="8"/>
      <c r="D300" s="8"/>
      <c r="E300" s="8"/>
      <c r="F300" s="8"/>
      <c r="G300" s="8"/>
      <c r="H300" s="8"/>
      <c r="I300" s="8"/>
      <c r="J300" s="8"/>
      <c r="K300" s="8"/>
      <c r="L300" s="8"/>
      <c r="M300" s="8"/>
      <c r="N300" s="8"/>
      <c r="O300" s="8"/>
      <c r="P300" s="8"/>
      <c r="Q300" s="8"/>
      <c r="R300" s="8"/>
      <c r="S300" s="8"/>
      <c r="T300" s="8"/>
      <c r="U300" s="8"/>
      <c r="V300" s="8"/>
      <c r="W300" s="8"/>
      <c r="X300" s="8"/>
      <c r="Y300" s="8"/>
    </row>
    <row r="301">
      <c r="A301" s="8"/>
      <c r="B301" s="8"/>
      <c r="C301" s="8"/>
      <c r="D301" s="8"/>
      <c r="E301" s="8"/>
      <c r="F301" s="8"/>
      <c r="G301" s="8"/>
      <c r="H301" s="8"/>
      <c r="I301" s="8"/>
      <c r="J301" s="8"/>
      <c r="K301" s="8"/>
      <c r="L301" s="8"/>
      <c r="M301" s="8"/>
      <c r="N301" s="8"/>
      <c r="O301" s="8"/>
      <c r="P301" s="8"/>
      <c r="Q301" s="8"/>
      <c r="R301" s="8"/>
      <c r="S301" s="8"/>
      <c r="T301" s="8"/>
      <c r="U301" s="8"/>
      <c r="V301" s="8"/>
      <c r="W301" s="8"/>
      <c r="X301" s="8"/>
      <c r="Y301" s="8"/>
    </row>
    <row r="302">
      <c r="A302" s="8"/>
      <c r="B302" s="8"/>
      <c r="C302" s="8"/>
      <c r="D302" s="8"/>
      <c r="E302" s="8"/>
      <c r="F302" s="8"/>
      <c r="G302" s="8"/>
      <c r="H302" s="8"/>
      <c r="I302" s="8"/>
      <c r="J302" s="8"/>
      <c r="K302" s="8"/>
      <c r="L302" s="8"/>
      <c r="M302" s="8"/>
      <c r="N302" s="8"/>
      <c r="O302" s="8"/>
      <c r="P302" s="8"/>
      <c r="Q302" s="8"/>
      <c r="R302" s="8"/>
      <c r="S302" s="8"/>
      <c r="T302" s="8"/>
      <c r="U302" s="8"/>
      <c r="V302" s="8"/>
      <c r="W302" s="8"/>
      <c r="X302" s="8"/>
      <c r="Y302" s="8"/>
    </row>
    <row r="303">
      <c r="A303" s="8"/>
      <c r="B303" s="8"/>
      <c r="C303" s="8"/>
      <c r="D303" s="8"/>
      <c r="E303" s="8"/>
      <c r="F303" s="8"/>
      <c r="G303" s="8"/>
      <c r="H303" s="8"/>
      <c r="I303" s="8"/>
      <c r="J303" s="8"/>
      <c r="K303" s="8"/>
      <c r="L303" s="8"/>
      <c r="M303" s="8"/>
      <c r="N303" s="8"/>
      <c r="O303" s="8"/>
      <c r="P303" s="8"/>
      <c r="Q303" s="8"/>
      <c r="R303" s="8"/>
      <c r="S303" s="8"/>
      <c r="T303" s="8"/>
      <c r="U303" s="8"/>
      <c r="V303" s="8"/>
      <c r="W303" s="8"/>
      <c r="X303" s="8"/>
      <c r="Y303" s="8"/>
    </row>
    <row r="304">
      <c r="A304" s="8"/>
      <c r="B304" s="8"/>
      <c r="C304" s="8"/>
      <c r="D304" s="8"/>
      <c r="E304" s="8"/>
      <c r="F304" s="8"/>
      <c r="G304" s="8"/>
      <c r="H304" s="8"/>
      <c r="I304" s="8"/>
      <c r="J304" s="8"/>
      <c r="K304" s="8"/>
      <c r="L304" s="8"/>
      <c r="M304" s="8"/>
      <c r="N304" s="8"/>
      <c r="O304" s="8"/>
      <c r="P304" s="8"/>
      <c r="Q304" s="8"/>
      <c r="R304" s="8"/>
      <c r="S304" s="8"/>
      <c r="T304" s="8"/>
      <c r="U304" s="8"/>
      <c r="V304" s="8"/>
      <c r="W304" s="8"/>
      <c r="X304" s="8"/>
      <c r="Y304" s="8"/>
    </row>
    <row r="305">
      <c r="A305" s="8"/>
      <c r="B305" s="8"/>
      <c r="C305" s="8"/>
      <c r="D305" s="8"/>
      <c r="E305" s="8"/>
      <c r="F305" s="8"/>
      <c r="G305" s="8"/>
      <c r="H305" s="8"/>
      <c r="I305" s="8"/>
      <c r="J305" s="8"/>
      <c r="K305" s="8"/>
      <c r="L305" s="8"/>
      <c r="M305" s="8"/>
      <c r="N305" s="8"/>
      <c r="O305" s="8"/>
      <c r="P305" s="8"/>
      <c r="Q305" s="8"/>
      <c r="R305" s="8"/>
      <c r="S305" s="8"/>
      <c r="T305" s="8"/>
      <c r="U305" s="8"/>
      <c r="V305" s="8"/>
      <c r="W305" s="8"/>
      <c r="X305" s="8"/>
      <c r="Y305" s="8"/>
    </row>
    <row r="306">
      <c r="A306" s="8"/>
      <c r="B306" s="8"/>
      <c r="C306" s="8"/>
      <c r="D306" s="8"/>
      <c r="E306" s="8"/>
      <c r="F306" s="8"/>
      <c r="G306" s="8"/>
      <c r="H306" s="8"/>
      <c r="I306" s="8"/>
      <c r="J306" s="8"/>
      <c r="K306" s="8"/>
      <c r="L306" s="8"/>
      <c r="M306" s="8"/>
      <c r="N306" s="8"/>
      <c r="O306" s="8"/>
      <c r="P306" s="8"/>
      <c r="Q306" s="8"/>
      <c r="R306" s="8"/>
      <c r="S306" s="8"/>
      <c r="T306" s="8"/>
      <c r="U306" s="8"/>
      <c r="V306" s="8"/>
      <c r="W306" s="8"/>
      <c r="X306" s="8"/>
      <c r="Y306" s="8"/>
    </row>
    <row r="307">
      <c r="A307" s="8"/>
      <c r="B307" s="8"/>
      <c r="C307" s="8"/>
      <c r="D307" s="8"/>
      <c r="E307" s="8"/>
      <c r="F307" s="8"/>
      <c r="G307" s="8"/>
      <c r="H307" s="8"/>
      <c r="I307" s="8"/>
      <c r="J307" s="8"/>
      <c r="K307" s="8"/>
      <c r="L307" s="8"/>
      <c r="M307" s="8"/>
      <c r="N307" s="8"/>
      <c r="O307" s="8"/>
      <c r="P307" s="8"/>
      <c r="Q307" s="8"/>
      <c r="R307" s="8"/>
      <c r="S307" s="8"/>
      <c r="T307" s="8"/>
      <c r="U307" s="8"/>
      <c r="V307" s="8"/>
      <c r="W307" s="8"/>
      <c r="X307" s="8"/>
      <c r="Y307" s="8"/>
    </row>
    <row r="308">
      <c r="A308" s="8"/>
      <c r="B308" s="8"/>
      <c r="C308" s="8"/>
      <c r="D308" s="8"/>
      <c r="E308" s="8"/>
      <c r="F308" s="8"/>
      <c r="G308" s="8"/>
      <c r="H308" s="8"/>
      <c r="I308" s="8"/>
      <c r="J308" s="8"/>
      <c r="K308" s="8"/>
      <c r="L308" s="8"/>
      <c r="M308" s="8"/>
      <c r="N308" s="8"/>
      <c r="O308" s="8"/>
      <c r="P308" s="8"/>
      <c r="Q308" s="8"/>
      <c r="R308" s="8"/>
      <c r="S308" s="8"/>
      <c r="T308" s="8"/>
      <c r="U308" s="8"/>
      <c r="V308" s="8"/>
      <c r="W308" s="8"/>
      <c r="X308" s="8"/>
      <c r="Y308" s="8"/>
    </row>
    <row r="309">
      <c r="A309" s="8"/>
      <c r="B309" s="8"/>
      <c r="C309" s="8"/>
      <c r="D309" s="8"/>
      <c r="E309" s="8"/>
      <c r="F309" s="8"/>
      <c r="G309" s="8"/>
      <c r="H309" s="8"/>
      <c r="I309" s="8"/>
      <c r="J309" s="8"/>
      <c r="K309" s="8"/>
      <c r="L309" s="8"/>
      <c r="M309" s="8"/>
      <c r="N309" s="8"/>
      <c r="O309" s="8"/>
      <c r="P309" s="8"/>
      <c r="Q309" s="8"/>
      <c r="R309" s="8"/>
      <c r="S309" s="8"/>
      <c r="T309" s="8"/>
      <c r="U309" s="8"/>
      <c r="V309" s="8"/>
      <c r="W309" s="8"/>
      <c r="X309" s="8"/>
      <c r="Y309" s="8"/>
    </row>
    <row r="310">
      <c r="A310" s="8"/>
      <c r="B310" s="8"/>
      <c r="C310" s="8"/>
      <c r="D310" s="8"/>
      <c r="E310" s="8"/>
      <c r="F310" s="8"/>
      <c r="G310" s="8"/>
      <c r="H310" s="8"/>
      <c r="I310" s="8"/>
      <c r="J310" s="8"/>
      <c r="K310" s="8"/>
      <c r="L310" s="8"/>
      <c r="M310" s="8"/>
      <c r="N310" s="8"/>
      <c r="O310" s="8"/>
      <c r="P310" s="8"/>
      <c r="Q310" s="8"/>
      <c r="R310" s="8"/>
      <c r="S310" s="8"/>
      <c r="T310" s="8"/>
      <c r="U310" s="8"/>
      <c r="V310" s="8"/>
      <c r="W310" s="8"/>
      <c r="X310" s="8"/>
      <c r="Y310" s="8"/>
    </row>
    <row r="311">
      <c r="A311" s="8"/>
      <c r="B311" s="8"/>
      <c r="C311" s="8"/>
      <c r="D311" s="8"/>
      <c r="E311" s="8"/>
      <c r="F311" s="8"/>
      <c r="G311" s="8"/>
      <c r="H311" s="8"/>
      <c r="I311" s="8"/>
      <c r="J311" s="8"/>
      <c r="K311" s="8"/>
      <c r="L311" s="8"/>
      <c r="M311" s="8"/>
      <c r="N311" s="8"/>
      <c r="O311" s="8"/>
      <c r="P311" s="8"/>
      <c r="Q311" s="8"/>
      <c r="R311" s="8"/>
      <c r="S311" s="8"/>
      <c r="T311" s="8"/>
      <c r="U311" s="8"/>
      <c r="V311" s="8"/>
      <c r="W311" s="8"/>
      <c r="X311" s="8"/>
      <c r="Y311" s="8"/>
    </row>
    <row r="312">
      <c r="A312" s="8"/>
      <c r="B312" s="8"/>
      <c r="C312" s="8"/>
      <c r="D312" s="8"/>
      <c r="E312" s="8"/>
      <c r="F312" s="8"/>
      <c r="G312" s="8"/>
      <c r="H312" s="8"/>
      <c r="I312" s="8"/>
      <c r="J312" s="8"/>
      <c r="K312" s="8"/>
      <c r="L312" s="8"/>
      <c r="M312" s="8"/>
      <c r="N312" s="8"/>
      <c r="O312" s="8"/>
      <c r="P312" s="8"/>
      <c r="Q312" s="8"/>
      <c r="R312" s="8"/>
      <c r="S312" s="8"/>
      <c r="T312" s="8"/>
      <c r="U312" s="8"/>
      <c r="V312" s="8"/>
      <c r="W312" s="8"/>
      <c r="X312" s="8"/>
      <c r="Y312" s="8"/>
    </row>
    <row r="313">
      <c r="A313" s="8"/>
      <c r="B313" s="8"/>
      <c r="C313" s="8"/>
      <c r="D313" s="8"/>
      <c r="E313" s="8"/>
      <c r="F313" s="8"/>
      <c r="G313" s="8"/>
      <c r="H313" s="8"/>
      <c r="I313" s="8"/>
      <c r="J313" s="8"/>
      <c r="K313" s="8"/>
      <c r="L313" s="8"/>
      <c r="M313" s="8"/>
      <c r="N313" s="8"/>
      <c r="O313" s="8"/>
      <c r="P313" s="8"/>
      <c r="Q313" s="8"/>
      <c r="R313" s="8"/>
      <c r="S313" s="8"/>
      <c r="T313" s="8"/>
      <c r="U313" s="8"/>
      <c r="V313" s="8"/>
      <c r="W313" s="8"/>
      <c r="X313" s="8"/>
      <c r="Y313" s="8"/>
    </row>
    <row r="314">
      <c r="A314" s="8"/>
      <c r="B314" s="8"/>
      <c r="C314" s="8"/>
      <c r="D314" s="8"/>
      <c r="E314" s="8"/>
      <c r="F314" s="8"/>
      <c r="G314" s="8"/>
      <c r="H314" s="8"/>
      <c r="I314" s="8"/>
      <c r="J314" s="8"/>
      <c r="K314" s="8"/>
      <c r="L314" s="8"/>
      <c r="M314" s="8"/>
      <c r="N314" s="8"/>
      <c r="O314" s="8"/>
      <c r="P314" s="8"/>
      <c r="Q314" s="8"/>
      <c r="R314" s="8"/>
      <c r="S314" s="8"/>
      <c r="T314" s="8"/>
      <c r="U314" s="8"/>
      <c r="V314" s="8"/>
      <c r="W314" s="8"/>
      <c r="X314" s="8"/>
      <c r="Y314" s="8"/>
    </row>
    <row r="315">
      <c r="A315" s="8"/>
      <c r="B315" s="8"/>
      <c r="C315" s="8"/>
      <c r="D315" s="8"/>
      <c r="E315" s="8"/>
      <c r="F315" s="8"/>
      <c r="G315" s="8"/>
      <c r="H315" s="8"/>
      <c r="I315" s="8"/>
      <c r="J315" s="8"/>
      <c r="K315" s="8"/>
      <c r="L315" s="8"/>
      <c r="M315" s="8"/>
      <c r="N315" s="8"/>
      <c r="O315" s="8"/>
      <c r="P315" s="8"/>
      <c r="Q315" s="8"/>
      <c r="R315" s="8"/>
      <c r="S315" s="8"/>
      <c r="T315" s="8"/>
      <c r="U315" s="8"/>
      <c r="V315" s="8"/>
      <c r="W315" s="8"/>
      <c r="X315" s="8"/>
      <c r="Y315" s="8"/>
    </row>
    <row r="316">
      <c r="A316" s="8"/>
      <c r="B316" s="8"/>
      <c r="C316" s="8"/>
      <c r="D316" s="8"/>
      <c r="E316" s="8"/>
      <c r="F316" s="8"/>
      <c r="G316" s="8"/>
      <c r="H316" s="8"/>
      <c r="I316" s="8"/>
      <c r="J316" s="8"/>
      <c r="K316" s="8"/>
      <c r="L316" s="8"/>
      <c r="M316" s="8"/>
      <c r="N316" s="8"/>
      <c r="O316" s="8"/>
      <c r="P316" s="8"/>
      <c r="Q316" s="8"/>
      <c r="R316" s="8"/>
      <c r="S316" s="8"/>
      <c r="T316" s="8"/>
      <c r="U316" s="8"/>
      <c r="V316" s="8"/>
      <c r="W316" s="8"/>
      <c r="X316" s="8"/>
      <c r="Y316" s="8"/>
    </row>
    <row r="317">
      <c r="A317" s="8"/>
      <c r="B317" s="8"/>
      <c r="C317" s="8"/>
      <c r="D317" s="8"/>
      <c r="E317" s="8"/>
      <c r="F317" s="8"/>
      <c r="G317" s="8"/>
      <c r="H317" s="8"/>
      <c r="I317" s="8"/>
      <c r="J317" s="8"/>
      <c r="K317" s="8"/>
      <c r="L317" s="8"/>
      <c r="M317" s="8"/>
      <c r="N317" s="8"/>
      <c r="O317" s="8"/>
      <c r="P317" s="8"/>
      <c r="Q317" s="8"/>
      <c r="R317" s="8"/>
      <c r="S317" s="8"/>
      <c r="T317" s="8"/>
      <c r="U317" s="8"/>
      <c r="V317" s="8"/>
      <c r="W317" s="8"/>
      <c r="X317" s="8"/>
      <c r="Y317" s="8"/>
    </row>
    <row r="318">
      <c r="A318" s="8"/>
      <c r="B318" s="8"/>
      <c r="C318" s="8"/>
      <c r="D318" s="8"/>
      <c r="E318" s="8"/>
      <c r="F318" s="8"/>
      <c r="G318" s="8"/>
      <c r="H318" s="8"/>
      <c r="I318" s="8"/>
      <c r="J318" s="8"/>
      <c r="K318" s="8"/>
      <c r="L318" s="8"/>
      <c r="M318" s="8"/>
      <c r="N318" s="8"/>
      <c r="O318" s="8"/>
      <c r="P318" s="8"/>
      <c r="Q318" s="8"/>
      <c r="R318" s="8"/>
      <c r="S318" s="8"/>
      <c r="T318" s="8"/>
      <c r="U318" s="8"/>
      <c r="V318" s="8"/>
      <c r="W318" s="8"/>
      <c r="X318" s="8"/>
      <c r="Y318" s="8"/>
    </row>
    <row r="319">
      <c r="A319" s="8"/>
      <c r="B319" s="8"/>
      <c r="C319" s="8"/>
      <c r="D319" s="8"/>
      <c r="E319" s="8"/>
      <c r="F319" s="8"/>
      <c r="G319" s="8"/>
      <c r="H319" s="8"/>
      <c r="I319" s="8"/>
      <c r="J319" s="8"/>
      <c r="K319" s="8"/>
      <c r="L319" s="8"/>
      <c r="M319" s="8"/>
      <c r="N319" s="8"/>
      <c r="O319" s="8"/>
      <c r="P319" s="8"/>
      <c r="Q319" s="8"/>
      <c r="R319" s="8"/>
      <c r="S319" s="8"/>
      <c r="T319" s="8"/>
      <c r="U319" s="8"/>
      <c r="V319" s="8"/>
      <c r="W319" s="8"/>
      <c r="X319" s="8"/>
      <c r="Y319" s="8"/>
    </row>
    <row r="320">
      <c r="A320" s="8"/>
      <c r="B320" s="8"/>
      <c r="C320" s="8"/>
      <c r="D320" s="8"/>
      <c r="E320" s="8"/>
      <c r="F320" s="8"/>
      <c r="G320" s="8"/>
      <c r="H320" s="8"/>
      <c r="I320" s="8"/>
      <c r="J320" s="8"/>
      <c r="K320" s="8"/>
      <c r="L320" s="8"/>
      <c r="M320" s="8"/>
      <c r="N320" s="8"/>
      <c r="O320" s="8"/>
      <c r="P320" s="8"/>
      <c r="Q320" s="8"/>
      <c r="R320" s="8"/>
      <c r="S320" s="8"/>
      <c r="T320" s="8"/>
      <c r="U320" s="8"/>
      <c r="V320" s="8"/>
      <c r="W320" s="8"/>
      <c r="X320" s="8"/>
      <c r="Y320" s="8"/>
    </row>
    <row r="321">
      <c r="A321" s="8"/>
      <c r="B321" s="8"/>
      <c r="C321" s="8"/>
      <c r="D321" s="8"/>
      <c r="E321" s="8"/>
      <c r="F321" s="8"/>
      <c r="G321" s="8"/>
      <c r="H321" s="8"/>
      <c r="I321" s="8"/>
      <c r="J321" s="8"/>
      <c r="K321" s="8"/>
      <c r="L321" s="8"/>
      <c r="M321" s="8"/>
      <c r="N321" s="8"/>
      <c r="O321" s="8"/>
      <c r="P321" s="8"/>
      <c r="Q321" s="8"/>
      <c r="R321" s="8"/>
      <c r="S321" s="8"/>
      <c r="T321" s="8"/>
      <c r="U321" s="8"/>
      <c r="V321" s="8"/>
      <c r="W321" s="8"/>
      <c r="X321" s="8"/>
      <c r="Y321" s="8"/>
    </row>
    <row r="322">
      <c r="A322" s="8"/>
      <c r="B322" s="8"/>
      <c r="C322" s="8"/>
      <c r="D322" s="8"/>
      <c r="E322" s="8"/>
      <c r="F322" s="8"/>
      <c r="G322" s="8"/>
      <c r="H322" s="8"/>
      <c r="I322" s="8"/>
      <c r="J322" s="8"/>
      <c r="K322" s="8"/>
      <c r="L322" s="8"/>
      <c r="M322" s="8"/>
      <c r="N322" s="8"/>
      <c r="O322" s="8"/>
      <c r="P322" s="8"/>
      <c r="Q322" s="8"/>
      <c r="R322" s="8"/>
      <c r="S322" s="8"/>
      <c r="T322" s="8"/>
      <c r="U322" s="8"/>
      <c r="V322" s="8"/>
      <c r="W322" s="8"/>
      <c r="X322" s="8"/>
      <c r="Y322" s="8"/>
    </row>
    <row r="323">
      <c r="A323" s="8"/>
      <c r="B323" s="8"/>
      <c r="C323" s="8"/>
      <c r="D323" s="8"/>
      <c r="E323" s="8"/>
      <c r="F323" s="8"/>
      <c r="G323" s="8"/>
      <c r="H323" s="8"/>
      <c r="I323" s="8"/>
      <c r="J323" s="8"/>
      <c r="K323" s="8"/>
      <c r="L323" s="8"/>
      <c r="M323" s="8"/>
      <c r="N323" s="8"/>
      <c r="O323" s="8"/>
      <c r="P323" s="8"/>
      <c r="Q323" s="8"/>
      <c r="R323" s="8"/>
      <c r="S323" s="8"/>
      <c r="T323" s="8"/>
      <c r="U323" s="8"/>
      <c r="V323" s="8"/>
      <c r="W323" s="8"/>
      <c r="X323" s="8"/>
      <c r="Y323" s="8"/>
    </row>
    <row r="324">
      <c r="A324" s="8"/>
      <c r="B324" s="8"/>
      <c r="C324" s="8"/>
      <c r="D324" s="8"/>
      <c r="E324" s="8"/>
      <c r="F324" s="8"/>
      <c r="G324" s="8"/>
      <c r="H324" s="8"/>
      <c r="I324" s="8"/>
      <c r="J324" s="8"/>
      <c r="K324" s="8"/>
      <c r="L324" s="8"/>
      <c r="M324" s="8"/>
      <c r="N324" s="8"/>
      <c r="O324" s="8"/>
      <c r="P324" s="8"/>
      <c r="Q324" s="8"/>
      <c r="R324" s="8"/>
      <c r="S324" s="8"/>
      <c r="T324" s="8"/>
      <c r="U324" s="8"/>
      <c r="V324" s="8"/>
      <c r="W324" s="8"/>
      <c r="X324" s="8"/>
      <c r="Y324" s="8"/>
    </row>
    <row r="325">
      <c r="A325" s="8"/>
      <c r="B325" s="8"/>
      <c r="C325" s="8"/>
      <c r="D325" s="8"/>
      <c r="E325" s="8"/>
      <c r="F325" s="8"/>
      <c r="G325" s="8"/>
      <c r="H325" s="8"/>
      <c r="I325" s="8"/>
      <c r="J325" s="8"/>
      <c r="K325" s="8"/>
      <c r="L325" s="8"/>
      <c r="M325" s="8"/>
      <c r="N325" s="8"/>
      <c r="O325" s="8"/>
      <c r="P325" s="8"/>
      <c r="Q325" s="8"/>
      <c r="R325" s="8"/>
      <c r="S325" s="8"/>
      <c r="T325" s="8"/>
      <c r="U325" s="8"/>
      <c r="V325" s="8"/>
      <c r="W325" s="8"/>
      <c r="X325" s="8"/>
      <c r="Y325" s="8"/>
    </row>
    <row r="326">
      <c r="A326" s="8"/>
      <c r="B326" s="8"/>
      <c r="C326" s="8"/>
      <c r="D326" s="8"/>
      <c r="E326" s="8"/>
      <c r="F326" s="8"/>
      <c r="G326" s="8"/>
      <c r="H326" s="8"/>
      <c r="I326" s="8"/>
      <c r="J326" s="8"/>
      <c r="K326" s="8"/>
      <c r="L326" s="8"/>
      <c r="M326" s="8"/>
      <c r="N326" s="8"/>
      <c r="O326" s="8"/>
      <c r="P326" s="8"/>
      <c r="Q326" s="8"/>
      <c r="R326" s="8"/>
      <c r="S326" s="8"/>
      <c r="T326" s="8"/>
      <c r="U326" s="8"/>
      <c r="V326" s="8"/>
      <c r="W326" s="8"/>
      <c r="X326" s="8"/>
      <c r="Y326" s="8"/>
    </row>
    <row r="327">
      <c r="A327" s="8"/>
      <c r="B327" s="8"/>
      <c r="C327" s="8"/>
      <c r="D327" s="8"/>
      <c r="E327" s="8"/>
      <c r="F327" s="8"/>
      <c r="G327" s="8"/>
      <c r="H327" s="8"/>
      <c r="I327" s="8"/>
      <c r="J327" s="8"/>
      <c r="K327" s="8"/>
      <c r="L327" s="8"/>
      <c r="M327" s="8"/>
      <c r="N327" s="8"/>
      <c r="O327" s="8"/>
      <c r="P327" s="8"/>
      <c r="Q327" s="8"/>
      <c r="R327" s="8"/>
      <c r="S327" s="8"/>
      <c r="T327" s="8"/>
      <c r="U327" s="8"/>
      <c r="V327" s="8"/>
      <c r="W327" s="8"/>
      <c r="X327" s="8"/>
      <c r="Y327" s="8"/>
    </row>
    <row r="328">
      <c r="A328" s="8"/>
      <c r="B328" s="8"/>
      <c r="C328" s="8"/>
      <c r="D328" s="8"/>
      <c r="E328" s="8"/>
      <c r="F328" s="8"/>
      <c r="G328" s="8"/>
      <c r="H328" s="8"/>
      <c r="I328" s="8"/>
      <c r="J328" s="8"/>
      <c r="K328" s="8"/>
      <c r="L328" s="8"/>
      <c r="M328" s="8"/>
      <c r="N328" s="8"/>
      <c r="O328" s="8"/>
      <c r="P328" s="8"/>
      <c r="Q328" s="8"/>
      <c r="R328" s="8"/>
      <c r="S328" s="8"/>
      <c r="T328" s="8"/>
      <c r="U328" s="8"/>
      <c r="V328" s="8"/>
      <c r="W328" s="8"/>
      <c r="X328" s="8"/>
      <c r="Y328" s="8"/>
    </row>
    <row r="329">
      <c r="A329" s="8"/>
      <c r="B329" s="8"/>
      <c r="C329" s="8"/>
      <c r="D329" s="8"/>
      <c r="E329" s="8"/>
      <c r="F329" s="8"/>
      <c r="G329" s="8"/>
      <c r="H329" s="8"/>
      <c r="I329" s="8"/>
      <c r="J329" s="8"/>
      <c r="K329" s="8"/>
      <c r="L329" s="8"/>
      <c r="M329" s="8"/>
      <c r="N329" s="8"/>
      <c r="O329" s="8"/>
      <c r="P329" s="8"/>
      <c r="Q329" s="8"/>
      <c r="R329" s="8"/>
      <c r="S329" s="8"/>
      <c r="T329" s="8"/>
      <c r="U329" s="8"/>
      <c r="V329" s="8"/>
      <c r="W329" s="8"/>
      <c r="X329" s="8"/>
      <c r="Y329" s="8"/>
    </row>
    <row r="330">
      <c r="A330" s="8"/>
      <c r="B330" s="8"/>
      <c r="C330" s="8"/>
      <c r="D330" s="8"/>
      <c r="E330" s="8"/>
      <c r="F330" s="8"/>
      <c r="G330" s="8"/>
      <c r="H330" s="8"/>
      <c r="I330" s="8"/>
      <c r="J330" s="8"/>
      <c r="K330" s="8"/>
      <c r="L330" s="8"/>
      <c r="M330" s="8"/>
      <c r="N330" s="8"/>
      <c r="O330" s="8"/>
      <c r="P330" s="8"/>
      <c r="Q330" s="8"/>
      <c r="R330" s="8"/>
      <c r="S330" s="8"/>
      <c r="T330" s="8"/>
      <c r="U330" s="8"/>
      <c r="V330" s="8"/>
      <c r="W330" s="8"/>
      <c r="X330" s="8"/>
      <c r="Y330" s="8"/>
    </row>
    <row r="331">
      <c r="A331" s="8"/>
      <c r="B331" s="8"/>
      <c r="C331" s="8"/>
      <c r="D331" s="8"/>
      <c r="E331" s="8"/>
      <c r="F331" s="8"/>
      <c r="G331" s="8"/>
      <c r="H331" s="8"/>
      <c r="I331" s="8"/>
      <c r="J331" s="8"/>
      <c r="K331" s="8"/>
      <c r="L331" s="8"/>
      <c r="M331" s="8"/>
      <c r="N331" s="8"/>
      <c r="O331" s="8"/>
      <c r="P331" s="8"/>
      <c r="Q331" s="8"/>
      <c r="R331" s="8"/>
      <c r="S331" s="8"/>
      <c r="T331" s="8"/>
      <c r="U331" s="8"/>
      <c r="V331" s="8"/>
      <c r="W331" s="8"/>
      <c r="X331" s="8"/>
      <c r="Y331" s="8"/>
    </row>
    <row r="332">
      <c r="A332" s="8"/>
      <c r="B332" s="8"/>
      <c r="C332" s="8"/>
      <c r="D332" s="8"/>
      <c r="E332" s="8"/>
      <c r="F332" s="8"/>
      <c r="G332" s="8"/>
      <c r="H332" s="8"/>
      <c r="I332" s="8"/>
      <c r="J332" s="8"/>
      <c r="K332" s="8"/>
      <c r="L332" s="8"/>
      <c r="M332" s="8"/>
      <c r="N332" s="8"/>
      <c r="O332" s="8"/>
      <c r="P332" s="8"/>
      <c r="Q332" s="8"/>
      <c r="R332" s="8"/>
      <c r="S332" s="8"/>
      <c r="T332" s="8"/>
      <c r="U332" s="8"/>
      <c r="V332" s="8"/>
      <c r="W332" s="8"/>
      <c r="X332" s="8"/>
      <c r="Y332" s="8"/>
    </row>
    <row r="333">
      <c r="A333" s="8"/>
      <c r="B333" s="8"/>
      <c r="C333" s="8"/>
      <c r="D333" s="8"/>
      <c r="E333" s="8"/>
      <c r="F333" s="8"/>
      <c r="G333" s="8"/>
      <c r="H333" s="8"/>
      <c r="I333" s="8"/>
      <c r="J333" s="8"/>
      <c r="K333" s="8"/>
      <c r="L333" s="8"/>
      <c r="M333" s="8"/>
      <c r="N333" s="8"/>
      <c r="O333" s="8"/>
      <c r="P333" s="8"/>
      <c r="Q333" s="8"/>
      <c r="R333" s="8"/>
      <c r="S333" s="8"/>
      <c r="T333" s="8"/>
      <c r="U333" s="8"/>
      <c r="V333" s="8"/>
      <c r="W333" s="8"/>
      <c r="X333" s="8"/>
      <c r="Y333" s="8"/>
    </row>
    <row r="334">
      <c r="A334" s="8"/>
      <c r="B334" s="8"/>
      <c r="C334" s="8"/>
      <c r="D334" s="8"/>
      <c r="E334" s="8"/>
      <c r="F334" s="8"/>
      <c r="G334" s="8"/>
      <c r="H334" s="8"/>
      <c r="I334" s="8"/>
      <c r="J334" s="8"/>
      <c r="K334" s="8"/>
      <c r="L334" s="8"/>
      <c r="M334" s="8"/>
      <c r="N334" s="8"/>
      <c r="O334" s="8"/>
      <c r="P334" s="8"/>
      <c r="Q334" s="8"/>
      <c r="R334" s="8"/>
      <c r="S334" s="8"/>
      <c r="T334" s="8"/>
      <c r="U334" s="8"/>
      <c r="V334" s="8"/>
      <c r="W334" s="8"/>
      <c r="X334" s="8"/>
      <c r="Y334" s="8"/>
    </row>
    <row r="335">
      <c r="A335" s="8"/>
      <c r="B335" s="8"/>
      <c r="C335" s="8"/>
      <c r="D335" s="8"/>
      <c r="E335" s="8"/>
      <c r="F335" s="8"/>
      <c r="G335" s="8"/>
      <c r="H335" s="8"/>
      <c r="I335" s="8"/>
      <c r="J335" s="8"/>
      <c r="K335" s="8"/>
      <c r="L335" s="8"/>
      <c r="M335" s="8"/>
      <c r="N335" s="8"/>
      <c r="O335" s="8"/>
      <c r="P335" s="8"/>
      <c r="Q335" s="8"/>
      <c r="R335" s="8"/>
      <c r="S335" s="8"/>
      <c r="T335" s="8"/>
      <c r="U335" s="8"/>
      <c r="V335" s="8"/>
      <c r="W335" s="8"/>
      <c r="X335" s="8"/>
      <c r="Y335" s="8"/>
    </row>
    <row r="336">
      <c r="A336" s="8"/>
      <c r="B336" s="8"/>
      <c r="C336" s="8"/>
      <c r="D336" s="8"/>
      <c r="E336" s="8"/>
      <c r="F336" s="8"/>
      <c r="G336" s="8"/>
      <c r="H336" s="8"/>
      <c r="I336" s="8"/>
      <c r="J336" s="8"/>
      <c r="K336" s="8"/>
      <c r="L336" s="8"/>
      <c r="M336" s="8"/>
      <c r="N336" s="8"/>
      <c r="O336" s="8"/>
      <c r="P336" s="8"/>
      <c r="Q336" s="8"/>
      <c r="R336" s="8"/>
      <c r="S336" s="8"/>
      <c r="T336" s="8"/>
      <c r="U336" s="8"/>
      <c r="V336" s="8"/>
      <c r="W336" s="8"/>
      <c r="X336" s="8"/>
      <c r="Y336" s="8"/>
    </row>
    <row r="337">
      <c r="A337" s="8"/>
      <c r="B337" s="8"/>
      <c r="C337" s="8"/>
      <c r="D337" s="8"/>
      <c r="E337" s="8"/>
      <c r="F337" s="8"/>
      <c r="G337" s="8"/>
      <c r="H337" s="8"/>
      <c r="I337" s="8"/>
      <c r="J337" s="8"/>
      <c r="K337" s="8"/>
      <c r="L337" s="8"/>
      <c r="M337" s="8"/>
      <c r="N337" s="8"/>
      <c r="O337" s="8"/>
      <c r="P337" s="8"/>
      <c r="Q337" s="8"/>
      <c r="R337" s="8"/>
      <c r="S337" s="8"/>
      <c r="T337" s="8"/>
      <c r="U337" s="8"/>
      <c r="V337" s="8"/>
      <c r="W337" s="8"/>
      <c r="X337" s="8"/>
      <c r="Y337" s="8"/>
    </row>
    <row r="338">
      <c r="A338" s="8"/>
      <c r="B338" s="8"/>
      <c r="C338" s="8"/>
      <c r="D338" s="8"/>
      <c r="E338" s="8"/>
      <c r="F338" s="8"/>
      <c r="G338" s="8"/>
      <c r="H338" s="8"/>
      <c r="I338" s="8"/>
      <c r="J338" s="8"/>
      <c r="K338" s="8"/>
      <c r="L338" s="8"/>
      <c r="M338" s="8"/>
      <c r="N338" s="8"/>
      <c r="O338" s="8"/>
      <c r="P338" s="8"/>
      <c r="Q338" s="8"/>
      <c r="R338" s="8"/>
      <c r="S338" s="8"/>
      <c r="T338" s="8"/>
      <c r="U338" s="8"/>
      <c r="V338" s="8"/>
      <c r="W338" s="8"/>
      <c r="X338" s="8"/>
      <c r="Y338" s="8"/>
    </row>
    <row r="339">
      <c r="A339" s="8"/>
      <c r="B339" s="8"/>
      <c r="C339" s="8"/>
      <c r="D339" s="8"/>
      <c r="E339" s="8"/>
      <c r="F339" s="8"/>
      <c r="G339" s="8"/>
      <c r="H339" s="8"/>
      <c r="I339" s="8"/>
      <c r="J339" s="8"/>
      <c r="K339" s="8"/>
      <c r="L339" s="8"/>
      <c r="M339" s="8"/>
      <c r="N339" s="8"/>
      <c r="O339" s="8"/>
      <c r="P339" s="8"/>
      <c r="Q339" s="8"/>
      <c r="R339" s="8"/>
      <c r="S339" s="8"/>
      <c r="T339" s="8"/>
      <c r="U339" s="8"/>
      <c r="V339" s="8"/>
      <c r="W339" s="8"/>
      <c r="X339" s="8"/>
      <c r="Y339" s="8"/>
    </row>
    <row r="340">
      <c r="A340" s="8"/>
      <c r="B340" s="8"/>
      <c r="C340" s="8"/>
      <c r="D340" s="8"/>
      <c r="E340" s="8"/>
      <c r="F340" s="8"/>
      <c r="G340" s="8"/>
      <c r="H340" s="8"/>
      <c r="I340" s="8"/>
      <c r="J340" s="8"/>
      <c r="K340" s="8"/>
      <c r="L340" s="8"/>
      <c r="M340" s="8"/>
      <c r="N340" s="8"/>
      <c r="O340" s="8"/>
      <c r="P340" s="8"/>
      <c r="Q340" s="8"/>
      <c r="R340" s="8"/>
      <c r="S340" s="8"/>
      <c r="T340" s="8"/>
      <c r="U340" s="8"/>
      <c r="V340" s="8"/>
      <c r="W340" s="8"/>
      <c r="X340" s="8"/>
      <c r="Y340" s="8"/>
    </row>
    <row r="341">
      <c r="A341" s="8"/>
      <c r="B341" s="8"/>
      <c r="C341" s="8"/>
      <c r="D341" s="8"/>
      <c r="E341" s="8"/>
      <c r="F341" s="8"/>
      <c r="G341" s="8"/>
      <c r="H341" s="8"/>
      <c r="I341" s="8"/>
      <c r="J341" s="8"/>
      <c r="K341" s="8"/>
      <c r="L341" s="8"/>
      <c r="M341" s="8"/>
      <c r="N341" s="8"/>
      <c r="O341" s="8"/>
      <c r="P341" s="8"/>
      <c r="Q341" s="8"/>
      <c r="R341" s="8"/>
      <c r="S341" s="8"/>
      <c r="T341" s="8"/>
      <c r="U341" s="8"/>
      <c r="V341" s="8"/>
      <c r="W341" s="8"/>
      <c r="X341" s="8"/>
      <c r="Y341" s="8"/>
    </row>
    <row r="342">
      <c r="A342" s="8"/>
      <c r="B342" s="8"/>
      <c r="C342" s="8"/>
      <c r="D342" s="8"/>
      <c r="E342" s="8"/>
      <c r="F342" s="8"/>
      <c r="G342" s="8"/>
      <c r="H342" s="8"/>
      <c r="I342" s="8"/>
      <c r="J342" s="8"/>
      <c r="K342" s="8"/>
      <c r="L342" s="8"/>
      <c r="M342" s="8"/>
      <c r="N342" s="8"/>
      <c r="O342" s="8"/>
      <c r="P342" s="8"/>
      <c r="Q342" s="8"/>
      <c r="R342" s="8"/>
      <c r="S342" s="8"/>
      <c r="T342" s="8"/>
      <c r="U342" s="8"/>
      <c r="V342" s="8"/>
      <c r="W342" s="8"/>
      <c r="X342" s="8"/>
      <c r="Y342" s="8"/>
    </row>
    <row r="343">
      <c r="A343" s="8"/>
      <c r="B343" s="8"/>
      <c r="C343" s="8"/>
      <c r="D343" s="8"/>
      <c r="E343" s="8"/>
      <c r="F343" s="8"/>
      <c r="G343" s="8"/>
      <c r="H343" s="8"/>
      <c r="I343" s="8"/>
      <c r="J343" s="8"/>
      <c r="K343" s="8"/>
      <c r="L343" s="8"/>
      <c r="M343" s="8"/>
      <c r="N343" s="8"/>
      <c r="O343" s="8"/>
      <c r="P343" s="8"/>
      <c r="Q343" s="8"/>
      <c r="R343" s="8"/>
      <c r="S343" s="8"/>
      <c r="T343" s="8"/>
      <c r="U343" s="8"/>
      <c r="V343" s="8"/>
      <c r="W343" s="8"/>
      <c r="X343" s="8"/>
      <c r="Y343" s="8"/>
    </row>
    <row r="344">
      <c r="A344" s="8"/>
      <c r="B344" s="8"/>
      <c r="C344" s="8"/>
      <c r="D344" s="8"/>
      <c r="E344" s="8"/>
      <c r="F344" s="8"/>
      <c r="G344" s="8"/>
      <c r="H344" s="8"/>
      <c r="I344" s="8"/>
      <c r="J344" s="8"/>
      <c r="K344" s="8"/>
      <c r="L344" s="8"/>
      <c r="M344" s="8"/>
      <c r="N344" s="8"/>
      <c r="O344" s="8"/>
      <c r="P344" s="8"/>
      <c r="Q344" s="8"/>
      <c r="R344" s="8"/>
      <c r="S344" s="8"/>
      <c r="T344" s="8"/>
      <c r="U344" s="8"/>
      <c r="V344" s="8"/>
      <c r="W344" s="8"/>
      <c r="X344" s="8"/>
      <c r="Y344" s="8"/>
    </row>
    <row r="345">
      <c r="A345" s="8"/>
      <c r="B345" s="8"/>
      <c r="C345" s="8"/>
      <c r="D345" s="8"/>
      <c r="E345" s="8"/>
      <c r="F345" s="8"/>
      <c r="G345" s="8"/>
      <c r="H345" s="8"/>
      <c r="I345" s="8"/>
      <c r="J345" s="8"/>
      <c r="K345" s="8"/>
      <c r="L345" s="8"/>
      <c r="M345" s="8"/>
      <c r="N345" s="8"/>
      <c r="O345" s="8"/>
      <c r="P345" s="8"/>
      <c r="Q345" s="8"/>
      <c r="R345" s="8"/>
      <c r="S345" s="8"/>
      <c r="T345" s="8"/>
      <c r="U345" s="8"/>
      <c r="V345" s="8"/>
      <c r="W345" s="8"/>
      <c r="X345" s="8"/>
      <c r="Y345" s="8"/>
    </row>
    <row r="346">
      <c r="A346" s="8"/>
      <c r="B346" s="8"/>
      <c r="C346" s="8"/>
      <c r="D346" s="8"/>
      <c r="E346" s="8"/>
      <c r="F346" s="8"/>
      <c r="G346" s="8"/>
      <c r="H346" s="8"/>
      <c r="I346" s="8"/>
      <c r="J346" s="8"/>
      <c r="K346" s="8"/>
      <c r="L346" s="8"/>
      <c r="M346" s="8"/>
      <c r="N346" s="8"/>
      <c r="O346" s="8"/>
      <c r="P346" s="8"/>
      <c r="Q346" s="8"/>
      <c r="R346" s="8"/>
      <c r="S346" s="8"/>
      <c r="T346" s="8"/>
      <c r="U346" s="8"/>
      <c r="V346" s="8"/>
      <c r="W346" s="8"/>
      <c r="X346" s="8"/>
      <c r="Y346" s="8"/>
    </row>
    <row r="347">
      <c r="A347" s="8"/>
      <c r="B347" s="8"/>
      <c r="C347" s="8"/>
      <c r="D347" s="8"/>
      <c r="E347" s="8"/>
      <c r="F347" s="8"/>
      <c r="G347" s="8"/>
      <c r="H347" s="8"/>
      <c r="I347" s="8"/>
      <c r="J347" s="8"/>
      <c r="K347" s="8"/>
      <c r="L347" s="8"/>
      <c r="M347" s="8"/>
      <c r="N347" s="8"/>
      <c r="O347" s="8"/>
      <c r="P347" s="8"/>
      <c r="Q347" s="8"/>
      <c r="R347" s="8"/>
      <c r="S347" s="8"/>
      <c r="T347" s="8"/>
      <c r="U347" s="8"/>
      <c r="V347" s="8"/>
      <c r="W347" s="8"/>
      <c r="X347" s="8"/>
      <c r="Y347" s="8"/>
    </row>
    <row r="348">
      <c r="A348" s="8"/>
      <c r="B348" s="8"/>
      <c r="C348" s="8"/>
      <c r="D348" s="8"/>
      <c r="E348" s="8"/>
      <c r="F348" s="8"/>
      <c r="G348" s="8"/>
      <c r="H348" s="8"/>
      <c r="I348" s="8"/>
      <c r="J348" s="8"/>
      <c r="K348" s="8"/>
      <c r="L348" s="8"/>
      <c r="M348" s="8"/>
      <c r="N348" s="8"/>
      <c r="O348" s="8"/>
      <c r="P348" s="8"/>
      <c r="Q348" s="8"/>
      <c r="R348" s="8"/>
      <c r="S348" s="8"/>
      <c r="T348" s="8"/>
      <c r="U348" s="8"/>
      <c r="V348" s="8"/>
      <c r="W348" s="8"/>
      <c r="X348" s="8"/>
      <c r="Y348" s="8"/>
    </row>
    <row r="349">
      <c r="A349" s="8"/>
      <c r="B349" s="8"/>
      <c r="C349" s="8"/>
      <c r="D349" s="8"/>
      <c r="E349" s="8"/>
      <c r="F349" s="8"/>
      <c r="G349" s="8"/>
      <c r="H349" s="8"/>
      <c r="I349" s="8"/>
      <c r="J349" s="8"/>
      <c r="K349" s="8"/>
      <c r="L349" s="8"/>
      <c r="M349" s="8"/>
      <c r="N349" s="8"/>
      <c r="O349" s="8"/>
      <c r="P349" s="8"/>
      <c r="Q349" s="8"/>
      <c r="R349" s="8"/>
      <c r="S349" s="8"/>
      <c r="T349" s="8"/>
      <c r="U349" s="8"/>
      <c r="V349" s="8"/>
      <c r="W349" s="8"/>
      <c r="X349" s="8"/>
      <c r="Y349" s="8"/>
    </row>
    <row r="350">
      <c r="A350" s="8"/>
      <c r="B350" s="8"/>
      <c r="C350" s="8"/>
      <c r="D350" s="8"/>
      <c r="E350" s="8"/>
      <c r="F350" s="8"/>
      <c r="G350" s="8"/>
      <c r="H350" s="8"/>
      <c r="I350" s="8"/>
      <c r="J350" s="8"/>
      <c r="K350" s="8"/>
      <c r="L350" s="8"/>
      <c r="M350" s="8"/>
      <c r="N350" s="8"/>
      <c r="O350" s="8"/>
      <c r="P350" s="8"/>
      <c r="Q350" s="8"/>
      <c r="R350" s="8"/>
      <c r="S350" s="8"/>
      <c r="T350" s="8"/>
      <c r="U350" s="8"/>
      <c r="V350" s="8"/>
      <c r="W350" s="8"/>
      <c r="X350" s="8"/>
      <c r="Y350" s="8"/>
    </row>
    <row r="351">
      <c r="A351" s="8"/>
      <c r="B351" s="8"/>
      <c r="C351" s="8"/>
      <c r="D351" s="8"/>
      <c r="E351" s="8"/>
      <c r="F351" s="8"/>
      <c r="G351" s="8"/>
      <c r="H351" s="8"/>
      <c r="I351" s="8"/>
      <c r="J351" s="8"/>
      <c r="K351" s="8"/>
      <c r="L351" s="8"/>
      <c r="M351" s="8"/>
      <c r="N351" s="8"/>
      <c r="O351" s="8"/>
      <c r="P351" s="8"/>
      <c r="Q351" s="8"/>
      <c r="R351" s="8"/>
      <c r="S351" s="8"/>
      <c r="T351" s="8"/>
      <c r="U351" s="8"/>
      <c r="V351" s="8"/>
      <c r="W351" s="8"/>
      <c r="X351" s="8"/>
      <c r="Y351" s="8"/>
    </row>
    <row r="352">
      <c r="A352" s="8"/>
      <c r="B352" s="8"/>
      <c r="C352" s="8"/>
      <c r="D352" s="8"/>
      <c r="E352" s="8"/>
      <c r="F352" s="8"/>
      <c r="G352" s="8"/>
      <c r="H352" s="8"/>
      <c r="I352" s="8"/>
      <c r="J352" s="8"/>
      <c r="K352" s="8"/>
      <c r="L352" s="8"/>
      <c r="M352" s="8"/>
      <c r="N352" s="8"/>
      <c r="O352" s="8"/>
      <c r="P352" s="8"/>
      <c r="Q352" s="8"/>
      <c r="R352" s="8"/>
      <c r="S352" s="8"/>
      <c r="T352" s="8"/>
      <c r="U352" s="8"/>
      <c r="V352" s="8"/>
      <c r="W352" s="8"/>
      <c r="X352" s="8"/>
      <c r="Y352" s="8"/>
    </row>
    <row r="353">
      <c r="A353" s="8"/>
      <c r="B353" s="8"/>
      <c r="C353" s="8"/>
      <c r="D353" s="8"/>
      <c r="E353" s="8"/>
      <c r="F353" s="8"/>
      <c r="G353" s="8"/>
      <c r="H353" s="8"/>
      <c r="I353" s="8"/>
      <c r="J353" s="8"/>
      <c r="K353" s="8"/>
      <c r="L353" s="8"/>
      <c r="M353" s="8"/>
      <c r="N353" s="8"/>
      <c r="O353" s="8"/>
      <c r="P353" s="8"/>
      <c r="Q353" s="8"/>
      <c r="R353" s="8"/>
      <c r="S353" s="8"/>
      <c r="T353" s="8"/>
      <c r="U353" s="8"/>
      <c r="V353" s="8"/>
      <c r="W353" s="8"/>
      <c r="X353" s="8"/>
      <c r="Y353" s="8"/>
    </row>
    <row r="354">
      <c r="A354" s="8"/>
      <c r="B354" s="8"/>
      <c r="C354" s="8"/>
      <c r="D354" s="8"/>
      <c r="E354" s="8"/>
      <c r="F354" s="8"/>
      <c r="G354" s="8"/>
      <c r="H354" s="8"/>
      <c r="I354" s="8"/>
      <c r="J354" s="8"/>
      <c r="K354" s="8"/>
      <c r="L354" s="8"/>
      <c r="M354" s="8"/>
      <c r="N354" s="8"/>
      <c r="O354" s="8"/>
      <c r="P354" s="8"/>
      <c r="Q354" s="8"/>
      <c r="R354" s="8"/>
      <c r="S354" s="8"/>
      <c r="T354" s="8"/>
      <c r="U354" s="8"/>
      <c r="V354" s="8"/>
      <c r="W354" s="8"/>
      <c r="X354" s="8"/>
      <c r="Y354" s="8"/>
    </row>
    <row r="355">
      <c r="A355" s="8"/>
      <c r="B355" s="8"/>
      <c r="C355" s="8"/>
      <c r="D355" s="8"/>
      <c r="E355" s="8"/>
      <c r="F355" s="8"/>
      <c r="G355" s="8"/>
      <c r="H355" s="8"/>
      <c r="I355" s="8"/>
      <c r="J355" s="8"/>
      <c r="K355" s="8"/>
      <c r="L355" s="8"/>
      <c r="M355" s="8"/>
      <c r="N355" s="8"/>
      <c r="O355" s="8"/>
      <c r="P355" s="8"/>
      <c r="Q355" s="8"/>
      <c r="R355" s="8"/>
      <c r="S355" s="8"/>
      <c r="T355" s="8"/>
      <c r="U355" s="8"/>
      <c r="V355" s="8"/>
      <c r="W355" s="8"/>
      <c r="X355" s="8"/>
      <c r="Y355" s="8"/>
    </row>
    <row r="356">
      <c r="A356" s="8"/>
      <c r="B356" s="8"/>
      <c r="C356" s="8"/>
      <c r="D356" s="8"/>
      <c r="E356" s="8"/>
      <c r="F356" s="8"/>
      <c r="G356" s="8"/>
      <c r="H356" s="8"/>
      <c r="I356" s="8"/>
      <c r="J356" s="8"/>
      <c r="K356" s="8"/>
      <c r="L356" s="8"/>
      <c r="M356" s="8"/>
      <c r="N356" s="8"/>
      <c r="O356" s="8"/>
      <c r="P356" s="8"/>
      <c r="Q356" s="8"/>
      <c r="R356" s="8"/>
      <c r="S356" s="8"/>
      <c r="T356" s="8"/>
      <c r="U356" s="8"/>
      <c r="V356" s="8"/>
      <c r="W356" s="8"/>
      <c r="X356" s="8"/>
      <c r="Y356" s="8"/>
    </row>
    <row r="357">
      <c r="A357" s="8"/>
      <c r="B357" s="8"/>
      <c r="C357" s="8"/>
      <c r="D357" s="8"/>
      <c r="E357" s="8"/>
      <c r="F357" s="8"/>
      <c r="G357" s="8"/>
      <c r="H357" s="8"/>
      <c r="I357" s="8"/>
      <c r="J357" s="8"/>
      <c r="K357" s="8"/>
      <c r="L357" s="8"/>
      <c r="M357" s="8"/>
      <c r="N357" s="8"/>
      <c r="O357" s="8"/>
      <c r="P357" s="8"/>
      <c r="Q357" s="8"/>
      <c r="R357" s="8"/>
      <c r="S357" s="8"/>
      <c r="T357" s="8"/>
      <c r="U357" s="8"/>
      <c r="V357" s="8"/>
      <c r="W357" s="8"/>
      <c r="X357" s="8"/>
      <c r="Y357" s="8"/>
    </row>
    <row r="358">
      <c r="A358" s="8"/>
      <c r="B358" s="8"/>
      <c r="C358" s="8"/>
      <c r="D358" s="8"/>
      <c r="E358" s="8"/>
      <c r="F358" s="8"/>
      <c r="G358" s="8"/>
      <c r="H358" s="8"/>
      <c r="I358" s="8"/>
      <c r="J358" s="8"/>
      <c r="K358" s="8"/>
      <c r="L358" s="8"/>
      <c r="M358" s="8"/>
      <c r="N358" s="8"/>
      <c r="O358" s="8"/>
      <c r="P358" s="8"/>
      <c r="Q358" s="8"/>
      <c r="R358" s="8"/>
      <c r="S358" s="8"/>
      <c r="T358" s="8"/>
      <c r="U358" s="8"/>
      <c r="V358" s="8"/>
      <c r="W358" s="8"/>
      <c r="X358" s="8"/>
      <c r="Y358" s="8"/>
    </row>
    <row r="359">
      <c r="A359" s="8"/>
      <c r="B359" s="8"/>
      <c r="C359" s="8"/>
      <c r="D359" s="8"/>
      <c r="E359" s="8"/>
      <c r="F359" s="8"/>
      <c r="G359" s="8"/>
      <c r="H359" s="8"/>
      <c r="I359" s="8"/>
      <c r="J359" s="8"/>
      <c r="K359" s="8"/>
      <c r="L359" s="8"/>
      <c r="M359" s="8"/>
      <c r="N359" s="8"/>
      <c r="O359" s="8"/>
      <c r="P359" s="8"/>
      <c r="Q359" s="8"/>
      <c r="R359" s="8"/>
      <c r="S359" s="8"/>
      <c r="T359" s="8"/>
      <c r="U359" s="8"/>
      <c r="V359" s="8"/>
      <c r="W359" s="8"/>
      <c r="X359" s="8"/>
      <c r="Y359" s="8"/>
    </row>
    <row r="360">
      <c r="A360" s="8"/>
      <c r="B360" s="8"/>
      <c r="C360" s="8"/>
      <c r="D360" s="8"/>
      <c r="E360" s="8"/>
      <c r="F360" s="8"/>
      <c r="G360" s="8"/>
      <c r="H360" s="8"/>
      <c r="I360" s="8"/>
      <c r="J360" s="8"/>
      <c r="K360" s="8"/>
      <c r="L360" s="8"/>
      <c r="M360" s="8"/>
      <c r="N360" s="8"/>
      <c r="O360" s="8"/>
      <c r="P360" s="8"/>
      <c r="Q360" s="8"/>
      <c r="R360" s="8"/>
      <c r="S360" s="8"/>
      <c r="T360" s="8"/>
      <c r="U360" s="8"/>
      <c r="V360" s="8"/>
      <c r="W360" s="8"/>
      <c r="X360" s="8"/>
      <c r="Y360" s="8"/>
    </row>
    <row r="361">
      <c r="A361" s="8"/>
      <c r="B361" s="8"/>
      <c r="C361" s="8"/>
      <c r="D361" s="8"/>
      <c r="E361" s="8"/>
      <c r="F361" s="8"/>
      <c r="G361" s="8"/>
      <c r="H361" s="8"/>
      <c r="I361" s="8"/>
      <c r="J361" s="8"/>
      <c r="K361" s="8"/>
      <c r="L361" s="8"/>
      <c r="M361" s="8"/>
      <c r="N361" s="8"/>
      <c r="O361" s="8"/>
      <c r="P361" s="8"/>
      <c r="Q361" s="8"/>
      <c r="R361" s="8"/>
      <c r="S361" s="8"/>
      <c r="T361" s="8"/>
      <c r="U361" s="8"/>
      <c r="V361" s="8"/>
      <c r="W361" s="8"/>
      <c r="X361" s="8"/>
      <c r="Y361" s="8"/>
    </row>
    <row r="362">
      <c r="A362" s="8"/>
      <c r="B362" s="8"/>
      <c r="C362" s="8"/>
      <c r="D362" s="8"/>
      <c r="E362" s="8"/>
      <c r="F362" s="8"/>
      <c r="G362" s="8"/>
      <c r="H362" s="8"/>
      <c r="I362" s="8"/>
      <c r="J362" s="8"/>
      <c r="K362" s="8"/>
      <c r="L362" s="8"/>
      <c r="M362" s="8"/>
      <c r="N362" s="8"/>
      <c r="O362" s="8"/>
      <c r="P362" s="8"/>
      <c r="Q362" s="8"/>
      <c r="R362" s="8"/>
      <c r="S362" s="8"/>
      <c r="T362" s="8"/>
      <c r="U362" s="8"/>
      <c r="V362" s="8"/>
      <c r="W362" s="8"/>
      <c r="X362" s="8"/>
      <c r="Y362" s="8"/>
    </row>
    <row r="363">
      <c r="A363" s="8"/>
      <c r="B363" s="8"/>
      <c r="C363" s="8"/>
      <c r="D363" s="8"/>
      <c r="E363" s="8"/>
      <c r="F363" s="8"/>
      <c r="G363" s="8"/>
      <c r="H363" s="8"/>
      <c r="I363" s="8"/>
      <c r="J363" s="8"/>
      <c r="K363" s="8"/>
      <c r="L363" s="8"/>
      <c r="M363" s="8"/>
      <c r="N363" s="8"/>
      <c r="O363" s="8"/>
      <c r="P363" s="8"/>
      <c r="Q363" s="8"/>
      <c r="R363" s="8"/>
      <c r="S363" s="8"/>
      <c r="T363" s="8"/>
      <c r="U363" s="8"/>
      <c r="V363" s="8"/>
      <c r="W363" s="8"/>
      <c r="X363" s="8"/>
      <c r="Y363" s="8"/>
    </row>
    <row r="364">
      <c r="A364" s="8"/>
      <c r="B364" s="8"/>
      <c r="C364" s="8"/>
      <c r="D364" s="8"/>
      <c r="E364" s="8"/>
      <c r="F364" s="8"/>
      <c r="G364" s="8"/>
      <c r="H364" s="8"/>
      <c r="I364" s="8"/>
      <c r="J364" s="8"/>
      <c r="K364" s="8"/>
      <c r="L364" s="8"/>
      <c r="M364" s="8"/>
      <c r="N364" s="8"/>
      <c r="O364" s="8"/>
      <c r="P364" s="8"/>
      <c r="Q364" s="8"/>
      <c r="R364" s="8"/>
      <c r="S364" s="8"/>
      <c r="T364" s="8"/>
      <c r="U364" s="8"/>
      <c r="V364" s="8"/>
      <c r="W364" s="8"/>
      <c r="X364" s="8"/>
      <c r="Y364" s="8"/>
    </row>
    <row r="365">
      <c r="A365" s="8"/>
      <c r="B365" s="8"/>
      <c r="C365" s="8"/>
      <c r="D365" s="8"/>
      <c r="E365" s="8"/>
      <c r="F365" s="8"/>
      <c r="G365" s="8"/>
      <c r="H365" s="8"/>
      <c r="I365" s="8"/>
      <c r="J365" s="8"/>
      <c r="K365" s="8"/>
      <c r="L365" s="8"/>
      <c r="M365" s="8"/>
      <c r="N365" s="8"/>
      <c r="O365" s="8"/>
      <c r="P365" s="8"/>
      <c r="Q365" s="8"/>
      <c r="R365" s="8"/>
      <c r="S365" s="8"/>
      <c r="T365" s="8"/>
      <c r="U365" s="8"/>
      <c r="V365" s="8"/>
      <c r="W365" s="8"/>
      <c r="X365" s="8"/>
      <c r="Y365" s="8"/>
    </row>
    <row r="366">
      <c r="A366" s="8"/>
      <c r="B366" s="8"/>
      <c r="C366" s="8"/>
      <c r="D366" s="8"/>
      <c r="E366" s="8"/>
      <c r="F366" s="8"/>
      <c r="G366" s="8"/>
      <c r="H366" s="8"/>
      <c r="I366" s="8"/>
      <c r="J366" s="8"/>
      <c r="K366" s="8"/>
      <c r="L366" s="8"/>
      <c r="M366" s="8"/>
      <c r="N366" s="8"/>
      <c r="O366" s="8"/>
      <c r="P366" s="8"/>
      <c r="Q366" s="8"/>
      <c r="R366" s="8"/>
      <c r="S366" s="8"/>
      <c r="T366" s="8"/>
      <c r="U366" s="8"/>
      <c r="V366" s="8"/>
      <c r="W366" s="8"/>
      <c r="X366" s="8"/>
      <c r="Y366" s="8"/>
    </row>
    <row r="367">
      <c r="A367" s="8"/>
      <c r="B367" s="8"/>
      <c r="C367" s="8"/>
      <c r="D367" s="8"/>
      <c r="E367" s="8"/>
      <c r="F367" s="8"/>
      <c r="G367" s="8"/>
      <c r="H367" s="8"/>
      <c r="I367" s="8"/>
      <c r="J367" s="8"/>
      <c r="K367" s="8"/>
      <c r="L367" s="8"/>
      <c r="M367" s="8"/>
      <c r="N367" s="8"/>
      <c r="O367" s="8"/>
      <c r="P367" s="8"/>
      <c r="Q367" s="8"/>
      <c r="R367" s="8"/>
      <c r="S367" s="8"/>
      <c r="T367" s="8"/>
      <c r="U367" s="8"/>
      <c r="V367" s="8"/>
      <c r="W367" s="8"/>
      <c r="X367" s="8"/>
      <c r="Y367" s="8"/>
    </row>
    <row r="368">
      <c r="A368" s="8"/>
      <c r="B368" s="8"/>
      <c r="C368" s="8"/>
      <c r="D368" s="8"/>
      <c r="E368" s="8"/>
      <c r="F368" s="8"/>
      <c r="G368" s="8"/>
      <c r="H368" s="8"/>
      <c r="I368" s="8"/>
      <c r="J368" s="8"/>
      <c r="K368" s="8"/>
      <c r="L368" s="8"/>
      <c r="M368" s="8"/>
      <c r="N368" s="8"/>
      <c r="O368" s="8"/>
      <c r="P368" s="8"/>
      <c r="Q368" s="8"/>
      <c r="R368" s="8"/>
      <c r="S368" s="8"/>
      <c r="T368" s="8"/>
      <c r="U368" s="8"/>
      <c r="V368" s="8"/>
      <c r="W368" s="8"/>
      <c r="X368" s="8"/>
      <c r="Y368" s="8"/>
    </row>
    <row r="369">
      <c r="A369" s="8"/>
      <c r="B369" s="8"/>
      <c r="C369" s="8"/>
      <c r="D369" s="8"/>
      <c r="E369" s="8"/>
      <c r="F369" s="8"/>
      <c r="G369" s="8"/>
      <c r="H369" s="8"/>
      <c r="I369" s="8"/>
      <c r="J369" s="8"/>
      <c r="K369" s="8"/>
      <c r="L369" s="8"/>
      <c r="M369" s="8"/>
      <c r="N369" s="8"/>
      <c r="O369" s="8"/>
      <c r="P369" s="8"/>
      <c r="Q369" s="8"/>
      <c r="R369" s="8"/>
      <c r="S369" s="8"/>
      <c r="T369" s="8"/>
      <c r="U369" s="8"/>
      <c r="V369" s="8"/>
      <c r="W369" s="8"/>
      <c r="X369" s="8"/>
      <c r="Y369" s="8"/>
    </row>
    <row r="370">
      <c r="A370" s="8"/>
      <c r="B370" s="8"/>
      <c r="C370" s="8"/>
      <c r="D370" s="8"/>
      <c r="E370" s="8"/>
      <c r="F370" s="8"/>
      <c r="G370" s="8"/>
      <c r="H370" s="8"/>
      <c r="I370" s="8"/>
      <c r="J370" s="8"/>
      <c r="K370" s="8"/>
      <c r="L370" s="8"/>
      <c r="M370" s="8"/>
      <c r="N370" s="8"/>
      <c r="O370" s="8"/>
      <c r="P370" s="8"/>
      <c r="Q370" s="8"/>
      <c r="R370" s="8"/>
      <c r="S370" s="8"/>
      <c r="T370" s="8"/>
      <c r="U370" s="8"/>
      <c r="V370" s="8"/>
      <c r="W370" s="8"/>
      <c r="X370" s="8"/>
      <c r="Y370" s="8"/>
    </row>
    <row r="371">
      <c r="A371" s="8"/>
      <c r="B371" s="8"/>
      <c r="C371" s="8"/>
      <c r="D371" s="8"/>
      <c r="E371" s="8"/>
      <c r="F371" s="8"/>
      <c r="G371" s="8"/>
      <c r="H371" s="8"/>
      <c r="I371" s="8"/>
      <c r="J371" s="8"/>
      <c r="K371" s="8"/>
      <c r="L371" s="8"/>
      <c r="M371" s="8"/>
      <c r="N371" s="8"/>
      <c r="O371" s="8"/>
      <c r="P371" s="8"/>
      <c r="Q371" s="8"/>
      <c r="R371" s="8"/>
      <c r="S371" s="8"/>
      <c r="T371" s="8"/>
      <c r="U371" s="8"/>
      <c r="V371" s="8"/>
      <c r="W371" s="8"/>
      <c r="X371" s="8"/>
      <c r="Y371" s="8"/>
    </row>
    <row r="372">
      <c r="A372" s="8"/>
      <c r="B372" s="8"/>
      <c r="C372" s="8"/>
      <c r="D372" s="8"/>
      <c r="E372" s="8"/>
      <c r="F372" s="8"/>
      <c r="G372" s="8"/>
      <c r="H372" s="8"/>
      <c r="I372" s="8"/>
      <c r="J372" s="8"/>
      <c r="K372" s="8"/>
      <c r="L372" s="8"/>
      <c r="M372" s="8"/>
      <c r="N372" s="8"/>
      <c r="O372" s="8"/>
      <c r="P372" s="8"/>
      <c r="Q372" s="8"/>
      <c r="R372" s="8"/>
      <c r="S372" s="8"/>
      <c r="T372" s="8"/>
      <c r="U372" s="8"/>
      <c r="V372" s="8"/>
      <c r="W372" s="8"/>
      <c r="X372" s="8"/>
      <c r="Y372" s="8"/>
    </row>
    <row r="373">
      <c r="A373" s="8"/>
      <c r="B373" s="8"/>
      <c r="C373" s="8"/>
      <c r="D373" s="8"/>
      <c r="E373" s="8"/>
      <c r="F373" s="8"/>
      <c r="G373" s="8"/>
      <c r="H373" s="8"/>
      <c r="I373" s="8"/>
      <c r="J373" s="8"/>
      <c r="K373" s="8"/>
      <c r="L373" s="8"/>
      <c r="M373" s="8"/>
      <c r="N373" s="8"/>
      <c r="O373" s="8"/>
      <c r="P373" s="8"/>
      <c r="Q373" s="8"/>
      <c r="R373" s="8"/>
      <c r="S373" s="8"/>
      <c r="T373" s="8"/>
      <c r="U373" s="8"/>
      <c r="V373" s="8"/>
      <c r="W373" s="8"/>
      <c r="X373" s="8"/>
      <c r="Y373" s="8"/>
    </row>
    <row r="374">
      <c r="A374" s="8"/>
      <c r="B374" s="8"/>
      <c r="C374" s="8"/>
      <c r="D374" s="8"/>
      <c r="E374" s="8"/>
      <c r="F374" s="8"/>
      <c r="G374" s="8"/>
      <c r="H374" s="8"/>
      <c r="I374" s="8"/>
      <c r="J374" s="8"/>
      <c r="K374" s="8"/>
      <c r="L374" s="8"/>
      <c r="M374" s="8"/>
      <c r="N374" s="8"/>
      <c r="O374" s="8"/>
      <c r="P374" s="8"/>
      <c r="Q374" s="8"/>
      <c r="R374" s="8"/>
      <c r="S374" s="8"/>
      <c r="T374" s="8"/>
      <c r="U374" s="8"/>
      <c r="V374" s="8"/>
      <c r="W374" s="8"/>
      <c r="X374" s="8"/>
      <c r="Y374" s="8"/>
    </row>
    <row r="375">
      <c r="A375" s="8"/>
      <c r="B375" s="8"/>
      <c r="C375" s="8"/>
      <c r="D375" s="8"/>
      <c r="E375" s="8"/>
      <c r="F375" s="8"/>
      <c r="G375" s="8"/>
      <c r="H375" s="8"/>
      <c r="I375" s="8"/>
      <c r="J375" s="8"/>
      <c r="K375" s="8"/>
      <c r="L375" s="8"/>
      <c r="M375" s="8"/>
      <c r="N375" s="8"/>
      <c r="O375" s="8"/>
      <c r="P375" s="8"/>
      <c r="Q375" s="8"/>
      <c r="R375" s="8"/>
      <c r="S375" s="8"/>
      <c r="T375" s="8"/>
      <c r="U375" s="8"/>
      <c r="V375" s="8"/>
      <c r="W375" s="8"/>
      <c r="X375" s="8"/>
      <c r="Y375" s="8"/>
    </row>
    <row r="376">
      <c r="A376" s="8"/>
      <c r="B376" s="8"/>
      <c r="C376" s="8"/>
      <c r="D376" s="8"/>
      <c r="E376" s="8"/>
      <c r="F376" s="8"/>
      <c r="G376" s="8"/>
      <c r="H376" s="8"/>
      <c r="I376" s="8"/>
      <c r="J376" s="8"/>
      <c r="K376" s="8"/>
      <c r="L376" s="8"/>
      <c r="M376" s="8"/>
      <c r="N376" s="8"/>
      <c r="O376" s="8"/>
      <c r="P376" s="8"/>
      <c r="Q376" s="8"/>
      <c r="R376" s="8"/>
      <c r="S376" s="8"/>
      <c r="T376" s="8"/>
      <c r="U376" s="8"/>
      <c r="V376" s="8"/>
      <c r="W376" s="8"/>
      <c r="X376" s="8"/>
      <c r="Y376" s="8"/>
    </row>
    <row r="377">
      <c r="A377" s="8"/>
      <c r="B377" s="8"/>
      <c r="C377" s="8"/>
      <c r="D377" s="8"/>
      <c r="E377" s="8"/>
      <c r="F377" s="8"/>
      <c r="G377" s="8"/>
      <c r="H377" s="8"/>
      <c r="I377" s="8"/>
      <c r="J377" s="8"/>
      <c r="K377" s="8"/>
      <c r="L377" s="8"/>
      <c r="M377" s="8"/>
      <c r="N377" s="8"/>
      <c r="O377" s="8"/>
      <c r="P377" s="8"/>
      <c r="Q377" s="8"/>
      <c r="R377" s="8"/>
      <c r="S377" s="8"/>
      <c r="T377" s="8"/>
      <c r="U377" s="8"/>
      <c r="V377" s="8"/>
      <c r="W377" s="8"/>
      <c r="X377" s="8"/>
      <c r="Y377" s="8"/>
    </row>
    <row r="378">
      <c r="A378" s="8"/>
      <c r="B378" s="8"/>
      <c r="C378" s="8"/>
      <c r="D378" s="8"/>
      <c r="E378" s="8"/>
      <c r="F378" s="8"/>
      <c r="G378" s="8"/>
      <c r="H378" s="8"/>
      <c r="I378" s="8"/>
      <c r="J378" s="8"/>
      <c r="K378" s="8"/>
      <c r="L378" s="8"/>
      <c r="M378" s="8"/>
      <c r="N378" s="8"/>
      <c r="O378" s="8"/>
      <c r="P378" s="8"/>
      <c r="Q378" s="8"/>
      <c r="R378" s="8"/>
      <c r="S378" s="8"/>
      <c r="T378" s="8"/>
      <c r="U378" s="8"/>
      <c r="V378" s="8"/>
      <c r="W378" s="8"/>
      <c r="X378" s="8"/>
      <c r="Y378" s="8"/>
    </row>
    <row r="379">
      <c r="A379" s="8"/>
      <c r="B379" s="8"/>
      <c r="C379" s="8"/>
      <c r="D379" s="8"/>
      <c r="E379" s="8"/>
      <c r="F379" s="8"/>
      <c r="G379" s="8"/>
      <c r="H379" s="8"/>
      <c r="I379" s="8"/>
      <c r="J379" s="8"/>
      <c r="K379" s="8"/>
      <c r="L379" s="8"/>
      <c r="M379" s="8"/>
      <c r="N379" s="8"/>
      <c r="O379" s="8"/>
      <c r="P379" s="8"/>
      <c r="Q379" s="8"/>
      <c r="R379" s="8"/>
      <c r="S379" s="8"/>
      <c r="T379" s="8"/>
      <c r="U379" s="8"/>
      <c r="V379" s="8"/>
      <c r="W379" s="8"/>
      <c r="X379" s="8"/>
      <c r="Y379" s="8"/>
    </row>
    <row r="380">
      <c r="A380" s="8"/>
      <c r="B380" s="8"/>
      <c r="C380" s="8"/>
      <c r="D380" s="8"/>
      <c r="E380" s="8"/>
      <c r="F380" s="8"/>
      <c r="G380" s="8"/>
      <c r="H380" s="8"/>
      <c r="I380" s="8"/>
      <c r="J380" s="8"/>
      <c r="K380" s="8"/>
      <c r="L380" s="8"/>
      <c r="M380" s="8"/>
      <c r="N380" s="8"/>
      <c r="O380" s="8"/>
      <c r="P380" s="8"/>
      <c r="Q380" s="8"/>
      <c r="R380" s="8"/>
      <c r="S380" s="8"/>
      <c r="T380" s="8"/>
      <c r="U380" s="8"/>
      <c r="V380" s="8"/>
      <c r="W380" s="8"/>
      <c r="X380" s="8"/>
      <c r="Y380" s="8"/>
    </row>
    <row r="381">
      <c r="A381" s="8"/>
      <c r="B381" s="8"/>
      <c r="C381" s="8"/>
      <c r="D381" s="8"/>
      <c r="E381" s="8"/>
      <c r="F381" s="8"/>
      <c r="G381" s="8"/>
      <c r="H381" s="8"/>
      <c r="I381" s="8"/>
      <c r="J381" s="8"/>
      <c r="K381" s="8"/>
      <c r="L381" s="8"/>
      <c r="M381" s="8"/>
      <c r="N381" s="8"/>
      <c r="O381" s="8"/>
      <c r="P381" s="8"/>
      <c r="Q381" s="8"/>
      <c r="R381" s="8"/>
      <c r="S381" s="8"/>
      <c r="T381" s="8"/>
      <c r="U381" s="8"/>
      <c r="V381" s="8"/>
      <c r="W381" s="8"/>
      <c r="X381" s="8"/>
      <c r="Y381" s="8"/>
    </row>
    <row r="382">
      <c r="A382" s="8"/>
      <c r="B382" s="8"/>
      <c r="C382" s="8"/>
      <c r="D382" s="8"/>
      <c r="E382" s="8"/>
      <c r="F382" s="8"/>
      <c r="G382" s="8"/>
      <c r="H382" s="8"/>
      <c r="I382" s="8"/>
      <c r="J382" s="8"/>
      <c r="K382" s="8"/>
      <c r="L382" s="8"/>
      <c r="M382" s="8"/>
      <c r="N382" s="8"/>
      <c r="O382" s="8"/>
      <c r="P382" s="8"/>
      <c r="Q382" s="8"/>
      <c r="R382" s="8"/>
      <c r="S382" s="8"/>
      <c r="T382" s="8"/>
      <c r="U382" s="8"/>
      <c r="V382" s="8"/>
      <c r="W382" s="8"/>
      <c r="X382" s="8"/>
      <c r="Y382" s="8"/>
    </row>
    <row r="383">
      <c r="A383" s="8"/>
      <c r="B383" s="8"/>
      <c r="C383" s="8"/>
      <c r="D383" s="8"/>
      <c r="E383" s="8"/>
      <c r="F383" s="8"/>
      <c r="G383" s="8"/>
      <c r="H383" s="8"/>
      <c r="I383" s="8"/>
      <c r="J383" s="8"/>
      <c r="K383" s="8"/>
      <c r="L383" s="8"/>
      <c r="M383" s="8"/>
      <c r="N383" s="8"/>
      <c r="O383" s="8"/>
      <c r="P383" s="8"/>
      <c r="Q383" s="8"/>
      <c r="R383" s="8"/>
      <c r="S383" s="8"/>
      <c r="T383" s="8"/>
      <c r="U383" s="8"/>
      <c r="V383" s="8"/>
      <c r="W383" s="8"/>
      <c r="X383" s="8"/>
      <c r="Y383" s="8"/>
    </row>
    <row r="384">
      <c r="A384" s="8"/>
      <c r="B384" s="8"/>
      <c r="C384" s="8"/>
      <c r="D384" s="8"/>
      <c r="E384" s="8"/>
      <c r="F384" s="8"/>
      <c r="G384" s="8"/>
      <c r="H384" s="8"/>
      <c r="I384" s="8"/>
      <c r="J384" s="8"/>
      <c r="K384" s="8"/>
      <c r="L384" s="8"/>
      <c r="M384" s="8"/>
      <c r="N384" s="8"/>
      <c r="O384" s="8"/>
      <c r="P384" s="8"/>
      <c r="Q384" s="8"/>
      <c r="R384" s="8"/>
      <c r="S384" s="8"/>
      <c r="T384" s="8"/>
      <c r="U384" s="8"/>
      <c r="V384" s="8"/>
      <c r="W384" s="8"/>
      <c r="X384" s="8"/>
      <c r="Y384" s="8"/>
    </row>
    <row r="385">
      <c r="A385" s="8"/>
      <c r="B385" s="8"/>
      <c r="C385" s="8"/>
      <c r="D385" s="8"/>
      <c r="E385" s="8"/>
      <c r="F385" s="8"/>
      <c r="G385" s="8"/>
      <c r="H385" s="8"/>
      <c r="I385" s="8"/>
      <c r="J385" s="8"/>
      <c r="K385" s="8"/>
      <c r="L385" s="8"/>
      <c r="M385" s="8"/>
      <c r="N385" s="8"/>
      <c r="O385" s="8"/>
      <c r="P385" s="8"/>
      <c r="Q385" s="8"/>
      <c r="R385" s="8"/>
      <c r="S385" s="8"/>
      <c r="T385" s="8"/>
      <c r="U385" s="8"/>
      <c r="V385" s="8"/>
      <c r="W385" s="8"/>
      <c r="X385" s="8"/>
      <c r="Y385" s="8"/>
    </row>
    <row r="386">
      <c r="A386" s="8"/>
      <c r="B386" s="8"/>
      <c r="C386" s="8"/>
      <c r="D386" s="8"/>
      <c r="E386" s="8"/>
      <c r="F386" s="8"/>
      <c r="G386" s="8"/>
      <c r="H386" s="8"/>
      <c r="I386" s="8"/>
      <c r="J386" s="8"/>
      <c r="K386" s="8"/>
      <c r="L386" s="8"/>
      <c r="M386" s="8"/>
      <c r="N386" s="8"/>
      <c r="O386" s="8"/>
      <c r="P386" s="8"/>
      <c r="Q386" s="8"/>
      <c r="R386" s="8"/>
      <c r="S386" s="8"/>
      <c r="T386" s="8"/>
      <c r="U386" s="8"/>
      <c r="V386" s="8"/>
      <c r="W386" s="8"/>
      <c r="X386" s="8"/>
      <c r="Y386" s="8"/>
    </row>
    <row r="387">
      <c r="A387" s="8"/>
      <c r="B387" s="8"/>
      <c r="C387" s="8"/>
      <c r="D387" s="8"/>
      <c r="E387" s="8"/>
      <c r="F387" s="8"/>
      <c r="G387" s="8"/>
      <c r="H387" s="8"/>
      <c r="I387" s="8"/>
      <c r="J387" s="8"/>
      <c r="K387" s="8"/>
      <c r="L387" s="8"/>
      <c r="M387" s="8"/>
      <c r="N387" s="8"/>
      <c r="O387" s="8"/>
      <c r="P387" s="8"/>
      <c r="Q387" s="8"/>
      <c r="R387" s="8"/>
      <c r="S387" s="8"/>
      <c r="T387" s="8"/>
      <c r="U387" s="8"/>
      <c r="V387" s="8"/>
      <c r="W387" s="8"/>
      <c r="X387" s="8"/>
      <c r="Y387" s="8"/>
    </row>
    <row r="388">
      <c r="A388" s="8"/>
      <c r="B388" s="8"/>
      <c r="C388" s="8"/>
      <c r="D388" s="8"/>
      <c r="E388" s="8"/>
      <c r="F388" s="8"/>
      <c r="G388" s="8"/>
      <c r="H388" s="8"/>
      <c r="I388" s="8"/>
      <c r="J388" s="8"/>
      <c r="K388" s="8"/>
      <c r="L388" s="8"/>
      <c r="M388" s="8"/>
      <c r="N388" s="8"/>
      <c r="O388" s="8"/>
      <c r="P388" s="8"/>
      <c r="Q388" s="8"/>
      <c r="R388" s="8"/>
      <c r="S388" s="8"/>
      <c r="T388" s="8"/>
      <c r="U388" s="8"/>
      <c r="V388" s="8"/>
      <c r="W388" s="8"/>
      <c r="X388" s="8"/>
      <c r="Y388" s="8"/>
    </row>
    <row r="389">
      <c r="A389" s="8"/>
      <c r="B389" s="8"/>
      <c r="C389" s="8"/>
      <c r="D389" s="8"/>
      <c r="E389" s="8"/>
      <c r="F389" s="8"/>
      <c r="G389" s="8"/>
      <c r="H389" s="8"/>
      <c r="I389" s="8"/>
      <c r="J389" s="8"/>
      <c r="K389" s="8"/>
      <c r="L389" s="8"/>
      <c r="M389" s="8"/>
      <c r="N389" s="8"/>
      <c r="O389" s="8"/>
      <c r="P389" s="8"/>
      <c r="Q389" s="8"/>
      <c r="R389" s="8"/>
      <c r="S389" s="8"/>
      <c r="T389" s="8"/>
      <c r="U389" s="8"/>
      <c r="V389" s="8"/>
      <c r="W389" s="8"/>
      <c r="X389" s="8"/>
      <c r="Y389" s="8"/>
    </row>
    <row r="390">
      <c r="A390" s="8"/>
      <c r="B390" s="8"/>
      <c r="C390" s="8"/>
      <c r="D390" s="8"/>
      <c r="E390" s="8"/>
      <c r="F390" s="8"/>
      <c r="G390" s="8"/>
      <c r="H390" s="8"/>
      <c r="I390" s="8"/>
      <c r="J390" s="8"/>
      <c r="K390" s="8"/>
      <c r="L390" s="8"/>
      <c r="M390" s="8"/>
      <c r="N390" s="8"/>
      <c r="O390" s="8"/>
      <c r="P390" s="8"/>
      <c r="Q390" s="8"/>
      <c r="R390" s="8"/>
      <c r="S390" s="8"/>
      <c r="T390" s="8"/>
      <c r="U390" s="8"/>
      <c r="V390" s="8"/>
      <c r="W390" s="8"/>
      <c r="X390" s="8"/>
      <c r="Y390" s="8"/>
    </row>
    <row r="391">
      <c r="A391" s="8"/>
      <c r="B391" s="8"/>
      <c r="C391" s="8"/>
      <c r="D391" s="8"/>
      <c r="E391" s="8"/>
      <c r="F391" s="8"/>
      <c r="G391" s="8"/>
      <c r="H391" s="8"/>
      <c r="I391" s="8"/>
      <c r="J391" s="8"/>
      <c r="K391" s="8"/>
      <c r="L391" s="8"/>
      <c r="M391" s="8"/>
      <c r="N391" s="8"/>
      <c r="O391" s="8"/>
      <c r="P391" s="8"/>
      <c r="Q391" s="8"/>
      <c r="R391" s="8"/>
      <c r="S391" s="8"/>
      <c r="T391" s="8"/>
      <c r="U391" s="8"/>
      <c r="V391" s="8"/>
      <c r="W391" s="8"/>
      <c r="X391" s="8"/>
      <c r="Y391" s="8"/>
    </row>
    <row r="392">
      <c r="A392" s="8"/>
      <c r="B392" s="8"/>
      <c r="C392" s="8"/>
      <c r="D392" s="8"/>
      <c r="E392" s="8"/>
      <c r="F392" s="8"/>
      <c r="G392" s="8"/>
      <c r="H392" s="8"/>
      <c r="I392" s="8"/>
      <c r="J392" s="8"/>
      <c r="K392" s="8"/>
      <c r="L392" s="8"/>
      <c r="M392" s="8"/>
      <c r="N392" s="8"/>
      <c r="O392" s="8"/>
      <c r="P392" s="8"/>
      <c r="Q392" s="8"/>
      <c r="R392" s="8"/>
      <c r="S392" s="8"/>
      <c r="T392" s="8"/>
      <c r="U392" s="8"/>
      <c r="V392" s="8"/>
      <c r="W392" s="8"/>
      <c r="X392" s="8"/>
      <c r="Y392" s="8"/>
    </row>
    <row r="393">
      <c r="A393" s="8"/>
      <c r="B393" s="8"/>
      <c r="C393" s="8"/>
      <c r="D393" s="8"/>
      <c r="E393" s="8"/>
      <c r="F393" s="8"/>
      <c r="G393" s="8"/>
      <c r="H393" s="8"/>
      <c r="I393" s="8"/>
      <c r="J393" s="8"/>
      <c r="K393" s="8"/>
      <c r="L393" s="8"/>
      <c r="M393" s="8"/>
      <c r="N393" s="8"/>
      <c r="O393" s="8"/>
      <c r="P393" s="8"/>
      <c r="Q393" s="8"/>
      <c r="R393" s="8"/>
      <c r="S393" s="8"/>
      <c r="T393" s="8"/>
      <c r="U393" s="8"/>
      <c r="V393" s="8"/>
      <c r="W393" s="8"/>
      <c r="X393" s="8"/>
      <c r="Y393" s="8"/>
    </row>
    <row r="394">
      <c r="A394" s="8"/>
      <c r="B394" s="8"/>
      <c r="C394" s="8"/>
      <c r="D394" s="8"/>
      <c r="E394" s="8"/>
      <c r="F394" s="8"/>
      <c r="G394" s="8"/>
      <c r="H394" s="8"/>
      <c r="I394" s="8"/>
      <c r="J394" s="8"/>
      <c r="K394" s="8"/>
      <c r="L394" s="8"/>
      <c r="M394" s="8"/>
      <c r="N394" s="8"/>
      <c r="O394" s="8"/>
      <c r="P394" s="8"/>
      <c r="Q394" s="8"/>
      <c r="R394" s="8"/>
      <c r="S394" s="8"/>
      <c r="T394" s="8"/>
      <c r="U394" s="8"/>
      <c r="V394" s="8"/>
      <c r="W394" s="8"/>
      <c r="X394" s="8"/>
      <c r="Y394" s="8"/>
    </row>
    <row r="395">
      <c r="A395" s="8"/>
      <c r="B395" s="8"/>
      <c r="C395" s="8"/>
      <c r="D395" s="8"/>
      <c r="E395" s="8"/>
      <c r="F395" s="8"/>
      <c r="G395" s="8"/>
      <c r="H395" s="8"/>
      <c r="I395" s="8"/>
      <c r="J395" s="8"/>
      <c r="K395" s="8"/>
      <c r="L395" s="8"/>
      <c r="M395" s="8"/>
      <c r="N395" s="8"/>
      <c r="O395" s="8"/>
      <c r="P395" s="8"/>
      <c r="Q395" s="8"/>
      <c r="R395" s="8"/>
      <c r="S395" s="8"/>
      <c r="T395" s="8"/>
      <c r="U395" s="8"/>
      <c r="V395" s="8"/>
      <c r="W395" s="8"/>
      <c r="X395" s="8"/>
      <c r="Y395" s="8"/>
    </row>
    <row r="396">
      <c r="A396" s="8"/>
      <c r="B396" s="8"/>
      <c r="C396" s="8"/>
      <c r="D396" s="8"/>
      <c r="E396" s="8"/>
      <c r="F396" s="8"/>
      <c r="G396" s="8"/>
      <c r="H396" s="8"/>
      <c r="I396" s="8"/>
      <c r="J396" s="8"/>
      <c r="K396" s="8"/>
      <c r="L396" s="8"/>
      <c r="M396" s="8"/>
      <c r="N396" s="8"/>
      <c r="O396" s="8"/>
      <c r="P396" s="8"/>
      <c r="Q396" s="8"/>
      <c r="R396" s="8"/>
      <c r="S396" s="8"/>
      <c r="T396" s="8"/>
      <c r="U396" s="8"/>
      <c r="V396" s="8"/>
      <c r="W396" s="8"/>
      <c r="X396" s="8"/>
      <c r="Y396" s="8"/>
    </row>
    <row r="397">
      <c r="A397" s="8"/>
      <c r="B397" s="8"/>
      <c r="C397" s="8"/>
      <c r="D397" s="8"/>
      <c r="E397" s="8"/>
      <c r="F397" s="8"/>
      <c r="G397" s="8"/>
      <c r="H397" s="8"/>
      <c r="I397" s="8"/>
      <c r="J397" s="8"/>
      <c r="K397" s="8"/>
      <c r="L397" s="8"/>
      <c r="M397" s="8"/>
      <c r="N397" s="8"/>
      <c r="O397" s="8"/>
      <c r="P397" s="8"/>
      <c r="Q397" s="8"/>
      <c r="R397" s="8"/>
      <c r="S397" s="8"/>
      <c r="T397" s="8"/>
      <c r="U397" s="8"/>
      <c r="V397" s="8"/>
      <c r="W397" s="8"/>
      <c r="X397" s="8"/>
      <c r="Y397" s="8"/>
    </row>
    <row r="398">
      <c r="A398" s="8"/>
      <c r="B398" s="8"/>
      <c r="C398" s="8"/>
      <c r="D398" s="8"/>
      <c r="E398" s="8"/>
      <c r="F398" s="8"/>
      <c r="G398" s="8"/>
      <c r="H398" s="8"/>
      <c r="I398" s="8"/>
      <c r="J398" s="8"/>
      <c r="K398" s="8"/>
      <c r="L398" s="8"/>
      <c r="M398" s="8"/>
      <c r="N398" s="8"/>
      <c r="O398" s="8"/>
      <c r="P398" s="8"/>
      <c r="Q398" s="8"/>
      <c r="R398" s="8"/>
      <c r="S398" s="8"/>
      <c r="T398" s="8"/>
      <c r="U398" s="8"/>
      <c r="V398" s="8"/>
      <c r="W398" s="8"/>
      <c r="X398" s="8"/>
      <c r="Y398" s="8"/>
    </row>
    <row r="399">
      <c r="A399" s="8"/>
      <c r="B399" s="8"/>
      <c r="C399" s="8"/>
      <c r="D399" s="8"/>
      <c r="E399" s="8"/>
      <c r="F399" s="8"/>
      <c r="G399" s="8"/>
      <c r="H399" s="8"/>
      <c r="I399" s="8"/>
      <c r="J399" s="8"/>
      <c r="K399" s="8"/>
      <c r="L399" s="8"/>
      <c r="M399" s="8"/>
      <c r="N399" s="8"/>
      <c r="O399" s="8"/>
      <c r="P399" s="8"/>
      <c r="Q399" s="8"/>
      <c r="R399" s="8"/>
      <c r="S399" s="8"/>
      <c r="T399" s="8"/>
      <c r="U399" s="8"/>
      <c r="V399" s="8"/>
      <c r="W399" s="8"/>
      <c r="X399" s="8"/>
      <c r="Y399" s="8"/>
    </row>
    <row r="400">
      <c r="A400" s="8"/>
      <c r="B400" s="8"/>
      <c r="C400" s="8"/>
      <c r="D400" s="8"/>
      <c r="E400" s="8"/>
      <c r="F400" s="8"/>
      <c r="G400" s="8"/>
      <c r="H400" s="8"/>
      <c r="I400" s="8"/>
      <c r="J400" s="8"/>
      <c r="K400" s="8"/>
      <c r="L400" s="8"/>
      <c r="M400" s="8"/>
      <c r="N400" s="8"/>
      <c r="O400" s="8"/>
      <c r="P400" s="8"/>
      <c r="Q400" s="8"/>
      <c r="R400" s="8"/>
      <c r="S400" s="8"/>
      <c r="T400" s="8"/>
      <c r="U400" s="8"/>
      <c r="V400" s="8"/>
      <c r="W400" s="8"/>
      <c r="X400" s="8"/>
      <c r="Y400" s="8"/>
    </row>
    <row r="401">
      <c r="A401" s="8"/>
      <c r="B401" s="8"/>
      <c r="C401" s="8"/>
      <c r="D401" s="8"/>
      <c r="E401" s="8"/>
      <c r="F401" s="8"/>
      <c r="G401" s="8"/>
      <c r="H401" s="8"/>
      <c r="I401" s="8"/>
      <c r="J401" s="8"/>
      <c r="K401" s="8"/>
      <c r="L401" s="8"/>
      <c r="M401" s="8"/>
      <c r="N401" s="8"/>
      <c r="O401" s="8"/>
      <c r="P401" s="8"/>
      <c r="Q401" s="8"/>
      <c r="R401" s="8"/>
      <c r="S401" s="8"/>
      <c r="T401" s="8"/>
      <c r="U401" s="8"/>
      <c r="V401" s="8"/>
      <c r="W401" s="8"/>
      <c r="X401" s="8"/>
      <c r="Y401" s="8"/>
    </row>
    <row r="402">
      <c r="A402" s="8"/>
      <c r="B402" s="8"/>
      <c r="C402" s="8"/>
      <c r="D402" s="8"/>
      <c r="E402" s="8"/>
      <c r="F402" s="8"/>
      <c r="G402" s="8"/>
      <c r="H402" s="8"/>
      <c r="I402" s="8"/>
      <c r="J402" s="8"/>
      <c r="K402" s="8"/>
      <c r="L402" s="8"/>
      <c r="M402" s="8"/>
      <c r="N402" s="8"/>
      <c r="O402" s="8"/>
      <c r="P402" s="8"/>
      <c r="Q402" s="8"/>
      <c r="R402" s="8"/>
      <c r="S402" s="8"/>
      <c r="T402" s="8"/>
      <c r="U402" s="8"/>
      <c r="V402" s="8"/>
      <c r="W402" s="8"/>
      <c r="X402" s="8"/>
      <c r="Y402" s="8"/>
    </row>
    <row r="403">
      <c r="A403" s="8"/>
      <c r="B403" s="8"/>
      <c r="C403" s="8"/>
      <c r="D403" s="8"/>
      <c r="E403" s="8"/>
      <c r="F403" s="8"/>
      <c r="G403" s="8"/>
      <c r="H403" s="8"/>
      <c r="I403" s="8"/>
      <c r="J403" s="8"/>
      <c r="K403" s="8"/>
      <c r="L403" s="8"/>
      <c r="M403" s="8"/>
      <c r="N403" s="8"/>
      <c r="O403" s="8"/>
      <c r="P403" s="8"/>
      <c r="Q403" s="8"/>
      <c r="R403" s="8"/>
      <c r="S403" s="8"/>
      <c r="T403" s="8"/>
      <c r="U403" s="8"/>
      <c r="V403" s="8"/>
      <c r="W403" s="8"/>
      <c r="X403" s="8"/>
      <c r="Y403" s="8"/>
    </row>
    <row r="404">
      <c r="A404" s="8"/>
      <c r="B404" s="8"/>
      <c r="C404" s="8"/>
      <c r="D404" s="8"/>
      <c r="E404" s="8"/>
      <c r="F404" s="8"/>
      <c r="G404" s="8"/>
      <c r="H404" s="8"/>
      <c r="I404" s="8"/>
      <c r="J404" s="8"/>
      <c r="K404" s="8"/>
      <c r="L404" s="8"/>
      <c r="M404" s="8"/>
      <c r="N404" s="8"/>
      <c r="O404" s="8"/>
      <c r="P404" s="8"/>
      <c r="Q404" s="8"/>
      <c r="R404" s="8"/>
      <c r="S404" s="8"/>
      <c r="T404" s="8"/>
      <c r="U404" s="8"/>
      <c r="V404" s="8"/>
      <c r="W404" s="8"/>
      <c r="X404" s="8"/>
      <c r="Y404" s="8"/>
    </row>
    <row r="405">
      <c r="A405" s="8"/>
      <c r="B405" s="8"/>
      <c r="C405" s="8"/>
      <c r="D405" s="8"/>
      <c r="E405" s="8"/>
      <c r="F405" s="8"/>
      <c r="G405" s="8"/>
      <c r="H405" s="8"/>
      <c r="I405" s="8"/>
      <c r="J405" s="8"/>
      <c r="K405" s="8"/>
      <c r="L405" s="8"/>
      <c r="M405" s="8"/>
      <c r="N405" s="8"/>
      <c r="O405" s="8"/>
      <c r="P405" s="8"/>
      <c r="Q405" s="8"/>
      <c r="R405" s="8"/>
      <c r="S405" s="8"/>
      <c r="T405" s="8"/>
      <c r="U405" s="8"/>
      <c r="V405" s="8"/>
      <c r="W405" s="8"/>
      <c r="X405" s="8"/>
      <c r="Y405" s="8"/>
    </row>
    <row r="406">
      <c r="A406" s="8"/>
      <c r="B406" s="8"/>
      <c r="C406" s="8"/>
      <c r="D406" s="8"/>
      <c r="E406" s="8"/>
      <c r="F406" s="8"/>
      <c r="G406" s="8"/>
      <c r="H406" s="8"/>
      <c r="I406" s="8"/>
      <c r="J406" s="8"/>
      <c r="K406" s="8"/>
      <c r="L406" s="8"/>
      <c r="M406" s="8"/>
      <c r="N406" s="8"/>
      <c r="O406" s="8"/>
      <c r="P406" s="8"/>
      <c r="Q406" s="8"/>
      <c r="R406" s="8"/>
      <c r="S406" s="8"/>
      <c r="T406" s="8"/>
      <c r="U406" s="8"/>
      <c r="V406" s="8"/>
      <c r="W406" s="8"/>
      <c r="X406" s="8"/>
      <c r="Y406" s="8"/>
    </row>
    <row r="407">
      <c r="A407" s="8"/>
      <c r="B407" s="8"/>
      <c r="C407" s="8"/>
      <c r="D407" s="8"/>
      <c r="E407" s="8"/>
      <c r="F407" s="8"/>
      <c r="G407" s="8"/>
      <c r="H407" s="8"/>
      <c r="I407" s="8"/>
      <c r="J407" s="8"/>
      <c r="K407" s="8"/>
      <c r="L407" s="8"/>
      <c r="M407" s="8"/>
      <c r="N407" s="8"/>
      <c r="O407" s="8"/>
      <c r="P407" s="8"/>
      <c r="Q407" s="8"/>
      <c r="R407" s="8"/>
      <c r="S407" s="8"/>
      <c r="T407" s="8"/>
      <c r="U407" s="8"/>
      <c r="V407" s="8"/>
      <c r="W407" s="8"/>
      <c r="X407" s="8"/>
      <c r="Y407" s="8"/>
    </row>
    <row r="408">
      <c r="A408" s="8"/>
      <c r="B408" s="8"/>
      <c r="C408" s="8"/>
      <c r="D408" s="8"/>
      <c r="E408" s="8"/>
      <c r="F408" s="8"/>
      <c r="G408" s="8"/>
      <c r="H408" s="8"/>
      <c r="I408" s="8"/>
      <c r="J408" s="8"/>
      <c r="K408" s="8"/>
      <c r="L408" s="8"/>
      <c r="M408" s="8"/>
      <c r="N408" s="8"/>
      <c r="O408" s="8"/>
      <c r="P408" s="8"/>
      <c r="Q408" s="8"/>
      <c r="R408" s="8"/>
      <c r="S408" s="8"/>
      <c r="T408" s="8"/>
      <c r="U408" s="8"/>
      <c r="V408" s="8"/>
      <c r="W408" s="8"/>
      <c r="X408" s="8"/>
      <c r="Y408" s="8"/>
    </row>
    <row r="409">
      <c r="A409" s="8"/>
      <c r="B409" s="8"/>
      <c r="C409" s="8"/>
      <c r="D409" s="8"/>
      <c r="E409" s="8"/>
      <c r="F409" s="8"/>
      <c r="G409" s="8"/>
      <c r="H409" s="8"/>
      <c r="I409" s="8"/>
      <c r="J409" s="8"/>
      <c r="K409" s="8"/>
      <c r="L409" s="8"/>
      <c r="M409" s="8"/>
      <c r="N409" s="8"/>
      <c r="O409" s="8"/>
      <c r="P409" s="8"/>
      <c r="Q409" s="8"/>
      <c r="R409" s="8"/>
      <c r="S409" s="8"/>
      <c r="T409" s="8"/>
      <c r="U409" s="8"/>
      <c r="V409" s="8"/>
      <c r="W409" s="8"/>
      <c r="X409" s="8"/>
      <c r="Y409" s="8"/>
    </row>
    <row r="410">
      <c r="A410" s="8"/>
      <c r="B410" s="8"/>
      <c r="C410" s="8"/>
      <c r="D410" s="8"/>
      <c r="E410" s="8"/>
      <c r="F410" s="8"/>
      <c r="G410" s="8"/>
      <c r="H410" s="8"/>
      <c r="I410" s="8"/>
      <c r="J410" s="8"/>
      <c r="K410" s="8"/>
      <c r="L410" s="8"/>
      <c r="M410" s="8"/>
      <c r="N410" s="8"/>
      <c r="O410" s="8"/>
      <c r="P410" s="8"/>
      <c r="Q410" s="8"/>
      <c r="R410" s="8"/>
      <c r="S410" s="8"/>
      <c r="T410" s="8"/>
      <c r="U410" s="8"/>
      <c r="V410" s="8"/>
      <c r="W410" s="8"/>
      <c r="X410" s="8"/>
      <c r="Y410" s="8"/>
    </row>
    <row r="411">
      <c r="A411" s="8"/>
      <c r="B411" s="8"/>
      <c r="C411" s="8"/>
      <c r="D411" s="8"/>
      <c r="E411" s="8"/>
      <c r="F411" s="8"/>
      <c r="G411" s="8"/>
      <c r="H411" s="8"/>
      <c r="I411" s="8"/>
      <c r="J411" s="8"/>
      <c r="K411" s="8"/>
      <c r="L411" s="8"/>
      <c r="M411" s="8"/>
      <c r="N411" s="8"/>
      <c r="O411" s="8"/>
      <c r="P411" s="8"/>
      <c r="Q411" s="8"/>
      <c r="R411" s="8"/>
      <c r="S411" s="8"/>
      <c r="T411" s="8"/>
      <c r="U411" s="8"/>
      <c r="V411" s="8"/>
      <c r="W411" s="8"/>
      <c r="X411" s="8"/>
      <c r="Y411" s="8"/>
    </row>
    <row r="412">
      <c r="A412" s="8"/>
      <c r="B412" s="8"/>
      <c r="C412" s="8"/>
      <c r="D412" s="8"/>
      <c r="E412" s="8"/>
      <c r="F412" s="8"/>
      <c r="G412" s="8"/>
      <c r="H412" s="8"/>
      <c r="I412" s="8"/>
      <c r="J412" s="8"/>
      <c r="K412" s="8"/>
      <c r="L412" s="8"/>
      <c r="M412" s="8"/>
      <c r="N412" s="8"/>
      <c r="O412" s="8"/>
      <c r="P412" s="8"/>
      <c r="Q412" s="8"/>
      <c r="R412" s="8"/>
      <c r="S412" s="8"/>
      <c r="T412" s="8"/>
      <c r="U412" s="8"/>
      <c r="V412" s="8"/>
      <c r="W412" s="8"/>
      <c r="X412" s="8"/>
      <c r="Y412" s="8"/>
    </row>
    <row r="413">
      <c r="A413" s="8"/>
      <c r="B413" s="8"/>
      <c r="C413" s="8"/>
      <c r="D413" s="8"/>
      <c r="E413" s="8"/>
      <c r="F413" s="8"/>
      <c r="G413" s="8"/>
      <c r="H413" s="8"/>
      <c r="I413" s="8"/>
      <c r="J413" s="8"/>
      <c r="K413" s="8"/>
      <c r="L413" s="8"/>
      <c r="M413" s="8"/>
      <c r="N413" s="8"/>
      <c r="O413" s="8"/>
      <c r="P413" s="8"/>
      <c r="Q413" s="8"/>
      <c r="R413" s="8"/>
      <c r="S413" s="8"/>
      <c r="T413" s="8"/>
      <c r="U413" s="8"/>
      <c r="V413" s="8"/>
      <c r="W413" s="8"/>
      <c r="X413" s="8"/>
      <c r="Y413" s="8"/>
    </row>
    <row r="414">
      <c r="A414" s="8"/>
      <c r="B414" s="8"/>
      <c r="C414" s="8"/>
      <c r="D414" s="8"/>
      <c r="E414" s="8"/>
      <c r="F414" s="8"/>
      <c r="G414" s="8"/>
      <c r="H414" s="8"/>
      <c r="I414" s="8"/>
      <c r="J414" s="8"/>
      <c r="K414" s="8"/>
      <c r="L414" s="8"/>
      <c r="M414" s="8"/>
      <c r="N414" s="8"/>
      <c r="O414" s="8"/>
      <c r="P414" s="8"/>
      <c r="Q414" s="8"/>
      <c r="R414" s="8"/>
      <c r="S414" s="8"/>
      <c r="T414" s="8"/>
      <c r="U414" s="8"/>
      <c r="V414" s="8"/>
      <c r="W414" s="8"/>
      <c r="X414" s="8"/>
      <c r="Y414" s="8"/>
    </row>
    <row r="415">
      <c r="A415" s="8"/>
      <c r="B415" s="8"/>
      <c r="C415" s="8"/>
      <c r="D415" s="8"/>
      <c r="E415" s="8"/>
      <c r="F415" s="8"/>
      <c r="G415" s="8"/>
      <c r="H415" s="8"/>
      <c r="I415" s="8"/>
      <c r="J415" s="8"/>
      <c r="K415" s="8"/>
      <c r="L415" s="8"/>
      <c r="M415" s="8"/>
      <c r="N415" s="8"/>
      <c r="O415" s="8"/>
      <c r="P415" s="8"/>
      <c r="Q415" s="8"/>
      <c r="R415" s="8"/>
      <c r="S415" s="8"/>
      <c r="T415" s="8"/>
      <c r="U415" s="8"/>
      <c r="V415" s="8"/>
      <c r="W415" s="8"/>
      <c r="X415" s="8"/>
      <c r="Y415" s="8"/>
    </row>
    <row r="416">
      <c r="A416" s="8"/>
      <c r="B416" s="8"/>
      <c r="C416" s="8"/>
      <c r="D416" s="8"/>
      <c r="E416" s="8"/>
      <c r="F416" s="8"/>
      <c r="G416" s="8"/>
      <c r="H416" s="8"/>
      <c r="I416" s="8"/>
      <c r="J416" s="8"/>
      <c r="K416" s="8"/>
      <c r="L416" s="8"/>
      <c r="M416" s="8"/>
      <c r="N416" s="8"/>
      <c r="O416" s="8"/>
      <c r="P416" s="8"/>
      <c r="Q416" s="8"/>
      <c r="R416" s="8"/>
      <c r="S416" s="8"/>
      <c r="T416" s="8"/>
      <c r="U416" s="8"/>
      <c r="V416" s="8"/>
      <c r="W416" s="8"/>
      <c r="X416" s="8"/>
      <c r="Y416" s="8"/>
    </row>
    <row r="417">
      <c r="A417" s="8"/>
      <c r="B417" s="8"/>
      <c r="C417" s="8"/>
      <c r="D417" s="8"/>
      <c r="E417" s="8"/>
      <c r="F417" s="8"/>
      <c r="G417" s="8"/>
      <c r="H417" s="8"/>
      <c r="I417" s="8"/>
      <c r="J417" s="8"/>
      <c r="K417" s="8"/>
      <c r="L417" s="8"/>
      <c r="M417" s="8"/>
      <c r="N417" s="8"/>
      <c r="O417" s="8"/>
      <c r="P417" s="8"/>
      <c r="Q417" s="8"/>
      <c r="R417" s="8"/>
      <c r="S417" s="8"/>
      <c r="T417" s="8"/>
      <c r="U417" s="8"/>
      <c r="V417" s="8"/>
      <c r="W417" s="8"/>
      <c r="X417" s="8"/>
      <c r="Y417" s="8"/>
    </row>
    <row r="418">
      <c r="A418" s="8"/>
      <c r="B418" s="8"/>
      <c r="C418" s="8"/>
      <c r="D418" s="8"/>
      <c r="E418" s="8"/>
      <c r="F418" s="8"/>
      <c r="G418" s="8"/>
      <c r="H418" s="8"/>
      <c r="I418" s="8"/>
      <c r="J418" s="8"/>
      <c r="K418" s="8"/>
      <c r="L418" s="8"/>
      <c r="M418" s="8"/>
      <c r="N418" s="8"/>
      <c r="O418" s="8"/>
      <c r="P418" s="8"/>
      <c r="Q418" s="8"/>
      <c r="R418" s="8"/>
      <c r="S418" s="8"/>
      <c r="T418" s="8"/>
      <c r="U418" s="8"/>
      <c r="V418" s="8"/>
      <c r="W418" s="8"/>
      <c r="X418" s="8"/>
      <c r="Y418" s="8"/>
    </row>
    <row r="419">
      <c r="A419" s="8"/>
      <c r="B419" s="8"/>
      <c r="C419" s="8"/>
      <c r="D419" s="8"/>
      <c r="E419" s="8"/>
      <c r="F419" s="8"/>
      <c r="G419" s="8"/>
      <c r="H419" s="8"/>
      <c r="I419" s="8"/>
      <c r="J419" s="8"/>
      <c r="K419" s="8"/>
      <c r="L419" s="8"/>
      <c r="M419" s="8"/>
      <c r="N419" s="8"/>
      <c r="O419" s="8"/>
      <c r="P419" s="8"/>
      <c r="Q419" s="8"/>
      <c r="R419" s="8"/>
      <c r="S419" s="8"/>
      <c r="T419" s="8"/>
      <c r="U419" s="8"/>
      <c r="V419" s="8"/>
      <c r="W419" s="8"/>
      <c r="X419" s="8"/>
      <c r="Y419" s="8"/>
    </row>
    <row r="420">
      <c r="A420" s="8"/>
      <c r="B420" s="8"/>
      <c r="C420" s="8"/>
      <c r="D420" s="8"/>
      <c r="E420" s="8"/>
      <c r="F420" s="8"/>
      <c r="G420" s="8"/>
      <c r="H420" s="8"/>
      <c r="I420" s="8"/>
      <c r="J420" s="8"/>
      <c r="K420" s="8"/>
      <c r="L420" s="8"/>
      <c r="M420" s="8"/>
      <c r="N420" s="8"/>
      <c r="O420" s="8"/>
      <c r="P420" s="8"/>
      <c r="Q420" s="8"/>
      <c r="R420" s="8"/>
      <c r="S420" s="8"/>
      <c r="T420" s="8"/>
      <c r="U420" s="8"/>
      <c r="V420" s="8"/>
      <c r="W420" s="8"/>
      <c r="X420" s="8"/>
      <c r="Y420" s="8"/>
    </row>
    <row r="421">
      <c r="A421" s="8"/>
      <c r="B421" s="8"/>
      <c r="C421" s="8"/>
      <c r="D421" s="8"/>
      <c r="E421" s="8"/>
      <c r="F421" s="8"/>
      <c r="G421" s="8"/>
      <c r="H421" s="8"/>
      <c r="I421" s="8"/>
      <c r="J421" s="8"/>
      <c r="K421" s="8"/>
      <c r="L421" s="8"/>
      <c r="M421" s="8"/>
      <c r="N421" s="8"/>
      <c r="O421" s="8"/>
      <c r="P421" s="8"/>
      <c r="Q421" s="8"/>
      <c r="R421" s="8"/>
      <c r="S421" s="8"/>
      <c r="T421" s="8"/>
      <c r="U421" s="8"/>
      <c r="V421" s="8"/>
      <c r="W421" s="8"/>
      <c r="X421" s="8"/>
      <c r="Y421" s="8"/>
    </row>
    <row r="422">
      <c r="A422" s="8"/>
      <c r="B422" s="8"/>
      <c r="C422" s="8"/>
      <c r="D422" s="8"/>
      <c r="E422" s="8"/>
      <c r="F422" s="8"/>
      <c r="G422" s="8"/>
      <c r="H422" s="8"/>
      <c r="I422" s="8"/>
      <c r="J422" s="8"/>
      <c r="K422" s="8"/>
      <c r="L422" s="8"/>
      <c r="M422" s="8"/>
      <c r="N422" s="8"/>
      <c r="O422" s="8"/>
      <c r="P422" s="8"/>
      <c r="Q422" s="8"/>
      <c r="R422" s="8"/>
      <c r="S422" s="8"/>
      <c r="T422" s="8"/>
      <c r="U422" s="8"/>
      <c r="V422" s="8"/>
      <c r="W422" s="8"/>
      <c r="X422" s="8"/>
      <c r="Y422" s="8"/>
    </row>
    <row r="423">
      <c r="A423" s="8"/>
      <c r="B423" s="8"/>
      <c r="C423" s="8"/>
      <c r="D423" s="8"/>
      <c r="E423" s="8"/>
      <c r="F423" s="8"/>
      <c r="G423" s="8"/>
      <c r="H423" s="8"/>
      <c r="I423" s="8"/>
      <c r="J423" s="8"/>
      <c r="K423" s="8"/>
      <c r="L423" s="8"/>
      <c r="M423" s="8"/>
      <c r="N423" s="8"/>
      <c r="O423" s="8"/>
      <c r="P423" s="8"/>
      <c r="Q423" s="8"/>
      <c r="R423" s="8"/>
      <c r="S423" s="8"/>
      <c r="T423" s="8"/>
      <c r="U423" s="8"/>
      <c r="V423" s="8"/>
      <c r="W423" s="8"/>
      <c r="X423" s="8"/>
      <c r="Y423" s="8"/>
    </row>
    <row r="424">
      <c r="A424" s="8"/>
      <c r="B424" s="8"/>
      <c r="C424" s="8"/>
      <c r="D424" s="8"/>
      <c r="E424" s="8"/>
      <c r="F424" s="8"/>
      <c r="G424" s="8"/>
      <c r="H424" s="8"/>
      <c r="I424" s="8"/>
      <c r="J424" s="8"/>
      <c r="K424" s="8"/>
      <c r="L424" s="8"/>
      <c r="M424" s="8"/>
      <c r="N424" s="8"/>
      <c r="O424" s="8"/>
      <c r="P424" s="8"/>
      <c r="Q424" s="8"/>
      <c r="R424" s="8"/>
      <c r="S424" s="8"/>
      <c r="T424" s="8"/>
      <c r="U424" s="8"/>
      <c r="V424" s="8"/>
      <c r="W424" s="8"/>
      <c r="X424" s="8"/>
      <c r="Y424" s="8"/>
    </row>
    <row r="425">
      <c r="A425" s="8"/>
      <c r="B425" s="8"/>
      <c r="C425" s="8"/>
      <c r="D425" s="8"/>
      <c r="E425" s="8"/>
      <c r="F425" s="8"/>
      <c r="G425" s="8"/>
      <c r="H425" s="8"/>
      <c r="I425" s="8"/>
      <c r="J425" s="8"/>
      <c r="K425" s="8"/>
      <c r="L425" s="8"/>
      <c r="M425" s="8"/>
      <c r="N425" s="8"/>
      <c r="O425" s="8"/>
      <c r="P425" s="8"/>
      <c r="Q425" s="8"/>
      <c r="R425" s="8"/>
      <c r="S425" s="8"/>
      <c r="T425" s="8"/>
      <c r="U425" s="8"/>
      <c r="V425" s="8"/>
      <c r="W425" s="8"/>
      <c r="X425" s="8"/>
      <c r="Y425" s="8"/>
    </row>
    <row r="426">
      <c r="A426" s="8"/>
      <c r="B426" s="8"/>
      <c r="C426" s="8"/>
      <c r="D426" s="8"/>
      <c r="E426" s="8"/>
      <c r="F426" s="8"/>
      <c r="G426" s="8"/>
      <c r="H426" s="8"/>
      <c r="I426" s="8"/>
      <c r="J426" s="8"/>
      <c r="K426" s="8"/>
      <c r="L426" s="8"/>
      <c r="M426" s="8"/>
      <c r="N426" s="8"/>
      <c r="O426" s="8"/>
      <c r="P426" s="8"/>
      <c r="Q426" s="8"/>
      <c r="R426" s="8"/>
      <c r="S426" s="8"/>
      <c r="T426" s="8"/>
      <c r="U426" s="8"/>
      <c r="V426" s="8"/>
      <c r="W426" s="8"/>
      <c r="X426" s="8"/>
      <c r="Y426" s="8"/>
    </row>
    <row r="427">
      <c r="A427" s="8"/>
      <c r="B427" s="8"/>
      <c r="C427" s="8"/>
      <c r="D427" s="8"/>
      <c r="E427" s="8"/>
      <c r="F427" s="8"/>
      <c r="G427" s="8"/>
      <c r="H427" s="8"/>
      <c r="I427" s="8"/>
      <c r="J427" s="8"/>
      <c r="K427" s="8"/>
      <c r="L427" s="8"/>
      <c r="M427" s="8"/>
      <c r="N427" s="8"/>
      <c r="O427" s="8"/>
      <c r="P427" s="8"/>
      <c r="Q427" s="8"/>
      <c r="R427" s="8"/>
      <c r="S427" s="8"/>
      <c r="T427" s="8"/>
      <c r="U427" s="8"/>
      <c r="V427" s="8"/>
      <c r="W427" s="8"/>
      <c r="X427" s="8"/>
      <c r="Y427" s="8"/>
    </row>
    <row r="428">
      <c r="A428" s="8"/>
      <c r="B428" s="8"/>
      <c r="C428" s="8"/>
      <c r="D428" s="8"/>
      <c r="E428" s="8"/>
      <c r="F428" s="8"/>
      <c r="G428" s="8"/>
      <c r="H428" s="8"/>
      <c r="I428" s="8"/>
      <c r="J428" s="8"/>
      <c r="K428" s="8"/>
      <c r="L428" s="8"/>
      <c r="M428" s="8"/>
      <c r="N428" s="8"/>
      <c r="O428" s="8"/>
      <c r="P428" s="8"/>
      <c r="Q428" s="8"/>
      <c r="R428" s="8"/>
      <c r="S428" s="8"/>
      <c r="T428" s="8"/>
      <c r="U428" s="8"/>
      <c r="V428" s="8"/>
      <c r="W428" s="8"/>
      <c r="X428" s="8"/>
      <c r="Y428" s="8"/>
    </row>
    <row r="429">
      <c r="A429" s="8"/>
      <c r="B429" s="8"/>
      <c r="C429" s="8"/>
      <c r="D429" s="8"/>
      <c r="E429" s="8"/>
      <c r="F429" s="8"/>
      <c r="G429" s="8"/>
      <c r="H429" s="8"/>
      <c r="I429" s="8"/>
      <c r="J429" s="8"/>
      <c r="K429" s="8"/>
      <c r="L429" s="8"/>
      <c r="M429" s="8"/>
      <c r="N429" s="8"/>
      <c r="O429" s="8"/>
      <c r="P429" s="8"/>
      <c r="Q429" s="8"/>
      <c r="R429" s="8"/>
      <c r="S429" s="8"/>
      <c r="T429" s="8"/>
      <c r="U429" s="8"/>
      <c r="V429" s="8"/>
      <c r="W429" s="8"/>
      <c r="X429" s="8"/>
      <c r="Y429" s="8"/>
    </row>
    <row r="430">
      <c r="A430" s="8"/>
      <c r="B430" s="8"/>
      <c r="C430" s="8"/>
      <c r="D430" s="8"/>
      <c r="E430" s="8"/>
      <c r="F430" s="8"/>
      <c r="G430" s="8"/>
      <c r="H430" s="8"/>
      <c r="I430" s="8"/>
      <c r="J430" s="8"/>
      <c r="K430" s="8"/>
      <c r="L430" s="8"/>
      <c r="M430" s="8"/>
      <c r="N430" s="8"/>
      <c r="O430" s="8"/>
      <c r="P430" s="8"/>
      <c r="Q430" s="8"/>
      <c r="R430" s="8"/>
      <c r="S430" s="8"/>
      <c r="T430" s="8"/>
      <c r="U430" s="8"/>
      <c r="V430" s="8"/>
      <c r="W430" s="8"/>
      <c r="X430" s="8"/>
      <c r="Y430" s="8"/>
    </row>
    <row r="431">
      <c r="A431" s="8"/>
      <c r="B431" s="8"/>
      <c r="C431" s="8"/>
      <c r="D431" s="8"/>
      <c r="E431" s="8"/>
      <c r="F431" s="8"/>
      <c r="G431" s="8"/>
      <c r="H431" s="8"/>
      <c r="I431" s="8"/>
      <c r="J431" s="8"/>
      <c r="K431" s="8"/>
      <c r="L431" s="8"/>
      <c r="M431" s="8"/>
      <c r="N431" s="8"/>
      <c r="O431" s="8"/>
      <c r="P431" s="8"/>
      <c r="Q431" s="8"/>
      <c r="R431" s="8"/>
      <c r="S431" s="8"/>
      <c r="T431" s="8"/>
      <c r="U431" s="8"/>
      <c r="V431" s="8"/>
      <c r="W431" s="8"/>
      <c r="X431" s="8"/>
      <c r="Y431" s="8"/>
    </row>
    <row r="432">
      <c r="A432" s="8"/>
      <c r="B432" s="8"/>
      <c r="C432" s="8"/>
      <c r="D432" s="8"/>
      <c r="E432" s="8"/>
      <c r="F432" s="8"/>
      <c r="G432" s="8"/>
      <c r="H432" s="8"/>
      <c r="I432" s="8"/>
      <c r="J432" s="8"/>
      <c r="K432" s="8"/>
      <c r="L432" s="8"/>
      <c r="M432" s="8"/>
      <c r="N432" s="8"/>
      <c r="O432" s="8"/>
      <c r="P432" s="8"/>
      <c r="Q432" s="8"/>
      <c r="R432" s="8"/>
      <c r="S432" s="8"/>
      <c r="T432" s="8"/>
      <c r="U432" s="8"/>
      <c r="V432" s="8"/>
      <c r="W432" s="8"/>
      <c r="X432" s="8"/>
      <c r="Y432" s="8"/>
    </row>
    <row r="433">
      <c r="A433" s="8"/>
      <c r="B433" s="8"/>
      <c r="C433" s="8"/>
      <c r="D433" s="8"/>
      <c r="E433" s="8"/>
      <c r="F433" s="8"/>
      <c r="G433" s="8"/>
      <c r="H433" s="8"/>
      <c r="I433" s="8"/>
      <c r="J433" s="8"/>
      <c r="K433" s="8"/>
      <c r="L433" s="8"/>
      <c r="M433" s="8"/>
      <c r="N433" s="8"/>
      <c r="O433" s="8"/>
      <c r="P433" s="8"/>
      <c r="Q433" s="8"/>
      <c r="R433" s="8"/>
      <c r="S433" s="8"/>
      <c r="T433" s="8"/>
      <c r="U433" s="8"/>
      <c r="V433" s="8"/>
      <c r="W433" s="8"/>
      <c r="X433" s="8"/>
      <c r="Y433" s="8"/>
    </row>
    <row r="434">
      <c r="A434" s="8"/>
      <c r="B434" s="8"/>
      <c r="C434" s="8"/>
      <c r="D434" s="8"/>
      <c r="E434" s="8"/>
      <c r="F434" s="8"/>
      <c r="G434" s="8"/>
      <c r="H434" s="8"/>
      <c r="I434" s="8"/>
      <c r="J434" s="8"/>
      <c r="K434" s="8"/>
      <c r="L434" s="8"/>
      <c r="M434" s="8"/>
      <c r="N434" s="8"/>
      <c r="O434" s="8"/>
      <c r="P434" s="8"/>
      <c r="Q434" s="8"/>
      <c r="R434" s="8"/>
      <c r="S434" s="8"/>
      <c r="T434" s="8"/>
      <c r="U434" s="8"/>
      <c r="V434" s="8"/>
      <c r="W434" s="8"/>
      <c r="X434" s="8"/>
      <c r="Y434" s="8"/>
    </row>
    <row r="435">
      <c r="A435" s="8"/>
      <c r="B435" s="8"/>
      <c r="C435" s="8"/>
      <c r="D435" s="8"/>
      <c r="E435" s="8"/>
      <c r="F435" s="8"/>
      <c r="G435" s="8"/>
      <c r="H435" s="8"/>
      <c r="I435" s="8"/>
      <c r="J435" s="8"/>
      <c r="K435" s="8"/>
      <c r="L435" s="8"/>
      <c r="M435" s="8"/>
      <c r="N435" s="8"/>
      <c r="O435" s="8"/>
      <c r="P435" s="8"/>
      <c r="Q435" s="8"/>
      <c r="R435" s="8"/>
      <c r="S435" s="8"/>
      <c r="T435" s="8"/>
      <c r="U435" s="8"/>
      <c r="V435" s="8"/>
      <c r="W435" s="8"/>
      <c r="X435" s="8"/>
      <c r="Y435" s="8"/>
    </row>
    <row r="436">
      <c r="A436" s="8"/>
      <c r="B436" s="8"/>
      <c r="C436" s="8"/>
      <c r="D436" s="8"/>
      <c r="E436" s="8"/>
      <c r="F436" s="8"/>
      <c r="G436" s="8"/>
      <c r="H436" s="8"/>
      <c r="I436" s="8"/>
      <c r="J436" s="8"/>
      <c r="K436" s="8"/>
      <c r="L436" s="8"/>
      <c r="M436" s="8"/>
      <c r="N436" s="8"/>
      <c r="O436" s="8"/>
      <c r="P436" s="8"/>
      <c r="Q436" s="8"/>
      <c r="R436" s="8"/>
      <c r="S436" s="8"/>
      <c r="T436" s="8"/>
      <c r="U436" s="8"/>
      <c r="V436" s="8"/>
      <c r="W436" s="8"/>
      <c r="X436" s="8"/>
      <c r="Y436" s="8"/>
    </row>
    <row r="437">
      <c r="A437" s="8"/>
      <c r="B437" s="8"/>
      <c r="C437" s="8"/>
      <c r="D437" s="8"/>
      <c r="E437" s="8"/>
      <c r="F437" s="8"/>
      <c r="G437" s="8"/>
      <c r="H437" s="8"/>
      <c r="I437" s="8"/>
      <c r="J437" s="8"/>
      <c r="K437" s="8"/>
      <c r="L437" s="8"/>
      <c r="M437" s="8"/>
      <c r="N437" s="8"/>
      <c r="O437" s="8"/>
      <c r="P437" s="8"/>
      <c r="Q437" s="8"/>
      <c r="R437" s="8"/>
      <c r="S437" s="8"/>
      <c r="T437" s="8"/>
      <c r="U437" s="8"/>
      <c r="V437" s="8"/>
      <c r="W437" s="8"/>
      <c r="X437" s="8"/>
      <c r="Y437" s="8"/>
    </row>
    <row r="438">
      <c r="A438" s="8"/>
      <c r="B438" s="8"/>
      <c r="C438" s="8"/>
      <c r="D438" s="8"/>
      <c r="E438" s="8"/>
      <c r="F438" s="8"/>
      <c r="G438" s="8"/>
      <c r="H438" s="8"/>
      <c r="I438" s="8"/>
      <c r="J438" s="8"/>
      <c r="K438" s="8"/>
      <c r="L438" s="8"/>
      <c r="M438" s="8"/>
      <c r="N438" s="8"/>
      <c r="O438" s="8"/>
      <c r="P438" s="8"/>
      <c r="Q438" s="8"/>
      <c r="R438" s="8"/>
      <c r="S438" s="8"/>
      <c r="T438" s="8"/>
      <c r="U438" s="8"/>
      <c r="V438" s="8"/>
      <c r="W438" s="8"/>
      <c r="X438" s="8"/>
      <c r="Y438" s="8"/>
    </row>
    <row r="439">
      <c r="A439" s="8"/>
      <c r="B439" s="8"/>
      <c r="C439" s="8"/>
      <c r="D439" s="8"/>
      <c r="E439" s="8"/>
      <c r="F439" s="8"/>
      <c r="G439" s="8"/>
      <c r="H439" s="8"/>
      <c r="I439" s="8"/>
      <c r="J439" s="8"/>
      <c r="K439" s="8"/>
      <c r="L439" s="8"/>
      <c r="M439" s="8"/>
      <c r="N439" s="8"/>
      <c r="O439" s="8"/>
      <c r="P439" s="8"/>
      <c r="Q439" s="8"/>
      <c r="R439" s="8"/>
      <c r="S439" s="8"/>
      <c r="T439" s="8"/>
      <c r="U439" s="8"/>
      <c r="V439" s="8"/>
      <c r="W439" s="8"/>
      <c r="X439" s="8"/>
      <c r="Y439" s="8"/>
    </row>
    <row r="440">
      <c r="A440" s="8"/>
      <c r="B440" s="8"/>
      <c r="C440" s="8"/>
      <c r="D440" s="8"/>
      <c r="E440" s="8"/>
      <c r="F440" s="8"/>
      <c r="G440" s="8"/>
      <c r="H440" s="8"/>
      <c r="I440" s="8"/>
      <c r="J440" s="8"/>
      <c r="K440" s="8"/>
      <c r="L440" s="8"/>
      <c r="M440" s="8"/>
      <c r="N440" s="8"/>
      <c r="O440" s="8"/>
      <c r="P440" s="8"/>
      <c r="Q440" s="8"/>
      <c r="R440" s="8"/>
      <c r="S440" s="8"/>
      <c r="T440" s="8"/>
      <c r="U440" s="8"/>
      <c r="V440" s="8"/>
      <c r="W440" s="8"/>
      <c r="X440" s="8"/>
      <c r="Y440" s="8"/>
    </row>
    <row r="441">
      <c r="A441" s="8"/>
      <c r="B441" s="8"/>
      <c r="C441" s="8"/>
      <c r="D441" s="8"/>
      <c r="E441" s="8"/>
      <c r="F441" s="8"/>
      <c r="G441" s="8"/>
      <c r="H441" s="8"/>
      <c r="I441" s="8"/>
      <c r="J441" s="8"/>
      <c r="K441" s="8"/>
      <c r="L441" s="8"/>
      <c r="M441" s="8"/>
      <c r="N441" s="8"/>
      <c r="O441" s="8"/>
      <c r="P441" s="8"/>
      <c r="Q441" s="8"/>
      <c r="R441" s="8"/>
      <c r="S441" s="8"/>
      <c r="T441" s="8"/>
      <c r="U441" s="8"/>
      <c r="V441" s="8"/>
      <c r="W441" s="8"/>
      <c r="X441" s="8"/>
      <c r="Y441" s="8"/>
    </row>
    <row r="442">
      <c r="A442" s="8"/>
      <c r="B442" s="8"/>
      <c r="C442" s="8"/>
      <c r="D442" s="8"/>
      <c r="E442" s="8"/>
      <c r="F442" s="8"/>
      <c r="G442" s="8"/>
      <c r="H442" s="8"/>
      <c r="I442" s="8"/>
      <c r="J442" s="8"/>
      <c r="K442" s="8"/>
      <c r="L442" s="8"/>
      <c r="M442" s="8"/>
      <c r="N442" s="8"/>
      <c r="O442" s="8"/>
      <c r="P442" s="8"/>
      <c r="Q442" s="8"/>
      <c r="R442" s="8"/>
      <c r="S442" s="8"/>
      <c r="T442" s="8"/>
      <c r="U442" s="8"/>
      <c r="V442" s="8"/>
      <c r="W442" s="8"/>
      <c r="X442" s="8"/>
      <c r="Y442" s="8"/>
    </row>
    <row r="443">
      <c r="A443" s="8"/>
      <c r="B443" s="8"/>
      <c r="C443" s="8"/>
      <c r="D443" s="8"/>
      <c r="E443" s="8"/>
      <c r="F443" s="8"/>
      <c r="G443" s="8"/>
      <c r="H443" s="8"/>
      <c r="I443" s="8"/>
      <c r="J443" s="8"/>
      <c r="K443" s="8"/>
      <c r="L443" s="8"/>
      <c r="M443" s="8"/>
      <c r="N443" s="8"/>
      <c r="O443" s="8"/>
      <c r="P443" s="8"/>
      <c r="Q443" s="8"/>
      <c r="R443" s="8"/>
      <c r="S443" s="8"/>
      <c r="T443" s="8"/>
      <c r="U443" s="8"/>
      <c r="V443" s="8"/>
      <c r="W443" s="8"/>
      <c r="X443" s="8"/>
      <c r="Y443" s="8"/>
    </row>
    <row r="444">
      <c r="A444" s="8"/>
      <c r="B444" s="8"/>
      <c r="C444" s="8"/>
      <c r="D444" s="8"/>
      <c r="E444" s="8"/>
      <c r="F444" s="8"/>
      <c r="G444" s="8"/>
      <c r="H444" s="8"/>
      <c r="I444" s="8"/>
      <c r="J444" s="8"/>
      <c r="K444" s="8"/>
      <c r="L444" s="8"/>
      <c r="M444" s="8"/>
      <c r="N444" s="8"/>
      <c r="O444" s="8"/>
      <c r="P444" s="8"/>
      <c r="Q444" s="8"/>
      <c r="R444" s="8"/>
      <c r="S444" s="8"/>
      <c r="T444" s="8"/>
      <c r="U444" s="8"/>
      <c r="V444" s="8"/>
      <c r="W444" s="8"/>
      <c r="X444" s="8"/>
      <c r="Y444" s="8"/>
    </row>
    <row r="445">
      <c r="A445" s="8"/>
      <c r="B445" s="8"/>
      <c r="C445" s="8"/>
      <c r="D445" s="8"/>
      <c r="E445" s="8"/>
      <c r="F445" s="8"/>
      <c r="G445" s="8"/>
      <c r="H445" s="8"/>
      <c r="I445" s="8"/>
      <c r="J445" s="8"/>
      <c r="K445" s="8"/>
      <c r="L445" s="8"/>
      <c r="M445" s="8"/>
      <c r="N445" s="8"/>
      <c r="O445" s="8"/>
      <c r="P445" s="8"/>
      <c r="Q445" s="8"/>
      <c r="R445" s="8"/>
      <c r="S445" s="8"/>
      <c r="T445" s="8"/>
      <c r="U445" s="8"/>
      <c r="V445" s="8"/>
      <c r="W445" s="8"/>
      <c r="X445" s="8"/>
      <c r="Y445" s="8"/>
    </row>
    <row r="446">
      <c r="A446" s="8"/>
      <c r="B446" s="8"/>
      <c r="C446" s="8"/>
      <c r="D446" s="8"/>
      <c r="E446" s="8"/>
      <c r="F446" s="8"/>
      <c r="G446" s="8"/>
      <c r="H446" s="8"/>
      <c r="I446" s="8"/>
      <c r="J446" s="8"/>
      <c r="K446" s="8"/>
      <c r="L446" s="8"/>
      <c r="M446" s="8"/>
      <c r="N446" s="8"/>
      <c r="O446" s="8"/>
      <c r="P446" s="8"/>
      <c r="Q446" s="8"/>
      <c r="R446" s="8"/>
      <c r="S446" s="8"/>
      <c r="T446" s="8"/>
      <c r="U446" s="8"/>
      <c r="V446" s="8"/>
      <c r="W446" s="8"/>
      <c r="X446" s="8"/>
      <c r="Y446" s="8"/>
    </row>
    <row r="447">
      <c r="A447" s="8"/>
      <c r="B447" s="8"/>
      <c r="C447" s="8"/>
      <c r="D447" s="8"/>
      <c r="E447" s="8"/>
      <c r="F447" s="8"/>
      <c r="G447" s="8"/>
      <c r="H447" s="8"/>
      <c r="I447" s="8"/>
      <c r="J447" s="8"/>
      <c r="K447" s="8"/>
      <c r="L447" s="8"/>
      <c r="M447" s="8"/>
      <c r="N447" s="8"/>
      <c r="O447" s="8"/>
      <c r="P447" s="8"/>
      <c r="Q447" s="8"/>
      <c r="R447" s="8"/>
      <c r="S447" s="8"/>
      <c r="T447" s="8"/>
      <c r="U447" s="8"/>
      <c r="V447" s="8"/>
      <c r="W447" s="8"/>
      <c r="X447" s="8"/>
      <c r="Y447" s="8"/>
    </row>
    <row r="448">
      <c r="A448" s="8"/>
      <c r="B448" s="8"/>
      <c r="C448" s="8"/>
      <c r="D448" s="8"/>
      <c r="E448" s="8"/>
      <c r="F448" s="8"/>
      <c r="G448" s="8"/>
      <c r="H448" s="8"/>
      <c r="I448" s="8"/>
      <c r="J448" s="8"/>
      <c r="K448" s="8"/>
      <c r="L448" s="8"/>
      <c r="M448" s="8"/>
      <c r="N448" s="8"/>
      <c r="O448" s="8"/>
      <c r="P448" s="8"/>
      <c r="Q448" s="8"/>
      <c r="R448" s="8"/>
      <c r="S448" s="8"/>
      <c r="T448" s="8"/>
      <c r="U448" s="8"/>
      <c r="V448" s="8"/>
      <c r="W448" s="8"/>
      <c r="X448" s="8"/>
      <c r="Y448" s="8"/>
    </row>
    <row r="449">
      <c r="A449" s="8"/>
      <c r="B449" s="8"/>
      <c r="C449" s="8"/>
      <c r="D449" s="8"/>
      <c r="E449" s="8"/>
      <c r="F449" s="8"/>
      <c r="G449" s="8"/>
      <c r="H449" s="8"/>
      <c r="I449" s="8"/>
      <c r="J449" s="8"/>
      <c r="K449" s="8"/>
      <c r="L449" s="8"/>
      <c r="M449" s="8"/>
      <c r="N449" s="8"/>
      <c r="O449" s="8"/>
      <c r="P449" s="8"/>
      <c r="Q449" s="8"/>
      <c r="R449" s="8"/>
      <c r="S449" s="8"/>
      <c r="T449" s="8"/>
      <c r="U449" s="8"/>
      <c r="V449" s="8"/>
      <c r="W449" s="8"/>
      <c r="X449" s="8"/>
      <c r="Y449" s="8"/>
    </row>
    <row r="450">
      <c r="A450" s="8"/>
      <c r="B450" s="8"/>
      <c r="C450" s="8"/>
      <c r="D450" s="8"/>
      <c r="E450" s="8"/>
      <c r="F450" s="8"/>
      <c r="G450" s="8"/>
      <c r="H450" s="8"/>
      <c r="I450" s="8"/>
      <c r="J450" s="8"/>
      <c r="K450" s="8"/>
      <c r="L450" s="8"/>
      <c r="M450" s="8"/>
      <c r="N450" s="8"/>
      <c r="O450" s="8"/>
      <c r="P450" s="8"/>
      <c r="Q450" s="8"/>
      <c r="R450" s="8"/>
      <c r="S450" s="8"/>
      <c r="T450" s="8"/>
      <c r="U450" s="8"/>
      <c r="V450" s="8"/>
      <c r="W450" s="8"/>
      <c r="X450" s="8"/>
      <c r="Y450" s="8"/>
    </row>
    <row r="451">
      <c r="A451" s="8"/>
      <c r="B451" s="8"/>
      <c r="C451" s="8"/>
      <c r="D451" s="8"/>
      <c r="E451" s="8"/>
      <c r="F451" s="8"/>
      <c r="G451" s="8"/>
      <c r="H451" s="8"/>
      <c r="I451" s="8"/>
      <c r="J451" s="8"/>
      <c r="K451" s="8"/>
      <c r="L451" s="8"/>
      <c r="M451" s="8"/>
      <c r="N451" s="8"/>
      <c r="O451" s="8"/>
      <c r="P451" s="8"/>
      <c r="Q451" s="8"/>
      <c r="R451" s="8"/>
      <c r="S451" s="8"/>
      <c r="T451" s="8"/>
      <c r="U451" s="8"/>
      <c r="V451" s="8"/>
      <c r="W451" s="8"/>
      <c r="X451" s="8"/>
      <c r="Y451" s="8"/>
    </row>
    <row r="452">
      <c r="A452" s="8"/>
      <c r="B452" s="8"/>
      <c r="C452" s="8"/>
      <c r="D452" s="8"/>
      <c r="E452" s="8"/>
      <c r="F452" s="8"/>
      <c r="G452" s="8"/>
      <c r="H452" s="8"/>
      <c r="I452" s="8"/>
      <c r="J452" s="8"/>
      <c r="K452" s="8"/>
      <c r="L452" s="8"/>
      <c r="M452" s="8"/>
      <c r="N452" s="8"/>
      <c r="O452" s="8"/>
      <c r="P452" s="8"/>
      <c r="Q452" s="8"/>
      <c r="R452" s="8"/>
      <c r="S452" s="8"/>
      <c r="T452" s="8"/>
      <c r="U452" s="8"/>
      <c r="V452" s="8"/>
      <c r="W452" s="8"/>
      <c r="X452" s="8"/>
      <c r="Y452" s="8"/>
    </row>
    <row r="453">
      <c r="A453" s="8"/>
      <c r="B453" s="8"/>
      <c r="C453" s="8"/>
      <c r="D453" s="8"/>
      <c r="E453" s="8"/>
      <c r="F453" s="8"/>
      <c r="G453" s="8"/>
      <c r="H453" s="8"/>
      <c r="I453" s="8"/>
      <c r="J453" s="8"/>
      <c r="K453" s="8"/>
      <c r="L453" s="8"/>
      <c r="M453" s="8"/>
      <c r="N453" s="8"/>
      <c r="O453" s="8"/>
      <c r="P453" s="8"/>
      <c r="Q453" s="8"/>
      <c r="R453" s="8"/>
      <c r="S453" s="8"/>
      <c r="T453" s="8"/>
      <c r="U453" s="8"/>
      <c r="V453" s="8"/>
      <c r="W453" s="8"/>
      <c r="X453" s="8"/>
      <c r="Y453" s="8"/>
    </row>
    <row r="454">
      <c r="A454" s="8"/>
      <c r="B454" s="8"/>
      <c r="C454" s="8"/>
      <c r="D454" s="8"/>
      <c r="E454" s="8"/>
      <c r="F454" s="8"/>
      <c r="G454" s="8"/>
      <c r="H454" s="8"/>
      <c r="I454" s="8"/>
      <c r="J454" s="8"/>
      <c r="K454" s="8"/>
      <c r="L454" s="8"/>
      <c r="M454" s="8"/>
      <c r="N454" s="8"/>
      <c r="O454" s="8"/>
      <c r="P454" s="8"/>
      <c r="Q454" s="8"/>
      <c r="R454" s="8"/>
      <c r="S454" s="8"/>
      <c r="T454" s="8"/>
      <c r="U454" s="8"/>
      <c r="V454" s="8"/>
      <c r="W454" s="8"/>
      <c r="X454" s="8"/>
      <c r="Y454" s="8"/>
    </row>
    <row r="455">
      <c r="A455" s="8"/>
      <c r="B455" s="8"/>
      <c r="C455" s="8"/>
      <c r="D455" s="8"/>
      <c r="E455" s="8"/>
      <c r="F455" s="8"/>
      <c r="G455" s="8"/>
      <c r="H455" s="8"/>
      <c r="I455" s="8"/>
      <c r="J455" s="8"/>
      <c r="K455" s="8"/>
      <c r="L455" s="8"/>
      <c r="M455" s="8"/>
      <c r="N455" s="8"/>
      <c r="O455" s="8"/>
      <c r="P455" s="8"/>
      <c r="Q455" s="8"/>
      <c r="R455" s="8"/>
      <c r="S455" s="8"/>
      <c r="T455" s="8"/>
      <c r="U455" s="8"/>
      <c r="V455" s="8"/>
      <c r="W455" s="8"/>
      <c r="X455" s="8"/>
      <c r="Y455" s="8"/>
    </row>
    <row r="456">
      <c r="A456" s="8"/>
      <c r="B456" s="8"/>
      <c r="C456" s="8"/>
      <c r="D456" s="8"/>
      <c r="E456" s="8"/>
      <c r="F456" s="8"/>
      <c r="G456" s="8"/>
      <c r="H456" s="8"/>
      <c r="I456" s="8"/>
      <c r="J456" s="8"/>
      <c r="K456" s="8"/>
      <c r="L456" s="8"/>
      <c r="M456" s="8"/>
      <c r="N456" s="8"/>
      <c r="O456" s="8"/>
      <c r="P456" s="8"/>
      <c r="Q456" s="8"/>
      <c r="R456" s="8"/>
      <c r="S456" s="8"/>
      <c r="T456" s="8"/>
      <c r="U456" s="8"/>
      <c r="V456" s="8"/>
      <c r="W456" s="8"/>
      <c r="X456" s="8"/>
      <c r="Y456" s="8"/>
    </row>
    <row r="457">
      <c r="A457" s="8"/>
      <c r="B457" s="8"/>
      <c r="C457" s="8"/>
      <c r="D457" s="8"/>
      <c r="E457" s="8"/>
      <c r="F457" s="8"/>
      <c r="G457" s="8"/>
      <c r="H457" s="8"/>
      <c r="I457" s="8"/>
      <c r="J457" s="8"/>
      <c r="K457" s="8"/>
      <c r="L457" s="8"/>
      <c r="M457" s="8"/>
      <c r="N457" s="8"/>
      <c r="O457" s="8"/>
      <c r="P457" s="8"/>
      <c r="Q457" s="8"/>
      <c r="R457" s="8"/>
      <c r="S457" s="8"/>
      <c r="T457" s="8"/>
      <c r="U457" s="8"/>
      <c r="V457" s="8"/>
      <c r="W457" s="8"/>
      <c r="X457" s="8"/>
      <c r="Y457" s="8"/>
    </row>
    <row r="458">
      <c r="A458" s="8"/>
      <c r="B458" s="8"/>
      <c r="C458" s="8"/>
      <c r="D458" s="8"/>
      <c r="E458" s="8"/>
      <c r="F458" s="8"/>
      <c r="G458" s="8"/>
      <c r="H458" s="8"/>
      <c r="I458" s="8"/>
      <c r="J458" s="8"/>
      <c r="K458" s="8"/>
      <c r="L458" s="8"/>
      <c r="M458" s="8"/>
      <c r="N458" s="8"/>
      <c r="O458" s="8"/>
      <c r="P458" s="8"/>
      <c r="Q458" s="8"/>
      <c r="R458" s="8"/>
      <c r="S458" s="8"/>
      <c r="T458" s="8"/>
      <c r="U458" s="8"/>
      <c r="V458" s="8"/>
      <c r="W458" s="8"/>
      <c r="X458" s="8"/>
      <c r="Y458" s="8"/>
    </row>
    <row r="459">
      <c r="A459" s="8"/>
      <c r="B459" s="8"/>
      <c r="C459" s="8"/>
      <c r="D459" s="8"/>
      <c r="E459" s="8"/>
      <c r="F459" s="8"/>
      <c r="G459" s="8"/>
      <c r="H459" s="8"/>
      <c r="I459" s="8"/>
      <c r="J459" s="8"/>
      <c r="K459" s="8"/>
      <c r="L459" s="8"/>
      <c r="M459" s="8"/>
      <c r="N459" s="8"/>
      <c r="O459" s="8"/>
      <c r="P459" s="8"/>
      <c r="Q459" s="8"/>
      <c r="R459" s="8"/>
      <c r="S459" s="8"/>
      <c r="T459" s="8"/>
      <c r="U459" s="8"/>
      <c r="V459" s="8"/>
      <c r="W459" s="8"/>
      <c r="X459" s="8"/>
      <c r="Y459" s="8"/>
    </row>
    <row r="460">
      <c r="A460" s="8"/>
      <c r="B460" s="8"/>
      <c r="C460" s="8"/>
      <c r="D460" s="8"/>
      <c r="E460" s="8"/>
      <c r="F460" s="8"/>
      <c r="G460" s="8"/>
      <c r="H460" s="8"/>
      <c r="I460" s="8"/>
      <c r="J460" s="8"/>
      <c r="K460" s="8"/>
      <c r="L460" s="8"/>
      <c r="M460" s="8"/>
      <c r="N460" s="8"/>
      <c r="O460" s="8"/>
      <c r="P460" s="8"/>
      <c r="Q460" s="8"/>
      <c r="R460" s="8"/>
      <c r="S460" s="8"/>
      <c r="T460" s="8"/>
      <c r="U460" s="8"/>
      <c r="V460" s="8"/>
      <c r="W460" s="8"/>
      <c r="X460" s="8"/>
      <c r="Y460" s="8"/>
    </row>
    <row r="461">
      <c r="A461" s="8"/>
      <c r="B461" s="8"/>
      <c r="C461" s="8"/>
      <c r="D461" s="8"/>
      <c r="E461" s="8"/>
      <c r="F461" s="8"/>
      <c r="G461" s="8"/>
      <c r="H461" s="8"/>
      <c r="I461" s="8"/>
      <c r="J461" s="8"/>
      <c r="K461" s="8"/>
      <c r="L461" s="8"/>
      <c r="M461" s="8"/>
      <c r="N461" s="8"/>
      <c r="O461" s="8"/>
      <c r="P461" s="8"/>
      <c r="Q461" s="8"/>
      <c r="R461" s="8"/>
      <c r="S461" s="8"/>
      <c r="T461" s="8"/>
      <c r="U461" s="8"/>
      <c r="V461" s="8"/>
      <c r="W461" s="8"/>
      <c r="X461" s="8"/>
      <c r="Y461" s="8"/>
    </row>
    <row r="462">
      <c r="A462" s="8"/>
      <c r="B462" s="8"/>
      <c r="C462" s="8"/>
      <c r="D462" s="8"/>
      <c r="E462" s="8"/>
      <c r="F462" s="8"/>
      <c r="G462" s="8"/>
      <c r="H462" s="8"/>
      <c r="I462" s="8"/>
      <c r="J462" s="8"/>
      <c r="K462" s="8"/>
      <c r="L462" s="8"/>
      <c r="M462" s="8"/>
      <c r="N462" s="8"/>
      <c r="O462" s="8"/>
      <c r="P462" s="8"/>
      <c r="Q462" s="8"/>
      <c r="R462" s="8"/>
      <c r="S462" s="8"/>
      <c r="T462" s="8"/>
      <c r="U462" s="8"/>
      <c r="V462" s="8"/>
      <c r="W462" s="8"/>
      <c r="X462" s="8"/>
      <c r="Y462" s="8"/>
    </row>
    <row r="463">
      <c r="A463" s="8"/>
      <c r="B463" s="8"/>
      <c r="C463" s="8"/>
      <c r="D463" s="8"/>
      <c r="E463" s="8"/>
      <c r="F463" s="8"/>
      <c r="G463" s="8"/>
      <c r="H463" s="8"/>
      <c r="I463" s="8"/>
      <c r="J463" s="8"/>
      <c r="K463" s="8"/>
      <c r="L463" s="8"/>
      <c r="M463" s="8"/>
      <c r="N463" s="8"/>
      <c r="O463" s="8"/>
      <c r="P463" s="8"/>
      <c r="Q463" s="8"/>
      <c r="R463" s="8"/>
      <c r="S463" s="8"/>
      <c r="T463" s="8"/>
      <c r="U463" s="8"/>
      <c r="V463" s="8"/>
      <c r="W463" s="8"/>
      <c r="X463" s="8"/>
      <c r="Y463" s="8"/>
    </row>
    <row r="464">
      <c r="A464" s="8"/>
      <c r="B464" s="8"/>
      <c r="C464" s="8"/>
      <c r="D464" s="8"/>
      <c r="E464" s="8"/>
      <c r="F464" s="8"/>
      <c r="G464" s="8"/>
      <c r="H464" s="8"/>
      <c r="I464" s="8"/>
      <c r="J464" s="8"/>
      <c r="K464" s="8"/>
      <c r="L464" s="8"/>
      <c r="M464" s="8"/>
      <c r="N464" s="8"/>
      <c r="O464" s="8"/>
      <c r="P464" s="8"/>
      <c r="Q464" s="8"/>
      <c r="R464" s="8"/>
      <c r="S464" s="8"/>
      <c r="T464" s="8"/>
      <c r="U464" s="8"/>
      <c r="V464" s="8"/>
      <c r="W464" s="8"/>
      <c r="X464" s="8"/>
      <c r="Y464" s="8"/>
    </row>
    <row r="465">
      <c r="A465" s="8"/>
      <c r="B465" s="8"/>
      <c r="C465" s="8"/>
      <c r="D465" s="8"/>
      <c r="E465" s="8"/>
      <c r="F465" s="8"/>
      <c r="G465" s="8"/>
      <c r="H465" s="8"/>
      <c r="I465" s="8"/>
      <c r="J465" s="8"/>
      <c r="K465" s="8"/>
      <c r="L465" s="8"/>
      <c r="M465" s="8"/>
      <c r="N465" s="8"/>
      <c r="O465" s="8"/>
      <c r="P465" s="8"/>
      <c r="Q465" s="8"/>
      <c r="R465" s="8"/>
      <c r="S465" s="8"/>
      <c r="T465" s="8"/>
      <c r="U465" s="8"/>
      <c r="V465" s="8"/>
      <c r="W465" s="8"/>
      <c r="X465" s="8"/>
      <c r="Y465" s="8"/>
    </row>
    <row r="466">
      <c r="A466" s="8"/>
      <c r="B466" s="8"/>
      <c r="C466" s="8"/>
      <c r="D466" s="8"/>
      <c r="E466" s="8"/>
      <c r="F466" s="8"/>
      <c r="G466" s="8"/>
      <c r="H466" s="8"/>
      <c r="I466" s="8"/>
      <c r="J466" s="8"/>
      <c r="K466" s="8"/>
      <c r="L466" s="8"/>
      <c r="M466" s="8"/>
      <c r="N466" s="8"/>
      <c r="O466" s="8"/>
      <c r="P466" s="8"/>
      <c r="Q466" s="8"/>
      <c r="R466" s="8"/>
      <c r="S466" s="8"/>
      <c r="T466" s="8"/>
      <c r="U466" s="8"/>
      <c r="V466" s="8"/>
      <c r="W466" s="8"/>
      <c r="X466" s="8"/>
      <c r="Y466" s="8"/>
    </row>
    <row r="467">
      <c r="A467" s="8"/>
      <c r="B467" s="8"/>
      <c r="C467" s="8"/>
      <c r="D467" s="8"/>
      <c r="E467" s="8"/>
      <c r="F467" s="8"/>
      <c r="G467" s="8"/>
      <c r="H467" s="8"/>
      <c r="I467" s="8"/>
      <c r="J467" s="8"/>
      <c r="K467" s="8"/>
      <c r="L467" s="8"/>
      <c r="M467" s="8"/>
      <c r="N467" s="8"/>
      <c r="O467" s="8"/>
      <c r="P467" s="8"/>
      <c r="Q467" s="8"/>
      <c r="R467" s="8"/>
      <c r="S467" s="8"/>
      <c r="T467" s="8"/>
      <c r="U467" s="8"/>
      <c r="V467" s="8"/>
      <c r="W467" s="8"/>
      <c r="X467" s="8"/>
      <c r="Y467" s="8"/>
    </row>
    <row r="468">
      <c r="A468" s="8"/>
      <c r="B468" s="8"/>
      <c r="C468" s="8"/>
      <c r="D468" s="8"/>
      <c r="E468" s="8"/>
      <c r="F468" s="8"/>
      <c r="G468" s="8"/>
      <c r="H468" s="8"/>
      <c r="I468" s="8"/>
      <c r="J468" s="8"/>
      <c r="K468" s="8"/>
      <c r="L468" s="8"/>
      <c r="M468" s="8"/>
      <c r="N468" s="8"/>
      <c r="O468" s="8"/>
      <c r="P468" s="8"/>
      <c r="Q468" s="8"/>
      <c r="R468" s="8"/>
      <c r="S468" s="8"/>
      <c r="T468" s="8"/>
      <c r="U468" s="8"/>
      <c r="V468" s="8"/>
      <c r="W468" s="8"/>
      <c r="X468" s="8"/>
      <c r="Y468" s="8"/>
    </row>
    <row r="469">
      <c r="A469" s="8"/>
      <c r="B469" s="8"/>
      <c r="C469" s="8"/>
      <c r="D469" s="8"/>
      <c r="E469" s="8"/>
      <c r="F469" s="8"/>
      <c r="G469" s="8"/>
      <c r="H469" s="8"/>
      <c r="I469" s="8"/>
      <c r="J469" s="8"/>
      <c r="K469" s="8"/>
      <c r="L469" s="8"/>
      <c r="M469" s="8"/>
      <c r="N469" s="8"/>
      <c r="O469" s="8"/>
      <c r="P469" s="8"/>
      <c r="Q469" s="8"/>
      <c r="R469" s="8"/>
      <c r="S469" s="8"/>
      <c r="T469" s="8"/>
      <c r="U469" s="8"/>
      <c r="V469" s="8"/>
      <c r="W469" s="8"/>
      <c r="X469" s="8"/>
      <c r="Y469" s="8"/>
    </row>
    <row r="470">
      <c r="A470" s="8"/>
      <c r="B470" s="8"/>
      <c r="C470" s="8"/>
      <c r="D470" s="8"/>
      <c r="E470" s="8"/>
      <c r="F470" s="8"/>
      <c r="G470" s="8"/>
      <c r="H470" s="8"/>
      <c r="I470" s="8"/>
      <c r="J470" s="8"/>
      <c r="K470" s="8"/>
      <c r="L470" s="8"/>
      <c r="M470" s="8"/>
      <c r="N470" s="8"/>
      <c r="O470" s="8"/>
      <c r="P470" s="8"/>
      <c r="Q470" s="8"/>
      <c r="R470" s="8"/>
      <c r="S470" s="8"/>
      <c r="T470" s="8"/>
      <c r="U470" s="8"/>
      <c r="V470" s="8"/>
      <c r="W470" s="8"/>
      <c r="X470" s="8"/>
      <c r="Y470" s="8"/>
    </row>
    <row r="471">
      <c r="A471" s="8"/>
      <c r="B471" s="8"/>
      <c r="C471" s="8"/>
      <c r="D471" s="8"/>
      <c r="E471" s="8"/>
      <c r="F471" s="8"/>
      <c r="G471" s="8"/>
      <c r="H471" s="8"/>
      <c r="I471" s="8"/>
      <c r="J471" s="8"/>
      <c r="K471" s="8"/>
      <c r="L471" s="8"/>
      <c r="M471" s="8"/>
      <c r="N471" s="8"/>
      <c r="O471" s="8"/>
      <c r="P471" s="8"/>
      <c r="Q471" s="8"/>
      <c r="R471" s="8"/>
      <c r="S471" s="8"/>
      <c r="T471" s="8"/>
      <c r="U471" s="8"/>
      <c r="V471" s="8"/>
      <c r="W471" s="8"/>
      <c r="X471" s="8"/>
      <c r="Y471" s="8"/>
    </row>
    <row r="472">
      <c r="A472" s="8"/>
      <c r="B472" s="8"/>
      <c r="C472" s="8"/>
      <c r="D472" s="8"/>
      <c r="E472" s="8"/>
      <c r="F472" s="8"/>
      <c r="G472" s="8"/>
      <c r="H472" s="8"/>
      <c r="I472" s="8"/>
      <c r="J472" s="8"/>
      <c r="K472" s="8"/>
      <c r="L472" s="8"/>
      <c r="M472" s="8"/>
      <c r="N472" s="8"/>
      <c r="O472" s="8"/>
      <c r="P472" s="8"/>
      <c r="Q472" s="8"/>
      <c r="R472" s="8"/>
      <c r="S472" s="8"/>
      <c r="T472" s="8"/>
      <c r="U472" s="8"/>
      <c r="V472" s="8"/>
      <c r="W472" s="8"/>
      <c r="X472" s="8"/>
      <c r="Y472" s="8"/>
    </row>
    <row r="473">
      <c r="A473" s="8"/>
      <c r="B473" s="8"/>
      <c r="C473" s="8"/>
      <c r="D473" s="8"/>
      <c r="E473" s="8"/>
      <c r="F473" s="8"/>
      <c r="G473" s="8"/>
      <c r="H473" s="8"/>
      <c r="I473" s="8"/>
      <c r="J473" s="8"/>
      <c r="K473" s="8"/>
      <c r="L473" s="8"/>
      <c r="M473" s="8"/>
      <c r="N473" s="8"/>
      <c r="O473" s="8"/>
      <c r="P473" s="8"/>
      <c r="Q473" s="8"/>
      <c r="R473" s="8"/>
      <c r="S473" s="8"/>
      <c r="T473" s="8"/>
      <c r="U473" s="8"/>
      <c r="V473" s="8"/>
      <c r="W473" s="8"/>
      <c r="X473" s="8"/>
      <c r="Y473" s="8"/>
    </row>
    <row r="474">
      <c r="A474" s="8"/>
      <c r="B474" s="8"/>
      <c r="C474" s="8"/>
      <c r="D474" s="8"/>
      <c r="E474" s="8"/>
      <c r="F474" s="8"/>
      <c r="G474" s="8"/>
      <c r="H474" s="8"/>
      <c r="I474" s="8"/>
      <c r="J474" s="8"/>
      <c r="K474" s="8"/>
      <c r="L474" s="8"/>
      <c r="M474" s="8"/>
      <c r="N474" s="8"/>
      <c r="O474" s="8"/>
      <c r="P474" s="8"/>
      <c r="Q474" s="8"/>
      <c r="R474" s="8"/>
      <c r="S474" s="8"/>
      <c r="T474" s="8"/>
      <c r="U474" s="8"/>
      <c r="V474" s="8"/>
      <c r="W474" s="8"/>
      <c r="X474" s="8"/>
      <c r="Y474" s="8"/>
    </row>
    <row r="475">
      <c r="A475" s="8"/>
      <c r="B475" s="8"/>
      <c r="C475" s="8"/>
      <c r="D475" s="8"/>
      <c r="E475" s="8"/>
      <c r="F475" s="8"/>
      <c r="G475" s="8"/>
      <c r="H475" s="8"/>
      <c r="I475" s="8"/>
      <c r="J475" s="8"/>
      <c r="K475" s="8"/>
      <c r="L475" s="8"/>
      <c r="M475" s="8"/>
      <c r="N475" s="8"/>
      <c r="O475" s="8"/>
      <c r="P475" s="8"/>
      <c r="Q475" s="8"/>
      <c r="R475" s="8"/>
      <c r="S475" s="8"/>
      <c r="T475" s="8"/>
      <c r="U475" s="8"/>
      <c r="V475" s="8"/>
      <c r="W475" s="8"/>
      <c r="X475" s="8"/>
      <c r="Y475" s="8"/>
    </row>
    <row r="476">
      <c r="A476" s="8"/>
      <c r="B476" s="8"/>
      <c r="C476" s="8"/>
      <c r="D476" s="8"/>
      <c r="E476" s="8"/>
      <c r="F476" s="8"/>
      <c r="G476" s="8"/>
      <c r="H476" s="8"/>
      <c r="I476" s="8"/>
      <c r="J476" s="8"/>
      <c r="K476" s="8"/>
      <c r="L476" s="8"/>
      <c r="M476" s="8"/>
      <c r="N476" s="8"/>
      <c r="O476" s="8"/>
      <c r="P476" s="8"/>
      <c r="Q476" s="8"/>
      <c r="R476" s="8"/>
      <c r="S476" s="8"/>
      <c r="T476" s="8"/>
      <c r="U476" s="8"/>
      <c r="V476" s="8"/>
      <c r="W476" s="8"/>
      <c r="X476" s="8"/>
      <c r="Y476" s="8"/>
    </row>
    <row r="477">
      <c r="A477" s="8"/>
      <c r="B477" s="8"/>
      <c r="C477" s="8"/>
      <c r="D477" s="8"/>
      <c r="E477" s="8"/>
      <c r="F477" s="8"/>
      <c r="G477" s="8"/>
      <c r="H477" s="8"/>
      <c r="I477" s="8"/>
      <c r="J477" s="8"/>
      <c r="K477" s="8"/>
      <c r="L477" s="8"/>
      <c r="M477" s="8"/>
      <c r="N477" s="8"/>
      <c r="O477" s="8"/>
      <c r="P477" s="8"/>
      <c r="Q477" s="8"/>
      <c r="R477" s="8"/>
      <c r="S477" s="8"/>
      <c r="T477" s="8"/>
      <c r="U477" s="8"/>
      <c r="V477" s="8"/>
      <c r="W477" s="8"/>
      <c r="X477" s="8"/>
      <c r="Y477" s="8"/>
    </row>
    <row r="478">
      <c r="A478" s="8"/>
      <c r="B478" s="8"/>
      <c r="C478" s="8"/>
      <c r="D478" s="8"/>
      <c r="E478" s="8"/>
      <c r="F478" s="8"/>
      <c r="G478" s="8"/>
      <c r="H478" s="8"/>
      <c r="I478" s="8"/>
      <c r="J478" s="8"/>
      <c r="K478" s="8"/>
      <c r="L478" s="8"/>
      <c r="M478" s="8"/>
      <c r="N478" s="8"/>
      <c r="O478" s="8"/>
      <c r="P478" s="8"/>
      <c r="Q478" s="8"/>
      <c r="R478" s="8"/>
      <c r="S478" s="8"/>
      <c r="T478" s="8"/>
      <c r="U478" s="8"/>
      <c r="V478" s="8"/>
      <c r="W478" s="8"/>
      <c r="X478" s="8"/>
      <c r="Y478" s="8"/>
    </row>
    <row r="479">
      <c r="A479" s="8"/>
      <c r="B479" s="8"/>
      <c r="C479" s="8"/>
      <c r="D479" s="8"/>
      <c r="E479" s="8"/>
      <c r="F479" s="8"/>
      <c r="G479" s="8"/>
      <c r="H479" s="8"/>
      <c r="I479" s="8"/>
      <c r="J479" s="8"/>
      <c r="K479" s="8"/>
      <c r="L479" s="8"/>
      <c r="M479" s="8"/>
      <c r="N479" s="8"/>
      <c r="O479" s="8"/>
      <c r="P479" s="8"/>
      <c r="Q479" s="8"/>
      <c r="R479" s="8"/>
      <c r="S479" s="8"/>
      <c r="T479" s="8"/>
      <c r="U479" s="8"/>
      <c r="V479" s="8"/>
      <c r="W479" s="8"/>
      <c r="X479" s="8"/>
      <c r="Y479" s="8"/>
    </row>
    <row r="480">
      <c r="A480" s="8"/>
      <c r="B480" s="8"/>
      <c r="C480" s="8"/>
      <c r="D480" s="8"/>
      <c r="E480" s="8"/>
      <c r="F480" s="8"/>
      <c r="G480" s="8"/>
      <c r="H480" s="8"/>
      <c r="I480" s="8"/>
      <c r="J480" s="8"/>
      <c r="K480" s="8"/>
      <c r="L480" s="8"/>
      <c r="M480" s="8"/>
      <c r="N480" s="8"/>
      <c r="O480" s="8"/>
      <c r="P480" s="8"/>
      <c r="Q480" s="8"/>
      <c r="R480" s="8"/>
      <c r="S480" s="8"/>
      <c r="T480" s="8"/>
      <c r="U480" s="8"/>
      <c r="V480" s="8"/>
      <c r="W480" s="8"/>
      <c r="X480" s="8"/>
      <c r="Y480" s="8"/>
    </row>
    <row r="481">
      <c r="A481" s="8"/>
      <c r="B481" s="8"/>
      <c r="C481" s="8"/>
      <c r="D481" s="8"/>
      <c r="E481" s="8"/>
      <c r="F481" s="8"/>
      <c r="G481" s="8"/>
      <c r="H481" s="8"/>
      <c r="I481" s="8"/>
      <c r="J481" s="8"/>
      <c r="K481" s="8"/>
      <c r="L481" s="8"/>
      <c r="M481" s="8"/>
      <c r="N481" s="8"/>
      <c r="O481" s="8"/>
      <c r="P481" s="8"/>
      <c r="Q481" s="8"/>
      <c r="R481" s="8"/>
      <c r="S481" s="8"/>
      <c r="T481" s="8"/>
      <c r="U481" s="8"/>
      <c r="V481" s="8"/>
      <c r="W481" s="8"/>
      <c r="X481" s="8"/>
      <c r="Y481" s="8"/>
    </row>
    <row r="482">
      <c r="A482" s="8"/>
      <c r="B482" s="8"/>
      <c r="C482" s="8"/>
      <c r="D482" s="8"/>
      <c r="E482" s="8"/>
      <c r="F482" s="8"/>
      <c r="G482" s="8"/>
      <c r="H482" s="8"/>
      <c r="I482" s="8"/>
      <c r="J482" s="8"/>
      <c r="K482" s="8"/>
      <c r="L482" s="8"/>
      <c r="M482" s="8"/>
      <c r="N482" s="8"/>
      <c r="O482" s="8"/>
      <c r="P482" s="8"/>
      <c r="Q482" s="8"/>
      <c r="R482" s="8"/>
      <c r="S482" s="8"/>
      <c r="T482" s="8"/>
      <c r="U482" s="8"/>
      <c r="V482" s="8"/>
      <c r="W482" s="8"/>
      <c r="X482" s="8"/>
      <c r="Y482" s="8"/>
    </row>
    <row r="483">
      <c r="A483" s="8"/>
      <c r="B483" s="8"/>
      <c r="C483" s="8"/>
      <c r="D483" s="8"/>
      <c r="E483" s="8"/>
      <c r="F483" s="8"/>
      <c r="G483" s="8"/>
      <c r="H483" s="8"/>
      <c r="I483" s="8"/>
      <c r="J483" s="8"/>
      <c r="K483" s="8"/>
      <c r="L483" s="8"/>
      <c r="M483" s="8"/>
      <c r="N483" s="8"/>
      <c r="O483" s="8"/>
      <c r="P483" s="8"/>
      <c r="Q483" s="8"/>
      <c r="R483" s="8"/>
      <c r="S483" s="8"/>
      <c r="T483" s="8"/>
      <c r="U483" s="8"/>
      <c r="V483" s="8"/>
      <c r="W483" s="8"/>
      <c r="X483" s="8"/>
      <c r="Y483" s="8"/>
    </row>
    <row r="484">
      <c r="A484" s="8"/>
      <c r="B484" s="8"/>
      <c r="C484" s="8"/>
      <c r="D484" s="8"/>
      <c r="E484" s="8"/>
      <c r="F484" s="8"/>
      <c r="G484" s="8"/>
      <c r="H484" s="8"/>
      <c r="I484" s="8"/>
      <c r="J484" s="8"/>
      <c r="K484" s="8"/>
      <c r="L484" s="8"/>
      <c r="M484" s="8"/>
      <c r="N484" s="8"/>
      <c r="O484" s="8"/>
      <c r="P484" s="8"/>
      <c r="Q484" s="8"/>
      <c r="R484" s="8"/>
      <c r="S484" s="8"/>
      <c r="T484" s="8"/>
      <c r="U484" s="8"/>
      <c r="V484" s="8"/>
      <c r="W484" s="8"/>
      <c r="X484" s="8"/>
      <c r="Y484" s="8"/>
    </row>
    <row r="485">
      <c r="A485" s="8"/>
      <c r="B485" s="8"/>
      <c r="C485" s="8"/>
      <c r="D485" s="8"/>
      <c r="E485" s="8"/>
      <c r="F485" s="8"/>
      <c r="G485" s="8"/>
      <c r="H485" s="8"/>
      <c r="I485" s="8"/>
      <c r="J485" s="8"/>
      <c r="K485" s="8"/>
      <c r="L485" s="8"/>
      <c r="M485" s="8"/>
      <c r="N485" s="8"/>
      <c r="O485" s="8"/>
      <c r="P485" s="8"/>
      <c r="Q485" s="8"/>
      <c r="R485" s="8"/>
      <c r="S485" s="8"/>
      <c r="T485" s="8"/>
      <c r="U485" s="8"/>
      <c r="V485" s="8"/>
      <c r="W485" s="8"/>
      <c r="X485" s="8"/>
      <c r="Y485" s="8"/>
    </row>
    <row r="486">
      <c r="A486" s="8"/>
      <c r="B486" s="8"/>
      <c r="C486" s="8"/>
      <c r="D486" s="8"/>
      <c r="E486" s="8"/>
      <c r="F486" s="8"/>
      <c r="G486" s="8"/>
      <c r="H486" s="8"/>
      <c r="I486" s="8"/>
      <c r="J486" s="8"/>
      <c r="K486" s="8"/>
      <c r="L486" s="8"/>
      <c r="M486" s="8"/>
      <c r="N486" s="8"/>
      <c r="O486" s="8"/>
      <c r="P486" s="8"/>
      <c r="Q486" s="8"/>
      <c r="R486" s="8"/>
      <c r="S486" s="8"/>
      <c r="T486" s="8"/>
      <c r="U486" s="8"/>
      <c r="V486" s="8"/>
      <c r="W486" s="8"/>
      <c r="X486" s="8"/>
      <c r="Y486" s="8"/>
    </row>
    <row r="487">
      <c r="A487" s="8"/>
      <c r="B487" s="8"/>
      <c r="C487" s="8"/>
      <c r="D487" s="8"/>
      <c r="E487" s="8"/>
      <c r="F487" s="8"/>
      <c r="G487" s="8"/>
      <c r="H487" s="8"/>
      <c r="I487" s="8"/>
      <c r="J487" s="8"/>
      <c r="K487" s="8"/>
      <c r="L487" s="8"/>
      <c r="M487" s="8"/>
      <c r="N487" s="8"/>
      <c r="O487" s="8"/>
      <c r="P487" s="8"/>
      <c r="Q487" s="8"/>
      <c r="R487" s="8"/>
      <c r="S487" s="8"/>
      <c r="T487" s="8"/>
      <c r="U487" s="8"/>
      <c r="V487" s="8"/>
      <c r="W487" s="8"/>
      <c r="X487" s="8"/>
      <c r="Y487" s="8"/>
    </row>
    <row r="488">
      <c r="A488" s="8"/>
      <c r="B488" s="8"/>
      <c r="C488" s="8"/>
      <c r="D488" s="8"/>
      <c r="E488" s="8"/>
      <c r="F488" s="8"/>
      <c r="G488" s="8"/>
      <c r="H488" s="8"/>
      <c r="I488" s="8"/>
      <c r="J488" s="8"/>
      <c r="K488" s="8"/>
      <c r="L488" s="8"/>
      <c r="M488" s="8"/>
      <c r="N488" s="8"/>
      <c r="O488" s="8"/>
      <c r="P488" s="8"/>
      <c r="Q488" s="8"/>
      <c r="R488" s="8"/>
      <c r="S488" s="8"/>
      <c r="T488" s="8"/>
      <c r="U488" s="8"/>
      <c r="V488" s="8"/>
      <c r="W488" s="8"/>
      <c r="X488" s="8"/>
      <c r="Y488" s="8"/>
    </row>
    <row r="489">
      <c r="A489" s="8"/>
      <c r="B489" s="8"/>
      <c r="C489" s="8"/>
      <c r="D489" s="8"/>
      <c r="E489" s="8"/>
      <c r="F489" s="8"/>
      <c r="G489" s="8"/>
      <c r="H489" s="8"/>
      <c r="I489" s="8"/>
      <c r="J489" s="8"/>
      <c r="K489" s="8"/>
      <c r="L489" s="8"/>
      <c r="M489" s="8"/>
      <c r="N489" s="8"/>
      <c r="O489" s="8"/>
      <c r="P489" s="8"/>
      <c r="Q489" s="8"/>
      <c r="R489" s="8"/>
      <c r="S489" s="8"/>
      <c r="T489" s="8"/>
      <c r="U489" s="8"/>
      <c r="V489" s="8"/>
      <c r="W489" s="8"/>
      <c r="X489" s="8"/>
      <c r="Y489" s="8"/>
    </row>
    <row r="490">
      <c r="A490" s="8"/>
      <c r="B490" s="8"/>
      <c r="C490" s="8"/>
      <c r="D490" s="8"/>
      <c r="E490" s="8"/>
      <c r="F490" s="8"/>
      <c r="G490" s="8"/>
      <c r="H490" s="8"/>
      <c r="I490" s="8"/>
      <c r="J490" s="8"/>
      <c r="K490" s="8"/>
      <c r="L490" s="8"/>
      <c r="M490" s="8"/>
      <c r="N490" s="8"/>
      <c r="O490" s="8"/>
      <c r="P490" s="8"/>
      <c r="Q490" s="8"/>
      <c r="R490" s="8"/>
      <c r="S490" s="8"/>
      <c r="T490" s="8"/>
      <c r="U490" s="8"/>
      <c r="V490" s="8"/>
      <c r="W490" s="8"/>
      <c r="X490" s="8"/>
      <c r="Y490" s="8"/>
    </row>
    <row r="491">
      <c r="A491" s="8"/>
      <c r="B491" s="8"/>
      <c r="C491" s="8"/>
      <c r="D491" s="8"/>
      <c r="E491" s="8"/>
      <c r="F491" s="8"/>
      <c r="G491" s="8"/>
      <c r="H491" s="8"/>
      <c r="I491" s="8"/>
      <c r="J491" s="8"/>
      <c r="K491" s="8"/>
      <c r="L491" s="8"/>
      <c r="M491" s="8"/>
      <c r="N491" s="8"/>
      <c r="O491" s="8"/>
      <c r="P491" s="8"/>
      <c r="Q491" s="8"/>
      <c r="R491" s="8"/>
      <c r="S491" s="8"/>
      <c r="T491" s="8"/>
      <c r="U491" s="8"/>
      <c r="V491" s="8"/>
      <c r="W491" s="8"/>
      <c r="X491" s="8"/>
      <c r="Y491" s="8"/>
    </row>
    <row r="492">
      <c r="A492" s="8"/>
      <c r="B492" s="8"/>
      <c r="C492" s="8"/>
      <c r="D492" s="8"/>
      <c r="E492" s="8"/>
      <c r="F492" s="8"/>
      <c r="G492" s="8"/>
      <c r="H492" s="8"/>
      <c r="I492" s="8"/>
      <c r="J492" s="8"/>
      <c r="K492" s="8"/>
      <c r="L492" s="8"/>
      <c r="M492" s="8"/>
      <c r="N492" s="8"/>
      <c r="O492" s="8"/>
      <c r="P492" s="8"/>
      <c r="Q492" s="8"/>
      <c r="R492" s="8"/>
      <c r="S492" s="8"/>
      <c r="T492" s="8"/>
      <c r="U492" s="8"/>
      <c r="V492" s="8"/>
      <c r="W492" s="8"/>
      <c r="X492" s="8"/>
      <c r="Y492" s="8"/>
    </row>
    <row r="493">
      <c r="A493" s="8"/>
      <c r="B493" s="8"/>
      <c r="C493" s="8"/>
      <c r="D493" s="8"/>
      <c r="E493" s="8"/>
      <c r="F493" s="8"/>
      <c r="G493" s="8"/>
      <c r="H493" s="8"/>
      <c r="I493" s="8"/>
      <c r="J493" s="8"/>
      <c r="K493" s="8"/>
      <c r="L493" s="8"/>
      <c r="M493" s="8"/>
      <c r="N493" s="8"/>
      <c r="O493" s="8"/>
      <c r="P493" s="8"/>
      <c r="Q493" s="8"/>
      <c r="R493" s="8"/>
      <c r="S493" s="8"/>
      <c r="T493" s="8"/>
      <c r="U493" s="8"/>
      <c r="V493" s="8"/>
      <c r="W493" s="8"/>
      <c r="X493" s="8"/>
      <c r="Y493" s="8"/>
    </row>
    <row r="494">
      <c r="A494" s="8"/>
      <c r="B494" s="8"/>
      <c r="C494" s="8"/>
      <c r="D494" s="8"/>
      <c r="E494" s="8"/>
      <c r="F494" s="8"/>
      <c r="G494" s="8"/>
      <c r="H494" s="8"/>
      <c r="I494" s="8"/>
      <c r="J494" s="8"/>
      <c r="K494" s="8"/>
      <c r="L494" s="8"/>
      <c r="M494" s="8"/>
      <c r="N494" s="8"/>
      <c r="O494" s="8"/>
      <c r="P494" s="8"/>
      <c r="Q494" s="8"/>
      <c r="R494" s="8"/>
      <c r="S494" s="8"/>
      <c r="T494" s="8"/>
      <c r="U494" s="8"/>
      <c r="V494" s="8"/>
      <c r="W494" s="8"/>
      <c r="X494" s="8"/>
      <c r="Y494" s="8"/>
    </row>
    <row r="495">
      <c r="A495" s="8"/>
      <c r="B495" s="8"/>
      <c r="C495" s="8"/>
      <c r="D495" s="8"/>
      <c r="E495" s="8"/>
      <c r="F495" s="8"/>
      <c r="G495" s="8"/>
      <c r="H495" s="8"/>
      <c r="I495" s="8"/>
      <c r="J495" s="8"/>
      <c r="K495" s="8"/>
      <c r="L495" s="8"/>
      <c r="M495" s="8"/>
      <c r="N495" s="8"/>
      <c r="O495" s="8"/>
      <c r="P495" s="8"/>
      <c r="Q495" s="8"/>
      <c r="R495" s="8"/>
      <c r="S495" s="8"/>
      <c r="T495" s="8"/>
      <c r="U495" s="8"/>
      <c r="V495" s="8"/>
      <c r="W495" s="8"/>
      <c r="X495" s="8"/>
      <c r="Y495" s="8"/>
    </row>
    <row r="496">
      <c r="A496" s="8"/>
      <c r="B496" s="8"/>
      <c r="C496" s="8"/>
      <c r="D496" s="8"/>
      <c r="E496" s="8"/>
      <c r="F496" s="8"/>
      <c r="G496" s="8"/>
      <c r="H496" s="8"/>
      <c r="I496" s="8"/>
      <c r="J496" s="8"/>
      <c r="K496" s="8"/>
      <c r="L496" s="8"/>
      <c r="M496" s="8"/>
      <c r="N496" s="8"/>
      <c r="O496" s="8"/>
      <c r="P496" s="8"/>
      <c r="Q496" s="8"/>
      <c r="R496" s="8"/>
      <c r="S496" s="8"/>
      <c r="T496" s="8"/>
      <c r="U496" s="8"/>
      <c r="V496" s="8"/>
      <c r="W496" s="8"/>
      <c r="X496" s="8"/>
      <c r="Y496" s="8"/>
    </row>
    <row r="497">
      <c r="A497" s="8"/>
      <c r="B497" s="8"/>
      <c r="C497" s="8"/>
      <c r="D497" s="8"/>
      <c r="E497" s="8"/>
      <c r="F497" s="8"/>
      <c r="G497" s="8"/>
      <c r="H497" s="8"/>
      <c r="I497" s="8"/>
      <c r="J497" s="8"/>
      <c r="K497" s="8"/>
      <c r="L497" s="8"/>
      <c r="M497" s="8"/>
      <c r="N497" s="8"/>
      <c r="O497" s="8"/>
      <c r="P497" s="8"/>
      <c r="Q497" s="8"/>
      <c r="R497" s="8"/>
      <c r="S497" s="8"/>
      <c r="T497" s="8"/>
      <c r="U497" s="8"/>
      <c r="V497" s="8"/>
      <c r="W497" s="8"/>
      <c r="X497" s="8"/>
      <c r="Y497" s="8"/>
    </row>
    <row r="498">
      <c r="A498" s="8"/>
      <c r="B498" s="8"/>
      <c r="C498" s="8"/>
      <c r="D498" s="8"/>
      <c r="E498" s="8"/>
      <c r="F498" s="8"/>
      <c r="G498" s="8"/>
      <c r="H498" s="8"/>
      <c r="I498" s="8"/>
      <c r="J498" s="8"/>
      <c r="K498" s="8"/>
      <c r="L498" s="8"/>
      <c r="M498" s="8"/>
      <c r="N498" s="8"/>
      <c r="O498" s="8"/>
      <c r="P498" s="8"/>
      <c r="Q498" s="8"/>
      <c r="R498" s="8"/>
      <c r="S498" s="8"/>
      <c r="T498" s="8"/>
      <c r="U498" s="8"/>
      <c r="V498" s="8"/>
      <c r="W498" s="8"/>
      <c r="X498" s="8"/>
      <c r="Y498" s="8"/>
    </row>
    <row r="499">
      <c r="A499" s="8"/>
      <c r="B499" s="8"/>
      <c r="C499" s="8"/>
      <c r="D499" s="8"/>
      <c r="E499" s="8"/>
      <c r="F499" s="8"/>
      <c r="G499" s="8"/>
      <c r="H499" s="8"/>
      <c r="I499" s="8"/>
      <c r="J499" s="8"/>
      <c r="K499" s="8"/>
      <c r="L499" s="8"/>
      <c r="M499" s="8"/>
      <c r="N499" s="8"/>
      <c r="O499" s="8"/>
      <c r="P499" s="8"/>
      <c r="Q499" s="8"/>
      <c r="R499" s="8"/>
      <c r="S499" s="8"/>
      <c r="T499" s="8"/>
      <c r="U499" s="8"/>
      <c r="V499" s="8"/>
      <c r="W499" s="8"/>
      <c r="X499" s="8"/>
      <c r="Y499" s="8"/>
    </row>
    <row r="500">
      <c r="A500" s="8"/>
      <c r="B500" s="8"/>
      <c r="C500" s="8"/>
      <c r="D500" s="8"/>
      <c r="E500" s="8"/>
      <c r="F500" s="8"/>
      <c r="G500" s="8"/>
      <c r="H500" s="8"/>
      <c r="I500" s="8"/>
      <c r="J500" s="8"/>
      <c r="K500" s="8"/>
      <c r="L500" s="8"/>
      <c r="M500" s="8"/>
      <c r="N500" s="8"/>
      <c r="O500" s="8"/>
      <c r="P500" s="8"/>
      <c r="Q500" s="8"/>
      <c r="R500" s="8"/>
      <c r="S500" s="8"/>
      <c r="T500" s="8"/>
      <c r="U500" s="8"/>
      <c r="V500" s="8"/>
      <c r="W500" s="8"/>
      <c r="X500" s="8"/>
      <c r="Y500" s="8"/>
    </row>
    <row r="501">
      <c r="A501" s="8"/>
      <c r="B501" s="8"/>
      <c r="C501" s="8"/>
      <c r="D501" s="8"/>
      <c r="E501" s="8"/>
      <c r="F501" s="8"/>
      <c r="G501" s="8"/>
      <c r="H501" s="8"/>
      <c r="I501" s="8"/>
      <c r="J501" s="8"/>
      <c r="K501" s="8"/>
      <c r="L501" s="8"/>
      <c r="M501" s="8"/>
      <c r="N501" s="8"/>
      <c r="O501" s="8"/>
      <c r="P501" s="8"/>
      <c r="Q501" s="8"/>
      <c r="R501" s="8"/>
      <c r="S501" s="8"/>
      <c r="T501" s="8"/>
      <c r="U501" s="8"/>
      <c r="V501" s="8"/>
      <c r="W501" s="8"/>
      <c r="X501" s="8"/>
      <c r="Y501" s="8"/>
    </row>
    <row r="502">
      <c r="A502" s="8"/>
      <c r="B502" s="8"/>
      <c r="C502" s="8"/>
      <c r="D502" s="8"/>
      <c r="E502" s="8"/>
      <c r="F502" s="8"/>
      <c r="G502" s="8"/>
      <c r="H502" s="8"/>
      <c r="I502" s="8"/>
      <c r="J502" s="8"/>
      <c r="K502" s="8"/>
      <c r="L502" s="8"/>
      <c r="M502" s="8"/>
      <c r="N502" s="8"/>
      <c r="O502" s="8"/>
      <c r="P502" s="8"/>
      <c r="Q502" s="8"/>
      <c r="R502" s="8"/>
      <c r="S502" s="8"/>
      <c r="T502" s="8"/>
      <c r="U502" s="8"/>
      <c r="V502" s="8"/>
      <c r="W502" s="8"/>
      <c r="X502" s="8"/>
      <c r="Y502" s="8"/>
    </row>
    <row r="503">
      <c r="A503" s="8"/>
      <c r="B503" s="8"/>
      <c r="C503" s="8"/>
      <c r="D503" s="8"/>
      <c r="E503" s="8"/>
      <c r="F503" s="8"/>
      <c r="G503" s="8"/>
      <c r="H503" s="8"/>
      <c r="I503" s="8"/>
      <c r="J503" s="8"/>
      <c r="K503" s="8"/>
      <c r="L503" s="8"/>
      <c r="M503" s="8"/>
      <c r="N503" s="8"/>
      <c r="O503" s="8"/>
      <c r="P503" s="8"/>
      <c r="Q503" s="8"/>
      <c r="R503" s="8"/>
      <c r="S503" s="8"/>
      <c r="T503" s="8"/>
      <c r="U503" s="8"/>
      <c r="V503" s="8"/>
      <c r="W503" s="8"/>
      <c r="X503" s="8"/>
      <c r="Y503" s="8"/>
    </row>
    <row r="504">
      <c r="A504" s="8"/>
      <c r="B504" s="8"/>
      <c r="C504" s="8"/>
      <c r="D504" s="8"/>
      <c r="E504" s="8"/>
      <c r="F504" s="8"/>
      <c r="G504" s="8"/>
      <c r="H504" s="8"/>
      <c r="I504" s="8"/>
      <c r="J504" s="8"/>
      <c r="K504" s="8"/>
      <c r="L504" s="8"/>
      <c r="M504" s="8"/>
      <c r="N504" s="8"/>
      <c r="O504" s="8"/>
      <c r="P504" s="8"/>
      <c r="Q504" s="8"/>
      <c r="R504" s="8"/>
      <c r="S504" s="8"/>
      <c r="T504" s="8"/>
      <c r="U504" s="8"/>
      <c r="V504" s="8"/>
      <c r="W504" s="8"/>
      <c r="X504" s="8"/>
      <c r="Y504" s="8"/>
    </row>
    <row r="505">
      <c r="A505" s="8"/>
      <c r="B505" s="8"/>
      <c r="C505" s="8"/>
      <c r="D505" s="8"/>
      <c r="E505" s="8"/>
      <c r="F505" s="8"/>
      <c r="G505" s="8"/>
      <c r="H505" s="8"/>
      <c r="I505" s="8"/>
      <c r="J505" s="8"/>
      <c r="K505" s="8"/>
      <c r="L505" s="8"/>
      <c r="M505" s="8"/>
      <c r="N505" s="8"/>
      <c r="O505" s="8"/>
      <c r="P505" s="8"/>
      <c r="Q505" s="8"/>
      <c r="R505" s="8"/>
      <c r="S505" s="8"/>
      <c r="T505" s="8"/>
      <c r="U505" s="8"/>
      <c r="V505" s="8"/>
      <c r="W505" s="8"/>
      <c r="X505" s="8"/>
      <c r="Y505" s="8"/>
    </row>
    <row r="506">
      <c r="A506" s="8"/>
      <c r="B506" s="8"/>
      <c r="C506" s="8"/>
      <c r="D506" s="8"/>
      <c r="E506" s="8"/>
      <c r="F506" s="8"/>
      <c r="G506" s="8"/>
      <c r="H506" s="8"/>
      <c r="I506" s="8"/>
      <c r="J506" s="8"/>
      <c r="K506" s="8"/>
      <c r="L506" s="8"/>
      <c r="M506" s="8"/>
      <c r="N506" s="8"/>
      <c r="O506" s="8"/>
      <c r="P506" s="8"/>
      <c r="Q506" s="8"/>
      <c r="R506" s="8"/>
      <c r="S506" s="8"/>
      <c r="T506" s="8"/>
      <c r="U506" s="8"/>
      <c r="V506" s="8"/>
      <c r="W506" s="8"/>
      <c r="X506" s="8"/>
      <c r="Y506" s="8"/>
    </row>
    <row r="507">
      <c r="A507" s="8"/>
      <c r="B507" s="8"/>
      <c r="C507" s="8"/>
      <c r="D507" s="8"/>
      <c r="E507" s="8"/>
      <c r="F507" s="8"/>
      <c r="G507" s="8"/>
      <c r="H507" s="8"/>
      <c r="I507" s="8"/>
      <c r="J507" s="8"/>
      <c r="K507" s="8"/>
      <c r="L507" s="8"/>
      <c r="M507" s="8"/>
      <c r="N507" s="8"/>
      <c r="O507" s="8"/>
      <c r="P507" s="8"/>
      <c r="Q507" s="8"/>
      <c r="R507" s="8"/>
      <c r="S507" s="8"/>
      <c r="T507" s="8"/>
      <c r="U507" s="8"/>
      <c r="V507" s="8"/>
      <c r="W507" s="8"/>
      <c r="X507" s="8"/>
      <c r="Y507" s="8"/>
    </row>
    <row r="508">
      <c r="A508" s="8"/>
      <c r="B508" s="8"/>
      <c r="C508" s="8"/>
      <c r="D508" s="8"/>
      <c r="E508" s="8"/>
      <c r="F508" s="8"/>
      <c r="G508" s="8"/>
      <c r="H508" s="8"/>
      <c r="I508" s="8"/>
      <c r="J508" s="8"/>
      <c r="K508" s="8"/>
      <c r="L508" s="8"/>
      <c r="M508" s="8"/>
      <c r="N508" s="8"/>
      <c r="O508" s="8"/>
      <c r="P508" s="8"/>
      <c r="Q508" s="8"/>
      <c r="R508" s="8"/>
      <c r="S508" s="8"/>
      <c r="T508" s="8"/>
      <c r="U508" s="8"/>
      <c r="V508" s="8"/>
      <c r="W508" s="8"/>
      <c r="X508" s="8"/>
      <c r="Y508" s="8"/>
    </row>
    <row r="509">
      <c r="A509" s="8"/>
      <c r="B509" s="8"/>
      <c r="C509" s="8"/>
      <c r="D509" s="8"/>
      <c r="E509" s="8"/>
      <c r="F509" s="8"/>
      <c r="G509" s="8"/>
      <c r="H509" s="8"/>
      <c r="I509" s="8"/>
      <c r="J509" s="8"/>
      <c r="K509" s="8"/>
      <c r="L509" s="8"/>
      <c r="M509" s="8"/>
      <c r="N509" s="8"/>
      <c r="O509" s="8"/>
      <c r="P509" s="8"/>
      <c r="Q509" s="8"/>
      <c r="R509" s="8"/>
      <c r="S509" s="8"/>
      <c r="T509" s="8"/>
      <c r="U509" s="8"/>
      <c r="V509" s="8"/>
      <c r="W509" s="8"/>
      <c r="X509" s="8"/>
      <c r="Y509" s="8"/>
    </row>
    <row r="510">
      <c r="A510" s="8"/>
      <c r="B510" s="8"/>
      <c r="C510" s="8"/>
      <c r="D510" s="8"/>
      <c r="E510" s="8"/>
      <c r="F510" s="8"/>
      <c r="G510" s="8"/>
      <c r="H510" s="8"/>
      <c r="I510" s="8"/>
      <c r="J510" s="8"/>
      <c r="K510" s="8"/>
      <c r="L510" s="8"/>
      <c r="M510" s="8"/>
      <c r="N510" s="8"/>
      <c r="O510" s="8"/>
      <c r="P510" s="8"/>
      <c r="Q510" s="8"/>
      <c r="R510" s="8"/>
      <c r="S510" s="8"/>
      <c r="T510" s="8"/>
      <c r="U510" s="8"/>
      <c r="V510" s="8"/>
      <c r="W510" s="8"/>
      <c r="X510" s="8"/>
      <c r="Y510" s="8"/>
    </row>
    <row r="511">
      <c r="A511" s="8"/>
      <c r="B511" s="8"/>
      <c r="C511" s="8"/>
      <c r="D511" s="8"/>
      <c r="E511" s="8"/>
      <c r="F511" s="8"/>
      <c r="G511" s="8"/>
      <c r="H511" s="8"/>
      <c r="I511" s="8"/>
      <c r="J511" s="8"/>
      <c r="K511" s="8"/>
      <c r="L511" s="8"/>
      <c r="M511" s="8"/>
      <c r="N511" s="8"/>
      <c r="O511" s="8"/>
      <c r="P511" s="8"/>
      <c r="Q511" s="8"/>
      <c r="R511" s="8"/>
      <c r="S511" s="8"/>
      <c r="T511" s="8"/>
      <c r="U511" s="8"/>
      <c r="V511" s="8"/>
      <c r="W511" s="8"/>
      <c r="X511" s="8"/>
      <c r="Y511" s="8"/>
    </row>
    <row r="512">
      <c r="A512" s="8"/>
      <c r="B512" s="8"/>
      <c r="C512" s="8"/>
      <c r="D512" s="8"/>
      <c r="E512" s="8"/>
      <c r="F512" s="8"/>
      <c r="G512" s="8"/>
      <c r="H512" s="8"/>
      <c r="I512" s="8"/>
      <c r="J512" s="8"/>
      <c r="K512" s="8"/>
      <c r="L512" s="8"/>
      <c r="M512" s="8"/>
      <c r="N512" s="8"/>
      <c r="O512" s="8"/>
      <c r="P512" s="8"/>
      <c r="Q512" s="8"/>
      <c r="R512" s="8"/>
      <c r="S512" s="8"/>
      <c r="T512" s="8"/>
      <c r="U512" s="8"/>
      <c r="V512" s="8"/>
      <c r="W512" s="8"/>
      <c r="X512" s="8"/>
      <c r="Y512" s="8"/>
    </row>
    <row r="513">
      <c r="A513" s="8"/>
      <c r="B513" s="8"/>
      <c r="C513" s="8"/>
      <c r="D513" s="8"/>
      <c r="E513" s="8"/>
      <c r="F513" s="8"/>
      <c r="G513" s="8"/>
      <c r="H513" s="8"/>
      <c r="I513" s="8"/>
      <c r="J513" s="8"/>
      <c r="K513" s="8"/>
      <c r="L513" s="8"/>
      <c r="M513" s="8"/>
      <c r="N513" s="8"/>
      <c r="O513" s="8"/>
      <c r="P513" s="8"/>
      <c r="Q513" s="8"/>
      <c r="R513" s="8"/>
      <c r="S513" s="8"/>
      <c r="T513" s="8"/>
      <c r="U513" s="8"/>
      <c r="V513" s="8"/>
      <c r="W513" s="8"/>
      <c r="X513" s="8"/>
      <c r="Y513" s="8"/>
    </row>
    <row r="514">
      <c r="A514" s="8"/>
      <c r="B514" s="8"/>
      <c r="C514" s="8"/>
      <c r="D514" s="8"/>
      <c r="E514" s="8"/>
      <c r="F514" s="8"/>
      <c r="G514" s="8"/>
      <c r="H514" s="8"/>
      <c r="I514" s="8"/>
      <c r="J514" s="8"/>
      <c r="K514" s="8"/>
      <c r="L514" s="8"/>
      <c r="M514" s="8"/>
      <c r="N514" s="8"/>
      <c r="O514" s="8"/>
      <c r="P514" s="8"/>
      <c r="Q514" s="8"/>
      <c r="R514" s="8"/>
      <c r="S514" s="8"/>
      <c r="T514" s="8"/>
      <c r="U514" s="8"/>
      <c r="V514" s="8"/>
      <c r="W514" s="8"/>
      <c r="X514" s="8"/>
      <c r="Y514" s="8"/>
    </row>
    <row r="515">
      <c r="A515" s="8"/>
      <c r="B515" s="8"/>
      <c r="C515" s="8"/>
      <c r="D515" s="8"/>
      <c r="E515" s="8"/>
      <c r="F515" s="8"/>
      <c r="G515" s="8"/>
      <c r="H515" s="8"/>
      <c r="I515" s="8"/>
      <c r="J515" s="8"/>
      <c r="K515" s="8"/>
      <c r="L515" s="8"/>
      <c r="M515" s="8"/>
      <c r="N515" s="8"/>
      <c r="O515" s="8"/>
      <c r="P515" s="8"/>
      <c r="Q515" s="8"/>
      <c r="R515" s="8"/>
      <c r="S515" s="8"/>
      <c r="T515" s="8"/>
      <c r="U515" s="8"/>
      <c r="V515" s="8"/>
      <c r="W515" s="8"/>
      <c r="X515" s="8"/>
      <c r="Y515" s="8"/>
    </row>
    <row r="516">
      <c r="A516" s="8"/>
      <c r="B516" s="8"/>
      <c r="C516" s="8"/>
      <c r="D516" s="8"/>
      <c r="E516" s="8"/>
      <c r="F516" s="8"/>
      <c r="G516" s="8"/>
      <c r="H516" s="8"/>
      <c r="I516" s="8"/>
      <c r="J516" s="8"/>
      <c r="K516" s="8"/>
      <c r="L516" s="8"/>
      <c r="M516" s="8"/>
      <c r="N516" s="8"/>
      <c r="O516" s="8"/>
      <c r="P516" s="8"/>
      <c r="Q516" s="8"/>
      <c r="R516" s="8"/>
      <c r="S516" s="8"/>
      <c r="T516" s="8"/>
      <c r="U516" s="8"/>
      <c r="V516" s="8"/>
      <c r="W516" s="8"/>
      <c r="X516" s="8"/>
      <c r="Y516" s="8"/>
    </row>
    <row r="517">
      <c r="A517" s="8"/>
      <c r="B517" s="8"/>
      <c r="C517" s="8"/>
      <c r="D517" s="8"/>
      <c r="E517" s="8"/>
      <c r="F517" s="8"/>
      <c r="G517" s="8"/>
      <c r="H517" s="8"/>
      <c r="I517" s="8"/>
      <c r="J517" s="8"/>
      <c r="K517" s="8"/>
      <c r="L517" s="8"/>
      <c r="M517" s="8"/>
      <c r="N517" s="8"/>
      <c r="O517" s="8"/>
      <c r="P517" s="8"/>
      <c r="Q517" s="8"/>
      <c r="R517" s="8"/>
      <c r="S517" s="8"/>
      <c r="T517" s="8"/>
      <c r="U517" s="8"/>
      <c r="V517" s="8"/>
      <c r="W517" s="8"/>
      <c r="X517" s="8"/>
      <c r="Y517" s="8"/>
    </row>
    <row r="518">
      <c r="A518" s="8"/>
      <c r="B518" s="8"/>
      <c r="C518" s="8"/>
      <c r="D518" s="8"/>
      <c r="E518" s="8"/>
      <c r="F518" s="8"/>
      <c r="G518" s="8"/>
      <c r="H518" s="8"/>
      <c r="I518" s="8"/>
      <c r="J518" s="8"/>
      <c r="K518" s="8"/>
      <c r="L518" s="8"/>
      <c r="M518" s="8"/>
      <c r="N518" s="8"/>
      <c r="O518" s="8"/>
      <c r="P518" s="8"/>
      <c r="Q518" s="8"/>
      <c r="R518" s="8"/>
      <c r="S518" s="8"/>
      <c r="T518" s="8"/>
      <c r="U518" s="8"/>
      <c r="V518" s="8"/>
      <c r="W518" s="8"/>
      <c r="X518" s="8"/>
      <c r="Y518" s="8"/>
    </row>
    <row r="519">
      <c r="A519" s="8"/>
      <c r="B519" s="8"/>
      <c r="C519" s="8"/>
      <c r="D519" s="8"/>
      <c r="E519" s="8"/>
      <c r="F519" s="8"/>
      <c r="G519" s="8"/>
      <c r="H519" s="8"/>
      <c r="I519" s="8"/>
      <c r="J519" s="8"/>
      <c r="K519" s="8"/>
      <c r="L519" s="8"/>
      <c r="M519" s="8"/>
      <c r="N519" s="8"/>
      <c r="O519" s="8"/>
      <c r="P519" s="8"/>
      <c r="Q519" s="8"/>
      <c r="R519" s="8"/>
      <c r="S519" s="8"/>
      <c r="T519" s="8"/>
      <c r="U519" s="8"/>
      <c r="V519" s="8"/>
      <c r="W519" s="8"/>
      <c r="X519" s="8"/>
      <c r="Y519" s="8"/>
    </row>
    <row r="520">
      <c r="A520" s="8"/>
      <c r="B520" s="8"/>
      <c r="C520" s="8"/>
      <c r="D520" s="8"/>
      <c r="E520" s="8"/>
      <c r="F520" s="8"/>
      <c r="G520" s="8"/>
      <c r="H520" s="8"/>
      <c r="I520" s="8"/>
      <c r="J520" s="8"/>
      <c r="K520" s="8"/>
      <c r="L520" s="8"/>
      <c r="M520" s="8"/>
      <c r="N520" s="8"/>
      <c r="O520" s="8"/>
      <c r="P520" s="8"/>
      <c r="Q520" s="8"/>
      <c r="R520" s="8"/>
      <c r="S520" s="8"/>
      <c r="T520" s="8"/>
      <c r="U520" s="8"/>
      <c r="V520" s="8"/>
      <c r="W520" s="8"/>
      <c r="X520" s="8"/>
      <c r="Y520" s="8"/>
    </row>
    <row r="521">
      <c r="A521" s="8"/>
      <c r="B521" s="8"/>
      <c r="C521" s="8"/>
      <c r="D521" s="8"/>
      <c r="E521" s="8"/>
      <c r="F521" s="8"/>
      <c r="G521" s="8"/>
      <c r="H521" s="8"/>
      <c r="I521" s="8"/>
      <c r="J521" s="8"/>
      <c r="K521" s="8"/>
      <c r="L521" s="8"/>
      <c r="M521" s="8"/>
      <c r="N521" s="8"/>
      <c r="O521" s="8"/>
      <c r="P521" s="8"/>
      <c r="Q521" s="8"/>
      <c r="R521" s="8"/>
      <c r="S521" s="8"/>
      <c r="T521" s="8"/>
      <c r="U521" s="8"/>
      <c r="V521" s="8"/>
      <c r="W521" s="8"/>
      <c r="X521" s="8"/>
      <c r="Y521" s="8"/>
    </row>
    <row r="522">
      <c r="A522" s="8"/>
      <c r="B522" s="8"/>
      <c r="C522" s="8"/>
      <c r="D522" s="8"/>
      <c r="E522" s="8"/>
      <c r="F522" s="8"/>
      <c r="G522" s="8"/>
      <c r="H522" s="8"/>
      <c r="I522" s="8"/>
      <c r="J522" s="8"/>
      <c r="K522" s="8"/>
      <c r="L522" s="8"/>
      <c r="M522" s="8"/>
      <c r="N522" s="8"/>
      <c r="O522" s="8"/>
      <c r="P522" s="8"/>
      <c r="Q522" s="8"/>
      <c r="R522" s="8"/>
      <c r="S522" s="8"/>
      <c r="T522" s="8"/>
      <c r="U522" s="8"/>
      <c r="V522" s="8"/>
      <c r="W522" s="8"/>
      <c r="X522" s="8"/>
      <c r="Y522" s="8"/>
    </row>
    <row r="523">
      <c r="A523" s="8"/>
      <c r="B523" s="8"/>
      <c r="C523" s="8"/>
      <c r="D523" s="8"/>
      <c r="E523" s="8"/>
      <c r="F523" s="8"/>
      <c r="G523" s="8"/>
      <c r="H523" s="8"/>
      <c r="I523" s="8"/>
      <c r="J523" s="8"/>
      <c r="K523" s="8"/>
      <c r="L523" s="8"/>
      <c r="M523" s="8"/>
      <c r="N523" s="8"/>
      <c r="O523" s="8"/>
      <c r="P523" s="8"/>
      <c r="Q523" s="8"/>
      <c r="R523" s="8"/>
      <c r="S523" s="8"/>
      <c r="T523" s="8"/>
      <c r="U523" s="8"/>
      <c r="V523" s="8"/>
      <c r="W523" s="8"/>
      <c r="X523" s="8"/>
      <c r="Y523" s="8"/>
    </row>
    <row r="524">
      <c r="A524" s="8"/>
      <c r="B524" s="8"/>
      <c r="C524" s="8"/>
      <c r="D524" s="8"/>
      <c r="E524" s="8"/>
      <c r="F524" s="8"/>
      <c r="G524" s="8"/>
      <c r="H524" s="8"/>
      <c r="I524" s="8"/>
      <c r="J524" s="8"/>
      <c r="K524" s="8"/>
      <c r="L524" s="8"/>
      <c r="M524" s="8"/>
      <c r="N524" s="8"/>
      <c r="O524" s="8"/>
      <c r="P524" s="8"/>
      <c r="Q524" s="8"/>
      <c r="R524" s="8"/>
      <c r="S524" s="8"/>
      <c r="T524" s="8"/>
      <c r="U524" s="8"/>
      <c r="V524" s="8"/>
      <c r="W524" s="8"/>
      <c r="X524" s="8"/>
      <c r="Y524" s="8"/>
    </row>
    <row r="525">
      <c r="A525" s="8"/>
      <c r="B525" s="8"/>
      <c r="C525" s="8"/>
      <c r="D525" s="8"/>
      <c r="E525" s="8"/>
      <c r="F525" s="8"/>
      <c r="G525" s="8"/>
      <c r="H525" s="8"/>
      <c r="I525" s="8"/>
      <c r="J525" s="8"/>
      <c r="K525" s="8"/>
      <c r="L525" s="8"/>
      <c r="M525" s="8"/>
      <c r="N525" s="8"/>
      <c r="O525" s="8"/>
      <c r="P525" s="8"/>
      <c r="Q525" s="8"/>
      <c r="R525" s="8"/>
      <c r="S525" s="8"/>
      <c r="T525" s="8"/>
      <c r="U525" s="8"/>
      <c r="V525" s="8"/>
      <c r="W525" s="8"/>
      <c r="X525" s="8"/>
      <c r="Y525" s="8"/>
    </row>
    <row r="526">
      <c r="A526" s="8"/>
      <c r="B526" s="8"/>
      <c r="C526" s="8"/>
      <c r="D526" s="8"/>
      <c r="E526" s="8"/>
      <c r="F526" s="8"/>
      <c r="G526" s="8"/>
      <c r="H526" s="8"/>
      <c r="I526" s="8"/>
      <c r="J526" s="8"/>
      <c r="K526" s="8"/>
      <c r="L526" s="8"/>
      <c r="M526" s="8"/>
      <c r="N526" s="8"/>
      <c r="O526" s="8"/>
      <c r="P526" s="8"/>
      <c r="Q526" s="8"/>
      <c r="R526" s="8"/>
      <c r="S526" s="8"/>
      <c r="T526" s="8"/>
      <c r="U526" s="8"/>
      <c r="V526" s="8"/>
      <c r="W526" s="8"/>
      <c r="X526" s="8"/>
      <c r="Y526" s="8"/>
    </row>
    <row r="527">
      <c r="A527" s="8"/>
      <c r="B527" s="8"/>
      <c r="C527" s="8"/>
      <c r="D527" s="8"/>
      <c r="E527" s="8"/>
      <c r="F527" s="8"/>
      <c r="G527" s="8"/>
      <c r="H527" s="8"/>
      <c r="I527" s="8"/>
      <c r="J527" s="8"/>
      <c r="K527" s="8"/>
      <c r="L527" s="8"/>
      <c r="M527" s="8"/>
      <c r="N527" s="8"/>
      <c r="O527" s="8"/>
      <c r="P527" s="8"/>
      <c r="Q527" s="8"/>
      <c r="R527" s="8"/>
      <c r="S527" s="8"/>
      <c r="T527" s="8"/>
      <c r="U527" s="8"/>
      <c r="V527" s="8"/>
      <c r="W527" s="8"/>
      <c r="X527" s="8"/>
      <c r="Y527" s="8"/>
    </row>
    <row r="528">
      <c r="A528" s="8"/>
      <c r="B528" s="8"/>
      <c r="C528" s="8"/>
      <c r="D528" s="8"/>
      <c r="E528" s="8"/>
      <c r="F528" s="8"/>
      <c r="G528" s="8"/>
      <c r="H528" s="8"/>
      <c r="I528" s="8"/>
      <c r="J528" s="8"/>
      <c r="K528" s="8"/>
      <c r="L528" s="8"/>
      <c r="M528" s="8"/>
      <c r="N528" s="8"/>
      <c r="O528" s="8"/>
      <c r="P528" s="8"/>
      <c r="Q528" s="8"/>
      <c r="R528" s="8"/>
      <c r="S528" s="8"/>
      <c r="T528" s="8"/>
      <c r="U528" s="8"/>
      <c r="V528" s="8"/>
      <c r="W528" s="8"/>
      <c r="X528" s="8"/>
      <c r="Y528" s="8"/>
    </row>
    <row r="529">
      <c r="A529" s="8"/>
      <c r="B529" s="8"/>
      <c r="C529" s="8"/>
      <c r="D529" s="8"/>
      <c r="E529" s="8"/>
      <c r="F529" s="8"/>
      <c r="G529" s="8"/>
      <c r="H529" s="8"/>
      <c r="I529" s="8"/>
      <c r="J529" s="8"/>
      <c r="K529" s="8"/>
      <c r="L529" s="8"/>
      <c r="M529" s="8"/>
      <c r="N529" s="8"/>
      <c r="O529" s="8"/>
      <c r="P529" s="8"/>
      <c r="Q529" s="8"/>
      <c r="R529" s="8"/>
      <c r="S529" s="8"/>
      <c r="T529" s="8"/>
      <c r="U529" s="8"/>
      <c r="V529" s="8"/>
      <c r="W529" s="8"/>
      <c r="X529" s="8"/>
      <c r="Y529" s="8"/>
    </row>
    <row r="530">
      <c r="A530" s="8"/>
      <c r="B530" s="8"/>
      <c r="C530" s="8"/>
      <c r="D530" s="8"/>
      <c r="E530" s="8"/>
      <c r="F530" s="8"/>
      <c r="G530" s="8"/>
      <c r="H530" s="8"/>
      <c r="I530" s="8"/>
      <c r="J530" s="8"/>
      <c r="K530" s="8"/>
      <c r="L530" s="8"/>
      <c r="M530" s="8"/>
      <c r="N530" s="8"/>
      <c r="O530" s="8"/>
      <c r="P530" s="8"/>
      <c r="Q530" s="8"/>
      <c r="R530" s="8"/>
      <c r="S530" s="8"/>
      <c r="T530" s="8"/>
      <c r="U530" s="8"/>
      <c r="V530" s="8"/>
      <c r="W530" s="8"/>
      <c r="X530" s="8"/>
      <c r="Y530" s="8"/>
    </row>
    <row r="531">
      <c r="A531" s="8"/>
      <c r="B531" s="8"/>
      <c r="C531" s="8"/>
      <c r="D531" s="8"/>
      <c r="E531" s="8"/>
      <c r="F531" s="8"/>
      <c r="G531" s="8"/>
      <c r="H531" s="8"/>
      <c r="I531" s="8"/>
      <c r="J531" s="8"/>
      <c r="K531" s="8"/>
      <c r="L531" s="8"/>
      <c r="M531" s="8"/>
      <c r="N531" s="8"/>
      <c r="O531" s="8"/>
      <c r="P531" s="8"/>
      <c r="Q531" s="8"/>
      <c r="R531" s="8"/>
      <c r="S531" s="8"/>
      <c r="T531" s="8"/>
      <c r="U531" s="8"/>
      <c r="V531" s="8"/>
      <c r="W531" s="8"/>
      <c r="X531" s="8"/>
      <c r="Y531" s="8"/>
    </row>
    <row r="532">
      <c r="A532" s="8"/>
      <c r="B532" s="8"/>
      <c r="C532" s="8"/>
      <c r="D532" s="8"/>
      <c r="E532" s="8"/>
      <c r="F532" s="8"/>
      <c r="G532" s="8"/>
      <c r="H532" s="8"/>
      <c r="I532" s="8"/>
      <c r="J532" s="8"/>
      <c r="K532" s="8"/>
      <c r="L532" s="8"/>
      <c r="M532" s="8"/>
      <c r="N532" s="8"/>
      <c r="O532" s="8"/>
      <c r="P532" s="8"/>
      <c r="Q532" s="8"/>
      <c r="R532" s="8"/>
      <c r="S532" s="8"/>
      <c r="T532" s="8"/>
      <c r="U532" s="8"/>
      <c r="V532" s="8"/>
      <c r="W532" s="8"/>
      <c r="X532" s="8"/>
      <c r="Y532" s="8"/>
    </row>
    <row r="533">
      <c r="A533" s="8"/>
      <c r="B533" s="8"/>
      <c r="C533" s="8"/>
      <c r="D533" s="8"/>
      <c r="E533" s="8"/>
      <c r="F533" s="8"/>
      <c r="G533" s="8"/>
      <c r="H533" s="8"/>
      <c r="I533" s="8"/>
      <c r="J533" s="8"/>
      <c r="K533" s="8"/>
      <c r="L533" s="8"/>
      <c r="M533" s="8"/>
      <c r="N533" s="8"/>
      <c r="O533" s="8"/>
      <c r="P533" s="8"/>
      <c r="Q533" s="8"/>
      <c r="R533" s="8"/>
      <c r="S533" s="8"/>
      <c r="T533" s="8"/>
      <c r="U533" s="8"/>
      <c r="V533" s="8"/>
      <c r="W533" s="8"/>
      <c r="X533" s="8"/>
      <c r="Y533" s="8"/>
    </row>
    <row r="534">
      <c r="A534" s="8"/>
      <c r="B534" s="8"/>
      <c r="C534" s="8"/>
      <c r="D534" s="8"/>
      <c r="E534" s="8"/>
      <c r="F534" s="8"/>
      <c r="G534" s="8"/>
      <c r="H534" s="8"/>
      <c r="I534" s="8"/>
      <c r="J534" s="8"/>
      <c r="K534" s="8"/>
      <c r="L534" s="8"/>
      <c r="M534" s="8"/>
      <c r="N534" s="8"/>
      <c r="O534" s="8"/>
      <c r="P534" s="8"/>
      <c r="Q534" s="8"/>
      <c r="R534" s="8"/>
      <c r="S534" s="8"/>
      <c r="T534" s="8"/>
      <c r="U534" s="8"/>
      <c r="V534" s="8"/>
      <c r="W534" s="8"/>
      <c r="X534" s="8"/>
      <c r="Y534" s="8"/>
    </row>
    <row r="535">
      <c r="A535" s="8"/>
      <c r="B535" s="8"/>
      <c r="C535" s="8"/>
      <c r="D535" s="8"/>
      <c r="E535" s="8"/>
      <c r="F535" s="8"/>
      <c r="G535" s="8"/>
      <c r="H535" s="8"/>
      <c r="I535" s="8"/>
      <c r="J535" s="8"/>
      <c r="K535" s="8"/>
      <c r="L535" s="8"/>
      <c r="M535" s="8"/>
      <c r="N535" s="8"/>
      <c r="O535" s="8"/>
      <c r="P535" s="8"/>
      <c r="Q535" s="8"/>
      <c r="R535" s="8"/>
      <c r="S535" s="8"/>
      <c r="T535" s="8"/>
      <c r="U535" s="8"/>
      <c r="V535" s="8"/>
      <c r="W535" s="8"/>
      <c r="X535" s="8"/>
      <c r="Y535" s="8"/>
    </row>
    <row r="536">
      <c r="A536" s="8"/>
      <c r="B536" s="8"/>
      <c r="C536" s="8"/>
      <c r="D536" s="8"/>
      <c r="E536" s="8"/>
      <c r="F536" s="8"/>
      <c r="G536" s="8"/>
      <c r="H536" s="8"/>
      <c r="I536" s="8"/>
      <c r="J536" s="8"/>
      <c r="K536" s="8"/>
      <c r="L536" s="8"/>
      <c r="M536" s="8"/>
      <c r="N536" s="8"/>
      <c r="O536" s="8"/>
      <c r="P536" s="8"/>
      <c r="Q536" s="8"/>
      <c r="R536" s="8"/>
      <c r="S536" s="8"/>
      <c r="T536" s="8"/>
      <c r="U536" s="8"/>
      <c r="V536" s="8"/>
      <c r="W536" s="8"/>
      <c r="X536" s="8"/>
      <c r="Y536" s="8"/>
    </row>
    <row r="537">
      <c r="A537" s="8"/>
      <c r="B537" s="8"/>
      <c r="C537" s="8"/>
      <c r="D537" s="8"/>
      <c r="E537" s="8"/>
      <c r="F537" s="8"/>
      <c r="G537" s="8"/>
      <c r="H537" s="8"/>
      <c r="I537" s="8"/>
      <c r="J537" s="8"/>
      <c r="K537" s="8"/>
      <c r="L537" s="8"/>
      <c r="M537" s="8"/>
      <c r="N537" s="8"/>
      <c r="O537" s="8"/>
      <c r="P537" s="8"/>
      <c r="Q537" s="8"/>
      <c r="R537" s="8"/>
      <c r="S537" s="8"/>
      <c r="T537" s="8"/>
      <c r="U537" s="8"/>
      <c r="V537" s="8"/>
      <c r="W537" s="8"/>
      <c r="X537" s="8"/>
      <c r="Y537" s="8"/>
    </row>
    <row r="538">
      <c r="A538" s="8"/>
      <c r="B538" s="8"/>
      <c r="C538" s="8"/>
      <c r="D538" s="8"/>
      <c r="E538" s="8"/>
      <c r="F538" s="8"/>
      <c r="G538" s="8"/>
      <c r="H538" s="8"/>
      <c r="I538" s="8"/>
      <c r="J538" s="8"/>
      <c r="K538" s="8"/>
      <c r="L538" s="8"/>
      <c r="M538" s="8"/>
      <c r="N538" s="8"/>
      <c r="O538" s="8"/>
      <c r="P538" s="8"/>
      <c r="Q538" s="8"/>
      <c r="R538" s="8"/>
      <c r="S538" s="8"/>
      <c r="T538" s="8"/>
      <c r="U538" s="8"/>
      <c r="V538" s="8"/>
      <c r="W538" s="8"/>
      <c r="X538" s="8"/>
      <c r="Y538" s="8"/>
    </row>
    <row r="539">
      <c r="A539" s="8"/>
      <c r="B539" s="8"/>
      <c r="C539" s="8"/>
      <c r="D539" s="8"/>
      <c r="E539" s="8"/>
      <c r="F539" s="8"/>
      <c r="G539" s="8"/>
      <c r="H539" s="8"/>
      <c r="I539" s="8"/>
      <c r="J539" s="8"/>
      <c r="K539" s="8"/>
      <c r="L539" s="8"/>
      <c r="M539" s="8"/>
      <c r="N539" s="8"/>
      <c r="O539" s="8"/>
      <c r="P539" s="8"/>
      <c r="Q539" s="8"/>
      <c r="R539" s="8"/>
      <c r="S539" s="8"/>
      <c r="T539" s="8"/>
      <c r="U539" s="8"/>
      <c r="V539" s="8"/>
      <c r="W539" s="8"/>
      <c r="X539" s="8"/>
      <c r="Y539" s="8"/>
    </row>
    <row r="540">
      <c r="A540" s="8"/>
      <c r="B540" s="8"/>
      <c r="C540" s="8"/>
      <c r="D540" s="8"/>
      <c r="E540" s="8"/>
      <c r="F540" s="8"/>
      <c r="G540" s="8"/>
      <c r="H540" s="8"/>
      <c r="I540" s="8"/>
      <c r="J540" s="8"/>
      <c r="K540" s="8"/>
      <c r="L540" s="8"/>
      <c r="M540" s="8"/>
      <c r="N540" s="8"/>
      <c r="O540" s="8"/>
      <c r="P540" s="8"/>
      <c r="Q540" s="8"/>
      <c r="R540" s="8"/>
      <c r="S540" s="8"/>
      <c r="T540" s="8"/>
      <c r="U540" s="8"/>
      <c r="V540" s="8"/>
      <c r="W540" s="8"/>
      <c r="X540" s="8"/>
      <c r="Y540" s="8"/>
    </row>
    <row r="541">
      <c r="A541" s="8"/>
      <c r="B541" s="8"/>
      <c r="C541" s="8"/>
      <c r="D541" s="8"/>
      <c r="E541" s="8"/>
      <c r="F541" s="8"/>
      <c r="G541" s="8"/>
      <c r="H541" s="8"/>
      <c r="I541" s="8"/>
      <c r="J541" s="8"/>
      <c r="K541" s="8"/>
      <c r="L541" s="8"/>
      <c r="M541" s="8"/>
      <c r="N541" s="8"/>
      <c r="O541" s="8"/>
      <c r="P541" s="8"/>
      <c r="Q541" s="8"/>
      <c r="R541" s="8"/>
      <c r="S541" s="8"/>
      <c r="T541" s="8"/>
      <c r="U541" s="8"/>
      <c r="V541" s="8"/>
      <c r="W541" s="8"/>
      <c r="X541" s="8"/>
      <c r="Y541" s="8"/>
    </row>
    <row r="542">
      <c r="A542" s="8"/>
      <c r="B542" s="8"/>
      <c r="C542" s="8"/>
      <c r="D542" s="8"/>
      <c r="E542" s="8"/>
      <c r="F542" s="8"/>
      <c r="G542" s="8"/>
      <c r="H542" s="8"/>
      <c r="I542" s="8"/>
      <c r="J542" s="8"/>
      <c r="K542" s="8"/>
      <c r="L542" s="8"/>
      <c r="M542" s="8"/>
      <c r="N542" s="8"/>
      <c r="O542" s="8"/>
      <c r="P542" s="8"/>
      <c r="Q542" s="8"/>
      <c r="R542" s="8"/>
      <c r="S542" s="8"/>
      <c r="T542" s="8"/>
      <c r="U542" s="8"/>
      <c r="V542" s="8"/>
      <c r="W542" s="8"/>
      <c r="X542" s="8"/>
      <c r="Y542" s="8"/>
    </row>
    <row r="543">
      <c r="A543" s="8"/>
      <c r="B543" s="8"/>
      <c r="C543" s="8"/>
      <c r="D543" s="8"/>
      <c r="E543" s="8"/>
      <c r="F543" s="8"/>
      <c r="G543" s="8"/>
      <c r="H543" s="8"/>
      <c r="I543" s="8"/>
      <c r="J543" s="8"/>
      <c r="K543" s="8"/>
      <c r="L543" s="8"/>
      <c r="M543" s="8"/>
      <c r="N543" s="8"/>
      <c r="O543" s="8"/>
      <c r="P543" s="8"/>
      <c r="Q543" s="8"/>
      <c r="R543" s="8"/>
      <c r="S543" s="8"/>
      <c r="T543" s="8"/>
      <c r="U543" s="8"/>
      <c r="V543" s="8"/>
      <c r="W543" s="8"/>
      <c r="X543" s="8"/>
      <c r="Y543" s="8"/>
    </row>
    <row r="544">
      <c r="A544" s="8"/>
      <c r="B544" s="8"/>
      <c r="C544" s="8"/>
      <c r="D544" s="8"/>
      <c r="E544" s="8"/>
      <c r="F544" s="8"/>
      <c r="G544" s="8"/>
      <c r="H544" s="8"/>
      <c r="I544" s="8"/>
      <c r="J544" s="8"/>
      <c r="K544" s="8"/>
      <c r="L544" s="8"/>
      <c r="M544" s="8"/>
      <c r="N544" s="8"/>
      <c r="O544" s="8"/>
      <c r="P544" s="8"/>
      <c r="Q544" s="8"/>
      <c r="R544" s="8"/>
      <c r="S544" s="8"/>
      <c r="T544" s="8"/>
      <c r="U544" s="8"/>
      <c r="V544" s="8"/>
      <c r="W544" s="8"/>
      <c r="X544" s="8"/>
      <c r="Y544" s="8"/>
    </row>
    <row r="545">
      <c r="A545" s="8"/>
      <c r="B545" s="8"/>
      <c r="C545" s="8"/>
      <c r="D545" s="8"/>
      <c r="E545" s="8"/>
      <c r="F545" s="8"/>
      <c r="G545" s="8"/>
      <c r="H545" s="8"/>
      <c r="I545" s="8"/>
      <c r="J545" s="8"/>
      <c r="K545" s="8"/>
      <c r="L545" s="8"/>
      <c r="M545" s="8"/>
      <c r="N545" s="8"/>
      <c r="O545" s="8"/>
      <c r="P545" s="8"/>
      <c r="Q545" s="8"/>
      <c r="R545" s="8"/>
      <c r="S545" s="8"/>
      <c r="T545" s="8"/>
      <c r="U545" s="8"/>
      <c r="V545" s="8"/>
      <c r="W545" s="8"/>
      <c r="X545" s="8"/>
      <c r="Y545" s="8"/>
    </row>
    <row r="546">
      <c r="A546" s="8"/>
      <c r="B546" s="8"/>
      <c r="C546" s="8"/>
      <c r="D546" s="8"/>
      <c r="E546" s="8"/>
      <c r="F546" s="8"/>
      <c r="G546" s="8"/>
      <c r="H546" s="8"/>
      <c r="I546" s="8"/>
      <c r="J546" s="8"/>
      <c r="K546" s="8"/>
      <c r="L546" s="8"/>
      <c r="M546" s="8"/>
      <c r="N546" s="8"/>
      <c r="O546" s="8"/>
      <c r="P546" s="8"/>
      <c r="Q546" s="8"/>
      <c r="R546" s="8"/>
      <c r="S546" s="8"/>
      <c r="T546" s="8"/>
      <c r="U546" s="8"/>
      <c r="V546" s="8"/>
      <c r="W546" s="8"/>
      <c r="X546" s="8"/>
      <c r="Y546" s="8"/>
    </row>
    <row r="547">
      <c r="A547" s="8"/>
      <c r="B547" s="8"/>
      <c r="C547" s="8"/>
      <c r="D547" s="8"/>
      <c r="E547" s="8"/>
      <c r="F547" s="8"/>
      <c r="G547" s="8"/>
      <c r="H547" s="8"/>
      <c r="I547" s="8"/>
      <c r="J547" s="8"/>
      <c r="K547" s="8"/>
      <c r="L547" s="8"/>
      <c r="M547" s="8"/>
      <c r="N547" s="8"/>
      <c r="O547" s="8"/>
      <c r="P547" s="8"/>
      <c r="Q547" s="8"/>
      <c r="R547" s="8"/>
      <c r="S547" s="8"/>
      <c r="T547" s="8"/>
      <c r="U547" s="8"/>
      <c r="V547" s="8"/>
      <c r="W547" s="8"/>
      <c r="X547" s="8"/>
      <c r="Y547" s="8"/>
    </row>
    <row r="548">
      <c r="A548" s="8"/>
      <c r="B548" s="8"/>
      <c r="C548" s="8"/>
      <c r="D548" s="8"/>
      <c r="E548" s="8"/>
      <c r="F548" s="8"/>
      <c r="G548" s="8"/>
      <c r="H548" s="8"/>
      <c r="I548" s="8"/>
      <c r="J548" s="8"/>
      <c r="K548" s="8"/>
      <c r="L548" s="8"/>
      <c r="M548" s="8"/>
      <c r="N548" s="8"/>
      <c r="O548" s="8"/>
      <c r="P548" s="8"/>
      <c r="Q548" s="8"/>
      <c r="R548" s="8"/>
      <c r="S548" s="8"/>
      <c r="T548" s="8"/>
      <c r="U548" s="8"/>
      <c r="V548" s="8"/>
      <c r="W548" s="8"/>
      <c r="X548" s="8"/>
      <c r="Y548" s="8"/>
    </row>
    <row r="549">
      <c r="A549" s="8"/>
      <c r="B549" s="8"/>
      <c r="C549" s="8"/>
      <c r="D549" s="8"/>
      <c r="E549" s="8"/>
      <c r="F549" s="8"/>
      <c r="G549" s="8"/>
      <c r="H549" s="8"/>
      <c r="I549" s="8"/>
      <c r="J549" s="8"/>
      <c r="K549" s="8"/>
      <c r="L549" s="8"/>
      <c r="M549" s="8"/>
      <c r="N549" s="8"/>
      <c r="O549" s="8"/>
      <c r="P549" s="8"/>
      <c r="Q549" s="8"/>
      <c r="R549" s="8"/>
      <c r="S549" s="8"/>
      <c r="T549" s="8"/>
      <c r="U549" s="8"/>
      <c r="V549" s="8"/>
      <c r="W549" s="8"/>
      <c r="X549" s="8"/>
      <c r="Y549" s="8"/>
    </row>
    <row r="550">
      <c r="A550" s="8"/>
      <c r="B550" s="8"/>
      <c r="C550" s="8"/>
      <c r="D550" s="8"/>
      <c r="E550" s="8"/>
      <c r="F550" s="8"/>
      <c r="G550" s="8"/>
      <c r="H550" s="8"/>
      <c r="I550" s="8"/>
      <c r="J550" s="8"/>
      <c r="K550" s="8"/>
      <c r="L550" s="8"/>
      <c r="M550" s="8"/>
      <c r="N550" s="8"/>
      <c r="O550" s="8"/>
      <c r="P550" s="8"/>
      <c r="Q550" s="8"/>
      <c r="R550" s="8"/>
      <c r="S550" s="8"/>
      <c r="T550" s="8"/>
      <c r="U550" s="8"/>
      <c r="V550" s="8"/>
      <c r="W550" s="8"/>
      <c r="X550" s="8"/>
      <c r="Y550" s="8"/>
    </row>
    <row r="551">
      <c r="A551" s="8"/>
      <c r="B551" s="8"/>
      <c r="C551" s="8"/>
      <c r="D551" s="8"/>
      <c r="E551" s="8"/>
      <c r="F551" s="8"/>
      <c r="G551" s="8"/>
      <c r="H551" s="8"/>
      <c r="I551" s="8"/>
      <c r="J551" s="8"/>
      <c r="K551" s="8"/>
      <c r="L551" s="8"/>
      <c r="M551" s="8"/>
      <c r="N551" s="8"/>
      <c r="O551" s="8"/>
      <c r="P551" s="8"/>
      <c r="Q551" s="8"/>
      <c r="R551" s="8"/>
      <c r="S551" s="8"/>
      <c r="T551" s="8"/>
      <c r="U551" s="8"/>
      <c r="V551" s="8"/>
      <c r="W551" s="8"/>
      <c r="X551" s="8"/>
      <c r="Y551" s="8"/>
    </row>
    <row r="552">
      <c r="A552" s="8"/>
      <c r="B552" s="8"/>
      <c r="C552" s="8"/>
      <c r="D552" s="8"/>
      <c r="E552" s="8"/>
      <c r="F552" s="8"/>
      <c r="G552" s="8"/>
      <c r="H552" s="8"/>
      <c r="I552" s="8"/>
      <c r="J552" s="8"/>
      <c r="K552" s="8"/>
      <c r="L552" s="8"/>
      <c r="M552" s="8"/>
      <c r="N552" s="8"/>
      <c r="O552" s="8"/>
      <c r="P552" s="8"/>
      <c r="Q552" s="8"/>
      <c r="R552" s="8"/>
      <c r="S552" s="8"/>
      <c r="T552" s="8"/>
      <c r="U552" s="8"/>
      <c r="V552" s="8"/>
      <c r="W552" s="8"/>
      <c r="X552" s="8"/>
      <c r="Y552" s="8"/>
    </row>
    <row r="553">
      <c r="A553" s="8"/>
      <c r="B553" s="8"/>
      <c r="C553" s="8"/>
      <c r="D553" s="8"/>
      <c r="E553" s="8"/>
      <c r="F553" s="8"/>
      <c r="G553" s="8"/>
      <c r="H553" s="8"/>
      <c r="I553" s="8"/>
      <c r="J553" s="8"/>
      <c r="K553" s="8"/>
      <c r="L553" s="8"/>
      <c r="M553" s="8"/>
      <c r="N553" s="8"/>
      <c r="O553" s="8"/>
      <c r="P553" s="8"/>
      <c r="Q553" s="8"/>
      <c r="R553" s="8"/>
      <c r="S553" s="8"/>
      <c r="T553" s="8"/>
      <c r="U553" s="8"/>
      <c r="V553" s="8"/>
      <c r="W553" s="8"/>
      <c r="X553" s="8"/>
      <c r="Y553" s="8"/>
    </row>
    <row r="554">
      <c r="A554" s="8"/>
      <c r="B554" s="8"/>
      <c r="C554" s="8"/>
      <c r="D554" s="8"/>
      <c r="E554" s="8"/>
      <c r="F554" s="8"/>
      <c r="G554" s="8"/>
      <c r="H554" s="8"/>
      <c r="I554" s="8"/>
      <c r="J554" s="8"/>
      <c r="K554" s="8"/>
      <c r="L554" s="8"/>
      <c r="M554" s="8"/>
      <c r="N554" s="8"/>
      <c r="O554" s="8"/>
      <c r="P554" s="8"/>
      <c r="Q554" s="8"/>
      <c r="R554" s="8"/>
      <c r="S554" s="8"/>
      <c r="T554" s="8"/>
      <c r="U554" s="8"/>
      <c r="V554" s="8"/>
      <c r="W554" s="8"/>
      <c r="X554" s="8"/>
      <c r="Y554" s="8"/>
    </row>
    <row r="555">
      <c r="A555" s="8"/>
      <c r="B555" s="8"/>
      <c r="C555" s="8"/>
      <c r="D555" s="8"/>
      <c r="E555" s="8"/>
      <c r="F555" s="8"/>
      <c r="G555" s="8"/>
      <c r="H555" s="8"/>
      <c r="I555" s="8"/>
      <c r="J555" s="8"/>
      <c r="K555" s="8"/>
      <c r="L555" s="8"/>
      <c r="M555" s="8"/>
      <c r="N555" s="8"/>
      <c r="O555" s="8"/>
      <c r="P555" s="8"/>
      <c r="Q555" s="8"/>
      <c r="R555" s="8"/>
      <c r="S555" s="8"/>
      <c r="T555" s="8"/>
      <c r="U555" s="8"/>
      <c r="V555" s="8"/>
      <c r="W555" s="8"/>
      <c r="X555" s="8"/>
      <c r="Y555" s="8"/>
    </row>
    <row r="556">
      <c r="A556" s="8"/>
      <c r="B556" s="8"/>
      <c r="C556" s="8"/>
      <c r="D556" s="8"/>
      <c r="E556" s="8"/>
      <c r="F556" s="8"/>
      <c r="G556" s="8"/>
      <c r="H556" s="8"/>
      <c r="I556" s="8"/>
      <c r="J556" s="8"/>
      <c r="K556" s="8"/>
      <c r="L556" s="8"/>
      <c r="M556" s="8"/>
      <c r="N556" s="8"/>
      <c r="O556" s="8"/>
      <c r="P556" s="8"/>
      <c r="Q556" s="8"/>
      <c r="R556" s="8"/>
      <c r="S556" s="8"/>
      <c r="T556" s="8"/>
      <c r="U556" s="8"/>
      <c r="V556" s="8"/>
      <c r="W556" s="8"/>
      <c r="X556" s="8"/>
      <c r="Y556" s="8"/>
    </row>
    <row r="557">
      <c r="A557" s="8"/>
      <c r="B557" s="8"/>
      <c r="C557" s="8"/>
      <c r="D557" s="8"/>
      <c r="E557" s="8"/>
      <c r="F557" s="8"/>
      <c r="G557" s="8"/>
      <c r="H557" s="8"/>
      <c r="I557" s="8"/>
      <c r="J557" s="8"/>
      <c r="K557" s="8"/>
      <c r="L557" s="8"/>
      <c r="M557" s="8"/>
      <c r="N557" s="8"/>
      <c r="O557" s="8"/>
      <c r="P557" s="8"/>
      <c r="Q557" s="8"/>
      <c r="R557" s="8"/>
      <c r="S557" s="8"/>
      <c r="T557" s="8"/>
      <c r="U557" s="8"/>
      <c r="V557" s="8"/>
      <c r="W557" s="8"/>
      <c r="X557" s="8"/>
      <c r="Y557" s="8"/>
    </row>
    <row r="558">
      <c r="A558" s="8"/>
      <c r="B558" s="8"/>
      <c r="C558" s="8"/>
      <c r="D558" s="8"/>
      <c r="E558" s="8"/>
      <c r="F558" s="8"/>
      <c r="G558" s="8"/>
      <c r="H558" s="8"/>
      <c r="I558" s="8"/>
      <c r="J558" s="8"/>
      <c r="K558" s="8"/>
      <c r="L558" s="8"/>
      <c r="M558" s="8"/>
      <c r="N558" s="8"/>
      <c r="O558" s="8"/>
      <c r="P558" s="8"/>
      <c r="Q558" s="8"/>
      <c r="R558" s="8"/>
      <c r="S558" s="8"/>
      <c r="T558" s="8"/>
      <c r="U558" s="8"/>
      <c r="V558" s="8"/>
      <c r="W558" s="8"/>
      <c r="X558" s="8"/>
      <c r="Y558" s="8"/>
    </row>
    <row r="559">
      <c r="A559" s="8"/>
      <c r="B559" s="8"/>
      <c r="C559" s="8"/>
      <c r="D559" s="8"/>
      <c r="E559" s="8"/>
      <c r="F559" s="8"/>
      <c r="G559" s="8"/>
      <c r="H559" s="8"/>
      <c r="I559" s="8"/>
      <c r="J559" s="8"/>
      <c r="K559" s="8"/>
      <c r="L559" s="8"/>
      <c r="M559" s="8"/>
      <c r="N559" s="8"/>
      <c r="O559" s="8"/>
      <c r="P559" s="8"/>
      <c r="Q559" s="8"/>
      <c r="R559" s="8"/>
      <c r="S559" s="8"/>
      <c r="T559" s="8"/>
      <c r="U559" s="8"/>
      <c r="V559" s="8"/>
      <c r="W559" s="8"/>
      <c r="X559" s="8"/>
      <c r="Y559" s="8"/>
    </row>
    <row r="560">
      <c r="A560" s="8"/>
      <c r="B560" s="8"/>
      <c r="C560" s="8"/>
      <c r="D560" s="8"/>
      <c r="E560" s="8"/>
      <c r="F560" s="8"/>
      <c r="G560" s="8"/>
      <c r="H560" s="8"/>
      <c r="I560" s="8"/>
      <c r="J560" s="8"/>
      <c r="K560" s="8"/>
      <c r="L560" s="8"/>
      <c r="M560" s="8"/>
      <c r="N560" s="8"/>
      <c r="O560" s="8"/>
      <c r="P560" s="8"/>
      <c r="Q560" s="8"/>
      <c r="R560" s="8"/>
      <c r="S560" s="8"/>
      <c r="T560" s="8"/>
      <c r="U560" s="8"/>
      <c r="V560" s="8"/>
      <c r="W560" s="8"/>
      <c r="X560" s="8"/>
      <c r="Y560" s="8"/>
    </row>
    <row r="561">
      <c r="A561" s="8"/>
      <c r="B561" s="8"/>
      <c r="C561" s="8"/>
      <c r="D561" s="8"/>
      <c r="E561" s="8"/>
      <c r="F561" s="8"/>
      <c r="G561" s="8"/>
      <c r="H561" s="8"/>
      <c r="I561" s="8"/>
      <c r="J561" s="8"/>
      <c r="K561" s="8"/>
      <c r="L561" s="8"/>
      <c r="M561" s="8"/>
      <c r="N561" s="8"/>
      <c r="O561" s="8"/>
      <c r="P561" s="8"/>
      <c r="Q561" s="8"/>
      <c r="R561" s="8"/>
      <c r="S561" s="8"/>
      <c r="T561" s="8"/>
      <c r="U561" s="8"/>
      <c r="V561" s="8"/>
      <c r="W561" s="8"/>
      <c r="X561" s="8"/>
      <c r="Y561" s="8"/>
    </row>
    <row r="562">
      <c r="A562" s="8"/>
      <c r="B562" s="8"/>
      <c r="C562" s="8"/>
      <c r="D562" s="8"/>
      <c r="E562" s="8"/>
      <c r="F562" s="8"/>
      <c r="G562" s="8"/>
      <c r="H562" s="8"/>
      <c r="I562" s="8"/>
      <c r="J562" s="8"/>
      <c r="K562" s="8"/>
      <c r="L562" s="8"/>
      <c r="M562" s="8"/>
      <c r="N562" s="8"/>
      <c r="O562" s="8"/>
      <c r="P562" s="8"/>
      <c r="Q562" s="8"/>
      <c r="R562" s="8"/>
      <c r="S562" s="8"/>
      <c r="T562" s="8"/>
      <c r="U562" s="8"/>
      <c r="V562" s="8"/>
      <c r="W562" s="8"/>
      <c r="X562" s="8"/>
      <c r="Y562" s="8"/>
    </row>
    <row r="563">
      <c r="A563" s="8"/>
      <c r="B563" s="8"/>
      <c r="C563" s="8"/>
      <c r="D563" s="8"/>
      <c r="E563" s="8"/>
      <c r="F563" s="8"/>
      <c r="G563" s="8"/>
      <c r="H563" s="8"/>
      <c r="I563" s="8"/>
      <c r="J563" s="8"/>
      <c r="K563" s="8"/>
      <c r="L563" s="8"/>
      <c r="M563" s="8"/>
      <c r="N563" s="8"/>
      <c r="O563" s="8"/>
      <c r="P563" s="8"/>
      <c r="Q563" s="8"/>
      <c r="R563" s="8"/>
      <c r="S563" s="8"/>
      <c r="T563" s="8"/>
      <c r="U563" s="8"/>
      <c r="V563" s="8"/>
      <c r="W563" s="8"/>
      <c r="X563" s="8"/>
      <c r="Y563" s="8"/>
    </row>
    <row r="564">
      <c r="A564" s="8"/>
      <c r="B564" s="8"/>
      <c r="C564" s="8"/>
      <c r="D564" s="8"/>
      <c r="E564" s="8"/>
      <c r="F564" s="8"/>
      <c r="G564" s="8"/>
      <c r="H564" s="8"/>
      <c r="I564" s="8"/>
      <c r="J564" s="8"/>
      <c r="K564" s="8"/>
      <c r="L564" s="8"/>
      <c r="M564" s="8"/>
      <c r="N564" s="8"/>
      <c r="O564" s="8"/>
      <c r="P564" s="8"/>
      <c r="Q564" s="8"/>
      <c r="R564" s="8"/>
      <c r="S564" s="8"/>
      <c r="T564" s="8"/>
      <c r="U564" s="8"/>
      <c r="V564" s="8"/>
      <c r="W564" s="8"/>
      <c r="X564" s="8"/>
      <c r="Y564" s="8"/>
    </row>
    <row r="565">
      <c r="A565" s="8"/>
      <c r="B565" s="8"/>
      <c r="C565" s="8"/>
      <c r="D565" s="8"/>
      <c r="E565" s="8"/>
      <c r="F565" s="8"/>
      <c r="G565" s="8"/>
      <c r="H565" s="8"/>
      <c r="I565" s="8"/>
      <c r="J565" s="8"/>
      <c r="K565" s="8"/>
      <c r="L565" s="8"/>
      <c r="M565" s="8"/>
      <c r="N565" s="8"/>
      <c r="O565" s="8"/>
      <c r="P565" s="8"/>
      <c r="Q565" s="8"/>
      <c r="R565" s="8"/>
      <c r="S565" s="8"/>
      <c r="T565" s="8"/>
      <c r="U565" s="8"/>
      <c r="V565" s="8"/>
      <c r="W565" s="8"/>
      <c r="X565" s="8"/>
      <c r="Y565" s="8"/>
    </row>
    <row r="566">
      <c r="A566" s="8"/>
      <c r="B566" s="8"/>
      <c r="C566" s="8"/>
      <c r="D566" s="8"/>
      <c r="E566" s="8"/>
      <c r="F566" s="8"/>
      <c r="G566" s="8"/>
      <c r="H566" s="8"/>
      <c r="I566" s="8"/>
      <c r="J566" s="8"/>
      <c r="K566" s="8"/>
      <c r="L566" s="8"/>
      <c r="M566" s="8"/>
      <c r="N566" s="8"/>
      <c r="O566" s="8"/>
      <c r="P566" s="8"/>
      <c r="Q566" s="8"/>
      <c r="R566" s="8"/>
      <c r="S566" s="8"/>
      <c r="T566" s="8"/>
      <c r="U566" s="8"/>
      <c r="V566" s="8"/>
      <c r="W566" s="8"/>
      <c r="X566" s="8"/>
      <c r="Y566" s="8"/>
    </row>
    <row r="567">
      <c r="A567" s="8"/>
      <c r="B567" s="8"/>
      <c r="C567" s="8"/>
      <c r="D567" s="8"/>
      <c r="E567" s="8"/>
      <c r="F567" s="8"/>
      <c r="G567" s="8"/>
      <c r="H567" s="8"/>
      <c r="I567" s="8"/>
      <c r="J567" s="8"/>
      <c r="K567" s="8"/>
      <c r="L567" s="8"/>
      <c r="M567" s="8"/>
      <c r="N567" s="8"/>
      <c r="O567" s="8"/>
      <c r="P567" s="8"/>
      <c r="Q567" s="8"/>
      <c r="R567" s="8"/>
      <c r="S567" s="8"/>
      <c r="T567" s="8"/>
      <c r="U567" s="8"/>
      <c r="V567" s="8"/>
      <c r="W567" s="8"/>
      <c r="X567" s="8"/>
      <c r="Y567" s="8"/>
    </row>
    <row r="568">
      <c r="A568" s="8"/>
      <c r="B568" s="8"/>
      <c r="C568" s="8"/>
      <c r="D568" s="8"/>
      <c r="E568" s="8"/>
      <c r="F568" s="8"/>
      <c r="G568" s="8"/>
      <c r="H568" s="8"/>
      <c r="I568" s="8"/>
      <c r="J568" s="8"/>
      <c r="K568" s="8"/>
      <c r="L568" s="8"/>
      <c r="M568" s="8"/>
      <c r="N568" s="8"/>
      <c r="O568" s="8"/>
      <c r="P568" s="8"/>
      <c r="Q568" s="8"/>
      <c r="R568" s="8"/>
      <c r="S568" s="8"/>
      <c r="T568" s="8"/>
      <c r="U568" s="8"/>
      <c r="V568" s="8"/>
      <c r="W568" s="8"/>
      <c r="X568" s="8"/>
      <c r="Y568" s="8"/>
    </row>
    <row r="569">
      <c r="A569" s="8"/>
      <c r="B569" s="8"/>
      <c r="C569" s="8"/>
      <c r="D569" s="8"/>
      <c r="E569" s="8"/>
      <c r="F569" s="8"/>
      <c r="G569" s="8"/>
      <c r="H569" s="8"/>
      <c r="I569" s="8"/>
      <c r="J569" s="8"/>
      <c r="K569" s="8"/>
      <c r="L569" s="8"/>
      <c r="M569" s="8"/>
      <c r="N569" s="8"/>
      <c r="O569" s="8"/>
      <c r="P569" s="8"/>
      <c r="Q569" s="8"/>
      <c r="R569" s="8"/>
      <c r="S569" s="8"/>
      <c r="T569" s="8"/>
      <c r="U569" s="8"/>
      <c r="V569" s="8"/>
      <c r="W569" s="8"/>
      <c r="X569" s="8"/>
      <c r="Y569" s="8"/>
    </row>
    <row r="570">
      <c r="A570" s="8"/>
      <c r="B570" s="8"/>
      <c r="C570" s="8"/>
      <c r="D570" s="8"/>
      <c r="E570" s="8"/>
      <c r="F570" s="8"/>
      <c r="G570" s="8"/>
      <c r="H570" s="8"/>
      <c r="I570" s="8"/>
      <c r="J570" s="8"/>
      <c r="K570" s="8"/>
      <c r="L570" s="8"/>
      <c r="M570" s="8"/>
      <c r="N570" s="8"/>
      <c r="O570" s="8"/>
      <c r="P570" s="8"/>
      <c r="Q570" s="8"/>
      <c r="R570" s="8"/>
      <c r="S570" s="8"/>
      <c r="T570" s="8"/>
      <c r="U570" s="8"/>
      <c r="V570" s="8"/>
      <c r="W570" s="8"/>
      <c r="X570" s="8"/>
      <c r="Y570" s="8"/>
    </row>
    <row r="571">
      <c r="A571" s="8"/>
      <c r="B571" s="8"/>
      <c r="C571" s="8"/>
      <c r="D571" s="8"/>
      <c r="E571" s="8"/>
      <c r="F571" s="8"/>
      <c r="G571" s="8"/>
      <c r="H571" s="8"/>
      <c r="I571" s="8"/>
      <c r="J571" s="8"/>
      <c r="K571" s="8"/>
      <c r="L571" s="8"/>
      <c r="M571" s="8"/>
      <c r="N571" s="8"/>
      <c r="O571" s="8"/>
      <c r="P571" s="8"/>
      <c r="Q571" s="8"/>
      <c r="R571" s="8"/>
      <c r="S571" s="8"/>
      <c r="T571" s="8"/>
      <c r="U571" s="8"/>
      <c r="V571" s="8"/>
      <c r="W571" s="8"/>
      <c r="X571" s="8"/>
      <c r="Y571" s="8"/>
    </row>
    <row r="572">
      <c r="A572" s="8"/>
      <c r="B572" s="8"/>
      <c r="C572" s="8"/>
      <c r="D572" s="8"/>
      <c r="E572" s="8"/>
      <c r="F572" s="8"/>
      <c r="G572" s="8"/>
      <c r="H572" s="8"/>
      <c r="I572" s="8"/>
      <c r="J572" s="8"/>
      <c r="K572" s="8"/>
      <c r="L572" s="8"/>
      <c r="M572" s="8"/>
      <c r="N572" s="8"/>
      <c r="O572" s="8"/>
      <c r="P572" s="8"/>
      <c r="Q572" s="8"/>
      <c r="R572" s="8"/>
      <c r="S572" s="8"/>
      <c r="T572" s="8"/>
      <c r="U572" s="8"/>
      <c r="V572" s="8"/>
      <c r="W572" s="8"/>
      <c r="X572" s="8"/>
      <c r="Y572" s="8"/>
    </row>
    <row r="573">
      <c r="A573" s="8"/>
      <c r="B573" s="8"/>
      <c r="C573" s="8"/>
      <c r="D573" s="8"/>
      <c r="E573" s="8"/>
      <c r="F573" s="8"/>
      <c r="G573" s="8"/>
      <c r="H573" s="8"/>
      <c r="I573" s="8"/>
      <c r="J573" s="8"/>
      <c r="K573" s="8"/>
      <c r="L573" s="8"/>
      <c r="M573" s="8"/>
      <c r="N573" s="8"/>
      <c r="O573" s="8"/>
      <c r="P573" s="8"/>
      <c r="Q573" s="8"/>
      <c r="R573" s="8"/>
      <c r="S573" s="8"/>
      <c r="T573" s="8"/>
      <c r="U573" s="8"/>
      <c r="V573" s="8"/>
      <c r="W573" s="8"/>
      <c r="X573" s="8"/>
      <c r="Y573" s="8"/>
    </row>
    <row r="574">
      <c r="A574" s="8"/>
      <c r="B574" s="8"/>
      <c r="C574" s="8"/>
      <c r="D574" s="8"/>
      <c r="E574" s="8"/>
      <c r="F574" s="8"/>
      <c r="G574" s="8"/>
      <c r="H574" s="8"/>
      <c r="I574" s="8"/>
      <c r="J574" s="8"/>
      <c r="K574" s="8"/>
      <c r="L574" s="8"/>
      <c r="M574" s="8"/>
      <c r="N574" s="8"/>
      <c r="O574" s="8"/>
      <c r="P574" s="8"/>
      <c r="Q574" s="8"/>
      <c r="R574" s="8"/>
      <c r="S574" s="8"/>
      <c r="T574" s="8"/>
      <c r="U574" s="8"/>
      <c r="V574" s="8"/>
      <c r="W574" s="8"/>
      <c r="X574" s="8"/>
      <c r="Y574" s="8"/>
    </row>
    <row r="575">
      <c r="A575" s="8"/>
      <c r="B575" s="8"/>
      <c r="C575" s="8"/>
      <c r="D575" s="8"/>
      <c r="E575" s="8"/>
      <c r="F575" s="8"/>
      <c r="G575" s="8"/>
      <c r="H575" s="8"/>
      <c r="I575" s="8"/>
      <c r="J575" s="8"/>
      <c r="K575" s="8"/>
      <c r="L575" s="8"/>
      <c r="M575" s="8"/>
      <c r="N575" s="8"/>
      <c r="O575" s="8"/>
      <c r="P575" s="8"/>
      <c r="Q575" s="8"/>
      <c r="R575" s="8"/>
      <c r="S575" s="8"/>
      <c r="T575" s="8"/>
      <c r="U575" s="8"/>
      <c r="V575" s="8"/>
      <c r="W575" s="8"/>
      <c r="X575" s="8"/>
      <c r="Y575" s="8"/>
    </row>
    <row r="576">
      <c r="A576" s="8"/>
      <c r="B576" s="8"/>
      <c r="C576" s="8"/>
      <c r="D576" s="8"/>
      <c r="E576" s="8"/>
      <c r="F576" s="8"/>
      <c r="G576" s="8"/>
      <c r="H576" s="8"/>
      <c r="I576" s="8"/>
      <c r="J576" s="8"/>
      <c r="K576" s="8"/>
      <c r="L576" s="8"/>
      <c r="M576" s="8"/>
      <c r="N576" s="8"/>
      <c r="O576" s="8"/>
      <c r="P576" s="8"/>
      <c r="Q576" s="8"/>
      <c r="R576" s="8"/>
      <c r="S576" s="8"/>
      <c r="T576" s="8"/>
      <c r="U576" s="8"/>
      <c r="V576" s="8"/>
      <c r="W576" s="8"/>
      <c r="X576" s="8"/>
      <c r="Y576" s="8"/>
    </row>
    <row r="577">
      <c r="A577" s="8"/>
      <c r="B577" s="8"/>
      <c r="C577" s="8"/>
      <c r="D577" s="8"/>
      <c r="E577" s="8"/>
      <c r="F577" s="8"/>
      <c r="G577" s="8"/>
      <c r="H577" s="8"/>
      <c r="I577" s="8"/>
      <c r="J577" s="8"/>
      <c r="K577" s="8"/>
      <c r="L577" s="8"/>
      <c r="M577" s="8"/>
      <c r="N577" s="8"/>
      <c r="O577" s="8"/>
      <c r="P577" s="8"/>
      <c r="Q577" s="8"/>
      <c r="R577" s="8"/>
      <c r="S577" s="8"/>
      <c r="T577" s="8"/>
      <c r="U577" s="8"/>
      <c r="V577" s="8"/>
      <c r="W577" s="8"/>
      <c r="X577" s="8"/>
      <c r="Y577" s="8"/>
    </row>
    <row r="578">
      <c r="A578" s="8"/>
      <c r="B578" s="8"/>
      <c r="C578" s="8"/>
      <c r="D578" s="8"/>
      <c r="E578" s="8"/>
      <c r="F578" s="8"/>
      <c r="G578" s="8"/>
      <c r="H578" s="8"/>
      <c r="I578" s="8"/>
      <c r="J578" s="8"/>
      <c r="K578" s="8"/>
      <c r="L578" s="8"/>
      <c r="M578" s="8"/>
      <c r="N578" s="8"/>
      <c r="O578" s="8"/>
      <c r="P578" s="8"/>
      <c r="Q578" s="8"/>
      <c r="R578" s="8"/>
      <c r="S578" s="8"/>
      <c r="T578" s="8"/>
      <c r="U578" s="8"/>
      <c r="V578" s="8"/>
      <c r="W578" s="8"/>
      <c r="X578" s="8"/>
      <c r="Y578" s="8"/>
    </row>
    <row r="579">
      <c r="A579" s="8"/>
      <c r="B579" s="8"/>
      <c r="C579" s="8"/>
      <c r="D579" s="8"/>
      <c r="E579" s="8"/>
      <c r="F579" s="8"/>
      <c r="G579" s="8"/>
      <c r="H579" s="8"/>
      <c r="I579" s="8"/>
      <c r="J579" s="8"/>
      <c r="K579" s="8"/>
      <c r="L579" s="8"/>
      <c r="M579" s="8"/>
      <c r="N579" s="8"/>
      <c r="O579" s="8"/>
      <c r="P579" s="8"/>
      <c r="Q579" s="8"/>
      <c r="R579" s="8"/>
      <c r="S579" s="8"/>
      <c r="T579" s="8"/>
      <c r="U579" s="8"/>
      <c r="V579" s="8"/>
      <c r="W579" s="8"/>
      <c r="X579" s="8"/>
      <c r="Y579" s="8"/>
    </row>
    <row r="580">
      <c r="A580" s="8"/>
      <c r="B580" s="8"/>
      <c r="C580" s="8"/>
      <c r="D580" s="8"/>
      <c r="E580" s="8"/>
      <c r="F580" s="8"/>
      <c r="G580" s="8"/>
      <c r="H580" s="8"/>
      <c r="I580" s="8"/>
      <c r="J580" s="8"/>
      <c r="K580" s="8"/>
      <c r="L580" s="8"/>
      <c r="M580" s="8"/>
      <c r="N580" s="8"/>
      <c r="O580" s="8"/>
      <c r="P580" s="8"/>
      <c r="Q580" s="8"/>
      <c r="R580" s="8"/>
      <c r="S580" s="8"/>
      <c r="T580" s="8"/>
      <c r="U580" s="8"/>
      <c r="V580" s="8"/>
      <c r="W580" s="8"/>
      <c r="X580" s="8"/>
      <c r="Y580" s="8"/>
    </row>
    <row r="581">
      <c r="A581" s="8"/>
      <c r="B581" s="8"/>
      <c r="C581" s="8"/>
      <c r="D581" s="8"/>
      <c r="E581" s="8"/>
      <c r="F581" s="8"/>
      <c r="G581" s="8"/>
      <c r="H581" s="8"/>
      <c r="I581" s="8"/>
      <c r="J581" s="8"/>
      <c r="K581" s="8"/>
      <c r="L581" s="8"/>
      <c r="M581" s="8"/>
      <c r="N581" s="8"/>
      <c r="O581" s="8"/>
      <c r="P581" s="8"/>
      <c r="Q581" s="8"/>
      <c r="R581" s="8"/>
      <c r="S581" s="8"/>
      <c r="T581" s="8"/>
      <c r="U581" s="8"/>
      <c r="V581" s="8"/>
      <c r="W581" s="8"/>
      <c r="X581" s="8"/>
      <c r="Y581" s="8"/>
    </row>
    <row r="582">
      <c r="A582" s="8"/>
      <c r="B582" s="8"/>
      <c r="C582" s="8"/>
      <c r="D582" s="8"/>
      <c r="E582" s="8"/>
      <c r="F582" s="8"/>
      <c r="G582" s="8"/>
      <c r="H582" s="8"/>
      <c r="I582" s="8"/>
      <c r="J582" s="8"/>
      <c r="K582" s="8"/>
      <c r="L582" s="8"/>
      <c r="M582" s="8"/>
      <c r="N582" s="8"/>
      <c r="O582" s="8"/>
      <c r="P582" s="8"/>
      <c r="Q582" s="8"/>
      <c r="R582" s="8"/>
      <c r="S582" s="8"/>
      <c r="T582" s="8"/>
      <c r="U582" s="8"/>
      <c r="V582" s="8"/>
      <c r="W582" s="8"/>
      <c r="X582" s="8"/>
      <c r="Y582" s="8"/>
    </row>
    <row r="583">
      <c r="A583" s="8"/>
      <c r="B583" s="8"/>
      <c r="C583" s="8"/>
      <c r="D583" s="8"/>
      <c r="E583" s="8"/>
      <c r="F583" s="8"/>
      <c r="G583" s="8"/>
      <c r="H583" s="8"/>
      <c r="I583" s="8"/>
      <c r="J583" s="8"/>
      <c r="K583" s="8"/>
      <c r="L583" s="8"/>
      <c r="M583" s="8"/>
      <c r="N583" s="8"/>
      <c r="O583" s="8"/>
      <c r="P583" s="8"/>
      <c r="Q583" s="8"/>
      <c r="R583" s="8"/>
      <c r="S583" s="8"/>
      <c r="T583" s="8"/>
      <c r="U583" s="8"/>
      <c r="V583" s="8"/>
      <c r="W583" s="8"/>
      <c r="X583" s="8"/>
      <c r="Y583" s="8"/>
    </row>
    <row r="584">
      <c r="A584" s="8"/>
      <c r="B584" s="8"/>
      <c r="C584" s="8"/>
      <c r="D584" s="8"/>
      <c r="E584" s="8"/>
      <c r="F584" s="8"/>
      <c r="G584" s="8"/>
      <c r="H584" s="8"/>
      <c r="I584" s="8"/>
      <c r="J584" s="8"/>
      <c r="K584" s="8"/>
      <c r="L584" s="8"/>
      <c r="M584" s="8"/>
      <c r="N584" s="8"/>
      <c r="O584" s="8"/>
      <c r="P584" s="8"/>
      <c r="Q584" s="8"/>
      <c r="R584" s="8"/>
      <c r="S584" s="8"/>
      <c r="T584" s="8"/>
      <c r="U584" s="8"/>
      <c r="V584" s="8"/>
      <c r="W584" s="8"/>
      <c r="X584" s="8"/>
      <c r="Y584" s="8"/>
    </row>
    <row r="585">
      <c r="A585" s="8"/>
      <c r="B585" s="8"/>
      <c r="C585" s="8"/>
      <c r="D585" s="8"/>
      <c r="E585" s="8"/>
      <c r="F585" s="8"/>
      <c r="G585" s="8"/>
      <c r="H585" s="8"/>
      <c r="I585" s="8"/>
      <c r="J585" s="8"/>
      <c r="K585" s="8"/>
      <c r="L585" s="8"/>
      <c r="M585" s="8"/>
      <c r="N585" s="8"/>
      <c r="O585" s="8"/>
      <c r="P585" s="8"/>
      <c r="Q585" s="8"/>
      <c r="R585" s="8"/>
      <c r="S585" s="8"/>
      <c r="T585" s="8"/>
      <c r="U585" s="8"/>
      <c r="V585" s="8"/>
      <c r="W585" s="8"/>
      <c r="X585" s="8"/>
      <c r="Y585" s="8"/>
    </row>
    <row r="586">
      <c r="A586" s="8"/>
      <c r="B586" s="8"/>
      <c r="C586" s="8"/>
      <c r="D586" s="8"/>
      <c r="E586" s="8"/>
      <c r="F586" s="8"/>
      <c r="G586" s="8"/>
      <c r="H586" s="8"/>
      <c r="I586" s="8"/>
      <c r="J586" s="8"/>
      <c r="K586" s="8"/>
      <c r="L586" s="8"/>
      <c r="M586" s="8"/>
      <c r="N586" s="8"/>
      <c r="O586" s="8"/>
      <c r="P586" s="8"/>
      <c r="Q586" s="8"/>
      <c r="R586" s="8"/>
      <c r="S586" s="8"/>
      <c r="T586" s="8"/>
      <c r="U586" s="8"/>
      <c r="V586" s="8"/>
      <c r="W586" s="8"/>
      <c r="X586" s="8"/>
      <c r="Y586" s="8"/>
    </row>
    <row r="587">
      <c r="A587" s="8"/>
      <c r="B587" s="8"/>
      <c r="C587" s="8"/>
      <c r="D587" s="8"/>
      <c r="E587" s="8"/>
      <c r="F587" s="8"/>
      <c r="G587" s="8"/>
      <c r="H587" s="8"/>
      <c r="I587" s="8"/>
      <c r="J587" s="8"/>
      <c r="K587" s="8"/>
      <c r="L587" s="8"/>
      <c r="M587" s="8"/>
      <c r="N587" s="8"/>
      <c r="O587" s="8"/>
      <c r="P587" s="8"/>
      <c r="Q587" s="8"/>
      <c r="R587" s="8"/>
      <c r="S587" s="8"/>
      <c r="T587" s="8"/>
      <c r="U587" s="8"/>
      <c r="V587" s="8"/>
      <c r="W587" s="8"/>
      <c r="X587" s="8"/>
      <c r="Y587" s="8"/>
    </row>
    <row r="588">
      <c r="A588" s="8"/>
      <c r="B588" s="8"/>
      <c r="C588" s="8"/>
      <c r="D588" s="8"/>
      <c r="E588" s="8"/>
      <c r="F588" s="8"/>
      <c r="G588" s="8"/>
      <c r="H588" s="8"/>
      <c r="I588" s="8"/>
      <c r="J588" s="8"/>
      <c r="K588" s="8"/>
      <c r="L588" s="8"/>
      <c r="M588" s="8"/>
      <c r="N588" s="8"/>
      <c r="O588" s="8"/>
      <c r="P588" s="8"/>
      <c r="Q588" s="8"/>
      <c r="R588" s="8"/>
      <c r="S588" s="8"/>
      <c r="T588" s="8"/>
      <c r="U588" s="8"/>
      <c r="V588" s="8"/>
      <c r="W588" s="8"/>
      <c r="X588" s="8"/>
      <c r="Y588" s="8"/>
    </row>
    <row r="589">
      <c r="A589" s="8"/>
      <c r="B589" s="8"/>
      <c r="C589" s="8"/>
      <c r="D589" s="8"/>
      <c r="E589" s="8"/>
      <c r="F589" s="8"/>
      <c r="G589" s="8"/>
      <c r="H589" s="8"/>
      <c r="I589" s="8"/>
      <c r="J589" s="8"/>
      <c r="K589" s="8"/>
      <c r="L589" s="8"/>
      <c r="M589" s="8"/>
      <c r="N589" s="8"/>
      <c r="O589" s="8"/>
      <c r="P589" s="8"/>
      <c r="Q589" s="8"/>
      <c r="R589" s="8"/>
      <c r="S589" s="8"/>
      <c r="T589" s="8"/>
      <c r="U589" s="8"/>
      <c r="V589" s="8"/>
      <c r="W589" s="8"/>
      <c r="X589" s="8"/>
      <c r="Y589" s="8"/>
    </row>
    <row r="590">
      <c r="A590" s="8"/>
      <c r="B590" s="8"/>
      <c r="C590" s="8"/>
      <c r="D590" s="8"/>
      <c r="E590" s="8"/>
      <c r="F590" s="8"/>
      <c r="G590" s="8"/>
      <c r="H590" s="8"/>
      <c r="I590" s="8"/>
      <c r="J590" s="8"/>
      <c r="K590" s="8"/>
      <c r="L590" s="8"/>
      <c r="M590" s="8"/>
      <c r="N590" s="8"/>
      <c r="O590" s="8"/>
      <c r="P590" s="8"/>
      <c r="Q590" s="8"/>
      <c r="R590" s="8"/>
      <c r="S590" s="8"/>
      <c r="T590" s="8"/>
      <c r="U590" s="8"/>
      <c r="V590" s="8"/>
      <c r="W590" s="8"/>
      <c r="X590" s="8"/>
      <c r="Y590" s="8"/>
    </row>
    <row r="591">
      <c r="A591" s="8"/>
      <c r="B591" s="8"/>
      <c r="C591" s="8"/>
      <c r="D591" s="8"/>
      <c r="E591" s="8"/>
      <c r="F591" s="8"/>
      <c r="G591" s="8"/>
      <c r="H591" s="8"/>
      <c r="I591" s="8"/>
      <c r="J591" s="8"/>
      <c r="K591" s="8"/>
      <c r="L591" s="8"/>
      <c r="M591" s="8"/>
      <c r="N591" s="8"/>
      <c r="O591" s="8"/>
      <c r="P591" s="8"/>
      <c r="Q591" s="8"/>
      <c r="R591" s="8"/>
      <c r="S591" s="8"/>
      <c r="T591" s="8"/>
      <c r="U591" s="8"/>
      <c r="V591" s="8"/>
      <c r="W591" s="8"/>
      <c r="X591" s="8"/>
      <c r="Y591" s="8"/>
    </row>
    <row r="592">
      <c r="A592" s="8"/>
      <c r="B592" s="8"/>
      <c r="C592" s="8"/>
      <c r="D592" s="8"/>
      <c r="E592" s="8"/>
      <c r="F592" s="8"/>
      <c r="G592" s="8"/>
      <c r="H592" s="8"/>
      <c r="I592" s="8"/>
      <c r="J592" s="8"/>
      <c r="K592" s="8"/>
      <c r="L592" s="8"/>
      <c r="M592" s="8"/>
      <c r="N592" s="8"/>
      <c r="O592" s="8"/>
      <c r="P592" s="8"/>
      <c r="Q592" s="8"/>
      <c r="R592" s="8"/>
      <c r="S592" s="8"/>
      <c r="T592" s="8"/>
      <c r="U592" s="8"/>
      <c r="V592" s="8"/>
      <c r="W592" s="8"/>
      <c r="X592" s="8"/>
      <c r="Y592" s="8"/>
    </row>
    <row r="593">
      <c r="A593" s="8"/>
      <c r="B593" s="8"/>
      <c r="C593" s="8"/>
      <c r="D593" s="8"/>
      <c r="E593" s="8"/>
      <c r="F593" s="8"/>
      <c r="G593" s="8"/>
      <c r="H593" s="8"/>
      <c r="I593" s="8"/>
      <c r="J593" s="8"/>
      <c r="K593" s="8"/>
      <c r="L593" s="8"/>
      <c r="M593" s="8"/>
      <c r="N593" s="8"/>
      <c r="O593" s="8"/>
      <c r="P593" s="8"/>
      <c r="Q593" s="8"/>
      <c r="R593" s="8"/>
      <c r="S593" s="8"/>
      <c r="T593" s="8"/>
      <c r="U593" s="8"/>
      <c r="V593" s="8"/>
      <c r="W593" s="8"/>
      <c r="X593" s="8"/>
      <c r="Y593" s="8"/>
    </row>
    <row r="594">
      <c r="A594" s="8"/>
      <c r="B594" s="8"/>
      <c r="C594" s="8"/>
      <c r="D594" s="8"/>
      <c r="E594" s="8"/>
      <c r="F594" s="8"/>
      <c r="G594" s="8"/>
      <c r="H594" s="8"/>
      <c r="I594" s="8"/>
      <c r="J594" s="8"/>
      <c r="K594" s="8"/>
      <c r="L594" s="8"/>
      <c r="M594" s="8"/>
      <c r="N594" s="8"/>
      <c r="O594" s="8"/>
      <c r="P594" s="8"/>
      <c r="Q594" s="8"/>
      <c r="R594" s="8"/>
      <c r="S594" s="8"/>
      <c r="T594" s="8"/>
      <c r="U594" s="8"/>
      <c r="V594" s="8"/>
      <c r="W594" s="8"/>
      <c r="X594" s="8"/>
      <c r="Y594" s="8"/>
    </row>
    <row r="595">
      <c r="A595" s="8"/>
      <c r="B595" s="8"/>
      <c r="C595" s="8"/>
      <c r="D595" s="8"/>
      <c r="E595" s="8"/>
      <c r="F595" s="8"/>
      <c r="G595" s="8"/>
      <c r="H595" s="8"/>
      <c r="I595" s="8"/>
      <c r="J595" s="8"/>
      <c r="K595" s="8"/>
      <c r="L595" s="8"/>
      <c r="M595" s="8"/>
      <c r="N595" s="8"/>
      <c r="O595" s="8"/>
      <c r="P595" s="8"/>
      <c r="Q595" s="8"/>
      <c r="R595" s="8"/>
      <c r="S595" s="8"/>
      <c r="T595" s="8"/>
      <c r="U595" s="8"/>
      <c r="V595" s="8"/>
      <c r="W595" s="8"/>
      <c r="X595" s="8"/>
      <c r="Y595" s="8"/>
    </row>
    <row r="596">
      <c r="A596" s="8"/>
      <c r="B596" s="8"/>
      <c r="C596" s="8"/>
      <c r="D596" s="8"/>
      <c r="E596" s="8"/>
      <c r="F596" s="8"/>
      <c r="G596" s="8"/>
      <c r="H596" s="8"/>
      <c r="I596" s="8"/>
      <c r="J596" s="8"/>
      <c r="K596" s="8"/>
      <c r="L596" s="8"/>
      <c r="M596" s="8"/>
      <c r="N596" s="8"/>
      <c r="O596" s="8"/>
      <c r="P596" s="8"/>
      <c r="Q596" s="8"/>
      <c r="R596" s="8"/>
      <c r="S596" s="8"/>
      <c r="T596" s="8"/>
      <c r="U596" s="8"/>
      <c r="V596" s="8"/>
      <c r="W596" s="8"/>
      <c r="X596" s="8"/>
      <c r="Y596" s="8"/>
    </row>
    <row r="597">
      <c r="A597" s="8"/>
      <c r="B597" s="8"/>
      <c r="C597" s="8"/>
      <c r="D597" s="8"/>
      <c r="E597" s="8"/>
      <c r="F597" s="8"/>
      <c r="G597" s="8"/>
      <c r="H597" s="8"/>
      <c r="I597" s="8"/>
      <c r="J597" s="8"/>
      <c r="K597" s="8"/>
      <c r="L597" s="8"/>
      <c r="M597" s="8"/>
      <c r="N597" s="8"/>
      <c r="O597" s="8"/>
      <c r="P597" s="8"/>
      <c r="Q597" s="8"/>
      <c r="R597" s="8"/>
      <c r="S597" s="8"/>
      <c r="T597" s="8"/>
      <c r="U597" s="8"/>
      <c r="V597" s="8"/>
      <c r="W597" s="8"/>
      <c r="X597" s="8"/>
      <c r="Y597" s="8"/>
    </row>
    <row r="598">
      <c r="A598" s="8"/>
      <c r="B598" s="8"/>
      <c r="C598" s="8"/>
      <c r="D598" s="8"/>
      <c r="E598" s="8"/>
      <c r="F598" s="8"/>
      <c r="G598" s="8"/>
      <c r="H598" s="8"/>
      <c r="I598" s="8"/>
      <c r="J598" s="8"/>
      <c r="K598" s="8"/>
      <c r="L598" s="8"/>
      <c r="M598" s="8"/>
      <c r="N598" s="8"/>
      <c r="O598" s="8"/>
      <c r="P598" s="8"/>
      <c r="Q598" s="8"/>
      <c r="R598" s="8"/>
      <c r="S598" s="8"/>
      <c r="T598" s="8"/>
      <c r="U598" s="8"/>
      <c r="V598" s="8"/>
      <c r="W598" s="8"/>
      <c r="X598" s="8"/>
      <c r="Y598" s="8"/>
    </row>
    <row r="599">
      <c r="A599" s="8"/>
      <c r="B599" s="8"/>
      <c r="C599" s="8"/>
      <c r="D599" s="8"/>
      <c r="E599" s="8"/>
      <c r="F599" s="8"/>
      <c r="G599" s="8"/>
      <c r="H599" s="8"/>
      <c r="I599" s="8"/>
      <c r="J599" s="8"/>
      <c r="K599" s="8"/>
      <c r="L599" s="8"/>
      <c r="M599" s="8"/>
      <c r="N599" s="8"/>
      <c r="O599" s="8"/>
      <c r="P599" s="8"/>
      <c r="Q599" s="8"/>
      <c r="R599" s="8"/>
      <c r="S599" s="8"/>
      <c r="T599" s="8"/>
      <c r="U599" s="8"/>
      <c r="V599" s="8"/>
      <c r="W599" s="8"/>
      <c r="X599" s="8"/>
      <c r="Y599" s="8"/>
    </row>
    <row r="600">
      <c r="A600" s="8"/>
      <c r="B600" s="8"/>
      <c r="C600" s="8"/>
      <c r="D600" s="8"/>
      <c r="E600" s="8"/>
      <c r="F600" s="8"/>
      <c r="G600" s="8"/>
      <c r="H600" s="8"/>
      <c r="I600" s="8"/>
      <c r="J600" s="8"/>
      <c r="K600" s="8"/>
      <c r="L600" s="8"/>
      <c r="M600" s="8"/>
      <c r="N600" s="8"/>
      <c r="O600" s="8"/>
      <c r="P600" s="8"/>
      <c r="Q600" s="8"/>
      <c r="R600" s="8"/>
      <c r="S600" s="8"/>
      <c r="T600" s="8"/>
      <c r="U600" s="8"/>
      <c r="V600" s="8"/>
      <c r="W600" s="8"/>
      <c r="X600" s="8"/>
      <c r="Y600" s="8"/>
    </row>
    <row r="601">
      <c r="A601" s="8"/>
      <c r="B601" s="8"/>
      <c r="C601" s="8"/>
      <c r="D601" s="8"/>
      <c r="E601" s="8"/>
      <c r="F601" s="8"/>
      <c r="G601" s="8"/>
      <c r="H601" s="8"/>
      <c r="I601" s="8"/>
      <c r="J601" s="8"/>
      <c r="K601" s="8"/>
      <c r="L601" s="8"/>
      <c r="M601" s="8"/>
      <c r="N601" s="8"/>
      <c r="O601" s="8"/>
      <c r="P601" s="8"/>
      <c r="Q601" s="8"/>
      <c r="R601" s="8"/>
      <c r="S601" s="8"/>
      <c r="T601" s="8"/>
      <c r="U601" s="8"/>
      <c r="V601" s="8"/>
      <c r="W601" s="8"/>
      <c r="X601" s="8"/>
      <c r="Y601" s="8"/>
    </row>
    <row r="602">
      <c r="A602" s="8"/>
      <c r="B602" s="8"/>
      <c r="C602" s="8"/>
      <c r="D602" s="8"/>
      <c r="E602" s="8"/>
      <c r="F602" s="8"/>
      <c r="G602" s="8"/>
      <c r="H602" s="8"/>
      <c r="I602" s="8"/>
      <c r="J602" s="8"/>
      <c r="K602" s="8"/>
      <c r="L602" s="8"/>
      <c r="M602" s="8"/>
      <c r="N602" s="8"/>
      <c r="O602" s="8"/>
      <c r="P602" s="8"/>
      <c r="Q602" s="8"/>
      <c r="R602" s="8"/>
      <c r="S602" s="8"/>
      <c r="T602" s="8"/>
      <c r="U602" s="8"/>
      <c r="V602" s="8"/>
      <c r="W602" s="8"/>
      <c r="X602" s="8"/>
      <c r="Y602" s="8"/>
    </row>
    <row r="603">
      <c r="A603" s="8"/>
      <c r="B603" s="8"/>
      <c r="C603" s="8"/>
      <c r="D603" s="8"/>
      <c r="E603" s="8"/>
      <c r="F603" s="8"/>
      <c r="G603" s="8"/>
      <c r="H603" s="8"/>
      <c r="I603" s="8"/>
      <c r="J603" s="8"/>
      <c r="K603" s="8"/>
      <c r="L603" s="8"/>
      <c r="M603" s="8"/>
      <c r="N603" s="8"/>
      <c r="O603" s="8"/>
      <c r="P603" s="8"/>
      <c r="Q603" s="8"/>
      <c r="R603" s="8"/>
      <c r="S603" s="8"/>
      <c r="T603" s="8"/>
      <c r="U603" s="8"/>
      <c r="V603" s="8"/>
      <c r="W603" s="8"/>
      <c r="X603" s="8"/>
      <c r="Y603" s="8"/>
    </row>
    <row r="604">
      <c r="A604" s="8"/>
      <c r="B604" s="8"/>
      <c r="C604" s="8"/>
      <c r="D604" s="8"/>
      <c r="E604" s="8"/>
      <c r="F604" s="8"/>
      <c r="G604" s="8"/>
      <c r="H604" s="8"/>
      <c r="I604" s="8"/>
      <c r="J604" s="8"/>
      <c r="K604" s="8"/>
      <c r="L604" s="8"/>
      <c r="M604" s="8"/>
      <c r="N604" s="8"/>
      <c r="O604" s="8"/>
      <c r="P604" s="8"/>
      <c r="Q604" s="8"/>
      <c r="R604" s="8"/>
      <c r="S604" s="8"/>
      <c r="T604" s="8"/>
      <c r="U604" s="8"/>
      <c r="V604" s="8"/>
      <c r="W604" s="8"/>
      <c r="X604" s="8"/>
      <c r="Y604" s="8"/>
    </row>
    <row r="605">
      <c r="A605" s="8"/>
      <c r="B605" s="8"/>
      <c r="C605" s="8"/>
      <c r="D605" s="8"/>
      <c r="E605" s="8"/>
      <c r="F605" s="8"/>
      <c r="G605" s="8"/>
      <c r="H605" s="8"/>
      <c r="I605" s="8"/>
      <c r="J605" s="8"/>
      <c r="K605" s="8"/>
      <c r="L605" s="8"/>
      <c r="M605" s="8"/>
      <c r="N605" s="8"/>
      <c r="O605" s="8"/>
      <c r="P605" s="8"/>
      <c r="Q605" s="8"/>
      <c r="R605" s="8"/>
      <c r="S605" s="8"/>
      <c r="T605" s="8"/>
      <c r="U605" s="8"/>
      <c r="V605" s="8"/>
      <c r="W605" s="8"/>
      <c r="X605" s="8"/>
      <c r="Y605" s="8"/>
    </row>
    <row r="606">
      <c r="A606" s="8"/>
      <c r="B606" s="8"/>
      <c r="C606" s="8"/>
      <c r="D606" s="8"/>
      <c r="E606" s="8"/>
      <c r="F606" s="8"/>
      <c r="G606" s="8"/>
      <c r="H606" s="8"/>
      <c r="I606" s="8"/>
      <c r="J606" s="8"/>
      <c r="K606" s="8"/>
      <c r="L606" s="8"/>
      <c r="M606" s="8"/>
      <c r="N606" s="8"/>
      <c r="O606" s="8"/>
      <c r="P606" s="8"/>
      <c r="Q606" s="8"/>
      <c r="R606" s="8"/>
      <c r="S606" s="8"/>
      <c r="T606" s="8"/>
      <c r="U606" s="8"/>
      <c r="V606" s="8"/>
      <c r="W606" s="8"/>
      <c r="X606" s="8"/>
      <c r="Y606" s="8"/>
    </row>
    <row r="607">
      <c r="A607" s="8"/>
      <c r="B607" s="8"/>
      <c r="C607" s="8"/>
      <c r="D607" s="8"/>
      <c r="E607" s="8"/>
      <c r="F607" s="8"/>
      <c r="G607" s="8"/>
      <c r="H607" s="8"/>
      <c r="I607" s="8"/>
      <c r="J607" s="8"/>
      <c r="K607" s="8"/>
      <c r="L607" s="8"/>
      <c r="M607" s="8"/>
      <c r="N607" s="8"/>
      <c r="O607" s="8"/>
      <c r="P607" s="8"/>
      <c r="Q607" s="8"/>
      <c r="R607" s="8"/>
      <c r="S607" s="8"/>
      <c r="T607" s="8"/>
      <c r="U607" s="8"/>
      <c r="V607" s="8"/>
      <c r="W607" s="8"/>
      <c r="X607" s="8"/>
      <c r="Y607" s="8"/>
    </row>
    <row r="608">
      <c r="A608" s="8"/>
      <c r="B608" s="8"/>
      <c r="C608" s="8"/>
      <c r="D608" s="8"/>
      <c r="E608" s="8"/>
      <c r="F608" s="8"/>
      <c r="G608" s="8"/>
      <c r="H608" s="8"/>
      <c r="I608" s="8"/>
      <c r="J608" s="8"/>
      <c r="K608" s="8"/>
      <c r="L608" s="8"/>
      <c r="M608" s="8"/>
      <c r="N608" s="8"/>
      <c r="O608" s="8"/>
      <c r="P608" s="8"/>
      <c r="Q608" s="8"/>
      <c r="R608" s="8"/>
      <c r="S608" s="8"/>
      <c r="T608" s="8"/>
      <c r="U608" s="8"/>
      <c r="V608" s="8"/>
      <c r="W608" s="8"/>
      <c r="X608" s="8"/>
      <c r="Y608" s="8"/>
    </row>
    <row r="609">
      <c r="A609" s="8"/>
      <c r="B609" s="8"/>
      <c r="C609" s="8"/>
      <c r="D609" s="8"/>
      <c r="E609" s="8"/>
      <c r="F609" s="8"/>
      <c r="G609" s="8"/>
      <c r="H609" s="8"/>
      <c r="I609" s="8"/>
      <c r="J609" s="8"/>
      <c r="K609" s="8"/>
      <c r="L609" s="8"/>
      <c r="M609" s="8"/>
      <c r="N609" s="8"/>
      <c r="O609" s="8"/>
      <c r="P609" s="8"/>
      <c r="Q609" s="8"/>
      <c r="R609" s="8"/>
      <c r="S609" s="8"/>
      <c r="T609" s="8"/>
      <c r="U609" s="8"/>
      <c r="V609" s="8"/>
      <c r="W609" s="8"/>
      <c r="X609" s="8"/>
      <c r="Y609" s="8"/>
    </row>
    <row r="610">
      <c r="A610" s="8"/>
      <c r="B610" s="8"/>
      <c r="C610" s="8"/>
      <c r="D610" s="8"/>
      <c r="E610" s="8"/>
      <c r="F610" s="8"/>
      <c r="G610" s="8"/>
      <c r="H610" s="8"/>
      <c r="I610" s="8"/>
      <c r="J610" s="8"/>
      <c r="K610" s="8"/>
      <c r="L610" s="8"/>
      <c r="M610" s="8"/>
      <c r="N610" s="8"/>
      <c r="O610" s="8"/>
      <c r="P610" s="8"/>
      <c r="Q610" s="8"/>
      <c r="R610" s="8"/>
      <c r="S610" s="8"/>
      <c r="T610" s="8"/>
      <c r="U610" s="8"/>
      <c r="V610" s="8"/>
      <c r="W610" s="8"/>
      <c r="X610" s="8"/>
      <c r="Y610" s="8"/>
    </row>
    <row r="611">
      <c r="A611" s="8"/>
      <c r="B611" s="8"/>
      <c r="C611" s="8"/>
      <c r="D611" s="8"/>
      <c r="E611" s="8"/>
      <c r="F611" s="8"/>
      <c r="G611" s="8"/>
      <c r="H611" s="8"/>
      <c r="I611" s="8"/>
      <c r="J611" s="8"/>
      <c r="K611" s="8"/>
      <c r="L611" s="8"/>
      <c r="M611" s="8"/>
      <c r="N611" s="8"/>
      <c r="O611" s="8"/>
      <c r="P611" s="8"/>
      <c r="Q611" s="8"/>
      <c r="R611" s="8"/>
      <c r="S611" s="8"/>
      <c r="T611" s="8"/>
      <c r="U611" s="8"/>
      <c r="V611" s="8"/>
      <c r="W611" s="8"/>
      <c r="X611" s="8"/>
      <c r="Y611" s="8"/>
    </row>
    <row r="612">
      <c r="A612" s="8"/>
      <c r="B612" s="8"/>
      <c r="C612" s="8"/>
      <c r="D612" s="8"/>
      <c r="E612" s="8"/>
      <c r="F612" s="8"/>
      <c r="G612" s="8"/>
      <c r="H612" s="8"/>
      <c r="I612" s="8"/>
      <c r="J612" s="8"/>
      <c r="K612" s="8"/>
      <c r="L612" s="8"/>
      <c r="M612" s="8"/>
      <c r="N612" s="8"/>
      <c r="O612" s="8"/>
      <c r="P612" s="8"/>
      <c r="Q612" s="8"/>
      <c r="R612" s="8"/>
      <c r="S612" s="8"/>
      <c r="T612" s="8"/>
      <c r="U612" s="8"/>
      <c r="V612" s="8"/>
      <c r="W612" s="8"/>
      <c r="X612" s="8"/>
      <c r="Y612" s="8"/>
    </row>
    <row r="613">
      <c r="A613" s="8"/>
      <c r="B613" s="8"/>
      <c r="C613" s="8"/>
      <c r="D613" s="8"/>
      <c r="E613" s="8"/>
      <c r="F613" s="8"/>
      <c r="G613" s="8"/>
      <c r="H613" s="8"/>
      <c r="I613" s="8"/>
      <c r="J613" s="8"/>
      <c r="K613" s="8"/>
      <c r="L613" s="8"/>
      <c r="M613" s="8"/>
      <c r="N613" s="8"/>
      <c r="O613" s="8"/>
      <c r="P613" s="8"/>
      <c r="Q613" s="8"/>
      <c r="R613" s="8"/>
      <c r="S613" s="8"/>
      <c r="T613" s="8"/>
      <c r="U613" s="8"/>
      <c r="V613" s="8"/>
      <c r="W613" s="8"/>
      <c r="X613" s="8"/>
      <c r="Y613" s="8"/>
    </row>
    <row r="614">
      <c r="A614" s="8"/>
      <c r="B614" s="8"/>
      <c r="C614" s="8"/>
      <c r="D614" s="8"/>
      <c r="E614" s="8"/>
      <c r="F614" s="8"/>
      <c r="G614" s="8"/>
      <c r="H614" s="8"/>
      <c r="I614" s="8"/>
      <c r="J614" s="8"/>
      <c r="K614" s="8"/>
      <c r="L614" s="8"/>
      <c r="M614" s="8"/>
      <c r="N614" s="8"/>
      <c r="O614" s="8"/>
      <c r="P614" s="8"/>
      <c r="Q614" s="8"/>
      <c r="R614" s="8"/>
      <c r="S614" s="8"/>
      <c r="T614" s="8"/>
      <c r="U614" s="8"/>
      <c r="V614" s="8"/>
      <c r="W614" s="8"/>
      <c r="X614" s="8"/>
      <c r="Y614" s="8"/>
    </row>
    <row r="615">
      <c r="A615" s="8"/>
      <c r="B615" s="8"/>
      <c r="C615" s="8"/>
      <c r="D615" s="8"/>
      <c r="E615" s="8"/>
      <c r="F615" s="8"/>
      <c r="G615" s="8"/>
      <c r="H615" s="8"/>
      <c r="I615" s="8"/>
      <c r="J615" s="8"/>
      <c r="K615" s="8"/>
      <c r="L615" s="8"/>
      <c r="M615" s="8"/>
      <c r="N615" s="8"/>
      <c r="O615" s="8"/>
      <c r="P615" s="8"/>
      <c r="Q615" s="8"/>
      <c r="R615" s="8"/>
      <c r="S615" s="8"/>
      <c r="T615" s="8"/>
      <c r="U615" s="8"/>
      <c r="V615" s="8"/>
      <c r="W615" s="8"/>
      <c r="X615" s="8"/>
      <c r="Y615" s="8"/>
    </row>
    <row r="616">
      <c r="A616" s="8"/>
      <c r="B616" s="8"/>
      <c r="C616" s="8"/>
      <c r="D616" s="8"/>
      <c r="E616" s="8"/>
      <c r="F616" s="8"/>
      <c r="G616" s="8"/>
      <c r="H616" s="8"/>
      <c r="I616" s="8"/>
      <c r="J616" s="8"/>
      <c r="K616" s="8"/>
      <c r="L616" s="8"/>
      <c r="M616" s="8"/>
      <c r="N616" s="8"/>
      <c r="O616" s="8"/>
      <c r="P616" s="8"/>
      <c r="Q616" s="8"/>
      <c r="R616" s="8"/>
      <c r="S616" s="8"/>
      <c r="T616" s="8"/>
      <c r="U616" s="8"/>
      <c r="V616" s="8"/>
      <c r="W616" s="8"/>
      <c r="X616" s="8"/>
      <c r="Y616" s="8"/>
    </row>
    <row r="617">
      <c r="A617" s="8"/>
      <c r="B617" s="8"/>
      <c r="C617" s="8"/>
      <c r="D617" s="8"/>
      <c r="E617" s="8"/>
      <c r="F617" s="8"/>
      <c r="G617" s="8"/>
      <c r="H617" s="8"/>
      <c r="I617" s="8"/>
      <c r="J617" s="8"/>
      <c r="K617" s="8"/>
      <c r="L617" s="8"/>
      <c r="M617" s="8"/>
      <c r="N617" s="8"/>
      <c r="O617" s="8"/>
      <c r="P617" s="8"/>
      <c r="Q617" s="8"/>
      <c r="R617" s="8"/>
      <c r="S617" s="8"/>
      <c r="T617" s="8"/>
      <c r="U617" s="8"/>
      <c r="V617" s="8"/>
      <c r="W617" s="8"/>
      <c r="X617" s="8"/>
      <c r="Y617" s="8"/>
    </row>
    <row r="618">
      <c r="A618" s="8"/>
      <c r="B618" s="8"/>
      <c r="C618" s="8"/>
      <c r="D618" s="8"/>
      <c r="E618" s="8"/>
      <c r="F618" s="8"/>
      <c r="G618" s="8"/>
      <c r="H618" s="8"/>
      <c r="I618" s="8"/>
      <c r="J618" s="8"/>
      <c r="K618" s="8"/>
      <c r="L618" s="8"/>
      <c r="M618" s="8"/>
      <c r="N618" s="8"/>
      <c r="O618" s="8"/>
      <c r="P618" s="8"/>
      <c r="Q618" s="8"/>
      <c r="R618" s="8"/>
      <c r="S618" s="8"/>
      <c r="T618" s="8"/>
      <c r="U618" s="8"/>
      <c r="V618" s="8"/>
      <c r="W618" s="8"/>
      <c r="X618" s="8"/>
      <c r="Y618" s="8"/>
    </row>
    <row r="619">
      <c r="A619" s="8"/>
      <c r="B619" s="8"/>
      <c r="C619" s="8"/>
      <c r="D619" s="8"/>
      <c r="E619" s="8"/>
      <c r="F619" s="8"/>
      <c r="G619" s="8"/>
      <c r="H619" s="8"/>
      <c r="I619" s="8"/>
      <c r="J619" s="8"/>
      <c r="K619" s="8"/>
      <c r="L619" s="8"/>
      <c r="M619" s="8"/>
      <c r="N619" s="8"/>
      <c r="O619" s="8"/>
      <c r="P619" s="8"/>
      <c r="Q619" s="8"/>
      <c r="R619" s="8"/>
      <c r="S619" s="8"/>
      <c r="T619" s="8"/>
      <c r="U619" s="8"/>
      <c r="V619" s="8"/>
      <c r="W619" s="8"/>
      <c r="X619" s="8"/>
      <c r="Y619" s="8"/>
    </row>
    <row r="620">
      <c r="A620" s="8"/>
      <c r="B620" s="8"/>
      <c r="C620" s="8"/>
      <c r="D620" s="8"/>
      <c r="E620" s="8"/>
      <c r="F620" s="8"/>
      <c r="G620" s="8"/>
      <c r="H620" s="8"/>
      <c r="I620" s="8"/>
      <c r="J620" s="8"/>
      <c r="K620" s="8"/>
      <c r="L620" s="8"/>
      <c r="M620" s="8"/>
      <c r="N620" s="8"/>
      <c r="O620" s="8"/>
      <c r="P620" s="8"/>
      <c r="Q620" s="8"/>
      <c r="R620" s="8"/>
      <c r="S620" s="8"/>
      <c r="T620" s="8"/>
      <c r="U620" s="8"/>
      <c r="V620" s="8"/>
      <c r="W620" s="8"/>
      <c r="X620" s="8"/>
      <c r="Y620" s="8"/>
    </row>
    <row r="621">
      <c r="A621" s="8"/>
      <c r="B621" s="8"/>
      <c r="C621" s="8"/>
      <c r="D621" s="8"/>
      <c r="E621" s="8"/>
      <c r="F621" s="8"/>
      <c r="G621" s="8"/>
      <c r="H621" s="8"/>
      <c r="I621" s="8"/>
      <c r="J621" s="8"/>
      <c r="K621" s="8"/>
      <c r="L621" s="8"/>
      <c r="M621" s="8"/>
      <c r="N621" s="8"/>
      <c r="O621" s="8"/>
      <c r="P621" s="8"/>
      <c r="Q621" s="8"/>
      <c r="R621" s="8"/>
      <c r="S621" s="8"/>
      <c r="T621" s="8"/>
      <c r="U621" s="8"/>
      <c r="V621" s="8"/>
      <c r="W621" s="8"/>
      <c r="X621" s="8"/>
      <c r="Y621" s="8"/>
    </row>
    <row r="622">
      <c r="A622" s="8"/>
      <c r="B622" s="8"/>
      <c r="C622" s="8"/>
      <c r="D622" s="8"/>
      <c r="E622" s="8"/>
      <c r="F622" s="8"/>
      <c r="G622" s="8"/>
      <c r="H622" s="8"/>
      <c r="I622" s="8"/>
      <c r="J622" s="8"/>
      <c r="K622" s="8"/>
      <c r="L622" s="8"/>
      <c r="M622" s="8"/>
      <c r="N622" s="8"/>
      <c r="O622" s="8"/>
      <c r="P622" s="8"/>
      <c r="Q622" s="8"/>
      <c r="R622" s="8"/>
      <c r="S622" s="8"/>
      <c r="T622" s="8"/>
      <c r="U622" s="8"/>
      <c r="V622" s="8"/>
      <c r="W622" s="8"/>
      <c r="X622" s="8"/>
      <c r="Y622" s="8"/>
    </row>
    <row r="623">
      <c r="A623" s="8"/>
      <c r="B623" s="8"/>
      <c r="C623" s="8"/>
      <c r="D623" s="8"/>
      <c r="E623" s="8"/>
      <c r="F623" s="8"/>
      <c r="G623" s="8"/>
      <c r="H623" s="8"/>
      <c r="I623" s="8"/>
      <c r="J623" s="8"/>
      <c r="K623" s="8"/>
      <c r="L623" s="8"/>
      <c r="M623" s="8"/>
      <c r="N623" s="8"/>
      <c r="O623" s="8"/>
      <c r="P623" s="8"/>
      <c r="Q623" s="8"/>
      <c r="R623" s="8"/>
      <c r="S623" s="8"/>
      <c r="T623" s="8"/>
      <c r="U623" s="8"/>
      <c r="V623" s="8"/>
      <c r="W623" s="8"/>
      <c r="X623" s="8"/>
      <c r="Y623" s="8"/>
    </row>
    <row r="624">
      <c r="A624" s="8"/>
      <c r="B624" s="8"/>
      <c r="C624" s="8"/>
      <c r="D624" s="8"/>
      <c r="E624" s="8"/>
      <c r="F624" s="8"/>
      <c r="G624" s="8"/>
      <c r="H624" s="8"/>
      <c r="I624" s="8"/>
      <c r="J624" s="8"/>
      <c r="K624" s="8"/>
      <c r="L624" s="8"/>
      <c r="M624" s="8"/>
      <c r="N624" s="8"/>
      <c r="O624" s="8"/>
      <c r="P624" s="8"/>
      <c r="Q624" s="8"/>
      <c r="R624" s="8"/>
      <c r="S624" s="8"/>
      <c r="T624" s="8"/>
      <c r="U624" s="8"/>
      <c r="V624" s="8"/>
      <c r="W624" s="8"/>
      <c r="X624" s="8"/>
      <c r="Y624" s="8"/>
    </row>
    <row r="625">
      <c r="A625" s="8"/>
      <c r="B625" s="8"/>
      <c r="C625" s="8"/>
      <c r="D625" s="8"/>
      <c r="E625" s="8"/>
      <c r="F625" s="8"/>
      <c r="G625" s="8"/>
      <c r="H625" s="8"/>
      <c r="I625" s="8"/>
      <c r="J625" s="8"/>
      <c r="K625" s="8"/>
      <c r="L625" s="8"/>
      <c r="M625" s="8"/>
      <c r="N625" s="8"/>
      <c r="O625" s="8"/>
      <c r="P625" s="8"/>
      <c r="Q625" s="8"/>
      <c r="R625" s="8"/>
      <c r="S625" s="8"/>
      <c r="T625" s="8"/>
      <c r="U625" s="8"/>
      <c r="V625" s="8"/>
      <c r="W625" s="8"/>
      <c r="X625" s="8"/>
      <c r="Y625" s="8"/>
    </row>
    <row r="626">
      <c r="A626" s="8"/>
      <c r="B626" s="8"/>
      <c r="C626" s="8"/>
      <c r="D626" s="8"/>
      <c r="E626" s="8"/>
      <c r="F626" s="8"/>
      <c r="G626" s="8"/>
      <c r="H626" s="8"/>
      <c r="I626" s="8"/>
      <c r="J626" s="8"/>
      <c r="K626" s="8"/>
      <c r="L626" s="8"/>
      <c r="M626" s="8"/>
      <c r="N626" s="8"/>
      <c r="O626" s="8"/>
      <c r="P626" s="8"/>
      <c r="Q626" s="8"/>
      <c r="R626" s="8"/>
      <c r="S626" s="8"/>
      <c r="T626" s="8"/>
      <c r="U626" s="8"/>
      <c r="V626" s="8"/>
      <c r="W626" s="8"/>
      <c r="X626" s="8"/>
      <c r="Y626" s="8"/>
    </row>
    <row r="627">
      <c r="A627" s="8"/>
      <c r="B627" s="8"/>
      <c r="C627" s="8"/>
      <c r="D627" s="8"/>
      <c r="E627" s="8"/>
      <c r="F627" s="8"/>
      <c r="G627" s="8"/>
      <c r="H627" s="8"/>
      <c r="I627" s="8"/>
      <c r="J627" s="8"/>
      <c r="K627" s="8"/>
      <c r="L627" s="8"/>
      <c r="M627" s="8"/>
      <c r="N627" s="8"/>
      <c r="O627" s="8"/>
      <c r="P627" s="8"/>
      <c r="Q627" s="8"/>
      <c r="R627" s="8"/>
      <c r="S627" s="8"/>
      <c r="T627" s="8"/>
      <c r="U627" s="8"/>
      <c r="V627" s="8"/>
      <c r="W627" s="8"/>
      <c r="X627" s="8"/>
      <c r="Y627" s="8"/>
    </row>
    <row r="628">
      <c r="A628" s="8"/>
      <c r="B628" s="8"/>
      <c r="C628" s="8"/>
      <c r="D628" s="8"/>
      <c r="E628" s="8"/>
      <c r="F628" s="8"/>
      <c r="G628" s="8"/>
      <c r="H628" s="8"/>
      <c r="I628" s="8"/>
      <c r="J628" s="8"/>
      <c r="K628" s="8"/>
      <c r="L628" s="8"/>
      <c r="M628" s="8"/>
      <c r="N628" s="8"/>
      <c r="O628" s="8"/>
      <c r="P628" s="8"/>
      <c r="Q628" s="8"/>
      <c r="R628" s="8"/>
      <c r="S628" s="8"/>
      <c r="T628" s="8"/>
      <c r="U628" s="8"/>
      <c r="V628" s="8"/>
      <c r="W628" s="8"/>
      <c r="X628" s="8"/>
      <c r="Y628" s="8"/>
    </row>
    <row r="629">
      <c r="A629" s="8"/>
      <c r="B629" s="8"/>
      <c r="C629" s="8"/>
      <c r="D629" s="8"/>
      <c r="E629" s="8"/>
      <c r="F629" s="8"/>
      <c r="G629" s="8"/>
      <c r="H629" s="8"/>
      <c r="I629" s="8"/>
      <c r="J629" s="8"/>
      <c r="K629" s="8"/>
      <c r="L629" s="8"/>
      <c r="M629" s="8"/>
      <c r="N629" s="8"/>
      <c r="O629" s="8"/>
      <c r="P629" s="8"/>
      <c r="Q629" s="8"/>
      <c r="R629" s="8"/>
      <c r="S629" s="8"/>
      <c r="T629" s="8"/>
      <c r="U629" s="8"/>
      <c r="V629" s="8"/>
      <c r="W629" s="8"/>
      <c r="X629" s="8"/>
      <c r="Y629" s="8"/>
    </row>
    <row r="630">
      <c r="A630" s="8"/>
      <c r="B630" s="8"/>
      <c r="C630" s="8"/>
      <c r="D630" s="8"/>
      <c r="E630" s="8"/>
      <c r="F630" s="8"/>
      <c r="G630" s="8"/>
      <c r="H630" s="8"/>
      <c r="I630" s="8"/>
      <c r="J630" s="8"/>
      <c r="K630" s="8"/>
      <c r="L630" s="8"/>
      <c r="M630" s="8"/>
      <c r="N630" s="8"/>
      <c r="O630" s="8"/>
      <c r="P630" s="8"/>
      <c r="Q630" s="8"/>
      <c r="R630" s="8"/>
      <c r="S630" s="8"/>
      <c r="T630" s="8"/>
      <c r="U630" s="8"/>
      <c r="V630" s="8"/>
      <c r="W630" s="8"/>
      <c r="X630" s="8"/>
      <c r="Y630" s="8"/>
    </row>
    <row r="631">
      <c r="A631" s="8"/>
      <c r="B631" s="8"/>
      <c r="C631" s="8"/>
      <c r="D631" s="8"/>
      <c r="E631" s="8"/>
      <c r="F631" s="8"/>
      <c r="G631" s="8"/>
      <c r="H631" s="8"/>
      <c r="I631" s="8"/>
      <c r="J631" s="8"/>
      <c r="K631" s="8"/>
      <c r="L631" s="8"/>
      <c r="M631" s="8"/>
      <c r="N631" s="8"/>
      <c r="O631" s="8"/>
      <c r="P631" s="8"/>
      <c r="Q631" s="8"/>
      <c r="R631" s="8"/>
      <c r="S631" s="8"/>
      <c r="T631" s="8"/>
      <c r="U631" s="8"/>
      <c r="V631" s="8"/>
      <c r="W631" s="8"/>
      <c r="X631" s="8"/>
      <c r="Y631" s="8"/>
    </row>
    <row r="632">
      <c r="A632" s="8"/>
      <c r="B632" s="8"/>
      <c r="C632" s="8"/>
      <c r="D632" s="8"/>
      <c r="E632" s="8"/>
      <c r="F632" s="8"/>
      <c r="G632" s="8"/>
      <c r="H632" s="8"/>
      <c r="I632" s="8"/>
      <c r="J632" s="8"/>
      <c r="K632" s="8"/>
      <c r="L632" s="8"/>
      <c r="M632" s="8"/>
      <c r="N632" s="8"/>
      <c r="O632" s="8"/>
      <c r="P632" s="8"/>
      <c r="Q632" s="8"/>
      <c r="R632" s="8"/>
      <c r="S632" s="8"/>
      <c r="T632" s="8"/>
      <c r="U632" s="8"/>
      <c r="V632" s="8"/>
      <c r="W632" s="8"/>
      <c r="X632" s="8"/>
      <c r="Y632" s="8"/>
    </row>
    <row r="633">
      <c r="A633" s="8"/>
      <c r="B633" s="8"/>
      <c r="C633" s="8"/>
      <c r="D633" s="8"/>
      <c r="E633" s="8"/>
      <c r="F633" s="8"/>
      <c r="G633" s="8"/>
      <c r="H633" s="8"/>
      <c r="I633" s="8"/>
      <c r="J633" s="8"/>
      <c r="K633" s="8"/>
      <c r="L633" s="8"/>
      <c r="M633" s="8"/>
      <c r="N633" s="8"/>
      <c r="O633" s="8"/>
      <c r="P633" s="8"/>
      <c r="Q633" s="8"/>
      <c r="R633" s="8"/>
      <c r="S633" s="8"/>
      <c r="T633" s="8"/>
      <c r="U633" s="8"/>
      <c r="V633" s="8"/>
      <c r="W633" s="8"/>
      <c r="X633" s="8"/>
      <c r="Y633" s="8"/>
    </row>
    <row r="634">
      <c r="A634" s="8"/>
      <c r="B634" s="8"/>
      <c r="C634" s="8"/>
      <c r="D634" s="8"/>
      <c r="E634" s="8"/>
      <c r="F634" s="8"/>
      <c r="G634" s="8"/>
      <c r="H634" s="8"/>
      <c r="I634" s="8"/>
      <c r="J634" s="8"/>
      <c r="K634" s="8"/>
      <c r="L634" s="8"/>
      <c r="M634" s="8"/>
      <c r="N634" s="8"/>
      <c r="O634" s="8"/>
      <c r="P634" s="8"/>
      <c r="Q634" s="8"/>
      <c r="R634" s="8"/>
      <c r="S634" s="8"/>
      <c r="T634" s="8"/>
      <c r="U634" s="8"/>
      <c r="V634" s="8"/>
      <c r="W634" s="8"/>
      <c r="X634" s="8"/>
      <c r="Y634" s="8"/>
    </row>
    <row r="635">
      <c r="A635" s="8"/>
      <c r="B635" s="8"/>
      <c r="C635" s="8"/>
      <c r="D635" s="8"/>
      <c r="E635" s="8"/>
      <c r="F635" s="8"/>
      <c r="G635" s="8"/>
      <c r="H635" s="8"/>
      <c r="I635" s="8"/>
      <c r="J635" s="8"/>
      <c r="K635" s="8"/>
      <c r="L635" s="8"/>
      <c r="M635" s="8"/>
      <c r="N635" s="8"/>
      <c r="O635" s="8"/>
      <c r="P635" s="8"/>
      <c r="Q635" s="8"/>
      <c r="R635" s="8"/>
      <c r="S635" s="8"/>
      <c r="T635" s="8"/>
      <c r="U635" s="8"/>
      <c r="V635" s="8"/>
      <c r="W635" s="8"/>
      <c r="X635" s="8"/>
      <c r="Y635" s="8"/>
    </row>
    <row r="636">
      <c r="A636" s="8"/>
      <c r="B636" s="8"/>
      <c r="C636" s="8"/>
      <c r="D636" s="8"/>
      <c r="E636" s="8"/>
      <c r="F636" s="8"/>
      <c r="G636" s="8"/>
      <c r="H636" s="8"/>
      <c r="I636" s="8"/>
      <c r="J636" s="8"/>
      <c r="K636" s="8"/>
      <c r="L636" s="8"/>
      <c r="M636" s="8"/>
      <c r="N636" s="8"/>
      <c r="O636" s="8"/>
      <c r="P636" s="8"/>
      <c r="Q636" s="8"/>
      <c r="R636" s="8"/>
      <c r="S636" s="8"/>
      <c r="T636" s="8"/>
      <c r="U636" s="8"/>
      <c r="V636" s="8"/>
      <c r="W636" s="8"/>
      <c r="X636" s="8"/>
      <c r="Y636" s="8"/>
    </row>
    <row r="637">
      <c r="A637" s="8"/>
      <c r="B637" s="8"/>
      <c r="C637" s="8"/>
      <c r="D637" s="8"/>
      <c r="E637" s="8"/>
      <c r="F637" s="8"/>
      <c r="G637" s="8"/>
      <c r="H637" s="8"/>
      <c r="I637" s="8"/>
      <c r="J637" s="8"/>
      <c r="K637" s="8"/>
      <c r="L637" s="8"/>
      <c r="M637" s="8"/>
      <c r="N637" s="8"/>
      <c r="O637" s="8"/>
      <c r="P637" s="8"/>
      <c r="Q637" s="8"/>
      <c r="R637" s="8"/>
      <c r="S637" s="8"/>
      <c r="T637" s="8"/>
      <c r="U637" s="8"/>
      <c r="V637" s="8"/>
      <c r="W637" s="8"/>
      <c r="X637" s="8"/>
      <c r="Y637" s="8"/>
    </row>
    <row r="638">
      <c r="A638" s="8"/>
      <c r="B638" s="8"/>
      <c r="C638" s="8"/>
      <c r="D638" s="8"/>
      <c r="E638" s="8"/>
      <c r="F638" s="8"/>
      <c r="G638" s="8"/>
      <c r="H638" s="8"/>
      <c r="I638" s="8"/>
      <c r="J638" s="8"/>
      <c r="K638" s="8"/>
      <c r="L638" s="8"/>
      <c r="M638" s="8"/>
      <c r="N638" s="8"/>
      <c r="O638" s="8"/>
      <c r="P638" s="8"/>
      <c r="Q638" s="8"/>
      <c r="R638" s="8"/>
      <c r="S638" s="8"/>
      <c r="T638" s="8"/>
      <c r="U638" s="8"/>
      <c r="V638" s="8"/>
      <c r="W638" s="8"/>
      <c r="X638" s="8"/>
      <c r="Y638" s="8"/>
    </row>
    <row r="639">
      <c r="A639" s="8"/>
      <c r="B639" s="8"/>
      <c r="C639" s="8"/>
      <c r="D639" s="8"/>
      <c r="E639" s="8"/>
      <c r="F639" s="8"/>
      <c r="G639" s="8"/>
      <c r="H639" s="8"/>
      <c r="I639" s="8"/>
      <c r="J639" s="8"/>
      <c r="K639" s="8"/>
      <c r="L639" s="8"/>
      <c r="M639" s="8"/>
      <c r="N639" s="8"/>
      <c r="O639" s="8"/>
      <c r="P639" s="8"/>
      <c r="Q639" s="8"/>
      <c r="R639" s="8"/>
      <c r="S639" s="8"/>
      <c r="T639" s="8"/>
      <c r="U639" s="8"/>
      <c r="V639" s="8"/>
      <c r="W639" s="8"/>
      <c r="X639" s="8"/>
      <c r="Y639" s="8"/>
    </row>
    <row r="640">
      <c r="A640" s="8"/>
      <c r="B640" s="8"/>
      <c r="C640" s="8"/>
      <c r="D640" s="8"/>
      <c r="E640" s="8"/>
      <c r="F640" s="8"/>
      <c r="G640" s="8"/>
      <c r="H640" s="8"/>
      <c r="I640" s="8"/>
      <c r="J640" s="8"/>
      <c r="K640" s="8"/>
      <c r="L640" s="8"/>
      <c r="M640" s="8"/>
      <c r="N640" s="8"/>
      <c r="O640" s="8"/>
      <c r="P640" s="8"/>
      <c r="Q640" s="8"/>
      <c r="R640" s="8"/>
      <c r="S640" s="8"/>
      <c r="T640" s="8"/>
      <c r="U640" s="8"/>
      <c r="V640" s="8"/>
      <c r="W640" s="8"/>
      <c r="X640" s="8"/>
      <c r="Y640" s="8"/>
    </row>
    <row r="641">
      <c r="A641" s="8"/>
      <c r="B641" s="8"/>
      <c r="C641" s="8"/>
      <c r="D641" s="8"/>
      <c r="E641" s="8"/>
      <c r="F641" s="8"/>
      <c r="G641" s="8"/>
      <c r="H641" s="8"/>
      <c r="I641" s="8"/>
      <c r="J641" s="8"/>
      <c r="K641" s="8"/>
      <c r="L641" s="8"/>
      <c r="M641" s="8"/>
      <c r="N641" s="8"/>
      <c r="O641" s="8"/>
      <c r="P641" s="8"/>
      <c r="Q641" s="8"/>
      <c r="R641" s="8"/>
      <c r="S641" s="8"/>
      <c r="T641" s="8"/>
      <c r="U641" s="8"/>
      <c r="V641" s="8"/>
      <c r="W641" s="8"/>
      <c r="X641" s="8"/>
      <c r="Y641" s="8"/>
    </row>
    <row r="642">
      <c r="A642" s="8"/>
      <c r="B642" s="8"/>
      <c r="C642" s="8"/>
      <c r="D642" s="8"/>
      <c r="E642" s="8"/>
      <c r="F642" s="8"/>
      <c r="G642" s="8"/>
      <c r="H642" s="8"/>
      <c r="I642" s="8"/>
      <c r="J642" s="8"/>
      <c r="K642" s="8"/>
      <c r="L642" s="8"/>
      <c r="M642" s="8"/>
      <c r="N642" s="8"/>
      <c r="O642" s="8"/>
      <c r="P642" s="8"/>
      <c r="Q642" s="8"/>
      <c r="R642" s="8"/>
      <c r="S642" s="8"/>
      <c r="T642" s="8"/>
      <c r="U642" s="8"/>
      <c r="V642" s="8"/>
      <c r="W642" s="8"/>
      <c r="X642" s="8"/>
      <c r="Y642" s="8"/>
    </row>
    <row r="643">
      <c r="A643" s="8"/>
      <c r="B643" s="8"/>
      <c r="C643" s="8"/>
      <c r="D643" s="8"/>
      <c r="E643" s="8"/>
      <c r="F643" s="8"/>
      <c r="G643" s="8"/>
      <c r="H643" s="8"/>
      <c r="I643" s="8"/>
      <c r="J643" s="8"/>
      <c r="K643" s="8"/>
      <c r="L643" s="8"/>
      <c r="M643" s="8"/>
      <c r="N643" s="8"/>
      <c r="O643" s="8"/>
      <c r="P643" s="8"/>
      <c r="Q643" s="8"/>
      <c r="R643" s="8"/>
      <c r="S643" s="8"/>
      <c r="T643" s="8"/>
      <c r="U643" s="8"/>
      <c r="V643" s="8"/>
      <c r="W643" s="8"/>
      <c r="X643" s="8"/>
      <c r="Y643" s="8"/>
    </row>
    <row r="644">
      <c r="A644" s="8"/>
      <c r="B644" s="8"/>
      <c r="C644" s="8"/>
      <c r="D644" s="8"/>
      <c r="E644" s="8"/>
      <c r="F644" s="8"/>
      <c r="G644" s="8"/>
      <c r="H644" s="8"/>
      <c r="I644" s="8"/>
      <c r="J644" s="8"/>
      <c r="K644" s="8"/>
      <c r="L644" s="8"/>
      <c r="M644" s="8"/>
      <c r="N644" s="8"/>
      <c r="O644" s="8"/>
      <c r="P644" s="8"/>
      <c r="Q644" s="8"/>
      <c r="R644" s="8"/>
      <c r="S644" s="8"/>
      <c r="T644" s="8"/>
      <c r="U644" s="8"/>
      <c r="V644" s="8"/>
      <c r="W644" s="8"/>
      <c r="X644" s="8"/>
      <c r="Y644" s="8"/>
    </row>
    <row r="645">
      <c r="A645" s="8"/>
      <c r="B645" s="8"/>
      <c r="C645" s="8"/>
      <c r="D645" s="8"/>
      <c r="E645" s="8"/>
      <c r="F645" s="8"/>
      <c r="G645" s="8"/>
      <c r="H645" s="8"/>
      <c r="I645" s="8"/>
      <c r="J645" s="8"/>
      <c r="K645" s="8"/>
      <c r="L645" s="8"/>
      <c r="M645" s="8"/>
      <c r="N645" s="8"/>
      <c r="O645" s="8"/>
      <c r="P645" s="8"/>
      <c r="Q645" s="8"/>
      <c r="R645" s="8"/>
      <c r="S645" s="8"/>
      <c r="T645" s="8"/>
      <c r="U645" s="8"/>
      <c r="V645" s="8"/>
      <c r="W645" s="8"/>
      <c r="X645" s="8"/>
      <c r="Y645" s="8"/>
    </row>
    <row r="646">
      <c r="A646" s="8"/>
      <c r="B646" s="8"/>
      <c r="C646" s="8"/>
      <c r="D646" s="8"/>
      <c r="E646" s="8"/>
      <c r="F646" s="8"/>
      <c r="G646" s="8"/>
      <c r="H646" s="8"/>
      <c r="I646" s="8"/>
      <c r="J646" s="8"/>
      <c r="K646" s="8"/>
      <c r="L646" s="8"/>
      <c r="M646" s="8"/>
      <c r="N646" s="8"/>
      <c r="O646" s="8"/>
      <c r="P646" s="8"/>
      <c r="Q646" s="8"/>
      <c r="R646" s="8"/>
      <c r="S646" s="8"/>
      <c r="T646" s="8"/>
      <c r="U646" s="8"/>
      <c r="V646" s="8"/>
      <c r="W646" s="8"/>
      <c r="X646" s="8"/>
      <c r="Y646" s="8"/>
    </row>
    <row r="647">
      <c r="A647" s="8"/>
      <c r="B647" s="8"/>
      <c r="C647" s="8"/>
      <c r="D647" s="8"/>
      <c r="E647" s="8"/>
      <c r="F647" s="8"/>
      <c r="G647" s="8"/>
      <c r="H647" s="8"/>
      <c r="I647" s="8"/>
      <c r="J647" s="8"/>
      <c r="K647" s="8"/>
      <c r="L647" s="8"/>
      <c r="M647" s="8"/>
      <c r="N647" s="8"/>
      <c r="O647" s="8"/>
      <c r="P647" s="8"/>
      <c r="Q647" s="8"/>
      <c r="R647" s="8"/>
      <c r="S647" s="8"/>
      <c r="T647" s="8"/>
      <c r="U647" s="8"/>
      <c r="V647" s="8"/>
      <c r="W647" s="8"/>
      <c r="X647" s="8"/>
      <c r="Y647" s="8"/>
    </row>
    <row r="648">
      <c r="A648" s="8"/>
      <c r="B648" s="8"/>
      <c r="C648" s="8"/>
      <c r="D648" s="8"/>
      <c r="E648" s="8"/>
      <c r="F648" s="8"/>
      <c r="G648" s="8"/>
      <c r="H648" s="8"/>
      <c r="I648" s="8"/>
      <c r="J648" s="8"/>
      <c r="K648" s="8"/>
      <c r="L648" s="8"/>
      <c r="M648" s="8"/>
      <c r="N648" s="8"/>
      <c r="O648" s="8"/>
      <c r="P648" s="8"/>
      <c r="Q648" s="8"/>
      <c r="R648" s="8"/>
      <c r="S648" s="8"/>
      <c r="T648" s="8"/>
      <c r="U648" s="8"/>
      <c r="V648" s="8"/>
      <c r="W648" s="8"/>
      <c r="X648" s="8"/>
      <c r="Y648" s="8"/>
    </row>
    <row r="649">
      <c r="A649" s="8"/>
      <c r="B649" s="8"/>
      <c r="C649" s="8"/>
      <c r="D649" s="8"/>
      <c r="E649" s="8"/>
      <c r="F649" s="8"/>
      <c r="G649" s="8"/>
      <c r="H649" s="8"/>
      <c r="I649" s="8"/>
      <c r="J649" s="8"/>
      <c r="K649" s="8"/>
      <c r="L649" s="8"/>
      <c r="M649" s="8"/>
      <c r="N649" s="8"/>
      <c r="O649" s="8"/>
      <c r="P649" s="8"/>
      <c r="Q649" s="8"/>
      <c r="R649" s="8"/>
      <c r="S649" s="8"/>
      <c r="T649" s="8"/>
      <c r="U649" s="8"/>
      <c r="V649" s="8"/>
      <c r="W649" s="8"/>
      <c r="X649" s="8"/>
      <c r="Y649" s="8"/>
    </row>
    <row r="650">
      <c r="A650" s="8"/>
      <c r="B650" s="8"/>
      <c r="C650" s="8"/>
      <c r="D650" s="8"/>
      <c r="E650" s="8"/>
      <c r="F650" s="8"/>
      <c r="G650" s="8"/>
      <c r="H650" s="8"/>
      <c r="I650" s="8"/>
      <c r="J650" s="8"/>
      <c r="K650" s="8"/>
      <c r="L650" s="8"/>
      <c r="M650" s="8"/>
      <c r="N650" s="8"/>
      <c r="O650" s="8"/>
      <c r="P650" s="8"/>
      <c r="Q650" s="8"/>
      <c r="R650" s="8"/>
      <c r="S650" s="8"/>
      <c r="T650" s="8"/>
      <c r="U650" s="8"/>
      <c r="V650" s="8"/>
      <c r="W650" s="8"/>
      <c r="X650" s="8"/>
      <c r="Y650" s="8"/>
    </row>
    <row r="651">
      <c r="A651" s="8"/>
      <c r="B651" s="8"/>
      <c r="C651" s="8"/>
      <c r="D651" s="8"/>
      <c r="E651" s="8"/>
      <c r="F651" s="8"/>
      <c r="G651" s="8"/>
      <c r="H651" s="8"/>
      <c r="I651" s="8"/>
      <c r="J651" s="8"/>
      <c r="K651" s="8"/>
      <c r="L651" s="8"/>
      <c r="M651" s="8"/>
      <c r="N651" s="8"/>
      <c r="O651" s="8"/>
      <c r="P651" s="8"/>
      <c r="Q651" s="8"/>
      <c r="R651" s="8"/>
      <c r="S651" s="8"/>
      <c r="T651" s="8"/>
      <c r="U651" s="8"/>
      <c r="V651" s="8"/>
      <c r="W651" s="8"/>
      <c r="X651" s="8"/>
      <c r="Y651" s="8"/>
    </row>
    <row r="652">
      <c r="A652" s="8"/>
      <c r="B652" s="8"/>
      <c r="C652" s="8"/>
      <c r="D652" s="8"/>
      <c r="E652" s="8"/>
      <c r="F652" s="8"/>
      <c r="G652" s="8"/>
      <c r="H652" s="8"/>
      <c r="I652" s="8"/>
      <c r="J652" s="8"/>
      <c r="K652" s="8"/>
      <c r="L652" s="8"/>
      <c r="M652" s="8"/>
      <c r="N652" s="8"/>
      <c r="O652" s="8"/>
      <c r="P652" s="8"/>
      <c r="Q652" s="8"/>
      <c r="R652" s="8"/>
      <c r="S652" s="8"/>
      <c r="T652" s="8"/>
      <c r="U652" s="8"/>
      <c r="V652" s="8"/>
      <c r="W652" s="8"/>
      <c r="X652" s="8"/>
      <c r="Y652" s="8"/>
    </row>
    <row r="653">
      <c r="A653" s="8"/>
      <c r="B653" s="8"/>
      <c r="C653" s="8"/>
      <c r="D653" s="8"/>
      <c r="E653" s="8"/>
      <c r="F653" s="8"/>
      <c r="G653" s="8"/>
      <c r="H653" s="8"/>
      <c r="I653" s="8"/>
      <c r="J653" s="8"/>
      <c r="K653" s="8"/>
      <c r="L653" s="8"/>
      <c r="M653" s="8"/>
      <c r="N653" s="8"/>
      <c r="O653" s="8"/>
      <c r="P653" s="8"/>
      <c r="Q653" s="8"/>
      <c r="R653" s="8"/>
      <c r="S653" s="8"/>
      <c r="T653" s="8"/>
      <c r="U653" s="8"/>
      <c r="V653" s="8"/>
      <c r="W653" s="8"/>
      <c r="X653" s="8"/>
      <c r="Y653" s="8"/>
    </row>
    <row r="654">
      <c r="A654" s="8"/>
      <c r="B654" s="8"/>
      <c r="C654" s="8"/>
      <c r="D654" s="8"/>
      <c r="E654" s="8"/>
      <c r="F654" s="8"/>
      <c r="G654" s="8"/>
      <c r="H654" s="8"/>
      <c r="I654" s="8"/>
      <c r="J654" s="8"/>
      <c r="K654" s="8"/>
      <c r="L654" s="8"/>
      <c r="M654" s="8"/>
      <c r="N654" s="8"/>
      <c r="O654" s="8"/>
      <c r="P654" s="8"/>
      <c r="Q654" s="8"/>
      <c r="R654" s="8"/>
      <c r="S654" s="8"/>
      <c r="T654" s="8"/>
      <c r="U654" s="8"/>
      <c r="V654" s="8"/>
      <c r="W654" s="8"/>
      <c r="X654" s="8"/>
      <c r="Y654" s="8"/>
    </row>
    <row r="655">
      <c r="A655" s="8"/>
      <c r="B655" s="8"/>
      <c r="C655" s="8"/>
      <c r="D655" s="8"/>
      <c r="E655" s="8"/>
      <c r="F655" s="8"/>
      <c r="G655" s="8"/>
      <c r="H655" s="8"/>
      <c r="I655" s="8"/>
      <c r="J655" s="8"/>
      <c r="K655" s="8"/>
      <c r="L655" s="8"/>
      <c r="M655" s="8"/>
      <c r="N655" s="8"/>
      <c r="O655" s="8"/>
      <c r="P655" s="8"/>
      <c r="Q655" s="8"/>
      <c r="R655" s="8"/>
      <c r="S655" s="8"/>
      <c r="T655" s="8"/>
      <c r="U655" s="8"/>
      <c r="V655" s="8"/>
      <c r="W655" s="8"/>
      <c r="X655" s="8"/>
      <c r="Y655" s="8"/>
    </row>
    <row r="656">
      <c r="A656" s="8"/>
      <c r="B656" s="8"/>
      <c r="C656" s="8"/>
      <c r="D656" s="8"/>
      <c r="E656" s="8"/>
      <c r="F656" s="8"/>
      <c r="G656" s="8"/>
      <c r="H656" s="8"/>
      <c r="I656" s="8"/>
      <c r="J656" s="8"/>
      <c r="K656" s="8"/>
      <c r="L656" s="8"/>
      <c r="M656" s="8"/>
      <c r="N656" s="8"/>
      <c r="O656" s="8"/>
      <c r="P656" s="8"/>
      <c r="Q656" s="8"/>
      <c r="R656" s="8"/>
      <c r="S656" s="8"/>
      <c r="T656" s="8"/>
      <c r="U656" s="8"/>
      <c r="V656" s="8"/>
      <c r="W656" s="8"/>
      <c r="X656" s="8"/>
      <c r="Y656" s="8"/>
    </row>
    <row r="657">
      <c r="A657" s="8"/>
      <c r="B657" s="8"/>
      <c r="C657" s="8"/>
      <c r="D657" s="8"/>
      <c r="E657" s="8"/>
      <c r="F657" s="8"/>
      <c r="G657" s="8"/>
      <c r="H657" s="8"/>
      <c r="I657" s="8"/>
      <c r="J657" s="8"/>
      <c r="K657" s="8"/>
      <c r="L657" s="8"/>
      <c r="M657" s="8"/>
      <c r="N657" s="8"/>
      <c r="O657" s="8"/>
      <c r="P657" s="8"/>
      <c r="Q657" s="8"/>
      <c r="R657" s="8"/>
      <c r="S657" s="8"/>
      <c r="T657" s="8"/>
      <c r="U657" s="8"/>
      <c r="V657" s="8"/>
      <c r="W657" s="8"/>
      <c r="X657" s="8"/>
      <c r="Y657" s="8"/>
    </row>
    <row r="658">
      <c r="A658" s="8"/>
      <c r="B658" s="8"/>
      <c r="C658" s="8"/>
      <c r="D658" s="8"/>
      <c r="E658" s="8"/>
      <c r="F658" s="8"/>
      <c r="G658" s="8"/>
      <c r="H658" s="8"/>
      <c r="I658" s="8"/>
      <c r="J658" s="8"/>
      <c r="K658" s="8"/>
      <c r="L658" s="8"/>
      <c r="M658" s="8"/>
      <c r="N658" s="8"/>
      <c r="O658" s="8"/>
      <c r="P658" s="8"/>
      <c r="Q658" s="8"/>
      <c r="R658" s="8"/>
      <c r="S658" s="8"/>
      <c r="T658" s="8"/>
      <c r="U658" s="8"/>
      <c r="V658" s="8"/>
      <c r="W658" s="8"/>
      <c r="X658" s="8"/>
      <c r="Y658" s="8"/>
    </row>
    <row r="659">
      <c r="A659" s="8"/>
      <c r="B659" s="8"/>
      <c r="C659" s="8"/>
      <c r="D659" s="8"/>
      <c r="E659" s="8"/>
      <c r="F659" s="8"/>
      <c r="G659" s="8"/>
      <c r="H659" s="8"/>
      <c r="I659" s="8"/>
      <c r="J659" s="8"/>
      <c r="K659" s="8"/>
      <c r="L659" s="8"/>
      <c r="M659" s="8"/>
      <c r="N659" s="8"/>
      <c r="O659" s="8"/>
      <c r="P659" s="8"/>
      <c r="Q659" s="8"/>
      <c r="R659" s="8"/>
      <c r="S659" s="8"/>
      <c r="T659" s="8"/>
      <c r="U659" s="8"/>
      <c r="V659" s="8"/>
      <c r="W659" s="8"/>
      <c r="X659" s="8"/>
      <c r="Y659" s="8"/>
    </row>
    <row r="660">
      <c r="A660" s="8"/>
      <c r="B660" s="8"/>
      <c r="C660" s="8"/>
      <c r="D660" s="8"/>
      <c r="E660" s="8"/>
      <c r="F660" s="8"/>
      <c r="G660" s="8"/>
      <c r="H660" s="8"/>
      <c r="I660" s="8"/>
      <c r="J660" s="8"/>
      <c r="K660" s="8"/>
      <c r="L660" s="8"/>
      <c r="M660" s="8"/>
      <c r="N660" s="8"/>
      <c r="O660" s="8"/>
      <c r="P660" s="8"/>
      <c r="Q660" s="8"/>
      <c r="R660" s="8"/>
      <c r="S660" s="8"/>
      <c r="T660" s="8"/>
      <c r="U660" s="8"/>
      <c r="V660" s="8"/>
      <c r="W660" s="8"/>
      <c r="X660" s="8"/>
      <c r="Y660" s="8"/>
    </row>
    <row r="661">
      <c r="A661" s="8"/>
      <c r="B661" s="8"/>
      <c r="C661" s="8"/>
      <c r="D661" s="8"/>
      <c r="E661" s="8"/>
      <c r="F661" s="8"/>
      <c r="G661" s="8"/>
      <c r="H661" s="8"/>
      <c r="I661" s="8"/>
      <c r="J661" s="8"/>
      <c r="K661" s="8"/>
      <c r="L661" s="8"/>
      <c r="M661" s="8"/>
      <c r="N661" s="8"/>
      <c r="O661" s="8"/>
      <c r="P661" s="8"/>
      <c r="Q661" s="8"/>
      <c r="R661" s="8"/>
      <c r="S661" s="8"/>
      <c r="T661" s="8"/>
      <c r="U661" s="8"/>
      <c r="V661" s="8"/>
      <c r="W661" s="8"/>
      <c r="X661" s="8"/>
      <c r="Y661" s="8"/>
    </row>
    <row r="662">
      <c r="A662" s="8"/>
      <c r="B662" s="8"/>
      <c r="C662" s="8"/>
      <c r="D662" s="8"/>
      <c r="E662" s="8"/>
      <c r="F662" s="8"/>
      <c r="G662" s="8"/>
      <c r="H662" s="8"/>
      <c r="I662" s="8"/>
      <c r="J662" s="8"/>
      <c r="K662" s="8"/>
      <c r="L662" s="8"/>
      <c r="M662" s="8"/>
      <c r="N662" s="8"/>
      <c r="O662" s="8"/>
      <c r="P662" s="8"/>
      <c r="Q662" s="8"/>
      <c r="R662" s="8"/>
      <c r="S662" s="8"/>
      <c r="T662" s="8"/>
      <c r="U662" s="8"/>
      <c r="V662" s="8"/>
      <c r="W662" s="8"/>
      <c r="X662" s="8"/>
      <c r="Y662" s="8"/>
    </row>
    <row r="663">
      <c r="A663" s="8"/>
      <c r="B663" s="8"/>
      <c r="C663" s="8"/>
      <c r="D663" s="8"/>
      <c r="E663" s="8"/>
      <c r="F663" s="8"/>
      <c r="G663" s="8"/>
      <c r="H663" s="8"/>
      <c r="I663" s="8"/>
      <c r="J663" s="8"/>
      <c r="K663" s="8"/>
      <c r="L663" s="8"/>
      <c r="M663" s="8"/>
      <c r="N663" s="8"/>
      <c r="O663" s="8"/>
      <c r="P663" s="8"/>
      <c r="Q663" s="8"/>
      <c r="R663" s="8"/>
      <c r="S663" s="8"/>
      <c r="T663" s="8"/>
      <c r="U663" s="8"/>
      <c r="V663" s="8"/>
      <c r="W663" s="8"/>
      <c r="X663" s="8"/>
      <c r="Y663" s="8"/>
    </row>
    <row r="664">
      <c r="A664" s="8"/>
      <c r="B664" s="8"/>
      <c r="C664" s="8"/>
      <c r="D664" s="8"/>
      <c r="E664" s="8"/>
      <c r="F664" s="8"/>
      <c r="G664" s="8"/>
      <c r="H664" s="8"/>
      <c r="I664" s="8"/>
      <c r="J664" s="8"/>
      <c r="K664" s="8"/>
      <c r="L664" s="8"/>
      <c r="M664" s="8"/>
      <c r="N664" s="8"/>
      <c r="O664" s="8"/>
      <c r="P664" s="8"/>
      <c r="Q664" s="8"/>
      <c r="R664" s="8"/>
      <c r="S664" s="8"/>
      <c r="T664" s="8"/>
      <c r="U664" s="8"/>
      <c r="V664" s="8"/>
      <c r="W664" s="8"/>
      <c r="X664" s="8"/>
      <c r="Y664" s="8"/>
    </row>
    <row r="665">
      <c r="A665" s="8"/>
      <c r="B665" s="8"/>
      <c r="C665" s="8"/>
      <c r="D665" s="8"/>
      <c r="E665" s="8"/>
      <c r="F665" s="8"/>
      <c r="G665" s="8"/>
      <c r="H665" s="8"/>
      <c r="I665" s="8"/>
      <c r="J665" s="8"/>
      <c r="K665" s="8"/>
      <c r="L665" s="8"/>
      <c r="M665" s="8"/>
      <c r="N665" s="8"/>
      <c r="O665" s="8"/>
      <c r="P665" s="8"/>
      <c r="Q665" s="8"/>
      <c r="R665" s="8"/>
      <c r="S665" s="8"/>
      <c r="T665" s="8"/>
      <c r="U665" s="8"/>
      <c r="V665" s="8"/>
      <c r="W665" s="8"/>
      <c r="X665" s="8"/>
      <c r="Y665" s="8"/>
    </row>
    <row r="666">
      <c r="A666" s="8"/>
      <c r="B666" s="8"/>
      <c r="C666" s="8"/>
      <c r="D666" s="8"/>
      <c r="E666" s="8"/>
      <c r="F666" s="8"/>
      <c r="G666" s="8"/>
      <c r="H666" s="8"/>
      <c r="I666" s="8"/>
      <c r="J666" s="8"/>
      <c r="K666" s="8"/>
      <c r="L666" s="8"/>
      <c r="M666" s="8"/>
      <c r="N666" s="8"/>
      <c r="O666" s="8"/>
      <c r="P666" s="8"/>
      <c r="Q666" s="8"/>
      <c r="R666" s="8"/>
      <c r="S666" s="8"/>
      <c r="T666" s="8"/>
      <c r="U666" s="8"/>
      <c r="V666" s="8"/>
      <c r="W666" s="8"/>
      <c r="X666" s="8"/>
      <c r="Y666" s="8"/>
    </row>
    <row r="667">
      <c r="A667" s="8"/>
      <c r="B667" s="8"/>
      <c r="C667" s="8"/>
      <c r="D667" s="8"/>
      <c r="E667" s="8"/>
      <c r="F667" s="8"/>
      <c r="G667" s="8"/>
      <c r="H667" s="8"/>
      <c r="I667" s="8"/>
      <c r="J667" s="8"/>
      <c r="K667" s="8"/>
      <c r="L667" s="8"/>
      <c r="M667" s="8"/>
      <c r="N667" s="8"/>
      <c r="O667" s="8"/>
      <c r="P667" s="8"/>
      <c r="Q667" s="8"/>
      <c r="R667" s="8"/>
      <c r="S667" s="8"/>
      <c r="T667" s="8"/>
      <c r="U667" s="8"/>
      <c r="V667" s="8"/>
      <c r="W667" s="8"/>
      <c r="X667" s="8"/>
      <c r="Y667" s="8"/>
    </row>
    <row r="668">
      <c r="A668" s="8"/>
      <c r="B668" s="8"/>
      <c r="C668" s="8"/>
      <c r="D668" s="8"/>
      <c r="E668" s="8"/>
      <c r="F668" s="8"/>
      <c r="G668" s="8"/>
      <c r="H668" s="8"/>
      <c r="I668" s="8"/>
      <c r="J668" s="8"/>
      <c r="K668" s="8"/>
      <c r="L668" s="8"/>
      <c r="M668" s="8"/>
      <c r="N668" s="8"/>
      <c r="O668" s="8"/>
      <c r="P668" s="8"/>
      <c r="Q668" s="8"/>
      <c r="R668" s="8"/>
      <c r="S668" s="8"/>
      <c r="T668" s="8"/>
      <c r="U668" s="8"/>
      <c r="V668" s="8"/>
      <c r="W668" s="8"/>
      <c r="X668" s="8"/>
      <c r="Y668" s="8"/>
    </row>
    <row r="669">
      <c r="A669" s="8"/>
      <c r="B669" s="8"/>
      <c r="C669" s="8"/>
      <c r="D669" s="8"/>
      <c r="E669" s="8"/>
      <c r="F669" s="8"/>
      <c r="G669" s="8"/>
      <c r="H669" s="8"/>
      <c r="I669" s="8"/>
      <c r="J669" s="8"/>
      <c r="K669" s="8"/>
      <c r="L669" s="8"/>
      <c r="M669" s="8"/>
      <c r="N669" s="8"/>
      <c r="O669" s="8"/>
      <c r="P669" s="8"/>
      <c r="Q669" s="8"/>
      <c r="R669" s="8"/>
      <c r="S669" s="8"/>
      <c r="T669" s="8"/>
      <c r="U669" s="8"/>
      <c r="V669" s="8"/>
      <c r="W669" s="8"/>
      <c r="X669" s="8"/>
      <c r="Y669" s="8"/>
    </row>
    <row r="670">
      <c r="A670" s="8"/>
      <c r="B670" s="8"/>
      <c r="C670" s="8"/>
      <c r="D670" s="8"/>
      <c r="E670" s="8"/>
      <c r="F670" s="8"/>
      <c r="G670" s="8"/>
      <c r="H670" s="8"/>
      <c r="I670" s="8"/>
      <c r="J670" s="8"/>
      <c r="K670" s="8"/>
      <c r="L670" s="8"/>
      <c r="M670" s="8"/>
      <c r="N670" s="8"/>
      <c r="O670" s="8"/>
      <c r="P670" s="8"/>
      <c r="Q670" s="8"/>
      <c r="R670" s="8"/>
      <c r="S670" s="8"/>
      <c r="T670" s="8"/>
      <c r="U670" s="8"/>
      <c r="V670" s="8"/>
      <c r="W670" s="8"/>
      <c r="X670" s="8"/>
      <c r="Y670" s="8"/>
    </row>
    <row r="671">
      <c r="A671" s="8"/>
      <c r="B671" s="8"/>
      <c r="C671" s="8"/>
      <c r="D671" s="8"/>
      <c r="E671" s="8"/>
      <c r="F671" s="8"/>
      <c r="G671" s="8"/>
      <c r="H671" s="8"/>
      <c r="I671" s="8"/>
      <c r="J671" s="8"/>
      <c r="K671" s="8"/>
      <c r="L671" s="8"/>
      <c r="M671" s="8"/>
      <c r="N671" s="8"/>
      <c r="O671" s="8"/>
      <c r="P671" s="8"/>
      <c r="Q671" s="8"/>
      <c r="R671" s="8"/>
      <c r="S671" s="8"/>
      <c r="T671" s="8"/>
      <c r="U671" s="8"/>
      <c r="V671" s="8"/>
      <c r="W671" s="8"/>
      <c r="X671" s="8"/>
      <c r="Y671" s="8"/>
    </row>
    <row r="672">
      <c r="A672" s="8"/>
      <c r="B672" s="8"/>
      <c r="C672" s="8"/>
      <c r="D672" s="8"/>
      <c r="E672" s="8"/>
      <c r="F672" s="8"/>
      <c r="G672" s="8"/>
      <c r="H672" s="8"/>
      <c r="I672" s="8"/>
      <c r="J672" s="8"/>
      <c r="K672" s="8"/>
      <c r="L672" s="8"/>
      <c r="M672" s="8"/>
      <c r="N672" s="8"/>
      <c r="O672" s="8"/>
      <c r="P672" s="8"/>
      <c r="Q672" s="8"/>
      <c r="R672" s="8"/>
      <c r="S672" s="8"/>
      <c r="T672" s="8"/>
      <c r="U672" s="8"/>
      <c r="V672" s="8"/>
      <c r="W672" s="8"/>
      <c r="X672" s="8"/>
      <c r="Y672" s="8"/>
    </row>
    <row r="673">
      <c r="A673" s="8"/>
      <c r="B673" s="8"/>
      <c r="C673" s="8"/>
      <c r="D673" s="8"/>
      <c r="E673" s="8"/>
      <c r="F673" s="8"/>
      <c r="G673" s="8"/>
      <c r="H673" s="8"/>
      <c r="I673" s="8"/>
      <c r="J673" s="8"/>
      <c r="K673" s="8"/>
      <c r="L673" s="8"/>
      <c r="M673" s="8"/>
      <c r="N673" s="8"/>
      <c r="O673" s="8"/>
      <c r="P673" s="8"/>
      <c r="Q673" s="8"/>
      <c r="R673" s="8"/>
      <c r="S673" s="8"/>
      <c r="T673" s="8"/>
      <c r="U673" s="8"/>
      <c r="V673" s="8"/>
      <c r="W673" s="8"/>
      <c r="X673" s="8"/>
      <c r="Y673" s="8"/>
    </row>
    <row r="674">
      <c r="A674" s="8"/>
      <c r="B674" s="8"/>
      <c r="C674" s="8"/>
      <c r="D674" s="8"/>
      <c r="E674" s="8"/>
      <c r="F674" s="8"/>
      <c r="G674" s="8"/>
      <c r="H674" s="8"/>
      <c r="I674" s="8"/>
      <c r="J674" s="8"/>
      <c r="K674" s="8"/>
      <c r="L674" s="8"/>
      <c r="M674" s="8"/>
      <c r="N674" s="8"/>
      <c r="O674" s="8"/>
      <c r="P674" s="8"/>
      <c r="Q674" s="8"/>
      <c r="R674" s="8"/>
      <c r="S674" s="8"/>
      <c r="T674" s="8"/>
      <c r="U674" s="8"/>
      <c r="V674" s="8"/>
      <c r="W674" s="8"/>
      <c r="X674" s="8"/>
      <c r="Y674" s="8"/>
    </row>
    <row r="675">
      <c r="A675" s="8"/>
      <c r="B675" s="8"/>
      <c r="C675" s="8"/>
      <c r="D675" s="8"/>
      <c r="E675" s="8"/>
      <c r="F675" s="8"/>
      <c r="G675" s="8"/>
      <c r="H675" s="8"/>
      <c r="I675" s="8"/>
      <c r="J675" s="8"/>
      <c r="K675" s="8"/>
      <c r="L675" s="8"/>
      <c r="M675" s="8"/>
      <c r="N675" s="8"/>
      <c r="O675" s="8"/>
      <c r="P675" s="8"/>
      <c r="Q675" s="8"/>
      <c r="R675" s="8"/>
      <c r="S675" s="8"/>
      <c r="T675" s="8"/>
      <c r="U675" s="8"/>
      <c r="V675" s="8"/>
      <c r="W675" s="8"/>
      <c r="X675" s="8"/>
      <c r="Y675" s="8"/>
    </row>
    <row r="676">
      <c r="A676" s="8"/>
      <c r="B676" s="8"/>
      <c r="C676" s="8"/>
      <c r="D676" s="8"/>
      <c r="E676" s="8"/>
      <c r="F676" s="8"/>
      <c r="G676" s="8"/>
      <c r="H676" s="8"/>
      <c r="I676" s="8"/>
      <c r="J676" s="8"/>
      <c r="K676" s="8"/>
      <c r="L676" s="8"/>
      <c r="M676" s="8"/>
      <c r="N676" s="8"/>
      <c r="O676" s="8"/>
      <c r="P676" s="8"/>
      <c r="Q676" s="8"/>
      <c r="R676" s="8"/>
      <c r="S676" s="8"/>
      <c r="T676" s="8"/>
      <c r="U676" s="8"/>
      <c r="V676" s="8"/>
      <c r="W676" s="8"/>
      <c r="X676" s="8"/>
      <c r="Y676" s="8"/>
    </row>
    <row r="677">
      <c r="A677" s="8"/>
      <c r="B677" s="8"/>
      <c r="C677" s="8"/>
      <c r="D677" s="8"/>
      <c r="E677" s="8"/>
      <c r="F677" s="8"/>
      <c r="G677" s="8"/>
      <c r="H677" s="8"/>
      <c r="I677" s="8"/>
      <c r="J677" s="8"/>
      <c r="K677" s="8"/>
      <c r="L677" s="8"/>
      <c r="M677" s="8"/>
      <c r="N677" s="8"/>
      <c r="O677" s="8"/>
      <c r="P677" s="8"/>
      <c r="Q677" s="8"/>
      <c r="R677" s="8"/>
      <c r="S677" s="8"/>
      <c r="T677" s="8"/>
      <c r="U677" s="8"/>
      <c r="V677" s="8"/>
      <c r="W677" s="8"/>
      <c r="X677" s="8"/>
      <c r="Y677" s="8"/>
    </row>
    <row r="678">
      <c r="A678" s="8"/>
      <c r="B678" s="8"/>
      <c r="C678" s="8"/>
      <c r="D678" s="8"/>
      <c r="E678" s="8"/>
      <c r="F678" s="8"/>
      <c r="G678" s="8"/>
      <c r="H678" s="8"/>
      <c r="I678" s="8"/>
      <c r="J678" s="8"/>
      <c r="K678" s="8"/>
      <c r="L678" s="8"/>
      <c r="M678" s="8"/>
      <c r="N678" s="8"/>
      <c r="O678" s="8"/>
      <c r="P678" s="8"/>
      <c r="Q678" s="8"/>
      <c r="R678" s="8"/>
      <c r="S678" s="8"/>
      <c r="T678" s="8"/>
      <c r="U678" s="8"/>
      <c r="V678" s="8"/>
      <c r="W678" s="8"/>
      <c r="X678" s="8"/>
      <c r="Y678" s="8"/>
    </row>
    <row r="679">
      <c r="A679" s="8"/>
      <c r="B679" s="8"/>
      <c r="C679" s="8"/>
      <c r="D679" s="8"/>
      <c r="E679" s="8"/>
      <c r="F679" s="8"/>
      <c r="G679" s="8"/>
      <c r="H679" s="8"/>
      <c r="I679" s="8"/>
      <c r="J679" s="8"/>
      <c r="K679" s="8"/>
      <c r="L679" s="8"/>
      <c r="M679" s="8"/>
      <c r="N679" s="8"/>
      <c r="O679" s="8"/>
      <c r="P679" s="8"/>
      <c r="Q679" s="8"/>
      <c r="R679" s="8"/>
      <c r="S679" s="8"/>
      <c r="T679" s="8"/>
      <c r="U679" s="8"/>
      <c r="V679" s="8"/>
      <c r="W679" s="8"/>
      <c r="X679" s="8"/>
      <c r="Y679" s="8"/>
    </row>
    <row r="680">
      <c r="A680" s="8"/>
      <c r="B680" s="8"/>
      <c r="C680" s="8"/>
      <c r="D680" s="8"/>
      <c r="E680" s="8"/>
      <c r="F680" s="8"/>
      <c r="G680" s="8"/>
      <c r="H680" s="8"/>
      <c r="I680" s="8"/>
      <c r="J680" s="8"/>
      <c r="K680" s="8"/>
      <c r="L680" s="8"/>
      <c r="M680" s="8"/>
      <c r="N680" s="8"/>
      <c r="O680" s="8"/>
      <c r="P680" s="8"/>
      <c r="Q680" s="8"/>
      <c r="R680" s="8"/>
      <c r="S680" s="8"/>
      <c r="T680" s="8"/>
      <c r="U680" s="8"/>
      <c r="V680" s="8"/>
      <c r="W680" s="8"/>
      <c r="X680" s="8"/>
      <c r="Y680" s="8"/>
    </row>
    <row r="681">
      <c r="A681" s="8"/>
      <c r="B681" s="8"/>
      <c r="C681" s="8"/>
      <c r="D681" s="8"/>
      <c r="E681" s="8"/>
      <c r="F681" s="8"/>
      <c r="G681" s="8"/>
      <c r="H681" s="8"/>
      <c r="I681" s="8"/>
      <c r="J681" s="8"/>
      <c r="K681" s="8"/>
      <c r="L681" s="8"/>
      <c r="M681" s="8"/>
      <c r="N681" s="8"/>
      <c r="O681" s="8"/>
      <c r="P681" s="8"/>
      <c r="Q681" s="8"/>
      <c r="R681" s="8"/>
      <c r="S681" s="8"/>
      <c r="T681" s="8"/>
      <c r="U681" s="8"/>
      <c r="V681" s="8"/>
      <c r="W681" s="8"/>
      <c r="X681" s="8"/>
      <c r="Y681" s="8"/>
    </row>
    <row r="682">
      <c r="A682" s="8"/>
      <c r="B682" s="8"/>
      <c r="C682" s="8"/>
      <c r="D682" s="8"/>
      <c r="E682" s="8"/>
      <c r="F682" s="8"/>
      <c r="G682" s="8"/>
      <c r="H682" s="8"/>
      <c r="I682" s="8"/>
      <c r="J682" s="8"/>
      <c r="K682" s="8"/>
      <c r="L682" s="8"/>
      <c r="M682" s="8"/>
      <c r="N682" s="8"/>
      <c r="O682" s="8"/>
      <c r="P682" s="8"/>
      <c r="Q682" s="8"/>
      <c r="R682" s="8"/>
      <c r="S682" s="8"/>
      <c r="T682" s="8"/>
      <c r="U682" s="8"/>
      <c r="V682" s="8"/>
      <c r="W682" s="8"/>
      <c r="X682" s="8"/>
      <c r="Y682" s="8"/>
    </row>
    <row r="683">
      <c r="A683" s="8"/>
      <c r="B683" s="8"/>
      <c r="C683" s="8"/>
      <c r="D683" s="8"/>
      <c r="E683" s="8"/>
      <c r="F683" s="8"/>
      <c r="G683" s="8"/>
      <c r="H683" s="8"/>
      <c r="I683" s="8"/>
      <c r="J683" s="8"/>
      <c r="K683" s="8"/>
      <c r="L683" s="8"/>
      <c r="M683" s="8"/>
      <c r="N683" s="8"/>
      <c r="O683" s="8"/>
      <c r="P683" s="8"/>
      <c r="Q683" s="8"/>
      <c r="R683" s="8"/>
      <c r="S683" s="8"/>
      <c r="T683" s="8"/>
      <c r="U683" s="8"/>
      <c r="V683" s="8"/>
      <c r="W683" s="8"/>
      <c r="X683" s="8"/>
      <c r="Y683" s="8"/>
    </row>
    <row r="684">
      <c r="A684" s="8"/>
      <c r="B684" s="8"/>
      <c r="C684" s="8"/>
      <c r="D684" s="8"/>
      <c r="E684" s="8"/>
      <c r="F684" s="8"/>
      <c r="G684" s="8"/>
      <c r="H684" s="8"/>
      <c r="I684" s="8"/>
      <c r="J684" s="8"/>
      <c r="K684" s="8"/>
      <c r="L684" s="8"/>
      <c r="M684" s="8"/>
      <c r="N684" s="8"/>
      <c r="O684" s="8"/>
      <c r="P684" s="8"/>
      <c r="Q684" s="8"/>
      <c r="R684" s="8"/>
      <c r="S684" s="8"/>
      <c r="T684" s="8"/>
      <c r="U684" s="8"/>
      <c r="V684" s="8"/>
      <c r="W684" s="8"/>
      <c r="X684" s="8"/>
      <c r="Y684" s="8"/>
    </row>
    <row r="685">
      <c r="A685" s="8"/>
      <c r="B685" s="8"/>
      <c r="C685" s="8"/>
      <c r="D685" s="8"/>
      <c r="E685" s="8"/>
      <c r="F685" s="8"/>
      <c r="G685" s="8"/>
      <c r="H685" s="8"/>
      <c r="I685" s="8"/>
      <c r="J685" s="8"/>
      <c r="K685" s="8"/>
      <c r="L685" s="8"/>
      <c r="M685" s="8"/>
      <c r="N685" s="8"/>
      <c r="O685" s="8"/>
      <c r="P685" s="8"/>
      <c r="Q685" s="8"/>
      <c r="R685" s="8"/>
      <c r="S685" s="8"/>
      <c r="T685" s="8"/>
      <c r="U685" s="8"/>
      <c r="V685" s="8"/>
      <c r="W685" s="8"/>
      <c r="X685" s="8"/>
      <c r="Y685" s="8"/>
    </row>
    <row r="686">
      <c r="A686" s="8"/>
      <c r="B686" s="8"/>
      <c r="C686" s="8"/>
      <c r="D686" s="8"/>
      <c r="E686" s="8"/>
      <c r="F686" s="8"/>
      <c r="G686" s="8"/>
      <c r="H686" s="8"/>
      <c r="I686" s="8"/>
      <c r="J686" s="8"/>
      <c r="K686" s="8"/>
      <c r="L686" s="8"/>
      <c r="M686" s="8"/>
      <c r="N686" s="8"/>
      <c r="O686" s="8"/>
      <c r="P686" s="8"/>
      <c r="Q686" s="8"/>
      <c r="R686" s="8"/>
      <c r="S686" s="8"/>
      <c r="T686" s="8"/>
      <c r="U686" s="8"/>
      <c r="V686" s="8"/>
      <c r="W686" s="8"/>
      <c r="X686" s="8"/>
      <c r="Y686" s="8"/>
    </row>
    <row r="687">
      <c r="A687" s="8"/>
      <c r="B687" s="8"/>
      <c r="C687" s="8"/>
      <c r="D687" s="8"/>
      <c r="E687" s="8"/>
      <c r="F687" s="8"/>
      <c r="G687" s="8"/>
      <c r="H687" s="8"/>
      <c r="I687" s="8"/>
      <c r="J687" s="8"/>
      <c r="K687" s="8"/>
      <c r="L687" s="8"/>
      <c r="M687" s="8"/>
      <c r="N687" s="8"/>
      <c r="O687" s="8"/>
      <c r="P687" s="8"/>
      <c r="Q687" s="8"/>
      <c r="R687" s="8"/>
      <c r="S687" s="8"/>
      <c r="T687" s="8"/>
      <c r="U687" s="8"/>
      <c r="V687" s="8"/>
      <c r="W687" s="8"/>
      <c r="X687" s="8"/>
      <c r="Y687" s="8"/>
    </row>
    <row r="688">
      <c r="A688" s="8"/>
      <c r="B688" s="8"/>
      <c r="C688" s="8"/>
      <c r="D688" s="8"/>
      <c r="E688" s="8"/>
      <c r="F688" s="8"/>
      <c r="G688" s="8"/>
      <c r="H688" s="8"/>
      <c r="I688" s="8"/>
      <c r="J688" s="8"/>
      <c r="K688" s="8"/>
      <c r="L688" s="8"/>
      <c r="M688" s="8"/>
      <c r="N688" s="8"/>
      <c r="O688" s="8"/>
      <c r="P688" s="8"/>
      <c r="Q688" s="8"/>
      <c r="R688" s="8"/>
      <c r="S688" s="8"/>
      <c r="T688" s="8"/>
      <c r="U688" s="8"/>
      <c r="V688" s="8"/>
      <c r="W688" s="8"/>
      <c r="X688" s="8"/>
      <c r="Y688" s="8"/>
    </row>
    <row r="689">
      <c r="A689" s="8"/>
      <c r="B689" s="8"/>
      <c r="C689" s="8"/>
      <c r="D689" s="8"/>
      <c r="E689" s="8"/>
      <c r="F689" s="8"/>
      <c r="G689" s="8"/>
      <c r="H689" s="8"/>
      <c r="I689" s="8"/>
      <c r="J689" s="8"/>
      <c r="K689" s="8"/>
      <c r="L689" s="8"/>
      <c r="M689" s="8"/>
      <c r="N689" s="8"/>
      <c r="O689" s="8"/>
      <c r="P689" s="8"/>
      <c r="Q689" s="8"/>
      <c r="R689" s="8"/>
      <c r="S689" s="8"/>
      <c r="T689" s="8"/>
      <c r="U689" s="8"/>
      <c r="V689" s="8"/>
      <c r="W689" s="8"/>
      <c r="X689" s="8"/>
      <c r="Y689" s="8"/>
    </row>
    <row r="690">
      <c r="A690" s="8"/>
      <c r="B690" s="8"/>
      <c r="C690" s="8"/>
      <c r="D690" s="8"/>
      <c r="E690" s="8"/>
      <c r="F690" s="8"/>
      <c r="G690" s="8"/>
      <c r="H690" s="8"/>
      <c r="I690" s="8"/>
      <c r="J690" s="8"/>
      <c r="K690" s="8"/>
      <c r="L690" s="8"/>
      <c r="M690" s="8"/>
      <c r="N690" s="8"/>
      <c r="O690" s="8"/>
      <c r="P690" s="8"/>
      <c r="Q690" s="8"/>
      <c r="R690" s="8"/>
      <c r="S690" s="8"/>
      <c r="T690" s="8"/>
      <c r="U690" s="8"/>
      <c r="V690" s="8"/>
      <c r="W690" s="8"/>
      <c r="X690" s="8"/>
      <c r="Y690" s="8"/>
    </row>
    <row r="691">
      <c r="A691" s="8"/>
      <c r="B691" s="8"/>
      <c r="C691" s="8"/>
      <c r="D691" s="8"/>
      <c r="E691" s="8"/>
      <c r="F691" s="8"/>
      <c r="G691" s="8"/>
      <c r="H691" s="8"/>
      <c r="I691" s="8"/>
      <c r="J691" s="8"/>
      <c r="K691" s="8"/>
      <c r="L691" s="8"/>
      <c r="M691" s="8"/>
      <c r="N691" s="8"/>
      <c r="O691" s="8"/>
      <c r="P691" s="8"/>
      <c r="Q691" s="8"/>
      <c r="R691" s="8"/>
      <c r="S691" s="8"/>
      <c r="T691" s="8"/>
      <c r="U691" s="8"/>
      <c r="V691" s="8"/>
      <c r="W691" s="8"/>
      <c r="X691" s="8"/>
      <c r="Y691" s="8"/>
    </row>
    <row r="692">
      <c r="A692" s="8"/>
      <c r="B692" s="8"/>
      <c r="C692" s="8"/>
      <c r="D692" s="8"/>
      <c r="E692" s="8"/>
      <c r="F692" s="8"/>
      <c r="G692" s="8"/>
      <c r="H692" s="8"/>
      <c r="I692" s="8"/>
      <c r="J692" s="8"/>
      <c r="K692" s="8"/>
      <c r="L692" s="8"/>
      <c r="M692" s="8"/>
      <c r="N692" s="8"/>
      <c r="O692" s="8"/>
      <c r="P692" s="8"/>
      <c r="Q692" s="8"/>
      <c r="R692" s="8"/>
      <c r="S692" s="8"/>
      <c r="T692" s="8"/>
      <c r="U692" s="8"/>
      <c r="V692" s="8"/>
      <c r="W692" s="8"/>
      <c r="X692" s="8"/>
      <c r="Y692" s="8"/>
    </row>
    <row r="693">
      <c r="A693" s="8"/>
      <c r="B693" s="8"/>
      <c r="C693" s="8"/>
      <c r="D693" s="8"/>
      <c r="E693" s="8"/>
      <c r="F693" s="8"/>
      <c r="G693" s="8"/>
      <c r="H693" s="8"/>
      <c r="I693" s="8"/>
      <c r="J693" s="8"/>
      <c r="K693" s="8"/>
      <c r="L693" s="8"/>
      <c r="M693" s="8"/>
      <c r="N693" s="8"/>
      <c r="O693" s="8"/>
      <c r="P693" s="8"/>
      <c r="Q693" s="8"/>
      <c r="R693" s="8"/>
      <c r="S693" s="8"/>
      <c r="T693" s="8"/>
      <c r="U693" s="8"/>
      <c r="V693" s="8"/>
      <c r="W693" s="8"/>
      <c r="X693" s="8"/>
      <c r="Y693" s="8"/>
    </row>
    <row r="694">
      <c r="A694" s="8"/>
      <c r="B694" s="8"/>
      <c r="C694" s="8"/>
      <c r="D694" s="8"/>
      <c r="E694" s="8"/>
      <c r="F694" s="8"/>
      <c r="G694" s="8"/>
      <c r="H694" s="8"/>
      <c r="I694" s="8"/>
      <c r="J694" s="8"/>
      <c r="K694" s="8"/>
      <c r="L694" s="8"/>
      <c r="M694" s="8"/>
      <c r="N694" s="8"/>
      <c r="O694" s="8"/>
      <c r="P694" s="8"/>
      <c r="Q694" s="8"/>
      <c r="R694" s="8"/>
      <c r="S694" s="8"/>
      <c r="T694" s="8"/>
      <c r="U694" s="8"/>
      <c r="V694" s="8"/>
      <c r="W694" s="8"/>
      <c r="X694" s="8"/>
      <c r="Y694" s="8"/>
    </row>
    <row r="695">
      <c r="A695" s="8"/>
      <c r="B695" s="8"/>
      <c r="C695" s="8"/>
      <c r="D695" s="8"/>
      <c r="E695" s="8"/>
      <c r="F695" s="8"/>
      <c r="G695" s="8"/>
      <c r="H695" s="8"/>
      <c r="I695" s="8"/>
      <c r="J695" s="8"/>
      <c r="K695" s="8"/>
      <c r="L695" s="8"/>
      <c r="M695" s="8"/>
      <c r="N695" s="8"/>
      <c r="O695" s="8"/>
      <c r="P695" s="8"/>
      <c r="Q695" s="8"/>
      <c r="R695" s="8"/>
      <c r="S695" s="8"/>
      <c r="T695" s="8"/>
      <c r="U695" s="8"/>
      <c r="V695" s="8"/>
      <c r="W695" s="8"/>
      <c r="X695" s="8"/>
      <c r="Y695" s="8"/>
    </row>
    <row r="696">
      <c r="A696" s="8"/>
      <c r="B696" s="8"/>
      <c r="C696" s="8"/>
      <c r="D696" s="8"/>
      <c r="E696" s="8"/>
      <c r="F696" s="8"/>
      <c r="G696" s="8"/>
      <c r="H696" s="8"/>
      <c r="I696" s="8"/>
      <c r="J696" s="8"/>
      <c r="K696" s="8"/>
      <c r="L696" s="8"/>
      <c r="M696" s="8"/>
      <c r="N696" s="8"/>
      <c r="O696" s="8"/>
      <c r="P696" s="8"/>
      <c r="Q696" s="8"/>
      <c r="R696" s="8"/>
      <c r="S696" s="8"/>
      <c r="T696" s="8"/>
      <c r="U696" s="8"/>
      <c r="V696" s="8"/>
      <c r="W696" s="8"/>
      <c r="X696" s="8"/>
      <c r="Y696" s="8"/>
    </row>
    <row r="697">
      <c r="A697" s="8"/>
      <c r="B697" s="8"/>
      <c r="C697" s="8"/>
      <c r="D697" s="8"/>
      <c r="E697" s="8"/>
      <c r="F697" s="8"/>
      <c r="G697" s="8"/>
      <c r="H697" s="8"/>
      <c r="I697" s="8"/>
      <c r="J697" s="8"/>
      <c r="K697" s="8"/>
      <c r="L697" s="8"/>
      <c r="M697" s="8"/>
      <c r="N697" s="8"/>
      <c r="O697" s="8"/>
      <c r="P697" s="8"/>
      <c r="Q697" s="8"/>
      <c r="R697" s="8"/>
      <c r="S697" s="8"/>
      <c r="T697" s="8"/>
      <c r="U697" s="8"/>
      <c r="V697" s="8"/>
      <c r="W697" s="8"/>
      <c r="X697" s="8"/>
      <c r="Y697" s="8"/>
    </row>
    <row r="698">
      <c r="A698" s="8"/>
      <c r="B698" s="8"/>
      <c r="C698" s="8"/>
      <c r="D698" s="8"/>
      <c r="E698" s="8"/>
      <c r="F698" s="8"/>
      <c r="G698" s="8"/>
      <c r="H698" s="8"/>
      <c r="I698" s="8"/>
      <c r="J698" s="8"/>
      <c r="K698" s="8"/>
      <c r="L698" s="8"/>
      <c r="M698" s="8"/>
      <c r="N698" s="8"/>
      <c r="O698" s="8"/>
      <c r="P698" s="8"/>
      <c r="Q698" s="8"/>
      <c r="R698" s="8"/>
      <c r="S698" s="8"/>
      <c r="T698" s="8"/>
      <c r="U698" s="8"/>
      <c r="V698" s="8"/>
      <c r="W698" s="8"/>
      <c r="X698" s="8"/>
      <c r="Y698" s="8"/>
    </row>
    <row r="699">
      <c r="A699" s="8"/>
      <c r="B699" s="8"/>
      <c r="C699" s="8"/>
      <c r="D699" s="8"/>
      <c r="E699" s="8"/>
      <c r="F699" s="8"/>
      <c r="G699" s="8"/>
      <c r="H699" s="8"/>
      <c r="I699" s="8"/>
      <c r="J699" s="8"/>
      <c r="K699" s="8"/>
      <c r="L699" s="8"/>
      <c r="M699" s="8"/>
      <c r="N699" s="8"/>
      <c r="O699" s="8"/>
      <c r="P699" s="8"/>
      <c r="Q699" s="8"/>
      <c r="R699" s="8"/>
      <c r="S699" s="8"/>
      <c r="T699" s="8"/>
      <c r="U699" s="8"/>
      <c r="V699" s="8"/>
      <c r="W699" s="8"/>
      <c r="X699" s="8"/>
      <c r="Y699" s="8"/>
    </row>
    <row r="700">
      <c r="A700" s="8"/>
      <c r="B700" s="8"/>
      <c r="C700" s="8"/>
      <c r="D700" s="8"/>
      <c r="E700" s="8"/>
      <c r="F700" s="8"/>
      <c r="G700" s="8"/>
      <c r="H700" s="8"/>
      <c r="I700" s="8"/>
      <c r="J700" s="8"/>
      <c r="K700" s="8"/>
      <c r="L700" s="8"/>
      <c r="M700" s="8"/>
      <c r="N700" s="8"/>
      <c r="O700" s="8"/>
      <c r="P700" s="8"/>
      <c r="Q700" s="8"/>
      <c r="R700" s="8"/>
      <c r="S700" s="8"/>
      <c r="T700" s="8"/>
      <c r="U700" s="8"/>
      <c r="V700" s="8"/>
      <c r="W700" s="8"/>
      <c r="X700" s="8"/>
      <c r="Y700" s="8"/>
    </row>
    <row r="701">
      <c r="A701" s="8"/>
      <c r="B701" s="8"/>
      <c r="C701" s="8"/>
      <c r="D701" s="8"/>
      <c r="E701" s="8"/>
      <c r="F701" s="8"/>
      <c r="G701" s="8"/>
      <c r="H701" s="8"/>
      <c r="I701" s="8"/>
      <c r="J701" s="8"/>
      <c r="K701" s="8"/>
      <c r="L701" s="8"/>
      <c r="M701" s="8"/>
      <c r="N701" s="8"/>
      <c r="O701" s="8"/>
      <c r="P701" s="8"/>
      <c r="Q701" s="8"/>
      <c r="R701" s="8"/>
      <c r="S701" s="8"/>
      <c r="T701" s="8"/>
      <c r="U701" s="8"/>
      <c r="V701" s="8"/>
      <c r="W701" s="8"/>
      <c r="X701" s="8"/>
      <c r="Y701" s="8"/>
    </row>
    <row r="702">
      <c r="A702" s="8"/>
      <c r="B702" s="8"/>
      <c r="C702" s="8"/>
      <c r="D702" s="8"/>
      <c r="E702" s="8"/>
      <c r="F702" s="8"/>
      <c r="G702" s="8"/>
      <c r="H702" s="8"/>
      <c r="I702" s="8"/>
      <c r="J702" s="8"/>
      <c r="K702" s="8"/>
      <c r="L702" s="8"/>
      <c r="M702" s="8"/>
      <c r="N702" s="8"/>
      <c r="O702" s="8"/>
      <c r="P702" s="8"/>
      <c r="Q702" s="8"/>
      <c r="R702" s="8"/>
      <c r="S702" s="8"/>
      <c r="T702" s="8"/>
      <c r="U702" s="8"/>
      <c r="V702" s="8"/>
      <c r="W702" s="8"/>
      <c r="X702" s="8"/>
      <c r="Y702" s="8"/>
    </row>
    <row r="703">
      <c r="A703" s="8"/>
      <c r="B703" s="8"/>
      <c r="C703" s="8"/>
      <c r="D703" s="8"/>
      <c r="E703" s="8"/>
      <c r="F703" s="8"/>
      <c r="G703" s="8"/>
      <c r="H703" s="8"/>
      <c r="I703" s="8"/>
      <c r="J703" s="8"/>
      <c r="K703" s="8"/>
      <c r="L703" s="8"/>
      <c r="M703" s="8"/>
      <c r="N703" s="8"/>
      <c r="O703" s="8"/>
      <c r="P703" s="8"/>
      <c r="Q703" s="8"/>
      <c r="R703" s="8"/>
      <c r="S703" s="8"/>
      <c r="T703" s="8"/>
      <c r="U703" s="8"/>
      <c r="V703" s="8"/>
      <c r="W703" s="8"/>
      <c r="X703" s="8"/>
      <c r="Y703" s="8"/>
    </row>
    <row r="704">
      <c r="A704" s="8"/>
      <c r="B704" s="8"/>
      <c r="C704" s="8"/>
      <c r="D704" s="8"/>
      <c r="E704" s="8"/>
      <c r="F704" s="8"/>
      <c r="G704" s="8"/>
      <c r="H704" s="8"/>
      <c r="I704" s="8"/>
      <c r="J704" s="8"/>
      <c r="K704" s="8"/>
      <c r="L704" s="8"/>
      <c r="M704" s="8"/>
      <c r="N704" s="8"/>
      <c r="O704" s="8"/>
      <c r="P704" s="8"/>
      <c r="Q704" s="8"/>
      <c r="R704" s="8"/>
      <c r="S704" s="8"/>
      <c r="T704" s="8"/>
      <c r="U704" s="8"/>
      <c r="V704" s="8"/>
      <c r="W704" s="8"/>
      <c r="X704" s="8"/>
      <c r="Y704" s="8"/>
    </row>
    <row r="705">
      <c r="A705" s="8"/>
      <c r="B705" s="8"/>
      <c r="C705" s="8"/>
      <c r="D705" s="8"/>
      <c r="E705" s="8"/>
      <c r="F705" s="8"/>
      <c r="G705" s="8"/>
      <c r="H705" s="8"/>
      <c r="I705" s="8"/>
      <c r="J705" s="8"/>
      <c r="K705" s="8"/>
      <c r="L705" s="8"/>
      <c r="M705" s="8"/>
      <c r="N705" s="8"/>
      <c r="O705" s="8"/>
      <c r="P705" s="8"/>
      <c r="Q705" s="8"/>
      <c r="R705" s="8"/>
      <c r="S705" s="8"/>
      <c r="T705" s="8"/>
      <c r="U705" s="8"/>
      <c r="V705" s="8"/>
      <c r="W705" s="8"/>
      <c r="X705" s="8"/>
      <c r="Y705" s="8"/>
    </row>
    <row r="706">
      <c r="A706" s="8"/>
      <c r="B706" s="8"/>
      <c r="C706" s="8"/>
      <c r="D706" s="8"/>
      <c r="E706" s="8"/>
      <c r="F706" s="8"/>
      <c r="G706" s="8"/>
      <c r="H706" s="8"/>
      <c r="I706" s="8"/>
      <c r="J706" s="8"/>
      <c r="K706" s="8"/>
      <c r="L706" s="8"/>
      <c r="M706" s="8"/>
      <c r="N706" s="8"/>
      <c r="O706" s="8"/>
      <c r="P706" s="8"/>
      <c r="Q706" s="8"/>
      <c r="R706" s="8"/>
      <c r="S706" s="8"/>
      <c r="T706" s="8"/>
      <c r="U706" s="8"/>
      <c r="V706" s="8"/>
      <c r="W706" s="8"/>
      <c r="X706" s="8"/>
      <c r="Y706" s="8"/>
    </row>
    <row r="707">
      <c r="A707" s="8"/>
      <c r="B707" s="8"/>
      <c r="C707" s="8"/>
      <c r="D707" s="8"/>
      <c r="E707" s="8"/>
      <c r="F707" s="8"/>
      <c r="G707" s="8"/>
      <c r="H707" s="8"/>
      <c r="I707" s="8"/>
      <c r="J707" s="8"/>
      <c r="K707" s="8"/>
      <c r="L707" s="8"/>
      <c r="M707" s="8"/>
      <c r="N707" s="8"/>
      <c r="O707" s="8"/>
      <c r="P707" s="8"/>
      <c r="Q707" s="8"/>
      <c r="R707" s="8"/>
      <c r="S707" s="8"/>
      <c r="T707" s="8"/>
      <c r="U707" s="8"/>
      <c r="V707" s="8"/>
      <c r="W707" s="8"/>
      <c r="X707" s="8"/>
      <c r="Y707" s="8"/>
    </row>
    <row r="708">
      <c r="A708" s="8"/>
      <c r="B708" s="8"/>
      <c r="C708" s="8"/>
      <c r="D708" s="8"/>
      <c r="E708" s="8"/>
      <c r="F708" s="8"/>
      <c r="G708" s="8"/>
      <c r="H708" s="8"/>
      <c r="I708" s="8"/>
      <c r="J708" s="8"/>
      <c r="K708" s="8"/>
      <c r="L708" s="8"/>
      <c r="M708" s="8"/>
      <c r="N708" s="8"/>
      <c r="O708" s="8"/>
      <c r="P708" s="8"/>
      <c r="Q708" s="8"/>
      <c r="R708" s="8"/>
      <c r="S708" s="8"/>
      <c r="T708" s="8"/>
      <c r="U708" s="8"/>
      <c r="V708" s="8"/>
      <c r="W708" s="8"/>
      <c r="X708" s="8"/>
      <c r="Y708" s="8"/>
    </row>
    <row r="709">
      <c r="A709" s="8"/>
      <c r="B709" s="8"/>
      <c r="C709" s="8"/>
      <c r="D709" s="8"/>
      <c r="E709" s="8"/>
      <c r="F709" s="8"/>
      <c r="G709" s="8"/>
      <c r="H709" s="8"/>
      <c r="I709" s="8"/>
      <c r="J709" s="8"/>
      <c r="K709" s="8"/>
      <c r="L709" s="8"/>
      <c r="M709" s="8"/>
      <c r="N709" s="8"/>
      <c r="O709" s="8"/>
      <c r="P709" s="8"/>
      <c r="Q709" s="8"/>
      <c r="R709" s="8"/>
      <c r="S709" s="8"/>
      <c r="T709" s="8"/>
      <c r="U709" s="8"/>
      <c r="V709" s="8"/>
      <c r="W709" s="8"/>
      <c r="X709" s="8"/>
      <c r="Y709" s="8"/>
    </row>
    <row r="710">
      <c r="A710" s="8"/>
      <c r="B710" s="8"/>
      <c r="C710" s="8"/>
      <c r="D710" s="8"/>
      <c r="E710" s="8"/>
      <c r="F710" s="8"/>
      <c r="G710" s="8"/>
      <c r="H710" s="8"/>
      <c r="I710" s="8"/>
      <c r="J710" s="8"/>
      <c r="K710" s="8"/>
      <c r="L710" s="8"/>
      <c r="M710" s="8"/>
      <c r="N710" s="8"/>
      <c r="O710" s="8"/>
      <c r="P710" s="8"/>
      <c r="Q710" s="8"/>
      <c r="R710" s="8"/>
      <c r="S710" s="8"/>
      <c r="T710" s="8"/>
      <c r="U710" s="8"/>
      <c r="V710" s="8"/>
      <c r="W710" s="8"/>
      <c r="X710" s="8"/>
      <c r="Y710" s="8"/>
    </row>
    <row r="711">
      <c r="A711" s="8"/>
      <c r="B711" s="8"/>
      <c r="C711" s="8"/>
      <c r="D711" s="8"/>
      <c r="E711" s="8"/>
      <c r="F711" s="8"/>
      <c r="G711" s="8"/>
      <c r="H711" s="8"/>
      <c r="I711" s="8"/>
      <c r="J711" s="8"/>
      <c r="K711" s="8"/>
      <c r="L711" s="8"/>
      <c r="M711" s="8"/>
      <c r="N711" s="8"/>
      <c r="O711" s="8"/>
      <c r="P711" s="8"/>
      <c r="Q711" s="8"/>
      <c r="R711" s="8"/>
      <c r="S711" s="8"/>
      <c r="T711" s="8"/>
      <c r="U711" s="8"/>
      <c r="V711" s="8"/>
      <c r="W711" s="8"/>
      <c r="X711" s="8"/>
      <c r="Y711" s="8"/>
    </row>
    <row r="712">
      <c r="A712" s="8"/>
      <c r="B712" s="8"/>
      <c r="C712" s="8"/>
      <c r="D712" s="8"/>
      <c r="E712" s="8"/>
      <c r="F712" s="8"/>
      <c r="G712" s="8"/>
      <c r="H712" s="8"/>
      <c r="I712" s="8"/>
      <c r="J712" s="8"/>
      <c r="K712" s="8"/>
      <c r="L712" s="8"/>
      <c r="M712" s="8"/>
      <c r="N712" s="8"/>
      <c r="O712" s="8"/>
      <c r="P712" s="8"/>
      <c r="Q712" s="8"/>
      <c r="R712" s="8"/>
      <c r="S712" s="8"/>
      <c r="T712" s="8"/>
      <c r="U712" s="8"/>
      <c r="V712" s="8"/>
      <c r="W712" s="8"/>
      <c r="X712" s="8"/>
      <c r="Y712" s="8"/>
    </row>
    <row r="713">
      <c r="A713" s="8"/>
      <c r="B713" s="8"/>
      <c r="C713" s="8"/>
      <c r="D713" s="8"/>
      <c r="E713" s="8"/>
      <c r="F713" s="8"/>
      <c r="G713" s="8"/>
      <c r="H713" s="8"/>
      <c r="I713" s="8"/>
      <c r="J713" s="8"/>
      <c r="K713" s="8"/>
      <c r="L713" s="8"/>
      <c r="M713" s="8"/>
      <c r="N713" s="8"/>
      <c r="O713" s="8"/>
      <c r="P713" s="8"/>
      <c r="Q713" s="8"/>
      <c r="R713" s="8"/>
      <c r="S713" s="8"/>
      <c r="T713" s="8"/>
      <c r="U713" s="8"/>
      <c r="V713" s="8"/>
      <c r="W713" s="8"/>
      <c r="X713" s="8"/>
      <c r="Y713" s="8"/>
    </row>
    <row r="714">
      <c r="A714" s="8"/>
      <c r="B714" s="8"/>
      <c r="C714" s="8"/>
      <c r="D714" s="8"/>
      <c r="E714" s="8"/>
      <c r="F714" s="8"/>
      <c r="G714" s="8"/>
      <c r="H714" s="8"/>
      <c r="I714" s="8"/>
      <c r="J714" s="8"/>
      <c r="K714" s="8"/>
      <c r="L714" s="8"/>
      <c r="M714" s="8"/>
      <c r="N714" s="8"/>
      <c r="O714" s="8"/>
      <c r="P714" s="8"/>
      <c r="Q714" s="8"/>
      <c r="R714" s="8"/>
      <c r="S714" s="8"/>
      <c r="T714" s="8"/>
      <c r="U714" s="8"/>
      <c r="V714" s="8"/>
      <c r="W714" s="8"/>
      <c r="X714" s="8"/>
      <c r="Y714" s="8"/>
    </row>
    <row r="715">
      <c r="A715" s="8"/>
      <c r="B715" s="8"/>
      <c r="C715" s="8"/>
      <c r="D715" s="8"/>
      <c r="E715" s="8"/>
      <c r="F715" s="8"/>
      <c r="G715" s="8"/>
      <c r="H715" s="8"/>
      <c r="I715" s="8"/>
      <c r="J715" s="8"/>
      <c r="K715" s="8"/>
      <c r="L715" s="8"/>
      <c r="M715" s="8"/>
      <c r="N715" s="8"/>
      <c r="O715" s="8"/>
      <c r="P715" s="8"/>
      <c r="Q715" s="8"/>
      <c r="R715" s="8"/>
      <c r="S715" s="8"/>
      <c r="T715" s="8"/>
      <c r="U715" s="8"/>
      <c r="V715" s="8"/>
      <c r="W715" s="8"/>
      <c r="X715" s="8"/>
      <c r="Y715" s="8"/>
    </row>
    <row r="716">
      <c r="A716" s="8"/>
      <c r="B716" s="8"/>
      <c r="C716" s="8"/>
      <c r="D716" s="8"/>
      <c r="E716" s="8"/>
      <c r="F716" s="8"/>
      <c r="G716" s="8"/>
      <c r="H716" s="8"/>
      <c r="I716" s="8"/>
      <c r="J716" s="8"/>
      <c r="K716" s="8"/>
      <c r="L716" s="8"/>
      <c r="M716" s="8"/>
      <c r="N716" s="8"/>
      <c r="O716" s="8"/>
      <c r="P716" s="8"/>
      <c r="Q716" s="8"/>
      <c r="R716" s="8"/>
      <c r="S716" s="8"/>
      <c r="T716" s="8"/>
      <c r="U716" s="8"/>
      <c r="V716" s="8"/>
      <c r="W716" s="8"/>
      <c r="X716" s="8"/>
      <c r="Y716" s="8"/>
    </row>
    <row r="717">
      <c r="A717" s="8"/>
      <c r="B717" s="8"/>
      <c r="C717" s="8"/>
      <c r="D717" s="8"/>
      <c r="E717" s="8"/>
      <c r="F717" s="8"/>
      <c r="G717" s="8"/>
      <c r="H717" s="8"/>
      <c r="I717" s="8"/>
      <c r="J717" s="8"/>
      <c r="K717" s="8"/>
      <c r="L717" s="8"/>
      <c r="M717" s="8"/>
      <c r="N717" s="8"/>
      <c r="O717" s="8"/>
      <c r="P717" s="8"/>
      <c r="Q717" s="8"/>
      <c r="R717" s="8"/>
      <c r="S717" s="8"/>
      <c r="T717" s="8"/>
      <c r="U717" s="8"/>
      <c r="V717" s="8"/>
      <c r="W717" s="8"/>
      <c r="X717" s="8"/>
      <c r="Y717" s="8"/>
    </row>
    <row r="718">
      <c r="A718" s="8"/>
      <c r="B718" s="8"/>
      <c r="C718" s="8"/>
      <c r="D718" s="8"/>
      <c r="E718" s="8"/>
      <c r="F718" s="8"/>
      <c r="G718" s="8"/>
      <c r="H718" s="8"/>
      <c r="I718" s="8"/>
      <c r="J718" s="8"/>
      <c r="K718" s="8"/>
      <c r="L718" s="8"/>
      <c r="M718" s="8"/>
      <c r="N718" s="8"/>
      <c r="O718" s="8"/>
      <c r="P718" s="8"/>
      <c r="Q718" s="8"/>
      <c r="R718" s="8"/>
      <c r="S718" s="8"/>
      <c r="T718" s="8"/>
      <c r="U718" s="8"/>
      <c r="V718" s="8"/>
      <c r="W718" s="8"/>
      <c r="X718" s="8"/>
      <c r="Y718" s="8"/>
    </row>
    <row r="719">
      <c r="A719" s="8"/>
      <c r="B719" s="8"/>
      <c r="C719" s="8"/>
      <c r="D719" s="8"/>
      <c r="E719" s="8"/>
      <c r="F719" s="8"/>
      <c r="G719" s="8"/>
      <c r="H719" s="8"/>
      <c r="I719" s="8"/>
      <c r="J719" s="8"/>
      <c r="K719" s="8"/>
      <c r="L719" s="8"/>
      <c r="M719" s="8"/>
      <c r="N719" s="8"/>
      <c r="O719" s="8"/>
      <c r="P719" s="8"/>
      <c r="Q719" s="8"/>
      <c r="R719" s="8"/>
      <c r="S719" s="8"/>
      <c r="T719" s="8"/>
      <c r="U719" s="8"/>
      <c r="V719" s="8"/>
      <c r="W719" s="8"/>
      <c r="X719" s="8"/>
      <c r="Y719" s="8"/>
    </row>
    <row r="720">
      <c r="A720" s="8"/>
      <c r="B720" s="8"/>
      <c r="C720" s="8"/>
      <c r="D720" s="8"/>
      <c r="E720" s="8"/>
      <c r="F720" s="8"/>
      <c r="G720" s="8"/>
      <c r="H720" s="8"/>
      <c r="I720" s="8"/>
      <c r="J720" s="8"/>
      <c r="K720" s="8"/>
      <c r="L720" s="8"/>
      <c r="M720" s="8"/>
      <c r="N720" s="8"/>
      <c r="O720" s="8"/>
      <c r="P720" s="8"/>
      <c r="Q720" s="8"/>
      <c r="R720" s="8"/>
      <c r="S720" s="8"/>
      <c r="T720" s="8"/>
      <c r="U720" s="8"/>
      <c r="V720" s="8"/>
      <c r="W720" s="8"/>
      <c r="X720" s="8"/>
      <c r="Y720" s="8"/>
    </row>
    <row r="721">
      <c r="A721" s="8"/>
      <c r="B721" s="8"/>
      <c r="C721" s="8"/>
      <c r="D721" s="8"/>
      <c r="E721" s="8"/>
      <c r="F721" s="8"/>
      <c r="G721" s="8"/>
      <c r="H721" s="8"/>
      <c r="I721" s="8"/>
      <c r="J721" s="8"/>
      <c r="K721" s="8"/>
      <c r="L721" s="8"/>
      <c r="M721" s="8"/>
      <c r="N721" s="8"/>
      <c r="O721" s="8"/>
      <c r="P721" s="8"/>
      <c r="Q721" s="8"/>
      <c r="R721" s="8"/>
      <c r="S721" s="8"/>
      <c r="T721" s="8"/>
      <c r="U721" s="8"/>
      <c r="V721" s="8"/>
      <c r="W721" s="8"/>
      <c r="X721" s="8"/>
      <c r="Y721" s="8"/>
    </row>
    <row r="722">
      <c r="A722" s="8"/>
      <c r="B722" s="8"/>
      <c r="C722" s="8"/>
      <c r="D722" s="8"/>
      <c r="E722" s="8"/>
      <c r="F722" s="8"/>
      <c r="G722" s="8"/>
      <c r="H722" s="8"/>
      <c r="I722" s="8"/>
      <c r="J722" s="8"/>
      <c r="K722" s="8"/>
      <c r="L722" s="8"/>
      <c r="M722" s="8"/>
      <c r="N722" s="8"/>
      <c r="O722" s="8"/>
      <c r="P722" s="8"/>
      <c r="Q722" s="8"/>
      <c r="R722" s="8"/>
      <c r="S722" s="8"/>
      <c r="T722" s="8"/>
      <c r="U722" s="8"/>
      <c r="V722" s="8"/>
      <c r="W722" s="8"/>
      <c r="X722" s="8"/>
      <c r="Y722" s="8"/>
    </row>
    <row r="723">
      <c r="A723" s="8"/>
      <c r="B723" s="8"/>
      <c r="C723" s="8"/>
      <c r="D723" s="8"/>
      <c r="E723" s="8"/>
      <c r="F723" s="8"/>
      <c r="G723" s="8"/>
      <c r="H723" s="8"/>
      <c r="I723" s="8"/>
      <c r="J723" s="8"/>
      <c r="K723" s="8"/>
      <c r="L723" s="8"/>
      <c r="M723" s="8"/>
      <c r="N723" s="8"/>
      <c r="O723" s="8"/>
      <c r="P723" s="8"/>
      <c r="Q723" s="8"/>
      <c r="R723" s="8"/>
      <c r="S723" s="8"/>
      <c r="T723" s="8"/>
      <c r="U723" s="8"/>
      <c r="V723" s="8"/>
      <c r="W723" s="8"/>
      <c r="X723" s="8"/>
      <c r="Y723" s="8"/>
    </row>
    <row r="724">
      <c r="A724" s="8"/>
      <c r="B724" s="8"/>
      <c r="C724" s="8"/>
      <c r="D724" s="8"/>
      <c r="E724" s="8"/>
      <c r="F724" s="8"/>
      <c r="G724" s="8"/>
      <c r="H724" s="8"/>
      <c r="I724" s="8"/>
      <c r="J724" s="8"/>
      <c r="K724" s="8"/>
      <c r="L724" s="8"/>
      <c r="M724" s="8"/>
      <c r="N724" s="8"/>
      <c r="O724" s="8"/>
      <c r="P724" s="8"/>
      <c r="Q724" s="8"/>
      <c r="R724" s="8"/>
      <c r="S724" s="8"/>
      <c r="T724" s="8"/>
      <c r="U724" s="8"/>
      <c r="V724" s="8"/>
      <c r="W724" s="8"/>
      <c r="X724" s="8"/>
      <c r="Y724" s="8"/>
    </row>
    <row r="725">
      <c r="A725" s="8"/>
      <c r="B725" s="8"/>
      <c r="C725" s="8"/>
      <c r="D725" s="8"/>
      <c r="E725" s="8"/>
      <c r="F725" s="8"/>
      <c r="G725" s="8"/>
      <c r="H725" s="8"/>
      <c r="I725" s="8"/>
      <c r="J725" s="8"/>
      <c r="K725" s="8"/>
      <c r="L725" s="8"/>
      <c r="M725" s="8"/>
      <c r="N725" s="8"/>
      <c r="O725" s="8"/>
      <c r="P725" s="8"/>
      <c r="Q725" s="8"/>
      <c r="R725" s="8"/>
      <c r="S725" s="8"/>
      <c r="T725" s="8"/>
      <c r="U725" s="8"/>
      <c r="V725" s="8"/>
      <c r="W725" s="8"/>
      <c r="X725" s="8"/>
      <c r="Y725" s="8"/>
    </row>
    <row r="726">
      <c r="A726" s="8"/>
      <c r="B726" s="8"/>
      <c r="C726" s="8"/>
      <c r="D726" s="8"/>
      <c r="E726" s="8"/>
      <c r="F726" s="8"/>
      <c r="G726" s="8"/>
      <c r="H726" s="8"/>
      <c r="I726" s="8"/>
      <c r="J726" s="8"/>
      <c r="K726" s="8"/>
      <c r="L726" s="8"/>
      <c r="M726" s="8"/>
      <c r="N726" s="8"/>
      <c r="O726" s="8"/>
      <c r="P726" s="8"/>
      <c r="Q726" s="8"/>
      <c r="R726" s="8"/>
      <c r="S726" s="8"/>
      <c r="T726" s="8"/>
      <c r="U726" s="8"/>
      <c r="V726" s="8"/>
      <c r="W726" s="8"/>
      <c r="X726" s="8"/>
      <c r="Y726" s="8"/>
    </row>
    <row r="727">
      <c r="A727" s="8"/>
      <c r="B727" s="8"/>
      <c r="C727" s="8"/>
      <c r="D727" s="8"/>
      <c r="E727" s="8"/>
      <c r="F727" s="8"/>
      <c r="G727" s="8"/>
      <c r="H727" s="8"/>
      <c r="I727" s="8"/>
      <c r="J727" s="8"/>
      <c r="K727" s="8"/>
      <c r="L727" s="8"/>
      <c r="M727" s="8"/>
      <c r="N727" s="8"/>
      <c r="O727" s="8"/>
      <c r="P727" s="8"/>
      <c r="Q727" s="8"/>
      <c r="R727" s="8"/>
      <c r="S727" s="8"/>
      <c r="T727" s="8"/>
      <c r="U727" s="8"/>
      <c r="V727" s="8"/>
      <c r="W727" s="8"/>
      <c r="X727" s="8"/>
      <c r="Y727" s="8"/>
    </row>
    <row r="728">
      <c r="A728" s="8"/>
      <c r="B728" s="8"/>
      <c r="C728" s="8"/>
      <c r="D728" s="8"/>
      <c r="E728" s="8"/>
      <c r="F728" s="8"/>
      <c r="G728" s="8"/>
      <c r="H728" s="8"/>
      <c r="I728" s="8"/>
      <c r="J728" s="8"/>
      <c r="K728" s="8"/>
      <c r="L728" s="8"/>
      <c r="M728" s="8"/>
      <c r="N728" s="8"/>
      <c r="O728" s="8"/>
      <c r="P728" s="8"/>
      <c r="Q728" s="8"/>
      <c r="R728" s="8"/>
      <c r="S728" s="8"/>
      <c r="T728" s="8"/>
      <c r="U728" s="8"/>
      <c r="V728" s="8"/>
      <c r="W728" s="8"/>
      <c r="X728" s="8"/>
      <c r="Y728" s="8"/>
    </row>
    <row r="729">
      <c r="A729" s="8"/>
      <c r="B729" s="8"/>
      <c r="C729" s="8"/>
      <c r="D729" s="8"/>
      <c r="E729" s="8"/>
      <c r="F729" s="8"/>
      <c r="G729" s="8"/>
      <c r="H729" s="8"/>
      <c r="I729" s="8"/>
      <c r="J729" s="8"/>
      <c r="K729" s="8"/>
      <c r="L729" s="8"/>
      <c r="M729" s="8"/>
      <c r="N729" s="8"/>
      <c r="O729" s="8"/>
      <c r="P729" s="8"/>
      <c r="Q729" s="8"/>
      <c r="R729" s="8"/>
      <c r="S729" s="8"/>
      <c r="T729" s="8"/>
      <c r="U729" s="8"/>
      <c r="V729" s="8"/>
      <c r="W729" s="8"/>
      <c r="X729" s="8"/>
      <c r="Y729" s="8"/>
    </row>
    <row r="730">
      <c r="A730" s="8"/>
      <c r="B730" s="8"/>
      <c r="C730" s="8"/>
      <c r="D730" s="8"/>
      <c r="E730" s="8"/>
      <c r="F730" s="8"/>
      <c r="G730" s="8"/>
      <c r="H730" s="8"/>
      <c r="I730" s="8"/>
      <c r="J730" s="8"/>
      <c r="K730" s="8"/>
      <c r="L730" s="8"/>
      <c r="M730" s="8"/>
      <c r="N730" s="8"/>
      <c r="O730" s="8"/>
      <c r="P730" s="8"/>
      <c r="Q730" s="8"/>
      <c r="R730" s="8"/>
      <c r="S730" s="8"/>
      <c r="T730" s="8"/>
      <c r="U730" s="8"/>
      <c r="V730" s="8"/>
      <c r="W730" s="8"/>
      <c r="X730" s="8"/>
      <c r="Y730" s="8"/>
    </row>
    <row r="731">
      <c r="A731" s="8"/>
      <c r="B731" s="8"/>
      <c r="C731" s="8"/>
      <c r="D731" s="8"/>
      <c r="E731" s="8"/>
      <c r="F731" s="8"/>
      <c r="G731" s="8"/>
      <c r="H731" s="8"/>
      <c r="I731" s="8"/>
      <c r="J731" s="8"/>
      <c r="K731" s="8"/>
      <c r="L731" s="8"/>
      <c r="M731" s="8"/>
      <c r="N731" s="8"/>
      <c r="O731" s="8"/>
      <c r="P731" s="8"/>
      <c r="Q731" s="8"/>
      <c r="R731" s="8"/>
      <c r="S731" s="8"/>
      <c r="T731" s="8"/>
      <c r="U731" s="8"/>
      <c r="V731" s="8"/>
      <c r="W731" s="8"/>
      <c r="X731" s="8"/>
      <c r="Y731" s="8"/>
    </row>
    <row r="732">
      <c r="A732" s="8"/>
      <c r="B732" s="8"/>
      <c r="C732" s="8"/>
      <c r="D732" s="8"/>
      <c r="E732" s="8"/>
      <c r="F732" s="8"/>
      <c r="G732" s="8"/>
      <c r="H732" s="8"/>
      <c r="I732" s="8"/>
      <c r="J732" s="8"/>
      <c r="K732" s="8"/>
      <c r="L732" s="8"/>
      <c r="M732" s="8"/>
      <c r="N732" s="8"/>
      <c r="O732" s="8"/>
      <c r="P732" s="8"/>
      <c r="Q732" s="8"/>
      <c r="R732" s="8"/>
      <c r="S732" s="8"/>
      <c r="T732" s="8"/>
      <c r="U732" s="8"/>
      <c r="V732" s="8"/>
      <c r="W732" s="8"/>
      <c r="X732" s="8"/>
      <c r="Y732" s="8"/>
    </row>
    <row r="733">
      <c r="A733" s="8"/>
      <c r="B733" s="8"/>
      <c r="C733" s="8"/>
      <c r="D733" s="8"/>
      <c r="E733" s="8"/>
      <c r="F733" s="8"/>
      <c r="G733" s="8"/>
      <c r="H733" s="8"/>
      <c r="I733" s="8"/>
      <c r="J733" s="8"/>
      <c r="K733" s="8"/>
      <c r="L733" s="8"/>
      <c r="M733" s="8"/>
      <c r="N733" s="8"/>
      <c r="O733" s="8"/>
      <c r="P733" s="8"/>
      <c r="Q733" s="8"/>
      <c r="R733" s="8"/>
      <c r="S733" s="8"/>
      <c r="T733" s="8"/>
      <c r="U733" s="8"/>
      <c r="V733" s="8"/>
      <c r="W733" s="8"/>
      <c r="X733" s="8"/>
      <c r="Y733" s="8"/>
    </row>
    <row r="734">
      <c r="A734" s="8"/>
      <c r="B734" s="8"/>
      <c r="C734" s="8"/>
      <c r="D734" s="8"/>
      <c r="E734" s="8"/>
      <c r="F734" s="8"/>
      <c r="G734" s="8"/>
      <c r="H734" s="8"/>
      <c r="I734" s="8"/>
      <c r="J734" s="8"/>
      <c r="K734" s="8"/>
      <c r="L734" s="8"/>
      <c r="M734" s="8"/>
      <c r="N734" s="8"/>
      <c r="O734" s="8"/>
      <c r="P734" s="8"/>
      <c r="Q734" s="8"/>
      <c r="R734" s="8"/>
      <c r="S734" s="8"/>
      <c r="T734" s="8"/>
      <c r="U734" s="8"/>
      <c r="V734" s="8"/>
      <c r="W734" s="8"/>
      <c r="X734" s="8"/>
      <c r="Y734" s="8"/>
    </row>
    <row r="735">
      <c r="A735" s="8"/>
      <c r="B735" s="8"/>
      <c r="C735" s="8"/>
      <c r="D735" s="8"/>
      <c r="E735" s="8"/>
      <c r="F735" s="8"/>
      <c r="G735" s="8"/>
      <c r="H735" s="8"/>
      <c r="I735" s="8"/>
      <c r="J735" s="8"/>
      <c r="K735" s="8"/>
      <c r="L735" s="8"/>
      <c r="M735" s="8"/>
      <c r="N735" s="8"/>
      <c r="O735" s="8"/>
      <c r="P735" s="8"/>
      <c r="Q735" s="8"/>
      <c r="R735" s="8"/>
      <c r="S735" s="8"/>
      <c r="T735" s="8"/>
      <c r="U735" s="8"/>
      <c r="V735" s="8"/>
      <c r="W735" s="8"/>
      <c r="X735" s="8"/>
      <c r="Y735" s="8"/>
    </row>
    <row r="736">
      <c r="A736" s="8"/>
      <c r="B736" s="8"/>
      <c r="C736" s="8"/>
      <c r="D736" s="8"/>
      <c r="E736" s="8"/>
      <c r="F736" s="8"/>
      <c r="G736" s="8"/>
      <c r="H736" s="8"/>
      <c r="I736" s="8"/>
      <c r="J736" s="8"/>
      <c r="K736" s="8"/>
      <c r="L736" s="8"/>
      <c r="M736" s="8"/>
      <c r="N736" s="8"/>
      <c r="O736" s="8"/>
      <c r="P736" s="8"/>
      <c r="Q736" s="8"/>
      <c r="R736" s="8"/>
      <c r="S736" s="8"/>
      <c r="T736" s="8"/>
      <c r="U736" s="8"/>
      <c r="V736" s="8"/>
      <c r="W736" s="8"/>
      <c r="X736" s="8"/>
      <c r="Y736" s="8"/>
    </row>
    <row r="737">
      <c r="A737" s="8"/>
      <c r="B737" s="8"/>
      <c r="C737" s="8"/>
      <c r="D737" s="8"/>
      <c r="E737" s="8"/>
      <c r="F737" s="8"/>
      <c r="G737" s="8"/>
      <c r="H737" s="8"/>
      <c r="I737" s="8"/>
      <c r="J737" s="8"/>
      <c r="K737" s="8"/>
      <c r="L737" s="8"/>
      <c r="M737" s="8"/>
      <c r="N737" s="8"/>
      <c r="O737" s="8"/>
      <c r="P737" s="8"/>
      <c r="Q737" s="8"/>
      <c r="R737" s="8"/>
      <c r="S737" s="8"/>
      <c r="T737" s="8"/>
      <c r="U737" s="8"/>
      <c r="V737" s="8"/>
      <c r="W737" s="8"/>
      <c r="X737" s="8"/>
      <c r="Y737" s="8"/>
    </row>
    <row r="738">
      <c r="A738" s="8"/>
      <c r="B738" s="8"/>
      <c r="C738" s="8"/>
      <c r="D738" s="8"/>
      <c r="E738" s="8"/>
      <c r="F738" s="8"/>
      <c r="G738" s="8"/>
      <c r="H738" s="8"/>
      <c r="I738" s="8"/>
      <c r="J738" s="8"/>
      <c r="K738" s="8"/>
      <c r="L738" s="8"/>
      <c r="M738" s="8"/>
      <c r="N738" s="8"/>
      <c r="O738" s="8"/>
      <c r="P738" s="8"/>
      <c r="Q738" s="8"/>
      <c r="R738" s="8"/>
      <c r="S738" s="8"/>
      <c r="T738" s="8"/>
      <c r="U738" s="8"/>
      <c r="V738" s="8"/>
      <c r="W738" s="8"/>
      <c r="X738" s="8"/>
      <c r="Y738" s="8"/>
    </row>
    <row r="739">
      <c r="A739" s="8"/>
      <c r="B739" s="8"/>
      <c r="C739" s="8"/>
      <c r="D739" s="8"/>
      <c r="E739" s="8"/>
      <c r="F739" s="8"/>
      <c r="G739" s="8"/>
      <c r="H739" s="8"/>
      <c r="I739" s="8"/>
      <c r="J739" s="8"/>
      <c r="K739" s="8"/>
      <c r="L739" s="8"/>
      <c r="M739" s="8"/>
      <c r="N739" s="8"/>
      <c r="O739" s="8"/>
      <c r="P739" s="8"/>
      <c r="Q739" s="8"/>
      <c r="R739" s="8"/>
      <c r="S739" s="8"/>
      <c r="T739" s="8"/>
      <c r="U739" s="8"/>
      <c r="V739" s="8"/>
      <c r="W739" s="8"/>
      <c r="X739" s="8"/>
      <c r="Y739" s="8"/>
    </row>
    <row r="740">
      <c r="A740" s="8"/>
      <c r="B740" s="8"/>
      <c r="C740" s="8"/>
      <c r="D740" s="8"/>
      <c r="E740" s="8"/>
      <c r="F740" s="8"/>
      <c r="G740" s="8"/>
      <c r="H740" s="8"/>
      <c r="I740" s="8"/>
      <c r="J740" s="8"/>
      <c r="K740" s="8"/>
      <c r="L740" s="8"/>
      <c r="M740" s="8"/>
      <c r="N740" s="8"/>
      <c r="O740" s="8"/>
      <c r="P740" s="8"/>
      <c r="Q740" s="8"/>
      <c r="R740" s="8"/>
      <c r="S740" s="8"/>
      <c r="T740" s="8"/>
      <c r="U740" s="8"/>
      <c r="V740" s="8"/>
      <c r="W740" s="8"/>
      <c r="X740" s="8"/>
      <c r="Y740" s="8"/>
    </row>
    <row r="741">
      <c r="A741" s="8"/>
      <c r="B741" s="8"/>
      <c r="C741" s="8"/>
      <c r="D741" s="8"/>
      <c r="E741" s="8"/>
      <c r="F741" s="8"/>
      <c r="G741" s="8"/>
      <c r="H741" s="8"/>
      <c r="I741" s="8"/>
      <c r="J741" s="8"/>
      <c r="K741" s="8"/>
      <c r="L741" s="8"/>
      <c r="M741" s="8"/>
      <c r="N741" s="8"/>
      <c r="O741" s="8"/>
      <c r="P741" s="8"/>
      <c r="Q741" s="8"/>
      <c r="R741" s="8"/>
      <c r="S741" s="8"/>
      <c r="T741" s="8"/>
      <c r="U741" s="8"/>
      <c r="V741" s="8"/>
      <c r="W741" s="8"/>
      <c r="X741" s="8"/>
      <c r="Y741" s="8"/>
    </row>
    <row r="742">
      <c r="A742" s="8"/>
      <c r="B742" s="8"/>
      <c r="C742" s="8"/>
      <c r="D742" s="8"/>
      <c r="E742" s="8"/>
      <c r="F742" s="8"/>
      <c r="G742" s="8"/>
      <c r="H742" s="8"/>
      <c r="I742" s="8"/>
      <c r="J742" s="8"/>
      <c r="K742" s="8"/>
      <c r="L742" s="8"/>
      <c r="M742" s="8"/>
      <c r="N742" s="8"/>
      <c r="O742" s="8"/>
      <c r="P742" s="8"/>
      <c r="Q742" s="8"/>
      <c r="R742" s="8"/>
      <c r="S742" s="8"/>
      <c r="T742" s="8"/>
      <c r="U742" s="8"/>
      <c r="V742" s="8"/>
      <c r="W742" s="8"/>
      <c r="X742" s="8"/>
      <c r="Y742" s="8"/>
    </row>
    <row r="743">
      <c r="A743" s="8"/>
      <c r="B743" s="8"/>
      <c r="C743" s="8"/>
      <c r="D743" s="8"/>
      <c r="E743" s="8"/>
      <c r="F743" s="8"/>
      <c r="G743" s="8"/>
      <c r="H743" s="8"/>
      <c r="I743" s="8"/>
      <c r="J743" s="8"/>
      <c r="K743" s="8"/>
      <c r="L743" s="8"/>
      <c r="M743" s="8"/>
      <c r="N743" s="8"/>
      <c r="O743" s="8"/>
      <c r="P743" s="8"/>
      <c r="Q743" s="8"/>
      <c r="R743" s="8"/>
      <c r="S743" s="8"/>
      <c r="T743" s="8"/>
      <c r="U743" s="8"/>
      <c r="V743" s="8"/>
      <c r="W743" s="8"/>
      <c r="X743" s="8"/>
      <c r="Y743" s="8"/>
    </row>
    <row r="744">
      <c r="A744" s="8"/>
      <c r="B744" s="8"/>
      <c r="C744" s="8"/>
      <c r="D744" s="8"/>
      <c r="E744" s="8"/>
      <c r="F744" s="8"/>
      <c r="G744" s="8"/>
      <c r="H744" s="8"/>
      <c r="I744" s="8"/>
      <c r="J744" s="8"/>
      <c r="K744" s="8"/>
      <c r="L744" s="8"/>
      <c r="M744" s="8"/>
      <c r="N744" s="8"/>
      <c r="O744" s="8"/>
      <c r="P744" s="8"/>
      <c r="Q744" s="8"/>
      <c r="R744" s="8"/>
      <c r="S744" s="8"/>
      <c r="T744" s="8"/>
      <c r="U744" s="8"/>
      <c r="V744" s="8"/>
      <c r="W744" s="8"/>
      <c r="X744" s="8"/>
      <c r="Y744" s="8"/>
    </row>
    <row r="745">
      <c r="A745" s="8"/>
      <c r="B745" s="8"/>
      <c r="C745" s="8"/>
      <c r="D745" s="8"/>
      <c r="E745" s="8"/>
      <c r="F745" s="8"/>
      <c r="G745" s="8"/>
      <c r="H745" s="8"/>
      <c r="I745" s="8"/>
      <c r="J745" s="8"/>
      <c r="K745" s="8"/>
      <c r="L745" s="8"/>
      <c r="M745" s="8"/>
      <c r="N745" s="8"/>
      <c r="O745" s="8"/>
      <c r="P745" s="8"/>
      <c r="Q745" s="8"/>
      <c r="R745" s="8"/>
      <c r="S745" s="8"/>
      <c r="T745" s="8"/>
      <c r="U745" s="8"/>
      <c r="V745" s="8"/>
      <c r="W745" s="8"/>
      <c r="X745" s="8"/>
      <c r="Y745" s="8"/>
    </row>
    <row r="746">
      <c r="A746" s="8"/>
      <c r="B746" s="8"/>
      <c r="C746" s="8"/>
      <c r="D746" s="8"/>
      <c r="E746" s="8"/>
      <c r="F746" s="8"/>
      <c r="G746" s="8"/>
      <c r="H746" s="8"/>
      <c r="I746" s="8"/>
      <c r="J746" s="8"/>
      <c r="K746" s="8"/>
      <c r="L746" s="8"/>
      <c r="M746" s="8"/>
      <c r="N746" s="8"/>
      <c r="O746" s="8"/>
      <c r="P746" s="8"/>
      <c r="Q746" s="8"/>
      <c r="R746" s="8"/>
      <c r="S746" s="8"/>
      <c r="T746" s="8"/>
      <c r="U746" s="8"/>
      <c r="V746" s="8"/>
      <c r="W746" s="8"/>
      <c r="X746" s="8"/>
      <c r="Y746" s="8"/>
    </row>
    <row r="747">
      <c r="A747" s="8"/>
      <c r="B747" s="8"/>
      <c r="C747" s="8"/>
      <c r="D747" s="8"/>
      <c r="E747" s="8"/>
      <c r="F747" s="8"/>
      <c r="G747" s="8"/>
      <c r="H747" s="8"/>
      <c r="I747" s="8"/>
      <c r="J747" s="8"/>
      <c r="K747" s="8"/>
      <c r="L747" s="8"/>
      <c r="M747" s="8"/>
      <c r="N747" s="8"/>
      <c r="O747" s="8"/>
      <c r="P747" s="8"/>
      <c r="Q747" s="8"/>
      <c r="R747" s="8"/>
      <c r="S747" s="8"/>
      <c r="T747" s="8"/>
      <c r="U747" s="8"/>
      <c r="V747" s="8"/>
      <c r="W747" s="8"/>
      <c r="X747" s="8"/>
      <c r="Y747" s="8"/>
    </row>
    <row r="748">
      <c r="A748" s="8"/>
      <c r="B748" s="8"/>
      <c r="C748" s="8"/>
      <c r="D748" s="8"/>
      <c r="E748" s="8"/>
      <c r="F748" s="8"/>
      <c r="G748" s="8"/>
      <c r="H748" s="8"/>
      <c r="I748" s="8"/>
      <c r="J748" s="8"/>
      <c r="K748" s="8"/>
      <c r="L748" s="8"/>
      <c r="M748" s="8"/>
      <c r="N748" s="8"/>
      <c r="O748" s="8"/>
      <c r="P748" s="8"/>
      <c r="Q748" s="8"/>
      <c r="R748" s="8"/>
      <c r="S748" s="8"/>
      <c r="T748" s="8"/>
      <c r="U748" s="8"/>
      <c r="V748" s="8"/>
      <c r="W748" s="8"/>
      <c r="X748" s="8"/>
      <c r="Y748" s="8"/>
    </row>
    <row r="749">
      <c r="A749" s="8"/>
      <c r="B749" s="8"/>
      <c r="C749" s="8"/>
      <c r="D749" s="8"/>
      <c r="E749" s="8"/>
      <c r="F749" s="8"/>
      <c r="G749" s="8"/>
      <c r="H749" s="8"/>
      <c r="I749" s="8"/>
      <c r="J749" s="8"/>
      <c r="K749" s="8"/>
      <c r="L749" s="8"/>
      <c r="M749" s="8"/>
      <c r="N749" s="8"/>
      <c r="O749" s="8"/>
      <c r="P749" s="8"/>
      <c r="Q749" s="8"/>
      <c r="R749" s="8"/>
      <c r="S749" s="8"/>
      <c r="T749" s="8"/>
      <c r="U749" s="8"/>
      <c r="V749" s="8"/>
      <c r="W749" s="8"/>
      <c r="X749" s="8"/>
      <c r="Y749" s="8"/>
    </row>
    <row r="750">
      <c r="A750" s="8"/>
      <c r="B750" s="8"/>
      <c r="C750" s="8"/>
      <c r="D750" s="8"/>
      <c r="E750" s="8"/>
      <c r="F750" s="8"/>
      <c r="G750" s="8"/>
      <c r="H750" s="8"/>
      <c r="I750" s="8"/>
      <c r="J750" s="8"/>
      <c r="K750" s="8"/>
      <c r="L750" s="8"/>
      <c r="M750" s="8"/>
      <c r="N750" s="8"/>
      <c r="O750" s="8"/>
      <c r="P750" s="8"/>
      <c r="Q750" s="8"/>
      <c r="R750" s="8"/>
      <c r="S750" s="8"/>
      <c r="T750" s="8"/>
      <c r="U750" s="8"/>
      <c r="V750" s="8"/>
      <c r="W750" s="8"/>
      <c r="X750" s="8"/>
      <c r="Y750" s="8"/>
    </row>
    <row r="751">
      <c r="A751" s="8"/>
      <c r="B751" s="8"/>
      <c r="C751" s="8"/>
      <c r="D751" s="8"/>
      <c r="E751" s="8"/>
      <c r="F751" s="8"/>
      <c r="G751" s="8"/>
      <c r="H751" s="8"/>
      <c r="I751" s="8"/>
      <c r="J751" s="8"/>
      <c r="K751" s="8"/>
      <c r="L751" s="8"/>
      <c r="M751" s="8"/>
      <c r="N751" s="8"/>
      <c r="O751" s="8"/>
      <c r="P751" s="8"/>
      <c r="Q751" s="8"/>
      <c r="R751" s="8"/>
      <c r="S751" s="8"/>
      <c r="T751" s="8"/>
      <c r="U751" s="8"/>
      <c r="V751" s="8"/>
      <c r="W751" s="8"/>
      <c r="X751" s="8"/>
      <c r="Y751" s="8"/>
    </row>
    <row r="752">
      <c r="A752" s="8"/>
      <c r="B752" s="8"/>
      <c r="C752" s="8"/>
      <c r="D752" s="8"/>
      <c r="E752" s="8"/>
      <c r="F752" s="8"/>
      <c r="G752" s="8"/>
      <c r="H752" s="8"/>
      <c r="I752" s="8"/>
      <c r="J752" s="8"/>
      <c r="K752" s="8"/>
      <c r="L752" s="8"/>
      <c r="M752" s="8"/>
      <c r="N752" s="8"/>
      <c r="O752" s="8"/>
      <c r="P752" s="8"/>
      <c r="Q752" s="8"/>
      <c r="R752" s="8"/>
      <c r="S752" s="8"/>
      <c r="T752" s="8"/>
      <c r="U752" s="8"/>
      <c r="V752" s="8"/>
      <c r="W752" s="8"/>
      <c r="X752" s="8"/>
      <c r="Y752" s="8"/>
    </row>
    <row r="753">
      <c r="A753" s="8"/>
      <c r="B753" s="8"/>
      <c r="C753" s="8"/>
      <c r="D753" s="8"/>
      <c r="E753" s="8"/>
      <c r="F753" s="8"/>
      <c r="G753" s="8"/>
      <c r="H753" s="8"/>
      <c r="I753" s="8"/>
      <c r="J753" s="8"/>
      <c r="K753" s="8"/>
      <c r="L753" s="8"/>
      <c r="M753" s="8"/>
      <c r="N753" s="8"/>
      <c r="O753" s="8"/>
      <c r="P753" s="8"/>
      <c r="Q753" s="8"/>
      <c r="R753" s="8"/>
      <c r="S753" s="8"/>
      <c r="T753" s="8"/>
      <c r="U753" s="8"/>
      <c r="V753" s="8"/>
      <c r="W753" s="8"/>
      <c r="X753" s="8"/>
      <c r="Y753" s="8"/>
    </row>
    <row r="754">
      <c r="A754" s="8"/>
      <c r="B754" s="8"/>
      <c r="C754" s="8"/>
      <c r="D754" s="8"/>
      <c r="E754" s="8"/>
      <c r="F754" s="8"/>
      <c r="G754" s="8"/>
      <c r="H754" s="8"/>
      <c r="I754" s="8"/>
      <c r="J754" s="8"/>
      <c r="K754" s="8"/>
      <c r="L754" s="8"/>
      <c r="M754" s="8"/>
      <c r="N754" s="8"/>
      <c r="O754" s="8"/>
      <c r="P754" s="8"/>
      <c r="Q754" s="8"/>
      <c r="R754" s="8"/>
      <c r="S754" s="8"/>
      <c r="T754" s="8"/>
      <c r="U754" s="8"/>
      <c r="V754" s="8"/>
      <c r="W754" s="8"/>
      <c r="X754" s="8"/>
      <c r="Y754" s="8"/>
    </row>
    <row r="755">
      <c r="A755" s="8"/>
      <c r="B755" s="8"/>
      <c r="C755" s="8"/>
      <c r="D755" s="8"/>
      <c r="E755" s="8"/>
      <c r="F755" s="8"/>
      <c r="G755" s="8"/>
      <c r="H755" s="8"/>
      <c r="I755" s="8"/>
      <c r="J755" s="8"/>
      <c r="K755" s="8"/>
      <c r="L755" s="8"/>
      <c r="M755" s="8"/>
      <c r="N755" s="8"/>
      <c r="O755" s="8"/>
      <c r="P755" s="8"/>
      <c r="Q755" s="8"/>
      <c r="R755" s="8"/>
      <c r="S755" s="8"/>
      <c r="T755" s="8"/>
      <c r="U755" s="8"/>
      <c r="V755" s="8"/>
      <c r="W755" s="8"/>
      <c r="X755" s="8"/>
      <c r="Y755" s="8"/>
    </row>
    <row r="756">
      <c r="A756" s="8"/>
      <c r="B756" s="8"/>
      <c r="C756" s="8"/>
      <c r="D756" s="8"/>
      <c r="E756" s="8"/>
      <c r="F756" s="8"/>
      <c r="G756" s="8"/>
      <c r="H756" s="8"/>
      <c r="I756" s="8"/>
      <c r="J756" s="8"/>
      <c r="K756" s="8"/>
      <c r="L756" s="8"/>
      <c r="M756" s="8"/>
      <c r="N756" s="8"/>
      <c r="O756" s="8"/>
      <c r="P756" s="8"/>
      <c r="Q756" s="8"/>
      <c r="R756" s="8"/>
      <c r="S756" s="8"/>
      <c r="T756" s="8"/>
      <c r="U756" s="8"/>
      <c r="V756" s="8"/>
      <c r="W756" s="8"/>
      <c r="X756" s="8"/>
      <c r="Y756" s="8"/>
    </row>
    <row r="757">
      <c r="A757" s="8"/>
      <c r="B757" s="8"/>
      <c r="C757" s="8"/>
      <c r="D757" s="8"/>
      <c r="E757" s="8"/>
      <c r="F757" s="8"/>
      <c r="G757" s="8"/>
      <c r="H757" s="8"/>
      <c r="I757" s="8"/>
      <c r="J757" s="8"/>
      <c r="K757" s="8"/>
      <c r="L757" s="8"/>
      <c r="M757" s="8"/>
      <c r="N757" s="8"/>
      <c r="O757" s="8"/>
      <c r="P757" s="8"/>
      <c r="Q757" s="8"/>
      <c r="R757" s="8"/>
      <c r="S757" s="8"/>
      <c r="T757" s="8"/>
      <c r="U757" s="8"/>
      <c r="V757" s="8"/>
      <c r="W757" s="8"/>
      <c r="X757" s="8"/>
      <c r="Y757" s="8"/>
    </row>
    <row r="758">
      <c r="A758" s="8"/>
      <c r="B758" s="8"/>
      <c r="C758" s="8"/>
      <c r="D758" s="8"/>
      <c r="E758" s="8"/>
      <c r="F758" s="8"/>
      <c r="G758" s="8"/>
      <c r="H758" s="8"/>
      <c r="I758" s="8"/>
      <c r="J758" s="8"/>
      <c r="K758" s="8"/>
      <c r="L758" s="8"/>
      <c r="M758" s="8"/>
      <c r="N758" s="8"/>
      <c r="O758" s="8"/>
      <c r="P758" s="8"/>
      <c r="Q758" s="8"/>
      <c r="R758" s="8"/>
      <c r="S758" s="8"/>
      <c r="T758" s="8"/>
      <c r="U758" s="8"/>
      <c r="V758" s="8"/>
      <c r="W758" s="8"/>
      <c r="X758" s="8"/>
      <c r="Y758" s="8"/>
    </row>
    <row r="759">
      <c r="A759" s="8"/>
      <c r="B759" s="8"/>
      <c r="C759" s="8"/>
      <c r="D759" s="8"/>
      <c r="E759" s="8"/>
      <c r="F759" s="8"/>
      <c r="G759" s="8"/>
      <c r="H759" s="8"/>
      <c r="I759" s="8"/>
      <c r="J759" s="8"/>
      <c r="K759" s="8"/>
      <c r="L759" s="8"/>
      <c r="M759" s="8"/>
      <c r="N759" s="8"/>
      <c r="O759" s="8"/>
      <c r="P759" s="8"/>
      <c r="Q759" s="8"/>
      <c r="R759" s="8"/>
      <c r="S759" s="8"/>
      <c r="T759" s="8"/>
      <c r="U759" s="8"/>
      <c r="V759" s="8"/>
      <c r="W759" s="8"/>
      <c r="X759" s="8"/>
      <c r="Y759" s="8"/>
    </row>
    <row r="760">
      <c r="A760" s="8"/>
      <c r="B760" s="8"/>
      <c r="C760" s="8"/>
      <c r="D760" s="8"/>
      <c r="E760" s="8"/>
      <c r="F760" s="8"/>
      <c r="G760" s="8"/>
      <c r="H760" s="8"/>
      <c r="I760" s="8"/>
      <c r="J760" s="8"/>
      <c r="K760" s="8"/>
      <c r="L760" s="8"/>
      <c r="M760" s="8"/>
      <c r="N760" s="8"/>
      <c r="O760" s="8"/>
      <c r="P760" s="8"/>
      <c r="Q760" s="8"/>
      <c r="R760" s="8"/>
      <c r="S760" s="8"/>
      <c r="T760" s="8"/>
      <c r="U760" s="8"/>
      <c r="V760" s="8"/>
      <c r="W760" s="8"/>
      <c r="X760" s="8"/>
      <c r="Y760" s="8"/>
    </row>
    <row r="761">
      <c r="A761" s="8"/>
      <c r="B761" s="8"/>
      <c r="C761" s="8"/>
      <c r="D761" s="8"/>
      <c r="E761" s="8"/>
      <c r="F761" s="8"/>
      <c r="G761" s="8"/>
      <c r="H761" s="8"/>
      <c r="I761" s="8"/>
      <c r="J761" s="8"/>
      <c r="K761" s="8"/>
      <c r="L761" s="8"/>
      <c r="M761" s="8"/>
      <c r="N761" s="8"/>
      <c r="O761" s="8"/>
      <c r="P761" s="8"/>
      <c r="Q761" s="8"/>
      <c r="R761" s="8"/>
      <c r="S761" s="8"/>
      <c r="T761" s="8"/>
      <c r="U761" s="8"/>
      <c r="V761" s="8"/>
      <c r="W761" s="8"/>
      <c r="X761" s="8"/>
      <c r="Y761" s="8"/>
    </row>
    <row r="762">
      <c r="A762" s="8"/>
      <c r="B762" s="8"/>
      <c r="C762" s="8"/>
      <c r="D762" s="8"/>
      <c r="E762" s="8"/>
      <c r="F762" s="8"/>
      <c r="G762" s="8"/>
      <c r="H762" s="8"/>
      <c r="I762" s="8"/>
      <c r="J762" s="8"/>
      <c r="K762" s="8"/>
      <c r="L762" s="8"/>
      <c r="M762" s="8"/>
      <c r="N762" s="8"/>
      <c r="O762" s="8"/>
      <c r="P762" s="8"/>
      <c r="Q762" s="8"/>
      <c r="R762" s="8"/>
      <c r="S762" s="8"/>
      <c r="T762" s="8"/>
      <c r="U762" s="8"/>
      <c r="V762" s="8"/>
      <c r="W762" s="8"/>
      <c r="X762" s="8"/>
      <c r="Y762" s="8"/>
    </row>
    <row r="763">
      <c r="A763" s="8"/>
      <c r="B763" s="8"/>
      <c r="C763" s="8"/>
      <c r="D763" s="8"/>
      <c r="E763" s="8"/>
      <c r="F763" s="8"/>
      <c r="G763" s="8"/>
      <c r="H763" s="8"/>
      <c r="I763" s="8"/>
      <c r="J763" s="8"/>
      <c r="K763" s="8"/>
      <c r="L763" s="8"/>
      <c r="M763" s="8"/>
      <c r="N763" s="8"/>
      <c r="O763" s="8"/>
      <c r="P763" s="8"/>
      <c r="Q763" s="8"/>
      <c r="R763" s="8"/>
      <c r="S763" s="8"/>
      <c r="T763" s="8"/>
      <c r="U763" s="8"/>
      <c r="V763" s="8"/>
      <c r="W763" s="8"/>
      <c r="X763" s="8"/>
      <c r="Y763" s="8"/>
    </row>
    <row r="764">
      <c r="A764" s="8"/>
      <c r="B764" s="8"/>
      <c r="C764" s="8"/>
      <c r="D764" s="8"/>
      <c r="E764" s="8"/>
      <c r="F764" s="8"/>
      <c r="G764" s="8"/>
      <c r="H764" s="8"/>
      <c r="I764" s="8"/>
      <c r="J764" s="8"/>
      <c r="K764" s="8"/>
      <c r="L764" s="8"/>
      <c r="M764" s="8"/>
      <c r="N764" s="8"/>
      <c r="O764" s="8"/>
      <c r="P764" s="8"/>
      <c r="Q764" s="8"/>
      <c r="R764" s="8"/>
      <c r="S764" s="8"/>
      <c r="T764" s="8"/>
      <c r="U764" s="8"/>
      <c r="V764" s="8"/>
      <c r="W764" s="8"/>
      <c r="X764" s="8"/>
      <c r="Y764" s="8"/>
    </row>
    <row r="765">
      <c r="A765" s="8"/>
      <c r="B765" s="8"/>
      <c r="C765" s="8"/>
      <c r="D765" s="8"/>
      <c r="E765" s="8"/>
      <c r="F765" s="8"/>
      <c r="G765" s="8"/>
      <c r="H765" s="8"/>
      <c r="I765" s="8"/>
      <c r="J765" s="8"/>
      <c r="K765" s="8"/>
      <c r="L765" s="8"/>
      <c r="M765" s="8"/>
      <c r="N765" s="8"/>
      <c r="O765" s="8"/>
      <c r="P765" s="8"/>
      <c r="Q765" s="8"/>
      <c r="R765" s="8"/>
      <c r="S765" s="8"/>
      <c r="T765" s="8"/>
      <c r="U765" s="8"/>
      <c r="V765" s="8"/>
      <c r="W765" s="8"/>
      <c r="X765" s="8"/>
      <c r="Y765" s="8"/>
    </row>
    <row r="766">
      <c r="A766" s="8"/>
      <c r="B766" s="8"/>
      <c r="C766" s="8"/>
      <c r="D766" s="8"/>
      <c r="E766" s="8"/>
      <c r="F766" s="8"/>
      <c r="G766" s="8"/>
      <c r="H766" s="8"/>
      <c r="I766" s="8"/>
      <c r="J766" s="8"/>
      <c r="K766" s="8"/>
      <c r="L766" s="8"/>
      <c r="M766" s="8"/>
      <c r="N766" s="8"/>
      <c r="O766" s="8"/>
      <c r="P766" s="8"/>
      <c r="Q766" s="8"/>
      <c r="R766" s="8"/>
      <c r="S766" s="8"/>
      <c r="T766" s="8"/>
      <c r="U766" s="8"/>
      <c r="V766" s="8"/>
      <c r="W766" s="8"/>
      <c r="X766" s="8"/>
      <c r="Y766" s="8"/>
    </row>
    <row r="767">
      <c r="A767" s="8"/>
      <c r="B767" s="8"/>
      <c r="C767" s="8"/>
      <c r="D767" s="8"/>
      <c r="E767" s="8"/>
      <c r="F767" s="8"/>
      <c r="G767" s="8"/>
      <c r="H767" s="8"/>
      <c r="I767" s="8"/>
      <c r="J767" s="8"/>
      <c r="K767" s="8"/>
      <c r="L767" s="8"/>
      <c r="M767" s="8"/>
      <c r="N767" s="8"/>
      <c r="O767" s="8"/>
      <c r="P767" s="8"/>
      <c r="Q767" s="8"/>
      <c r="R767" s="8"/>
      <c r="S767" s="8"/>
      <c r="T767" s="8"/>
      <c r="U767" s="8"/>
      <c r="V767" s="8"/>
      <c r="W767" s="8"/>
      <c r="X767" s="8"/>
      <c r="Y767" s="8"/>
    </row>
    <row r="768">
      <c r="A768" s="8"/>
      <c r="B768" s="8"/>
      <c r="C768" s="8"/>
      <c r="D768" s="8"/>
      <c r="E768" s="8"/>
      <c r="F768" s="8"/>
      <c r="G768" s="8"/>
      <c r="H768" s="8"/>
      <c r="I768" s="8"/>
      <c r="J768" s="8"/>
      <c r="K768" s="8"/>
      <c r="L768" s="8"/>
      <c r="M768" s="8"/>
      <c r="N768" s="8"/>
      <c r="O768" s="8"/>
      <c r="P768" s="8"/>
      <c r="Q768" s="8"/>
      <c r="R768" s="8"/>
      <c r="S768" s="8"/>
      <c r="T768" s="8"/>
      <c r="U768" s="8"/>
      <c r="V768" s="8"/>
      <c r="W768" s="8"/>
      <c r="X768" s="8"/>
      <c r="Y768" s="8"/>
    </row>
    <row r="769">
      <c r="A769" s="8"/>
      <c r="B769" s="8"/>
      <c r="C769" s="8"/>
      <c r="D769" s="8"/>
      <c r="E769" s="8"/>
      <c r="F769" s="8"/>
      <c r="G769" s="8"/>
      <c r="H769" s="8"/>
      <c r="I769" s="8"/>
      <c r="J769" s="8"/>
      <c r="K769" s="8"/>
      <c r="L769" s="8"/>
      <c r="M769" s="8"/>
      <c r="N769" s="8"/>
      <c r="O769" s="8"/>
      <c r="P769" s="8"/>
      <c r="Q769" s="8"/>
      <c r="R769" s="8"/>
      <c r="S769" s="8"/>
      <c r="T769" s="8"/>
      <c r="U769" s="8"/>
      <c r="V769" s="8"/>
      <c r="W769" s="8"/>
      <c r="X769" s="8"/>
      <c r="Y769" s="8"/>
    </row>
    <row r="770">
      <c r="A770" s="8"/>
      <c r="B770" s="8"/>
      <c r="C770" s="8"/>
      <c r="D770" s="8"/>
      <c r="E770" s="8"/>
      <c r="F770" s="8"/>
      <c r="G770" s="8"/>
      <c r="H770" s="8"/>
      <c r="I770" s="8"/>
      <c r="J770" s="8"/>
      <c r="K770" s="8"/>
      <c r="L770" s="8"/>
      <c r="M770" s="8"/>
      <c r="N770" s="8"/>
      <c r="O770" s="8"/>
      <c r="P770" s="8"/>
      <c r="Q770" s="8"/>
      <c r="R770" s="8"/>
      <c r="S770" s="8"/>
      <c r="T770" s="8"/>
      <c r="U770" s="8"/>
      <c r="V770" s="8"/>
      <c r="W770" s="8"/>
      <c r="X770" s="8"/>
      <c r="Y770" s="8"/>
    </row>
    <row r="771">
      <c r="A771" s="8"/>
      <c r="B771" s="8"/>
      <c r="C771" s="8"/>
      <c r="D771" s="8"/>
      <c r="E771" s="8"/>
      <c r="F771" s="8"/>
      <c r="G771" s="8"/>
      <c r="H771" s="8"/>
      <c r="I771" s="8"/>
      <c r="J771" s="8"/>
      <c r="K771" s="8"/>
      <c r="L771" s="8"/>
      <c r="M771" s="8"/>
      <c r="N771" s="8"/>
      <c r="O771" s="8"/>
      <c r="P771" s="8"/>
      <c r="Q771" s="8"/>
      <c r="R771" s="8"/>
      <c r="S771" s="8"/>
      <c r="T771" s="8"/>
      <c r="U771" s="8"/>
      <c r="V771" s="8"/>
      <c r="W771" s="8"/>
      <c r="X771" s="8"/>
      <c r="Y771" s="8"/>
    </row>
    <row r="772">
      <c r="A772" s="8"/>
      <c r="B772" s="8"/>
      <c r="C772" s="8"/>
      <c r="D772" s="8"/>
      <c r="E772" s="8"/>
      <c r="F772" s="8"/>
      <c r="G772" s="8"/>
      <c r="H772" s="8"/>
      <c r="I772" s="8"/>
      <c r="J772" s="8"/>
      <c r="K772" s="8"/>
      <c r="L772" s="8"/>
      <c r="M772" s="8"/>
      <c r="N772" s="8"/>
      <c r="O772" s="8"/>
      <c r="P772" s="8"/>
      <c r="Q772" s="8"/>
      <c r="R772" s="8"/>
      <c r="S772" s="8"/>
      <c r="T772" s="8"/>
      <c r="U772" s="8"/>
      <c r="V772" s="8"/>
      <c r="W772" s="8"/>
      <c r="X772" s="8"/>
      <c r="Y772" s="8"/>
    </row>
    <row r="773">
      <c r="A773" s="8"/>
      <c r="B773" s="8"/>
      <c r="C773" s="8"/>
      <c r="D773" s="8"/>
      <c r="E773" s="8"/>
      <c r="F773" s="8"/>
      <c r="G773" s="8"/>
      <c r="H773" s="8"/>
      <c r="I773" s="8"/>
      <c r="J773" s="8"/>
      <c r="K773" s="8"/>
      <c r="L773" s="8"/>
      <c r="M773" s="8"/>
      <c r="N773" s="8"/>
      <c r="O773" s="8"/>
      <c r="P773" s="8"/>
      <c r="Q773" s="8"/>
      <c r="R773" s="8"/>
      <c r="S773" s="8"/>
      <c r="T773" s="8"/>
      <c r="U773" s="8"/>
      <c r="V773" s="8"/>
      <c r="W773" s="8"/>
      <c r="X773" s="8"/>
      <c r="Y773" s="8"/>
    </row>
    <row r="774">
      <c r="A774" s="8"/>
      <c r="B774" s="8"/>
      <c r="C774" s="8"/>
      <c r="D774" s="8"/>
      <c r="E774" s="8"/>
      <c r="F774" s="8"/>
      <c r="G774" s="8"/>
      <c r="H774" s="8"/>
      <c r="I774" s="8"/>
      <c r="J774" s="8"/>
      <c r="K774" s="8"/>
      <c r="L774" s="8"/>
      <c r="M774" s="8"/>
      <c r="N774" s="8"/>
      <c r="O774" s="8"/>
      <c r="P774" s="8"/>
      <c r="Q774" s="8"/>
      <c r="R774" s="8"/>
      <c r="S774" s="8"/>
      <c r="T774" s="8"/>
      <c r="U774" s="8"/>
      <c r="V774" s="8"/>
      <c r="W774" s="8"/>
      <c r="X774" s="8"/>
      <c r="Y774" s="8"/>
    </row>
    <row r="775">
      <c r="A775" s="8"/>
      <c r="B775" s="8"/>
      <c r="C775" s="8"/>
      <c r="D775" s="8"/>
      <c r="E775" s="8"/>
      <c r="F775" s="8"/>
      <c r="G775" s="8"/>
      <c r="H775" s="8"/>
      <c r="I775" s="8"/>
      <c r="J775" s="8"/>
      <c r="K775" s="8"/>
      <c r="L775" s="8"/>
      <c r="M775" s="8"/>
      <c r="N775" s="8"/>
      <c r="O775" s="8"/>
      <c r="P775" s="8"/>
      <c r="Q775" s="8"/>
      <c r="R775" s="8"/>
      <c r="S775" s="8"/>
      <c r="T775" s="8"/>
      <c r="U775" s="8"/>
      <c r="V775" s="8"/>
      <c r="W775" s="8"/>
      <c r="X775" s="8"/>
      <c r="Y775" s="8"/>
    </row>
    <row r="776">
      <c r="A776" s="8"/>
      <c r="B776" s="8"/>
      <c r="C776" s="8"/>
      <c r="D776" s="8"/>
      <c r="E776" s="8"/>
      <c r="F776" s="8"/>
      <c r="G776" s="8"/>
      <c r="H776" s="8"/>
      <c r="I776" s="8"/>
      <c r="J776" s="8"/>
      <c r="K776" s="8"/>
      <c r="L776" s="8"/>
      <c r="M776" s="8"/>
      <c r="N776" s="8"/>
      <c r="O776" s="8"/>
      <c r="P776" s="8"/>
      <c r="Q776" s="8"/>
      <c r="R776" s="8"/>
      <c r="S776" s="8"/>
      <c r="T776" s="8"/>
      <c r="U776" s="8"/>
      <c r="V776" s="8"/>
      <c r="W776" s="8"/>
      <c r="X776" s="8"/>
      <c r="Y776" s="8"/>
    </row>
    <row r="777">
      <c r="A777" s="8"/>
      <c r="B777" s="8"/>
      <c r="C777" s="8"/>
      <c r="D777" s="8"/>
      <c r="E777" s="8"/>
      <c r="F777" s="8"/>
      <c r="G777" s="8"/>
      <c r="H777" s="8"/>
      <c r="I777" s="8"/>
      <c r="J777" s="8"/>
      <c r="K777" s="8"/>
      <c r="L777" s="8"/>
      <c r="M777" s="8"/>
      <c r="N777" s="8"/>
      <c r="O777" s="8"/>
      <c r="P777" s="8"/>
      <c r="Q777" s="8"/>
      <c r="R777" s="8"/>
      <c r="S777" s="8"/>
      <c r="T777" s="8"/>
      <c r="U777" s="8"/>
      <c r="V777" s="8"/>
      <c r="W777" s="8"/>
      <c r="X777" s="8"/>
      <c r="Y777" s="8"/>
    </row>
    <row r="778">
      <c r="A778" s="8"/>
      <c r="B778" s="8"/>
      <c r="C778" s="8"/>
      <c r="D778" s="8"/>
      <c r="E778" s="8"/>
      <c r="F778" s="8"/>
      <c r="G778" s="8"/>
      <c r="H778" s="8"/>
      <c r="I778" s="8"/>
      <c r="J778" s="8"/>
      <c r="K778" s="8"/>
      <c r="L778" s="8"/>
      <c r="M778" s="8"/>
      <c r="N778" s="8"/>
      <c r="O778" s="8"/>
      <c r="P778" s="8"/>
      <c r="Q778" s="8"/>
      <c r="R778" s="8"/>
      <c r="S778" s="8"/>
      <c r="T778" s="8"/>
      <c r="U778" s="8"/>
      <c r="V778" s="8"/>
      <c r="W778" s="8"/>
      <c r="X778" s="8"/>
      <c r="Y778" s="8"/>
    </row>
    <row r="779">
      <c r="A779" s="8"/>
      <c r="B779" s="8"/>
      <c r="C779" s="8"/>
      <c r="D779" s="8"/>
      <c r="E779" s="8"/>
      <c r="F779" s="8"/>
      <c r="G779" s="8"/>
      <c r="H779" s="8"/>
      <c r="I779" s="8"/>
      <c r="J779" s="8"/>
      <c r="K779" s="8"/>
      <c r="L779" s="8"/>
      <c r="M779" s="8"/>
      <c r="N779" s="8"/>
      <c r="O779" s="8"/>
      <c r="P779" s="8"/>
      <c r="Q779" s="8"/>
      <c r="R779" s="8"/>
      <c r="S779" s="8"/>
      <c r="T779" s="8"/>
      <c r="U779" s="8"/>
      <c r="V779" s="8"/>
      <c r="W779" s="8"/>
      <c r="X779" s="8"/>
      <c r="Y779" s="8"/>
    </row>
    <row r="780">
      <c r="A780" s="8"/>
      <c r="B780" s="8"/>
      <c r="C780" s="8"/>
      <c r="D780" s="8"/>
      <c r="E780" s="8"/>
      <c r="F780" s="8"/>
      <c r="G780" s="8"/>
      <c r="H780" s="8"/>
      <c r="I780" s="8"/>
      <c r="J780" s="8"/>
      <c r="K780" s="8"/>
      <c r="L780" s="8"/>
      <c r="M780" s="8"/>
      <c r="N780" s="8"/>
      <c r="O780" s="8"/>
      <c r="P780" s="8"/>
      <c r="Q780" s="8"/>
      <c r="R780" s="8"/>
      <c r="S780" s="8"/>
      <c r="T780" s="8"/>
      <c r="U780" s="8"/>
      <c r="V780" s="8"/>
      <c r="W780" s="8"/>
      <c r="X780" s="8"/>
      <c r="Y780" s="8"/>
    </row>
    <row r="781">
      <c r="A781" s="8"/>
      <c r="B781" s="8"/>
      <c r="C781" s="8"/>
      <c r="D781" s="8"/>
      <c r="E781" s="8"/>
      <c r="F781" s="8"/>
      <c r="G781" s="8"/>
      <c r="H781" s="8"/>
      <c r="I781" s="8"/>
      <c r="J781" s="8"/>
      <c r="K781" s="8"/>
      <c r="L781" s="8"/>
      <c r="M781" s="8"/>
      <c r="N781" s="8"/>
      <c r="O781" s="8"/>
      <c r="P781" s="8"/>
      <c r="Q781" s="8"/>
      <c r="R781" s="8"/>
      <c r="S781" s="8"/>
      <c r="T781" s="8"/>
      <c r="U781" s="8"/>
      <c r="V781" s="8"/>
      <c r="W781" s="8"/>
      <c r="X781" s="8"/>
      <c r="Y781" s="8"/>
    </row>
    <row r="782">
      <c r="A782" s="8"/>
      <c r="B782" s="8"/>
      <c r="C782" s="8"/>
      <c r="D782" s="8"/>
      <c r="E782" s="8"/>
      <c r="F782" s="8"/>
      <c r="G782" s="8"/>
      <c r="H782" s="8"/>
      <c r="I782" s="8"/>
      <c r="J782" s="8"/>
      <c r="K782" s="8"/>
      <c r="L782" s="8"/>
      <c r="M782" s="8"/>
      <c r="N782" s="8"/>
      <c r="O782" s="8"/>
      <c r="P782" s="8"/>
      <c r="Q782" s="8"/>
      <c r="R782" s="8"/>
      <c r="S782" s="8"/>
      <c r="T782" s="8"/>
      <c r="U782" s="8"/>
      <c r="V782" s="8"/>
      <c r="W782" s="8"/>
      <c r="X782" s="8"/>
      <c r="Y782" s="8"/>
    </row>
    <row r="783">
      <c r="A783" s="8"/>
      <c r="B783" s="8"/>
      <c r="C783" s="8"/>
      <c r="D783" s="8"/>
      <c r="E783" s="8"/>
      <c r="F783" s="8"/>
      <c r="G783" s="8"/>
      <c r="H783" s="8"/>
      <c r="I783" s="8"/>
      <c r="J783" s="8"/>
      <c r="K783" s="8"/>
      <c r="L783" s="8"/>
      <c r="M783" s="8"/>
      <c r="N783" s="8"/>
      <c r="O783" s="8"/>
      <c r="P783" s="8"/>
      <c r="Q783" s="8"/>
      <c r="R783" s="8"/>
      <c r="S783" s="8"/>
      <c r="T783" s="8"/>
      <c r="U783" s="8"/>
      <c r="V783" s="8"/>
      <c r="W783" s="8"/>
      <c r="X783" s="8"/>
      <c r="Y783" s="8"/>
    </row>
    <row r="784">
      <c r="A784" s="8"/>
      <c r="B784" s="8"/>
      <c r="C784" s="8"/>
      <c r="D784" s="8"/>
      <c r="E784" s="8"/>
      <c r="F784" s="8"/>
      <c r="G784" s="8"/>
      <c r="H784" s="8"/>
      <c r="I784" s="8"/>
      <c r="J784" s="8"/>
      <c r="K784" s="8"/>
      <c r="L784" s="8"/>
      <c r="M784" s="8"/>
      <c r="N784" s="8"/>
      <c r="O784" s="8"/>
      <c r="P784" s="8"/>
      <c r="Q784" s="8"/>
      <c r="R784" s="8"/>
      <c r="S784" s="8"/>
      <c r="T784" s="8"/>
      <c r="U784" s="8"/>
      <c r="V784" s="8"/>
      <c r="W784" s="8"/>
      <c r="X784" s="8"/>
      <c r="Y784" s="8"/>
    </row>
    <row r="785">
      <c r="A785" s="8"/>
      <c r="B785" s="8"/>
      <c r="C785" s="8"/>
      <c r="D785" s="8"/>
      <c r="E785" s="8"/>
      <c r="F785" s="8"/>
      <c r="G785" s="8"/>
      <c r="H785" s="8"/>
      <c r="I785" s="8"/>
      <c r="J785" s="8"/>
      <c r="K785" s="8"/>
      <c r="L785" s="8"/>
      <c r="M785" s="8"/>
      <c r="N785" s="8"/>
      <c r="O785" s="8"/>
      <c r="P785" s="8"/>
      <c r="Q785" s="8"/>
      <c r="R785" s="8"/>
      <c r="S785" s="8"/>
      <c r="T785" s="8"/>
      <c r="U785" s="8"/>
      <c r="V785" s="8"/>
      <c r="W785" s="8"/>
      <c r="X785" s="8"/>
      <c r="Y785" s="8"/>
    </row>
    <row r="786">
      <c r="A786" s="8"/>
      <c r="B786" s="8"/>
      <c r="C786" s="8"/>
      <c r="D786" s="8"/>
      <c r="E786" s="8"/>
      <c r="F786" s="8"/>
      <c r="G786" s="8"/>
      <c r="H786" s="8"/>
      <c r="I786" s="8"/>
      <c r="J786" s="8"/>
      <c r="K786" s="8"/>
      <c r="L786" s="8"/>
      <c r="M786" s="8"/>
      <c r="N786" s="8"/>
      <c r="O786" s="8"/>
      <c r="P786" s="8"/>
      <c r="Q786" s="8"/>
      <c r="R786" s="8"/>
      <c r="S786" s="8"/>
      <c r="T786" s="8"/>
      <c r="U786" s="8"/>
      <c r="V786" s="8"/>
      <c r="W786" s="8"/>
      <c r="X786" s="8"/>
      <c r="Y786" s="8"/>
    </row>
    <row r="787">
      <c r="A787" s="8"/>
      <c r="B787" s="8"/>
      <c r="C787" s="8"/>
      <c r="D787" s="8"/>
      <c r="E787" s="8"/>
      <c r="F787" s="8"/>
      <c r="G787" s="8"/>
      <c r="H787" s="8"/>
      <c r="I787" s="8"/>
      <c r="J787" s="8"/>
      <c r="K787" s="8"/>
      <c r="L787" s="8"/>
      <c r="M787" s="8"/>
      <c r="N787" s="8"/>
      <c r="O787" s="8"/>
      <c r="P787" s="8"/>
      <c r="Q787" s="8"/>
      <c r="R787" s="8"/>
      <c r="S787" s="8"/>
      <c r="T787" s="8"/>
      <c r="U787" s="8"/>
      <c r="V787" s="8"/>
      <c r="W787" s="8"/>
      <c r="X787" s="8"/>
      <c r="Y787" s="8"/>
    </row>
    <row r="788">
      <c r="A788" s="8"/>
      <c r="B788" s="8"/>
      <c r="C788" s="8"/>
      <c r="D788" s="8"/>
      <c r="E788" s="8"/>
      <c r="F788" s="8"/>
      <c r="G788" s="8"/>
      <c r="H788" s="8"/>
      <c r="I788" s="8"/>
      <c r="J788" s="8"/>
      <c r="K788" s="8"/>
      <c r="L788" s="8"/>
      <c r="M788" s="8"/>
      <c r="N788" s="8"/>
      <c r="O788" s="8"/>
      <c r="P788" s="8"/>
      <c r="Q788" s="8"/>
      <c r="R788" s="8"/>
      <c r="S788" s="8"/>
      <c r="T788" s="8"/>
      <c r="U788" s="8"/>
      <c r="V788" s="8"/>
      <c r="W788" s="8"/>
      <c r="X788" s="8"/>
      <c r="Y788" s="8"/>
    </row>
    <row r="789">
      <c r="A789" s="8"/>
      <c r="B789" s="8"/>
      <c r="C789" s="8"/>
      <c r="D789" s="8"/>
      <c r="E789" s="8"/>
      <c r="F789" s="8"/>
      <c r="G789" s="8"/>
      <c r="H789" s="8"/>
      <c r="I789" s="8"/>
      <c r="J789" s="8"/>
      <c r="K789" s="8"/>
      <c r="L789" s="8"/>
      <c r="M789" s="8"/>
      <c r="N789" s="8"/>
      <c r="O789" s="8"/>
      <c r="P789" s="8"/>
      <c r="Q789" s="8"/>
      <c r="R789" s="8"/>
      <c r="S789" s="8"/>
      <c r="T789" s="8"/>
      <c r="U789" s="8"/>
      <c r="V789" s="8"/>
      <c r="W789" s="8"/>
      <c r="X789" s="8"/>
      <c r="Y789" s="8"/>
    </row>
    <row r="790">
      <c r="A790" s="8"/>
      <c r="B790" s="8"/>
      <c r="C790" s="8"/>
      <c r="D790" s="8"/>
      <c r="E790" s="8"/>
      <c r="F790" s="8"/>
      <c r="G790" s="8"/>
      <c r="H790" s="8"/>
      <c r="I790" s="8"/>
      <c r="J790" s="8"/>
      <c r="K790" s="8"/>
      <c r="L790" s="8"/>
      <c r="M790" s="8"/>
      <c r="N790" s="8"/>
      <c r="O790" s="8"/>
      <c r="P790" s="8"/>
      <c r="Q790" s="8"/>
      <c r="R790" s="8"/>
      <c r="S790" s="8"/>
      <c r="T790" s="8"/>
      <c r="U790" s="8"/>
      <c r="V790" s="8"/>
      <c r="W790" s="8"/>
      <c r="X790" s="8"/>
      <c r="Y790" s="8"/>
    </row>
    <row r="791">
      <c r="A791" s="8"/>
      <c r="B791" s="8"/>
      <c r="C791" s="8"/>
      <c r="D791" s="8"/>
      <c r="E791" s="8"/>
      <c r="F791" s="8"/>
      <c r="G791" s="8"/>
      <c r="H791" s="8"/>
      <c r="I791" s="8"/>
      <c r="J791" s="8"/>
      <c r="K791" s="8"/>
      <c r="L791" s="8"/>
      <c r="M791" s="8"/>
      <c r="N791" s="8"/>
      <c r="O791" s="8"/>
      <c r="P791" s="8"/>
      <c r="Q791" s="8"/>
      <c r="R791" s="8"/>
      <c r="S791" s="8"/>
      <c r="T791" s="8"/>
      <c r="U791" s="8"/>
      <c r="V791" s="8"/>
      <c r="W791" s="8"/>
      <c r="X791" s="8"/>
      <c r="Y791" s="8"/>
    </row>
    <row r="792">
      <c r="A792" s="8"/>
      <c r="B792" s="8"/>
      <c r="C792" s="8"/>
      <c r="D792" s="8"/>
      <c r="E792" s="8"/>
      <c r="F792" s="8"/>
      <c r="G792" s="8"/>
      <c r="H792" s="8"/>
      <c r="I792" s="8"/>
      <c r="J792" s="8"/>
      <c r="K792" s="8"/>
      <c r="L792" s="8"/>
      <c r="M792" s="8"/>
      <c r="N792" s="8"/>
      <c r="O792" s="8"/>
      <c r="P792" s="8"/>
      <c r="Q792" s="8"/>
      <c r="R792" s="8"/>
      <c r="S792" s="8"/>
      <c r="T792" s="8"/>
      <c r="U792" s="8"/>
      <c r="V792" s="8"/>
      <c r="W792" s="8"/>
      <c r="X792" s="8"/>
      <c r="Y792" s="8"/>
    </row>
    <row r="793">
      <c r="A793" s="8"/>
      <c r="B793" s="8"/>
      <c r="C793" s="8"/>
      <c r="D793" s="8"/>
      <c r="E793" s="8"/>
      <c r="F793" s="8"/>
      <c r="G793" s="8"/>
      <c r="H793" s="8"/>
      <c r="I793" s="8"/>
      <c r="J793" s="8"/>
      <c r="K793" s="8"/>
      <c r="L793" s="8"/>
      <c r="M793" s="8"/>
      <c r="N793" s="8"/>
      <c r="O793" s="8"/>
      <c r="P793" s="8"/>
      <c r="Q793" s="8"/>
      <c r="R793" s="8"/>
      <c r="S793" s="8"/>
      <c r="T793" s="8"/>
      <c r="U793" s="8"/>
      <c r="V793" s="8"/>
      <c r="W793" s="8"/>
      <c r="X793" s="8"/>
      <c r="Y793" s="8"/>
    </row>
    <row r="794">
      <c r="A794" s="8"/>
      <c r="B794" s="8"/>
      <c r="C794" s="8"/>
      <c r="D794" s="8"/>
      <c r="E794" s="8"/>
      <c r="F794" s="8"/>
      <c r="G794" s="8"/>
      <c r="H794" s="8"/>
      <c r="I794" s="8"/>
      <c r="J794" s="8"/>
      <c r="K794" s="8"/>
      <c r="L794" s="8"/>
      <c r="M794" s="8"/>
      <c r="N794" s="8"/>
      <c r="O794" s="8"/>
      <c r="P794" s="8"/>
      <c r="Q794" s="8"/>
      <c r="R794" s="8"/>
      <c r="S794" s="8"/>
      <c r="T794" s="8"/>
      <c r="U794" s="8"/>
      <c r="V794" s="8"/>
      <c r="W794" s="8"/>
      <c r="X794" s="8"/>
      <c r="Y794" s="8"/>
    </row>
    <row r="795">
      <c r="A795" s="8"/>
      <c r="B795" s="8"/>
      <c r="C795" s="8"/>
      <c r="D795" s="8"/>
      <c r="E795" s="8"/>
      <c r="F795" s="8"/>
      <c r="G795" s="8"/>
      <c r="H795" s="8"/>
      <c r="I795" s="8"/>
      <c r="J795" s="8"/>
      <c r="K795" s="8"/>
      <c r="L795" s="8"/>
      <c r="M795" s="8"/>
      <c r="N795" s="8"/>
      <c r="O795" s="8"/>
      <c r="P795" s="8"/>
      <c r="Q795" s="8"/>
      <c r="R795" s="8"/>
      <c r="S795" s="8"/>
      <c r="T795" s="8"/>
      <c r="U795" s="8"/>
      <c r="V795" s="8"/>
      <c r="W795" s="8"/>
      <c r="X795" s="8"/>
      <c r="Y795" s="8"/>
    </row>
    <row r="796">
      <c r="A796" s="8"/>
      <c r="B796" s="8"/>
      <c r="C796" s="8"/>
      <c r="D796" s="8"/>
      <c r="E796" s="8"/>
      <c r="F796" s="8"/>
      <c r="G796" s="8"/>
      <c r="H796" s="8"/>
      <c r="I796" s="8"/>
      <c r="J796" s="8"/>
      <c r="K796" s="8"/>
      <c r="L796" s="8"/>
      <c r="M796" s="8"/>
      <c r="N796" s="8"/>
      <c r="O796" s="8"/>
      <c r="P796" s="8"/>
      <c r="Q796" s="8"/>
      <c r="R796" s="8"/>
      <c r="S796" s="8"/>
      <c r="T796" s="8"/>
      <c r="U796" s="8"/>
      <c r="V796" s="8"/>
      <c r="W796" s="8"/>
      <c r="X796" s="8"/>
      <c r="Y796" s="8"/>
    </row>
    <row r="797">
      <c r="A797" s="8"/>
      <c r="B797" s="8"/>
      <c r="C797" s="8"/>
      <c r="D797" s="8"/>
      <c r="E797" s="8"/>
      <c r="F797" s="8"/>
      <c r="G797" s="8"/>
      <c r="H797" s="8"/>
      <c r="I797" s="8"/>
      <c r="J797" s="8"/>
      <c r="K797" s="8"/>
      <c r="L797" s="8"/>
      <c r="M797" s="8"/>
      <c r="N797" s="8"/>
      <c r="O797" s="8"/>
      <c r="P797" s="8"/>
      <c r="Q797" s="8"/>
      <c r="R797" s="8"/>
      <c r="S797" s="8"/>
      <c r="T797" s="8"/>
      <c r="U797" s="8"/>
      <c r="V797" s="8"/>
      <c r="W797" s="8"/>
      <c r="X797" s="8"/>
      <c r="Y797" s="8"/>
    </row>
    <row r="798">
      <c r="A798" s="8"/>
      <c r="B798" s="8"/>
      <c r="C798" s="8"/>
      <c r="D798" s="8"/>
      <c r="E798" s="8"/>
      <c r="F798" s="8"/>
      <c r="G798" s="8"/>
      <c r="H798" s="8"/>
      <c r="I798" s="8"/>
      <c r="J798" s="8"/>
      <c r="K798" s="8"/>
      <c r="L798" s="8"/>
      <c r="M798" s="8"/>
      <c r="N798" s="8"/>
      <c r="O798" s="8"/>
      <c r="P798" s="8"/>
      <c r="Q798" s="8"/>
      <c r="R798" s="8"/>
      <c r="S798" s="8"/>
      <c r="T798" s="8"/>
      <c r="U798" s="8"/>
      <c r="V798" s="8"/>
      <c r="W798" s="8"/>
      <c r="X798" s="8"/>
      <c r="Y798" s="8"/>
    </row>
    <row r="799">
      <c r="A799" s="8"/>
      <c r="B799" s="8"/>
      <c r="C799" s="8"/>
      <c r="D799" s="8"/>
      <c r="E799" s="8"/>
      <c r="F799" s="8"/>
      <c r="G799" s="8"/>
      <c r="H799" s="8"/>
      <c r="I799" s="8"/>
      <c r="J799" s="8"/>
      <c r="K799" s="8"/>
      <c r="L799" s="8"/>
      <c r="M799" s="8"/>
      <c r="N799" s="8"/>
      <c r="O799" s="8"/>
      <c r="P799" s="8"/>
      <c r="Q799" s="8"/>
      <c r="R799" s="8"/>
      <c r="S799" s="8"/>
      <c r="T799" s="8"/>
      <c r="U799" s="8"/>
      <c r="V799" s="8"/>
      <c r="W799" s="8"/>
      <c r="X799" s="8"/>
      <c r="Y799" s="8"/>
    </row>
    <row r="800">
      <c r="A800" s="8"/>
      <c r="B800" s="8"/>
      <c r="C800" s="8"/>
      <c r="D800" s="8"/>
      <c r="E800" s="8"/>
      <c r="F800" s="8"/>
      <c r="G800" s="8"/>
      <c r="H800" s="8"/>
      <c r="I800" s="8"/>
      <c r="J800" s="8"/>
      <c r="K800" s="8"/>
      <c r="L800" s="8"/>
      <c r="M800" s="8"/>
      <c r="N800" s="8"/>
      <c r="O800" s="8"/>
      <c r="P800" s="8"/>
      <c r="Q800" s="8"/>
      <c r="R800" s="8"/>
      <c r="S800" s="8"/>
      <c r="T800" s="8"/>
      <c r="U800" s="8"/>
      <c r="V800" s="8"/>
      <c r="W800" s="8"/>
      <c r="X800" s="8"/>
      <c r="Y800" s="8"/>
    </row>
    <row r="801">
      <c r="A801" s="8"/>
      <c r="B801" s="8"/>
      <c r="C801" s="8"/>
      <c r="D801" s="8"/>
      <c r="E801" s="8"/>
      <c r="F801" s="8"/>
      <c r="G801" s="8"/>
      <c r="H801" s="8"/>
      <c r="I801" s="8"/>
      <c r="J801" s="8"/>
      <c r="K801" s="8"/>
      <c r="L801" s="8"/>
      <c r="M801" s="8"/>
      <c r="N801" s="8"/>
      <c r="O801" s="8"/>
      <c r="P801" s="8"/>
      <c r="Q801" s="8"/>
      <c r="R801" s="8"/>
      <c r="S801" s="8"/>
      <c r="T801" s="8"/>
      <c r="U801" s="8"/>
      <c r="V801" s="8"/>
      <c r="W801" s="8"/>
      <c r="X801" s="8"/>
      <c r="Y801" s="8"/>
    </row>
    <row r="802">
      <c r="A802" s="8"/>
      <c r="B802" s="8"/>
      <c r="C802" s="8"/>
      <c r="D802" s="8"/>
      <c r="E802" s="8"/>
      <c r="F802" s="8"/>
      <c r="G802" s="8"/>
      <c r="H802" s="8"/>
      <c r="I802" s="8"/>
      <c r="J802" s="8"/>
      <c r="K802" s="8"/>
      <c r="L802" s="8"/>
      <c r="M802" s="8"/>
      <c r="N802" s="8"/>
      <c r="O802" s="8"/>
      <c r="P802" s="8"/>
      <c r="Q802" s="8"/>
      <c r="R802" s="8"/>
      <c r="S802" s="8"/>
      <c r="T802" s="8"/>
      <c r="U802" s="8"/>
      <c r="V802" s="8"/>
      <c r="W802" s="8"/>
      <c r="X802" s="8"/>
      <c r="Y802" s="8"/>
    </row>
    <row r="803">
      <c r="A803" s="8"/>
      <c r="B803" s="8"/>
      <c r="C803" s="8"/>
      <c r="D803" s="8"/>
      <c r="E803" s="8"/>
      <c r="F803" s="8"/>
      <c r="G803" s="8"/>
      <c r="H803" s="8"/>
      <c r="I803" s="8"/>
      <c r="J803" s="8"/>
      <c r="K803" s="8"/>
      <c r="L803" s="8"/>
      <c r="M803" s="8"/>
      <c r="N803" s="8"/>
      <c r="O803" s="8"/>
      <c r="P803" s="8"/>
      <c r="Q803" s="8"/>
      <c r="R803" s="8"/>
      <c r="S803" s="8"/>
      <c r="T803" s="8"/>
      <c r="U803" s="8"/>
      <c r="V803" s="8"/>
      <c r="W803" s="8"/>
      <c r="X803" s="8"/>
      <c r="Y803" s="8"/>
    </row>
    <row r="804">
      <c r="A804" s="8"/>
      <c r="B804" s="8"/>
      <c r="C804" s="8"/>
      <c r="D804" s="8"/>
      <c r="E804" s="8"/>
      <c r="F804" s="8"/>
      <c r="G804" s="8"/>
      <c r="H804" s="8"/>
      <c r="I804" s="8"/>
      <c r="J804" s="8"/>
      <c r="K804" s="8"/>
      <c r="L804" s="8"/>
      <c r="M804" s="8"/>
      <c r="N804" s="8"/>
      <c r="O804" s="8"/>
      <c r="P804" s="8"/>
      <c r="Q804" s="8"/>
      <c r="R804" s="8"/>
      <c r="S804" s="8"/>
      <c r="T804" s="8"/>
      <c r="U804" s="8"/>
      <c r="V804" s="8"/>
      <c r="W804" s="8"/>
      <c r="X804" s="8"/>
      <c r="Y804" s="8"/>
    </row>
    <row r="805">
      <c r="A805" s="8"/>
      <c r="B805" s="8"/>
      <c r="C805" s="8"/>
      <c r="D805" s="8"/>
      <c r="E805" s="8"/>
      <c r="F805" s="8"/>
      <c r="G805" s="8"/>
      <c r="H805" s="8"/>
      <c r="I805" s="8"/>
      <c r="J805" s="8"/>
      <c r="K805" s="8"/>
      <c r="L805" s="8"/>
      <c r="M805" s="8"/>
      <c r="N805" s="8"/>
      <c r="O805" s="8"/>
      <c r="P805" s="8"/>
      <c r="Q805" s="8"/>
      <c r="R805" s="8"/>
      <c r="S805" s="8"/>
      <c r="T805" s="8"/>
      <c r="U805" s="8"/>
      <c r="V805" s="8"/>
      <c r="W805" s="8"/>
      <c r="X805" s="8"/>
      <c r="Y805" s="8"/>
    </row>
    <row r="806">
      <c r="A806" s="8"/>
      <c r="B806" s="8"/>
      <c r="C806" s="8"/>
      <c r="D806" s="8"/>
      <c r="E806" s="8"/>
      <c r="F806" s="8"/>
      <c r="G806" s="8"/>
      <c r="H806" s="8"/>
      <c r="I806" s="8"/>
      <c r="J806" s="8"/>
      <c r="K806" s="8"/>
      <c r="L806" s="8"/>
      <c r="M806" s="8"/>
      <c r="N806" s="8"/>
      <c r="O806" s="8"/>
      <c r="P806" s="8"/>
      <c r="Q806" s="8"/>
      <c r="R806" s="8"/>
      <c r="S806" s="8"/>
      <c r="T806" s="8"/>
      <c r="U806" s="8"/>
      <c r="V806" s="8"/>
      <c r="W806" s="8"/>
      <c r="X806" s="8"/>
      <c r="Y806" s="8"/>
    </row>
    <row r="807">
      <c r="A807" s="8"/>
      <c r="B807" s="8"/>
      <c r="C807" s="8"/>
      <c r="D807" s="8"/>
      <c r="E807" s="8"/>
      <c r="F807" s="8"/>
      <c r="G807" s="8"/>
      <c r="H807" s="8"/>
      <c r="I807" s="8"/>
      <c r="J807" s="8"/>
      <c r="K807" s="8"/>
      <c r="L807" s="8"/>
      <c r="M807" s="8"/>
      <c r="N807" s="8"/>
      <c r="O807" s="8"/>
      <c r="P807" s="8"/>
      <c r="Q807" s="8"/>
      <c r="R807" s="8"/>
      <c r="S807" s="8"/>
      <c r="T807" s="8"/>
      <c r="U807" s="8"/>
      <c r="V807" s="8"/>
      <c r="W807" s="8"/>
      <c r="X807" s="8"/>
      <c r="Y807" s="8"/>
    </row>
    <row r="808">
      <c r="A808" s="8"/>
      <c r="B808" s="8"/>
      <c r="C808" s="8"/>
      <c r="D808" s="8"/>
      <c r="E808" s="8"/>
      <c r="F808" s="8"/>
      <c r="G808" s="8"/>
      <c r="H808" s="8"/>
      <c r="I808" s="8"/>
      <c r="J808" s="8"/>
      <c r="K808" s="8"/>
      <c r="L808" s="8"/>
      <c r="M808" s="8"/>
      <c r="N808" s="8"/>
      <c r="O808" s="8"/>
      <c r="P808" s="8"/>
      <c r="Q808" s="8"/>
      <c r="R808" s="8"/>
      <c r="S808" s="8"/>
      <c r="T808" s="8"/>
      <c r="U808" s="8"/>
      <c r="V808" s="8"/>
      <c r="W808" s="8"/>
      <c r="X808" s="8"/>
      <c r="Y808" s="8"/>
    </row>
    <row r="809">
      <c r="A809" s="8"/>
      <c r="B809" s="8"/>
      <c r="C809" s="8"/>
      <c r="D809" s="8"/>
      <c r="E809" s="8"/>
      <c r="F809" s="8"/>
      <c r="G809" s="8"/>
      <c r="H809" s="8"/>
      <c r="I809" s="8"/>
      <c r="J809" s="8"/>
      <c r="K809" s="8"/>
      <c r="L809" s="8"/>
      <c r="M809" s="8"/>
      <c r="N809" s="8"/>
      <c r="O809" s="8"/>
      <c r="P809" s="8"/>
      <c r="Q809" s="8"/>
      <c r="R809" s="8"/>
      <c r="S809" s="8"/>
      <c r="T809" s="8"/>
      <c r="U809" s="8"/>
      <c r="V809" s="8"/>
      <c r="W809" s="8"/>
      <c r="X809" s="8"/>
      <c r="Y809" s="8"/>
    </row>
    <row r="810">
      <c r="A810" s="8"/>
      <c r="B810" s="8"/>
      <c r="C810" s="8"/>
      <c r="D810" s="8"/>
      <c r="E810" s="8"/>
      <c r="F810" s="8"/>
      <c r="G810" s="8"/>
      <c r="H810" s="8"/>
      <c r="I810" s="8"/>
      <c r="J810" s="8"/>
      <c r="K810" s="8"/>
      <c r="L810" s="8"/>
      <c r="M810" s="8"/>
      <c r="N810" s="8"/>
      <c r="O810" s="8"/>
      <c r="P810" s="8"/>
      <c r="Q810" s="8"/>
      <c r="R810" s="8"/>
      <c r="S810" s="8"/>
      <c r="T810" s="8"/>
      <c r="U810" s="8"/>
      <c r="V810" s="8"/>
      <c r="W810" s="8"/>
      <c r="X810" s="8"/>
      <c r="Y810" s="8"/>
    </row>
    <row r="811">
      <c r="A811" s="8"/>
      <c r="B811" s="8"/>
      <c r="C811" s="8"/>
      <c r="D811" s="8"/>
      <c r="E811" s="8"/>
      <c r="F811" s="8"/>
      <c r="G811" s="8"/>
      <c r="H811" s="8"/>
      <c r="I811" s="8"/>
      <c r="J811" s="8"/>
      <c r="K811" s="8"/>
      <c r="L811" s="8"/>
      <c r="M811" s="8"/>
      <c r="N811" s="8"/>
      <c r="O811" s="8"/>
      <c r="P811" s="8"/>
      <c r="Q811" s="8"/>
      <c r="R811" s="8"/>
      <c r="S811" s="8"/>
      <c r="T811" s="8"/>
      <c r="U811" s="8"/>
      <c r="V811" s="8"/>
      <c r="W811" s="8"/>
      <c r="X811" s="8"/>
      <c r="Y811" s="8"/>
    </row>
    <row r="812">
      <c r="A812" s="8"/>
      <c r="B812" s="8"/>
      <c r="C812" s="8"/>
      <c r="D812" s="8"/>
      <c r="E812" s="8"/>
      <c r="F812" s="8"/>
      <c r="G812" s="8"/>
      <c r="H812" s="8"/>
      <c r="I812" s="8"/>
      <c r="J812" s="8"/>
      <c r="K812" s="8"/>
      <c r="L812" s="8"/>
      <c r="M812" s="8"/>
      <c r="N812" s="8"/>
      <c r="O812" s="8"/>
      <c r="P812" s="8"/>
      <c r="Q812" s="8"/>
      <c r="R812" s="8"/>
      <c r="S812" s="8"/>
      <c r="T812" s="8"/>
      <c r="U812" s="8"/>
      <c r="V812" s="8"/>
      <c r="W812" s="8"/>
      <c r="X812" s="8"/>
      <c r="Y812" s="8"/>
    </row>
    <row r="813">
      <c r="A813" s="8"/>
      <c r="B813" s="8"/>
      <c r="C813" s="8"/>
      <c r="D813" s="8"/>
      <c r="E813" s="8"/>
      <c r="F813" s="8"/>
      <c r="G813" s="8"/>
      <c r="H813" s="8"/>
      <c r="I813" s="8"/>
      <c r="J813" s="8"/>
      <c r="K813" s="8"/>
      <c r="L813" s="8"/>
      <c r="M813" s="8"/>
      <c r="N813" s="8"/>
      <c r="O813" s="8"/>
      <c r="P813" s="8"/>
      <c r="Q813" s="8"/>
      <c r="R813" s="8"/>
      <c r="S813" s="8"/>
      <c r="T813" s="8"/>
      <c r="U813" s="8"/>
      <c r="V813" s="8"/>
      <c r="W813" s="8"/>
      <c r="X813" s="8"/>
      <c r="Y813" s="8"/>
    </row>
    <row r="814">
      <c r="A814" s="8"/>
      <c r="B814" s="8"/>
      <c r="C814" s="8"/>
      <c r="D814" s="8"/>
      <c r="E814" s="8"/>
      <c r="F814" s="8"/>
      <c r="G814" s="8"/>
      <c r="H814" s="8"/>
      <c r="I814" s="8"/>
      <c r="J814" s="8"/>
      <c r="K814" s="8"/>
      <c r="L814" s="8"/>
      <c r="M814" s="8"/>
      <c r="N814" s="8"/>
      <c r="O814" s="8"/>
      <c r="P814" s="8"/>
      <c r="Q814" s="8"/>
      <c r="R814" s="8"/>
      <c r="S814" s="8"/>
      <c r="T814" s="8"/>
      <c r="U814" s="8"/>
      <c r="V814" s="8"/>
      <c r="W814" s="8"/>
      <c r="X814" s="8"/>
      <c r="Y814" s="8"/>
    </row>
    <row r="815">
      <c r="A815" s="8"/>
      <c r="B815" s="8"/>
      <c r="C815" s="8"/>
      <c r="D815" s="8"/>
      <c r="E815" s="8"/>
      <c r="F815" s="8"/>
      <c r="G815" s="8"/>
      <c r="H815" s="8"/>
      <c r="I815" s="8"/>
      <c r="J815" s="8"/>
      <c r="K815" s="8"/>
      <c r="L815" s="8"/>
      <c r="M815" s="8"/>
      <c r="N815" s="8"/>
      <c r="O815" s="8"/>
      <c r="P815" s="8"/>
      <c r="Q815" s="8"/>
      <c r="R815" s="8"/>
      <c r="S815" s="8"/>
      <c r="T815" s="8"/>
      <c r="U815" s="8"/>
      <c r="V815" s="8"/>
      <c r="W815" s="8"/>
      <c r="X815" s="8"/>
      <c r="Y815" s="8"/>
    </row>
    <row r="816">
      <c r="A816" s="8"/>
      <c r="B816" s="8"/>
      <c r="C816" s="8"/>
      <c r="D816" s="8"/>
      <c r="E816" s="8"/>
      <c r="F816" s="8"/>
      <c r="G816" s="8"/>
      <c r="H816" s="8"/>
      <c r="I816" s="8"/>
      <c r="J816" s="8"/>
      <c r="K816" s="8"/>
      <c r="L816" s="8"/>
      <c r="M816" s="8"/>
      <c r="N816" s="8"/>
      <c r="O816" s="8"/>
      <c r="P816" s="8"/>
      <c r="Q816" s="8"/>
      <c r="R816" s="8"/>
      <c r="S816" s="8"/>
      <c r="T816" s="8"/>
      <c r="U816" s="8"/>
      <c r="V816" s="8"/>
      <c r="W816" s="8"/>
      <c r="X816" s="8"/>
      <c r="Y816" s="8"/>
    </row>
    <row r="817">
      <c r="A817" s="8"/>
      <c r="B817" s="8"/>
      <c r="C817" s="8"/>
      <c r="D817" s="8"/>
      <c r="E817" s="8"/>
      <c r="F817" s="8"/>
      <c r="G817" s="8"/>
      <c r="H817" s="8"/>
      <c r="I817" s="8"/>
      <c r="J817" s="8"/>
      <c r="K817" s="8"/>
      <c r="L817" s="8"/>
      <c r="M817" s="8"/>
      <c r="N817" s="8"/>
      <c r="O817" s="8"/>
      <c r="P817" s="8"/>
      <c r="Q817" s="8"/>
      <c r="R817" s="8"/>
      <c r="S817" s="8"/>
      <c r="T817" s="8"/>
      <c r="U817" s="8"/>
      <c r="V817" s="8"/>
      <c r="W817" s="8"/>
      <c r="X817" s="8"/>
      <c r="Y817" s="8"/>
    </row>
    <row r="818">
      <c r="A818" s="8"/>
      <c r="B818" s="8"/>
      <c r="C818" s="8"/>
      <c r="D818" s="8"/>
      <c r="E818" s="8"/>
      <c r="F818" s="8"/>
      <c r="G818" s="8"/>
      <c r="H818" s="8"/>
      <c r="I818" s="8"/>
      <c r="J818" s="8"/>
      <c r="K818" s="8"/>
      <c r="L818" s="8"/>
      <c r="M818" s="8"/>
      <c r="N818" s="8"/>
      <c r="O818" s="8"/>
      <c r="P818" s="8"/>
      <c r="Q818" s="8"/>
      <c r="R818" s="8"/>
      <c r="S818" s="8"/>
      <c r="T818" s="8"/>
      <c r="U818" s="8"/>
      <c r="V818" s="8"/>
      <c r="W818" s="8"/>
      <c r="X818" s="8"/>
      <c r="Y818" s="8"/>
    </row>
    <row r="819">
      <c r="A819" s="8"/>
      <c r="B819" s="8"/>
      <c r="C819" s="8"/>
      <c r="D819" s="8"/>
      <c r="E819" s="8"/>
      <c r="F819" s="8"/>
      <c r="G819" s="8"/>
      <c r="H819" s="8"/>
      <c r="I819" s="8"/>
      <c r="J819" s="8"/>
      <c r="K819" s="8"/>
      <c r="L819" s="8"/>
      <c r="M819" s="8"/>
      <c r="N819" s="8"/>
      <c r="O819" s="8"/>
      <c r="P819" s="8"/>
      <c r="Q819" s="8"/>
      <c r="R819" s="8"/>
      <c r="S819" s="8"/>
      <c r="T819" s="8"/>
      <c r="U819" s="8"/>
      <c r="V819" s="8"/>
      <c r="W819" s="8"/>
      <c r="X819" s="8"/>
      <c r="Y819" s="8"/>
    </row>
    <row r="820">
      <c r="A820" s="8"/>
      <c r="B820" s="8"/>
      <c r="C820" s="8"/>
      <c r="D820" s="8"/>
      <c r="E820" s="8"/>
      <c r="F820" s="8"/>
      <c r="G820" s="8"/>
      <c r="H820" s="8"/>
      <c r="I820" s="8"/>
      <c r="J820" s="8"/>
      <c r="K820" s="8"/>
      <c r="L820" s="8"/>
      <c r="M820" s="8"/>
      <c r="N820" s="8"/>
      <c r="O820" s="8"/>
      <c r="P820" s="8"/>
      <c r="Q820" s="8"/>
      <c r="R820" s="8"/>
      <c r="S820" s="8"/>
      <c r="T820" s="8"/>
      <c r="U820" s="8"/>
      <c r="V820" s="8"/>
      <c r="W820" s="8"/>
      <c r="X820" s="8"/>
      <c r="Y820" s="8"/>
    </row>
    <row r="821">
      <c r="A821" s="8"/>
      <c r="B821" s="8"/>
      <c r="C821" s="8"/>
      <c r="D821" s="8"/>
      <c r="E821" s="8"/>
      <c r="F821" s="8"/>
      <c r="G821" s="8"/>
      <c r="H821" s="8"/>
      <c r="I821" s="8"/>
      <c r="J821" s="8"/>
      <c r="K821" s="8"/>
      <c r="L821" s="8"/>
      <c r="M821" s="8"/>
      <c r="N821" s="8"/>
      <c r="O821" s="8"/>
      <c r="P821" s="8"/>
      <c r="Q821" s="8"/>
      <c r="R821" s="8"/>
      <c r="S821" s="8"/>
      <c r="T821" s="8"/>
      <c r="U821" s="8"/>
      <c r="V821" s="8"/>
      <c r="W821" s="8"/>
      <c r="X821" s="8"/>
      <c r="Y821" s="8"/>
    </row>
    <row r="822">
      <c r="A822" s="8"/>
      <c r="B822" s="8"/>
      <c r="C822" s="8"/>
      <c r="D822" s="8"/>
      <c r="E822" s="8"/>
      <c r="F822" s="8"/>
      <c r="G822" s="8"/>
      <c r="H822" s="8"/>
      <c r="I822" s="8"/>
      <c r="J822" s="8"/>
      <c r="K822" s="8"/>
      <c r="L822" s="8"/>
      <c r="M822" s="8"/>
      <c r="N822" s="8"/>
      <c r="O822" s="8"/>
      <c r="P822" s="8"/>
      <c r="Q822" s="8"/>
      <c r="R822" s="8"/>
      <c r="S822" s="8"/>
      <c r="T822" s="8"/>
      <c r="U822" s="8"/>
      <c r="V822" s="8"/>
      <c r="W822" s="8"/>
      <c r="X822" s="8"/>
      <c r="Y822" s="8"/>
    </row>
    <row r="823">
      <c r="A823" s="8"/>
      <c r="B823" s="8"/>
      <c r="C823" s="8"/>
      <c r="D823" s="8"/>
      <c r="E823" s="8"/>
      <c r="F823" s="8"/>
      <c r="G823" s="8"/>
      <c r="H823" s="8"/>
      <c r="I823" s="8"/>
      <c r="J823" s="8"/>
      <c r="K823" s="8"/>
      <c r="L823" s="8"/>
      <c r="M823" s="8"/>
      <c r="N823" s="8"/>
      <c r="O823" s="8"/>
      <c r="P823" s="8"/>
      <c r="Q823" s="8"/>
      <c r="R823" s="8"/>
      <c r="S823" s="8"/>
      <c r="T823" s="8"/>
      <c r="U823" s="8"/>
      <c r="V823" s="8"/>
      <c r="W823" s="8"/>
      <c r="X823" s="8"/>
      <c r="Y823" s="8"/>
    </row>
    <row r="824">
      <c r="A824" s="8"/>
      <c r="B824" s="8"/>
      <c r="C824" s="8"/>
      <c r="D824" s="8"/>
      <c r="E824" s="8"/>
      <c r="F824" s="8"/>
      <c r="G824" s="8"/>
      <c r="H824" s="8"/>
      <c r="I824" s="8"/>
      <c r="J824" s="8"/>
      <c r="K824" s="8"/>
      <c r="L824" s="8"/>
      <c r="M824" s="8"/>
      <c r="N824" s="8"/>
      <c r="O824" s="8"/>
      <c r="P824" s="8"/>
      <c r="Q824" s="8"/>
      <c r="R824" s="8"/>
      <c r="S824" s="8"/>
      <c r="T824" s="8"/>
      <c r="U824" s="8"/>
      <c r="V824" s="8"/>
      <c r="W824" s="8"/>
      <c r="X824" s="8"/>
      <c r="Y824" s="8"/>
    </row>
    <row r="825">
      <c r="A825" s="8"/>
      <c r="B825" s="8"/>
      <c r="C825" s="8"/>
      <c r="D825" s="8"/>
      <c r="E825" s="8"/>
      <c r="F825" s="8"/>
      <c r="G825" s="8"/>
      <c r="H825" s="8"/>
      <c r="I825" s="8"/>
      <c r="J825" s="8"/>
      <c r="K825" s="8"/>
      <c r="L825" s="8"/>
      <c r="M825" s="8"/>
      <c r="N825" s="8"/>
      <c r="O825" s="8"/>
      <c r="P825" s="8"/>
      <c r="Q825" s="8"/>
      <c r="R825" s="8"/>
      <c r="S825" s="8"/>
      <c r="T825" s="8"/>
      <c r="U825" s="8"/>
      <c r="V825" s="8"/>
      <c r="W825" s="8"/>
      <c r="X825" s="8"/>
      <c r="Y825" s="8"/>
    </row>
    <row r="826">
      <c r="A826" s="8"/>
      <c r="B826" s="8"/>
      <c r="C826" s="8"/>
      <c r="D826" s="8"/>
      <c r="E826" s="8"/>
      <c r="F826" s="8"/>
      <c r="G826" s="8"/>
      <c r="H826" s="8"/>
      <c r="I826" s="8"/>
      <c r="J826" s="8"/>
      <c r="K826" s="8"/>
      <c r="L826" s="8"/>
      <c r="M826" s="8"/>
      <c r="N826" s="8"/>
      <c r="O826" s="8"/>
      <c r="P826" s="8"/>
      <c r="Q826" s="8"/>
      <c r="R826" s="8"/>
      <c r="S826" s="8"/>
      <c r="T826" s="8"/>
      <c r="U826" s="8"/>
      <c r="V826" s="8"/>
      <c r="W826" s="8"/>
      <c r="X826" s="8"/>
      <c r="Y826" s="8"/>
    </row>
    <row r="827">
      <c r="A827" s="8"/>
      <c r="B827" s="8"/>
      <c r="C827" s="8"/>
      <c r="D827" s="8"/>
      <c r="E827" s="8"/>
      <c r="F827" s="8"/>
      <c r="G827" s="8"/>
      <c r="H827" s="8"/>
      <c r="I827" s="8"/>
      <c r="J827" s="8"/>
      <c r="K827" s="8"/>
      <c r="L827" s="8"/>
      <c r="M827" s="8"/>
      <c r="N827" s="8"/>
      <c r="O827" s="8"/>
      <c r="P827" s="8"/>
      <c r="Q827" s="8"/>
      <c r="R827" s="8"/>
      <c r="S827" s="8"/>
      <c r="T827" s="8"/>
      <c r="U827" s="8"/>
      <c r="V827" s="8"/>
      <c r="W827" s="8"/>
      <c r="X827" s="8"/>
      <c r="Y827" s="8"/>
    </row>
    <row r="828">
      <c r="A828" s="8"/>
      <c r="B828" s="8"/>
      <c r="C828" s="8"/>
      <c r="D828" s="8"/>
      <c r="E828" s="8"/>
      <c r="F828" s="8"/>
      <c r="G828" s="8"/>
      <c r="H828" s="8"/>
      <c r="I828" s="8"/>
      <c r="J828" s="8"/>
      <c r="K828" s="8"/>
      <c r="L828" s="8"/>
      <c r="M828" s="8"/>
      <c r="N828" s="8"/>
      <c r="O828" s="8"/>
      <c r="P828" s="8"/>
      <c r="Q828" s="8"/>
      <c r="R828" s="8"/>
      <c r="S828" s="8"/>
      <c r="T828" s="8"/>
      <c r="U828" s="8"/>
      <c r="V828" s="8"/>
      <c r="W828" s="8"/>
      <c r="X828" s="8"/>
      <c r="Y828" s="8"/>
    </row>
    <row r="829">
      <c r="A829" s="8"/>
      <c r="B829" s="8"/>
      <c r="C829" s="8"/>
      <c r="D829" s="8"/>
      <c r="E829" s="8"/>
      <c r="F829" s="8"/>
      <c r="G829" s="8"/>
      <c r="H829" s="8"/>
      <c r="I829" s="8"/>
      <c r="J829" s="8"/>
      <c r="K829" s="8"/>
      <c r="L829" s="8"/>
      <c r="M829" s="8"/>
      <c r="N829" s="8"/>
      <c r="O829" s="8"/>
      <c r="P829" s="8"/>
      <c r="Q829" s="8"/>
      <c r="R829" s="8"/>
      <c r="S829" s="8"/>
      <c r="T829" s="8"/>
      <c r="U829" s="8"/>
      <c r="V829" s="8"/>
      <c r="W829" s="8"/>
      <c r="X829" s="8"/>
      <c r="Y829" s="8"/>
    </row>
    <row r="830">
      <c r="A830" s="8"/>
      <c r="B830" s="8"/>
      <c r="C830" s="8"/>
      <c r="D830" s="8"/>
      <c r="E830" s="8"/>
      <c r="F830" s="8"/>
      <c r="G830" s="8"/>
      <c r="H830" s="8"/>
      <c r="I830" s="8"/>
      <c r="J830" s="8"/>
      <c r="K830" s="8"/>
      <c r="L830" s="8"/>
      <c r="M830" s="8"/>
      <c r="N830" s="8"/>
      <c r="O830" s="8"/>
      <c r="P830" s="8"/>
      <c r="Q830" s="8"/>
      <c r="R830" s="8"/>
      <c r="S830" s="8"/>
      <c r="T830" s="8"/>
      <c r="U830" s="8"/>
      <c r="V830" s="8"/>
      <c r="W830" s="8"/>
      <c r="X830" s="8"/>
      <c r="Y830" s="8"/>
    </row>
    <row r="831">
      <c r="A831" s="8"/>
      <c r="B831" s="8"/>
      <c r="C831" s="8"/>
      <c r="D831" s="8"/>
      <c r="E831" s="8"/>
      <c r="F831" s="8"/>
      <c r="G831" s="8"/>
      <c r="H831" s="8"/>
      <c r="I831" s="8"/>
      <c r="J831" s="8"/>
      <c r="K831" s="8"/>
      <c r="L831" s="8"/>
      <c r="M831" s="8"/>
      <c r="N831" s="8"/>
      <c r="O831" s="8"/>
      <c r="P831" s="8"/>
      <c r="Q831" s="8"/>
      <c r="R831" s="8"/>
      <c r="S831" s="8"/>
      <c r="T831" s="8"/>
      <c r="U831" s="8"/>
      <c r="V831" s="8"/>
      <c r="W831" s="8"/>
      <c r="X831" s="8"/>
      <c r="Y831" s="8"/>
    </row>
    <row r="832">
      <c r="A832" s="8"/>
      <c r="B832" s="8"/>
      <c r="C832" s="8"/>
      <c r="D832" s="8"/>
      <c r="E832" s="8"/>
      <c r="F832" s="8"/>
      <c r="G832" s="8"/>
      <c r="H832" s="8"/>
      <c r="I832" s="8"/>
      <c r="J832" s="8"/>
      <c r="K832" s="8"/>
      <c r="L832" s="8"/>
      <c r="M832" s="8"/>
      <c r="N832" s="8"/>
      <c r="O832" s="8"/>
      <c r="P832" s="8"/>
      <c r="Q832" s="8"/>
      <c r="R832" s="8"/>
      <c r="S832" s="8"/>
      <c r="T832" s="8"/>
      <c r="U832" s="8"/>
      <c r="V832" s="8"/>
      <c r="W832" s="8"/>
      <c r="X832" s="8"/>
      <c r="Y832" s="8"/>
    </row>
    <row r="833">
      <c r="A833" s="8"/>
      <c r="B833" s="8"/>
      <c r="C833" s="8"/>
      <c r="D833" s="8"/>
      <c r="E833" s="8"/>
      <c r="F833" s="8"/>
      <c r="G833" s="8"/>
      <c r="H833" s="8"/>
      <c r="I833" s="8"/>
      <c r="J833" s="8"/>
      <c r="K833" s="8"/>
      <c r="L833" s="8"/>
      <c r="M833" s="8"/>
      <c r="N833" s="8"/>
      <c r="O833" s="8"/>
      <c r="P833" s="8"/>
      <c r="Q833" s="8"/>
      <c r="R833" s="8"/>
      <c r="S833" s="8"/>
      <c r="T833" s="8"/>
      <c r="U833" s="8"/>
      <c r="V833" s="8"/>
      <c r="W833" s="8"/>
      <c r="X833" s="8"/>
      <c r="Y833" s="8"/>
    </row>
    <row r="834">
      <c r="A834" s="8"/>
      <c r="B834" s="8"/>
      <c r="C834" s="8"/>
      <c r="D834" s="8"/>
      <c r="E834" s="8"/>
      <c r="F834" s="8"/>
      <c r="G834" s="8"/>
      <c r="H834" s="8"/>
      <c r="I834" s="8"/>
      <c r="J834" s="8"/>
      <c r="K834" s="8"/>
      <c r="L834" s="8"/>
      <c r="M834" s="8"/>
      <c r="N834" s="8"/>
      <c r="O834" s="8"/>
      <c r="P834" s="8"/>
      <c r="Q834" s="8"/>
      <c r="R834" s="8"/>
      <c r="S834" s="8"/>
      <c r="T834" s="8"/>
      <c r="U834" s="8"/>
      <c r="V834" s="8"/>
      <c r="W834" s="8"/>
      <c r="X834" s="8"/>
      <c r="Y834" s="8"/>
    </row>
    <row r="835">
      <c r="A835" s="8"/>
      <c r="B835" s="8"/>
      <c r="C835" s="8"/>
      <c r="D835" s="8"/>
      <c r="E835" s="8"/>
      <c r="F835" s="8"/>
      <c r="G835" s="8"/>
      <c r="H835" s="8"/>
      <c r="I835" s="8"/>
      <c r="J835" s="8"/>
      <c r="K835" s="8"/>
      <c r="L835" s="8"/>
      <c r="M835" s="8"/>
      <c r="N835" s="8"/>
      <c r="O835" s="8"/>
      <c r="P835" s="8"/>
      <c r="Q835" s="8"/>
      <c r="R835" s="8"/>
      <c r="S835" s="8"/>
      <c r="T835" s="8"/>
      <c r="U835" s="8"/>
      <c r="V835" s="8"/>
      <c r="W835" s="8"/>
      <c r="X835" s="8"/>
      <c r="Y835" s="8"/>
    </row>
    <row r="836">
      <c r="A836" s="8"/>
      <c r="B836" s="8"/>
      <c r="C836" s="8"/>
      <c r="D836" s="8"/>
      <c r="E836" s="8"/>
      <c r="F836" s="8"/>
      <c r="G836" s="8"/>
      <c r="H836" s="8"/>
      <c r="I836" s="8"/>
      <c r="J836" s="8"/>
      <c r="K836" s="8"/>
      <c r="L836" s="8"/>
      <c r="M836" s="8"/>
      <c r="N836" s="8"/>
      <c r="O836" s="8"/>
      <c r="P836" s="8"/>
      <c r="Q836" s="8"/>
      <c r="R836" s="8"/>
      <c r="S836" s="8"/>
      <c r="T836" s="8"/>
      <c r="U836" s="8"/>
      <c r="V836" s="8"/>
      <c r="W836" s="8"/>
      <c r="X836" s="8"/>
      <c r="Y836" s="8"/>
    </row>
    <row r="837">
      <c r="A837" s="8"/>
      <c r="B837" s="8"/>
      <c r="C837" s="8"/>
      <c r="D837" s="8"/>
      <c r="E837" s="8"/>
      <c r="F837" s="8"/>
      <c r="G837" s="8"/>
      <c r="H837" s="8"/>
      <c r="I837" s="8"/>
      <c r="J837" s="8"/>
      <c r="K837" s="8"/>
      <c r="L837" s="8"/>
      <c r="M837" s="8"/>
      <c r="N837" s="8"/>
      <c r="O837" s="8"/>
      <c r="P837" s="8"/>
      <c r="Q837" s="8"/>
      <c r="R837" s="8"/>
      <c r="S837" s="8"/>
      <c r="T837" s="8"/>
      <c r="U837" s="8"/>
      <c r="V837" s="8"/>
      <c r="W837" s="8"/>
      <c r="X837" s="8"/>
      <c r="Y837" s="8"/>
    </row>
    <row r="838">
      <c r="A838" s="8"/>
      <c r="B838" s="8"/>
      <c r="C838" s="8"/>
      <c r="D838" s="8"/>
      <c r="E838" s="8"/>
      <c r="F838" s="8"/>
      <c r="G838" s="8"/>
      <c r="H838" s="8"/>
      <c r="I838" s="8"/>
      <c r="J838" s="8"/>
      <c r="K838" s="8"/>
      <c r="L838" s="8"/>
      <c r="M838" s="8"/>
      <c r="N838" s="8"/>
      <c r="O838" s="8"/>
      <c r="P838" s="8"/>
      <c r="Q838" s="8"/>
      <c r="R838" s="8"/>
      <c r="S838" s="8"/>
      <c r="T838" s="8"/>
      <c r="U838" s="8"/>
      <c r="V838" s="8"/>
      <c r="W838" s="8"/>
      <c r="X838" s="8"/>
      <c r="Y838" s="8"/>
    </row>
    <row r="839">
      <c r="A839" s="8"/>
      <c r="B839" s="8"/>
      <c r="C839" s="8"/>
      <c r="D839" s="8"/>
      <c r="E839" s="8"/>
      <c r="F839" s="8"/>
      <c r="G839" s="8"/>
      <c r="H839" s="8"/>
      <c r="I839" s="8"/>
      <c r="J839" s="8"/>
      <c r="K839" s="8"/>
      <c r="L839" s="8"/>
      <c r="M839" s="8"/>
      <c r="N839" s="8"/>
      <c r="O839" s="8"/>
      <c r="P839" s="8"/>
      <c r="Q839" s="8"/>
      <c r="R839" s="8"/>
      <c r="S839" s="8"/>
      <c r="T839" s="8"/>
      <c r="U839" s="8"/>
      <c r="V839" s="8"/>
      <c r="W839" s="8"/>
      <c r="X839" s="8"/>
      <c r="Y839" s="8"/>
    </row>
    <row r="840">
      <c r="A840" s="8"/>
      <c r="B840" s="8"/>
      <c r="C840" s="8"/>
      <c r="D840" s="8"/>
      <c r="E840" s="8"/>
      <c r="F840" s="8"/>
      <c r="G840" s="8"/>
      <c r="H840" s="8"/>
      <c r="I840" s="8"/>
      <c r="J840" s="8"/>
      <c r="K840" s="8"/>
      <c r="L840" s="8"/>
      <c r="M840" s="8"/>
      <c r="N840" s="8"/>
      <c r="O840" s="8"/>
      <c r="P840" s="8"/>
      <c r="Q840" s="8"/>
      <c r="R840" s="8"/>
      <c r="S840" s="8"/>
      <c r="T840" s="8"/>
      <c r="U840" s="8"/>
      <c r="V840" s="8"/>
      <c r="W840" s="8"/>
      <c r="X840" s="8"/>
      <c r="Y840" s="8"/>
    </row>
    <row r="841">
      <c r="A841" s="8"/>
      <c r="B841" s="8"/>
      <c r="C841" s="8"/>
      <c r="D841" s="8"/>
      <c r="E841" s="8"/>
      <c r="F841" s="8"/>
      <c r="G841" s="8"/>
      <c r="H841" s="8"/>
      <c r="I841" s="8"/>
      <c r="J841" s="8"/>
      <c r="K841" s="8"/>
      <c r="L841" s="8"/>
      <c r="M841" s="8"/>
      <c r="N841" s="8"/>
      <c r="O841" s="8"/>
      <c r="P841" s="8"/>
      <c r="Q841" s="8"/>
      <c r="R841" s="8"/>
      <c r="S841" s="8"/>
      <c r="T841" s="8"/>
      <c r="U841" s="8"/>
      <c r="V841" s="8"/>
      <c r="W841" s="8"/>
      <c r="X841" s="8"/>
      <c r="Y841" s="8"/>
    </row>
    <row r="842">
      <c r="A842" s="8"/>
      <c r="B842" s="8"/>
      <c r="C842" s="8"/>
      <c r="D842" s="8"/>
      <c r="E842" s="8"/>
      <c r="F842" s="8"/>
      <c r="G842" s="8"/>
      <c r="H842" s="8"/>
      <c r="I842" s="8"/>
      <c r="J842" s="8"/>
      <c r="K842" s="8"/>
      <c r="L842" s="8"/>
      <c r="M842" s="8"/>
      <c r="N842" s="8"/>
      <c r="O842" s="8"/>
      <c r="P842" s="8"/>
      <c r="Q842" s="8"/>
      <c r="R842" s="8"/>
      <c r="S842" s="8"/>
      <c r="T842" s="8"/>
      <c r="U842" s="8"/>
      <c r="V842" s="8"/>
      <c r="W842" s="8"/>
      <c r="X842" s="8"/>
      <c r="Y842" s="8"/>
    </row>
    <row r="843">
      <c r="A843" s="8"/>
      <c r="B843" s="8"/>
      <c r="C843" s="8"/>
      <c r="D843" s="8"/>
      <c r="E843" s="8"/>
      <c r="F843" s="8"/>
      <c r="G843" s="8"/>
      <c r="H843" s="8"/>
      <c r="I843" s="8"/>
      <c r="J843" s="8"/>
      <c r="K843" s="8"/>
      <c r="L843" s="8"/>
      <c r="M843" s="8"/>
      <c r="N843" s="8"/>
      <c r="O843" s="8"/>
      <c r="P843" s="8"/>
      <c r="Q843" s="8"/>
      <c r="R843" s="8"/>
      <c r="S843" s="8"/>
      <c r="T843" s="8"/>
      <c r="U843" s="8"/>
      <c r="V843" s="8"/>
      <c r="W843" s="8"/>
      <c r="X843" s="8"/>
      <c r="Y843" s="8"/>
    </row>
    <row r="844">
      <c r="A844" s="8"/>
      <c r="B844" s="8"/>
      <c r="C844" s="8"/>
      <c r="D844" s="8"/>
      <c r="E844" s="8"/>
      <c r="F844" s="8"/>
      <c r="G844" s="8"/>
      <c r="H844" s="8"/>
      <c r="I844" s="8"/>
      <c r="J844" s="8"/>
      <c r="K844" s="8"/>
      <c r="L844" s="8"/>
      <c r="M844" s="8"/>
      <c r="N844" s="8"/>
      <c r="O844" s="8"/>
      <c r="P844" s="8"/>
      <c r="Q844" s="8"/>
      <c r="R844" s="8"/>
      <c r="S844" s="8"/>
      <c r="T844" s="8"/>
      <c r="U844" s="8"/>
      <c r="V844" s="8"/>
      <c r="W844" s="8"/>
      <c r="X844" s="8"/>
      <c r="Y844" s="8"/>
    </row>
    <row r="845">
      <c r="A845" s="8"/>
      <c r="B845" s="8"/>
      <c r="C845" s="8"/>
      <c r="D845" s="8"/>
      <c r="E845" s="8"/>
      <c r="F845" s="8"/>
      <c r="G845" s="8"/>
      <c r="H845" s="8"/>
      <c r="I845" s="8"/>
      <c r="J845" s="8"/>
      <c r="K845" s="8"/>
      <c r="L845" s="8"/>
      <c r="M845" s="8"/>
      <c r="N845" s="8"/>
      <c r="O845" s="8"/>
      <c r="P845" s="8"/>
      <c r="Q845" s="8"/>
      <c r="R845" s="8"/>
      <c r="S845" s="8"/>
      <c r="T845" s="8"/>
      <c r="U845" s="8"/>
      <c r="V845" s="8"/>
      <c r="W845" s="8"/>
      <c r="X845" s="8"/>
      <c r="Y845" s="8"/>
    </row>
    <row r="846">
      <c r="A846" s="8"/>
      <c r="B846" s="8"/>
      <c r="C846" s="8"/>
      <c r="D846" s="8"/>
      <c r="E846" s="8"/>
      <c r="F846" s="8"/>
      <c r="G846" s="8"/>
      <c r="H846" s="8"/>
      <c r="I846" s="8"/>
      <c r="J846" s="8"/>
      <c r="K846" s="8"/>
      <c r="L846" s="8"/>
      <c r="M846" s="8"/>
      <c r="N846" s="8"/>
      <c r="O846" s="8"/>
      <c r="P846" s="8"/>
      <c r="Q846" s="8"/>
      <c r="R846" s="8"/>
      <c r="S846" s="8"/>
      <c r="T846" s="8"/>
      <c r="U846" s="8"/>
      <c r="V846" s="8"/>
      <c r="W846" s="8"/>
      <c r="X846" s="8"/>
      <c r="Y846" s="8"/>
    </row>
    <row r="847">
      <c r="A847" s="8"/>
      <c r="B847" s="8"/>
      <c r="C847" s="8"/>
      <c r="D847" s="8"/>
      <c r="E847" s="8"/>
      <c r="F847" s="8"/>
      <c r="G847" s="8"/>
      <c r="H847" s="8"/>
      <c r="I847" s="8"/>
      <c r="J847" s="8"/>
      <c r="K847" s="8"/>
      <c r="L847" s="8"/>
      <c r="M847" s="8"/>
      <c r="N847" s="8"/>
      <c r="O847" s="8"/>
      <c r="P847" s="8"/>
      <c r="Q847" s="8"/>
      <c r="R847" s="8"/>
      <c r="S847" s="8"/>
      <c r="T847" s="8"/>
      <c r="U847" s="8"/>
      <c r="V847" s="8"/>
      <c r="W847" s="8"/>
      <c r="X847" s="8"/>
      <c r="Y847" s="8"/>
    </row>
    <row r="848">
      <c r="A848" s="8"/>
      <c r="B848" s="8"/>
      <c r="C848" s="8"/>
      <c r="D848" s="8"/>
      <c r="E848" s="8"/>
      <c r="F848" s="8"/>
      <c r="G848" s="8"/>
      <c r="H848" s="8"/>
      <c r="I848" s="8"/>
      <c r="J848" s="8"/>
      <c r="K848" s="8"/>
      <c r="L848" s="8"/>
      <c r="M848" s="8"/>
      <c r="N848" s="8"/>
      <c r="O848" s="8"/>
      <c r="P848" s="8"/>
      <c r="Q848" s="8"/>
      <c r="R848" s="8"/>
      <c r="S848" s="8"/>
      <c r="T848" s="8"/>
      <c r="U848" s="8"/>
      <c r="V848" s="8"/>
      <c r="W848" s="8"/>
      <c r="X848" s="8"/>
      <c r="Y848" s="8"/>
    </row>
    <row r="849">
      <c r="A849" s="8"/>
      <c r="B849" s="8"/>
      <c r="C849" s="8"/>
      <c r="D849" s="8"/>
      <c r="E849" s="8"/>
      <c r="F849" s="8"/>
      <c r="G849" s="8"/>
      <c r="H849" s="8"/>
      <c r="I849" s="8"/>
      <c r="J849" s="8"/>
      <c r="K849" s="8"/>
      <c r="L849" s="8"/>
      <c r="M849" s="8"/>
      <c r="N849" s="8"/>
      <c r="O849" s="8"/>
      <c r="P849" s="8"/>
      <c r="Q849" s="8"/>
      <c r="R849" s="8"/>
      <c r="S849" s="8"/>
      <c r="T849" s="8"/>
      <c r="U849" s="8"/>
      <c r="V849" s="8"/>
      <c r="W849" s="8"/>
      <c r="X849" s="8"/>
      <c r="Y849" s="8"/>
    </row>
    <row r="850">
      <c r="A850" s="8"/>
      <c r="B850" s="8"/>
      <c r="C850" s="8"/>
      <c r="D850" s="8"/>
      <c r="E850" s="8"/>
      <c r="F850" s="8"/>
      <c r="G850" s="8"/>
      <c r="H850" s="8"/>
      <c r="I850" s="8"/>
      <c r="J850" s="8"/>
      <c r="K850" s="8"/>
      <c r="L850" s="8"/>
      <c r="M850" s="8"/>
      <c r="N850" s="8"/>
      <c r="O850" s="8"/>
      <c r="P850" s="8"/>
      <c r="Q850" s="8"/>
      <c r="R850" s="8"/>
      <c r="S850" s="8"/>
      <c r="T850" s="8"/>
      <c r="U850" s="8"/>
      <c r="V850" s="8"/>
      <c r="W850" s="8"/>
      <c r="X850" s="8"/>
      <c r="Y850" s="8"/>
    </row>
    <row r="851">
      <c r="A851" s="8"/>
      <c r="B851" s="8"/>
      <c r="C851" s="8"/>
      <c r="D851" s="8"/>
      <c r="E851" s="8"/>
      <c r="F851" s="8"/>
      <c r="G851" s="8"/>
      <c r="H851" s="8"/>
      <c r="I851" s="8"/>
      <c r="J851" s="8"/>
      <c r="K851" s="8"/>
      <c r="L851" s="8"/>
      <c r="M851" s="8"/>
      <c r="N851" s="8"/>
      <c r="O851" s="8"/>
      <c r="P851" s="8"/>
      <c r="Q851" s="8"/>
      <c r="R851" s="8"/>
      <c r="S851" s="8"/>
      <c r="T851" s="8"/>
      <c r="U851" s="8"/>
      <c r="V851" s="8"/>
      <c r="W851" s="8"/>
      <c r="X851" s="8"/>
      <c r="Y851" s="8"/>
    </row>
    <row r="852">
      <c r="A852" s="8"/>
      <c r="B852" s="8"/>
      <c r="C852" s="8"/>
      <c r="D852" s="8"/>
      <c r="E852" s="8"/>
      <c r="F852" s="8"/>
      <c r="G852" s="8"/>
      <c r="H852" s="8"/>
      <c r="I852" s="8"/>
      <c r="J852" s="8"/>
      <c r="K852" s="8"/>
      <c r="L852" s="8"/>
      <c r="M852" s="8"/>
      <c r="N852" s="8"/>
      <c r="O852" s="8"/>
      <c r="P852" s="8"/>
      <c r="Q852" s="8"/>
      <c r="R852" s="8"/>
      <c r="S852" s="8"/>
      <c r="T852" s="8"/>
      <c r="U852" s="8"/>
      <c r="V852" s="8"/>
      <c r="W852" s="8"/>
      <c r="X852" s="8"/>
      <c r="Y852" s="8"/>
    </row>
    <row r="853">
      <c r="A853" s="8"/>
      <c r="B853" s="8"/>
      <c r="C853" s="8"/>
      <c r="D853" s="8"/>
      <c r="E853" s="8"/>
      <c r="F853" s="8"/>
      <c r="G853" s="8"/>
      <c r="H853" s="8"/>
      <c r="I853" s="8"/>
      <c r="J853" s="8"/>
      <c r="K853" s="8"/>
      <c r="L853" s="8"/>
      <c r="M853" s="8"/>
      <c r="N853" s="8"/>
      <c r="O853" s="8"/>
      <c r="P853" s="8"/>
      <c r="Q853" s="8"/>
      <c r="R853" s="8"/>
      <c r="S853" s="8"/>
      <c r="T853" s="8"/>
      <c r="U853" s="8"/>
      <c r="V853" s="8"/>
      <c r="W853" s="8"/>
      <c r="X853" s="8"/>
      <c r="Y853" s="8"/>
    </row>
    <row r="854">
      <c r="A854" s="8"/>
      <c r="B854" s="8"/>
      <c r="C854" s="8"/>
      <c r="D854" s="8"/>
      <c r="E854" s="8"/>
      <c r="F854" s="8"/>
      <c r="G854" s="8"/>
      <c r="H854" s="8"/>
      <c r="I854" s="8"/>
      <c r="J854" s="8"/>
      <c r="K854" s="8"/>
      <c r="L854" s="8"/>
      <c r="M854" s="8"/>
      <c r="N854" s="8"/>
      <c r="O854" s="8"/>
      <c r="P854" s="8"/>
      <c r="Q854" s="8"/>
      <c r="R854" s="8"/>
      <c r="S854" s="8"/>
      <c r="T854" s="8"/>
      <c r="U854" s="8"/>
      <c r="V854" s="8"/>
      <c r="W854" s="8"/>
      <c r="X854" s="8"/>
      <c r="Y854" s="8"/>
    </row>
    <row r="855">
      <c r="A855" s="8"/>
      <c r="B855" s="8"/>
      <c r="C855" s="8"/>
      <c r="D855" s="8"/>
      <c r="E855" s="8"/>
      <c r="F855" s="8"/>
      <c r="G855" s="8"/>
      <c r="H855" s="8"/>
      <c r="I855" s="8"/>
      <c r="J855" s="8"/>
      <c r="K855" s="8"/>
      <c r="L855" s="8"/>
      <c r="M855" s="8"/>
      <c r="N855" s="8"/>
      <c r="O855" s="8"/>
      <c r="P855" s="8"/>
      <c r="Q855" s="8"/>
      <c r="R855" s="8"/>
      <c r="S855" s="8"/>
      <c r="T855" s="8"/>
      <c r="U855" s="8"/>
      <c r="V855" s="8"/>
      <c r="W855" s="8"/>
      <c r="X855" s="8"/>
      <c r="Y855" s="8"/>
    </row>
    <row r="856">
      <c r="A856" s="8"/>
      <c r="B856" s="8"/>
      <c r="C856" s="8"/>
      <c r="D856" s="8"/>
      <c r="E856" s="8"/>
      <c r="F856" s="8"/>
      <c r="G856" s="8"/>
      <c r="H856" s="8"/>
      <c r="I856" s="8"/>
      <c r="J856" s="8"/>
      <c r="K856" s="8"/>
      <c r="L856" s="8"/>
      <c r="M856" s="8"/>
      <c r="N856" s="8"/>
      <c r="O856" s="8"/>
      <c r="P856" s="8"/>
      <c r="Q856" s="8"/>
      <c r="R856" s="8"/>
      <c r="S856" s="8"/>
      <c r="T856" s="8"/>
      <c r="U856" s="8"/>
      <c r="V856" s="8"/>
      <c r="W856" s="8"/>
      <c r="X856" s="8"/>
      <c r="Y856" s="8"/>
    </row>
    <row r="857">
      <c r="A857" s="8"/>
      <c r="B857" s="8"/>
      <c r="C857" s="8"/>
      <c r="D857" s="8"/>
      <c r="E857" s="8"/>
      <c r="F857" s="8"/>
      <c r="G857" s="8"/>
      <c r="H857" s="8"/>
      <c r="I857" s="8"/>
      <c r="J857" s="8"/>
      <c r="K857" s="8"/>
      <c r="L857" s="8"/>
      <c r="M857" s="8"/>
      <c r="N857" s="8"/>
      <c r="O857" s="8"/>
      <c r="P857" s="8"/>
      <c r="Q857" s="8"/>
      <c r="R857" s="8"/>
      <c r="S857" s="8"/>
      <c r="T857" s="8"/>
      <c r="U857" s="8"/>
      <c r="V857" s="8"/>
      <c r="W857" s="8"/>
      <c r="X857" s="8"/>
      <c r="Y857" s="8"/>
    </row>
    <row r="858">
      <c r="A858" s="8"/>
      <c r="B858" s="8"/>
      <c r="C858" s="8"/>
      <c r="D858" s="8"/>
      <c r="E858" s="8"/>
      <c r="F858" s="8"/>
      <c r="G858" s="8"/>
      <c r="H858" s="8"/>
      <c r="I858" s="8"/>
      <c r="J858" s="8"/>
      <c r="K858" s="8"/>
      <c r="L858" s="8"/>
      <c r="M858" s="8"/>
      <c r="N858" s="8"/>
      <c r="O858" s="8"/>
      <c r="P858" s="8"/>
      <c r="Q858" s="8"/>
      <c r="R858" s="8"/>
      <c r="S858" s="8"/>
      <c r="T858" s="8"/>
      <c r="U858" s="8"/>
      <c r="V858" s="8"/>
      <c r="W858" s="8"/>
      <c r="X858" s="8"/>
      <c r="Y858" s="8"/>
    </row>
    <row r="859">
      <c r="A859" s="8"/>
      <c r="B859" s="8"/>
      <c r="C859" s="8"/>
      <c r="D859" s="8"/>
      <c r="E859" s="8"/>
      <c r="F859" s="8"/>
      <c r="G859" s="8"/>
      <c r="H859" s="8"/>
      <c r="I859" s="8"/>
      <c r="J859" s="8"/>
      <c r="K859" s="8"/>
      <c r="L859" s="8"/>
      <c r="M859" s="8"/>
      <c r="N859" s="8"/>
      <c r="O859" s="8"/>
      <c r="P859" s="8"/>
      <c r="Q859" s="8"/>
      <c r="R859" s="8"/>
      <c r="S859" s="8"/>
      <c r="T859" s="8"/>
      <c r="U859" s="8"/>
      <c r="V859" s="8"/>
      <c r="W859" s="8"/>
      <c r="X859" s="8"/>
      <c r="Y859" s="8"/>
    </row>
    <row r="860">
      <c r="A860" s="8"/>
      <c r="B860" s="8"/>
      <c r="C860" s="8"/>
      <c r="D860" s="8"/>
      <c r="E860" s="8"/>
      <c r="F860" s="8"/>
      <c r="G860" s="8"/>
      <c r="H860" s="8"/>
      <c r="I860" s="8"/>
      <c r="J860" s="8"/>
      <c r="K860" s="8"/>
      <c r="L860" s="8"/>
      <c r="M860" s="8"/>
      <c r="N860" s="8"/>
      <c r="O860" s="8"/>
      <c r="P860" s="8"/>
      <c r="Q860" s="8"/>
      <c r="R860" s="8"/>
      <c r="S860" s="8"/>
      <c r="T860" s="8"/>
      <c r="U860" s="8"/>
      <c r="V860" s="8"/>
      <c r="W860" s="8"/>
      <c r="X860" s="8"/>
      <c r="Y860" s="8"/>
    </row>
    <row r="861">
      <c r="A861" s="8"/>
      <c r="B861" s="8"/>
      <c r="C861" s="8"/>
      <c r="D861" s="8"/>
      <c r="E861" s="8"/>
      <c r="F861" s="8"/>
      <c r="G861" s="8"/>
      <c r="H861" s="8"/>
      <c r="I861" s="8"/>
      <c r="J861" s="8"/>
      <c r="K861" s="8"/>
      <c r="L861" s="8"/>
      <c r="M861" s="8"/>
      <c r="N861" s="8"/>
      <c r="O861" s="8"/>
      <c r="P861" s="8"/>
      <c r="Q861" s="8"/>
      <c r="R861" s="8"/>
      <c r="S861" s="8"/>
      <c r="T861" s="8"/>
      <c r="U861" s="8"/>
      <c r="V861" s="8"/>
      <c r="W861" s="8"/>
      <c r="X861" s="8"/>
      <c r="Y861" s="8"/>
    </row>
    <row r="862">
      <c r="A862" s="8"/>
      <c r="B862" s="8"/>
      <c r="C862" s="8"/>
      <c r="D862" s="8"/>
      <c r="E862" s="8"/>
      <c r="F862" s="8"/>
      <c r="G862" s="8"/>
      <c r="H862" s="8"/>
      <c r="I862" s="8"/>
      <c r="J862" s="8"/>
      <c r="K862" s="8"/>
      <c r="L862" s="8"/>
      <c r="M862" s="8"/>
      <c r="N862" s="8"/>
      <c r="O862" s="8"/>
      <c r="P862" s="8"/>
      <c r="Q862" s="8"/>
      <c r="R862" s="8"/>
      <c r="S862" s="8"/>
      <c r="T862" s="8"/>
      <c r="U862" s="8"/>
      <c r="V862" s="8"/>
      <c r="W862" s="8"/>
      <c r="X862" s="8"/>
      <c r="Y862" s="8"/>
    </row>
    <row r="863">
      <c r="A863" s="8"/>
      <c r="B863" s="8"/>
      <c r="C863" s="8"/>
      <c r="D863" s="8"/>
      <c r="E863" s="8"/>
      <c r="F863" s="8"/>
      <c r="G863" s="8"/>
      <c r="H863" s="8"/>
      <c r="I863" s="8"/>
      <c r="J863" s="8"/>
      <c r="K863" s="8"/>
      <c r="L863" s="8"/>
      <c r="M863" s="8"/>
      <c r="N863" s="8"/>
      <c r="O863" s="8"/>
      <c r="P863" s="8"/>
      <c r="Q863" s="8"/>
      <c r="R863" s="8"/>
      <c r="S863" s="8"/>
      <c r="T863" s="8"/>
      <c r="U863" s="8"/>
      <c r="V863" s="8"/>
      <c r="W863" s="8"/>
      <c r="X863" s="8"/>
      <c r="Y863" s="8"/>
    </row>
    <row r="864">
      <c r="A864" s="8"/>
      <c r="B864" s="8"/>
      <c r="C864" s="8"/>
      <c r="D864" s="8"/>
      <c r="E864" s="8"/>
      <c r="F864" s="8"/>
      <c r="G864" s="8"/>
      <c r="H864" s="8"/>
      <c r="I864" s="8"/>
      <c r="J864" s="8"/>
      <c r="K864" s="8"/>
      <c r="L864" s="8"/>
      <c r="M864" s="8"/>
      <c r="N864" s="8"/>
      <c r="O864" s="8"/>
      <c r="P864" s="8"/>
      <c r="Q864" s="8"/>
      <c r="R864" s="8"/>
      <c r="S864" s="8"/>
      <c r="T864" s="8"/>
      <c r="U864" s="8"/>
      <c r="V864" s="8"/>
      <c r="W864" s="8"/>
      <c r="X864" s="8"/>
      <c r="Y864" s="8"/>
    </row>
    <row r="865">
      <c r="A865" s="8"/>
      <c r="B865" s="8"/>
      <c r="C865" s="8"/>
      <c r="D865" s="8"/>
      <c r="E865" s="8"/>
      <c r="F865" s="8"/>
      <c r="G865" s="8"/>
      <c r="H865" s="8"/>
      <c r="I865" s="8"/>
      <c r="J865" s="8"/>
      <c r="K865" s="8"/>
      <c r="L865" s="8"/>
      <c r="M865" s="8"/>
      <c r="N865" s="8"/>
      <c r="O865" s="8"/>
      <c r="P865" s="8"/>
      <c r="Q865" s="8"/>
      <c r="R865" s="8"/>
      <c r="S865" s="8"/>
      <c r="T865" s="8"/>
      <c r="U865" s="8"/>
      <c r="V865" s="8"/>
      <c r="W865" s="8"/>
      <c r="X865" s="8"/>
      <c r="Y865" s="8"/>
    </row>
    <row r="866">
      <c r="A866" s="8"/>
      <c r="B866" s="8"/>
      <c r="C866" s="8"/>
      <c r="D866" s="8"/>
      <c r="E866" s="8"/>
      <c r="F866" s="8"/>
      <c r="G866" s="8"/>
      <c r="H866" s="8"/>
      <c r="I866" s="8"/>
      <c r="J866" s="8"/>
      <c r="K866" s="8"/>
      <c r="L866" s="8"/>
      <c r="M866" s="8"/>
      <c r="N866" s="8"/>
      <c r="O866" s="8"/>
      <c r="P866" s="8"/>
      <c r="Q866" s="8"/>
      <c r="R866" s="8"/>
      <c r="S866" s="8"/>
      <c r="T866" s="8"/>
      <c r="U866" s="8"/>
      <c r="V866" s="8"/>
      <c r="W866" s="8"/>
      <c r="X866" s="8"/>
      <c r="Y866" s="8"/>
    </row>
    <row r="867">
      <c r="A867" s="8"/>
      <c r="B867" s="8"/>
      <c r="C867" s="8"/>
      <c r="D867" s="8"/>
      <c r="E867" s="8"/>
      <c r="F867" s="8"/>
      <c r="G867" s="8"/>
      <c r="H867" s="8"/>
      <c r="I867" s="8"/>
      <c r="J867" s="8"/>
      <c r="K867" s="8"/>
      <c r="L867" s="8"/>
      <c r="M867" s="8"/>
      <c r="N867" s="8"/>
      <c r="O867" s="8"/>
      <c r="P867" s="8"/>
      <c r="Q867" s="8"/>
      <c r="R867" s="8"/>
      <c r="S867" s="8"/>
      <c r="T867" s="8"/>
      <c r="U867" s="8"/>
      <c r="V867" s="8"/>
      <c r="W867" s="8"/>
      <c r="X867" s="8"/>
      <c r="Y867" s="8"/>
    </row>
    <row r="868">
      <c r="A868" s="8"/>
      <c r="B868" s="8"/>
      <c r="C868" s="8"/>
      <c r="D868" s="8"/>
      <c r="E868" s="8"/>
      <c r="F868" s="8"/>
      <c r="G868" s="8"/>
      <c r="H868" s="8"/>
      <c r="I868" s="8"/>
      <c r="J868" s="8"/>
      <c r="K868" s="8"/>
      <c r="L868" s="8"/>
      <c r="M868" s="8"/>
      <c r="N868" s="8"/>
      <c r="O868" s="8"/>
      <c r="P868" s="8"/>
      <c r="Q868" s="8"/>
      <c r="R868" s="8"/>
      <c r="S868" s="8"/>
      <c r="T868" s="8"/>
      <c r="U868" s="8"/>
      <c r="V868" s="8"/>
      <c r="W868" s="8"/>
      <c r="X868" s="8"/>
      <c r="Y868" s="8"/>
    </row>
    <row r="869">
      <c r="A869" s="8"/>
      <c r="B869" s="8"/>
      <c r="C869" s="8"/>
      <c r="D869" s="8"/>
      <c r="E869" s="8"/>
      <c r="F869" s="8"/>
      <c r="G869" s="8"/>
      <c r="H869" s="8"/>
      <c r="I869" s="8"/>
      <c r="J869" s="8"/>
      <c r="K869" s="8"/>
      <c r="L869" s="8"/>
      <c r="M869" s="8"/>
      <c r="N869" s="8"/>
      <c r="O869" s="8"/>
      <c r="P869" s="8"/>
      <c r="Q869" s="8"/>
      <c r="R869" s="8"/>
      <c r="S869" s="8"/>
      <c r="T869" s="8"/>
      <c r="U869" s="8"/>
      <c r="V869" s="8"/>
      <c r="W869" s="8"/>
      <c r="X869" s="8"/>
      <c r="Y869" s="8"/>
    </row>
    <row r="870">
      <c r="A870" s="8"/>
      <c r="B870" s="8"/>
      <c r="C870" s="8"/>
      <c r="D870" s="8"/>
      <c r="E870" s="8"/>
      <c r="F870" s="8"/>
      <c r="G870" s="8"/>
      <c r="H870" s="8"/>
      <c r="I870" s="8"/>
      <c r="J870" s="8"/>
      <c r="K870" s="8"/>
      <c r="L870" s="8"/>
      <c r="M870" s="8"/>
      <c r="N870" s="8"/>
      <c r="O870" s="8"/>
      <c r="P870" s="8"/>
      <c r="Q870" s="8"/>
      <c r="R870" s="8"/>
      <c r="S870" s="8"/>
      <c r="T870" s="8"/>
      <c r="U870" s="8"/>
      <c r="V870" s="8"/>
      <c r="W870" s="8"/>
      <c r="X870" s="8"/>
      <c r="Y870" s="8"/>
    </row>
    <row r="871">
      <c r="A871" s="8"/>
      <c r="B871" s="8"/>
      <c r="C871" s="8"/>
      <c r="D871" s="8"/>
      <c r="E871" s="8"/>
      <c r="F871" s="8"/>
      <c r="G871" s="8"/>
      <c r="H871" s="8"/>
      <c r="I871" s="8"/>
      <c r="J871" s="8"/>
      <c r="K871" s="8"/>
      <c r="L871" s="8"/>
      <c r="M871" s="8"/>
      <c r="N871" s="8"/>
      <c r="O871" s="8"/>
      <c r="P871" s="8"/>
      <c r="Q871" s="8"/>
      <c r="R871" s="8"/>
      <c r="S871" s="8"/>
      <c r="T871" s="8"/>
      <c r="U871" s="8"/>
      <c r="V871" s="8"/>
      <c r="W871" s="8"/>
      <c r="X871" s="8"/>
      <c r="Y871" s="8"/>
    </row>
    <row r="872">
      <c r="A872" s="8"/>
      <c r="B872" s="8"/>
      <c r="C872" s="8"/>
      <c r="D872" s="8"/>
      <c r="E872" s="8"/>
      <c r="F872" s="8"/>
      <c r="G872" s="8"/>
      <c r="H872" s="8"/>
      <c r="I872" s="8"/>
      <c r="J872" s="8"/>
      <c r="K872" s="8"/>
      <c r="L872" s="8"/>
      <c r="M872" s="8"/>
      <c r="N872" s="8"/>
      <c r="O872" s="8"/>
      <c r="P872" s="8"/>
      <c r="Q872" s="8"/>
      <c r="R872" s="8"/>
      <c r="S872" s="8"/>
      <c r="T872" s="8"/>
      <c r="U872" s="8"/>
      <c r="V872" s="8"/>
      <c r="W872" s="8"/>
      <c r="X872" s="8"/>
      <c r="Y872" s="8"/>
    </row>
    <row r="873">
      <c r="A873" s="8"/>
      <c r="B873" s="8"/>
      <c r="C873" s="8"/>
      <c r="D873" s="8"/>
      <c r="E873" s="8"/>
      <c r="F873" s="8"/>
      <c r="G873" s="8"/>
      <c r="H873" s="8"/>
      <c r="I873" s="8"/>
      <c r="J873" s="8"/>
      <c r="K873" s="8"/>
      <c r="L873" s="8"/>
      <c r="M873" s="8"/>
      <c r="N873" s="8"/>
      <c r="O873" s="8"/>
      <c r="P873" s="8"/>
      <c r="Q873" s="8"/>
      <c r="R873" s="8"/>
      <c r="S873" s="8"/>
      <c r="T873" s="8"/>
      <c r="U873" s="8"/>
      <c r="V873" s="8"/>
      <c r="W873" s="8"/>
      <c r="X873" s="8"/>
      <c r="Y873" s="8"/>
    </row>
    <row r="874">
      <c r="A874" s="8"/>
      <c r="B874" s="8"/>
      <c r="C874" s="8"/>
      <c r="D874" s="8"/>
      <c r="E874" s="8"/>
      <c r="F874" s="8"/>
      <c r="G874" s="8"/>
      <c r="H874" s="8"/>
      <c r="I874" s="8"/>
      <c r="J874" s="8"/>
      <c r="K874" s="8"/>
      <c r="L874" s="8"/>
      <c r="M874" s="8"/>
      <c r="N874" s="8"/>
      <c r="O874" s="8"/>
      <c r="P874" s="8"/>
      <c r="Q874" s="8"/>
      <c r="R874" s="8"/>
      <c r="S874" s="8"/>
      <c r="T874" s="8"/>
      <c r="U874" s="8"/>
      <c r="V874" s="8"/>
      <c r="W874" s="8"/>
      <c r="X874" s="8"/>
      <c r="Y874" s="8"/>
    </row>
    <row r="875">
      <c r="A875" s="8"/>
      <c r="B875" s="8"/>
      <c r="C875" s="8"/>
      <c r="D875" s="8"/>
      <c r="E875" s="8"/>
      <c r="F875" s="8"/>
      <c r="G875" s="8"/>
      <c r="H875" s="8"/>
      <c r="I875" s="8"/>
      <c r="J875" s="8"/>
      <c r="K875" s="8"/>
      <c r="L875" s="8"/>
      <c r="M875" s="8"/>
      <c r="N875" s="8"/>
      <c r="O875" s="8"/>
      <c r="P875" s="8"/>
      <c r="Q875" s="8"/>
      <c r="R875" s="8"/>
      <c r="S875" s="8"/>
      <c r="T875" s="8"/>
      <c r="U875" s="8"/>
      <c r="V875" s="8"/>
      <c r="W875" s="8"/>
      <c r="X875" s="8"/>
      <c r="Y875" s="8"/>
    </row>
    <row r="876">
      <c r="A876" s="8"/>
      <c r="B876" s="8"/>
      <c r="C876" s="8"/>
      <c r="D876" s="8"/>
      <c r="E876" s="8"/>
      <c r="F876" s="8"/>
      <c r="G876" s="8"/>
      <c r="H876" s="8"/>
      <c r="I876" s="8"/>
      <c r="J876" s="8"/>
      <c r="K876" s="8"/>
      <c r="L876" s="8"/>
      <c r="M876" s="8"/>
      <c r="N876" s="8"/>
      <c r="O876" s="8"/>
      <c r="P876" s="8"/>
      <c r="Q876" s="8"/>
      <c r="R876" s="8"/>
      <c r="S876" s="8"/>
      <c r="T876" s="8"/>
      <c r="U876" s="8"/>
      <c r="V876" s="8"/>
      <c r="W876" s="8"/>
      <c r="X876" s="8"/>
      <c r="Y876" s="8"/>
    </row>
    <row r="877">
      <c r="A877" s="8"/>
      <c r="B877" s="8"/>
      <c r="C877" s="8"/>
      <c r="D877" s="8"/>
      <c r="E877" s="8"/>
      <c r="F877" s="8"/>
      <c r="G877" s="8"/>
      <c r="H877" s="8"/>
      <c r="I877" s="8"/>
      <c r="J877" s="8"/>
      <c r="K877" s="8"/>
      <c r="L877" s="8"/>
      <c r="M877" s="8"/>
      <c r="N877" s="8"/>
      <c r="O877" s="8"/>
      <c r="P877" s="8"/>
      <c r="Q877" s="8"/>
      <c r="R877" s="8"/>
      <c r="S877" s="8"/>
      <c r="T877" s="8"/>
      <c r="U877" s="8"/>
      <c r="V877" s="8"/>
      <c r="W877" s="8"/>
      <c r="X877" s="8"/>
      <c r="Y877" s="8"/>
    </row>
    <row r="878">
      <c r="A878" s="8"/>
      <c r="B878" s="8"/>
      <c r="C878" s="8"/>
      <c r="D878" s="8"/>
      <c r="E878" s="8"/>
      <c r="F878" s="8"/>
      <c r="G878" s="8"/>
      <c r="H878" s="8"/>
      <c r="I878" s="8"/>
      <c r="J878" s="8"/>
      <c r="K878" s="8"/>
      <c r="L878" s="8"/>
      <c r="M878" s="8"/>
      <c r="N878" s="8"/>
      <c r="O878" s="8"/>
      <c r="P878" s="8"/>
      <c r="Q878" s="8"/>
      <c r="R878" s="8"/>
      <c r="S878" s="8"/>
      <c r="T878" s="8"/>
      <c r="U878" s="8"/>
      <c r="V878" s="8"/>
      <c r="W878" s="8"/>
      <c r="X878" s="8"/>
      <c r="Y878" s="8"/>
    </row>
    <row r="879">
      <c r="A879" s="8"/>
      <c r="B879" s="8"/>
      <c r="C879" s="8"/>
      <c r="D879" s="8"/>
      <c r="E879" s="8"/>
      <c r="F879" s="8"/>
      <c r="G879" s="8"/>
      <c r="H879" s="8"/>
      <c r="I879" s="8"/>
      <c r="J879" s="8"/>
      <c r="K879" s="8"/>
      <c r="L879" s="8"/>
      <c r="M879" s="8"/>
      <c r="N879" s="8"/>
      <c r="O879" s="8"/>
      <c r="P879" s="8"/>
      <c r="Q879" s="8"/>
      <c r="R879" s="8"/>
      <c r="S879" s="8"/>
      <c r="T879" s="8"/>
      <c r="U879" s="8"/>
      <c r="V879" s="8"/>
      <c r="W879" s="8"/>
      <c r="X879" s="8"/>
      <c r="Y879" s="8"/>
    </row>
    <row r="880">
      <c r="A880" s="8"/>
      <c r="B880" s="8"/>
      <c r="C880" s="8"/>
      <c r="D880" s="8"/>
      <c r="E880" s="8"/>
      <c r="F880" s="8"/>
      <c r="G880" s="8"/>
      <c r="H880" s="8"/>
      <c r="I880" s="8"/>
      <c r="J880" s="8"/>
      <c r="K880" s="8"/>
      <c r="L880" s="8"/>
      <c r="M880" s="8"/>
      <c r="N880" s="8"/>
      <c r="O880" s="8"/>
      <c r="P880" s="8"/>
      <c r="Q880" s="8"/>
      <c r="R880" s="8"/>
      <c r="S880" s="8"/>
      <c r="T880" s="8"/>
      <c r="U880" s="8"/>
      <c r="V880" s="8"/>
      <c r="W880" s="8"/>
      <c r="X880" s="8"/>
      <c r="Y880" s="8"/>
    </row>
    <row r="881">
      <c r="A881" s="8"/>
      <c r="B881" s="8"/>
      <c r="C881" s="8"/>
      <c r="D881" s="8"/>
      <c r="E881" s="8"/>
      <c r="F881" s="8"/>
      <c r="G881" s="8"/>
      <c r="H881" s="8"/>
      <c r="I881" s="8"/>
      <c r="J881" s="8"/>
      <c r="K881" s="8"/>
      <c r="L881" s="8"/>
      <c r="M881" s="8"/>
      <c r="N881" s="8"/>
      <c r="O881" s="8"/>
      <c r="P881" s="8"/>
      <c r="Q881" s="8"/>
      <c r="R881" s="8"/>
      <c r="S881" s="8"/>
      <c r="T881" s="8"/>
      <c r="U881" s="8"/>
      <c r="V881" s="8"/>
      <c r="W881" s="8"/>
      <c r="X881" s="8"/>
      <c r="Y881" s="8"/>
    </row>
    <row r="882">
      <c r="A882" s="8"/>
      <c r="B882" s="8"/>
      <c r="C882" s="8"/>
      <c r="D882" s="8"/>
      <c r="E882" s="8"/>
      <c r="F882" s="8"/>
      <c r="G882" s="8"/>
      <c r="H882" s="8"/>
      <c r="I882" s="8"/>
      <c r="J882" s="8"/>
      <c r="K882" s="8"/>
      <c r="L882" s="8"/>
      <c r="M882" s="8"/>
      <c r="N882" s="8"/>
      <c r="O882" s="8"/>
      <c r="P882" s="8"/>
      <c r="Q882" s="8"/>
      <c r="R882" s="8"/>
      <c r="S882" s="8"/>
      <c r="T882" s="8"/>
      <c r="U882" s="8"/>
      <c r="V882" s="8"/>
      <c r="W882" s="8"/>
      <c r="X882" s="8"/>
      <c r="Y882" s="8"/>
    </row>
    <row r="883">
      <c r="A883" s="8"/>
      <c r="B883" s="8"/>
      <c r="C883" s="8"/>
      <c r="D883" s="8"/>
      <c r="E883" s="8"/>
      <c r="F883" s="8"/>
      <c r="G883" s="8"/>
      <c r="H883" s="8"/>
      <c r="I883" s="8"/>
      <c r="J883" s="8"/>
      <c r="K883" s="8"/>
      <c r="L883" s="8"/>
      <c r="M883" s="8"/>
      <c r="N883" s="8"/>
      <c r="O883" s="8"/>
      <c r="P883" s="8"/>
      <c r="Q883" s="8"/>
      <c r="R883" s="8"/>
      <c r="S883" s="8"/>
      <c r="T883" s="8"/>
      <c r="U883" s="8"/>
      <c r="V883" s="8"/>
      <c r="W883" s="8"/>
      <c r="X883" s="8"/>
      <c r="Y883" s="8"/>
    </row>
    <row r="884">
      <c r="A884" s="8"/>
      <c r="B884" s="8"/>
      <c r="C884" s="8"/>
      <c r="D884" s="8"/>
      <c r="E884" s="8"/>
      <c r="F884" s="8"/>
      <c r="G884" s="8"/>
      <c r="H884" s="8"/>
      <c r="I884" s="8"/>
      <c r="J884" s="8"/>
      <c r="K884" s="8"/>
      <c r="L884" s="8"/>
      <c r="M884" s="8"/>
      <c r="N884" s="8"/>
      <c r="O884" s="8"/>
      <c r="P884" s="8"/>
      <c r="Q884" s="8"/>
      <c r="R884" s="8"/>
      <c r="S884" s="8"/>
      <c r="T884" s="8"/>
      <c r="U884" s="8"/>
      <c r="V884" s="8"/>
      <c r="W884" s="8"/>
      <c r="X884" s="8"/>
      <c r="Y884" s="8"/>
    </row>
    <row r="885">
      <c r="A885" s="8"/>
      <c r="B885" s="8"/>
      <c r="C885" s="8"/>
      <c r="D885" s="8"/>
      <c r="E885" s="8"/>
      <c r="F885" s="8"/>
      <c r="G885" s="8"/>
      <c r="H885" s="8"/>
      <c r="I885" s="8"/>
      <c r="J885" s="8"/>
      <c r="K885" s="8"/>
      <c r="L885" s="8"/>
      <c r="M885" s="8"/>
      <c r="N885" s="8"/>
      <c r="O885" s="8"/>
      <c r="P885" s="8"/>
      <c r="Q885" s="8"/>
      <c r="R885" s="8"/>
      <c r="S885" s="8"/>
      <c r="T885" s="8"/>
      <c r="U885" s="8"/>
      <c r="V885" s="8"/>
      <c r="W885" s="8"/>
      <c r="X885" s="8"/>
      <c r="Y885" s="8"/>
    </row>
    <row r="886">
      <c r="A886" s="8"/>
      <c r="B886" s="8"/>
      <c r="C886" s="8"/>
      <c r="D886" s="8"/>
      <c r="E886" s="8"/>
      <c r="F886" s="8"/>
      <c r="G886" s="8"/>
      <c r="H886" s="8"/>
      <c r="I886" s="8"/>
      <c r="J886" s="8"/>
      <c r="K886" s="8"/>
      <c r="L886" s="8"/>
      <c r="M886" s="8"/>
      <c r="N886" s="8"/>
      <c r="O886" s="8"/>
      <c r="P886" s="8"/>
      <c r="Q886" s="8"/>
      <c r="R886" s="8"/>
      <c r="S886" s="8"/>
      <c r="T886" s="8"/>
      <c r="U886" s="8"/>
      <c r="V886" s="8"/>
      <c r="W886" s="8"/>
      <c r="X886" s="8"/>
      <c r="Y886" s="8"/>
    </row>
    <row r="887">
      <c r="A887" s="8"/>
      <c r="B887" s="8"/>
      <c r="C887" s="8"/>
      <c r="D887" s="8"/>
      <c r="E887" s="8"/>
      <c r="F887" s="8"/>
      <c r="G887" s="8"/>
      <c r="H887" s="8"/>
      <c r="I887" s="8"/>
      <c r="J887" s="8"/>
      <c r="K887" s="8"/>
      <c r="L887" s="8"/>
      <c r="M887" s="8"/>
      <c r="N887" s="8"/>
      <c r="O887" s="8"/>
      <c r="P887" s="8"/>
      <c r="Q887" s="8"/>
      <c r="R887" s="8"/>
      <c r="S887" s="8"/>
      <c r="T887" s="8"/>
      <c r="U887" s="8"/>
      <c r="V887" s="8"/>
      <c r="W887" s="8"/>
      <c r="X887" s="8"/>
      <c r="Y887" s="8"/>
    </row>
    <row r="888">
      <c r="A888" s="8"/>
      <c r="B888" s="8"/>
      <c r="C888" s="8"/>
      <c r="D888" s="8"/>
      <c r="E888" s="8"/>
      <c r="F888" s="8"/>
      <c r="G888" s="8"/>
      <c r="H888" s="8"/>
      <c r="I888" s="8"/>
      <c r="J888" s="8"/>
      <c r="K888" s="8"/>
      <c r="L888" s="8"/>
      <c r="M888" s="8"/>
      <c r="N888" s="8"/>
      <c r="O888" s="8"/>
      <c r="P888" s="8"/>
      <c r="Q888" s="8"/>
      <c r="R888" s="8"/>
      <c r="S888" s="8"/>
      <c r="T888" s="8"/>
      <c r="U888" s="8"/>
      <c r="V888" s="8"/>
      <c r="W888" s="8"/>
      <c r="X888" s="8"/>
      <c r="Y888" s="8"/>
    </row>
    <row r="889">
      <c r="A889" s="8"/>
      <c r="B889" s="8"/>
      <c r="C889" s="8"/>
      <c r="D889" s="8"/>
      <c r="E889" s="8"/>
      <c r="F889" s="8"/>
      <c r="G889" s="8"/>
      <c r="H889" s="8"/>
      <c r="I889" s="8"/>
      <c r="J889" s="8"/>
      <c r="K889" s="8"/>
      <c r="L889" s="8"/>
      <c r="M889" s="8"/>
      <c r="N889" s="8"/>
      <c r="O889" s="8"/>
      <c r="P889" s="8"/>
      <c r="Q889" s="8"/>
      <c r="R889" s="8"/>
      <c r="S889" s="8"/>
      <c r="T889" s="8"/>
      <c r="U889" s="8"/>
      <c r="V889" s="8"/>
      <c r="W889" s="8"/>
      <c r="X889" s="8"/>
      <c r="Y889" s="8"/>
    </row>
    <row r="890">
      <c r="A890" s="8"/>
      <c r="B890" s="8"/>
      <c r="C890" s="8"/>
      <c r="D890" s="8"/>
      <c r="E890" s="8"/>
      <c r="F890" s="8"/>
      <c r="G890" s="8"/>
      <c r="H890" s="8"/>
      <c r="I890" s="8"/>
      <c r="J890" s="8"/>
      <c r="K890" s="8"/>
      <c r="L890" s="8"/>
      <c r="M890" s="8"/>
      <c r="N890" s="8"/>
      <c r="O890" s="8"/>
      <c r="P890" s="8"/>
      <c r="Q890" s="8"/>
      <c r="R890" s="8"/>
      <c r="S890" s="8"/>
      <c r="T890" s="8"/>
      <c r="U890" s="8"/>
      <c r="V890" s="8"/>
      <c r="W890" s="8"/>
      <c r="X890" s="8"/>
      <c r="Y890" s="8"/>
    </row>
    <row r="891">
      <c r="A891" s="8"/>
      <c r="B891" s="8"/>
      <c r="C891" s="8"/>
      <c r="D891" s="8"/>
      <c r="E891" s="8"/>
      <c r="F891" s="8"/>
      <c r="G891" s="8"/>
      <c r="H891" s="8"/>
      <c r="I891" s="8"/>
      <c r="J891" s="8"/>
      <c r="K891" s="8"/>
      <c r="L891" s="8"/>
      <c r="M891" s="8"/>
      <c r="N891" s="8"/>
      <c r="O891" s="8"/>
      <c r="P891" s="8"/>
      <c r="Q891" s="8"/>
      <c r="R891" s="8"/>
      <c r="S891" s="8"/>
      <c r="T891" s="8"/>
      <c r="U891" s="8"/>
      <c r="V891" s="8"/>
      <c r="W891" s="8"/>
      <c r="X891" s="8"/>
      <c r="Y891" s="8"/>
    </row>
    <row r="892">
      <c r="A892" s="8"/>
      <c r="B892" s="8"/>
      <c r="C892" s="8"/>
      <c r="D892" s="8"/>
      <c r="E892" s="8"/>
      <c r="F892" s="8"/>
      <c r="G892" s="8"/>
      <c r="H892" s="8"/>
      <c r="I892" s="8"/>
      <c r="J892" s="8"/>
      <c r="K892" s="8"/>
      <c r="L892" s="8"/>
      <c r="M892" s="8"/>
      <c r="N892" s="8"/>
      <c r="O892" s="8"/>
      <c r="P892" s="8"/>
      <c r="Q892" s="8"/>
      <c r="R892" s="8"/>
      <c r="S892" s="8"/>
      <c r="T892" s="8"/>
      <c r="U892" s="8"/>
      <c r="V892" s="8"/>
      <c r="W892" s="8"/>
      <c r="X892" s="8"/>
      <c r="Y892" s="8"/>
    </row>
    <row r="893">
      <c r="A893" s="8"/>
      <c r="B893" s="8"/>
      <c r="C893" s="8"/>
      <c r="D893" s="8"/>
      <c r="E893" s="8"/>
      <c r="F893" s="8"/>
      <c r="G893" s="8"/>
      <c r="H893" s="8"/>
      <c r="I893" s="8"/>
      <c r="J893" s="8"/>
      <c r="K893" s="8"/>
      <c r="L893" s="8"/>
      <c r="M893" s="8"/>
      <c r="N893" s="8"/>
      <c r="O893" s="8"/>
      <c r="P893" s="8"/>
      <c r="Q893" s="8"/>
      <c r="R893" s="8"/>
      <c r="S893" s="8"/>
      <c r="T893" s="8"/>
      <c r="U893" s="8"/>
      <c r="V893" s="8"/>
      <c r="W893" s="8"/>
      <c r="X893" s="8"/>
      <c r="Y893" s="8"/>
    </row>
    <row r="894">
      <c r="A894" s="8"/>
      <c r="B894" s="8"/>
      <c r="C894" s="8"/>
      <c r="D894" s="8"/>
      <c r="E894" s="8"/>
      <c r="F894" s="8"/>
      <c r="G894" s="8"/>
      <c r="H894" s="8"/>
      <c r="I894" s="8"/>
      <c r="J894" s="8"/>
      <c r="K894" s="8"/>
      <c r="L894" s="8"/>
      <c r="M894" s="8"/>
      <c r="N894" s="8"/>
      <c r="O894" s="8"/>
      <c r="P894" s="8"/>
      <c r="Q894" s="8"/>
      <c r="R894" s="8"/>
      <c r="S894" s="8"/>
      <c r="T894" s="8"/>
      <c r="U894" s="8"/>
      <c r="V894" s="8"/>
      <c r="W894" s="8"/>
      <c r="X894" s="8"/>
      <c r="Y894" s="8"/>
    </row>
    <row r="895">
      <c r="A895" s="8"/>
      <c r="B895" s="8"/>
      <c r="C895" s="8"/>
      <c r="D895" s="8"/>
      <c r="E895" s="8"/>
      <c r="F895" s="8"/>
      <c r="G895" s="8"/>
      <c r="H895" s="8"/>
      <c r="I895" s="8"/>
      <c r="J895" s="8"/>
      <c r="K895" s="8"/>
      <c r="L895" s="8"/>
      <c r="M895" s="8"/>
      <c r="N895" s="8"/>
      <c r="O895" s="8"/>
      <c r="P895" s="8"/>
      <c r="Q895" s="8"/>
      <c r="R895" s="8"/>
      <c r="S895" s="8"/>
      <c r="T895" s="8"/>
      <c r="U895" s="8"/>
      <c r="V895" s="8"/>
      <c r="W895" s="8"/>
      <c r="X895" s="8"/>
      <c r="Y895" s="8"/>
    </row>
    <row r="896">
      <c r="A896" s="8"/>
      <c r="B896" s="8"/>
      <c r="C896" s="8"/>
      <c r="D896" s="8"/>
      <c r="E896" s="8"/>
      <c r="F896" s="8"/>
      <c r="G896" s="8"/>
      <c r="H896" s="8"/>
      <c r="I896" s="8"/>
      <c r="J896" s="8"/>
      <c r="K896" s="8"/>
      <c r="L896" s="8"/>
      <c r="M896" s="8"/>
      <c r="N896" s="8"/>
      <c r="O896" s="8"/>
      <c r="P896" s="8"/>
      <c r="Q896" s="8"/>
      <c r="R896" s="8"/>
      <c r="S896" s="8"/>
      <c r="T896" s="8"/>
      <c r="U896" s="8"/>
      <c r="V896" s="8"/>
      <c r="W896" s="8"/>
      <c r="X896" s="8"/>
      <c r="Y896" s="8"/>
    </row>
    <row r="897">
      <c r="A897" s="8"/>
      <c r="B897" s="8"/>
      <c r="C897" s="8"/>
      <c r="D897" s="8"/>
      <c r="E897" s="8"/>
      <c r="F897" s="8"/>
      <c r="G897" s="8"/>
      <c r="H897" s="8"/>
      <c r="I897" s="8"/>
      <c r="J897" s="8"/>
      <c r="K897" s="8"/>
      <c r="L897" s="8"/>
      <c r="M897" s="8"/>
      <c r="N897" s="8"/>
      <c r="O897" s="8"/>
      <c r="P897" s="8"/>
      <c r="Q897" s="8"/>
      <c r="R897" s="8"/>
      <c r="S897" s="8"/>
      <c r="T897" s="8"/>
      <c r="U897" s="8"/>
      <c r="V897" s="8"/>
      <c r="W897" s="8"/>
      <c r="X897" s="8"/>
      <c r="Y897" s="8"/>
    </row>
    <row r="898">
      <c r="A898" s="8"/>
      <c r="B898" s="8"/>
      <c r="C898" s="8"/>
      <c r="D898" s="8"/>
      <c r="E898" s="8"/>
      <c r="F898" s="8"/>
      <c r="G898" s="8"/>
      <c r="H898" s="8"/>
      <c r="I898" s="8"/>
      <c r="J898" s="8"/>
      <c r="K898" s="8"/>
      <c r="L898" s="8"/>
      <c r="M898" s="8"/>
      <c r="N898" s="8"/>
      <c r="O898" s="8"/>
      <c r="P898" s="8"/>
      <c r="Q898" s="8"/>
      <c r="R898" s="8"/>
      <c r="S898" s="8"/>
      <c r="T898" s="8"/>
      <c r="U898" s="8"/>
      <c r="V898" s="8"/>
      <c r="W898" s="8"/>
      <c r="X898" s="8"/>
      <c r="Y898" s="8"/>
    </row>
    <row r="899">
      <c r="A899" s="8"/>
      <c r="B899" s="8"/>
      <c r="C899" s="8"/>
      <c r="D899" s="8"/>
      <c r="E899" s="8"/>
      <c r="F899" s="8"/>
      <c r="G899" s="8"/>
      <c r="H899" s="8"/>
      <c r="I899" s="8"/>
      <c r="J899" s="8"/>
      <c r="K899" s="8"/>
      <c r="L899" s="8"/>
      <c r="M899" s="8"/>
      <c r="N899" s="8"/>
      <c r="O899" s="8"/>
      <c r="P899" s="8"/>
      <c r="Q899" s="8"/>
      <c r="R899" s="8"/>
      <c r="S899" s="8"/>
      <c r="T899" s="8"/>
      <c r="U899" s="8"/>
      <c r="V899" s="8"/>
      <c r="W899" s="8"/>
      <c r="X899" s="8"/>
      <c r="Y899" s="8"/>
    </row>
    <row r="900">
      <c r="A900" s="8"/>
      <c r="B900" s="8"/>
      <c r="C900" s="8"/>
      <c r="D900" s="8"/>
      <c r="E900" s="8"/>
      <c r="F900" s="8"/>
      <c r="G900" s="8"/>
      <c r="H900" s="8"/>
      <c r="I900" s="8"/>
      <c r="J900" s="8"/>
      <c r="K900" s="8"/>
      <c r="L900" s="8"/>
      <c r="M900" s="8"/>
      <c r="N900" s="8"/>
      <c r="O900" s="8"/>
      <c r="P900" s="8"/>
      <c r="Q900" s="8"/>
      <c r="R900" s="8"/>
      <c r="S900" s="8"/>
      <c r="T900" s="8"/>
      <c r="U900" s="8"/>
      <c r="V900" s="8"/>
      <c r="W900" s="8"/>
      <c r="X900" s="8"/>
      <c r="Y900" s="8"/>
    </row>
    <row r="901">
      <c r="A901" s="8"/>
      <c r="B901" s="8"/>
      <c r="C901" s="8"/>
      <c r="D901" s="8"/>
      <c r="E901" s="8"/>
      <c r="F901" s="8"/>
      <c r="G901" s="8"/>
      <c r="H901" s="8"/>
      <c r="I901" s="8"/>
      <c r="J901" s="8"/>
      <c r="K901" s="8"/>
      <c r="L901" s="8"/>
      <c r="M901" s="8"/>
      <c r="N901" s="8"/>
      <c r="O901" s="8"/>
      <c r="P901" s="8"/>
      <c r="Q901" s="8"/>
      <c r="R901" s="8"/>
      <c r="S901" s="8"/>
      <c r="T901" s="8"/>
      <c r="U901" s="8"/>
      <c r="V901" s="8"/>
      <c r="W901" s="8"/>
      <c r="X901" s="8"/>
      <c r="Y901" s="8"/>
    </row>
    <row r="902">
      <c r="A902" s="8"/>
      <c r="B902" s="8"/>
      <c r="C902" s="8"/>
      <c r="D902" s="8"/>
      <c r="E902" s="8"/>
      <c r="F902" s="8"/>
      <c r="G902" s="8"/>
      <c r="H902" s="8"/>
      <c r="I902" s="8"/>
      <c r="J902" s="8"/>
      <c r="K902" s="8"/>
      <c r="L902" s="8"/>
      <c r="M902" s="8"/>
      <c r="N902" s="8"/>
      <c r="O902" s="8"/>
      <c r="P902" s="8"/>
      <c r="Q902" s="8"/>
      <c r="R902" s="8"/>
      <c r="S902" s="8"/>
      <c r="T902" s="8"/>
      <c r="U902" s="8"/>
      <c r="V902" s="8"/>
      <c r="W902" s="8"/>
      <c r="X902" s="8"/>
      <c r="Y902" s="8"/>
    </row>
    <row r="903">
      <c r="A903" s="8"/>
      <c r="B903" s="8"/>
      <c r="C903" s="8"/>
      <c r="D903" s="8"/>
      <c r="E903" s="8"/>
      <c r="F903" s="8"/>
      <c r="G903" s="8"/>
      <c r="H903" s="8"/>
      <c r="I903" s="8"/>
      <c r="J903" s="8"/>
      <c r="K903" s="8"/>
      <c r="L903" s="8"/>
      <c r="M903" s="8"/>
      <c r="N903" s="8"/>
      <c r="O903" s="8"/>
      <c r="P903" s="8"/>
      <c r="Q903" s="8"/>
      <c r="R903" s="8"/>
      <c r="S903" s="8"/>
      <c r="T903" s="8"/>
      <c r="U903" s="8"/>
      <c r="V903" s="8"/>
      <c r="W903" s="8"/>
      <c r="X903" s="8"/>
      <c r="Y903" s="8"/>
    </row>
    <row r="904">
      <c r="A904" s="8"/>
      <c r="B904" s="8"/>
      <c r="C904" s="8"/>
      <c r="D904" s="8"/>
      <c r="E904" s="8"/>
      <c r="F904" s="8"/>
      <c r="G904" s="8"/>
      <c r="H904" s="8"/>
      <c r="I904" s="8"/>
      <c r="J904" s="8"/>
      <c r="K904" s="8"/>
      <c r="L904" s="8"/>
      <c r="M904" s="8"/>
      <c r="N904" s="8"/>
      <c r="O904" s="8"/>
      <c r="P904" s="8"/>
      <c r="Q904" s="8"/>
      <c r="R904" s="8"/>
      <c r="S904" s="8"/>
      <c r="T904" s="8"/>
      <c r="U904" s="8"/>
      <c r="V904" s="8"/>
      <c r="W904" s="8"/>
      <c r="X904" s="8"/>
      <c r="Y904" s="8"/>
    </row>
    <row r="905">
      <c r="A905" s="8"/>
      <c r="B905" s="8"/>
      <c r="C905" s="8"/>
      <c r="D905" s="8"/>
      <c r="E905" s="8"/>
      <c r="F905" s="8"/>
      <c r="G905" s="8"/>
      <c r="H905" s="8"/>
      <c r="I905" s="8"/>
      <c r="J905" s="8"/>
      <c r="K905" s="8"/>
      <c r="L905" s="8"/>
      <c r="M905" s="8"/>
      <c r="N905" s="8"/>
      <c r="O905" s="8"/>
      <c r="P905" s="8"/>
      <c r="Q905" s="8"/>
      <c r="R905" s="8"/>
      <c r="S905" s="8"/>
      <c r="T905" s="8"/>
      <c r="U905" s="8"/>
      <c r="V905" s="8"/>
      <c r="W905" s="8"/>
      <c r="X905" s="8"/>
      <c r="Y905" s="8"/>
    </row>
    <row r="906">
      <c r="A906" s="8"/>
      <c r="B906" s="8"/>
      <c r="C906" s="8"/>
      <c r="D906" s="8"/>
      <c r="E906" s="8"/>
      <c r="F906" s="8"/>
      <c r="G906" s="8"/>
      <c r="H906" s="8"/>
      <c r="I906" s="8"/>
      <c r="J906" s="8"/>
      <c r="K906" s="8"/>
      <c r="L906" s="8"/>
      <c r="M906" s="8"/>
      <c r="N906" s="8"/>
      <c r="O906" s="8"/>
      <c r="P906" s="8"/>
      <c r="Q906" s="8"/>
      <c r="R906" s="8"/>
      <c r="S906" s="8"/>
      <c r="T906" s="8"/>
      <c r="U906" s="8"/>
      <c r="V906" s="8"/>
      <c r="W906" s="8"/>
      <c r="X906" s="8"/>
      <c r="Y906" s="8"/>
    </row>
    <row r="907">
      <c r="A907" s="8"/>
      <c r="B907" s="8"/>
      <c r="C907" s="8"/>
      <c r="D907" s="8"/>
      <c r="E907" s="8"/>
      <c r="F907" s="8"/>
      <c r="G907" s="8"/>
      <c r="H907" s="8"/>
      <c r="I907" s="8"/>
      <c r="J907" s="8"/>
      <c r="K907" s="8"/>
      <c r="L907" s="8"/>
      <c r="M907" s="8"/>
      <c r="N907" s="8"/>
      <c r="O907" s="8"/>
      <c r="P907" s="8"/>
      <c r="Q907" s="8"/>
      <c r="R907" s="8"/>
      <c r="S907" s="8"/>
      <c r="T907" s="8"/>
      <c r="U907" s="8"/>
      <c r="V907" s="8"/>
      <c r="W907" s="8"/>
      <c r="X907" s="8"/>
      <c r="Y907" s="8"/>
    </row>
    <row r="908">
      <c r="A908" s="8"/>
      <c r="B908" s="8"/>
      <c r="C908" s="8"/>
      <c r="D908" s="8"/>
      <c r="E908" s="8"/>
      <c r="F908" s="8"/>
      <c r="G908" s="8"/>
      <c r="H908" s="8"/>
      <c r="I908" s="8"/>
      <c r="J908" s="8"/>
      <c r="K908" s="8"/>
      <c r="L908" s="8"/>
      <c r="M908" s="8"/>
      <c r="N908" s="8"/>
      <c r="O908" s="8"/>
      <c r="P908" s="8"/>
      <c r="Q908" s="8"/>
      <c r="R908" s="8"/>
      <c r="S908" s="8"/>
      <c r="T908" s="8"/>
      <c r="U908" s="8"/>
      <c r="V908" s="8"/>
      <c r="W908" s="8"/>
      <c r="X908" s="8"/>
      <c r="Y908" s="8"/>
    </row>
    <row r="909">
      <c r="A909" s="8"/>
      <c r="B909" s="8"/>
      <c r="C909" s="8"/>
      <c r="D909" s="8"/>
      <c r="E909" s="8"/>
      <c r="F909" s="8"/>
      <c r="G909" s="8"/>
      <c r="H909" s="8"/>
      <c r="I909" s="8"/>
      <c r="J909" s="8"/>
      <c r="K909" s="8"/>
      <c r="L909" s="8"/>
      <c r="M909" s="8"/>
      <c r="N909" s="8"/>
      <c r="O909" s="8"/>
      <c r="P909" s="8"/>
      <c r="Q909" s="8"/>
      <c r="R909" s="8"/>
      <c r="S909" s="8"/>
      <c r="T909" s="8"/>
      <c r="U909" s="8"/>
      <c r="V909" s="8"/>
      <c r="W909" s="8"/>
      <c r="X909" s="8"/>
      <c r="Y909" s="8"/>
    </row>
    <row r="910">
      <c r="A910" s="8"/>
      <c r="B910" s="8"/>
      <c r="C910" s="8"/>
      <c r="D910" s="8"/>
      <c r="E910" s="8"/>
      <c r="F910" s="8"/>
      <c r="G910" s="8"/>
      <c r="H910" s="8"/>
      <c r="I910" s="8"/>
      <c r="J910" s="8"/>
      <c r="K910" s="8"/>
      <c r="L910" s="8"/>
      <c r="M910" s="8"/>
      <c r="N910" s="8"/>
      <c r="O910" s="8"/>
      <c r="P910" s="8"/>
      <c r="Q910" s="8"/>
      <c r="R910" s="8"/>
      <c r="S910" s="8"/>
      <c r="T910" s="8"/>
      <c r="U910" s="8"/>
      <c r="V910" s="8"/>
      <c r="W910" s="8"/>
      <c r="X910" s="8"/>
      <c r="Y910" s="8"/>
    </row>
    <row r="911">
      <c r="A911" s="8"/>
      <c r="B911" s="8"/>
      <c r="C911" s="8"/>
      <c r="D911" s="8"/>
      <c r="E911" s="8"/>
      <c r="F911" s="8"/>
      <c r="G911" s="8"/>
      <c r="H911" s="8"/>
      <c r="I911" s="8"/>
      <c r="J911" s="8"/>
      <c r="K911" s="8"/>
      <c r="L911" s="8"/>
      <c r="M911" s="8"/>
      <c r="N911" s="8"/>
      <c r="O911" s="8"/>
      <c r="P911" s="8"/>
      <c r="Q911" s="8"/>
      <c r="R911" s="8"/>
      <c r="S911" s="8"/>
      <c r="T911" s="8"/>
      <c r="U911" s="8"/>
      <c r="V911" s="8"/>
      <c r="W911" s="8"/>
      <c r="X911" s="8"/>
      <c r="Y911" s="8"/>
    </row>
    <row r="912">
      <c r="A912" s="8"/>
      <c r="B912" s="8"/>
      <c r="C912" s="8"/>
      <c r="D912" s="8"/>
      <c r="E912" s="8"/>
      <c r="F912" s="8"/>
      <c r="G912" s="8"/>
      <c r="H912" s="8"/>
      <c r="I912" s="8"/>
      <c r="J912" s="8"/>
      <c r="K912" s="8"/>
      <c r="L912" s="8"/>
      <c r="M912" s="8"/>
      <c r="N912" s="8"/>
      <c r="O912" s="8"/>
      <c r="P912" s="8"/>
      <c r="Q912" s="8"/>
      <c r="R912" s="8"/>
      <c r="S912" s="8"/>
      <c r="T912" s="8"/>
      <c r="U912" s="8"/>
      <c r="V912" s="8"/>
      <c r="W912" s="8"/>
      <c r="X912" s="8"/>
      <c r="Y912" s="8"/>
    </row>
    <row r="913">
      <c r="A913" s="8"/>
      <c r="B913" s="8"/>
      <c r="C913" s="8"/>
      <c r="D913" s="8"/>
      <c r="E913" s="8"/>
      <c r="F913" s="8"/>
      <c r="G913" s="8"/>
      <c r="H913" s="8"/>
      <c r="I913" s="8"/>
      <c r="J913" s="8"/>
      <c r="K913" s="8"/>
      <c r="L913" s="8"/>
      <c r="M913" s="8"/>
      <c r="N913" s="8"/>
      <c r="O913" s="8"/>
      <c r="P913" s="8"/>
      <c r="Q913" s="8"/>
      <c r="R913" s="8"/>
      <c r="S913" s="8"/>
      <c r="T913" s="8"/>
      <c r="U913" s="8"/>
      <c r="V913" s="8"/>
      <c r="W913" s="8"/>
      <c r="X913" s="8"/>
      <c r="Y913" s="8"/>
    </row>
    <row r="914">
      <c r="A914" s="8"/>
      <c r="B914" s="8"/>
      <c r="C914" s="8"/>
      <c r="D914" s="8"/>
      <c r="E914" s="8"/>
      <c r="F914" s="8"/>
      <c r="G914" s="8"/>
      <c r="H914" s="8"/>
      <c r="I914" s="8"/>
      <c r="J914" s="8"/>
      <c r="K914" s="8"/>
      <c r="L914" s="8"/>
      <c r="M914" s="8"/>
      <c r="N914" s="8"/>
      <c r="O914" s="8"/>
      <c r="P914" s="8"/>
      <c r="Q914" s="8"/>
      <c r="R914" s="8"/>
      <c r="S914" s="8"/>
      <c r="T914" s="8"/>
      <c r="U914" s="8"/>
      <c r="V914" s="8"/>
      <c r="W914" s="8"/>
      <c r="X914" s="8"/>
      <c r="Y914" s="8"/>
    </row>
    <row r="915">
      <c r="A915" s="8"/>
      <c r="B915" s="8"/>
      <c r="C915" s="8"/>
      <c r="D915" s="8"/>
      <c r="E915" s="8"/>
      <c r="F915" s="8"/>
      <c r="G915" s="8"/>
      <c r="H915" s="8"/>
      <c r="I915" s="8"/>
      <c r="J915" s="8"/>
      <c r="K915" s="8"/>
      <c r="L915" s="8"/>
      <c r="M915" s="8"/>
      <c r="N915" s="8"/>
      <c r="O915" s="8"/>
      <c r="P915" s="8"/>
      <c r="Q915" s="8"/>
      <c r="R915" s="8"/>
      <c r="S915" s="8"/>
      <c r="T915" s="8"/>
      <c r="U915" s="8"/>
      <c r="V915" s="8"/>
      <c r="W915" s="8"/>
      <c r="X915" s="8"/>
      <c r="Y915" s="8"/>
    </row>
    <row r="916">
      <c r="A916" s="8"/>
      <c r="B916" s="8"/>
      <c r="C916" s="8"/>
      <c r="D916" s="8"/>
      <c r="E916" s="8"/>
      <c r="F916" s="8"/>
      <c r="G916" s="8"/>
      <c r="H916" s="8"/>
      <c r="I916" s="8"/>
      <c r="J916" s="8"/>
      <c r="K916" s="8"/>
      <c r="L916" s="8"/>
      <c r="M916" s="8"/>
      <c r="N916" s="8"/>
      <c r="O916" s="8"/>
      <c r="P916" s="8"/>
      <c r="Q916" s="8"/>
      <c r="R916" s="8"/>
      <c r="S916" s="8"/>
      <c r="T916" s="8"/>
      <c r="U916" s="8"/>
      <c r="V916" s="8"/>
      <c r="W916" s="8"/>
      <c r="X916" s="8"/>
      <c r="Y916" s="8"/>
    </row>
    <row r="917">
      <c r="A917" s="8"/>
      <c r="B917" s="8"/>
      <c r="C917" s="8"/>
      <c r="D917" s="8"/>
      <c r="E917" s="8"/>
      <c r="F917" s="8"/>
      <c r="G917" s="8"/>
      <c r="H917" s="8"/>
      <c r="I917" s="8"/>
      <c r="J917" s="8"/>
      <c r="K917" s="8"/>
      <c r="L917" s="8"/>
      <c r="M917" s="8"/>
      <c r="N917" s="8"/>
      <c r="O917" s="8"/>
      <c r="P917" s="8"/>
      <c r="Q917" s="8"/>
      <c r="R917" s="8"/>
      <c r="S917" s="8"/>
      <c r="T917" s="8"/>
      <c r="U917" s="8"/>
      <c r="V917" s="8"/>
      <c r="W917" s="8"/>
      <c r="X917" s="8"/>
      <c r="Y917" s="8"/>
    </row>
    <row r="918">
      <c r="A918" s="8"/>
      <c r="B918" s="8"/>
      <c r="C918" s="8"/>
      <c r="D918" s="8"/>
      <c r="E918" s="8"/>
      <c r="F918" s="8"/>
      <c r="G918" s="8"/>
      <c r="H918" s="8"/>
      <c r="I918" s="8"/>
      <c r="J918" s="8"/>
      <c r="K918" s="8"/>
      <c r="L918" s="8"/>
      <c r="M918" s="8"/>
      <c r="N918" s="8"/>
      <c r="O918" s="8"/>
      <c r="P918" s="8"/>
      <c r="Q918" s="8"/>
      <c r="R918" s="8"/>
      <c r="S918" s="8"/>
      <c r="T918" s="8"/>
      <c r="U918" s="8"/>
      <c r="V918" s="8"/>
      <c r="W918" s="8"/>
      <c r="X918" s="8"/>
      <c r="Y918" s="8"/>
    </row>
    <row r="919">
      <c r="A919" s="8"/>
      <c r="B919" s="8"/>
      <c r="C919" s="8"/>
      <c r="D919" s="8"/>
      <c r="E919" s="8"/>
      <c r="F919" s="8"/>
      <c r="G919" s="8"/>
      <c r="H919" s="8"/>
      <c r="I919" s="8"/>
      <c r="J919" s="8"/>
      <c r="K919" s="8"/>
      <c r="L919" s="8"/>
      <c r="M919" s="8"/>
      <c r="N919" s="8"/>
      <c r="O919" s="8"/>
      <c r="P919" s="8"/>
      <c r="Q919" s="8"/>
      <c r="R919" s="8"/>
      <c r="S919" s="8"/>
      <c r="T919" s="8"/>
      <c r="U919" s="8"/>
      <c r="V919" s="8"/>
      <c r="W919" s="8"/>
      <c r="X919" s="8"/>
      <c r="Y919" s="8"/>
    </row>
    <row r="920">
      <c r="A920" s="8"/>
      <c r="B920" s="8"/>
      <c r="C920" s="8"/>
      <c r="D920" s="8"/>
      <c r="E920" s="8"/>
      <c r="F920" s="8"/>
      <c r="G920" s="8"/>
      <c r="H920" s="8"/>
      <c r="I920" s="8"/>
      <c r="J920" s="8"/>
      <c r="K920" s="8"/>
      <c r="L920" s="8"/>
      <c r="M920" s="8"/>
      <c r="N920" s="8"/>
      <c r="O920" s="8"/>
      <c r="P920" s="8"/>
      <c r="Q920" s="8"/>
      <c r="R920" s="8"/>
      <c r="S920" s="8"/>
      <c r="T920" s="8"/>
      <c r="U920" s="8"/>
      <c r="V920" s="8"/>
      <c r="W920" s="8"/>
      <c r="X920" s="8"/>
      <c r="Y920" s="8"/>
    </row>
    <row r="921">
      <c r="A921" s="8"/>
      <c r="B921" s="8"/>
      <c r="C921" s="8"/>
      <c r="D921" s="8"/>
      <c r="E921" s="8"/>
      <c r="F921" s="8"/>
      <c r="G921" s="8"/>
      <c r="H921" s="8"/>
      <c r="I921" s="8"/>
      <c r="J921" s="8"/>
      <c r="K921" s="8"/>
      <c r="L921" s="8"/>
      <c r="M921" s="8"/>
      <c r="N921" s="8"/>
      <c r="O921" s="8"/>
      <c r="P921" s="8"/>
      <c r="Q921" s="8"/>
      <c r="R921" s="8"/>
      <c r="S921" s="8"/>
      <c r="T921" s="8"/>
      <c r="U921" s="8"/>
      <c r="V921" s="8"/>
      <c r="W921" s="8"/>
      <c r="X921" s="8"/>
      <c r="Y921" s="8"/>
    </row>
    <row r="922">
      <c r="A922" s="8"/>
      <c r="B922" s="8"/>
      <c r="C922" s="8"/>
      <c r="D922" s="8"/>
      <c r="E922" s="8"/>
      <c r="F922" s="8"/>
      <c r="G922" s="8"/>
      <c r="H922" s="8"/>
      <c r="I922" s="8"/>
      <c r="J922" s="8"/>
      <c r="K922" s="8"/>
      <c r="L922" s="8"/>
      <c r="M922" s="8"/>
      <c r="N922" s="8"/>
      <c r="O922" s="8"/>
      <c r="P922" s="8"/>
      <c r="Q922" s="8"/>
      <c r="R922" s="8"/>
      <c r="S922" s="8"/>
      <c r="T922" s="8"/>
      <c r="U922" s="8"/>
      <c r="V922" s="8"/>
      <c r="W922" s="8"/>
      <c r="X922" s="8"/>
      <c r="Y922" s="8"/>
    </row>
    <row r="923">
      <c r="A923" s="8"/>
      <c r="B923" s="8"/>
      <c r="C923" s="8"/>
      <c r="D923" s="8"/>
      <c r="E923" s="8"/>
      <c r="F923" s="8"/>
      <c r="G923" s="8"/>
      <c r="H923" s="8"/>
      <c r="I923" s="8"/>
      <c r="J923" s="8"/>
      <c r="K923" s="8"/>
      <c r="L923" s="8"/>
      <c r="M923" s="8"/>
      <c r="N923" s="8"/>
      <c r="O923" s="8"/>
      <c r="P923" s="8"/>
      <c r="Q923" s="8"/>
      <c r="R923" s="8"/>
      <c r="S923" s="8"/>
      <c r="T923" s="8"/>
      <c r="U923" s="8"/>
      <c r="V923" s="8"/>
      <c r="W923" s="8"/>
      <c r="X923" s="8"/>
      <c r="Y923" s="8"/>
    </row>
    <row r="924">
      <c r="A924" s="8"/>
      <c r="B924" s="8"/>
      <c r="C924" s="8"/>
      <c r="D924" s="8"/>
      <c r="E924" s="8"/>
      <c r="F924" s="8"/>
      <c r="G924" s="8"/>
      <c r="H924" s="8"/>
      <c r="I924" s="8"/>
      <c r="J924" s="8"/>
      <c r="K924" s="8"/>
      <c r="L924" s="8"/>
      <c r="M924" s="8"/>
      <c r="N924" s="8"/>
      <c r="O924" s="8"/>
      <c r="P924" s="8"/>
      <c r="Q924" s="8"/>
      <c r="R924" s="8"/>
      <c r="S924" s="8"/>
      <c r="T924" s="8"/>
      <c r="U924" s="8"/>
      <c r="V924" s="8"/>
      <c r="W924" s="8"/>
      <c r="X924" s="8"/>
      <c r="Y924" s="8"/>
    </row>
    <row r="925">
      <c r="A925" s="8"/>
      <c r="B925" s="8"/>
      <c r="C925" s="8"/>
      <c r="D925" s="8"/>
      <c r="E925" s="8"/>
      <c r="F925" s="8"/>
      <c r="G925" s="8"/>
      <c r="H925" s="8"/>
      <c r="I925" s="8"/>
      <c r="J925" s="8"/>
      <c r="K925" s="8"/>
      <c r="L925" s="8"/>
      <c r="M925" s="8"/>
      <c r="N925" s="8"/>
      <c r="O925" s="8"/>
      <c r="P925" s="8"/>
      <c r="Q925" s="8"/>
      <c r="R925" s="8"/>
      <c r="S925" s="8"/>
      <c r="T925" s="8"/>
      <c r="U925" s="8"/>
      <c r="V925" s="8"/>
      <c r="W925" s="8"/>
      <c r="X925" s="8"/>
      <c r="Y925" s="8"/>
    </row>
    <row r="926">
      <c r="A926" s="8"/>
      <c r="B926" s="8"/>
      <c r="C926" s="8"/>
      <c r="D926" s="8"/>
      <c r="E926" s="8"/>
      <c r="F926" s="8"/>
      <c r="G926" s="8"/>
      <c r="H926" s="8"/>
      <c r="I926" s="8"/>
      <c r="J926" s="8"/>
      <c r="K926" s="8"/>
      <c r="L926" s="8"/>
      <c r="M926" s="8"/>
      <c r="N926" s="8"/>
      <c r="O926" s="8"/>
      <c r="P926" s="8"/>
      <c r="Q926" s="8"/>
      <c r="R926" s="8"/>
      <c r="S926" s="8"/>
      <c r="T926" s="8"/>
      <c r="U926" s="8"/>
      <c r="V926" s="8"/>
      <c r="W926" s="8"/>
      <c r="X926" s="8"/>
      <c r="Y926" s="8"/>
    </row>
    <row r="927">
      <c r="A927" s="8"/>
      <c r="B927" s="8"/>
      <c r="C927" s="8"/>
      <c r="D927" s="8"/>
      <c r="E927" s="8"/>
      <c r="F927" s="8"/>
      <c r="G927" s="8"/>
      <c r="H927" s="8"/>
      <c r="I927" s="8"/>
      <c r="J927" s="8"/>
      <c r="K927" s="8"/>
      <c r="L927" s="8"/>
      <c r="M927" s="8"/>
      <c r="N927" s="8"/>
      <c r="O927" s="8"/>
      <c r="P927" s="8"/>
      <c r="Q927" s="8"/>
      <c r="R927" s="8"/>
      <c r="S927" s="8"/>
      <c r="T927" s="8"/>
      <c r="U927" s="8"/>
      <c r="V927" s="8"/>
      <c r="W927" s="8"/>
      <c r="X927" s="8"/>
      <c r="Y927" s="8"/>
    </row>
    <row r="928">
      <c r="A928" s="8"/>
      <c r="B928" s="8"/>
      <c r="C928" s="8"/>
      <c r="D928" s="8"/>
      <c r="E928" s="8"/>
      <c r="F928" s="8"/>
      <c r="G928" s="8"/>
      <c r="H928" s="8"/>
      <c r="I928" s="8"/>
      <c r="J928" s="8"/>
      <c r="K928" s="8"/>
      <c r="L928" s="8"/>
      <c r="M928" s="8"/>
      <c r="N928" s="8"/>
      <c r="O928" s="8"/>
      <c r="P928" s="8"/>
      <c r="Q928" s="8"/>
      <c r="R928" s="8"/>
      <c r="S928" s="8"/>
      <c r="T928" s="8"/>
      <c r="U928" s="8"/>
      <c r="V928" s="8"/>
      <c r="W928" s="8"/>
      <c r="X928" s="8"/>
      <c r="Y928" s="8"/>
    </row>
    <row r="929">
      <c r="A929" s="8"/>
      <c r="B929" s="8"/>
      <c r="C929" s="8"/>
      <c r="D929" s="8"/>
      <c r="E929" s="8"/>
      <c r="F929" s="8"/>
      <c r="G929" s="8"/>
      <c r="H929" s="8"/>
      <c r="I929" s="8"/>
      <c r="J929" s="8"/>
      <c r="K929" s="8"/>
      <c r="L929" s="8"/>
      <c r="M929" s="8"/>
      <c r="N929" s="8"/>
      <c r="O929" s="8"/>
      <c r="P929" s="8"/>
      <c r="Q929" s="8"/>
      <c r="R929" s="8"/>
      <c r="S929" s="8"/>
      <c r="T929" s="8"/>
      <c r="U929" s="8"/>
      <c r="V929" s="8"/>
      <c r="W929" s="8"/>
      <c r="X929" s="8"/>
      <c r="Y929" s="8"/>
    </row>
    <row r="930">
      <c r="A930" s="8"/>
      <c r="B930" s="8"/>
      <c r="C930" s="8"/>
      <c r="D930" s="8"/>
      <c r="E930" s="8"/>
      <c r="F930" s="8"/>
      <c r="G930" s="8"/>
      <c r="H930" s="8"/>
      <c r="I930" s="8"/>
      <c r="J930" s="8"/>
      <c r="K930" s="8"/>
      <c r="L930" s="8"/>
      <c r="M930" s="8"/>
      <c r="N930" s="8"/>
      <c r="O930" s="8"/>
      <c r="P930" s="8"/>
      <c r="Q930" s="8"/>
      <c r="R930" s="8"/>
      <c r="S930" s="8"/>
      <c r="T930" s="8"/>
      <c r="U930" s="8"/>
      <c r="V930" s="8"/>
      <c r="W930" s="8"/>
      <c r="X930" s="8"/>
      <c r="Y930" s="8"/>
    </row>
    <row r="931">
      <c r="A931" s="8"/>
      <c r="B931" s="8"/>
      <c r="C931" s="8"/>
      <c r="D931" s="8"/>
      <c r="E931" s="8"/>
      <c r="F931" s="8"/>
      <c r="G931" s="8"/>
      <c r="H931" s="8"/>
      <c r="I931" s="8"/>
      <c r="J931" s="8"/>
      <c r="K931" s="8"/>
      <c r="L931" s="8"/>
      <c r="M931" s="8"/>
      <c r="N931" s="8"/>
      <c r="O931" s="8"/>
      <c r="P931" s="8"/>
      <c r="Q931" s="8"/>
      <c r="R931" s="8"/>
      <c r="S931" s="8"/>
      <c r="T931" s="8"/>
      <c r="U931" s="8"/>
      <c r="V931" s="8"/>
      <c r="W931" s="8"/>
      <c r="X931" s="8"/>
      <c r="Y931" s="8"/>
    </row>
    <row r="932">
      <c r="A932" s="8"/>
      <c r="B932" s="8"/>
      <c r="C932" s="8"/>
      <c r="D932" s="8"/>
      <c r="E932" s="8"/>
      <c r="F932" s="8"/>
      <c r="G932" s="8"/>
      <c r="H932" s="8"/>
      <c r="I932" s="8"/>
      <c r="J932" s="8"/>
      <c r="K932" s="8"/>
      <c r="L932" s="8"/>
      <c r="M932" s="8"/>
      <c r="N932" s="8"/>
      <c r="O932" s="8"/>
      <c r="P932" s="8"/>
      <c r="Q932" s="8"/>
      <c r="R932" s="8"/>
      <c r="S932" s="8"/>
      <c r="T932" s="8"/>
      <c r="U932" s="8"/>
      <c r="V932" s="8"/>
      <c r="W932" s="8"/>
      <c r="X932" s="8"/>
      <c r="Y932" s="8"/>
    </row>
    <row r="933">
      <c r="A933" s="8"/>
      <c r="B933" s="8"/>
      <c r="C933" s="8"/>
      <c r="D933" s="8"/>
      <c r="E933" s="8"/>
      <c r="F933" s="8"/>
      <c r="G933" s="8"/>
      <c r="H933" s="8"/>
      <c r="I933" s="8"/>
      <c r="J933" s="8"/>
      <c r="K933" s="8"/>
      <c r="L933" s="8"/>
      <c r="M933" s="8"/>
      <c r="N933" s="8"/>
      <c r="O933" s="8"/>
      <c r="P933" s="8"/>
      <c r="Q933" s="8"/>
      <c r="R933" s="8"/>
      <c r="S933" s="8"/>
      <c r="T933" s="8"/>
      <c r="U933" s="8"/>
      <c r="V933" s="8"/>
      <c r="W933" s="8"/>
      <c r="X933" s="8"/>
      <c r="Y933" s="8"/>
    </row>
    <row r="934">
      <c r="A934" s="8"/>
      <c r="B934" s="8"/>
      <c r="C934" s="8"/>
      <c r="D934" s="8"/>
      <c r="E934" s="8"/>
      <c r="F934" s="8"/>
      <c r="G934" s="8"/>
      <c r="H934" s="8"/>
      <c r="I934" s="8"/>
      <c r="J934" s="8"/>
      <c r="K934" s="8"/>
      <c r="L934" s="8"/>
      <c r="M934" s="8"/>
      <c r="N934" s="8"/>
      <c r="O934" s="8"/>
      <c r="P934" s="8"/>
      <c r="Q934" s="8"/>
      <c r="R934" s="8"/>
      <c r="S934" s="8"/>
      <c r="T934" s="8"/>
      <c r="U934" s="8"/>
      <c r="V934" s="8"/>
      <c r="W934" s="8"/>
      <c r="X934" s="8"/>
      <c r="Y934" s="8"/>
    </row>
    <row r="935">
      <c r="A935" s="8"/>
      <c r="B935" s="8"/>
      <c r="C935" s="8"/>
      <c r="D935" s="8"/>
      <c r="E935" s="8"/>
      <c r="F935" s="8"/>
      <c r="G935" s="8"/>
      <c r="H935" s="8"/>
      <c r="I935" s="8"/>
      <c r="J935" s="8"/>
      <c r="K935" s="8"/>
      <c r="L935" s="8"/>
      <c r="M935" s="8"/>
      <c r="N935" s="8"/>
      <c r="O935" s="8"/>
      <c r="P935" s="8"/>
      <c r="Q935" s="8"/>
      <c r="R935" s="8"/>
      <c r="S935" s="8"/>
      <c r="T935" s="8"/>
      <c r="U935" s="8"/>
      <c r="V935" s="8"/>
      <c r="W935" s="8"/>
      <c r="X935" s="8"/>
      <c r="Y935" s="8"/>
    </row>
    <row r="936">
      <c r="A936" s="8"/>
      <c r="B936" s="8"/>
      <c r="C936" s="8"/>
      <c r="D936" s="8"/>
      <c r="E936" s="8"/>
      <c r="F936" s="8"/>
      <c r="G936" s="8"/>
      <c r="H936" s="8"/>
      <c r="I936" s="8"/>
      <c r="J936" s="8"/>
      <c r="K936" s="8"/>
      <c r="L936" s="8"/>
      <c r="M936" s="8"/>
      <c r="N936" s="8"/>
      <c r="O936" s="8"/>
      <c r="P936" s="8"/>
      <c r="Q936" s="8"/>
      <c r="R936" s="8"/>
      <c r="S936" s="8"/>
      <c r="T936" s="8"/>
      <c r="U936" s="8"/>
      <c r="V936" s="8"/>
      <c r="W936" s="8"/>
      <c r="X936" s="8"/>
      <c r="Y936" s="8"/>
    </row>
    <row r="937">
      <c r="A937" s="8"/>
      <c r="B937" s="8"/>
      <c r="C937" s="8"/>
      <c r="D937" s="8"/>
      <c r="E937" s="8"/>
      <c r="F937" s="8"/>
      <c r="G937" s="8"/>
      <c r="H937" s="8"/>
      <c r="I937" s="8"/>
      <c r="J937" s="8"/>
      <c r="K937" s="8"/>
      <c r="L937" s="8"/>
      <c r="M937" s="8"/>
      <c r="N937" s="8"/>
      <c r="O937" s="8"/>
      <c r="P937" s="8"/>
      <c r="Q937" s="8"/>
      <c r="R937" s="8"/>
      <c r="S937" s="8"/>
      <c r="T937" s="8"/>
      <c r="U937" s="8"/>
      <c r="V937" s="8"/>
      <c r="W937" s="8"/>
      <c r="X937" s="8"/>
      <c r="Y937" s="8"/>
    </row>
    <row r="938">
      <c r="A938" s="8"/>
      <c r="B938" s="8"/>
      <c r="C938" s="8"/>
      <c r="D938" s="8"/>
      <c r="E938" s="8"/>
      <c r="F938" s="8"/>
      <c r="G938" s="8"/>
      <c r="H938" s="8"/>
      <c r="I938" s="8"/>
      <c r="J938" s="8"/>
      <c r="K938" s="8"/>
      <c r="L938" s="8"/>
      <c r="M938" s="8"/>
      <c r="N938" s="8"/>
      <c r="O938" s="8"/>
      <c r="P938" s="8"/>
      <c r="Q938" s="8"/>
      <c r="R938" s="8"/>
      <c r="S938" s="8"/>
      <c r="T938" s="8"/>
      <c r="U938" s="8"/>
      <c r="V938" s="8"/>
      <c r="W938" s="8"/>
      <c r="X938" s="8"/>
      <c r="Y938" s="8"/>
    </row>
    <row r="939">
      <c r="A939" s="8"/>
      <c r="B939" s="8"/>
      <c r="C939" s="8"/>
      <c r="D939" s="8"/>
      <c r="E939" s="8"/>
      <c r="F939" s="8"/>
      <c r="G939" s="8"/>
      <c r="H939" s="8"/>
      <c r="I939" s="8"/>
      <c r="J939" s="8"/>
      <c r="K939" s="8"/>
      <c r="L939" s="8"/>
      <c r="M939" s="8"/>
      <c r="N939" s="8"/>
      <c r="O939" s="8"/>
      <c r="P939" s="8"/>
      <c r="Q939" s="8"/>
      <c r="R939" s="8"/>
      <c r="S939" s="8"/>
      <c r="T939" s="8"/>
      <c r="U939" s="8"/>
      <c r="V939" s="8"/>
      <c r="W939" s="8"/>
      <c r="X939" s="8"/>
      <c r="Y939" s="8"/>
    </row>
    <row r="940">
      <c r="A940" s="8"/>
      <c r="B940" s="8"/>
      <c r="C940" s="8"/>
      <c r="D940" s="8"/>
      <c r="E940" s="8"/>
      <c r="F940" s="8"/>
      <c r="G940" s="8"/>
      <c r="H940" s="8"/>
      <c r="I940" s="8"/>
      <c r="J940" s="8"/>
      <c r="K940" s="8"/>
      <c r="L940" s="8"/>
      <c r="M940" s="8"/>
      <c r="N940" s="8"/>
      <c r="O940" s="8"/>
      <c r="P940" s="8"/>
      <c r="Q940" s="8"/>
      <c r="R940" s="8"/>
      <c r="S940" s="8"/>
      <c r="T940" s="8"/>
      <c r="U940" s="8"/>
      <c r="V940" s="8"/>
      <c r="W940" s="8"/>
      <c r="X940" s="8"/>
      <c r="Y940" s="8"/>
    </row>
    <row r="941">
      <c r="A941" s="8"/>
      <c r="B941" s="8"/>
      <c r="C941" s="8"/>
      <c r="D941" s="8"/>
      <c r="E941" s="8"/>
      <c r="F941" s="8"/>
      <c r="G941" s="8"/>
      <c r="H941" s="8"/>
      <c r="I941" s="8"/>
      <c r="J941" s="8"/>
      <c r="K941" s="8"/>
      <c r="L941" s="8"/>
      <c r="M941" s="8"/>
      <c r="N941" s="8"/>
      <c r="O941" s="8"/>
      <c r="P941" s="8"/>
      <c r="Q941" s="8"/>
      <c r="R941" s="8"/>
      <c r="S941" s="8"/>
      <c r="T941" s="8"/>
      <c r="U941" s="8"/>
      <c r="V941" s="8"/>
      <c r="W941" s="8"/>
      <c r="X941" s="8"/>
      <c r="Y941" s="8"/>
    </row>
    <row r="942">
      <c r="A942" s="8"/>
      <c r="B942" s="8"/>
      <c r="C942" s="8"/>
      <c r="D942" s="8"/>
      <c r="E942" s="8"/>
      <c r="F942" s="8"/>
      <c r="G942" s="8"/>
      <c r="H942" s="8"/>
      <c r="I942" s="8"/>
      <c r="J942" s="8"/>
      <c r="K942" s="8"/>
      <c r="L942" s="8"/>
      <c r="M942" s="8"/>
      <c r="N942" s="8"/>
      <c r="O942" s="8"/>
      <c r="P942" s="8"/>
      <c r="Q942" s="8"/>
      <c r="R942" s="8"/>
      <c r="S942" s="8"/>
      <c r="T942" s="8"/>
      <c r="U942" s="8"/>
      <c r="V942" s="8"/>
      <c r="W942" s="8"/>
      <c r="X942" s="8"/>
      <c r="Y942" s="8"/>
    </row>
    <row r="943">
      <c r="A943" s="8"/>
      <c r="B943" s="8"/>
      <c r="C943" s="8"/>
      <c r="D943" s="8"/>
      <c r="E943" s="8"/>
      <c r="F943" s="8"/>
      <c r="G943" s="8"/>
      <c r="H943" s="8"/>
      <c r="I943" s="8"/>
      <c r="J943" s="8"/>
      <c r="K943" s="8"/>
      <c r="L943" s="8"/>
      <c r="M943" s="8"/>
      <c r="N943" s="8"/>
      <c r="O943" s="8"/>
      <c r="P943" s="8"/>
      <c r="Q943" s="8"/>
      <c r="R943" s="8"/>
      <c r="S943" s="8"/>
      <c r="T943" s="8"/>
      <c r="U943" s="8"/>
      <c r="V943" s="8"/>
      <c r="W943" s="8"/>
      <c r="X943" s="8"/>
      <c r="Y943" s="8"/>
    </row>
    <row r="944">
      <c r="A944" s="8"/>
      <c r="B944" s="8"/>
      <c r="C944" s="8"/>
      <c r="D944" s="8"/>
      <c r="E944" s="8"/>
      <c r="F944" s="8"/>
      <c r="G944" s="8"/>
      <c r="H944" s="8"/>
      <c r="I944" s="8"/>
      <c r="J944" s="8"/>
      <c r="K944" s="8"/>
      <c r="L944" s="8"/>
      <c r="M944" s="8"/>
      <c r="N944" s="8"/>
      <c r="O944" s="8"/>
      <c r="P944" s="8"/>
      <c r="Q944" s="8"/>
      <c r="R944" s="8"/>
      <c r="S944" s="8"/>
      <c r="T944" s="8"/>
      <c r="U944" s="8"/>
      <c r="V944" s="8"/>
      <c r="W944" s="8"/>
      <c r="X944" s="8"/>
      <c r="Y944" s="8"/>
    </row>
    <row r="945">
      <c r="A945" s="8"/>
      <c r="B945" s="8"/>
      <c r="C945" s="8"/>
      <c r="D945" s="8"/>
      <c r="E945" s="8"/>
      <c r="F945" s="8"/>
      <c r="G945" s="8"/>
      <c r="H945" s="8"/>
      <c r="I945" s="8"/>
      <c r="J945" s="8"/>
      <c r="K945" s="8"/>
      <c r="L945" s="8"/>
      <c r="M945" s="8"/>
      <c r="N945" s="8"/>
      <c r="O945" s="8"/>
      <c r="P945" s="8"/>
      <c r="Q945" s="8"/>
      <c r="R945" s="8"/>
      <c r="S945" s="8"/>
      <c r="T945" s="8"/>
      <c r="U945" s="8"/>
      <c r="V945" s="8"/>
      <c r="W945" s="8"/>
      <c r="X945" s="8"/>
      <c r="Y945" s="8"/>
    </row>
    <row r="946">
      <c r="A946" s="8"/>
      <c r="B946" s="8"/>
      <c r="C946" s="8"/>
      <c r="D946" s="8"/>
      <c r="E946" s="8"/>
      <c r="F946" s="8"/>
      <c r="G946" s="8"/>
      <c r="H946" s="8"/>
      <c r="I946" s="8"/>
      <c r="J946" s="8"/>
      <c r="K946" s="8"/>
      <c r="L946" s="8"/>
      <c r="M946" s="8"/>
      <c r="N946" s="8"/>
      <c r="O946" s="8"/>
      <c r="P946" s="8"/>
      <c r="Q946" s="8"/>
      <c r="R946" s="8"/>
      <c r="S946" s="8"/>
      <c r="T946" s="8"/>
      <c r="U946" s="8"/>
      <c r="V946" s="8"/>
      <c r="W946" s="8"/>
      <c r="X946" s="8"/>
      <c r="Y946" s="8"/>
    </row>
    <row r="947">
      <c r="A947" s="8"/>
      <c r="B947" s="8"/>
      <c r="C947" s="8"/>
      <c r="D947" s="8"/>
      <c r="E947" s="8"/>
      <c r="F947" s="8"/>
      <c r="G947" s="8"/>
      <c r="H947" s="8"/>
      <c r="I947" s="8"/>
      <c r="J947" s="8"/>
      <c r="K947" s="8"/>
      <c r="L947" s="8"/>
      <c r="M947" s="8"/>
      <c r="N947" s="8"/>
      <c r="O947" s="8"/>
      <c r="P947" s="8"/>
      <c r="Q947" s="8"/>
      <c r="R947" s="8"/>
      <c r="S947" s="8"/>
      <c r="T947" s="8"/>
      <c r="U947" s="8"/>
      <c r="V947" s="8"/>
      <c r="W947" s="8"/>
      <c r="X947" s="8"/>
      <c r="Y947" s="8"/>
    </row>
    <row r="948">
      <c r="A948" s="8"/>
      <c r="B948" s="8"/>
      <c r="C948" s="8"/>
      <c r="D948" s="8"/>
      <c r="E948" s="8"/>
      <c r="F948" s="8"/>
      <c r="G948" s="8"/>
      <c r="H948" s="8"/>
      <c r="I948" s="8"/>
      <c r="J948" s="8"/>
      <c r="K948" s="8"/>
      <c r="L948" s="8"/>
      <c r="M948" s="8"/>
      <c r="N948" s="8"/>
      <c r="O948" s="8"/>
      <c r="P948" s="8"/>
      <c r="Q948" s="8"/>
      <c r="R948" s="8"/>
      <c r="S948" s="8"/>
      <c r="T948" s="8"/>
      <c r="U948" s="8"/>
      <c r="V948" s="8"/>
      <c r="W948" s="8"/>
      <c r="X948" s="8"/>
      <c r="Y948" s="8"/>
    </row>
    <row r="949">
      <c r="A949" s="8"/>
      <c r="B949" s="8"/>
      <c r="C949" s="8"/>
      <c r="D949" s="8"/>
      <c r="E949" s="8"/>
      <c r="F949" s="8"/>
      <c r="G949" s="8"/>
      <c r="H949" s="8"/>
      <c r="I949" s="8"/>
      <c r="J949" s="8"/>
      <c r="K949" s="8"/>
      <c r="L949" s="8"/>
      <c r="M949" s="8"/>
      <c r="N949" s="8"/>
      <c r="O949" s="8"/>
      <c r="P949" s="8"/>
      <c r="Q949" s="8"/>
      <c r="R949" s="8"/>
      <c r="S949" s="8"/>
      <c r="T949" s="8"/>
      <c r="U949" s="8"/>
      <c r="V949" s="8"/>
      <c r="W949" s="8"/>
      <c r="X949" s="8"/>
      <c r="Y949" s="8"/>
    </row>
    <row r="950">
      <c r="A950" s="8"/>
      <c r="B950" s="8"/>
      <c r="C950" s="8"/>
      <c r="D950" s="8"/>
      <c r="E950" s="8"/>
      <c r="F950" s="8"/>
      <c r="G950" s="8"/>
      <c r="H950" s="8"/>
      <c r="I950" s="8"/>
      <c r="J950" s="8"/>
      <c r="K950" s="8"/>
      <c r="L950" s="8"/>
      <c r="M950" s="8"/>
      <c r="N950" s="8"/>
      <c r="O950" s="8"/>
      <c r="P950" s="8"/>
      <c r="Q950" s="8"/>
      <c r="R950" s="8"/>
      <c r="S950" s="8"/>
      <c r="T950" s="8"/>
      <c r="U950" s="8"/>
      <c r="V950" s="8"/>
      <c r="W950" s="8"/>
      <c r="X950" s="8"/>
      <c r="Y950" s="8"/>
    </row>
    <row r="951">
      <c r="A951" s="8"/>
      <c r="B951" s="8"/>
      <c r="C951" s="8"/>
      <c r="D951" s="8"/>
      <c r="E951" s="8"/>
      <c r="F951" s="8"/>
      <c r="G951" s="8"/>
      <c r="H951" s="8"/>
      <c r="I951" s="8"/>
      <c r="J951" s="8"/>
      <c r="K951" s="8"/>
      <c r="L951" s="8"/>
      <c r="M951" s="8"/>
      <c r="N951" s="8"/>
      <c r="O951" s="8"/>
      <c r="P951" s="8"/>
      <c r="Q951" s="8"/>
      <c r="R951" s="8"/>
      <c r="S951" s="8"/>
      <c r="T951" s="8"/>
      <c r="U951" s="8"/>
      <c r="V951" s="8"/>
      <c r="W951" s="8"/>
      <c r="X951" s="8"/>
      <c r="Y951" s="8"/>
    </row>
    <row r="952">
      <c r="A952" s="8"/>
      <c r="B952" s="8"/>
      <c r="C952" s="8"/>
      <c r="D952" s="8"/>
      <c r="E952" s="8"/>
      <c r="F952" s="8"/>
      <c r="G952" s="8"/>
      <c r="H952" s="8"/>
      <c r="I952" s="8"/>
      <c r="J952" s="8"/>
      <c r="K952" s="8"/>
      <c r="L952" s="8"/>
      <c r="M952" s="8"/>
      <c r="N952" s="8"/>
      <c r="O952" s="8"/>
      <c r="P952" s="8"/>
      <c r="Q952" s="8"/>
      <c r="R952" s="8"/>
      <c r="S952" s="8"/>
      <c r="T952" s="8"/>
      <c r="U952" s="8"/>
      <c r="V952" s="8"/>
      <c r="W952" s="8"/>
      <c r="X952" s="8"/>
      <c r="Y952" s="8"/>
    </row>
    <row r="953">
      <c r="A953" s="8"/>
      <c r="B953" s="8"/>
      <c r="C953" s="8"/>
      <c r="D953" s="8"/>
      <c r="E953" s="8"/>
      <c r="F953" s="8"/>
      <c r="G953" s="8"/>
      <c r="H953" s="8"/>
      <c r="I953" s="8"/>
      <c r="J953" s="8"/>
      <c r="K953" s="8"/>
      <c r="L953" s="8"/>
      <c r="M953" s="8"/>
      <c r="N953" s="8"/>
      <c r="O953" s="8"/>
      <c r="P953" s="8"/>
      <c r="Q953" s="8"/>
      <c r="R953" s="8"/>
      <c r="S953" s="8"/>
      <c r="T953" s="8"/>
      <c r="U953" s="8"/>
      <c r="V953" s="8"/>
      <c r="W953" s="8"/>
      <c r="X953" s="8"/>
      <c r="Y953" s="8"/>
    </row>
    <row r="954">
      <c r="A954" s="8"/>
      <c r="B954" s="8"/>
      <c r="C954" s="8"/>
      <c r="D954" s="8"/>
      <c r="E954" s="8"/>
      <c r="F954" s="8"/>
      <c r="G954" s="8"/>
      <c r="H954" s="8"/>
      <c r="I954" s="8"/>
      <c r="J954" s="8"/>
      <c r="K954" s="8"/>
      <c r="L954" s="8"/>
      <c r="M954" s="8"/>
      <c r="N954" s="8"/>
      <c r="O954" s="8"/>
      <c r="P954" s="8"/>
      <c r="Q954" s="8"/>
      <c r="R954" s="8"/>
      <c r="S954" s="8"/>
      <c r="T954" s="8"/>
      <c r="U954" s="8"/>
      <c r="V954" s="8"/>
      <c r="W954" s="8"/>
      <c r="X954" s="8"/>
      <c r="Y954" s="8"/>
    </row>
    <row r="955">
      <c r="A955" s="8"/>
      <c r="B955" s="8"/>
      <c r="C955" s="8"/>
      <c r="D955" s="8"/>
      <c r="E955" s="8"/>
      <c r="F955" s="8"/>
      <c r="G955" s="8"/>
      <c r="H955" s="8"/>
      <c r="I955" s="8"/>
      <c r="J955" s="8"/>
      <c r="K955" s="8"/>
      <c r="L955" s="8"/>
      <c r="M955" s="8"/>
      <c r="N955" s="8"/>
      <c r="O955" s="8"/>
      <c r="P955" s="8"/>
      <c r="Q955" s="8"/>
      <c r="R955" s="8"/>
      <c r="S955" s="8"/>
      <c r="T955" s="8"/>
      <c r="U955" s="8"/>
      <c r="V955" s="8"/>
      <c r="W955" s="8"/>
      <c r="X955" s="8"/>
      <c r="Y955" s="8"/>
    </row>
    <row r="956">
      <c r="A956" s="8"/>
      <c r="B956" s="8"/>
      <c r="C956" s="8"/>
      <c r="D956" s="8"/>
      <c r="E956" s="8"/>
      <c r="F956" s="8"/>
      <c r="G956" s="8"/>
      <c r="H956" s="8"/>
      <c r="I956" s="8"/>
      <c r="J956" s="8"/>
      <c r="K956" s="8"/>
      <c r="L956" s="8"/>
      <c r="M956" s="8"/>
      <c r="N956" s="8"/>
      <c r="O956" s="8"/>
      <c r="P956" s="8"/>
      <c r="Q956" s="8"/>
      <c r="R956" s="8"/>
      <c r="S956" s="8"/>
      <c r="T956" s="8"/>
      <c r="U956" s="8"/>
      <c r="V956" s="8"/>
      <c r="W956" s="8"/>
      <c r="X956" s="8"/>
      <c r="Y956" s="8"/>
    </row>
    <row r="957">
      <c r="A957" s="8"/>
      <c r="B957" s="8"/>
      <c r="C957" s="8"/>
      <c r="D957" s="8"/>
      <c r="E957" s="8"/>
      <c r="F957" s="8"/>
      <c r="G957" s="8"/>
      <c r="H957" s="8"/>
      <c r="I957" s="8"/>
      <c r="J957" s="8"/>
      <c r="K957" s="8"/>
      <c r="L957" s="8"/>
      <c r="M957" s="8"/>
      <c r="N957" s="8"/>
      <c r="O957" s="8"/>
      <c r="P957" s="8"/>
      <c r="Q957" s="8"/>
      <c r="R957" s="8"/>
      <c r="S957" s="8"/>
      <c r="T957" s="8"/>
      <c r="U957" s="8"/>
      <c r="V957" s="8"/>
      <c r="W957" s="8"/>
      <c r="X957" s="8"/>
      <c r="Y957" s="8"/>
    </row>
    <row r="958">
      <c r="A958" s="8"/>
      <c r="B958" s="8"/>
      <c r="C958" s="8"/>
      <c r="D958" s="8"/>
      <c r="E958" s="8"/>
      <c r="F958" s="8"/>
      <c r="G958" s="8"/>
      <c r="H958" s="8"/>
      <c r="I958" s="8"/>
      <c r="J958" s="8"/>
      <c r="K958" s="8"/>
      <c r="L958" s="8"/>
      <c r="M958" s="8"/>
      <c r="N958" s="8"/>
      <c r="O958" s="8"/>
      <c r="P958" s="8"/>
      <c r="Q958" s="8"/>
      <c r="R958" s="8"/>
      <c r="S958" s="8"/>
      <c r="T958" s="8"/>
      <c r="U958" s="8"/>
      <c r="V958" s="8"/>
      <c r="W958" s="8"/>
      <c r="X958" s="8"/>
      <c r="Y958" s="8"/>
    </row>
    <row r="959">
      <c r="A959" s="8"/>
      <c r="B959" s="8"/>
      <c r="C959" s="8"/>
      <c r="D959" s="8"/>
      <c r="E959" s="8"/>
      <c r="F959" s="8"/>
      <c r="G959" s="8"/>
      <c r="H959" s="8"/>
      <c r="I959" s="8"/>
      <c r="J959" s="8"/>
      <c r="K959" s="8"/>
      <c r="L959" s="8"/>
      <c r="M959" s="8"/>
      <c r="N959" s="8"/>
      <c r="O959" s="8"/>
      <c r="P959" s="8"/>
      <c r="Q959" s="8"/>
      <c r="R959" s="8"/>
      <c r="S959" s="8"/>
      <c r="T959" s="8"/>
      <c r="U959" s="8"/>
      <c r="V959" s="8"/>
      <c r="W959" s="8"/>
      <c r="X959" s="8"/>
      <c r="Y959" s="8"/>
    </row>
    <row r="960">
      <c r="A960" s="8"/>
      <c r="B960" s="8"/>
      <c r="C960" s="8"/>
      <c r="D960" s="8"/>
      <c r="E960" s="8"/>
      <c r="F960" s="8"/>
      <c r="G960" s="8"/>
      <c r="H960" s="8"/>
      <c r="I960" s="8"/>
      <c r="J960" s="8"/>
      <c r="K960" s="8"/>
      <c r="L960" s="8"/>
      <c r="M960" s="8"/>
      <c r="N960" s="8"/>
      <c r="O960" s="8"/>
      <c r="P960" s="8"/>
      <c r="Q960" s="8"/>
      <c r="R960" s="8"/>
      <c r="S960" s="8"/>
      <c r="T960" s="8"/>
      <c r="U960" s="8"/>
      <c r="V960" s="8"/>
      <c r="W960" s="8"/>
      <c r="X960" s="8"/>
      <c r="Y960" s="8"/>
    </row>
    <row r="961">
      <c r="A961" s="8"/>
      <c r="B961" s="8"/>
      <c r="C961" s="8"/>
      <c r="D961" s="8"/>
      <c r="E961" s="8"/>
      <c r="F961" s="8"/>
      <c r="G961" s="8"/>
      <c r="H961" s="8"/>
      <c r="I961" s="8"/>
      <c r="J961" s="8"/>
      <c r="K961" s="8"/>
      <c r="L961" s="8"/>
      <c r="M961" s="8"/>
      <c r="N961" s="8"/>
      <c r="O961" s="8"/>
      <c r="P961" s="8"/>
      <c r="Q961" s="8"/>
      <c r="R961" s="8"/>
      <c r="S961" s="8"/>
      <c r="T961" s="8"/>
      <c r="U961" s="8"/>
      <c r="V961" s="8"/>
      <c r="W961" s="8"/>
      <c r="X961" s="8"/>
      <c r="Y961" s="8"/>
    </row>
    <row r="962">
      <c r="A962" s="8"/>
      <c r="B962" s="8"/>
      <c r="C962" s="8"/>
      <c r="D962" s="8"/>
      <c r="E962" s="8"/>
      <c r="F962" s="8"/>
      <c r="G962" s="8"/>
      <c r="H962" s="8"/>
      <c r="I962" s="8"/>
      <c r="J962" s="8"/>
      <c r="K962" s="8"/>
      <c r="L962" s="8"/>
      <c r="M962" s="8"/>
      <c r="N962" s="8"/>
      <c r="O962" s="8"/>
      <c r="P962" s="8"/>
      <c r="Q962" s="8"/>
      <c r="R962" s="8"/>
      <c r="S962" s="8"/>
      <c r="T962" s="8"/>
      <c r="U962" s="8"/>
      <c r="V962" s="8"/>
      <c r="W962" s="8"/>
      <c r="X962" s="8"/>
      <c r="Y962" s="8"/>
    </row>
    <row r="963">
      <c r="A963" s="8"/>
      <c r="B963" s="8"/>
      <c r="C963" s="8"/>
      <c r="D963" s="8"/>
      <c r="E963" s="8"/>
      <c r="F963" s="8"/>
      <c r="G963" s="8"/>
      <c r="H963" s="8"/>
      <c r="I963" s="8"/>
      <c r="J963" s="8"/>
      <c r="K963" s="8"/>
      <c r="L963" s="8"/>
      <c r="M963" s="8"/>
      <c r="N963" s="8"/>
      <c r="O963" s="8"/>
      <c r="P963" s="8"/>
      <c r="Q963" s="8"/>
      <c r="R963" s="8"/>
      <c r="S963" s="8"/>
      <c r="T963" s="8"/>
      <c r="U963" s="8"/>
      <c r="V963" s="8"/>
      <c r="W963" s="8"/>
      <c r="X963" s="8"/>
      <c r="Y963" s="8"/>
    </row>
    <row r="964">
      <c r="A964" s="8"/>
      <c r="B964" s="8"/>
      <c r="C964" s="8"/>
      <c r="D964" s="8"/>
      <c r="E964" s="8"/>
      <c r="F964" s="8"/>
      <c r="G964" s="8"/>
      <c r="H964" s="8"/>
      <c r="I964" s="8"/>
      <c r="J964" s="8"/>
      <c r="K964" s="8"/>
      <c r="L964" s="8"/>
      <c r="M964" s="8"/>
      <c r="N964" s="8"/>
      <c r="O964" s="8"/>
      <c r="P964" s="8"/>
      <c r="Q964" s="8"/>
      <c r="R964" s="8"/>
      <c r="S964" s="8"/>
      <c r="T964" s="8"/>
      <c r="U964" s="8"/>
      <c r="V964" s="8"/>
      <c r="W964" s="8"/>
      <c r="X964" s="8"/>
      <c r="Y964" s="8"/>
    </row>
    <row r="965">
      <c r="A965" s="8"/>
      <c r="B965" s="8"/>
      <c r="C965" s="8"/>
      <c r="D965" s="8"/>
      <c r="E965" s="8"/>
      <c r="F965" s="8"/>
      <c r="G965" s="8"/>
      <c r="H965" s="8"/>
      <c r="I965" s="8"/>
      <c r="J965" s="8"/>
      <c r="K965" s="8"/>
      <c r="L965" s="8"/>
      <c r="M965" s="8"/>
      <c r="N965" s="8"/>
      <c r="O965" s="8"/>
      <c r="P965" s="8"/>
      <c r="Q965" s="8"/>
      <c r="R965" s="8"/>
      <c r="S965" s="8"/>
      <c r="T965" s="8"/>
      <c r="U965" s="8"/>
      <c r="V965" s="8"/>
      <c r="W965" s="8"/>
      <c r="X965" s="8"/>
      <c r="Y965" s="8"/>
    </row>
    <row r="966">
      <c r="A966" s="8"/>
      <c r="B966" s="8"/>
      <c r="C966" s="8"/>
      <c r="D966" s="8"/>
      <c r="E966" s="8"/>
      <c r="F966" s="8"/>
      <c r="G966" s="8"/>
      <c r="H966" s="8"/>
      <c r="I966" s="8"/>
      <c r="J966" s="8"/>
      <c r="K966" s="8"/>
      <c r="L966" s="8"/>
      <c r="M966" s="8"/>
      <c r="N966" s="8"/>
      <c r="O966" s="8"/>
      <c r="P966" s="8"/>
      <c r="Q966" s="8"/>
      <c r="R966" s="8"/>
      <c r="S966" s="8"/>
      <c r="T966" s="8"/>
      <c r="U966" s="8"/>
      <c r="V966" s="8"/>
      <c r="W966" s="8"/>
      <c r="X966" s="8"/>
      <c r="Y966" s="8"/>
    </row>
    <row r="967">
      <c r="A967" s="8"/>
      <c r="B967" s="8"/>
      <c r="C967" s="8"/>
      <c r="D967" s="8"/>
      <c r="E967" s="8"/>
      <c r="F967" s="8"/>
      <c r="G967" s="8"/>
      <c r="H967" s="8"/>
      <c r="I967" s="8"/>
      <c r="J967" s="8"/>
      <c r="K967" s="8"/>
      <c r="L967" s="8"/>
      <c r="M967" s="8"/>
      <c r="N967" s="8"/>
      <c r="O967" s="8"/>
      <c r="P967" s="8"/>
      <c r="Q967" s="8"/>
      <c r="R967" s="8"/>
      <c r="S967" s="8"/>
      <c r="T967" s="8"/>
      <c r="U967" s="8"/>
      <c r="V967" s="8"/>
      <c r="W967" s="8"/>
      <c r="X967" s="8"/>
      <c r="Y967" s="8"/>
    </row>
    <row r="968">
      <c r="A968" s="8"/>
      <c r="B968" s="8"/>
      <c r="C968" s="8"/>
      <c r="D968" s="8"/>
      <c r="E968" s="8"/>
      <c r="F968" s="8"/>
      <c r="G968" s="8"/>
      <c r="H968" s="8"/>
      <c r="I968" s="8"/>
      <c r="J968" s="8"/>
      <c r="K968" s="8"/>
      <c r="L968" s="8"/>
      <c r="M968" s="8"/>
      <c r="N968" s="8"/>
      <c r="O968" s="8"/>
      <c r="P968" s="8"/>
      <c r="Q968" s="8"/>
      <c r="R968" s="8"/>
      <c r="S968" s="8"/>
      <c r="T968" s="8"/>
      <c r="U968" s="8"/>
      <c r="V968" s="8"/>
      <c r="W968" s="8"/>
      <c r="X968" s="8"/>
      <c r="Y968" s="8"/>
    </row>
    <row r="969">
      <c r="A969" s="8"/>
      <c r="B969" s="8"/>
      <c r="C969" s="8"/>
      <c r="D969" s="8"/>
      <c r="E969" s="8"/>
      <c r="F969" s="8"/>
      <c r="G969" s="8"/>
      <c r="H969" s="8"/>
      <c r="I969" s="8"/>
      <c r="J969" s="8"/>
      <c r="K969" s="8"/>
      <c r="L969" s="8"/>
      <c r="M969" s="8"/>
      <c r="N969" s="8"/>
      <c r="O969" s="8"/>
      <c r="P969" s="8"/>
      <c r="Q969" s="8"/>
      <c r="R969" s="8"/>
      <c r="S969" s="8"/>
      <c r="T969" s="8"/>
      <c r="U969" s="8"/>
      <c r="V969" s="8"/>
      <c r="W969" s="8"/>
      <c r="X969" s="8"/>
      <c r="Y969" s="8"/>
    </row>
    <row r="970">
      <c r="A970" s="8"/>
      <c r="B970" s="8"/>
      <c r="C970" s="8"/>
      <c r="D970" s="8"/>
      <c r="E970" s="8"/>
      <c r="F970" s="8"/>
      <c r="G970" s="8"/>
      <c r="H970" s="8"/>
      <c r="I970" s="8"/>
      <c r="J970" s="8"/>
      <c r="K970" s="8"/>
      <c r="L970" s="8"/>
      <c r="M970" s="8"/>
      <c r="N970" s="8"/>
      <c r="O970" s="8"/>
      <c r="P970" s="8"/>
      <c r="Q970" s="8"/>
      <c r="R970" s="8"/>
      <c r="S970" s="8"/>
      <c r="T970" s="8"/>
      <c r="U970" s="8"/>
      <c r="V970" s="8"/>
      <c r="W970" s="8"/>
      <c r="X970" s="8"/>
      <c r="Y970" s="8"/>
    </row>
    <row r="971">
      <c r="A971" s="8"/>
      <c r="B971" s="8"/>
      <c r="C971" s="8"/>
      <c r="D971" s="8"/>
      <c r="E971" s="8"/>
      <c r="F971" s="8"/>
      <c r="G971" s="8"/>
      <c r="H971" s="8"/>
      <c r="I971" s="8"/>
      <c r="J971" s="8"/>
      <c r="K971" s="8"/>
      <c r="L971" s="8"/>
      <c r="M971" s="8"/>
      <c r="N971" s="8"/>
      <c r="O971" s="8"/>
      <c r="P971" s="8"/>
      <c r="Q971" s="8"/>
      <c r="R971" s="8"/>
      <c r="S971" s="8"/>
      <c r="T971" s="8"/>
      <c r="U971" s="8"/>
      <c r="V971" s="8"/>
      <c r="W971" s="8"/>
      <c r="X971" s="8"/>
      <c r="Y971" s="8"/>
    </row>
    <row r="972">
      <c r="A972" s="8"/>
      <c r="B972" s="8"/>
      <c r="C972" s="8"/>
      <c r="D972" s="8"/>
      <c r="E972" s="8"/>
      <c r="F972" s="8"/>
      <c r="G972" s="8"/>
      <c r="H972" s="8"/>
      <c r="I972" s="8"/>
      <c r="J972" s="8"/>
      <c r="K972" s="8"/>
      <c r="L972" s="8"/>
      <c r="M972" s="8"/>
      <c r="N972" s="8"/>
      <c r="O972" s="8"/>
      <c r="P972" s="8"/>
      <c r="Q972" s="8"/>
      <c r="R972" s="8"/>
      <c r="S972" s="8"/>
      <c r="T972" s="8"/>
      <c r="U972" s="8"/>
      <c r="V972" s="8"/>
      <c r="W972" s="8"/>
      <c r="X972" s="8"/>
      <c r="Y972" s="8"/>
    </row>
    <row r="973">
      <c r="A973" s="8"/>
      <c r="B973" s="8"/>
      <c r="C973" s="8"/>
      <c r="D973" s="8"/>
      <c r="E973" s="8"/>
      <c r="F973" s="8"/>
      <c r="G973" s="8"/>
      <c r="H973" s="8"/>
      <c r="I973" s="8"/>
      <c r="J973" s="8"/>
      <c r="K973" s="8"/>
      <c r="L973" s="8"/>
      <c r="M973" s="8"/>
      <c r="N973" s="8"/>
      <c r="O973" s="8"/>
      <c r="P973" s="8"/>
      <c r="Q973" s="8"/>
      <c r="R973" s="8"/>
      <c r="S973" s="8"/>
      <c r="T973" s="8"/>
      <c r="U973" s="8"/>
      <c r="V973" s="8"/>
      <c r="W973" s="8"/>
      <c r="X973" s="8"/>
      <c r="Y973" s="8"/>
    </row>
    <row r="974">
      <c r="A974" s="8"/>
      <c r="B974" s="8"/>
      <c r="C974" s="8"/>
      <c r="D974" s="8"/>
      <c r="E974" s="8"/>
      <c r="F974" s="8"/>
      <c r="G974" s="8"/>
      <c r="H974" s="8"/>
      <c r="I974" s="8"/>
      <c r="J974" s="8"/>
      <c r="K974" s="8"/>
      <c r="L974" s="8"/>
      <c r="M974" s="8"/>
      <c r="N974" s="8"/>
      <c r="O974" s="8"/>
      <c r="P974" s="8"/>
      <c r="Q974" s="8"/>
      <c r="R974" s="8"/>
      <c r="S974" s="8"/>
      <c r="T974" s="8"/>
      <c r="U974" s="8"/>
      <c r="V974" s="8"/>
      <c r="W974" s="8"/>
      <c r="X974" s="8"/>
      <c r="Y974" s="8"/>
    </row>
    <row r="975">
      <c r="A975" s="8"/>
      <c r="B975" s="8"/>
      <c r="C975" s="8"/>
      <c r="D975" s="8"/>
      <c r="E975" s="8"/>
      <c r="F975" s="8"/>
      <c r="G975" s="8"/>
      <c r="H975" s="8"/>
      <c r="I975" s="8"/>
      <c r="J975" s="8"/>
      <c r="K975" s="8"/>
      <c r="L975" s="8"/>
      <c r="M975" s="8"/>
      <c r="N975" s="8"/>
      <c r="O975" s="8"/>
      <c r="P975" s="8"/>
      <c r="Q975" s="8"/>
      <c r="R975" s="8"/>
      <c r="S975" s="8"/>
      <c r="T975" s="8"/>
      <c r="U975" s="8"/>
      <c r="V975" s="8"/>
      <c r="W975" s="8"/>
      <c r="X975" s="8"/>
      <c r="Y975" s="8"/>
    </row>
    <row r="976">
      <c r="A976" s="8"/>
      <c r="B976" s="8"/>
      <c r="C976" s="8"/>
      <c r="D976" s="8"/>
      <c r="E976" s="8"/>
      <c r="F976" s="8"/>
      <c r="G976" s="8"/>
      <c r="H976" s="8"/>
      <c r="I976" s="8"/>
      <c r="J976" s="8"/>
      <c r="K976" s="8"/>
      <c r="L976" s="8"/>
      <c r="M976" s="8"/>
      <c r="N976" s="8"/>
      <c r="O976" s="8"/>
      <c r="P976" s="8"/>
      <c r="Q976" s="8"/>
      <c r="R976" s="8"/>
      <c r="S976" s="8"/>
      <c r="T976" s="8"/>
      <c r="U976" s="8"/>
      <c r="V976" s="8"/>
      <c r="W976" s="8"/>
      <c r="X976" s="8"/>
      <c r="Y976" s="8"/>
    </row>
    <row r="977">
      <c r="A977" s="8"/>
      <c r="B977" s="8"/>
      <c r="C977" s="8"/>
      <c r="D977" s="8"/>
      <c r="E977" s="8"/>
      <c r="F977" s="8"/>
      <c r="G977" s="8"/>
      <c r="H977" s="8"/>
      <c r="I977" s="8"/>
      <c r="J977" s="8"/>
      <c r="K977" s="8"/>
      <c r="L977" s="8"/>
      <c r="M977" s="8"/>
      <c r="N977" s="8"/>
      <c r="O977" s="8"/>
      <c r="P977" s="8"/>
      <c r="Q977" s="8"/>
      <c r="R977" s="8"/>
      <c r="S977" s="8"/>
      <c r="T977" s="8"/>
      <c r="U977" s="8"/>
      <c r="V977" s="8"/>
      <c r="W977" s="8"/>
      <c r="X977" s="8"/>
      <c r="Y977" s="8"/>
    </row>
    <row r="978">
      <c r="A978" s="8"/>
      <c r="B978" s="8"/>
      <c r="C978" s="8"/>
      <c r="D978" s="8"/>
      <c r="E978" s="8"/>
      <c r="F978" s="8"/>
      <c r="G978" s="8"/>
      <c r="H978" s="8"/>
      <c r="I978" s="8"/>
      <c r="J978" s="8"/>
      <c r="K978" s="8"/>
      <c r="L978" s="8"/>
      <c r="M978" s="8"/>
      <c r="N978" s="8"/>
      <c r="O978" s="8"/>
      <c r="P978" s="8"/>
      <c r="Q978" s="8"/>
      <c r="R978" s="8"/>
      <c r="S978" s="8"/>
      <c r="T978" s="8"/>
      <c r="U978" s="8"/>
      <c r="V978" s="8"/>
      <c r="W978" s="8"/>
      <c r="X978" s="8"/>
      <c r="Y978" s="8"/>
    </row>
    <row r="979">
      <c r="A979" s="8"/>
      <c r="B979" s="8"/>
      <c r="C979" s="8"/>
      <c r="D979" s="8"/>
      <c r="E979" s="8"/>
      <c r="F979" s="8"/>
      <c r="G979" s="8"/>
      <c r="H979" s="8"/>
      <c r="I979" s="8"/>
      <c r="J979" s="8"/>
      <c r="K979" s="8"/>
      <c r="L979" s="8"/>
      <c r="M979" s="8"/>
      <c r="N979" s="8"/>
      <c r="O979" s="8"/>
      <c r="P979" s="8"/>
      <c r="Q979" s="8"/>
      <c r="R979" s="8"/>
      <c r="S979" s="8"/>
      <c r="T979" s="8"/>
      <c r="U979" s="8"/>
      <c r="V979" s="8"/>
      <c r="W979" s="8"/>
      <c r="X979" s="8"/>
      <c r="Y979" s="8"/>
    </row>
    <row r="980">
      <c r="A980" s="8"/>
      <c r="B980" s="8"/>
      <c r="C980" s="8"/>
      <c r="D980" s="8"/>
      <c r="E980" s="8"/>
      <c r="F980" s="8"/>
      <c r="G980" s="8"/>
      <c r="H980" s="8"/>
      <c r="I980" s="8"/>
      <c r="J980" s="8"/>
      <c r="K980" s="8"/>
      <c r="L980" s="8"/>
      <c r="M980" s="8"/>
      <c r="N980" s="8"/>
      <c r="O980" s="8"/>
      <c r="P980" s="8"/>
      <c r="Q980" s="8"/>
      <c r="R980" s="8"/>
      <c r="S980" s="8"/>
      <c r="T980" s="8"/>
      <c r="U980" s="8"/>
      <c r="V980" s="8"/>
      <c r="W980" s="8"/>
      <c r="X980" s="8"/>
      <c r="Y980" s="8"/>
    </row>
    <row r="981">
      <c r="A981" s="8"/>
      <c r="B981" s="8"/>
      <c r="C981" s="8"/>
      <c r="D981" s="8"/>
      <c r="E981" s="8"/>
      <c r="F981" s="8"/>
      <c r="G981" s="8"/>
      <c r="H981" s="8"/>
      <c r="I981" s="8"/>
      <c r="J981" s="8"/>
      <c r="K981" s="8"/>
      <c r="L981" s="8"/>
      <c r="M981" s="8"/>
      <c r="N981" s="8"/>
      <c r="O981" s="8"/>
      <c r="P981" s="8"/>
      <c r="Q981" s="8"/>
      <c r="R981" s="8"/>
      <c r="S981" s="8"/>
      <c r="T981" s="8"/>
      <c r="U981" s="8"/>
      <c r="V981" s="8"/>
      <c r="W981" s="8"/>
      <c r="X981" s="8"/>
      <c r="Y981" s="8"/>
    </row>
    <row r="982">
      <c r="A982" s="8"/>
      <c r="B982" s="8"/>
      <c r="C982" s="8"/>
      <c r="D982" s="8"/>
      <c r="E982" s="8"/>
      <c r="F982" s="8"/>
      <c r="G982" s="8"/>
      <c r="H982" s="8"/>
      <c r="I982" s="8"/>
      <c r="J982" s="8"/>
      <c r="K982" s="8"/>
      <c r="L982" s="8"/>
      <c r="M982" s="8"/>
      <c r="N982" s="8"/>
      <c r="O982" s="8"/>
      <c r="P982" s="8"/>
      <c r="Q982" s="8"/>
      <c r="R982" s="8"/>
      <c r="S982" s="8"/>
      <c r="T982" s="8"/>
      <c r="U982" s="8"/>
      <c r="V982" s="8"/>
      <c r="W982" s="8"/>
      <c r="X982" s="8"/>
      <c r="Y982" s="8"/>
    </row>
    <row r="983">
      <c r="A983" s="8"/>
      <c r="B983" s="8"/>
      <c r="C983" s="8"/>
      <c r="D983" s="8"/>
      <c r="E983" s="8"/>
      <c r="F983" s="8"/>
      <c r="G983" s="8"/>
      <c r="H983" s="8"/>
      <c r="I983" s="8"/>
      <c r="J983" s="8"/>
      <c r="K983" s="8"/>
      <c r="L983" s="8"/>
      <c r="M983" s="8"/>
      <c r="N983" s="8"/>
      <c r="O983" s="8"/>
      <c r="P983" s="8"/>
      <c r="Q983" s="8"/>
      <c r="R983" s="8"/>
      <c r="S983" s="8"/>
      <c r="T983" s="8"/>
      <c r="U983" s="8"/>
      <c r="V983" s="8"/>
      <c r="W983" s="8"/>
      <c r="X983" s="8"/>
      <c r="Y983" s="8"/>
    </row>
    <row r="984">
      <c r="A984" s="8"/>
      <c r="B984" s="8"/>
      <c r="C984" s="8"/>
      <c r="D984" s="8"/>
      <c r="E984" s="8"/>
      <c r="F984" s="8"/>
      <c r="G984" s="8"/>
      <c r="H984" s="8"/>
      <c r="I984" s="8"/>
      <c r="J984" s="8"/>
      <c r="K984" s="8"/>
      <c r="L984" s="8"/>
      <c r="M984" s="8"/>
      <c r="N984" s="8"/>
      <c r="O984" s="8"/>
      <c r="P984" s="8"/>
      <c r="Q984" s="8"/>
      <c r="R984" s="8"/>
      <c r="S984" s="8"/>
      <c r="T984" s="8"/>
      <c r="U984" s="8"/>
      <c r="V984" s="8"/>
      <c r="W984" s="8"/>
      <c r="X984" s="8"/>
      <c r="Y984" s="8"/>
    </row>
    <row r="985">
      <c r="A985" s="8"/>
      <c r="B985" s="8"/>
      <c r="C985" s="8"/>
      <c r="D985" s="8"/>
      <c r="E985" s="8"/>
      <c r="F985" s="8"/>
      <c r="G985" s="8"/>
      <c r="H985" s="8"/>
      <c r="I985" s="8"/>
      <c r="J985" s="8"/>
      <c r="K985" s="8"/>
      <c r="L985" s="8"/>
      <c r="M985" s="8"/>
      <c r="N985" s="8"/>
      <c r="O985" s="8"/>
      <c r="P985" s="8"/>
      <c r="Q985" s="8"/>
      <c r="R985" s="8"/>
      <c r="S985" s="8"/>
      <c r="T985" s="8"/>
      <c r="U985" s="8"/>
      <c r="V985" s="8"/>
      <c r="W985" s="8"/>
      <c r="X985" s="8"/>
      <c r="Y985" s="8"/>
    </row>
    <row r="986">
      <c r="A986" s="8"/>
      <c r="B986" s="8"/>
      <c r="C986" s="8"/>
      <c r="D986" s="8"/>
      <c r="E986" s="8"/>
      <c r="F986" s="8"/>
      <c r="G986" s="8"/>
      <c r="H986" s="8"/>
      <c r="I986" s="8"/>
      <c r="J986" s="8"/>
      <c r="K986" s="8"/>
      <c r="L986" s="8"/>
      <c r="M986" s="8"/>
      <c r="N986" s="8"/>
      <c r="O986" s="8"/>
      <c r="P986" s="8"/>
      <c r="Q986" s="8"/>
      <c r="R986" s="8"/>
      <c r="S986" s="8"/>
      <c r="T986" s="8"/>
      <c r="U986" s="8"/>
      <c r="V986" s="8"/>
      <c r="W986" s="8"/>
      <c r="X986" s="8"/>
      <c r="Y986" s="8"/>
    </row>
    <row r="987">
      <c r="A987" s="8"/>
      <c r="B987" s="8"/>
      <c r="C987" s="8"/>
      <c r="D987" s="8"/>
      <c r="E987" s="8"/>
      <c r="F987" s="8"/>
      <c r="G987" s="8"/>
      <c r="H987" s="8"/>
      <c r="I987" s="8"/>
      <c r="J987" s="8"/>
      <c r="K987" s="8"/>
      <c r="L987" s="8"/>
      <c r="M987" s="8"/>
      <c r="N987" s="8"/>
      <c r="O987" s="8"/>
      <c r="P987" s="8"/>
      <c r="Q987" s="8"/>
      <c r="R987" s="8"/>
      <c r="S987" s="8"/>
      <c r="T987" s="8"/>
      <c r="U987" s="8"/>
      <c r="V987" s="8"/>
      <c r="W987" s="8"/>
      <c r="X987" s="8"/>
      <c r="Y987" s="8"/>
    </row>
    <row r="988">
      <c r="A988" s="8"/>
      <c r="B988" s="8"/>
      <c r="C988" s="8"/>
      <c r="D988" s="8"/>
      <c r="E988" s="8"/>
      <c r="F988" s="8"/>
      <c r="G988" s="8"/>
      <c r="H988" s="8"/>
      <c r="I988" s="8"/>
      <c r="J988" s="8"/>
      <c r="K988" s="8"/>
      <c r="L988" s="8"/>
      <c r="M988" s="8"/>
      <c r="N988" s="8"/>
      <c r="O988" s="8"/>
      <c r="P988" s="8"/>
      <c r="Q988" s="8"/>
      <c r="R988" s="8"/>
      <c r="S988" s="8"/>
      <c r="T988" s="8"/>
      <c r="U988" s="8"/>
      <c r="V988" s="8"/>
      <c r="W988" s="8"/>
      <c r="X988" s="8"/>
      <c r="Y988" s="8"/>
    </row>
    <row r="989">
      <c r="A989" s="8"/>
      <c r="B989" s="8"/>
      <c r="C989" s="8"/>
      <c r="D989" s="8"/>
      <c r="E989" s="8"/>
      <c r="F989" s="8"/>
      <c r="G989" s="8"/>
      <c r="H989" s="8"/>
      <c r="I989" s="8"/>
      <c r="J989" s="8"/>
      <c r="K989" s="8"/>
      <c r="L989" s="8"/>
      <c r="M989" s="8"/>
      <c r="N989" s="8"/>
      <c r="O989" s="8"/>
      <c r="P989" s="8"/>
      <c r="Q989" s="8"/>
      <c r="R989" s="8"/>
      <c r="S989" s="8"/>
      <c r="T989" s="8"/>
      <c r="U989" s="8"/>
      <c r="V989" s="8"/>
      <c r="W989" s="8"/>
      <c r="X989" s="8"/>
      <c r="Y989" s="8"/>
    </row>
    <row r="990">
      <c r="A990" s="8"/>
      <c r="B990" s="8"/>
      <c r="C990" s="8"/>
      <c r="D990" s="8"/>
      <c r="E990" s="8"/>
      <c r="F990" s="8"/>
      <c r="G990" s="8"/>
      <c r="H990" s="8"/>
      <c r="I990" s="8"/>
      <c r="J990" s="8"/>
      <c r="K990" s="8"/>
      <c r="L990" s="8"/>
      <c r="M990" s="8"/>
      <c r="N990" s="8"/>
      <c r="O990" s="8"/>
      <c r="P990" s="8"/>
      <c r="Q990" s="8"/>
      <c r="R990" s="8"/>
      <c r="S990" s="8"/>
      <c r="T990" s="8"/>
      <c r="U990" s="8"/>
      <c r="V990" s="8"/>
      <c r="W990" s="8"/>
      <c r="X990" s="8"/>
      <c r="Y990" s="8"/>
    </row>
    <row r="991">
      <c r="A991" s="8"/>
      <c r="B991" s="8"/>
      <c r="C991" s="8"/>
      <c r="D991" s="8"/>
      <c r="E991" s="8"/>
      <c r="F991" s="8"/>
      <c r="G991" s="8"/>
      <c r="H991" s="8"/>
      <c r="I991" s="8"/>
      <c r="J991" s="8"/>
      <c r="K991" s="8"/>
      <c r="L991" s="8"/>
      <c r="M991" s="8"/>
      <c r="N991" s="8"/>
      <c r="O991" s="8"/>
      <c r="P991" s="8"/>
      <c r="Q991" s="8"/>
      <c r="R991" s="8"/>
      <c r="S991" s="8"/>
      <c r="T991" s="8"/>
      <c r="U991" s="8"/>
      <c r="V991" s="8"/>
      <c r="W991" s="8"/>
      <c r="X991" s="8"/>
      <c r="Y991" s="8"/>
    </row>
    <row r="992">
      <c r="A992" s="8"/>
      <c r="B992" s="8"/>
      <c r="C992" s="8"/>
      <c r="D992" s="8"/>
      <c r="E992" s="8"/>
      <c r="F992" s="8"/>
      <c r="G992" s="8"/>
      <c r="H992" s="8"/>
      <c r="I992" s="8"/>
      <c r="J992" s="8"/>
      <c r="K992" s="8"/>
      <c r="L992" s="8"/>
      <c r="M992" s="8"/>
      <c r="N992" s="8"/>
      <c r="O992" s="8"/>
      <c r="P992" s="8"/>
      <c r="Q992" s="8"/>
      <c r="R992" s="8"/>
      <c r="S992" s="8"/>
      <c r="T992" s="8"/>
      <c r="U992" s="8"/>
      <c r="V992" s="8"/>
      <c r="W992" s="8"/>
      <c r="X992" s="8"/>
      <c r="Y992" s="8"/>
    </row>
    <row r="993">
      <c r="A993" s="8"/>
      <c r="B993" s="8"/>
      <c r="C993" s="8"/>
      <c r="D993" s="8"/>
      <c r="E993" s="8"/>
      <c r="F993" s="8"/>
      <c r="G993" s="8"/>
      <c r="H993" s="8"/>
      <c r="I993" s="8"/>
      <c r="J993" s="8"/>
      <c r="K993" s="8"/>
      <c r="L993" s="8"/>
      <c r="M993" s="8"/>
      <c r="N993" s="8"/>
      <c r="O993" s="8"/>
      <c r="P993" s="8"/>
      <c r="Q993" s="8"/>
      <c r="R993" s="8"/>
      <c r="S993" s="8"/>
      <c r="T993" s="8"/>
      <c r="U993" s="8"/>
      <c r="V993" s="8"/>
      <c r="W993" s="8"/>
      <c r="X993" s="8"/>
      <c r="Y993" s="8"/>
    </row>
    <row r="994">
      <c r="A994" s="8"/>
      <c r="B994" s="8"/>
      <c r="C994" s="8"/>
      <c r="D994" s="8"/>
      <c r="E994" s="8"/>
      <c r="F994" s="8"/>
      <c r="G994" s="8"/>
      <c r="H994" s="8"/>
      <c r="I994" s="8"/>
      <c r="J994" s="8"/>
      <c r="K994" s="8"/>
      <c r="L994" s="8"/>
      <c r="M994" s="8"/>
      <c r="N994" s="8"/>
      <c r="O994" s="8"/>
      <c r="P994" s="8"/>
      <c r="Q994" s="8"/>
      <c r="R994" s="8"/>
      <c r="S994" s="8"/>
      <c r="T994" s="8"/>
      <c r="U994" s="8"/>
      <c r="V994" s="8"/>
      <c r="W994" s="8"/>
      <c r="X994" s="8"/>
      <c r="Y994" s="8"/>
    </row>
    <row r="995">
      <c r="A995" s="8"/>
      <c r="B995" s="8"/>
      <c r="C995" s="8"/>
      <c r="D995" s="8"/>
      <c r="E995" s="8"/>
      <c r="F995" s="8"/>
      <c r="G995" s="8"/>
      <c r="H995" s="8"/>
      <c r="I995" s="8"/>
      <c r="J995" s="8"/>
      <c r="K995" s="8"/>
      <c r="L995" s="8"/>
      <c r="M995" s="8"/>
      <c r="N995" s="8"/>
      <c r="O995" s="8"/>
      <c r="P995" s="8"/>
      <c r="Q995" s="8"/>
      <c r="R995" s="8"/>
      <c r="S995" s="8"/>
      <c r="T995" s="8"/>
      <c r="U995" s="8"/>
      <c r="V995" s="8"/>
      <c r="W995" s="8"/>
      <c r="X995" s="8"/>
      <c r="Y995" s="8"/>
    </row>
    <row r="996">
      <c r="A996" s="8"/>
      <c r="B996" s="8"/>
      <c r="C996" s="8"/>
      <c r="D996" s="8"/>
      <c r="E996" s="8"/>
      <c r="F996" s="8"/>
      <c r="G996" s="8"/>
      <c r="H996" s="8"/>
      <c r="I996" s="8"/>
      <c r="J996" s="8"/>
      <c r="K996" s="8"/>
      <c r="L996" s="8"/>
      <c r="M996" s="8"/>
      <c r="N996" s="8"/>
      <c r="O996" s="8"/>
      <c r="P996" s="8"/>
      <c r="Q996" s="8"/>
      <c r="R996" s="8"/>
      <c r="S996" s="8"/>
      <c r="T996" s="8"/>
      <c r="U996" s="8"/>
      <c r="V996" s="8"/>
      <c r="W996" s="8"/>
      <c r="X996" s="8"/>
      <c r="Y996" s="8"/>
    </row>
    <row r="997">
      <c r="A997" s="8"/>
      <c r="B997" s="8"/>
      <c r="C997" s="8"/>
      <c r="D997" s="8"/>
      <c r="E997" s="8"/>
      <c r="F997" s="8"/>
      <c r="G997" s="8"/>
      <c r="H997" s="8"/>
      <c r="I997" s="8"/>
      <c r="J997" s="8"/>
      <c r="K997" s="8"/>
      <c r="L997" s="8"/>
      <c r="M997" s="8"/>
      <c r="N997" s="8"/>
      <c r="O997" s="8"/>
      <c r="P997" s="8"/>
      <c r="Q997" s="8"/>
      <c r="R997" s="8"/>
      <c r="S997" s="8"/>
      <c r="T997" s="8"/>
      <c r="U997" s="8"/>
      <c r="V997" s="8"/>
      <c r="W997" s="8"/>
      <c r="X997" s="8"/>
      <c r="Y997" s="8"/>
    </row>
    <row r="998">
      <c r="A998" s="8"/>
      <c r="B998" s="8"/>
      <c r="C998" s="8"/>
      <c r="D998" s="8"/>
      <c r="E998" s="8"/>
      <c r="F998" s="8"/>
      <c r="G998" s="8"/>
      <c r="H998" s="8"/>
      <c r="I998" s="8"/>
      <c r="J998" s="8"/>
      <c r="K998" s="8"/>
      <c r="L998" s="8"/>
      <c r="M998" s="8"/>
      <c r="N998" s="8"/>
      <c r="O998" s="8"/>
      <c r="P998" s="8"/>
      <c r="Q998" s="8"/>
      <c r="R998" s="8"/>
      <c r="S998" s="8"/>
      <c r="T998" s="8"/>
      <c r="U998" s="8"/>
      <c r="V998" s="8"/>
      <c r="W998" s="8"/>
      <c r="X998" s="8"/>
      <c r="Y998" s="8"/>
    </row>
    <row r="999">
      <c r="A999" s="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c r="A1215" s="8"/>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c r="A1216" s="8"/>
      <c r="B1216" s="8"/>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c r="A1217" s="8"/>
      <c r="B1217" s="8"/>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c r="A1218" s="8"/>
      <c r="B1218" s="8"/>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c r="A1219" s="8"/>
      <c r="B1219" s="8"/>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c r="A1220" s="8"/>
      <c r="B1220" s="8"/>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c r="A1222" s="8"/>
      <c r="B1222" s="8"/>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c r="A1223" s="8"/>
      <c r="B1223" s="8"/>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c r="A1224" s="8"/>
      <c r="B1224" s="8"/>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c r="A1225" s="8"/>
      <c r="B1225" s="8"/>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c r="A1226" s="8"/>
      <c r="B1226" s="8"/>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c r="A1227" s="8"/>
      <c r="B1227" s="8"/>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c r="A1228" s="8"/>
      <c r="B1228" s="8"/>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c r="A1229" s="8"/>
      <c r="B1229" s="8"/>
      <c r="C1229" s="8"/>
      <c r="D1229" s="8"/>
      <c r="E1229" s="8"/>
      <c r="F1229" s="8"/>
      <c r="G1229" s="8"/>
      <c r="H1229" s="8"/>
      <c r="I1229" s="8"/>
      <c r="J1229" s="8"/>
      <c r="K1229" s="8"/>
      <c r="L1229" s="8"/>
      <c r="M1229" s="8"/>
      <c r="N1229" s="8"/>
      <c r="O1229" s="8"/>
      <c r="P1229" s="8"/>
      <c r="Q1229" s="8"/>
      <c r="R1229" s="8"/>
      <c r="S1229" s="8"/>
      <c r="T1229" s="8"/>
      <c r="U1229" s="8"/>
      <c r="V1229" s="8"/>
      <c r="W1229" s="8"/>
      <c r="X1229" s="8"/>
      <c r="Y1229" s="8"/>
    </row>
    <row r="1230">
      <c r="A1230" s="8"/>
      <c r="B1230" s="8"/>
      <c r="C1230" s="8"/>
      <c r="D1230" s="8"/>
      <c r="E1230" s="8"/>
      <c r="F1230" s="8"/>
      <c r="G1230" s="8"/>
      <c r="H1230" s="8"/>
      <c r="I1230" s="8"/>
      <c r="J1230" s="8"/>
      <c r="K1230" s="8"/>
      <c r="L1230" s="8"/>
      <c r="M1230" s="8"/>
      <c r="N1230" s="8"/>
      <c r="O1230" s="8"/>
      <c r="P1230" s="8"/>
      <c r="Q1230" s="8"/>
      <c r="R1230" s="8"/>
      <c r="S1230" s="8"/>
      <c r="T1230" s="8"/>
      <c r="U1230" s="8"/>
      <c r="V1230" s="8"/>
      <c r="W1230" s="8"/>
      <c r="X1230" s="8"/>
      <c r="Y1230" s="8"/>
    </row>
    <row r="1231">
      <c r="A1231" s="8"/>
      <c r="B1231" s="8"/>
      <c r="C1231" s="8"/>
      <c r="D1231" s="8"/>
      <c r="E1231" s="8"/>
      <c r="F1231" s="8"/>
      <c r="G1231" s="8"/>
      <c r="H1231" s="8"/>
      <c r="I1231" s="8"/>
      <c r="J1231" s="8"/>
      <c r="K1231" s="8"/>
      <c r="L1231" s="8"/>
      <c r="M1231" s="8"/>
      <c r="N1231" s="8"/>
      <c r="O1231" s="8"/>
      <c r="P1231" s="8"/>
      <c r="Q1231" s="8"/>
      <c r="R1231" s="8"/>
      <c r="S1231" s="8"/>
      <c r="T1231" s="8"/>
      <c r="U1231" s="8"/>
      <c r="V1231" s="8"/>
      <c r="W1231" s="8"/>
      <c r="X1231" s="8"/>
      <c r="Y1231" s="8"/>
    </row>
    <row r="1232">
      <c r="A1232" s="8"/>
      <c r="B1232" s="8"/>
      <c r="C1232" s="8"/>
      <c r="D1232" s="8"/>
      <c r="E1232" s="8"/>
      <c r="F1232" s="8"/>
      <c r="G1232" s="8"/>
      <c r="H1232" s="8"/>
      <c r="I1232" s="8"/>
      <c r="J1232" s="8"/>
      <c r="K1232" s="8"/>
      <c r="L1232" s="8"/>
      <c r="M1232" s="8"/>
      <c r="N1232" s="8"/>
      <c r="O1232" s="8"/>
      <c r="P1232" s="8"/>
      <c r="Q1232" s="8"/>
      <c r="R1232" s="8"/>
      <c r="S1232" s="8"/>
      <c r="T1232" s="8"/>
      <c r="U1232" s="8"/>
      <c r="V1232" s="8"/>
      <c r="W1232" s="8"/>
      <c r="X1232" s="8"/>
      <c r="Y1232" s="8"/>
    </row>
    <row r="1233">
      <c r="A1233" s="8"/>
      <c r="B1233" s="8"/>
      <c r="C1233" s="8"/>
      <c r="D1233" s="8"/>
      <c r="E1233" s="8"/>
      <c r="F1233" s="8"/>
      <c r="G1233" s="8"/>
      <c r="H1233" s="8"/>
      <c r="I1233" s="8"/>
      <c r="J1233" s="8"/>
      <c r="K1233" s="8"/>
      <c r="L1233" s="8"/>
      <c r="M1233" s="8"/>
      <c r="N1233" s="8"/>
      <c r="O1233" s="8"/>
      <c r="P1233" s="8"/>
      <c r="Q1233" s="8"/>
      <c r="R1233" s="8"/>
      <c r="S1233" s="8"/>
      <c r="T1233" s="8"/>
      <c r="U1233" s="8"/>
      <c r="V1233" s="8"/>
      <c r="W1233" s="8"/>
      <c r="X1233" s="8"/>
      <c r="Y1233" s="8"/>
    </row>
    <row r="1234">
      <c r="A1234" s="8"/>
      <c r="B1234" s="8"/>
      <c r="C1234" s="8"/>
      <c r="D1234" s="8"/>
      <c r="E1234" s="8"/>
      <c r="F1234" s="8"/>
      <c r="G1234" s="8"/>
      <c r="H1234" s="8"/>
      <c r="I1234" s="8"/>
      <c r="J1234" s="8"/>
      <c r="K1234" s="8"/>
      <c r="L1234" s="8"/>
      <c r="M1234" s="8"/>
      <c r="N1234" s="8"/>
      <c r="O1234" s="8"/>
      <c r="P1234" s="8"/>
      <c r="Q1234" s="8"/>
      <c r="R1234" s="8"/>
      <c r="S1234" s="8"/>
      <c r="T1234" s="8"/>
      <c r="U1234" s="8"/>
      <c r="V1234" s="8"/>
      <c r="W1234" s="8"/>
      <c r="X1234" s="8"/>
      <c r="Y1234" s="8"/>
    </row>
    <row r="1235">
      <c r="A1235" s="8"/>
      <c r="B1235" s="8"/>
      <c r="C1235" s="8"/>
      <c r="D1235" s="8"/>
      <c r="E1235" s="8"/>
      <c r="F1235" s="8"/>
      <c r="G1235" s="8"/>
      <c r="H1235" s="8"/>
      <c r="I1235" s="8"/>
      <c r="J1235" s="8"/>
      <c r="K1235" s="8"/>
      <c r="L1235" s="8"/>
      <c r="M1235" s="8"/>
      <c r="N1235" s="8"/>
      <c r="O1235" s="8"/>
      <c r="P1235" s="8"/>
      <c r="Q1235" s="8"/>
      <c r="R1235" s="8"/>
      <c r="S1235" s="8"/>
      <c r="T1235" s="8"/>
      <c r="U1235" s="8"/>
      <c r="V1235" s="8"/>
      <c r="W1235" s="8"/>
      <c r="X1235" s="8"/>
      <c r="Y1235" s="8"/>
    </row>
    <row r="1236">
      <c r="A1236" s="8"/>
      <c r="B1236" s="8"/>
      <c r="C1236" s="8"/>
      <c r="D1236" s="8"/>
      <c r="E1236" s="8"/>
      <c r="F1236" s="8"/>
      <c r="G1236" s="8"/>
      <c r="H1236" s="8"/>
      <c r="I1236" s="8"/>
      <c r="J1236" s="8"/>
      <c r="K1236" s="8"/>
      <c r="L1236" s="8"/>
      <c r="M1236" s="8"/>
      <c r="N1236" s="8"/>
      <c r="O1236" s="8"/>
      <c r="P1236" s="8"/>
      <c r="Q1236" s="8"/>
      <c r="R1236" s="8"/>
      <c r="S1236" s="8"/>
      <c r="T1236" s="8"/>
      <c r="U1236" s="8"/>
      <c r="V1236" s="8"/>
      <c r="W1236" s="8"/>
      <c r="X1236" s="8"/>
      <c r="Y1236" s="8"/>
    </row>
    <row r="1237">
      <c r="A1237" s="8"/>
      <c r="B1237" s="8"/>
      <c r="C1237" s="8"/>
      <c r="D1237" s="8"/>
      <c r="E1237" s="8"/>
      <c r="F1237" s="8"/>
      <c r="G1237" s="8"/>
      <c r="H1237" s="8"/>
      <c r="I1237" s="8"/>
      <c r="J1237" s="8"/>
      <c r="K1237" s="8"/>
      <c r="L1237" s="8"/>
      <c r="M1237" s="8"/>
      <c r="N1237" s="8"/>
      <c r="O1237" s="8"/>
      <c r="P1237" s="8"/>
      <c r="Q1237" s="8"/>
      <c r="R1237" s="8"/>
      <c r="S1237" s="8"/>
      <c r="T1237" s="8"/>
      <c r="U1237" s="8"/>
      <c r="V1237" s="8"/>
      <c r="W1237" s="8"/>
      <c r="X1237" s="8"/>
      <c r="Y1237" s="8"/>
    </row>
    <row r="1238">
      <c r="A1238" s="8"/>
      <c r="B1238" s="8"/>
      <c r="C1238" s="8"/>
      <c r="D1238" s="8"/>
      <c r="E1238" s="8"/>
      <c r="F1238" s="8"/>
      <c r="G1238" s="8"/>
      <c r="H1238" s="8"/>
      <c r="I1238" s="8"/>
      <c r="J1238" s="8"/>
      <c r="K1238" s="8"/>
      <c r="L1238" s="8"/>
      <c r="M1238" s="8"/>
      <c r="N1238" s="8"/>
      <c r="O1238" s="8"/>
      <c r="P1238" s="8"/>
      <c r="Q1238" s="8"/>
      <c r="R1238" s="8"/>
      <c r="S1238" s="8"/>
      <c r="T1238" s="8"/>
      <c r="U1238" s="8"/>
      <c r="V1238" s="8"/>
      <c r="W1238" s="8"/>
      <c r="X1238" s="8"/>
      <c r="Y1238" s="8"/>
    </row>
    <row r="1239">
      <c r="A1239" s="8"/>
      <c r="B1239" s="8"/>
      <c r="C1239" s="8"/>
      <c r="D1239" s="8"/>
      <c r="E1239" s="8"/>
      <c r="F1239" s="8"/>
      <c r="G1239" s="8"/>
      <c r="H1239" s="8"/>
      <c r="I1239" s="8"/>
      <c r="J1239" s="8"/>
      <c r="K1239" s="8"/>
      <c r="L1239" s="8"/>
      <c r="M1239" s="8"/>
      <c r="N1239" s="8"/>
      <c r="O1239" s="8"/>
      <c r="P1239" s="8"/>
      <c r="Q1239" s="8"/>
      <c r="R1239" s="8"/>
      <c r="S1239" s="8"/>
      <c r="T1239" s="8"/>
      <c r="U1239" s="8"/>
      <c r="V1239" s="8"/>
      <c r="W1239" s="8"/>
      <c r="X1239" s="8"/>
      <c r="Y1239" s="8"/>
    </row>
    <row r="1240">
      <c r="A1240" s="8"/>
      <c r="B1240" s="8"/>
      <c r="C1240" s="8"/>
      <c r="D1240" s="8"/>
      <c r="E1240" s="8"/>
      <c r="F1240" s="8"/>
      <c r="G1240" s="8"/>
      <c r="H1240" s="8"/>
      <c r="I1240" s="8"/>
      <c r="J1240" s="8"/>
      <c r="K1240" s="8"/>
      <c r="L1240" s="8"/>
      <c r="M1240" s="8"/>
      <c r="N1240" s="8"/>
      <c r="O1240" s="8"/>
      <c r="P1240" s="8"/>
      <c r="Q1240" s="8"/>
      <c r="R1240" s="8"/>
      <c r="S1240" s="8"/>
      <c r="T1240" s="8"/>
      <c r="U1240" s="8"/>
      <c r="V1240" s="8"/>
      <c r="W1240" s="8"/>
      <c r="X1240" s="8"/>
      <c r="Y1240" s="8"/>
    </row>
    <row r="1241">
      <c r="A1241" s="8"/>
      <c r="B1241" s="8"/>
      <c r="C1241" s="8"/>
      <c r="D1241" s="8"/>
      <c r="E1241" s="8"/>
      <c r="F1241" s="8"/>
      <c r="G1241" s="8"/>
      <c r="H1241" s="8"/>
      <c r="I1241" s="8"/>
      <c r="J1241" s="8"/>
      <c r="K1241" s="8"/>
      <c r="L1241" s="8"/>
      <c r="M1241" s="8"/>
      <c r="N1241" s="8"/>
      <c r="O1241" s="8"/>
      <c r="P1241" s="8"/>
      <c r="Q1241" s="8"/>
      <c r="R1241" s="8"/>
      <c r="S1241" s="8"/>
      <c r="T1241" s="8"/>
      <c r="U1241" s="8"/>
      <c r="V1241" s="8"/>
      <c r="W1241" s="8"/>
      <c r="X1241" s="8"/>
      <c r="Y1241" s="8"/>
    </row>
    <row r="1242">
      <c r="A1242" s="8"/>
      <c r="B1242" s="8"/>
      <c r="C1242" s="8"/>
      <c r="D1242" s="8"/>
      <c r="E1242" s="8"/>
      <c r="F1242" s="8"/>
      <c r="G1242" s="8"/>
      <c r="H1242" s="8"/>
      <c r="I1242" s="8"/>
      <c r="J1242" s="8"/>
      <c r="K1242" s="8"/>
      <c r="L1242" s="8"/>
      <c r="M1242" s="8"/>
      <c r="N1242" s="8"/>
      <c r="O1242" s="8"/>
      <c r="P1242" s="8"/>
      <c r="Q1242" s="8"/>
      <c r="R1242" s="8"/>
      <c r="S1242" s="8"/>
      <c r="T1242" s="8"/>
      <c r="U1242" s="8"/>
      <c r="V1242" s="8"/>
      <c r="W1242" s="8"/>
      <c r="X1242" s="8"/>
      <c r="Y1242" s="8"/>
    </row>
    <row r="1243">
      <c r="A1243" s="8"/>
      <c r="B1243" s="8"/>
      <c r="C1243" s="8"/>
      <c r="D1243" s="8"/>
      <c r="E1243" s="8"/>
      <c r="F1243" s="8"/>
      <c r="G1243" s="8"/>
      <c r="H1243" s="8"/>
      <c r="I1243" s="8"/>
      <c r="J1243" s="8"/>
      <c r="K1243" s="8"/>
      <c r="L1243" s="8"/>
      <c r="M1243" s="8"/>
      <c r="N1243" s="8"/>
      <c r="O1243" s="8"/>
      <c r="P1243" s="8"/>
      <c r="Q1243" s="8"/>
      <c r="R1243" s="8"/>
      <c r="S1243" s="8"/>
      <c r="T1243" s="8"/>
      <c r="U1243" s="8"/>
      <c r="V1243" s="8"/>
      <c r="W1243" s="8"/>
      <c r="X1243" s="8"/>
      <c r="Y1243" s="8"/>
    </row>
    <row r="1244">
      <c r="A1244" s="8"/>
      <c r="B1244" s="8"/>
      <c r="C1244" s="8"/>
      <c r="D1244" s="8"/>
      <c r="E1244" s="8"/>
      <c r="F1244" s="8"/>
      <c r="G1244" s="8"/>
      <c r="H1244" s="8"/>
      <c r="I1244" s="8"/>
      <c r="J1244" s="8"/>
      <c r="K1244" s="8"/>
      <c r="L1244" s="8"/>
      <c r="M1244" s="8"/>
      <c r="N1244" s="8"/>
      <c r="O1244" s="8"/>
      <c r="P1244" s="8"/>
      <c r="Q1244" s="8"/>
      <c r="R1244" s="8"/>
      <c r="S1244" s="8"/>
      <c r="T1244" s="8"/>
      <c r="U1244" s="8"/>
      <c r="V1244" s="8"/>
      <c r="W1244" s="8"/>
      <c r="X1244" s="8"/>
      <c r="Y1244" s="8"/>
    </row>
    <row r="1245">
      <c r="A1245" s="8"/>
      <c r="B1245" s="8"/>
      <c r="C1245" s="8"/>
      <c r="D1245" s="8"/>
      <c r="E1245" s="8"/>
      <c r="F1245" s="8"/>
      <c r="G1245" s="8"/>
      <c r="H1245" s="8"/>
      <c r="I1245" s="8"/>
      <c r="J1245" s="8"/>
      <c r="K1245" s="8"/>
      <c r="L1245" s="8"/>
      <c r="M1245" s="8"/>
      <c r="N1245" s="8"/>
      <c r="O1245" s="8"/>
      <c r="P1245" s="8"/>
      <c r="Q1245" s="8"/>
      <c r="R1245" s="8"/>
      <c r="S1245" s="8"/>
      <c r="T1245" s="8"/>
      <c r="U1245" s="8"/>
      <c r="V1245" s="8"/>
      <c r="W1245" s="8"/>
      <c r="X1245" s="8"/>
      <c r="Y1245" s="8"/>
    </row>
    <row r="1246">
      <c r="A1246" s="8"/>
      <c r="B1246" s="8"/>
      <c r="C1246" s="8"/>
      <c r="D1246" s="8"/>
      <c r="E1246" s="8"/>
      <c r="F1246" s="8"/>
      <c r="G1246" s="8"/>
      <c r="H1246" s="8"/>
      <c r="I1246" s="8"/>
      <c r="J1246" s="8"/>
      <c r="K1246" s="8"/>
      <c r="L1246" s="8"/>
      <c r="M1246" s="8"/>
      <c r="N1246" s="8"/>
      <c r="O1246" s="8"/>
      <c r="P1246" s="8"/>
      <c r="Q1246" s="8"/>
      <c r="R1246" s="8"/>
      <c r="S1246" s="8"/>
      <c r="T1246" s="8"/>
      <c r="U1246" s="8"/>
      <c r="V1246" s="8"/>
      <c r="W1246" s="8"/>
      <c r="X1246" s="8"/>
      <c r="Y1246" s="8"/>
    </row>
    <row r="1247">
      <c r="A1247" s="8"/>
      <c r="B1247" s="8"/>
      <c r="C1247" s="8"/>
      <c r="D1247" s="8"/>
      <c r="E1247" s="8"/>
      <c r="F1247" s="8"/>
      <c r="G1247" s="8"/>
      <c r="H1247" s="8"/>
      <c r="I1247" s="8"/>
      <c r="J1247" s="8"/>
      <c r="K1247" s="8"/>
      <c r="L1247" s="8"/>
      <c r="M1247" s="8"/>
      <c r="N1247" s="8"/>
      <c r="O1247" s="8"/>
      <c r="P1247" s="8"/>
      <c r="Q1247" s="8"/>
      <c r="R1247" s="8"/>
      <c r="S1247" s="8"/>
      <c r="T1247" s="8"/>
      <c r="U1247" s="8"/>
      <c r="V1247" s="8"/>
      <c r="W1247" s="8"/>
      <c r="X1247" s="8"/>
      <c r="Y1247" s="8"/>
    </row>
    <row r="1248">
      <c r="A1248" s="8"/>
      <c r="B1248" s="8"/>
      <c r="C1248" s="8"/>
      <c r="D1248" s="8"/>
      <c r="E1248" s="8"/>
      <c r="F1248" s="8"/>
      <c r="G1248" s="8"/>
      <c r="H1248" s="8"/>
      <c r="I1248" s="8"/>
      <c r="J1248" s="8"/>
      <c r="K1248" s="8"/>
      <c r="L1248" s="8"/>
      <c r="M1248" s="8"/>
      <c r="N1248" s="8"/>
      <c r="O1248" s="8"/>
      <c r="P1248" s="8"/>
      <c r="Q1248" s="8"/>
      <c r="R1248" s="8"/>
      <c r="S1248" s="8"/>
      <c r="T1248" s="8"/>
      <c r="U1248" s="8"/>
      <c r="V1248" s="8"/>
      <c r="W1248" s="8"/>
      <c r="X1248" s="8"/>
      <c r="Y1248" s="8"/>
    </row>
    <row r="1249">
      <c r="A1249" s="8"/>
      <c r="B1249" s="8"/>
      <c r="C1249" s="8"/>
      <c r="D1249" s="8"/>
      <c r="E1249" s="8"/>
      <c r="F1249" s="8"/>
      <c r="G1249" s="8"/>
      <c r="H1249" s="8"/>
      <c r="I1249" s="8"/>
      <c r="J1249" s="8"/>
      <c r="K1249" s="8"/>
      <c r="L1249" s="8"/>
      <c r="M1249" s="8"/>
      <c r="N1249" s="8"/>
      <c r="O1249" s="8"/>
      <c r="P1249" s="8"/>
      <c r="Q1249" s="8"/>
      <c r="R1249" s="8"/>
      <c r="S1249" s="8"/>
      <c r="T1249" s="8"/>
      <c r="U1249" s="8"/>
      <c r="V1249" s="8"/>
      <c r="W1249" s="8"/>
      <c r="X1249" s="8"/>
      <c r="Y1249" s="8"/>
    </row>
    <row r="1250">
      <c r="A1250" s="8"/>
      <c r="B1250" s="8"/>
      <c r="C1250" s="8"/>
      <c r="D1250" s="8"/>
      <c r="E1250" s="8"/>
      <c r="F1250" s="8"/>
      <c r="G1250" s="8"/>
      <c r="H1250" s="8"/>
      <c r="I1250" s="8"/>
      <c r="J1250" s="8"/>
      <c r="K1250" s="8"/>
      <c r="L1250" s="8"/>
      <c r="M1250" s="8"/>
      <c r="N1250" s="8"/>
      <c r="O1250" s="8"/>
      <c r="P1250" s="8"/>
      <c r="Q1250" s="8"/>
      <c r="R1250" s="8"/>
      <c r="S1250" s="8"/>
      <c r="T1250" s="8"/>
      <c r="U1250" s="8"/>
      <c r="V1250" s="8"/>
      <c r="W1250" s="8"/>
      <c r="X1250" s="8"/>
      <c r="Y1250" s="8"/>
    </row>
    <row r="1251">
      <c r="A1251" s="8"/>
      <c r="B1251" s="8"/>
      <c r="C1251" s="8"/>
      <c r="D1251" s="8"/>
      <c r="E1251" s="8"/>
      <c r="F1251" s="8"/>
      <c r="G1251" s="8"/>
      <c r="H1251" s="8"/>
      <c r="I1251" s="8"/>
      <c r="J1251" s="8"/>
      <c r="K1251" s="8"/>
      <c r="L1251" s="8"/>
      <c r="M1251" s="8"/>
      <c r="N1251" s="8"/>
      <c r="O1251" s="8"/>
      <c r="P1251" s="8"/>
      <c r="Q1251" s="8"/>
      <c r="R1251" s="8"/>
      <c r="S1251" s="8"/>
      <c r="T1251" s="8"/>
      <c r="U1251" s="8"/>
      <c r="V1251" s="8"/>
      <c r="W1251" s="8"/>
      <c r="X1251" s="8"/>
      <c r="Y1251" s="8"/>
    </row>
    <row r="1252">
      <c r="A1252" s="8"/>
      <c r="B1252" s="8"/>
      <c r="C1252" s="8"/>
      <c r="D1252" s="8"/>
      <c r="E1252" s="8"/>
      <c r="F1252" s="8"/>
      <c r="G1252" s="8"/>
      <c r="H1252" s="8"/>
      <c r="I1252" s="8"/>
      <c r="J1252" s="8"/>
      <c r="K1252" s="8"/>
      <c r="L1252" s="8"/>
      <c r="M1252" s="8"/>
      <c r="N1252" s="8"/>
      <c r="O1252" s="8"/>
      <c r="P1252" s="8"/>
      <c r="Q1252" s="8"/>
      <c r="R1252" s="8"/>
      <c r="S1252" s="8"/>
      <c r="T1252" s="8"/>
      <c r="U1252" s="8"/>
      <c r="V1252" s="8"/>
      <c r="W1252" s="8"/>
      <c r="X1252" s="8"/>
      <c r="Y1252" s="8"/>
    </row>
    <row r="1253">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c r="Y1253" s="8"/>
    </row>
    <row r="1254">
      <c r="A1254" s="8"/>
      <c r="B1254" s="8"/>
      <c r="C1254" s="8"/>
      <c r="D1254" s="8"/>
      <c r="E1254" s="8"/>
      <c r="F1254" s="8"/>
      <c r="G1254" s="8"/>
      <c r="H1254" s="8"/>
      <c r="I1254" s="8"/>
      <c r="J1254" s="8"/>
      <c r="K1254" s="8"/>
      <c r="L1254" s="8"/>
      <c r="M1254" s="8"/>
      <c r="N1254" s="8"/>
      <c r="O1254" s="8"/>
      <c r="P1254" s="8"/>
      <c r="Q1254" s="8"/>
      <c r="R1254" s="8"/>
      <c r="S1254" s="8"/>
      <c r="T1254" s="8"/>
      <c r="U1254" s="8"/>
      <c r="V1254" s="8"/>
      <c r="W1254" s="8"/>
      <c r="X1254" s="8"/>
      <c r="Y1254" s="8"/>
    </row>
    <row r="1255">
      <c r="A1255" s="8"/>
      <c r="B1255" s="8"/>
      <c r="C1255" s="8"/>
      <c r="D1255" s="8"/>
      <c r="E1255" s="8"/>
      <c r="F1255" s="8"/>
      <c r="G1255" s="8"/>
      <c r="H1255" s="8"/>
      <c r="I1255" s="8"/>
      <c r="J1255" s="8"/>
      <c r="K1255" s="8"/>
      <c r="L1255" s="8"/>
      <c r="M1255" s="8"/>
      <c r="N1255" s="8"/>
      <c r="O1255" s="8"/>
      <c r="P1255" s="8"/>
      <c r="Q1255" s="8"/>
      <c r="R1255" s="8"/>
      <c r="S1255" s="8"/>
      <c r="T1255" s="8"/>
      <c r="U1255" s="8"/>
      <c r="V1255" s="8"/>
      <c r="W1255" s="8"/>
      <c r="X1255" s="8"/>
      <c r="Y1255" s="8"/>
    </row>
    <row r="1256">
      <c r="A1256" s="8"/>
      <c r="B1256" s="8"/>
      <c r="C1256" s="8"/>
      <c r="D1256" s="8"/>
      <c r="E1256" s="8"/>
      <c r="F1256" s="8"/>
      <c r="G1256" s="8"/>
      <c r="H1256" s="8"/>
      <c r="I1256" s="8"/>
      <c r="J1256" s="8"/>
      <c r="K1256" s="8"/>
      <c r="L1256" s="8"/>
      <c r="M1256" s="8"/>
      <c r="N1256" s="8"/>
      <c r="O1256" s="8"/>
      <c r="P1256" s="8"/>
      <c r="Q1256" s="8"/>
      <c r="R1256" s="8"/>
      <c r="S1256" s="8"/>
      <c r="T1256" s="8"/>
      <c r="U1256" s="8"/>
      <c r="V1256" s="8"/>
      <c r="W1256" s="8"/>
      <c r="X1256" s="8"/>
      <c r="Y1256" s="8"/>
    </row>
    <row r="1257">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c r="Y1257" s="8"/>
    </row>
    <row r="1258">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c r="Y1258" s="8"/>
    </row>
    <row r="1259">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c r="Y1259" s="8"/>
    </row>
    <row r="1260">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c r="Y1260" s="8"/>
    </row>
    <row r="1261">
      <c r="A1261" s="8"/>
      <c r="B1261" s="8"/>
      <c r="C1261" s="8"/>
      <c r="D1261" s="8"/>
      <c r="E1261" s="8"/>
      <c r="F1261" s="8"/>
      <c r="G1261" s="8"/>
      <c r="H1261" s="8"/>
      <c r="I1261" s="8"/>
      <c r="J1261" s="8"/>
      <c r="K1261" s="8"/>
      <c r="L1261" s="8"/>
      <c r="M1261" s="8"/>
      <c r="N1261" s="8"/>
      <c r="O1261" s="8"/>
      <c r="P1261" s="8"/>
      <c r="Q1261" s="8"/>
      <c r="R1261" s="8"/>
      <c r="S1261" s="8"/>
      <c r="T1261" s="8"/>
      <c r="U1261" s="8"/>
      <c r="V1261" s="8"/>
      <c r="W1261" s="8"/>
      <c r="X1261" s="8"/>
      <c r="Y1261" s="8"/>
    </row>
    <row r="1262">
      <c r="A1262" s="8"/>
      <c r="B1262" s="8"/>
      <c r="C1262" s="8"/>
      <c r="D1262" s="8"/>
      <c r="E1262" s="8"/>
      <c r="F1262" s="8"/>
      <c r="G1262" s="8"/>
      <c r="H1262" s="8"/>
      <c r="I1262" s="8"/>
      <c r="J1262" s="8"/>
      <c r="K1262" s="8"/>
      <c r="L1262" s="8"/>
      <c r="M1262" s="8"/>
      <c r="N1262" s="8"/>
      <c r="O1262" s="8"/>
      <c r="P1262" s="8"/>
      <c r="Q1262" s="8"/>
      <c r="R1262" s="8"/>
      <c r="S1262" s="8"/>
      <c r="T1262" s="8"/>
      <c r="U1262" s="8"/>
      <c r="V1262" s="8"/>
      <c r="W1262" s="8"/>
      <c r="X1262" s="8"/>
      <c r="Y1262" s="8"/>
    </row>
    <row r="1263">
      <c r="A1263" s="8"/>
      <c r="B1263" s="8"/>
      <c r="C1263" s="8"/>
      <c r="D1263" s="8"/>
      <c r="E1263" s="8"/>
      <c r="F1263" s="8"/>
      <c r="G1263" s="8"/>
      <c r="H1263" s="8"/>
      <c r="I1263" s="8"/>
      <c r="J1263" s="8"/>
      <c r="K1263" s="8"/>
      <c r="L1263" s="8"/>
      <c r="M1263" s="8"/>
      <c r="N1263" s="8"/>
      <c r="O1263" s="8"/>
      <c r="P1263" s="8"/>
      <c r="Q1263" s="8"/>
      <c r="R1263" s="8"/>
      <c r="S1263" s="8"/>
      <c r="T1263" s="8"/>
      <c r="U1263" s="8"/>
      <c r="V1263" s="8"/>
      <c r="W1263" s="8"/>
      <c r="X1263" s="8"/>
      <c r="Y1263" s="8"/>
    </row>
    <row r="1264">
      <c r="A1264" s="8"/>
      <c r="B1264" s="8"/>
      <c r="C1264" s="8"/>
      <c r="D1264" s="8"/>
      <c r="E1264" s="8"/>
      <c r="F1264" s="8"/>
      <c r="G1264" s="8"/>
      <c r="H1264" s="8"/>
      <c r="I1264" s="8"/>
      <c r="J1264" s="8"/>
      <c r="K1264" s="8"/>
      <c r="L1264" s="8"/>
      <c r="M1264" s="8"/>
      <c r="N1264" s="8"/>
      <c r="O1264" s="8"/>
      <c r="P1264" s="8"/>
      <c r="Q1264" s="8"/>
      <c r="R1264" s="8"/>
      <c r="S1264" s="8"/>
      <c r="T1264" s="8"/>
      <c r="U1264" s="8"/>
      <c r="V1264" s="8"/>
      <c r="W1264" s="8"/>
      <c r="X1264" s="8"/>
      <c r="Y1264" s="8"/>
    </row>
    <row r="1265">
      <c r="A1265" s="8"/>
      <c r="B1265" s="8"/>
      <c r="C1265" s="8"/>
      <c r="D1265" s="8"/>
      <c r="E1265" s="8"/>
      <c r="F1265" s="8"/>
      <c r="G1265" s="8"/>
      <c r="H1265" s="8"/>
      <c r="I1265" s="8"/>
      <c r="J1265" s="8"/>
      <c r="K1265" s="8"/>
      <c r="L1265" s="8"/>
      <c r="M1265" s="8"/>
      <c r="N1265" s="8"/>
      <c r="O1265" s="8"/>
      <c r="P1265" s="8"/>
      <c r="Q1265" s="8"/>
      <c r="R1265" s="8"/>
      <c r="S1265" s="8"/>
      <c r="T1265" s="8"/>
      <c r="U1265" s="8"/>
      <c r="V1265" s="8"/>
      <c r="W1265" s="8"/>
      <c r="X1265" s="8"/>
      <c r="Y1265" s="8"/>
    </row>
    <row r="1266">
      <c r="A1266" s="8"/>
      <c r="B1266" s="8"/>
      <c r="C1266" s="8"/>
      <c r="D1266" s="8"/>
      <c r="E1266" s="8"/>
      <c r="F1266" s="8"/>
      <c r="G1266" s="8"/>
      <c r="H1266" s="8"/>
      <c r="I1266" s="8"/>
      <c r="J1266" s="8"/>
      <c r="K1266" s="8"/>
      <c r="L1266" s="8"/>
      <c r="M1266" s="8"/>
      <c r="N1266" s="8"/>
      <c r="O1266" s="8"/>
      <c r="P1266" s="8"/>
      <c r="Q1266" s="8"/>
      <c r="R1266" s="8"/>
      <c r="S1266" s="8"/>
      <c r="T1266" s="8"/>
      <c r="U1266" s="8"/>
      <c r="V1266" s="8"/>
      <c r="W1266" s="8"/>
      <c r="X1266" s="8"/>
      <c r="Y1266" s="8"/>
    </row>
    <row r="1267">
      <c r="A1267" s="8"/>
      <c r="B1267" s="8"/>
      <c r="C1267" s="8"/>
      <c r="D1267" s="8"/>
      <c r="E1267" s="8"/>
      <c r="F1267" s="8"/>
      <c r="G1267" s="8"/>
      <c r="H1267" s="8"/>
      <c r="I1267" s="8"/>
      <c r="J1267" s="8"/>
      <c r="K1267" s="8"/>
      <c r="L1267" s="8"/>
      <c r="M1267" s="8"/>
      <c r="N1267" s="8"/>
      <c r="O1267" s="8"/>
      <c r="P1267" s="8"/>
      <c r="Q1267" s="8"/>
      <c r="R1267" s="8"/>
      <c r="S1267" s="8"/>
      <c r="T1267" s="8"/>
      <c r="U1267" s="8"/>
      <c r="V1267" s="8"/>
      <c r="W1267" s="8"/>
      <c r="X1267" s="8"/>
      <c r="Y1267" s="8"/>
    </row>
    <row r="1268">
      <c r="A1268" s="8"/>
      <c r="B1268" s="8"/>
      <c r="C1268" s="8"/>
      <c r="D1268" s="8"/>
      <c r="E1268" s="8"/>
      <c r="F1268" s="8"/>
      <c r="G1268" s="8"/>
      <c r="H1268" s="8"/>
      <c r="I1268" s="8"/>
      <c r="J1268" s="8"/>
      <c r="K1268" s="8"/>
      <c r="L1268" s="8"/>
      <c r="M1268" s="8"/>
      <c r="N1268" s="8"/>
      <c r="O1268" s="8"/>
      <c r="P1268" s="8"/>
      <c r="Q1268" s="8"/>
      <c r="R1268" s="8"/>
      <c r="S1268" s="8"/>
      <c r="T1268" s="8"/>
      <c r="U1268" s="8"/>
      <c r="V1268" s="8"/>
      <c r="W1268" s="8"/>
      <c r="X1268" s="8"/>
      <c r="Y1268" s="8"/>
    </row>
    <row r="1269">
      <c r="A1269" s="8"/>
      <c r="B1269" s="8"/>
      <c r="C1269" s="8"/>
      <c r="D1269" s="8"/>
      <c r="E1269" s="8"/>
      <c r="F1269" s="8"/>
      <c r="G1269" s="8"/>
      <c r="H1269" s="8"/>
      <c r="I1269" s="8"/>
      <c r="J1269" s="8"/>
      <c r="K1269" s="8"/>
      <c r="L1269" s="8"/>
      <c r="M1269" s="8"/>
      <c r="N1269" s="8"/>
      <c r="O1269" s="8"/>
      <c r="P1269" s="8"/>
      <c r="Q1269" s="8"/>
      <c r="R1269" s="8"/>
      <c r="S1269" s="8"/>
      <c r="T1269" s="8"/>
      <c r="U1269" s="8"/>
      <c r="V1269" s="8"/>
      <c r="W1269" s="8"/>
      <c r="X1269" s="8"/>
      <c r="Y1269" s="8"/>
    </row>
    <row r="1270">
      <c r="A1270" s="8"/>
      <c r="B1270" s="8"/>
      <c r="C1270" s="8"/>
      <c r="D1270" s="8"/>
      <c r="E1270" s="8"/>
      <c r="F1270" s="8"/>
      <c r="G1270" s="8"/>
      <c r="H1270" s="8"/>
      <c r="I1270" s="8"/>
      <c r="J1270" s="8"/>
      <c r="K1270" s="8"/>
      <c r="L1270" s="8"/>
      <c r="M1270" s="8"/>
      <c r="N1270" s="8"/>
      <c r="O1270" s="8"/>
      <c r="P1270" s="8"/>
      <c r="Q1270" s="8"/>
      <c r="R1270" s="8"/>
      <c r="S1270" s="8"/>
      <c r="T1270" s="8"/>
      <c r="U1270" s="8"/>
      <c r="V1270" s="8"/>
      <c r="W1270" s="8"/>
      <c r="X1270" s="8"/>
      <c r="Y1270" s="8"/>
    </row>
    <row r="1271">
      <c r="A1271" s="8"/>
      <c r="B1271" s="8"/>
      <c r="C1271" s="8"/>
      <c r="D1271" s="8"/>
      <c r="E1271" s="8"/>
      <c r="F1271" s="8"/>
      <c r="G1271" s="8"/>
      <c r="H1271" s="8"/>
      <c r="I1271" s="8"/>
      <c r="J1271" s="8"/>
      <c r="K1271" s="8"/>
      <c r="L1271" s="8"/>
      <c r="M1271" s="8"/>
      <c r="N1271" s="8"/>
      <c r="O1271" s="8"/>
      <c r="P1271" s="8"/>
      <c r="Q1271" s="8"/>
      <c r="R1271" s="8"/>
      <c r="S1271" s="8"/>
      <c r="T1271" s="8"/>
      <c r="U1271" s="8"/>
      <c r="V1271" s="8"/>
      <c r="W1271" s="8"/>
      <c r="X1271" s="8"/>
      <c r="Y1271" s="8"/>
    </row>
    <row r="1272">
      <c r="A1272" s="8"/>
      <c r="B1272" s="8"/>
      <c r="C1272" s="8"/>
      <c r="D1272" s="8"/>
      <c r="E1272" s="8"/>
      <c r="F1272" s="8"/>
      <c r="G1272" s="8"/>
      <c r="H1272" s="8"/>
      <c r="I1272" s="8"/>
      <c r="J1272" s="8"/>
      <c r="K1272" s="8"/>
      <c r="L1272" s="8"/>
      <c r="M1272" s="8"/>
      <c r="N1272" s="8"/>
      <c r="O1272" s="8"/>
      <c r="P1272" s="8"/>
      <c r="Q1272" s="8"/>
      <c r="R1272" s="8"/>
      <c r="S1272" s="8"/>
      <c r="T1272" s="8"/>
      <c r="U1272" s="8"/>
      <c r="V1272" s="8"/>
      <c r="W1272" s="8"/>
      <c r="X1272" s="8"/>
      <c r="Y1272" s="8"/>
    </row>
    <row r="1273">
      <c r="A1273" s="8"/>
      <c r="B1273" s="8"/>
      <c r="C1273" s="8"/>
      <c r="D1273" s="8"/>
      <c r="E1273" s="8"/>
      <c r="F1273" s="8"/>
      <c r="G1273" s="8"/>
      <c r="H1273" s="8"/>
      <c r="I1273" s="8"/>
      <c r="J1273" s="8"/>
      <c r="K1273" s="8"/>
      <c r="L1273" s="8"/>
      <c r="M1273" s="8"/>
      <c r="N1273" s="8"/>
      <c r="O1273" s="8"/>
      <c r="P1273" s="8"/>
      <c r="Q1273" s="8"/>
      <c r="R1273" s="8"/>
      <c r="S1273" s="8"/>
      <c r="T1273" s="8"/>
      <c r="U1273" s="8"/>
      <c r="V1273" s="8"/>
      <c r="W1273" s="8"/>
      <c r="X1273" s="8"/>
      <c r="Y1273" s="8"/>
    </row>
    <row r="1274">
      <c r="A1274" s="8"/>
      <c r="B1274" s="8"/>
      <c r="C1274" s="8"/>
      <c r="D1274" s="8"/>
      <c r="E1274" s="8"/>
      <c r="F1274" s="8"/>
      <c r="G1274" s="8"/>
      <c r="H1274" s="8"/>
      <c r="I1274" s="8"/>
      <c r="J1274" s="8"/>
      <c r="K1274" s="8"/>
      <c r="L1274" s="8"/>
      <c r="M1274" s="8"/>
      <c r="N1274" s="8"/>
      <c r="O1274" s="8"/>
      <c r="P1274" s="8"/>
      <c r="Q1274" s="8"/>
      <c r="R1274" s="8"/>
      <c r="S1274" s="8"/>
      <c r="T1274" s="8"/>
      <c r="U1274" s="8"/>
      <c r="V1274" s="8"/>
      <c r="W1274" s="8"/>
      <c r="X1274" s="8"/>
      <c r="Y1274" s="8"/>
    </row>
    <row r="1275">
      <c r="A1275" s="8"/>
      <c r="B1275" s="8"/>
      <c r="C1275" s="8"/>
      <c r="D1275" s="8"/>
      <c r="E1275" s="8"/>
      <c r="F1275" s="8"/>
      <c r="G1275" s="8"/>
      <c r="H1275" s="8"/>
      <c r="I1275" s="8"/>
      <c r="J1275" s="8"/>
      <c r="K1275" s="8"/>
      <c r="L1275" s="8"/>
      <c r="M1275" s="8"/>
      <c r="N1275" s="8"/>
      <c r="O1275" s="8"/>
      <c r="P1275" s="8"/>
      <c r="Q1275" s="8"/>
      <c r="R1275" s="8"/>
      <c r="S1275" s="8"/>
      <c r="T1275" s="8"/>
      <c r="U1275" s="8"/>
      <c r="V1275" s="8"/>
      <c r="W1275" s="8"/>
      <c r="X1275" s="8"/>
      <c r="Y1275" s="8"/>
    </row>
    <row r="1276">
      <c r="A1276" s="8"/>
      <c r="B1276" s="8"/>
      <c r="C1276" s="8"/>
      <c r="D1276" s="8"/>
      <c r="E1276" s="8"/>
      <c r="F1276" s="8"/>
      <c r="G1276" s="8"/>
      <c r="H1276" s="8"/>
      <c r="I1276" s="8"/>
      <c r="J1276" s="8"/>
      <c r="K1276" s="8"/>
      <c r="L1276" s="8"/>
      <c r="M1276" s="8"/>
      <c r="N1276" s="8"/>
      <c r="O1276" s="8"/>
      <c r="P1276" s="8"/>
      <c r="Q1276" s="8"/>
      <c r="R1276" s="8"/>
      <c r="S1276" s="8"/>
      <c r="T1276" s="8"/>
      <c r="U1276" s="8"/>
      <c r="V1276" s="8"/>
      <c r="W1276" s="8"/>
      <c r="X1276" s="8"/>
      <c r="Y1276" s="8"/>
    </row>
    <row r="1277">
      <c r="A1277" s="8"/>
      <c r="B1277" s="8"/>
      <c r="C1277" s="8"/>
      <c r="D1277" s="8"/>
      <c r="E1277" s="8"/>
      <c r="F1277" s="8"/>
      <c r="G1277" s="8"/>
      <c r="H1277" s="8"/>
      <c r="I1277" s="8"/>
      <c r="J1277" s="8"/>
      <c r="K1277" s="8"/>
      <c r="L1277" s="8"/>
      <c r="M1277" s="8"/>
      <c r="N1277" s="8"/>
      <c r="O1277" s="8"/>
      <c r="P1277" s="8"/>
      <c r="Q1277" s="8"/>
      <c r="R1277" s="8"/>
      <c r="S1277" s="8"/>
      <c r="T1277" s="8"/>
      <c r="U1277" s="8"/>
      <c r="V1277" s="8"/>
      <c r="W1277" s="8"/>
      <c r="X1277" s="8"/>
      <c r="Y1277" s="8"/>
    </row>
    <row r="1278">
      <c r="A1278" s="8"/>
      <c r="B1278" s="8"/>
      <c r="C1278" s="8"/>
      <c r="D1278" s="8"/>
      <c r="E1278" s="8"/>
      <c r="F1278" s="8"/>
      <c r="G1278" s="8"/>
      <c r="H1278" s="8"/>
      <c r="I1278" s="8"/>
      <c r="J1278" s="8"/>
      <c r="K1278" s="8"/>
      <c r="L1278" s="8"/>
      <c r="M1278" s="8"/>
      <c r="N1278" s="8"/>
      <c r="O1278" s="8"/>
      <c r="P1278" s="8"/>
      <c r="Q1278" s="8"/>
      <c r="R1278" s="8"/>
      <c r="S1278" s="8"/>
      <c r="T1278" s="8"/>
      <c r="U1278" s="8"/>
      <c r="V1278" s="8"/>
      <c r="W1278" s="8"/>
      <c r="X1278" s="8"/>
      <c r="Y1278" s="8"/>
    </row>
    <row r="1279">
      <c r="A1279" s="8"/>
      <c r="B1279" s="8"/>
      <c r="C1279" s="8"/>
      <c r="D1279" s="8"/>
      <c r="E1279" s="8"/>
      <c r="F1279" s="8"/>
      <c r="G1279" s="8"/>
      <c r="H1279" s="8"/>
      <c r="I1279" s="8"/>
      <c r="J1279" s="8"/>
      <c r="K1279" s="8"/>
      <c r="L1279" s="8"/>
      <c r="M1279" s="8"/>
      <c r="N1279" s="8"/>
      <c r="O1279" s="8"/>
      <c r="P1279" s="8"/>
      <c r="Q1279" s="8"/>
      <c r="R1279" s="8"/>
      <c r="S1279" s="8"/>
      <c r="T1279" s="8"/>
      <c r="U1279" s="8"/>
      <c r="V1279" s="8"/>
      <c r="W1279" s="8"/>
      <c r="X1279" s="8"/>
      <c r="Y1279" s="8"/>
    </row>
    <row r="1280">
      <c r="A1280" s="8"/>
      <c r="B1280" s="8"/>
      <c r="C1280" s="8"/>
      <c r="D1280" s="8"/>
      <c r="E1280" s="8"/>
      <c r="F1280" s="8"/>
      <c r="G1280" s="8"/>
      <c r="H1280" s="8"/>
      <c r="I1280" s="8"/>
      <c r="J1280" s="8"/>
      <c r="K1280" s="8"/>
      <c r="L1280" s="8"/>
      <c r="M1280" s="8"/>
      <c r="N1280" s="8"/>
      <c r="O1280" s="8"/>
      <c r="P1280" s="8"/>
      <c r="Q1280" s="8"/>
      <c r="R1280" s="8"/>
      <c r="S1280" s="8"/>
      <c r="T1280" s="8"/>
      <c r="U1280" s="8"/>
      <c r="V1280" s="8"/>
      <c r="W1280" s="8"/>
      <c r="X1280" s="8"/>
      <c r="Y1280" s="8"/>
    </row>
    <row r="1281">
      <c r="A1281" s="8"/>
      <c r="B1281" s="8"/>
      <c r="C1281" s="8"/>
      <c r="D1281" s="8"/>
      <c r="E1281" s="8"/>
      <c r="F1281" s="8"/>
      <c r="G1281" s="8"/>
      <c r="H1281" s="8"/>
      <c r="I1281" s="8"/>
      <c r="J1281" s="8"/>
      <c r="K1281" s="8"/>
      <c r="L1281" s="8"/>
      <c r="M1281" s="8"/>
      <c r="N1281" s="8"/>
      <c r="O1281" s="8"/>
      <c r="P1281" s="8"/>
      <c r="Q1281" s="8"/>
      <c r="R1281" s="8"/>
      <c r="S1281" s="8"/>
      <c r="T1281" s="8"/>
      <c r="U1281" s="8"/>
      <c r="V1281" s="8"/>
      <c r="W1281" s="8"/>
      <c r="X1281" s="8"/>
      <c r="Y1281" s="8"/>
    </row>
    <row r="1282">
      <c r="A1282" s="8"/>
      <c r="B1282" s="8"/>
      <c r="C1282" s="8"/>
      <c r="D1282" s="8"/>
      <c r="E1282" s="8"/>
      <c r="F1282" s="8"/>
      <c r="G1282" s="8"/>
      <c r="H1282" s="8"/>
      <c r="I1282" s="8"/>
      <c r="J1282" s="8"/>
      <c r="K1282" s="8"/>
      <c r="L1282" s="8"/>
      <c r="M1282" s="8"/>
      <c r="N1282" s="8"/>
      <c r="O1282" s="8"/>
      <c r="P1282" s="8"/>
      <c r="Q1282" s="8"/>
      <c r="R1282" s="8"/>
      <c r="S1282" s="8"/>
      <c r="T1282" s="8"/>
      <c r="U1282" s="8"/>
      <c r="V1282" s="8"/>
      <c r="W1282" s="8"/>
      <c r="X1282" s="8"/>
      <c r="Y1282" s="8"/>
    </row>
    <row r="1283">
      <c r="A1283" s="8"/>
      <c r="B1283" s="8"/>
      <c r="C1283" s="8"/>
      <c r="D1283" s="8"/>
      <c r="E1283" s="8"/>
      <c r="F1283" s="8"/>
      <c r="G1283" s="8"/>
      <c r="H1283" s="8"/>
      <c r="I1283" s="8"/>
      <c r="J1283" s="8"/>
      <c r="K1283" s="8"/>
      <c r="L1283" s="8"/>
      <c r="M1283" s="8"/>
      <c r="N1283" s="8"/>
      <c r="O1283" s="8"/>
      <c r="P1283" s="8"/>
      <c r="Q1283" s="8"/>
      <c r="R1283" s="8"/>
      <c r="S1283" s="8"/>
      <c r="T1283" s="8"/>
      <c r="U1283" s="8"/>
      <c r="V1283" s="8"/>
      <c r="W1283" s="8"/>
      <c r="X1283" s="8"/>
      <c r="Y1283" s="8"/>
    </row>
    <row r="1284">
      <c r="A1284" s="8"/>
      <c r="B1284" s="8"/>
      <c r="C1284" s="8"/>
      <c r="D1284" s="8"/>
      <c r="E1284" s="8"/>
      <c r="F1284" s="8"/>
      <c r="G1284" s="8"/>
      <c r="H1284" s="8"/>
      <c r="I1284" s="8"/>
      <c r="J1284" s="8"/>
      <c r="K1284" s="8"/>
      <c r="L1284" s="8"/>
      <c r="M1284" s="8"/>
      <c r="N1284" s="8"/>
      <c r="O1284" s="8"/>
      <c r="P1284" s="8"/>
      <c r="Q1284" s="8"/>
      <c r="R1284" s="8"/>
      <c r="S1284" s="8"/>
      <c r="T1284" s="8"/>
      <c r="U1284" s="8"/>
      <c r="V1284" s="8"/>
      <c r="W1284" s="8"/>
      <c r="X1284" s="8"/>
      <c r="Y1284" s="8"/>
    </row>
    <row r="1285">
      <c r="A1285" s="8"/>
      <c r="B1285" s="8"/>
      <c r="C1285" s="8"/>
      <c r="D1285" s="8"/>
      <c r="E1285" s="8"/>
      <c r="F1285" s="8"/>
      <c r="G1285" s="8"/>
      <c r="H1285" s="8"/>
      <c r="I1285" s="8"/>
      <c r="J1285" s="8"/>
      <c r="K1285" s="8"/>
      <c r="L1285" s="8"/>
      <c r="M1285" s="8"/>
      <c r="N1285" s="8"/>
      <c r="O1285" s="8"/>
      <c r="P1285" s="8"/>
      <c r="Q1285" s="8"/>
      <c r="R1285" s="8"/>
      <c r="S1285" s="8"/>
      <c r="T1285" s="8"/>
      <c r="U1285" s="8"/>
      <c r="V1285" s="8"/>
      <c r="W1285" s="8"/>
      <c r="X1285" s="8"/>
      <c r="Y1285" s="8"/>
    </row>
    <row r="1286">
      <c r="A1286" s="8"/>
      <c r="B1286" s="8"/>
      <c r="C1286" s="8"/>
      <c r="D1286" s="8"/>
      <c r="E1286" s="8"/>
      <c r="F1286" s="8"/>
      <c r="G1286" s="8"/>
      <c r="H1286" s="8"/>
      <c r="I1286" s="8"/>
      <c r="J1286" s="8"/>
      <c r="K1286" s="8"/>
      <c r="L1286" s="8"/>
      <c r="M1286" s="8"/>
      <c r="N1286" s="8"/>
      <c r="O1286" s="8"/>
      <c r="P1286" s="8"/>
      <c r="Q1286" s="8"/>
      <c r="R1286" s="8"/>
      <c r="S1286" s="8"/>
      <c r="T1286" s="8"/>
      <c r="U1286" s="8"/>
      <c r="V1286" s="8"/>
      <c r="W1286" s="8"/>
      <c r="X1286" s="8"/>
      <c r="Y1286" s="8"/>
    </row>
    <row r="1287">
      <c r="A1287" s="8"/>
      <c r="B1287" s="8"/>
      <c r="C1287" s="8"/>
      <c r="D1287" s="8"/>
      <c r="E1287" s="8"/>
      <c r="F1287" s="8"/>
      <c r="G1287" s="8"/>
      <c r="H1287" s="8"/>
      <c r="I1287" s="8"/>
      <c r="J1287" s="8"/>
      <c r="K1287" s="8"/>
      <c r="L1287" s="8"/>
      <c r="M1287" s="8"/>
      <c r="N1287" s="8"/>
      <c r="O1287" s="8"/>
      <c r="P1287" s="8"/>
      <c r="Q1287" s="8"/>
      <c r="R1287" s="8"/>
      <c r="S1287" s="8"/>
      <c r="T1287" s="8"/>
      <c r="U1287" s="8"/>
      <c r="V1287" s="8"/>
      <c r="W1287" s="8"/>
      <c r="X1287" s="8"/>
      <c r="Y1287" s="8"/>
    </row>
    <row r="1288">
      <c r="A1288" s="8"/>
      <c r="B1288" s="8"/>
      <c r="C1288" s="8"/>
      <c r="D1288" s="8"/>
      <c r="E1288" s="8"/>
      <c r="F1288" s="8"/>
      <c r="G1288" s="8"/>
      <c r="H1288" s="8"/>
      <c r="I1288" s="8"/>
      <c r="J1288" s="8"/>
      <c r="K1288" s="8"/>
      <c r="L1288" s="8"/>
      <c r="M1288" s="8"/>
      <c r="N1288" s="8"/>
      <c r="O1288" s="8"/>
      <c r="P1288" s="8"/>
      <c r="Q1288" s="8"/>
      <c r="R1288" s="8"/>
      <c r="S1288" s="8"/>
      <c r="T1288" s="8"/>
      <c r="U1288" s="8"/>
      <c r="V1288" s="8"/>
      <c r="W1288" s="8"/>
      <c r="X1288" s="8"/>
      <c r="Y1288" s="8"/>
    </row>
    <row r="1289">
      <c r="A1289" s="8"/>
      <c r="B1289" s="8"/>
      <c r="C1289" s="8"/>
      <c r="D1289" s="8"/>
      <c r="E1289" s="8"/>
      <c r="F1289" s="8"/>
      <c r="G1289" s="8"/>
      <c r="H1289" s="8"/>
      <c r="I1289" s="8"/>
      <c r="J1289" s="8"/>
      <c r="K1289" s="8"/>
      <c r="L1289" s="8"/>
      <c r="M1289" s="8"/>
      <c r="N1289" s="8"/>
      <c r="O1289" s="8"/>
      <c r="P1289" s="8"/>
      <c r="Q1289" s="8"/>
      <c r="R1289" s="8"/>
      <c r="S1289" s="8"/>
      <c r="T1289" s="8"/>
      <c r="U1289" s="8"/>
      <c r="V1289" s="8"/>
      <c r="W1289" s="8"/>
      <c r="X1289" s="8"/>
      <c r="Y1289" s="8"/>
    </row>
    <row r="1290">
      <c r="A1290" s="8"/>
      <c r="B1290" s="8"/>
      <c r="C1290" s="8"/>
      <c r="D1290" s="8"/>
      <c r="E1290" s="8"/>
      <c r="F1290" s="8"/>
      <c r="G1290" s="8"/>
      <c r="H1290" s="8"/>
      <c r="I1290" s="8"/>
      <c r="J1290" s="8"/>
      <c r="K1290" s="8"/>
      <c r="L1290" s="8"/>
      <c r="M1290" s="8"/>
      <c r="N1290" s="8"/>
      <c r="O1290" s="8"/>
      <c r="P1290" s="8"/>
      <c r="Q1290" s="8"/>
      <c r="R1290" s="8"/>
      <c r="S1290" s="8"/>
      <c r="T1290" s="8"/>
      <c r="U1290" s="8"/>
      <c r="V1290" s="8"/>
      <c r="W1290" s="8"/>
      <c r="X1290" s="8"/>
      <c r="Y1290" s="8"/>
    </row>
    <row r="1291">
      <c r="A1291" s="8"/>
      <c r="B1291" s="8"/>
      <c r="C1291" s="8"/>
      <c r="D1291" s="8"/>
      <c r="E1291" s="8"/>
      <c r="F1291" s="8"/>
      <c r="G1291" s="8"/>
      <c r="H1291" s="8"/>
      <c r="I1291" s="8"/>
      <c r="J1291" s="8"/>
      <c r="K1291" s="8"/>
      <c r="L1291" s="8"/>
      <c r="M1291" s="8"/>
      <c r="N1291" s="8"/>
      <c r="O1291" s="8"/>
      <c r="P1291" s="8"/>
      <c r="Q1291" s="8"/>
      <c r="R1291" s="8"/>
      <c r="S1291" s="8"/>
      <c r="T1291" s="8"/>
      <c r="U1291" s="8"/>
      <c r="V1291" s="8"/>
      <c r="W1291" s="8"/>
      <c r="X1291" s="8"/>
      <c r="Y1291" s="8"/>
    </row>
    <row r="1292">
      <c r="A1292" s="8"/>
      <c r="B1292" s="8"/>
      <c r="C1292" s="8"/>
      <c r="D1292" s="8"/>
      <c r="E1292" s="8"/>
      <c r="F1292" s="8"/>
      <c r="G1292" s="8"/>
      <c r="H1292" s="8"/>
      <c r="I1292" s="8"/>
      <c r="J1292" s="8"/>
      <c r="K1292" s="8"/>
      <c r="L1292" s="8"/>
      <c r="M1292" s="8"/>
      <c r="N1292" s="8"/>
      <c r="O1292" s="8"/>
      <c r="P1292" s="8"/>
      <c r="Q1292" s="8"/>
      <c r="R1292" s="8"/>
      <c r="S1292" s="8"/>
      <c r="T1292" s="8"/>
      <c r="U1292" s="8"/>
      <c r="V1292" s="8"/>
      <c r="W1292" s="8"/>
      <c r="X1292" s="8"/>
      <c r="Y1292" s="8"/>
    </row>
    <row r="1293">
      <c r="A1293" s="8"/>
      <c r="B1293" s="8"/>
      <c r="C1293" s="8"/>
      <c r="D1293" s="8"/>
      <c r="E1293" s="8"/>
      <c r="F1293" s="8"/>
      <c r="G1293" s="8"/>
      <c r="H1293" s="8"/>
      <c r="I1293" s="8"/>
      <c r="J1293" s="8"/>
      <c r="K1293" s="8"/>
      <c r="L1293" s="8"/>
      <c r="M1293" s="8"/>
      <c r="N1293" s="8"/>
      <c r="O1293" s="8"/>
      <c r="P1293" s="8"/>
      <c r="Q1293" s="8"/>
      <c r="R1293" s="8"/>
      <c r="S1293" s="8"/>
      <c r="T1293" s="8"/>
      <c r="U1293" s="8"/>
      <c r="V1293" s="8"/>
      <c r="W1293" s="8"/>
      <c r="X1293" s="8"/>
      <c r="Y1293" s="8"/>
    </row>
    <row r="1294">
      <c r="A1294" s="8"/>
      <c r="B1294" s="8"/>
      <c r="C1294" s="8"/>
      <c r="D1294" s="8"/>
      <c r="E1294" s="8"/>
      <c r="F1294" s="8"/>
      <c r="G1294" s="8"/>
      <c r="H1294" s="8"/>
      <c r="I1294" s="8"/>
      <c r="J1294" s="8"/>
      <c r="K1294" s="8"/>
      <c r="L1294" s="8"/>
      <c r="M1294" s="8"/>
      <c r="N1294" s="8"/>
      <c r="O1294" s="8"/>
      <c r="P1294" s="8"/>
      <c r="Q1294" s="8"/>
      <c r="R1294" s="8"/>
      <c r="S1294" s="8"/>
      <c r="T1294" s="8"/>
      <c r="U1294" s="8"/>
      <c r="V1294" s="8"/>
      <c r="W1294" s="8"/>
      <c r="X1294" s="8"/>
      <c r="Y1294" s="8"/>
    </row>
    <row r="1295">
      <c r="A1295" s="8"/>
      <c r="B1295" s="8"/>
      <c r="C1295" s="8"/>
      <c r="D1295" s="8"/>
      <c r="E1295" s="8"/>
      <c r="F1295" s="8"/>
      <c r="G1295" s="8"/>
      <c r="H1295" s="8"/>
      <c r="I1295" s="8"/>
      <c r="J1295" s="8"/>
      <c r="K1295" s="8"/>
      <c r="L1295" s="8"/>
      <c r="M1295" s="8"/>
      <c r="N1295" s="8"/>
      <c r="O1295" s="8"/>
      <c r="P1295" s="8"/>
      <c r="Q1295" s="8"/>
      <c r="R1295" s="8"/>
      <c r="S1295" s="8"/>
      <c r="T1295" s="8"/>
      <c r="U1295" s="8"/>
      <c r="V1295" s="8"/>
      <c r="W1295" s="8"/>
      <c r="X1295" s="8"/>
      <c r="Y1295" s="8"/>
    </row>
    <row r="1296">
      <c r="A1296" s="8"/>
      <c r="B1296" s="8"/>
      <c r="C1296" s="8"/>
      <c r="D1296" s="8"/>
      <c r="E1296" s="8"/>
      <c r="F1296" s="8"/>
      <c r="G1296" s="8"/>
      <c r="H1296" s="8"/>
      <c r="I1296" s="8"/>
      <c r="J1296" s="8"/>
      <c r="K1296" s="8"/>
      <c r="L1296" s="8"/>
      <c r="M1296" s="8"/>
      <c r="N1296" s="8"/>
      <c r="O1296" s="8"/>
      <c r="P1296" s="8"/>
      <c r="Q1296" s="8"/>
      <c r="R1296" s="8"/>
      <c r="S1296" s="8"/>
      <c r="T1296" s="8"/>
      <c r="U1296" s="8"/>
      <c r="V1296" s="8"/>
      <c r="W1296" s="8"/>
      <c r="X1296" s="8"/>
      <c r="Y1296" s="8"/>
    </row>
    <row r="1297">
      <c r="A1297" s="8"/>
      <c r="B1297" s="8"/>
      <c r="C1297" s="8"/>
      <c r="D1297" s="8"/>
      <c r="E1297" s="8"/>
      <c r="F1297" s="8"/>
      <c r="G1297" s="8"/>
      <c r="H1297" s="8"/>
      <c r="I1297" s="8"/>
      <c r="J1297" s="8"/>
      <c r="K1297" s="8"/>
      <c r="L1297" s="8"/>
      <c r="M1297" s="8"/>
      <c r="N1297" s="8"/>
      <c r="O1297" s="8"/>
      <c r="P1297" s="8"/>
      <c r="Q1297" s="8"/>
      <c r="R1297" s="8"/>
      <c r="S1297" s="8"/>
      <c r="T1297" s="8"/>
      <c r="U1297" s="8"/>
      <c r="V1297" s="8"/>
      <c r="W1297" s="8"/>
      <c r="X1297" s="8"/>
      <c r="Y1297" s="8"/>
    </row>
    <row r="1298">
      <c r="A1298" s="8"/>
      <c r="B1298" s="8"/>
      <c r="C1298" s="8"/>
      <c r="D1298" s="8"/>
      <c r="E1298" s="8"/>
      <c r="F1298" s="8"/>
      <c r="G1298" s="8"/>
      <c r="H1298" s="8"/>
      <c r="I1298" s="8"/>
      <c r="J1298" s="8"/>
      <c r="K1298" s="8"/>
      <c r="L1298" s="8"/>
      <c r="M1298" s="8"/>
      <c r="N1298" s="8"/>
      <c r="O1298" s="8"/>
      <c r="P1298" s="8"/>
      <c r="Q1298" s="8"/>
      <c r="R1298" s="8"/>
      <c r="S1298" s="8"/>
      <c r="T1298" s="8"/>
      <c r="U1298" s="8"/>
      <c r="V1298" s="8"/>
      <c r="W1298" s="8"/>
      <c r="X1298" s="8"/>
      <c r="Y1298" s="8"/>
    </row>
    <row r="1299">
      <c r="A1299" s="8"/>
      <c r="B1299" s="8"/>
      <c r="C1299" s="8"/>
      <c r="D1299" s="8"/>
      <c r="E1299" s="8"/>
      <c r="F1299" s="8"/>
      <c r="G1299" s="8"/>
      <c r="H1299" s="8"/>
      <c r="I1299" s="8"/>
      <c r="J1299" s="8"/>
      <c r="K1299" s="8"/>
      <c r="L1299" s="8"/>
      <c r="M1299" s="8"/>
      <c r="N1299" s="8"/>
      <c r="O1299" s="8"/>
      <c r="P1299" s="8"/>
      <c r="Q1299" s="8"/>
      <c r="R1299" s="8"/>
      <c r="S1299" s="8"/>
      <c r="T1299" s="8"/>
      <c r="U1299" s="8"/>
      <c r="V1299" s="8"/>
      <c r="W1299" s="8"/>
      <c r="X1299" s="8"/>
      <c r="Y1299" s="8"/>
    </row>
    <row r="1300">
      <c r="A1300" s="8"/>
      <c r="B1300" s="8"/>
      <c r="C1300" s="8"/>
      <c r="D1300" s="8"/>
      <c r="E1300" s="8"/>
      <c r="F1300" s="8"/>
      <c r="G1300" s="8"/>
      <c r="H1300" s="8"/>
      <c r="I1300" s="8"/>
      <c r="J1300" s="8"/>
      <c r="K1300" s="8"/>
      <c r="L1300" s="8"/>
      <c r="M1300" s="8"/>
      <c r="N1300" s="8"/>
      <c r="O1300" s="8"/>
      <c r="P1300" s="8"/>
      <c r="Q1300" s="8"/>
      <c r="R1300" s="8"/>
      <c r="S1300" s="8"/>
      <c r="T1300" s="8"/>
      <c r="U1300" s="8"/>
      <c r="V1300" s="8"/>
      <c r="W1300" s="8"/>
      <c r="X1300" s="8"/>
      <c r="Y1300" s="8"/>
    </row>
    <row r="1301">
      <c r="A1301" s="8"/>
      <c r="B1301" s="8"/>
      <c r="C1301" s="8"/>
      <c r="D1301" s="8"/>
      <c r="E1301" s="8"/>
      <c r="F1301" s="8"/>
      <c r="G1301" s="8"/>
      <c r="H1301" s="8"/>
      <c r="I1301" s="8"/>
      <c r="J1301" s="8"/>
      <c r="K1301" s="8"/>
      <c r="L1301" s="8"/>
      <c r="M1301" s="8"/>
      <c r="N1301" s="8"/>
      <c r="O1301" s="8"/>
      <c r="P1301" s="8"/>
      <c r="Q1301" s="8"/>
      <c r="R1301" s="8"/>
      <c r="S1301" s="8"/>
      <c r="T1301" s="8"/>
      <c r="U1301" s="8"/>
      <c r="V1301" s="8"/>
      <c r="W1301" s="8"/>
      <c r="X1301" s="8"/>
      <c r="Y1301" s="8"/>
    </row>
    <row r="1302">
      <c r="A1302" s="8"/>
      <c r="B1302" s="8"/>
      <c r="C1302" s="8"/>
      <c r="D1302" s="8"/>
      <c r="E1302" s="8"/>
      <c r="F1302" s="8"/>
      <c r="G1302" s="8"/>
      <c r="H1302" s="8"/>
      <c r="I1302" s="8"/>
      <c r="J1302" s="8"/>
      <c r="K1302" s="8"/>
      <c r="L1302" s="8"/>
      <c r="M1302" s="8"/>
      <c r="N1302" s="8"/>
      <c r="O1302" s="8"/>
      <c r="P1302" s="8"/>
      <c r="Q1302" s="8"/>
      <c r="R1302" s="8"/>
      <c r="S1302" s="8"/>
      <c r="T1302" s="8"/>
      <c r="U1302" s="8"/>
      <c r="V1302" s="8"/>
      <c r="W1302" s="8"/>
      <c r="X1302" s="8"/>
      <c r="Y1302" s="8"/>
    </row>
    <row r="1303">
      <c r="A1303" s="8"/>
      <c r="B1303" s="8"/>
      <c r="C1303" s="8"/>
      <c r="D1303" s="8"/>
      <c r="E1303" s="8"/>
      <c r="F1303" s="8"/>
      <c r="G1303" s="8"/>
      <c r="H1303" s="8"/>
      <c r="I1303" s="8"/>
      <c r="J1303" s="8"/>
      <c r="K1303" s="8"/>
      <c r="L1303" s="8"/>
      <c r="M1303" s="8"/>
      <c r="N1303" s="8"/>
      <c r="O1303" s="8"/>
      <c r="P1303" s="8"/>
      <c r="Q1303" s="8"/>
      <c r="R1303" s="8"/>
      <c r="S1303" s="8"/>
      <c r="T1303" s="8"/>
      <c r="U1303" s="8"/>
      <c r="V1303" s="8"/>
      <c r="W1303" s="8"/>
      <c r="X1303" s="8"/>
      <c r="Y1303" s="8"/>
    </row>
    <row r="1304">
      <c r="A1304" s="8"/>
      <c r="B1304" s="8"/>
      <c r="C1304" s="8"/>
      <c r="D1304" s="8"/>
      <c r="E1304" s="8"/>
      <c r="F1304" s="8"/>
      <c r="G1304" s="8"/>
      <c r="H1304" s="8"/>
      <c r="I1304" s="8"/>
      <c r="J1304" s="8"/>
      <c r="K1304" s="8"/>
      <c r="L1304" s="8"/>
      <c r="M1304" s="8"/>
      <c r="N1304" s="8"/>
      <c r="O1304" s="8"/>
      <c r="P1304" s="8"/>
      <c r="Q1304" s="8"/>
      <c r="R1304" s="8"/>
      <c r="S1304" s="8"/>
      <c r="T1304" s="8"/>
      <c r="U1304" s="8"/>
      <c r="V1304" s="8"/>
      <c r="W1304" s="8"/>
      <c r="X1304" s="8"/>
      <c r="Y1304" s="8"/>
    </row>
    <row r="1305">
      <c r="A1305" s="8"/>
      <c r="B1305" s="8"/>
      <c r="C1305" s="8"/>
      <c r="D1305" s="8"/>
      <c r="E1305" s="8"/>
      <c r="F1305" s="8"/>
      <c r="G1305" s="8"/>
      <c r="H1305" s="8"/>
      <c r="I1305" s="8"/>
      <c r="J1305" s="8"/>
      <c r="K1305" s="8"/>
      <c r="L1305" s="8"/>
      <c r="M1305" s="8"/>
      <c r="N1305" s="8"/>
      <c r="O1305" s="8"/>
      <c r="P1305" s="8"/>
      <c r="Q1305" s="8"/>
      <c r="R1305" s="8"/>
      <c r="S1305" s="8"/>
      <c r="T1305" s="8"/>
      <c r="U1305" s="8"/>
      <c r="V1305" s="8"/>
      <c r="W1305" s="8"/>
      <c r="X1305" s="8"/>
      <c r="Y1305" s="8"/>
    </row>
    <row r="1306">
      <c r="A1306" s="8"/>
      <c r="B1306" s="8"/>
      <c r="C1306" s="8"/>
      <c r="D1306" s="8"/>
      <c r="E1306" s="8"/>
      <c r="F1306" s="8"/>
      <c r="G1306" s="8"/>
      <c r="H1306" s="8"/>
      <c r="I1306" s="8"/>
      <c r="J1306" s="8"/>
      <c r="K1306" s="8"/>
      <c r="L1306" s="8"/>
      <c r="M1306" s="8"/>
      <c r="N1306" s="8"/>
      <c r="O1306" s="8"/>
      <c r="P1306" s="8"/>
      <c r="Q1306" s="8"/>
      <c r="R1306" s="8"/>
      <c r="S1306" s="8"/>
      <c r="T1306" s="8"/>
      <c r="U1306" s="8"/>
      <c r="V1306" s="8"/>
      <c r="W1306" s="8"/>
      <c r="X1306" s="8"/>
      <c r="Y1306" s="8"/>
    </row>
    <row r="1307">
      <c r="A1307" s="8"/>
      <c r="B1307" s="8"/>
      <c r="C1307" s="8"/>
      <c r="D1307" s="8"/>
      <c r="E1307" s="8"/>
      <c r="F1307" s="8"/>
      <c r="G1307" s="8"/>
      <c r="H1307" s="8"/>
      <c r="I1307" s="8"/>
      <c r="J1307" s="8"/>
      <c r="K1307" s="8"/>
      <c r="L1307" s="8"/>
      <c r="M1307" s="8"/>
      <c r="N1307" s="8"/>
      <c r="O1307" s="8"/>
      <c r="P1307" s="8"/>
      <c r="Q1307" s="8"/>
      <c r="R1307" s="8"/>
      <c r="S1307" s="8"/>
      <c r="T1307" s="8"/>
      <c r="U1307" s="8"/>
      <c r="V1307" s="8"/>
      <c r="W1307" s="8"/>
      <c r="X1307" s="8"/>
      <c r="Y1307" s="8"/>
    </row>
    <row r="1308">
      <c r="A1308" s="8"/>
      <c r="B1308" s="8"/>
      <c r="C1308" s="8"/>
      <c r="D1308" s="8"/>
      <c r="E1308" s="8"/>
      <c r="F1308" s="8"/>
      <c r="G1308" s="8"/>
      <c r="H1308" s="8"/>
      <c r="I1308" s="8"/>
      <c r="J1308" s="8"/>
      <c r="K1308" s="8"/>
      <c r="L1308" s="8"/>
      <c r="M1308" s="8"/>
      <c r="N1308" s="8"/>
      <c r="O1308" s="8"/>
      <c r="P1308" s="8"/>
      <c r="Q1308" s="8"/>
      <c r="R1308" s="8"/>
      <c r="S1308" s="8"/>
      <c r="T1308" s="8"/>
      <c r="U1308" s="8"/>
      <c r="V1308" s="8"/>
      <c r="W1308" s="8"/>
      <c r="X1308" s="8"/>
      <c r="Y1308" s="8"/>
    </row>
    <row r="1309">
      <c r="A1309" s="8"/>
      <c r="B1309" s="8"/>
      <c r="C1309" s="8"/>
      <c r="D1309" s="8"/>
      <c r="E1309" s="8"/>
      <c r="F1309" s="8"/>
      <c r="G1309" s="8"/>
      <c r="H1309" s="8"/>
      <c r="I1309" s="8"/>
      <c r="J1309" s="8"/>
      <c r="K1309" s="8"/>
      <c r="L1309" s="8"/>
      <c r="M1309" s="8"/>
      <c r="N1309" s="8"/>
      <c r="O1309" s="8"/>
      <c r="P1309" s="8"/>
      <c r="Q1309" s="8"/>
      <c r="R1309" s="8"/>
      <c r="S1309" s="8"/>
      <c r="T1309" s="8"/>
      <c r="U1309" s="8"/>
      <c r="V1309" s="8"/>
      <c r="W1309" s="8"/>
      <c r="X1309" s="8"/>
      <c r="Y1309" s="8"/>
    </row>
    <row r="1310">
      <c r="A1310" s="8"/>
      <c r="B1310" s="8"/>
      <c r="C1310" s="8"/>
      <c r="D1310" s="8"/>
      <c r="E1310" s="8"/>
      <c r="F1310" s="8"/>
      <c r="G1310" s="8"/>
      <c r="H1310" s="8"/>
      <c r="I1310" s="8"/>
      <c r="J1310" s="8"/>
      <c r="K1310" s="8"/>
      <c r="L1310" s="8"/>
      <c r="M1310" s="8"/>
      <c r="N1310" s="8"/>
      <c r="O1310" s="8"/>
      <c r="P1310" s="8"/>
      <c r="Q1310" s="8"/>
      <c r="R1310" s="8"/>
      <c r="S1310" s="8"/>
      <c r="T1310" s="8"/>
      <c r="U1310" s="8"/>
      <c r="V1310" s="8"/>
      <c r="W1310" s="8"/>
      <c r="X1310" s="8"/>
      <c r="Y1310" s="8"/>
    </row>
    <row r="1311">
      <c r="A1311" s="8"/>
      <c r="B1311" s="8"/>
      <c r="C1311" s="8"/>
      <c r="D1311" s="8"/>
      <c r="E1311" s="8"/>
      <c r="F1311" s="8"/>
      <c r="G1311" s="8"/>
      <c r="H1311" s="8"/>
      <c r="I1311" s="8"/>
      <c r="J1311" s="8"/>
      <c r="K1311" s="8"/>
      <c r="L1311" s="8"/>
      <c r="M1311" s="8"/>
      <c r="N1311" s="8"/>
      <c r="O1311" s="8"/>
      <c r="P1311" s="8"/>
      <c r="Q1311" s="8"/>
      <c r="R1311" s="8"/>
      <c r="S1311" s="8"/>
      <c r="T1311" s="8"/>
      <c r="U1311" s="8"/>
      <c r="V1311" s="8"/>
      <c r="W1311" s="8"/>
      <c r="X1311" s="8"/>
      <c r="Y1311" s="8"/>
    </row>
    <row r="1312">
      <c r="A1312" s="8"/>
      <c r="B1312" s="8"/>
      <c r="C1312" s="8"/>
      <c r="D1312" s="8"/>
      <c r="E1312" s="8"/>
      <c r="F1312" s="8"/>
      <c r="G1312" s="8"/>
      <c r="H1312" s="8"/>
      <c r="I1312" s="8"/>
      <c r="J1312" s="8"/>
      <c r="K1312" s="8"/>
      <c r="L1312" s="8"/>
      <c r="M1312" s="8"/>
      <c r="N1312" s="8"/>
      <c r="O1312" s="8"/>
      <c r="P1312" s="8"/>
      <c r="Q1312" s="8"/>
      <c r="R1312" s="8"/>
      <c r="S1312" s="8"/>
      <c r="T1312" s="8"/>
      <c r="U1312" s="8"/>
      <c r="V1312" s="8"/>
      <c r="W1312" s="8"/>
      <c r="X1312" s="8"/>
      <c r="Y1312" s="8"/>
    </row>
    <row r="1313">
      <c r="A1313" s="8"/>
      <c r="B1313" s="8"/>
      <c r="C1313" s="8"/>
      <c r="D1313" s="8"/>
      <c r="E1313" s="8"/>
      <c r="F1313" s="8"/>
      <c r="G1313" s="8"/>
      <c r="H1313" s="8"/>
      <c r="I1313" s="8"/>
      <c r="J1313" s="8"/>
      <c r="K1313" s="8"/>
      <c r="L1313" s="8"/>
      <c r="M1313" s="8"/>
      <c r="N1313" s="8"/>
      <c r="O1313" s="8"/>
      <c r="P1313" s="8"/>
      <c r="Q1313" s="8"/>
      <c r="R1313" s="8"/>
      <c r="S1313" s="8"/>
      <c r="T1313" s="8"/>
      <c r="U1313" s="8"/>
      <c r="V1313" s="8"/>
      <c r="W1313" s="8"/>
      <c r="X1313" s="8"/>
      <c r="Y1313" s="8"/>
    </row>
    <row r="1314">
      <c r="A1314" s="8"/>
      <c r="B1314" s="8"/>
      <c r="C1314" s="8"/>
      <c r="D1314" s="8"/>
      <c r="E1314" s="8"/>
      <c r="F1314" s="8"/>
      <c r="G1314" s="8"/>
      <c r="H1314" s="8"/>
      <c r="I1314" s="8"/>
      <c r="J1314" s="8"/>
      <c r="K1314" s="8"/>
      <c r="L1314" s="8"/>
      <c r="M1314" s="8"/>
      <c r="N1314" s="8"/>
      <c r="O1314" s="8"/>
      <c r="P1314" s="8"/>
      <c r="Q1314" s="8"/>
      <c r="R1314" s="8"/>
      <c r="S1314" s="8"/>
      <c r="T1314" s="8"/>
      <c r="U1314" s="8"/>
      <c r="V1314" s="8"/>
      <c r="W1314" s="8"/>
      <c r="X1314" s="8"/>
      <c r="Y1314" s="8"/>
    </row>
    <row r="1315">
      <c r="A1315" s="8"/>
      <c r="B1315" s="8"/>
      <c r="C1315" s="8"/>
      <c r="D1315" s="8"/>
      <c r="E1315" s="8"/>
      <c r="F1315" s="8"/>
      <c r="G1315" s="8"/>
      <c r="H1315" s="8"/>
      <c r="I1315" s="8"/>
      <c r="J1315" s="8"/>
      <c r="K1315" s="8"/>
      <c r="L1315" s="8"/>
      <c r="M1315" s="8"/>
      <c r="N1315" s="8"/>
      <c r="O1315" s="8"/>
      <c r="P1315" s="8"/>
      <c r="Q1315" s="8"/>
      <c r="R1315" s="8"/>
      <c r="S1315" s="8"/>
      <c r="T1315" s="8"/>
      <c r="U1315" s="8"/>
      <c r="V1315" s="8"/>
      <c r="W1315" s="8"/>
      <c r="X1315" s="8"/>
      <c r="Y1315" s="8"/>
    </row>
    <row r="1316">
      <c r="A1316" s="8"/>
      <c r="B1316" s="8"/>
      <c r="C1316" s="8"/>
      <c r="D1316" s="8"/>
      <c r="E1316" s="8"/>
      <c r="F1316" s="8"/>
      <c r="G1316" s="8"/>
      <c r="H1316" s="8"/>
      <c r="I1316" s="8"/>
      <c r="J1316" s="8"/>
      <c r="K1316" s="8"/>
      <c r="L1316" s="8"/>
      <c r="M1316" s="8"/>
      <c r="N1316" s="8"/>
      <c r="O1316" s="8"/>
      <c r="P1316" s="8"/>
      <c r="Q1316" s="8"/>
      <c r="R1316" s="8"/>
      <c r="S1316" s="8"/>
      <c r="T1316" s="8"/>
      <c r="U1316" s="8"/>
      <c r="V1316" s="8"/>
      <c r="W1316" s="8"/>
      <c r="X1316" s="8"/>
      <c r="Y1316" s="8"/>
    </row>
    <row r="1317">
      <c r="A1317" s="8"/>
      <c r="B1317" s="8"/>
      <c r="C1317" s="8"/>
      <c r="D1317" s="8"/>
      <c r="E1317" s="8"/>
      <c r="F1317" s="8"/>
      <c r="G1317" s="8"/>
      <c r="H1317" s="8"/>
      <c r="I1317" s="8"/>
      <c r="J1317" s="8"/>
      <c r="K1317" s="8"/>
      <c r="L1317" s="8"/>
      <c r="M1317" s="8"/>
      <c r="N1317" s="8"/>
      <c r="O1317" s="8"/>
      <c r="P1317" s="8"/>
      <c r="Q1317" s="8"/>
      <c r="R1317" s="8"/>
      <c r="S1317" s="8"/>
      <c r="T1317" s="8"/>
      <c r="U1317" s="8"/>
      <c r="V1317" s="8"/>
      <c r="W1317" s="8"/>
      <c r="X1317" s="8"/>
      <c r="Y1317" s="8"/>
    </row>
    <row r="1318">
      <c r="A1318" s="8"/>
      <c r="B1318" s="8"/>
      <c r="C1318" s="8"/>
      <c r="D1318" s="8"/>
      <c r="E1318" s="8"/>
      <c r="F1318" s="8"/>
      <c r="G1318" s="8"/>
      <c r="H1318" s="8"/>
      <c r="I1318" s="8"/>
      <c r="J1318" s="8"/>
      <c r="K1318" s="8"/>
      <c r="L1318" s="8"/>
      <c r="M1318" s="8"/>
      <c r="N1318" s="8"/>
      <c r="O1318" s="8"/>
      <c r="P1318" s="8"/>
      <c r="Q1318" s="8"/>
      <c r="R1318" s="8"/>
      <c r="S1318" s="8"/>
      <c r="T1318" s="8"/>
      <c r="U1318" s="8"/>
      <c r="V1318" s="8"/>
      <c r="W1318" s="8"/>
      <c r="X1318" s="8"/>
      <c r="Y1318" s="8"/>
    </row>
    <row r="1319">
      <c r="A1319" s="8"/>
      <c r="B1319" s="8"/>
      <c r="C1319" s="8"/>
      <c r="D1319" s="8"/>
      <c r="E1319" s="8"/>
      <c r="F1319" s="8"/>
      <c r="G1319" s="8"/>
      <c r="H1319" s="8"/>
      <c r="I1319" s="8"/>
      <c r="J1319" s="8"/>
      <c r="K1319" s="8"/>
      <c r="L1319" s="8"/>
      <c r="M1319" s="8"/>
      <c r="N1319" s="8"/>
      <c r="O1319" s="8"/>
      <c r="P1319" s="8"/>
      <c r="Q1319" s="8"/>
      <c r="R1319" s="8"/>
      <c r="S1319" s="8"/>
      <c r="T1319" s="8"/>
      <c r="U1319" s="8"/>
      <c r="V1319" s="8"/>
      <c r="W1319" s="8"/>
      <c r="X1319" s="8"/>
      <c r="Y1319" s="8"/>
    </row>
    <row r="1320">
      <c r="A1320" s="8"/>
      <c r="B1320" s="8"/>
      <c r="C1320" s="8"/>
      <c r="D1320" s="8"/>
      <c r="E1320" s="8"/>
      <c r="F1320" s="8"/>
      <c r="G1320" s="8"/>
      <c r="H1320" s="8"/>
      <c r="I1320" s="8"/>
      <c r="J1320" s="8"/>
      <c r="K1320" s="8"/>
      <c r="L1320" s="8"/>
      <c r="M1320" s="8"/>
      <c r="N1320" s="8"/>
      <c r="O1320" s="8"/>
      <c r="P1320" s="8"/>
      <c r="Q1320" s="8"/>
      <c r="R1320" s="8"/>
      <c r="S1320" s="8"/>
      <c r="T1320" s="8"/>
      <c r="U1320" s="8"/>
      <c r="V1320" s="8"/>
      <c r="W1320" s="8"/>
      <c r="X1320" s="8"/>
      <c r="Y1320" s="8"/>
    </row>
    <row r="1321">
      <c r="A1321" s="8"/>
      <c r="B1321" s="8"/>
      <c r="C1321" s="8"/>
      <c r="D1321" s="8"/>
      <c r="E1321" s="8"/>
      <c r="F1321" s="8"/>
      <c r="G1321" s="8"/>
      <c r="H1321" s="8"/>
      <c r="I1321" s="8"/>
      <c r="J1321" s="8"/>
      <c r="K1321" s="8"/>
      <c r="L1321" s="8"/>
      <c r="M1321" s="8"/>
      <c r="N1321" s="8"/>
      <c r="O1321" s="8"/>
      <c r="P1321" s="8"/>
      <c r="Q1321" s="8"/>
      <c r="R1321" s="8"/>
      <c r="S1321" s="8"/>
      <c r="T1321" s="8"/>
      <c r="U1321" s="8"/>
      <c r="V1321" s="8"/>
      <c r="W1321" s="8"/>
      <c r="X1321" s="8"/>
      <c r="Y1321" s="8"/>
    </row>
    <row r="1322">
      <c r="A1322" s="8"/>
      <c r="B1322" s="8"/>
      <c r="C1322" s="8"/>
      <c r="D1322" s="8"/>
      <c r="E1322" s="8"/>
      <c r="F1322" s="8"/>
      <c r="G1322" s="8"/>
      <c r="H1322" s="8"/>
      <c r="I1322" s="8"/>
      <c r="J1322" s="8"/>
      <c r="K1322" s="8"/>
      <c r="L1322" s="8"/>
      <c r="M1322" s="8"/>
      <c r="N1322" s="8"/>
      <c r="O1322" s="8"/>
      <c r="P1322" s="8"/>
      <c r="Q1322" s="8"/>
      <c r="R1322" s="8"/>
      <c r="S1322" s="8"/>
      <c r="T1322" s="8"/>
      <c r="U1322" s="8"/>
      <c r="V1322" s="8"/>
      <c r="W1322" s="8"/>
      <c r="X1322" s="8"/>
      <c r="Y1322" s="8"/>
    </row>
    <row r="1323">
      <c r="A1323" s="8"/>
      <c r="B1323" s="8"/>
      <c r="C1323" s="8"/>
      <c r="D1323" s="8"/>
      <c r="E1323" s="8"/>
      <c r="F1323" s="8"/>
      <c r="G1323" s="8"/>
      <c r="H1323" s="8"/>
      <c r="I1323" s="8"/>
      <c r="J1323" s="8"/>
      <c r="K1323" s="8"/>
      <c r="L1323" s="8"/>
      <c r="M1323" s="8"/>
      <c r="N1323" s="8"/>
      <c r="O1323" s="8"/>
      <c r="P1323" s="8"/>
      <c r="Q1323" s="8"/>
      <c r="R1323" s="8"/>
      <c r="S1323" s="8"/>
      <c r="T1323" s="8"/>
      <c r="U1323" s="8"/>
      <c r="V1323" s="8"/>
      <c r="W1323" s="8"/>
      <c r="X1323" s="8"/>
      <c r="Y1323" s="8"/>
    </row>
    <row r="1324">
      <c r="A1324" s="8"/>
      <c r="B1324" s="8"/>
      <c r="C1324" s="8"/>
      <c r="D1324" s="8"/>
      <c r="E1324" s="8"/>
      <c r="F1324" s="8"/>
      <c r="G1324" s="8"/>
      <c r="H1324" s="8"/>
      <c r="I1324" s="8"/>
      <c r="J1324" s="8"/>
      <c r="K1324" s="8"/>
      <c r="L1324" s="8"/>
      <c r="M1324" s="8"/>
      <c r="N1324" s="8"/>
      <c r="O1324" s="8"/>
      <c r="P1324" s="8"/>
      <c r="Q1324" s="8"/>
      <c r="R1324" s="8"/>
      <c r="S1324" s="8"/>
      <c r="T1324" s="8"/>
      <c r="U1324" s="8"/>
      <c r="V1324" s="8"/>
      <c r="W1324" s="8"/>
      <c r="X1324" s="8"/>
      <c r="Y1324" s="8"/>
    </row>
    <row r="1325">
      <c r="A1325" s="8"/>
      <c r="B1325" s="8"/>
      <c r="C1325" s="8"/>
      <c r="D1325" s="8"/>
      <c r="E1325" s="8"/>
      <c r="F1325" s="8"/>
      <c r="G1325" s="8"/>
      <c r="H1325" s="8"/>
      <c r="I1325" s="8"/>
      <c r="J1325" s="8"/>
      <c r="K1325" s="8"/>
      <c r="L1325" s="8"/>
      <c r="M1325" s="8"/>
      <c r="N1325" s="8"/>
      <c r="O1325" s="8"/>
      <c r="P1325" s="8"/>
      <c r="Q1325" s="8"/>
      <c r="R1325" s="8"/>
      <c r="S1325" s="8"/>
      <c r="T1325" s="8"/>
      <c r="U1325" s="8"/>
      <c r="V1325" s="8"/>
      <c r="W1325" s="8"/>
      <c r="X1325" s="8"/>
      <c r="Y1325" s="8"/>
    </row>
    <row r="1326">
      <c r="A1326" s="8"/>
      <c r="B1326" s="8"/>
      <c r="C1326" s="8"/>
      <c r="D1326" s="8"/>
      <c r="E1326" s="8"/>
      <c r="F1326" s="8"/>
      <c r="G1326" s="8"/>
      <c r="H1326" s="8"/>
      <c r="I1326" s="8"/>
      <c r="J1326" s="8"/>
      <c r="K1326" s="8"/>
      <c r="L1326" s="8"/>
      <c r="M1326" s="8"/>
      <c r="N1326" s="8"/>
      <c r="O1326" s="8"/>
      <c r="P1326" s="8"/>
      <c r="Q1326" s="8"/>
      <c r="R1326" s="8"/>
      <c r="S1326" s="8"/>
      <c r="T1326" s="8"/>
      <c r="U1326" s="8"/>
      <c r="V1326" s="8"/>
      <c r="W1326" s="8"/>
      <c r="X1326" s="8"/>
      <c r="Y1326" s="8"/>
    </row>
    <row r="1327">
      <c r="A1327" s="8"/>
      <c r="B1327" s="8"/>
      <c r="C1327" s="8"/>
      <c r="D1327" s="8"/>
      <c r="E1327" s="8"/>
      <c r="F1327" s="8"/>
      <c r="G1327" s="8"/>
      <c r="H1327" s="8"/>
      <c r="I1327" s="8"/>
      <c r="J1327" s="8"/>
      <c r="K1327" s="8"/>
      <c r="L1327" s="8"/>
      <c r="M1327" s="8"/>
      <c r="N1327" s="8"/>
      <c r="O1327" s="8"/>
      <c r="P1327" s="8"/>
      <c r="Q1327" s="8"/>
      <c r="R1327" s="8"/>
      <c r="S1327" s="8"/>
      <c r="T1327" s="8"/>
      <c r="U1327" s="8"/>
      <c r="V1327" s="8"/>
      <c r="W1327" s="8"/>
      <c r="X1327" s="8"/>
      <c r="Y1327" s="8"/>
    </row>
    <row r="1328">
      <c r="A1328" s="8"/>
      <c r="B1328" s="8"/>
      <c r="C1328" s="8"/>
      <c r="D1328" s="8"/>
      <c r="E1328" s="8"/>
      <c r="F1328" s="8"/>
      <c r="G1328" s="8"/>
      <c r="H1328" s="8"/>
      <c r="I1328" s="8"/>
      <c r="J1328" s="8"/>
      <c r="K1328" s="8"/>
      <c r="L1328" s="8"/>
      <c r="M1328" s="8"/>
      <c r="N1328" s="8"/>
      <c r="O1328" s="8"/>
      <c r="P1328" s="8"/>
      <c r="Q1328" s="8"/>
      <c r="R1328" s="8"/>
      <c r="S1328" s="8"/>
      <c r="T1328" s="8"/>
      <c r="U1328" s="8"/>
      <c r="V1328" s="8"/>
      <c r="W1328" s="8"/>
      <c r="X1328" s="8"/>
      <c r="Y1328" s="8"/>
    </row>
    <row r="1329">
      <c r="A1329" s="8"/>
      <c r="B1329" s="8"/>
      <c r="C1329" s="8"/>
      <c r="D1329" s="8"/>
      <c r="E1329" s="8"/>
      <c r="F1329" s="8"/>
      <c r="G1329" s="8"/>
      <c r="H1329" s="8"/>
      <c r="I1329" s="8"/>
      <c r="J1329" s="8"/>
      <c r="K1329" s="8"/>
      <c r="L1329" s="8"/>
      <c r="M1329" s="8"/>
      <c r="N1329" s="8"/>
      <c r="O1329" s="8"/>
      <c r="P1329" s="8"/>
      <c r="Q1329" s="8"/>
      <c r="R1329" s="8"/>
      <c r="S1329" s="8"/>
      <c r="T1329" s="8"/>
      <c r="U1329" s="8"/>
      <c r="V1329" s="8"/>
      <c r="W1329" s="8"/>
      <c r="X1329" s="8"/>
      <c r="Y1329" s="8"/>
    </row>
    <row r="1330">
      <c r="A1330" s="8"/>
      <c r="B1330" s="8"/>
      <c r="C1330" s="8"/>
      <c r="D1330" s="8"/>
      <c r="E1330" s="8"/>
      <c r="F1330" s="8"/>
      <c r="G1330" s="8"/>
      <c r="H1330" s="8"/>
      <c r="I1330" s="8"/>
      <c r="J1330" s="8"/>
      <c r="K1330" s="8"/>
      <c r="L1330" s="8"/>
      <c r="M1330" s="8"/>
      <c r="N1330" s="8"/>
      <c r="O1330" s="8"/>
      <c r="P1330" s="8"/>
      <c r="Q1330" s="8"/>
      <c r="R1330" s="8"/>
      <c r="S1330" s="8"/>
      <c r="T1330" s="8"/>
      <c r="U1330" s="8"/>
      <c r="V1330" s="8"/>
      <c r="W1330" s="8"/>
      <c r="X1330" s="8"/>
      <c r="Y1330" s="8"/>
    </row>
    <row r="1331">
      <c r="A1331" s="8"/>
      <c r="B1331" s="8"/>
      <c r="C1331" s="8"/>
      <c r="D1331" s="8"/>
      <c r="E1331" s="8"/>
      <c r="F1331" s="8"/>
      <c r="G1331" s="8"/>
      <c r="H1331" s="8"/>
      <c r="I1331" s="8"/>
      <c r="J1331" s="8"/>
      <c r="K1331" s="8"/>
      <c r="L1331" s="8"/>
      <c r="M1331" s="8"/>
      <c r="N1331" s="8"/>
      <c r="O1331" s="8"/>
      <c r="P1331" s="8"/>
      <c r="Q1331" s="8"/>
      <c r="R1331" s="8"/>
      <c r="S1331" s="8"/>
      <c r="T1331" s="8"/>
      <c r="U1331" s="8"/>
      <c r="V1331" s="8"/>
      <c r="W1331" s="8"/>
      <c r="X1331" s="8"/>
      <c r="Y1331" s="8"/>
    </row>
    <row r="1332">
      <c r="A1332" s="8"/>
      <c r="B1332" s="8"/>
      <c r="C1332" s="8"/>
      <c r="D1332" s="8"/>
      <c r="E1332" s="8"/>
      <c r="F1332" s="8"/>
      <c r="G1332" s="8"/>
      <c r="H1332" s="8"/>
      <c r="I1332" s="8"/>
      <c r="J1332" s="8"/>
      <c r="K1332" s="8"/>
      <c r="L1332" s="8"/>
      <c r="M1332" s="8"/>
      <c r="N1332" s="8"/>
      <c r="O1332" s="8"/>
      <c r="P1332" s="8"/>
      <c r="Q1332" s="8"/>
      <c r="R1332" s="8"/>
      <c r="S1332" s="8"/>
      <c r="T1332" s="8"/>
      <c r="U1332" s="8"/>
      <c r="V1332" s="8"/>
      <c r="W1332" s="8"/>
      <c r="X1332" s="8"/>
      <c r="Y1332" s="8"/>
    </row>
    <row r="1333">
      <c r="A1333" s="8"/>
      <c r="B1333" s="8"/>
      <c r="C1333" s="8"/>
      <c r="D1333" s="8"/>
      <c r="E1333" s="8"/>
      <c r="F1333" s="8"/>
      <c r="G1333" s="8"/>
      <c r="H1333" s="8"/>
      <c r="I1333" s="8"/>
      <c r="J1333" s="8"/>
      <c r="K1333" s="8"/>
      <c r="L1333" s="8"/>
      <c r="M1333" s="8"/>
      <c r="N1333" s="8"/>
      <c r="O1333" s="8"/>
      <c r="P1333" s="8"/>
      <c r="Q1333" s="8"/>
      <c r="R1333" s="8"/>
      <c r="S1333" s="8"/>
      <c r="T1333" s="8"/>
      <c r="U1333" s="8"/>
      <c r="V1333" s="8"/>
      <c r="W1333" s="8"/>
      <c r="X1333" s="8"/>
      <c r="Y1333" s="8"/>
    </row>
    <row r="1334">
      <c r="A1334" s="8"/>
      <c r="B1334" s="8"/>
      <c r="C1334" s="8"/>
      <c r="D1334" s="8"/>
      <c r="E1334" s="8"/>
      <c r="F1334" s="8"/>
      <c r="G1334" s="8"/>
      <c r="H1334" s="8"/>
      <c r="I1334" s="8"/>
      <c r="J1334" s="8"/>
      <c r="K1334" s="8"/>
      <c r="L1334" s="8"/>
      <c r="M1334" s="8"/>
      <c r="N1334" s="8"/>
      <c r="O1334" s="8"/>
      <c r="P1334" s="8"/>
      <c r="Q1334" s="8"/>
      <c r="R1334" s="8"/>
      <c r="S1334" s="8"/>
      <c r="T1334" s="8"/>
      <c r="U1334" s="8"/>
      <c r="V1334" s="8"/>
      <c r="W1334" s="8"/>
      <c r="X1334" s="8"/>
      <c r="Y1334" s="8"/>
    </row>
    <row r="1335">
      <c r="A1335" s="8"/>
      <c r="B1335" s="8"/>
      <c r="C1335" s="8"/>
      <c r="D1335" s="8"/>
      <c r="E1335" s="8"/>
      <c r="F1335" s="8"/>
      <c r="G1335" s="8"/>
      <c r="H1335" s="8"/>
      <c r="I1335" s="8"/>
      <c r="J1335" s="8"/>
      <c r="K1335" s="8"/>
      <c r="L1335" s="8"/>
      <c r="M1335" s="8"/>
      <c r="N1335" s="8"/>
      <c r="O1335" s="8"/>
      <c r="P1335" s="8"/>
      <c r="Q1335" s="8"/>
      <c r="R1335" s="8"/>
      <c r="S1335" s="8"/>
      <c r="T1335" s="8"/>
      <c r="U1335" s="8"/>
      <c r="V1335" s="8"/>
      <c r="W1335" s="8"/>
      <c r="X1335" s="8"/>
      <c r="Y1335" s="8"/>
    </row>
    <row r="1336">
      <c r="A1336" s="8"/>
      <c r="B1336" s="8"/>
      <c r="C1336" s="8"/>
      <c r="D1336" s="8"/>
      <c r="E1336" s="8"/>
      <c r="F1336" s="8"/>
      <c r="G1336" s="8"/>
      <c r="H1336" s="8"/>
      <c r="I1336" s="8"/>
      <c r="J1336" s="8"/>
      <c r="K1336" s="8"/>
      <c r="L1336" s="8"/>
      <c r="M1336" s="8"/>
      <c r="N1336" s="8"/>
      <c r="O1336" s="8"/>
      <c r="P1336" s="8"/>
      <c r="Q1336" s="8"/>
      <c r="R1336" s="8"/>
      <c r="S1336" s="8"/>
      <c r="T1336" s="8"/>
      <c r="U1336" s="8"/>
      <c r="V1336" s="8"/>
      <c r="W1336" s="8"/>
      <c r="X1336" s="8"/>
      <c r="Y1336" s="8"/>
    </row>
    <row r="1337">
      <c r="A1337" s="8"/>
      <c r="B1337" s="8"/>
      <c r="C1337" s="8"/>
      <c r="D1337" s="8"/>
      <c r="E1337" s="8"/>
      <c r="F1337" s="8"/>
      <c r="G1337" s="8"/>
      <c r="H1337" s="8"/>
      <c r="I1337" s="8"/>
      <c r="J1337" s="8"/>
      <c r="K1337" s="8"/>
      <c r="L1337" s="8"/>
      <c r="M1337" s="8"/>
      <c r="N1337" s="8"/>
      <c r="O1337" s="8"/>
      <c r="P1337" s="8"/>
      <c r="Q1337" s="8"/>
      <c r="R1337" s="8"/>
      <c r="S1337" s="8"/>
      <c r="T1337" s="8"/>
      <c r="U1337" s="8"/>
      <c r="V1337" s="8"/>
      <c r="W1337" s="8"/>
      <c r="X1337" s="8"/>
      <c r="Y1337" s="8"/>
    </row>
    <row r="1338">
      <c r="A1338" s="8"/>
      <c r="B1338" s="8"/>
      <c r="C1338" s="8"/>
      <c r="D1338" s="8"/>
      <c r="E1338" s="8"/>
      <c r="F1338" s="8"/>
      <c r="G1338" s="8"/>
      <c r="H1338" s="8"/>
      <c r="I1338" s="8"/>
      <c r="J1338" s="8"/>
      <c r="K1338" s="8"/>
      <c r="L1338" s="8"/>
      <c r="M1338" s="8"/>
      <c r="N1338" s="8"/>
      <c r="O1338" s="8"/>
      <c r="P1338" s="8"/>
      <c r="Q1338" s="8"/>
      <c r="R1338" s="8"/>
      <c r="S1338" s="8"/>
      <c r="T1338" s="8"/>
      <c r="U1338" s="8"/>
      <c r="V1338" s="8"/>
      <c r="W1338" s="8"/>
      <c r="X1338" s="8"/>
      <c r="Y1338" s="8"/>
    </row>
    <row r="1339">
      <c r="A1339" s="8"/>
      <c r="B1339" s="8"/>
      <c r="C1339" s="8"/>
      <c r="D1339" s="8"/>
      <c r="E1339" s="8"/>
      <c r="F1339" s="8"/>
      <c r="G1339" s="8"/>
      <c r="H1339" s="8"/>
      <c r="I1339" s="8"/>
      <c r="J1339" s="8"/>
      <c r="K1339" s="8"/>
      <c r="L1339" s="8"/>
      <c r="M1339" s="8"/>
      <c r="N1339" s="8"/>
      <c r="O1339" s="8"/>
      <c r="P1339" s="8"/>
      <c r="Q1339" s="8"/>
      <c r="R1339" s="8"/>
      <c r="S1339" s="8"/>
      <c r="T1339" s="8"/>
      <c r="U1339" s="8"/>
      <c r="V1339" s="8"/>
      <c r="W1339" s="8"/>
      <c r="X1339" s="8"/>
      <c r="Y1339" s="8"/>
    </row>
    <row r="1340">
      <c r="A1340" s="8"/>
      <c r="B1340" s="8"/>
      <c r="C1340" s="8"/>
      <c r="D1340" s="8"/>
      <c r="E1340" s="8"/>
      <c r="F1340" s="8"/>
      <c r="G1340" s="8"/>
      <c r="H1340" s="8"/>
      <c r="I1340" s="8"/>
      <c r="J1340" s="8"/>
      <c r="K1340" s="8"/>
      <c r="L1340" s="8"/>
      <c r="M1340" s="8"/>
      <c r="N1340" s="8"/>
      <c r="O1340" s="8"/>
      <c r="P1340" s="8"/>
      <c r="Q1340" s="8"/>
      <c r="R1340" s="8"/>
      <c r="S1340" s="8"/>
      <c r="T1340" s="8"/>
      <c r="U1340" s="8"/>
      <c r="V1340" s="8"/>
      <c r="W1340" s="8"/>
      <c r="X1340" s="8"/>
      <c r="Y1340" s="8"/>
    </row>
    <row r="1341">
      <c r="A1341" s="8"/>
      <c r="B1341" s="8"/>
      <c r="C1341" s="8"/>
      <c r="D1341" s="8"/>
      <c r="E1341" s="8"/>
      <c r="F1341" s="8"/>
      <c r="G1341" s="8"/>
      <c r="H1341" s="8"/>
      <c r="I1341" s="8"/>
      <c r="J1341" s="8"/>
      <c r="K1341" s="8"/>
      <c r="L1341" s="8"/>
      <c r="M1341" s="8"/>
      <c r="N1341" s="8"/>
      <c r="O1341" s="8"/>
      <c r="P1341" s="8"/>
      <c r="Q1341" s="8"/>
      <c r="R1341" s="8"/>
      <c r="S1341" s="8"/>
      <c r="T1341" s="8"/>
      <c r="U1341" s="8"/>
      <c r="V1341" s="8"/>
      <c r="W1341" s="8"/>
      <c r="X1341" s="8"/>
      <c r="Y1341" s="8"/>
    </row>
    <row r="1342">
      <c r="A1342" s="8"/>
      <c r="B1342" s="8"/>
      <c r="C1342" s="8"/>
      <c r="D1342" s="8"/>
      <c r="E1342" s="8"/>
      <c r="F1342" s="8"/>
      <c r="G1342" s="8"/>
      <c r="H1342" s="8"/>
      <c r="I1342" s="8"/>
      <c r="J1342" s="8"/>
      <c r="K1342" s="8"/>
      <c r="L1342" s="8"/>
      <c r="M1342" s="8"/>
      <c r="N1342" s="8"/>
      <c r="O1342" s="8"/>
      <c r="P1342" s="8"/>
      <c r="Q1342" s="8"/>
      <c r="R1342" s="8"/>
      <c r="S1342" s="8"/>
      <c r="T1342" s="8"/>
      <c r="U1342" s="8"/>
      <c r="V1342" s="8"/>
      <c r="W1342" s="8"/>
      <c r="X1342" s="8"/>
      <c r="Y1342" s="8"/>
    </row>
    <row r="1343">
      <c r="A1343" s="8"/>
      <c r="B1343" s="8"/>
      <c r="C1343" s="8"/>
      <c r="D1343" s="8"/>
      <c r="E1343" s="8"/>
      <c r="F1343" s="8"/>
      <c r="G1343" s="8"/>
      <c r="H1343" s="8"/>
      <c r="I1343" s="8"/>
      <c r="J1343" s="8"/>
      <c r="K1343" s="8"/>
      <c r="L1343" s="8"/>
      <c r="M1343" s="8"/>
      <c r="N1343" s="8"/>
      <c r="O1343" s="8"/>
      <c r="P1343" s="8"/>
      <c r="Q1343" s="8"/>
      <c r="R1343" s="8"/>
      <c r="S1343" s="8"/>
      <c r="T1343" s="8"/>
      <c r="U1343" s="8"/>
      <c r="V1343" s="8"/>
      <c r="W1343" s="8"/>
      <c r="X1343" s="8"/>
      <c r="Y1343" s="8"/>
    </row>
    <row r="1344">
      <c r="A1344" s="8"/>
      <c r="B1344" s="8"/>
      <c r="C1344" s="8"/>
      <c r="D1344" s="8"/>
      <c r="E1344" s="8"/>
      <c r="F1344" s="8"/>
      <c r="G1344" s="8"/>
      <c r="H1344" s="8"/>
      <c r="I1344" s="8"/>
      <c r="J1344" s="8"/>
      <c r="K1344" s="8"/>
      <c r="L1344" s="8"/>
      <c r="M1344" s="8"/>
      <c r="N1344" s="8"/>
      <c r="O1344" s="8"/>
      <c r="P1344" s="8"/>
      <c r="Q1344" s="8"/>
      <c r="R1344" s="8"/>
      <c r="S1344" s="8"/>
      <c r="T1344" s="8"/>
      <c r="U1344" s="8"/>
      <c r="V1344" s="8"/>
      <c r="W1344" s="8"/>
      <c r="X1344" s="8"/>
      <c r="Y1344" s="8"/>
    </row>
    <row r="1345">
      <c r="A1345" s="8"/>
      <c r="B1345" s="8"/>
      <c r="C1345" s="8"/>
      <c r="D1345" s="8"/>
      <c r="E1345" s="8"/>
      <c r="F1345" s="8"/>
      <c r="G1345" s="8"/>
      <c r="H1345" s="8"/>
      <c r="I1345" s="8"/>
      <c r="J1345" s="8"/>
      <c r="K1345" s="8"/>
      <c r="L1345" s="8"/>
      <c r="M1345" s="8"/>
      <c r="N1345" s="8"/>
      <c r="O1345" s="8"/>
      <c r="P1345" s="8"/>
      <c r="Q1345" s="8"/>
      <c r="R1345" s="8"/>
      <c r="S1345" s="8"/>
      <c r="T1345" s="8"/>
      <c r="U1345" s="8"/>
      <c r="V1345" s="8"/>
      <c r="W1345" s="8"/>
      <c r="X1345" s="8"/>
      <c r="Y1345" s="8"/>
    </row>
    <row r="1346">
      <c r="A1346" s="8"/>
      <c r="B1346" s="8"/>
      <c r="C1346" s="8"/>
      <c r="D1346" s="8"/>
      <c r="E1346" s="8"/>
      <c r="F1346" s="8"/>
      <c r="G1346" s="8"/>
      <c r="H1346" s="8"/>
      <c r="I1346" s="8"/>
      <c r="J1346" s="8"/>
      <c r="K1346" s="8"/>
      <c r="L1346" s="8"/>
      <c r="M1346" s="8"/>
      <c r="N1346" s="8"/>
      <c r="O1346" s="8"/>
      <c r="P1346" s="8"/>
      <c r="Q1346" s="8"/>
      <c r="R1346" s="8"/>
      <c r="S1346" s="8"/>
      <c r="T1346" s="8"/>
      <c r="U1346" s="8"/>
      <c r="V1346" s="8"/>
      <c r="W1346" s="8"/>
      <c r="X1346" s="8"/>
      <c r="Y1346" s="8"/>
    </row>
    <row r="1347">
      <c r="A1347" s="8"/>
      <c r="B1347" s="8"/>
      <c r="C1347" s="8"/>
      <c r="D1347" s="8"/>
      <c r="E1347" s="8"/>
      <c r="F1347" s="8"/>
      <c r="G1347" s="8"/>
      <c r="H1347" s="8"/>
      <c r="I1347" s="8"/>
      <c r="J1347" s="8"/>
      <c r="K1347" s="8"/>
      <c r="L1347" s="8"/>
      <c r="M1347" s="8"/>
      <c r="N1347" s="8"/>
      <c r="O1347" s="8"/>
      <c r="P1347" s="8"/>
      <c r="Q1347" s="8"/>
      <c r="R1347" s="8"/>
      <c r="S1347" s="8"/>
      <c r="T1347" s="8"/>
      <c r="U1347" s="8"/>
      <c r="V1347" s="8"/>
      <c r="W1347" s="8"/>
      <c r="X1347" s="8"/>
      <c r="Y1347" s="8"/>
    </row>
    <row r="1348">
      <c r="A1348" s="8"/>
      <c r="B1348" s="8"/>
      <c r="C1348" s="8"/>
      <c r="D1348" s="8"/>
      <c r="E1348" s="8"/>
      <c r="F1348" s="8"/>
      <c r="G1348" s="8"/>
      <c r="H1348" s="8"/>
      <c r="I1348" s="8"/>
      <c r="J1348" s="8"/>
      <c r="K1348" s="8"/>
      <c r="L1348" s="8"/>
      <c r="M1348" s="8"/>
      <c r="N1348" s="8"/>
      <c r="O1348" s="8"/>
      <c r="P1348" s="8"/>
      <c r="Q1348" s="8"/>
      <c r="R1348" s="8"/>
      <c r="S1348" s="8"/>
      <c r="T1348" s="8"/>
      <c r="U1348" s="8"/>
      <c r="V1348" s="8"/>
      <c r="W1348" s="8"/>
      <c r="X1348" s="8"/>
      <c r="Y1348" s="8"/>
    </row>
    <row r="1349">
      <c r="A1349" s="8"/>
      <c r="B1349" s="8"/>
      <c r="C1349" s="8"/>
      <c r="D1349" s="8"/>
      <c r="E1349" s="8"/>
      <c r="F1349" s="8"/>
      <c r="G1349" s="8"/>
      <c r="H1349" s="8"/>
      <c r="I1349" s="8"/>
      <c r="J1349" s="8"/>
      <c r="K1349" s="8"/>
      <c r="L1349" s="8"/>
      <c r="M1349" s="8"/>
      <c r="N1349" s="8"/>
      <c r="O1349" s="8"/>
      <c r="P1349" s="8"/>
      <c r="Q1349" s="8"/>
      <c r="R1349" s="8"/>
      <c r="S1349" s="8"/>
      <c r="T1349" s="8"/>
      <c r="U1349" s="8"/>
      <c r="V1349" s="8"/>
      <c r="W1349" s="8"/>
      <c r="X1349" s="8"/>
      <c r="Y1349" s="8"/>
    </row>
    <row r="1350">
      <c r="A1350" s="8"/>
      <c r="B1350" s="8"/>
      <c r="C1350" s="8"/>
      <c r="D1350" s="8"/>
      <c r="E1350" s="8"/>
      <c r="F1350" s="8"/>
      <c r="G1350" s="8"/>
      <c r="H1350" s="8"/>
      <c r="I1350" s="8"/>
      <c r="J1350" s="8"/>
      <c r="K1350" s="8"/>
      <c r="L1350" s="8"/>
      <c r="M1350" s="8"/>
      <c r="N1350" s="8"/>
      <c r="O1350" s="8"/>
      <c r="P1350" s="8"/>
      <c r="Q1350" s="8"/>
      <c r="R1350" s="8"/>
      <c r="S1350" s="8"/>
      <c r="T1350" s="8"/>
      <c r="U1350" s="8"/>
      <c r="V1350" s="8"/>
      <c r="W1350" s="8"/>
      <c r="X1350" s="8"/>
      <c r="Y1350" s="8"/>
    </row>
    <row r="1351">
      <c r="A1351" s="8"/>
      <c r="B1351" s="8"/>
      <c r="C1351" s="8"/>
      <c r="D1351" s="8"/>
      <c r="E1351" s="8"/>
      <c r="F1351" s="8"/>
      <c r="G1351" s="8"/>
      <c r="H1351" s="8"/>
      <c r="I1351" s="8"/>
      <c r="J1351" s="8"/>
      <c r="K1351" s="8"/>
      <c r="L1351" s="8"/>
      <c r="M1351" s="8"/>
      <c r="N1351" s="8"/>
      <c r="O1351" s="8"/>
      <c r="P1351" s="8"/>
      <c r="Q1351" s="8"/>
      <c r="R1351" s="8"/>
      <c r="S1351" s="8"/>
      <c r="T1351" s="8"/>
      <c r="U1351" s="8"/>
      <c r="V1351" s="8"/>
      <c r="W1351" s="8"/>
      <c r="X1351" s="8"/>
      <c r="Y1351" s="8"/>
    </row>
    <row r="1352">
      <c r="A1352" s="8"/>
      <c r="B1352" s="8"/>
      <c r="C1352" s="8"/>
      <c r="D1352" s="8"/>
      <c r="E1352" s="8"/>
      <c r="F1352" s="8"/>
      <c r="G1352" s="8"/>
      <c r="H1352" s="8"/>
      <c r="I1352" s="8"/>
      <c r="J1352" s="8"/>
      <c r="K1352" s="8"/>
      <c r="L1352" s="8"/>
      <c r="M1352" s="8"/>
      <c r="N1352" s="8"/>
      <c r="O1352" s="8"/>
      <c r="P1352" s="8"/>
      <c r="Q1352" s="8"/>
      <c r="R1352" s="8"/>
      <c r="S1352" s="8"/>
      <c r="T1352" s="8"/>
      <c r="U1352" s="8"/>
      <c r="V1352" s="8"/>
      <c r="W1352" s="8"/>
      <c r="X1352" s="8"/>
      <c r="Y1352" s="8"/>
    </row>
    <row r="1353">
      <c r="A1353" s="8"/>
      <c r="B1353" s="8"/>
      <c r="C1353" s="8"/>
      <c r="D1353" s="8"/>
      <c r="E1353" s="8"/>
      <c r="F1353" s="8"/>
      <c r="G1353" s="8"/>
      <c r="H1353" s="8"/>
      <c r="I1353" s="8"/>
      <c r="J1353" s="8"/>
      <c r="K1353" s="8"/>
      <c r="L1353" s="8"/>
      <c r="M1353" s="8"/>
      <c r="N1353" s="8"/>
      <c r="O1353" s="8"/>
      <c r="P1353" s="8"/>
      <c r="Q1353" s="8"/>
      <c r="R1353" s="8"/>
      <c r="S1353" s="8"/>
      <c r="T1353" s="8"/>
      <c r="U1353" s="8"/>
      <c r="V1353" s="8"/>
      <c r="W1353" s="8"/>
      <c r="X1353" s="8"/>
      <c r="Y1353" s="8"/>
    </row>
    <row r="1354">
      <c r="A1354" s="8"/>
      <c r="B1354" s="8"/>
      <c r="C1354" s="8"/>
      <c r="D1354" s="8"/>
      <c r="E1354" s="8"/>
      <c r="F1354" s="8"/>
      <c r="G1354" s="8"/>
      <c r="H1354" s="8"/>
      <c r="I1354" s="8"/>
      <c r="J1354" s="8"/>
      <c r="K1354" s="8"/>
      <c r="L1354" s="8"/>
      <c r="M1354" s="8"/>
      <c r="N1354" s="8"/>
      <c r="O1354" s="8"/>
      <c r="P1354" s="8"/>
      <c r="Q1354" s="8"/>
      <c r="R1354" s="8"/>
      <c r="S1354" s="8"/>
      <c r="T1354" s="8"/>
      <c r="U1354" s="8"/>
      <c r="V1354" s="8"/>
      <c r="W1354" s="8"/>
      <c r="X1354" s="8"/>
      <c r="Y1354" s="8"/>
    </row>
    <row r="1355">
      <c r="A1355" s="8"/>
      <c r="B1355" s="8"/>
      <c r="C1355" s="8"/>
      <c r="D1355" s="8"/>
      <c r="E1355" s="8"/>
      <c r="F1355" s="8"/>
      <c r="G1355" s="8"/>
      <c r="H1355" s="8"/>
      <c r="I1355" s="8"/>
      <c r="J1355" s="8"/>
      <c r="K1355" s="8"/>
      <c r="L1355" s="8"/>
      <c r="M1355" s="8"/>
      <c r="N1355" s="8"/>
      <c r="O1355" s="8"/>
      <c r="P1355" s="8"/>
      <c r="Q1355" s="8"/>
      <c r="R1355" s="8"/>
      <c r="S1355" s="8"/>
      <c r="T1355" s="8"/>
      <c r="U1355" s="8"/>
      <c r="V1355" s="8"/>
      <c r="W1355" s="8"/>
      <c r="X1355" s="8"/>
      <c r="Y1355" s="8"/>
    </row>
    <row r="1356">
      <c r="A1356" s="8"/>
      <c r="B1356" s="8"/>
      <c r="C1356" s="8"/>
      <c r="D1356" s="8"/>
      <c r="E1356" s="8"/>
      <c r="F1356" s="8"/>
      <c r="G1356" s="8"/>
      <c r="H1356" s="8"/>
      <c r="I1356" s="8"/>
      <c r="J1356" s="8"/>
      <c r="K1356" s="8"/>
      <c r="L1356" s="8"/>
      <c r="M1356" s="8"/>
      <c r="N1356" s="8"/>
      <c r="O1356" s="8"/>
      <c r="P1356" s="8"/>
      <c r="Q1356" s="8"/>
      <c r="R1356" s="8"/>
      <c r="S1356" s="8"/>
      <c r="T1356" s="8"/>
      <c r="U1356" s="8"/>
      <c r="V1356" s="8"/>
      <c r="W1356" s="8"/>
      <c r="X1356" s="8"/>
      <c r="Y1356" s="8"/>
    </row>
    <row r="1357">
      <c r="A1357" s="8"/>
      <c r="B1357" s="8"/>
      <c r="C1357" s="8"/>
      <c r="D1357" s="8"/>
      <c r="E1357" s="8"/>
      <c r="F1357" s="8"/>
      <c r="G1357" s="8"/>
      <c r="H1357" s="8"/>
      <c r="I1357" s="8"/>
      <c r="J1357" s="8"/>
      <c r="K1357" s="8"/>
      <c r="L1357" s="8"/>
      <c r="M1357" s="8"/>
      <c r="N1357" s="8"/>
      <c r="O1357" s="8"/>
      <c r="P1357" s="8"/>
      <c r="Q1357" s="8"/>
      <c r="R1357" s="8"/>
      <c r="S1357" s="8"/>
      <c r="T1357" s="8"/>
      <c r="U1357" s="8"/>
      <c r="V1357" s="8"/>
      <c r="W1357" s="8"/>
      <c r="X1357" s="8"/>
      <c r="Y1357" s="8"/>
    </row>
    <row r="1358">
      <c r="A1358" s="8"/>
      <c r="B1358" s="8"/>
      <c r="C1358" s="8"/>
      <c r="D1358" s="8"/>
      <c r="E1358" s="8"/>
      <c r="F1358" s="8"/>
      <c r="G1358" s="8"/>
      <c r="H1358" s="8"/>
      <c r="I1358" s="8"/>
      <c r="J1358" s="8"/>
      <c r="K1358" s="8"/>
      <c r="L1358" s="8"/>
      <c r="M1358" s="8"/>
      <c r="N1358" s="8"/>
      <c r="O1358" s="8"/>
      <c r="P1358" s="8"/>
      <c r="Q1358" s="8"/>
      <c r="R1358" s="8"/>
      <c r="S1358" s="8"/>
      <c r="T1358" s="8"/>
      <c r="U1358" s="8"/>
      <c r="V1358" s="8"/>
      <c r="W1358" s="8"/>
      <c r="X1358" s="8"/>
      <c r="Y1358" s="8"/>
    </row>
    <row r="1359">
      <c r="A1359" s="8"/>
      <c r="B1359" s="8"/>
      <c r="C1359" s="8"/>
      <c r="D1359" s="8"/>
      <c r="E1359" s="8"/>
      <c r="F1359" s="8"/>
      <c r="G1359" s="8"/>
      <c r="H1359" s="8"/>
      <c r="I1359" s="8"/>
      <c r="J1359" s="8"/>
      <c r="K1359" s="8"/>
      <c r="L1359" s="8"/>
      <c r="M1359" s="8"/>
      <c r="N1359" s="8"/>
      <c r="O1359" s="8"/>
      <c r="P1359" s="8"/>
      <c r="Q1359" s="8"/>
      <c r="R1359" s="8"/>
      <c r="S1359" s="8"/>
      <c r="T1359" s="8"/>
      <c r="U1359" s="8"/>
      <c r="V1359" s="8"/>
      <c r="W1359" s="8"/>
      <c r="X1359" s="8"/>
      <c r="Y1359" s="8"/>
    </row>
    <row r="1360">
      <c r="A1360" s="8"/>
      <c r="B1360" s="8"/>
      <c r="C1360" s="8"/>
      <c r="D1360" s="8"/>
      <c r="E1360" s="8"/>
      <c r="F1360" s="8"/>
      <c r="G1360" s="8"/>
      <c r="H1360" s="8"/>
      <c r="I1360" s="8"/>
      <c r="J1360" s="8"/>
      <c r="K1360" s="8"/>
      <c r="L1360" s="8"/>
      <c r="M1360" s="8"/>
      <c r="N1360" s="8"/>
      <c r="O1360" s="8"/>
      <c r="P1360" s="8"/>
      <c r="Q1360" s="8"/>
      <c r="R1360" s="8"/>
      <c r="S1360" s="8"/>
      <c r="T1360" s="8"/>
      <c r="U1360" s="8"/>
      <c r="V1360" s="8"/>
      <c r="W1360" s="8"/>
      <c r="X1360" s="8"/>
      <c r="Y1360" s="8"/>
    </row>
    <row r="1361">
      <c r="A1361" s="8"/>
      <c r="B1361" s="8"/>
      <c r="C1361" s="8"/>
      <c r="D1361" s="8"/>
      <c r="E1361" s="8"/>
      <c r="F1361" s="8"/>
      <c r="G1361" s="8"/>
      <c r="H1361" s="8"/>
      <c r="I1361" s="8"/>
      <c r="J1361" s="8"/>
      <c r="K1361" s="8"/>
      <c r="L1361" s="8"/>
      <c r="M1361" s="8"/>
      <c r="N1361" s="8"/>
      <c r="O1361" s="8"/>
      <c r="P1361" s="8"/>
      <c r="Q1361" s="8"/>
      <c r="R1361" s="8"/>
      <c r="S1361" s="8"/>
      <c r="T1361" s="8"/>
      <c r="U1361" s="8"/>
      <c r="V1361" s="8"/>
      <c r="W1361" s="8"/>
      <c r="X1361" s="8"/>
      <c r="Y1361" s="8"/>
    </row>
    <row r="1362">
      <c r="A1362" s="8"/>
      <c r="B1362" s="8"/>
      <c r="C1362" s="8"/>
      <c r="D1362" s="8"/>
      <c r="E1362" s="8"/>
      <c r="F1362" s="8"/>
      <c r="G1362" s="8"/>
      <c r="H1362" s="8"/>
      <c r="I1362" s="8"/>
      <c r="J1362" s="8"/>
      <c r="K1362" s="8"/>
      <c r="L1362" s="8"/>
      <c r="M1362" s="8"/>
      <c r="N1362" s="8"/>
      <c r="O1362" s="8"/>
      <c r="P1362" s="8"/>
      <c r="Q1362" s="8"/>
      <c r="R1362" s="8"/>
      <c r="S1362" s="8"/>
      <c r="T1362" s="8"/>
      <c r="U1362" s="8"/>
      <c r="V1362" s="8"/>
      <c r="W1362" s="8"/>
      <c r="X1362" s="8"/>
      <c r="Y1362" s="8"/>
    </row>
    <row r="1363">
      <c r="A1363" s="8"/>
      <c r="B1363" s="8"/>
      <c r="C1363" s="8"/>
      <c r="D1363" s="8"/>
      <c r="E1363" s="8"/>
      <c r="F1363" s="8"/>
      <c r="G1363" s="8"/>
      <c r="H1363" s="8"/>
      <c r="I1363" s="8"/>
      <c r="J1363" s="8"/>
      <c r="K1363" s="8"/>
      <c r="L1363" s="8"/>
      <c r="M1363" s="8"/>
      <c r="N1363" s="8"/>
      <c r="O1363" s="8"/>
      <c r="P1363" s="8"/>
      <c r="Q1363" s="8"/>
      <c r="R1363" s="8"/>
      <c r="S1363" s="8"/>
      <c r="T1363" s="8"/>
      <c r="U1363" s="8"/>
      <c r="V1363" s="8"/>
      <c r="W1363" s="8"/>
      <c r="X1363" s="8"/>
      <c r="Y1363" s="8"/>
    </row>
    <row r="1364">
      <c r="A1364" s="8"/>
      <c r="B1364" s="8"/>
      <c r="C1364" s="8"/>
      <c r="D1364" s="8"/>
      <c r="E1364" s="8"/>
      <c r="F1364" s="8"/>
      <c r="G1364" s="8"/>
      <c r="H1364" s="8"/>
      <c r="I1364" s="8"/>
      <c r="J1364" s="8"/>
      <c r="K1364" s="8"/>
      <c r="L1364" s="8"/>
      <c r="M1364" s="8"/>
      <c r="N1364" s="8"/>
      <c r="O1364" s="8"/>
      <c r="P1364" s="8"/>
      <c r="Q1364" s="8"/>
      <c r="R1364" s="8"/>
      <c r="S1364" s="8"/>
      <c r="T1364" s="8"/>
      <c r="U1364" s="8"/>
      <c r="V1364" s="8"/>
      <c r="W1364" s="8"/>
      <c r="X1364" s="8"/>
      <c r="Y1364" s="8"/>
    </row>
    <row r="1365">
      <c r="A1365" s="8"/>
      <c r="B1365" s="8"/>
      <c r="C1365" s="8"/>
      <c r="D1365" s="8"/>
      <c r="E1365" s="8"/>
      <c r="F1365" s="8"/>
      <c r="G1365" s="8"/>
      <c r="H1365" s="8"/>
      <c r="I1365" s="8"/>
      <c r="J1365" s="8"/>
      <c r="K1365" s="8"/>
      <c r="L1365" s="8"/>
      <c r="M1365" s="8"/>
      <c r="N1365" s="8"/>
      <c r="O1365" s="8"/>
      <c r="P1365" s="8"/>
      <c r="Q1365" s="8"/>
      <c r="R1365" s="8"/>
      <c r="S1365" s="8"/>
      <c r="T1365" s="8"/>
      <c r="U1365" s="8"/>
      <c r="V1365" s="8"/>
      <c r="W1365" s="8"/>
      <c r="X1365" s="8"/>
      <c r="Y1365" s="8"/>
    </row>
    <row r="1366">
      <c r="A1366" s="8"/>
      <c r="B1366" s="8"/>
      <c r="C1366" s="8"/>
      <c r="D1366" s="8"/>
      <c r="E1366" s="8"/>
      <c r="F1366" s="8"/>
      <c r="G1366" s="8"/>
      <c r="H1366" s="8"/>
      <c r="I1366" s="8"/>
      <c r="J1366" s="8"/>
      <c r="K1366" s="8"/>
      <c r="L1366" s="8"/>
      <c r="M1366" s="8"/>
      <c r="N1366" s="8"/>
      <c r="O1366" s="8"/>
      <c r="P1366" s="8"/>
      <c r="Q1366" s="8"/>
      <c r="R1366" s="8"/>
      <c r="S1366" s="8"/>
      <c r="T1366" s="8"/>
      <c r="U1366" s="8"/>
      <c r="V1366" s="8"/>
      <c r="W1366" s="8"/>
      <c r="X1366" s="8"/>
      <c r="Y1366" s="8"/>
    </row>
    <row r="1367">
      <c r="A1367" s="8"/>
      <c r="B1367" s="8"/>
      <c r="C1367" s="8"/>
      <c r="D1367" s="8"/>
      <c r="E1367" s="8"/>
      <c r="F1367" s="8"/>
      <c r="G1367" s="8"/>
      <c r="H1367" s="8"/>
      <c r="I1367" s="8"/>
      <c r="J1367" s="8"/>
      <c r="K1367" s="8"/>
      <c r="L1367" s="8"/>
      <c r="M1367" s="8"/>
      <c r="N1367" s="8"/>
      <c r="O1367" s="8"/>
      <c r="P1367" s="8"/>
      <c r="Q1367" s="8"/>
      <c r="R1367" s="8"/>
      <c r="S1367" s="8"/>
      <c r="T1367" s="8"/>
      <c r="U1367" s="8"/>
      <c r="V1367" s="8"/>
      <c r="W1367" s="8"/>
      <c r="X1367" s="8"/>
      <c r="Y1367" s="8"/>
    </row>
    <row r="1368">
      <c r="A1368" s="8"/>
      <c r="B1368" s="8"/>
      <c r="C1368" s="8"/>
      <c r="D1368" s="8"/>
      <c r="E1368" s="8"/>
      <c r="F1368" s="8"/>
      <c r="G1368" s="8"/>
      <c r="H1368" s="8"/>
      <c r="I1368" s="8"/>
      <c r="J1368" s="8"/>
      <c r="K1368" s="8"/>
      <c r="L1368" s="8"/>
      <c r="M1368" s="8"/>
      <c r="N1368" s="8"/>
      <c r="O1368" s="8"/>
      <c r="P1368" s="8"/>
      <c r="Q1368" s="8"/>
      <c r="R1368" s="8"/>
      <c r="S1368" s="8"/>
      <c r="T1368" s="8"/>
      <c r="U1368" s="8"/>
      <c r="V1368" s="8"/>
      <c r="W1368" s="8"/>
      <c r="X1368" s="8"/>
      <c r="Y1368" s="8"/>
    </row>
    <row r="1369">
      <c r="A1369" s="8"/>
      <c r="B1369" s="8"/>
      <c r="C1369" s="8"/>
      <c r="D1369" s="8"/>
      <c r="E1369" s="8"/>
      <c r="F1369" s="8"/>
      <c r="G1369" s="8"/>
      <c r="H1369" s="8"/>
      <c r="I1369" s="8"/>
      <c r="J1369" s="8"/>
      <c r="K1369" s="8"/>
      <c r="L1369" s="8"/>
      <c r="M1369" s="8"/>
      <c r="N1369" s="8"/>
      <c r="O1369" s="8"/>
      <c r="P1369" s="8"/>
      <c r="Q1369" s="8"/>
      <c r="R1369" s="8"/>
      <c r="S1369" s="8"/>
      <c r="T1369" s="8"/>
      <c r="U1369" s="8"/>
      <c r="V1369" s="8"/>
      <c r="W1369" s="8"/>
      <c r="X1369" s="8"/>
      <c r="Y1369" s="8"/>
    </row>
    <row r="1370">
      <c r="A1370" s="8"/>
      <c r="B1370" s="8"/>
      <c r="C1370" s="8"/>
      <c r="D1370" s="8"/>
      <c r="E1370" s="8"/>
      <c r="F1370" s="8"/>
      <c r="G1370" s="8"/>
      <c r="H1370" s="8"/>
      <c r="I1370" s="8"/>
      <c r="J1370" s="8"/>
      <c r="K1370" s="8"/>
      <c r="L1370" s="8"/>
      <c r="M1370" s="8"/>
      <c r="N1370" s="8"/>
      <c r="O1370" s="8"/>
      <c r="P1370" s="8"/>
      <c r="Q1370" s="8"/>
      <c r="R1370" s="8"/>
      <c r="S1370" s="8"/>
      <c r="T1370" s="8"/>
      <c r="U1370" s="8"/>
      <c r="V1370" s="8"/>
      <c r="W1370" s="8"/>
      <c r="X1370" s="8"/>
      <c r="Y1370" s="8"/>
    </row>
    <row r="1371">
      <c r="A1371" s="8"/>
      <c r="B1371" s="8"/>
      <c r="C1371" s="8"/>
      <c r="D1371" s="8"/>
      <c r="E1371" s="8"/>
      <c r="F1371" s="8"/>
      <c r="G1371" s="8"/>
      <c r="H1371" s="8"/>
      <c r="I1371" s="8"/>
      <c r="J1371" s="8"/>
      <c r="K1371" s="8"/>
      <c r="L1371" s="8"/>
      <c r="M1371" s="8"/>
      <c r="N1371" s="8"/>
      <c r="O1371" s="8"/>
      <c r="P1371" s="8"/>
      <c r="Q1371" s="8"/>
      <c r="R1371" s="8"/>
      <c r="S1371" s="8"/>
      <c r="T1371" s="8"/>
      <c r="U1371" s="8"/>
      <c r="V1371" s="8"/>
      <c r="W1371" s="8"/>
      <c r="X1371" s="8"/>
      <c r="Y1371" s="8"/>
    </row>
    <row r="1372">
      <c r="A1372" s="8"/>
      <c r="B1372" s="8"/>
      <c r="C1372" s="8"/>
      <c r="D1372" s="8"/>
      <c r="E1372" s="8"/>
      <c r="F1372" s="8"/>
      <c r="G1372" s="8"/>
      <c r="H1372" s="8"/>
      <c r="I1372" s="8"/>
      <c r="J1372" s="8"/>
      <c r="K1372" s="8"/>
      <c r="L1372" s="8"/>
      <c r="M1372" s="8"/>
      <c r="N1372" s="8"/>
      <c r="O1372" s="8"/>
      <c r="P1372" s="8"/>
      <c r="Q1372" s="8"/>
      <c r="R1372" s="8"/>
      <c r="S1372" s="8"/>
      <c r="T1372" s="8"/>
      <c r="U1372" s="8"/>
      <c r="V1372" s="8"/>
      <c r="W1372" s="8"/>
      <c r="X1372" s="8"/>
      <c r="Y1372" s="8"/>
    </row>
    <row r="1373">
      <c r="A1373" s="8"/>
      <c r="B1373" s="8"/>
      <c r="C1373" s="8"/>
      <c r="D1373" s="8"/>
      <c r="E1373" s="8"/>
      <c r="F1373" s="8"/>
      <c r="G1373" s="8"/>
      <c r="H1373" s="8"/>
      <c r="I1373" s="8"/>
      <c r="J1373" s="8"/>
      <c r="K1373" s="8"/>
      <c r="L1373" s="8"/>
      <c r="M1373" s="8"/>
      <c r="N1373" s="8"/>
      <c r="O1373" s="8"/>
      <c r="P1373" s="8"/>
      <c r="Q1373" s="8"/>
      <c r="R1373" s="8"/>
      <c r="S1373" s="8"/>
      <c r="T1373" s="8"/>
      <c r="U1373" s="8"/>
      <c r="V1373" s="8"/>
      <c r="W1373" s="8"/>
      <c r="X1373" s="8"/>
      <c r="Y1373" s="8"/>
    </row>
    <row r="1374">
      <c r="A1374" s="8"/>
      <c r="B1374" s="8"/>
      <c r="C1374" s="8"/>
      <c r="D1374" s="8"/>
      <c r="E1374" s="8"/>
      <c r="F1374" s="8"/>
      <c r="G1374" s="8"/>
      <c r="H1374" s="8"/>
      <c r="I1374" s="8"/>
      <c r="J1374" s="8"/>
      <c r="K1374" s="8"/>
      <c r="L1374" s="8"/>
      <c r="M1374" s="8"/>
      <c r="N1374" s="8"/>
      <c r="O1374" s="8"/>
      <c r="P1374" s="8"/>
      <c r="Q1374" s="8"/>
      <c r="R1374" s="8"/>
      <c r="S1374" s="8"/>
      <c r="T1374" s="8"/>
      <c r="U1374" s="8"/>
      <c r="V1374" s="8"/>
      <c r="W1374" s="8"/>
      <c r="X1374" s="8"/>
      <c r="Y1374" s="8"/>
    </row>
    <row r="1375">
      <c r="A1375" s="8"/>
      <c r="B1375" s="8"/>
      <c r="C1375" s="8"/>
      <c r="D1375" s="8"/>
      <c r="E1375" s="8"/>
      <c r="F1375" s="8"/>
      <c r="G1375" s="8"/>
      <c r="H1375" s="8"/>
      <c r="I1375" s="8"/>
      <c r="J1375" s="8"/>
      <c r="K1375" s="8"/>
      <c r="L1375" s="8"/>
      <c r="M1375" s="8"/>
      <c r="N1375" s="8"/>
      <c r="O1375" s="8"/>
      <c r="P1375" s="8"/>
      <c r="Q1375" s="8"/>
      <c r="R1375" s="8"/>
      <c r="S1375" s="8"/>
      <c r="T1375" s="8"/>
      <c r="U1375" s="8"/>
      <c r="V1375" s="8"/>
      <c r="W1375" s="8"/>
      <c r="X1375" s="8"/>
      <c r="Y1375" s="8"/>
    </row>
    <row r="1376">
      <c r="A1376" s="8"/>
      <c r="B1376" s="8"/>
      <c r="C1376" s="8"/>
      <c r="D1376" s="8"/>
      <c r="E1376" s="8"/>
      <c r="F1376" s="8"/>
      <c r="G1376" s="8"/>
      <c r="H1376" s="8"/>
      <c r="I1376" s="8"/>
      <c r="J1376" s="8"/>
      <c r="K1376" s="8"/>
      <c r="L1376" s="8"/>
      <c r="M1376" s="8"/>
      <c r="N1376" s="8"/>
      <c r="O1376" s="8"/>
      <c r="P1376" s="8"/>
      <c r="Q1376" s="8"/>
      <c r="R1376" s="8"/>
      <c r="S1376" s="8"/>
      <c r="T1376" s="8"/>
      <c r="U1376" s="8"/>
      <c r="V1376" s="8"/>
      <c r="W1376" s="8"/>
      <c r="X1376" s="8"/>
      <c r="Y1376" s="8"/>
    </row>
    <row r="1377">
      <c r="A1377" s="8"/>
      <c r="B1377" s="8"/>
      <c r="C1377" s="8"/>
      <c r="D1377" s="8"/>
      <c r="E1377" s="8"/>
      <c r="F1377" s="8"/>
      <c r="G1377" s="8"/>
      <c r="H1377" s="8"/>
      <c r="I1377" s="8"/>
      <c r="J1377" s="8"/>
      <c r="K1377" s="8"/>
      <c r="L1377" s="8"/>
      <c r="M1377" s="8"/>
      <c r="N1377" s="8"/>
      <c r="O1377" s="8"/>
      <c r="P1377" s="8"/>
      <c r="Q1377" s="8"/>
      <c r="R1377" s="8"/>
      <c r="S1377" s="8"/>
      <c r="T1377" s="8"/>
      <c r="U1377" s="8"/>
      <c r="V1377" s="8"/>
      <c r="W1377" s="8"/>
      <c r="X1377" s="8"/>
      <c r="Y1377" s="8"/>
    </row>
    <row r="1378">
      <c r="A1378" s="8"/>
      <c r="B1378" s="8"/>
      <c r="C1378" s="8"/>
      <c r="D1378" s="8"/>
      <c r="E1378" s="8"/>
      <c r="F1378" s="8"/>
      <c r="G1378" s="8"/>
      <c r="H1378" s="8"/>
      <c r="I1378" s="8"/>
      <c r="J1378" s="8"/>
      <c r="K1378" s="8"/>
      <c r="L1378" s="8"/>
      <c r="M1378" s="8"/>
      <c r="N1378" s="8"/>
      <c r="O1378" s="8"/>
      <c r="P1378" s="8"/>
      <c r="Q1378" s="8"/>
      <c r="R1378" s="8"/>
      <c r="S1378" s="8"/>
      <c r="T1378" s="8"/>
      <c r="U1378" s="8"/>
      <c r="V1378" s="8"/>
      <c r="W1378" s="8"/>
      <c r="X1378" s="8"/>
      <c r="Y1378" s="8"/>
    </row>
    <row r="1379">
      <c r="A1379" s="8"/>
      <c r="B1379" s="8"/>
      <c r="C1379" s="8"/>
      <c r="D1379" s="8"/>
      <c r="E1379" s="8"/>
      <c r="F1379" s="8"/>
      <c r="G1379" s="8"/>
      <c r="H1379" s="8"/>
      <c r="I1379" s="8"/>
      <c r="J1379" s="8"/>
      <c r="K1379" s="8"/>
      <c r="L1379" s="8"/>
      <c r="M1379" s="8"/>
      <c r="N1379" s="8"/>
      <c r="O1379" s="8"/>
      <c r="P1379" s="8"/>
      <c r="Q1379" s="8"/>
      <c r="R1379" s="8"/>
      <c r="S1379" s="8"/>
      <c r="T1379" s="8"/>
      <c r="U1379" s="8"/>
      <c r="V1379" s="8"/>
      <c r="W1379" s="8"/>
      <c r="X1379" s="8"/>
      <c r="Y1379" s="8"/>
    </row>
    <row r="1380">
      <c r="A1380" s="8"/>
      <c r="B1380" s="8"/>
      <c r="C1380" s="8"/>
      <c r="D1380" s="8"/>
      <c r="E1380" s="8"/>
      <c r="F1380" s="8"/>
      <c r="G1380" s="8"/>
      <c r="H1380" s="8"/>
      <c r="I1380" s="8"/>
      <c r="J1380" s="8"/>
      <c r="K1380" s="8"/>
      <c r="L1380" s="8"/>
      <c r="M1380" s="8"/>
      <c r="N1380" s="8"/>
      <c r="O1380" s="8"/>
      <c r="P1380" s="8"/>
      <c r="Q1380" s="8"/>
      <c r="R1380" s="8"/>
      <c r="S1380" s="8"/>
      <c r="T1380" s="8"/>
      <c r="U1380" s="8"/>
      <c r="V1380" s="8"/>
      <c r="W1380" s="8"/>
      <c r="X1380" s="8"/>
      <c r="Y1380" s="8"/>
    </row>
    <row r="1381">
      <c r="A1381" s="8"/>
      <c r="B1381" s="8"/>
      <c r="C1381" s="8"/>
      <c r="D1381" s="8"/>
      <c r="E1381" s="8"/>
      <c r="F1381" s="8"/>
      <c r="G1381" s="8"/>
      <c r="H1381" s="8"/>
      <c r="I1381" s="8"/>
      <c r="J1381" s="8"/>
      <c r="K1381" s="8"/>
      <c r="L1381" s="8"/>
      <c r="M1381" s="8"/>
      <c r="N1381" s="8"/>
      <c r="O1381" s="8"/>
      <c r="P1381" s="8"/>
      <c r="Q1381" s="8"/>
      <c r="R1381" s="8"/>
      <c r="S1381" s="8"/>
      <c r="T1381" s="8"/>
      <c r="U1381" s="8"/>
      <c r="V1381" s="8"/>
      <c r="W1381" s="8"/>
      <c r="X1381" s="8"/>
      <c r="Y1381" s="8"/>
    </row>
    <row r="1382">
      <c r="A1382" s="8"/>
      <c r="B1382" s="8"/>
      <c r="C1382" s="8"/>
      <c r="D1382" s="8"/>
      <c r="E1382" s="8"/>
      <c r="F1382" s="8"/>
      <c r="G1382" s="8"/>
      <c r="H1382" s="8"/>
      <c r="I1382" s="8"/>
      <c r="J1382" s="8"/>
      <c r="K1382" s="8"/>
      <c r="L1382" s="8"/>
      <c r="M1382" s="8"/>
      <c r="N1382" s="8"/>
      <c r="O1382" s="8"/>
      <c r="P1382" s="8"/>
      <c r="Q1382" s="8"/>
      <c r="R1382" s="8"/>
      <c r="S1382" s="8"/>
      <c r="T1382" s="8"/>
      <c r="U1382" s="8"/>
      <c r="V1382" s="8"/>
      <c r="W1382" s="8"/>
      <c r="X1382" s="8"/>
      <c r="Y1382" s="8"/>
    </row>
    <row r="1383">
      <c r="A1383" s="8"/>
      <c r="B1383" s="8"/>
      <c r="C1383" s="8"/>
      <c r="D1383" s="8"/>
      <c r="E1383" s="8"/>
      <c r="F1383" s="8"/>
      <c r="G1383" s="8"/>
      <c r="H1383" s="8"/>
      <c r="I1383" s="8"/>
      <c r="J1383" s="8"/>
      <c r="K1383" s="8"/>
      <c r="L1383" s="8"/>
      <c r="M1383" s="8"/>
      <c r="N1383" s="8"/>
      <c r="O1383" s="8"/>
      <c r="P1383" s="8"/>
      <c r="Q1383" s="8"/>
      <c r="R1383" s="8"/>
      <c r="S1383" s="8"/>
      <c r="T1383" s="8"/>
      <c r="U1383" s="8"/>
      <c r="V1383" s="8"/>
      <c r="W1383" s="8"/>
      <c r="X1383" s="8"/>
      <c r="Y1383" s="8"/>
    </row>
    <row r="1384">
      <c r="A1384" s="8"/>
      <c r="B1384" s="8"/>
      <c r="C1384" s="8"/>
      <c r="D1384" s="8"/>
      <c r="E1384" s="8"/>
      <c r="F1384" s="8"/>
      <c r="G1384" s="8"/>
      <c r="H1384" s="8"/>
      <c r="I1384" s="8"/>
      <c r="J1384" s="8"/>
      <c r="K1384" s="8"/>
      <c r="L1384" s="8"/>
      <c r="M1384" s="8"/>
      <c r="N1384" s="8"/>
      <c r="O1384" s="8"/>
      <c r="P1384" s="8"/>
      <c r="Q1384" s="8"/>
      <c r="R1384" s="8"/>
      <c r="S1384" s="8"/>
      <c r="T1384" s="8"/>
      <c r="U1384" s="8"/>
      <c r="V1384" s="8"/>
      <c r="W1384" s="8"/>
      <c r="X1384" s="8"/>
      <c r="Y1384" s="8"/>
    </row>
    <row r="1385">
      <c r="A1385" s="8"/>
      <c r="B1385" s="8"/>
      <c r="C1385" s="8"/>
      <c r="D1385" s="8"/>
      <c r="E1385" s="8"/>
      <c r="F1385" s="8"/>
      <c r="G1385" s="8"/>
      <c r="H1385" s="8"/>
      <c r="I1385" s="8"/>
      <c r="J1385" s="8"/>
      <c r="K1385" s="8"/>
      <c r="L1385" s="8"/>
      <c r="M1385" s="8"/>
      <c r="N1385" s="8"/>
      <c r="O1385" s="8"/>
      <c r="P1385" s="8"/>
      <c r="Q1385" s="8"/>
      <c r="R1385" s="8"/>
      <c r="S1385" s="8"/>
      <c r="T1385" s="8"/>
      <c r="U1385" s="8"/>
      <c r="V1385" s="8"/>
      <c r="W1385" s="8"/>
      <c r="X1385" s="8"/>
      <c r="Y1385" s="8"/>
    </row>
    <row r="1386">
      <c r="A1386" s="8"/>
      <c r="B1386" s="8"/>
      <c r="C1386" s="8"/>
      <c r="D1386" s="8"/>
      <c r="E1386" s="8"/>
      <c r="F1386" s="8"/>
      <c r="G1386" s="8"/>
      <c r="H1386" s="8"/>
      <c r="I1386" s="8"/>
      <c r="J1386" s="8"/>
      <c r="K1386" s="8"/>
      <c r="L1386" s="8"/>
      <c r="M1386" s="8"/>
      <c r="N1386" s="8"/>
      <c r="O1386" s="8"/>
      <c r="P1386" s="8"/>
      <c r="Q1386" s="8"/>
      <c r="R1386" s="8"/>
      <c r="S1386" s="8"/>
      <c r="T1386" s="8"/>
      <c r="U1386" s="8"/>
      <c r="V1386" s="8"/>
      <c r="W1386" s="8"/>
      <c r="X1386" s="8"/>
      <c r="Y1386" s="8"/>
    </row>
    <row r="1387">
      <c r="A1387" s="8"/>
      <c r="B1387" s="8"/>
      <c r="C1387" s="8"/>
      <c r="D1387" s="8"/>
      <c r="E1387" s="8"/>
      <c r="F1387" s="8"/>
      <c r="G1387" s="8"/>
      <c r="H1387" s="8"/>
      <c r="I1387" s="8"/>
      <c r="J1387" s="8"/>
      <c r="K1387" s="8"/>
      <c r="L1387" s="8"/>
      <c r="M1387" s="8"/>
      <c r="N1387" s="8"/>
      <c r="O1387" s="8"/>
      <c r="P1387" s="8"/>
      <c r="Q1387" s="8"/>
      <c r="R1387" s="8"/>
      <c r="S1387" s="8"/>
      <c r="T1387" s="8"/>
      <c r="U1387" s="8"/>
      <c r="V1387" s="8"/>
      <c r="W1387" s="8"/>
      <c r="X1387" s="8"/>
      <c r="Y1387" s="8"/>
    </row>
    <row r="1388">
      <c r="A1388" s="8"/>
      <c r="B1388" s="8"/>
      <c r="C1388" s="8"/>
      <c r="D1388" s="8"/>
      <c r="E1388" s="8"/>
      <c r="F1388" s="8"/>
      <c r="G1388" s="8"/>
      <c r="H1388" s="8"/>
      <c r="I1388" s="8"/>
      <c r="J1388" s="8"/>
      <c r="K1388" s="8"/>
      <c r="L1388" s="8"/>
      <c r="M1388" s="8"/>
      <c r="N1388" s="8"/>
      <c r="O1388" s="8"/>
      <c r="P1388" s="8"/>
      <c r="Q1388" s="8"/>
      <c r="R1388" s="8"/>
      <c r="S1388" s="8"/>
      <c r="T1388" s="8"/>
      <c r="U1388" s="8"/>
      <c r="V1388" s="8"/>
      <c r="W1388" s="8"/>
      <c r="X1388" s="8"/>
      <c r="Y1388" s="8"/>
    </row>
    <row r="1389">
      <c r="A1389" s="8"/>
      <c r="B1389" s="8"/>
      <c r="C1389" s="8"/>
      <c r="D1389" s="8"/>
      <c r="E1389" s="8"/>
      <c r="F1389" s="8"/>
      <c r="G1389" s="8"/>
      <c r="H1389" s="8"/>
      <c r="I1389" s="8"/>
      <c r="J1389" s="8"/>
      <c r="K1389" s="8"/>
      <c r="L1389" s="8"/>
      <c r="M1389" s="8"/>
      <c r="N1389" s="8"/>
      <c r="O1389" s="8"/>
      <c r="P1389" s="8"/>
      <c r="Q1389" s="8"/>
      <c r="R1389" s="8"/>
      <c r="S1389" s="8"/>
      <c r="T1389" s="8"/>
      <c r="U1389" s="8"/>
      <c r="V1389" s="8"/>
      <c r="W1389" s="8"/>
      <c r="X1389" s="8"/>
      <c r="Y1389" s="8"/>
    </row>
    <row r="1390">
      <c r="A1390" s="8"/>
      <c r="B1390" s="8"/>
      <c r="C1390" s="8"/>
      <c r="D1390" s="8"/>
      <c r="E1390" s="8"/>
      <c r="F1390" s="8"/>
      <c r="G1390" s="8"/>
      <c r="H1390" s="8"/>
      <c r="I1390" s="8"/>
      <c r="J1390" s="8"/>
      <c r="K1390" s="8"/>
      <c r="L1390" s="8"/>
      <c r="M1390" s="8"/>
      <c r="N1390" s="8"/>
      <c r="O1390" s="8"/>
      <c r="P1390" s="8"/>
      <c r="Q1390" s="8"/>
      <c r="R1390" s="8"/>
      <c r="S1390" s="8"/>
      <c r="T1390" s="8"/>
      <c r="U1390" s="8"/>
      <c r="V1390" s="8"/>
      <c r="W1390" s="8"/>
      <c r="X1390" s="8"/>
      <c r="Y1390" s="8"/>
    </row>
    <row r="1391">
      <c r="A1391" s="8"/>
      <c r="B1391" s="8"/>
      <c r="C1391" s="8"/>
      <c r="D1391" s="8"/>
      <c r="E1391" s="8"/>
      <c r="F1391" s="8"/>
      <c r="G1391" s="8"/>
      <c r="H1391" s="8"/>
      <c r="I1391" s="8"/>
      <c r="J1391" s="8"/>
      <c r="K1391" s="8"/>
      <c r="L1391" s="8"/>
      <c r="M1391" s="8"/>
      <c r="N1391" s="8"/>
      <c r="O1391" s="8"/>
      <c r="P1391" s="8"/>
      <c r="Q1391" s="8"/>
      <c r="R1391" s="8"/>
      <c r="S1391" s="8"/>
      <c r="T1391" s="8"/>
      <c r="U1391" s="8"/>
      <c r="V1391" s="8"/>
      <c r="W1391" s="8"/>
      <c r="X1391" s="8"/>
      <c r="Y1391" s="8"/>
    </row>
    <row r="1392">
      <c r="A1392" s="8"/>
      <c r="B1392" s="8"/>
      <c r="C1392" s="8"/>
      <c r="D1392" s="8"/>
      <c r="E1392" s="8"/>
      <c r="F1392" s="8"/>
      <c r="G1392" s="8"/>
      <c r="H1392" s="8"/>
      <c r="I1392" s="8"/>
      <c r="J1392" s="8"/>
      <c r="K1392" s="8"/>
      <c r="L1392" s="8"/>
      <c r="M1392" s="8"/>
      <c r="N1392" s="8"/>
      <c r="O1392" s="8"/>
      <c r="P1392" s="8"/>
      <c r="Q1392" s="8"/>
      <c r="R1392" s="8"/>
      <c r="S1392" s="8"/>
      <c r="T1392" s="8"/>
      <c r="U1392" s="8"/>
      <c r="V1392" s="8"/>
      <c r="W1392" s="8"/>
      <c r="X1392" s="8"/>
      <c r="Y1392" s="8"/>
    </row>
    <row r="1393">
      <c r="A1393" s="8"/>
      <c r="B1393" s="8"/>
      <c r="C1393" s="8"/>
      <c r="D1393" s="8"/>
      <c r="E1393" s="8"/>
      <c r="F1393" s="8"/>
      <c r="G1393" s="8"/>
      <c r="H1393" s="8"/>
      <c r="I1393" s="8"/>
      <c r="J1393" s="8"/>
      <c r="K1393" s="8"/>
      <c r="L1393" s="8"/>
      <c r="M1393" s="8"/>
      <c r="N1393" s="8"/>
      <c r="O1393" s="8"/>
      <c r="P1393" s="8"/>
      <c r="Q1393" s="8"/>
      <c r="R1393" s="8"/>
      <c r="S1393" s="8"/>
      <c r="T1393" s="8"/>
      <c r="U1393" s="8"/>
      <c r="V1393" s="8"/>
      <c r="W1393" s="8"/>
      <c r="X1393" s="8"/>
      <c r="Y1393" s="8"/>
    </row>
    <row r="1394">
      <c r="A1394" s="8"/>
      <c r="B1394" s="8"/>
      <c r="C1394" s="8"/>
      <c r="D1394" s="8"/>
      <c r="E1394" s="8"/>
      <c r="F1394" s="8"/>
      <c r="G1394" s="8"/>
      <c r="H1394" s="8"/>
      <c r="I1394" s="8"/>
      <c r="J1394" s="8"/>
      <c r="K1394" s="8"/>
      <c r="L1394" s="8"/>
      <c r="M1394" s="8"/>
      <c r="N1394" s="8"/>
      <c r="O1394" s="8"/>
      <c r="P1394" s="8"/>
      <c r="Q1394" s="8"/>
      <c r="R1394" s="8"/>
      <c r="S1394" s="8"/>
      <c r="T1394" s="8"/>
      <c r="U1394" s="8"/>
      <c r="V1394" s="8"/>
      <c r="W1394" s="8"/>
      <c r="X1394" s="8"/>
      <c r="Y1394" s="8"/>
    </row>
    <row r="1395">
      <c r="A1395" s="8"/>
      <c r="B1395" s="8"/>
      <c r="C1395" s="8"/>
      <c r="D1395" s="8"/>
      <c r="E1395" s="8"/>
      <c r="F1395" s="8"/>
      <c r="G1395" s="8"/>
      <c r="H1395" s="8"/>
      <c r="I1395" s="8"/>
      <c r="J1395" s="8"/>
      <c r="K1395" s="8"/>
      <c r="L1395" s="8"/>
      <c r="M1395" s="8"/>
      <c r="N1395" s="8"/>
      <c r="O1395" s="8"/>
      <c r="P1395" s="8"/>
      <c r="Q1395" s="8"/>
      <c r="R1395" s="8"/>
      <c r="S1395" s="8"/>
      <c r="T1395" s="8"/>
      <c r="U1395" s="8"/>
      <c r="V1395" s="8"/>
      <c r="W1395" s="8"/>
      <c r="X1395" s="8"/>
      <c r="Y1395" s="8"/>
    </row>
    <row r="1396">
      <c r="A1396" s="8"/>
      <c r="B1396" s="8"/>
      <c r="C1396" s="8"/>
      <c r="D1396" s="8"/>
      <c r="E1396" s="8"/>
      <c r="F1396" s="8"/>
      <c r="G1396" s="8"/>
      <c r="H1396" s="8"/>
      <c r="I1396" s="8"/>
      <c r="J1396" s="8"/>
      <c r="K1396" s="8"/>
      <c r="L1396" s="8"/>
      <c r="M1396" s="8"/>
      <c r="N1396" s="8"/>
      <c r="O1396" s="8"/>
      <c r="P1396" s="8"/>
      <c r="Q1396" s="8"/>
      <c r="R1396" s="8"/>
      <c r="S1396" s="8"/>
      <c r="T1396" s="8"/>
      <c r="U1396" s="8"/>
      <c r="V1396" s="8"/>
      <c r="W1396" s="8"/>
      <c r="X1396" s="8"/>
      <c r="Y1396" s="8"/>
    </row>
    <row r="1397">
      <c r="A1397" s="8"/>
      <c r="B1397" s="8"/>
      <c r="C1397" s="8"/>
      <c r="D1397" s="8"/>
      <c r="E1397" s="8"/>
      <c r="F1397" s="8"/>
      <c r="G1397" s="8"/>
      <c r="H1397" s="8"/>
      <c r="I1397" s="8"/>
      <c r="J1397" s="8"/>
      <c r="K1397" s="8"/>
      <c r="L1397" s="8"/>
      <c r="M1397" s="8"/>
      <c r="N1397" s="8"/>
      <c r="O1397" s="8"/>
      <c r="P1397" s="8"/>
      <c r="Q1397" s="8"/>
      <c r="R1397" s="8"/>
      <c r="S1397" s="8"/>
      <c r="T1397" s="8"/>
      <c r="U1397" s="8"/>
      <c r="V1397" s="8"/>
      <c r="W1397" s="8"/>
      <c r="X1397" s="8"/>
      <c r="Y1397" s="8"/>
    </row>
    <row r="1398">
      <c r="A1398" s="8"/>
      <c r="B1398" s="8"/>
      <c r="C1398" s="8"/>
      <c r="D1398" s="8"/>
      <c r="E1398" s="8"/>
      <c r="F1398" s="8"/>
      <c r="G1398" s="8"/>
      <c r="H1398" s="8"/>
      <c r="I1398" s="8"/>
      <c r="J1398" s="8"/>
      <c r="K1398" s="8"/>
      <c r="L1398" s="8"/>
      <c r="M1398" s="8"/>
      <c r="N1398" s="8"/>
      <c r="O1398" s="8"/>
      <c r="P1398" s="8"/>
      <c r="Q1398" s="8"/>
      <c r="R1398" s="8"/>
      <c r="S1398" s="8"/>
      <c r="T1398" s="8"/>
      <c r="U1398" s="8"/>
      <c r="V1398" s="8"/>
      <c r="W1398" s="8"/>
      <c r="X1398" s="8"/>
      <c r="Y1398" s="8"/>
    </row>
    <row r="1399">
      <c r="A1399" s="8"/>
      <c r="B1399" s="8"/>
      <c r="C1399" s="8"/>
      <c r="D1399" s="8"/>
      <c r="E1399" s="8"/>
      <c r="F1399" s="8"/>
      <c r="G1399" s="8"/>
      <c r="H1399" s="8"/>
      <c r="I1399" s="8"/>
      <c r="J1399" s="8"/>
      <c r="K1399" s="8"/>
      <c r="L1399" s="8"/>
      <c r="M1399" s="8"/>
      <c r="N1399" s="8"/>
      <c r="O1399" s="8"/>
      <c r="P1399" s="8"/>
      <c r="Q1399" s="8"/>
      <c r="R1399" s="8"/>
      <c r="S1399" s="8"/>
      <c r="T1399" s="8"/>
      <c r="U1399" s="8"/>
      <c r="V1399" s="8"/>
      <c r="W1399" s="8"/>
      <c r="X1399" s="8"/>
      <c r="Y1399" s="8"/>
    </row>
    <row r="1400">
      <c r="A1400" s="8"/>
      <c r="B1400" s="8"/>
      <c r="C1400" s="8"/>
      <c r="D1400" s="8"/>
      <c r="E1400" s="8"/>
      <c r="F1400" s="8"/>
      <c r="G1400" s="8"/>
      <c r="H1400" s="8"/>
      <c r="I1400" s="8"/>
      <c r="J1400" s="8"/>
      <c r="K1400" s="8"/>
      <c r="L1400" s="8"/>
      <c r="M1400" s="8"/>
      <c r="N1400" s="8"/>
      <c r="O1400" s="8"/>
      <c r="P1400" s="8"/>
      <c r="Q1400" s="8"/>
      <c r="R1400" s="8"/>
      <c r="S1400" s="8"/>
      <c r="T1400" s="8"/>
      <c r="U1400" s="8"/>
      <c r="V1400" s="8"/>
      <c r="W1400" s="8"/>
      <c r="X1400" s="8"/>
      <c r="Y1400" s="8"/>
    </row>
    <row r="1401">
      <c r="A1401" s="8"/>
      <c r="B1401" s="8"/>
      <c r="C1401" s="8"/>
      <c r="D1401" s="8"/>
      <c r="E1401" s="8"/>
      <c r="F1401" s="8"/>
      <c r="G1401" s="8"/>
      <c r="H1401" s="8"/>
      <c r="I1401" s="8"/>
      <c r="J1401" s="8"/>
      <c r="K1401" s="8"/>
      <c r="L1401" s="8"/>
      <c r="M1401" s="8"/>
      <c r="N1401" s="8"/>
      <c r="O1401" s="8"/>
      <c r="P1401" s="8"/>
      <c r="Q1401" s="8"/>
      <c r="R1401" s="8"/>
      <c r="S1401" s="8"/>
      <c r="T1401" s="8"/>
      <c r="U1401" s="8"/>
      <c r="V1401" s="8"/>
      <c r="W1401" s="8"/>
      <c r="X1401" s="8"/>
      <c r="Y1401" s="8"/>
    </row>
    <row r="1402">
      <c r="A1402" s="8"/>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row>
    <row r="1403">
      <c r="A1403" s="8"/>
      <c r="B1403" s="8"/>
      <c r="C1403" s="8"/>
      <c r="D1403" s="8"/>
      <c r="E1403" s="8"/>
      <c r="F1403" s="8"/>
      <c r="G1403" s="8"/>
      <c r="H1403" s="8"/>
      <c r="I1403" s="8"/>
      <c r="J1403" s="8"/>
      <c r="K1403" s="8"/>
      <c r="L1403" s="8"/>
      <c r="M1403" s="8"/>
      <c r="N1403" s="8"/>
      <c r="O1403" s="8"/>
      <c r="P1403" s="8"/>
      <c r="Q1403" s="8"/>
      <c r="R1403" s="8"/>
      <c r="S1403" s="8"/>
      <c r="T1403" s="8"/>
      <c r="U1403" s="8"/>
      <c r="V1403" s="8"/>
      <c r="W1403" s="8"/>
      <c r="X1403" s="8"/>
      <c r="Y1403" s="8"/>
    </row>
    <row r="1404">
      <c r="A1404" s="8"/>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row>
    <row r="1405">
      <c r="A1405" s="8"/>
      <c r="B1405" s="8"/>
      <c r="C1405" s="8"/>
      <c r="D1405" s="8"/>
      <c r="E1405" s="8"/>
      <c r="F1405" s="8"/>
      <c r="G1405" s="8"/>
      <c r="H1405" s="8"/>
      <c r="I1405" s="8"/>
      <c r="J1405" s="8"/>
      <c r="K1405" s="8"/>
      <c r="L1405" s="8"/>
      <c r="M1405" s="8"/>
      <c r="N1405" s="8"/>
      <c r="O1405" s="8"/>
      <c r="P1405" s="8"/>
      <c r="Q1405" s="8"/>
      <c r="R1405" s="8"/>
      <c r="S1405" s="8"/>
      <c r="T1405" s="8"/>
      <c r="U1405" s="8"/>
      <c r="V1405" s="8"/>
      <c r="W1405" s="8"/>
      <c r="X1405" s="8"/>
      <c r="Y1405" s="8"/>
    </row>
    <row r="1406">
      <c r="A1406" s="8"/>
      <c r="B1406" s="8"/>
      <c r="C1406" s="8"/>
      <c r="D1406" s="8"/>
      <c r="E1406" s="8"/>
      <c r="F1406" s="8"/>
      <c r="G1406" s="8"/>
      <c r="H1406" s="8"/>
      <c r="I1406" s="8"/>
      <c r="J1406" s="8"/>
      <c r="K1406" s="8"/>
      <c r="L1406" s="8"/>
      <c r="M1406" s="8"/>
      <c r="N1406" s="8"/>
      <c r="O1406" s="8"/>
      <c r="P1406" s="8"/>
      <c r="Q1406" s="8"/>
      <c r="R1406" s="8"/>
      <c r="S1406" s="8"/>
      <c r="T1406" s="8"/>
      <c r="U1406" s="8"/>
      <c r="V1406" s="8"/>
      <c r="W1406" s="8"/>
      <c r="X1406" s="8"/>
      <c r="Y1406" s="8"/>
    </row>
    <row r="1407">
      <c r="A1407" s="8"/>
      <c r="B1407" s="8"/>
      <c r="C1407" s="8"/>
      <c r="D1407" s="8"/>
      <c r="E1407" s="8"/>
      <c r="F1407" s="8"/>
      <c r="G1407" s="8"/>
      <c r="H1407" s="8"/>
      <c r="I1407" s="8"/>
      <c r="J1407" s="8"/>
      <c r="K1407" s="8"/>
      <c r="L1407" s="8"/>
      <c r="M1407" s="8"/>
      <c r="N1407" s="8"/>
      <c r="O1407" s="8"/>
      <c r="P1407" s="8"/>
      <c r="Q1407" s="8"/>
      <c r="R1407" s="8"/>
      <c r="S1407" s="8"/>
      <c r="T1407" s="8"/>
      <c r="U1407" s="8"/>
      <c r="V1407" s="8"/>
      <c r="W1407" s="8"/>
      <c r="X1407" s="8"/>
      <c r="Y1407" s="8"/>
    </row>
    <row r="1408">
      <c r="A1408" s="8"/>
      <c r="B1408" s="8"/>
      <c r="C1408" s="8"/>
      <c r="D1408" s="8"/>
      <c r="E1408" s="8"/>
      <c r="F1408" s="8"/>
      <c r="G1408" s="8"/>
      <c r="H1408" s="8"/>
      <c r="I1408" s="8"/>
      <c r="J1408" s="8"/>
      <c r="K1408" s="8"/>
      <c r="L1408" s="8"/>
      <c r="M1408" s="8"/>
      <c r="N1408" s="8"/>
      <c r="O1408" s="8"/>
      <c r="P1408" s="8"/>
      <c r="Q1408" s="8"/>
      <c r="R1408" s="8"/>
      <c r="S1408" s="8"/>
      <c r="T1408" s="8"/>
      <c r="U1408" s="8"/>
      <c r="V1408" s="8"/>
      <c r="W1408" s="8"/>
      <c r="X1408" s="8"/>
      <c r="Y1408" s="8"/>
    </row>
    <row r="1409">
      <c r="A1409" s="8"/>
      <c r="B1409" s="8"/>
      <c r="C1409" s="8"/>
      <c r="D1409" s="8"/>
      <c r="E1409" s="8"/>
      <c r="F1409" s="8"/>
      <c r="G1409" s="8"/>
      <c r="H1409" s="8"/>
      <c r="I1409" s="8"/>
      <c r="J1409" s="8"/>
      <c r="K1409" s="8"/>
      <c r="L1409" s="8"/>
      <c r="M1409" s="8"/>
      <c r="N1409" s="8"/>
      <c r="O1409" s="8"/>
      <c r="P1409" s="8"/>
      <c r="Q1409" s="8"/>
      <c r="R1409" s="8"/>
      <c r="S1409" s="8"/>
      <c r="T1409" s="8"/>
      <c r="U1409" s="8"/>
      <c r="V1409" s="8"/>
      <c r="W1409" s="8"/>
      <c r="X1409" s="8"/>
      <c r="Y1409" s="8"/>
    </row>
    <row r="1410">
      <c r="A1410" s="8"/>
      <c r="B1410" s="8"/>
      <c r="C1410" s="8"/>
      <c r="D1410" s="8"/>
      <c r="E1410" s="8"/>
      <c r="F1410" s="8"/>
      <c r="G1410" s="8"/>
      <c r="H1410" s="8"/>
      <c r="I1410" s="8"/>
      <c r="J1410" s="8"/>
      <c r="K1410" s="8"/>
      <c r="L1410" s="8"/>
      <c r="M1410" s="8"/>
      <c r="N1410" s="8"/>
      <c r="O1410" s="8"/>
      <c r="P1410" s="8"/>
      <c r="Q1410" s="8"/>
      <c r="R1410" s="8"/>
      <c r="S1410" s="8"/>
      <c r="T1410" s="8"/>
      <c r="U1410" s="8"/>
      <c r="V1410" s="8"/>
      <c r="W1410" s="8"/>
      <c r="X1410" s="8"/>
      <c r="Y1410" s="8"/>
    </row>
    <row r="1411">
      <c r="A1411" s="8"/>
      <c r="B1411" s="8"/>
      <c r="C1411" s="8"/>
      <c r="D1411" s="8"/>
      <c r="E1411" s="8"/>
      <c r="F1411" s="8"/>
      <c r="G1411" s="8"/>
      <c r="H1411" s="8"/>
      <c r="I1411" s="8"/>
      <c r="J1411" s="8"/>
      <c r="K1411" s="8"/>
      <c r="L1411" s="8"/>
      <c r="M1411" s="8"/>
      <c r="N1411" s="8"/>
      <c r="O1411" s="8"/>
      <c r="P1411" s="8"/>
      <c r="Q1411" s="8"/>
      <c r="R1411" s="8"/>
      <c r="S1411" s="8"/>
      <c r="T1411" s="8"/>
      <c r="U1411" s="8"/>
      <c r="V1411" s="8"/>
      <c r="W1411" s="8"/>
      <c r="X1411" s="8"/>
      <c r="Y1411" s="8"/>
    </row>
    <row r="1412">
      <c r="A1412" s="8"/>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row>
    <row r="1413">
      <c r="A1413" s="8"/>
      <c r="B1413" s="8"/>
      <c r="C1413" s="8"/>
      <c r="D1413" s="8"/>
      <c r="E1413" s="8"/>
      <c r="F1413" s="8"/>
      <c r="G1413" s="8"/>
      <c r="H1413" s="8"/>
      <c r="I1413" s="8"/>
      <c r="J1413" s="8"/>
      <c r="K1413" s="8"/>
      <c r="L1413" s="8"/>
      <c r="M1413" s="8"/>
      <c r="N1413" s="8"/>
      <c r="O1413" s="8"/>
      <c r="P1413" s="8"/>
      <c r="Q1413" s="8"/>
      <c r="R1413" s="8"/>
      <c r="S1413" s="8"/>
      <c r="T1413" s="8"/>
      <c r="U1413" s="8"/>
      <c r="V1413" s="8"/>
      <c r="W1413" s="8"/>
      <c r="X1413" s="8"/>
      <c r="Y1413" s="8"/>
    </row>
    <row r="1414">
      <c r="A1414" s="8"/>
      <c r="B1414" s="8"/>
      <c r="C1414" s="8"/>
      <c r="D1414" s="8"/>
      <c r="E1414" s="8"/>
      <c r="F1414" s="8"/>
      <c r="G1414" s="8"/>
      <c r="H1414" s="8"/>
      <c r="I1414" s="8"/>
      <c r="J1414" s="8"/>
      <c r="K1414" s="8"/>
      <c r="L1414" s="8"/>
      <c r="M1414" s="8"/>
      <c r="N1414" s="8"/>
      <c r="O1414" s="8"/>
      <c r="P1414" s="8"/>
      <c r="Q1414" s="8"/>
      <c r="R1414" s="8"/>
      <c r="S1414" s="8"/>
      <c r="T1414" s="8"/>
      <c r="U1414" s="8"/>
      <c r="V1414" s="8"/>
      <c r="W1414" s="8"/>
      <c r="X1414" s="8"/>
      <c r="Y1414" s="8"/>
    </row>
    <row r="1415">
      <c r="A1415" s="8"/>
      <c r="B1415" s="8"/>
      <c r="C1415" s="8"/>
      <c r="D1415" s="8"/>
      <c r="E1415" s="8"/>
      <c r="F1415" s="8"/>
      <c r="G1415" s="8"/>
      <c r="H1415" s="8"/>
      <c r="I1415" s="8"/>
      <c r="J1415" s="8"/>
      <c r="K1415" s="8"/>
      <c r="L1415" s="8"/>
      <c r="M1415" s="8"/>
      <c r="N1415" s="8"/>
      <c r="O1415" s="8"/>
      <c r="P1415" s="8"/>
      <c r="Q1415" s="8"/>
      <c r="R1415" s="8"/>
      <c r="S1415" s="8"/>
      <c r="T1415" s="8"/>
      <c r="U1415" s="8"/>
      <c r="V1415" s="8"/>
      <c r="W1415" s="8"/>
      <c r="X1415" s="8"/>
      <c r="Y1415" s="8"/>
    </row>
    <row r="1416">
      <c r="A1416" s="8"/>
      <c r="B1416" s="8"/>
      <c r="C1416" s="8"/>
      <c r="D1416" s="8"/>
      <c r="E1416" s="8"/>
      <c r="F1416" s="8"/>
      <c r="G1416" s="8"/>
      <c r="H1416" s="8"/>
      <c r="I1416" s="8"/>
      <c r="J1416" s="8"/>
      <c r="K1416" s="8"/>
      <c r="L1416" s="8"/>
      <c r="M1416" s="8"/>
      <c r="N1416" s="8"/>
      <c r="O1416" s="8"/>
      <c r="P1416" s="8"/>
      <c r="Q1416" s="8"/>
      <c r="R1416" s="8"/>
      <c r="S1416" s="8"/>
      <c r="T1416" s="8"/>
      <c r="U1416" s="8"/>
      <c r="V1416" s="8"/>
      <c r="W1416" s="8"/>
      <c r="X1416" s="8"/>
      <c r="Y1416" s="8"/>
    </row>
    <row r="1417">
      <c r="A1417" s="8"/>
      <c r="B1417" s="8"/>
      <c r="C1417" s="8"/>
      <c r="D1417" s="8"/>
      <c r="E1417" s="8"/>
      <c r="F1417" s="8"/>
      <c r="G1417" s="8"/>
      <c r="H1417" s="8"/>
      <c r="I1417" s="8"/>
      <c r="J1417" s="8"/>
      <c r="K1417" s="8"/>
      <c r="L1417" s="8"/>
      <c r="M1417" s="8"/>
      <c r="N1417" s="8"/>
      <c r="O1417" s="8"/>
      <c r="P1417" s="8"/>
      <c r="Q1417" s="8"/>
      <c r="R1417" s="8"/>
      <c r="S1417" s="8"/>
      <c r="T1417" s="8"/>
      <c r="U1417" s="8"/>
      <c r="V1417" s="8"/>
      <c r="W1417" s="8"/>
      <c r="X1417" s="8"/>
      <c r="Y1417" s="8"/>
    </row>
    <row r="1418">
      <c r="A1418" s="8"/>
      <c r="B1418" s="8"/>
      <c r="C1418" s="8"/>
      <c r="D1418" s="8"/>
      <c r="E1418" s="8"/>
      <c r="F1418" s="8"/>
      <c r="G1418" s="8"/>
      <c r="H1418" s="8"/>
      <c r="I1418" s="8"/>
      <c r="J1418" s="8"/>
      <c r="K1418" s="8"/>
      <c r="L1418" s="8"/>
      <c r="M1418" s="8"/>
      <c r="N1418" s="8"/>
      <c r="O1418" s="8"/>
      <c r="P1418" s="8"/>
      <c r="Q1418" s="8"/>
      <c r="R1418" s="8"/>
      <c r="S1418" s="8"/>
      <c r="T1418" s="8"/>
      <c r="U1418" s="8"/>
      <c r="V1418" s="8"/>
      <c r="W1418" s="8"/>
      <c r="X1418" s="8"/>
      <c r="Y1418" s="8"/>
    </row>
    <row r="1419">
      <c r="A1419" s="8"/>
      <c r="B1419" s="8"/>
      <c r="C1419" s="8"/>
      <c r="D1419" s="8"/>
      <c r="E1419" s="8"/>
      <c r="F1419" s="8"/>
      <c r="G1419" s="8"/>
      <c r="H1419" s="8"/>
      <c r="I1419" s="8"/>
      <c r="J1419" s="8"/>
      <c r="K1419" s="8"/>
      <c r="L1419" s="8"/>
      <c r="M1419" s="8"/>
      <c r="N1419" s="8"/>
      <c r="O1419" s="8"/>
      <c r="P1419" s="8"/>
      <c r="Q1419" s="8"/>
      <c r="R1419" s="8"/>
      <c r="S1419" s="8"/>
      <c r="T1419" s="8"/>
      <c r="U1419" s="8"/>
      <c r="V1419" s="8"/>
      <c r="W1419" s="8"/>
      <c r="X1419" s="8"/>
      <c r="Y1419" s="8"/>
    </row>
    <row r="1420">
      <c r="A1420" s="8"/>
      <c r="B1420" s="8"/>
      <c r="C1420" s="8"/>
      <c r="D1420" s="8"/>
      <c r="E1420" s="8"/>
      <c r="F1420" s="8"/>
      <c r="G1420" s="8"/>
      <c r="H1420" s="8"/>
      <c r="I1420" s="8"/>
      <c r="J1420" s="8"/>
      <c r="K1420" s="8"/>
      <c r="L1420" s="8"/>
      <c r="M1420" s="8"/>
      <c r="N1420" s="8"/>
      <c r="O1420" s="8"/>
      <c r="P1420" s="8"/>
      <c r="Q1420" s="8"/>
      <c r="R1420" s="8"/>
      <c r="S1420" s="8"/>
      <c r="T1420" s="8"/>
      <c r="U1420" s="8"/>
      <c r="V1420" s="8"/>
      <c r="W1420" s="8"/>
      <c r="X1420" s="8"/>
      <c r="Y1420" s="8"/>
    </row>
    <row r="1421">
      <c r="A1421" s="8"/>
      <c r="B1421" s="8"/>
      <c r="C1421" s="8"/>
      <c r="D1421" s="8"/>
      <c r="E1421" s="8"/>
      <c r="F1421" s="8"/>
      <c r="G1421" s="8"/>
      <c r="H1421" s="8"/>
      <c r="I1421" s="8"/>
      <c r="J1421" s="8"/>
      <c r="K1421" s="8"/>
      <c r="L1421" s="8"/>
      <c r="M1421" s="8"/>
      <c r="N1421" s="8"/>
      <c r="O1421" s="8"/>
      <c r="P1421" s="8"/>
      <c r="Q1421" s="8"/>
      <c r="R1421" s="8"/>
      <c r="S1421" s="8"/>
      <c r="T1421" s="8"/>
      <c r="U1421" s="8"/>
      <c r="V1421" s="8"/>
      <c r="W1421" s="8"/>
      <c r="X1421" s="8"/>
      <c r="Y1421" s="8"/>
    </row>
    <row r="1422">
      <c r="A1422" s="8"/>
      <c r="B1422" s="8"/>
      <c r="C1422" s="8"/>
      <c r="D1422" s="8"/>
      <c r="E1422" s="8"/>
      <c r="F1422" s="8"/>
      <c r="G1422" s="8"/>
      <c r="H1422" s="8"/>
      <c r="I1422" s="8"/>
      <c r="J1422" s="8"/>
      <c r="K1422" s="8"/>
      <c r="L1422" s="8"/>
      <c r="M1422" s="8"/>
      <c r="N1422" s="8"/>
      <c r="O1422" s="8"/>
      <c r="P1422" s="8"/>
      <c r="Q1422" s="8"/>
      <c r="R1422" s="8"/>
      <c r="S1422" s="8"/>
      <c r="T1422" s="8"/>
      <c r="U1422" s="8"/>
      <c r="V1422" s="8"/>
      <c r="W1422" s="8"/>
      <c r="X1422" s="8"/>
      <c r="Y1422" s="8"/>
    </row>
    <row r="1423">
      <c r="A1423" s="8"/>
      <c r="B1423" s="8"/>
      <c r="C1423" s="8"/>
      <c r="D1423" s="8"/>
      <c r="E1423" s="8"/>
      <c r="F1423" s="8"/>
      <c r="G1423" s="8"/>
      <c r="H1423" s="8"/>
      <c r="I1423" s="8"/>
      <c r="J1423" s="8"/>
      <c r="K1423" s="8"/>
      <c r="L1423" s="8"/>
      <c r="M1423" s="8"/>
      <c r="N1423" s="8"/>
      <c r="O1423" s="8"/>
      <c r="P1423" s="8"/>
      <c r="Q1423" s="8"/>
      <c r="R1423" s="8"/>
      <c r="S1423" s="8"/>
      <c r="T1423" s="8"/>
      <c r="U1423" s="8"/>
      <c r="V1423" s="8"/>
      <c r="W1423" s="8"/>
      <c r="X1423" s="8"/>
      <c r="Y1423" s="8"/>
    </row>
    <row r="1424">
      <c r="A1424" s="8"/>
      <c r="B1424" s="8"/>
      <c r="C1424" s="8"/>
      <c r="D1424" s="8"/>
      <c r="E1424" s="8"/>
      <c r="F1424" s="8"/>
      <c r="G1424" s="8"/>
      <c r="H1424" s="8"/>
      <c r="I1424" s="8"/>
      <c r="J1424" s="8"/>
      <c r="K1424" s="8"/>
      <c r="L1424" s="8"/>
      <c r="M1424" s="8"/>
      <c r="N1424" s="8"/>
      <c r="O1424" s="8"/>
      <c r="P1424" s="8"/>
      <c r="Q1424" s="8"/>
      <c r="R1424" s="8"/>
      <c r="S1424" s="8"/>
      <c r="T1424" s="8"/>
      <c r="U1424" s="8"/>
      <c r="V1424" s="8"/>
      <c r="W1424" s="8"/>
      <c r="X1424" s="8"/>
      <c r="Y1424" s="8"/>
    </row>
    <row r="1425">
      <c r="A1425" s="8"/>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row>
    <row r="1426">
      <c r="A1426" s="8"/>
      <c r="B1426" s="8"/>
      <c r="C1426" s="8"/>
      <c r="D1426" s="8"/>
      <c r="E1426" s="8"/>
      <c r="F1426" s="8"/>
      <c r="G1426" s="8"/>
      <c r="H1426" s="8"/>
      <c r="I1426" s="8"/>
      <c r="J1426" s="8"/>
      <c r="K1426" s="8"/>
      <c r="L1426" s="8"/>
      <c r="M1426" s="8"/>
      <c r="N1426" s="8"/>
      <c r="O1426" s="8"/>
      <c r="P1426" s="8"/>
      <c r="Q1426" s="8"/>
      <c r="R1426" s="8"/>
      <c r="S1426" s="8"/>
      <c r="T1426" s="8"/>
      <c r="U1426" s="8"/>
      <c r="V1426" s="8"/>
      <c r="W1426" s="8"/>
      <c r="X1426" s="8"/>
      <c r="Y1426" s="8"/>
    </row>
    <row r="1427">
      <c r="A1427" s="8"/>
      <c r="B1427" s="8"/>
      <c r="C1427" s="8"/>
      <c r="D1427" s="8"/>
      <c r="E1427" s="8"/>
      <c r="F1427" s="8"/>
      <c r="G1427" s="8"/>
      <c r="H1427" s="8"/>
      <c r="I1427" s="8"/>
      <c r="J1427" s="8"/>
      <c r="K1427" s="8"/>
      <c r="L1427" s="8"/>
      <c r="M1427" s="8"/>
      <c r="N1427" s="8"/>
      <c r="O1427" s="8"/>
      <c r="P1427" s="8"/>
      <c r="Q1427" s="8"/>
      <c r="R1427" s="8"/>
      <c r="S1427" s="8"/>
      <c r="T1427" s="8"/>
      <c r="U1427" s="8"/>
      <c r="V1427" s="8"/>
      <c r="W1427" s="8"/>
      <c r="X1427" s="8"/>
      <c r="Y1427" s="8"/>
    </row>
    <row r="1428">
      <c r="A1428" s="8"/>
      <c r="B1428" s="8"/>
      <c r="C1428" s="8"/>
      <c r="D1428" s="8"/>
      <c r="E1428" s="8"/>
      <c r="F1428" s="8"/>
      <c r="G1428" s="8"/>
      <c r="H1428" s="8"/>
      <c r="I1428" s="8"/>
      <c r="J1428" s="8"/>
      <c r="K1428" s="8"/>
      <c r="L1428" s="8"/>
      <c r="M1428" s="8"/>
      <c r="N1428" s="8"/>
      <c r="O1428" s="8"/>
      <c r="P1428" s="8"/>
      <c r="Q1428" s="8"/>
      <c r="R1428" s="8"/>
      <c r="S1428" s="8"/>
      <c r="T1428" s="8"/>
      <c r="U1428" s="8"/>
      <c r="V1428" s="8"/>
      <c r="W1428" s="8"/>
      <c r="X1428" s="8"/>
      <c r="Y1428" s="8"/>
    </row>
    <row r="1429">
      <c r="A1429" s="8"/>
      <c r="B1429" s="8"/>
      <c r="C1429" s="8"/>
      <c r="D1429" s="8"/>
      <c r="E1429" s="8"/>
      <c r="F1429" s="8"/>
      <c r="G1429" s="8"/>
      <c r="H1429" s="8"/>
      <c r="I1429" s="8"/>
      <c r="J1429" s="8"/>
      <c r="K1429" s="8"/>
      <c r="L1429" s="8"/>
      <c r="M1429" s="8"/>
      <c r="N1429" s="8"/>
      <c r="O1429" s="8"/>
      <c r="P1429" s="8"/>
      <c r="Q1429" s="8"/>
      <c r="R1429" s="8"/>
      <c r="S1429" s="8"/>
      <c r="T1429" s="8"/>
      <c r="U1429" s="8"/>
      <c r="V1429" s="8"/>
      <c r="W1429" s="8"/>
      <c r="X1429" s="8"/>
      <c r="Y1429" s="8"/>
    </row>
    <row r="1430">
      <c r="A1430" s="8"/>
      <c r="B1430" s="8"/>
      <c r="C1430" s="8"/>
      <c r="D1430" s="8"/>
      <c r="E1430" s="8"/>
      <c r="F1430" s="8"/>
      <c r="G1430" s="8"/>
      <c r="H1430" s="8"/>
      <c r="I1430" s="8"/>
      <c r="J1430" s="8"/>
      <c r="K1430" s="8"/>
      <c r="L1430" s="8"/>
      <c r="M1430" s="8"/>
      <c r="N1430" s="8"/>
      <c r="O1430" s="8"/>
      <c r="P1430" s="8"/>
      <c r="Q1430" s="8"/>
      <c r="R1430" s="8"/>
      <c r="S1430" s="8"/>
      <c r="T1430" s="8"/>
      <c r="U1430" s="8"/>
      <c r="V1430" s="8"/>
      <c r="W1430" s="8"/>
      <c r="X1430" s="8"/>
      <c r="Y1430" s="8"/>
    </row>
    <row r="1431">
      <c r="A1431" s="8"/>
      <c r="B1431" s="8"/>
      <c r="C1431" s="8"/>
      <c r="D1431" s="8"/>
      <c r="E1431" s="8"/>
      <c r="F1431" s="8"/>
      <c r="G1431" s="8"/>
      <c r="H1431" s="8"/>
      <c r="I1431" s="8"/>
      <c r="J1431" s="8"/>
      <c r="K1431" s="8"/>
      <c r="L1431" s="8"/>
      <c r="M1431" s="8"/>
      <c r="N1431" s="8"/>
      <c r="O1431" s="8"/>
      <c r="P1431" s="8"/>
      <c r="Q1431" s="8"/>
      <c r="R1431" s="8"/>
      <c r="S1431" s="8"/>
      <c r="T1431" s="8"/>
      <c r="U1431" s="8"/>
      <c r="V1431" s="8"/>
      <c r="W1431" s="8"/>
      <c r="X1431" s="8"/>
      <c r="Y1431" s="8"/>
    </row>
    <row r="1432">
      <c r="A1432" s="8"/>
      <c r="B1432" s="8"/>
      <c r="C1432" s="8"/>
      <c r="D1432" s="8"/>
      <c r="E1432" s="8"/>
      <c r="F1432" s="8"/>
      <c r="G1432" s="8"/>
      <c r="H1432" s="8"/>
      <c r="I1432" s="8"/>
      <c r="J1432" s="8"/>
      <c r="K1432" s="8"/>
      <c r="L1432" s="8"/>
      <c r="M1432" s="8"/>
      <c r="N1432" s="8"/>
      <c r="O1432" s="8"/>
      <c r="P1432" s="8"/>
      <c r="Q1432" s="8"/>
      <c r="R1432" s="8"/>
      <c r="S1432" s="8"/>
      <c r="T1432" s="8"/>
      <c r="U1432" s="8"/>
      <c r="V1432" s="8"/>
      <c r="W1432" s="8"/>
      <c r="X1432" s="8"/>
      <c r="Y1432" s="8"/>
    </row>
    <row r="1433">
      <c r="A1433" s="8"/>
      <c r="B1433" s="8"/>
      <c r="C1433" s="8"/>
      <c r="D1433" s="8"/>
      <c r="E1433" s="8"/>
      <c r="F1433" s="8"/>
      <c r="G1433" s="8"/>
      <c r="H1433" s="8"/>
      <c r="I1433" s="8"/>
      <c r="J1433" s="8"/>
      <c r="K1433" s="8"/>
      <c r="L1433" s="8"/>
      <c r="M1433" s="8"/>
      <c r="N1433" s="8"/>
      <c r="O1433" s="8"/>
      <c r="P1433" s="8"/>
      <c r="Q1433" s="8"/>
      <c r="R1433" s="8"/>
      <c r="S1433" s="8"/>
      <c r="T1433" s="8"/>
      <c r="U1433" s="8"/>
      <c r="V1433" s="8"/>
      <c r="W1433" s="8"/>
      <c r="X1433" s="8"/>
      <c r="Y1433" s="8"/>
    </row>
    <row r="1434">
      <c r="A1434" s="8"/>
      <c r="B1434" s="8"/>
      <c r="C1434" s="8"/>
      <c r="D1434" s="8"/>
      <c r="E1434" s="8"/>
      <c r="F1434" s="8"/>
      <c r="G1434" s="8"/>
      <c r="H1434" s="8"/>
      <c r="I1434" s="8"/>
      <c r="J1434" s="8"/>
      <c r="K1434" s="8"/>
      <c r="L1434" s="8"/>
      <c r="M1434" s="8"/>
      <c r="N1434" s="8"/>
      <c r="O1434" s="8"/>
      <c r="P1434" s="8"/>
      <c r="Q1434" s="8"/>
      <c r="R1434" s="8"/>
      <c r="S1434" s="8"/>
      <c r="T1434" s="8"/>
      <c r="U1434" s="8"/>
      <c r="V1434" s="8"/>
      <c r="W1434" s="8"/>
      <c r="X1434" s="8"/>
      <c r="Y1434" s="8"/>
    </row>
    <row r="1435">
      <c r="A1435" s="8"/>
      <c r="B1435" s="8"/>
      <c r="C1435" s="8"/>
      <c r="D1435" s="8"/>
      <c r="E1435" s="8"/>
      <c r="F1435" s="8"/>
      <c r="G1435" s="8"/>
      <c r="H1435" s="8"/>
      <c r="I1435" s="8"/>
      <c r="J1435" s="8"/>
      <c r="K1435" s="8"/>
      <c r="L1435" s="8"/>
      <c r="M1435" s="8"/>
      <c r="N1435" s="8"/>
      <c r="O1435" s="8"/>
      <c r="P1435" s="8"/>
      <c r="Q1435" s="8"/>
      <c r="R1435" s="8"/>
      <c r="S1435" s="8"/>
      <c r="T1435" s="8"/>
      <c r="U1435" s="8"/>
      <c r="V1435" s="8"/>
      <c r="W1435" s="8"/>
      <c r="X1435" s="8"/>
      <c r="Y1435" s="8"/>
    </row>
    <row r="1436">
      <c r="A1436" s="8"/>
      <c r="B1436" s="8"/>
      <c r="C1436" s="8"/>
      <c r="D1436" s="8"/>
      <c r="E1436" s="8"/>
      <c r="F1436" s="8"/>
      <c r="G1436" s="8"/>
      <c r="H1436" s="8"/>
      <c r="I1436" s="8"/>
      <c r="J1436" s="8"/>
      <c r="K1436" s="8"/>
      <c r="L1436" s="8"/>
      <c r="M1436" s="8"/>
      <c r="N1436" s="8"/>
      <c r="O1436" s="8"/>
      <c r="P1436" s="8"/>
      <c r="Q1436" s="8"/>
      <c r="R1436" s="8"/>
      <c r="S1436" s="8"/>
      <c r="T1436" s="8"/>
      <c r="U1436" s="8"/>
      <c r="V1436" s="8"/>
      <c r="W1436" s="8"/>
      <c r="X1436" s="8"/>
      <c r="Y1436" s="8"/>
    </row>
    <row r="1437">
      <c r="A1437" s="8"/>
      <c r="B1437" s="8"/>
      <c r="C1437" s="8"/>
      <c r="D1437" s="8"/>
      <c r="E1437" s="8"/>
      <c r="F1437" s="8"/>
      <c r="G1437" s="8"/>
      <c r="H1437" s="8"/>
      <c r="I1437" s="8"/>
      <c r="J1437" s="8"/>
      <c r="K1437" s="8"/>
      <c r="L1437" s="8"/>
      <c r="M1437" s="8"/>
      <c r="N1437" s="8"/>
      <c r="O1437" s="8"/>
      <c r="P1437" s="8"/>
      <c r="Q1437" s="8"/>
      <c r="R1437" s="8"/>
      <c r="S1437" s="8"/>
      <c r="T1437" s="8"/>
      <c r="U1437" s="8"/>
      <c r="V1437" s="8"/>
      <c r="W1437" s="8"/>
      <c r="X1437" s="8"/>
      <c r="Y1437" s="8"/>
    </row>
    <row r="1438">
      <c r="A1438" s="8"/>
      <c r="B1438" s="8"/>
      <c r="C1438" s="8"/>
      <c r="D1438" s="8"/>
      <c r="E1438" s="8"/>
      <c r="F1438" s="8"/>
      <c r="G1438" s="8"/>
      <c r="H1438" s="8"/>
      <c r="I1438" s="8"/>
      <c r="J1438" s="8"/>
      <c r="K1438" s="8"/>
      <c r="L1438" s="8"/>
      <c r="M1438" s="8"/>
      <c r="N1438" s="8"/>
      <c r="O1438" s="8"/>
      <c r="P1438" s="8"/>
      <c r="Q1438" s="8"/>
      <c r="R1438" s="8"/>
      <c r="S1438" s="8"/>
      <c r="T1438" s="8"/>
      <c r="U1438" s="8"/>
      <c r="V1438" s="8"/>
      <c r="W1438" s="8"/>
      <c r="X1438" s="8"/>
      <c r="Y1438" s="8"/>
    </row>
    <row r="1439">
      <c r="A1439" s="8"/>
      <c r="B1439" s="8"/>
      <c r="C1439" s="8"/>
      <c r="D1439" s="8"/>
      <c r="E1439" s="8"/>
      <c r="F1439" s="8"/>
      <c r="G1439" s="8"/>
      <c r="H1439" s="8"/>
      <c r="I1439" s="8"/>
      <c r="J1439" s="8"/>
      <c r="K1439" s="8"/>
      <c r="L1439" s="8"/>
      <c r="M1439" s="8"/>
      <c r="N1439" s="8"/>
      <c r="O1439" s="8"/>
      <c r="P1439" s="8"/>
      <c r="Q1439" s="8"/>
      <c r="R1439" s="8"/>
      <c r="S1439" s="8"/>
      <c r="T1439" s="8"/>
      <c r="U1439" s="8"/>
      <c r="V1439" s="8"/>
      <c r="W1439" s="8"/>
      <c r="X1439" s="8"/>
      <c r="Y1439" s="8"/>
    </row>
    <row r="1440">
      <c r="A1440" s="8"/>
      <c r="B1440" s="8"/>
      <c r="C1440" s="8"/>
      <c r="D1440" s="8"/>
      <c r="E1440" s="8"/>
      <c r="F1440" s="8"/>
      <c r="G1440" s="8"/>
      <c r="H1440" s="8"/>
      <c r="I1440" s="8"/>
      <c r="J1440" s="8"/>
      <c r="K1440" s="8"/>
      <c r="L1440" s="8"/>
      <c r="M1440" s="8"/>
      <c r="N1440" s="8"/>
      <c r="O1440" s="8"/>
      <c r="P1440" s="8"/>
      <c r="Q1440" s="8"/>
      <c r="R1440" s="8"/>
      <c r="S1440" s="8"/>
      <c r="T1440" s="8"/>
      <c r="U1440" s="8"/>
      <c r="V1440" s="8"/>
      <c r="W1440" s="8"/>
      <c r="X1440" s="8"/>
      <c r="Y1440" s="8"/>
    </row>
    <row r="1441">
      <c r="A1441" s="8"/>
      <c r="B1441" s="8"/>
      <c r="C1441" s="8"/>
      <c r="D1441" s="8"/>
      <c r="E1441" s="8"/>
      <c r="F1441" s="8"/>
      <c r="G1441" s="8"/>
      <c r="H1441" s="8"/>
      <c r="I1441" s="8"/>
      <c r="J1441" s="8"/>
      <c r="K1441" s="8"/>
      <c r="L1441" s="8"/>
      <c r="M1441" s="8"/>
      <c r="N1441" s="8"/>
      <c r="O1441" s="8"/>
      <c r="P1441" s="8"/>
      <c r="Q1441" s="8"/>
      <c r="R1441" s="8"/>
      <c r="S1441" s="8"/>
      <c r="T1441" s="8"/>
      <c r="U1441" s="8"/>
      <c r="V1441" s="8"/>
      <c r="W1441" s="8"/>
      <c r="X1441" s="8"/>
      <c r="Y1441" s="8"/>
    </row>
    <row r="1442">
      <c r="A1442" s="8"/>
      <c r="B1442" s="8"/>
      <c r="C1442" s="8"/>
      <c r="D1442" s="8"/>
      <c r="E1442" s="8"/>
      <c r="F1442" s="8"/>
      <c r="G1442" s="8"/>
      <c r="H1442" s="8"/>
      <c r="I1442" s="8"/>
      <c r="J1442" s="8"/>
      <c r="K1442" s="8"/>
      <c r="L1442" s="8"/>
      <c r="M1442" s="8"/>
      <c r="N1442" s="8"/>
      <c r="O1442" s="8"/>
      <c r="P1442" s="8"/>
      <c r="Q1442" s="8"/>
      <c r="R1442" s="8"/>
      <c r="S1442" s="8"/>
      <c r="T1442" s="8"/>
      <c r="U1442" s="8"/>
      <c r="V1442" s="8"/>
      <c r="W1442" s="8"/>
      <c r="X1442" s="8"/>
      <c r="Y1442" s="8"/>
    </row>
    <row r="1443">
      <c r="A1443" s="8"/>
      <c r="B1443" s="8"/>
      <c r="C1443" s="8"/>
      <c r="D1443" s="8"/>
      <c r="E1443" s="8"/>
      <c r="F1443" s="8"/>
      <c r="G1443" s="8"/>
      <c r="H1443" s="8"/>
      <c r="I1443" s="8"/>
      <c r="J1443" s="8"/>
      <c r="K1443" s="8"/>
      <c r="L1443" s="8"/>
      <c r="M1443" s="8"/>
      <c r="N1443" s="8"/>
      <c r="O1443" s="8"/>
      <c r="P1443" s="8"/>
      <c r="Q1443" s="8"/>
      <c r="R1443" s="8"/>
      <c r="S1443" s="8"/>
      <c r="T1443" s="8"/>
      <c r="U1443" s="8"/>
      <c r="V1443" s="8"/>
      <c r="W1443" s="8"/>
      <c r="X1443" s="8"/>
      <c r="Y1443" s="8"/>
    </row>
    <row r="1444">
      <c r="A1444" s="8"/>
      <c r="B1444" s="8"/>
      <c r="C1444" s="8"/>
      <c r="D1444" s="8"/>
      <c r="E1444" s="8"/>
      <c r="F1444" s="8"/>
      <c r="G1444" s="8"/>
      <c r="H1444" s="8"/>
      <c r="I1444" s="8"/>
      <c r="J1444" s="8"/>
      <c r="K1444" s="8"/>
      <c r="L1444" s="8"/>
      <c r="M1444" s="8"/>
      <c r="N1444" s="8"/>
      <c r="O1444" s="8"/>
      <c r="P1444" s="8"/>
      <c r="Q1444" s="8"/>
      <c r="R1444" s="8"/>
      <c r="S1444" s="8"/>
      <c r="T1444" s="8"/>
      <c r="U1444" s="8"/>
      <c r="V1444" s="8"/>
      <c r="W1444" s="8"/>
      <c r="X1444" s="8"/>
      <c r="Y1444" s="8"/>
    </row>
    <row r="1445">
      <c r="A1445" s="8"/>
      <c r="B1445" s="8"/>
      <c r="C1445" s="8"/>
      <c r="D1445" s="8"/>
      <c r="E1445" s="8"/>
      <c r="F1445" s="8"/>
      <c r="G1445" s="8"/>
      <c r="H1445" s="8"/>
      <c r="I1445" s="8"/>
      <c r="J1445" s="8"/>
      <c r="K1445" s="8"/>
      <c r="L1445" s="8"/>
      <c r="M1445" s="8"/>
      <c r="N1445" s="8"/>
      <c r="O1445" s="8"/>
      <c r="P1445" s="8"/>
      <c r="Q1445" s="8"/>
      <c r="R1445" s="8"/>
      <c r="S1445" s="8"/>
      <c r="T1445" s="8"/>
      <c r="U1445" s="8"/>
      <c r="V1445" s="8"/>
      <c r="W1445" s="8"/>
      <c r="X1445" s="8"/>
      <c r="Y1445" s="8"/>
    </row>
    <row r="1446">
      <c r="A1446" s="8"/>
      <c r="B1446" s="8"/>
      <c r="C1446" s="8"/>
      <c r="D1446" s="8"/>
      <c r="E1446" s="8"/>
      <c r="F1446" s="8"/>
      <c r="G1446" s="8"/>
      <c r="H1446" s="8"/>
      <c r="I1446" s="8"/>
      <c r="J1446" s="8"/>
      <c r="K1446" s="8"/>
      <c r="L1446" s="8"/>
      <c r="M1446" s="8"/>
      <c r="N1446" s="8"/>
      <c r="O1446" s="8"/>
      <c r="P1446" s="8"/>
      <c r="Q1446" s="8"/>
      <c r="R1446" s="8"/>
      <c r="S1446" s="8"/>
      <c r="T1446" s="8"/>
      <c r="U1446" s="8"/>
      <c r="V1446" s="8"/>
      <c r="W1446" s="8"/>
      <c r="X1446" s="8"/>
      <c r="Y1446" s="8"/>
    </row>
    <row r="1447">
      <c r="A1447" s="8"/>
      <c r="B1447" s="8"/>
      <c r="C1447" s="8"/>
      <c r="D1447" s="8"/>
      <c r="E1447" s="8"/>
      <c r="F1447" s="8"/>
      <c r="G1447" s="8"/>
      <c r="H1447" s="8"/>
      <c r="I1447" s="8"/>
      <c r="J1447" s="8"/>
      <c r="K1447" s="8"/>
      <c r="L1447" s="8"/>
      <c r="M1447" s="8"/>
      <c r="N1447" s="8"/>
      <c r="O1447" s="8"/>
      <c r="P1447" s="8"/>
      <c r="Q1447" s="8"/>
      <c r="R1447" s="8"/>
      <c r="S1447" s="8"/>
      <c r="T1447" s="8"/>
      <c r="U1447" s="8"/>
      <c r="V1447" s="8"/>
      <c r="W1447" s="8"/>
      <c r="X1447" s="8"/>
      <c r="Y1447" s="8"/>
    </row>
    <row r="1448">
      <c r="A1448" s="8"/>
      <c r="B1448" s="8"/>
      <c r="C1448" s="8"/>
      <c r="D1448" s="8"/>
      <c r="E1448" s="8"/>
      <c r="F1448" s="8"/>
      <c r="G1448" s="8"/>
      <c r="H1448" s="8"/>
      <c r="I1448" s="8"/>
      <c r="J1448" s="8"/>
      <c r="K1448" s="8"/>
      <c r="L1448" s="8"/>
      <c r="M1448" s="8"/>
      <c r="N1448" s="8"/>
      <c r="O1448" s="8"/>
      <c r="P1448" s="8"/>
      <c r="Q1448" s="8"/>
      <c r="R1448" s="8"/>
      <c r="S1448" s="8"/>
      <c r="T1448" s="8"/>
      <c r="U1448" s="8"/>
      <c r="V1448" s="8"/>
      <c r="W1448" s="8"/>
      <c r="X1448" s="8"/>
      <c r="Y1448" s="8"/>
    </row>
    <row r="1449">
      <c r="A1449" s="8"/>
      <c r="B1449" s="8"/>
      <c r="C1449" s="8"/>
      <c r="D1449" s="8"/>
      <c r="E1449" s="8"/>
      <c r="F1449" s="8"/>
      <c r="G1449" s="8"/>
      <c r="H1449" s="8"/>
      <c r="I1449" s="8"/>
      <c r="J1449" s="8"/>
      <c r="K1449" s="8"/>
      <c r="L1449" s="8"/>
      <c r="M1449" s="8"/>
      <c r="N1449" s="8"/>
      <c r="O1449" s="8"/>
      <c r="P1449" s="8"/>
      <c r="Q1449" s="8"/>
      <c r="R1449" s="8"/>
      <c r="S1449" s="8"/>
      <c r="T1449" s="8"/>
      <c r="U1449" s="8"/>
      <c r="V1449" s="8"/>
      <c r="W1449" s="8"/>
      <c r="X1449" s="8"/>
      <c r="Y1449" s="8"/>
    </row>
    <row r="1450">
      <c r="A1450" s="8"/>
      <c r="B1450" s="8"/>
      <c r="C1450" s="8"/>
      <c r="D1450" s="8"/>
      <c r="E1450" s="8"/>
      <c r="F1450" s="8"/>
      <c r="G1450" s="8"/>
      <c r="H1450" s="8"/>
      <c r="I1450" s="8"/>
      <c r="J1450" s="8"/>
      <c r="K1450" s="8"/>
      <c r="L1450" s="8"/>
      <c r="M1450" s="8"/>
      <c r="N1450" s="8"/>
      <c r="O1450" s="8"/>
      <c r="P1450" s="8"/>
      <c r="Q1450" s="8"/>
      <c r="R1450" s="8"/>
      <c r="S1450" s="8"/>
      <c r="T1450" s="8"/>
      <c r="U1450" s="8"/>
      <c r="V1450" s="8"/>
      <c r="W1450" s="8"/>
      <c r="X1450" s="8"/>
      <c r="Y1450" s="8"/>
    </row>
    <row r="1451">
      <c r="A1451" s="8"/>
      <c r="B1451" s="8"/>
      <c r="C1451" s="8"/>
      <c r="D1451" s="8"/>
      <c r="E1451" s="8"/>
      <c r="F1451" s="8"/>
      <c r="G1451" s="8"/>
      <c r="H1451" s="8"/>
      <c r="I1451" s="8"/>
      <c r="J1451" s="8"/>
      <c r="K1451" s="8"/>
      <c r="L1451" s="8"/>
      <c r="M1451" s="8"/>
      <c r="N1451" s="8"/>
      <c r="O1451" s="8"/>
      <c r="P1451" s="8"/>
      <c r="Q1451" s="8"/>
      <c r="R1451" s="8"/>
      <c r="S1451" s="8"/>
      <c r="T1451" s="8"/>
      <c r="U1451" s="8"/>
      <c r="V1451" s="8"/>
      <c r="W1451" s="8"/>
      <c r="X1451" s="8"/>
      <c r="Y1451" s="8"/>
    </row>
    <row r="1452">
      <c r="A1452" s="8"/>
      <c r="B1452" s="8"/>
      <c r="C1452" s="8"/>
      <c r="D1452" s="8"/>
      <c r="E1452" s="8"/>
      <c r="F1452" s="8"/>
      <c r="G1452" s="8"/>
      <c r="H1452" s="8"/>
      <c r="I1452" s="8"/>
      <c r="J1452" s="8"/>
      <c r="K1452" s="8"/>
      <c r="L1452" s="8"/>
      <c r="M1452" s="8"/>
      <c r="N1452" s="8"/>
      <c r="O1452" s="8"/>
      <c r="P1452" s="8"/>
      <c r="Q1452" s="8"/>
      <c r="R1452" s="8"/>
      <c r="S1452" s="8"/>
      <c r="T1452" s="8"/>
      <c r="U1452" s="8"/>
      <c r="V1452" s="8"/>
      <c r="W1452" s="8"/>
      <c r="X1452" s="8"/>
      <c r="Y1452" s="8"/>
    </row>
    <row r="1453">
      <c r="A1453" s="8"/>
      <c r="B1453" s="8"/>
      <c r="C1453" s="8"/>
      <c r="D1453" s="8"/>
      <c r="E1453" s="8"/>
      <c r="F1453" s="8"/>
      <c r="G1453" s="8"/>
      <c r="H1453" s="8"/>
      <c r="I1453" s="8"/>
      <c r="J1453" s="8"/>
      <c r="K1453" s="8"/>
      <c r="L1453" s="8"/>
      <c r="M1453" s="8"/>
      <c r="N1453" s="8"/>
      <c r="O1453" s="8"/>
      <c r="P1453" s="8"/>
      <c r="Q1453" s="8"/>
      <c r="R1453" s="8"/>
      <c r="S1453" s="8"/>
      <c r="T1453" s="8"/>
      <c r="U1453" s="8"/>
      <c r="V1453" s="8"/>
      <c r="W1453" s="8"/>
      <c r="X1453" s="8"/>
      <c r="Y1453" s="8"/>
    </row>
    <row r="1454">
      <c r="A1454" s="8"/>
      <c r="B1454" s="8"/>
      <c r="C1454" s="8"/>
      <c r="D1454" s="8"/>
      <c r="E1454" s="8"/>
      <c r="F1454" s="8"/>
      <c r="G1454" s="8"/>
      <c r="H1454" s="8"/>
      <c r="I1454" s="8"/>
      <c r="J1454" s="8"/>
      <c r="K1454" s="8"/>
      <c r="L1454" s="8"/>
      <c r="M1454" s="8"/>
      <c r="N1454" s="8"/>
      <c r="O1454" s="8"/>
      <c r="P1454" s="8"/>
      <c r="Q1454" s="8"/>
      <c r="R1454" s="8"/>
      <c r="S1454" s="8"/>
      <c r="T1454" s="8"/>
      <c r="U1454" s="8"/>
      <c r="V1454" s="8"/>
      <c r="W1454" s="8"/>
      <c r="X1454" s="8"/>
      <c r="Y1454" s="8"/>
    </row>
    <row r="1455">
      <c r="A1455" s="8"/>
      <c r="B1455" s="8"/>
      <c r="C1455" s="8"/>
      <c r="D1455" s="8"/>
      <c r="E1455" s="8"/>
      <c r="F1455" s="8"/>
      <c r="G1455" s="8"/>
      <c r="H1455" s="8"/>
      <c r="I1455" s="8"/>
      <c r="J1455" s="8"/>
      <c r="K1455" s="8"/>
      <c r="L1455" s="8"/>
      <c r="M1455" s="8"/>
      <c r="N1455" s="8"/>
      <c r="O1455" s="8"/>
      <c r="P1455" s="8"/>
      <c r="Q1455" s="8"/>
      <c r="R1455" s="8"/>
      <c r="S1455" s="8"/>
      <c r="T1455" s="8"/>
      <c r="U1455" s="8"/>
      <c r="V1455" s="8"/>
      <c r="W1455" s="8"/>
      <c r="X1455" s="8"/>
      <c r="Y1455" s="8"/>
    </row>
    <row r="1456">
      <c r="A1456" s="8"/>
      <c r="B1456" s="8"/>
      <c r="C1456" s="8"/>
      <c r="D1456" s="8"/>
      <c r="E1456" s="8"/>
      <c r="F1456" s="8"/>
      <c r="G1456" s="8"/>
      <c r="H1456" s="8"/>
      <c r="I1456" s="8"/>
      <c r="J1456" s="8"/>
      <c r="K1456" s="8"/>
      <c r="L1456" s="8"/>
      <c r="M1456" s="8"/>
      <c r="N1456" s="8"/>
      <c r="O1456" s="8"/>
      <c r="P1456" s="8"/>
      <c r="Q1456" s="8"/>
      <c r="R1456" s="8"/>
      <c r="S1456" s="8"/>
      <c r="T1456" s="8"/>
      <c r="U1456" s="8"/>
      <c r="V1456" s="8"/>
      <c r="W1456" s="8"/>
      <c r="X1456" s="8"/>
      <c r="Y1456" s="8"/>
    </row>
    <row r="1457">
      <c r="A1457" s="8"/>
      <c r="B1457" s="8"/>
      <c r="C1457" s="8"/>
      <c r="D1457" s="8"/>
      <c r="E1457" s="8"/>
      <c r="F1457" s="8"/>
      <c r="G1457" s="8"/>
      <c r="H1457" s="8"/>
      <c r="I1457" s="8"/>
      <c r="J1457" s="8"/>
      <c r="K1457" s="8"/>
      <c r="L1457" s="8"/>
      <c r="M1457" s="8"/>
      <c r="N1457" s="8"/>
      <c r="O1457" s="8"/>
      <c r="P1457" s="8"/>
      <c r="Q1457" s="8"/>
      <c r="R1457" s="8"/>
      <c r="S1457" s="8"/>
      <c r="T1457" s="8"/>
      <c r="U1457" s="8"/>
      <c r="V1457" s="8"/>
      <c r="W1457" s="8"/>
      <c r="X1457" s="8"/>
      <c r="Y1457" s="8"/>
    </row>
    <row r="1458">
      <c r="A1458" s="8"/>
      <c r="B1458" s="8"/>
      <c r="C1458" s="8"/>
      <c r="D1458" s="8"/>
      <c r="E1458" s="8"/>
      <c r="F1458" s="8"/>
      <c r="G1458" s="8"/>
      <c r="H1458" s="8"/>
      <c r="I1458" s="8"/>
      <c r="J1458" s="8"/>
      <c r="K1458" s="8"/>
      <c r="L1458" s="8"/>
      <c r="M1458" s="8"/>
      <c r="N1458" s="8"/>
      <c r="O1458" s="8"/>
      <c r="P1458" s="8"/>
      <c r="Q1458" s="8"/>
      <c r="R1458" s="8"/>
      <c r="S1458" s="8"/>
      <c r="T1458" s="8"/>
      <c r="U1458" s="8"/>
      <c r="V1458" s="8"/>
      <c r="W1458" s="8"/>
      <c r="X1458" s="8"/>
      <c r="Y1458" s="8"/>
    </row>
    <row r="1459">
      <c r="A1459" s="8"/>
      <c r="B1459" s="8"/>
      <c r="C1459" s="8"/>
      <c r="D1459" s="8"/>
      <c r="E1459" s="8"/>
      <c r="F1459" s="8"/>
      <c r="G1459" s="8"/>
      <c r="H1459" s="8"/>
      <c r="I1459" s="8"/>
      <c r="J1459" s="8"/>
      <c r="K1459" s="8"/>
      <c r="L1459" s="8"/>
      <c r="M1459" s="8"/>
      <c r="N1459" s="8"/>
      <c r="O1459" s="8"/>
      <c r="P1459" s="8"/>
      <c r="Q1459" s="8"/>
      <c r="R1459" s="8"/>
      <c r="S1459" s="8"/>
      <c r="T1459" s="8"/>
      <c r="U1459" s="8"/>
      <c r="V1459" s="8"/>
      <c r="W1459" s="8"/>
      <c r="X1459" s="8"/>
      <c r="Y1459" s="8"/>
    </row>
    <row r="1460">
      <c r="A1460" s="8"/>
      <c r="B1460" s="8"/>
      <c r="C1460" s="8"/>
      <c r="D1460" s="8"/>
      <c r="E1460" s="8"/>
      <c r="F1460" s="8"/>
      <c r="G1460" s="8"/>
      <c r="H1460" s="8"/>
      <c r="I1460" s="8"/>
      <c r="J1460" s="8"/>
      <c r="K1460" s="8"/>
      <c r="L1460" s="8"/>
      <c r="M1460" s="8"/>
      <c r="N1460" s="8"/>
      <c r="O1460" s="8"/>
      <c r="P1460" s="8"/>
      <c r="Q1460" s="8"/>
      <c r="R1460" s="8"/>
      <c r="S1460" s="8"/>
      <c r="T1460" s="8"/>
      <c r="U1460" s="8"/>
      <c r="V1460" s="8"/>
      <c r="W1460" s="8"/>
      <c r="X1460" s="8"/>
      <c r="Y1460" s="8"/>
    </row>
    <row r="1461">
      <c r="A1461" s="8"/>
      <c r="B1461" s="8"/>
      <c r="C1461" s="8"/>
      <c r="D1461" s="8"/>
      <c r="E1461" s="8"/>
      <c r="F1461" s="8"/>
      <c r="G1461" s="8"/>
      <c r="H1461" s="8"/>
      <c r="I1461" s="8"/>
      <c r="J1461" s="8"/>
      <c r="K1461" s="8"/>
      <c r="L1461" s="8"/>
      <c r="M1461" s="8"/>
      <c r="N1461" s="8"/>
      <c r="O1461" s="8"/>
      <c r="P1461" s="8"/>
      <c r="Q1461" s="8"/>
      <c r="R1461" s="8"/>
      <c r="S1461" s="8"/>
      <c r="T1461" s="8"/>
      <c r="U1461" s="8"/>
      <c r="V1461" s="8"/>
      <c r="W1461" s="8"/>
      <c r="X1461" s="8"/>
      <c r="Y1461" s="8"/>
    </row>
    <row r="1462">
      <c r="A1462" s="8"/>
      <c r="B1462" s="8"/>
      <c r="C1462" s="8"/>
      <c r="D1462" s="8"/>
      <c r="E1462" s="8"/>
      <c r="F1462" s="8"/>
      <c r="G1462" s="8"/>
      <c r="H1462" s="8"/>
      <c r="I1462" s="8"/>
      <c r="J1462" s="8"/>
      <c r="K1462" s="8"/>
      <c r="L1462" s="8"/>
      <c r="M1462" s="8"/>
      <c r="N1462" s="8"/>
      <c r="O1462" s="8"/>
      <c r="P1462" s="8"/>
      <c r="Q1462" s="8"/>
      <c r="R1462" s="8"/>
      <c r="S1462" s="8"/>
      <c r="T1462" s="8"/>
      <c r="U1462" s="8"/>
      <c r="V1462" s="8"/>
      <c r="W1462" s="8"/>
      <c r="X1462" s="8"/>
      <c r="Y1462" s="8"/>
    </row>
    <row r="1463">
      <c r="A1463" s="8"/>
      <c r="B1463" s="8"/>
      <c r="C1463" s="8"/>
      <c r="D1463" s="8"/>
      <c r="E1463" s="8"/>
      <c r="F1463" s="8"/>
      <c r="G1463" s="8"/>
      <c r="H1463" s="8"/>
      <c r="I1463" s="8"/>
      <c r="J1463" s="8"/>
      <c r="K1463" s="8"/>
      <c r="L1463" s="8"/>
      <c r="M1463" s="8"/>
      <c r="N1463" s="8"/>
      <c r="O1463" s="8"/>
      <c r="P1463" s="8"/>
      <c r="Q1463" s="8"/>
      <c r="R1463" s="8"/>
      <c r="S1463" s="8"/>
      <c r="T1463" s="8"/>
      <c r="U1463" s="8"/>
      <c r="V1463" s="8"/>
      <c r="W1463" s="8"/>
      <c r="X1463" s="8"/>
      <c r="Y1463" s="8"/>
    </row>
    <row r="1464">
      <c r="A1464" s="8"/>
      <c r="B1464" s="8"/>
      <c r="C1464" s="8"/>
      <c r="D1464" s="8"/>
      <c r="E1464" s="8"/>
      <c r="F1464" s="8"/>
      <c r="G1464" s="8"/>
      <c r="H1464" s="8"/>
      <c r="I1464" s="8"/>
      <c r="J1464" s="8"/>
      <c r="K1464" s="8"/>
      <c r="L1464" s="8"/>
      <c r="M1464" s="8"/>
      <c r="N1464" s="8"/>
      <c r="O1464" s="8"/>
      <c r="P1464" s="8"/>
      <c r="Q1464" s="8"/>
      <c r="R1464" s="8"/>
      <c r="S1464" s="8"/>
      <c r="T1464" s="8"/>
      <c r="U1464" s="8"/>
      <c r="V1464" s="8"/>
      <c r="W1464" s="8"/>
      <c r="X1464" s="8"/>
      <c r="Y1464" s="8"/>
    </row>
    <row r="1465">
      <c r="A1465" s="8"/>
      <c r="B1465" s="8"/>
      <c r="C1465" s="8"/>
      <c r="D1465" s="8"/>
      <c r="E1465" s="8"/>
      <c r="F1465" s="8"/>
      <c r="G1465" s="8"/>
      <c r="H1465" s="8"/>
      <c r="I1465" s="8"/>
      <c r="J1465" s="8"/>
      <c r="K1465" s="8"/>
      <c r="L1465" s="8"/>
      <c r="M1465" s="8"/>
      <c r="N1465" s="8"/>
      <c r="O1465" s="8"/>
      <c r="P1465" s="8"/>
      <c r="Q1465" s="8"/>
      <c r="R1465" s="8"/>
      <c r="S1465" s="8"/>
      <c r="T1465" s="8"/>
      <c r="U1465" s="8"/>
      <c r="V1465" s="8"/>
      <c r="W1465" s="8"/>
      <c r="X1465" s="8"/>
      <c r="Y1465" s="8"/>
    </row>
    <row r="1466">
      <c r="A1466" s="8"/>
      <c r="B1466" s="8"/>
      <c r="C1466" s="8"/>
      <c r="D1466" s="8"/>
      <c r="E1466" s="8"/>
      <c r="F1466" s="8"/>
      <c r="G1466" s="8"/>
      <c r="H1466" s="8"/>
      <c r="I1466" s="8"/>
      <c r="J1466" s="8"/>
      <c r="K1466" s="8"/>
      <c r="L1466" s="8"/>
      <c r="M1466" s="8"/>
      <c r="N1466" s="8"/>
      <c r="O1466" s="8"/>
      <c r="P1466" s="8"/>
      <c r="Q1466" s="8"/>
      <c r="R1466" s="8"/>
      <c r="S1466" s="8"/>
      <c r="T1466" s="8"/>
      <c r="U1466" s="8"/>
      <c r="V1466" s="8"/>
      <c r="W1466" s="8"/>
      <c r="X1466" s="8"/>
      <c r="Y1466" s="8"/>
    </row>
    <row r="1467">
      <c r="A1467" s="8"/>
      <c r="B1467" s="8"/>
      <c r="C1467" s="8"/>
      <c r="D1467" s="8"/>
      <c r="E1467" s="8"/>
      <c r="F1467" s="8"/>
      <c r="G1467" s="8"/>
      <c r="H1467" s="8"/>
      <c r="I1467" s="8"/>
      <c r="J1467" s="8"/>
      <c r="K1467" s="8"/>
      <c r="L1467" s="8"/>
      <c r="M1467" s="8"/>
      <c r="N1467" s="8"/>
      <c r="O1467" s="8"/>
      <c r="P1467" s="8"/>
      <c r="Q1467" s="8"/>
      <c r="R1467" s="8"/>
      <c r="S1467" s="8"/>
      <c r="T1467" s="8"/>
      <c r="U1467" s="8"/>
      <c r="V1467" s="8"/>
      <c r="W1467" s="8"/>
      <c r="X1467" s="8"/>
      <c r="Y1467" s="8"/>
    </row>
    <row r="1468">
      <c r="A1468" s="8"/>
      <c r="B1468" s="8"/>
      <c r="C1468" s="8"/>
      <c r="D1468" s="8"/>
      <c r="E1468" s="8"/>
      <c r="F1468" s="8"/>
      <c r="G1468" s="8"/>
      <c r="H1468" s="8"/>
      <c r="I1468" s="8"/>
      <c r="J1468" s="8"/>
      <c r="K1468" s="8"/>
      <c r="L1468" s="8"/>
      <c r="M1468" s="8"/>
      <c r="N1468" s="8"/>
      <c r="O1468" s="8"/>
      <c r="P1468" s="8"/>
      <c r="Q1468" s="8"/>
      <c r="R1468" s="8"/>
      <c r="S1468" s="8"/>
      <c r="T1468" s="8"/>
      <c r="U1468" s="8"/>
      <c r="V1468" s="8"/>
      <c r="W1468" s="8"/>
      <c r="X1468" s="8"/>
      <c r="Y1468" s="8"/>
    </row>
    <row r="1469">
      <c r="A1469" s="8"/>
      <c r="B1469" s="8"/>
      <c r="C1469" s="8"/>
      <c r="D1469" s="8"/>
      <c r="E1469" s="8"/>
      <c r="F1469" s="8"/>
      <c r="G1469" s="8"/>
      <c r="H1469" s="8"/>
      <c r="I1469" s="8"/>
      <c r="J1469" s="8"/>
      <c r="K1469" s="8"/>
      <c r="L1469" s="8"/>
      <c r="M1469" s="8"/>
      <c r="N1469" s="8"/>
      <c r="O1469" s="8"/>
      <c r="P1469" s="8"/>
      <c r="Q1469" s="8"/>
      <c r="R1469" s="8"/>
      <c r="S1469" s="8"/>
      <c r="T1469" s="8"/>
      <c r="U1469" s="8"/>
      <c r="V1469" s="8"/>
      <c r="W1469" s="8"/>
      <c r="X1469" s="8"/>
      <c r="Y1469" s="8"/>
    </row>
    <row r="1470">
      <c r="A1470" s="8"/>
      <c r="B1470" s="8"/>
      <c r="C1470" s="8"/>
      <c r="D1470" s="8"/>
      <c r="E1470" s="8"/>
      <c r="F1470" s="8"/>
      <c r="G1470" s="8"/>
      <c r="H1470" s="8"/>
      <c r="I1470" s="8"/>
      <c r="J1470" s="8"/>
      <c r="K1470" s="8"/>
      <c r="L1470" s="8"/>
      <c r="M1470" s="8"/>
      <c r="N1470" s="8"/>
      <c r="O1470" s="8"/>
      <c r="P1470" s="8"/>
      <c r="Q1470" s="8"/>
      <c r="R1470" s="8"/>
      <c r="S1470" s="8"/>
      <c r="T1470" s="8"/>
      <c r="U1470" s="8"/>
      <c r="V1470" s="8"/>
      <c r="W1470" s="8"/>
      <c r="X1470" s="8"/>
      <c r="Y1470" s="8"/>
    </row>
    <row r="1471">
      <c r="A1471" s="8"/>
      <c r="B1471" s="8"/>
      <c r="C1471" s="8"/>
      <c r="D1471" s="8"/>
      <c r="E1471" s="8"/>
      <c r="F1471" s="8"/>
      <c r="G1471" s="8"/>
      <c r="H1471" s="8"/>
      <c r="I1471" s="8"/>
      <c r="J1471" s="8"/>
      <c r="K1471" s="8"/>
      <c r="L1471" s="8"/>
      <c r="M1471" s="8"/>
      <c r="N1471" s="8"/>
      <c r="O1471" s="8"/>
      <c r="P1471" s="8"/>
      <c r="Q1471" s="8"/>
      <c r="R1471" s="8"/>
      <c r="S1471" s="8"/>
      <c r="T1471" s="8"/>
      <c r="U1471" s="8"/>
      <c r="V1471" s="8"/>
      <c r="W1471" s="8"/>
      <c r="X1471" s="8"/>
      <c r="Y1471" s="8"/>
    </row>
    <row r="1472">
      <c r="A1472" s="8"/>
      <c r="B1472" s="8"/>
      <c r="C1472" s="8"/>
      <c r="D1472" s="8"/>
      <c r="E1472" s="8"/>
      <c r="F1472" s="8"/>
      <c r="G1472" s="8"/>
      <c r="H1472" s="8"/>
      <c r="I1472" s="8"/>
      <c r="J1472" s="8"/>
      <c r="K1472" s="8"/>
      <c r="L1472" s="8"/>
      <c r="M1472" s="8"/>
      <c r="N1472" s="8"/>
      <c r="O1472" s="8"/>
      <c r="P1472" s="8"/>
      <c r="Q1472" s="8"/>
      <c r="R1472" s="8"/>
      <c r="S1472" s="8"/>
      <c r="T1472" s="8"/>
      <c r="U1472" s="8"/>
      <c r="V1472" s="8"/>
      <c r="W1472" s="8"/>
      <c r="X1472" s="8"/>
      <c r="Y1472" s="8"/>
    </row>
    <row r="1473">
      <c r="A1473" s="8"/>
      <c r="B1473" s="8"/>
      <c r="C1473" s="8"/>
      <c r="D1473" s="8"/>
      <c r="E1473" s="8"/>
      <c r="F1473" s="8"/>
      <c r="G1473" s="8"/>
      <c r="H1473" s="8"/>
      <c r="I1473" s="8"/>
      <c r="J1473" s="8"/>
      <c r="K1473" s="8"/>
      <c r="L1473" s="8"/>
      <c r="M1473" s="8"/>
      <c r="N1473" s="8"/>
      <c r="O1473" s="8"/>
      <c r="P1473" s="8"/>
      <c r="Q1473" s="8"/>
      <c r="R1473" s="8"/>
      <c r="S1473" s="8"/>
      <c r="T1473" s="8"/>
      <c r="U1473" s="8"/>
      <c r="V1473" s="8"/>
      <c r="W1473" s="8"/>
      <c r="X1473" s="8"/>
      <c r="Y1473" s="8"/>
    </row>
    <row r="1474">
      <c r="A1474" s="8"/>
      <c r="B1474" s="8"/>
      <c r="C1474" s="8"/>
      <c r="D1474" s="8"/>
      <c r="E1474" s="8"/>
      <c r="F1474" s="8"/>
      <c r="G1474" s="8"/>
      <c r="H1474" s="8"/>
      <c r="I1474" s="8"/>
      <c r="J1474" s="8"/>
      <c r="K1474" s="8"/>
      <c r="L1474" s="8"/>
      <c r="M1474" s="8"/>
      <c r="N1474" s="8"/>
      <c r="O1474" s="8"/>
      <c r="P1474" s="8"/>
      <c r="Q1474" s="8"/>
      <c r="R1474" s="8"/>
      <c r="S1474" s="8"/>
      <c r="T1474" s="8"/>
      <c r="U1474" s="8"/>
      <c r="V1474" s="8"/>
      <c r="W1474" s="8"/>
      <c r="X1474" s="8"/>
      <c r="Y1474" s="8"/>
    </row>
    <row r="1475">
      <c r="A1475" s="8"/>
      <c r="B1475" s="8"/>
      <c r="C1475" s="8"/>
      <c r="D1475" s="8"/>
      <c r="E1475" s="8"/>
      <c r="F1475" s="8"/>
      <c r="G1475" s="8"/>
      <c r="H1475" s="8"/>
      <c r="I1475" s="8"/>
      <c r="J1475" s="8"/>
      <c r="K1475" s="8"/>
      <c r="L1475" s="8"/>
      <c r="M1475" s="8"/>
      <c r="N1475" s="8"/>
      <c r="O1475" s="8"/>
      <c r="P1475" s="8"/>
      <c r="Q1475" s="8"/>
      <c r="R1475" s="8"/>
      <c r="S1475" s="8"/>
      <c r="T1475" s="8"/>
      <c r="U1475" s="8"/>
      <c r="V1475" s="8"/>
      <c r="W1475" s="8"/>
      <c r="X1475" s="8"/>
      <c r="Y1475" s="8"/>
    </row>
    <row r="1476">
      <c r="A1476" s="8"/>
      <c r="B1476" s="8"/>
      <c r="C1476" s="8"/>
      <c r="D1476" s="8"/>
      <c r="E1476" s="8"/>
      <c r="F1476" s="8"/>
      <c r="G1476" s="8"/>
      <c r="H1476" s="8"/>
      <c r="I1476" s="8"/>
      <c r="J1476" s="8"/>
      <c r="K1476" s="8"/>
      <c r="L1476" s="8"/>
      <c r="M1476" s="8"/>
      <c r="N1476" s="8"/>
      <c r="O1476" s="8"/>
      <c r="P1476" s="8"/>
      <c r="Q1476" s="8"/>
      <c r="R1476" s="8"/>
      <c r="S1476" s="8"/>
      <c r="T1476" s="8"/>
      <c r="U1476" s="8"/>
      <c r="V1476" s="8"/>
      <c r="W1476" s="8"/>
      <c r="X1476" s="8"/>
      <c r="Y1476" s="8"/>
    </row>
    <row r="1477">
      <c r="A1477" s="8"/>
      <c r="B1477" s="8"/>
      <c r="C1477" s="8"/>
      <c r="D1477" s="8"/>
      <c r="E1477" s="8"/>
      <c r="F1477" s="8"/>
      <c r="G1477" s="8"/>
      <c r="H1477" s="8"/>
      <c r="I1477" s="8"/>
      <c r="J1477" s="8"/>
      <c r="K1477" s="8"/>
      <c r="L1477" s="8"/>
      <c r="M1477" s="8"/>
      <c r="N1477" s="8"/>
      <c r="O1477" s="8"/>
      <c r="P1477" s="8"/>
      <c r="Q1477" s="8"/>
      <c r="R1477" s="8"/>
      <c r="S1477" s="8"/>
      <c r="T1477" s="8"/>
      <c r="U1477" s="8"/>
      <c r="V1477" s="8"/>
      <c r="W1477" s="8"/>
      <c r="X1477" s="8"/>
      <c r="Y1477" s="8"/>
    </row>
    <row r="1478">
      <c r="A1478" s="8"/>
      <c r="B1478" s="8"/>
      <c r="C1478" s="8"/>
      <c r="D1478" s="8"/>
      <c r="E1478" s="8"/>
      <c r="F1478" s="8"/>
      <c r="G1478" s="8"/>
      <c r="H1478" s="8"/>
      <c r="I1478" s="8"/>
      <c r="J1478" s="8"/>
      <c r="K1478" s="8"/>
      <c r="L1478" s="8"/>
      <c r="M1478" s="8"/>
      <c r="N1478" s="8"/>
      <c r="O1478" s="8"/>
      <c r="P1478" s="8"/>
      <c r="Q1478" s="8"/>
      <c r="R1478" s="8"/>
      <c r="S1478" s="8"/>
      <c r="T1478" s="8"/>
      <c r="U1478" s="8"/>
      <c r="V1478" s="8"/>
      <c r="W1478" s="8"/>
      <c r="X1478" s="8"/>
      <c r="Y1478" s="8"/>
    </row>
    <row r="1479">
      <c r="A1479" s="8"/>
      <c r="B1479" s="8"/>
      <c r="C1479" s="8"/>
      <c r="D1479" s="8"/>
      <c r="E1479" s="8"/>
      <c r="F1479" s="8"/>
      <c r="G1479" s="8"/>
      <c r="H1479" s="8"/>
      <c r="I1479" s="8"/>
      <c r="J1479" s="8"/>
      <c r="K1479" s="8"/>
      <c r="L1479" s="8"/>
      <c r="M1479" s="8"/>
      <c r="N1479" s="8"/>
      <c r="O1479" s="8"/>
      <c r="P1479" s="8"/>
      <c r="Q1479" s="8"/>
      <c r="R1479" s="8"/>
      <c r="S1479" s="8"/>
      <c r="T1479" s="8"/>
      <c r="U1479" s="8"/>
      <c r="V1479" s="8"/>
      <c r="W1479" s="8"/>
      <c r="X1479" s="8"/>
      <c r="Y1479" s="8"/>
    </row>
    <row r="1480">
      <c r="A1480" s="8"/>
      <c r="B1480" s="8"/>
      <c r="C1480" s="8"/>
      <c r="D1480" s="8"/>
      <c r="E1480" s="8"/>
      <c r="F1480" s="8"/>
      <c r="G1480" s="8"/>
      <c r="H1480" s="8"/>
      <c r="I1480" s="8"/>
      <c r="J1480" s="8"/>
      <c r="K1480" s="8"/>
      <c r="L1480" s="8"/>
      <c r="M1480" s="8"/>
      <c r="N1480" s="8"/>
      <c r="O1480" s="8"/>
      <c r="P1480" s="8"/>
      <c r="Q1480" s="8"/>
      <c r="R1480" s="8"/>
      <c r="S1480" s="8"/>
      <c r="T1480" s="8"/>
      <c r="U1480" s="8"/>
      <c r="V1480" s="8"/>
      <c r="W1480" s="8"/>
      <c r="X1480" s="8"/>
      <c r="Y1480" s="8"/>
    </row>
    <row r="1481">
      <c r="A1481" s="8"/>
      <c r="B1481" s="8"/>
      <c r="C1481" s="8"/>
      <c r="D1481" s="8"/>
      <c r="E1481" s="8"/>
      <c r="F1481" s="8"/>
      <c r="G1481" s="8"/>
      <c r="H1481" s="8"/>
      <c r="I1481" s="8"/>
      <c r="J1481" s="8"/>
      <c r="K1481" s="8"/>
      <c r="L1481" s="8"/>
      <c r="M1481" s="8"/>
      <c r="N1481" s="8"/>
      <c r="O1481" s="8"/>
      <c r="P1481" s="8"/>
      <c r="Q1481" s="8"/>
      <c r="R1481" s="8"/>
      <c r="S1481" s="8"/>
      <c r="T1481" s="8"/>
      <c r="U1481" s="8"/>
      <c r="V1481" s="8"/>
      <c r="W1481" s="8"/>
      <c r="X1481" s="8"/>
      <c r="Y1481" s="8"/>
    </row>
    <row r="1482">
      <c r="A1482" s="8"/>
      <c r="B1482" s="8"/>
      <c r="C1482" s="8"/>
      <c r="D1482" s="8"/>
      <c r="E1482" s="8"/>
      <c r="F1482" s="8"/>
      <c r="G1482" s="8"/>
      <c r="H1482" s="8"/>
      <c r="I1482" s="8"/>
      <c r="J1482" s="8"/>
      <c r="K1482" s="8"/>
      <c r="L1482" s="8"/>
      <c r="M1482" s="8"/>
      <c r="N1482" s="8"/>
      <c r="O1482" s="8"/>
      <c r="P1482" s="8"/>
      <c r="Q1482" s="8"/>
      <c r="R1482" s="8"/>
      <c r="S1482" s="8"/>
      <c r="T1482" s="8"/>
      <c r="U1482" s="8"/>
      <c r="V1482" s="8"/>
      <c r="W1482" s="8"/>
      <c r="X1482" s="8"/>
      <c r="Y1482" s="8"/>
    </row>
    <row r="1483">
      <c r="A1483" s="8"/>
      <c r="B1483" s="8"/>
      <c r="C1483" s="8"/>
      <c r="D1483" s="8"/>
      <c r="E1483" s="8"/>
      <c r="F1483" s="8"/>
      <c r="G1483" s="8"/>
      <c r="H1483" s="8"/>
      <c r="I1483" s="8"/>
      <c r="J1483" s="8"/>
      <c r="K1483" s="8"/>
      <c r="L1483" s="8"/>
      <c r="M1483" s="8"/>
      <c r="N1483" s="8"/>
      <c r="O1483" s="8"/>
      <c r="P1483" s="8"/>
      <c r="Q1483" s="8"/>
      <c r="R1483" s="8"/>
      <c r="S1483" s="8"/>
      <c r="T1483" s="8"/>
      <c r="U1483" s="8"/>
      <c r="V1483" s="8"/>
      <c r="W1483" s="8"/>
      <c r="X1483" s="8"/>
      <c r="Y1483" s="8"/>
    </row>
    <row r="1484">
      <c r="A1484" s="8"/>
      <c r="B1484" s="8"/>
      <c r="C1484" s="8"/>
      <c r="D1484" s="8"/>
      <c r="E1484" s="8"/>
      <c r="F1484" s="8"/>
      <c r="G1484" s="8"/>
      <c r="H1484" s="8"/>
      <c r="I1484" s="8"/>
      <c r="J1484" s="8"/>
      <c r="K1484" s="8"/>
      <c r="L1484" s="8"/>
      <c r="M1484" s="8"/>
      <c r="N1484" s="8"/>
      <c r="O1484" s="8"/>
      <c r="P1484" s="8"/>
      <c r="Q1484" s="8"/>
      <c r="R1484" s="8"/>
      <c r="S1484" s="8"/>
      <c r="T1484" s="8"/>
      <c r="U1484" s="8"/>
      <c r="V1484" s="8"/>
      <c r="W1484" s="8"/>
      <c r="X1484" s="8"/>
      <c r="Y1484" s="8"/>
    </row>
    <row r="1485">
      <c r="A1485" s="8"/>
      <c r="B1485" s="8"/>
      <c r="C1485" s="8"/>
      <c r="D1485" s="8"/>
      <c r="E1485" s="8"/>
      <c r="F1485" s="8"/>
      <c r="G1485" s="8"/>
      <c r="H1485" s="8"/>
      <c r="I1485" s="8"/>
      <c r="J1485" s="8"/>
      <c r="K1485" s="8"/>
      <c r="L1485" s="8"/>
      <c r="M1485" s="8"/>
      <c r="N1485" s="8"/>
      <c r="O1485" s="8"/>
      <c r="P1485" s="8"/>
      <c r="Q1485" s="8"/>
      <c r="R1485" s="8"/>
      <c r="S1485" s="8"/>
      <c r="T1485" s="8"/>
      <c r="U1485" s="8"/>
      <c r="V1485" s="8"/>
      <c r="W1485" s="8"/>
      <c r="X1485" s="8"/>
      <c r="Y1485" s="8"/>
    </row>
    <row r="1486">
      <c r="A1486" s="8"/>
      <c r="B1486" s="8"/>
      <c r="C1486" s="8"/>
      <c r="D1486" s="8"/>
      <c r="E1486" s="8"/>
      <c r="F1486" s="8"/>
      <c r="G1486" s="8"/>
      <c r="H1486" s="8"/>
      <c r="I1486" s="8"/>
      <c r="J1486" s="8"/>
      <c r="K1486" s="8"/>
      <c r="L1486" s="8"/>
      <c r="M1486" s="8"/>
      <c r="N1486" s="8"/>
      <c r="O1486" s="8"/>
      <c r="P1486" s="8"/>
      <c r="Q1486" s="8"/>
      <c r="R1486" s="8"/>
      <c r="S1486" s="8"/>
      <c r="T1486" s="8"/>
      <c r="U1486" s="8"/>
      <c r="V1486" s="8"/>
      <c r="W1486" s="8"/>
      <c r="X1486" s="8"/>
      <c r="Y1486" s="8"/>
    </row>
    <row r="1487">
      <c r="A1487" s="8"/>
      <c r="B1487" s="8"/>
      <c r="C1487" s="8"/>
      <c r="D1487" s="8"/>
      <c r="E1487" s="8"/>
      <c r="F1487" s="8"/>
      <c r="G1487" s="8"/>
      <c r="H1487" s="8"/>
      <c r="I1487" s="8"/>
      <c r="J1487" s="8"/>
      <c r="K1487" s="8"/>
      <c r="L1487" s="8"/>
      <c r="M1487" s="8"/>
      <c r="N1487" s="8"/>
      <c r="O1487" s="8"/>
      <c r="P1487" s="8"/>
      <c r="Q1487" s="8"/>
      <c r="R1487" s="8"/>
      <c r="S1487" s="8"/>
      <c r="T1487" s="8"/>
      <c r="U1487" s="8"/>
      <c r="V1487" s="8"/>
      <c r="W1487" s="8"/>
      <c r="X1487" s="8"/>
      <c r="Y1487" s="8"/>
    </row>
    <row r="1488">
      <c r="A1488" s="8"/>
      <c r="B1488" s="8"/>
      <c r="C1488" s="8"/>
      <c r="D1488" s="8"/>
      <c r="E1488" s="8"/>
      <c r="F1488" s="8"/>
      <c r="G1488" s="8"/>
      <c r="H1488" s="8"/>
      <c r="I1488" s="8"/>
      <c r="J1488" s="8"/>
      <c r="K1488" s="8"/>
      <c r="L1488" s="8"/>
      <c r="M1488" s="8"/>
      <c r="N1488" s="8"/>
      <c r="O1488" s="8"/>
      <c r="P1488" s="8"/>
      <c r="Q1488" s="8"/>
      <c r="R1488" s="8"/>
      <c r="S1488" s="8"/>
      <c r="T1488" s="8"/>
      <c r="U1488" s="8"/>
      <c r="V1488" s="8"/>
      <c r="W1488" s="8"/>
      <c r="X1488" s="8"/>
      <c r="Y1488" s="8"/>
    </row>
    <row r="1489">
      <c r="A1489" s="8"/>
      <c r="B1489" s="8"/>
      <c r="C1489" s="8"/>
      <c r="D1489" s="8"/>
      <c r="E1489" s="8"/>
      <c r="F1489" s="8"/>
      <c r="G1489" s="8"/>
      <c r="H1489" s="8"/>
      <c r="I1489" s="8"/>
      <c r="J1489" s="8"/>
      <c r="K1489" s="8"/>
      <c r="L1489" s="8"/>
      <c r="M1489" s="8"/>
      <c r="N1489" s="8"/>
      <c r="O1489" s="8"/>
      <c r="P1489" s="8"/>
      <c r="Q1489" s="8"/>
      <c r="R1489" s="8"/>
      <c r="S1489" s="8"/>
      <c r="T1489" s="8"/>
      <c r="U1489" s="8"/>
      <c r="V1489" s="8"/>
      <c r="W1489" s="8"/>
      <c r="X1489" s="8"/>
      <c r="Y1489" s="8"/>
    </row>
    <row r="1490">
      <c r="A1490" s="8"/>
      <c r="B1490" s="8"/>
      <c r="C1490" s="8"/>
      <c r="D1490" s="8"/>
      <c r="E1490" s="8"/>
      <c r="F1490" s="8"/>
      <c r="G1490" s="8"/>
      <c r="H1490" s="8"/>
      <c r="I1490" s="8"/>
      <c r="J1490" s="8"/>
      <c r="K1490" s="8"/>
      <c r="L1490" s="8"/>
      <c r="M1490" s="8"/>
      <c r="N1490" s="8"/>
      <c r="O1490" s="8"/>
      <c r="P1490" s="8"/>
      <c r="Q1490" s="8"/>
      <c r="R1490" s="8"/>
      <c r="S1490" s="8"/>
      <c r="T1490" s="8"/>
      <c r="U1490" s="8"/>
      <c r="V1490" s="8"/>
      <c r="W1490" s="8"/>
      <c r="X1490" s="8"/>
      <c r="Y1490" s="8"/>
    </row>
    <row r="1491">
      <c r="A1491" s="8"/>
      <c r="B1491" s="8"/>
      <c r="C1491" s="8"/>
      <c r="D1491" s="8"/>
      <c r="E1491" s="8"/>
      <c r="F1491" s="8"/>
      <c r="G1491" s="8"/>
      <c r="H1491" s="8"/>
      <c r="I1491" s="8"/>
      <c r="J1491" s="8"/>
      <c r="K1491" s="8"/>
      <c r="L1491" s="8"/>
      <c r="M1491" s="8"/>
      <c r="N1491" s="8"/>
      <c r="O1491" s="8"/>
      <c r="P1491" s="8"/>
      <c r="Q1491" s="8"/>
      <c r="R1491" s="8"/>
      <c r="S1491" s="8"/>
      <c r="T1491" s="8"/>
      <c r="U1491" s="8"/>
      <c r="V1491" s="8"/>
      <c r="W1491" s="8"/>
      <c r="X1491" s="8"/>
      <c r="Y1491" s="8"/>
    </row>
    <row r="1492">
      <c r="A1492" s="8"/>
      <c r="B1492" s="8"/>
      <c r="C1492" s="8"/>
      <c r="D1492" s="8"/>
      <c r="E1492" s="8"/>
      <c r="F1492" s="8"/>
      <c r="G1492" s="8"/>
      <c r="H1492" s="8"/>
      <c r="I1492" s="8"/>
      <c r="J1492" s="8"/>
      <c r="K1492" s="8"/>
      <c r="L1492" s="8"/>
      <c r="M1492" s="8"/>
      <c r="N1492" s="8"/>
      <c r="O1492" s="8"/>
      <c r="P1492" s="8"/>
      <c r="Q1492" s="8"/>
      <c r="R1492" s="8"/>
      <c r="S1492" s="8"/>
      <c r="T1492" s="8"/>
      <c r="U1492" s="8"/>
      <c r="V1492" s="8"/>
      <c r="W1492" s="8"/>
      <c r="X1492" s="8"/>
      <c r="Y1492" s="8"/>
    </row>
    <row r="1493">
      <c r="A1493" s="8"/>
      <c r="B1493" s="8"/>
      <c r="C1493" s="8"/>
      <c r="D1493" s="8"/>
      <c r="E1493" s="8"/>
      <c r="F1493" s="8"/>
      <c r="G1493" s="8"/>
      <c r="H1493" s="8"/>
      <c r="I1493" s="8"/>
      <c r="J1493" s="8"/>
      <c r="K1493" s="8"/>
      <c r="L1493" s="8"/>
      <c r="M1493" s="8"/>
      <c r="N1493" s="8"/>
      <c r="O1493" s="8"/>
      <c r="P1493" s="8"/>
      <c r="Q1493" s="8"/>
      <c r="R1493" s="8"/>
      <c r="S1493" s="8"/>
      <c r="T1493" s="8"/>
      <c r="U1493" s="8"/>
      <c r="V1493" s="8"/>
      <c r="W1493" s="8"/>
      <c r="X1493" s="8"/>
      <c r="Y1493" s="8"/>
    </row>
    <row r="1494">
      <c r="A1494" s="8"/>
      <c r="B1494" s="8"/>
      <c r="C1494" s="8"/>
      <c r="D1494" s="8"/>
      <c r="E1494" s="8"/>
      <c r="F1494" s="8"/>
      <c r="G1494" s="8"/>
      <c r="H1494" s="8"/>
      <c r="I1494" s="8"/>
      <c r="J1494" s="8"/>
      <c r="K1494" s="8"/>
      <c r="L1494" s="8"/>
      <c r="M1494" s="8"/>
      <c r="N1494" s="8"/>
      <c r="O1494" s="8"/>
      <c r="P1494" s="8"/>
      <c r="Q1494" s="8"/>
      <c r="R1494" s="8"/>
      <c r="S1494" s="8"/>
      <c r="T1494" s="8"/>
      <c r="U1494" s="8"/>
      <c r="V1494" s="8"/>
      <c r="W1494" s="8"/>
      <c r="X1494" s="8"/>
      <c r="Y1494" s="8"/>
    </row>
    <row r="1495">
      <c r="A1495" s="8"/>
      <c r="B1495" s="8"/>
      <c r="C1495" s="8"/>
      <c r="D1495" s="8"/>
      <c r="E1495" s="8"/>
      <c r="F1495" s="8"/>
      <c r="G1495" s="8"/>
      <c r="H1495" s="8"/>
      <c r="I1495" s="8"/>
      <c r="J1495" s="8"/>
      <c r="K1495" s="8"/>
      <c r="L1495" s="8"/>
      <c r="M1495" s="8"/>
      <c r="N1495" s="8"/>
      <c r="O1495" s="8"/>
      <c r="P1495" s="8"/>
      <c r="Q1495" s="8"/>
      <c r="R1495" s="8"/>
      <c r="S1495" s="8"/>
      <c r="T1495" s="8"/>
      <c r="U1495" s="8"/>
      <c r="V1495" s="8"/>
      <c r="W1495" s="8"/>
      <c r="X1495" s="8"/>
      <c r="Y1495" s="8"/>
    </row>
    <row r="1496">
      <c r="A1496" s="8"/>
      <c r="B1496" s="8"/>
      <c r="C1496" s="8"/>
      <c r="D1496" s="8"/>
      <c r="E1496" s="8"/>
      <c r="F1496" s="8"/>
      <c r="G1496" s="8"/>
      <c r="H1496" s="8"/>
      <c r="I1496" s="8"/>
      <c r="J1496" s="8"/>
      <c r="K1496" s="8"/>
      <c r="L1496" s="8"/>
      <c r="M1496" s="8"/>
      <c r="N1496" s="8"/>
      <c r="O1496" s="8"/>
      <c r="P1496" s="8"/>
      <c r="Q1496" s="8"/>
      <c r="R1496" s="8"/>
      <c r="S1496" s="8"/>
      <c r="T1496" s="8"/>
      <c r="U1496" s="8"/>
      <c r="V1496" s="8"/>
      <c r="W1496" s="8"/>
      <c r="X1496" s="8"/>
      <c r="Y1496" s="8"/>
    </row>
    <row r="1497">
      <c r="A1497" s="8"/>
      <c r="B1497" s="8"/>
      <c r="C1497" s="8"/>
      <c r="D1497" s="8"/>
      <c r="E1497" s="8"/>
      <c r="F1497" s="8"/>
      <c r="G1497" s="8"/>
      <c r="H1497" s="8"/>
      <c r="I1497" s="8"/>
      <c r="J1497" s="8"/>
      <c r="K1497" s="8"/>
      <c r="L1497" s="8"/>
      <c r="M1497" s="8"/>
      <c r="N1497" s="8"/>
      <c r="O1497" s="8"/>
      <c r="P1497" s="8"/>
      <c r="Q1497" s="8"/>
      <c r="R1497" s="8"/>
      <c r="S1497" s="8"/>
      <c r="T1497" s="8"/>
      <c r="U1497" s="8"/>
      <c r="V1497" s="8"/>
      <c r="W1497" s="8"/>
      <c r="X1497" s="8"/>
      <c r="Y1497" s="8"/>
    </row>
    <row r="1498">
      <c r="A1498" s="8"/>
      <c r="B1498" s="8"/>
      <c r="C1498" s="8"/>
      <c r="D1498" s="8"/>
      <c r="E1498" s="8"/>
      <c r="F1498" s="8"/>
      <c r="G1498" s="8"/>
      <c r="H1498" s="8"/>
      <c r="I1498" s="8"/>
      <c r="J1498" s="8"/>
      <c r="K1498" s="8"/>
      <c r="L1498" s="8"/>
      <c r="M1498" s="8"/>
      <c r="N1498" s="8"/>
      <c r="O1498" s="8"/>
      <c r="P1498" s="8"/>
      <c r="Q1498" s="8"/>
      <c r="R1498" s="8"/>
      <c r="S1498" s="8"/>
      <c r="T1498" s="8"/>
      <c r="U1498" s="8"/>
      <c r="V1498" s="8"/>
      <c r="W1498" s="8"/>
      <c r="X1498" s="8"/>
      <c r="Y1498" s="8"/>
    </row>
    <row r="1499">
      <c r="A1499" s="8"/>
      <c r="B1499" s="8"/>
      <c r="C1499" s="8"/>
      <c r="D1499" s="8"/>
      <c r="E1499" s="8"/>
      <c r="F1499" s="8"/>
      <c r="G1499" s="8"/>
      <c r="H1499" s="8"/>
      <c r="I1499" s="8"/>
      <c r="J1499" s="8"/>
      <c r="K1499" s="8"/>
      <c r="L1499" s="8"/>
      <c r="M1499" s="8"/>
      <c r="N1499" s="8"/>
      <c r="O1499" s="8"/>
      <c r="P1499" s="8"/>
      <c r="Q1499" s="8"/>
      <c r="R1499" s="8"/>
      <c r="S1499" s="8"/>
      <c r="T1499" s="8"/>
      <c r="U1499" s="8"/>
      <c r="V1499" s="8"/>
      <c r="W1499" s="8"/>
      <c r="X1499" s="8"/>
      <c r="Y1499" s="8"/>
    </row>
    <row r="1500">
      <c r="A1500" s="8"/>
      <c r="B1500" s="8"/>
      <c r="C1500" s="8"/>
      <c r="D1500" s="8"/>
      <c r="E1500" s="8"/>
      <c r="F1500" s="8"/>
      <c r="G1500" s="8"/>
      <c r="H1500" s="8"/>
      <c r="I1500" s="8"/>
      <c r="J1500" s="8"/>
      <c r="K1500" s="8"/>
      <c r="L1500" s="8"/>
      <c r="M1500" s="8"/>
      <c r="N1500" s="8"/>
      <c r="O1500" s="8"/>
      <c r="P1500" s="8"/>
      <c r="Q1500" s="8"/>
      <c r="R1500" s="8"/>
      <c r="S1500" s="8"/>
      <c r="T1500" s="8"/>
      <c r="U1500" s="8"/>
      <c r="V1500" s="8"/>
      <c r="W1500" s="8"/>
      <c r="X1500" s="8"/>
      <c r="Y1500" s="8"/>
    </row>
    <row r="1501">
      <c r="A1501" s="8"/>
      <c r="B1501" s="8"/>
      <c r="C1501" s="8"/>
      <c r="D1501" s="8"/>
      <c r="E1501" s="8"/>
      <c r="F1501" s="8"/>
      <c r="G1501" s="8"/>
      <c r="H1501" s="8"/>
      <c r="I1501" s="8"/>
      <c r="J1501" s="8"/>
      <c r="K1501" s="8"/>
      <c r="L1501" s="8"/>
      <c r="M1501" s="8"/>
      <c r="N1501" s="8"/>
      <c r="O1501" s="8"/>
      <c r="P1501" s="8"/>
      <c r="Q1501" s="8"/>
      <c r="R1501" s="8"/>
      <c r="S1501" s="8"/>
      <c r="T1501" s="8"/>
      <c r="U1501" s="8"/>
      <c r="V1501" s="8"/>
      <c r="W1501" s="8"/>
      <c r="X1501" s="8"/>
      <c r="Y1501" s="8"/>
    </row>
    <row r="1502">
      <c r="A1502" s="8"/>
      <c r="B1502" s="8"/>
      <c r="C1502" s="8"/>
      <c r="D1502" s="8"/>
      <c r="E1502" s="8"/>
      <c r="F1502" s="8"/>
      <c r="G1502" s="8"/>
      <c r="H1502" s="8"/>
      <c r="I1502" s="8"/>
      <c r="J1502" s="8"/>
      <c r="K1502" s="8"/>
      <c r="L1502" s="8"/>
      <c r="M1502" s="8"/>
      <c r="N1502" s="8"/>
      <c r="O1502" s="8"/>
      <c r="P1502" s="8"/>
      <c r="Q1502" s="8"/>
      <c r="R1502" s="8"/>
      <c r="S1502" s="8"/>
      <c r="T1502" s="8"/>
      <c r="U1502" s="8"/>
      <c r="V1502" s="8"/>
      <c r="W1502" s="8"/>
      <c r="X1502" s="8"/>
      <c r="Y1502" s="8"/>
    </row>
    <row r="1503">
      <c r="A1503" s="8"/>
      <c r="B1503" s="8"/>
      <c r="C1503" s="8"/>
      <c r="D1503" s="8"/>
      <c r="E1503" s="8"/>
      <c r="F1503" s="8"/>
      <c r="G1503" s="8"/>
      <c r="H1503" s="8"/>
      <c r="I1503" s="8"/>
      <c r="J1503" s="8"/>
      <c r="K1503" s="8"/>
      <c r="L1503" s="8"/>
      <c r="M1503" s="8"/>
      <c r="N1503" s="8"/>
      <c r="O1503" s="8"/>
      <c r="P1503" s="8"/>
      <c r="Q1503" s="8"/>
      <c r="R1503" s="8"/>
      <c r="S1503" s="8"/>
      <c r="T1503" s="8"/>
      <c r="U1503" s="8"/>
      <c r="V1503" s="8"/>
      <c r="W1503" s="8"/>
      <c r="X1503" s="8"/>
      <c r="Y1503" s="8"/>
    </row>
    <row r="1504">
      <c r="A1504" s="8"/>
      <c r="B1504" s="8"/>
      <c r="C1504" s="8"/>
      <c r="D1504" s="8"/>
      <c r="E1504" s="8"/>
      <c r="F1504" s="8"/>
      <c r="G1504" s="8"/>
      <c r="H1504" s="8"/>
      <c r="I1504" s="8"/>
      <c r="J1504" s="8"/>
      <c r="K1504" s="8"/>
      <c r="L1504" s="8"/>
      <c r="M1504" s="8"/>
      <c r="N1504" s="8"/>
      <c r="O1504" s="8"/>
      <c r="P1504" s="8"/>
      <c r="Q1504" s="8"/>
      <c r="R1504" s="8"/>
      <c r="S1504" s="8"/>
      <c r="T1504" s="8"/>
      <c r="U1504" s="8"/>
      <c r="V1504" s="8"/>
      <c r="W1504" s="8"/>
      <c r="X1504" s="8"/>
      <c r="Y1504" s="8"/>
    </row>
    <row r="1505">
      <c r="A1505" s="8"/>
      <c r="B1505" s="8"/>
      <c r="C1505" s="8"/>
      <c r="D1505" s="8"/>
      <c r="E1505" s="8"/>
      <c r="F1505" s="8"/>
      <c r="G1505" s="8"/>
      <c r="H1505" s="8"/>
      <c r="I1505" s="8"/>
      <c r="J1505" s="8"/>
      <c r="K1505" s="8"/>
      <c r="L1505" s="8"/>
      <c r="M1505" s="8"/>
      <c r="N1505" s="8"/>
      <c r="O1505" s="8"/>
      <c r="P1505" s="8"/>
      <c r="Q1505" s="8"/>
      <c r="R1505" s="8"/>
      <c r="S1505" s="8"/>
      <c r="T1505" s="8"/>
      <c r="U1505" s="8"/>
      <c r="V1505" s="8"/>
      <c r="W1505" s="8"/>
      <c r="X1505" s="8"/>
      <c r="Y1505" s="8"/>
    </row>
    <row r="1506">
      <c r="A1506" s="8"/>
      <c r="B1506" s="8"/>
      <c r="C1506" s="8"/>
      <c r="D1506" s="8"/>
      <c r="E1506" s="8"/>
      <c r="F1506" s="8"/>
      <c r="G1506" s="8"/>
      <c r="H1506" s="8"/>
      <c r="I1506" s="8"/>
      <c r="J1506" s="8"/>
      <c r="K1506" s="8"/>
      <c r="L1506" s="8"/>
      <c r="M1506" s="8"/>
      <c r="N1506" s="8"/>
      <c r="O1506" s="8"/>
      <c r="P1506" s="8"/>
      <c r="Q1506" s="8"/>
      <c r="R1506" s="8"/>
      <c r="S1506" s="8"/>
      <c r="T1506" s="8"/>
      <c r="U1506" s="8"/>
      <c r="V1506" s="8"/>
      <c r="W1506" s="8"/>
      <c r="X1506" s="8"/>
      <c r="Y1506" s="8"/>
    </row>
    <row r="1507">
      <c r="A1507" s="8"/>
      <c r="B1507" s="8"/>
      <c r="C1507" s="8"/>
      <c r="D1507" s="8"/>
      <c r="E1507" s="8"/>
      <c r="F1507" s="8"/>
      <c r="G1507" s="8"/>
      <c r="H1507" s="8"/>
      <c r="I1507" s="8"/>
      <c r="J1507" s="8"/>
      <c r="K1507" s="8"/>
      <c r="L1507" s="8"/>
      <c r="M1507" s="8"/>
      <c r="N1507" s="8"/>
      <c r="O1507" s="8"/>
      <c r="P1507" s="8"/>
      <c r="Q1507" s="8"/>
      <c r="R1507" s="8"/>
      <c r="S1507" s="8"/>
      <c r="T1507" s="8"/>
      <c r="U1507" s="8"/>
      <c r="V1507" s="8"/>
      <c r="W1507" s="8"/>
      <c r="X1507" s="8"/>
      <c r="Y1507" s="8"/>
    </row>
    <row r="1508">
      <c r="A1508" s="8"/>
      <c r="B1508" s="8"/>
      <c r="C1508" s="8"/>
      <c r="D1508" s="8"/>
      <c r="E1508" s="8"/>
      <c r="F1508" s="8"/>
      <c r="G1508" s="8"/>
      <c r="H1508" s="8"/>
      <c r="I1508" s="8"/>
      <c r="J1508" s="8"/>
      <c r="K1508" s="8"/>
      <c r="L1508" s="8"/>
      <c r="M1508" s="8"/>
      <c r="N1508" s="8"/>
      <c r="O1508" s="8"/>
      <c r="P1508" s="8"/>
      <c r="Q1508" s="8"/>
      <c r="R1508" s="8"/>
      <c r="S1508" s="8"/>
      <c r="T1508" s="8"/>
      <c r="U1508" s="8"/>
      <c r="V1508" s="8"/>
      <c r="W1508" s="8"/>
      <c r="X1508" s="8"/>
      <c r="Y1508" s="8"/>
    </row>
    <row r="1509">
      <c r="A1509" s="8"/>
      <c r="B1509" s="8"/>
      <c r="C1509" s="8"/>
      <c r="D1509" s="8"/>
      <c r="E1509" s="8"/>
      <c r="F1509" s="8"/>
      <c r="G1509" s="8"/>
      <c r="H1509" s="8"/>
      <c r="I1509" s="8"/>
      <c r="J1509" s="8"/>
      <c r="K1509" s="8"/>
      <c r="L1509" s="8"/>
      <c r="M1509" s="8"/>
      <c r="N1509" s="8"/>
      <c r="O1509" s="8"/>
      <c r="P1509" s="8"/>
      <c r="Q1509" s="8"/>
      <c r="R1509" s="8"/>
      <c r="S1509" s="8"/>
      <c r="T1509" s="8"/>
      <c r="U1509" s="8"/>
      <c r="V1509" s="8"/>
      <c r="W1509" s="8"/>
      <c r="X1509" s="8"/>
      <c r="Y1509" s="8"/>
    </row>
    <row r="1510">
      <c r="A1510" s="8"/>
      <c r="B1510" s="8"/>
      <c r="C1510" s="8"/>
      <c r="D1510" s="8"/>
      <c r="E1510" s="8"/>
      <c r="F1510" s="8"/>
      <c r="G1510" s="8"/>
      <c r="H1510" s="8"/>
      <c r="I1510" s="8"/>
      <c r="J1510" s="8"/>
      <c r="K1510" s="8"/>
      <c r="L1510" s="8"/>
      <c r="M1510" s="8"/>
      <c r="N1510" s="8"/>
      <c r="O1510" s="8"/>
      <c r="P1510" s="8"/>
      <c r="Q1510" s="8"/>
      <c r="R1510" s="8"/>
      <c r="S1510" s="8"/>
      <c r="T1510" s="8"/>
      <c r="U1510" s="8"/>
      <c r="V1510" s="8"/>
      <c r="W1510" s="8"/>
      <c r="X1510" s="8"/>
      <c r="Y1510" s="8"/>
    </row>
    <row r="1511">
      <c r="A1511" s="8"/>
      <c r="B1511" s="8"/>
      <c r="C1511" s="8"/>
      <c r="D1511" s="8"/>
      <c r="E1511" s="8"/>
      <c r="F1511" s="8"/>
      <c r="G1511" s="8"/>
      <c r="H1511" s="8"/>
      <c r="I1511" s="8"/>
      <c r="J1511" s="8"/>
      <c r="K1511" s="8"/>
      <c r="L1511" s="8"/>
      <c r="M1511" s="8"/>
      <c r="N1511" s="8"/>
      <c r="O1511" s="8"/>
      <c r="P1511" s="8"/>
      <c r="Q1511" s="8"/>
      <c r="R1511" s="8"/>
      <c r="S1511" s="8"/>
      <c r="T1511" s="8"/>
      <c r="U1511" s="8"/>
      <c r="V1511" s="8"/>
      <c r="W1511" s="8"/>
      <c r="X1511" s="8"/>
      <c r="Y1511" s="8"/>
    </row>
    <row r="1512">
      <c r="A1512" s="8"/>
      <c r="B1512" s="8"/>
      <c r="C1512" s="8"/>
      <c r="D1512" s="8"/>
      <c r="E1512" s="8"/>
      <c r="F1512" s="8"/>
      <c r="G1512" s="8"/>
      <c r="H1512" s="8"/>
      <c r="I1512" s="8"/>
      <c r="J1512" s="8"/>
      <c r="K1512" s="8"/>
      <c r="L1512" s="8"/>
      <c r="M1512" s="8"/>
      <c r="N1512" s="8"/>
      <c r="O1512" s="8"/>
      <c r="P1512" s="8"/>
      <c r="Q1512" s="8"/>
      <c r="R1512" s="8"/>
      <c r="S1512" s="8"/>
      <c r="T1512" s="8"/>
      <c r="U1512" s="8"/>
      <c r="V1512" s="8"/>
      <c r="W1512" s="8"/>
      <c r="X1512" s="8"/>
      <c r="Y1512" s="8"/>
    </row>
    <row r="1513">
      <c r="A1513" s="8"/>
      <c r="B1513" s="8"/>
      <c r="C1513" s="8"/>
      <c r="D1513" s="8"/>
      <c r="E1513" s="8"/>
      <c r="F1513" s="8"/>
      <c r="G1513" s="8"/>
      <c r="H1513" s="8"/>
      <c r="I1513" s="8"/>
      <c r="J1513" s="8"/>
      <c r="K1513" s="8"/>
      <c r="L1513" s="8"/>
      <c r="M1513" s="8"/>
      <c r="N1513" s="8"/>
      <c r="O1513" s="8"/>
      <c r="P1513" s="8"/>
      <c r="Q1513" s="8"/>
      <c r="R1513" s="8"/>
      <c r="S1513" s="8"/>
      <c r="T1513" s="8"/>
      <c r="U1513" s="8"/>
      <c r="V1513" s="8"/>
      <c r="W1513" s="8"/>
      <c r="X1513" s="8"/>
      <c r="Y1513" s="8"/>
    </row>
    <row r="1514">
      <c r="A1514" s="8"/>
      <c r="B1514" s="8"/>
      <c r="C1514" s="8"/>
      <c r="D1514" s="8"/>
      <c r="E1514" s="8"/>
      <c r="F1514" s="8"/>
      <c r="G1514" s="8"/>
      <c r="H1514" s="8"/>
      <c r="I1514" s="8"/>
      <c r="J1514" s="8"/>
      <c r="K1514" s="8"/>
      <c r="L1514" s="8"/>
      <c r="M1514" s="8"/>
      <c r="N1514" s="8"/>
      <c r="O1514" s="8"/>
      <c r="P1514" s="8"/>
      <c r="Q1514" s="8"/>
      <c r="R1514" s="8"/>
      <c r="S1514" s="8"/>
      <c r="T1514" s="8"/>
      <c r="U1514" s="8"/>
      <c r="V1514" s="8"/>
      <c r="W1514" s="8"/>
      <c r="X1514" s="8"/>
      <c r="Y1514" s="8"/>
    </row>
    <row r="1515">
      <c r="A1515" s="8"/>
      <c r="B1515" s="8"/>
      <c r="C1515" s="8"/>
      <c r="D1515" s="8"/>
      <c r="E1515" s="8"/>
      <c r="F1515" s="8"/>
      <c r="G1515" s="8"/>
      <c r="H1515" s="8"/>
      <c r="I1515" s="8"/>
      <c r="J1515" s="8"/>
      <c r="K1515" s="8"/>
      <c r="L1515" s="8"/>
      <c r="M1515" s="8"/>
      <c r="N1515" s="8"/>
      <c r="O1515" s="8"/>
      <c r="P1515" s="8"/>
      <c r="Q1515" s="8"/>
      <c r="R1515" s="8"/>
      <c r="S1515" s="8"/>
      <c r="T1515" s="8"/>
      <c r="U1515" s="8"/>
      <c r="V1515" s="8"/>
      <c r="W1515" s="8"/>
      <c r="X1515" s="8"/>
      <c r="Y1515" s="8"/>
    </row>
    <row r="1516">
      <c r="A1516" s="8"/>
      <c r="B1516" s="8"/>
      <c r="C1516" s="8"/>
      <c r="D1516" s="8"/>
      <c r="E1516" s="8"/>
      <c r="F1516" s="8"/>
      <c r="G1516" s="8"/>
      <c r="H1516" s="8"/>
      <c r="I1516" s="8"/>
      <c r="J1516" s="8"/>
      <c r="K1516" s="8"/>
      <c r="L1516" s="8"/>
      <c r="M1516" s="8"/>
      <c r="N1516" s="8"/>
      <c r="O1516" s="8"/>
      <c r="P1516" s="8"/>
      <c r="Q1516" s="8"/>
      <c r="R1516" s="8"/>
      <c r="S1516" s="8"/>
      <c r="T1516" s="8"/>
      <c r="U1516" s="8"/>
      <c r="V1516" s="8"/>
      <c r="W1516" s="8"/>
      <c r="X1516" s="8"/>
      <c r="Y1516" s="8"/>
    </row>
    <row r="1517">
      <c r="A1517" s="8"/>
      <c r="B1517" s="8"/>
      <c r="C1517" s="8"/>
      <c r="D1517" s="8"/>
      <c r="E1517" s="8"/>
      <c r="F1517" s="8"/>
      <c r="G1517" s="8"/>
      <c r="H1517" s="8"/>
      <c r="I1517" s="8"/>
      <c r="J1517" s="8"/>
      <c r="K1517" s="8"/>
      <c r="L1517" s="8"/>
      <c r="M1517" s="8"/>
      <c r="N1517" s="8"/>
      <c r="O1517" s="8"/>
      <c r="P1517" s="8"/>
      <c r="Q1517" s="8"/>
      <c r="R1517" s="8"/>
      <c r="S1517" s="8"/>
      <c r="T1517" s="8"/>
      <c r="U1517" s="8"/>
      <c r="V1517" s="8"/>
      <c r="W1517" s="8"/>
      <c r="X1517" s="8"/>
      <c r="Y1517" s="8"/>
    </row>
    <row r="1518">
      <c r="A1518" s="8"/>
      <c r="B1518" s="8"/>
      <c r="C1518" s="8"/>
      <c r="D1518" s="8"/>
      <c r="E1518" s="8"/>
      <c r="F1518" s="8"/>
      <c r="G1518" s="8"/>
      <c r="H1518" s="8"/>
      <c r="I1518" s="8"/>
      <c r="J1518" s="8"/>
      <c r="K1518" s="8"/>
      <c r="L1518" s="8"/>
      <c r="M1518" s="8"/>
      <c r="N1518" s="8"/>
      <c r="O1518" s="8"/>
      <c r="P1518" s="8"/>
      <c r="Q1518" s="8"/>
      <c r="R1518" s="8"/>
      <c r="S1518" s="8"/>
      <c r="T1518" s="8"/>
      <c r="U1518" s="8"/>
      <c r="V1518" s="8"/>
      <c r="W1518" s="8"/>
      <c r="X1518" s="8"/>
      <c r="Y1518" s="8"/>
    </row>
    <row r="1519">
      <c r="A1519" s="8"/>
      <c r="B1519" s="8"/>
      <c r="C1519" s="8"/>
      <c r="D1519" s="8"/>
      <c r="E1519" s="8"/>
      <c r="F1519" s="8"/>
      <c r="G1519" s="8"/>
      <c r="H1519" s="8"/>
      <c r="I1519" s="8"/>
      <c r="J1519" s="8"/>
      <c r="K1519" s="8"/>
      <c r="L1519" s="8"/>
      <c r="M1519" s="8"/>
      <c r="N1519" s="8"/>
      <c r="O1519" s="8"/>
      <c r="P1519" s="8"/>
      <c r="Q1519" s="8"/>
      <c r="R1519" s="8"/>
      <c r="S1519" s="8"/>
      <c r="T1519" s="8"/>
      <c r="U1519" s="8"/>
      <c r="V1519" s="8"/>
      <c r="W1519" s="8"/>
      <c r="X1519" s="8"/>
      <c r="Y1519" s="8"/>
    </row>
    <row r="1520">
      <c r="A1520" s="8"/>
      <c r="B1520" s="8"/>
      <c r="C1520" s="8"/>
      <c r="D1520" s="8"/>
      <c r="E1520" s="8"/>
      <c r="F1520" s="8"/>
      <c r="G1520" s="8"/>
      <c r="H1520" s="8"/>
      <c r="I1520" s="8"/>
      <c r="J1520" s="8"/>
      <c r="K1520" s="8"/>
      <c r="L1520" s="8"/>
      <c r="M1520" s="8"/>
      <c r="N1520" s="8"/>
      <c r="O1520" s="8"/>
      <c r="P1520" s="8"/>
      <c r="Q1520" s="8"/>
      <c r="R1520" s="8"/>
      <c r="S1520" s="8"/>
      <c r="T1520" s="8"/>
      <c r="U1520" s="8"/>
      <c r="V1520" s="8"/>
      <c r="W1520" s="8"/>
      <c r="X1520" s="8"/>
      <c r="Y1520" s="8"/>
    </row>
    <row r="1521">
      <c r="A1521" s="8"/>
      <c r="B1521" s="8"/>
      <c r="C1521" s="8"/>
      <c r="D1521" s="8"/>
      <c r="E1521" s="8"/>
      <c r="F1521" s="8"/>
      <c r="G1521" s="8"/>
      <c r="H1521" s="8"/>
      <c r="I1521" s="8"/>
      <c r="J1521" s="8"/>
      <c r="K1521" s="8"/>
      <c r="L1521" s="8"/>
      <c r="M1521" s="8"/>
      <c r="N1521" s="8"/>
      <c r="O1521" s="8"/>
      <c r="P1521" s="8"/>
      <c r="Q1521" s="8"/>
      <c r="R1521" s="8"/>
      <c r="S1521" s="8"/>
      <c r="T1521" s="8"/>
      <c r="U1521" s="8"/>
      <c r="V1521" s="8"/>
      <c r="W1521" s="8"/>
      <c r="X1521" s="8"/>
      <c r="Y1521" s="8"/>
    </row>
    <row r="1522">
      <c r="A1522" s="8"/>
      <c r="B1522" s="8"/>
      <c r="C1522" s="8"/>
      <c r="D1522" s="8"/>
      <c r="E1522" s="8"/>
      <c r="F1522" s="8"/>
      <c r="G1522" s="8"/>
      <c r="H1522" s="8"/>
      <c r="I1522" s="8"/>
      <c r="J1522" s="8"/>
      <c r="K1522" s="8"/>
      <c r="L1522" s="8"/>
      <c r="M1522" s="8"/>
      <c r="N1522" s="8"/>
      <c r="O1522" s="8"/>
      <c r="P1522" s="8"/>
      <c r="Q1522" s="8"/>
      <c r="R1522" s="8"/>
      <c r="S1522" s="8"/>
      <c r="T1522" s="8"/>
      <c r="U1522" s="8"/>
      <c r="V1522" s="8"/>
      <c r="W1522" s="8"/>
      <c r="X1522" s="8"/>
      <c r="Y1522" s="8"/>
    </row>
    <row r="1523">
      <c r="A1523" s="8"/>
      <c r="B1523" s="8"/>
      <c r="C1523" s="8"/>
      <c r="D1523" s="8"/>
      <c r="E1523" s="8"/>
      <c r="F1523" s="8"/>
      <c r="G1523" s="8"/>
      <c r="H1523" s="8"/>
      <c r="I1523" s="8"/>
      <c r="J1523" s="8"/>
      <c r="K1523" s="8"/>
      <c r="L1523" s="8"/>
      <c r="M1523" s="8"/>
      <c r="N1523" s="8"/>
      <c r="O1523" s="8"/>
      <c r="P1523" s="8"/>
      <c r="Q1523" s="8"/>
      <c r="R1523" s="8"/>
      <c r="S1523" s="8"/>
      <c r="T1523" s="8"/>
      <c r="U1523" s="8"/>
      <c r="V1523" s="8"/>
      <c r="W1523" s="8"/>
      <c r="X1523" s="8"/>
      <c r="Y1523" s="8"/>
    </row>
    <row r="1524">
      <c r="A1524" s="8"/>
      <c r="B1524" s="8"/>
      <c r="C1524" s="8"/>
      <c r="D1524" s="8"/>
      <c r="E1524" s="8"/>
      <c r="F1524" s="8"/>
      <c r="G1524" s="8"/>
      <c r="H1524" s="8"/>
      <c r="I1524" s="8"/>
      <c r="J1524" s="8"/>
      <c r="K1524" s="8"/>
      <c r="L1524" s="8"/>
      <c r="M1524" s="8"/>
      <c r="N1524" s="8"/>
      <c r="O1524" s="8"/>
      <c r="P1524" s="8"/>
      <c r="Q1524" s="8"/>
      <c r="R1524" s="8"/>
      <c r="S1524" s="8"/>
      <c r="T1524" s="8"/>
      <c r="U1524" s="8"/>
      <c r="V1524" s="8"/>
      <c r="W1524" s="8"/>
      <c r="X1524" s="8"/>
      <c r="Y1524" s="8"/>
    </row>
    <row r="1525">
      <c r="A1525" s="8"/>
      <c r="B1525" s="8"/>
      <c r="C1525" s="8"/>
      <c r="D1525" s="8"/>
      <c r="E1525" s="8"/>
      <c r="F1525" s="8"/>
      <c r="G1525" s="8"/>
      <c r="H1525" s="8"/>
      <c r="I1525" s="8"/>
      <c r="J1525" s="8"/>
      <c r="K1525" s="8"/>
      <c r="L1525" s="8"/>
      <c r="M1525" s="8"/>
      <c r="N1525" s="8"/>
      <c r="O1525" s="8"/>
      <c r="P1525" s="8"/>
      <c r="Q1525" s="8"/>
      <c r="R1525" s="8"/>
      <c r="S1525" s="8"/>
      <c r="T1525" s="8"/>
      <c r="U1525" s="8"/>
      <c r="V1525" s="8"/>
      <c r="W1525" s="8"/>
      <c r="X1525" s="8"/>
      <c r="Y1525" s="8"/>
    </row>
    <row r="1526">
      <c r="A1526" s="8"/>
      <c r="B1526" s="8"/>
      <c r="C1526" s="8"/>
      <c r="D1526" s="8"/>
      <c r="E1526" s="8"/>
      <c r="F1526" s="8"/>
      <c r="G1526" s="8"/>
      <c r="H1526" s="8"/>
      <c r="I1526" s="8"/>
      <c r="J1526" s="8"/>
      <c r="K1526" s="8"/>
      <c r="L1526" s="8"/>
      <c r="M1526" s="8"/>
      <c r="N1526" s="8"/>
      <c r="O1526" s="8"/>
      <c r="P1526" s="8"/>
      <c r="Q1526" s="8"/>
      <c r="R1526" s="8"/>
      <c r="S1526" s="8"/>
      <c r="T1526" s="8"/>
      <c r="U1526" s="8"/>
      <c r="V1526" s="8"/>
      <c r="W1526" s="8"/>
      <c r="X1526" s="8"/>
      <c r="Y1526" s="8"/>
    </row>
    <row r="1527">
      <c r="A1527" s="8"/>
      <c r="B1527" s="8"/>
      <c r="C1527" s="8"/>
      <c r="D1527" s="8"/>
      <c r="E1527" s="8"/>
      <c r="F1527" s="8"/>
      <c r="G1527" s="8"/>
      <c r="H1527" s="8"/>
      <c r="I1527" s="8"/>
      <c r="J1527" s="8"/>
      <c r="K1527" s="8"/>
      <c r="L1527" s="8"/>
      <c r="M1527" s="8"/>
      <c r="N1527" s="8"/>
      <c r="O1527" s="8"/>
      <c r="P1527" s="8"/>
      <c r="Q1527" s="8"/>
      <c r="R1527" s="8"/>
      <c r="S1527" s="8"/>
      <c r="T1527" s="8"/>
      <c r="U1527" s="8"/>
      <c r="V1527" s="8"/>
      <c r="W1527" s="8"/>
      <c r="X1527" s="8"/>
      <c r="Y1527" s="8"/>
    </row>
    <row r="1528">
      <c r="A1528" s="8"/>
      <c r="B1528" s="8"/>
      <c r="C1528" s="8"/>
      <c r="D1528" s="8"/>
      <c r="E1528" s="8"/>
      <c r="F1528" s="8"/>
      <c r="G1528" s="8"/>
      <c r="H1528" s="8"/>
      <c r="I1528" s="8"/>
      <c r="J1528" s="8"/>
      <c r="K1528" s="8"/>
      <c r="L1528" s="8"/>
      <c r="M1528" s="8"/>
      <c r="N1528" s="8"/>
      <c r="O1528" s="8"/>
      <c r="P1528" s="8"/>
      <c r="Q1528" s="8"/>
      <c r="R1528" s="8"/>
      <c r="S1528" s="8"/>
      <c r="T1528" s="8"/>
      <c r="U1528" s="8"/>
      <c r="V1528" s="8"/>
      <c r="W1528" s="8"/>
      <c r="X1528" s="8"/>
      <c r="Y1528" s="8"/>
    </row>
    <row r="1529">
      <c r="A1529" s="8"/>
      <c r="B1529" s="8"/>
      <c r="C1529" s="8"/>
      <c r="D1529" s="8"/>
      <c r="E1529" s="8"/>
      <c r="F1529" s="8"/>
      <c r="G1529" s="8"/>
      <c r="H1529" s="8"/>
      <c r="I1529" s="8"/>
      <c r="J1529" s="8"/>
      <c r="K1529" s="8"/>
      <c r="L1529" s="8"/>
      <c r="M1529" s="8"/>
      <c r="N1529" s="8"/>
      <c r="O1529" s="8"/>
      <c r="P1529" s="8"/>
      <c r="Q1529" s="8"/>
      <c r="R1529" s="8"/>
      <c r="S1529" s="8"/>
      <c r="T1529" s="8"/>
      <c r="U1529" s="8"/>
      <c r="V1529" s="8"/>
      <c r="W1529" s="8"/>
      <c r="X1529" s="8"/>
      <c r="Y1529" s="8"/>
    </row>
    <row r="1530">
      <c r="A1530" s="8"/>
      <c r="B1530" s="8"/>
      <c r="C1530" s="8"/>
      <c r="D1530" s="8"/>
      <c r="E1530" s="8"/>
      <c r="F1530" s="8"/>
      <c r="G1530" s="8"/>
      <c r="H1530" s="8"/>
      <c r="I1530" s="8"/>
      <c r="J1530" s="8"/>
      <c r="K1530" s="8"/>
      <c r="L1530" s="8"/>
      <c r="M1530" s="8"/>
      <c r="N1530" s="8"/>
      <c r="O1530" s="8"/>
      <c r="P1530" s="8"/>
      <c r="Q1530" s="8"/>
      <c r="R1530" s="8"/>
      <c r="S1530" s="8"/>
      <c r="T1530" s="8"/>
      <c r="U1530" s="8"/>
      <c r="V1530" s="8"/>
      <c r="W1530" s="8"/>
      <c r="X1530" s="8"/>
      <c r="Y1530" s="8"/>
    </row>
    <row r="1531">
      <c r="A1531" s="8"/>
      <c r="B1531" s="8"/>
      <c r="C1531" s="8"/>
      <c r="D1531" s="8"/>
      <c r="E1531" s="8"/>
      <c r="F1531" s="8"/>
      <c r="G1531" s="8"/>
      <c r="H1531" s="8"/>
      <c r="I1531" s="8"/>
      <c r="J1531" s="8"/>
      <c r="K1531" s="8"/>
      <c r="L1531" s="8"/>
      <c r="M1531" s="8"/>
      <c r="N1531" s="8"/>
      <c r="O1531" s="8"/>
      <c r="P1531" s="8"/>
      <c r="Q1531" s="8"/>
      <c r="R1531" s="8"/>
      <c r="S1531" s="8"/>
      <c r="T1531" s="8"/>
      <c r="U1531" s="8"/>
      <c r="V1531" s="8"/>
      <c r="W1531" s="8"/>
      <c r="X1531" s="8"/>
      <c r="Y1531" s="8"/>
    </row>
    <row r="1532">
      <c r="A1532" s="8"/>
      <c r="B1532" s="8"/>
      <c r="C1532" s="8"/>
      <c r="D1532" s="8"/>
      <c r="E1532" s="8"/>
      <c r="F1532" s="8"/>
      <c r="G1532" s="8"/>
      <c r="H1532" s="8"/>
      <c r="I1532" s="8"/>
      <c r="J1532" s="8"/>
      <c r="K1532" s="8"/>
      <c r="L1532" s="8"/>
      <c r="M1532" s="8"/>
      <c r="N1532" s="8"/>
      <c r="O1532" s="8"/>
      <c r="P1532" s="8"/>
      <c r="Q1532" s="8"/>
      <c r="R1532" s="8"/>
      <c r="S1532" s="8"/>
      <c r="T1532" s="8"/>
      <c r="U1532" s="8"/>
      <c r="V1532" s="8"/>
      <c r="W1532" s="8"/>
      <c r="X1532" s="8"/>
      <c r="Y1532" s="8"/>
    </row>
    <row r="1533">
      <c r="A1533" s="8"/>
      <c r="B1533" s="8"/>
      <c r="C1533" s="8"/>
      <c r="D1533" s="8"/>
      <c r="E1533" s="8"/>
      <c r="F1533" s="8"/>
      <c r="G1533" s="8"/>
      <c r="H1533" s="8"/>
      <c r="I1533" s="8"/>
      <c r="J1533" s="8"/>
      <c r="K1533" s="8"/>
      <c r="L1533" s="8"/>
      <c r="M1533" s="8"/>
      <c r="N1533" s="8"/>
      <c r="O1533" s="8"/>
      <c r="P1533" s="8"/>
      <c r="Q1533" s="8"/>
      <c r="R1533" s="8"/>
      <c r="S1533" s="8"/>
      <c r="T1533" s="8"/>
      <c r="U1533" s="8"/>
      <c r="V1533" s="8"/>
      <c r="W1533" s="8"/>
      <c r="X1533" s="8"/>
      <c r="Y1533" s="8"/>
    </row>
    <row r="1534">
      <c r="A1534" s="8"/>
      <c r="B1534" s="8"/>
      <c r="C1534" s="8"/>
      <c r="D1534" s="8"/>
      <c r="E1534" s="8"/>
      <c r="F1534" s="8"/>
      <c r="G1534" s="8"/>
      <c r="H1534" s="8"/>
      <c r="I1534" s="8"/>
      <c r="J1534" s="8"/>
      <c r="K1534" s="8"/>
      <c r="L1534" s="8"/>
      <c r="M1534" s="8"/>
      <c r="N1534" s="8"/>
      <c r="O1534" s="8"/>
      <c r="P1534" s="8"/>
      <c r="Q1534" s="8"/>
      <c r="R1534" s="8"/>
      <c r="S1534" s="8"/>
      <c r="T1534" s="8"/>
      <c r="U1534" s="8"/>
      <c r="V1534" s="8"/>
      <c r="W1534" s="8"/>
      <c r="X1534" s="8"/>
      <c r="Y1534" s="8"/>
    </row>
    <row r="1535">
      <c r="A1535" s="8"/>
      <c r="B1535" s="8"/>
      <c r="C1535" s="8"/>
      <c r="D1535" s="8"/>
      <c r="E1535" s="8"/>
      <c r="F1535" s="8"/>
      <c r="G1535" s="8"/>
      <c r="H1535" s="8"/>
      <c r="I1535" s="8"/>
      <c r="J1535" s="8"/>
      <c r="K1535" s="8"/>
      <c r="L1535" s="8"/>
      <c r="M1535" s="8"/>
      <c r="N1535" s="8"/>
      <c r="O1535" s="8"/>
      <c r="P1535" s="8"/>
      <c r="Q1535" s="8"/>
      <c r="R1535" s="8"/>
      <c r="S1535" s="8"/>
      <c r="T1535" s="8"/>
      <c r="U1535" s="8"/>
      <c r="V1535" s="8"/>
      <c r="W1535" s="8"/>
      <c r="X1535" s="8"/>
      <c r="Y1535" s="8"/>
    </row>
    <row r="1536">
      <c r="A1536" s="8"/>
      <c r="B1536" s="8"/>
      <c r="C1536" s="8"/>
      <c r="D1536" s="8"/>
      <c r="E1536" s="8"/>
      <c r="F1536" s="8"/>
      <c r="G1536" s="8"/>
      <c r="H1536" s="8"/>
      <c r="I1536" s="8"/>
      <c r="J1536" s="8"/>
      <c r="K1536" s="8"/>
      <c r="L1536" s="8"/>
      <c r="M1536" s="8"/>
      <c r="N1536" s="8"/>
      <c r="O1536" s="8"/>
      <c r="P1536" s="8"/>
      <c r="Q1536" s="8"/>
      <c r="R1536" s="8"/>
      <c r="S1536" s="8"/>
      <c r="T1536" s="8"/>
      <c r="U1536" s="8"/>
      <c r="V1536" s="8"/>
      <c r="W1536" s="8"/>
      <c r="X1536" s="8"/>
      <c r="Y1536" s="8"/>
    </row>
    <row r="1537">
      <c r="A1537" s="8"/>
      <c r="B1537" s="8"/>
      <c r="C1537" s="8"/>
      <c r="D1537" s="8"/>
      <c r="E1537" s="8"/>
      <c r="F1537" s="8"/>
      <c r="G1537" s="8"/>
      <c r="H1537" s="8"/>
      <c r="I1537" s="8"/>
      <c r="J1537" s="8"/>
      <c r="K1537" s="8"/>
      <c r="L1537" s="8"/>
      <c r="M1537" s="8"/>
      <c r="N1537" s="8"/>
      <c r="O1537" s="8"/>
      <c r="P1537" s="8"/>
      <c r="Q1537" s="8"/>
      <c r="R1537" s="8"/>
      <c r="S1537" s="8"/>
      <c r="T1537" s="8"/>
      <c r="U1537" s="8"/>
      <c r="V1537" s="8"/>
      <c r="W1537" s="8"/>
      <c r="X1537" s="8"/>
      <c r="Y1537" s="8"/>
    </row>
    <row r="1538">
      <c r="A1538" s="8"/>
      <c r="B1538" s="8"/>
      <c r="C1538" s="8"/>
      <c r="D1538" s="8"/>
      <c r="E1538" s="8"/>
      <c r="F1538" s="8"/>
      <c r="G1538" s="8"/>
      <c r="H1538" s="8"/>
      <c r="I1538" s="8"/>
      <c r="J1538" s="8"/>
      <c r="K1538" s="8"/>
      <c r="L1538" s="8"/>
      <c r="M1538" s="8"/>
      <c r="N1538" s="8"/>
      <c r="O1538" s="8"/>
      <c r="P1538" s="8"/>
      <c r="Q1538" s="8"/>
      <c r="R1538" s="8"/>
      <c r="S1538" s="8"/>
      <c r="T1538" s="8"/>
      <c r="U1538" s="8"/>
      <c r="V1538" s="8"/>
      <c r="W1538" s="8"/>
      <c r="X1538" s="8"/>
      <c r="Y1538" s="8"/>
    </row>
    <row r="1539">
      <c r="A1539" s="8"/>
      <c r="B1539" s="8"/>
      <c r="C1539" s="8"/>
      <c r="D1539" s="8"/>
      <c r="E1539" s="8"/>
      <c r="F1539" s="8"/>
      <c r="G1539" s="8"/>
      <c r="H1539" s="8"/>
      <c r="I1539" s="8"/>
      <c r="J1539" s="8"/>
      <c r="K1539" s="8"/>
      <c r="L1539" s="8"/>
      <c r="M1539" s="8"/>
      <c r="N1539" s="8"/>
      <c r="O1539" s="8"/>
      <c r="P1539" s="8"/>
      <c r="Q1539" s="8"/>
      <c r="R1539" s="8"/>
      <c r="S1539" s="8"/>
      <c r="T1539" s="8"/>
      <c r="U1539" s="8"/>
      <c r="V1539" s="8"/>
      <c r="W1539" s="8"/>
      <c r="X1539" s="8"/>
      <c r="Y1539" s="8"/>
    </row>
    <row r="1540">
      <c r="A1540" s="8"/>
      <c r="B1540" s="8"/>
      <c r="C1540" s="8"/>
      <c r="D1540" s="8"/>
      <c r="E1540" s="8"/>
      <c r="F1540" s="8"/>
      <c r="G1540" s="8"/>
      <c r="H1540" s="8"/>
      <c r="I1540" s="8"/>
      <c r="J1540" s="8"/>
      <c r="K1540" s="8"/>
      <c r="L1540" s="8"/>
      <c r="M1540" s="8"/>
      <c r="N1540" s="8"/>
      <c r="O1540" s="8"/>
      <c r="P1540" s="8"/>
      <c r="Q1540" s="8"/>
      <c r="R1540" s="8"/>
      <c r="S1540" s="8"/>
      <c r="T1540" s="8"/>
      <c r="U1540" s="8"/>
      <c r="V1540" s="8"/>
      <c r="W1540" s="8"/>
      <c r="X1540" s="8"/>
      <c r="Y1540" s="8"/>
    </row>
    <row r="1541">
      <c r="A1541" s="8"/>
      <c r="B1541" s="8"/>
      <c r="C1541" s="8"/>
      <c r="D1541" s="8"/>
      <c r="E1541" s="8"/>
      <c r="F1541" s="8"/>
      <c r="G1541" s="8"/>
      <c r="H1541" s="8"/>
      <c r="I1541" s="8"/>
      <c r="J1541" s="8"/>
      <c r="K1541" s="8"/>
      <c r="L1541" s="8"/>
      <c r="M1541" s="8"/>
      <c r="N1541" s="8"/>
      <c r="O1541" s="8"/>
      <c r="P1541" s="8"/>
      <c r="Q1541" s="8"/>
      <c r="R1541" s="8"/>
      <c r="S1541" s="8"/>
      <c r="T1541" s="8"/>
      <c r="U1541" s="8"/>
      <c r="V1541" s="8"/>
      <c r="W1541" s="8"/>
      <c r="X1541" s="8"/>
      <c r="Y1541" s="8"/>
    </row>
    <row r="1542">
      <c r="A1542" s="8"/>
      <c r="B1542" s="8"/>
      <c r="C1542" s="8"/>
      <c r="D1542" s="8"/>
      <c r="E1542" s="8"/>
      <c r="F1542" s="8"/>
      <c r="G1542" s="8"/>
      <c r="H1542" s="8"/>
      <c r="I1542" s="8"/>
      <c r="J1542" s="8"/>
      <c r="K1542" s="8"/>
      <c r="L1542" s="8"/>
      <c r="M1542" s="8"/>
      <c r="N1542" s="8"/>
      <c r="O1542" s="8"/>
      <c r="P1542" s="8"/>
      <c r="Q1542" s="8"/>
      <c r="R1542" s="8"/>
      <c r="S1542" s="8"/>
      <c r="T1542" s="8"/>
      <c r="U1542" s="8"/>
      <c r="V1542" s="8"/>
      <c r="W1542" s="8"/>
      <c r="X1542" s="8"/>
      <c r="Y1542" s="8"/>
    </row>
    <row r="1543">
      <c r="A1543" s="8"/>
      <c r="B1543" s="8"/>
      <c r="C1543" s="8"/>
      <c r="D1543" s="8"/>
      <c r="E1543" s="8"/>
      <c r="F1543" s="8"/>
      <c r="G1543" s="8"/>
      <c r="H1543" s="8"/>
      <c r="I1543" s="8"/>
      <c r="J1543" s="8"/>
      <c r="K1543" s="8"/>
      <c r="L1543" s="8"/>
      <c r="M1543" s="8"/>
      <c r="N1543" s="8"/>
      <c r="O1543" s="8"/>
      <c r="P1543" s="8"/>
      <c r="Q1543" s="8"/>
      <c r="R1543" s="8"/>
      <c r="S1543" s="8"/>
      <c r="T1543" s="8"/>
      <c r="U1543" s="8"/>
      <c r="V1543" s="8"/>
      <c r="W1543" s="8"/>
      <c r="X1543" s="8"/>
      <c r="Y1543" s="8"/>
    </row>
    <row r="1544">
      <c r="A1544" s="8"/>
      <c r="B1544" s="8"/>
      <c r="C1544" s="8"/>
      <c r="D1544" s="8"/>
      <c r="E1544" s="8"/>
      <c r="F1544" s="8"/>
      <c r="G1544" s="8"/>
      <c r="H1544" s="8"/>
      <c r="I1544" s="8"/>
      <c r="J1544" s="8"/>
      <c r="K1544" s="8"/>
      <c r="L1544" s="8"/>
      <c r="M1544" s="8"/>
      <c r="N1544" s="8"/>
      <c r="O1544" s="8"/>
      <c r="P1544" s="8"/>
      <c r="Q1544" s="8"/>
      <c r="R1544" s="8"/>
      <c r="S1544" s="8"/>
      <c r="T1544" s="8"/>
      <c r="U1544" s="8"/>
      <c r="V1544" s="8"/>
      <c r="W1544" s="8"/>
      <c r="X1544" s="8"/>
      <c r="Y1544" s="8"/>
    </row>
    <row r="1545">
      <c r="A1545" s="8"/>
      <c r="B1545" s="8"/>
      <c r="C1545" s="8"/>
      <c r="D1545" s="8"/>
      <c r="E1545" s="8"/>
      <c r="F1545" s="8"/>
      <c r="G1545" s="8"/>
      <c r="H1545" s="8"/>
      <c r="I1545" s="8"/>
      <c r="J1545" s="8"/>
      <c r="K1545" s="8"/>
      <c r="L1545" s="8"/>
      <c r="M1545" s="8"/>
      <c r="N1545" s="8"/>
      <c r="O1545" s="8"/>
      <c r="P1545" s="8"/>
      <c r="Q1545" s="8"/>
      <c r="R1545" s="8"/>
      <c r="S1545" s="8"/>
      <c r="T1545" s="8"/>
      <c r="U1545" s="8"/>
      <c r="V1545" s="8"/>
      <c r="W1545" s="8"/>
      <c r="X1545" s="8"/>
      <c r="Y1545" s="8"/>
    </row>
    <row r="1546">
      <c r="A1546" s="8"/>
      <c r="B1546" s="8"/>
      <c r="C1546" s="8"/>
      <c r="D1546" s="8"/>
      <c r="E1546" s="8"/>
      <c r="F1546" s="8"/>
      <c r="G1546" s="8"/>
      <c r="H1546" s="8"/>
      <c r="I1546" s="8"/>
      <c r="J1546" s="8"/>
      <c r="K1546" s="8"/>
      <c r="L1546" s="8"/>
      <c r="M1546" s="8"/>
      <c r="N1546" s="8"/>
      <c r="O1546" s="8"/>
      <c r="P1546" s="8"/>
      <c r="Q1546" s="8"/>
      <c r="R1546" s="8"/>
      <c r="S1546" s="8"/>
      <c r="T1546" s="8"/>
      <c r="U1546" s="8"/>
      <c r="V1546" s="8"/>
      <c r="W1546" s="8"/>
      <c r="X1546" s="8"/>
      <c r="Y1546" s="8"/>
    </row>
    <row r="1547">
      <c r="A1547" s="8"/>
      <c r="B1547" s="8"/>
      <c r="C1547" s="8"/>
      <c r="D1547" s="8"/>
      <c r="E1547" s="8"/>
      <c r="F1547" s="8"/>
      <c r="G1547" s="8"/>
      <c r="H1547" s="8"/>
      <c r="I1547" s="8"/>
      <c r="J1547" s="8"/>
      <c r="K1547" s="8"/>
      <c r="L1547" s="8"/>
      <c r="M1547" s="8"/>
      <c r="N1547" s="8"/>
      <c r="O1547" s="8"/>
      <c r="P1547" s="8"/>
      <c r="Q1547" s="8"/>
      <c r="R1547" s="8"/>
      <c r="S1547" s="8"/>
      <c r="T1547" s="8"/>
      <c r="U1547" s="8"/>
      <c r="V1547" s="8"/>
      <c r="W1547" s="8"/>
      <c r="X1547" s="8"/>
      <c r="Y1547" s="8"/>
    </row>
    <row r="1548">
      <c r="A1548" s="8"/>
      <c r="B1548" s="8"/>
      <c r="C1548" s="8"/>
      <c r="D1548" s="8"/>
      <c r="E1548" s="8"/>
      <c r="F1548" s="8"/>
      <c r="G1548" s="8"/>
      <c r="H1548" s="8"/>
      <c r="I1548" s="8"/>
      <c r="J1548" s="8"/>
      <c r="K1548" s="8"/>
      <c r="L1548" s="8"/>
      <c r="M1548" s="8"/>
      <c r="N1548" s="8"/>
      <c r="O1548" s="8"/>
      <c r="P1548" s="8"/>
      <c r="Q1548" s="8"/>
      <c r="R1548" s="8"/>
      <c r="S1548" s="8"/>
      <c r="T1548" s="8"/>
      <c r="U1548" s="8"/>
      <c r="V1548" s="8"/>
      <c r="W1548" s="8"/>
      <c r="X1548" s="8"/>
      <c r="Y1548" s="8"/>
    </row>
    <row r="1549">
      <c r="A1549" s="8"/>
      <c r="B1549" s="8"/>
      <c r="C1549" s="8"/>
      <c r="D1549" s="8"/>
      <c r="E1549" s="8"/>
      <c r="F1549" s="8"/>
      <c r="G1549" s="8"/>
      <c r="H1549" s="8"/>
      <c r="I1549" s="8"/>
      <c r="J1549" s="8"/>
      <c r="K1549" s="8"/>
      <c r="L1549" s="8"/>
      <c r="M1549" s="8"/>
      <c r="N1549" s="8"/>
      <c r="O1549" s="8"/>
      <c r="P1549" s="8"/>
      <c r="Q1549" s="8"/>
      <c r="R1549" s="8"/>
      <c r="S1549" s="8"/>
      <c r="T1549" s="8"/>
      <c r="U1549" s="8"/>
      <c r="V1549" s="8"/>
      <c r="W1549" s="8"/>
      <c r="X1549" s="8"/>
      <c r="Y1549" s="8"/>
    </row>
    <row r="1550">
      <c r="A1550" s="8"/>
      <c r="B1550" s="8"/>
      <c r="C1550" s="8"/>
      <c r="D1550" s="8"/>
      <c r="E1550" s="8"/>
      <c r="F1550" s="8"/>
      <c r="G1550" s="8"/>
      <c r="H1550" s="8"/>
      <c r="I1550" s="8"/>
      <c r="J1550" s="8"/>
      <c r="K1550" s="8"/>
      <c r="L1550" s="8"/>
      <c r="M1550" s="8"/>
      <c r="N1550" s="8"/>
      <c r="O1550" s="8"/>
      <c r="P1550" s="8"/>
      <c r="Q1550" s="8"/>
      <c r="R1550" s="8"/>
      <c r="S1550" s="8"/>
      <c r="T1550" s="8"/>
      <c r="U1550" s="8"/>
      <c r="V1550" s="8"/>
      <c r="W1550" s="8"/>
      <c r="X1550" s="8"/>
      <c r="Y1550" s="8"/>
    </row>
    <row r="1551">
      <c r="A1551" s="8"/>
      <c r="B1551" s="8"/>
      <c r="C1551" s="8"/>
      <c r="D1551" s="8"/>
      <c r="E1551" s="8"/>
      <c r="F1551" s="8"/>
      <c r="G1551" s="8"/>
      <c r="H1551" s="8"/>
      <c r="I1551" s="8"/>
      <c r="J1551" s="8"/>
      <c r="K1551" s="8"/>
      <c r="L1551" s="8"/>
      <c r="M1551" s="8"/>
      <c r="N1551" s="8"/>
      <c r="O1551" s="8"/>
      <c r="P1551" s="8"/>
      <c r="Q1551" s="8"/>
      <c r="R1551" s="8"/>
      <c r="S1551" s="8"/>
      <c r="T1551" s="8"/>
      <c r="U1551" s="8"/>
      <c r="V1551" s="8"/>
      <c r="W1551" s="8"/>
      <c r="X1551" s="8"/>
      <c r="Y1551" s="8"/>
    </row>
    <row r="1552">
      <c r="A1552" s="8"/>
      <c r="B1552" s="8"/>
      <c r="C1552" s="8"/>
      <c r="D1552" s="8"/>
      <c r="E1552" s="8"/>
      <c r="F1552" s="8"/>
      <c r="G1552" s="8"/>
      <c r="H1552" s="8"/>
      <c r="I1552" s="8"/>
      <c r="J1552" s="8"/>
      <c r="K1552" s="8"/>
      <c r="L1552" s="8"/>
      <c r="M1552" s="8"/>
      <c r="N1552" s="8"/>
      <c r="O1552" s="8"/>
      <c r="P1552" s="8"/>
      <c r="Q1552" s="8"/>
      <c r="R1552" s="8"/>
      <c r="S1552" s="8"/>
      <c r="T1552" s="8"/>
      <c r="U1552" s="8"/>
      <c r="V1552" s="8"/>
      <c r="W1552" s="8"/>
      <c r="X1552" s="8"/>
      <c r="Y1552" s="8"/>
    </row>
    <row r="1553">
      <c r="A1553" s="8"/>
      <c r="B1553" s="8"/>
      <c r="C1553" s="8"/>
      <c r="D1553" s="8"/>
      <c r="E1553" s="8"/>
      <c r="F1553" s="8"/>
      <c r="G1553" s="8"/>
      <c r="H1553" s="8"/>
      <c r="I1553" s="8"/>
      <c r="J1553" s="8"/>
      <c r="K1553" s="8"/>
      <c r="L1553" s="8"/>
      <c r="M1553" s="8"/>
      <c r="N1553" s="8"/>
      <c r="O1553" s="8"/>
      <c r="P1553" s="8"/>
      <c r="Q1553" s="8"/>
      <c r="R1553" s="8"/>
      <c r="S1553" s="8"/>
      <c r="T1553" s="8"/>
      <c r="U1553" s="8"/>
      <c r="V1553" s="8"/>
      <c r="W1553" s="8"/>
      <c r="X1553" s="8"/>
      <c r="Y1553" s="8"/>
    </row>
    <row r="1554">
      <c r="A1554" s="8"/>
      <c r="B1554" s="8"/>
      <c r="C1554" s="8"/>
      <c r="D1554" s="8"/>
      <c r="E1554" s="8"/>
      <c r="F1554" s="8"/>
      <c r="G1554" s="8"/>
      <c r="H1554" s="8"/>
      <c r="I1554" s="8"/>
      <c r="J1554" s="8"/>
      <c r="K1554" s="8"/>
      <c r="L1554" s="8"/>
      <c r="M1554" s="8"/>
      <c r="N1554" s="8"/>
      <c r="O1554" s="8"/>
      <c r="P1554" s="8"/>
      <c r="Q1554" s="8"/>
      <c r="R1554" s="8"/>
      <c r="S1554" s="8"/>
      <c r="T1554" s="8"/>
      <c r="U1554" s="8"/>
      <c r="V1554" s="8"/>
      <c r="W1554" s="8"/>
      <c r="X1554" s="8"/>
      <c r="Y1554" s="8"/>
    </row>
    <row r="1555">
      <c r="A1555" s="8"/>
      <c r="B1555" s="8"/>
      <c r="C1555" s="8"/>
      <c r="D1555" s="8"/>
      <c r="E1555" s="8"/>
      <c r="F1555" s="8"/>
      <c r="G1555" s="8"/>
      <c r="H1555" s="8"/>
      <c r="I1555" s="8"/>
      <c r="J1555" s="8"/>
      <c r="K1555" s="8"/>
      <c r="L1555" s="8"/>
      <c r="M1555" s="8"/>
      <c r="N1555" s="8"/>
      <c r="O1555" s="8"/>
      <c r="P1555" s="8"/>
      <c r="Q1555" s="8"/>
      <c r="R1555" s="8"/>
      <c r="S1555" s="8"/>
      <c r="T1555" s="8"/>
      <c r="U1555" s="8"/>
      <c r="V1555" s="8"/>
      <c r="W1555" s="8"/>
      <c r="X1555" s="8"/>
      <c r="Y1555" s="8"/>
    </row>
    <row r="1556">
      <c r="A1556" s="8"/>
      <c r="B1556" s="8"/>
      <c r="C1556" s="8"/>
      <c r="D1556" s="8"/>
      <c r="E1556" s="8"/>
      <c r="F1556" s="8"/>
      <c r="G1556" s="8"/>
      <c r="H1556" s="8"/>
      <c r="I1556" s="8"/>
      <c r="J1556" s="8"/>
      <c r="K1556" s="8"/>
      <c r="L1556" s="8"/>
      <c r="M1556" s="8"/>
      <c r="N1556" s="8"/>
      <c r="O1556" s="8"/>
      <c r="P1556" s="8"/>
      <c r="Q1556" s="8"/>
      <c r="R1556" s="8"/>
      <c r="S1556" s="8"/>
      <c r="T1556" s="8"/>
      <c r="U1556" s="8"/>
      <c r="V1556" s="8"/>
      <c r="W1556" s="8"/>
      <c r="X1556" s="8"/>
      <c r="Y1556" s="8"/>
    </row>
    <row r="1557">
      <c r="A1557" s="8"/>
      <c r="B1557" s="8"/>
      <c r="C1557" s="8"/>
      <c r="D1557" s="8"/>
      <c r="E1557" s="8"/>
      <c r="F1557" s="8"/>
      <c r="G1557" s="8"/>
      <c r="H1557" s="8"/>
      <c r="I1557" s="8"/>
      <c r="J1557" s="8"/>
      <c r="K1557" s="8"/>
      <c r="L1557" s="8"/>
      <c r="M1557" s="8"/>
      <c r="N1557" s="8"/>
      <c r="O1557" s="8"/>
      <c r="P1557" s="8"/>
      <c r="Q1557" s="8"/>
      <c r="R1557" s="8"/>
      <c r="S1557" s="8"/>
      <c r="T1557" s="8"/>
      <c r="U1557" s="8"/>
      <c r="V1557" s="8"/>
      <c r="W1557" s="8"/>
      <c r="X1557" s="8"/>
      <c r="Y1557" s="8"/>
    </row>
    <row r="1558">
      <c r="A1558" s="8"/>
      <c r="B1558" s="8"/>
      <c r="C1558" s="8"/>
      <c r="D1558" s="8"/>
      <c r="E1558" s="8"/>
      <c r="F1558" s="8"/>
      <c r="G1558" s="8"/>
      <c r="H1558" s="8"/>
      <c r="I1558" s="8"/>
      <c r="J1558" s="8"/>
      <c r="K1558" s="8"/>
      <c r="L1558" s="8"/>
      <c r="M1558" s="8"/>
      <c r="N1558" s="8"/>
      <c r="O1558" s="8"/>
      <c r="P1558" s="8"/>
      <c r="Q1558" s="8"/>
      <c r="R1558" s="8"/>
      <c r="S1558" s="8"/>
      <c r="T1558" s="8"/>
      <c r="U1558" s="8"/>
      <c r="V1558" s="8"/>
      <c r="W1558" s="8"/>
      <c r="X1558" s="8"/>
      <c r="Y1558" s="8"/>
    </row>
    <row r="1559">
      <c r="A1559" s="8"/>
      <c r="B1559" s="8"/>
      <c r="C1559" s="8"/>
      <c r="D1559" s="8"/>
      <c r="E1559" s="8"/>
      <c r="F1559" s="8"/>
      <c r="G1559" s="8"/>
      <c r="H1559" s="8"/>
      <c r="I1559" s="8"/>
      <c r="J1559" s="8"/>
      <c r="K1559" s="8"/>
      <c r="L1559" s="8"/>
      <c r="M1559" s="8"/>
      <c r="N1559" s="8"/>
      <c r="O1559" s="8"/>
      <c r="P1559" s="8"/>
      <c r="Q1559" s="8"/>
      <c r="R1559" s="8"/>
      <c r="S1559" s="8"/>
      <c r="T1559" s="8"/>
      <c r="U1559" s="8"/>
      <c r="V1559" s="8"/>
      <c r="W1559" s="8"/>
      <c r="X1559" s="8"/>
      <c r="Y1559" s="8"/>
    </row>
    <row r="1560">
      <c r="A1560" s="8"/>
      <c r="B1560" s="8"/>
      <c r="C1560" s="8"/>
      <c r="D1560" s="8"/>
      <c r="E1560" s="8"/>
      <c r="F1560" s="8"/>
      <c r="G1560" s="8"/>
      <c r="H1560" s="8"/>
      <c r="I1560" s="8"/>
      <c r="J1560" s="8"/>
      <c r="K1560" s="8"/>
      <c r="L1560" s="8"/>
      <c r="M1560" s="8"/>
      <c r="N1560" s="8"/>
      <c r="O1560" s="8"/>
      <c r="P1560" s="8"/>
      <c r="Q1560" s="8"/>
      <c r="R1560" s="8"/>
      <c r="S1560" s="8"/>
      <c r="T1560" s="8"/>
      <c r="U1560" s="8"/>
      <c r="V1560" s="8"/>
      <c r="W1560" s="8"/>
      <c r="X1560" s="8"/>
      <c r="Y1560" s="8"/>
    </row>
    <row r="1561">
      <c r="A1561" s="8"/>
      <c r="B1561" s="8"/>
      <c r="C1561" s="8"/>
      <c r="D1561" s="8"/>
      <c r="E1561" s="8"/>
      <c r="F1561" s="8"/>
      <c r="G1561" s="8"/>
      <c r="H1561" s="8"/>
      <c r="I1561" s="8"/>
      <c r="J1561" s="8"/>
      <c r="K1561" s="8"/>
      <c r="L1561" s="8"/>
      <c r="M1561" s="8"/>
      <c r="N1561" s="8"/>
      <c r="O1561" s="8"/>
      <c r="P1561" s="8"/>
      <c r="Q1561" s="8"/>
      <c r="R1561" s="8"/>
      <c r="S1561" s="8"/>
      <c r="T1561" s="8"/>
      <c r="U1561" s="8"/>
      <c r="V1561" s="8"/>
      <c r="W1561" s="8"/>
      <c r="X1561" s="8"/>
      <c r="Y1561" s="8"/>
    </row>
    <row r="1562">
      <c r="A1562" s="8"/>
      <c r="B1562" s="8"/>
      <c r="C1562" s="8"/>
      <c r="D1562" s="8"/>
      <c r="E1562" s="8"/>
      <c r="F1562" s="8"/>
      <c r="G1562" s="8"/>
      <c r="H1562" s="8"/>
      <c r="I1562" s="8"/>
      <c r="J1562" s="8"/>
      <c r="K1562" s="8"/>
      <c r="L1562" s="8"/>
      <c r="M1562" s="8"/>
      <c r="N1562" s="8"/>
      <c r="O1562" s="8"/>
      <c r="P1562" s="8"/>
      <c r="Q1562" s="8"/>
      <c r="R1562" s="8"/>
      <c r="S1562" s="8"/>
      <c r="T1562" s="8"/>
      <c r="U1562" s="8"/>
      <c r="V1562" s="8"/>
      <c r="W1562" s="8"/>
      <c r="X1562" s="8"/>
      <c r="Y1562" s="8"/>
    </row>
    <row r="1563">
      <c r="A1563" s="8"/>
      <c r="B1563" s="8"/>
      <c r="C1563" s="8"/>
      <c r="D1563" s="8"/>
      <c r="E1563" s="8"/>
      <c r="F1563" s="8"/>
      <c r="G1563" s="8"/>
      <c r="H1563" s="8"/>
      <c r="I1563" s="8"/>
      <c r="J1563" s="8"/>
      <c r="K1563" s="8"/>
      <c r="L1563" s="8"/>
      <c r="M1563" s="8"/>
      <c r="N1563" s="8"/>
      <c r="O1563" s="8"/>
      <c r="P1563" s="8"/>
      <c r="Q1563" s="8"/>
      <c r="R1563" s="8"/>
      <c r="S1563" s="8"/>
      <c r="T1563" s="8"/>
      <c r="U1563" s="8"/>
      <c r="V1563" s="8"/>
      <c r="W1563" s="8"/>
      <c r="X1563" s="8"/>
      <c r="Y1563" s="8"/>
    </row>
    <row r="1564">
      <c r="A1564" s="8"/>
      <c r="B1564" s="8"/>
      <c r="C1564" s="8"/>
      <c r="D1564" s="8"/>
      <c r="E1564" s="8"/>
      <c r="F1564" s="8"/>
      <c r="G1564" s="8"/>
      <c r="H1564" s="8"/>
      <c r="I1564" s="8"/>
      <c r="J1564" s="8"/>
      <c r="K1564" s="8"/>
      <c r="L1564" s="8"/>
      <c r="M1564" s="8"/>
      <c r="N1564" s="8"/>
      <c r="O1564" s="8"/>
      <c r="P1564" s="8"/>
      <c r="Q1564" s="8"/>
      <c r="R1564" s="8"/>
      <c r="S1564" s="8"/>
      <c r="T1564" s="8"/>
      <c r="U1564" s="8"/>
      <c r="V1564" s="8"/>
      <c r="W1564" s="8"/>
      <c r="X1564" s="8"/>
      <c r="Y1564" s="8"/>
    </row>
    <row r="1565">
      <c r="A1565" s="8"/>
      <c r="B1565" s="8"/>
      <c r="C1565" s="8"/>
      <c r="D1565" s="8"/>
      <c r="E1565" s="8"/>
      <c r="F1565" s="8"/>
      <c r="G1565" s="8"/>
      <c r="H1565" s="8"/>
      <c r="I1565" s="8"/>
      <c r="J1565" s="8"/>
      <c r="K1565" s="8"/>
      <c r="L1565" s="8"/>
      <c r="M1565" s="8"/>
      <c r="N1565" s="8"/>
      <c r="O1565" s="8"/>
      <c r="P1565" s="8"/>
      <c r="Q1565" s="8"/>
      <c r="R1565" s="8"/>
      <c r="S1565" s="8"/>
      <c r="T1565" s="8"/>
      <c r="U1565" s="8"/>
      <c r="V1565" s="8"/>
      <c r="W1565" s="8"/>
      <c r="X1565" s="8"/>
      <c r="Y1565" s="8"/>
    </row>
    <row r="1566">
      <c r="A1566" s="8"/>
      <c r="B1566" s="8"/>
      <c r="C1566" s="8"/>
      <c r="D1566" s="8"/>
      <c r="E1566" s="8"/>
      <c r="F1566" s="8"/>
      <c r="G1566" s="8"/>
      <c r="H1566" s="8"/>
      <c r="I1566" s="8"/>
      <c r="J1566" s="8"/>
      <c r="K1566" s="8"/>
      <c r="L1566" s="8"/>
      <c r="M1566" s="8"/>
      <c r="N1566" s="8"/>
      <c r="O1566" s="8"/>
      <c r="P1566" s="8"/>
      <c r="Q1566" s="8"/>
      <c r="R1566" s="8"/>
      <c r="S1566" s="8"/>
      <c r="T1566" s="8"/>
      <c r="U1566" s="8"/>
      <c r="V1566" s="8"/>
      <c r="W1566" s="8"/>
      <c r="X1566" s="8"/>
      <c r="Y1566" s="8"/>
    </row>
    <row r="1567">
      <c r="A1567" s="8"/>
      <c r="B1567" s="8"/>
      <c r="C1567" s="8"/>
      <c r="D1567" s="8"/>
      <c r="E1567" s="8"/>
      <c r="F1567" s="8"/>
      <c r="G1567" s="8"/>
      <c r="H1567" s="8"/>
      <c r="I1567" s="8"/>
      <c r="J1567" s="8"/>
      <c r="K1567" s="8"/>
      <c r="L1567" s="8"/>
      <c r="M1567" s="8"/>
      <c r="N1567" s="8"/>
      <c r="O1567" s="8"/>
      <c r="P1567" s="8"/>
      <c r="Q1567" s="8"/>
      <c r="R1567" s="8"/>
      <c r="S1567" s="8"/>
      <c r="T1567" s="8"/>
      <c r="U1567" s="8"/>
      <c r="V1567" s="8"/>
      <c r="W1567" s="8"/>
      <c r="X1567" s="8"/>
      <c r="Y1567" s="8"/>
    </row>
    <row r="1568">
      <c r="A1568" s="8"/>
      <c r="B1568" s="8"/>
      <c r="C1568" s="8"/>
      <c r="D1568" s="8"/>
      <c r="E1568" s="8"/>
      <c r="F1568" s="8"/>
      <c r="G1568" s="8"/>
      <c r="H1568" s="8"/>
      <c r="I1568" s="8"/>
      <c r="J1568" s="8"/>
      <c r="K1568" s="8"/>
      <c r="L1568" s="8"/>
      <c r="M1568" s="8"/>
      <c r="N1568" s="8"/>
      <c r="O1568" s="8"/>
      <c r="P1568" s="8"/>
      <c r="Q1568" s="8"/>
      <c r="R1568" s="8"/>
      <c r="S1568" s="8"/>
      <c r="T1568" s="8"/>
      <c r="U1568" s="8"/>
      <c r="V1568" s="8"/>
      <c r="W1568" s="8"/>
      <c r="X1568" s="8"/>
      <c r="Y1568" s="8"/>
    </row>
    <row r="1569">
      <c r="A1569" s="8"/>
      <c r="B1569" s="8"/>
      <c r="C1569" s="8"/>
      <c r="D1569" s="8"/>
      <c r="E1569" s="8"/>
      <c r="F1569" s="8"/>
      <c r="G1569" s="8"/>
      <c r="H1569" s="8"/>
      <c r="I1569" s="8"/>
      <c r="J1569" s="8"/>
      <c r="K1569" s="8"/>
      <c r="L1569" s="8"/>
      <c r="M1569" s="8"/>
      <c r="N1569" s="8"/>
      <c r="O1569" s="8"/>
      <c r="P1569" s="8"/>
      <c r="Q1569" s="8"/>
      <c r="R1569" s="8"/>
      <c r="S1569" s="8"/>
      <c r="T1569" s="8"/>
      <c r="U1569" s="8"/>
      <c r="V1569" s="8"/>
      <c r="W1569" s="8"/>
      <c r="X1569" s="8"/>
      <c r="Y1569" s="8"/>
    </row>
    <row r="1570">
      <c r="A1570" s="8"/>
      <c r="B1570" s="8"/>
      <c r="C1570" s="8"/>
      <c r="D1570" s="8"/>
      <c r="E1570" s="8"/>
      <c r="F1570" s="8"/>
      <c r="G1570" s="8"/>
      <c r="H1570" s="8"/>
      <c r="I1570" s="8"/>
      <c r="J1570" s="8"/>
      <c r="K1570" s="8"/>
      <c r="L1570" s="8"/>
      <c r="M1570" s="8"/>
      <c r="N1570" s="8"/>
      <c r="O1570" s="8"/>
      <c r="P1570" s="8"/>
      <c r="Q1570" s="8"/>
      <c r="R1570" s="8"/>
      <c r="S1570" s="8"/>
      <c r="T1570" s="8"/>
      <c r="U1570" s="8"/>
      <c r="V1570" s="8"/>
      <c r="W1570" s="8"/>
      <c r="X1570" s="8"/>
      <c r="Y1570" s="8"/>
    </row>
    <row r="1571">
      <c r="A1571" s="8"/>
      <c r="B1571" s="8"/>
      <c r="C1571" s="8"/>
      <c r="D1571" s="8"/>
      <c r="E1571" s="8"/>
      <c r="F1571" s="8"/>
      <c r="G1571" s="8"/>
      <c r="H1571" s="8"/>
      <c r="I1571" s="8"/>
      <c r="J1571" s="8"/>
      <c r="K1571" s="8"/>
      <c r="L1571" s="8"/>
      <c r="M1571" s="8"/>
      <c r="N1571" s="8"/>
      <c r="O1571" s="8"/>
      <c r="P1571" s="8"/>
      <c r="Q1571" s="8"/>
      <c r="R1571" s="8"/>
      <c r="S1571" s="8"/>
      <c r="T1571" s="8"/>
      <c r="U1571" s="8"/>
      <c r="V1571" s="8"/>
      <c r="W1571" s="8"/>
      <c r="X1571" s="8"/>
      <c r="Y1571" s="8"/>
    </row>
    <row r="1572">
      <c r="A1572" s="8"/>
      <c r="B1572" s="8"/>
      <c r="C1572" s="8"/>
      <c r="D1572" s="8"/>
      <c r="E1572" s="8"/>
      <c r="F1572" s="8"/>
      <c r="G1572" s="8"/>
      <c r="H1572" s="8"/>
      <c r="I1572" s="8"/>
      <c r="J1572" s="8"/>
      <c r="K1572" s="8"/>
      <c r="L1572" s="8"/>
      <c r="M1572" s="8"/>
      <c r="N1572" s="8"/>
      <c r="O1572" s="8"/>
      <c r="P1572" s="8"/>
      <c r="Q1572" s="8"/>
      <c r="R1572" s="8"/>
      <c r="S1572" s="8"/>
      <c r="T1572" s="8"/>
      <c r="U1572" s="8"/>
      <c r="V1572" s="8"/>
      <c r="W1572" s="8"/>
      <c r="X1572" s="8"/>
      <c r="Y1572" s="8"/>
    </row>
    <row r="1573">
      <c r="A1573" s="8"/>
      <c r="B1573" s="8"/>
      <c r="C1573" s="8"/>
      <c r="D1573" s="8"/>
      <c r="E1573" s="8"/>
      <c r="F1573" s="8"/>
      <c r="G1573" s="8"/>
      <c r="H1573" s="8"/>
      <c r="I1573" s="8"/>
      <c r="J1573" s="8"/>
      <c r="K1573" s="8"/>
      <c r="L1573" s="8"/>
      <c r="M1573" s="8"/>
      <c r="N1573" s="8"/>
      <c r="O1573" s="8"/>
      <c r="P1573" s="8"/>
      <c r="Q1573" s="8"/>
      <c r="R1573" s="8"/>
      <c r="S1573" s="8"/>
      <c r="T1573" s="8"/>
      <c r="U1573" s="8"/>
      <c r="V1573" s="8"/>
      <c r="W1573" s="8"/>
      <c r="X1573" s="8"/>
      <c r="Y1573" s="8"/>
    </row>
    <row r="1574">
      <c r="A1574" s="8"/>
      <c r="B1574" s="8"/>
      <c r="C1574" s="8"/>
      <c r="D1574" s="8"/>
      <c r="E1574" s="8"/>
      <c r="F1574" s="8"/>
      <c r="G1574" s="8"/>
      <c r="H1574" s="8"/>
      <c r="I1574" s="8"/>
      <c r="J1574" s="8"/>
      <c r="K1574" s="8"/>
      <c r="L1574" s="8"/>
      <c r="M1574" s="8"/>
      <c r="N1574" s="8"/>
      <c r="O1574" s="8"/>
      <c r="P1574" s="8"/>
      <c r="Q1574" s="8"/>
      <c r="R1574" s="8"/>
      <c r="S1574" s="8"/>
      <c r="T1574" s="8"/>
      <c r="U1574" s="8"/>
      <c r="V1574" s="8"/>
      <c r="W1574" s="8"/>
      <c r="X1574" s="8"/>
      <c r="Y1574" s="8"/>
    </row>
    <row r="1575">
      <c r="A1575" s="8"/>
      <c r="B1575" s="8"/>
      <c r="C1575" s="8"/>
      <c r="D1575" s="8"/>
      <c r="E1575" s="8"/>
      <c r="F1575" s="8"/>
      <c r="G1575" s="8"/>
      <c r="H1575" s="8"/>
      <c r="I1575" s="8"/>
      <c r="J1575" s="8"/>
      <c r="K1575" s="8"/>
      <c r="L1575" s="8"/>
      <c r="M1575" s="8"/>
      <c r="N1575" s="8"/>
      <c r="O1575" s="8"/>
      <c r="P1575" s="8"/>
      <c r="Q1575" s="8"/>
      <c r="R1575" s="8"/>
      <c r="S1575" s="8"/>
      <c r="T1575" s="8"/>
      <c r="U1575" s="8"/>
      <c r="V1575" s="8"/>
      <c r="W1575" s="8"/>
      <c r="X1575" s="8"/>
      <c r="Y1575" s="8"/>
    </row>
    <row r="1576">
      <c r="A1576" s="8"/>
      <c r="B1576" s="8"/>
      <c r="C1576" s="8"/>
      <c r="D1576" s="8"/>
      <c r="E1576" s="8"/>
      <c r="F1576" s="8"/>
      <c r="G1576" s="8"/>
      <c r="H1576" s="8"/>
      <c r="I1576" s="8"/>
      <c r="J1576" s="8"/>
      <c r="K1576" s="8"/>
      <c r="L1576" s="8"/>
      <c r="M1576" s="8"/>
      <c r="N1576" s="8"/>
      <c r="O1576" s="8"/>
      <c r="P1576" s="8"/>
      <c r="Q1576" s="8"/>
      <c r="R1576" s="8"/>
      <c r="S1576" s="8"/>
      <c r="T1576" s="8"/>
      <c r="U1576" s="8"/>
      <c r="V1576" s="8"/>
      <c r="W1576" s="8"/>
      <c r="X1576" s="8"/>
      <c r="Y1576" s="8"/>
    </row>
    <row r="1577">
      <c r="A1577" s="8"/>
      <c r="B1577" s="8"/>
      <c r="C1577" s="8"/>
      <c r="D1577" s="8"/>
      <c r="E1577" s="8"/>
      <c r="F1577" s="8"/>
      <c r="G1577" s="8"/>
      <c r="H1577" s="8"/>
      <c r="I1577" s="8"/>
      <c r="J1577" s="8"/>
      <c r="K1577" s="8"/>
      <c r="L1577" s="8"/>
      <c r="M1577" s="8"/>
      <c r="N1577" s="8"/>
      <c r="O1577" s="8"/>
      <c r="P1577" s="8"/>
      <c r="Q1577" s="8"/>
      <c r="R1577" s="8"/>
      <c r="S1577" s="8"/>
      <c r="T1577" s="8"/>
      <c r="U1577" s="8"/>
      <c r="V1577" s="8"/>
      <c r="W1577" s="8"/>
      <c r="X1577" s="8"/>
      <c r="Y1577" s="8"/>
    </row>
    <row r="1578">
      <c r="A1578" s="8"/>
      <c r="B1578" s="8"/>
      <c r="C1578" s="8"/>
      <c r="D1578" s="8"/>
      <c r="E1578" s="8"/>
      <c r="F1578" s="8"/>
      <c r="G1578" s="8"/>
      <c r="H1578" s="8"/>
      <c r="I1578" s="8"/>
      <c r="J1578" s="8"/>
      <c r="K1578" s="8"/>
      <c r="L1578" s="8"/>
      <c r="M1578" s="8"/>
      <c r="N1578" s="8"/>
      <c r="O1578" s="8"/>
      <c r="P1578" s="8"/>
      <c r="Q1578" s="8"/>
      <c r="R1578" s="8"/>
      <c r="S1578" s="8"/>
      <c r="T1578" s="8"/>
      <c r="U1578" s="8"/>
      <c r="V1578" s="8"/>
      <c r="W1578" s="8"/>
      <c r="X1578" s="8"/>
      <c r="Y1578" s="8"/>
    </row>
    <row r="1579">
      <c r="A1579" s="8"/>
      <c r="B1579" s="8"/>
      <c r="C1579" s="8"/>
      <c r="D1579" s="8"/>
      <c r="E1579" s="8"/>
      <c r="F1579" s="8"/>
      <c r="G1579" s="8"/>
      <c r="H1579" s="8"/>
      <c r="I1579" s="8"/>
      <c r="J1579" s="8"/>
      <c r="K1579" s="8"/>
      <c r="L1579" s="8"/>
      <c r="M1579" s="8"/>
      <c r="N1579" s="8"/>
      <c r="O1579" s="8"/>
      <c r="P1579" s="8"/>
      <c r="Q1579" s="8"/>
      <c r="R1579" s="8"/>
      <c r="S1579" s="8"/>
      <c r="T1579" s="8"/>
      <c r="U1579" s="8"/>
      <c r="V1579" s="8"/>
      <c r="W1579" s="8"/>
      <c r="X1579" s="8"/>
      <c r="Y1579" s="8"/>
    </row>
    <row r="1580">
      <c r="A1580" s="8"/>
      <c r="B1580" s="8"/>
      <c r="C1580" s="8"/>
      <c r="D1580" s="8"/>
      <c r="E1580" s="8"/>
      <c r="F1580" s="8"/>
      <c r="G1580" s="8"/>
      <c r="H1580" s="8"/>
      <c r="I1580" s="8"/>
      <c r="J1580" s="8"/>
      <c r="K1580" s="8"/>
      <c r="L1580" s="8"/>
      <c r="M1580" s="8"/>
      <c r="N1580" s="8"/>
      <c r="O1580" s="8"/>
      <c r="P1580" s="8"/>
      <c r="Q1580" s="8"/>
      <c r="R1580" s="8"/>
      <c r="S1580" s="8"/>
      <c r="T1580" s="8"/>
      <c r="U1580" s="8"/>
      <c r="V1580" s="8"/>
      <c r="W1580" s="8"/>
      <c r="X1580" s="8"/>
      <c r="Y1580" s="8"/>
    </row>
    <row r="1581">
      <c r="A1581" s="8"/>
      <c r="B1581" s="8"/>
      <c r="C1581" s="8"/>
      <c r="D1581" s="8"/>
      <c r="E1581" s="8"/>
      <c r="F1581" s="8"/>
      <c r="G1581" s="8"/>
      <c r="H1581" s="8"/>
      <c r="I1581" s="8"/>
      <c r="J1581" s="8"/>
      <c r="K1581" s="8"/>
      <c r="L1581" s="8"/>
      <c r="M1581" s="8"/>
      <c r="N1581" s="8"/>
      <c r="O1581" s="8"/>
      <c r="P1581" s="8"/>
      <c r="Q1581" s="8"/>
      <c r="R1581" s="8"/>
      <c r="S1581" s="8"/>
      <c r="T1581" s="8"/>
      <c r="U1581" s="8"/>
      <c r="V1581" s="8"/>
      <c r="W1581" s="8"/>
      <c r="X1581" s="8"/>
      <c r="Y1581" s="8"/>
    </row>
    <row r="1582">
      <c r="A1582" s="8"/>
      <c r="B1582" s="8"/>
      <c r="C1582" s="8"/>
      <c r="D1582" s="8"/>
      <c r="E1582" s="8"/>
      <c r="F1582" s="8"/>
      <c r="G1582" s="8"/>
      <c r="H1582" s="8"/>
      <c r="I1582" s="8"/>
      <c r="J1582" s="8"/>
      <c r="K1582" s="8"/>
      <c r="L1582" s="8"/>
      <c r="M1582" s="8"/>
      <c r="N1582" s="8"/>
      <c r="O1582" s="8"/>
      <c r="P1582" s="8"/>
      <c r="Q1582" s="8"/>
      <c r="R1582" s="8"/>
      <c r="S1582" s="8"/>
      <c r="T1582" s="8"/>
      <c r="U1582" s="8"/>
      <c r="V1582" s="8"/>
      <c r="W1582" s="8"/>
      <c r="X1582" s="8"/>
      <c r="Y1582" s="8"/>
    </row>
    <row r="1583">
      <c r="A1583" s="8"/>
      <c r="B1583" s="8"/>
      <c r="C1583" s="8"/>
      <c r="D1583" s="8"/>
      <c r="E1583" s="8"/>
      <c r="F1583" s="8"/>
      <c r="G1583" s="8"/>
      <c r="H1583" s="8"/>
      <c r="I1583" s="8"/>
      <c r="J1583" s="8"/>
      <c r="K1583" s="8"/>
      <c r="L1583" s="8"/>
      <c r="M1583" s="8"/>
      <c r="N1583" s="8"/>
      <c r="O1583" s="8"/>
      <c r="P1583" s="8"/>
      <c r="Q1583" s="8"/>
      <c r="R1583" s="8"/>
      <c r="S1583" s="8"/>
      <c r="T1583" s="8"/>
      <c r="U1583" s="8"/>
      <c r="V1583" s="8"/>
      <c r="W1583" s="8"/>
      <c r="X1583" s="8"/>
      <c r="Y1583" s="8"/>
    </row>
    <row r="1584">
      <c r="A1584" s="8"/>
      <c r="B1584" s="8"/>
      <c r="C1584" s="8"/>
      <c r="D1584" s="8"/>
      <c r="E1584" s="8"/>
      <c r="F1584" s="8"/>
      <c r="G1584" s="8"/>
      <c r="H1584" s="8"/>
      <c r="I1584" s="8"/>
      <c r="J1584" s="8"/>
      <c r="K1584" s="8"/>
      <c r="L1584" s="8"/>
      <c r="M1584" s="8"/>
      <c r="N1584" s="8"/>
      <c r="O1584" s="8"/>
      <c r="P1584" s="8"/>
      <c r="Q1584" s="8"/>
      <c r="R1584" s="8"/>
      <c r="S1584" s="8"/>
      <c r="T1584" s="8"/>
      <c r="U1584" s="8"/>
      <c r="V1584" s="8"/>
      <c r="W1584" s="8"/>
      <c r="X1584" s="8"/>
      <c r="Y1584" s="8"/>
    </row>
    <row r="1585">
      <c r="A1585" s="8"/>
      <c r="B1585" s="8"/>
      <c r="C1585" s="8"/>
      <c r="D1585" s="8"/>
      <c r="E1585" s="8"/>
      <c r="F1585" s="8"/>
      <c r="G1585" s="8"/>
      <c r="H1585" s="8"/>
      <c r="I1585" s="8"/>
      <c r="J1585" s="8"/>
      <c r="K1585" s="8"/>
      <c r="L1585" s="8"/>
      <c r="M1585" s="8"/>
      <c r="N1585" s="8"/>
      <c r="O1585" s="8"/>
      <c r="P1585" s="8"/>
      <c r="Q1585" s="8"/>
      <c r="R1585" s="8"/>
      <c r="S1585" s="8"/>
      <c r="T1585" s="8"/>
      <c r="U1585" s="8"/>
      <c r="V1585" s="8"/>
      <c r="W1585" s="8"/>
      <c r="X1585" s="8"/>
      <c r="Y1585" s="8"/>
    </row>
    <row r="1586">
      <c r="A1586" s="8"/>
      <c r="B1586" s="8"/>
      <c r="C1586" s="8"/>
      <c r="D1586" s="8"/>
      <c r="E1586" s="8"/>
      <c r="F1586" s="8"/>
      <c r="G1586" s="8"/>
      <c r="H1586" s="8"/>
      <c r="I1586" s="8"/>
      <c r="J1586" s="8"/>
      <c r="K1586" s="8"/>
      <c r="L1586" s="8"/>
      <c r="M1586" s="8"/>
      <c r="N1586" s="8"/>
      <c r="O1586" s="8"/>
      <c r="P1586" s="8"/>
      <c r="Q1586" s="8"/>
      <c r="R1586" s="8"/>
      <c r="S1586" s="8"/>
      <c r="T1586" s="8"/>
      <c r="U1586" s="8"/>
      <c r="V1586" s="8"/>
      <c r="W1586" s="8"/>
      <c r="X1586" s="8"/>
      <c r="Y1586" s="8"/>
    </row>
    <row r="1587">
      <c r="A1587" s="8"/>
      <c r="B1587" s="8"/>
      <c r="C1587" s="8"/>
      <c r="D1587" s="8"/>
      <c r="E1587" s="8"/>
      <c r="F1587" s="8"/>
      <c r="G1587" s="8"/>
      <c r="H1587" s="8"/>
      <c r="I1587" s="8"/>
      <c r="J1587" s="8"/>
      <c r="K1587" s="8"/>
      <c r="L1587" s="8"/>
      <c r="M1587" s="8"/>
      <c r="N1587" s="8"/>
      <c r="O1587" s="8"/>
      <c r="P1587" s="8"/>
      <c r="Q1587" s="8"/>
      <c r="R1587" s="8"/>
      <c r="S1587" s="8"/>
      <c r="T1587" s="8"/>
      <c r="U1587" s="8"/>
      <c r="V1587" s="8"/>
      <c r="W1587" s="8"/>
      <c r="X1587" s="8"/>
      <c r="Y1587" s="8"/>
    </row>
    <row r="1588">
      <c r="A1588" s="8"/>
      <c r="B1588" s="8"/>
      <c r="C1588" s="8"/>
      <c r="D1588" s="8"/>
      <c r="E1588" s="8"/>
      <c r="F1588" s="8"/>
      <c r="G1588" s="8"/>
      <c r="H1588" s="8"/>
      <c r="I1588" s="8"/>
      <c r="J1588" s="8"/>
      <c r="K1588" s="8"/>
      <c r="L1588" s="8"/>
      <c r="M1588" s="8"/>
      <c r="N1588" s="8"/>
      <c r="O1588" s="8"/>
      <c r="P1588" s="8"/>
      <c r="Q1588" s="8"/>
      <c r="R1588" s="8"/>
      <c r="S1588" s="8"/>
      <c r="T1588" s="8"/>
      <c r="U1588" s="8"/>
      <c r="V1588" s="8"/>
      <c r="W1588" s="8"/>
      <c r="X1588" s="8"/>
      <c r="Y1588" s="8"/>
    </row>
    <row r="1589">
      <c r="A1589" s="8"/>
      <c r="B1589" s="8"/>
      <c r="C1589" s="8"/>
      <c r="D1589" s="8"/>
      <c r="E1589" s="8"/>
      <c r="F1589" s="8"/>
      <c r="G1589" s="8"/>
      <c r="H1589" s="8"/>
      <c r="I1589" s="8"/>
      <c r="J1589" s="8"/>
      <c r="K1589" s="8"/>
      <c r="L1589" s="8"/>
      <c r="M1589" s="8"/>
      <c r="N1589" s="8"/>
      <c r="O1589" s="8"/>
      <c r="P1589" s="8"/>
      <c r="Q1589" s="8"/>
      <c r="R1589" s="8"/>
      <c r="S1589" s="8"/>
      <c r="T1589" s="8"/>
      <c r="U1589" s="8"/>
      <c r="V1589" s="8"/>
      <c r="W1589" s="8"/>
      <c r="X1589" s="8"/>
      <c r="Y1589" s="8"/>
    </row>
    <row r="1590">
      <c r="A1590" s="8"/>
      <c r="B1590" s="8"/>
      <c r="C1590" s="8"/>
      <c r="D1590" s="8"/>
      <c r="E1590" s="8"/>
      <c r="F1590" s="8"/>
      <c r="G1590" s="8"/>
      <c r="H1590" s="8"/>
      <c r="I1590" s="8"/>
      <c r="J1590" s="8"/>
      <c r="K1590" s="8"/>
      <c r="L1590" s="8"/>
      <c r="M1590" s="8"/>
      <c r="N1590" s="8"/>
      <c r="O1590" s="8"/>
      <c r="P1590" s="8"/>
      <c r="Q1590" s="8"/>
      <c r="R1590" s="8"/>
      <c r="S1590" s="8"/>
      <c r="T1590" s="8"/>
      <c r="U1590" s="8"/>
      <c r="V1590" s="8"/>
      <c r="W1590" s="8"/>
      <c r="X1590" s="8"/>
      <c r="Y1590" s="8"/>
    </row>
    <row r="1591">
      <c r="A1591" s="8"/>
      <c r="B1591" s="8"/>
      <c r="C1591" s="8"/>
      <c r="D1591" s="8"/>
      <c r="E1591" s="8"/>
      <c r="F1591" s="8"/>
      <c r="G1591" s="8"/>
      <c r="H1591" s="8"/>
      <c r="I1591" s="8"/>
      <c r="J1591" s="8"/>
      <c r="K1591" s="8"/>
      <c r="L1591" s="8"/>
      <c r="M1591" s="8"/>
      <c r="N1591" s="8"/>
      <c r="O1591" s="8"/>
      <c r="P1591" s="8"/>
      <c r="Q1591" s="8"/>
      <c r="R1591" s="8"/>
      <c r="S1591" s="8"/>
      <c r="T1591" s="8"/>
      <c r="U1591" s="8"/>
      <c r="V1591" s="8"/>
      <c r="W1591" s="8"/>
      <c r="X1591" s="8"/>
      <c r="Y1591" s="8"/>
    </row>
    <row r="1592">
      <c r="A1592" s="8"/>
      <c r="B1592" s="8"/>
      <c r="C1592" s="8"/>
      <c r="D1592" s="8"/>
      <c r="E1592" s="8"/>
      <c r="F1592" s="8"/>
      <c r="G1592" s="8"/>
      <c r="H1592" s="8"/>
      <c r="I1592" s="8"/>
      <c r="J1592" s="8"/>
      <c r="K1592" s="8"/>
      <c r="L1592" s="8"/>
      <c r="M1592" s="8"/>
      <c r="N1592" s="8"/>
      <c r="O1592" s="8"/>
      <c r="P1592" s="8"/>
      <c r="Q1592" s="8"/>
      <c r="R1592" s="8"/>
      <c r="S1592" s="8"/>
      <c r="T1592" s="8"/>
      <c r="U1592" s="8"/>
      <c r="V1592" s="8"/>
      <c r="W1592" s="8"/>
      <c r="X1592" s="8"/>
      <c r="Y1592" s="8"/>
    </row>
    <row r="1593">
      <c r="A1593" s="8"/>
      <c r="B1593" s="8"/>
      <c r="C1593" s="8"/>
      <c r="D1593" s="8"/>
      <c r="E1593" s="8"/>
      <c r="F1593" s="8"/>
      <c r="G1593" s="8"/>
      <c r="H1593" s="8"/>
      <c r="I1593" s="8"/>
      <c r="J1593" s="8"/>
      <c r="K1593" s="8"/>
      <c r="L1593" s="8"/>
      <c r="M1593" s="8"/>
      <c r="N1593" s="8"/>
      <c r="O1593" s="8"/>
      <c r="P1593" s="8"/>
      <c r="Q1593" s="8"/>
      <c r="R1593" s="8"/>
      <c r="S1593" s="8"/>
      <c r="T1593" s="8"/>
      <c r="U1593" s="8"/>
      <c r="V1593" s="8"/>
      <c r="W1593" s="8"/>
      <c r="X1593" s="8"/>
      <c r="Y1593" s="8"/>
    </row>
    <row r="1594">
      <c r="A1594" s="8"/>
      <c r="B1594" s="8"/>
      <c r="C1594" s="8"/>
      <c r="D1594" s="8"/>
      <c r="E1594" s="8"/>
      <c r="F1594" s="8"/>
      <c r="G1594" s="8"/>
      <c r="H1594" s="8"/>
      <c r="I1594" s="8"/>
      <c r="J1594" s="8"/>
      <c r="K1594" s="8"/>
      <c r="L1594" s="8"/>
      <c r="M1594" s="8"/>
      <c r="N1594" s="8"/>
      <c r="O1594" s="8"/>
      <c r="P1594" s="8"/>
      <c r="Q1594" s="8"/>
      <c r="R1594" s="8"/>
      <c r="S1594" s="8"/>
      <c r="T1594" s="8"/>
      <c r="U1594" s="8"/>
      <c r="V1594" s="8"/>
      <c r="W1594" s="8"/>
      <c r="X1594" s="8"/>
      <c r="Y1594" s="8"/>
    </row>
    <row r="1595">
      <c r="A1595" s="8"/>
      <c r="B1595" s="8"/>
      <c r="C1595" s="8"/>
      <c r="D1595" s="8"/>
      <c r="E1595" s="8"/>
      <c r="F1595" s="8"/>
      <c r="G1595" s="8"/>
      <c r="H1595" s="8"/>
      <c r="I1595" s="8"/>
      <c r="J1595" s="8"/>
      <c r="K1595" s="8"/>
      <c r="L1595" s="8"/>
      <c r="M1595" s="8"/>
      <c r="N1595" s="8"/>
      <c r="O1595" s="8"/>
      <c r="P1595" s="8"/>
      <c r="Q1595" s="8"/>
      <c r="R1595" s="8"/>
      <c r="S1595" s="8"/>
      <c r="T1595" s="8"/>
      <c r="U1595" s="8"/>
      <c r="V1595" s="8"/>
      <c r="W1595" s="8"/>
      <c r="X1595" s="8"/>
      <c r="Y1595" s="8"/>
    </row>
    <row r="1596">
      <c r="A1596" s="8"/>
      <c r="B1596" s="8"/>
      <c r="C1596" s="8"/>
      <c r="D1596" s="8"/>
      <c r="E1596" s="8"/>
      <c r="F1596" s="8"/>
      <c r="G1596" s="8"/>
      <c r="H1596" s="8"/>
      <c r="I1596" s="8"/>
      <c r="J1596" s="8"/>
      <c r="K1596" s="8"/>
      <c r="L1596" s="8"/>
      <c r="M1596" s="8"/>
      <c r="N1596" s="8"/>
      <c r="O1596" s="8"/>
      <c r="P1596" s="8"/>
      <c r="Q1596" s="8"/>
      <c r="R1596" s="8"/>
      <c r="S1596" s="8"/>
      <c r="T1596" s="8"/>
      <c r="U1596" s="8"/>
      <c r="V1596" s="8"/>
      <c r="W1596" s="8"/>
      <c r="X1596" s="8"/>
      <c r="Y1596" s="8"/>
    </row>
    <row r="1597">
      <c r="A1597" s="8"/>
      <c r="B1597" s="8"/>
      <c r="C1597" s="8"/>
      <c r="D1597" s="8"/>
      <c r="E1597" s="8"/>
      <c r="F1597" s="8"/>
      <c r="G1597" s="8"/>
      <c r="H1597" s="8"/>
      <c r="I1597" s="8"/>
      <c r="J1597" s="8"/>
      <c r="K1597" s="8"/>
      <c r="L1597" s="8"/>
      <c r="M1597" s="8"/>
      <c r="N1597" s="8"/>
      <c r="O1597" s="8"/>
      <c r="P1597" s="8"/>
      <c r="Q1597" s="8"/>
      <c r="R1597" s="8"/>
      <c r="S1597" s="8"/>
      <c r="T1597" s="8"/>
      <c r="U1597" s="8"/>
      <c r="V1597" s="8"/>
      <c r="W1597" s="8"/>
      <c r="X1597" s="8"/>
      <c r="Y1597" s="8"/>
    </row>
    <row r="1598">
      <c r="A1598" s="8"/>
      <c r="B1598" s="8"/>
      <c r="C1598" s="8"/>
      <c r="D1598" s="8"/>
      <c r="E1598" s="8"/>
      <c r="F1598" s="8"/>
      <c r="G1598" s="8"/>
      <c r="H1598" s="8"/>
      <c r="I1598" s="8"/>
      <c r="J1598" s="8"/>
      <c r="K1598" s="8"/>
      <c r="L1598" s="8"/>
      <c r="M1598" s="8"/>
      <c r="N1598" s="8"/>
      <c r="O1598" s="8"/>
      <c r="P1598" s="8"/>
      <c r="Q1598" s="8"/>
      <c r="R1598" s="8"/>
      <c r="S1598" s="8"/>
      <c r="T1598" s="8"/>
      <c r="U1598" s="8"/>
      <c r="V1598" s="8"/>
      <c r="W1598" s="8"/>
      <c r="X1598" s="8"/>
      <c r="Y1598" s="8"/>
    </row>
    <row r="1599">
      <c r="A1599" s="8"/>
      <c r="B1599" s="8"/>
      <c r="C1599" s="8"/>
      <c r="D1599" s="8"/>
      <c r="E1599" s="8"/>
      <c r="F1599" s="8"/>
      <c r="G1599" s="8"/>
      <c r="H1599" s="8"/>
      <c r="I1599" s="8"/>
      <c r="J1599" s="8"/>
      <c r="K1599" s="8"/>
      <c r="L1599" s="8"/>
      <c r="M1599" s="8"/>
      <c r="N1599" s="8"/>
      <c r="O1599" s="8"/>
      <c r="P1599" s="8"/>
      <c r="Q1599" s="8"/>
      <c r="R1599" s="8"/>
      <c r="S1599" s="8"/>
      <c r="T1599" s="8"/>
      <c r="U1599" s="8"/>
      <c r="V1599" s="8"/>
      <c r="W1599" s="8"/>
      <c r="X1599" s="8"/>
      <c r="Y1599" s="8"/>
    </row>
    <row r="1600">
      <c r="A1600" s="8"/>
      <c r="B1600" s="8"/>
      <c r="C1600" s="8"/>
      <c r="D1600" s="8"/>
      <c r="E1600" s="8"/>
      <c r="F1600" s="8"/>
      <c r="G1600" s="8"/>
      <c r="H1600" s="8"/>
      <c r="I1600" s="8"/>
      <c r="J1600" s="8"/>
      <c r="K1600" s="8"/>
      <c r="L1600" s="8"/>
      <c r="M1600" s="8"/>
      <c r="N1600" s="8"/>
      <c r="O1600" s="8"/>
      <c r="P1600" s="8"/>
      <c r="Q1600" s="8"/>
      <c r="R1600" s="8"/>
      <c r="S1600" s="8"/>
      <c r="T1600" s="8"/>
      <c r="U1600" s="8"/>
      <c r="V1600" s="8"/>
      <c r="W1600" s="8"/>
      <c r="X1600" s="8"/>
      <c r="Y1600" s="8"/>
    </row>
    <row r="1601">
      <c r="A1601" s="8"/>
      <c r="B1601" s="8"/>
      <c r="C1601" s="8"/>
      <c r="D1601" s="8"/>
      <c r="E1601" s="8"/>
      <c r="F1601" s="8"/>
      <c r="G1601" s="8"/>
      <c r="H1601" s="8"/>
      <c r="I1601" s="8"/>
      <c r="J1601" s="8"/>
      <c r="K1601" s="8"/>
      <c r="L1601" s="8"/>
      <c r="M1601" s="8"/>
      <c r="N1601" s="8"/>
      <c r="O1601" s="8"/>
      <c r="P1601" s="8"/>
      <c r="Q1601" s="8"/>
      <c r="R1601" s="8"/>
      <c r="S1601" s="8"/>
      <c r="T1601" s="8"/>
      <c r="U1601" s="8"/>
      <c r="V1601" s="8"/>
      <c r="W1601" s="8"/>
      <c r="X1601" s="8"/>
      <c r="Y1601" s="8"/>
    </row>
    <row r="1602">
      <c r="A1602" s="8"/>
      <c r="B1602" s="8"/>
      <c r="C1602" s="8"/>
      <c r="D1602" s="8"/>
      <c r="E1602" s="8"/>
      <c r="F1602" s="8"/>
      <c r="G1602" s="8"/>
      <c r="H1602" s="8"/>
      <c r="I1602" s="8"/>
      <c r="J1602" s="8"/>
      <c r="K1602" s="8"/>
      <c r="L1602" s="8"/>
      <c r="M1602" s="8"/>
      <c r="N1602" s="8"/>
      <c r="O1602" s="8"/>
      <c r="P1602" s="8"/>
      <c r="Q1602" s="8"/>
      <c r="R1602" s="8"/>
      <c r="S1602" s="8"/>
      <c r="T1602" s="8"/>
      <c r="U1602" s="8"/>
      <c r="V1602" s="8"/>
      <c r="W1602" s="8"/>
      <c r="X1602" s="8"/>
      <c r="Y1602" s="8"/>
    </row>
    <row r="1603">
      <c r="A1603" s="8"/>
      <c r="B1603" s="8"/>
      <c r="C1603" s="8"/>
      <c r="D1603" s="8"/>
      <c r="E1603" s="8"/>
      <c r="F1603" s="8"/>
      <c r="G1603" s="8"/>
      <c r="H1603" s="8"/>
      <c r="I1603" s="8"/>
      <c r="J1603" s="8"/>
      <c r="K1603" s="8"/>
      <c r="L1603" s="8"/>
      <c r="M1603" s="8"/>
      <c r="N1603" s="8"/>
      <c r="O1603" s="8"/>
      <c r="P1603" s="8"/>
      <c r="Q1603" s="8"/>
      <c r="R1603" s="8"/>
      <c r="S1603" s="8"/>
      <c r="T1603" s="8"/>
      <c r="U1603" s="8"/>
      <c r="V1603" s="8"/>
      <c r="W1603" s="8"/>
      <c r="X1603" s="8"/>
      <c r="Y1603" s="8"/>
    </row>
    <row r="1604">
      <c r="A1604" s="8"/>
      <c r="B1604" s="8"/>
      <c r="C1604" s="8"/>
      <c r="D1604" s="8"/>
      <c r="E1604" s="8"/>
      <c r="F1604" s="8"/>
      <c r="G1604" s="8"/>
      <c r="H1604" s="8"/>
      <c r="I1604" s="8"/>
      <c r="J1604" s="8"/>
      <c r="K1604" s="8"/>
      <c r="L1604" s="8"/>
      <c r="M1604" s="8"/>
      <c r="N1604" s="8"/>
      <c r="O1604" s="8"/>
      <c r="P1604" s="8"/>
      <c r="Q1604" s="8"/>
      <c r="R1604" s="8"/>
      <c r="S1604" s="8"/>
      <c r="T1604" s="8"/>
      <c r="U1604" s="8"/>
      <c r="V1604" s="8"/>
      <c r="W1604" s="8"/>
      <c r="X1604" s="8"/>
      <c r="Y1604" s="8"/>
    </row>
    <row r="1605">
      <c r="A1605" s="8"/>
      <c r="B1605" s="8"/>
      <c r="C1605" s="8"/>
      <c r="D1605" s="8"/>
      <c r="E1605" s="8"/>
      <c r="F1605" s="8"/>
      <c r="G1605" s="8"/>
      <c r="H1605" s="8"/>
      <c r="I1605" s="8"/>
      <c r="J1605" s="8"/>
      <c r="K1605" s="8"/>
      <c r="L1605" s="8"/>
      <c r="M1605" s="8"/>
      <c r="N1605" s="8"/>
      <c r="O1605" s="8"/>
      <c r="P1605" s="8"/>
      <c r="Q1605" s="8"/>
      <c r="R1605" s="8"/>
      <c r="S1605" s="8"/>
      <c r="T1605" s="8"/>
      <c r="U1605" s="8"/>
      <c r="V1605" s="8"/>
      <c r="W1605" s="8"/>
      <c r="X1605" s="8"/>
      <c r="Y1605" s="8"/>
    </row>
    <row r="1606">
      <c r="A1606" s="8"/>
      <c r="B1606" s="8"/>
      <c r="C1606" s="8"/>
      <c r="D1606" s="8"/>
      <c r="E1606" s="8"/>
      <c r="F1606" s="8"/>
      <c r="G1606" s="8"/>
      <c r="H1606" s="8"/>
      <c r="I1606" s="8"/>
      <c r="J1606" s="8"/>
      <c r="K1606" s="8"/>
      <c r="L1606" s="8"/>
      <c r="M1606" s="8"/>
      <c r="N1606" s="8"/>
      <c r="O1606" s="8"/>
      <c r="P1606" s="8"/>
      <c r="Q1606" s="8"/>
      <c r="R1606" s="8"/>
      <c r="S1606" s="8"/>
      <c r="T1606" s="8"/>
      <c r="U1606" s="8"/>
      <c r="V1606" s="8"/>
      <c r="W1606" s="8"/>
      <c r="X1606" s="8"/>
      <c r="Y1606" s="8"/>
    </row>
    <row r="1607">
      <c r="A1607" s="8"/>
      <c r="B1607" s="8"/>
      <c r="C1607" s="8"/>
      <c r="D1607" s="8"/>
      <c r="E1607" s="8"/>
      <c r="F1607" s="8"/>
      <c r="G1607" s="8"/>
      <c r="H1607" s="8"/>
      <c r="I1607" s="8"/>
      <c r="J1607" s="8"/>
      <c r="K1607" s="8"/>
      <c r="L1607" s="8"/>
      <c r="M1607" s="8"/>
      <c r="N1607" s="8"/>
      <c r="O1607" s="8"/>
      <c r="P1607" s="8"/>
      <c r="Q1607" s="8"/>
      <c r="R1607" s="8"/>
      <c r="S1607" s="8"/>
      <c r="T1607" s="8"/>
      <c r="U1607" s="8"/>
      <c r="V1607" s="8"/>
      <c r="W1607" s="8"/>
      <c r="X1607" s="8"/>
      <c r="Y1607" s="8"/>
    </row>
    <row r="1608">
      <c r="A1608" s="8"/>
      <c r="B1608" s="8"/>
      <c r="C1608" s="8"/>
      <c r="D1608" s="8"/>
      <c r="E1608" s="8"/>
      <c r="F1608" s="8"/>
      <c r="G1608" s="8"/>
      <c r="H1608" s="8"/>
      <c r="I1608" s="8"/>
      <c r="J1608" s="8"/>
      <c r="K1608" s="8"/>
      <c r="L1608" s="8"/>
      <c r="M1608" s="8"/>
      <c r="N1608" s="8"/>
      <c r="O1608" s="8"/>
      <c r="P1608" s="8"/>
      <c r="Q1608" s="8"/>
      <c r="R1608" s="8"/>
      <c r="S1608" s="8"/>
      <c r="T1608" s="8"/>
      <c r="U1608" s="8"/>
      <c r="V1608" s="8"/>
      <c r="W1608" s="8"/>
      <c r="X1608" s="8"/>
      <c r="Y1608" s="8"/>
    </row>
    <row r="1609">
      <c r="A1609" s="8"/>
      <c r="B1609" s="8"/>
      <c r="C1609" s="8"/>
      <c r="D1609" s="8"/>
      <c r="E1609" s="8"/>
      <c r="F1609" s="8"/>
      <c r="G1609" s="8"/>
      <c r="H1609" s="8"/>
      <c r="I1609" s="8"/>
      <c r="J1609" s="8"/>
      <c r="K1609" s="8"/>
      <c r="L1609" s="8"/>
      <c r="M1609" s="8"/>
      <c r="N1609" s="8"/>
      <c r="O1609" s="8"/>
      <c r="P1609" s="8"/>
      <c r="Q1609" s="8"/>
      <c r="R1609" s="8"/>
      <c r="S1609" s="8"/>
      <c r="T1609" s="8"/>
      <c r="U1609" s="8"/>
      <c r="V1609" s="8"/>
      <c r="W1609" s="8"/>
      <c r="X1609" s="8"/>
      <c r="Y1609" s="8"/>
    </row>
    <row r="1610">
      <c r="A1610" s="8"/>
      <c r="B1610" s="8"/>
      <c r="C1610" s="8"/>
      <c r="D1610" s="8"/>
      <c r="E1610" s="8"/>
      <c r="F1610" s="8"/>
      <c r="G1610" s="8"/>
      <c r="H1610" s="8"/>
      <c r="I1610" s="8"/>
      <c r="J1610" s="8"/>
      <c r="K1610" s="8"/>
      <c r="L1610" s="8"/>
      <c r="M1610" s="8"/>
      <c r="N1610" s="8"/>
      <c r="O1610" s="8"/>
      <c r="P1610" s="8"/>
      <c r="Q1610" s="8"/>
      <c r="R1610" s="8"/>
      <c r="S1610" s="8"/>
      <c r="T1610" s="8"/>
      <c r="U1610" s="8"/>
      <c r="V1610" s="8"/>
      <c r="W1610" s="8"/>
      <c r="X1610" s="8"/>
      <c r="Y1610" s="8"/>
    </row>
    <row r="1611">
      <c r="A1611" s="8"/>
      <c r="B1611" s="8"/>
      <c r="C1611" s="8"/>
      <c r="D1611" s="8"/>
      <c r="E1611" s="8"/>
      <c r="F1611" s="8"/>
      <c r="G1611" s="8"/>
      <c r="H1611" s="8"/>
      <c r="I1611" s="8"/>
      <c r="J1611" s="8"/>
      <c r="K1611" s="8"/>
      <c r="L1611" s="8"/>
      <c r="M1611" s="8"/>
      <c r="N1611" s="8"/>
      <c r="O1611" s="8"/>
      <c r="P1611" s="8"/>
      <c r="Q1611" s="8"/>
      <c r="R1611" s="8"/>
      <c r="S1611" s="8"/>
      <c r="T1611" s="8"/>
      <c r="U1611" s="8"/>
      <c r="V1611" s="8"/>
      <c r="W1611" s="8"/>
      <c r="X1611" s="8"/>
      <c r="Y1611" s="8"/>
    </row>
    <row r="1612">
      <c r="A1612" s="8"/>
      <c r="B1612" s="8"/>
      <c r="C1612" s="8"/>
      <c r="D1612" s="8"/>
      <c r="E1612" s="8"/>
      <c r="F1612" s="8"/>
      <c r="G1612" s="8"/>
      <c r="H1612" s="8"/>
      <c r="I1612" s="8"/>
      <c r="J1612" s="8"/>
      <c r="K1612" s="8"/>
      <c r="L1612" s="8"/>
      <c r="M1612" s="8"/>
      <c r="N1612" s="8"/>
      <c r="O1612" s="8"/>
      <c r="P1612" s="8"/>
      <c r="Q1612" s="8"/>
      <c r="R1612" s="8"/>
      <c r="S1612" s="8"/>
      <c r="T1612" s="8"/>
      <c r="U1612" s="8"/>
      <c r="V1612" s="8"/>
      <c r="W1612" s="8"/>
      <c r="X1612" s="8"/>
      <c r="Y1612" s="8"/>
    </row>
    <row r="1613">
      <c r="A1613" s="8"/>
      <c r="B1613" s="8"/>
      <c r="C1613" s="8"/>
      <c r="D1613" s="8"/>
      <c r="E1613" s="8"/>
      <c r="F1613" s="8"/>
      <c r="G1613" s="8"/>
      <c r="H1613" s="8"/>
      <c r="I1613" s="8"/>
      <c r="J1613" s="8"/>
      <c r="K1613" s="8"/>
      <c r="L1613" s="8"/>
      <c r="M1613" s="8"/>
      <c r="N1613" s="8"/>
      <c r="O1613" s="8"/>
      <c r="P1613" s="8"/>
      <c r="Q1613" s="8"/>
      <c r="R1613" s="8"/>
      <c r="S1613" s="8"/>
      <c r="T1613" s="8"/>
      <c r="U1613" s="8"/>
      <c r="V1613" s="8"/>
      <c r="W1613" s="8"/>
      <c r="X1613" s="8"/>
      <c r="Y1613" s="8"/>
    </row>
    <row r="1614">
      <c r="A1614" s="8"/>
      <c r="B1614" s="8"/>
      <c r="C1614" s="8"/>
      <c r="D1614" s="8"/>
      <c r="E1614" s="8"/>
      <c r="F1614" s="8"/>
      <c r="G1614" s="8"/>
      <c r="H1614" s="8"/>
      <c r="I1614" s="8"/>
      <c r="J1614" s="8"/>
      <c r="K1614" s="8"/>
      <c r="L1614" s="8"/>
      <c r="M1614" s="8"/>
      <c r="N1614" s="8"/>
      <c r="O1614" s="8"/>
      <c r="P1614" s="8"/>
      <c r="Q1614" s="8"/>
      <c r="R1614" s="8"/>
      <c r="S1614" s="8"/>
      <c r="T1614" s="8"/>
      <c r="U1614" s="8"/>
      <c r="V1614" s="8"/>
      <c r="W1614" s="8"/>
      <c r="X1614" s="8"/>
      <c r="Y1614" s="8"/>
    </row>
    <row r="1615">
      <c r="A1615" s="8"/>
      <c r="B1615" s="8"/>
      <c r="C1615" s="8"/>
      <c r="D1615" s="8"/>
      <c r="E1615" s="8"/>
      <c r="F1615" s="8"/>
      <c r="G1615" s="8"/>
      <c r="H1615" s="8"/>
      <c r="I1615" s="8"/>
      <c r="J1615" s="8"/>
      <c r="K1615" s="8"/>
      <c r="L1615" s="8"/>
      <c r="M1615" s="8"/>
      <c r="N1615" s="8"/>
      <c r="O1615" s="8"/>
      <c r="P1615" s="8"/>
      <c r="Q1615" s="8"/>
      <c r="R1615" s="8"/>
      <c r="S1615" s="8"/>
      <c r="T1615" s="8"/>
      <c r="U1615" s="8"/>
      <c r="V1615" s="8"/>
      <c r="W1615" s="8"/>
      <c r="X1615" s="8"/>
      <c r="Y1615" s="8"/>
    </row>
    <row r="1616">
      <c r="A1616" s="8"/>
      <c r="B1616" s="8"/>
      <c r="C1616" s="8"/>
      <c r="D1616" s="8"/>
      <c r="E1616" s="8"/>
      <c r="F1616" s="8"/>
      <c r="G1616" s="8"/>
      <c r="H1616" s="8"/>
      <c r="I1616" s="8"/>
      <c r="J1616" s="8"/>
      <c r="K1616" s="8"/>
      <c r="L1616" s="8"/>
      <c r="M1616" s="8"/>
      <c r="N1616" s="8"/>
      <c r="O1616" s="8"/>
      <c r="P1616" s="8"/>
      <c r="Q1616" s="8"/>
      <c r="R1616" s="8"/>
      <c r="S1616" s="8"/>
      <c r="T1616" s="8"/>
      <c r="U1616" s="8"/>
      <c r="V1616" s="8"/>
      <c r="W1616" s="8"/>
      <c r="X1616" s="8"/>
      <c r="Y1616" s="8"/>
    </row>
    <row r="1617">
      <c r="A1617" s="8"/>
      <c r="B1617" s="8"/>
      <c r="C1617" s="8"/>
      <c r="D1617" s="8"/>
      <c r="E1617" s="8"/>
      <c r="F1617" s="8"/>
      <c r="G1617" s="8"/>
      <c r="H1617" s="8"/>
      <c r="I1617" s="8"/>
      <c r="J1617" s="8"/>
      <c r="K1617" s="8"/>
      <c r="L1617" s="8"/>
      <c r="M1617" s="8"/>
      <c r="N1617" s="8"/>
      <c r="O1617" s="8"/>
      <c r="P1617" s="8"/>
      <c r="Q1617" s="8"/>
      <c r="R1617" s="8"/>
      <c r="S1617" s="8"/>
      <c r="T1617" s="8"/>
      <c r="U1617" s="8"/>
      <c r="V1617" s="8"/>
      <c r="W1617" s="8"/>
      <c r="X1617" s="8"/>
      <c r="Y1617" s="8"/>
    </row>
    <row r="1618">
      <c r="A1618" s="8"/>
      <c r="B1618" s="8"/>
      <c r="C1618" s="8"/>
      <c r="D1618" s="8"/>
      <c r="E1618" s="8"/>
      <c r="F1618" s="8"/>
      <c r="G1618" s="8"/>
      <c r="H1618" s="8"/>
      <c r="I1618" s="8"/>
      <c r="J1618" s="8"/>
      <c r="K1618" s="8"/>
      <c r="L1618" s="8"/>
      <c r="M1618" s="8"/>
      <c r="N1618" s="8"/>
      <c r="O1618" s="8"/>
      <c r="P1618" s="8"/>
      <c r="Q1618" s="8"/>
      <c r="R1618" s="8"/>
      <c r="S1618" s="8"/>
      <c r="T1618" s="8"/>
      <c r="U1618" s="8"/>
      <c r="V1618" s="8"/>
      <c r="W1618" s="8"/>
      <c r="X1618" s="8"/>
      <c r="Y1618" s="8"/>
    </row>
    <row r="1619">
      <c r="A1619" s="8"/>
      <c r="B1619" s="8"/>
      <c r="C1619" s="8"/>
      <c r="D1619" s="8"/>
      <c r="E1619" s="8"/>
      <c r="F1619" s="8"/>
      <c r="G1619" s="8"/>
      <c r="H1619" s="8"/>
      <c r="I1619" s="8"/>
      <c r="J1619" s="8"/>
      <c r="K1619" s="8"/>
      <c r="L1619" s="8"/>
      <c r="M1619" s="8"/>
      <c r="N1619" s="8"/>
      <c r="O1619" s="8"/>
      <c r="P1619" s="8"/>
      <c r="Q1619" s="8"/>
      <c r="R1619" s="8"/>
      <c r="S1619" s="8"/>
      <c r="T1619" s="8"/>
      <c r="U1619" s="8"/>
      <c r="V1619" s="8"/>
      <c r="W1619" s="8"/>
      <c r="X1619" s="8"/>
      <c r="Y1619" s="8"/>
    </row>
    <row r="1620">
      <c r="A1620" s="8"/>
      <c r="B1620" s="8"/>
      <c r="C1620" s="8"/>
      <c r="D1620" s="8"/>
      <c r="E1620" s="8"/>
      <c r="F1620" s="8"/>
      <c r="G1620" s="8"/>
      <c r="H1620" s="8"/>
      <c r="I1620" s="8"/>
      <c r="J1620" s="8"/>
      <c r="K1620" s="8"/>
      <c r="L1620" s="8"/>
      <c r="M1620" s="8"/>
      <c r="N1620" s="8"/>
      <c r="O1620" s="8"/>
      <c r="P1620" s="8"/>
      <c r="Q1620" s="8"/>
      <c r="R1620" s="8"/>
      <c r="S1620" s="8"/>
      <c r="T1620" s="8"/>
      <c r="U1620" s="8"/>
      <c r="V1620" s="8"/>
      <c r="W1620" s="8"/>
      <c r="X1620" s="8"/>
      <c r="Y1620" s="8"/>
    </row>
    <row r="1621">
      <c r="A1621" s="8"/>
      <c r="B1621" s="8"/>
      <c r="C1621" s="8"/>
      <c r="D1621" s="8"/>
      <c r="E1621" s="8"/>
      <c r="F1621" s="8"/>
      <c r="G1621" s="8"/>
      <c r="H1621" s="8"/>
      <c r="I1621" s="8"/>
      <c r="J1621" s="8"/>
      <c r="K1621" s="8"/>
      <c r="L1621" s="8"/>
      <c r="M1621" s="8"/>
      <c r="N1621" s="8"/>
      <c r="O1621" s="8"/>
      <c r="P1621" s="8"/>
      <c r="Q1621" s="8"/>
      <c r="R1621" s="8"/>
      <c r="S1621" s="8"/>
      <c r="T1621" s="8"/>
      <c r="U1621" s="8"/>
      <c r="V1621" s="8"/>
      <c r="W1621" s="8"/>
      <c r="X1621" s="8"/>
      <c r="Y1621" s="8"/>
    </row>
    <row r="1622">
      <c r="A1622" s="8"/>
      <c r="B1622" s="8"/>
      <c r="C1622" s="8"/>
      <c r="D1622" s="8"/>
      <c r="E1622" s="8"/>
      <c r="F1622" s="8"/>
      <c r="G1622" s="8"/>
      <c r="H1622" s="8"/>
      <c r="I1622" s="8"/>
      <c r="J1622" s="8"/>
      <c r="K1622" s="8"/>
      <c r="L1622" s="8"/>
      <c r="M1622" s="8"/>
      <c r="N1622" s="8"/>
      <c r="O1622" s="8"/>
      <c r="P1622" s="8"/>
      <c r="Q1622" s="8"/>
      <c r="R1622" s="8"/>
      <c r="S1622" s="8"/>
      <c r="T1622" s="8"/>
      <c r="U1622" s="8"/>
      <c r="V1622" s="8"/>
      <c r="W1622" s="8"/>
      <c r="X1622" s="8"/>
      <c r="Y1622" s="8"/>
    </row>
    <row r="1623">
      <c r="A1623" s="8"/>
      <c r="B1623" s="8"/>
      <c r="C1623" s="8"/>
      <c r="D1623" s="8"/>
      <c r="E1623" s="8"/>
      <c r="F1623" s="8"/>
      <c r="G1623" s="8"/>
      <c r="H1623" s="8"/>
      <c r="I1623" s="8"/>
      <c r="J1623" s="8"/>
      <c r="K1623" s="8"/>
      <c r="L1623" s="8"/>
      <c r="M1623" s="8"/>
      <c r="N1623" s="8"/>
      <c r="O1623" s="8"/>
      <c r="P1623" s="8"/>
      <c r="Q1623" s="8"/>
      <c r="R1623" s="8"/>
      <c r="S1623" s="8"/>
      <c r="T1623" s="8"/>
      <c r="U1623" s="8"/>
      <c r="V1623" s="8"/>
      <c r="W1623" s="8"/>
      <c r="X1623" s="8"/>
      <c r="Y1623" s="8"/>
    </row>
    <row r="1624">
      <c r="A1624" s="8"/>
      <c r="B1624" s="8"/>
      <c r="C1624" s="8"/>
      <c r="D1624" s="8"/>
      <c r="E1624" s="8"/>
      <c r="F1624" s="8"/>
      <c r="G1624" s="8"/>
      <c r="H1624" s="8"/>
      <c r="I1624" s="8"/>
      <c r="J1624" s="8"/>
      <c r="K1624" s="8"/>
      <c r="L1624" s="8"/>
      <c r="M1624" s="8"/>
      <c r="N1624" s="8"/>
      <c r="O1624" s="8"/>
      <c r="P1624" s="8"/>
      <c r="Q1624" s="8"/>
      <c r="R1624" s="8"/>
      <c r="S1624" s="8"/>
      <c r="T1624" s="8"/>
      <c r="U1624" s="8"/>
      <c r="V1624" s="8"/>
      <c r="W1624" s="8"/>
      <c r="X1624" s="8"/>
      <c r="Y1624" s="8"/>
    </row>
    <row r="1625">
      <c r="A1625" s="8"/>
      <c r="B1625" s="8"/>
      <c r="C1625" s="8"/>
      <c r="D1625" s="8"/>
      <c r="E1625" s="8"/>
      <c r="F1625" s="8"/>
      <c r="G1625" s="8"/>
      <c r="H1625" s="8"/>
      <c r="I1625" s="8"/>
      <c r="J1625" s="8"/>
      <c r="K1625" s="8"/>
      <c r="L1625" s="8"/>
      <c r="M1625" s="8"/>
      <c r="N1625" s="8"/>
      <c r="O1625" s="8"/>
      <c r="P1625" s="8"/>
      <c r="Q1625" s="8"/>
      <c r="R1625" s="8"/>
      <c r="S1625" s="8"/>
      <c r="T1625" s="8"/>
      <c r="U1625" s="8"/>
      <c r="V1625" s="8"/>
      <c r="W1625" s="8"/>
      <c r="X1625" s="8"/>
      <c r="Y1625" s="8"/>
    </row>
    <row r="1626">
      <c r="A1626" s="8"/>
      <c r="B1626" s="8"/>
      <c r="C1626" s="8"/>
      <c r="D1626" s="8"/>
      <c r="E1626" s="8"/>
      <c r="F1626" s="8"/>
      <c r="G1626" s="8"/>
      <c r="H1626" s="8"/>
      <c r="I1626" s="8"/>
      <c r="J1626" s="8"/>
      <c r="K1626" s="8"/>
      <c r="L1626" s="8"/>
      <c r="M1626" s="8"/>
      <c r="N1626" s="8"/>
      <c r="O1626" s="8"/>
      <c r="P1626" s="8"/>
      <c r="Q1626" s="8"/>
      <c r="R1626" s="8"/>
      <c r="S1626" s="8"/>
      <c r="T1626" s="8"/>
      <c r="U1626" s="8"/>
      <c r="V1626" s="8"/>
      <c r="W1626" s="8"/>
      <c r="X1626" s="8"/>
      <c r="Y1626" s="8"/>
    </row>
    <row r="1627">
      <c r="A1627" s="8"/>
      <c r="B1627" s="8"/>
      <c r="C1627" s="8"/>
      <c r="D1627" s="8"/>
      <c r="E1627" s="8"/>
      <c r="F1627" s="8"/>
      <c r="G1627" s="8"/>
      <c r="H1627" s="8"/>
      <c r="I1627" s="8"/>
      <c r="J1627" s="8"/>
      <c r="K1627" s="8"/>
      <c r="L1627" s="8"/>
      <c r="M1627" s="8"/>
      <c r="N1627" s="8"/>
      <c r="O1627" s="8"/>
      <c r="P1627" s="8"/>
      <c r="Q1627" s="8"/>
      <c r="R1627" s="8"/>
      <c r="S1627" s="8"/>
      <c r="T1627" s="8"/>
      <c r="U1627" s="8"/>
      <c r="V1627" s="8"/>
      <c r="W1627" s="8"/>
      <c r="X1627" s="8"/>
      <c r="Y1627" s="8"/>
    </row>
    <row r="1628">
      <c r="A1628" s="8"/>
      <c r="B1628" s="8"/>
      <c r="C1628" s="8"/>
      <c r="D1628" s="8"/>
      <c r="E1628" s="8"/>
      <c r="F1628" s="8"/>
      <c r="G1628" s="8"/>
      <c r="H1628" s="8"/>
      <c r="I1628" s="8"/>
      <c r="J1628" s="8"/>
      <c r="K1628" s="8"/>
      <c r="L1628" s="8"/>
      <c r="M1628" s="8"/>
      <c r="N1628" s="8"/>
      <c r="O1628" s="8"/>
      <c r="P1628" s="8"/>
      <c r="Q1628" s="8"/>
      <c r="R1628" s="8"/>
      <c r="S1628" s="8"/>
      <c r="T1628" s="8"/>
      <c r="U1628" s="8"/>
      <c r="V1628" s="8"/>
      <c r="W1628" s="8"/>
      <c r="X1628" s="8"/>
      <c r="Y1628" s="8"/>
    </row>
    <row r="1629">
      <c r="A1629" s="8"/>
      <c r="B1629" s="8"/>
      <c r="C1629" s="8"/>
      <c r="D1629" s="8"/>
      <c r="E1629" s="8"/>
      <c r="F1629" s="8"/>
      <c r="G1629" s="8"/>
      <c r="H1629" s="8"/>
      <c r="I1629" s="8"/>
      <c r="J1629" s="8"/>
      <c r="K1629" s="8"/>
      <c r="L1629" s="8"/>
      <c r="M1629" s="8"/>
      <c r="N1629" s="8"/>
      <c r="O1629" s="8"/>
      <c r="P1629" s="8"/>
      <c r="Q1629" s="8"/>
      <c r="R1629" s="8"/>
      <c r="S1629" s="8"/>
      <c r="T1629" s="8"/>
      <c r="U1629" s="8"/>
      <c r="V1629" s="8"/>
      <c r="W1629" s="8"/>
      <c r="X1629" s="8"/>
      <c r="Y1629" s="8"/>
    </row>
    <row r="1630">
      <c r="A1630" s="8"/>
      <c r="B1630" s="8"/>
      <c r="C1630" s="8"/>
      <c r="D1630" s="8"/>
      <c r="E1630" s="8"/>
      <c r="F1630" s="8"/>
      <c r="G1630" s="8"/>
      <c r="H1630" s="8"/>
      <c r="I1630" s="8"/>
      <c r="J1630" s="8"/>
      <c r="K1630" s="8"/>
      <c r="L1630" s="8"/>
      <c r="M1630" s="8"/>
      <c r="N1630" s="8"/>
      <c r="O1630" s="8"/>
      <c r="P1630" s="8"/>
      <c r="Q1630" s="8"/>
      <c r="R1630" s="8"/>
      <c r="S1630" s="8"/>
      <c r="T1630" s="8"/>
      <c r="U1630" s="8"/>
      <c r="V1630" s="8"/>
      <c r="W1630" s="8"/>
      <c r="X1630" s="8"/>
      <c r="Y1630" s="8"/>
    </row>
    <row r="1631">
      <c r="A1631" s="8"/>
      <c r="B1631" s="8"/>
      <c r="C1631" s="8"/>
      <c r="D1631" s="8"/>
      <c r="E1631" s="8"/>
      <c r="F1631" s="8"/>
      <c r="G1631" s="8"/>
      <c r="H1631" s="8"/>
      <c r="I1631" s="8"/>
      <c r="J1631" s="8"/>
      <c r="K1631" s="8"/>
      <c r="L1631" s="8"/>
      <c r="M1631" s="8"/>
      <c r="N1631" s="8"/>
      <c r="O1631" s="8"/>
      <c r="P1631" s="8"/>
      <c r="Q1631" s="8"/>
      <c r="R1631" s="8"/>
      <c r="S1631" s="8"/>
      <c r="T1631" s="8"/>
      <c r="U1631" s="8"/>
      <c r="V1631" s="8"/>
      <c r="W1631" s="8"/>
      <c r="X1631" s="8"/>
      <c r="Y1631" s="8"/>
    </row>
    <row r="1632">
      <c r="A1632" s="8"/>
      <c r="B1632" s="8"/>
      <c r="C1632" s="8"/>
      <c r="D1632" s="8"/>
      <c r="E1632" s="8"/>
      <c r="F1632" s="8"/>
      <c r="G1632" s="8"/>
      <c r="H1632" s="8"/>
      <c r="I1632" s="8"/>
      <c r="J1632" s="8"/>
      <c r="K1632" s="8"/>
      <c r="L1632" s="8"/>
      <c r="M1632" s="8"/>
      <c r="N1632" s="8"/>
      <c r="O1632" s="8"/>
      <c r="P1632" s="8"/>
      <c r="Q1632" s="8"/>
      <c r="R1632" s="8"/>
      <c r="S1632" s="8"/>
      <c r="T1632" s="8"/>
      <c r="U1632" s="8"/>
      <c r="V1632" s="8"/>
      <c r="W1632" s="8"/>
      <c r="X1632" s="8"/>
      <c r="Y1632" s="8"/>
    </row>
    <row r="1633">
      <c r="A1633" s="8"/>
      <c r="B1633" s="8"/>
      <c r="C1633" s="8"/>
      <c r="D1633" s="8"/>
      <c r="E1633" s="8"/>
      <c r="F1633" s="8"/>
      <c r="G1633" s="8"/>
      <c r="H1633" s="8"/>
      <c r="I1633" s="8"/>
      <c r="J1633" s="8"/>
      <c r="K1633" s="8"/>
      <c r="L1633" s="8"/>
      <c r="M1633" s="8"/>
      <c r="N1633" s="8"/>
      <c r="O1633" s="8"/>
      <c r="P1633" s="8"/>
      <c r="Q1633" s="8"/>
      <c r="R1633" s="8"/>
      <c r="S1633" s="8"/>
      <c r="T1633" s="8"/>
      <c r="U1633" s="8"/>
      <c r="V1633" s="8"/>
      <c r="W1633" s="8"/>
      <c r="X1633" s="8"/>
      <c r="Y1633" s="8"/>
    </row>
    <row r="1634">
      <c r="A1634" s="8"/>
      <c r="B1634" s="8"/>
      <c r="C1634" s="8"/>
      <c r="D1634" s="8"/>
      <c r="E1634" s="8"/>
      <c r="F1634" s="8"/>
      <c r="G1634" s="8"/>
      <c r="H1634" s="8"/>
      <c r="I1634" s="8"/>
      <c r="J1634" s="8"/>
      <c r="K1634" s="8"/>
      <c r="L1634" s="8"/>
      <c r="M1634" s="8"/>
      <c r="N1634" s="8"/>
      <c r="O1634" s="8"/>
      <c r="P1634" s="8"/>
      <c r="Q1634" s="8"/>
      <c r="R1634" s="8"/>
      <c r="S1634" s="8"/>
      <c r="T1634" s="8"/>
      <c r="U1634" s="8"/>
      <c r="V1634" s="8"/>
      <c r="W1634" s="8"/>
      <c r="X1634" s="8"/>
      <c r="Y1634" s="8"/>
    </row>
    <row r="1635">
      <c r="A1635" s="8"/>
      <c r="B1635" s="8"/>
      <c r="C1635" s="8"/>
      <c r="D1635" s="8"/>
      <c r="E1635" s="8"/>
      <c r="F1635" s="8"/>
      <c r="G1635" s="8"/>
      <c r="H1635" s="8"/>
      <c r="I1635" s="8"/>
      <c r="J1635" s="8"/>
      <c r="K1635" s="8"/>
      <c r="L1635" s="8"/>
      <c r="M1635" s="8"/>
      <c r="N1635" s="8"/>
      <c r="O1635" s="8"/>
      <c r="P1635" s="8"/>
      <c r="Q1635" s="8"/>
      <c r="R1635" s="8"/>
      <c r="S1635" s="8"/>
      <c r="T1635" s="8"/>
      <c r="U1635" s="8"/>
      <c r="V1635" s="8"/>
      <c r="W1635" s="8"/>
      <c r="X1635" s="8"/>
      <c r="Y1635" s="8"/>
    </row>
    <row r="1636">
      <c r="A1636" s="8"/>
      <c r="B1636" s="8"/>
      <c r="C1636" s="8"/>
      <c r="D1636" s="8"/>
      <c r="E1636" s="8"/>
      <c r="F1636" s="8"/>
      <c r="G1636" s="8"/>
      <c r="H1636" s="8"/>
      <c r="I1636" s="8"/>
      <c r="J1636" s="8"/>
      <c r="K1636" s="8"/>
      <c r="L1636" s="8"/>
      <c r="M1636" s="8"/>
      <c r="N1636" s="8"/>
      <c r="O1636" s="8"/>
      <c r="P1636" s="8"/>
      <c r="Q1636" s="8"/>
      <c r="R1636" s="8"/>
      <c r="S1636" s="8"/>
      <c r="T1636" s="8"/>
      <c r="U1636" s="8"/>
      <c r="V1636" s="8"/>
      <c r="W1636" s="8"/>
      <c r="X1636" s="8"/>
      <c r="Y1636" s="8"/>
    </row>
    <row r="1637">
      <c r="A1637" s="8"/>
      <c r="B1637" s="8"/>
      <c r="C1637" s="8"/>
      <c r="D1637" s="8"/>
      <c r="E1637" s="8"/>
      <c r="F1637" s="8"/>
      <c r="G1637" s="8"/>
      <c r="H1637" s="8"/>
      <c r="I1637" s="8"/>
      <c r="J1637" s="8"/>
      <c r="K1637" s="8"/>
      <c r="L1637" s="8"/>
      <c r="M1637" s="8"/>
      <c r="N1637" s="8"/>
      <c r="O1637" s="8"/>
      <c r="P1637" s="8"/>
      <c r="Q1637" s="8"/>
      <c r="R1637" s="8"/>
      <c r="S1637" s="8"/>
      <c r="T1637" s="8"/>
      <c r="U1637" s="8"/>
      <c r="V1637" s="8"/>
      <c r="W1637" s="8"/>
      <c r="X1637" s="8"/>
      <c r="Y1637" s="8"/>
    </row>
    <row r="1638">
      <c r="A1638" s="8"/>
      <c r="B1638" s="8"/>
      <c r="C1638" s="8"/>
      <c r="D1638" s="8"/>
      <c r="E1638" s="8"/>
      <c r="F1638" s="8"/>
      <c r="G1638" s="8"/>
      <c r="H1638" s="8"/>
      <c r="I1638" s="8"/>
      <c r="J1638" s="8"/>
      <c r="K1638" s="8"/>
      <c r="L1638" s="8"/>
      <c r="M1638" s="8"/>
      <c r="N1638" s="8"/>
      <c r="O1638" s="8"/>
      <c r="P1638" s="8"/>
      <c r="Q1638" s="8"/>
      <c r="R1638" s="8"/>
      <c r="S1638" s="8"/>
      <c r="T1638" s="8"/>
      <c r="U1638" s="8"/>
      <c r="V1638" s="8"/>
      <c r="W1638" s="8"/>
      <c r="X1638" s="8"/>
      <c r="Y1638" s="8"/>
    </row>
    <row r="1639">
      <c r="A1639" s="8"/>
      <c r="B1639" s="8"/>
      <c r="C1639" s="8"/>
      <c r="D1639" s="8"/>
      <c r="E1639" s="8"/>
      <c r="F1639" s="8"/>
      <c r="G1639" s="8"/>
      <c r="H1639" s="8"/>
      <c r="I1639" s="8"/>
      <c r="J1639" s="8"/>
      <c r="K1639" s="8"/>
      <c r="L1639" s="8"/>
      <c r="M1639" s="8"/>
      <c r="N1639" s="8"/>
      <c r="O1639" s="8"/>
      <c r="P1639" s="8"/>
      <c r="Q1639" s="8"/>
      <c r="R1639" s="8"/>
      <c r="S1639" s="8"/>
      <c r="T1639" s="8"/>
      <c r="U1639" s="8"/>
      <c r="V1639" s="8"/>
      <c r="W1639" s="8"/>
      <c r="X1639" s="8"/>
      <c r="Y1639" s="8"/>
    </row>
    <row r="1640">
      <c r="A1640" s="8"/>
      <c r="B1640" s="8"/>
      <c r="C1640" s="8"/>
      <c r="D1640" s="8"/>
      <c r="E1640" s="8"/>
      <c r="F1640" s="8"/>
      <c r="G1640" s="8"/>
      <c r="H1640" s="8"/>
      <c r="I1640" s="8"/>
      <c r="J1640" s="8"/>
      <c r="K1640" s="8"/>
      <c r="L1640" s="8"/>
      <c r="M1640" s="8"/>
      <c r="N1640" s="8"/>
      <c r="O1640" s="8"/>
      <c r="P1640" s="8"/>
      <c r="Q1640" s="8"/>
      <c r="R1640" s="8"/>
      <c r="S1640" s="8"/>
      <c r="T1640" s="8"/>
      <c r="U1640" s="8"/>
      <c r="V1640" s="8"/>
      <c r="W1640" s="8"/>
      <c r="X1640" s="8"/>
      <c r="Y1640" s="8"/>
    </row>
    <row r="1641">
      <c r="A1641" s="8"/>
      <c r="B1641" s="8"/>
      <c r="C1641" s="8"/>
      <c r="D1641" s="8"/>
      <c r="E1641" s="8"/>
      <c r="F1641" s="8"/>
      <c r="G1641" s="8"/>
      <c r="H1641" s="8"/>
      <c r="I1641" s="8"/>
      <c r="J1641" s="8"/>
      <c r="K1641" s="8"/>
      <c r="L1641" s="8"/>
      <c r="M1641" s="8"/>
      <c r="N1641" s="8"/>
      <c r="O1641" s="8"/>
      <c r="P1641" s="8"/>
      <c r="Q1641" s="8"/>
      <c r="R1641" s="8"/>
      <c r="S1641" s="8"/>
      <c r="T1641" s="8"/>
      <c r="U1641" s="8"/>
      <c r="V1641" s="8"/>
      <c r="W1641" s="8"/>
      <c r="X1641" s="8"/>
      <c r="Y1641" s="8"/>
    </row>
    <row r="1642">
      <c r="A1642" s="8"/>
      <c r="B1642" s="8"/>
      <c r="C1642" s="8"/>
      <c r="D1642" s="8"/>
      <c r="E1642" s="8"/>
      <c r="F1642" s="8"/>
      <c r="G1642" s="8"/>
      <c r="H1642" s="8"/>
      <c r="I1642" s="8"/>
      <c r="J1642" s="8"/>
      <c r="K1642" s="8"/>
      <c r="L1642" s="8"/>
      <c r="M1642" s="8"/>
      <c r="N1642" s="8"/>
      <c r="O1642" s="8"/>
      <c r="P1642" s="8"/>
      <c r="Q1642" s="8"/>
      <c r="R1642" s="8"/>
      <c r="S1642" s="8"/>
      <c r="T1642" s="8"/>
      <c r="U1642" s="8"/>
      <c r="V1642" s="8"/>
      <c r="W1642" s="8"/>
      <c r="X1642" s="8"/>
      <c r="Y1642" s="8"/>
    </row>
    <row r="1643">
      <c r="A1643" s="8"/>
      <c r="B1643" s="8"/>
      <c r="C1643" s="8"/>
      <c r="D1643" s="8"/>
      <c r="E1643" s="8"/>
      <c r="F1643" s="8"/>
      <c r="G1643" s="8"/>
      <c r="H1643" s="8"/>
      <c r="I1643" s="8"/>
      <c r="J1643" s="8"/>
      <c r="K1643" s="8"/>
      <c r="L1643" s="8"/>
      <c r="M1643" s="8"/>
      <c r="N1643" s="8"/>
      <c r="O1643" s="8"/>
      <c r="P1643" s="8"/>
      <c r="Q1643" s="8"/>
      <c r="R1643" s="8"/>
      <c r="S1643" s="8"/>
      <c r="T1643" s="8"/>
      <c r="U1643" s="8"/>
      <c r="V1643" s="8"/>
      <c r="W1643" s="8"/>
      <c r="X1643" s="8"/>
      <c r="Y1643" s="8"/>
    </row>
    <row r="1644">
      <c r="A1644" s="8"/>
      <c r="B1644" s="8"/>
      <c r="C1644" s="8"/>
      <c r="D1644" s="8"/>
      <c r="E1644" s="8"/>
      <c r="F1644" s="8"/>
      <c r="G1644" s="8"/>
      <c r="H1644" s="8"/>
      <c r="I1644" s="8"/>
      <c r="J1644" s="8"/>
      <c r="K1644" s="8"/>
      <c r="L1644" s="8"/>
      <c r="M1644" s="8"/>
      <c r="N1644" s="8"/>
      <c r="O1644" s="8"/>
      <c r="P1644" s="8"/>
      <c r="Q1644" s="8"/>
      <c r="R1644" s="8"/>
      <c r="S1644" s="8"/>
      <c r="T1644" s="8"/>
      <c r="U1644" s="8"/>
      <c r="V1644" s="8"/>
      <c r="W1644" s="8"/>
      <c r="X1644" s="8"/>
      <c r="Y1644" s="8"/>
    </row>
    <row r="1645">
      <c r="A1645" s="8"/>
      <c r="B1645" s="8"/>
      <c r="C1645" s="8"/>
      <c r="D1645" s="8"/>
      <c r="E1645" s="8"/>
      <c r="F1645" s="8"/>
      <c r="G1645" s="8"/>
      <c r="H1645" s="8"/>
      <c r="I1645" s="8"/>
      <c r="J1645" s="8"/>
      <c r="K1645" s="8"/>
      <c r="L1645" s="8"/>
      <c r="M1645" s="8"/>
      <c r="N1645" s="8"/>
      <c r="O1645" s="8"/>
      <c r="P1645" s="8"/>
      <c r="Q1645" s="8"/>
      <c r="R1645" s="8"/>
      <c r="S1645" s="8"/>
      <c r="T1645" s="8"/>
      <c r="U1645" s="8"/>
      <c r="V1645" s="8"/>
      <c r="W1645" s="8"/>
      <c r="X1645" s="8"/>
      <c r="Y1645" s="8"/>
    </row>
    <row r="1646">
      <c r="A1646" s="8"/>
      <c r="B1646" s="8"/>
      <c r="C1646" s="8"/>
      <c r="D1646" s="8"/>
      <c r="E1646" s="8"/>
      <c r="F1646" s="8"/>
      <c r="G1646" s="8"/>
      <c r="H1646" s="8"/>
      <c r="I1646" s="8"/>
      <c r="J1646" s="8"/>
      <c r="K1646" s="8"/>
      <c r="L1646" s="8"/>
      <c r="M1646" s="8"/>
      <c r="N1646" s="8"/>
      <c r="O1646" s="8"/>
      <c r="P1646" s="8"/>
      <c r="Q1646" s="8"/>
      <c r="R1646" s="8"/>
      <c r="S1646" s="8"/>
      <c r="T1646" s="8"/>
      <c r="U1646" s="8"/>
      <c r="V1646" s="8"/>
      <c r="W1646" s="8"/>
      <c r="X1646" s="8"/>
      <c r="Y1646" s="8"/>
    </row>
    <row r="1647">
      <c r="A1647" s="8"/>
      <c r="B1647" s="8"/>
      <c r="C1647" s="8"/>
      <c r="D1647" s="8"/>
      <c r="E1647" s="8"/>
      <c r="F1647" s="8"/>
      <c r="G1647" s="8"/>
      <c r="H1647" s="8"/>
      <c r="I1647" s="8"/>
      <c r="J1647" s="8"/>
      <c r="K1647" s="8"/>
      <c r="L1647" s="8"/>
      <c r="M1647" s="8"/>
      <c r="N1647" s="8"/>
      <c r="O1647" s="8"/>
      <c r="P1647" s="8"/>
      <c r="Q1647" s="8"/>
      <c r="R1647" s="8"/>
      <c r="S1647" s="8"/>
      <c r="T1647" s="8"/>
      <c r="U1647" s="8"/>
      <c r="V1647" s="8"/>
      <c r="W1647" s="8"/>
      <c r="X1647" s="8"/>
      <c r="Y1647" s="8"/>
    </row>
    <row r="1648">
      <c r="A1648" s="8"/>
      <c r="B1648" s="8"/>
      <c r="C1648" s="8"/>
      <c r="D1648" s="8"/>
      <c r="E1648" s="8"/>
      <c r="F1648" s="8"/>
      <c r="G1648" s="8"/>
      <c r="H1648" s="8"/>
      <c r="I1648" s="8"/>
      <c r="J1648" s="8"/>
      <c r="K1648" s="8"/>
      <c r="L1648" s="8"/>
      <c r="M1648" s="8"/>
      <c r="N1648" s="8"/>
      <c r="O1648" s="8"/>
      <c r="P1648" s="8"/>
      <c r="Q1648" s="8"/>
      <c r="R1648" s="8"/>
      <c r="S1648" s="8"/>
      <c r="T1648" s="8"/>
      <c r="U1648" s="8"/>
      <c r="V1648" s="8"/>
      <c r="W1648" s="8"/>
      <c r="X1648" s="8"/>
      <c r="Y1648" s="8"/>
    </row>
    <row r="1649">
      <c r="A1649" s="8"/>
      <c r="B1649" s="8"/>
      <c r="C1649" s="8"/>
      <c r="D1649" s="8"/>
      <c r="E1649" s="8"/>
      <c r="F1649" s="8"/>
      <c r="G1649" s="8"/>
      <c r="H1649" s="8"/>
      <c r="I1649" s="8"/>
      <c r="J1649" s="8"/>
      <c r="K1649" s="8"/>
      <c r="L1649" s="8"/>
      <c r="M1649" s="8"/>
      <c r="N1649" s="8"/>
      <c r="O1649" s="8"/>
      <c r="P1649" s="8"/>
      <c r="Q1649" s="8"/>
      <c r="R1649" s="8"/>
      <c r="S1649" s="8"/>
      <c r="T1649" s="8"/>
      <c r="U1649" s="8"/>
      <c r="V1649" s="8"/>
      <c r="W1649" s="8"/>
      <c r="X1649" s="8"/>
      <c r="Y1649" s="8"/>
    </row>
    <row r="1650">
      <c r="A1650" s="8"/>
      <c r="B1650" s="8"/>
      <c r="C1650" s="8"/>
      <c r="D1650" s="8"/>
      <c r="E1650" s="8"/>
      <c r="F1650" s="8"/>
      <c r="G1650" s="8"/>
      <c r="H1650" s="8"/>
      <c r="I1650" s="8"/>
      <c r="J1650" s="8"/>
      <c r="K1650" s="8"/>
      <c r="L1650" s="8"/>
      <c r="M1650" s="8"/>
      <c r="N1650" s="8"/>
      <c r="O1650" s="8"/>
      <c r="P1650" s="8"/>
      <c r="Q1650" s="8"/>
      <c r="R1650" s="8"/>
      <c r="S1650" s="8"/>
      <c r="T1650" s="8"/>
      <c r="U1650" s="8"/>
      <c r="V1650" s="8"/>
      <c r="W1650" s="8"/>
      <c r="X1650" s="8"/>
      <c r="Y1650" s="8"/>
    </row>
    <row r="1651">
      <c r="A1651" s="8"/>
      <c r="B1651" s="8"/>
      <c r="C1651" s="8"/>
      <c r="D1651" s="8"/>
      <c r="E1651" s="8"/>
      <c r="F1651" s="8"/>
      <c r="G1651" s="8"/>
      <c r="H1651" s="8"/>
      <c r="I1651" s="8"/>
      <c r="J1651" s="8"/>
      <c r="K1651" s="8"/>
      <c r="L1651" s="8"/>
      <c r="M1651" s="8"/>
      <c r="N1651" s="8"/>
      <c r="O1651" s="8"/>
      <c r="P1651" s="8"/>
      <c r="Q1651" s="8"/>
      <c r="R1651" s="8"/>
      <c r="S1651" s="8"/>
      <c r="T1651" s="8"/>
      <c r="U1651" s="8"/>
      <c r="V1651" s="8"/>
      <c r="W1651" s="8"/>
      <c r="X1651" s="8"/>
      <c r="Y1651" s="8"/>
    </row>
    <row r="1652">
      <c r="A1652" s="8"/>
      <c r="B1652" s="8"/>
      <c r="C1652" s="8"/>
      <c r="D1652" s="8"/>
      <c r="E1652" s="8"/>
      <c r="F1652" s="8"/>
      <c r="G1652" s="8"/>
      <c r="H1652" s="8"/>
      <c r="I1652" s="8"/>
      <c r="J1652" s="8"/>
      <c r="K1652" s="8"/>
      <c r="L1652" s="8"/>
      <c r="M1652" s="8"/>
      <c r="N1652" s="8"/>
      <c r="O1652" s="8"/>
      <c r="P1652" s="8"/>
      <c r="Q1652" s="8"/>
      <c r="R1652" s="8"/>
      <c r="S1652" s="8"/>
      <c r="T1652" s="8"/>
      <c r="U1652" s="8"/>
      <c r="V1652" s="8"/>
      <c r="W1652" s="8"/>
      <c r="X1652" s="8"/>
      <c r="Y1652" s="8"/>
    </row>
    <row r="1653">
      <c r="A1653" s="8"/>
      <c r="B1653" s="8"/>
      <c r="C1653" s="8"/>
      <c r="D1653" s="8"/>
      <c r="E1653" s="8"/>
      <c r="F1653" s="8"/>
      <c r="G1653" s="8"/>
      <c r="H1653" s="8"/>
      <c r="I1653" s="8"/>
      <c r="J1653" s="8"/>
      <c r="K1653" s="8"/>
      <c r="L1653" s="8"/>
      <c r="M1653" s="8"/>
      <c r="N1653" s="8"/>
      <c r="O1653" s="8"/>
      <c r="P1653" s="8"/>
      <c r="Q1653" s="8"/>
      <c r="R1653" s="8"/>
      <c r="S1653" s="8"/>
      <c r="T1653" s="8"/>
      <c r="U1653" s="8"/>
      <c r="V1653" s="8"/>
      <c r="W1653" s="8"/>
      <c r="X1653" s="8"/>
      <c r="Y1653" s="8"/>
    </row>
    <row r="1654">
      <c r="A1654" s="8"/>
      <c r="B1654" s="8"/>
      <c r="C1654" s="8"/>
      <c r="D1654" s="8"/>
      <c r="E1654" s="8"/>
      <c r="F1654" s="8"/>
      <c r="G1654" s="8"/>
      <c r="H1654" s="8"/>
      <c r="I1654" s="8"/>
      <c r="J1654" s="8"/>
      <c r="K1654" s="8"/>
      <c r="L1654" s="8"/>
      <c r="M1654" s="8"/>
      <c r="N1654" s="8"/>
      <c r="O1654" s="8"/>
      <c r="P1654" s="8"/>
      <c r="Q1654" s="8"/>
      <c r="R1654" s="8"/>
      <c r="S1654" s="8"/>
      <c r="T1654" s="8"/>
      <c r="U1654" s="8"/>
      <c r="V1654" s="8"/>
      <c r="W1654" s="8"/>
      <c r="X1654" s="8"/>
      <c r="Y1654" s="8"/>
    </row>
    <row r="1655">
      <c r="A1655" s="8"/>
      <c r="B1655" s="8"/>
      <c r="C1655" s="8"/>
      <c r="D1655" s="8"/>
      <c r="E1655" s="8"/>
      <c r="F1655" s="8"/>
      <c r="G1655" s="8"/>
      <c r="H1655" s="8"/>
      <c r="I1655" s="8"/>
      <c r="J1655" s="8"/>
      <c r="K1655" s="8"/>
      <c r="L1655" s="8"/>
      <c r="M1655" s="8"/>
      <c r="N1655" s="8"/>
      <c r="O1655" s="8"/>
      <c r="P1655" s="8"/>
      <c r="Q1655" s="8"/>
      <c r="R1655" s="8"/>
      <c r="S1655" s="8"/>
      <c r="T1655" s="8"/>
      <c r="U1655" s="8"/>
      <c r="V1655" s="8"/>
      <c r="W1655" s="8"/>
      <c r="X1655" s="8"/>
      <c r="Y1655" s="8"/>
    </row>
    <row r="1656">
      <c r="A1656" s="8"/>
      <c r="B1656" s="8"/>
      <c r="C1656" s="8"/>
      <c r="D1656" s="8"/>
      <c r="E1656" s="8"/>
      <c r="F1656" s="8"/>
      <c r="G1656" s="8"/>
      <c r="H1656" s="8"/>
      <c r="I1656" s="8"/>
      <c r="J1656" s="8"/>
      <c r="K1656" s="8"/>
      <c r="L1656" s="8"/>
      <c r="M1656" s="8"/>
      <c r="N1656" s="8"/>
      <c r="O1656" s="8"/>
      <c r="P1656" s="8"/>
      <c r="Q1656" s="8"/>
      <c r="R1656" s="8"/>
      <c r="S1656" s="8"/>
      <c r="T1656" s="8"/>
      <c r="U1656" s="8"/>
      <c r="V1656" s="8"/>
      <c r="W1656" s="8"/>
      <c r="X1656" s="8"/>
      <c r="Y1656" s="8"/>
    </row>
    <row r="1657">
      <c r="A1657" s="8"/>
      <c r="B1657" s="8"/>
      <c r="C1657" s="8"/>
      <c r="D1657" s="8"/>
      <c r="E1657" s="8"/>
      <c r="F1657" s="8"/>
      <c r="G1657" s="8"/>
      <c r="H1657" s="8"/>
      <c r="I1657" s="8"/>
      <c r="J1657" s="8"/>
      <c r="K1657" s="8"/>
      <c r="L1657" s="8"/>
      <c r="M1657" s="8"/>
      <c r="N1657" s="8"/>
      <c r="O1657" s="8"/>
      <c r="P1657" s="8"/>
      <c r="Q1657" s="8"/>
      <c r="R1657" s="8"/>
      <c r="S1657" s="8"/>
      <c r="T1657" s="8"/>
      <c r="U1657" s="8"/>
      <c r="V1657" s="8"/>
      <c r="W1657" s="8"/>
      <c r="X1657" s="8"/>
      <c r="Y1657" s="8"/>
    </row>
    <row r="1658">
      <c r="A1658" s="8"/>
      <c r="B1658" s="8"/>
      <c r="C1658" s="8"/>
      <c r="D1658" s="8"/>
      <c r="E1658" s="8"/>
      <c r="F1658" s="8"/>
      <c r="G1658" s="8"/>
      <c r="H1658" s="8"/>
      <c r="I1658" s="8"/>
      <c r="J1658" s="8"/>
      <c r="K1658" s="8"/>
      <c r="L1658" s="8"/>
      <c r="M1658" s="8"/>
      <c r="N1658" s="8"/>
      <c r="O1658" s="8"/>
      <c r="P1658" s="8"/>
      <c r="Q1658" s="8"/>
      <c r="R1658" s="8"/>
      <c r="S1658" s="8"/>
      <c r="T1658" s="8"/>
      <c r="U1658" s="8"/>
      <c r="V1658" s="8"/>
      <c r="W1658" s="8"/>
      <c r="X1658" s="8"/>
      <c r="Y1658" s="8"/>
    </row>
    <row r="1659">
      <c r="A1659" s="8"/>
      <c r="B1659" s="8"/>
      <c r="C1659" s="8"/>
      <c r="D1659" s="8"/>
      <c r="E1659" s="8"/>
      <c r="F1659" s="8"/>
      <c r="G1659" s="8"/>
      <c r="H1659" s="8"/>
      <c r="I1659" s="8"/>
      <c r="J1659" s="8"/>
      <c r="K1659" s="8"/>
      <c r="L1659" s="8"/>
      <c r="M1659" s="8"/>
      <c r="N1659" s="8"/>
      <c r="O1659" s="8"/>
      <c r="P1659" s="8"/>
      <c r="Q1659" s="8"/>
      <c r="R1659" s="8"/>
      <c r="S1659" s="8"/>
      <c r="T1659" s="8"/>
      <c r="U1659" s="8"/>
      <c r="V1659" s="8"/>
      <c r="W1659" s="8"/>
      <c r="X1659" s="8"/>
      <c r="Y1659" s="8"/>
    </row>
    <row r="1660">
      <c r="A1660" s="8"/>
      <c r="B1660" s="8"/>
      <c r="C1660" s="8"/>
      <c r="D1660" s="8"/>
      <c r="E1660" s="8"/>
      <c r="F1660" s="8"/>
      <c r="G1660" s="8"/>
      <c r="H1660" s="8"/>
      <c r="I1660" s="8"/>
      <c r="J1660" s="8"/>
      <c r="K1660" s="8"/>
      <c r="L1660" s="8"/>
      <c r="M1660" s="8"/>
      <c r="N1660" s="8"/>
      <c r="O1660" s="8"/>
      <c r="P1660" s="8"/>
      <c r="Q1660" s="8"/>
      <c r="R1660" s="8"/>
      <c r="S1660" s="8"/>
      <c r="T1660" s="8"/>
      <c r="U1660" s="8"/>
      <c r="V1660" s="8"/>
      <c r="W1660" s="8"/>
      <c r="X1660" s="8"/>
      <c r="Y1660" s="8"/>
    </row>
    <row r="1661">
      <c r="A1661" s="8"/>
      <c r="B1661" s="8"/>
      <c r="C1661" s="8"/>
      <c r="D1661" s="8"/>
      <c r="E1661" s="8"/>
      <c r="F1661" s="8"/>
      <c r="G1661" s="8"/>
      <c r="H1661" s="8"/>
      <c r="I1661" s="8"/>
      <c r="J1661" s="8"/>
      <c r="K1661" s="8"/>
      <c r="L1661" s="8"/>
      <c r="M1661" s="8"/>
      <c r="N1661" s="8"/>
      <c r="O1661" s="8"/>
      <c r="P1661" s="8"/>
      <c r="Q1661" s="8"/>
      <c r="R1661" s="8"/>
      <c r="S1661" s="8"/>
      <c r="T1661" s="8"/>
      <c r="U1661" s="8"/>
      <c r="V1661" s="8"/>
      <c r="W1661" s="8"/>
      <c r="X1661" s="8"/>
      <c r="Y1661" s="8"/>
    </row>
    <row r="1662">
      <c r="A1662" s="8"/>
      <c r="B1662" s="8"/>
      <c r="C1662" s="8"/>
      <c r="D1662" s="8"/>
      <c r="E1662" s="8"/>
      <c r="F1662" s="8"/>
      <c r="G1662" s="8"/>
      <c r="H1662" s="8"/>
      <c r="I1662" s="8"/>
      <c r="J1662" s="8"/>
      <c r="K1662" s="8"/>
      <c r="L1662" s="8"/>
      <c r="M1662" s="8"/>
      <c r="N1662" s="8"/>
      <c r="O1662" s="8"/>
      <c r="P1662" s="8"/>
      <c r="Q1662" s="8"/>
      <c r="R1662" s="8"/>
      <c r="S1662" s="8"/>
      <c r="T1662" s="8"/>
      <c r="U1662" s="8"/>
      <c r="V1662" s="8"/>
      <c r="W1662" s="8"/>
      <c r="X1662" s="8"/>
      <c r="Y1662" s="8"/>
    </row>
    <row r="1663">
      <c r="A1663" s="8"/>
      <c r="B1663" s="8"/>
      <c r="C1663" s="8"/>
      <c r="D1663" s="8"/>
      <c r="E1663" s="8"/>
      <c r="F1663" s="8"/>
      <c r="G1663" s="8"/>
      <c r="H1663" s="8"/>
      <c r="I1663" s="8"/>
      <c r="J1663" s="8"/>
      <c r="K1663" s="8"/>
      <c r="L1663" s="8"/>
      <c r="M1663" s="8"/>
      <c r="N1663" s="8"/>
      <c r="O1663" s="8"/>
      <c r="P1663" s="8"/>
      <c r="Q1663" s="8"/>
      <c r="R1663" s="8"/>
      <c r="S1663" s="8"/>
      <c r="T1663" s="8"/>
      <c r="U1663" s="8"/>
      <c r="V1663" s="8"/>
      <c r="W1663" s="8"/>
      <c r="X1663" s="8"/>
      <c r="Y1663" s="8"/>
    </row>
    <row r="1664">
      <c r="A1664" s="8"/>
      <c r="B1664" s="8"/>
      <c r="C1664" s="8"/>
      <c r="D1664" s="8"/>
      <c r="E1664" s="8"/>
      <c r="F1664" s="8"/>
      <c r="G1664" s="8"/>
      <c r="H1664" s="8"/>
      <c r="I1664" s="8"/>
      <c r="J1664" s="8"/>
      <c r="K1664" s="8"/>
      <c r="L1664" s="8"/>
      <c r="M1664" s="8"/>
      <c r="N1664" s="8"/>
      <c r="O1664" s="8"/>
      <c r="P1664" s="8"/>
      <c r="Q1664" s="8"/>
      <c r="R1664" s="8"/>
      <c r="S1664" s="8"/>
      <c r="T1664" s="8"/>
      <c r="U1664" s="8"/>
      <c r="V1664" s="8"/>
      <c r="W1664" s="8"/>
      <c r="X1664" s="8"/>
      <c r="Y1664" s="8"/>
    </row>
    <row r="1665">
      <c r="A1665" s="8"/>
      <c r="B1665" s="8"/>
      <c r="C1665" s="8"/>
      <c r="D1665" s="8"/>
      <c r="E1665" s="8"/>
      <c r="F1665" s="8"/>
      <c r="G1665" s="8"/>
      <c r="H1665" s="8"/>
      <c r="I1665" s="8"/>
      <c r="J1665" s="8"/>
      <c r="K1665" s="8"/>
      <c r="L1665" s="8"/>
      <c r="M1665" s="8"/>
      <c r="N1665" s="8"/>
      <c r="O1665" s="8"/>
      <c r="P1665" s="8"/>
      <c r="Q1665" s="8"/>
      <c r="R1665" s="8"/>
      <c r="S1665" s="8"/>
      <c r="T1665" s="8"/>
      <c r="U1665" s="8"/>
      <c r="V1665" s="8"/>
      <c r="W1665" s="8"/>
      <c r="X1665" s="8"/>
      <c r="Y1665" s="8"/>
    </row>
    <row r="1666">
      <c r="A1666" s="8"/>
      <c r="B1666" s="8"/>
      <c r="C1666" s="8"/>
      <c r="D1666" s="8"/>
      <c r="E1666" s="8"/>
      <c r="F1666" s="8"/>
      <c r="G1666" s="8"/>
      <c r="H1666" s="8"/>
      <c r="I1666" s="8"/>
      <c r="J1666" s="8"/>
      <c r="K1666" s="8"/>
      <c r="L1666" s="8"/>
      <c r="M1666" s="8"/>
      <c r="N1666" s="8"/>
      <c r="O1666" s="8"/>
      <c r="P1666" s="8"/>
      <c r="Q1666" s="8"/>
      <c r="R1666" s="8"/>
      <c r="S1666" s="8"/>
      <c r="T1666" s="8"/>
      <c r="U1666" s="8"/>
      <c r="V1666" s="8"/>
      <c r="W1666" s="8"/>
      <c r="X1666" s="8"/>
      <c r="Y1666" s="8"/>
    </row>
    <row r="1667">
      <c r="A1667" s="8"/>
      <c r="B1667" s="8"/>
      <c r="C1667" s="8"/>
      <c r="D1667" s="8"/>
      <c r="E1667" s="8"/>
      <c r="F1667" s="8"/>
      <c r="G1667" s="8"/>
      <c r="H1667" s="8"/>
      <c r="I1667" s="8"/>
      <c r="J1667" s="8"/>
      <c r="K1667" s="8"/>
      <c r="L1667" s="8"/>
      <c r="M1667" s="8"/>
      <c r="N1667" s="8"/>
      <c r="O1667" s="8"/>
      <c r="P1667" s="8"/>
      <c r="Q1667" s="8"/>
      <c r="R1667" s="8"/>
      <c r="S1667" s="8"/>
      <c r="T1667" s="8"/>
      <c r="U1667" s="8"/>
      <c r="V1667" s="8"/>
      <c r="W1667" s="8"/>
      <c r="X1667" s="8"/>
      <c r="Y1667" s="8"/>
    </row>
    <row r="1668">
      <c r="A1668" s="8"/>
      <c r="B1668" s="8"/>
      <c r="C1668" s="8"/>
      <c r="D1668" s="8"/>
      <c r="E1668" s="8"/>
      <c r="F1668" s="8"/>
      <c r="G1668" s="8"/>
      <c r="H1668" s="8"/>
      <c r="I1668" s="8"/>
      <c r="J1668" s="8"/>
      <c r="K1668" s="8"/>
      <c r="L1668" s="8"/>
      <c r="M1668" s="8"/>
      <c r="N1668" s="8"/>
      <c r="O1668" s="8"/>
      <c r="P1668" s="8"/>
      <c r="Q1668" s="8"/>
      <c r="R1668" s="8"/>
      <c r="S1668" s="8"/>
      <c r="T1668" s="8"/>
      <c r="U1668" s="8"/>
      <c r="V1668" s="8"/>
      <c r="W1668" s="8"/>
      <c r="X1668" s="8"/>
      <c r="Y1668" s="8"/>
    </row>
    <row r="1669">
      <c r="A1669" s="8"/>
      <c r="B1669" s="8"/>
      <c r="C1669" s="8"/>
      <c r="D1669" s="8"/>
      <c r="E1669" s="8"/>
      <c r="F1669" s="8"/>
      <c r="G1669" s="8"/>
      <c r="H1669" s="8"/>
      <c r="I1669" s="8"/>
      <c r="J1669" s="8"/>
      <c r="K1669" s="8"/>
      <c r="L1669" s="8"/>
      <c r="M1669" s="8"/>
      <c r="N1669" s="8"/>
      <c r="O1669" s="8"/>
      <c r="P1669" s="8"/>
      <c r="Q1669" s="8"/>
      <c r="R1669" s="8"/>
      <c r="S1669" s="8"/>
      <c r="T1669" s="8"/>
      <c r="U1669" s="8"/>
      <c r="V1669" s="8"/>
      <c r="W1669" s="8"/>
      <c r="X1669" s="8"/>
      <c r="Y1669" s="8"/>
    </row>
    <row r="1670">
      <c r="A1670" s="8"/>
      <c r="B1670" s="8"/>
      <c r="C1670" s="8"/>
      <c r="D1670" s="8"/>
      <c r="E1670" s="8"/>
      <c r="F1670" s="8"/>
      <c r="G1670" s="8"/>
      <c r="H1670" s="8"/>
      <c r="I1670" s="8"/>
      <c r="J1670" s="8"/>
      <c r="K1670" s="8"/>
      <c r="L1670" s="8"/>
      <c r="M1670" s="8"/>
      <c r="N1670" s="8"/>
      <c r="O1670" s="8"/>
      <c r="P1670" s="8"/>
      <c r="Q1670" s="8"/>
      <c r="R1670" s="8"/>
      <c r="S1670" s="8"/>
      <c r="T1670" s="8"/>
      <c r="U1670" s="8"/>
      <c r="V1670" s="8"/>
      <c r="W1670" s="8"/>
      <c r="X1670" s="8"/>
      <c r="Y1670" s="8"/>
    </row>
    <row r="1671">
      <c r="A1671" s="8"/>
      <c r="B1671" s="8"/>
      <c r="C1671" s="8"/>
      <c r="D1671" s="8"/>
      <c r="E1671" s="8"/>
      <c r="F1671" s="8"/>
      <c r="G1671" s="8"/>
      <c r="H1671" s="8"/>
      <c r="I1671" s="8"/>
      <c r="J1671" s="8"/>
      <c r="K1671" s="8"/>
      <c r="L1671" s="8"/>
      <c r="M1671" s="8"/>
      <c r="N1671" s="8"/>
      <c r="O1671" s="8"/>
      <c r="P1671" s="8"/>
      <c r="Q1671" s="8"/>
      <c r="R1671" s="8"/>
      <c r="S1671" s="8"/>
      <c r="T1671" s="8"/>
      <c r="U1671" s="8"/>
      <c r="V1671" s="8"/>
      <c r="W1671" s="8"/>
      <c r="X1671" s="8"/>
      <c r="Y1671" s="8"/>
    </row>
    <row r="1672">
      <c r="A1672" s="8"/>
      <c r="B1672" s="8"/>
      <c r="C1672" s="8"/>
      <c r="D1672" s="8"/>
      <c r="E1672" s="8"/>
      <c r="F1672" s="8"/>
      <c r="G1672" s="8"/>
      <c r="H1672" s="8"/>
      <c r="I1672" s="8"/>
      <c r="J1672" s="8"/>
      <c r="K1672" s="8"/>
      <c r="L1672" s="8"/>
      <c r="M1672" s="8"/>
      <c r="N1672" s="8"/>
      <c r="O1672" s="8"/>
      <c r="P1672" s="8"/>
      <c r="Q1672" s="8"/>
      <c r="R1672" s="8"/>
      <c r="S1672" s="8"/>
      <c r="T1672" s="8"/>
      <c r="U1672" s="8"/>
      <c r="V1672" s="8"/>
      <c r="W1672" s="8"/>
      <c r="X1672" s="8"/>
      <c r="Y1672" s="8"/>
    </row>
    <row r="1673">
      <c r="A1673" s="8"/>
      <c r="B1673" s="8"/>
      <c r="C1673" s="8"/>
      <c r="D1673" s="8"/>
      <c r="E1673" s="8"/>
      <c r="F1673" s="8"/>
      <c r="G1673" s="8"/>
      <c r="H1673" s="8"/>
      <c r="I1673" s="8"/>
      <c r="J1673" s="8"/>
      <c r="K1673" s="8"/>
      <c r="L1673" s="8"/>
      <c r="M1673" s="8"/>
      <c r="N1673" s="8"/>
      <c r="O1673" s="8"/>
      <c r="P1673" s="8"/>
      <c r="Q1673" s="8"/>
      <c r="R1673" s="8"/>
      <c r="S1673" s="8"/>
      <c r="T1673" s="8"/>
      <c r="U1673" s="8"/>
      <c r="V1673" s="8"/>
      <c r="W1673" s="8"/>
      <c r="X1673" s="8"/>
      <c r="Y1673" s="8"/>
    </row>
    <row r="1674">
      <c r="A1674" s="8"/>
      <c r="B1674" s="8"/>
      <c r="C1674" s="8"/>
      <c r="D1674" s="8"/>
      <c r="E1674" s="8"/>
      <c r="F1674" s="8"/>
      <c r="G1674" s="8"/>
      <c r="H1674" s="8"/>
      <c r="I1674" s="8"/>
      <c r="J1674" s="8"/>
      <c r="K1674" s="8"/>
      <c r="L1674" s="8"/>
      <c r="M1674" s="8"/>
      <c r="N1674" s="8"/>
      <c r="O1674" s="8"/>
      <c r="P1674" s="8"/>
      <c r="Q1674" s="8"/>
      <c r="R1674" s="8"/>
      <c r="S1674" s="8"/>
      <c r="T1674" s="8"/>
      <c r="U1674" s="8"/>
      <c r="V1674" s="8"/>
      <c r="W1674" s="8"/>
      <c r="X1674" s="8"/>
      <c r="Y1674" s="8"/>
    </row>
    <row r="1675">
      <c r="A1675" s="8"/>
      <c r="B1675" s="8"/>
      <c r="C1675" s="8"/>
      <c r="D1675" s="8"/>
      <c r="E1675" s="8"/>
      <c r="F1675" s="8"/>
      <c r="G1675" s="8"/>
      <c r="H1675" s="8"/>
      <c r="I1675" s="8"/>
      <c r="J1675" s="8"/>
      <c r="K1675" s="8"/>
      <c r="L1675" s="8"/>
      <c r="M1675" s="8"/>
      <c r="N1675" s="8"/>
      <c r="O1675" s="8"/>
      <c r="P1675" s="8"/>
      <c r="Q1675" s="8"/>
      <c r="R1675" s="8"/>
      <c r="S1675" s="8"/>
      <c r="T1675" s="8"/>
      <c r="U1675" s="8"/>
      <c r="V1675" s="8"/>
      <c r="W1675" s="8"/>
      <c r="X1675" s="8"/>
      <c r="Y1675" s="8"/>
    </row>
    <row r="1676">
      <c r="A1676" s="8"/>
      <c r="B1676" s="8"/>
      <c r="C1676" s="8"/>
      <c r="D1676" s="8"/>
      <c r="E1676" s="8"/>
      <c r="F1676" s="8"/>
      <c r="G1676" s="8"/>
      <c r="H1676" s="8"/>
      <c r="I1676" s="8"/>
      <c r="J1676" s="8"/>
      <c r="K1676" s="8"/>
      <c r="L1676" s="8"/>
      <c r="M1676" s="8"/>
      <c r="N1676" s="8"/>
      <c r="O1676" s="8"/>
      <c r="P1676" s="8"/>
      <c r="Q1676" s="8"/>
      <c r="R1676" s="8"/>
      <c r="S1676" s="8"/>
      <c r="T1676" s="8"/>
      <c r="U1676" s="8"/>
      <c r="V1676" s="8"/>
      <c r="W1676" s="8"/>
      <c r="X1676" s="8"/>
      <c r="Y1676" s="8"/>
    </row>
    <row r="1677">
      <c r="A1677" s="8"/>
      <c r="B1677" s="8"/>
      <c r="C1677" s="8"/>
      <c r="D1677" s="8"/>
      <c r="E1677" s="8"/>
      <c r="F1677" s="8"/>
      <c r="G1677" s="8"/>
      <c r="H1677" s="8"/>
      <c r="I1677" s="8"/>
      <c r="J1677" s="8"/>
      <c r="K1677" s="8"/>
      <c r="L1677" s="8"/>
      <c r="M1677" s="8"/>
      <c r="N1677" s="8"/>
      <c r="O1677" s="8"/>
      <c r="P1677" s="8"/>
      <c r="Q1677" s="8"/>
      <c r="R1677" s="8"/>
      <c r="S1677" s="8"/>
      <c r="T1677" s="8"/>
      <c r="U1677" s="8"/>
      <c r="V1677" s="8"/>
      <c r="W1677" s="8"/>
      <c r="X1677" s="8"/>
      <c r="Y1677" s="8"/>
    </row>
    <row r="1678">
      <c r="A1678" s="8"/>
      <c r="B1678" s="8"/>
      <c r="C1678" s="8"/>
      <c r="D1678" s="8"/>
      <c r="E1678" s="8"/>
      <c r="F1678" s="8"/>
      <c r="G1678" s="8"/>
      <c r="H1678" s="8"/>
      <c r="I1678" s="8"/>
      <c r="J1678" s="8"/>
      <c r="K1678" s="8"/>
      <c r="L1678" s="8"/>
      <c r="M1678" s="8"/>
      <c r="N1678" s="8"/>
      <c r="O1678" s="8"/>
      <c r="P1678" s="8"/>
      <c r="Q1678" s="8"/>
      <c r="R1678" s="8"/>
      <c r="S1678" s="8"/>
      <c r="T1678" s="8"/>
      <c r="U1678" s="8"/>
      <c r="V1678" s="8"/>
      <c r="W1678" s="8"/>
      <c r="X1678" s="8"/>
      <c r="Y1678" s="8"/>
    </row>
    <row r="1679">
      <c r="A1679" s="8"/>
      <c r="B1679" s="8"/>
      <c r="C1679" s="8"/>
      <c r="D1679" s="8"/>
      <c r="E1679" s="8"/>
      <c r="F1679" s="8"/>
      <c r="G1679" s="8"/>
      <c r="H1679" s="8"/>
      <c r="I1679" s="8"/>
      <c r="J1679" s="8"/>
      <c r="K1679" s="8"/>
      <c r="L1679" s="8"/>
      <c r="M1679" s="8"/>
      <c r="N1679" s="8"/>
      <c r="O1679" s="8"/>
      <c r="P1679" s="8"/>
      <c r="Q1679" s="8"/>
      <c r="R1679" s="8"/>
      <c r="S1679" s="8"/>
      <c r="T1679" s="8"/>
      <c r="U1679" s="8"/>
      <c r="V1679" s="8"/>
      <c r="W1679" s="8"/>
      <c r="X1679" s="8"/>
      <c r="Y1679" s="8"/>
    </row>
    <row r="1680">
      <c r="A1680" s="8"/>
      <c r="B1680" s="8"/>
      <c r="C1680" s="8"/>
      <c r="D1680" s="8"/>
      <c r="E1680" s="8"/>
      <c r="F1680" s="8"/>
      <c r="G1680" s="8"/>
      <c r="H1680" s="8"/>
      <c r="I1680" s="8"/>
      <c r="J1680" s="8"/>
      <c r="K1680" s="8"/>
      <c r="L1680" s="8"/>
      <c r="M1680" s="8"/>
      <c r="N1680" s="8"/>
      <c r="O1680" s="8"/>
      <c r="P1680" s="8"/>
      <c r="Q1680" s="8"/>
      <c r="R1680" s="8"/>
      <c r="S1680" s="8"/>
      <c r="T1680" s="8"/>
      <c r="U1680" s="8"/>
      <c r="V1680" s="8"/>
      <c r="W1680" s="8"/>
      <c r="X1680" s="8"/>
      <c r="Y1680" s="8"/>
    </row>
    <row r="1681">
      <c r="A1681" s="8"/>
      <c r="B1681" s="8"/>
      <c r="C1681" s="8"/>
      <c r="D1681" s="8"/>
      <c r="E1681" s="8"/>
      <c r="F1681" s="8"/>
      <c r="G1681" s="8"/>
      <c r="H1681" s="8"/>
      <c r="I1681" s="8"/>
      <c r="J1681" s="8"/>
      <c r="K1681" s="8"/>
      <c r="L1681" s="8"/>
      <c r="M1681" s="8"/>
      <c r="N1681" s="8"/>
      <c r="O1681" s="8"/>
      <c r="P1681" s="8"/>
      <c r="Q1681" s="8"/>
      <c r="R1681" s="8"/>
      <c r="S1681" s="8"/>
      <c r="T1681" s="8"/>
      <c r="U1681" s="8"/>
      <c r="V1681" s="8"/>
      <c r="W1681" s="8"/>
      <c r="X1681" s="8"/>
      <c r="Y1681" s="8"/>
    </row>
    <row r="1682">
      <c r="A1682" s="8"/>
      <c r="B1682" s="8"/>
      <c r="C1682" s="8"/>
      <c r="D1682" s="8"/>
      <c r="E1682" s="8"/>
      <c r="F1682" s="8"/>
      <c r="G1682" s="8"/>
      <c r="H1682" s="8"/>
      <c r="I1682" s="8"/>
      <c r="J1682" s="8"/>
      <c r="K1682" s="8"/>
      <c r="L1682" s="8"/>
      <c r="M1682" s="8"/>
      <c r="N1682" s="8"/>
      <c r="O1682" s="8"/>
      <c r="P1682" s="8"/>
      <c r="Q1682" s="8"/>
      <c r="R1682" s="8"/>
      <c r="S1682" s="8"/>
      <c r="T1682" s="8"/>
      <c r="U1682" s="8"/>
      <c r="V1682" s="8"/>
      <c r="W1682" s="8"/>
      <c r="X1682" s="8"/>
      <c r="Y1682" s="8"/>
    </row>
    <row r="1683">
      <c r="A1683" s="8"/>
      <c r="B1683" s="8"/>
      <c r="C1683" s="8"/>
      <c r="D1683" s="8"/>
      <c r="E1683" s="8"/>
      <c r="F1683" s="8"/>
      <c r="G1683" s="8"/>
      <c r="H1683" s="8"/>
      <c r="I1683" s="8"/>
      <c r="J1683" s="8"/>
      <c r="K1683" s="8"/>
      <c r="L1683" s="8"/>
      <c r="M1683" s="8"/>
      <c r="N1683" s="8"/>
      <c r="O1683" s="8"/>
      <c r="P1683" s="8"/>
      <c r="Q1683" s="8"/>
      <c r="R1683" s="8"/>
      <c r="S1683" s="8"/>
      <c r="T1683" s="8"/>
      <c r="U1683" s="8"/>
      <c r="V1683" s="8"/>
      <c r="W1683" s="8"/>
      <c r="X1683" s="8"/>
      <c r="Y1683" s="8"/>
    </row>
    <row r="1684">
      <c r="A1684" s="8"/>
      <c r="B1684" s="8"/>
      <c r="C1684" s="8"/>
      <c r="D1684" s="8"/>
      <c r="E1684" s="8"/>
      <c r="F1684" s="8"/>
      <c r="G1684" s="8"/>
      <c r="H1684" s="8"/>
      <c r="I1684" s="8"/>
      <c r="J1684" s="8"/>
      <c r="K1684" s="8"/>
      <c r="L1684" s="8"/>
      <c r="M1684" s="8"/>
      <c r="N1684" s="8"/>
      <c r="O1684" s="8"/>
      <c r="P1684" s="8"/>
      <c r="Q1684" s="8"/>
      <c r="R1684" s="8"/>
      <c r="S1684" s="8"/>
      <c r="T1684" s="8"/>
      <c r="U1684" s="8"/>
      <c r="V1684" s="8"/>
      <c r="W1684" s="8"/>
      <c r="X1684" s="8"/>
      <c r="Y1684" s="8"/>
    </row>
    <row r="1685">
      <c r="A1685" s="8"/>
      <c r="B1685" s="8"/>
      <c r="C1685" s="8"/>
      <c r="D1685" s="8"/>
      <c r="E1685" s="8"/>
      <c r="F1685" s="8"/>
      <c r="G1685" s="8"/>
      <c r="H1685" s="8"/>
      <c r="I1685" s="8"/>
      <c r="J1685" s="8"/>
      <c r="K1685" s="8"/>
      <c r="L1685" s="8"/>
      <c r="M1685" s="8"/>
      <c r="N1685" s="8"/>
      <c r="O1685" s="8"/>
      <c r="P1685" s="8"/>
      <c r="Q1685" s="8"/>
      <c r="R1685" s="8"/>
      <c r="S1685" s="8"/>
      <c r="T1685" s="8"/>
      <c r="U1685" s="8"/>
      <c r="V1685" s="8"/>
      <c r="W1685" s="8"/>
      <c r="X1685" s="8"/>
      <c r="Y1685" s="8"/>
    </row>
    <row r="1686">
      <c r="A1686" s="8"/>
      <c r="B1686" s="8"/>
      <c r="C1686" s="8"/>
      <c r="D1686" s="8"/>
      <c r="E1686" s="8"/>
      <c r="F1686" s="8"/>
      <c r="G1686" s="8"/>
      <c r="H1686" s="8"/>
      <c r="I1686" s="8"/>
      <c r="J1686" s="8"/>
      <c r="K1686" s="8"/>
      <c r="L1686" s="8"/>
      <c r="M1686" s="8"/>
      <c r="N1686" s="8"/>
      <c r="O1686" s="8"/>
      <c r="P1686" s="8"/>
      <c r="Q1686" s="8"/>
      <c r="R1686" s="8"/>
      <c r="S1686" s="8"/>
      <c r="T1686" s="8"/>
      <c r="U1686" s="8"/>
      <c r="V1686" s="8"/>
      <c r="W1686" s="8"/>
      <c r="X1686" s="8"/>
      <c r="Y1686" s="8"/>
    </row>
    <row r="1687">
      <c r="A1687" s="8"/>
      <c r="B1687" s="8"/>
      <c r="C1687" s="8"/>
      <c r="D1687" s="8"/>
      <c r="E1687" s="8"/>
      <c r="F1687" s="8"/>
      <c r="G1687" s="8"/>
      <c r="H1687" s="8"/>
      <c r="I1687" s="8"/>
      <c r="J1687" s="8"/>
      <c r="K1687" s="8"/>
      <c r="L1687" s="8"/>
      <c r="M1687" s="8"/>
      <c r="N1687" s="8"/>
      <c r="O1687" s="8"/>
      <c r="P1687" s="8"/>
      <c r="Q1687" s="8"/>
      <c r="R1687" s="8"/>
      <c r="S1687" s="8"/>
      <c r="T1687" s="8"/>
      <c r="U1687" s="8"/>
      <c r="V1687" s="8"/>
      <c r="W1687" s="8"/>
      <c r="X1687" s="8"/>
      <c r="Y1687" s="8"/>
    </row>
    <row r="1688">
      <c r="A1688" s="8"/>
      <c r="B1688" s="8"/>
      <c r="C1688" s="8"/>
      <c r="D1688" s="8"/>
      <c r="E1688" s="8"/>
      <c r="F1688" s="8"/>
      <c r="G1688" s="8"/>
      <c r="H1688" s="8"/>
      <c r="I1688" s="8"/>
      <c r="J1688" s="8"/>
      <c r="K1688" s="8"/>
      <c r="L1688" s="8"/>
      <c r="M1688" s="8"/>
      <c r="N1688" s="8"/>
      <c r="O1688" s="8"/>
      <c r="P1688" s="8"/>
      <c r="Q1688" s="8"/>
      <c r="R1688" s="8"/>
      <c r="S1688" s="8"/>
      <c r="T1688" s="8"/>
      <c r="U1688" s="8"/>
      <c r="V1688" s="8"/>
      <c r="W1688" s="8"/>
      <c r="X1688" s="8"/>
      <c r="Y1688" s="8"/>
    </row>
    <row r="1689">
      <c r="A1689" s="8"/>
      <c r="B1689" s="8"/>
      <c r="C1689" s="8"/>
      <c r="D1689" s="8"/>
      <c r="E1689" s="8"/>
      <c r="F1689" s="8"/>
      <c r="G1689" s="8"/>
      <c r="H1689" s="8"/>
      <c r="I1689" s="8"/>
      <c r="J1689" s="8"/>
      <c r="K1689" s="8"/>
      <c r="L1689" s="8"/>
      <c r="M1689" s="8"/>
      <c r="N1689" s="8"/>
      <c r="O1689" s="8"/>
      <c r="P1689" s="8"/>
      <c r="Q1689" s="8"/>
      <c r="R1689" s="8"/>
      <c r="S1689" s="8"/>
      <c r="T1689" s="8"/>
      <c r="U1689" s="8"/>
      <c r="V1689" s="8"/>
      <c r="W1689" s="8"/>
      <c r="X1689" s="8"/>
      <c r="Y1689" s="8"/>
    </row>
    <row r="1690">
      <c r="A1690" s="8"/>
      <c r="B1690" s="8"/>
      <c r="C1690" s="8"/>
      <c r="D1690" s="8"/>
      <c r="E1690" s="8"/>
      <c r="F1690" s="8"/>
      <c r="G1690" s="8"/>
      <c r="H1690" s="8"/>
      <c r="I1690" s="8"/>
      <c r="J1690" s="8"/>
      <c r="K1690" s="8"/>
      <c r="L1690" s="8"/>
      <c r="M1690" s="8"/>
      <c r="N1690" s="8"/>
      <c r="O1690" s="8"/>
      <c r="P1690" s="8"/>
      <c r="Q1690" s="8"/>
      <c r="R1690" s="8"/>
      <c r="S1690" s="8"/>
      <c r="T1690" s="8"/>
      <c r="U1690" s="8"/>
      <c r="V1690" s="8"/>
      <c r="W1690" s="8"/>
      <c r="X1690" s="8"/>
      <c r="Y1690" s="8"/>
    </row>
    <row r="1691">
      <c r="A1691" s="8"/>
      <c r="B1691" s="8"/>
      <c r="C1691" s="8"/>
      <c r="D1691" s="8"/>
      <c r="E1691" s="8"/>
      <c r="F1691" s="8"/>
      <c r="G1691" s="8"/>
      <c r="H1691" s="8"/>
      <c r="I1691" s="8"/>
      <c r="J1691" s="8"/>
      <c r="K1691" s="8"/>
      <c r="L1691" s="8"/>
      <c r="M1691" s="8"/>
      <c r="N1691" s="8"/>
      <c r="O1691" s="8"/>
      <c r="P1691" s="8"/>
      <c r="Q1691" s="8"/>
      <c r="R1691" s="8"/>
      <c r="S1691" s="8"/>
      <c r="T1691" s="8"/>
      <c r="U1691" s="8"/>
      <c r="V1691" s="8"/>
      <c r="W1691" s="8"/>
      <c r="X1691" s="8"/>
      <c r="Y1691" s="8"/>
    </row>
    <row r="1692">
      <c r="A1692" s="8"/>
      <c r="B1692" s="8"/>
      <c r="C1692" s="8"/>
      <c r="D1692" s="8"/>
      <c r="E1692" s="8"/>
      <c r="F1692" s="8"/>
      <c r="G1692" s="8"/>
      <c r="H1692" s="8"/>
      <c r="I1692" s="8"/>
      <c r="J1692" s="8"/>
      <c r="K1692" s="8"/>
      <c r="L1692" s="8"/>
      <c r="M1692" s="8"/>
      <c r="N1692" s="8"/>
      <c r="O1692" s="8"/>
      <c r="P1692" s="8"/>
      <c r="Q1692" s="8"/>
      <c r="R1692" s="8"/>
      <c r="S1692" s="8"/>
      <c r="T1692" s="8"/>
      <c r="U1692" s="8"/>
      <c r="V1692" s="8"/>
      <c r="W1692" s="8"/>
      <c r="X1692" s="8"/>
      <c r="Y1692" s="8"/>
    </row>
    <row r="1693">
      <c r="A1693" s="8"/>
      <c r="B1693" s="8"/>
      <c r="C1693" s="8"/>
      <c r="D1693" s="8"/>
      <c r="E1693" s="8"/>
      <c r="F1693" s="8"/>
      <c r="G1693" s="8"/>
      <c r="H1693" s="8"/>
      <c r="I1693" s="8"/>
      <c r="J1693" s="8"/>
      <c r="K1693" s="8"/>
      <c r="L1693" s="8"/>
      <c r="M1693" s="8"/>
      <c r="N1693" s="8"/>
      <c r="O1693" s="8"/>
      <c r="P1693" s="8"/>
      <c r="Q1693" s="8"/>
      <c r="R1693" s="8"/>
      <c r="S1693" s="8"/>
      <c r="T1693" s="8"/>
      <c r="U1693" s="8"/>
      <c r="V1693" s="8"/>
      <c r="W1693" s="8"/>
      <c r="X1693" s="8"/>
      <c r="Y1693" s="8"/>
    </row>
    <row r="1694">
      <c r="A1694" s="8"/>
      <c r="B1694" s="8"/>
      <c r="C1694" s="8"/>
      <c r="D1694" s="8"/>
      <c r="E1694" s="8"/>
      <c r="F1694" s="8"/>
      <c r="G1694" s="8"/>
      <c r="H1694" s="8"/>
      <c r="I1694" s="8"/>
      <c r="J1694" s="8"/>
      <c r="K1694" s="8"/>
      <c r="L1694" s="8"/>
      <c r="M1694" s="8"/>
      <c r="N1694" s="8"/>
      <c r="O1694" s="8"/>
      <c r="P1694" s="8"/>
      <c r="Q1694" s="8"/>
      <c r="R1694" s="8"/>
      <c r="S1694" s="8"/>
      <c r="T1694" s="8"/>
      <c r="U1694" s="8"/>
      <c r="V1694" s="8"/>
      <c r="W1694" s="8"/>
      <c r="X1694" s="8"/>
      <c r="Y1694" s="8"/>
    </row>
    <row r="1695">
      <c r="A1695" s="8"/>
      <c r="B1695" s="8"/>
      <c r="C1695" s="8"/>
      <c r="D1695" s="8"/>
      <c r="E1695" s="8"/>
      <c r="F1695" s="8"/>
      <c r="G1695" s="8"/>
      <c r="H1695" s="8"/>
      <c r="I1695" s="8"/>
      <c r="J1695" s="8"/>
      <c r="K1695" s="8"/>
      <c r="L1695" s="8"/>
      <c r="M1695" s="8"/>
      <c r="N1695" s="8"/>
      <c r="O1695" s="8"/>
      <c r="P1695" s="8"/>
      <c r="Q1695" s="8"/>
      <c r="R1695" s="8"/>
      <c r="S1695" s="8"/>
      <c r="T1695" s="8"/>
      <c r="U1695" s="8"/>
      <c r="V1695" s="8"/>
      <c r="W1695" s="8"/>
      <c r="X1695" s="8"/>
      <c r="Y1695" s="8"/>
    </row>
    <row r="1696">
      <c r="A1696" s="8"/>
      <c r="B1696" s="8"/>
      <c r="C1696" s="8"/>
      <c r="D1696" s="8"/>
      <c r="E1696" s="8"/>
      <c r="F1696" s="8"/>
      <c r="G1696" s="8"/>
      <c r="H1696" s="8"/>
      <c r="I1696" s="8"/>
      <c r="J1696" s="8"/>
      <c r="K1696" s="8"/>
      <c r="L1696" s="8"/>
      <c r="M1696" s="8"/>
      <c r="N1696" s="8"/>
      <c r="O1696" s="8"/>
      <c r="P1696" s="8"/>
      <c r="Q1696" s="8"/>
      <c r="R1696" s="8"/>
      <c r="S1696" s="8"/>
      <c r="T1696" s="8"/>
      <c r="U1696" s="8"/>
      <c r="V1696" s="8"/>
      <c r="W1696" s="8"/>
      <c r="X1696" s="8"/>
      <c r="Y1696" s="8"/>
    </row>
    <row r="1697">
      <c r="A1697" s="8"/>
      <c r="B1697" s="8"/>
      <c r="C1697" s="8"/>
      <c r="D1697" s="8"/>
      <c r="E1697" s="8"/>
      <c r="F1697" s="8"/>
      <c r="G1697" s="8"/>
      <c r="H1697" s="8"/>
      <c r="I1697" s="8"/>
      <c r="J1697" s="8"/>
      <c r="K1697" s="8"/>
      <c r="L1697" s="8"/>
      <c r="M1697" s="8"/>
      <c r="N1697" s="8"/>
      <c r="O1697" s="8"/>
      <c r="P1697" s="8"/>
      <c r="Q1697" s="8"/>
      <c r="R1697" s="8"/>
      <c r="S1697" s="8"/>
      <c r="T1697" s="8"/>
      <c r="U1697" s="8"/>
      <c r="V1697" s="8"/>
      <c r="W1697" s="8"/>
      <c r="X1697" s="8"/>
      <c r="Y1697" s="8"/>
    </row>
    <row r="1698">
      <c r="A1698" s="8"/>
      <c r="B1698" s="8"/>
      <c r="C1698" s="8"/>
      <c r="D1698" s="8"/>
      <c r="E1698" s="8"/>
      <c r="F1698" s="8"/>
      <c r="G1698" s="8"/>
      <c r="H1698" s="8"/>
      <c r="I1698" s="8"/>
      <c r="J1698" s="8"/>
      <c r="K1698" s="8"/>
      <c r="L1698" s="8"/>
      <c r="M1698" s="8"/>
      <c r="N1698" s="8"/>
      <c r="O1698" s="8"/>
      <c r="P1698" s="8"/>
      <c r="Q1698" s="8"/>
      <c r="R1698" s="8"/>
      <c r="S1698" s="8"/>
      <c r="T1698" s="8"/>
      <c r="U1698" s="8"/>
      <c r="V1698" s="8"/>
      <c r="W1698" s="8"/>
      <c r="X1698" s="8"/>
      <c r="Y1698" s="8"/>
    </row>
    <row r="1699">
      <c r="A1699" s="8"/>
      <c r="B1699" s="8"/>
      <c r="C1699" s="8"/>
      <c r="D1699" s="8"/>
      <c r="E1699" s="8"/>
      <c r="F1699" s="8"/>
      <c r="G1699" s="8"/>
      <c r="H1699" s="8"/>
      <c r="I1699" s="8"/>
      <c r="J1699" s="8"/>
      <c r="K1699" s="8"/>
      <c r="L1699" s="8"/>
      <c r="M1699" s="8"/>
      <c r="N1699" s="8"/>
      <c r="O1699" s="8"/>
      <c r="P1699" s="8"/>
      <c r="Q1699" s="8"/>
      <c r="R1699" s="8"/>
      <c r="S1699" s="8"/>
      <c r="T1699" s="8"/>
      <c r="U1699" s="8"/>
      <c r="V1699" s="8"/>
      <c r="W1699" s="8"/>
      <c r="X1699" s="8"/>
      <c r="Y1699" s="8"/>
    </row>
    <row r="1700">
      <c r="A1700" s="8"/>
      <c r="B1700" s="8"/>
      <c r="C1700" s="8"/>
      <c r="D1700" s="8"/>
      <c r="E1700" s="8"/>
      <c r="F1700" s="8"/>
      <c r="G1700" s="8"/>
      <c r="H1700" s="8"/>
      <c r="I1700" s="8"/>
      <c r="J1700" s="8"/>
      <c r="K1700" s="8"/>
      <c r="L1700" s="8"/>
      <c r="M1700" s="8"/>
      <c r="N1700" s="8"/>
      <c r="O1700" s="8"/>
      <c r="P1700" s="8"/>
      <c r="Q1700" s="8"/>
      <c r="R1700" s="8"/>
      <c r="S1700" s="8"/>
      <c r="T1700" s="8"/>
      <c r="U1700" s="8"/>
      <c r="V1700" s="8"/>
      <c r="W1700" s="8"/>
      <c r="X1700" s="8"/>
      <c r="Y1700" s="8"/>
    </row>
    <row r="1701">
      <c r="A1701" s="8"/>
      <c r="B1701" s="8"/>
      <c r="C1701" s="8"/>
      <c r="D1701" s="8"/>
      <c r="E1701" s="8"/>
      <c r="F1701" s="8"/>
      <c r="G1701" s="8"/>
      <c r="H1701" s="8"/>
      <c r="I1701" s="8"/>
      <c r="J1701" s="8"/>
      <c r="K1701" s="8"/>
      <c r="L1701" s="8"/>
      <c r="M1701" s="8"/>
      <c r="N1701" s="8"/>
      <c r="O1701" s="8"/>
      <c r="P1701" s="8"/>
      <c r="Q1701" s="8"/>
      <c r="R1701" s="8"/>
      <c r="S1701" s="8"/>
      <c r="T1701" s="8"/>
      <c r="U1701" s="8"/>
      <c r="V1701" s="8"/>
      <c r="W1701" s="8"/>
      <c r="X1701" s="8"/>
      <c r="Y1701" s="8"/>
    </row>
    <row r="1702">
      <c r="A1702" s="8"/>
      <c r="B1702" s="8"/>
      <c r="C1702" s="8"/>
      <c r="D1702" s="8"/>
      <c r="E1702" s="8"/>
      <c r="F1702" s="8"/>
      <c r="G1702" s="8"/>
      <c r="H1702" s="8"/>
      <c r="I1702" s="8"/>
      <c r="J1702" s="8"/>
      <c r="K1702" s="8"/>
      <c r="L1702" s="8"/>
      <c r="M1702" s="8"/>
      <c r="N1702" s="8"/>
      <c r="O1702" s="8"/>
      <c r="P1702" s="8"/>
      <c r="Q1702" s="8"/>
      <c r="R1702" s="8"/>
      <c r="S1702" s="8"/>
      <c r="T1702" s="8"/>
      <c r="U1702" s="8"/>
      <c r="V1702" s="8"/>
      <c r="W1702" s="8"/>
      <c r="X1702" s="8"/>
      <c r="Y1702" s="8"/>
    </row>
    <row r="1703">
      <c r="A1703" s="8"/>
      <c r="B1703" s="8"/>
      <c r="C1703" s="8"/>
      <c r="D1703" s="8"/>
      <c r="E1703" s="8"/>
      <c r="F1703" s="8"/>
      <c r="G1703" s="8"/>
      <c r="H1703" s="8"/>
      <c r="I1703" s="8"/>
      <c r="J1703" s="8"/>
      <c r="K1703" s="8"/>
      <c r="L1703" s="8"/>
      <c r="M1703" s="8"/>
      <c r="N1703" s="8"/>
      <c r="O1703" s="8"/>
      <c r="P1703" s="8"/>
      <c r="Q1703" s="8"/>
      <c r="R1703" s="8"/>
      <c r="S1703" s="8"/>
      <c r="T1703" s="8"/>
      <c r="U1703" s="8"/>
      <c r="V1703" s="8"/>
      <c r="W1703" s="8"/>
      <c r="X1703" s="8"/>
      <c r="Y1703" s="8"/>
    </row>
    <row r="1704">
      <c r="A1704" s="8"/>
      <c r="B1704" s="8"/>
      <c r="C1704" s="8"/>
      <c r="D1704" s="8"/>
      <c r="E1704" s="8"/>
      <c r="F1704" s="8"/>
      <c r="G1704" s="8"/>
      <c r="H1704" s="8"/>
      <c r="I1704" s="8"/>
      <c r="J1704" s="8"/>
      <c r="K1704" s="8"/>
      <c r="L1704" s="8"/>
      <c r="M1704" s="8"/>
      <c r="N1704" s="8"/>
      <c r="O1704" s="8"/>
      <c r="P1704" s="8"/>
      <c r="Q1704" s="8"/>
      <c r="R1704" s="8"/>
      <c r="S1704" s="8"/>
      <c r="T1704" s="8"/>
      <c r="U1704" s="8"/>
      <c r="V1704" s="8"/>
      <c r="W1704" s="8"/>
      <c r="X1704" s="8"/>
      <c r="Y1704" s="8"/>
    </row>
    <row r="1705">
      <c r="A1705" s="8"/>
      <c r="B1705" s="8"/>
      <c r="C1705" s="8"/>
      <c r="D1705" s="8"/>
      <c r="E1705" s="8"/>
      <c r="F1705" s="8"/>
      <c r="G1705" s="8"/>
      <c r="H1705" s="8"/>
      <c r="I1705" s="8"/>
      <c r="J1705" s="8"/>
      <c r="K1705" s="8"/>
      <c r="L1705" s="8"/>
      <c r="M1705" s="8"/>
      <c r="N1705" s="8"/>
      <c r="O1705" s="8"/>
      <c r="P1705" s="8"/>
      <c r="Q1705" s="8"/>
      <c r="R1705" s="8"/>
      <c r="S1705" s="8"/>
      <c r="T1705" s="8"/>
      <c r="U1705" s="8"/>
      <c r="V1705" s="8"/>
      <c r="W1705" s="8"/>
      <c r="X1705" s="8"/>
      <c r="Y1705" s="8"/>
    </row>
    <row r="1706">
      <c r="A1706" s="8"/>
      <c r="B1706" s="8"/>
      <c r="C1706" s="8"/>
      <c r="D1706" s="8"/>
      <c r="E1706" s="8"/>
      <c r="F1706" s="8"/>
      <c r="G1706" s="8"/>
      <c r="H1706" s="8"/>
      <c r="I1706" s="8"/>
      <c r="J1706" s="8"/>
      <c r="K1706" s="8"/>
      <c r="L1706" s="8"/>
      <c r="M1706" s="8"/>
      <c r="N1706" s="8"/>
      <c r="O1706" s="8"/>
      <c r="P1706" s="8"/>
      <c r="Q1706" s="8"/>
      <c r="R1706" s="8"/>
      <c r="S1706" s="8"/>
      <c r="T1706" s="8"/>
      <c r="U1706" s="8"/>
      <c r="V1706" s="8"/>
      <c r="W1706" s="8"/>
      <c r="X1706" s="8"/>
      <c r="Y1706" s="8"/>
    </row>
    <row r="1707">
      <c r="A1707" s="8"/>
      <c r="B1707" s="8"/>
      <c r="C1707" s="8"/>
      <c r="D1707" s="8"/>
      <c r="E1707" s="8"/>
      <c r="F1707" s="8"/>
      <c r="G1707" s="8"/>
      <c r="H1707" s="8"/>
      <c r="I1707" s="8"/>
      <c r="J1707" s="8"/>
      <c r="K1707" s="8"/>
      <c r="L1707" s="8"/>
      <c r="M1707" s="8"/>
      <c r="N1707" s="8"/>
      <c r="O1707" s="8"/>
      <c r="P1707" s="8"/>
      <c r="Q1707" s="8"/>
      <c r="R1707" s="8"/>
      <c r="S1707" s="8"/>
      <c r="T1707" s="8"/>
      <c r="U1707" s="8"/>
      <c r="V1707" s="8"/>
      <c r="W1707" s="8"/>
      <c r="X1707" s="8"/>
      <c r="Y1707" s="8"/>
    </row>
    <row r="1708">
      <c r="A1708" s="8"/>
      <c r="B1708" s="8"/>
      <c r="C1708" s="8"/>
      <c r="D1708" s="8"/>
      <c r="E1708" s="8"/>
      <c r="F1708" s="8"/>
      <c r="G1708" s="8"/>
      <c r="H1708" s="8"/>
      <c r="I1708" s="8"/>
      <c r="J1708" s="8"/>
      <c r="K1708" s="8"/>
      <c r="L1708" s="8"/>
      <c r="M1708" s="8"/>
      <c r="N1708" s="8"/>
      <c r="O1708" s="8"/>
      <c r="P1708" s="8"/>
      <c r="Q1708" s="8"/>
      <c r="R1708" s="8"/>
      <c r="S1708" s="8"/>
      <c r="T1708" s="8"/>
      <c r="U1708" s="8"/>
      <c r="V1708" s="8"/>
      <c r="W1708" s="8"/>
      <c r="X1708" s="8"/>
      <c r="Y1708" s="8"/>
    </row>
    <row r="1709">
      <c r="A1709" s="8"/>
      <c r="B1709" s="8"/>
      <c r="C1709" s="8"/>
      <c r="D1709" s="8"/>
      <c r="E1709" s="8"/>
      <c r="F1709" s="8"/>
      <c r="G1709" s="8"/>
      <c r="H1709" s="8"/>
      <c r="I1709" s="8"/>
      <c r="J1709" s="8"/>
      <c r="K1709" s="8"/>
      <c r="L1709" s="8"/>
      <c r="M1709" s="8"/>
      <c r="N1709" s="8"/>
      <c r="O1709" s="8"/>
      <c r="P1709" s="8"/>
      <c r="Q1709" s="8"/>
      <c r="R1709" s="8"/>
      <c r="S1709" s="8"/>
      <c r="T1709" s="8"/>
      <c r="U1709" s="8"/>
      <c r="V1709" s="8"/>
      <c r="W1709" s="8"/>
      <c r="X1709" s="8"/>
      <c r="Y1709" s="8"/>
    </row>
    <row r="1710">
      <c r="A1710" s="8"/>
      <c r="B1710" s="8"/>
      <c r="C1710" s="8"/>
      <c r="D1710" s="8"/>
      <c r="E1710" s="8"/>
      <c r="F1710" s="8"/>
      <c r="G1710" s="8"/>
      <c r="H1710" s="8"/>
      <c r="I1710" s="8"/>
      <c r="J1710" s="8"/>
      <c r="K1710" s="8"/>
      <c r="L1710" s="8"/>
      <c r="M1710" s="8"/>
      <c r="N1710" s="8"/>
      <c r="O1710" s="8"/>
      <c r="P1710" s="8"/>
      <c r="Q1710" s="8"/>
      <c r="R1710" s="8"/>
      <c r="S1710" s="8"/>
      <c r="T1710" s="8"/>
      <c r="U1710" s="8"/>
      <c r="V1710" s="8"/>
      <c r="W1710" s="8"/>
      <c r="X1710" s="8"/>
      <c r="Y1710" s="8"/>
    </row>
    <row r="1711">
      <c r="A1711" s="8"/>
      <c r="B1711" s="8"/>
      <c r="C1711" s="8"/>
      <c r="D1711" s="8"/>
      <c r="E1711" s="8"/>
      <c r="F1711" s="8"/>
      <c r="G1711" s="8"/>
      <c r="H1711" s="8"/>
      <c r="I1711" s="8"/>
      <c r="J1711" s="8"/>
      <c r="K1711" s="8"/>
      <c r="L1711" s="8"/>
      <c r="M1711" s="8"/>
      <c r="N1711" s="8"/>
      <c r="O1711" s="8"/>
      <c r="P1711" s="8"/>
      <c r="Q1711" s="8"/>
      <c r="R1711" s="8"/>
      <c r="S1711" s="8"/>
      <c r="T1711" s="8"/>
      <c r="U1711" s="8"/>
      <c r="V1711" s="8"/>
      <c r="W1711" s="8"/>
      <c r="X1711" s="8"/>
      <c r="Y1711" s="8"/>
    </row>
    <row r="1712">
      <c r="A1712" s="8"/>
      <c r="B1712" s="8"/>
      <c r="C1712" s="8"/>
      <c r="D1712" s="8"/>
      <c r="E1712" s="8"/>
      <c r="F1712" s="8"/>
      <c r="G1712" s="8"/>
      <c r="H1712" s="8"/>
      <c r="I1712" s="8"/>
      <c r="J1712" s="8"/>
      <c r="K1712" s="8"/>
      <c r="L1712" s="8"/>
      <c r="M1712" s="8"/>
      <c r="N1712" s="8"/>
      <c r="O1712" s="8"/>
      <c r="P1712" s="8"/>
      <c r="Q1712" s="8"/>
      <c r="R1712" s="8"/>
      <c r="S1712" s="8"/>
      <c r="T1712" s="8"/>
      <c r="U1712" s="8"/>
      <c r="V1712" s="8"/>
      <c r="W1712" s="8"/>
      <c r="X1712" s="8"/>
      <c r="Y1712" s="8"/>
    </row>
    <row r="1713">
      <c r="A1713" s="8"/>
      <c r="B1713" s="8"/>
      <c r="C1713" s="8"/>
      <c r="D1713" s="8"/>
      <c r="E1713" s="8"/>
      <c r="F1713" s="8"/>
      <c r="G1713" s="8"/>
      <c r="H1713" s="8"/>
      <c r="I1713" s="8"/>
      <c r="J1713" s="8"/>
      <c r="K1713" s="8"/>
      <c r="L1713" s="8"/>
      <c r="M1713" s="8"/>
      <c r="N1713" s="8"/>
      <c r="O1713" s="8"/>
      <c r="P1713" s="8"/>
      <c r="Q1713" s="8"/>
      <c r="R1713" s="8"/>
      <c r="S1713" s="8"/>
      <c r="T1713" s="8"/>
      <c r="U1713" s="8"/>
      <c r="V1713" s="8"/>
      <c r="W1713" s="8"/>
      <c r="X1713" s="8"/>
      <c r="Y1713" s="8"/>
    </row>
    <row r="1714">
      <c r="A1714" s="8"/>
      <c r="B1714" s="8"/>
      <c r="C1714" s="8"/>
      <c r="D1714" s="8"/>
      <c r="E1714" s="8"/>
      <c r="F1714" s="8"/>
      <c r="G1714" s="8"/>
      <c r="H1714" s="8"/>
      <c r="I1714" s="8"/>
      <c r="J1714" s="8"/>
      <c r="K1714" s="8"/>
      <c r="L1714" s="8"/>
      <c r="M1714" s="8"/>
      <c r="N1714" s="8"/>
      <c r="O1714" s="8"/>
      <c r="P1714" s="8"/>
      <c r="Q1714" s="8"/>
      <c r="R1714" s="8"/>
      <c r="S1714" s="8"/>
      <c r="T1714" s="8"/>
      <c r="U1714" s="8"/>
      <c r="V1714" s="8"/>
      <c r="W1714" s="8"/>
      <c r="X1714" s="8"/>
      <c r="Y1714" s="8"/>
    </row>
    <row r="1715">
      <c r="A1715" s="8"/>
      <c r="B1715" s="8"/>
      <c r="C1715" s="8"/>
      <c r="D1715" s="8"/>
      <c r="E1715" s="8"/>
      <c r="F1715" s="8"/>
      <c r="G1715" s="8"/>
      <c r="H1715" s="8"/>
      <c r="I1715" s="8"/>
      <c r="J1715" s="8"/>
      <c r="K1715" s="8"/>
      <c r="L1715" s="8"/>
      <c r="M1715" s="8"/>
      <c r="N1715" s="8"/>
      <c r="O1715" s="8"/>
      <c r="P1715" s="8"/>
      <c r="Q1715" s="8"/>
      <c r="R1715" s="8"/>
      <c r="S1715" s="8"/>
      <c r="T1715" s="8"/>
      <c r="U1715" s="8"/>
      <c r="V1715" s="8"/>
      <c r="W1715" s="8"/>
      <c r="X1715" s="8"/>
      <c r="Y1715" s="8"/>
    </row>
    <row r="1716">
      <c r="A1716" s="8"/>
      <c r="B1716" s="8"/>
      <c r="C1716" s="8"/>
      <c r="D1716" s="8"/>
      <c r="E1716" s="8"/>
      <c r="F1716" s="8"/>
      <c r="G1716" s="8"/>
      <c r="H1716" s="8"/>
      <c r="I1716" s="8"/>
      <c r="J1716" s="8"/>
      <c r="K1716" s="8"/>
      <c r="L1716" s="8"/>
      <c r="M1716" s="8"/>
      <c r="N1716" s="8"/>
      <c r="O1716" s="8"/>
      <c r="P1716" s="8"/>
      <c r="Q1716" s="8"/>
      <c r="R1716" s="8"/>
      <c r="S1716" s="8"/>
      <c r="T1716" s="8"/>
      <c r="U1716" s="8"/>
      <c r="V1716" s="8"/>
      <c r="W1716" s="8"/>
      <c r="X1716" s="8"/>
      <c r="Y1716" s="8"/>
    </row>
    <row r="1717">
      <c r="A1717" s="8"/>
      <c r="B1717" s="8"/>
      <c r="C1717" s="8"/>
      <c r="D1717" s="8"/>
      <c r="E1717" s="8"/>
      <c r="F1717" s="8"/>
      <c r="G1717" s="8"/>
      <c r="H1717" s="8"/>
      <c r="I1717" s="8"/>
      <c r="J1717" s="8"/>
      <c r="K1717" s="8"/>
      <c r="L1717" s="8"/>
      <c r="M1717" s="8"/>
      <c r="N1717" s="8"/>
      <c r="O1717" s="8"/>
      <c r="P1717" s="8"/>
      <c r="Q1717" s="8"/>
      <c r="R1717" s="8"/>
      <c r="S1717" s="8"/>
      <c r="T1717" s="8"/>
      <c r="U1717" s="8"/>
      <c r="V1717" s="8"/>
      <c r="W1717" s="8"/>
      <c r="X1717" s="8"/>
      <c r="Y1717" s="8"/>
    </row>
    <row r="1718">
      <c r="A1718" s="8"/>
      <c r="B1718" s="8"/>
      <c r="C1718" s="8"/>
      <c r="D1718" s="8"/>
      <c r="E1718" s="8"/>
      <c r="F1718" s="8"/>
      <c r="G1718" s="8"/>
      <c r="H1718" s="8"/>
      <c r="I1718" s="8"/>
      <c r="J1718" s="8"/>
      <c r="K1718" s="8"/>
      <c r="L1718" s="8"/>
      <c r="M1718" s="8"/>
      <c r="N1718" s="8"/>
      <c r="O1718" s="8"/>
      <c r="P1718" s="8"/>
      <c r="Q1718" s="8"/>
      <c r="R1718" s="8"/>
      <c r="S1718" s="8"/>
      <c r="T1718" s="8"/>
      <c r="U1718" s="8"/>
      <c r="V1718" s="8"/>
      <c r="W1718" s="8"/>
      <c r="X1718" s="8"/>
      <c r="Y1718" s="8"/>
    </row>
    <row r="1719">
      <c r="A1719" s="8"/>
      <c r="B1719" s="8"/>
      <c r="C1719" s="8"/>
      <c r="D1719" s="8"/>
      <c r="E1719" s="8"/>
      <c r="F1719" s="8"/>
      <c r="G1719" s="8"/>
      <c r="H1719" s="8"/>
      <c r="I1719" s="8"/>
      <c r="J1719" s="8"/>
      <c r="K1719" s="8"/>
      <c r="L1719" s="8"/>
      <c r="M1719" s="8"/>
      <c r="N1719" s="8"/>
      <c r="O1719" s="8"/>
      <c r="P1719" s="8"/>
      <c r="Q1719" s="8"/>
      <c r="R1719" s="8"/>
      <c r="S1719" s="8"/>
      <c r="T1719" s="8"/>
      <c r="U1719" s="8"/>
      <c r="V1719" s="8"/>
      <c r="W1719" s="8"/>
      <c r="X1719" s="8"/>
      <c r="Y1719" s="8"/>
    </row>
    <row r="1720">
      <c r="A1720" s="8"/>
      <c r="B1720" s="8"/>
      <c r="C1720" s="8"/>
      <c r="D1720" s="8"/>
      <c r="E1720" s="8"/>
      <c r="F1720" s="8"/>
      <c r="G1720" s="8"/>
      <c r="H1720" s="8"/>
      <c r="I1720" s="8"/>
      <c r="J1720" s="8"/>
      <c r="K1720" s="8"/>
      <c r="L1720" s="8"/>
      <c r="M1720" s="8"/>
      <c r="N1720" s="8"/>
      <c r="O1720" s="8"/>
      <c r="P1720" s="8"/>
      <c r="Q1720" s="8"/>
      <c r="R1720" s="8"/>
      <c r="S1720" s="8"/>
      <c r="T1720" s="8"/>
      <c r="U1720" s="8"/>
      <c r="V1720" s="8"/>
      <c r="W1720" s="8"/>
      <c r="X1720" s="8"/>
      <c r="Y1720" s="8"/>
    </row>
    <row r="1721">
      <c r="A1721" s="8"/>
      <c r="B1721" s="8"/>
      <c r="C1721" s="8"/>
      <c r="D1721" s="8"/>
      <c r="E1721" s="8"/>
      <c r="F1721" s="8"/>
      <c r="G1721" s="8"/>
      <c r="H1721" s="8"/>
      <c r="I1721" s="8"/>
      <c r="J1721" s="8"/>
      <c r="K1721" s="8"/>
      <c r="L1721" s="8"/>
      <c r="M1721" s="8"/>
      <c r="N1721" s="8"/>
      <c r="O1721" s="8"/>
      <c r="P1721" s="8"/>
      <c r="Q1721" s="8"/>
      <c r="R1721" s="8"/>
      <c r="S1721" s="8"/>
      <c r="T1721" s="8"/>
      <c r="U1721" s="8"/>
      <c r="V1721" s="8"/>
      <c r="W1721" s="8"/>
      <c r="X1721" s="8"/>
      <c r="Y1721" s="8"/>
    </row>
    <row r="1722">
      <c r="A1722" s="8"/>
      <c r="B1722" s="8"/>
      <c r="C1722" s="8"/>
      <c r="D1722" s="8"/>
      <c r="E1722" s="8"/>
      <c r="F1722" s="8"/>
      <c r="G1722" s="8"/>
      <c r="H1722" s="8"/>
      <c r="I1722" s="8"/>
      <c r="J1722" s="8"/>
      <c r="K1722" s="8"/>
      <c r="L1722" s="8"/>
      <c r="M1722" s="8"/>
      <c r="N1722" s="8"/>
      <c r="O1722" s="8"/>
      <c r="P1722" s="8"/>
      <c r="Q1722" s="8"/>
      <c r="R1722" s="8"/>
      <c r="S1722" s="8"/>
      <c r="T1722" s="8"/>
      <c r="U1722" s="8"/>
      <c r="V1722" s="8"/>
      <c r="W1722" s="8"/>
      <c r="X1722" s="8"/>
      <c r="Y1722" s="8"/>
    </row>
    <row r="1723">
      <c r="A1723" s="8"/>
      <c r="B1723" s="8"/>
      <c r="C1723" s="8"/>
      <c r="D1723" s="8"/>
      <c r="E1723" s="8"/>
      <c r="F1723" s="8"/>
      <c r="G1723" s="8"/>
      <c r="H1723" s="8"/>
      <c r="I1723" s="8"/>
      <c r="J1723" s="8"/>
      <c r="K1723" s="8"/>
      <c r="L1723" s="8"/>
      <c r="M1723" s="8"/>
      <c r="N1723" s="8"/>
      <c r="O1723" s="8"/>
      <c r="P1723" s="8"/>
      <c r="Q1723" s="8"/>
      <c r="R1723" s="8"/>
      <c r="S1723" s="8"/>
      <c r="T1723" s="8"/>
      <c r="U1723" s="8"/>
      <c r="V1723" s="8"/>
      <c r="W1723" s="8"/>
      <c r="X1723" s="8"/>
      <c r="Y1723" s="8"/>
    </row>
    <row r="1724">
      <c r="A1724" s="8"/>
      <c r="B1724" s="8"/>
      <c r="C1724" s="8"/>
      <c r="D1724" s="8"/>
      <c r="E1724" s="8"/>
      <c r="F1724" s="8"/>
      <c r="G1724" s="8"/>
      <c r="H1724" s="8"/>
      <c r="I1724" s="8"/>
      <c r="J1724" s="8"/>
      <c r="K1724" s="8"/>
      <c r="L1724" s="8"/>
      <c r="M1724" s="8"/>
      <c r="N1724" s="8"/>
      <c r="O1724" s="8"/>
      <c r="P1724" s="8"/>
      <c r="Q1724" s="8"/>
      <c r="R1724" s="8"/>
      <c r="S1724" s="8"/>
      <c r="T1724" s="8"/>
      <c r="U1724" s="8"/>
      <c r="V1724" s="8"/>
      <c r="W1724" s="8"/>
      <c r="X1724" s="8"/>
      <c r="Y1724" s="8"/>
    </row>
    <row r="1725">
      <c r="A1725" s="8"/>
      <c r="B1725" s="8"/>
      <c r="C1725" s="8"/>
      <c r="D1725" s="8"/>
      <c r="E1725" s="8"/>
      <c r="F1725" s="8"/>
      <c r="G1725" s="8"/>
      <c r="H1725" s="8"/>
      <c r="I1725" s="8"/>
      <c r="J1725" s="8"/>
      <c r="K1725" s="8"/>
      <c r="L1725" s="8"/>
      <c r="M1725" s="8"/>
      <c r="N1725" s="8"/>
      <c r="O1725" s="8"/>
      <c r="P1725" s="8"/>
      <c r="Q1725" s="8"/>
      <c r="R1725" s="8"/>
      <c r="S1725" s="8"/>
      <c r="T1725" s="8"/>
      <c r="U1725" s="8"/>
      <c r="V1725" s="8"/>
      <c r="W1725" s="8"/>
      <c r="X1725" s="8"/>
      <c r="Y1725" s="8"/>
    </row>
    <row r="1726">
      <c r="A1726" s="8"/>
      <c r="B1726" s="8"/>
      <c r="C1726" s="8"/>
      <c r="D1726" s="8"/>
      <c r="E1726" s="8"/>
      <c r="F1726" s="8"/>
      <c r="G1726" s="8"/>
      <c r="H1726" s="8"/>
      <c r="I1726" s="8"/>
      <c r="J1726" s="8"/>
      <c r="K1726" s="8"/>
      <c r="L1726" s="8"/>
      <c r="M1726" s="8"/>
      <c r="N1726" s="8"/>
      <c r="O1726" s="8"/>
      <c r="P1726" s="8"/>
      <c r="Q1726" s="8"/>
      <c r="R1726" s="8"/>
      <c r="S1726" s="8"/>
      <c r="T1726" s="8"/>
      <c r="U1726" s="8"/>
      <c r="V1726" s="8"/>
      <c r="W1726" s="8"/>
      <c r="X1726" s="8"/>
      <c r="Y1726" s="8"/>
    </row>
    <row r="1727">
      <c r="A1727" s="8"/>
      <c r="B1727" s="8"/>
      <c r="C1727" s="8"/>
      <c r="D1727" s="8"/>
      <c r="E1727" s="8"/>
      <c r="F1727" s="8"/>
      <c r="G1727" s="8"/>
      <c r="H1727" s="8"/>
      <c r="I1727" s="8"/>
      <c r="J1727" s="8"/>
      <c r="K1727" s="8"/>
      <c r="L1727" s="8"/>
      <c r="M1727" s="8"/>
      <c r="N1727" s="8"/>
      <c r="O1727" s="8"/>
      <c r="P1727" s="8"/>
      <c r="Q1727" s="8"/>
      <c r="R1727" s="8"/>
      <c r="S1727" s="8"/>
      <c r="T1727" s="8"/>
      <c r="U1727" s="8"/>
      <c r="V1727" s="8"/>
      <c r="W1727" s="8"/>
      <c r="X1727" s="8"/>
      <c r="Y1727" s="8"/>
    </row>
    <row r="1728">
      <c r="A1728" s="8"/>
      <c r="B1728" s="8"/>
      <c r="C1728" s="8"/>
      <c r="D1728" s="8"/>
      <c r="E1728" s="8"/>
      <c r="F1728" s="8"/>
      <c r="G1728" s="8"/>
      <c r="H1728" s="8"/>
      <c r="I1728" s="8"/>
      <c r="J1728" s="8"/>
      <c r="K1728" s="8"/>
      <c r="L1728" s="8"/>
      <c r="M1728" s="8"/>
      <c r="N1728" s="8"/>
      <c r="O1728" s="8"/>
      <c r="P1728" s="8"/>
      <c r="Q1728" s="8"/>
      <c r="R1728" s="8"/>
      <c r="S1728" s="8"/>
      <c r="T1728" s="8"/>
      <c r="U1728" s="8"/>
      <c r="V1728" s="8"/>
      <c r="W1728" s="8"/>
      <c r="X1728" s="8"/>
      <c r="Y1728" s="8"/>
    </row>
    <row r="1729">
      <c r="A1729" s="8"/>
      <c r="B1729" s="8"/>
      <c r="C1729" s="8"/>
      <c r="D1729" s="8"/>
      <c r="E1729" s="8"/>
      <c r="F1729" s="8"/>
      <c r="G1729" s="8"/>
      <c r="H1729" s="8"/>
      <c r="I1729" s="8"/>
      <c r="J1729" s="8"/>
      <c r="K1729" s="8"/>
      <c r="L1729" s="8"/>
      <c r="M1729" s="8"/>
      <c r="N1729" s="8"/>
      <c r="O1729" s="8"/>
      <c r="P1729" s="8"/>
      <c r="Q1729" s="8"/>
      <c r="R1729" s="8"/>
      <c r="S1729" s="8"/>
      <c r="T1729" s="8"/>
      <c r="U1729" s="8"/>
      <c r="V1729" s="8"/>
      <c r="W1729" s="8"/>
      <c r="X1729" s="8"/>
      <c r="Y1729" s="8"/>
    </row>
    <row r="1730">
      <c r="A1730" s="8"/>
      <c r="B1730" s="8"/>
      <c r="C1730" s="8"/>
      <c r="D1730" s="8"/>
      <c r="E1730" s="8"/>
      <c r="F1730" s="8"/>
      <c r="G1730" s="8"/>
      <c r="H1730" s="8"/>
      <c r="I1730" s="8"/>
      <c r="J1730" s="8"/>
      <c r="K1730" s="8"/>
      <c r="L1730" s="8"/>
      <c r="M1730" s="8"/>
      <c r="N1730" s="8"/>
      <c r="O1730" s="8"/>
      <c r="P1730" s="8"/>
      <c r="Q1730" s="8"/>
      <c r="R1730" s="8"/>
      <c r="S1730" s="8"/>
      <c r="T1730" s="8"/>
      <c r="U1730" s="8"/>
      <c r="V1730" s="8"/>
      <c r="W1730" s="8"/>
      <c r="X1730" s="8"/>
      <c r="Y1730" s="8"/>
    </row>
    <row r="1731">
      <c r="A1731" s="8"/>
      <c r="B1731" s="8"/>
      <c r="C1731" s="8"/>
      <c r="D1731" s="8"/>
      <c r="E1731" s="8"/>
      <c r="F1731" s="8"/>
      <c r="G1731" s="8"/>
      <c r="H1731" s="8"/>
      <c r="I1731" s="8"/>
      <c r="J1731" s="8"/>
      <c r="K1731" s="8"/>
      <c r="L1731" s="8"/>
      <c r="M1731" s="8"/>
      <c r="N1731" s="8"/>
      <c r="O1731" s="8"/>
      <c r="P1731" s="8"/>
      <c r="Q1731" s="8"/>
      <c r="R1731" s="8"/>
      <c r="S1731" s="8"/>
      <c r="T1731" s="8"/>
      <c r="U1731" s="8"/>
      <c r="V1731" s="8"/>
      <c r="W1731" s="8"/>
      <c r="X1731" s="8"/>
      <c r="Y1731" s="8"/>
    </row>
    <row r="1732">
      <c r="A1732" s="8"/>
      <c r="B1732" s="8"/>
      <c r="C1732" s="8"/>
      <c r="D1732" s="8"/>
      <c r="E1732" s="8"/>
      <c r="F1732" s="8"/>
      <c r="G1732" s="8"/>
      <c r="H1732" s="8"/>
      <c r="I1732" s="8"/>
      <c r="J1732" s="8"/>
      <c r="K1732" s="8"/>
      <c r="L1732" s="8"/>
      <c r="M1732" s="8"/>
      <c r="N1732" s="8"/>
      <c r="O1732" s="8"/>
      <c r="P1732" s="8"/>
      <c r="Q1732" s="8"/>
      <c r="R1732" s="8"/>
      <c r="S1732" s="8"/>
      <c r="T1732" s="8"/>
      <c r="U1732" s="8"/>
      <c r="V1732" s="8"/>
      <c r="W1732" s="8"/>
      <c r="X1732" s="8"/>
      <c r="Y1732" s="8"/>
    </row>
    <row r="1733">
      <c r="A1733" s="8"/>
      <c r="B1733" s="8"/>
      <c r="C1733" s="8"/>
      <c r="D1733" s="8"/>
      <c r="E1733" s="8"/>
      <c r="F1733" s="8"/>
      <c r="G1733" s="8"/>
      <c r="H1733" s="8"/>
      <c r="I1733" s="8"/>
      <c r="J1733" s="8"/>
      <c r="K1733" s="8"/>
      <c r="L1733" s="8"/>
      <c r="M1733" s="8"/>
      <c r="N1733" s="8"/>
      <c r="O1733" s="8"/>
      <c r="P1733" s="8"/>
      <c r="Q1733" s="8"/>
      <c r="R1733" s="8"/>
      <c r="S1733" s="8"/>
      <c r="T1733" s="8"/>
      <c r="U1733" s="8"/>
      <c r="V1733" s="8"/>
      <c r="W1733" s="8"/>
      <c r="X1733" s="8"/>
      <c r="Y1733" s="8"/>
    </row>
    <row r="1734">
      <c r="A1734" s="8"/>
      <c r="B1734" s="8"/>
      <c r="C1734" s="8"/>
      <c r="D1734" s="8"/>
      <c r="E1734" s="8"/>
      <c r="F1734" s="8"/>
      <c r="G1734" s="8"/>
      <c r="H1734" s="8"/>
      <c r="I1734" s="8"/>
      <c r="J1734" s="8"/>
      <c r="K1734" s="8"/>
      <c r="L1734" s="8"/>
      <c r="M1734" s="8"/>
      <c r="N1734" s="8"/>
      <c r="O1734" s="8"/>
      <c r="P1734" s="8"/>
      <c r="Q1734" s="8"/>
      <c r="R1734" s="8"/>
      <c r="S1734" s="8"/>
      <c r="T1734" s="8"/>
      <c r="U1734" s="8"/>
      <c r="V1734" s="8"/>
      <c r="W1734" s="8"/>
      <c r="X1734" s="8"/>
      <c r="Y1734" s="8"/>
    </row>
    <row r="1735">
      <c r="A1735" s="8"/>
      <c r="B1735" s="8"/>
      <c r="C1735" s="8"/>
      <c r="D1735" s="8"/>
      <c r="E1735" s="8"/>
      <c r="F1735" s="8"/>
      <c r="G1735" s="8"/>
      <c r="H1735" s="8"/>
      <c r="I1735" s="8"/>
      <c r="J1735" s="8"/>
      <c r="K1735" s="8"/>
      <c r="L1735" s="8"/>
      <c r="M1735" s="8"/>
      <c r="N1735" s="8"/>
      <c r="O1735" s="8"/>
      <c r="P1735" s="8"/>
      <c r="Q1735" s="8"/>
      <c r="R1735" s="8"/>
      <c r="S1735" s="8"/>
      <c r="T1735" s="8"/>
      <c r="U1735" s="8"/>
      <c r="V1735" s="8"/>
      <c r="W1735" s="8"/>
      <c r="X1735" s="8"/>
      <c r="Y1735" s="8"/>
    </row>
    <row r="1736">
      <c r="A1736" s="8"/>
      <c r="B1736" s="8"/>
      <c r="C1736" s="8"/>
      <c r="D1736" s="8"/>
      <c r="E1736" s="8"/>
      <c r="F1736" s="8"/>
      <c r="G1736" s="8"/>
      <c r="H1736" s="8"/>
      <c r="I1736" s="8"/>
      <c r="J1736" s="8"/>
      <c r="K1736" s="8"/>
      <c r="L1736" s="8"/>
      <c r="M1736" s="8"/>
      <c r="N1736" s="8"/>
      <c r="O1736" s="8"/>
      <c r="P1736" s="8"/>
      <c r="Q1736" s="8"/>
      <c r="R1736" s="8"/>
      <c r="S1736" s="8"/>
      <c r="T1736" s="8"/>
      <c r="U1736" s="8"/>
      <c r="V1736" s="8"/>
      <c r="W1736" s="8"/>
      <c r="X1736" s="8"/>
      <c r="Y1736" s="8"/>
    </row>
    <row r="1737">
      <c r="A1737" s="8"/>
      <c r="B1737" s="8"/>
      <c r="C1737" s="8"/>
      <c r="D1737" s="8"/>
      <c r="E1737" s="8"/>
      <c r="F1737" s="8"/>
      <c r="G1737" s="8"/>
      <c r="H1737" s="8"/>
      <c r="I1737" s="8"/>
      <c r="J1737" s="8"/>
      <c r="K1737" s="8"/>
      <c r="L1737" s="8"/>
      <c r="M1737" s="8"/>
      <c r="N1737" s="8"/>
      <c r="O1737" s="8"/>
      <c r="P1737" s="8"/>
      <c r="Q1737" s="8"/>
      <c r="R1737" s="8"/>
      <c r="S1737" s="8"/>
      <c r="T1737" s="8"/>
      <c r="U1737" s="8"/>
      <c r="V1737" s="8"/>
      <c r="W1737" s="8"/>
      <c r="X1737" s="8"/>
      <c r="Y1737" s="8"/>
    </row>
    <row r="1738">
      <c r="A1738" s="8"/>
      <c r="B1738" s="8"/>
      <c r="C1738" s="8"/>
      <c r="D1738" s="8"/>
      <c r="E1738" s="8"/>
      <c r="F1738" s="8"/>
      <c r="G1738" s="8"/>
      <c r="H1738" s="8"/>
      <c r="I1738" s="8"/>
      <c r="J1738" s="8"/>
      <c r="K1738" s="8"/>
      <c r="L1738" s="8"/>
      <c r="M1738" s="8"/>
      <c r="N1738" s="8"/>
      <c r="O1738" s="8"/>
      <c r="P1738" s="8"/>
      <c r="Q1738" s="8"/>
      <c r="R1738" s="8"/>
      <c r="S1738" s="8"/>
      <c r="T1738" s="8"/>
      <c r="U1738" s="8"/>
      <c r="V1738" s="8"/>
      <c r="W1738" s="8"/>
      <c r="X1738" s="8"/>
      <c r="Y1738" s="8"/>
    </row>
    <row r="1739">
      <c r="A1739" s="8"/>
      <c r="B1739" s="8"/>
      <c r="C1739" s="8"/>
      <c r="D1739" s="8"/>
      <c r="E1739" s="8"/>
      <c r="F1739" s="8"/>
      <c r="G1739" s="8"/>
      <c r="H1739" s="8"/>
      <c r="I1739" s="8"/>
      <c r="J1739" s="8"/>
      <c r="K1739" s="8"/>
      <c r="L1739" s="8"/>
      <c r="M1739" s="8"/>
      <c r="N1739" s="8"/>
      <c r="O1739" s="8"/>
      <c r="P1739" s="8"/>
      <c r="Q1739" s="8"/>
      <c r="R1739" s="8"/>
      <c r="S1739" s="8"/>
      <c r="T1739" s="8"/>
      <c r="U1739" s="8"/>
      <c r="V1739" s="8"/>
      <c r="W1739" s="8"/>
      <c r="X1739" s="8"/>
      <c r="Y1739" s="8"/>
    </row>
    <row r="1740">
      <c r="A1740" s="8"/>
      <c r="B1740" s="8"/>
      <c r="C1740" s="8"/>
      <c r="D1740" s="8"/>
      <c r="E1740" s="8"/>
      <c r="F1740" s="8"/>
      <c r="G1740" s="8"/>
      <c r="H1740" s="8"/>
      <c r="I1740" s="8"/>
      <c r="J1740" s="8"/>
      <c r="K1740" s="8"/>
      <c r="L1740" s="8"/>
      <c r="M1740" s="8"/>
      <c r="N1740" s="8"/>
      <c r="O1740" s="8"/>
      <c r="P1740" s="8"/>
      <c r="Q1740" s="8"/>
      <c r="R1740" s="8"/>
      <c r="S1740" s="8"/>
      <c r="T1740" s="8"/>
      <c r="U1740" s="8"/>
      <c r="V1740" s="8"/>
      <c r="W1740" s="8"/>
      <c r="X1740" s="8"/>
      <c r="Y1740" s="8"/>
    </row>
    <row r="1741">
      <c r="A1741" s="8"/>
      <c r="B1741" s="8"/>
      <c r="C1741" s="8"/>
      <c r="D1741" s="8"/>
      <c r="E1741" s="8"/>
      <c r="F1741" s="8"/>
      <c r="G1741" s="8"/>
      <c r="H1741" s="8"/>
      <c r="I1741" s="8"/>
      <c r="J1741" s="8"/>
      <c r="K1741" s="8"/>
      <c r="L1741" s="8"/>
      <c r="M1741" s="8"/>
      <c r="N1741" s="8"/>
      <c r="O1741" s="8"/>
      <c r="P1741" s="8"/>
      <c r="Q1741" s="8"/>
      <c r="R1741" s="8"/>
      <c r="S1741" s="8"/>
      <c r="T1741" s="8"/>
      <c r="U1741" s="8"/>
      <c r="V1741" s="8"/>
      <c r="W1741" s="8"/>
      <c r="X1741" s="8"/>
      <c r="Y1741" s="8"/>
    </row>
    <row r="1742">
      <c r="A1742" s="8"/>
      <c r="B1742" s="8"/>
      <c r="C1742" s="8"/>
      <c r="D1742" s="8"/>
      <c r="E1742" s="8"/>
      <c r="F1742" s="8"/>
      <c r="G1742" s="8"/>
      <c r="H1742" s="8"/>
      <c r="I1742" s="8"/>
      <c r="J1742" s="8"/>
      <c r="K1742" s="8"/>
      <c r="L1742" s="8"/>
      <c r="M1742" s="8"/>
      <c r="N1742" s="8"/>
      <c r="O1742" s="8"/>
      <c r="P1742" s="8"/>
      <c r="Q1742" s="8"/>
      <c r="R1742" s="8"/>
      <c r="S1742" s="8"/>
      <c r="T1742" s="8"/>
      <c r="U1742" s="8"/>
      <c r="V1742" s="8"/>
      <c r="W1742" s="8"/>
      <c r="X1742" s="8"/>
      <c r="Y1742" s="8"/>
    </row>
    <row r="1743">
      <c r="A1743" s="8"/>
      <c r="B1743" s="8"/>
      <c r="C1743" s="8"/>
      <c r="D1743" s="8"/>
      <c r="E1743" s="8"/>
      <c r="F1743" s="8"/>
      <c r="G1743" s="8"/>
      <c r="H1743" s="8"/>
      <c r="I1743" s="8"/>
      <c r="J1743" s="8"/>
      <c r="K1743" s="8"/>
      <c r="L1743" s="8"/>
      <c r="M1743" s="8"/>
      <c r="N1743" s="8"/>
      <c r="O1743" s="8"/>
      <c r="P1743" s="8"/>
      <c r="Q1743" s="8"/>
      <c r="R1743" s="8"/>
      <c r="S1743" s="8"/>
      <c r="T1743" s="8"/>
      <c r="U1743" s="8"/>
      <c r="V1743" s="8"/>
      <c r="W1743" s="8"/>
      <c r="X1743" s="8"/>
      <c r="Y1743" s="8"/>
    </row>
    <row r="1744">
      <c r="A1744" s="8"/>
      <c r="B1744" s="8"/>
      <c r="C1744" s="8"/>
      <c r="D1744" s="8"/>
      <c r="E1744" s="8"/>
      <c r="F1744" s="8"/>
      <c r="G1744" s="8"/>
      <c r="H1744" s="8"/>
      <c r="I1744" s="8"/>
      <c r="J1744" s="8"/>
      <c r="K1744" s="8"/>
      <c r="L1744" s="8"/>
      <c r="M1744" s="8"/>
      <c r="N1744" s="8"/>
      <c r="O1744" s="8"/>
      <c r="P1744" s="8"/>
      <c r="Q1744" s="8"/>
      <c r="R1744" s="8"/>
      <c r="S1744" s="8"/>
      <c r="T1744" s="8"/>
      <c r="U1744" s="8"/>
      <c r="V1744" s="8"/>
      <c r="W1744" s="8"/>
      <c r="X1744" s="8"/>
      <c r="Y1744" s="8"/>
    </row>
    <row r="1745">
      <c r="A1745" s="8"/>
      <c r="B1745" s="8"/>
      <c r="C1745" s="8"/>
      <c r="D1745" s="8"/>
      <c r="E1745" s="8"/>
      <c r="F1745" s="8"/>
      <c r="G1745" s="8"/>
      <c r="H1745" s="8"/>
      <c r="I1745" s="8"/>
      <c r="J1745" s="8"/>
      <c r="K1745" s="8"/>
      <c r="L1745" s="8"/>
      <c r="M1745" s="8"/>
      <c r="N1745" s="8"/>
      <c r="O1745" s="8"/>
      <c r="P1745" s="8"/>
      <c r="Q1745" s="8"/>
      <c r="R1745" s="8"/>
      <c r="S1745" s="8"/>
      <c r="T1745" s="8"/>
      <c r="U1745" s="8"/>
      <c r="V1745" s="8"/>
      <c r="W1745" s="8"/>
      <c r="X1745" s="8"/>
      <c r="Y1745" s="8"/>
    </row>
    <row r="1746">
      <c r="A1746" s="8"/>
      <c r="B1746" s="8"/>
      <c r="C1746" s="8"/>
      <c r="D1746" s="8"/>
      <c r="E1746" s="8"/>
      <c r="F1746" s="8"/>
      <c r="G1746" s="8"/>
      <c r="H1746" s="8"/>
      <c r="I1746" s="8"/>
      <c r="J1746" s="8"/>
      <c r="K1746" s="8"/>
      <c r="L1746" s="8"/>
      <c r="M1746" s="8"/>
      <c r="N1746" s="8"/>
      <c r="O1746" s="8"/>
      <c r="P1746" s="8"/>
      <c r="Q1746" s="8"/>
      <c r="R1746" s="8"/>
      <c r="S1746" s="8"/>
      <c r="T1746" s="8"/>
      <c r="U1746" s="8"/>
      <c r="V1746" s="8"/>
      <c r="W1746" s="8"/>
      <c r="X1746" s="8"/>
      <c r="Y1746" s="8"/>
    </row>
    <row r="1747">
      <c r="A1747" s="8"/>
      <c r="B1747" s="8"/>
      <c r="C1747" s="8"/>
      <c r="D1747" s="8"/>
      <c r="E1747" s="8"/>
      <c r="F1747" s="8"/>
      <c r="G1747" s="8"/>
      <c r="H1747" s="8"/>
      <c r="I1747" s="8"/>
      <c r="J1747" s="8"/>
      <c r="K1747" s="8"/>
      <c r="L1747" s="8"/>
      <c r="M1747" s="8"/>
      <c r="N1747" s="8"/>
      <c r="O1747" s="8"/>
      <c r="P1747" s="8"/>
      <c r="Q1747" s="8"/>
      <c r="R1747" s="8"/>
      <c r="S1747" s="8"/>
      <c r="T1747" s="8"/>
      <c r="U1747" s="8"/>
      <c r="V1747" s="8"/>
      <c r="W1747" s="8"/>
      <c r="X1747" s="8"/>
      <c r="Y1747" s="8"/>
    </row>
    <row r="1748">
      <c r="A1748" s="8"/>
      <c r="B1748" s="8"/>
      <c r="C1748" s="8"/>
      <c r="D1748" s="8"/>
      <c r="E1748" s="8"/>
      <c r="F1748" s="8"/>
      <c r="G1748" s="8"/>
      <c r="H1748" s="8"/>
      <c r="I1748" s="8"/>
      <c r="J1748" s="8"/>
      <c r="K1748" s="8"/>
      <c r="L1748" s="8"/>
      <c r="M1748" s="8"/>
      <c r="N1748" s="8"/>
      <c r="O1748" s="8"/>
      <c r="P1748" s="8"/>
      <c r="Q1748" s="8"/>
      <c r="R1748" s="8"/>
      <c r="S1748" s="8"/>
      <c r="T1748" s="8"/>
      <c r="U1748" s="8"/>
      <c r="V1748" s="8"/>
      <c r="W1748" s="8"/>
      <c r="X1748" s="8"/>
      <c r="Y1748" s="8"/>
    </row>
    <row r="1749">
      <c r="A1749" s="8"/>
      <c r="B1749" s="8"/>
      <c r="C1749" s="8"/>
      <c r="D1749" s="8"/>
      <c r="E1749" s="8"/>
      <c r="F1749" s="8"/>
      <c r="G1749" s="8"/>
      <c r="H1749" s="8"/>
      <c r="I1749" s="8"/>
      <c r="J1749" s="8"/>
      <c r="K1749" s="8"/>
      <c r="L1749" s="8"/>
      <c r="M1749" s="8"/>
      <c r="N1749" s="8"/>
      <c r="O1749" s="8"/>
      <c r="P1749" s="8"/>
      <c r="Q1749" s="8"/>
      <c r="R1749" s="8"/>
      <c r="S1749" s="8"/>
      <c r="T1749" s="8"/>
      <c r="U1749" s="8"/>
      <c r="V1749" s="8"/>
      <c r="W1749" s="8"/>
      <c r="X1749" s="8"/>
      <c r="Y1749" s="8"/>
    </row>
    <row r="1750">
      <c r="A1750" s="8"/>
      <c r="B1750" s="8"/>
      <c r="C1750" s="8"/>
      <c r="D1750" s="8"/>
      <c r="E1750" s="8"/>
      <c r="F1750" s="8"/>
      <c r="G1750" s="8"/>
      <c r="H1750" s="8"/>
      <c r="I1750" s="8"/>
      <c r="J1750" s="8"/>
      <c r="K1750" s="8"/>
      <c r="L1750" s="8"/>
      <c r="M1750" s="8"/>
      <c r="N1750" s="8"/>
      <c r="O1750" s="8"/>
      <c r="P1750" s="8"/>
      <c r="Q1750" s="8"/>
      <c r="R1750" s="8"/>
      <c r="S1750" s="8"/>
      <c r="T1750" s="8"/>
      <c r="U1750" s="8"/>
      <c r="V1750" s="8"/>
      <c r="W1750" s="8"/>
      <c r="X1750" s="8"/>
      <c r="Y1750" s="8"/>
    </row>
    <row r="1751">
      <c r="A1751" s="8"/>
      <c r="B1751" s="8"/>
      <c r="C1751" s="8"/>
      <c r="D1751" s="8"/>
      <c r="E1751" s="8"/>
      <c r="F1751" s="8"/>
      <c r="G1751" s="8"/>
      <c r="H1751" s="8"/>
      <c r="I1751" s="8"/>
      <c r="J1751" s="8"/>
      <c r="K1751" s="8"/>
      <c r="L1751" s="8"/>
      <c r="M1751" s="8"/>
      <c r="N1751" s="8"/>
      <c r="O1751" s="8"/>
      <c r="P1751" s="8"/>
      <c r="Q1751" s="8"/>
      <c r="R1751" s="8"/>
      <c r="S1751" s="8"/>
      <c r="T1751" s="8"/>
      <c r="U1751" s="8"/>
      <c r="V1751" s="8"/>
      <c r="W1751" s="8"/>
      <c r="X1751" s="8"/>
      <c r="Y1751" s="8"/>
    </row>
    <row r="1752">
      <c r="A1752" s="8"/>
      <c r="B1752" s="8"/>
      <c r="C1752" s="8"/>
      <c r="D1752" s="8"/>
      <c r="E1752" s="8"/>
      <c r="F1752" s="8"/>
      <c r="G1752" s="8"/>
      <c r="H1752" s="8"/>
      <c r="I1752" s="8"/>
      <c r="J1752" s="8"/>
      <c r="K1752" s="8"/>
      <c r="L1752" s="8"/>
      <c r="M1752" s="8"/>
      <c r="N1752" s="8"/>
      <c r="O1752" s="8"/>
      <c r="P1752" s="8"/>
      <c r="Q1752" s="8"/>
      <c r="R1752" s="8"/>
      <c r="S1752" s="8"/>
      <c r="T1752" s="8"/>
      <c r="U1752" s="8"/>
      <c r="V1752" s="8"/>
      <c r="W1752" s="8"/>
      <c r="X1752" s="8"/>
      <c r="Y1752" s="8"/>
    </row>
    <row r="1753">
      <c r="A1753" s="8"/>
      <c r="B1753" s="8"/>
      <c r="C1753" s="8"/>
      <c r="D1753" s="8"/>
      <c r="E1753" s="8"/>
      <c r="F1753" s="8"/>
      <c r="G1753" s="8"/>
      <c r="H1753" s="8"/>
      <c r="I1753" s="8"/>
      <c r="J1753" s="8"/>
      <c r="K1753" s="8"/>
      <c r="L1753" s="8"/>
      <c r="M1753" s="8"/>
      <c r="N1753" s="8"/>
      <c r="O1753" s="8"/>
      <c r="P1753" s="8"/>
      <c r="Q1753" s="8"/>
      <c r="R1753" s="8"/>
      <c r="S1753" s="8"/>
      <c r="T1753" s="8"/>
      <c r="U1753" s="8"/>
      <c r="V1753" s="8"/>
      <c r="W1753" s="8"/>
      <c r="X1753" s="8"/>
      <c r="Y1753" s="8"/>
    </row>
    <row r="1754">
      <c r="A1754" s="8"/>
      <c r="B1754" s="8"/>
      <c r="C1754" s="8"/>
      <c r="D1754" s="8"/>
      <c r="E1754" s="8"/>
      <c r="F1754" s="8"/>
      <c r="G1754" s="8"/>
      <c r="H1754" s="8"/>
      <c r="I1754" s="8"/>
      <c r="J1754" s="8"/>
      <c r="K1754" s="8"/>
      <c r="L1754" s="8"/>
      <c r="M1754" s="8"/>
      <c r="N1754" s="8"/>
      <c r="O1754" s="8"/>
      <c r="P1754" s="8"/>
      <c r="Q1754" s="8"/>
      <c r="R1754" s="8"/>
      <c r="S1754" s="8"/>
      <c r="T1754" s="8"/>
      <c r="U1754" s="8"/>
      <c r="V1754" s="8"/>
      <c r="W1754" s="8"/>
      <c r="X1754" s="8"/>
      <c r="Y1754" s="8"/>
    </row>
    <row r="1755">
      <c r="A1755" s="8"/>
      <c r="B1755" s="8"/>
      <c r="C1755" s="8"/>
      <c r="D1755" s="8"/>
      <c r="E1755" s="8"/>
      <c r="F1755" s="8"/>
      <c r="G1755" s="8"/>
      <c r="H1755" s="8"/>
      <c r="I1755" s="8"/>
      <c r="J1755" s="8"/>
      <c r="K1755" s="8"/>
      <c r="L1755" s="8"/>
      <c r="M1755" s="8"/>
      <c r="N1755" s="8"/>
      <c r="O1755" s="8"/>
      <c r="P1755" s="8"/>
      <c r="Q1755" s="8"/>
      <c r="R1755" s="8"/>
      <c r="S1755" s="8"/>
      <c r="T1755" s="8"/>
      <c r="U1755" s="8"/>
      <c r="V1755" s="8"/>
      <c r="W1755" s="8"/>
      <c r="X1755" s="8"/>
      <c r="Y1755" s="8"/>
    </row>
    <row r="1756">
      <c r="A1756" s="8"/>
      <c r="B1756" s="8"/>
      <c r="C1756" s="8"/>
      <c r="D1756" s="8"/>
      <c r="E1756" s="8"/>
      <c r="F1756" s="8"/>
      <c r="G1756" s="8"/>
      <c r="H1756" s="8"/>
      <c r="I1756" s="8"/>
      <c r="J1756" s="8"/>
      <c r="K1756" s="8"/>
      <c r="L1756" s="8"/>
      <c r="M1756" s="8"/>
      <c r="N1756" s="8"/>
      <c r="O1756" s="8"/>
      <c r="P1756" s="8"/>
      <c r="Q1756" s="8"/>
      <c r="R1756" s="8"/>
      <c r="S1756" s="8"/>
      <c r="T1756" s="8"/>
      <c r="U1756" s="8"/>
      <c r="V1756" s="8"/>
      <c r="W1756" s="8"/>
      <c r="X1756" s="8"/>
      <c r="Y1756" s="8"/>
    </row>
    <row r="1757">
      <c r="A1757" s="8"/>
      <c r="B1757" s="8"/>
      <c r="C1757" s="8"/>
      <c r="D1757" s="8"/>
      <c r="E1757" s="8"/>
      <c r="F1757" s="8"/>
      <c r="G1757" s="8"/>
      <c r="H1757" s="8"/>
      <c r="I1757" s="8"/>
      <c r="J1757" s="8"/>
      <c r="K1757" s="8"/>
      <c r="L1757" s="8"/>
      <c r="M1757" s="8"/>
      <c r="N1757" s="8"/>
      <c r="O1757" s="8"/>
      <c r="P1757" s="8"/>
      <c r="Q1757" s="8"/>
      <c r="R1757" s="8"/>
      <c r="S1757" s="8"/>
      <c r="T1757" s="8"/>
      <c r="U1757" s="8"/>
      <c r="V1757" s="8"/>
      <c r="W1757" s="8"/>
      <c r="X1757" s="8"/>
      <c r="Y1757" s="8"/>
    </row>
    <row r="1758">
      <c r="A1758" s="8"/>
      <c r="B1758" s="8"/>
      <c r="C1758" s="8"/>
      <c r="D1758" s="8"/>
      <c r="E1758" s="8"/>
      <c r="F1758" s="8"/>
      <c r="G1758" s="8"/>
      <c r="H1758" s="8"/>
      <c r="I1758" s="8"/>
      <c r="J1758" s="8"/>
      <c r="K1758" s="8"/>
      <c r="L1758" s="8"/>
      <c r="M1758" s="8"/>
      <c r="N1758" s="8"/>
      <c r="O1758" s="8"/>
      <c r="P1758" s="8"/>
      <c r="Q1758" s="8"/>
      <c r="R1758" s="8"/>
      <c r="S1758" s="8"/>
      <c r="T1758" s="8"/>
      <c r="U1758" s="8"/>
      <c r="V1758" s="8"/>
      <c r="W1758" s="8"/>
      <c r="X1758" s="8"/>
      <c r="Y1758" s="8"/>
    </row>
    <row r="1759">
      <c r="A1759" s="8"/>
      <c r="B1759" s="8"/>
      <c r="C1759" s="8"/>
      <c r="D1759" s="8"/>
      <c r="E1759" s="8"/>
      <c r="F1759" s="8"/>
      <c r="G1759" s="8"/>
      <c r="H1759" s="8"/>
      <c r="I1759" s="8"/>
      <c r="J1759" s="8"/>
      <c r="K1759" s="8"/>
      <c r="L1759" s="8"/>
      <c r="M1759" s="8"/>
      <c r="N1759" s="8"/>
      <c r="O1759" s="8"/>
      <c r="P1759" s="8"/>
      <c r="Q1759" s="8"/>
      <c r="R1759" s="8"/>
      <c r="S1759" s="8"/>
      <c r="T1759" s="8"/>
      <c r="U1759" s="8"/>
      <c r="V1759" s="8"/>
      <c r="W1759" s="8"/>
      <c r="X1759" s="8"/>
      <c r="Y1759" s="8"/>
    </row>
    <row r="1760">
      <c r="A1760" s="8"/>
      <c r="B1760" s="8"/>
      <c r="C1760" s="8"/>
      <c r="D1760" s="8"/>
      <c r="E1760" s="8"/>
      <c r="F1760" s="8"/>
      <c r="G1760" s="8"/>
      <c r="H1760" s="8"/>
      <c r="I1760" s="8"/>
      <c r="J1760" s="8"/>
      <c r="K1760" s="8"/>
      <c r="L1760" s="8"/>
      <c r="M1760" s="8"/>
      <c r="N1760" s="8"/>
      <c r="O1760" s="8"/>
      <c r="P1760" s="8"/>
      <c r="Q1760" s="8"/>
      <c r="R1760" s="8"/>
      <c r="S1760" s="8"/>
      <c r="T1760" s="8"/>
      <c r="U1760" s="8"/>
      <c r="V1760" s="8"/>
      <c r="W1760" s="8"/>
      <c r="X1760" s="8"/>
      <c r="Y1760" s="8"/>
    </row>
    <row r="1761">
      <c r="A1761" s="8"/>
      <c r="B1761" s="8"/>
      <c r="C1761" s="8"/>
      <c r="D1761" s="8"/>
      <c r="E1761" s="8"/>
      <c r="F1761" s="8"/>
      <c r="G1761" s="8"/>
      <c r="H1761" s="8"/>
      <c r="I1761" s="8"/>
      <c r="J1761" s="8"/>
      <c r="K1761" s="8"/>
      <c r="L1761" s="8"/>
      <c r="M1761" s="8"/>
      <c r="N1761" s="8"/>
      <c r="O1761" s="8"/>
      <c r="P1761" s="8"/>
      <c r="Q1761" s="8"/>
      <c r="R1761" s="8"/>
      <c r="S1761" s="8"/>
      <c r="T1761" s="8"/>
      <c r="U1761" s="8"/>
      <c r="V1761" s="8"/>
      <c r="W1761" s="8"/>
      <c r="X1761" s="8"/>
      <c r="Y1761" s="8"/>
    </row>
    <row r="1762">
      <c r="A1762" s="8"/>
      <c r="B1762" s="8"/>
      <c r="C1762" s="8"/>
      <c r="D1762" s="8"/>
      <c r="E1762" s="8"/>
      <c r="F1762" s="8"/>
      <c r="G1762" s="8"/>
      <c r="H1762" s="8"/>
      <c r="I1762" s="8"/>
      <c r="J1762" s="8"/>
      <c r="K1762" s="8"/>
      <c r="L1762" s="8"/>
      <c r="M1762" s="8"/>
      <c r="N1762" s="8"/>
      <c r="O1762" s="8"/>
      <c r="P1762" s="8"/>
      <c r="Q1762" s="8"/>
      <c r="R1762" s="8"/>
      <c r="S1762" s="8"/>
      <c r="T1762" s="8"/>
      <c r="U1762" s="8"/>
      <c r="V1762" s="8"/>
      <c r="W1762" s="8"/>
      <c r="X1762" s="8"/>
      <c r="Y1762" s="8"/>
    </row>
    <row r="1763">
      <c r="A1763" s="8"/>
      <c r="B1763" s="8"/>
      <c r="C1763" s="8"/>
      <c r="D1763" s="8"/>
      <c r="E1763" s="8"/>
      <c r="F1763" s="8"/>
      <c r="G1763" s="8"/>
      <c r="H1763" s="8"/>
      <c r="I1763" s="8"/>
      <c r="J1763" s="8"/>
      <c r="K1763" s="8"/>
      <c r="L1763" s="8"/>
      <c r="M1763" s="8"/>
      <c r="N1763" s="8"/>
      <c r="O1763" s="8"/>
      <c r="P1763" s="8"/>
      <c r="Q1763" s="8"/>
      <c r="R1763" s="8"/>
      <c r="S1763" s="8"/>
      <c r="T1763" s="8"/>
      <c r="U1763" s="8"/>
      <c r="V1763" s="8"/>
      <c r="W1763" s="8"/>
      <c r="X1763" s="8"/>
      <c r="Y1763" s="8"/>
    </row>
    <row r="1764">
      <c r="A1764" s="8"/>
      <c r="B1764" s="8"/>
      <c r="C1764" s="8"/>
      <c r="D1764" s="8"/>
      <c r="E1764" s="8"/>
      <c r="F1764" s="8"/>
      <c r="G1764" s="8"/>
      <c r="H1764" s="8"/>
      <c r="I1764" s="8"/>
      <c r="J1764" s="8"/>
      <c r="K1764" s="8"/>
      <c r="L1764" s="8"/>
      <c r="M1764" s="8"/>
      <c r="N1764" s="8"/>
      <c r="O1764" s="8"/>
      <c r="P1764" s="8"/>
      <c r="Q1764" s="8"/>
      <c r="R1764" s="8"/>
      <c r="S1764" s="8"/>
      <c r="T1764" s="8"/>
      <c r="U1764" s="8"/>
      <c r="V1764" s="8"/>
      <c r="W1764" s="8"/>
      <c r="X1764" s="8"/>
      <c r="Y1764" s="8"/>
    </row>
    <row r="1765">
      <c r="A1765" s="8"/>
      <c r="B1765" s="8"/>
      <c r="C1765" s="8"/>
      <c r="D1765" s="8"/>
      <c r="E1765" s="8"/>
      <c r="F1765" s="8"/>
      <c r="G1765" s="8"/>
      <c r="H1765" s="8"/>
      <c r="I1765" s="8"/>
      <c r="J1765" s="8"/>
      <c r="K1765" s="8"/>
      <c r="L1765" s="8"/>
      <c r="M1765" s="8"/>
      <c r="N1765" s="8"/>
      <c r="O1765" s="8"/>
      <c r="P1765" s="8"/>
      <c r="Q1765" s="8"/>
      <c r="R1765" s="8"/>
      <c r="S1765" s="8"/>
      <c r="T1765" s="8"/>
      <c r="U1765" s="8"/>
      <c r="V1765" s="8"/>
      <c r="W1765" s="8"/>
      <c r="X1765" s="8"/>
      <c r="Y1765" s="8"/>
    </row>
    <row r="1766">
      <c r="A1766" s="8"/>
      <c r="B1766" s="8"/>
      <c r="C1766" s="8"/>
      <c r="D1766" s="8"/>
      <c r="E1766" s="8"/>
      <c r="F1766" s="8"/>
      <c r="G1766" s="8"/>
      <c r="H1766" s="8"/>
      <c r="I1766" s="8"/>
      <c r="J1766" s="8"/>
      <c r="K1766" s="8"/>
      <c r="L1766" s="8"/>
      <c r="M1766" s="8"/>
      <c r="N1766" s="8"/>
      <c r="O1766" s="8"/>
      <c r="P1766" s="8"/>
      <c r="Q1766" s="8"/>
      <c r="R1766" s="8"/>
      <c r="S1766" s="8"/>
      <c r="T1766" s="8"/>
      <c r="U1766" s="8"/>
      <c r="V1766" s="8"/>
      <c r="W1766" s="8"/>
      <c r="X1766" s="8"/>
      <c r="Y1766" s="8"/>
    </row>
    <row r="1767">
      <c r="A1767" s="8"/>
      <c r="B1767" s="8"/>
      <c r="C1767" s="8"/>
      <c r="D1767" s="8"/>
      <c r="E1767" s="8"/>
      <c r="F1767" s="8"/>
      <c r="G1767" s="8"/>
      <c r="H1767" s="8"/>
      <c r="I1767" s="8"/>
      <c r="J1767" s="8"/>
      <c r="K1767" s="8"/>
      <c r="L1767" s="8"/>
      <c r="M1767" s="8"/>
      <c r="N1767" s="8"/>
      <c r="O1767" s="8"/>
      <c r="P1767" s="8"/>
      <c r="Q1767" s="8"/>
      <c r="R1767" s="8"/>
      <c r="S1767" s="8"/>
      <c r="T1767" s="8"/>
      <c r="U1767" s="8"/>
      <c r="V1767" s="8"/>
      <c r="W1767" s="8"/>
      <c r="X1767" s="8"/>
      <c r="Y1767" s="8"/>
    </row>
    <row r="1768">
      <c r="A1768" s="8"/>
      <c r="B1768" s="8"/>
      <c r="C1768" s="8"/>
      <c r="D1768" s="8"/>
      <c r="E1768" s="8"/>
      <c r="F1768" s="8"/>
      <c r="G1768" s="8"/>
      <c r="H1768" s="8"/>
      <c r="I1768" s="8"/>
      <c r="J1768" s="8"/>
      <c r="K1768" s="8"/>
      <c r="L1768" s="8"/>
      <c r="M1768" s="8"/>
      <c r="N1768" s="8"/>
      <c r="O1768" s="8"/>
      <c r="P1768" s="8"/>
      <c r="Q1768" s="8"/>
      <c r="R1768" s="8"/>
      <c r="S1768" s="8"/>
      <c r="T1768" s="8"/>
      <c r="U1768" s="8"/>
      <c r="V1768" s="8"/>
      <c r="W1768" s="8"/>
      <c r="X1768" s="8"/>
      <c r="Y1768" s="8"/>
    </row>
    <row r="1769">
      <c r="A1769" s="8"/>
      <c r="B1769" s="8"/>
      <c r="C1769" s="8"/>
      <c r="D1769" s="8"/>
      <c r="E1769" s="8"/>
      <c r="F1769" s="8"/>
      <c r="G1769" s="8"/>
      <c r="H1769" s="8"/>
      <c r="I1769" s="8"/>
      <c r="J1769" s="8"/>
      <c r="K1769" s="8"/>
      <c r="L1769" s="8"/>
      <c r="M1769" s="8"/>
      <c r="N1769" s="8"/>
      <c r="O1769" s="8"/>
      <c r="P1769" s="8"/>
      <c r="Q1769" s="8"/>
      <c r="R1769" s="8"/>
      <c r="S1769" s="8"/>
      <c r="T1769" s="8"/>
      <c r="U1769" s="8"/>
      <c r="V1769" s="8"/>
      <c r="W1769" s="8"/>
      <c r="X1769" s="8"/>
      <c r="Y1769" s="8"/>
    </row>
    <row r="1770">
      <c r="A1770" s="8"/>
      <c r="B1770" s="8"/>
      <c r="C1770" s="8"/>
      <c r="D1770" s="8"/>
      <c r="E1770" s="8"/>
      <c r="F1770" s="8"/>
      <c r="G1770" s="8"/>
      <c r="H1770" s="8"/>
      <c r="I1770" s="8"/>
      <c r="J1770" s="8"/>
      <c r="K1770" s="8"/>
      <c r="L1770" s="8"/>
      <c r="M1770" s="8"/>
      <c r="N1770" s="8"/>
      <c r="O1770" s="8"/>
      <c r="P1770" s="8"/>
      <c r="Q1770" s="8"/>
      <c r="R1770" s="8"/>
      <c r="S1770" s="8"/>
      <c r="T1770" s="8"/>
      <c r="U1770" s="8"/>
      <c r="V1770" s="8"/>
      <c r="W1770" s="8"/>
      <c r="X1770" s="8"/>
      <c r="Y1770" s="8"/>
    </row>
    <row r="1771">
      <c r="A1771" s="8"/>
      <c r="B1771" s="8"/>
      <c r="C1771" s="8"/>
      <c r="D1771" s="8"/>
      <c r="E1771" s="8"/>
      <c r="F1771" s="8"/>
      <c r="G1771" s="8"/>
      <c r="H1771" s="8"/>
      <c r="I1771" s="8"/>
      <c r="J1771" s="8"/>
      <c r="K1771" s="8"/>
      <c r="L1771" s="8"/>
      <c r="M1771" s="8"/>
      <c r="N1771" s="8"/>
      <c r="O1771" s="8"/>
      <c r="P1771" s="8"/>
      <c r="Q1771" s="8"/>
      <c r="R1771" s="8"/>
      <c r="S1771" s="8"/>
      <c r="T1771" s="8"/>
      <c r="U1771" s="8"/>
      <c r="V1771" s="8"/>
      <c r="W1771" s="8"/>
      <c r="X1771" s="8"/>
      <c r="Y1771" s="8"/>
    </row>
    <row r="1772">
      <c r="A1772" s="8"/>
      <c r="B1772" s="8"/>
      <c r="C1772" s="8"/>
      <c r="D1772" s="8"/>
      <c r="E1772" s="8"/>
      <c r="F1772" s="8"/>
      <c r="G1772" s="8"/>
      <c r="H1772" s="8"/>
      <c r="I1772" s="8"/>
      <c r="J1772" s="8"/>
      <c r="K1772" s="8"/>
      <c r="L1772" s="8"/>
      <c r="M1772" s="8"/>
      <c r="N1772" s="8"/>
      <c r="O1772" s="8"/>
      <c r="P1772" s="8"/>
      <c r="Q1772" s="8"/>
      <c r="R1772" s="8"/>
      <c r="S1772" s="8"/>
      <c r="T1772" s="8"/>
      <c r="U1772" s="8"/>
      <c r="V1772" s="8"/>
      <c r="W1772" s="8"/>
      <c r="X1772" s="8"/>
      <c r="Y1772" s="8"/>
    </row>
    <row r="1773">
      <c r="A1773" s="8"/>
      <c r="B1773" s="8"/>
      <c r="C1773" s="8"/>
      <c r="D1773" s="8"/>
      <c r="E1773" s="8"/>
      <c r="F1773" s="8"/>
      <c r="G1773" s="8"/>
      <c r="H1773" s="8"/>
      <c r="I1773" s="8"/>
      <c r="J1773" s="8"/>
      <c r="K1773" s="8"/>
      <c r="L1773" s="8"/>
      <c r="M1773" s="8"/>
      <c r="N1773" s="8"/>
      <c r="O1773" s="8"/>
      <c r="P1773" s="8"/>
      <c r="Q1773" s="8"/>
      <c r="R1773" s="8"/>
      <c r="S1773" s="8"/>
      <c r="T1773" s="8"/>
      <c r="U1773" s="8"/>
      <c r="V1773" s="8"/>
      <c r="W1773" s="8"/>
      <c r="X1773" s="8"/>
      <c r="Y1773" s="8"/>
    </row>
    <row r="1774">
      <c r="A1774" s="8"/>
      <c r="B1774" s="8"/>
      <c r="C1774" s="8"/>
      <c r="D1774" s="8"/>
      <c r="E1774" s="8"/>
      <c r="F1774" s="8"/>
      <c r="G1774" s="8"/>
      <c r="H1774" s="8"/>
      <c r="I1774" s="8"/>
      <c r="J1774" s="8"/>
      <c r="K1774" s="8"/>
      <c r="L1774" s="8"/>
      <c r="M1774" s="8"/>
      <c r="N1774" s="8"/>
      <c r="O1774" s="8"/>
      <c r="P1774" s="8"/>
      <c r="Q1774" s="8"/>
      <c r="R1774" s="8"/>
      <c r="S1774" s="8"/>
      <c r="T1774" s="8"/>
      <c r="U1774" s="8"/>
      <c r="V1774" s="8"/>
      <c r="W1774" s="8"/>
      <c r="X1774" s="8"/>
      <c r="Y1774" s="8"/>
    </row>
    <row r="1775">
      <c r="A1775" s="8"/>
      <c r="B1775" s="8"/>
      <c r="C1775" s="8"/>
      <c r="D1775" s="8"/>
      <c r="E1775" s="8"/>
      <c r="F1775" s="8"/>
      <c r="G1775" s="8"/>
      <c r="H1775" s="8"/>
      <c r="I1775" s="8"/>
      <c r="J1775" s="8"/>
      <c r="K1775" s="8"/>
      <c r="L1775" s="8"/>
      <c r="M1775" s="8"/>
      <c r="N1775" s="8"/>
      <c r="O1775" s="8"/>
      <c r="P1775" s="8"/>
      <c r="Q1775" s="8"/>
      <c r="R1775" s="8"/>
      <c r="S1775" s="8"/>
      <c r="T1775" s="8"/>
      <c r="U1775" s="8"/>
      <c r="V1775" s="8"/>
      <c r="W1775" s="8"/>
      <c r="X1775" s="8"/>
      <c r="Y1775" s="8"/>
    </row>
    <row r="1776">
      <c r="A1776" s="8"/>
      <c r="B1776" s="8"/>
      <c r="C1776" s="8"/>
      <c r="D1776" s="8"/>
      <c r="E1776" s="8"/>
      <c r="F1776" s="8"/>
      <c r="G1776" s="8"/>
      <c r="H1776" s="8"/>
      <c r="I1776" s="8"/>
      <c r="J1776" s="8"/>
      <c r="K1776" s="8"/>
      <c r="L1776" s="8"/>
      <c r="M1776" s="8"/>
      <c r="N1776" s="8"/>
      <c r="O1776" s="8"/>
      <c r="P1776" s="8"/>
      <c r="Q1776" s="8"/>
      <c r="R1776" s="8"/>
      <c r="S1776" s="8"/>
      <c r="T1776" s="8"/>
      <c r="U1776" s="8"/>
      <c r="V1776" s="8"/>
      <c r="W1776" s="8"/>
      <c r="X1776" s="8"/>
      <c r="Y1776" s="8"/>
    </row>
    <row r="1777">
      <c r="A1777" s="8"/>
      <c r="B1777" s="8"/>
      <c r="C1777" s="8"/>
      <c r="D1777" s="8"/>
      <c r="E1777" s="8"/>
      <c r="F1777" s="8"/>
      <c r="G1777" s="8"/>
      <c r="H1777" s="8"/>
      <c r="I1777" s="8"/>
      <c r="J1777" s="8"/>
      <c r="K1777" s="8"/>
      <c r="L1777" s="8"/>
      <c r="M1777" s="8"/>
      <c r="N1777" s="8"/>
      <c r="O1777" s="8"/>
      <c r="P1777" s="8"/>
      <c r="Q1777" s="8"/>
      <c r="R1777" s="8"/>
      <c r="S1777" s="8"/>
      <c r="T1777" s="8"/>
      <c r="U1777" s="8"/>
      <c r="V1777" s="8"/>
      <c r="W1777" s="8"/>
      <c r="X1777" s="8"/>
      <c r="Y1777" s="8"/>
    </row>
    <row r="1778">
      <c r="A1778" s="8"/>
      <c r="B1778" s="8"/>
      <c r="C1778" s="8"/>
      <c r="D1778" s="8"/>
      <c r="E1778" s="8"/>
      <c r="F1778" s="8"/>
      <c r="G1778" s="8"/>
      <c r="H1778" s="8"/>
      <c r="I1778" s="8"/>
      <c r="J1778" s="8"/>
      <c r="K1778" s="8"/>
      <c r="L1778" s="8"/>
      <c r="M1778" s="8"/>
      <c r="N1778" s="8"/>
      <c r="O1778" s="8"/>
      <c r="P1778" s="8"/>
      <c r="Q1778" s="8"/>
      <c r="R1778" s="8"/>
      <c r="S1778" s="8"/>
      <c r="T1778" s="8"/>
      <c r="U1778" s="8"/>
      <c r="V1778" s="8"/>
      <c r="W1778" s="8"/>
      <c r="X1778" s="8"/>
      <c r="Y1778" s="8"/>
    </row>
    <row r="1779">
      <c r="A1779" s="8"/>
      <c r="B1779" s="8"/>
      <c r="C1779" s="8"/>
      <c r="D1779" s="8"/>
      <c r="E1779" s="8"/>
      <c r="F1779" s="8"/>
      <c r="G1779" s="8"/>
      <c r="H1779" s="8"/>
      <c r="I1779" s="8"/>
      <c r="J1779" s="8"/>
      <c r="K1779" s="8"/>
      <c r="L1779" s="8"/>
      <c r="M1779" s="8"/>
      <c r="N1779" s="8"/>
      <c r="O1779" s="8"/>
      <c r="P1779" s="8"/>
      <c r="Q1779" s="8"/>
      <c r="R1779" s="8"/>
      <c r="S1779" s="8"/>
      <c r="T1779" s="8"/>
      <c r="U1779" s="8"/>
      <c r="V1779" s="8"/>
      <c r="W1779" s="8"/>
      <c r="X1779" s="8"/>
      <c r="Y1779" s="8"/>
    </row>
    <row r="1780">
      <c r="A1780" s="8"/>
      <c r="B1780" s="8"/>
      <c r="C1780" s="8"/>
      <c r="D1780" s="8"/>
      <c r="E1780" s="8"/>
      <c r="F1780" s="8"/>
      <c r="G1780" s="8"/>
      <c r="H1780" s="8"/>
      <c r="I1780" s="8"/>
      <c r="J1780" s="8"/>
      <c r="K1780" s="8"/>
      <c r="L1780" s="8"/>
      <c r="M1780" s="8"/>
      <c r="N1780" s="8"/>
      <c r="O1780" s="8"/>
      <c r="P1780" s="8"/>
      <c r="Q1780" s="8"/>
      <c r="R1780" s="8"/>
      <c r="S1780" s="8"/>
      <c r="T1780" s="8"/>
      <c r="U1780" s="8"/>
      <c r="V1780" s="8"/>
      <c r="W1780" s="8"/>
      <c r="X1780" s="8"/>
      <c r="Y1780" s="8"/>
    </row>
    <row r="1781">
      <c r="A1781" s="8"/>
      <c r="B1781" s="8"/>
      <c r="C1781" s="8"/>
      <c r="D1781" s="8"/>
      <c r="E1781" s="8"/>
      <c r="F1781" s="8"/>
      <c r="G1781" s="8"/>
      <c r="H1781" s="8"/>
      <c r="I1781" s="8"/>
      <c r="J1781" s="8"/>
      <c r="K1781" s="8"/>
      <c r="L1781" s="8"/>
      <c r="M1781" s="8"/>
      <c r="N1781" s="8"/>
      <c r="O1781" s="8"/>
      <c r="P1781" s="8"/>
      <c r="Q1781" s="8"/>
      <c r="R1781" s="8"/>
      <c r="S1781" s="8"/>
      <c r="T1781" s="8"/>
      <c r="U1781" s="8"/>
      <c r="V1781" s="8"/>
      <c r="W1781" s="8"/>
      <c r="X1781" s="8"/>
      <c r="Y1781" s="8"/>
    </row>
    <row r="1782">
      <c r="A1782" s="8"/>
      <c r="B1782" s="8"/>
      <c r="C1782" s="8"/>
      <c r="D1782" s="8"/>
      <c r="E1782" s="8"/>
      <c r="F1782" s="8"/>
      <c r="G1782" s="8"/>
      <c r="H1782" s="8"/>
      <c r="I1782" s="8"/>
      <c r="J1782" s="8"/>
      <c r="K1782" s="8"/>
      <c r="L1782" s="8"/>
      <c r="M1782" s="8"/>
      <c r="N1782" s="8"/>
      <c r="O1782" s="8"/>
      <c r="P1782" s="8"/>
      <c r="Q1782" s="8"/>
      <c r="R1782" s="8"/>
      <c r="S1782" s="8"/>
      <c r="T1782" s="8"/>
      <c r="U1782" s="8"/>
      <c r="V1782" s="8"/>
      <c r="W1782" s="8"/>
      <c r="X1782" s="8"/>
      <c r="Y1782" s="8"/>
    </row>
    <row r="1783">
      <c r="A1783" s="8"/>
      <c r="B1783" s="8"/>
      <c r="C1783" s="8"/>
      <c r="D1783" s="8"/>
      <c r="E1783" s="8"/>
      <c r="F1783" s="8"/>
      <c r="G1783" s="8"/>
      <c r="H1783" s="8"/>
      <c r="I1783" s="8"/>
      <c r="J1783" s="8"/>
      <c r="K1783" s="8"/>
      <c r="L1783" s="8"/>
      <c r="M1783" s="8"/>
      <c r="N1783" s="8"/>
      <c r="O1783" s="8"/>
      <c r="P1783" s="8"/>
      <c r="Q1783" s="8"/>
      <c r="R1783" s="8"/>
      <c r="S1783" s="8"/>
      <c r="T1783" s="8"/>
      <c r="U1783" s="8"/>
      <c r="V1783" s="8"/>
      <c r="W1783" s="8"/>
      <c r="X1783" s="8"/>
      <c r="Y1783" s="8"/>
    </row>
    <row r="1784">
      <c r="A1784" s="8"/>
      <c r="B1784" s="8"/>
      <c r="C1784" s="8"/>
      <c r="D1784" s="8"/>
      <c r="E1784" s="8"/>
      <c r="F1784" s="8"/>
      <c r="G1784" s="8"/>
      <c r="H1784" s="8"/>
      <c r="I1784" s="8"/>
      <c r="J1784" s="8"/>
      <c r="K1784" s="8"/>
      <c r="L1784" s="8"/>
      <c r="M1784" s="8"/>
      <c r="N1784" s="8"/>
      <c r="O1784" s="8"/>
      <c r="P1784" s="8"/>
      <c r="Q1784" s="8"/>
      <c r="R1784" s="8"/>
      <c r="S1784" s="8"/>
      <c r="T1784" s="8"/>
      <c r="U1784" s="8"/>
      <c r="V1784" s="8"/>
      <c r="W1784" s="8"/>
      <c r="X1784" s="8"/>
      <c r="Y1784" s="8"/>
    </row>
    <row r="1785">
      <c r="A1785" s="8"/>
      <c r="B1785" s="8"/>
      <c r="C1785" s="8"/>
      <c r="D1785" s="8"/>
      <c r="E1785" s="8"/>
      <c r="F1785" s="8"/>
      <c r="G1785" s="8"/>
      <c r="H1785" s="8"/>
      <c r="I1785" s="8"/>
      <c r="J1785" s="8"/>
      <c r="K1785" s="8"/>
      <c r="L1785" s="8"/>
      <c r="M1785" s="8"/>
      <c r="N1785" s="8"/>
      <c r="O1785" s="8"/>
      <c r="P1785" s="8"/>
      <c r="Q1785" s="8"/>
      <c r="R1785" s="8"/>
      <c r="S1785" s="8"/>
      <c r="T1785" s="8"/>
      <c r="U1785" s="8"/>
      <c r="V1785" s="8"/>
      <c r="W1785" s="8"/>
      <c r="X1785" s="8"/>
      <c r="Y1785" s="8"/>
    </row>
    <row r="1786">
      <c r="A1786" s="8"/>
      <c r="B1786" s="8"/>
      <c r="C1786" s="8"/>
      <c r="D1786" s="8"/>
      <c r="E1786" s="8"/>
      <c r="F1786" s="8"/>
      <c r="G1786" s="8"/>
      <c r="H1786" s="8"/>
      <c r="I1786" s="8"/>
      <c r="J1786" s="8"/>
      <c r="K1786" s="8"/>
      <c r="L1786" s="8"/>
      <c r="M1786" s="8"/>
      <c r="N1786" s="8"/>
      <c r="O1786" s="8"/>
      <c r="P1786" s="8"/>
      <c r="Q1786" s="8"/>
      <c r="R1786" s="8"/>
      <c r="S1786" s="8"/>
      <c r="T1786" s="8"/>
      <c r="U1786" s="8"/>
      <c r="V1786" s="8"/>
      <c r="W1786" s="8"/>
      <c r="X1786" s="8"/>
      <c r="Y1786" s="8"/>
    </row>
    <row r="1787">
      <c r="A1787" s="8"/>
      <c r="B1787" s="8"/>
      <c r="C1787" s="8"/>
      <c r="D1787" s="8"/>
      <c r="E1787" s="8"/>
      <c r="F1787" s="8"/>
      <c r="G1787" s="8"/>
      <c r="H1787" s="8"/>
      <c r="I1787" s="8"/>
      <c r="J1787" s="8"/>
      <c r="K1787" s="8"/>
      <c r="L1787" s="8"/>
      <c r="M1787" s="8"/>
      <c r="N1787" s="8"/>
      <c r="O1787" s="8"/>
      <c r="P1787" s="8"/>
      <c r="Q1787" s="8"/>
      <c r="R1787" s="8"/>
      <c r="S1787" s="8"/>
      <c r="T1787" s="8"/>
      <c r="U1787" s="8"/>
      <c r="V1787" s="8"/>
      <c r="W1787" s="8"/>
      <c r="X1787" s="8"/>
      <c r="Y1787" s="8"/>
    </row>
    <row r="1788">
      <c r="A1788" s="8"/>
      <c r="B1788" s="8"/>
      <c r="C1788" s="8"/>
      <c r="D1788" s="8"/>
      <c r="E1788" s="8"/>
      <c r="F1788" s="8"/>
      <c r="G1788" s="8"/>
      <c r="H1788" s="8"/>
      <c r="I1788" s="8"/>
      <c r="J1788" s="8"/>
      <c r="K1788" s="8"/>
      <c r="L1788" s="8"/>
      <c r="M1788" s="8"/>
      <c r="N1788" s="8"/>
      <c r="O1788" s="8"/>
      <c r="P1788" s="8"/>
      <c r="Q1788" s="8"/>
      <c r="R1788" s="8"/>
      <c r="S1788" s="8"/>
      <c r="T1788" s="8"/>
      <c r="U1788" s="8"/>
      <c r="V1788" s="8"/>
      <c r="W1788" s="8"/>
      <c r="X1788" s="8"/>
      <c r="Y1788" s="8"/>
    </row>
    <row r="1789">
      <c r="A1789" s="8"/>
      <c r="B1789" s="8"/>
      <c r="C1789" s="8"/>
      <c r="D1789" s="8"/>
      <c r="E1789" s="8"/>
      <c r="F1789" s="8"/>
      <c r="G1789" s="8"/>
      <c r="H1789" s="8"/>
      <c r="I1789" s="8"/>
      <c r="J1789" s="8"/>
      <c r="K1789" s="8"/>
      <c r="L1789" s="8"/>
      <c r="M1789" s="8"/>
      <c r="N1789" s="8"/>
      <c r="O1789" s="8"/>
      <c r="P1789" s="8"/>
      <c r="Q1789" s="8"/>
      <c r="R1789" s="8"/>
      <c r="S1789" s="8"/>
      <c r="T1789" s="8"/>
      <c r="U1789" s="8"/>
      <c r="V1789" s="8"/>
      <c r="W1789" s="8"/>
      <c r="X1789" s="8"/>
      <c r="Y1789" s="8"/>
    </row>
    <row r="1790">
      <c r="A1790" s="8"/>
      <c r="B1790" s="8"/>
      <c r="C1790" s="8"/>
      <c r="D1790" s="8"/>
      <c r="E1790" s="8"/>
      <c r="F1790" s="8"/>
      <c r="G1790" s="8"/>
      <c r="H1790" s="8"/>
      <c r="I1790" s="8"/>
      <c r="J1790" s="8"/>
      <c r="K1790" s="8"/>
      <c r="L1790" s="8"/>
      <c r="M1790" s="8"/>
      <c r="N1790" s="8"/>
      <c r="O1790" s="8"/>
      <c r="P1790" s="8"/>
      <c r="Q1790" s="8"/>
      <c r="R1790" s="8"/>
      <c r="S1790" s="8"/>
      <c r="T1790" s="8"/>
      <c r="U1790" s="8"/>
      <c r="V1790" s="8"/>
      <c r="W1790" s="8"/>
      <c r="X1790" s="8"/>
      <c r="Y1790" s="8"/>
    </row>
    <row r="1791">
      <c r="A1791" s="8"/>
      <c r="B1791" s="8"/>
      <c r="C1791" s="8"/>
      <c r="D1791" s="8"/>
      <c r="E1791" s="8"/>
      <c r="F1791" s="8"/>
      <c r="G1791" s="8"/>
      <c r="H1791" s="8"/>
      <c r="I1791" s="8"/>
      <c r="J1791" s="8"/>
      <c r="K1791" s="8"/>
      <c r="L1791" s="8"/>
      <c r="M1791" s="8"/>
      <c r="N1791" s="8"/>
      <c r="O1791" s="8"/>
      <c r="P1791" s="8"/>
      <c r="Q1791" s="8"/>
      <c r="R1791" s="8"/>
      <c r="S1791" s="8"/>
      <c r="T1791" s="8"/>
      <c r="U1791" s="8"/>
      <c r="V1791" s="8"/>
      <c r="W1791" s="8"/>
      <c r="X1791" s="8"/>
      <c r="Y1791" s="8"/>
    </row>
    <row r="1792">
      <c r="A1792" s="8"/>
      <c r="B1792" s="8"/>
      <c r="C1792" s="8"/>
      <c r="D1792" s="8"/>
      <c r="E1792" s="8"/>
      <c r="F1792" s="8"/>
      <c r="G1792" s="8"/>
      <c r="H1792" s="8"/>
      <c r="I1792" s="8"/>
      <c r="J1792" s="8"/>
      <c r="K1792" s="8"/>
      <c r="L1792" s="8"/>
      <c r="M1792" s="8"/>
      <c r="N1792" s="8"/>
      <c r="O1792" s="8"/>
      <c r="P1792" s="8"/>
      <c r="Q1792" s="8"/>
      <c r="R1792" s="8"/>
      <c r="S1792" s="8"/>
      <c r="T1792" s="8"/>
      <c r="U1792" s="8"/>
      <c r="V1792" s="8"/>
      <c r="W1792" s="8"/>
      <c r="X1792" s="8"/>
      <c r="Y1792" s="8"/>
    </row>
    <row r="1793">
      <c r="A1793" s="8"/>
      <c r="B1793" s="8"/>
      <c r="C1793" s="8"/>
      <c r="D1793" s="8"/>
      <c r="E1793" s="8"/>
      <c r="F1793" s="8"/>
      <c r="G1793" s="8"/>
      <c r="H1793" s="8"/>
      <c r="I1793" s="8"/>
      <c r="J1793" s="8"/>
      <c r="K1793" s="8"/>
      <c r="L1793" s="8"/>
      <c r="M1793" s="8"/>
      <c r="N1793" s="8"/>
      <c r="O1793" s="8"/>
      <c r="P1793" s="8"/>
      <c r="Q1793" s="8"/>
      <c r="R1793" s="8"/>
      <c r="S1793" s="8"/>
      <c r="T1793" s="8"/>
      <c r="U1793" s="8"/>
      <c r="V1793" s="8"/>
      <c r="W1793" s="8"/>
      <c r="X1793" s="8"/>
      <c r="Y1793" s="8"/>
    </row>
    <row r="1794">
      <c r="A1794" s="8"/>
      <c r="B1794" s="8"/>
      <c r="C1794" s="8"/>
      <c r="D1794" s="8"/>
      <c r="E1794" s="8"/>
      <c r="F1794" s="8"/>
      <c r="G1794" s="8"/>
      <c r="H1794" s="8"/>
      <c r="I1794" s="8"/>
      <c r="J1794" s="8"/>
      <c r="K1794" s="8"/>
      <c r="L1794" s="8"/>
      <c r="M1794" s="8"/>
      <c r="N1794" s="8"/>
      <c r="O1794" s="8"/>
      <c r="P1794" s="8"/>
      <c r="Q1794" s="8"/>
      <c r="R1794" s="8"/>
      <c r="S1794" s="8"/>
      <c r="T1794" s="8"/>
      <c r="U1794" s="8"/>
      <c r="V1794" s="8"/>
      <c r="W1794" s="8"/>
      <c r="X1794" s="8"/>
      <c r="Y1794" s="8"/>
    </row>
    <row r="1795">
      <c r="A1795" s="8"/>
      <c r="B1795" s="8"/>
      <c r="C1795" s="8"/>
      <c r="D1795" s="8"/>
      <c r="E1795" s="8"/>
      <c r="F1795" s="8"/>
      <c r="G1795" s="8"/>
      <c r="H1795" s="8"/>
      <c r="I1795" s="8"/>
      <c r="J1795" s="8"/>
      <c r="K1795" s="8"/>
      <c r="L1795" s="8"/>
      <c r="M1795" s="8"/>
      <c r="N1795" s="8"/>
      <c r="O1795" s="8"/>
      <c r="P1795" s="8"/>
      <c r="Q1795" s="8"/>
      <c r="R1795" s="8"/>
      <c r="S1795" s="8"/>
      <c r="T1795" s="8"/>
      <c r="U1795" s="8"/>
      <c r="V1795" s="8"/>
      <c r="W1795" s="8"/>
      <c r="X1795" s="8"/>
      <c r="Y1795" s="8"/>
    </row>
    <row r="1796">
      <c r="A1796" s="8"/>
      <c r="B1796" s="8"/>
      <c r="C1796" s="8"/>
      <c r="D1796" s="8"/>
      <c r="E1796" s="8"/>
      <c r="F1796" s="8"/>
      <c r="G1796" s="8"/>
      <c r="H1796" s="8"/>
      <c r="I1796" s="8"/>
      <c r="J1796" s="8"/>
      <c r="K1796" s="8"/>
      <c r="L1796" s="8"/>
      <c r="M1796" s="8"/>
      <c r="N1796" s="8"/>
      <c r="O1796" s="8"/>
      <c r="P1796" s="8"/>
      <c r="Q1796" s="8"/>
      <c r="R1796" s="8"/>
      <c r="S1796" s="8"/>
      <c r="T1796" s="8"/>
      <c r="U1796" s="8"/>
      <c r="V1796" s="8"/>
      <c r="W1796" s="8"/>
      <c r="X1796" s="8"/>
      <c r="Y1796" s="8"/>
    </row>
    <row r="1797">
      <c r="A1797" s="8"/>
      <c r="B1797" s="8"/>
      <c r="C1797" s="8"/>
      <c r="D1797" s="8"/>
      <c r="E1797" s="8"/>
      <c r="F1797" s="8"/>
      <c r="G1797" s="8"/>
      <c r="H1797" s="8"/>
      <c r="I1797" s="8"/>
      <c r="J1797" s="8"/>
      <c r="K1797" s="8"/>
      <c r="L1797" s="8"/>
      <c r="M1797" s="8"/>
      <c r="N1797" s="8"/>
      <c r="O1797" s="8"/>
      <c r="P1797" s="8"/>
      <c r="Q1797" s="8"/>
      <c r="R1797" s="8"/>
      <c r="S1797" s="8"/>
      <c r="T1797" s="8"/>
      <c r="U1797" s="8"/>
      <c r="V1797" s="8"/>
      <c r="W1797" s="8"/>
      <c r="X1797" s="8"/>
      <c r="Y1797" s="8"/>
    </row>
    <row r="1798">
      <c r="A1798" s="8"/>
      <c r="B1798" s="8"/>
      <c r="C1798" s="8"/>
      <c r="D1798" s="8"/>
      <c r="E1798" s="8"/>
      <c r="F1798" s="8"/>
      <c r="G1798" s="8"/>
      <c r="H1798" s="8"/>
      <c r="I1798" s="8"/>
      <c r="J1798" s="8"/>
      <c r="K1798" s="8"/>
      <c r="L1798" s="8"/>
      <c r="M1798" s="8"/>
      <c r="N1798" s="8"/>
      <c r="O1798" s="8"/>
      <c r="P1798" s="8"/>
      <c r="Q1798" s="8"/>
      <c r="R1798" s="8"/>
      <c r="S1798" s="8"/>
      <c r="T1798" s="8"/>
      <c r="U1798" s="8"/>
      <c r="V1798" s="8"/>
      <c r="W1798" s="8"/>
      <c r="X1798" s="8"/>
      <c r="Y1798" s="8"/>
    </row>
    <row r="1799">
      <c r="A1799" s="8"/>
      <c r="B1799" s="8"/>
      <c r="C1799" s="8"/>
      <c r="D1799" s="8"/>
      <c r="E1799" s="8"/>
      <c r="F1799" s="8"/>
      <c r="G1799" s="8"/>
      <c r="H1799" s="8"/>
      <c r="I1799" s="8"/>
      <c r="J1799" s="8"/>
      <c r="K1799" s="8"/>
      <c r="L1799" s="8"/>
      <c r="M1799" s="8"/>
      <c r="N1799" s="8"/>
      <c r="O1799" s="8"/>
      <c r="P1799" s="8"/>
      <c r="Q1799" s="8"/>
      <c r="R1799" s="8"/>
      <c r="S1799" s="8"/>
      <c r="T1799" s="8"/>
      <c r="U1799" s="8"/>
      <c r="V1799" s="8"/>
      <c r="W1799" s="8"/>
      <c r="X1799" s="8"/>
      <c r="Y1799" s="8"/>
    </row>
    <row r="1800">
      <c r="A1800" s="8"/>
      <c r="B1800" s="8"/>
      <c r="C1800" s="8"/>
      <c r="D1800" s="8"/>
      <c r="E1800" s="8"/>
      <c r="F1800" s="8"/>
      <c r="G1800" s="8"/>
      <c r="H1800" s="8"/>
      <c r="I1800" s="8"/>
      <c r="J1800" s="8"/>
      <c r="K1800" s="8"/>
      <c r="L1800" s="8"/>
      <c r="M1800" s="8"/>
      <c r="N1800" s="8"/>
      <c r="O1800" s="8"/>
      <c r="P1800" s="8"/>
      <c r="Q1800" s="8"/>
      <c r="R1800" s="8"/>
      <c r="S1800" s="8"/>
      <c r="T1800" s="8"/>
      <c r="U1800" s="8"/>
      <c r="V1800" s="8"/>
      <c r="W1800" s="8"/>
      <c r="X1800" s="8"/>
      <c r="Y1800" s="8"/>
    </row>
    <row r="1801">
      <c r="A1801" s="8"/>
      <c r="B1801" s="8"/>
      <c r="C1801" s="8"/>
      <c r="D1801" s="8"/>
      <c r="E1801" s="8"/>
      <c r="F1801" s="8"/>
      <c r="G1801" s="8"/>
      <c r="H1801" s="8"/>
      <c r="I1801" s="8"/>
      <c r="J1801" s="8"/>
      <c r="K1801" s="8"/>
      <c r="L1801" s="8"/>
      <c r="M1801" s="8"/>
      <c r="N1801" s="8"/>
      <c r="O1801" s="8"/>
      <c r="P1801" s="8"/>
      <c r="Q1801" s="8"/>
      <c r="R1801" s="8"/>
      <c r="S1801" s="8"/>
      <c r="T1801" s="8"/>
      <c r="U1801" s="8"/>
      <c r="V1801" s="8"/>
      <c r="W1801" s="8"/>
      <c r="X1801" s="8"/>
      <c r="Y1801" s="8"/>
    </row>
    <row r="1802">
      <c r="A1802" s="8"/>
      <c r="B1802" s="8"/>
      <c r="C1802" s="8"/>
      <c r="D1802" s="8"/>
      <c r="E1802" s="8"/>
      <c r="F1802" s="8"/>
      <c r="G1802" s="8"/>
      <c r="H1802" s="8"/>
      <c r="I1802" s="8"/>
      <c r="J1802" s="8"/>
      <c r="K1802" s="8"/>
      <c r="L1802" s="8"/>
      <c r="M1802" s="8"/>
      <c r="N1802" s="8"/>
      <c r="O1802" s="8"/>
      <c r="P1802" s="8"/>
      <c r="Q1802" s="8"/>
      <c r="R1802" s="8"/>
      <c r="S1802" s="8"/>
      <c r="T1802" s="8"/>
      <c r="U1802" s="8"/>
      <c r="V1802" s="8"/>
      <c r="W1802" s="8"/>
      <c r="X1802" s="8"/>
      <c r="Y1802" s="8"/>
    </row>
    <row r="1803">
      <c r="A1803" s="8"/>
      <c r="B1803" s="8"/>
      <c r="C1803" s="8"/>
      <c r="D1803" s="8"/>
      <c r="E1803" s="8"/>
      <c r="F1803" s="8"/>
      <c r="G1803" s="8"/>
      <c r="H1803" s="8"/>
      <c r="I1803" s="8"/>
      <c r="J1803" s="8"/>
      <c r="K1803" s="8"/>
      <c r="L1803" s="8"/>
      <c r="M1803" s="8"/>
      <c r="N1803" s="8"/>
      <c r="O1803" s="8"/>
      <c r="P1803" s="8"/>
      <c r="Q1803" s="8"/>
      <c r="R1803" s="8"/>
      <c r="S1803" s="8"/>
      <c r="T1803" s="8"/>
      <c r="U1803" s="8"/>
      <c r="V1803" s="8"/>
      <c r="W1803" s="8"/>
      <c r="X1803" s="8"/>
      <c r="Y1803" s="8"/>
    </row>
    <row r="1804">
      <c r="A1804" s="8"/>
      <c r="B1804" s="8"/>
      <c r="C1804" s="8"/>
      <c r="D1804" s="8"/>
      <c r="E1804" s="8"/>
      <c r="F1804" s="8"/>
      <c r="G1804" s="8"/>
      <c r="H1804" s="8"/>
      <c r="I1804" s="8"/>
      <c r="J1804" s="8"/>
      <c r="K1804" s="8"/>
      <c r="L1804" s="8"/>
      <c r="M1804" s="8"/>
      <c r="N1804" s="8"/>
      <c r="O1804" s="8"/>
      <c r="P1804" s="8"/>
      <c r="Q1804" s="8"/>
      <c r="R1804" s="8"/>
      <c r="S1804" s="8"/>
      <c r="T1804" s="8"/>
      <c r="U1804" s="8"/>
      <c r="V1804" s="8"/>
      <c r="W1804" s="8"/>
      <c r="X1804" s="8"/>
      <c r="Y1804" s="8"/>
    </row>
    <row r="1805">
      <c r="A1805" s="8"/>
      <c r="B1805" s="8"/>
      <c r="C1805" s="8"/>
      <c r="D1805" s="8"/>
      <c r="E1805" s="8"/>
      <c r="F1805" s="8"/>
      <c r="G1805" s="8"/>
      <c r="H1805" s="8"/>
      <c r="I1805" s="8"/>
      <c r="J1805" s="8"/>
      <c r="K1805" s="8"/>
      <c r="L1805" s="8"/>
      <c r="M1805" s="8"/>
      <c r="N1805" s="8"/>
      <c r="O1805" s="8"/>
      <c r="P1805" s="8"/>
      <c r="Q1805" s="8"/>
      <c r="R1805" s="8"/>
      <c r="S1805" s="8"/>
      <c r="T1805" s="8"/>
      <c r="U1805" s="8"/>
      <c r="V1805" s="8"/>
      <c r="W1805" s="8"/>
      <c r="X1805" s="8"/>
      <c r="Y1805" s="8"/>
    </row>
    <row r="1806">
      <c r="A1806" s="8"/>
      <c r="B1806" s="8"/>
      <c r="C1806" s="8"/>
      <c r="D1806" s="8"/>
      <c r="E1806" s="8"/>
      <c r="F1806" s="8"/>
      <c r="G1806" s="8"/>
      <c r="H1806" s="8"/>
      <c r="I1806" s="8"/>
      <c r="J1806" s="8"/>
      <c r="K1806" s="8"/>
      <c r="L1806" s="8"/>
      <c r="M1806" s="8"/>
      <c r="N1806" s="8"/>
      <c r="O1806" s="8"/>
      <c r="P1806" s="8"/>
      <c r="Q1806" s="8"/>
      <c r="R1806" s="8"/>
      <c r="S1806" s="8"/>
      <c r="T1806" s="8"/>
      <c r="U1806" s="8"/>
      <c r="V1806" s="8"/>
      <c r="W1806" s="8"/>
      <c r="X1806" s="8"/>
      <c r="Y1806" s="8"/>
    </row>
    <row r="1807">
      <c r="A1807" s="8"/>
      <c r="B1807" s="8"/>
      <c r="C1807" s="8"/>
      <c r="D1807" s="8"/>
      <c r="E1807" s="8"/>
      <c r="F1807" s="8"/>
      <c r="G1807" s="8"/>
      <c r="H1807" s="8"/>
      <c r="I1807" s="8"/>
      <c r="J1807" s="8"/>
      <c r="K1807" s="8"/>
      <c r="L1807" s="8"/>
      <c r="M1807" s="8"/>
      <c r="N1807" s="8"/>
      <c r="O1807" s="8"/>
      <c r="P1807" s="8"/>
      <c r="Q1807" s="8"/>
      <c r="R1807" s="8"/>
      <c r="S1807" s="8"/>
      <c r="T1807" s="8"/>
      <c r="U1807" s="8"/>
      <c r="V1807" s="8"/>
      <c r="W1807" s="8"/>
      <c r="X1807" s="8"/>
      <c r="Y1807" s="8"/>
    </row>
    <row r="1808">
      <c r="A1808" s="8"/>
      <c r="B1808" s="8"/>
      <c r="C1808" s="8"/>
      <c r="D1808" s="8"/>
      <c r="E1808" s="8"/>
      <c r="F1808" s="8"/>
      <c r="G1808" s="8"/>
      <c r="H1808" s="8"/>
      <c r="I1808" s="8"/>
      <c r="J1808" s="8"/>
      <c r="K1808" s="8"/>
      <c r="L1808" s="8"/>
      <c r="M1808" s="8"/>
      <c r="N1808" s="8"/>
      <c r="O1808" s="8"/>
      <c r="P1808" s="8"/>
      <c r="Q1808" s="8"/>
      <c r="R1808" s="8"/>
      <c r="S1808" s="8"/>
      <c r="T1808" s="8"/>
      <c r="U1808" s="8"/>
      <c r="V1808" s="8"/>
      <c r="W1808" s="8"/>
      <c r="X1808" s="8"/>
      <c r="Y1808" s="8"/>
    </row>
    <row r="1809">
      <c r="A1809" s="8"/>
      <c r="B1809" s="8"/>
      <c r="C1809" s="8"/>
      <c r="D1809" s="8"/>
      <c r="E1809" s="8"/>
      <c r="F1809" s="8"/>
      <c r="G1809" s="8"/>
      <c r="H1809" s="8"/>
      <c r="I1809" s="8"/>
      <c r="J1809" s="8"/>
      <c r="K1809" s="8"/>
      <c r="L1809" s="8"/>
      <c r="M1809" s="8"/>
      <c r="N1809" s="8"/>
      <c r="O1809" s="8"/>
      <c r="P1809" s="8"/>
      <c r="Q1809" s="8"/>
      <c r="R1809" s="8"/>
      <c r="S1809" s="8"/>
      <c r="T1809" s="8"/>
      <c r="U1809" s="8"/>
      <c r="V1809" s="8"/>
      <c r="W1809" s="8"/>
      <c r="X1809" s="8"/>
      <c r="Y1809" s="8"/>
    </row>
    <row r="1810">
      <c r="A1810" s="8"/>
      <c r="B1810" s="8"/>
      <c r="C1810" s="8"/>
      <c r="D1810" s="8"/>
      <c r="E1810" s="8"/>
      <c r="F1810" s="8"/>
      <c r="G1810" s="8"/>
      <c r="H1810" s="8"/>
      <c r="I1810" s="8"/>
      <c r="J1810" s="8"/>
      <c r="K1810" s="8"/>
      <c r="L1810" s="8"/>
      <c r="M1810" s="8"/>
      <c r="N1810" s="8"/>
      <c r="O1810" s="8"/>
      <c r="P1810" s="8"/>
      <c r="Q1810" s="8"/>
      <c r="R1810" s="8"/>
      <c r="S1810" s="8"/>
      <c r="T1810" s="8"/>
      <c r="U1810" s="8"/>
      <c r="V1810" s="8"/>
      <c r="W1810" s="8"/>
      <c r="X1810" s="8"/>
      <c r="Y1810" s="8"/>
    </row>
    <row r="1811">
      <c r="A1811" s="8"/>
      <c r="B1811" s="8"/>
      <c r="C1811" s="8"/>
      <c r="D1811" s="8"/>
      <c r="E1811" s="8"/>
      <c r="F1811" s="8"/>
      <c r="G1811" s="8"/>
      <c r="H1811" s="8"/>
      <c r="I1811" s="8"/>
      <c r="J1811" s="8"/>
      <c r="K1811" s="8"/>
      <c r="L1811" s="8"/>
      <c r="M1811" s="8"/>
      <c r="N1811" s="8"/>
      <c r="O1811" s="8"/>
      <c r="P1811" s="8"/>
      <c r="Q1811" s="8"/>
      <c r="R1811" s="8"/>
      <c r="S1811" s="8"/>
      <c r="T1811" s="8"/>
      <c r="U1811" s="8"/>
      <c r="V1811" s="8"/>
      <c r="W1811" s="8"/>
      <c r="X1811" s="8"/>
      <c r="Y1811" s="8"/>
    </row>
    <row r="1812">
      <c r="A1812" s="8"/>
      <c r="B1812" s="8"/>
      <c r="C1812" s="8"/>
      <c r="D1812" s="8"/>
      <c r="E1812" s="8"/>
      <c r="F1812" s="8"/>
      <c r="G1812" s="8"/>
      <c r="H1812" s="8"/>
      <c r="I1812" s="8"/>
      <c r="J1812" s="8"/>
      <c r="K1812" s="8"/>
      <c r="L1812" s="8"/>
      <c r="M1812" s="8"/>
      <c r="N1812" s="8"/>
      <c r="O1812" s="8"/>
      <c r="P1812" s="8"/>
      <c r="Q1812" s="8"/>
      <c r="R1812" s="8"/>
      <c r="S1812" s="8"/>
      <c r="T1812" s="8"/>
      <c r="U1812" s="8"/>
      <c r="V1812" s="8"/>
      <c r="W1812" s="8"/>
      <c r="X1812" s="8"/>
      <c r="Y1812" s="8"/>
    </row>
    <row r="1813">
      <c r="A1813" s="8"/>
      <c r="B1813" s="8"/>
      <c r="C1813" s="8"/>
      <c r="D1813" s="8"/>
      <c r="E1813" s="8"/>
      <c r="F1813" s="8"/>
      <c r="G1813" s="8"/>
      <c r="H1813" s="8"/>
      <c r="I1813" s="8"/>
      <c r="J1813" s="8"/>
      <c r="K1813" s="8"/>
      <c r="L1813" s="8"/>
      <c r="M1813" s="8"/>
      <c r="N1813" s="8"/>
      <c r="O1813" s="8"/>
      <c r="P1813" s="8"/>
      <c r="Q1813" s="8"/>
      <c r="R1813" s="8"/>
      <c r="S1813" s="8"/>
      <c r="T1813" s="8"/>
      <c r="U1813" s="8"/>
      <c r="V1813" s="8"/>
      <c r="W1813" s="8"/>
      <c r="X1813" s="8"/>
      <c r="Y1813" s="8"/>
    </row>
    <row r="1814">
      <c r="A1814" s="8"/>
      <c r="B1814" s="8"/>
      <c r="C1814" s="8"/>
      <c r="D1814" s="8"/>
      <c r="E1814" s="8"/>
      <c r="F1814" s="8"/>
      <c r="G1814" s="8"/>
      <c r="H1814" s="8"/>
      <c r="I1814" s="8"/>
      <c r="J1814" s="8"/>
      <c r="K1814" s="8"/>
      <c r="L1814" s="8"/>
      <c r="M1814" s="8"/>
      <c r="N1814" s="8"/>
      <c r="O1814" s="8"/>
      <c r="P1814" s="8"/>
      <c r="Q1814" s="8"/>
      <c r="R1814" s="8"/>
      <c r="S1814" s="8"/>
      <c r="T1814" s="8"/>
      <c r="U1814" s="8"/>
      <c r="V1814" s="8"/>
      <c r="W1814" s="8"/>
      <c r="X1814" s="8"/>
      <c r="Y1814" s="8"/>
    </row>
    <row r="1815">
      <c r="A1815" s="8"/>
      <c r="B1815" s="8"/>
      <c r="C1815" s="8"/>
      <c r="D1815" s="8"/>
      <c r="E1815" s="8"/>
      <c r="F1815" s="8"/>
      <c r="G1815" s="8"/>
      <c r="H1815" s="8"/>
      <c r="I1815" s="8"/>
      <c r="J1815" s="8"/>
      <c r="K1815" s="8"/>
      <c r="L1815" s="8"/>
      <c r="M1815" s="8"/>
      <c r="N1815" s="8"/>
      <c r="O1815" s="8"/>
      <c r="P1815" s="8"/>
      <c r="Q1815" s="8"/>
      <c r="R1815" s="8"/>
      <c r="S1815" s="8"/>
      <c r="T1815" s="8"/>
      <c r="U1815" s="8"/>
      <c r="V1815" s="8"/>
      <c r="W1815" s="8"/>
      <c r="X1815" s="8"/>
      <c r="Y1815" s="8"/>
    </row>
    <row r="1816">
      <c r="A1816" s="8"/>
      <c r="B1816" s="8"/>
      <c r="C1816" s="8"/>
      <c r="D1816" s="8"/>
      <c r="E1816" s="8"/>
      <c r="F1816" s="8"/>
      <c r="G1816" s="8"/>
      <c r="H1816" s="8"/>
      <c r="I1816" s="8"/>
      <c r="J1816" s="8"/>
      <c r="K1816" s="8"/>
      <c r="L1816" s="8"/>
      <c r="M1816" s="8"/>
      <c r="N1816" s="8"/>
      <c r="O1816" s="8"/>
      <c r="P1816" s="8"/>
      <c r="Q1816" s="8"/>
      <c r="R1816" s="8"/>
      <c r="S1816" s="8"/>
      <c r="T1816" s="8"/>
      <c r="U1816" s="8"/>
      <c r="V1816" s="8"/>
      <c r="W1816" s="8"/>
      <c r="X1816" s="8"/>
      <c r="Y1816" s="8"/>
    </row>
    <row r="1817">
      <c r="A1817" s="8"/>
      <c r="B1817" s="8"/>
      <c r="C1817" s="8"/>
      <c r="D1817" s="8"/>
      <c r="E1817" s="8"/>
      <c r="F1817" s="8"/>
      <c r="G1817" s="8"/>
      <c r="H1817" s="8"/>
      <c r="I1817" s="8"/>
      <c r="J1817" s="8"/>
      <c r="K1817" s="8"/>
      <c r="L1817" s="8"/>
      <c r="M1817" s="8"/>
      <c r="N1817" s="8"/>
      <c r="O1817" s="8"/>
      <c r="P1817" s="8"/>
      <c r="Q1817" s="8"/>
      <c r="R1817" s="8"/>
      <c r="S1817" s="8"/>
      <c r="T1817" s="8"/>
      <c r="U1817" s="8"/>
      <c r="V1817" s="8"/>
      <c r="W1817" s="8"/>
      <c r="X1817" s="8"/>
      <c r="Y1817" s="8"/>
    </row>
    <row r="1818">
      <c r="A1818" s="8"/>
      <c r="B1818" s="8"/>
      <c r="C1818" s="8"/>
      <c r="D1818" s="8"/>
      <c r="E1818" s="8"/>
      <c r="F1818" s="8"/>
      <c r="G1818" s="8"/>
      <c r="H1818" s="8"/>
      <c r="I1818" s="8"/>
      <c r="J1818" s="8"/>
      <c r="K1818" s="8"/>
      <c r="L1818" s="8"/>
      <c r="M1818" s="8"/>
      <c r="N1818" s="8"/>
      <c r="O1818" s="8"/>
      <c r="P1818" s="8"/>
      <c r="Q1818" s="8"/>
      <c r="R1818" s="8"/>
      <c r="S1818" s="8"/>
      <c r="T1818" s="8"/>
      <c r="U1818" s="8"/>
      <c r="V1818" s="8"/>
      <c r="W1818" s="8"/>
      <c r="X1818" s="8"/>
      <c r="Y1818" s="8"/>
    </row>
    <row r="1819">
      <c r="A1819" s="8"/>
      <c r="B1819" s="8"/>
      <c r="C1819" s="8"/>
      <c r="D1819" s="8"/>
      <c r="E1819" s="8"/>
      <c r="F1819" s="8"/>
      <c r="G1819" s="8"/>
      <c r="H1819" s="8"/>
      <c r="I1819" s="8"/>
      <c r="J1819" s="8"/>
      <c r="K1819" s="8"/>
      <c r="L1819" s="8"/>
      <c r="M1819" s="8"/>
      <c r="N1819" s="8"/>
      <c r="O1819" s="8"/>
      <c r="P1819" s="8"/>
      <c r="Q1819" s="8"/>
      <c r="R1819" s="8"/>
      <c r="S1819" s="8"/>
      <c r="T1819" s="8"/>
      <c r="U1819" s="8"/>
      <c r="V1819" s="8"/>
      <c r="W1819" s="8"/>
      <c r="X1819" s="8"/>
      <c r="Y1819" s="8"/>
    </row>
    <row r="1820">
      <c r="A1820" s="8"/>
      <c r="B1820" s="8"/>
      <c r="C1820" s="8"/>
      <c r="D1820" s="8"/>
      <c r="E1820" s="8"/>
      <c r="F1820" s="8"/>
      <c r="G1820" s="8"/>
      <c r="H1820" s="8"/>
      <c r="I1820" s="8"/>
      <c r="J1820" s="8"/>
      <c r="K1820" s="8"/>
      <c r="L1820" s="8"/>
      <c r="M1820" s="8"/>
      <c r="N1820" s="8"/>
      <c r="O1820" s="8"/>
      <c r="P1820" s="8"/>
      <c r="Q1820" s="8"/>
      <c r="R1820" s="8"/>
      <c r="S1820" s="8"/>
      <c r="T1820" s="8"/>
      <c r="U1820" s="8"/>
      <c r="V1820" s="8"/>
      <c r="W1820" s="8"/>
      <c r="X1820" s="8"/>
      <c r="Y1820" s="8"/>
    </row>
    <row r="1821">
      <c r="A1821" s="8"/>
      <c r="B1821" s="8"/>
      <c r="C1821" s="8"/>
      <c r="D1821" s="8"/>
      <c r="E1821" s="8"/>
      <c r="F1821" s="8"/>
      <c r="G1821" s="8"/>
      <c r="H1821" s="8"/>
      <c r="I1821" s="8"/>
      <c r="J1821" s="8"/>
      <c r="K1821" s="8"/>
      <c r="L1821" s="8"/>
      <c r="M1821" s="8"/>
      <c r="N1821" s="8"/>
      <c r="O1821" s="8"/>
      <c r="P1821" s="8"/>
      <c r="Q1821" s="8"/>
      <c r="R1821" s="8"/>
      <c r="S1821" s="8"/>
      <c r="T1821" s="8"/>
      <c r="U1821" s="8"/>
      <c r="V1821" s="8"/>
      <c r="W1821" s="8"/>
      <c r="X1821" s="8"/>
      <c r="Y1821" s="8"/>
    </row>
    <row r="1822">
      <c r="A1822" s="8"/>
      <c r="B1822" s="8"/>
      <c r="C1822" s="8"/>
      <c r="D1822" s="8"/>
      <c r="E1822" s="8"/>
      <c r="F1822" s="8"/>
      <c r="G1822" s="8"/>
      <c r="H1822" s="8"/>
      <c r="I1822" s="8"/>
      <c r="J1822" s="8"/>
      <c r="K1822" s="8"/>
      <c r="L1822" s="8"/>
      <c r="M1822" s="8"/>
      <c r="N1822" s="8"/>
      <c r="O1822" s="8"/>
      <c r="P1822" s="8"/>
      <c r="Q1822" s="8"/>
      <c r="R1822" s="8"/>
      <c r="S1822" s="8"/>
      <c r="T1822" s="8"/>
      <c r="U1822" s="8"/>
      <c r="V1822" s="8"/>
      <c r="W1822" s="8"/>
      <c r="X1822" s="8"/>
      <c r="Y1822" s="8"/>
    </row>
    <row r="1823">
      <c r="A1823" s="8"/>
      <c r="B1823" s="8"/>
      <c r="C1823" s="8"/>
      <c r="D1823" s="8"/>
      <c r="E1823" s="8"/>
      <c r="F1823" s="8"/>
      <c r="G1823" s="8"/>
      <c r="H1823" s="8"/>
      <c r="I1823" s="8"/>
      <c r="J1823" s="8"/>
      <c r="K1823" s="8"/>
      <c r="L1823" s="8"/>
      <c r="M1823" s="8"/>
      <c r="N1823" s="8"/>
      <c r="O1823" s="8"/>
      <c r="P1823" s="8"/>
      <c r="Q1823" s="8"/>
      <c r="R1823" s="8"/>
      <c r="S1823" s="8"/>
      <c r="T1823" s="8"/>
      <c r="U1823" s="8"/>
      <c r="V1823" s="8"/>
      <c r="W1823" s="8"/>
      <c r="X1823" s="8"/>
      <c r="Y1823" s="8"/>
    </row>
    <row r="1824">
      <c r="A1824" s="8"/>
      <c r="B1824" s="8"/>
      <c r="C1824" s="8"/>
      <c r="D1824" s="8"/>
      <c r="E1824" s="8"/>
      <c r="F1824" s="8"/>
      <c r="G1824" s="8"/>
      <c r="H1824" s="8"/>
      <c r="I1824" s="8"/>
      <c r="J1824" s="8"/>
      <c r="K1824" s="8"/>
      <c r="L1824" s="8"/>
      <c r="M1824" s="8"/>
      <c r="N1824" s="8"/>
      <c r="O1824" s="8"/>
      <c r="P1824" s="8"/>
      <c r="Q1824" s="8"/>
      <c r="R1824" s="8"/>
      <c r="S1824" s="8"/>
      <c r="T1824" s="8"/>
      <c r="U1824" s="8"/>
      <c r="V1824" s="8"/>
      <c r="W1824" s="8"/>
      <c r="X1824" s="8"/>
      <c r="Y1824" s="8"/>
    </row>
    <row r="1825">
      <c r="A1825" s="8"/>
      <c r="B1825" s="8"/>
      <c r="C1825" s="8"/>
      <c r="D1825" s="8"/>
      <c r="E1825" s="8"/>
      <c r="F1825" s="8"/>
      <c r="G1825" s="8"/>
      <c r="H1825" s="8"/>
      <c r="I1825" s="8"/>
      <c r="J1825" s="8"/>
      <c r="K1825" s="8"/>
      <c r="L1825" s="8"/>
      <c r="M1825" s="8"/>
      <c r="N1825" s="8"/>
      <c r="O1825" s="8"/>
      <c r="P1825" s="8"/>
      <c r="Q1825" s="8"/>
      <c r="R1825" s="8"/>
      <c r="S1825" s="8"/>
      <c r="T1825" s="8"/>
      <c r="U1825" s="8"/>
      <c r="V1825" s="8"/>
      <c r="W1825" s="8"/>
      <c r="X1825" s="8"/>
      <c r="Y1825" s="8"/>
    </row>
    <row r="1826">
      <c r="A1826" s="8"/>
      <c r="B1826" s="8"/>
      <c r="C1826" s="8"/>
      <c r="D1826" s="8"/>
      <c r="E1826" s="8"/>
      <c r="F1826" s="8"/>
      <c r="G1826" s="8"/>
      <c r="H1826" s="8"/>
      <c r="I1826" s="8"/>
      <c r="J1826" s="8"/>
      <c r="K1826" s="8"/>
      <c r="L1826" s="8"/>
      <c r="M1826" s="8"/>
      <c r="N1826" s="8"/>
      <c r="O1826" s="8"/>
      <c r="P1826" s="8"/>
      <c r="Q1826" s="8"/>
      <c r="R1826" s="8"/>
      <c r="S1826" s="8"/>
      <c r="T1826" s="8"/>
      <c r="U1826" s="8"/>
      <c r="V1826" s="8"/>
      <c r="W1826" s="8"/>
      <c r="X1826" s="8"/>
      <c r="Y1826" s="8"/>
    </row>
    <row r="1827">
      <c r="A1827" s="8"/>
      <c r="B1827" s="8"/>
      <c r="C1827" s="8"/>
      <c r="D1827" s="8"/>
      <c r="E1827" s="8"/>
      <c r="F1827" s="8"/>
      <c r="G1827" s="8"/>
      <c r="H1827" s="8"/>
      <c r="I1827" s="8"/>
      <c r="J1827" s="8"/>
      <c r="K1827" s="8"/>
      <c r="L1827" s="8"/>
      <c r="M1827" s="8"/>
      <c r="N1827" s="8"/>
      <c r="O1827" s="8"/>
      <c r="P1827" s="8"/>
      <c r="Q1827" s="8"/>
      <c r="R1827" s="8"/>
      <c r="S1827" s="8"/>
      <c r="T1827" s="8"/>
      <c r="U1827" s="8"/>
      <c r="V1827" s="8"/>
      <c r="W1827" s="8"/>
      <c r="X1827" s="8"/>
      <c r="Y1827" s="8"/>
    </row>
    <row r="1828">
      <c r="A1828" s="8"/>
      <c r="B1828" s="8"/>
      <c r="C1828" s="8"/>
      <c r="D1828" s="8"/>
      <c r="E1828" s="8"/>
      <c r="F1828" s="8"/>
      <c r="G1828" s="8"/>
      <c r="H1828" s="8"/>
      <c r="I1828" s="8"/>
      <c r="J1828" s="8"/>
      <c r="K1828" s="8"/>
      <c r="L1828" s="8"/>
      <c r="M1828" s="8"/>
      <c r="N1828" s="8"/>
      <c r="O1828" s="8"/>
      <c r="P1828" s="8"/>
      <c r="Q1828" s="8"/>
      <c r="R1828" s="8"/>
      <c r="S1828" s="8"/>
      <c r="T1828" s="8"/>
      <c r="U1828" s="8"/>
      <c r="V1828" s="8"/>
      <c r="W1828" s="8"/>
      <c r="X1828" s="8"/>
      <c r="Y1828" s="8"/>
    </row>
    <row r="1829">
      <c r="A1829" s="8"/>
      <c r="B1829" s="8"/>
      <c r="C1829" s="8"/>
      <c r="D1829" s="8"/>
      <c r="E1829" s="8"/>
      <c r="F1829" s="8"/>
      <c r="G1829" s="8"/>
      <c r="H1829" s="8"/>
      <c r="I1829" s="8"/>
      <c r="J1829" s="8"/>
      <c r="K1829" s="8"/>
      <c r="L1829" s="8"/>
      <c r="M1829" s="8"/>
      <c r="N1829" s="8"/>
      <c r="O1829" s="8"/>
      <c r="P1829" s="8"/>
      <c r="Q1829" s="8"/>
      <c r="R1829" s="8"/>
      <c r="S1829" s="8"/>
      <c r="T1829" s="8"/>
      <c r="U1829" s="8"/>
      <c r="V1829" s="8"/>
      <c r="W1829" s="8"/>
      <c r="X1829" s="8"/>
      <c r="Y1829" s="8"/>
    </row>
    <row r="1830">
      <c r="A1830" s="8"/>
      <c r="B1830" s="8"/>
      <c r="C1830" s="8"/>
      <c r="D1830" s="8"/>
      <c r="E1830" s="8"/>
      <c r="F1830" s="8"/>
      <c r="G1830" s="8"/>
      <c r="H1830" s="8"/>
      <c r="I1830" s="8"/>
      <c r="J1830" s="8"/>
      <c r="K1830" s="8"/>
      <c r="L1830" s="8"/>
      <c r="M1830" s="8"/>
      <c r="N1830" s="8"/>
      <c r="O1830" s="8"/>
      <c r="P1830" s="8"/>
      <c r="Q1830" s="8"/>
      <c r="R1830" s="8"/>
      <c r="S1830" s="8"/>
      <c r="T1830" s="8"/>
      <c r="U1830" s="8"/>
      <c r="V1830" s="8"/>
      <c r="W1830" s="8"/>
      <c r="X1830" s="8"/>
      <c r="Y1830" s="8"/>
    </row>
    <row r="1831">
      <c r="A1831" s="8"/>
      <c r="B1831" s="8"/>
      <c r="C1831" s="8"/>
      <c r="D1831" s="8"/>
      <c r="E1831" s="8"/>
      <c r="F1831" s="8"/>
      <c r="G1831" s="8"/>
      <c r="H1831" s="8"/>
      <c r="I1831" s="8"/>
      <c r="J1831" s="8"/>
      <c r="K1831" s="8"/>
      <c r="L1831" s="8"/>
      <c r="M1831" s="8"/>
      <c r="N1831" s="8"/>
      <c r="O1831" s="8"/>
      <c r="P1831" s="8"/>
      <c r="Q1831" s="8"/>
      <c r="R1831" s="8"/>
      <c r="S1831" s="8"/>
      <c r="T1831" s="8"/>
      <c r="U1831" s="8"/>
      <c r="V1831" s="8"/>
      <c r="W1831" s="8"/>
      <c r="X1831" s="8"/>
      <c r="Y1831" s="8"/>
    </row>
    <row r="1832">
      <c r="A1832" s="8"/>
      <c r="B1832" s="8"/>
      <c r="C1832" s="8"/>
      <c r="D1832" s="8"/>
      <c r="E1832" s="8"/>
      <c r="F1832" s="8"/>
      <c r="G1832" s="8"/>
      <c r="H1832" s="8"/>
      <c r="I1832" s="8"/>
      <c r="J1832" s="8"/>
      <c r="K1832" s="8"/>
      <c r="L1832" s="8"/>
      <c r="M1832" s="8"/>
      <c r="N1832" s="8"/>
      <c r="O1832" s="8"/>
      <c r="P1832" s="8"/>
      <c r="Q1832" s="8"/>
      <c r="R1832" s="8"/>
      <c r="S1832" s="8"/>
      <c r="T1832" s="8"/>
      <c r="U1832" s="8"/>
      <c r="V1832" s="8"/>
      <c r="W1832" s="8"/>
      <c r="X1832" s="8"/>
      <c r="Y1832" s="8"/>
    </row>
    <row r="1833">
      <c r="A1833" s="8"/>
      <c r="B1833" s="8"/>
      <c r="C1833" s="8"/>
      <c r="D1833" s="8"/>
      <c r="E1833" s="8"/>
      <c r="F1833" s="8"/>
      <c r="G1833" s="8"/>
      <c r="H1833" s="8"/>
      <c r="I1833" s="8"/>
      <c r="J1833" s="8"/>
      <c r="K1833" s="8"/>
      <c r="L1833" s="8"/>
      <c r="M1833" s="8"/>
      <c r="N1833" s="8"/>
      <c r="O1833" s="8"/>
      <c r="P1833" s="8"/>
      <c r="Q1833" s="8"/>
      <c r="R1833" s="8"/>
      <c r="S1833" s="8"/>
      <c r="T1833" s="8"/>
      <c r="U1833" s="8"/>
      <c r="V1833" s="8"/>
      <c r="W1833" s="8"/>
      <c r="X1833" s="8"/>
      <c r="Y1833" s="8"/>
    </row>
    <row r="1834">
      <c r="A1834" s="8"/>
      <c r="B1834" s="8"/>
      <c r="C1834" s="8"/>
      <c r="D1834" s="8"/>
      <c r="E1834" s="8"/>
      <c r="F1834" s="8"/>
      <c r="G1834" s="8"/>
      <c r="H1834" s="8"/>
      <c r="I1834" s="8"/>
      <c r="J1834" s="8"/>
      <c r="K1834" s="8"/>
      <c r="L1834" s="8"/>
      <c r="M1834" s="8"/>
      <c r="N1834" s="8"/>
      <c r="O1834" s="8"/>
      <c r="P1834" s="8"/>
      <c r="Q1834" s="8"/>
      <c r="R1834" s="8"/>
      <c r="S1834" s="8"/>
      <c r="T1834" s="8"/>
      <c r="U1834" s="8"/>
      <c r="V1834" s="8"/>
      <c r="W1834" s="8"/>
      <c r="X1834" s="8"/>
      <c r="Y1834" s="8"/>
    </row>
    <row r="1835">
      <c r="A1835" s="8"/>
      <c r="B1835" s="8"/>
      <c r="C1835" s="8"/>
      <c r="D1835" s="8"/>
      <c r="E1835" s="8"/>
      <c r="F1835" s="8"/>
      <c r="G1835" s="8"/>
      <c r="H1835" s="8"/>
      <c r="I1835" s="8"/>
      <c r="J1835" s="8"/>
      <c r="K1835" s="8"/>
      <c r="L1835" s="8"/>
      <c r="M1835" s="8"/>
      <c r="N1835" s="8"/>
      <c r="O1835" s="8"/>
      <c r="P1835" s="8"/>
      <c r="Q1835" s="8"/>
      <c r="R1835" s="8"/>
      <c r="S1835" s="8"/>
      <c r="T1835" s="8"/>
      <c r="U1835" s="8"/>
      <c r="V1835" s="8"/>
      <c r="W1835" s="8"/>
      <c r="X1835" s="8"/>
      <c r="Y1835" s="8"/>
    </row>
    <row r="1836">
      <c r="A1836" s="8"/>
      <c r="B1836" s="8"/>
      <c r="C1836" s="8"/>
      <c r="D1836" s="8"/>
      <c r="E1836" s="8"/>
      <c r="F1836" s="8"/>
      <c r="G1836" s="8"/>
      <c r="H1836" s="8"/>
      <c r="I1836" s="8"/>
      <c r="J1836" s="8"/>
      <c r="K1836" s="8"/>
      <c r="L1836" s="8"/>
      <c r="M1836" s="8"/>
      <c r="N1836" s="8"/>
      <c r="O1836" s="8"/>
      <c r="P1836" s="8"/>
      <c r="Q1836" s="8"/>
      <c r="R1836" s="8"/>
      <c r="S1836" s="8"/>
      <c r="T1836" s="8"/>
      <c r="U1836" s="8"/>
      <c r="V1836" s="8"/>
      <c r="W1836" s="8"/>
      <c r="X1836" s="8"/>
      <c r="Y1836" s="8"/>
    </row>
    <row r="1837">
      <c r="A1837" s="8"/>
      <c r="B1837" s="8"/>
      <c r="C1837" s="8"/>
      <c r="D1837" s="8"/>
      <c r="E1837" s="8"/>
      <c r="F1837" s="8"/>
      <c r="G1837" s="8"/>
      <c r="H1837" s="8"/>
      <c r="I1837" s="8"/>
      <c r="J1837" s="8"/>
      <c r="K1837" s="8"/>
      <c r="L1837" s="8"/>
      <c r="M1837" s="8"/>
      <c r="N1837" s="8"/>
      <c r="O1837" s="8"/>
      <c r="P1837" s="8"/>
      <c r="Q1837" s="8"/>
      <c r="R1837" s="8"/>
      <c r="S1837" s="8"/>
      <c r="T1837" s="8"/>
      <c r="U1837" s="8"/>
      <c r="V1837" s="8"/>
      <c r="W1837" s="8"/>
      <c r="X1837" s="8"/>
      <c r="Y1837" s="8"/>
    </row>
    <row r="1838">
      <c r="A1838" s="8"/>
      <c r="B1838" s="8"/>
      <c r="C1838" s="8"/>
      <c r="D1838" s="8"/>
      <c r="E1838" s="8"/>
      <c r="F1838" s="8"/>
      <c r="G1838" s="8"/>
      <c r="H1838" s="8"/>
      <c r="I1838" s="8"/>
      <c r="J1838" s="8"/>
      <c r="K1838" s="8"/>
      <c r="L1838" s="8"/>
      <c r="M1838" s="8"/>
      <c r="N1838" s="8"/>
      <c r="O1838" s="8"/>
      <c r="P1838" s="8"/>
      <c r="Q1838" s="8"/>
      <c r="R1838" s="8"/>
      <c r="S1838" s="8"/>
      <c r="T1838" s="8"/>
      <c r="U1838" s="8"/>
      <c r="V1838" s="8"/>
      <c r="W1838" s="8"/>
      <c r="X1838" s="8"/>
      <c r="Y1838" s="8"/>
    </row>
    <row r="1839">
      <c r="A1839" s="8"/>
      <c r="B1839" s="8"/>
      <c r="C1839" s="8"/>
      <c r="D1839" s="8"/>
      <c r="E1839" s="8"/>
      <c r="F1839" s="8"/>
      <c r="G1839" s="8"/>
      <c r="H1839" s="8"/>
      <c r="I1839" s="8"/>
      <c r="J1839" s="8"/>
      <c r="K1839" s="8"/>
      <c r="L1839" s="8"/>
      <c r="M1839" s="8"/>
      <c r="N1839" s="8"/>
      <c r="O1839" s="8"/>
      <c r="P1839" s="8"/>
      <c r="Q1839" s="8"/>
      <c r="R1839" s="8"/>
      <c r="S1839" s="8"/>
      <c r="T1839" s="8"/>
      <c r="U1839" s="8"/>
      <c r="V1839" s="8"/>
      <c r="W1839" s="8"/>
      <c r="X1839" s="8"/>
      <c r="Y1839" s="8"/>
    </row>
    <row r="1840">
      <c r="A1840" s="8"/>
      <c r="B1840" s="8"/>
      <c r="C1840" s="8"/>
      <c r="D1840" s="8"/>
      <c r="E1840" s="8"/>
      <c r="F1840" s="8"/>
      <c r="G1840" s="8"/>
      <c r="H1840" s="8"/>
      <c r="I1840" s="8"/>
      <c r="J1840" s="8"/>
      <c r="K1840" s="8"/>
      <c r="L1840" s="8"/>
      <c r="M1840" s="8"/>
      <c r="N1840" s="8"/>
      <c r="O1840" s="8"/>
      <c r="P1840" s="8"/>
      <c r="Q1840" s="8"/>
      <c r="R1840" s="8"/>
      <c r="S1840" s="8"/>
      <c r="T1840" s="8"/>
      <c r="U1840" s="8"/>
      <c r="V1840" s="8"/>
      <c r="W1840" s="8"/>
      <c r="X1840" s="8"/>
      <c r="Y1840" s="8"/>
    </row>
    <row r="1841">
      <c r="A1841" s="8"/>
      <c r="B1841" s="8"/>
      <c r="C1841" s="8"/>
      <c r="D1841" s="8"/>
      <c r="E1841" s="8"/>
      <c r="F1841" s="8"/>
      <c r="G1841" s="8"/>
      <c r="H1841" s="8"/>
      <c r="I1841" s="8"/>
      <c r="J1841" s="8"/>
      <c r="K1841" s="8"/>
      <c r="L1841" s="8"/>
      <c r="M1841" s="8"/>
      <c r="N1841" s="8"/>
      <c r="O1841" s="8"/>
      <c r="P1841" s="8"/>
      <c r="Q1841" s="8"/>
      <c r="R1841" s="8"/>
      <c r="S1841" s="8"/>
      <c r="T1841" s="8"/>
      <c r="U1841" s="8"/>
      <c r="V1841" s="8"/>
      <c r="W1841" s="8"/>
      <c r="X1841" s="8"/>
      <c r="Y1841" s="8"/>
    </row>
    <row r="1842">
      <c r="A1842" s="8"/>
      <c r="B1842" s="8"/>
      <c r="C1842" s="8"/>
      <c r="D1842" s="8"/>
      <c r="E1842" s="8"/>
      <c r="F1842" s="8"/>
      <c r="G1842" s="8"/>
      <c r="H1842" s="8"/>
      <c r="I1842" s="8"/>
      <c r="J1842" s="8"/>
      <c r="K1842" s="8"/>
      <c r="L1842" s="8"/>
      <c r="M1842" s="8"/>
      <c r="N1842" s="8"/>
      <c r="O1842" s="8"/>
      <c r="P1842" s="8"/>
      <c r="Q1842" s="8"/>
      <c r="R1842" s="8"/>
      <c r="S1842" s="8"/>
      <c r="T1842" s="8"/>
      <c r="U1842" s="8"/>
      <c r="V1842" s="8"/>
      <c r="W1842" s="8"/>
      <c r="X1842" s="8"/>
      <c r="Y1842" s="8"/>
    </row>
    <row r="1843">
      <c r="A1843" s="8"/>
      <c r="B1843" s="8"/>
      <c r="C1843" s="8"/>
      <c r="D1843" s="8"/>
      <c r="E1843" s="8"/>
      <c r="F1843" s="8"/>
      <c r="G1843" s="8"/>
      <c r="H1843" s="8"/>
      <c r="I1843" s="8"/>
      <c r="J1843" s="8"/>
      <c r="K1843" s="8"/>
      <c r="L1843" s="8"/>
      <c r="M1843" s="8"/>
      <c r="N1843" s="8"/>
      <c r="O1843" s="8"/>
      <c r="P1843" s="8"/>
      <c r="Q1843" s="8"/>
      <c r="R1843" s="8"/>
      <c r="S1843" s="8"/>
      <c r="T1843" s="8"/>
      <c r="U1843" s="8"/>
      <c r="V1843" s="8"/>
      <c r="W1843" s="8"/>
      <c r="X1843" s="8"/>
      <c r="Y1843" s="8"/>
    </row>
    <row r="1844">
      <c r="A1844" s="8"/>
      <c r="B1844" s="8"/>
      <c r="C1844" s="8"/>
      <c r="D1844" s="8"/>
      <c r="E1844" s="8"/>
      <c r="F1844" s="8"/>
      <c r="G1844" s="8"/>
      <c r="H1844" s="8"/>
      <c r="I1844" s="8"/>
      <c r="J1844" s="8"/>
      <c r="K1844" s="8"/>
      <c r="L1844" s="8"/>
      <c r="M1844" s="8"/>
      <c r="N1844" s="8"/>
      <c r="O1844" s="8"/>
      <c r="P1844" s="8"/>
      <c r="Q1844" s="8"/>
      <c r="R1844" s="8"/>
      <c r="S1844" s="8"/>
      <c r="T1844" s="8"/>
      <c r="U1844" s="8"/>
      <c r="V1844" s="8"/>
      <c r="W1844" s="8"/>
      <c r="X1844" s="8"/>
      <c r="Y1844" s="8"/>
    </row>
    <row r="1845">
      <c r="A1845" s="8"/>
      <c r="B1845" s="8"/>
      <c r="C1845" s="8"/>
      <c r="D1845" s="8"/>
      <c r="E1845" s="8"/>
      <c r="F1845" s="8"/>
      <c r="G1845" s="8"/>
      <c r="H1845" s="8"/>
      <c r="I1845" s="8"/>
      <c r="J1845" s="8"/>
      <c r="K1845" s="8"/>
      <c r="L1845" s="8"/>
      <c r="M1845" s="8"/>
      <c r="N1845" s="8"/>
      <c r="O1845" s="8"/>
      <c r="P1845" s="8"/>
      <c r="Q1845" s="8"/>
      <c r="R1845" s="8"/>
      <c r="S1845" s="8"/>
      <c r="T1845" s="8"/>
      <c r="U1845" s="8"/>
      <c r="V1845" s="8"/>
      <c r="W1845" s="8"/>
      <c r="X1845" s="8"/>
      <c r="Y1845" s="8"/>
    </row>
    <row r="1846">
      <c r="A1846" s="8"/>
      <c r="B1846" s="8"/>
      <c r="C1846" s="8"/>
      <c r="D1846" s="8"/>
      <c r="E1846" s="8"/>
      <c r="F1846" s="8"/>
      <c r="G1846" s="8"/>
      <c r="H1846" s="8"/>
      <c r="I1846" s="8"/>
      <c r="J1846" s="8"/>
      <c r="K1846" s="8"/>
      <c r="L1846" s="8"/>
      <c r="M1846" s="8"/>
      <c r="N1846" s="8"/>
      <c r="O1846" s="8"/>
      <c r="P1846" s="8"/>
      <c r="Q1846" s="8"/>
      <c r="R1846" s="8"/>
      <c r="S1846" s="8"/>
      <c r="T1846" s="8"/>
      <c r="U1846" s="8"/>
      <c r="V1846" s="8"/>
      <c r="W1846" s="8"/>
      <c r="X1846" s="8"/>
      <c r="Y1846" s="8"/>
    </row>
    <row r="1847">
      <c r="A1847" s="8"/>
      <c r="B1847" s="8"/>
      <c r="C1847" s="8"/>
      <c r="D1847" s="8"/>
      <c r="E1847" s="8"/>
      <c r="F1847" s="8"/>
      <c r="G1847" s="8"/>
      <c r="H1847" s="8"/>
      <c r="I1847" s="8"/>
      <c r="J1847" s="8"/>
      <c r="K1847" s="8"/>
      <c r="L1847" s="8"/>
      <c r="M1847" s="8"/>
      <c r="N1847" s="8"/>
      <c r="O1847" s="8"/>
      <c r="P1847" s="8"/>
      <c r="Q1847" s="8"/>
      <c r="R1847" s="8"/>
      <c r="S1847" s="8"/>
      <c r="T1847" s="8"/>
      <c r="U1847" s="8"/>
      <c r="V1847" s="8"/>
      <c r="W1847" s="8"/>
      <c r="X1847" s="8"/>
      <c r="Y1847" s="8"/>
    </row>
    <row r="1848">
      <c r="A1848" s="8"/>
      <c r="B1848" s="8"/>
      <c r="C1848" s="8"/>
      <c r="D1848" s="8"/>
      <c r="E1848" s="8"/>
      <c r="F1848" s="8"/>
      <c r="G1848" s="8"/>
      <c r="H1848" s="8"/>
      <c r="I1848" s="8"/>
      <c r="J1848" s="8"/>
      <c r="K1848" s="8"/>
      <c r="L1848" s="8"/>
      <c r="M1848" s="8"/>
      <c r="N1848" s="8"/>
      <c r="O1848" s="8"/>
      <c r="P1848" s="8"/>
      <c r="Q1848" s="8"/>
      <c r="R1848" s="8"/>
      <c r="S1848" s="8"/>
      <c r="T1848" s="8"/>
      <c r="U1848" s="8"/>
      <c r="V1848" s="8"/>
      <c r="W1848" s="8"/>
      <c r="X1848" s="8"/>
      <c r="Y1848" s="8"/>
    </row>
    <row r="1849">
      <c r="A1849" s="8"/>
      <c r="B1849" s="8"/>
      <c r="C1849" s="8"/>
      <c r="D1849" s="8"/>
      <c r="E1849" s="8"/>
      <c r="F1849" s="8"/>
      <c r="G1849" s="8"/>
      <c r="H1849" s="8"/>
      <c r="I1849" s="8"/>
      <c r="J1849" s="8"/>
      <c r="K1849" s="8"/>
      <c r="L1849" s="8"/>
      <c r="M1849" s="8"/>
      <c r="N1849" s="8"/>
      <c r="O1849" s="8"/>
      <c r="P1849" s="8"/>
      <c r="Q1849" s="8"/>
      <c r="R1849" s="8"/>
      <c r="S1849" s="8"/>
      <c r="T1849" s="8"/>
      <c r="U1849" s="8"/>
      <c r="V1849" s="8"/>
      <c r="W1849" s="8"/>
      <c r="X1849" s="8"/>
      <c r="Y1849" s="8"/>
    </row>
    <row r="1850">
      <c r="A1850" s="8"/>
      <c r="B1850" s="8"/>
      <c r="C1850" s="8"/>
      <c r="D1850" s="8"/>
      <c r="E1850" s="8"/>
      <c r="F1850" s="8"/>
      <c r="G1850" s="8"/>
      <c r="H1850" s="8"/>
      <c r="I1850" s="8"/>
      <c r="J1850" s="8"/>
      <c r="K1850" s="8"/>
      <c r="L1850" s="8"/>
      <c r="M1850" s="8"/>
      <c r="N1850" s="8"/>
      <c r="O1850" s="8"/>
      <c r="P1850" s="8"/>
      <c r="Q1850" s="8"/>
      <c r="R1850" s="8"/>
      <c r="S1850" s="8"/>
      <c r="T1850" s="8"/>
      <c r="U1850" s="8"/>
      <c r="V1850" s="8"/>
      <c r="W1850" s="8"/>
      <c r="X1850" s="8"/>
      <c r="Y1850" s="8"/>
    </row>
    <row r="1851">
      <c r="A1851" s="8"/>
      <c r="B1851" s="8"/>
      <c r="C1851" s="8"/>
      <c r="D1851" s="8"/>
      <c r="E1851" s="8"/>
      <c r="F1851" s="8"/>
      <c r="G1851" s="8"/>
      <c r="H1851" s="8"/>
      <c r="I1851" s="8"/>
      <c r="J1851" s="8"/>
      <c r="K1851" s="8"/>
      <c r="L1851" s="8"/>
      <c r="M1851" s="8"/>
      <c r="N1851" s="8"/>
      <c r="O1851" s="8"/>
      <c r="P1851" s="8"/>
      <c r="Q1851" s="8"/>
      <c r="R1851" s="8"/>
      <c r="S1851" s="8"/>
      <c r="T1851" s="8"/>
      <c r="U1851" s="8"/>
      <c r="V1851" s="8"/>
      <c r="W1851" s="8"/>
      <c r="X1851" s="8"/>
      <c r="Y1851" s="8"/>
    </row>
    <row r="1852">
      <c r="A1852" s="8"/>
      <c r="B1852" s="8"/>
      <c r="C1852" s="8"/>
      <c r="D1852" s="8"/>
      <c r="E1852" s="8"/>
      <c r="F1852" s="8"/>
      <c r="G1852" s="8"/>
      <c r="H1852" s="8"/>
      <c r="I1852" s="8"/>
      <c r="J1852" s="8"/>
      <c r="K1852" s="8"/>
      <c r="L1852" s="8"/>
      <c r="M1852" s="8"/>
      <c r="N1852" s="8"/>
      <c r="O1852" s="8"/>
      <c r="P1852" s="8"/>
      <c r="Q1852" s="8"/>
      <c r="R1852" s="8"/>
      <c r="S1852" s="8"/>
      <c r="T1852" s="8"/>
      <c r="U1852" s="8"/>
      <c r="V1852" s="8"/>
      <c r="W1852" s="8"/>
      <c r="X1852" s="8"/>
      <c r="Y1852" s="8"/>
    </row>
    <row r="1853">
      <c r="A1853" s="8"/>
      <c r="B1853" s="8"/>
      <c r="C1853" s="8"/>
      <c r="D1853" s="8"/>
      <c r="E1853" s="8"/>
      <c r="F1853" s="8"/>
      <c r="G1853" s="8"/>
      <c r="H1853" s="8"/>
      <c r="I1853" s="8"/>
      <c r="J1853" s="8"/>
      <c r="K1853" s="8"/>
      <c r="L1853" s="8"/>
      <c r="M1853" s="8"/>
      <c r="N1853" s="8"/>
      <c r="O1853" s="8"/>
      <c r="P1853" s="8"/>
      <c r="Q1853" s="8"/>
      <c r="R1853" s="8"/>
      <c r="S1853" s="8"/>
      <c r="T1853" s="8"/>
      <c r="U1853" s="8"/>
      <c r="V1853" s="8"/>
      <c r="W1853" s="8"/>
      <c r="X1853" s="8"/>
      <c r="Y1853" s="8"/>
    </row>
    <row r="1854">
      <c r="A1854" s="8"/>
      <c r="B1854" s="8"/>
      <c r="C1854" s="8"/>
      <c r="D1854" s="8"/>
      <c r="E1854" s="8"/>
      <c r="F1854" s="8"/>
      <c r="G1854" s="8"/>
      <c r="H1854" s="8"/>
      <c r="I1854" s="8"/>
      <c r="J1854" s="8"/>
      <c r="K1854" s="8"/>
      <c r="L1854" s="8"/>
      <c r="M1854" s="8"/>
      <c r="N1854" s="8"/>
      <c r="O1854" s="8"/>
      <c r="P1854" s="8"/>
      <c r="Q1854" s="8"/>
      <c r="R1854" s="8"/>
      <c r="S1854" s="8"/>
      <c r="T1854" s="8"/>
      <c r="U1854" s="8"/>
      <c r="V1854" s="8"/>
      <c r="W1854" s="8"/>
      <c r="X1854" s="8"/>
      <c r="Y1854" s="8"/>
    </row>
    <row r="1855">
      <c r="A1855" s="8"/>
      <c r="B1855" s="8"/>
      <c r="C1855" s="8"/>
      <c r="D1855" s="8"/>
      <c r="E1855" s="8"/>
      <c r="F1855" s="8"/>
      <c r="G1855" s="8"/>
      <c r="H1855" s="8"/>
      <c r="I1855" s="8"/>
      <c r="J1855" s="8"/>
      <c r="K1855" s="8"/>
      <c r="L1855" s="8"/>
      <c r="M1855" s="8"/>
      <c r="N1855" s="8"/>
      <c r="O1855" s="8"/>
      <c r="P1855" s="8"/>
      <c r="Q1855" s="8"/>
      <c r="R1855" s="8"/>
      <c r="S1855" s="8"/>
      <c r="T1855" s="8"/>
      <c r="U1855" s="8"/>
      <c r="V1855" s="8"/>
      <c r="W1855" s="8"/>
      <c r="X1855" s="8"/>
      <c r="Y1855" s="8"/>
    </row>
    <row r="1856">
      <c r="A1856" s="8"/>
      <c r="B1856" s="8"/>
      <c r="C1856" s="8"/>
      <c r="D1856" s="8"/>
      <c r="E1856" s="8"/>
      <c r="F1856" s="8"/>
      <c r="G1856" s="8"/>
      <c r="H1856" s="8"/>
      <c r="I1856" s="8"/>
      <c r="J1856" s="8"/>
      <c r="K1856" s="8"/>
      <c r="L1856" s="8"/>
      <c r="M1856" s="8"/>
      <c r="N1856" s="8"/>
      <c r="O1856" s="8"/>
      <c r="P1856" s="8"/>
      <c r="Q1856" s="8"/>
      <c r="R1856" s="8"/>
      <c r="S1856" s="8"/>
      <c r="T1856" s="8"/>
      <c r="U1856" s="8"/>
      <c r="V1856" s="8"/>
      <c r="W1856" s="8"/>
      <c r="X1856" s="8"/>
      <c r="Y1856" s="8"/>
    </row>
    <row r="1857">
      <c r="A1857" s="8"/>
      <c r="B1857" s="8"/>
      <c r="C1857" s="8"/>
      <c r="D1857" s="8"/>
      <c r="E1857" s="8"/>
      <c r="F1857" s="8"/>
      <c r="G1857" s="8"/>
      <c r="H1857" s="8"/>
      <c r="I1857" s="8"/>
      <c r="J1857" s="8"/>
      <c r="K1857" s="8"/>
      <c r="L1857" s="8"/>
      <c r="M1857" s="8"/>
      <c r="N1857" s="8"/>
      <c r="O1857" s="8"/>
      <c r="P1857" s="8"/>
      <c r="Q1857" s="8"/>
      <c r="R1857" s="8"/>
      <c r="S1857" s="8"/>
      <c r="T1857" s="8"/>
      <c r="U1857" s="8"/>
      <c r="V1857" s="8"/>
      <c r="W1857" s="8"/>
      <c r="X1857" s="8"/>
      <c r="Y1857" s="8"/>
    </row>
    <row r="1858">
      <c r="A1858" s="8"/>
      <c r="B1858" s="8"/>
      <c r="C1858" s="8"/>
      <c r="D1858" s="8"/>
      <c r="E1858" s="8"/>
      <c r="F1858" s="8"/>
      <c r="G1858" s="8"/>
      <c r="H1858" s="8"/>
      <c r="I1858" s="8"/>
      <c r="J1858" s="8"/>
      <c r="K1858" s="8"/>
      <c r="L1858" s="8"/>
      <c r="M1858" s="8"/>
      <c r="N1858" s="8"/>
      <c r="O1858" s="8"/>
      <c r="P1858" s="8"/>
      <c r="Q1858" s="8"/>
      <c r="R1858" s="8"/>
      <c r="S1858" s="8"/>
      <c r="T1858" s="8"/>
      <c r="U1858" s="8"/>
      <c r="V1858" s="8"/>
      <c r="W1858" s="8"/>
      <c r="X1858" s="8"/>
      <c r="Y1858" s="8"/>
    </row>
    <row r="1859">
      <c r="A1859" s="8"/>
      <c r="B1859" s="8"/>
      <c r="C1859" s="8"/>
      <c r="D1859" s="8"/>
      <c r="E1859" s="8"/>
      <c r="F1859" s="8"/>
      <c r="G1859" s="8"/>
      <c r="H1859" s="8"/>
      <c r="I1859" s="8"/>
      <c r="J1859" s="8"/>
      <c r="K1859" s="8"/>
      <c r="L1859" s="8"/>
      <c r="M1859" s="8"/>
      <c r="N1859" s="8"/>
      <c r="O1859" s="8"/>
      <c r="P1859" s="8"/>
      <c r="Q1859" s="8"/>
      <c r="R1859" s="8"/>
      <c r="S1859" s="8"/>
      <c r="T1859" s="8"/>
      <c r="U1859" s="8"/>
      <c r="V1859" s="8"/>
      <c r="W1859" s="8"/>
      <c r="X1859" s="8"/>
      <c r="Y1859" s="8"/>
    </row>
    <row r="1860">
      <c r="A1860" s="8"/>
      <c r="B1860" s="8"/>
      <c r="C1860" s="8"/>
      <c r="D1860" s="8"/>
      <c r="E1860" s="8"/>
      <c r="F1860" s="8"/>
      <c r="G1860" s="8"/>
      <c r="H1860" s="8"/>
      <c r="I1860" s="8"/>
      <c r="J1860" s="8"/>
      <c r="K1860" s="8"/>
      <c r="L1860" s="8"/>
      <c r="M1860" s="8"/>
      <c r="N1860" s="8"/>
      <c r="O1860" s="8"/>
      <c r="P1860" s="8"/>
      <c r="Q1860" s="8"/>
      <c r="R1860" s="8"/>
      <c r="S1860" s="8"/>
      <c r="T1860" s="8"/>
      <c r="U1860" s="8"/>
      <c r="V1860" s="8"/>
      <c r="W1860" s="8"/>
      <c r="X1860" s="8"/>
      <c r="Y1860" s="8"/>
    </row>
    <row r="1861">
      <c r="A1861" s="8"/>
      <c r="B1861" s="8"/>
      <c r="C1861" s="8"/>
      <c r="D1861" s="8"/>
      <c r="E1861" s="8"/>
      <c r="F1861" s="8"/>
      <c r="G1861" s="8"/>
      <c r="H1861" s="8"/>
      <c r="I1861" s="8"/>
      <c r="J1861" s="8"/>
      <c r="K1861" s="8"/>
      <c r="L1861" s="8"/>
      <c r="M1861" s="8"/>
      <c r="N1861" s="8"/>
      <c r="O1861" s="8"/>
      <c r="P1861" s="8"/>
      <c r="Q1861" s="8"/>
      <c r="R1861" s="8"/>
      <c r="S1861" s="8"/>
      <c r="T1861" s="8"/>
      <c r="U1861" s="8"/>
      <c r="V1861" s="8"/>
      <c r="W1861" s="8"/>
      <c r="X1861" s="8"/>
      <c r="Y1861" s="8"/>
    </row>
    <row r="1862">
      <c r="A1862" s="8"/>
      <c r="B1862" s="8"/>
      <c r="C1862" s="8"/>
      <c r="D1862" s="8"/>
      <c r="E1862" s="8"/>
      <c r="F1862" s="8"/>
      <c r="G1862" s="8"/>
      <c r="H1862" s="8"/>
      <c r="I1862" s="8"/>
      <c r="J1862" s="8"/>
      <c r="K1862" s="8"/>
      <c r="L1862" s="8"/>
      <c r="M1862" s="8"/>
      <c r="N1862" s="8"/>
      <c r="O1862" s="8"/>
      <c r="P1862" s="8"/>
      <c r="Q1862" s="8"/>
      <c r="R1862" s="8"/>
      <c r="S1862" s="8"/>
      <c r="T1862" s="8"/>
      <c r="U1862" s="8"/>
      <c r="V1862" s="8"/>
      <c r="W1862" s="8"/>
      <c r="X1862" s="8"/>
      <c r="Y1862" s="8"/>
    </row>
    <row r="1863">
      <c r="A1863" s="8"/>
      <c r="B1863" s="8"/>
      <c r="C1863" s="8"/>
      <c r="D1863" s="8"/>
      <c r="E1863" s="8"/>
      <c r="F1863" s="8"/>
      <c r="G1863" s="8"/>
      <c r="H1863" s="8"/>
      <c r="I1863" s="8"/>
      <c r="J1863" s="8"/>
      <c r="K1863" s="8"/>
      <c r="L1863" s="8"/>
      <c r="M1863" s="8"/>
      <c r="N1863" s="8"/>
      <c r="O1863" s="8"/>
      <c r="P1863" s="8"/>
      <c r="Q1863" s="8"/>
      <c r="R1863" s="8"/>
      <c r="S1863" s="8"/>
      <c r="T1863" s="8"/>
      <c r="U1863" s="8"/>
      <c r="V1863" s="8"/>
      <c r="W1863" s="8"/>
      <c r="X1863" s="8"/>
      <c r="Y1863" s="8"/>
    </row>
    <row r="1864">
      <c r="A1864" s="8"/>
      <c r="B1864" s="8"/>
      <c r="C1864" s="8"/>
      <c r="D1864" s="8"/>
      <c r="E1864" s="8"/>
      <c r="F1864" s="8"/>
      <c r="G1864" s="8"/>
      <c r="H1864" s="8"/>
      <c r="I1864" s="8"/>
      <c r="J1864" s="8"/>
      <c r="K1864" s="8"/>
      <c r="L1864" s="8"/>
      <c r="M1864" s="8"/>
      <c r="N1864" s="8"/>
      <c r="O1864" s="8"/>
      <c r="P1864" s="8"/>
      <c r="Q1864" s="8"/>
      <c r="R1864" s="8"/>
      <c r="S1864" s="8"/>
      <c r="T1864" s="8"/>
      <c r="U1864" s="8"/>
      <c r="V1864" s="8"/>
      <c r="W1864" s="8"/>
      <c r="X1864" s="8"/>
      <c r="Y1864" s="8"/>
    </row>
    <row r="1865">
      <c r="A1865" s="8"/>
      <c r="B1865" s="8"/>
      <c r="C1865" s="8"/>
      <c r="D1865" s="8"/>
      <c r="E1865" s="8"/>
      <c r="F1865" s="8"/>
      <c r="G1865" s="8"/>
      <c r="H1865" s="8"/>
      <c r="I1865" s="8"/>
      <c r="J1865" s="8"/>
      <c r="K1865" s="8"/>
      <c r="L1865" s="8"/>
      <c r="M1865" s="8"/>
      <c r="N1865" s="8"/>
      <c r="O1865" s="8"/>
      <c r="P1865" s="8"/>
      <c r="Q1865" s="8"/>
      <c r="R1865" s="8"/>
      <c r="S1865" s="8"/>
      <c r="T1865" s="8"/>
      <c r="U1865" s="8"/>
      <c r="V1865" s="8"/>
      <c r="W1865" s="8"/>
      <c r="X1865" s="8"/>
      <c r="Y1865" s="8"/>
    </row>
    <row r="1866">
      <c r="A1866" s="8"/>
      <c r="B1866" s="8"/>
      <c r="C1866" s="8"/>
      <c r="D1866" s="8"/>
      <c r="E1866" s="8"/>
      <c r="F1866" s="8"/>
      <c r="G1866" s="8"/>
      <c r="H1866" s="8"/>
      <c r="I1866" s="8"/>
      <c r="J1866" s="8"/>
      <c r="K1866" s="8"/>
      <c r="L1866" s="8"/>
      <c r="M1866" s="8"/>
      <c r="N1866" s="8"/>
      <c r="O1866" s="8"/>
      <c r="P1866" s="8"/>
      <c r="Q1866" s="8"/>
      <c r="R1866" s="8"/>
      <c r="S1866" s="8"/>
      <c r="T1866" s="8"/>
      <c r="U1866" s="8"/>
      <c r="V1866" s="8"/>
      <c r="W1866" s="8"/>
      <c r="X1866" s="8"/>
      <c r="Y1866" s="8"/>
    </row>
    <row r="1867">
      <c r="A1867" s="8"/>
      <c r="B1867" s="8"/>
      <c r="C1867" s="8"/>
      <c r="D1867" s="8"/>
      <c r="E1867" s="8"/>
      <c r="F1867" s="8"/>
      <c r="G1867" s="8"/>
      <c r="H1867" s="8"/>
      <c r="I1867" s="8"/>
      <c r="J1867" s="8"/>
      <c r="K1867" s="8"/>
      <c r="L1867" s="8"/>
      <c r="M1867" s="8"/>
      <c r="N1867" s="8"/>
      <c r="O1867" s="8"/>
      <c r="P1867" s="8"/>
      <c r="Q1867" s="8"/>
      <c r="R1867" s="8"/>
      <c r="S1867" s="8"/>
      <c r="T1867" s="8"/>
      <c r="U1867" s="8"/>
      <c r="V1867" s="8"/>
      <c r="W1867" s="8"/>
      <c r="X1867" s="8"/>
      <c r="Y1867" s="8"/>
    </row>
    <row r="1868">
      <c r="A1868" s="8"/>
      <c r="B1868" s="8"/>
      <c r="C1868" s="8"/>
      <c r="D1868" s="8"/>
      <c r="E1868" s="8"/>
      <c r="F1868" s="8"/>
      <c r="G1868" s="8"/>
      <c r="H1868" s="8"/>
      <c r="I1868" s="8"/>
      <c r="J1868" s="8"/>
      <c r="K1868" s="8"/>
      <c r="L1868" s="8"/>
      <c r="M1868" s="8"/>
      <c r="N1868" s="8"/>
      <c r="O1868" s="8"/>
      <c r="P1868" s="8"/>
      <c r="Q1868" s="8"/>
      <c r="R1868" s="8"/>
      <c r="S1868" s="8"/>
      <c r="T1868" s="8"/>
      <c r="U1868" s="8"/>
      <c r="V1868" s="8"/>
      <c r="W1868" s="8"/>
      <c r="X1868" s="8"/>
      <c r="Y1868" s="8"/>
    </row>
    <row r="1869">
      <c r="A1869" s="8"/>
      <c r="B1869" s="8"/>
      <c r="C1869" s="8"/>
      <c r="D1869" s="8"/>
      <c r="E1869" s="8"/>
      <c r="F1869" s="8"/>
      <c r="G1869" s="8"/>
      <c r="H1869" s="8"/>
      <c r="I1869" s="8"/>
      <c r="J1869" s="8"/>
      <c r="K1869" s="8"/>
      <c r="L1869" s="8"/>
      <c r="M1869" s="8"/>
      <c r="N1869" s="8"/>
      <c r="O1869" s="8"/>
      <c r="P1869" s="8"/>
      <c r="Q1869" s="8"/>
      <c r="R1869" s="8"/>
      <c r="S1869" s="8"/>
      <c r="T1869" s="8"/>
      <c r="U1869" s="8"/>
      <c r="V1869" s="8"/>
      <c r="W1869" s="8"/>
      <c r="X1869" s="8"/>
      <c r="Y1869" s="8"/>
    </row>
    <row r="1870">
      <c r="A1870" s="8"/>
      <c r="B1870" s="8"/>
      <c r="C1870" s="8"/>
      <c r="D1870" s="8"/>
      <c r="E1870" s="8"/>
      <c r="F1870" s="8"/>
      <c r="G1870" s="8"/>
      <c r="H1870" s="8"/>
      <c r="I1870" s="8"/>
      <c r="J1870" s="8"/>
      <c r="K1870" s="8"/>
      <c r="L1870" s="8"/>
      <c r="M1870" s="8"/>
      <c r="N1870" s="8"/>
      <c r="O1870" s="8"/>
      <c r="P1870" s="8"/>
      <c r="Q1870" s="8"/>
      <c r="R1870" s="8"/>
      <c r="S1870" s="8"/>
      <c r="T1870" s="8"/>
      <c r="U1870" s="8"/>
      <c r="V1870" s="8"/>
      <c r="W1870" s="8"/>
      <c r="X1870" s="8"/>
      <c r="Y1870" s="8"/>
    </row>
    <row r="1871">
      <c r="A1871" s="8"/>
      <c r="B1871" s="8"/>
      <c r="C1871" s="8"/>
      <c r="D1871" s="8"/>
      <c r="E1871" s="8"/>
      <c r="F1871" s="8"/>
      <c r="G1871" s="8"/>
      <c r="H1871" s="8"/>
      <c r="I1871" s="8"/>
      <c r="J1871" s="8"/>
      <c r="K1871" s="8"/>
      <c r="L1871" s="8"/>
      <c r="M1871" s="8"/>
      <c r="N1871" s="8"/>
      <c r="O1871" s="8"/>
      <c r="P1871" s="8"/>
      <c r="Q1871" s="8"/>
      <c r="R1871" s="8"/>
      <c r="S1871" s="8"/>
      <c r="T1871" s="8"/>
      <c r="U1871" s="8"/>
      <c r="V1871" s="8"/>
      <c r="W1871" s="8"/>
      <c r="X1871" s="8"/>
      <c r="Y1871" s="8"/>
    </row>
    <row r="1872">
      <c r="A1872" s="8"/>
      <c r="B1872" s="8"/>
      <c r="C1872" s="8"/>
      <c r="D1872" s="8"/>
      <c r="E1872" s="8"/>
      <c r="F1872" s="8"/>
      <c r="G1872" s="8"/>
      <c r="H1872" s="8"/>
      <c r="I1872" s="8"/>
      <c r="J1872" s="8"/>
      <c r="K1872" s="8"/>
      <c r="L1872" s="8"/>
      <c r="M1872" s="8"/>
      <c r="N1872" s="8"/>
      <c r="O1872" s="8"/>
      <c r="P1872" s="8"/>
      <c r="Q1872" s="8"/>
      <c r="R1872" s="8"/>
      <c r="S1872" s="8"/>
      <c r="T1872" s="8"/>
      <c r="U1872" s="8"/>
      <c r="V1872" s="8"/>
      <c r="W1872" s="8"/>
      <c r="X1872" s="8"/>
      <c r="Y1872" s="8"/>
    </row>
    <row r="1873">
      <c r="A1873" s="8"/>
      <c r="B1873" s="8"/>
      <c r="C1873" s="8"/>
      <c r="D1873" s="8"/>
      <c r="E1873" s="8"/>
      <c r="F1873" s="8"/>
      <c r="G1873" s="8"/>
      <c r="H1873" s="8"/>
      <c r="I1873" s="8"/>
      <c r="J1873" s="8"/>
      <c r="K1873" s="8"/>
      <c r="L1873" s="8"/>
      <c r="M1873" s="8"/>
      <c r="N1873" s="8"/>
      <c r="O1873" s="8"/>
      <c r="P1873" s="8"/>
      <c r="Q1873" s="8"/>
      <c r="R1873" s="8"/>
      <c r="S1873" s="8"/>
      <c r="T1873" s="8"/>
      <c r="U1873" s="8"/>
      <c r="V1873" s="8"/>
      <c r="W1873" s="8"/>
      <c r="X1873" s="8"/>
      <c r="Y1873" s="8"/>
    </row>
    <row r="1874">
      <c r="A1874" s="8"/>
      <c r="B1874" s="8"/>
      <c r="C1874" s="8"/>
      <c r="D1874" s="8"/>
      <c r="E1874" s="8"/>
      <c r="F1874" s="8"/>
      <c r="G1874" s="8"/>
      <c r="H1874" s="8"/>
      <c r="I1874" s="8"/>
      <c r="J1874" s="8"/>
      <c r="K1874" s="8"/>
      <c r="L1874" s="8"/>
      <c r="M1874" s="8"/>
      <c r="N1874" s="8"/>
      <c r="O1874" s="8"/>
      <c r="P1874" s="8"/>
      <c r="Q1874" s="8"/>
      <c r="R1874" s="8"/>
      <c r="S1874" s="8"/>
      <c r="T1874" s="8"/>
      <c r="U1874" s="8"/>
      <c r="V1874" s="8"/>
      <c r="W1874" s="8"/>
      <c r="X1874" s="8"/>
      <c r="Y1874" s="8"/>
    </row>
    <row r="1875">
      <c r="A1875" s="8"/>
      <c r="B1875" s="8"/>
      <c r="C1875" s="8"/>
      <c r="D1875" s="8"/>
      <c r="E1875" s="8"/>
      <c r="F1875" s="8"/>
      <c r="G1875" s="8"/>
      <c r="H1875" s="8"/>
      <c r="I1875" s="8"/>
      <c r="J1875" s="8"/>
      <c r="K1875" s="8"/>
      <c r="L1875" s="8"/>
      <c r="M1875" s="8"/>
      <c r="N1875" s="8"/>
      <c r="O1875" s="8"/>
      <c r="P1875" s="8"/>
      <c r="Q1875" s="8"/>
      <c r="R1875" s="8"/>
      <c r="S1875" s="8"/>
      <c r="T1875" s="8"/>
      <c r="U1875" s="8"/>
      <c r="V1875" s="8"/>
      <c r="W1875" s="8"/>
      <c r="X1875" s="8"/>
      <c r="Y1875" s="8"/>
    </row>
    <row r="1876">
      <c r="A1876" s="8"/>
      <c r="B1876" s="8"/>
      <c r="C1876" s="8"/>
      <c r="D1876" s="8"/>
      <c r="E1876" s="8"/>
      <c r="F1876" s="8"/>
      <c r="G1876" s="8"/>
      <c r="H1876" s="8"/>
      <c r="I1876" s="8"/>
      <c r="J1876" s="8"/>
      <c r="K1876" s="8"/>
      <c r="L1876" s="8"/>
      <c r="M1876" s="8"/>
      <c r="N1876" s="8"/>
      <c r="O1876" s="8"/>
      <c r="P1876" s="8"/>
      <c r="Q1876" s="8"/>
      <c r="R1876" s="8"/>
      <c r="S1876" s="8"/>
      <c r="T1876" s="8"/>
      <c r="U1876" s="8"/>
      <c r="V1876" s="8"/>
      <c r="W1876" s="8"/>
      <c r="X1876" s="8"/>
      <c r="Y1876" s="8"/>
    </row>
    <row r="1877">
      <c r="A1877" s="8"/>
      <c r="B1877" s="8"/>
      <c r="C1877" s="8"/>
      <c r="D1877" s="8"/>
      <c r="E1877" s="8"/>
      <c r="F1877" s="8"/>
      <c r="G1877" s="8"/>
      <c r="H1877" s="8"/>
      <c r="I1877" s="8"/>
      <c r="J1877" s="8"/>
      <c r="K1877" s="8"/>
      <c r="L1877" s="8"/>
      <c r="M1877" s="8"/>
      <c r="N1877" s="8"/>
      <c r="O1877" s="8"/>
      <c r="P1877" s="8"/>
      <c r="Q1877" s="8"/>
      <c r="R1877" s="8"/>
      <c r="S1877" s="8"/>
      <c r="T1877" s="8"/>
      <c r="U1877" s="8"/>
      <c r="V1877" s="8"/>
      <c r="W1877" s="8"/>
      <c r="X1877" s="8"/>
      <c r="Y1877" s="8"/>
    </row>
    <row r="1878">
      <c r="A1878" s="8"/>
      <c r="B1878" s="8"/>
      <c r="C1878" s="8"/>
      <c r="D1878" s="8"/>
      <c r="E1878" s="8"/>
      <c r="F1878" s="8"/>
      <c r="G1878" s="8"/>
      <c r="H1878" s="8"/>
      <c r="I1878" s="8"/>
      <c r="J1878" s="8"/>
      <c r="K1878" s="8"/>
      <c r="L1878" s="8"/>
      <c r="M1878" s="8"/>
      <c r="N1878" s="8"/>
      <c r="O1878" s="8"/>
      <c r="P1878" s="8"/>
      <c r="Q1878" s="8"/>
      <c r="R1878" s="8"/>
      <c r="S1878" s="8"/>
      <c r="T1878" s="8"/>
      <c r="U1878" s="8"/>
      <c r="V1878" s="8"/>
      <c r="W1878" s="8"/>
      <c r="X1878" s="8"/>
      <c r="Y1878" s="8"/>
    </row>
    <row r="1879">
      <c r="A1879" s="8"/>
      <c r="B1879" s="8"/>
      <c r="C1879" s="8"/>
      <c r="D1879" s="8"/>
      <c r="E1879" s="8"/>
      <c r="F1879" s="8"/>
      <c r="G1879" s="8"/>
      <c r="H1879" s="8"/>
      <c r="I1879" s="8"/>
      <c r="J1879" s="8"/>
      <c r="K1879" s="8"/>
      <c r="L1879" s="8"/>
      <c r="M1879" s="8"/>
      <c r="N1879" s="8"/>
      <c r="O1879" s="8"/>
      <c r="P1879" s="8"/>
      <c r="Q1879" s="8"/>
      <c r="R1879" s="8"/>
      <c r="S1879" s="8"/>
      <c r="T1879" s="8"/>
      <c r="U1879" s="8"/>
      <c r="V1879" s="8"/>
      <c r="W1879" s="8"/>
      <c r="X1879" s="8"/>
      <c r="Y1879" s="8"/>
    </row>
    <row r="1880">
      <c r="A1880" s="8"/>
      <c r="B1880" s="8"/>
      <c r="C1880" s="8"/>
      <c r="D1880" s="8"/>
      <c r="E1880" s="8"/>
      <c r="F1880" s="8"/>
      <c r="G1880" s="8"/>
      <c r="H1880" s="8"/>
      <c r="I1880" s="8"/>
      <c r="J1880" s="8"/>
      <c r="K1880" s="8"/>
      <c r="L1880" s="8"/>
      <c r="M1880" s="8"/>
      <c r="N1880" s="8"/>
      <c r="O1880" s="8"/>
      <c r="P1880" s="8"/>
      <c r="Q1880" s="8"/>
      <c r="R1880" s="8"/>
      <c r="S1880" s="8"/>
      <c r="T1880" s="8"/>
      <c r="U1880" s="8"/>
      <c r="V1880" s="8"/>
      <c r="W1880" s="8"/>
      <c r="X1880" s="8"/>
      <c r="Y1880" s="8"/>
    </row>
    <row r="1881">
      <c r="A1881" s="8"/>
      <c r="B1881" s="8"/>
      <c r="C1881" s="8"/>
      <c r="D1881" s="8"/>
      <c r="E1881" s="8"/>
      <c r="F1881" s="8"/>
      <c r="G1881" s="8"/>
      <c r="H1881" s="8"/>
      <c r="I1881" s="8"/>
      <c r="J1881" s="8"/>
      <c r="K1881" s="8"/>
      <c r="L1881" s="8"/>
      <c r="M1881" s="8"/>
      <c r="N1881" s="8"/>
      <c r="O1881" s="8"/>
      <c r="P1881" s="8"/>
      <c r="Q1881" s="8"/>
      <c r="R1881" s="8"/>
      <c r="S1881" s="8"/>
      <c r="T1881" s="8"/>
      <c r="U1881" s="8"/>
      <c r="V1881" s="8"/>
      <c r="W1881" s="8"/>
      <c r="X1881" s="8"/>
      <c r="Y1881" s="8"/>
    </row>
    <row r="1882">
      <c r="A1882" s="8"/>
      <c r="B1882" s="8"/>
      <c r="C1882" s="8"/>
      <c r="D1882" s="8"/>
      <c r="E1882" s="8"/>
      <c r="F1882" s="8"/>
      <c r="G1882" s="8"/>
      <c r="H1882" s="8"/>
      <c r="I1882" s="8"/>
      <c r="J1882" s="8"/>
      <c r="K1882" s="8"/>
      <c r="L1882" s="8"/>
      <c r="M1882" s="8"/>
      <c r="N1882" s="8"/>
      <c r="O1882" s="8"/>
      <c r="P1882" s="8"/>
      <c r="Q1882" s="8"/>
      <c r="R1882" s="8"/>
      <c r="S1882" s="8"/>
      <c r="T1882" s="8"/>
      <c r="U1882" s="8"/>
      <c r="V1882" s="8"/>
      <c r="W1882" s="8"/>
      <c r="X1882" s="8"/>
      <c r="Y1882" s="8"/>
    </row>
    <row r="1883">
      <c r="A1883" s="8"/>
      <c r="B1883" s="8"/>
      <c r="C1883" s="8"/>
      <c r="D1883" s="8"/>
      <c r="E1883" s="8"/>
      <c r="F1883" s="8"/>
      <c r="G1883" s="8"/>
      <c r="H1883" s="8"/>
      <c r="I1883" s="8"/>
      <c r="J1883" s="8"/>
      <c r="K1883" s="8"/>
      <c r="L1883" s="8"/>
      <c r="M1883" s="8"/>
      <c r="N1883" s="8"/>
      <c r="O1883" s="8"/>
      <c r="P1883" s="8"/>
      <c r="Q1883" s="8"/>
      <c r="R1883" s="8"/>
      <c r="S1883" s="8"/>
      <c r="T1883" s="8"/>
      <c r="U1883" s="8"/>
      <c r="V1883" s="8"/>
      <c r="W1883" s="8"/>
      <c r="X1883" s="8"/>
      <c r="Y1883" s="8"/>
    </row>
    <row r="1884">
      <c r="A1884" s="8"/>
      <c r="B1884" s="8"/>
      <c r="C1884" s="8"/>
      <c r="D1884" s="8"/>
      <c r="E1884" s="8"/>
      <c r="F1884" s="8"/>
      <c r="G1884" s="8"/>
      <c r="H1884" s="8"/>
      <c r="I1884" s="8"/>
      <c r="J1884" s="8"/>
      <c r="K1884" s="8"/>
      <c r="L1884" s="8"/>
      <c r="M1884" s="8"/>
      <c r="N1884" s="8"/>
      <c r="O1884" s="8"/>
      <c r="P1884" s="8"/>
      <c r="Q1884" s="8"/>
      <c r="R1884" s="8"/>
      <c r="S1884" s="8"/>
      <c r="T1884" s="8"/>
      <c r="U1884" s="8"/>
      <c r="V1884" s="8"/>
      <c r="W1884" s="8"/>
      <c r="X1884" s="8"/>
      <c r="Y1884" s="8"/>
    </row>
    <row r="1885">
      <c r="A1885" s="8"/>
      <c r="B1885" s="8"/>
      <c r="C1885" s="8"/>
      <c r="D1885" s="8"/>
      <c r="E1885" s="8"/>
      <c r="F1885" s="8"/>
      <c r="G1885" s="8"/>
      <c r="H1885" s="8"/>
      <c r="I1885" s="8"/>
      <c r="J1885" s="8"/>
      <c r="K1885" s="8"/>
      <c r="L1885" s="8"/>
      <c r="M1885" s="8"/>
      <c r="N1885" s="8"/>
      <c r="O1885" s="8"/>
      <c r="P1885" s="8"/>
      <c r="Q1885" s="8"/>
      <c r="R1885" s="8"/>
      <c r="S1885" s="8"/>
      <c r="T1885" s="8"/>
      <c r="U1885" s="8"/>
      <c r="V1885" s="8"/>
      <c r="W1885" s="8"/>
      <c r="X1885" s="8"/>
      <c r="Y1885" s="8"/>
    </row>
    <row r="1886">
      <c r="A1886" s="8"/>
      <c r="B1886" s="8"/>
      <c r="C1886" s="8"/>
      <c r="D1886" s="8"/>
      <c r="E1886" s="8"/>
      <c r="F1886" s="8"/>
      <c r="G1886" s="8"/>
      <c r="H1886" s="8"/>
      <c r="I1886" s="8"/>
      <c r="J1886" s="8"/>
      <c r="K1886" s="8"/>
      <c r="L1886" s="8"/>
      <c r="M1886" s="8"/>
      <c r="N1886" s="8"/>
      <c r="O1886" s="8"/>
      <c r="P1886" s="8"/>
      <c r="Q1886" s="8"/>
      <c r="R1886" s="8"/>
      <c r="S1886" s="8"/>
      <c r="T1886" s="8"/>
      <c r="U1886" s="8"/>
      <c r="V1886" s="8"/>
      <c r="W1886" s="8"/>
      <c r="X1886" s="8"/>
      <c r="Y1886" s="8"/>
    </row>
    <row r="1887">
      <c r="A1887" s="8"/>
      <c r="B1887" s="8"/>
      <c r="C1887" s="8"/>
      <c r="D1887" s="8"/>
      <c r="E1887" s="8"/>
      <c r="F1887" s="8"/>
      <c r="G1887" s="8"/>
      <c r="H1887" s="8"/>
      <c r="I1887" s="8"/>
      <c r="J1887" s="8"/>
      <c r="K1887" s="8"/>
      <c r="L1887" s="8"/>
      <c r="M1887" s="8"/>
      <c r="N1887" s="8"/>
      <c r="O1887" s="8"/>
      <c r="P1887" s="8"/>
      <c r="Q1887" s="8"/>
      <c r="R1887" s="8"/>
      <c r="S1887" s="8"/>
      <c r="T1887" s="8"/>
      <c r="U1887" s="8"/>
      <c r="V1887" s="8"/>
      <c r="W1887" s="8"/>
      <c r="X1887" s="8"/>
      <c r="Y1887" s="8"/>
    </row>
    <row r="1888">
      <c r="A1888" s="8"/>
      <c r="B1888" s="8"/>
      <c r="C1888" s="8"/>
      <c r="D1888" s="8"/>
      <c r="E1888" s="8"/>
      <c r="F1888" s="8"/>
      <c r="G1888" s="8"/>
      <c r="H1888" s="8"/>
      <c r="I1888" s="8"/>
      <c r="J1888" s="8"/>
      <c r="K1888" s="8"/>
      <c r="L1888" s="8"/>
      <c r="M1888" s="8"/>
      <c r="N1888" s="8"/>
      <c r="O1888" s="8"/>
      <c r="P1888" s="8"/>
      <c r="Q1888" s="8"/>
      <c r="R1888" s="8"/>
      <c r="S1888" s="8"/>
      <c r="T1888" s="8"/>
      <c r="U1888" s="8"/>
      <c r="V1888" s="8"/>
      <c r="W1888" s="8"/>
      <c r="X1888" s="8"/>
      <c r="Y1888" s="8"/>
    </row>
    <row r="1889">
      <c r="A1889" s="8"/>
      <c r="B1889" s="8"/>
      <c r="C1889" s="8"/>
      <c r="D1889" s="8"/>
      <c r="E1889" s="8"/>
      <c r="F1889" s="8"/>
      <c r="G1889" s="8"/>
      <c r="H1889" s="8"/>
      <c r="I1889" s="8"/>
      <c r="J1889" s="8"/>
      <c r="K1889" s="8"/>
      <c r="L1889" s="8"/>
      <c r="M1889" s="8"/>
      <c r="N1889" s="8"/>
      <c r="O1889" s="8"/>
      <c r="P1889" s="8"/>
      <c r="Q1889" s="8"/>
      <c r="R1889" s="8"/>
      <c r="S1889" s="8"/>
      <c r="T1889" s="8"/>
      <c r="U1889" s="8"/>
      <c r="V1889" s="8"/>
      <c r="W1889" s="8"/>
      <c r="X1889" s="8"/>
      <c r="Y1889" s="8"/>
    </row>
    <row r="1890">
      <c r="A1890" s="8"/>
      <c r="B1890" s="8"/>
      <c r="C1890" s="8"/>
      <c r="D1890" s="8"/>
      <c r="E1890" s="8"/>
      <c r="F1890" s="8"/>
      <c r="G1890" s="8"/>
      <c r="H1890" s="8"/>
      <c r="I1890" s="8"/>
      <c r="J1890" s="8"/>
      <c r="K1890" s="8"/>
      <c r="L1890" s="8"/>
      <c r="M1890" s="8"/>
      <c r="N1890" s="8"/>
      <c r="O1890" s="8"/>
      <c r="P1890" s="8"/>
      <c r="Q1890" s="8"/>
      <c r="R1890" s="8"/>
      <c r="S1890" s="8"/>
      <c r="T1890" s="8"/>
      <c r="U1890" s="8"/>
      <c r="V1890" s="8"/>
      <c r="W1890" s="8"/>
      <c r="X1890" s="8"/>
      <c r="Y1890" s="8"/>
    </row>
    <row r="1891">
      <c r="A1891" s="8"/>
      <c r="B1891" s="8"/>
      <c r="C1891" s="8"/>
      <c r="D1891" s="8"/>
      <c r="E1891" s="8"/>
      <c r="F1891" s="8"/>
      <c r="G1891" s="8"/>
      <c r="H1891" s="8"/>
      <c r="I1891" s="8"/>
      <c r="J1891" s="8"/>
      <c r="K1891" s="8"/>
      <c r="L1891" s="8"/>
      <c r="M1891" s="8"/>
      <c r="N1891" s="8"/>
      <c r="O1891" s="8"/>
      <c r="P1891" s="8"/>
      <c r="Q1891" s="8"/>
      <c r="R1891" s="8"/>
      <c r="S1891" s="8"/>
      <c r="T1891" s="8"/>
      <c r="U1891" s="8"/>
      <c r="V1891" s="8"/>
      <c r="W1891" s="8"/>
      <c r="X1891" s="8"/>
      <c r="Y1891" s="8"/>
    </row>
    <row r="1892">
      <c r="A1892" s="8"/>
      <c r="B1892" s="8"/>
      <c r="C1892" s="8"/>
      <c r="D1892" s="8"/>
      <c r="E1892" s="8"/>
      <c r="F1892" s="8"/>
      <c r="G1892" s="8"/>
      <c r="H1892" s="8"/>
      <c r="I1892" s="8"/>
      <c r="J1892" s="8"/>
      <c r="K1892" s="8"/>
      <c r="L1892" s="8"/>
      <c r="M1892" s="8"/>
      <c r="N1892" s="8"/>
      <c r="O1892" s="8"/>
      <c r="P1892" s="8"/>
      <c r="Q1892" s="8"/>
      <c r="R1892" s="8"/>
      <c r="S1892" s="8"/>
      <c r="T1892" s="8"/>
      <c r="U1892" s="8"/>
      <c r="V1892" s="8"/>
      <c r="W1892" s="8"/>
      <c r="X1892" s="8"/>
      <c r="Y1892" s="8"/>
    </row>
    <row r="1893">
      <c r="A1893" s="8"/>
      <c r="B1893" s="8"/>
      <c r="C1893" s="8"/>
      <c r="D1893" s="8"/>
      <c r="E1893" s="8"/>
      <c r="F1893" s="8"/>
      <c r="G1893" s="8"/>
      <c r="H1893" s="8"/>
      <c r="I1893" s="8"/>
      <c r="J1893" s="8"/>
      <c r="K1893" s="8"/>
      <c r="L1893" s="8"/>
      <c r="M1893" s="8"/>
      <c r="N1893" s="8"/>
      <c r="O1893" s="8"/>
      <c r="P1893" s="8"/>
      <c r="Q1893" s="8"/>
      <c r="R1893" s="8"/>
      <c r="S1893" s="8"/>
      <c r="T1893" s="8"/>
      <c r="U1893" s="8"/>
      <c r="V1893" s="8"/>
      <c r="W1893" s="8"/>
      <c r="X1893" s="8"/>
      <c r="Y1893" s="8"/>
    </row>
    <row r="1894">
      <c r="A1894" s="8"/>
      <c r="B1894" s="8"/>
      <c r="C1894" s="8"/>
      <c r="D1894" s="8"/>
      <c r="E1894" s="8"/>
      <c r="F1894" s="8"/>
      <c r="G1894" s="8"/>
      <c r="H1894" s="8"/>
      <c r="I1894" s="8"/>
      <c r="J1894" s="8"/>
      <c r="K1894" s="8"/>
      <c r="L1894" s="8"/>
      <c r="M1894" s="8"/>
      <c r="N1894" s="8"/>
      <c r="O1894" s="8"/>
      <c r="P1894" s="8"/>
      <c r="Q1894" s="8"/>
      <c r="R1894" s="8"/>
      <c r="S1894" s="8"/>
      <c r="T1894" s="8"/>
      <c r="U1894" s="8"/>
      <c r="V1894" s="8"/>
      <c r="W1894" s="8"/>
      <c r="X1894" s="8"/>
      <c r="Y1894" s="8"/>
    </row>
    <row r="1895">
      <c r="A1895" s="8"/>
      <c r="B1895" s="8"/>
      <c r="C1895" s="8"/>
      <c r="D1895" s="8"/>
      <c r="E1895" s="8"/>
      <c r="F1895" s="8"/>
      <c r="G1895" s="8"/>
      <c r="H1895" s="8"/>
      <c r="I1895" s="8"/>
      <c r="J1895" s="8"/>
      <c r="K1895" s="8"/>
      <c r="L1895" s="8"/>
      <c r="M1895" s="8"/>
      <c r="N1895" s="8"/>
      <c r="O1895" s="8"/>
      <c r="P1895" s="8"/>
      <c r="Q1895" s="8"/>
      <c r="R1895" s="8"/>
      <c r="S1895" s="8"/>
      <c r="T1895" s="8"/>
      <c r="U1895" s="8"/>
      <c r="V1895" s="8"/>
      <c r="W1895" s="8"/>
      <c r="X1895" s="8"/>
      <c r="Y1895" s="8"/>
    </row>
    <row r="1896">
      <c r="A1896" s="8"/>
      <c r="B1896" s="8"/>
      <c r="C1896" s="8"/>
      <c r="D1896" s="8"/>
      <c r="E1896" s="8"/>
      <c r="F1896" s="8"/>
      <c r="G1896" s="8"/>
      <c r="H1896" s="8"/>
      <c r="I1896" s="8"/>
      <c r="J1896" s="8"/>
      <c r="K1896" s="8"/>
      <c r="L1896" s="8"/>
      <c r="M1896" s="8"/>
      <c r="N1896" s="8"/>
      <c r="O1896" s="8"/>
      <c r="P1896" s="8"/>
      <c r="Q1896" s="8"/>
      <c r="R1896" s="8"/>
      <c r="S1896" s="8"/>
      <c r="T1896" s="8"/>
      <c r="U1896" s="8"/>
      <c r="V1896" s="8"/>
      <c r="W1896" s="8"/>
      <c r="X1896" s="8"/>
      <c r="Y1896" s="8"/>
    </row>
    <row r="1897">
      <c r="A1897" s="8"/>
      <c r="B1897" s="8"/>
      <c r="C1897" s="8"/>
      <c r="D1897" s="8"/>
      <c r="E1897" s="8"/>
      <c r="F1897" s="8"/>
      <c r="G1897" s="8"/>
      <c r="H1897" s="8"/>
      <c r="I1897" s="8"/>
      <c r="J1897" s="8"/>
      <c r="K1897" s="8"/>
      <c r="L1897" s="8"/>
      <c r="M1897" s="8"/>
      <c r="N1897" s="8"/>
      <c r="O1897" s="8"/>
      <c r="P1897" s="8"/>
      <c r="Q1897" s="8"/>
      <c r="R1897" s="8"/>
      <c r="S1897" s="8"/>
      <c r="T1897" s="8"/>
      <c r="U1897" s="8"/>
      <c r="V1897" s="8"/>
      <c r="W1897" s="8"/>
      <c r="X1897" s="8"/>
      <c r="Y1897" s="8"/>
    </row>
    <row r="1898">
      <c r="A1898" s="8"/>
      <c r="B1898" s="8"/>
      <c r="C1898" s="8"/>
      <c r="D1898" s="8"/>
      <c r="E1898" s="8"/>
      <c r="F1898" s="8"/>
      <c r="G1898" s="8"/>
      <c r="H1898" s="8"/>
      <c r="I1898" s="8"/>
      <c r="J1898" s="8"/>
      <c r="K1898" s="8"/>
      <c r="L1898" s="8"/>
      <c r="M1898" s="8"/>
      <c r="N1898" s="8"/>
      <c r="O1898" s="8"/>
      <c r="P1898" s="8"/>
      <c r="Q1898" s="8"/>
      <c r="R1898" s="8"/>
      <c r="S1898" s="8"/>
      <c r="T1898" s="8"/>
      <c r="U1898" s="8"/>
      <c r="V1898" s="8"/>
      <c r="W1898" s="8"/>
      <c r="X1898" s="8"/>
      <c r="Y1898" s="8"/>
    </row>
    <row r="1899">
      <c r="A1899" s="8"/>
      <c r="B1899" s="8"/>
      <c r="C1899" s="8"/>
      <c r="D1899" s="8"/>
      <c r="E1899" s="8"/>
      <c r="F1899" s="8"/>
      <c r="G1899" s="8"/>
      <c r="H1899" s="8"/>
      <c r="I1899" s="8"/>
      <c r="J1899" s="8"/>
      <c r="K1899" s="8"/>
      <c r="L1899" s="8"/>
      <c r="M1899" s="8"/>
      <c r="N1899" s="8"/>
      <c r="O1899" s="8"/>
      <c r="P1899" s="8"/>
      <c r="Q1899" s="8"/>
      <c r="R1899" s="8"/>
      <c r="S1899" s="8"/>
      <c r="T1899" s="8"/>
      <c r="U1899" s="8"/>
      <c r="V1899" s="8"/>
      <c r="W1899" s="8"/>
      <c r="X1899" s="8"/>
      <c r="Y1899" s="8"/>
    </row>
    <row r="1900">
      <c r="A1900" s="8"/>
      <c r="B1900" s="8"/>
      <c r="C1900" s="8"/>
      <c r="D1900" s="8"/>
      <c r="E1900" s="8"/>
      <c r="F1900" s="8"/>
      <c r="G1900" s="8"/>
      <c r="H1900" s="8"/>
      <c r="I1900" s="8"/>
      <c r="J1900" s="8"/>
      <c r="K1900" s="8"/>
      <c r="L1900" s="8"/>
      <c r="M1900" s="8"/>
      <c r="N1900" s="8"/>
      <c r="O1900" s="8"/>
      <c r="P1900" s="8"/>
      <c r="Q1900" s="8"/>
      <c r="R1900" s="8"/>
      <c r="S1900" s="8"/>
      <c r="T1900" s="8"/>
      <c r="U1900" s="8"/>
      <c r="V1900" s="8"/>
      <c r="W1900" s="8"/>
      <c r="X1900" s="8"/>
      <c r="Y1900" s="8"/>
    </row>
    <row r="1901">
      <c r="A1901" s="8"/>
      <c r="B1901" s="8"/>
      <c r="C1901" s="8"/>
      <c r="D1901" s="8"/>
      <c r="E1901" s="8"/>
      <c r="F1901" s="8"/>
      <c r="G1901" s="8"/>
      <c r="H1901" s="8"/>
      <c r="I1901" s="8"/>
      <c r="J1901" s="8"/>
      <c r="K1901" s="8"/>
      <c r="L1901" s="8"/>
      <c r="M1901" s="8"/>
      <c r="N1901" s="8"/>
      <c r="O1901" s="8"/>
      <c r="P1901" s="8"/>
      <c r="Q1901" s="8"/>
      <c r="R1901" s="8"/>
      <c r="S1901" s="8"/>
      <c r="T1901" s="8"/>
      <c r="U1901" s="8"/>
      <c r="V1901" s="8"/>
      <c r="W1901" s="8"/>
      <c r="X1901" s="8"/>
      <c r="Y1901" s="8"/>
    </row>
    <row r="1902">
      <c r="A1902" s="8"/>
      <c r="B1902" s="8"/>
      <c r="C1902" s="8"/>
      <c r="D1902" s="8"/>
      <c r="E1902" s="8"/>
      <c r="F1902" s="8"/>
      <c r="G1902" s="8"/>
      <c r="H1902" s="8"/>
      <c r="I1902" s="8"/>
      <c r="J1902" s="8"/>
      <c r="K1902" s="8"/>
      <c r="L1902" s="8"/>
      <c r="M1902" s="8"/>
      <c r="N1902" s="8"/>
      <c r="O1902" s="8"/>
      <c r="P1902" s="8"/>
      <c r="Q1902" s="8"/>
      <c r="R1902" s="8"/>
      <c r="S1902" s="8"/>
      <c r="T1902" s="8"/>
      <c r="U1902" s="8"/>
      <c r="V1902" s="8"/>
      <c r="W1902" s="8"/>
      <c r="X1902" s="8"/>
      <c r="Y1902" s="8"/>
    </row>
    <row r="1903">
      <c r="A1903" s="8"/>
      <c r="B1903" s="8"/>
      <c r="C1903" s="8"/>
      <c r="D1903" s="8"/>
      <c r="E1903" s="8"/>
      <c r="F1903" s="8"/>
      <c r="G1903" s="8"/>
      <c r="H1903" s="8"/>
      <c r="I1903" s="8"/>
      <c r="J1903" s="8"/>
      <c r="K1903" s="8"/>
      <c r="L1903" s="8"/>
      <c r="M1903" s="8"/>
      <c r="N1903" s="8"/>
      <c r="O1903" s="8"/>
      <c r="P1903" s="8"/>
      <c r="Q1903" s="8"/>
      <c r="R1903" s="8"/>
      <c r="S1903" s="8"/>
      <c r="T1903" s="8"/>
      <c r="U1903" s="8"/>
      <c r="V1903" s="8"/>
      <c r="W1903" s="8"/>
      <c r="X1903" s="8"/>
      <c r="Y1903" s="8"/>
    </row>
    <row r="1904">
      <c r="A1904" s="8"/>
      <c r="B1904" s="8"/>
      <c r="C1904" s="8"/>
      <c r="D1904" s="8"/>
      <c r="E1904" s="8"/>
      <c r="F1904" s="8"/>
      <c r="G1904" s="8"/>
      <c r="H1904" s="8"/>
      <c r="I1904" s="8"/>
      <c r="J1904" s="8"/>
      <c r="K1904" s="8"/>
      <c r="L1904" s="8"/>
      <c r="M1904" s="8"/>
      <c r="N1904" s="8"/>
      <c r="O1904" s="8"/>
      <c r="P1904" s="8"/>
      <c r="Q1904" s="8"/>
      <c r="R1904" s="8"/>
      <c r="S1904" s="8"/>
      <c r="T1904" s="8"/>
      <c r="U1904" s="8"/>
      <c r="V1904" s="8"/>
      <c r="W1904" s="8"/>
      <c r="X1904" s="8"/>
      <c r="Y1904" s="8"/>
    </row>
    <row r="1905">
      <c r="A1905" s="8"/>
      <c r="B1905" s="8"/>
      <c r="C1905" s="8"/>
      <c r="D1905" s="8"/>
      <c r="E1905" s="8"/>
      <c r="F1905" s="8"/>
      <c r="G1905" s="8"/>
      <c r="H1905" s="8"/>
      <c r="I1905" s="8"/>
      <c r="J1905" s="8"/>
      <c r="K1905" s="8"/>
      <c r="L1905" s="8"/>
      <c r="M1905" s="8"/>
      <c r="N1905" s="8"/>
      <c r="O1905" s="8"/>
      <c r="P1905" s="8"/>
      <c r="Q1905" s="8"/>
      <c r="R1905" s="8"/>
      <c r="S1905" s="8"/>
      <c r="T1905" s="8"/>
      <c r="U1905" s="8"/>
      <c r="V1905" s="8"/>
      <c r="W1905" s="8"/>
      <c r="X1905" s="8"/>
      <c r="Y1905" s="8"/>
    </row>
    <row r="1906">
      <c r="A1906" s="8"/>
      <c r="B1906" s="8"/>
      <c r="C1906" s="8"/>
      <c r="D1906" s="8"/>
      <c r="E1906" s="8"/>
      <c r="F1906" s="8"/>
      <c r="G1906" s="8"/>
      <c r="H1906" s="8"/>
      <c r="I1906" s="8"/>
      <c r="J1906" s="8"/>
      <c r="K1906" s="8"/>
      <c r="L1906" s="8"/>
      <c r="M1906" s="8"/>
      <c r="N1906" s="8"/>
      <c r="O1906" s="8"/>
      <c r="P1906" s="8"/>
      <c r="Q1906" s="8"/>
      <c r="R1906" s="8"/>
      <c r="S1906" s="8"/>
      <c r="T1906" s="8"/>
      <c r="U1906" s="8"/>
      <c r="V1906" s="8"/>
      <c r="W1906" s="8"/>
      <c r="X1906" s="8"/>
      <c r="Y1906" s="8"/>
    </row>
    <row r="1907">
      <c r="A1907" s="8"/>
      <c r="B1907" s="8"/>
      <c r="C1907" s="8"/>
      <c r="D1907" s="8"/>
      <c r="E1907" s="8"/>
      <c r="F1907" s="8"/>
      <c r="G1907" s="8"/>
      <c r="H1907" s="8"/>
      <c r="I1907" s="8"/>
      <c r="J1907" s="8"/>
      <c r="K1907" s="8"/>
      <c r="L1907" s="8"/>
      <c r="M1907" s="8"/>
      <c r="N1907" s="8"/>
      <c r="O1907" s="8"/>
      <c r="P1907" s="8"/>
      <c r="Q1907" s="8"/>
      <c r="R1907" s="8"/>
      <c r="S1907" s="8"/>
      <c r="T1907" s="8"/>
      <c r="U1907" s="8"/>
      <c r="V1907" s="8"/>
      <c r="W1907" s="8"/>
      <c r="X1907" s="8"/>
      <c r="Y1907" s="8"/>
    </row>
    <row r="1908">
      <c r="A1908" s="8"/>
      <c r="B1908" s="8"/>
      <c r="C1908" s="8"/>
      <c r="D1908" s="8"/>
      <c r="E1908" s="8"/>
      <c r="F1908" s="8"/>
      <c r="G1908" s="8"/>
      <c r="H1908" s="8"/>
      <c r="I1908" s="8"/>
      <c r="J1908" s="8"/>
      <c r="K1908" s="8"/>
      <c r="L1908" s="8"/>
      <c r="M1908" s="8"/>
      <c r="N1908" s="8"/>
      <c r="O1908" s="8"/>
      <c r="P1908" s="8"/>
      <c r="Q1908" s="8"/>
      <c r="R1908" s="8"/>
      <c r="S1908" s="8"/>
      <c r="T1908" s="8"/>
      <c r="U1908" s="8"/>
      <c r="V1908" s="8"/>
      <c r="W1908" s="8"/>
      <c r="X1908" s="8"/>
      <c r="Y1908" s="8"/>
    </row>
    <row r="1909">
      <c r="A1909" s="8"/>
      <c r="B1909" s="8"/>
      <c r="C1909" s="8"/>
      <c r="D1909" s="8"/>
      <c r="E1909" s="8"/>
      <c r="F1909" s="8"/>
      <c r="G1909" s="8"/>
      <c r="H1909" s="8"/>
      <c r="I1909" s="8"/>
      <c r="J1909" s="8"/>
      <c r="K1909" s="8"/>
      <c r="L1909" s="8"/>
      <c r="M1909" s="8"/>
      <c r="N1909" s="8"/>
      <c r="O1909" s="8"/>
      <c r="P1909" s="8"/>
      <c r="Q1909" s="8"/>
      <c r="R1909" s="8"/>
      <c r="S1909" s="8"/>
      <c r="T1909" s="8"/>
      <c r="U1909" s="8"/>
      <c r="V1909" s="8"/>
      <c r="W1909" s="8"/>
      <c r="X1909" s="8"/>
      <c r="Y1909" s="8"/>
    </row>
    <row r="1910">
      <c r="A1910" s="8"/>
      <c r="B1910" s="8"/>
      <c r="C1910" s="8"/>
      <c r="D1910" s="8"/>
      <c r="E1910" s="8"/>
      <c r="F1910" s="8"/>
      <c r="G1910" s="8"/>
      <c r="H1910" s="8"/>
      <c r="I1910" s="8"/>
      <c r="J1910" s="8"/>
      <c r="K1910" s="8"/>
      <c r="L1910" s="8"/>
      <c r="M1910" s="8"/>
      <c r="N1910" s="8"/>
      <c r="O1910" s="8"/>
      <c r="P1910" s="8"/>
      <c r="Q1910" s="8"/>
      <c r="R1910" s="8"/>
      <c r="S1910" s="8"/>
      <c r="T1910" s="8"/>
      <c r="U1910" s="8"/>
      <c r="V1910" s="8"/>
      <c r="W1910" s="8"/>
      <c r="X1910" s="8"/>
      <c r="Y1910" s="8"/>
    </row>
    <row r="1911">
      <c r="A1911" s="8"/>
      <c r="B1911" s="8"/>
      <c r="C1911" s="8"/>
      <c r="D1911" s="8"/>
      <c r="E1911" s="8"/>
      <c r="F1911" s="8"/>
      <c r="G1911" s="8"/>
      <c r="H1911" s="8"/>
      <c r="I1911" s="8"/>
      <c r="J1911" s="8"/>
      <c r="K1911" s="8"/>
      <c r="L1911" s="8"/>
      <c r="M1911" s="8"/>
      <c r="N1911" s="8"/>
      <c r="O1911" s="8"/>
      <c r="P1911" s="8"/>
      <c r="Q1911" s="8"/>
      <c r="R1911" s="8"/>
      <c r="S1911" s="8"/>
      <c r="T1911" s="8"/>
      <c r="U1911" s="8"/>
      <c r="V1911" s="8"/>
      <c r="W1911" s="8"/>
      <c r="X1911" s="8"/>
      <c r="Y1911" s="8"/>
    </row>
    <row r="1912">
      <c r="A1912" s="8"/>
      <c r="B1912" s="8"/>
      <c r="C1912" s="8"/>
      <c r="D1912" s="8"/>
      <c r="E1912" s="8"/>
      <c r="F1912" s="8"/>
      <c r="G1912" s="8"/>
      <c r="H1912" s="8"/>
      <c r="I1912" s="8"/>
      <c r="J1912" s="8"/>
      <c r="K1912" s="8"/>
      <c r="L1912" s="8"/>
      <c r="M1912" s="8"/>
      <c r="N1912" s="8"/>
      <c r="O1912" s="8"/>
      <c r="P1912" s="8"/>
      <c r="Q1912" s="8"/>
      <c r="R1912" s="8"/>
      <c r="S1912" s="8"/>
      <c r="T1912" s="8"/>
      <c r="U1912" s="8"/>
      <c r="V1912" s="8"/>
      <c r="W1912" s="8"/>
      <c r="X1912" s="8"/>
      <c r="Y1912" s="8"/>
    </row>
    <row r="1913">
      <c r="A1913" s="8"/>
      <c r="B1913" s="8"/>
      <c r="C1913" s="8"/>
      <c r="D1913" s="8"/>
      <c r="E1913" s="8"/>
      <c r="F1913" s="8"/>
      <c r="G1913" s="8"/>
      <c r="H1913" s="8"/>
      <c r="I1913" s="8"/>
      <c r="J1913" s="8"/>
      <c r="K1913" s="8"/>
      <c r="L1913" s="8"/>
      <c r="M1913" s="8"/>
      <c r="N1913" s="8"/>
      <c r="O1913" s="8"/>
      <c r="P1913" s="8"/>
      <c r="Q1913" s="8"/>
      <c r="R1913" s="8"/>
      <c r="S1913" s="8"/>
      <c r="T1913" s="8"/>
      <c r="U1913" s="8"/>
      <c r="V1913" s="8"/>
      <c r="W1913" s="8"/>
      <c r="X1913" s="8"/>
      <c r="Y1913" s="8"/>
    </row>
    <row r="1914">
      <c r="A1914" s="8"/>
      <c r="B1914" s="8"/>
      <c r="C1914" s="8"/>
      <c r="D1914" s="8"/>
      <c r="E1914" s="8"/>
      <c r="F1914" s="8"/>
      <c r="G1914" s="8"/>
      <c r="H1914" s="8"/>
      <c r="I1914" s="8"/>
      <c r="J1914" s="8"/>
      <c r="K1914" s="8"/>
      <c r="L1914" s="8"/>
      <c r="M1914" s="8"/>
      <c r="N1914" s="8"/>
      <c r="O1914" s="8"/>
      <c r="P1914" s="8"/>
      <c r="Q1914" s="8"/>
      <c r="R1914" s="8"/>
      <c r="S1914" s="8"/>
      <c r="T1914" s="8"/>
      <c r="U1914" s="8"/>
      <c r="V1914" s="8"/>
      <c r="W1914" s="8"/>
      <c r="X1914" s="8"/>
      <c r="Y1914" s="8"/>
    </row>
    <row r="1915">
      <c r="A1915" s="8"/>
      <c r="B1915" s="8"/>
      <c r="C1915" s="8"/>
      <c r="D1915" s="8"/>
      <c r="E1915" s="8"/>
      <c r="F1915" s="8"/>
      <c r="G1915" s="8"/>
      <c r="H1915" s="8"/>
      <c r="I1915" s="8"/>
      <c r="J1915" s="8"/>
      <c r="K1915" s="8"/>
      <c r="L1915" s="8"/>
      <c r="M1915" s="8"/>
      <c r="N1915" s="8"/>
      <c r="O1915" s="8"/>
      <c r="P1915" s="8"/>
      <c r="Q1915" s="8"/>
      <c r="R1915" s="8"/>
      <c r="S1915" s="8"/>
      <c r="T1915" s="8"/>
      <c r="U1915" s="8"/>
      <c r="V1915" s="8"/>
      <c r="W1915" s="8"/>
      <c r="X1915" s="8"/>
      <c r="Y1915" s="8"/>
    </row>
    <row r="1916">
      <c r="A1916" s="8"/>
      <c r="B1916" s="8"/>
      <c r="C1916" s="8"/>
      <c r="D1916" s="8"/>
      <c r="E1916" s="8"/>
      <c r="F1916" s="8"/>
      <c r="G1916" s="8"/>
      <c r="H1916" s="8"/>
      <c r="I1916" s="8"/>
      <c r="J1916" s="8"/>
      <c r="K1916" s="8"/>
      <c r="L1916" s="8"/>
      <c r="M1916" s="8"/>
      <c r="N1916" s="8"/>
      <c r="O1916" s="8"/>
      <c r="P1916" s="8"/>
      <c r="Q1916" s="8"/>
      <c r="R1916" s="8"/>
      <c r="S1916" s="8"/>
      <c r="T1916" s="8"/>
      <c r="U1916" s="8"/>
      <c r="V1916" s="8"/>
      <c r="W1916" s="8"/>
      <c r="X1916" s="8"/>
      <c r="Y1916" s="8"/>
    </row>
    <row r="1917">
      <c r="A1917" s="8"/>
      <c r="B1917" s="8"/>
      <c r="C1917" s="8"/>
      <c r="D1917" s="8"/>
      <c r="E1917" s="8"/>
      <c r="F1917" s="8"/>
      <c r="G1917" s="8"/>
      <c r="H1917" s="8"/>
      <c r="I1917" s="8"/>
      <c r="J1917" s="8"/>
      <c r="K1917" s="8"/>
      <c r="L1917" s="8"/>
      <c r="M1917" s="8"/>
      <c r="N1917" s="8"/>
      <c r="O1917" s="8"/>
      <c r="P1917" s="8"/>
      <c r="Q1917" s="8"/>
      <c r="R1917" s="8"/>
      <c r="S1917" s="8"/>
      <c r="T1917" s="8"/>
      <c r="U1917" s="8"/>
      <c r="V1917" s="8"/>
      <c r="W1917" s="8"/>
      <c r="X1917" s="8"/>
      <c r="Y1917" s="8"/>
    </row>
    <row r="1918">
      <c r="A1918" s="8"/>
      <c r="B1918" s="8"/>
      <c r="C1918" s="8"/>
      <c r="D1918" s="8"/>
      <c r="E1918" s="8"/>
      <c r="F1918" s="8"/>
      <c r="G1918" s="8"/>
      <c r="H1918" s="8"/>
      <c r="I1918" s="8"/>
      <c r="J1918" s="8"/>
      <c r="K1918" s="8"/>
      <c r="L1918" s="8"/>
      <c r="M1918" s="8"/>
      <c r="N1918" s="8"/>
      <c r="O1918" s="8"/>
      <c r="P1918" s="8"/>
      <c r="Q1918" s="8"/>
      <c r="R1918" s="8"/>
      <c r="S1918" s="8"/>
      <c r="T1918" s="8"/>
      <c r="U1918" s="8"/>
      <c r="V1918" s="8"/>
      <c r="W1918" s="8"/>
      <c r="X1918" s="8"/>
      <c r="Y1918" s="8"/>
    </row>
    <row r="1919">
      <c r="A1919" s="8"/>
      <c r="B1919" s="8"/>
      <c r="C1919" s="8"/>
      <c r="D1919" s="8"/>
      <c r="E1919" s="8"/>
      <c r="F1919" s="8"/>
      <c r="G1919" s="8"/>
      <c r="H1919" s="8"/>
      <c r="I1919" s="8"/>
      <c r="J1919" s="8"/>
      <c r="K1919" s="8"/>
      <c r="L1919" s="8"/>
      <c r="M1919" s="8"/>
      <c r="N1919" s="8"/>
      <c r="O1919" s="8"/>
      <c r="P1919" s="8"/>
      <c r="Q1919" s="8"/>
      <c r="R1919" s="8"/>
      <c r="S1919" s="8"/>
      <c r="T1919" s="8"/>
      <c r="U1919" s="8"/>
      <c r="V1919" s="8"/>
      <c r="W1919" s="8"/>
      <c r="X1919" s="8"/>
      <c r="Y1919" s="8"/>
    </row>
    <row r="1920">
      <c r="A1920" s="8"/>
      <c r="B1920" s="8"/>
      <c r="C1920" s="8"/>
      <c r="D1920" s="8"/>
      <c r="E1920" s="8"/>
      <c r="F1920" s="8"/>
      <c r="G1920" s="8"/>
      <c r="H1920" s="8"/>
      <c r="I1920" s="8"/>
      <c r="J1920" s="8"/>
      <c r="K1920" s="8"/>
      <c r="L1920" s="8"/>
      <c r="M1920" s="8"/>
      <c r="N1920" s="8"/>
      <c r="O1920" s="8"/>
      <c r="P1920" s="8"/>
      <c r="Q1920" s="8"/>
      <c r="R1920" s="8"/>
      <c r="S1920" s="8"/>
      <c r="T1920" s="8"/>
      <c r="U1920" s="8"/>
      <c r="V1920" s="8"/>
      <c r="W1920" s="8"/>
      <c r="X1920" s="8"/>
      <c r="Y1920" s="8"/>
    </row>
    <row r="1921">
      <c r="A1921" s="8"/>
      <c r="B1921" s="8"/>
      <c r="C1921" s="8"/>
      <c r="D1921" s="8"/>
      <c r="E1921" s="8"/>
      <c r="F1921" s="8"/>
      <c r="G1921" s="8"/>
      <c r="H1921" s="8"/>
      <c r="I1921" s="8"/>
      <c r="J1921" s="8"/>
      <c r="K1921" s="8"/>
      <c r="L1921" s="8"/>
      <c r="M1921" s="8"/>
      <c r="N1921" s="8"/>
      <c r="O1921" s="8"/>
      <c r="P1921" s="8"/>
      <c r="Q1921" s="8"/>
      <c r="R1921" s="8"/>
      <c r="S1921" s="8"/>
      <c r="T1921" s="8"/>
      <c r="U1921" s="8"/>
      <c r="V1921" s="8"/>
      <c r="W1921" s="8"/>
      <c r="X1921" s="8"/>
      <c r="Y1921" s="8"/>
    </row>
    <row r="1922">
      <c r="A1922" s="8"/>
      <c r="B1922" s="8"/>
      <c r="C1922" s="8"/>
      <c r="D1922" s="8"/>
      <c r="E1922" s="8"/>
      <c r="F1922" s="8"/>
      <c r="G1922" s="8"/>
      <c r="H1922" s="8"/>
      <c r="I1922" s="8"/>
      <c r="J1922" s="8"/>
      <c r="K1922" s="8"/>
      <c r="L1922" s="8"/>
      <c r="M1922" s="8"/>
      <c r="N1922" s="8"/>
      <c r="O1922" s="8"/>
      <c r="P1922" s="8"/>
      <c r="Q1922" s="8"/>
      <c r="R1922" s="8"/>
      <c r="S1922" s="8"/>
      <c r="T1922" s="8"/>
      <c r="U1922" s="8"/>
      <c r="V1922" s="8"/>
      <c r="W1922" s="8"/>
      <c r="X1922" s="8"/>
      <c r="Y1922" s="8"/>
    </row>
    <row r="1923">
      <c r="A1923" s="8"/>
      <c r="B1923" s="8"/>
      <c r="C1923" s="8"/>
      <c r="D1923" s="8"/>
      <c r="E1923" s="8"/>
      <c r="F1923" s="8"/>
      <c r="G1923" s="8"/>
      <c r="H1923" s="8"/>
      <c r="I1923" s="8"/>
      <c r="J1923" s="8"/>
      <c r="K1923" s="8"/>
      <c r="L1923" s="8"/>
      <c r="M1923" s="8"/>
      <c r="N1923" s="8"/>
      <c r="O1923" s="8"/>
      <c r="P1923" s="8"/>
      <c r="Q1923" s="8"/>
      <c r="R1923" s="8"/>
      <c r="S1923" s="8"/>
      <c r="T1923" s="8"/>
      <c r="U1923" s="8"/>
      <c r="V1923" s="8"/>
      <c r="W1923" s="8"/>
      <c r="X1923" s="8"/>
      <c r="Y1923" s="8"/>
    </row>
    <row r="1924">
      <c r="A1924" s="8"/>
      <c r="B1924" s="8"/>
      <c r="C1924" s="8"/>
      <c r="D1924" s="8"/>
      <c r="E1924" s="8"/>
      <c r="F1924" s="8"/>
      <c r="G1924" s="8"/>
      <c r="H1924" s="8"/>
      <c r="I1924" s="8"/>
      <c r="J1924" s="8"/>
      <c r="K1924" s="8"/>
      <c r="L1924" s="8"/>
      <c r="M1924" s="8"/>
      <c r="N1924" s="8"/>
      <c r="O1924" s="8"/>
      <c r="P1924" s="8"/>
      <c r="Q1924" s="8"/>
      <c r="R1924" s="8"/>
      <c r="S1924" s="8"/>
      <c r="T1924" s="8"/>
      <c r="U1924" s="8"/>
      <c r="V1924" s="8"/>
      <c r="W1924" s="8"/>
      <c r="X1924" s="8"/>
      <c r="Y1924" s="8"/>
    </row>
    <row r="1925">
      <c r="A1925" s="8"/>
      <c r="B1925" s="8"/>
      <c r="C1925" s="8"/>
      <c r="D1925" s="8"/>
      <c r="E1925" s="8"/>
      <c r="F1925" s="8"/>
      <c r="G1925" s="8"/>
      <c r="H1925" s="8"/>
      <c r="I1925" s="8"/>
      <c r="J1925" s="8"/>
      <c r="K1925" s="8"/>
      <c r="L1925" s="8"/>
      <c r="M1925" s="8"/>
      <c r="N1925" s="8"/>
      <c r="O1925" s="8"/>
      <c r="P1925" s="8"/>
      <c r="Q1925" s="8"/>
      <c r="R1925" s="8"/>
      <c r="S1925" s="8"/>
      <c r="T1925" s="8"/>
      <c r="U1925" s="8"/>
      <c r="V1925" s="8"/>
      <c r="W1925" s="8"/>
      <c r="X1925" s="8"/>
      <c r="Y1925" s="8"/>
    </row>
    <row r="1926">
      <c r="A1926" s="8"/>
      <c r="B1926" s="8"/>
      <c r="C1926" s="8"/>
      <c r="D1926" s="8"/>
      <c r="E1926" s="8"/>
      <c r="F1926" s="8"/>
      <c r="G1926" s="8"/>
      <c r="H1926" s="8"/>
      <c r="I1926" s="8"/>
      <c r="J1926" s="8"/>
      <c r="K1926" s="8"/>
      <c r="L1926" s="8"/>
      <c r="M1926" s="8"/>
      <c r="N1926" s="8"/>
      <c r="O1926" s="8"/>
      <c r="P1926" s="8"/>
      <c r="Q1926" s="8"/>
      <c r="R1926" s="8"/>
      <c r="S1926" s="8"/>
      <c r="T1926" s="8"/>
      <c r="U1926" s="8"/>
      <c r="V1926" s="8"/>
      <c r="W1926" s="8"/>
      <c r="X1926" s="8"/>
      <c r="Y1926" s="8"/>
    </row>
    <row r="1927">
      <c r="A1927" s="8"/>
      <c r="B1927" s="8"/>
      <c r="C1927" s="8"/>
      <c r="D1927" s="8"/>
      <c r="E1927" s="8"/>
      <c r="F1927" s="8"/>
      <c r="G1927" s="8"/>
      <c r="H1927" s="8"/>
      <c r="I1927" s="8"/>
      <c r="J1927" s="8"/>
      <c r="K1927" s="8"/>
      <c r="L1927" s="8"/>
      <c r="M1927" s="8"/>
      <c r="N1927" s="8"/>
      <c r="O1927" s="8"/>
      <c r="P1927" s="8"/>
      <c r="Q1927" s="8"/>
      <c r="R1927" s="8"/>
      <c r="S1927" s="8"/>
      <c r="T1927" s="8"/>
      <c r="U1927" s="8"/>
      <c r="V1927" s="8"/>
      <c r="W1927" s="8"/>
      <c r="X1927" s="8"/>
      <c r="Y1927" s="8"/>
    </row>
    <row r="1928">
      <c r="A1928" s="8"/>
      <c r="B1928" s="8"/>
      <c r="C1928" s="8"/>
      <c r="D1928" s="8"/>
      <c r="E1928" s="8"/>
      <c r="F1928" s="8"/>
      <c r="G1928" s="8"/>
      <c r="H1928" s="8"/>
      <c r="I1928" s="8"/>
      <c r="J1928" s="8"/>
      <c r="K1928" s="8"/>
      <c r="L1928" s="8"/>
      <c r="M1928" s="8"/>
      <c r="N1928" s="8"/>
      <c r="O1928" s="8"/>
      <c r="P1928" s="8"/>
      <c r="Q1928" s="8"/>
      <c r="R1928" s="8"/>
      <c r="S1928" s="8"/>
      <c r="T1928" s="8"/>
      <c r="U1928" s="8"/>
      <c r="V1928" s="8"/>
      <c r="W1928" s="8"/>
      <c r="X1928" s="8"/>
      <c r="Y1928" s="8"/>
    </row>
    <row r="1929">
      <c r="A1929" s="8"/>
      <c r="B1929" s="8"/>
      <c r="C1929" s="8"/>
      <c r="D1929" s="8"/>
      <c r="E1929" s="8"/>
      <c r="F1929" s="8"/>
      <c r="G1929" s="8"/>
      <c r="H1929" s="8"/>
      <c r="I1929" s="8"/>
      <c r="J1929" s="8"/>
      <c r="K1929" s="8"/>
      <c r="L1929" s="8"/>
      <c r="M1929" s="8"/>
      <c r="N1929" s="8"/>
      <c r="O1929" s="8"/>
      <c r="P1929" s="8"/>
      <c r="Q1929" s="8"/>
      <c r="R1929" s="8"/>
      <c r="S1929" s="8"/>
      <c r="T1929" s="8"/>
      <c r="U1929" s="8"/>
      <c r="V1929" s="8"/>
      <c r="W1929" s="8"/>
      <c r="X1929" s="8"/>
      <c r="Y1929" s="8"/>
    </row>
    <row r="1930">
      <c r="A1930" s="8"/>
      <c r="B1930" s="8"/>
      <c r="C1930" s="8"/>
      <c r="D1930" s="8"/>
      <c r="E1930" s="8"/>
      <c r="F1930" s="8"/>
      <c r="G1930" s="8"/>
      <c r="H1930" s="8"/>
      <c r="I1930" s="8"/>
      <c r="J1930" s="8"/>
      <c r="K1930" s="8"/>
      <c r="L1930" s="8"/>
      <c r="M1930" s="8"/>
      <c r="N1930" s="8"/>
      <c r="O1930" s="8"/>
      <c r="P1930" s="8"/>
      <c r="Q1930" s="8"/>
      <c r="R1930" s="8"/>
      <c r="S1930" s="8"/>
      <c r="T1930" s="8"/>
      <c r="U1930" s="8"/>
      <c r="V1930" s="8"/>
      <c r="W1930" s="8"/>
      <c r="X1930" s="8"/>
      <c r="Y1930" s="8"/>
    </row>
    <row r="1931">
      <c r="A1931" s="8"/>
      <c r="B1931" s="8"/>
      <c r="C1931" s="8"/>
      <c r="D1931" s="8"/>
      <c r="E1931" s="8"/>
      <c r="F1931" s="8"/>
      <c r="G1931" s="8"/>
      <c r="H1931" s="8"/>
      <c r="I1931" s="8"/>
      <c r="J1931" s="8"/>
      <c r="K1931" s="8"/>
      <c r="L1931" s="8"/>
      <c r="M1931" s="8"/>
      <c r="N1931" s="8"/>
      <c r="O1931" s="8"/>
      <c r="P1931" s="8"/>
      <c r="Q1931" s="8"/>
      <c r="R1931" s="8"/>
      <c r="S1931" s="8"/>
      <c r="T1931" s="8"/>
      <c r="U1931" s="8"/>
      <c r="V1931" s="8"/>
      <c r="W1931" s="8"/>
      <c r="X1931" s="8"/>
      <c r="Y1931" s="8"/>
    </row>
    <row r="1932">
      <c r="A1932" s="8"/>
      <c r="B1932" s="8"/>
      <c r="C1932" s="8"/>
      <c r="D1932" s="8"/>
      <c r="E1932" s="8"/>
      <c r="F1932" s="8"/>
      <c r="G1932" s="8"/>
      <c r="H1932" s="8"/>
      <c r="I1932" s="8"/>
      <c r="J1932" s="8"/>
      <c r="K1932" s="8"/>
      <c r="L1932" s="8"/>
      <c r="M1932" s="8"/>
      <c r="N1932" s="8"/>
      <c r="O1932" s="8"/>
      <c r="P1932" s="8"/>
      <c r="Q1932" s="8"/>
      <c r="R1932" s="8"/>
      <c r="S1932" s="8"/>
      <c r="T1932" s="8"/>
      <c r="U1932" s="8"/>
      <c r="V1932" s="8"/>
      <c r="W1932" s="8"/>
      <c r="X1932" s="8"/>
      <c r="Y1932" s="8"/>
    </row>
    <row r="1933">
      <c r="A1933" s="8"/>
      <c r="B1933" s="8"/>
      <c r="C1933" s="8"/>
      <c r="D1933" s="8"/>
      <c r="E1933" s="8"/>
      <c r="F1933" s="8"/>
      <c r="G1933" s="8"/>
      <c r="H1933" s="8"/>
      <c r="I1933" s="8"/>
      <c r="J1933" s="8"/>
      <c r="K1933" s="8"/>
      <c r="L1933" s="8"/>
      <c r="M1933" s="8"/>
      <c r="N1933" s="8"/>
      <c r="O1933" s="8"/>
      <c r="P1933" s="8"/>
      <c r="Q1933" s="8"/>
      <c r="R1933" s="8"/>
      <c r="S1933" s="8"/>
      <c r="T1933" s="8"/>
      <c r="U1933" s="8"/>
      <c r="V1933" s="8"/>
      <c r="W1933" s="8"/>
      <c r="X1933" s="8"/>
      <c r="Y1933" s="8"/>
    </row>
    <row r="1934">
      <c r="A1934" s="8"/>
      <c r="B1934" s="8"/>
      <c r="C1934" s="8"/>
      <c r="D1934" s="8"/>
      <c r="E1934" s="8"/>
      <c r="F1934" s="8"/>
      <c r="G1934" s="8"/>
      <c r="H1934" s="8"/>
      <c r="I1934" s="8"/>
      <c r="J1934" s="8"/>
      <c r="K1934" s="8"/>
      <c r="L1934" s="8"/>
      <c r="M1934" s="8"/>
      <c r="N1934" s="8"/>
      <c r="O1934" s="8"/>
      <c r="P1934" s="8"/>
      <c r="Q1934" s="8"/>
      <c r="R1934" s="8"/>
      <c r="S1934" s="8"/>
      <c r="T1934" s="8"/>
      <c r="U1934" s="8"/>
      <c r="V1934" s="8"/>
      <c r="W1934" s="8"/>
      <c r="X1934" s="8"/>
      <c r="Y1934" s="8"/>
    </row>
    <row r="1935">
      <c r="A1935" s="8"/>
      <c r="B1935" s="8"/>
      <c r="C1935" s="8"/>
      <c r="D1935" s="8"/>
      <c r="E1935" s="8"/>
      <c r="F1935" s="8"/>
      <c r="G1935" s="8"/>
      <c r="H1935" s="8"/>
      <c r="I1935" s="8"/>
      <c r="J1935" s="8"/>
      <c r="K1935" s="8"/>
      <c r="L1935" s="8"/>
      <c r="M1935" s="8"/>
      <c r="N1935" s="8"/>
      <c r="O1935" s="8"/>
      <c r="P1935" s="8"/>
      <c r="Q1935" s="8"/>
      <c r="R1935" s="8"/>
      <c r="S1935" s="8"/>
      <c r="T1935" s="8"/>
      <c r="U1935" s="8"/>
      <c r="V1935" s="8"/>
      <c r="W1935" s="8"/>
      <c r="X1935" s="8"/>
      <c r="Y1935" s="8"/>
    </row>
    <row r="1936">
      <c r="A1936" s="8"/>
      <c r="B1936" s="8"/>
      <c r="C1936" s="8"/>
      <c r="D1936" s="8"/>
      <c r="E1936" s="8"/>
      <c r="F1936" s="8"/>
      <c r="G1936" s="8"/>
      <c r="H1936" s="8"/>
      <c r="I1936" s="8"/>
      <c r="J1936" s="8"/>
      <c r="K1936" s="8"/>
      <c r="L1936" s="8"/>
      <c r="M1936" s="8"/>
      <c r="N1936" s="8"/>
      <c r="O1936" s="8"/>
      <c r="P1936" s="8"/>
      <c r="Q1936" s="8"/>
      <c r="R1936" s="8"/>
      <c r="S1936" s="8"/>
      <c r="T1936" s="8"/>
      <c r="U1936" s="8"/>
      <c r="V1936" s="8"/>
      <c r="W1936" s="8"/>
      <c r="X1936" s="8"/>
      <c r="Y1936" s="8"/>
    </row>
    <row r="1937">
      <c r="A1937" s="8"/>
      <c r="B1937" s="8"/>
      <c r="C1937" s="8"/>
      <c r="D1937" s="8"/>
      <c r="E1937" s="8"/>
      <c r="F1937" s="8"/>
      <c r="G1937" s="8"/>
      <c r="H1937" s="8"/>
      <c r="I1937" s="8"/>
      <c r="J1937" s="8"/>
      <c r="K1937" s="8"/>
      <c r="L1937" s="8"/>
      <c r="M1937" s="8"/>
      <c r="N1937" s="8"/>
      <c r="O1937" s="8"/>
      <c r="P1937" s="8"/>
      <c r="Q1937" s="8"/>
      <c r="R1937" s="8"/>
      <c r="S1937" s="8"/>
      <c r="T1937" s="8"/>
      <c r="U1937" s="8"/>
      <c r="V1937" s="8"/>
      <c r="W1937" s="8"/>
      <c r="X1937" s="8"/>
      <c r="Y1937" s="8"/>
    </row>
    <row r="1938">
      <c r="A1938" s="8"/>
      <c r="B1938" s="8"/>
      <c r="C1938" s="8"/>
      <c r="D1938" s="8"/>
      <c r="E1938" s="8"/>
      <c r="F1938" s="8"/>
      <c r="G1938" s="8"/>
      <c r="H1938" s="8"/>
      <c r="I1938" s="8"/>
      <c r="J1938" s="8"/>
      <c r="K1938" s="8"/>
      <c r="L1938" s="8"/>
      <c r="M1938" s="8"/>
      <c r="N1938" s="8"/>
      <c r="O1938" s="8"/>
      <c r="P1938" s="8"/>
      <c r="Q1938" s="8"/>
      <c r="R1938" s="8"/>
      <c r="S1938" s="8"/>
      <c r="T1938" s="8"/>
      <c r="U1938" s="8"/>
      <c r="V1938" s="8"/>
      <c r="W1938" s="8"/>
      <c r="X1938" s="8"/>
      <c r="Y1938" s="8"/>
    </row>
    <row r="1939">
      <c r="A1939" s="8"/>
      <c r="B1939" s="8"/>
      <c r="C1939" s="8"/>
      <c r="D1939" s="8"/>
      <c r="E1939" s="8"/>
      <c r="F1939" s="8"/>
      <c r="G1939" s="8"/>
      <c r="H1939" s="8"/>
      <c r="I1939" s="8"/>
      <c r="J1939" s="8"/>
      <c r="K1939" s="8"/>
      <c r="L1939" s="8"/>
      <c r="M1939" s="8"/>
      <c r="N1939" s="8"/>
      <c r="O1939" s="8"/>
      <c r="P1939" s="8"/>
      <c r="Q1939" s="8"/>
      <c r="R1939" s="8"/>
      <c r="S1939" s="8"/>
      <c r="T1939" s="8"/>
      <c r="U1939" s="8"/>
      <c r="V1939" s="8"/>
      <c r="W1939" s="8"/>
      <c r="X1939" s="8"/>
      <c r="Y1939" s="8"/>
    </row>
    <row r="1940">
      <c r="A1940" s="8"/>
      <c r="B1940" s="8"/>
      <c r="C1940" s="8"/>
      <c r="D1940" s="8"/>
      <c r="E1940" s="8"/>
      <c r="F1940" s="8"/>
      <c r="G1940" s="8"/>
      <c r="H1940" s="8"/>
      <c r="I1940" s="8"/>
      <c r="J1940" s="8"/>
      <c r="K1940" s="8"/>
      <c r="L1940" s="8"/>
      <c r="M1940" s="8"/>
      <c r="N1940" s="8"/>
      <c r="O1940" s="8"/>
      <c r="P1940" s="8"/>
      <c r="Q1940" s="8"/>
      <c r="R1940" s="8"/>
      <c r="S1940" s="8"/>
      <c r="T1940" s="8"/>
      <c r="U1940" s="8"/>
      <c r="V1940" s="8"/>
      <c r="W1940" s="8"/>
      <c r="X1940" s="8"/>
      <c r="Y1940" s="8"/>
    </row>
    <row r="1941">
      <c r="A1941" s="8"/>
      <c r="B1941" s="8"/>
      <c r="C1941" s="8"/>
      <c r="D1941" s="8"/>
      <c r="E1941" s="8"/>
      <c r="F1941" s="8"/>
      <c r="G1941" s="8"/>
      <c r="H1941" s="8"/>
      <c r="I1941" s="8"/>
      <c r="J1941" s="8"/>
      <c r="K1941" s="8"/>
      <c r="L1941" s="8"/>
      <c r="M1941" s="8"/>
      <c r="N1941" s="8"/>
      <c r="O1941" s="8"/>
      <c r="P1941" s="8"/>
      <c r="Q1941" s="8"/>
      <c r="R1941" s="8"/>
      <c r="S1941" s="8"/>
      <c r="T1941" s="8"/>
      <c r="U1941" s="8"/>
      <c r="V1941" s="8"/>
      <c r="W1941" s="8"/>
      <c r="X1941" s="8"/>
      <c r="Y1941" s="8"/>
    </row>
    <row r="1942">
      <c r="A1942" s="8"/>
      <c r="B1942" s="8"/>
      <c r="C1942" s="8"/>
      <c r="D1942" s="8"/>
      <c r="E1942" s="8"/>
      <c r="F1942" s="8"/>
      <c r="G1942" s="8"/>
      <c r="H1942" s="8"/>
      <c r="I1942" s="8"/>
      <c r="J1942" s="8"/>
      <c r="K1942" s="8"/>
      <c r="L1942" s="8"/>
      <c r="M1942" s="8"/>
      <c r="N1942" s="8"/>
      <c r="O1942" s="8"/>
      <c r="P1942" s="8"/>
      <c r="Q1942" s="8"/>
      <c r="R1942" s="8"/>
      <c r="S1942" s="8"/>
      <c r="T1942" s="8"/>
      <c r="U1942" s="8"/>
      <c r="V1942" s="8"/>
      <c r="W1942" s="8"/>
      <c r="X1942" s="8"/>
      <c r="Y1942" s="8"/>
    </row>
    <row r="1943">
      <c r="A1943" s="8"/>
      <c r="B1943" s="8"/>
      <c r="C1943" s="8"/>
      <c r="D1943" s="8"/>
      <c r="E1943" s="8"/>
      <c r="F1943" s="8"/>
      <c r="G1943" s="8"/>
      <c r="H1943" s="8"/>
      <c r="I1943" s="8"/>
      <c r="J1943" s="8"/>
      <c r="K1943" s="8"/>
      <c r="L1943" s="8"/>
      <c r="M1943" s="8"/>
      <c r="N1943" s="8"/>
      <c r="O1943" s="8"/>
      <c r="P1943" s="8"/>
      <c r="Q1943" s="8"/>
      <c r="R1943" s="8"/>
      <c r="S1943" s="8"/>
      <c r="T1943" s="8"/>
      <c r="U1943" s="8"/>
      <c r="V1943" s="8"/>
      <c r="W1943" s="8"/>
      <c r="X1943" s="8"/>
      <c r="Y1943" s="8"/>
    </row>
    <row r="1944">
      <c r="A1944" s="8"/>
      <c r="B1944" s="8"/>
      <c r="C1944" s="8"/>
      <c r="D1944" s="8"/>
      <c r="E1944" s="8"/>
      <c r="F1944" s="8"/>
      <c r="G1944" s="8"/>
      <c r="H1944" s="8"/>
      <c r="I1944" s="8"/>
      <c r="J1944" s="8"/>
      <c r="K1944" s="8"/>
      <c r="L1944" s="8"/>
      <c r="M1944" s="8"/>
      <c r="N1944" s="8"/>
      <c r="O1944" s="8"/>
      <c r="P1944" s="8"/>
      <c r="Q1944" s="8"/>
      <c r="R1944" s="8"/>
      <c r="S1944" s="8"/>
      <c r="T1944" s="8"/>
      <c r="U1944" s="8"/>
      <c r="V1944" s="8"/>
      <c r="W1944" s="8"/>
      <c r="X1944" s="8"/>
      <c r="Y1944" s="8"/>
    </row>
    <row r="1945">
      <c r="A1945" s="8"/>
      <c r="B1945" s="8"/>
      <c r="C1945" s="8"/>
      <c r="D1945" s="8"/>
      <c r="E1945" s="8"/>
      <c r="F1945" s="8"/>
      <c r="G1945" s="8"/>
      <c r="H1945" s="8"/>
      <c r="I1945" s="8"/>
      <c r="J1945" s="8"/>
      <c r="K1945" s="8"/>
      <c r="L1945" s="8"/>
      <c r="M1945" s="8"/>
      <c r="N1945" s="8"/>
      <c r="O1945" s="8"/>
      <c r="P1945" s="8"/>
      <c r="Q1945" s="8"/>
      <c r="R1945" s="8"/>
      <c r="S1945" s="8"/>
      <c r="T1945" s="8"/>
      <c r="U1945" s="8"/>
      <c r="V1945" s="8"/>
      <c r="W1945" s="8"/>
      <c r="X1945" s="8"/>
      <c r="Y1945" s="8"/>
    </row>
    <row r="1946">
      <c r="A1946" s="8"/>
      <c r="B1946" s="8"/>
      <c r="C1946" s="8"/>
      <c r="D1946" s="8"/>
      <c r="E1946" s="8"/>
      <c r="F1946" s="8"/>
      <c r="G1946" s="8"/>
      <c r="H1946" s="8"/>
      <c r="I1946" s="8"/>
      <c r="J1946" s="8"/>
      <c r="K1946" s="8"/>
      <c r="L1946" s="8"/>
      <c r="M1946" s="8"/>
      <c r="N1946" s="8"/>
      <c r="O1946" s="8"/>
      <c r="P1946" s="8"/>
      <c r="Q1946" s="8"/>
      <c r="R1946" s="8"/>
      <c r="S1946" s="8"/>
      <c r="T1946" s="8"/>
      <c r="U1946" s="8"/>
      <c r="V1946" s="8"/>
      <c r="W1946" s="8"/>
      <c r="X1946" s="8"/>
      <c r="Y1946" s="8"/>
    </row>
    <row r="1947">
      <c r="A1947" s="8"/>
      <c r="B1947" s="8"/>
      <c r="C1947" s="8"/>
      <c r="D1947" s="8"/>
      <c r="E1947" s="8"/>
      <c r="F1947" s="8"/>
      <c r="G1947" s="8"/>
      <c r="H1947" s="8"/>
      <c r="I1947" s="8"/>
      <c r="J1947" s="8"/>
      <c r="K1947" s="8"/>
      <c r="L1947" s="8"/>
      <c r="M1947" s="8"/>
      <c r="N1947" s="8"/>
      <c r="O1947" s="8"/>
      <c r="P1947" s="8"/>
      <c r="Q1947" s="8"/>
      <c r="R1947" s="8"/>
      <c r="S1947" s="8"/>
      <c r="T1947" s="8"/>
      <c r="U1947" s="8"/>
      <c r="V1947" s="8"/>
      <c r="W1947" s="8"/>
      <c r="X1947" s="8"/>
      <c r="Y1947" s="8"/>
    </row>
    <row r="1948">
      <c r="A1948" s="8"/>
      <c r="B1948" s="8"/>
      <c r="C1948" s="8"/>
      <c r="D1948" s="8"/>
      <c r="E1948" s="8"/>
      <c r="F1948" s="8"/>
      <c r="G1948" s="8"/>
      <c r="H1948" s="8"/>
      <c r="I1948" s="8"/>
      <c r="J1948" s="8"/>
      <c r="K1948" s="8"/>
      <c r="L1948" s="8"/>
      <c r="M1948" s="8"/>
      <c r="N1948" s="8"/>
      <c r="O1948" s="8"/>
      <c r="P1948" s="8"/>
      <c r="Q1948" s="8"/>
      <c r="R1948" s="8"/>
      <c r="S1948" s="8"/>
      <c r="T1948" s="8"/>
      <c r="U1948" s="8"/>
      <c r="V1948" s="8"/>
      <c r="W1948" s="8"/>
      <c r="X1948" s="8"/>
      <c r="Y1948" s="8"/>
    </row>
    <row r="1949">
      <c r="A1949" s="8"/>
      <c r="B1949" s="8"/>
      <c r="C1949" s="8"/>
      <c r="D1949" s="8"/>
      <c r="E1949" s="8"/>
      <c r="F1949" s="8"/>
      <c r="G1949" s="8"/>
      <c r="H1949" s="8"/>
      <c r="I1949" s="8"/>
      <c r="J1949" s="8"/>
      <c r="K1949" s="8"/>
      <c r="L1949" s="8"/>
      <c r="M1949" s="8"/>
      <c r="N1949" s="8"/>
      <c r="O1949" s="8"/>
      <c r="P1949" s="8"/>
      <c r="Q1949" s="8"/>
      <c r="R1949" s="8"/>
      <c r="S1949" s="8"/>
      <c r="T1949" s="8"/>
      <c r="U1949" s="8"/>
      <c r="V1949" s="8"/>
      <c r="W1949" s="8"/>
      <c r="X1949" s="8"/>
      <c r="Y1949" s="8"/>
    </row>
    <row r="1950">
      <c r="A1950" s="8"/>
      <c r="B1950" s="8"/>
      <c r="C1950" s="8"/>
      <c r="D1950" s="8"/>
      <c r="E1950" s="8"/>
      <c r="F1950" s="8"/>
      <c r="G1950" s="8"/>
      <c r="H1950" s="8"/>
      <c r="I1950" s="8"/>
      <c r="J1950" s="8"/>
      <c r="K1950" s="8"/>
      <c r="L1950" s="8"/>
      <c r="M1950" s="8"/>
      <c r="N1950" s="8"/>
      <c r="O1950" s="8"/>
      <c r="P1950" s="8"/>
      <c r="Q1950" s="8"/>
      <c r="R1950" s="8"/>
      <c r="S1950" s="8"/>
      <c r="T1950" s="8"/>
      <c r="U1950" s="8"/>
      <c r="V1950" s="8"/>
      <c r="W1950" s="8"/>
      <c r="X1950" s="8"/>
      <c r="Y1950" s="8"/>
    </row>
    <row r="1951">
      <c r="A1951" s="8"/>
      <c r="B1951" s="8"/>
      <c r="C1951" s="8"/>
      <c r="D1951" s="8"/>
      <c r="E1951" s="8"/>
      <c r="F1951" s="8"/>
      <c r="G1951" s="8"/>
      <c r="H1951" s="8"/>
      <c r="I1951" s="8"/>
      <c r="J1951" s="8"/>
      <c r="K1951" s="8"/>
      <c r="L1951" s="8"/>
      <c r="M1951" s="8"/>
      <c r="N1951" s="8"/>
      <c r="O1951" s="8"/>
      <c r="P1951" s="8"/>
      <c r="Q1951" s="8"/>
      <c r="R1951" s="8"/>
      <c r="S1951" s="8"/>
      <c r="T1951" s="8"/>
      <c r="U1951" s="8"/>
      <c r="V1951" s="8"/>
      <c r="W1951" s="8"/>
      <c r="X1951" s="8"/>
      <c r="Y1951" s="8"/>
    </row>
    <row r="1952">
      <c r="A1952" s="8"/>
      <c r="B1952" s="8"/>
      <c r="C1952" s="8"/>
      <c r="D1952" s="8"/>
      <c r="E1952" s="8"/>
      <c r="F1952" s="8"/>
      <c r="G1952" s="8"/>
      <c r="H1952" s="8"/>
      <c r="I1952" s="8"/>
      <c r="J1952" s="8"/>
      <c r="K1952" s="8"/>
      <c r="L1952" s="8"/>
      <c r="M1952" s="8"/>
      <c r="N1952" s="8"/>
      <c r="O1952" s="8"/>
      <c r="P1952" s="8"/>
      <c r="Q1952" s="8"/>
      <c r="R1952" s="8"/>
      <c r="S1952" s="8"/>
      <c r="T1952" s="8"/>
      <c r="U1952" s="8"/>
      <c r="V1952" s="8"/>
      <c r="W1952" s="8"/>
      <c r="X1952" s="8"/>
      <c r="Y1952" s="8"/>
    </row>
    <row r="1953">
      <c r="A1953" s="8"/>
      <c r="B1953" s="8"/>
      <c r="C1953" s="8"/>
      <c r="D1953" s="8"/>
      <c r="E1953" s="8"/>
      <c r="F1953" s="8"/>
      <c r="G1953" s="8"/>
      <c r="H1953" s="8"/>
      <c r="I1953" s="8"/>
      <c r="J1953" s="8"/>
      <c r="K1953" s="8"/>
      <c r="L1953" s="8"/>
      <c r="M1953" s="8"/>
      <c r="N1953" s="8"/>
      <c r="O1953" s="8"/>
      <c r="P1953" s="8"/>
      <c r="Q1953" s="8"/>
      <c r="R1953" s="8"/>
      <c r="S1953" s="8"/>
      <c r="T1953" s="8"/>
      <c r="U1953" s="8"/>
      <c r="V1953" s="8"/>
      <c r="W1953" s="8"/>
      <c r="X1953" s="8"/>
      <c r="Y1953" s="8"/>
    </row>
    <row r="1954">
      <c r="A1954" s="8"/>
      <c r="B1954" s="8"/>
      <c r="C1954" s="8"/>
      <c r="D1954" s="8"/>
      <c r="E1954" s="8"/>
      <c r="F1954" s="8"/>
      <c r="G1954" s="8"/>
      <c r="H1954" s="8"/>
      <c r="I1954" s="8"/>
      <c r="J1954" s="8"/>
      <c r="K1954" s="8"/>
      <c r="L1954" s="8"/>
      <c r="M1954" s="8"/>
      <c r="N1954" s="8"/>
      <c r="O1954" s="8"/>
      <c r="P1954" s="8"/>
      <c r="Q1954" s="8"/>
      <c r="R1954" s="8"/>
      <c r="S1954" s="8"/>
      <c r="T1954" s="8"/>
      <c r="U1954" s="8"/>
      <c r="V1954" s="8"/>
      <c r="W1954" s="8"/>
      <c r="X1954" s="8"/>
      <c r="Y1954" s="8"/>
    </row>
    <row r="1955">
      <c r="A1955" s="8"/>
      <c r="B1955" s="8"/>
      <c r="C1955" s="8"/>
      <c r="D1955" s="8"/>
      <c r="E1955" s="8"/>
      <c r="F1955" s="8"/>
      <c r="G1955" s="8"/>
      <c r="H1955" s="8"/>
      <c r="I1955" s="8"/>
      <c r="J1955" s="8"/>
      <c r="K1955" s="8"/>
      <c r="L1955" s="8"/>
      <c r="M1955" s="8"/>
      <c r="N1955" s="8"/>
      <c r="O1955" s="8"/>
      <c r="P1955" s="8"/>
      <c r="Q1955" s="8"/>
      <c r="R1955" s="8"/>
      <c r="S1955" s="8"/>
      <c r="T1955" s="8"/>
      <c r="U1955" s="8"/>
      <c r="V1955" s="8"/>
      <c r="W1955" s="8"/>
      <c r="X1955" s="8"/>
      <c r="Y1955" s="8"/>
    </row>
    <row r="1956">
      <c r="A1956" s="8"/>
      <c r="B1956" s="8"/>
      <c r="C1956" s="8"/>
      <c r="D1956" s="8"/>
      <c r="E1956" s="8"/>
      <c r="F1956" s="8"/>
      <c r="G1956" s="8"/>
      <c r="H1956" s="8"/>
      <c r="I1956" s="8"/>
      <c r="J1956" s="8"/>
      <c r="K1956" s="8"/>
      <c r="L1956" s="8"/>
      <c r="M1956" s="8"/>
      <c r="N1956" s="8"/>
      <c r="O1956" s="8"/>
      <c r="P1956" s="8"/>
      <c r="Q1956" s="8"/>
      <c r="R1956" s="8"/>
      <c r="S1956" s="8"/>
      <c r="T1956" s="8"/>
      <c r="U1956" s="8"/>
      <c r="V1956" s="8"/>
      <c r="W1956" s="8"/>
      <c r="X1956" s="8"/>
      <c r="Y1956" s="8"/>
    </row>
    <row r="1957">
      <c r="A1957" s="8"/>
      <c r="B1957" s="8"/>
      <c r="C1957" s="8"/>
      <c r="D1957" s="8"/>
      <c r="E1957" s="8"/>
      <c r="F1957" s="8"/>
      <c r="G1957" s="8"/>
      <c r="H1957" s="8"/>
      <c r="I1957" s="8"/>
      <c r="J1957" s="8"/>
      <c r="K1957" s="8"/>
      <c r="L1957" s="8"/>
      <c r="M1957" s="8"/>
      <c r="N1957" s="8"/>
      <c r="O1957" s="8"/>
      <c r="P1957" s="8"/>
      <c r="Q1957" s="8"/>
      <c r="R1957" s="8"/>
      <c r="S1957" s="8"/>
      <c r="T1957" s="8"/>
      <c r="U1957" s="8"/>
      <c r="V1957" s="8"/>
      <c r="W1957" s="8"/>
      <c r="X1957" s="8"/>
      <c r="Y1957" s="8"/>
    </row>
    <row r="1958">
      <c r="A1958" s="8"/>
      <c r="B1958" s="8"/>
      <c r="C1958" s="8"/>
      <c r="D1958" s="8"/>
      <c r="E1958" s="8"/>
      <c r="F1958" s="8"/>
      <c r="G1958" s="8"/>
      <c r="H1958" s="8"/>
      <c r="I1958" s="8"/>
      <c r="J1958" s="8"/>
      <c r="K1958" s="8"/>
      <c r="L1958" s="8"/>
      <c r="M1958" s="8"/>
      <c r="N1958" s="8"/>
      <c r="O1958" s="8"/>
      <c r="P1958" s="8"/>
      <c r="Q1958" s="8"/>
      <c r="R1958" s="8"/>
      <c r="S1958" s="8"/>
      <c r="T1958" s="8"/>
      <c r="U1958" s="8"/>
      <c r="V1958" s="8"/>
      <c r="W1958" s="8"/>
      <c r="X1958" s="8"/>
      <c r="Y1958" s="8"/>
    </row>
    <row r="1959">
      <c r="A1959" s="8"/>
      <c r="B1959" s="8"/>
      <c r="C1959" s="8"/>
      <c r="D1959" s="8"/>
      <c r="E1959" s="8"/>
      <c r="F1959" s="8"/>
      <c r="G1959" s="8"/>
      <c r="H1959" s="8"/>
      <c r="I1959" s="8"/>
      <c r="J1959" s="8"/>
      <c r="K1959" s="8"/>
      <c r="L1959" s="8"/>
      <c r="M1959" s="8"/>
      <c r="N1959" s="8"/>
      <c r="O1959" s="8"/>
      <c r="P1959" s="8"/>
      <c r="Q1959" s="8"/>
      <c r="R1959" s="8"/>
      <c r="S1959" s="8"/>
      <c r="T1959" s="8"/>
      <c r="U1959" s="8"/>
      <c r="V1959" s="8"/>
      <c r="W1959" s="8"/>
      <c r="X1959" s="8"/>
      <c r="Y1959" s="8"/>
    </row>
    <row r="1960">
      <c r="A1960" s="8"/>
      <c r="B1960" s="8"/>
      <c r="C1960" s="8"/>
      <c r="D1960" s="8"/>
      <c r="E1960" s="8"/>
      <c r="F1960" s="8"/>
      <c r="G1960" s="8"/>
      <c r="H1960" s="8"/>
      <c r="I1960" s="8"/>
      <c r="J1960" s="8"/>
      <c r="K1960" s="8"/>
      <c r="L1960" s="8"/>
      <c r="M1960" s="8"/>
      <c r="N1960" s="8"/>
      <c r="O1960" s="8"/>
      <c r="P1960" s="8"/>
      <c r="Q1960" s="8"/>
      <c r="R1960" s="8"/>
      <c r="S1960" s="8"/>
      <c r="T1960" s="8"/>
      <c r="U1960" s="8"/>
      <c r="V1960" s="8"/>
      <c r="W1960" s="8"/>
      <c r="X1960" s="8"/>
      <c r="Y1960" s="8"/>
    </row>
    <row r="1961">
      <c r="A1961" s="8"/>
      <c r="B1961" s="8"/>
      <c r="C1961" s="8"/>
      <c r="D1961" s="8"/>
      <c r="E1961" s="8"/>
      <c r="F1961" s="8"/>
      <c r="G1961" s="8"/>
      <c r="H1961" s="8"/>
      <c r="I1961" s="8"/>
      <c r="J1961" s="8"/>
      <c r="K1961" s="8"/>
      <c r="L1961" s="8"/>
      <c r="M1961" s="8"/>
      <c r="N1961" s="8"/>
      <c r="O1961" s="8"/>
      <c r="P1961" s="8"/>
      <c r="Q1961" s="8"/>
      <c r="R1961" s="8"/>
      <c r="S1961" s="8"/>
      <c r="T1961" s="8"/>
      <c r="U1961" s="8"/>
      <c r="V1961" s="8"/>
      <c r="W1961" s="8"/>
      <c r="X1961" s="8"/>
      <c r="Y1961" s="8"/>
    </row>
    <row r="1962">
      <c r="A1962" s="8"/>
      <c r="B1962" s="8"/>
      <c r="C1962" s="8"/>
      <c r="D1962" s="8"/>
      <c r="E1962" s="8"/>
      <c r="F1962" s="8"/>
      <c r="G1962" s="8"/>
      <c r="H1962" s="8"/>
      <c r="I1962" s="8"/>
      <c r="J1962" s="8"/>
      <c r="K1962" s="8"/>
      <c r="L1962" s="8"/>
      <c r="M1962" s="8"/>
      <c r="N1962" s="8"/>
      <c r="O1962" s="8"/>
      <c r="P1962" s="8"/>
      <c r="Q1962" s="8"/>
      <c r="R1962" s="8"/>
      <c r="S1962" s="8"/>
      <c r="T1962" s="8"/>
      <c r="U1962" s="8"/>
      <c r="V1962" s="8"/>
      <c r="W1962" s="8"/>
      <c r="X1962" s="8"/>
      <c r="Y1962" s="8"/>
    </row>
    <row r="1963">
      <c r="A1963" s="8"/>
      <c r="B1963" s="8"/>
      <c r="C1963" s="8"/>
      <c r="D1963" s="8"/>
      <c r="E1963" s="8"/>
      <c r="F1963" s="8"/>
      <c r="G1963" s="8"/>
      <c r="H1963" s="8"/>
      <c r="I1963" s="8"/>
      <c r="J1963" s="8"/>
      <c r="K1963" s="8"/>
      <c r="L1963" s="8"/>
      <c r="M1963" s="8"/>
      <c r="N1963" s="8"/>
      <c r="O1963" s="8"/>
      <c r="P1963" s="8"/>
      <c r="Q1963" s="8"/>
      <c r="R1963" s="8"/>
      <c r="S1963" s="8"/>
      <c r="T1963" s="8"/>
      <c r="U1963" s="8"/>
      <c r="V1963" s="8"/>
      <c r="W1963" s="8"/>
      <c r="X1963" s="8"/>
      <c r="Y1963" s="8"/>
    </row>
    <row r="1964">
      <c r="A1964" s="8"/>
      <c r="B1964" s="8"/>
      <c r="C1964" s="8"/>
      <c r="D1964" s="8"/>
      <c r="E1964" s="8"/>
      <c r="F1964" s="8"/>
      <c r="G1964" s="8"/>
      <c r="H1964" s="8"/>
      <c r="I1964" s="8"/>
      <c r="J1964" s="8"/>
      <c r="K1964" s="8"/>
      <c r="L1964" s="8"/>
      <c r="M1964" s="8"/>
      <c r="N1964" s="8"/>
      <c r="O1964" s="8"/>
      <c r="P1964" s="8"/>
      <c r="Q1964" s="8"/>
      <c r="R1964" s="8"/>
      <c r="S1964" s="8"/>
      <c r="T1964" s="8"/>
      <c r="U1964" s="8"/>
      <c r="V1964" s="8"/>
      <c r="W1964" s="8"/>
      <c r="X1964" s="8"/>
      <c r="Y1964" s="8"/>
    </row>
    <row r="1965">
      <c r="A1965" s="8"/>
      <c r="B1965" s="8"/>
      <c r="C1965" s="8"/>
      <c r="D1965" s="8"/>
      <c r="E1965" s="8"/>
      <c r="F1965" s="8"/>
      <c r="G1965" s="8"/>
      <c r="H1965" s="8"/>
      <c r="I1965" s="8"/>
      <c r="J1965" s="8"/>
      <c r="K1965" s="8"/>
      <c r="L1965" s="8"/>
      <c r="M1965" s="8"/>
      <c r="N1965" s="8"/>
      <c r="O1965" s="8"/>
      <c r="P1965" s="8"/>
      <c r="Q1965" s="8"/>
      <c r="R1965" s="8"/>
      <c r="S1965" s="8"/>
      <c r="T1965" s="8"/>
      <c r="U1965" s="8"/>
      <c r="V1965" s="8"/>
      <c r="W1965" s="8"/>
      <c r="X1965" s="8"/>
      <c r="Y1965" s="8"/>
    </row>
    <row r="1966">
      <c r="A1966" s="8"/>
      <c r="B1966" s="8"/>
      <c r="C1966" s="8"/>
      <c r="D1966" s="8"/>
      <c r="E1966" s="8"/>
      <c r="F1966" s="8"/>
      <c r="G1966" s="8"/>
      <c r="H1966" s="8"/>
      <c r="I1966" s="8"/>
      <c r="J1966" s="8"/>
      <c r="K1966" s="8"/>
      <c r="L1966" s="8"/>
      <c r="M1966" s="8"/>
      <c r="N1966" s="8"/>
      <c r="O1966" s="8"/>
      <c r="P1966" s="8"/>
      <c r="Q1966" s="8"/>
      <c r="R1966" s="8"/>
      <c r="S1966" s="8"/>
      <c r="T1966" s="8"/>
      <c r="U1966" s="8"/>
      <c r="V1966" s="8"/>
      <c r="W1966" s="8"/>
      <c r="X1966" s="8"/>
      <c r="Y1966" s="8"/>
    </row>
    <row r="1967">
      <c r="A1967" s="8"/>
      <c r="B1967" s="8"/>
      <c r="C1967" s="8"/>
      <c r="D1967" s="8"/>
      <c r="E1967" s="8"/>
      <c r="F1967" s="8"/>
      <c r="G1967" s="8"/>
      <c r="H1967" s="8"/>
      <c r="I1967" s="8"/>
      <c r="J1967" s="8"/>
      <c r="K1967" s="8"/>
      <c r="L1967" s="8"/>
      <c r="M1967" s="8"/>
      <c r="N1967" s="8"/>
      <c r="O1967" s="8"/>
      <c r="P1967" s="8"/>
      <c r="Q1967" s="8"/>
      <c r="R1967" s="8"/>
      <c r="S1967" s="8"/>
      <c r="T1967" s="8"/>
      <c r="U1967" s="8"/>
      <c r="V1967" s="8"/>
      <c r="W1967" s="8"/>
      <c r="X1967" s="8"/>
      <c r="Y1967" s="8"/>
    </row>
    <row r="1968">
      <c r="A1968" s="8"/>
      <c r="B1968" s="8"/>
      <c r="C1968" s="8"/>
      <c r="D1968" s="8"/>
      <c r="E1968" s="8"/>
      <c r="F1968" s="8"/>
      <c r="G1968" s="8"/>
      <c r="H1968" s="8"/>
      <c r="I1968" s="8"/>
      <c r="J1968" s="8"/>
      <c r="K1968" s="8"/>
      <c r="L1968" s="8"/>
      <c r="M1968" s="8"/>
      <c r="N1968" s="8"/>
      <c r="O1968" s="8"/>
      <c r="P1968" s="8"/>
      <c r="Q1968" s="8"/>
      <c r="R1968" s="8"/>
      <c r="S1968" s="8"/>
      <c r="T1968" s="8"/>
      <c r="U1968" s="8"/>
      <c r="V1968" s="8"/>
      <c r="W1968" s="8"/>
      <c r="X1968" s="8"/>
      <c r="Y1968" s="8"/>
    </row>
    <row r="1969">
      <c r="A1969" s="8"/>
      <c r="B1969" s="8"/>
      <c r="C1969" s="8"/>
      <c r="D1969" s="8"/>
      <c r="E1969" s="8"/>
      <c r="F1969" s="8"/>
      <c r="G1969" s="8"/>
      <c r="H1969" s="8"/>
      <c r="I1969" s="8"/>
      <c r="J1969" s="8"/>
      <c r="K1969" s="8"/>
      <c r="L1969" s="8"/>
      <c r="M1969" s="8"/>
      <c r="N1969" s="8"/>
      <c r="O1969" s="8"/>
      <c r="P1969" s="8"/>
      <c r="Q1969" s="8"/>
      <c r="R1969" s="8"/>
      <c r="S1969" s="8"/>
      <c r="T1969" s="8"/>
      <c r="U1969" s="8"/>
      <c r="V1969" s="8"/>
      <c r="W1969" s="8"/>
      <c r="X1969" s="8"/>
      <c r="Y1969" s="8"/>
    </row>
    <row r="1970">
      <c r="A1970" s="8"/>
      <c r="B1970" s="8"/>
      <c r="C1970" s="8"/>
      <c r="D1970" s="8"/>
      <c r="E1970" s="8"/>
      <c r="F1970" s="8"/>
      <c r="G1970" s="8"/>
      <c r="H1970" s="8"/>
      <c r="I1970" s="8"/>
      <c r="J1970" s="8"/>
      <c r="K1970" s="8"/>
      <c r="L1970" s="8"/>
      <c r="M1970" s="8"/>
      <c r="N1970" s="8"/>
      <c r="O1970" s="8"/>
      <c r="P1970" s="8"/>
      <c r="Q1970" s="8"/>
      <c r="R1970" s="8"/>
      <c r="S1970" s="8"/>
      <c r="T1970" s="8"/>
      <c r="U1970" s="8"/>
      <c r="V1970" s="8"/>
      <c r="W1970" s="8"/>
      <c r="X1970" s="8"/>
      <c r="Y1970" s="8"/>
    </row>
    <row r="1971">
      <c r="A1971" s="8"/>
      <c r="B1971" s="8"/>
      <c r="C1971" s="8"/>
      <c r="D1971" s="8"/>
      <c r="E1971" s="8"/>
      <c r="F1971" s="8"/>
      <c r="G1971" s="8"/>
      <c r="H1971" s="8"/>
      <c r="I1971" s="8"/>
      <c r="J1971" s="8"/>
      <c r="K1971" s="8"/>
      <c r="L1971" s="8"/>
      <c r="M1971" s="8"/>
      <c r="N1971" s="8"/>
      <c r="O1971" s="8"/>
      <c r="P1971" s="8"/>
      <c r="Q1971" s="8"/>
      <c r="R1971" s="8"/>
      <c r="S1971" s="8"/>
      <c r="T1971" s="8"/>
      <c r="U1971" s="8"/>
      <c r="V1971" s="8"/>
      <c r="W1971" s="8"/>
      <c r="X1971" s="8"/>
      <c r="Y1971" s="8"/>
    </row>
    <row r="1972">
      <c r="A1972" s="8"/>
      <c r="B1972" s="8"/>
      <c r="C1972" s="8"/>
      <c r="D1972" s="8"/>
      <c r="E1972" s="8"/>
      <c r="F1972" s="8"/>
      <c r="G1972" s="8"/>
      <c r="H1972" s="8"/>
      <c r="I1972" s="8"/>
      <c r="J1972" s="8"/>
      <c r="K1972" s="8"/>
      <c r="L1972" s="8"/>
      <c r="M1972" s="8"/>
      <c r="N1972" s="8"/>
      <c r="O1972" s="8"/>
      <c r="P1972" s="8"/>
      <c r="Q1972" s="8"/>
      <c r="R1972" s="8"/>
      <c r="S1972" s="8"/>
      <c r="T1972" s="8"/>
      <c r="U1972" s="8"/>
      <c r="V1972" s="8"/>
      <c r="W1972" s="8"/>
      <c r="X1972" s="8"/>
      <c r="Y1972" s="8"/>
    </row>
    <row r="1973">
      <c r="A1973" s="8"/>
      <c r="B1973" s="8"/>
      <c r="C1973" s="8"/>
      <c r="D1973" s="8"/>
      <c r="E1973" s="8"/>
      <c r="F1973" s="8"/>
      <c r="G1973" s="8"/>
      <c r="H1973" s="8"/>
      <c r="I1973" s="8"/>
      <c r="J1973" s="8"/>
      <c r="K1973" s="8"/>
      <c r="L1973" s="8"/>
      <c r="M1973" s="8"/>
      <c r="N1973" s="8"/>
      <c r="O1973" s="8"/>
      <c r="P1973" s="8"/>
      <c r="Q1973" s="8"/>
      <c r="R1973" s="8"/>
      <c r="S1973" s="8"/>
      <c r="T1973" s="8"/>
      <c r="U1973" s="8"/>
      <c r="V1973" s="8"/>
      <c r="W1973" s="8"/>
      <c r="X1973" s="8"/>
      <c r="Y1973" s="8"/>
    </row>
    <row r="1974">
      <c r="A1974" s="8"/>
      <c r="B1974" s="8"/>
      <c r="C1974" s="8"/>
      <c r="D1974" s="8"/>
      <c r="E1974" s="8"/>
      <c r="F1974" s="8"/>
      <c r="G1974" s="8"/>
      <c r="H1974" s="8"/>
      <c r="I1974" s="8"/>
      <c r="J1974" s="8"/>
      <c r="K1974" s="8"/>
      <c r="L1974" s="8"/>
      <c r="M1974" s="8"/>
      <c r="N1974" s="8"/>
      <c r="O1974" s="8"/>
      <c r="P1974" s="8"/>
      <c r="Q1974" s="8"/>
      <c r="R1974" s="8"/>
      <c r="S1974" s="8"/>
      <c r="T1974" s="8"/>
      <c r="U1974" s="8"/>
      <c r="V1974" s="8"/>
      <c r="W1974" s="8"/>
      <c r="X1974" s="8"/>
      <c r="Y1974" s="8"/>
    </row>
    <row r="1975">
      <c r="A1975" s="8"/>
      <c r="B1975" s="8"/>
      <c r="C1975" s="8"/>
      <c r="D1975" s="8"/>
      <c r="E1975" s="8"/>
      <c r="F1975" s="8"/>
      <c r="G1975" s="8"/>
      <c r="H1975" s="8"/>
      <c r="I1975" s="8"/>
      <c r="J1975" s="8"/>
      <c r="K1975" s="8"/>
      <c r="L1975" s="8"/>
      <c r="M1975" s="8"/>
      <c r="N1975" s="8"/>
      <c r="O1975" s="8"/>
      <c r="P1975" s="8"/>
      <c r="Q1975" s="8"/>
      <c r="R1975" s="8"/>
      <c r="S1975" s="8"/>
      <c r="T1975" s="8"/>
      <c r="U1975" s="8"/>
      <c r="V1975" s="8"/>
      <c r="W1975" s="8"/>
      <c r="X1975" s="8"/>
      <c r="Y1975" s="8"/>
    </row>
    <row r="1976">
      <c r="A1976" s="8"/>
      <c r="B1976" s="8"/>
      <c r="C1976" s="8"/>
      <c r="D1976" s="8"/>
      <c r="E1976" s="8"/>
      <c r="F1976" s="8"/>
      <c r="G1976" s="8"/>
      <c r="H1976" s="8"/>
      <c r="I1976" s="8"/>
      <c r="J1976" s="8"/>
      <c r="K1976" s="8"/>
      <c r="L1976" s="8"/>
      <c r="M1976" s="8"/>
      <c r="N1976" s="8"/>
      <c r="O1976" s="8"/>
      <c r="P1976" s="8"/>
      <c r="Q1976" s="8"/>
      <c r="R1976" s="8"/>
      <c r="S1976" s="8"/>
      <c r="T1976" s="8"/>
      <c r="U1976" s="8"/>
      <c r="V1976" s="8"/>
      <c r="W1976" s="8"/>
      <c r="X1976" s="8"/>
      <c r="Y1976" s="8"/>
    </row>
    <row r="1977">
      <c r="A1977" s="8"/>
      <c r="B1977" s="8"/>
      <c r="C1977" s="8"/>
      <c r="D1977" s="8"/>
      <c r="E1977" s="8"/>
      <c r="F1977" s="8"/>
      <c r="G1977" s="8"/>
      <c r="H1977" s="8"/>
      <c r="I1977" s="8"/>
      <c r="J1977" s="8"/>
      <c r="K1977" s="8"/>
      <c r="L1977" s="8"/>
      <c r="M1977" s="8"/>
      <c r="N1977" s="8"/>
      <c r="O1977" s="8"/>
      <c r="P1977" s="8"/>
      <c r="Q1977" s="8"/>
      <c r="R1977" s="8"/>
      <c r="S1977" s="8"/>
      <c r="T1977" s="8"/>
      <c r="U1977" s="8"/>
      <c r="V1977" s="8"/>
      <c r="W1977" s="8"/>
      <c r="X1977" s="8"/>
      <c r="Y1977" s="8"/>
    </row>
    <row r="1978">
      <c r="A1978" s="8"/>
      <c r="B1978" s="8"/>
      <c r="C1978" s="8"/>
      <c r="D1978" s="8"/>
      <c r="E1978" s="8"/>
      <c r="F1978" s="8"/>
      <c r="G1978" s="8"/>
      <c r="H1978" s="8"/>
      <c r="I1978" s="8"/>
      <c r="J1978" s="8"/>
      <c r="K1978" s="8"/>
      <c r="L1978" s="8"/>
      <c r="M1978" s="8"/>
      <c r="N1978" s="8"/>
      <c r="O1978" s="8"/>
      <c r="P1978" s="8"/>
      <c r="Q1978" s="8"/>
      <c r="R1978" s="8"/>
      <c r="S1978" s="8"/>
      <c r="T1978" s="8"/>
      <c r="U1978" s="8"/>
      <c r="V1978" s="8"/>
      <c r="W1978" s="8"/>
      <c r="X1978" s="8"/>
      <c r="Y1978" s="8"/>
    </row>
    <row r="1979">
      <c r="A1979" s="8"/>
      <c r="B1979" s="8"/>
      <c r="C1979" s="8"/>
      <c r="D1979" s="8"/>
      <c r="E1979" s="8"/>
      <c r="F1979" s="8"/>
      <c r="G1979" s="8"/>
      <c r="H1979" s="8"/>
      <c r="I1979" s="8"/>
      <c r="J1979" s="8"/>
      <c r="K1979" s="8"/>
      <c r="L1979" s="8"/>
      <c r="M1979" s="8"/>
      <c r="N1979" s="8"/>
      <c r="O1979" s="8"/>
      <c r="P1979" s="8"/>
      <c r="Q1979" s="8"/>
      <c r="R1979" s="8"/>
      <c r="S1979" s="8"/>
      <c r="T1979" s="8"/>
      <c r="U1979" s="8"/>
      <c r="V1979" s="8"/>
      <c r="W1979" s="8"/>
      <c r="X1979" s="8"/>
      <c r="Y1979" s="8"/>
    </row>
    <row r="1980">
      <c r="A1980" s="8"/>
      <c r="B1980" s="8"/>
      <c r="C1980" s="8"/>
      <c r="D1980" s="8"/>
      <c r="E1980" s="8"/>
      <c r="F1980" s="8"/>
      <c r="G1980" s="8"/>
      <c r="H1980" s="8"/>
      <c r="I1980" s="8"/>
      <c r="J1980" s="8"/>
      <c r="K1980" s="8"/>
      <c r="L1980" s="8"/>
      <c r="M1980" s="8"/>
      <c r="N1980" s="8"/>
      <c r="O1980" s="8"/>
      <c r="P1980" s="8"/>
      <c r="Q1980" s="8"/>
      <c r="R1980" s="8"/>
      <c r="S1980" s="8"/>
      <c r="T1980" s="8"/>
      <c r="U1980" s="8"/>
      <c r="V1980" s="8"/>
      <c r="W1980" s="8"/>
      <c r="X1980" s="8"/>
      <c r="Y1980" s="8"/>
    </row>
    <row r="1981">
      <c r="A1981" s="8"/>
      <c r="B1981" s="8"/>
      <c r="C1981" s="8"/>
      <c r="D1981" s="8"/>
      <c r="E1981" s="8"/>
      <c r="F1981" s="8"/>
      <c r="G1981" s="8"/>
      <c r="H1981" s="8"/>
      <c r="I1981" s="8"/>
      <c r="J1981" s="8"/>
      <c r="K1981" s="8"/>
      <c r="L1981" s="8"/>
      <c r="M1981" s="8"/>
      <c r="N1981" s="8"/>
      <c r="O1981" s="8"/>
      <c r="P1981" s="8"/>
      <c r="Q1981" s="8"/>
      <c r="R1981" s="8"/>
      <c r="S1981" s="8"/>
      <c r="T1981" s="8"/>
      <c r="U1981" s="8"/>
      <c r="V1981" s="8"/>
      <c r="W1981" s="8"/>
      <c r="X1981" s="8"/>
      <c r="Y1981" s="8"/>
    </row>
    <row r="1982">
      <c r="A1982" s="8"/>
      <c r="B1982" s="8"/>
      <c r="C1982" s="8"/>
      <c r="D1982" s="8"/>
      <c r="E1982" s="8"/>
      <c r="F1982" s="8"/>
      <c r="G1982" s="8"/>
      <c r="H1982" s="8"/>
      <c r="I1982" s="8"/>
      <c r="J1982" s="8"/>
      <c r="K1982" s="8"/>
      <c r="L1982" s="8"/>
      <c r="M1982" s="8"/>
      <c r="N1982" s="8"/>
      <c r="O1982" s="8"/>
      <c r="P1982" s="8"/>
      <c r="Q1982" s="8"/>
      <c r="R1982" s="8"/>
      <c r="S1982" s="8"/>
      <c r="T1982" s="8"/>
      <c r="U1982" s="8"/>
      <c r="V1982" s="8"/>
      <c r="W1982" s="8"/>
      <c r="X1982" s="8"/>
      <c r="Y1982" s="8"/>
    </row>
    <row r="1983">
      <c r="A1983" s="8"/>
      <c r="B1983" s="8"/>
      <c r="C1983" s="8"/>
      <c r="D1983" s="8"/>
      <c r="E1983" s="8"/>
      <c r="F1983" s="8"/>
      <c r="G1983" s="8"/>
      <c r="H1983" s="8"/>
      <c r="I1983" s="8"/>
      <c r="J1983" s="8"/>
      <c r="K1983" s="8"/>
      <c r="L1983" s="8"/>
      <c r="M1983" s="8"/>
      <c r="N1983" s="8"/>
      <c r="O1983" s="8"/>
      <c r="P1983" s="8"/>
      <c r="Q1983" s="8"/>
      <c r="R1983" s="8"/>
      <c r="S1983" s="8"/>
      <c r="T1983" s="8"/>
      <c r="U1983" s="8"/>
      <c r="V1983" s="8"/>
      <c r="W1983" s="8"/>
      <c r="X1983" s="8"/>
      <c r="Y1983" s="8"/>
    </row>
    <row r="1984">
      <c r="A1984" s="8"/>
      <c r="B1984" s="8"/>
      <c r="C1984" s="8"/>
      <c r="D1984" s="8"/>
      <c r="E1984" s="8"/>
      <c r="F1984" s="8"/>
      <c r="G1984" s="8"/>
      <c r="H1984" s="8"/>
      <c r="I1984" s="8"/>
      <c r="J1984" s="8"/>
      <c r="K1984" s="8"/>
      <c r="L1984" s="8"/>
      <c r="M1984" s="8"/>
      <c r="N1984" s="8"/>
      <c r="O1984" s="8"/>
      <c r="P1984" s="8"/>
      <c r="Q1984" s="8"/>
      <c r="R1984" s="8"/>
      <c r="S1984" s="8"/>
      <c r="T1984" s="8"/>
      <c r="U1984" s="8"/>
      <c r="V1984" s="8"/>
      <c r="W1984" s="8"/>
      <c r="X1984" s="8"/>
      <c r="Y1984" s="8"/>
    </row>
    <row r="1985">
      <c r="A1985" s="8"/>
      <c r="B1985" s="8"/>
      <c r="C1985" s="8"/>
      <c r="D1985" s="8"/>
      <c r="E1985" s="8"/>
      <c r="F1985" s="8"/>
      <c r="G1985" s="8"/>
      <c r="H1985" s="8"/>
      <c r="I1985" s="8"/>
      <c r="J1985" s="8"/>
      <c r="K1985" s="8"/>
      <c r="L1985" s="8"/>
      <c r="M1985" s="8"/>
      <c r="N1985" s="8"/>
      <c r="O1985" s="8"/>
      <c r="P1985" s="8"/>
      <c r="Q1985" s="8"/>
      <c r="R1985" s="8"/>
      <c r="S1985" s="8"/>
      <c r="T1985" s="8"/>
      <c r="U1985" s="8"/>
      <c r="V1985" s="8"/>
      <c r="W1985" s="8"/>
      <c r="X1985" s="8"/>
      <c r="Y1985" s="8"/>
    </row>
    <row r="1986">
      <c r="A1986" s="8"/>
      <c r="B1986" s="8"/>
      <c r="C1986" s="8"/>
      <c r="D1986" s="8"/>
      <c r="E1986" s="8"/>
      <c r="F1986" s="8"/>
      <c r="G1986" s="8"/>
      <c r="H1986" s="8"/>
      <c r="I1986" s="8"/>
      <c r="J1986" s="8"/>
      <c r="K1986" s="8"/>
      <c r="L1986" s="8"/>
      <c r="M1986" s="8"/>
      <c r="N1986" s="8"/>
      <c r="O1986" s="8"/>
      <c r="P1986" s="8"/>
      <c r="Q1986" s="8"/>
      <c r="R1986" s="8"/>
      <c r="S1986" s="8"/>
      <c r="T1986" s="8"/>
      <c r="U1986" s="8"/>
      <c r="V1986" s="8"/>
      <c r="W1986" s="8"/>
      <c r="X1986" s="8"/>
      <c r="Y1986" s="8"/>
    </row>
    <row r="1987">
      <c r="A1987" s="8"/>
      <c r="B1987" s="8"/>
      <c r="C1987" s="8"/>
      <c r="D1987" s="8"/>
      <c r="E1987" s="8"/>
      <c r="F1987" s="8"/>
      <c r="G1987" s="8"/>
      <c r="H1987" s="8"/>
      <c r="I1987" s="8"/>
      <c r="J1987" s="8"/>
      <c r="K1987" s="8"/>
      <c r="L1987" s="8"/>
      <c r="M1987" s="8"/>
      <c r="N1987" s="8"/>
      <c r="O1987" s="8"/>
      <c r="P1987" s="8"/>
      <c r="Q1987" s="8"/>
      <c r="R1987" s="8"/>
      <c r="S1987" s="8"/>
      <c r="T1987" s="8"/>
      <c r="U1987" s="8"/>
      <c r="V1987" s="8"/>
      <c r="W1987" s="8"/>
      <c r="X1987" s="8"/>
      <c r="Y1987" s="8"/>
    </row>
    <row r="1988">
      <c r="A1988" s="8"/>
      <c r="B1988" s="8"/>
      <c r="C1988" s="8"/>
      <c r="D1988" s="8"/>
      <c r="E1988" s="8"/>
      <c r="F1988" s="8"/>
      <c r="G1988" s="8"/>
      <c r="H1988" s="8"/>
      <c r="I1988" s="8"/>
      <c r="J1988" s="8"/>
      <c r="K1988" s="8"/>
      <c r="L1988" s="8"/>
      <c r="M1988" s="8"/>
      <c r="N1988" s="8"/>
      <c r="O1988" s="8"/>
      <c r="P1988" s="8"/>
      <c r="Q1988" s="8"/>
      <c r="R1988" s="8"/>
      <c r="S1988" s="8"/>
      <c r="T1988" s="8"/>
      <c r="U1988" s="8"/>
      <c r="V1988" s="8"/>
      <c r="W1988" s="8"/>
      <c r="X1988" s="8"/>
      <c r="Y1988" s="8"/>
    </row>
    <row r="1989">
      <c r="A1989" s="8"/>
      <c r="B1989" s="8"/>
      <c r="C1989" s="8"/>
      <c r="D1989" s="8"/>
      <c r="E1989" s="8"/>
      <c r="F1989" s="8"/>
      <c r="G1989" s="8"/>
      <c r="H1989" s="8"/>
      <c r="I1989" s="8"/>
      <c r="J1989" s="8"/>
      <c r="K1989" s="8"/>
      <c r="L1989" s="8"/>
      <c r="M1989" s="8"/>
      <c r="N1989" s="8"/>
      <c r="O1989" s="8"/>
      <c r="P1989" s="8"/>
      <c r="Q1989" s="8"/>
      <c r="R1989" s="8"/>
      <c r="S1989" s="8"/>
      <c r="T1989" s="8"/>
      <c r="U1989" s="8"/>
      <c r="V1989" s="8"/>
      <c r="W1989" s="8"/>
      <c r="X1989" s="8"/>
      <c r="Y1989" s="8"/>
    </row>
    <row r="1990">
      <c r="A1990" s="8"/>
      <c r="B1990" s="8"/>
      <c r="C1990" s="8"/>
      <c r="D1990" s="8"/>
      <c r="E1990" s="8"/>
      <c r="F1990" s="8"/>
      <c r="G1990" s="8"/>
      <c r="H1990" s="8"/>
      <c r="I1990" s="8"/>
      <c r="J1990" s="8"/>
      <c r="K1990" s="8"/>
      <c r="L1990" s="8"/>
      <c r="M1990" s="8"/>
      <c r="N1990" s="8"/>
      <c r="O1990" s="8"/>
      <c r="P1990" s="8"/>
      <c r="Q1990" s="8"/>
      <c r="R1990" s="8"/>
      <c r="S1990" s="8"/>
      <c r="T1990" s="8"/>
      <c r="U1990" s="8"/>
      <c r="V1990" s="8"/>
      <c r="W1990" s="8"/>
      <c r="X1990" s="8"/>
      <c r="Y1990" s="8"/>
    </row>
    <row r="1991">
      <c r="A1991" s="8"/>
      <c r="B1991" s="8"/>
      <c r="C1991" s="8"/>
      <c r="D1991" s="8"/>
      <c r="E1991" s="8"/>
      <c r="F1991" s="8"/>
      <c r="G1991" s="8"/>
      <c r="H1991" s="8"/>
      <c r="I1991" s="8"/>
      <c r="J1991" s="8"/>
      <c r="K1991" s="8"/>
      <c r="L1991" s="8"/>
      <c r="M1991" s="8"/>
      <c r="N1991" s="8"/>
      <c r="O1991" s="8"/>
      <c r="P1991" s="8"/>
      <c r="Q1991" s="8"/>
      <c r="R1991" s="8"/>
      <c r="S1991" s="8"/>
      <c r="T1991" s="8"/>
      <c r="U1991" s="8"/>
      <c r="V1991" s="8"/>
      <c r="W1991" s="8"/>
      <c r="X1991" s="8"/>
      <c r="Y1991" s="8"/>
    </row>
    <row r="1992">
      <c r="A1992" s="8"/>
      <c r="B1992" s="8"/>
      <c r="C1992" s="8"/>
      <c r="D1992" s="8"/>
      <c r="E1992" s="8"/>
      <c r="F1992" s="8"/>
      <c r="G1992" s="8"/>
      <c r="H1992" s="8"/>
      <c r="I1992" s="8"/>
      <c r="J1992" s="8"/>
      <c r="K1992" s="8"/>
      <c r="L1992" s="8"/>
      <c r="M1992" s="8"/>
      <c r="N1992" s="8"/>
      <c r="O1992" s="8"/>
      <c r="P1992" s="8"/>
      <c r="Q1992" s="8"/>
      <c r="R1992" s="8"/>
      <c r="S1992" s="8"/>
      <c r="T1992" s="8"/>
      <c r="U1992" s="8"/>
      <c r="V1992" s="8"/>
      <c r="W1992" s="8"/>
      <c r="X1992" s="8"/>
      <c r="Y1992" s="8"/>
    </row>
    <row r="1993">
      <c r="A1993" s="8"/>
      <c r="B1993" s="8"/>
      <c r="C1993" s="8"/>
      <c r="D1993" s="8"/>
      <c r="E1993" s="8"/>
      <c r="F1993" s="8"/>
      <c r="G1993" s="8"/>
      <c r="H1993" s="8"/>
      <c r="I1993" s="8"/>
      <c r="J1993" s="8"/>
      <c r="K1993" s="8"/>
      <c r="L1993" s="8"/>
      <c r="M1993" s="8"/>
      <c r="N1993" s="8"/>
      <c r="O1993" s="8"/>
      <c r="P1993" s="8"/>
      <c r="Q1993" s="8"/>
      <c r="R1993" s="8"/>
      <c r="S1993" s="8"/>
      <c r="T1993" s="8"/>
      <c r="U1993" s="8"/>
      <c r="V1993" s="8"/>
      <c r="W1993" s="8"/>
      <c r="X1993" s="8"/>
      <c r="Y1993" s="8"/>
    </row>
    <row r="1994">
      <c r="A1994" s="8"/>
      <c r="B1994" s="8"/>
      <c r="C1994" s="8"/>
      <c r="D1994" s="8"/>
      <c r="E1994" s="8"/>
      <c r="F1994" s="8"/>
      <c r="G1994" s="8"/>
      <c r="H1994" s="8"/>
      <c r="I1994" s="8"/>
      <c r="J1994" s="8"/>
      <c r="K1994" s="8"/>
      <c r="L1994" s="8"/>
      <c r="M1994" s="8"/>
      <c r="N1994" s="8"/>
      <c r="O1994" s="8"/>
      <c r="P1994" s="8"/>
      <c r="Q1994" s="8"/>
      <c r="R1994" s="8"/>
      <c r="S1994" s="8"/>
      <c r="T1994" s="8"/>
      <c r="U1994" s="8"/>
      <c r="V1994" s="8"/>
      <c r="W1994" s="8"/>
      <c r="X1994" s="8"/>
      <c r="Y1994" s="8"/>
    </row>
    <row r="1995">
      <c r="A1995" s="8"/>
      <c r="B1995" s="8"/>
      <c r="C1995" s="8"/>
      <c r="D1995" s="8"/>
      <c r="E1995" s="8"/>
      <c r="F1995" s="8"/>
      <c r="G1995" s="8"/>
      <c r="H1995" s="8"/>
      <c r="I1995" s="8"/>
      <c r="J1995" s="8"/>
      <c r="K1995" s="8"/>
      <c r="L1995" s="8"/>
      <c r="M1995" s="8"/>
      <c r="N1995" s="8"/>
      <c r="O1995" s="8"/>
      <c r="P1995" s="8"/>
      <c r="Q1995" s="8"/>
      <c r="R1995" s="8"/>
      <c r="S1995" s="8"/>
      <c r="T1995" s="8"/>
      <c r="U1995" s="8"/>
      <c r="V1995" s="8"/>
      <c r="W1995" s="8"/>
      <c r="X1995" s="8"/>
      <c r="Y1995" s="8"/>
    </row>
    <row r="1996">
      <c r="A1996" s="8"/>
      <c r="B1996" s="8"/>
      <c r="C1996" s="8"/>
      <c r="D1996" s="8"/>
      <c r="E1996" s="8"/>
      <c r="F1996" s="8"/>
      <c r="G1996" s="8"/>
      <c r="H1996" s="8"/>
      <c r="I1996" s="8"/>
      <c r="J1996" s="8"/>
      <c r="K1996" s="8"/>
      <c r="L1996" s="8"/>
      <c r="M1996" s="8"/>
      <c r="N1996" s="8"/>
      <c r="O1996" s="8"/>
      <c r="P1996" s="8"/>
      <c r="Q1996" s="8"/>
      <c r="R1996" s="8"/>
      <c r="S1996" s="8"/>
      <c r="T1996" s="8"/>
      <c r="U1996" s="8"/>
      <c r="V1996" s="8"/>
      <c r="W1996" s="8"/>
      <c r="X1996" s="8"/>
      <c r="Y1996" s="8"/>
    </row>
    <row r="1997">
      <c r="A1997" s="8"/>
      <c r="B1997" s="8"/>
      <c r="C1997" s="8"/>
      <c r="D1997" s="8"/>
      <c r="E1997" s="8"/>
      <c r="F1997" s="8"/>
      <c r="G1997" s="8"/>
      <c r="H1997" s="8"/>
      <c r="I1997" s="8"/>
      <c r="J1997" s="8"/>
      <c r="K1997" s="8"/>
      <c r="L1997" s="8"/>
      <c r="M1997" s="8"/>
      <c r="N1997" s="8"/>
      <c r="O1997" s="8"/>
      <c r="P1997" s="8"/>
      <c r="Q1997" s="8"/>
      <c r="R1997" s="8"/>
      <c r="S1997" s="8"/>
      <c r="T1997" s="8"/>
      <c r="U1997" s="8"/>
      <c r="V1997" s="8"/>
      <c r="W1997" s="8"/>
      <c r="X1997" s="8"/>
      <c r="Y1997" s="8"/>
    </row>
    <row r="1998">
      <c r="A1998" s="8"/>
      <c r="B1998" s="8"/>
      <c r="C1998" s="8"/>
      <c r="D1998" s="8"/>
      <c r="E1998" s="8"/>
      <c r="F1998" s="8"/>
      <c r="G1998" s="8"/>
      <c r="H1998" s="8"/>
      <c r="I1998" s="8"/>
      <c r="J1998" s="8"/>
      <c r="K1998" s="8"/>
      <c r="L1998" s="8"/>
      <c r="M1998" s="8"/>
      <c r="N1998" s="8"/>
      <c r="O1998" s="8"/>
      <c r="P1998" s="8"/>
      <c r="Q1998" s="8"/>
      <c r="R1998" s="8"/>
      <c r="S1998" s="8"/>
      <c r="T1998" s="8"/>
      <c r="U1998" s="8"/>
      <c r="V1998" s="8"/>
      <c r="W1998" s="8"/>
      <c r="X1998" s="8"/>
      <c r="Y1998" s="8"/>
    </row>
    <row r="1999">
      <c r="A1999" s="8"/>
      <c r="B1999" s="8"/>
      <c r="C1999" s="8"/>
      <c r="D1999" s="8"/>
      <c r="E1999" s="8"/>
      <c r="F1999" s="8"/>
      <c r="G1999" s="8"/>
      <c r="H1999" s="8"/>
      <c r="I1999" s="8"/>
      <c r="J1999" s="8"/>
      <c r="K1999" s="8"/>
      <c r="L1999" s="8"/>
      <c r="M1999" s="8"/>
      <c r="N1999" s="8"/>
      <c r="O1999" s="8"/>
      <c r="P1999" s="8"/>
      <c r="Q1999" s="8"/>
      <c r="R1999" s="8"/>
      <c r="S1999" s="8"/>
      <c r="T1999" s="8"/>
      <c r="U1999" s="8"/>
      <c r="V1999" s="8"/>
      <c r="W1999" s="8"/>
      <c r="X1999" s="8"/>
      <c r="Y1999" s="8"/>
    </row>
    <row r="2000">
      <c r="A2000" s="8"/>
      <c r="B2000" s="8"/>
      <c r="C2000" s="8"/>
      <c r="D2000" s="8"/>
      <c r="E2000" s="8"/>
      <c r="F2000" s="8"/>
      <c r="G2000" s="8"/>
      <c r="H2000" s="8"/>
      <c r="I2000" s="8"/>
      <c r="J2000" s="8"/>
      <c r="K2000" s="8"/>
      <c r="L2000" s="8"/>
      <c r="M2000" s="8"/>
      <c r="N2000" s="8"/>
      <c r="O2000" s="8"/>
      <c r="P2000" s="8"/>
      <c r="Q2000" s="8"/>
      <c r="R2000" s="8"/>
      <c r="S2000" s="8"/>
      <c r="T2000" s="8"/>
      <c r="U2000" s="8"/>
      <c r="V2000" s="8"/>
      <c r="W2000" s="8"/>
      <c r="X2000" s="8"/>
      <c r="Y2000" s="8"/>
    </row>
    <row r="2001">
      <c r="A2001" s="8"/>
      <c r="B2001" s="8"/>
      <c r="C2001" s="8"/>
      <c r="D2001" s="8"/>
      <c r="E2001" s="8"/>
      <c r="F2001" s="8"/>
      <c r="G2001" s="8"/>
      <c r="H2001" s="8"/>
      <c r="I2001" s="8"/>
      <c r="J2001" s="8"/>
      <c r="K2001" s="8"/>
      <c r="L2001" s="8"/>
      <c r="M2001" s="8"/>
      <c r="N2001" s="8"/>
      <c r="O2001" s="8"/>
      <c r="P2001" s="8"/>
      <c r="Q2001" s="8"/>
      <c r="R2001" s="8"/>
      <c r="S2001" s="8"/>
      <c r="T2001" s="8"/>
      <c r="U2001" s="8"/>
      <c r="V2001" s="8"/>
      <c r="W2001" s="8"/>
      <c r="X2001" s="8"/>
      <c r="Y2001" s="8"/>
    </row>
    <row r="2002">
      <c r="A2002" s="8"/>
      <c r="B2002" s="8"/>
      <c r="C2002" s="8"/>
      <c r="D2002" s="8"/>
      <c r="E2002" s="8"/>
      <c r="F2002" s="8"/>
      <c r="G2002" s="8"/>
      <c r="H2002" s="8"/>
      <c r="I2002" s="8"/>
      <c r="J2002" s="8"/>
      <c r="K2002" s="8"/>
      <c r="L2002" s="8"/>
      <c r="M2002" s="8"/>
      <c r="N2002" s="8"/>
      <c r="O2002" s="8"/>
      <c r="P2002" s="8"/>
      <c r="Q2002" s="8"/>
      <c r="R2002" s="8"/>
      <c r="S2002" s="8"/>
      <c r="T2002" s="8"/>
      <c r="U2002" s="8"/>
      <c r="V2002" s="8"/>
      <c r="W2002" s="8"/>
      <c r="X2002" s="8"/>
      <c r="Y2002" s="8"/>
    </row>
    <row r="2003">
      <c r="A2003" s="8"/>
      <c r="B2003" s="8"/>
      <c r="C2003" s="8"/>
      <c r="D2003" s="8"/>
      <c r="E2003" s="8"/>
      <c r="F2003" s="8"/>
      <c r="G2003" s="8"/>
      <c r="H2003" s="8"/>
      <c r="I2003" s="8"/>
      <c r="J2003" s="8"/>
      <c r="K2003" s="8"/>
      <c r="L2003" s="8"/>
      <c r="M2003" s="8"/>
      <c r="N2003" s="8"/>
      <c r="O2003" s="8"/>
      <c r="P2003" s="8"/>
      <c r="Q2003" s="8"/>
      <c r="R2003" s="8"/>
      <c r="S2003" s="8"/>
      <c r="T2003" s="8"/>
      <c r="U2003" s="8"/>
      <c r="V2003" s="8"/>
      <c r="W2003" s="8"/>
      <c r="X2003" s="8"/>
      <c r="Y2003" s="8"/>
    </row>
    <row r="2004">
      <c r="A2004" s="8"/>
      <c r="B2004" s="8"/>
      <c r="C2004" s="8"/>
      <c r="D2004" s="8"/>
      <c r="E2004" s="8"/>
      <c r="F2004" s="8"/>
      <c r="G2004" s="8"/>
      <c r="H2004" s="8"/>
      <c r="I2004" s="8"/>
      <c r="J2004" s="8"/>
      <c r="K2004" s="8"/>
      <c r="L2004" s="8"/>
      <c r="M2004" s="8"/>
      <c r="N2004" s="8"/>
      <c r="O2004" s="8"/>
      <c r="P2004" s="8"/>
      <c r="Q2004" s="8"/>
      <c r="R2004" s="8"/>
      <c r="S2004" s="8"/>
      <c r="T2004" s="8"/>
      <c r="U2004" s="8"/>
      <c r="V2004" s="8"/>
      <c r="W2004" s="8"/>
      <c r="X2004" s="8"/>
      <c r="Y2004" s="8"/>
    </row>
    <row r="2005">
      <c r="A2005" s="8"/>
      <c r="B2005" s="8"/>
      <c r="C2005" s="8"/>
      <c r="D2005" s="8"/>
      <c r="E2005" s="8"/>
      <c r="F2005" s="8"/>
      <c r="G2005" s="8"/>
      <c r="H2005" s="8"/>
      <c r="I2005" s="8"/>
      <c r="J2005" s="8"/>
      <c r="K2005" s="8"/>
      <c r="L2005" s="8"/>
      <c r="M2005" s="8"/>
      <c r="N2005" s="8"/>
      <c r="O2005" s="8"/>
      <c r="P2005" s="8"/>
      <c r="Q2005" s="8"/>
      <c r="R2005" s="8"/>
      <c r="S2005" s="8"/>
      <c r="T2005" s="8"/>
      <c r="U2005" s="8"/>
      <c r="V2005" s="8"/>
      <c r="W2005" s="8"/>
      <c r="X2005" s="8"/>
      <c r="Y2005" s="8"/>
    </row>
    <row r="2006">
      <c r="A2006" s="8"/>
      <c r="B2006" s="8"/>
      <c r="C2006" s="8"/>
      <c r="D2006" s="8"/>
      <c r="E2006" s="8"/>
      <c r="F2006" s="8"/>
      <c r="G2006" s="8"/>
      <c r="H2006" s="8"/>
      <c r="I2006" s="8"/>
      <c r="J2006" s="8"/>
      <c r="K2006" s="8"/>
      <c r="L2006" s="8"/>
      <c r="M2006" s="8"/>
      <c r="N2006" s="8"/>
      <c r="O2006" s="8"/>
      <c r="P2006" s="8"/>
      <c r="Q2006" s="8"/>
      <c r="R2006" s="8"/>
      <c r="S2006" s="8"/>
      <c r="T2006" s="8"/>
      <c r="U2006" s="8"/>
      <c r="V2006" s="8"/>
      <c r="W2006" s="8"/>
      <c r="X2006" s="8"/>
      <c r="Y2006" s="8"/>
    </row>
    <row r="2007">
      <c r="A2007" s="8"/>
      <c r="B2007" s="8"/>
      <c r="C2007" s="8"/>
      <c r="D2007" s="8"/>
      <c r="E2007" s="8"/>
      <c r="F2007" s="8"/>
      <c r="G2007" s="8"/>
      <c r="H2007" s="8"/>
      <c r="I2007" s="8"/>
      <c r="J2007" s="8"/>
      <c r="K2007" s="8"/>
      <c r="L2007" s="8"/>
      <c r="M2007" s="8"/>
      <c r="N2007" s="8"/>
      <c r="O2007" s="8"/>
      <c r="P2007" s="8"/>
      <c r="Q2007" s="8"/>
      <c r="R2007" s="8"/>
      <c r="S2007" s="8"/>
      <c r="T2007" s="8"/>
      <c r="U2007" s="8"/>
      <c r="V2007" s="8"/>
      <c r="W2007" s="8"/>
      <c r="X2007" s="8"/>
      <c r="Y2007" s="8"/>
    </row>
    <row r="2008">
      <c r="A2008" s="8"/>
      <c r="B2008" s="8"/>
      <c r="C2008" s="8"/>
      <c r="D2008" s="8"/>
      <c r="E2008" s="8"/>
      <c r="F2008" s="8"/>
      <c r="G2008" s="8"/>
      <c r="H2008" s="8"/>
      <c r="I2008" s="8"/>
      <c r="J2008" s="8"/>
      <c r="K2008" s="8"/>
      <c r="L2008" s="8"/>
      <c r="M2008" s="8"/>
      <c r="N2008" s="8"/>
      <c r="O2008" s="8"/>
      <c r="P2008" s="8"/>
      <c r="Q2008" s="8"/>
      <c r="R2008" s="8"/>
      <c r="S2008" s="8"/>
      <c r="T2008" s="8"/>
      <c r="U2008" s="8"/>
      <c r="V2008" s="8"/>
      <c r="W2008" s="8"/>
      <c r="X2008" s="8"/>
      <c r="Y2008" s="8"/>
    </row>
    <row r="2009">
      <c r="A2009" s="8"/>
      <c r="B2009" s="8"/>
      <c r="C2009" s="8"/>
      <c r="D2009" s="8"/>
      <c r="E2009" s="8"/>
      <c r="F2009" s="8"/>
      <c r="G2009" s="8"/>
      <c r="H2009" s="8"/>
      <c r="I2009" s="8"/>
      <c r="J2009" s="8"/>
      <c r="K2009" s="8"/>
      <c r="L2009" s="8"/>
      <c r="M2009" s="8"/>
      <c r="N2009" s="8"/>
      <c r="O2009" s="8"/>
      <c r="P2009" s="8"/>
      <c r="Q2009" s="8"/>
      <c r="R2009" s="8"/>
      <c r="S2009" s="8"/>
      <c r="T2009" s="8"/>
      <c r="U2009" s="8"/>
      <c r="V2009" s="8"/>
      <c r="W2009" s="8"/>
      <c r="X2009" s="8"/>
      <c r="Y2009" s="8"/>
    </row>
    <row r="2010">
      <c r="A2010" s="8"/>
      <c r="B2010" s="8"/>
      <c r="C2010" s="8"/>
      <c r="D2010" s="8"/>
      <c r="E2010" s="8"/>
      <c r="F2010" s="8"/>
      <c r="G2010" s="8"/>
      <c r="H2010" s="8"/>
      <c r="I2010" s="8"/>
      <c r="J2010" s="8"/>
      <c r="K2010" s="8"/>
      <c r="L2010" s="8"/>
      <c r="M2010" s="8"/>
      <c r="N2010" s="8"/>
      <c r="O2010" s="8"/>
      <c r="P2010" s="8"/>
      <c r="Q2010" s="8"/>
      <c r="R2010" s="8"/>
      <c r="S2010" s="8"/>
      <c r="T2010" s="8"/>
      <c r="U2010" s="8"/>
      <c r="V2010" s="8"/>
      <c r="W2010" s="8"/>
      <c r="X2010" s="8"/>
      <c r="Y2010" s="8"/>
    </row>
    <row r="2011">
      <c r="A2011" s="8"/>
      <c r="B2011" s="8"/>
      <c r="C2011" s="8"/>
      <c r="D2011" s="8"/>
      <c r="E2011" s="8"/>
      <c r="F2011" s="8"/>
      <c r="G2011" s="8"/>
      <c r="H2011" s="8"/>
      <c r="I2011" s="8"/>
      <c r="J2011" s="8"/>
      <c r="K2011" s="8"/>
      <c r="L2011" s="8"/>
      <c r="M2011" s="8"/>
      <c r="N2011" s="8"/>
      <c r="O2011" s="8"/>
      <c r="P2011" s="8"/>
      <c r="Q2011" s="8"/>
      <c r="R2011" s="8"/>
      <c r="S2011" s="8"/>
      <c r="T2011" s="8"/>
      <c r="U2011" s="8"/>
      <c r="V2011" s="8"/>
      <c r="W2011" s="8"/>
      <c r="X2011" s="8"/>
      <c r="Y2011" s="8"/>
    </row>
    <row r="2012">
      <c r="A2012" s="8"/>
      <c r="B2012" s="8"/>
      <c r="C2012" s="8"/>
      <c r="D2012" s="8"/>
      <c r="E2012" s="8"/>
      <c r="F2012" s="8"/>
      <c r="G2012" s="8"/>
      <c r="H2012" s="8"/>
      <c r="I2012" s="8"/>
      <c r="J2012" s="8"/>
      <c r="K2012" s="8"/>
      <c r="L2012" s="8"/>
      <c r="M2012" s="8"/>
      <c r="N2012" s="8"/>
      <c r="O2012" s="8"/>
      <c r="P2012" s="8"/>
      <c r="Q2012" s="8"/>
      <c r="R2012" s="8"/>
      <c r="S2012" s="8"/>
      <c r="T2012" s="8"/>
      <c r="U2012" s="8"/>
      <c r="V2012" s="8"/>
      <c r="W2012" s="8"/>
      <c r="X2012" s="8"/>
      <c r="Y2012" s="8"/>
    </row>
    <row r="2013">
      <c r="A2013" s="8"/>
      <c r="B2013" s="8"/>
      <c r="C2013" s="8"/>
      <c r="D2013" s="8"/>
      <c r="E2013" s="8"/>
      <c r="F2013" s="8"/>
      <c r="G2013" s="8"/>
      <c r="H2013" s="8"/>
      <c r="I2013" s="8"/>
      <c r="J2013" s="8"/>
      <c r="K2013" s="8"/>
      <c r="L2013" s="8"/>
      <c r="M2013" s="8"/>
      <c r="N2013" s="8"/>
      <c r="O2013" s="8"/>
      <c r="P2013" s="8"/>
      <c r="Q2013" s="8"/>
      <c r="R2013" s="8"/>
      <c r="S2013" s="8"/>
      <c r="T2013" s="8"/>
      <c r="U2013" s="8"/>
      <c r="V2013" s="8"/>
      <c r="W2013" s="8"/>
      <c r="X2013" s="8"/>
      <c r="Y2013" s="8"/>
    </row>
    <row r="2014">
      <c r="A2014" s="8"/>
      <c r="B2014" s="8"/>
      <c r="C2014" s="8"/>
      <c r="D2014" s="8"/>
      <c r="E2014" s="8"/>
      <c r="F2014" s="8"/>
      <c r="G2014" s="8"/>
      <c r="H2014" s="8"/>
      <c r="I2014" s="8"/>
      <c r="J2014" s="8"/>
      <c r="K2014" s="8"/>
      <c r="L2014" s="8"/>
      <c r="M2014" s="8"/>
      <c r="N2014" s="8"/>
      <c r="O2014" s="8"/>
      <c r="P2014" s="8"/>
      <c r="Q2014" s="8"/>
      <c r="R2014" s="8"/>
      <c r="S2014" s="8"/>
      <c r="T2014" s="8"/>
      <c r="U2014" s="8"/>
      <c r="V2014" s="8"/>
      <c r="W2014" s="8"/>
      <c r="X2014" s="8"/>
      <c r="Y2014" s="8"/>
    </row>
    <row r="2015">
      <c r="A2015" s="8"/>
      <c r="B2015" s="8"/>
      <c r="C2015" s="8"/>
      <c r="D2015" s="8"/>
      <c r="E2015" s="8"/>
      <c r="F2015" s="8"/>
      <c r="G2015" s="8"/>
      <c r="H2015" s="8"/>
      <c r="I2015" s="8"/>
      <c r="J2015" s="8"/>
      <c r="K2015" s="8"/>
      <c r="L2015" s="8"/>
      <c r="M2015" s="8"/>
      <c r="N2015" s="8"/>
      <c r="O2015" s="8"/>
      <c r="P2015" s="8"/>
      <c r="Q2015" s="8"/>
      <c r="R2015" s="8"/>
      <c r="S2015" s="8"/>
      <c r="T2015" s="8"/>
      <c r="U2015" s="8"/>
      <c r="V2015" s="8"/>
      <c r="W2015" s="8"/>
      <c r="X2015" s="8"/>
      <c r="Y2015" s="8"/>
    </row>
    <row r="2016">
      <c r="A2016" s="8"/>
      <c r="B2016" s="8"/>
      <c r="C2016" s="8"/>
      <c r="D2016" s="8"/>
      <c r="E2016" s="8"/>
      <c r="F2016" s="8"/>
      <c r="G2016" s="8"/>
      <c r="H2016" s="8"/>
      <c r="I2016" s="8"/>
      <c r="J2016" s="8"/>
      <c r="K2016" s="8"/>
      <c r="L2016" s="8"/>
      <c r="M2016" s="8"/>
      <c r="N2016" s="8"/>
      <c r="O2016" s="8"/>
      <c r="P2016" s="8"/>
      <c r="Q2016" s="8"/>
      <c r="R2016" s="8"/>
      <c r="S2016" s="8"/>
      <c r="T2016" s="8"/>
      <c r="U2016" s="8"/>
      <c r="V2016" s="8"/>
      <c r="W2016" s="8"/>
      <c r="X2016" s="8"/>
      <c r="Y2016" s="8"/>
    </row>
    <row r="2017">
      <c r="A2017" s="8"/>
      <c r="B2017" s="8"/>
      <c r="C2017" s="8"/>
      <c r="D2017" s="8"/>
      <c r="E2017" s="8"/>
      <c r="F2017" s="8"/>
      <c r="G2017" s="8"/>
      <c r="H2017" s="8"/>
      <c r="I2017" s="8"/>
      <c r="J2017" s="8"/>
      <c r="K2017" s="8"/>
      <c r="L2017" s="8"/>
      <c r="M2017" s="8"/>
      <c r="N2017" s="8"/>
      <c r="O2017" s="8"/>
      <c r="P2017" s="8"/>
      <c r="Q2017" s="8"/>
      <c r="R2017" s="8"/>
      <c r="S2017" s="8"/>
      <c r="T2017" s="8"/>
      <c r="U2017" s="8"/>
      <c r="V2017" s="8"/>
      <c r="W2017" s="8"/>
      <c r="X2017" s="8"/>
      <c r="Y2017" s="8"/>
    </row>
    <row r="2018">
      <c r="A2018" s="8"/>
      <c r="B2018" s="8"/>
      <c r="C2018" s="8"/>
      <c r="D2018" s="8"/>
      <c r="E2018" s="8"/>
      <c r="F2018" s="8"/>
      <c r="G2018" s="8"/>
      <c r="H2018" s="8"/>
      <c r="I2018" s="8"/>
      <c r="J2018" s="8"/>
      <c r="K2018" s="8"/>
      <c r="L2018" s="8"/>
      <c r="M2018" s="8"/>
      <c r="N2018" s="8"/>
      <c r="O2018" s="8"/>
      <c r="P2018" s="8"/>
      <c r="Q2018" s="8"/>
      <c r="R2018" s="8"/>
      <c r="S2018" s="8"/>
      <c r="T2018" s="8"/>
      <c r="U2018" s="8"/>
      <c r="V2018" s="8"/>
      <c r="W2018" s="8"/>
      <c r="X2018" s="8"/>
      <c r="Y2018" s="8"/>
    </row>
    <row r="2019">
      <c r="A2019" s="8"/>
      <c r="B2019" s="8"/>
      <c r="C2019" s="8"/>
      <c r="D2019" s="8"/>
      <c r="E2019" s="8"/>
      <c r="F2019" s="8"/>
      <c r="G2019" s="8"/>
      <c r="H2019" s="8"/>
      <c r="I2019" s="8"/>
      <c r="J2019" s="8"/>
      <c r="K2019" s="8"/>
      <c r="L2019" s="8"/>
      <c r="M2019" s="8"/>
      <c r="N2019" s="8"/>
      <c r="O2019" s="8"/>
      <c r="P2019" s="8"/>
      <c r="Q2019" s="8"/>
      <c r="R2019" s="8"/>
      <c r="S2019" s="8"/>
      <c r="T2019" s="8"/>
      <c r="U2019" s="8"/>
      <c r="V2019" s="8"/>
      <c r="W2019" s="8"/>
      <c r="X2019" s="8"/>
      <c r="Y2019" s="8"/>
    </row>
    <row r="2020">
      <c r="A2020" s="8"/>
      <c r="B2020" s="8"/>
      <c r="C2020" s="8"/>
      <c r="D2020" s="8"/>
      <c r="E2020" s="8"/>
      <c r="F2020" s="8"/>
      <c r="G2020" s="8"/>
      <c r="H2020" s="8"/>
      <c r="I2020" s="8"/>
      <c r="J2020" s="8"/>
      <c r="K2020" s="8"/>
      <c r="L2020" s="8"/>
      <c r="M2020" s="8"/>
      <c r="N2020" s="8"/>
      <c r="O2020" s="8"/>
      <c r="P2020" s="8"/>
      <c r="Q2020" s="8"/>
      <c r="R2020" s="8"/>
      <c r="S2020" s="8"/>
      <c r="T2020" s="8"/>
      <c r="U2020" s="8"/>
      <c r="V2020" s="8"/>
      <c r="W2020" s="8"/>
      <c r="X2020" s="8"/>
      <c r="Y2020" s="8"/>
    </row>
    <row r="2021">
      <c r="A2021" s="8"/>
      <c r="B2021" s="8"/>
      <c r="C2021" s="8"/>
      <c r="D2021" s="8"/>
      <c r="E2021" s="8"/>
      <c r="F2021" s="8"/>
      <c r="G2021" s="8"/>
      <c r="H2021" s="8"/>
      <c r="I2021" s="8"/>
      <c r="J2021" s="8"/>
      <c r="K2021" s="8"/>
      <c r="L2021" s="8"/>
      <c r="M2021" s="8"/>
      <c r="N2021" s="8"/>
      <c r="O2021" s="8"/>
      <c r="P2021" s="8"/>
      <c r="Q2021" s="8"/>
      <c r="R2021" s="8"/>
      <c r="S2021" s="8"/>
      <c r="T2021" s="8"/>
      <c r="U2021" s="8"/>
      <c r="V2021" s="8"/>
      <c r="W2021" s="8"/>
      <c r="X2021" s="8"/>
      <c r="Y2021" s="8"/>
    </row>
    <row r="2022">
      <c r="A2022" s="8"/>
      <c r="B2022" s="8"/>
      <c r="C2022" s="8"/>
      <c r="D2022" s="8"/>
      <c r="E2022" s="8"/>
      <c r="F2022" s="8"/>
      <c r="G2022" s="8"/>
      <c r="H2022" s="8"/>
      <c r="I2022" s="8"/>
      <c r="J2022" s="8"/>
      <c r="K2022" s="8"/>
      <c r="L2022" s="8"/>
      <c r="M2022" s="8"/>
      <c r="N2022" s="8"/>
      <c r="O2022" s="8"/>
      <c r="P2022" s="8"/>
      <c r="Q2022" s="8"/>
      <c r="R2022" s="8"/>
      <c r="S2022" s="8"/>
      <c r="T2022" s="8"/>
      <c r="U2022" s="8"/>
      <c r="V2022" s="8"/>
      <c r="W2022" s="8"/>
      <c r="X2022" s="8"/>
      <c r="Y2022" s="8"/>
    </row>
    <row r="2023">
      <c r="A2023" s="8"/>
      <c r="B2023" s="8"/>
      <c r="C2023" s="8"/>
      <c r="D2023" s="8"/>
      <c r="E2023" s="8"/>
      <c r="F2023" s="8"/>
      <c r="G2023" s="8"/>
      <c r="H2023" s="8"/>
      <c r="I2023" s="8"/>
      <c r="J2023" s="8"/>
      <c r="K2023" s="8"/>
      <c r="L2023" s="8"/>
      <c r="M2023" s="8"/>
      <c r="N2023" s="8"/>
      <c r="O2023" s="8"/>
      <c r="P2023" s="8"/>
      <c r="Q2023" s="8"/>
      <c r="R2023" s="8"/>
      <c r="S2023" s="8"/>
      <c r="T2023" s="8"/>
      <c r="U2023" s="8"/>
      <c r="V2023" s="8"/>
      <c r="W2023" s="8"/>
      <c r="X2023" s="8"/>
      <c r="Y2023" s="8"/>
    </row>
    <row r="2024">
      <c r="A2024" s="8"/>
      <c r="B2024" s="8"/>
      <c r="C2024" s="8"/>
      <c r="D2024" s="8"/>
      <c r="E2024" s="8"/>
      <c r="F2024" s="8"/>
      <c r="G2024" s="8"/>
      <c r="H2024" s="8"/>
      <c r="I2024" s="8"/>
      <c r="J2024" s="8"/>
      <c r="K2024" s="8"/>
      <c r="L2024" s="8"/>
      <c r="M2024" s="8"/>
      <c r="N2024" s="8"/>
      <c r="O2024" s="8"/>
      <c r="P2024" s="8"/>
      <c r="Q2024" s="8"/>
      <c r="R2024" s="8"/>
      <c r="S2024" s="8"/>
      <c r="T2024" s="8"/>
      <c r="U2024" s="8"/>
      <c r="V2024" s="8"/>
      <c r="W2024" s="8"/>
      <c r="X2024" s="8"/>
      <c r="Y2024" s="8"/>
    </row>
    <row r="2025">
      <c r="A2025" s="8"/>
      <c r="B2025" s="8"/>
      <c r="C2025" s="8"/>
      <c r="D2025" s="8"/>
      <c r="E2025" s="8"/>
      <c r="F2025" s="8"/>
      <c r="G2025" s="8"/>
      <c r="H2025" s="8"/>
      <c r="I2025" s="8"/>
      <c r="J2025" s="8"/>
      <c r="K2025" s="8"/>
      <c r="L2025" s="8"/>
      <c r="M2025" s="8"/>
      <c r="N2025" s="8"/>
      <c r="O2025" s="8"/>
      <c r="P2025" s="8"/>
      <c r="Q2025" s="8"/>
      <c r="R2025" s="8"/>
      <c r="S2025" s="8"/>
      <c r="T2025" s="8"/>
      <c r="U2025" s="8"/>
      <c r="V2025" s="8"/>
      <c r="W2025" s="8"/>
      <c r="X2025" s="8"/>
      <c r="Y2025" s="8"/>
    </row>
    <row r="2026">
      <c r="A2026" s="8"/>
      <c r="B2026" s="8"/>
      <c r="C2026" s="8"/>
      <c r="D2026" s="8"/>
      <c r="E2026" s="8"/>
      <c r="F2026" s="8"/>
      <c r="G2026" s="8"/>
      <c r="H2026" s="8"/>
      <c r="I2026" s="8"/>
      <c r="J2026" s="8"/>
      <c r="K2026" s="8"/>
      <c r="L2026" s="8"/>
      <c r="M2026" s="8"/>
      <c r="N2026" s="8"/>
      <c r="O2026" s="8"/>
      <c r="P2026" s="8"/>
      <c r="Q2026" s="8"/>
      <c r="R2026" s="8"/>
      <c r="S2026" s="8"/>
      <c r="T2026" s="8"/>
      <c r="U2026" s="8"/>
      <c r="V2026" s="8"/>
      <c r="W2026" s="8"/>
      <c r="X2026" s="8"/>
      <c r="Y2026" s="8"/>
    </row>
    <row r="2027">
      <c r="A2027" s="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row>
    <row r="2028">
      <c r="A2028" s="8"/>
      <c r="B2028" s="8"/>
      <c r="C2028" s="8"/>
      <c r="D2028" s="8"/>
      <c r="E2028" s="8"/>
      <c r="F2028" s="8"/>
      <c r="G2028" s="8"/>
      <c r="H2028" s="8"/>
      <c r="I2028" s="8"/>
      <c r="J2028" s="8"/>
      <c r="K2028" s="8"/>
      <c r="L2028" s="8"/>
      <c r="M2028" s="8"/>
      <c r="N2028" s="8"/>
      <c r="O2028" s="8"/>
      <c r="P2028" s="8"/>
      <c r="Q2028" s="8"/>
      <c r="R2028" s="8"/>
      <c r="S2028" s="8"/>
      <c r="T2028" s="8"/>
      <c r="U2028" s="8"/>
      <c r="V2028" s="8"/>
      <c r="W2028" s="8"/>
      <c r="X2028" s="8"/>
      <c r="Y2028" s="8"/>
    </row>
    <row r="2029">
      <c r="A2029" s="8"/>
      <c r="B2029" s="8"/>
      <c r="C2029" s="8"/>
      <c r="D2029" s="8"/>
      <c r="E2029" s="8"/>
      <c r="F2029" s="8"/>
      <c r="G2029" s="8"/>
      <c r="H2029" s="8"/>
      <c r="I2029" s="8"/>
      <c r="J2029" s="8"/>
      <c r="K2029" s="8"/>
      <c r="L2029" s="8"/>
      <c r="M2029" s="8"/>
      <c r="N2029" s="8"/>
      <c r="O2029" s="8"/>
      <c r="P2029" s="8"/>
      <c r="Q2029" s="8"/>
      <c r="R2029" s="8"/>
      <c r="S2029" s="8"/>
      <c r="T2029" s="8"/>
      <c r="U2029" s="8"/>
      <c r="V2029" s="8"/>
      <c r="W2029" s="8"/>
      <c r="X2029" s="8"/>
      <c r="Y2029" s="8"/>
    </row>
    <row r="2030">
      <c r="A2030" s="8"/>
      <c r="B2030" s="8"/>
      <c r="C2030" s="8"/>
      <c r="D2030" s="8"/>
      <c r="E2030" s="8"/>
      <c r="F2030" s="8"/>
      <c r="G2030" s="8"/>
      <c r="H2030" s="8"/>
      <c r="I2030" s="8"/>
      <c r="J2030" s="8"/>
      <c r="K2030" s="8"/>
      <c r="L2030" s="8"/>
      <c r="M2030" s="8"/>
      <c r="N2030" s="8"/>
      <c r="O2030" s="8"/>
      <c r="P2030" s="8"/>
      <c r="Q2030" s="8"/>
      <c r="R2030" s="8"/>
      <c r="S2030" s="8"/>
      <c r="T2030" s="8"/>
      <c r="U2030" s="8"/>
      <c r="V2030" s="8"/>
      <c r="W2030" s="8"/>
      <c r="X2030" s="8"/>
      <c r="Y2030" s="8"/>
    </row>
    <row r="2031">
      <c r="A2031" s="8"/>
      <c r="B2031" s="8"/>
      <c r="C2031" s="8"/>
      <c r="D2031" s="8"/>
      <c r="E2031" s="8"/>
      <c r="F2031" s="8"/>
      <c r="G2031" s="8"/>
      <c r="H2031" s="8"/>
      <c r="I2031" s="8"/>
      <c r="J2031" s="8"/>
      <c r="K2031" s="8"/>
      <c r="L2031" s="8"/>
      <c r="M2031" s="8"/>
      <c r="N2031" s="8"/>
      <c r="O2031" s="8"/>
      <c r="P2031" s="8"/>
      <c r="Q2031" s="8"/>
      <c r="R2031" s="8"/>
      <c r="S2031" s="8"/>
      <c r="T2031" s="8"/>
      <c r="U2031" s="8"/>
      <c r="V2031" s="8"/>
      <c r="W2031" s="8"/>
      <c r="X2031" s="8"/>
      <c r="Y2031" s="8"/>
    </row>
    <row r="2032">
      <c r="A2032" s="8"/>
      <c r="B2032" s="8"/>
      <c r="C2032" s="8"/>
      <c r="D2032" s="8"/>
      <c r="E2032" s="8"/>
      <c r="F2032" s="8"/>
      <c r="G2032" s="8"/>
      <c r="H2032" s="8"/>
      <c r="I2032" s="8"/>
      <c r="J2032" s="8"/>
      <c r="K2032" s="8"/>
      <c r="L2032" s="8"/>
      <c r="M2032" s="8"/>
      <c r="N2032" s="8"/>
      <c r="O2032" s="8"/>
      <c r="P2032" s="8"/>
      <c r="Q2032" s="8"/>
      <c r="R2032" s="8"/>
      <c r="S2032" s="8"/>
      <c r="T2032" s="8"/>
      <c r="U2032" s="8"/>
      <c r="V2032" s="8"/>
      <c r="W2032" s="8"/>
      <c r="X2032" s="8"/>
      <c r="Y2032" s="8"/>
    </row>
    <row r="2033">
      <c r="A2033" s="8"/>
      <c r="B2033" s="8"/>
      <c r="C2033" s="8"/>
      <c r="D2033" s="8"/>
      <c r="E2033" s="8"/>
      <c r="F2033" s="8"/>
      <c r="G2033" s="8"/>
      <c r="H2033" s="8"/>
      <c r="I2033" s="8"/>
      <c r="J2033" s="8"/>
      <c r="K2033" s="8"/>
      <c r="L2033" s="8"/>
      <c r="M2033" s="8"/>
      <c r="N2033" s="8"/>
      <c r="O2033" s="8"/>
      <c r="P2033" s="8"/>
      <c r="Q2033" s="8"/>
      <c r="R2033" s="8"/>
      <c r="S2033" s="8"/>
      <c r="T2033" s="8"/>
      <c r="U2033" s="8"/>
      <c r="V2033" s="8"/>
      <c r="W2033" s="8"/>
      <c r="X2033" s="8"/>
      <c r="Y2033" s="8"/>
    </row>
    <row r="2034">
      <c r="A2034" s="8"/>
      <c r="B2034" s="8"/>
      <c r="C2034" s="8"/>
      <c r="D2034" s="8"/>
      <c r="E2034" s="8"/>
      <c r="F2034" s="8"/>
      <c r="G2034" s="8"/>
      <c r="H2034" s="8"/>
      <c r="I2034" s="8"/>
      <c r="J2034" s="8"/>
      <c r="K2034" s="8"/>
      <c r="L2034" s="8"/>
      <c r="M2034" s="8"/>
      <c r="N2034" s="8"/>
      <c r="O2034" s="8"/>
      <c r="P2034" s="8"/>
      <c r="Q2034" s="8"/>
      <c r="R2034" s="8"/>
      <c r="S2034" s="8"/>
      <c r="T2034" s="8"/>
      <c r="U2034" s="8"/>
      <c r="V2034" s="8"/>
      <c r="W2034" s="8"/>
      <c r="X2034" s="8"/>
      <c r="Y2034" s="8"/>
    </row>
    <row r="2035">
      <c r="A2035" s="8"/>
      <c r="B2035" s="8"/>
      <c r="C2035" s="8"/>
      <c r="D2035" s="8"/>
      <c r="E2035" s="8"/>
      <c r="F2035" s="8"/>
      <c r="G2035" s="8"/>
      <c r="H2035" s="8"/>
      <c r="I2035" s="8"/>
      <c r="J2035" s="8"/>
      <c r="K2035" s="8"/>
      <c r="L2035" s="8"/>
      <c r="M2035" s="8"/>
      <c r="N2035" s="8"/>
      <c r="O2035" s="8"/>
      <c r="P2035" s="8"/>
      <c r="Q2035" s="8"/>
      <c r="R2035" s="8"/>
      <c r="S2035" s="8"/>
      <c r="T2035" s="8"/>
      <c r="U2035" s="8"/>
      <c r="V2035" s="8"/>
      <c r="W2035" s="8"/>
      <c r="X2035" s="8"/>
      <c r="Y2035" s="8"/>
    </row>
    <row r="2036">
      <c r="A2036" s="8"/>
      <c r="B2036" s="8"/>
      <c r="C2036" s="8"/>
      <c r="D2036" s="8"/>
      <c r="E2036" s="8"/>
      <c r="F2036" s="8"/>
      <c r="G2036" s="8"/>
      <c r="H2036" s="8"/>
      <c r="I2036" s="8"/>
      <c r="J2036" s="8"/>
      <c r="K2036" s="8"/>
      <c r="L2036" s="8"/>
      <c r="M2036" s="8"/>
      <c r="N2036" s="8"/>
      <c r="O2036" s="8"/>
      <c r="P2036" s="8"/>
      <c r="Q2036" s="8"/>
      <c r="R2036" s="8"/>
      <c r="S2036" s="8"/>
      <c r="T2036" s="8"/>
      <c r="U2036" s="8"/>
      <c r="V2036" s="8"/>
      <c r="W2036" s="8"/>
      <c r="X2036" s="8"/>
      <c r="Y2036" s="8"/>
    </row>
    <row r="2037">
      <c r="A2037" s="8"/>
      <c r="B2037" s="8"/>
      <c r="C2037" s="8"/>
      <c r="D2037" s="8"/>
      <c r="E2037" s="8"/>
      <c r="F2037" s="8"/>
      <c r="G2037" s="8"/>
      <c r="H2037" s="8"/>
      <c r="I2037" s="8"/>
      <c r="J2037" s="8"/>
      <c r="K2037" s="8"/>
      <c r="L2037" s="8"/>
      <c r="M2037" s="8"/>
      <c r="N2037" s="8"/>
      <c r="O2037" s="8"/>
      <c r="P2037" s="8"/>
      <c r="Q2037" s="8"/>
      <c r="R2037" s="8"/>
      <c r="S2037" s="8"/>
      <c r="T2037" s="8"/>
      <c r="U2037" s="8"/>
      <c r="V2037" s="8"/>
      <c r="W2037" s="8"/>
      <c r="X2037" s="8"/>
      <c r="Y2037" s="8"/>
    </row>
    <row r="2038">
      <c r="A2038" s="8"/>
      <c r="B2038" s="8"/>
      <c r="C2038" s="8"/>
      <c r="D2038" s="8"/>
      <c r="E2038" s="8"/>
      <c r="F2038" s="8"/>
      <c r="G2038" s="8"/>
      <c r="H2038" s="8"/>
      <c r="I2038" s="8"/>
      <c r="J2038" s="8"/>
      <c r="K2038" s="8"/>
      <c r="L2038" s="8"/>
      <c r="M2038" s="8"/>
      <c r="N2038" s="8"/>
      <c r="O2038" s="8"/>
      <c r="P2038" s="8"/>
      <c r="Q2038" s="8"/>
      <c r="R2038" s="8"/>
      <c r="S2038" s="8"/>
      <c r="T2038" s="8"/>
      <c r="U2038" s="8"/>
      <c r="V2038" s="8"/>
      <c r="W2038" s="8"/>
      <c r="X2038" s="8"/>
      <c r="Y2038" s="8"/>
    </row>
    <row r="2039">
      <c r="A2039" s="8"/>
      <c r="B2039" s="8"/>
      <c r="C2039" s="8"/>
      <c r="D2039" s="8"/>
      <c r="E2039" s="8"/>
      <c r="F2039" s="8"/>
      <c r="G2039" s="8"/>
      <c r="H2039" s="8"/>
      <c r="I2039" s="8"/>
      <c r="J2039" s="8"/>
      <c r="K2039" s="8"/>
      <c r="L2039" s="8"/>
      <c r="M2039" s="8"/>
      <c r="N2039" s="8"/>
      <c r="O2039" s="8"/>
      <c r="P2039" s="8"/>
      <c r="Q2039" s="8"/>
      <c r="R2039" s="8"/>
      <c r="S2039" s="8"/>
      <c r="T2039" s="8"/>
      <c r="U2039" s="8"/>
      <c r="V2039" s="8"/>
      <c r="W2039" s="8"/>
      <c r="X2039" s="8"/>
      <c r="Y2039" s="8"/>
    </row>
    <row r="2040">
      <c r="A2040" s="8"/>
      <c r="B2040" s="8"/>
      <c r="C2040" s="8"/>
      <c r="D2040" s="8"/>
      <c r="E2040" s="8"/>
      <c r="F2040" s="8"/>
      <c r="G2040" s="8"/>
      <c r="H2040" s="8"/>
      <c r="I2040" s="8"/>
      <c r="J2040" s="8"/>
      <c r="K2040" s="8"/>
      <c r="L2040" s="8"/>
      <c r="M2040" s="8"/>
      <c r="N2040" s="8"/>
      <c r="O2040" s="8"/>
      <c r="P2040" s="8"/>
      <c r="Q2040" s="8"/>
      <c r="R2040" s="8"/>
      <c r="S2040" s="8"/>
      <c r="T2040" s="8"/>
      <c r="U2040" s="8"/>
      <c r="V2040" s="8"/>
      <c r="W2040" s="8"/>
      <c r="X2040" s="8"/>
      <c r="Y2040" s="8"/>
    </row>
    <row r="2041">
      <c r="A2041" s="8"/>
      <c r="B2041" s="8"/>
      <c r="C2041" s="8"/>
      <c r="D2041" s="8"/>
      <c r="E2041" s="8"/>
      <c r="F2041" s="8"/>
      <c r="G2041" s="8"/>
      <c r="H2041" s="8"/>
      <c r="I2041" s="8"/>
      <c r="J2041" s="8"/>
      <c r="K2041" s="8"/>
      <c r="L2041" s="8"/>
      <c r="M2041" s="8"/>
      <c r="N2041" s="8"/>
      <c r="O2041" s="8"/>
      <c r="P2041" s="8"/>
      <c r="Q2041" s="8"/>
      <c r="R2041" s="8"/>
      <c r="S2041" s="8"/>
      <c r="T2041" s="8"/>
      <c r="U2041" s="8"/>
      <c r="V2041" s="8"/>
      <c r="W2041" s="8"/>
      <c r="X2041" s="8"/>
      <c r="Y2041" s="8"/>
    </row>
    <row r="2042">
      <c r="A2042" s="8"/>
      <c r="B2042" s="8"/>
      <c r="C2042" s="8"/>
      <c r="D2042" s="8"/>
      <c r="E2042" s="8"/>
      <c r="F2042" s="8"/>
      <c r="G2042" s="8"/>
      <c r="H2042" s="8"/>
      <c r="I2042" s="8"/>
      <c r="J2042" s="8"/>
      <c r="K2042" s="8"/>
      <c r="L2042" s="8"/>
      <c r="M2042" s="8"/>
      <c r="N2042" s="8"/>
      <c r="O2042" s="8"/>
      <c r="P2042" s="8"/>
      <c r="Q2042" s="8"/>
      <c r="R2042" s="8"/>
      <c r="S2042" s="8"/>
      <c r="T2042" s="8"/>
      <c r="U2042" s="8"/>
      <c r="V2042" s="8"/>
      <c r="W2042" s="8"/>
      <c r="X2042" s="8"/>
      <c r="Y2042" s="8"/>
    </row>
    <row r="2043">
      <c r="A2043" s="8"/>
      <c r="B2043" s="8"/>
      <c r="C2043" s="8"/>
      <c r="D2043" s="8"/>
      <c r="E2043" s="8"/>
      <c r="F2043" s="8"/>
      <c r="G2043" s="8"/>
      <c r="H2043" s="8"/>
      <c r="I2043" s="8"/>
      <c r="J2043" s="8"/>
      <c r="K2043" s="8"/>
      <c r="L2043" s="8"/>
      <c r="M2043" s="8"/>
      <c r="N2043" s="8"/>
      <c r="O2043" s="8"/>
      <c r="P2043" s="8"/>
      <c r="Q2043" s="8"/>
      <c r="R2043" s="8"/>
      <c r="S2043" s="8"/>
      <c r="T2043" s="8"/>
      <c r="U2043" s="8"/>
      <c r="V2043" s="8"/>
      <c r="W2043" s="8"/>
      <c r="X2043" s="8"/>
      <c r="Y2043" s="8"/>
    </row>
    <row r="2044">
      <c r="A2044" s="8"/>
      <c r="B2044" s="8"/>
      <c r="C2044" s="8"/>
      <c r="D2044" s="8"/>
      <c r="E2044" s="8"/>
      <c r="F2044" s="8"/>
      <c r="G2044" s="8"/>
      <c r="H2044" s="8"/>
      <c r="I2044" s="8"/>
      <c r="J2044" s="8"/>
      <c r="K2044" s="8"/>
      <c r="L2044" s="8"/>
      <c r="M2044" s="8"/>
      <c r="N2044" s="8"/>
      <c r="O2044" s="8"/>
      <c r="P2044" s="8"/>
      <c r="Q2044" s="8"/>
      <c r="R2044" s="8"/>
      <c r="S2044" s="8"/>
      <c r="T2044" s="8"/>
      <c r="U2044" s="8"/>
      <c r="V2044" s="8"/>
      <c r="W2044" s="8"/>
      <c r="X2044" s="8"/>
      <c r="Y2044" s="8"/>
    </row>
    <row r="2045">
      <c r="A2045" s="8"/>
      <c r="B2045" s="8"/>
      <c r="C2045" s="8"/>
      <c r="D2045" s="8"/>
      <c r="E2045" s="8"/>
      <c r="F2045" s="8"/>
      <c r="G2045" s="8"/>
      <c r="H2045" s="8"/>
      <c r="I2045" s="8"/>
      <c r="J2045" s="8"/>
      <c r="K2045" s="8"/>
      <c r="L2045" s="8"/>
      <c r="M2045" s="8"/>
      <c r="N2045" s="8"/>
      <c r="O2045" s="8"/>
      <c r="P2045" s="8"/>
      <c r="Q2045" s="8"/>
      <c r="R2045" s="8"/>
      <c r="S2045" s="8"/>
      <c r="T2045" s="8"/>
      <c r="U2045" s="8"/>
      <c r="V2045" s="8"/>
      <c r="W2045" s="8"/>
      <c r="X2045" s="8"/>
      <c r="Y2045" s="8"/>
    </row>
    <row r="2046">
      <c r="A2046" s="8"/>
      <c r="B2046" s="8"/>
      <c r="C2046" s="8"/>
      <c r="D2046" s="8"/>
      <c r="E2046" s="8"/>
      <c r="F2046" s="8"/>
      <c r="G2046" s="8"/>
      <c r="H2046" s="8"/>
      <c r="I2046" s="8"/>
      <c r="J2046" s="8"/>
      <c r="K2046" s="8"/>
      <c r="L2046" s="8"/>
      <c r="M2046" s="8"/>
      <c r="N2046" s="8"/>
      <c r="O2046" s="8"/>
      <c r="P2046" s="8"/>
      <c r="Q2046" s="8"/>
      <c r="R2046" s="8"/>
      <c r="S2046" s="8"/>
      <c r="T2046" s="8"/>
      <c r="U2046" s="8"/>
      <c r="V2046" s="8"/>
      <c r="W2046" s="8"/>
      <c r="X2046" s="8"/>
      <c r="Y2046" s="8"/>
    </row>
    <row r="2047">
      <c r="A2047" s="8"/>
      <c r="B2047" s="8"/>
      <c r="C2047" s="8"/>
      <c r="D2047" s="8"/>
      <c r="E2047" s="8"/>
      <c r="F2047" s="8"/>
      <c r="G2047" s="8"/>
      <c r="H2047" s="8"/>
      <c r="I2047" s="8"/>
      <c r="J2047" s="8"/>
      <c r="K2047" s="8"/>
      <c r="L2047" s="8"/>
      <c r="M2047" s="8"/>
      <c r="N2047" s="8"/>
      <c r="O2047" s="8"/>
      <c r="P2047" s="8"/>
      <c r="Q2047" s="8"/>
      <c r="R2047" s="8"/>
      <c r="S2047" s="8"/>
      <c r="T2047" s="8"/>
      <c r="U2047" s="8"/>
      <c r="V2047" s="8"/>
      <c r="W2047" s="8"/>
      <c r="X2047" s="8"/>
      <c r="Y2047" s="8"/>
    </row>
    <row r="2048">
      <c r="A2048" s="8"/>
      <c r="B2048" s="8"/>
      <c r="C2048" s="8"/>
      <c r="D2048" s="8"/>
      <c r="E2048" s="8"/>
      <c r="F2048" s="8"/>
      <c r="G2048" s="8"/>
      <c r="H2048" s="8"/>
      <c r="I2048" s="8"/>
      <c r="J2048" s="8"/>
      <c r="K2048" s="8"/>
      <c r="L2048" s="8"/>
      <c r="M2048" s="8"/>
      <c r="N2048" s="8"/>
      <c r="O2048" s="8"/>
      <c r="P2048" s="8"/>
      <c r="Q2048" s="8"/>
      <c r="R2048" s="8"/>
      <c r="S2048" s="8"/>
      <c r="T2048" s="8"/>
      <c r="U2048" s="8"/>
      <c r="V2048" s="8"/>
      <c r="W2048" s="8"/>
      <c r="X2048" s="8"/>
      <c r="Y2048" s="8"/>
    </row>
    <row r="2049">
      <c r="A2049" s="8"/>
      <c r="B2049" s="8"/>
      <c r="C2049" s="8"/>
      <c r="D2049" s="8"/>
      <c r="E2049" s="8"/>
      <c r="F2049" s="8"/>
      <c r="G2049" s="8"/>
      <c r="H2049" s="8"/>
      <c r="I2049" s="8"/>
      <c r="J2049" s="8"/>
      <c r="K2049" s="8"/>
      <c r="L2049" s="8"/>
      <c r="M2049" s="8"/>
      <c r="N2049" s="8"/>
      <c r="O2049" s="8"/>
      <c r="P2049" s="8"/>
      <c r="Q2049" s="8"/>
      <c r="R2049" s="8"/>
      <c r="S2049" s="8"/>
      <c r="T2049" s="8"/>
      <c r="U2049" s="8"/>
      <c r="V2049" s="8"/>
      <c r="W2049" s="8"/>
      <c r="X2049" s="8"/>
      <c r="Y2049" s="8"/>
    </row>
    <row r="2050">
      <c r="A2050" s="8"/>
      <c r="B2050" s="8"/>
      <c r="C2050" s="8"/>
      <c r="D2050" s="8"/>
      <c r="E2050" s="8"/>
      <c r="F2050" s="8"/>
      <c r="G2050" s="8"/>
      <c r="H2050" s="8"/>
      <c r="I2050" s="8"/>
      <c r="J2050" s="8"/>
      <c r="K2050" s="8"/>
      <c r="L2050" s="8"/>
      <c r="M2050" s="8"/>
      <c r="N2050" s="8"/>
      <c r="O2050" s="8"/>
      <c r="P2050" s="8"/>
      <c r="Q2050" s="8"/>
      <c r="R2050" s="8"/>
      <c r="S2050" s="8"/>
      <c r="T2050" s="8"/>
      <c r="U2050" s="8"/>
      <c r="V2050" s="8"/>
      <c r="W2050" s="8"/>
      <c r="X2050" s="8"/>
      <c r="Y2050" s="8"/>
    </row>
    <row r="2051">
      <c r="A2051" s="8"/>
      <c r="B2051" s="8"/>
      <c r="C2051" s="8"/>
      <c r="D2051" s="8"/>
      <c r="E2051" s="8"/>
      <c r="F2051" s="8"/>
      <c r="G2051" s="8"/>
      <c r="H2051" s="8"/>
      <c r="I2051" s="8"/>
      <c r="J2051" s="8"/>
      <c r="K2051" s="8"/>
      <c r="L2051" s="8"/>
      <c r="M2051" s="8"/>
      <c r="N2051" s="8"/>
      <c r="O2051" s="8"/>
      <c r="P2051" s="8"/>
      <c r="Q2051" s="8"/>
      <c r="R2051" s="8"/>
      <c r="S2051" s="8"/>
      <c r="T2051" s="8"/>
      <c r="U2051" s="8"/>
      <c r="V2051" s="8"/>
      <c r="W2051" s="8"/>
      <c r="X2051" s="8"/>
      <c r="Y2051" s="8"/>
    </row>
    <row r="2052">
      <c r="A2052" s="8"/>
      <c r="B2052" s="8"/>
      <c r="C2052" s="8"/>
      <c r="D2052" s="8"/>
      <c r="E2052" s="8"/>
      <c r="F2052" s="8"/>
      <c r="G2052" s="8"/>
      <c r="H2052" s="8"/>
      <c r="I2052" s="8"/>
      <c r="J2052" s="8"/>
      <c r="K2052" s="8"/>
      <c r="L2052" s="8"/>
      <c r="M2052" s="8"/>
      <c r="N2052" s="8"/>
      <c r="O2052" s="8"/>
      <c r="P2052" s="8"/>
      <c r="Q2052" s="8"/>
      <c r="R2052" s="8"/>
      <c r="S2052" s="8"/>
      <c r="T2052" s="8"/>
      <c r="U2052" s="8"/>
      <c r="V2052" s="8"/>
      <c r="W2052" s="8"/>
      <c r="X2052" s="8"/>
      <c r="Y2052" s="8"/>
    </row>
    <row r="2053">
      <c r="A2053" s="8"/>
      <c r="B2053" s="8"/>
      <c r="C2053" s="8"/>
      <c r="D2053" s="8"/>
      <c r="E2053" s="8"/>
      <c r="F2053" s="8"/>
      <c r="G2053" s="8"/>
      <c r="H2053" s="8"/>
      <c r="I2053" s="8"/>
      <c r="J2053" s="8"/>
      <c r="K2053" s="8"/>
      <c r="L2053" s="8"/>
      <c r="M2053" s="8"/>
      <c r="N2053" s="8"/>
      <c r="O2053" s="8"/>
      <c r="P2053" s="8"/>
      <c r="Q2053" s="8"/>
      <c r="R2053" s="8"/>
      <c r="S2053" s="8"/>
      <c r="T2053" s="8"/>
      <c r="U2053" s="8"/>
      <c r="V2053" s="8"/>
      <c r="W2053" s="8"/>
      <c r="X2053" s="8"/>
      <c r="Y2053" s="8"/>
    </row>
    <row r="2054">
      <c r="A2054" s="8"/>
      <c r="B2054" s="8"/>
      <c r="C2054" s="8"/>
      <c r="D2054" s="8"/>
      <c r="E2054" s="8"/>
      <c r="F2054" s="8"/>
      <c r="G2054" s="8"/>
      <c r="H2054" s="8"/>
      <c r="I2054" s="8"/>
      <c r="J2054" s="8"/>
      <c r="K2054" s="8"/>
      <c r="L2054" s="8"/>
      <c r="M2054" s="8"/>
      <c r="N2054" s="8"/>
      <c r="O2054" s="8"/>
      <c r="P2054" s="8"/>
      <c r="Q2054" s="8"/>
      <c r="R2054" s="8"/>
      <c r="S2054" s="8"/>
      <c r="T2054" s="8"/>
      <c r="U2054" s="8"/>
      <c r="V2054" s="8"/>
      <c r="W2054" s="8"/>
      <c r="X2054" s="8"/>
      <c r="Y2054" s="8"/>
    </row>
    <row r="2055">
      <c r="A2055" s="8"/>
      <c r="B2055" s="8"/>
      <c r="C2055" s="8"/>
      <c r="D2055" s="8"/>
      <c r="E2055" s="8"/>
      <c r="F2055" s="8"/>
      <c r="G2055" s="8"/>
      <c r="H2055" s="8"/>
      <c r="I2055" s="8"/>
      <c r="J2055" s="8"/>
      <c r="K2055" s="8"/>
      <c r="L2055" s="8"/>
      <c r="M2055" s="8"/>
      <c r="N2055" s="8"/>
      <c r="O2055" s="8"/>
      <c r="P2055" s="8"/>
      <c r="Q2055" s="8"/>
      <c r="R2055" s="8"/>
      <c r="S2055" s="8"/>
      <c r="T2055" s="8"/>
      <c r="U2055" s="8"/>
      <c r="V2055" s="8"/>
      <c r="W2055" s="8"/>
      <c r="X2055" s="8"/>
      <c r="Y2055" s="8"/>
    </row>
    <row r="2056">
      <c r="A2056" s="8"/>
      <c r="B2056" s="8"/>
      <c r="C2056" s="8"/>
      <c r="D2056" s="8"/>
      <c r="E2056" s="8"/>
      <c r="F2056" s="8"/>
      <c r="G2056" s="8"/>
      <c r="H2056" s="8"/>
      <c r="I2056" s="8"/>
      <c r="J2056" s="8"/>
      <c r="K2056" s="8"/>
      <c r="L2056" s="8"/>
      <c r="M2056" s="8"/>
      <c r="N2056" s="8"/>
      <c r="O2056" s="8"/>
      <c r="P2056" s="8"/>
      <c r="Q2056" s="8"/>
      <c r="R2056" s="8"/>
      <c r="S2056" s="8"/>
      <c r="T2056" s="8"/>
      <c r="U2056" s="8"/>
      <c r="V2056" s="8"/>
      <c r="W2056" s="8"/>
      <c r="X2056" s="8"/>
      <c r="Y2056" s="8"/>
    </row>
    <row r="2057">
      <c r="A2057" s="8"/>
      <c r="B2057" s="8"/>
      <c r="C2057" s="8"/>
      <c r="D2057" s="8"/>
      <c r="E2057" s="8"/>
      <c r="F2057" s="8"/>
      <c r="G2057" s="8"/>
      <c r="H2057" s="8"/>
      <c r="I2057" s="8"/>
      <c r="J2057" s="8"/>
      <c r="K2057" s="8"/>
      <c r="L2057" s="8"/>
      <c r="M2057" s="8"/>
      <c r="N2057" s="8"/>
      <c r="O2057" s="8"/>
      <c r="P2057" s="8"/>
      <c r="Q2057" s="8"/>
      <c r="R2057" s="8"/>
      <c r="S2057" s="8"/>
      <c r="T2057" s="8"/>
      <c r="U2057" s="8"/>
      <c r="V2057" s="8"/>
      <c r="W2057" s="8"/>
      <c r="X2057" s="8"/>
      <c r="Y2057" s="8"/>
    </row>
    <row r="2058">
      <c r="A2058" s="8"/>
      <c r="B2058" s="8"/>
      <c r="C2058" s="8"/>
      <c r="D2058" s="8"/>
      <c r="E2058" s="8"/>
      <c r="F2058" s="8"/>
      <c r="G2058" s="8"/>
      <c r="H2058" s="8"/>
      <c r="I2058" s="8"/>
      <c r="J2058" s="8"/>
      <c r="K2058" s="8"/>
      <c r="L2058" s="8"/>
      <c r="M2058" s="8"/>
      <c r="N2058" s="8"/>
      <c r="O2058" s="8"/>
      <c r="P2058" s="8"/>
      <c r="Q2058" s="8"/>
      <c r="R2058" s="8"/>
      <c r="S2058" s="8"/>
      <c r="T2058" s="8"/>
      <c r="U2058" s="8"/>
      <c r="V2058" s="8"/>
      <c r="W2058" s="8"/>
      <c r="X2058" s="8"/>
      <c r="Y2058" s="8"/>
    </row>
    <row r="2059">
      <c r="A2059" s="8"/>
      <c r="B2059" s="8"/>
      <c r="C2059" s="8"/>
      <c r="D2059" s="8"/>
      <c r="E2059" s="8"/>
      <c r="F2059" s="8"/>
      <c r="G2059" s="8"/>
      <c r="H2059" s="8"/>
      <c r="I2059" s="8"/>
      <c r="J2059" s="8"/>
      <c r="K2059" s="8"/>
      <c r="L2059" s="8"/>
      <c r="M2059" s="8"/>
      <c r="N2059" s="8"/>
      <c r="O2059" s="8"/>
      <c r="P2059" s="8"/>
      <c r="Q2059" s="8"/>
      <c r="R2059" s="8"/>
      <c r="S2059" s="8"/>
      <c r="T2059" s="8"/>
      <c r="U2059" s="8"/>
      <c r="V2059" s="8"/>
      <c r="W2059" s="8"/>
      <c r="X2059" s="8"/>
      <c r="Y2059" s="8"/>
    </row>
    <row r="2060">
      <c r="A2060" s="8"/>
      <c r="B2060" s="8"/>
      <c r="C2060" s="8"/>
      <c r="D2060" s="8"/>
      <c r="E2060" s="8"/>
      <c r="F2060" s="8"/>
      <c r="G2060" s="8"/>
      <c r="H2060" s="8"/>
      <c r="I2060" s="8"/>
      <c r="J2060" s="8"/>
      <c r="K2060" s="8"/>
      <c r="L2060" s="8"/>
      <c r="M2060" s="8"/>
      <c r="N2060" s="8"/>
      <c r="O2060" s="8"/>
      <c r="P2060" s="8"/>
      <c r="Q2060" s="8"/>
      <c r="R2060" s="8"/>
      <c r="S2060" s="8"/>
      <c r="T2060" s="8"/>
      <c r="U2060" s="8"/>
      <c r="V2060" s="8"/>
      <c r="W2060" s="8"/>
      <c r="X2060" s="8"/>
      <c r="Y2060" s="8"/>
    </row>
    <row r="2061">
      <c r="A2061" s="8"/>
      <c r="B2061" s="8"/>
      <c r="C2061" s="8"/>
      <c r="D2061" s="8"/>
      <c r="E2061" s="8"/>
      <c r="F2061" s="8"/>
      <c r="G2061" s="8"/>
      <c r="H2061" s="8"/>
      <c r="I2061" s="8"/>
      <c r="J2061" s="8"/>
      <c r="K2061" s="8"/>
      <c r="L2061" s="8"/>
      <c r="M2061" s="8"/>
      <c r="N2061" s="8"/>
      <c r="O2061" s="8"/>
      <c r="P2061" s="8"/>
      <c r="Q2061" s="8"/>
      <c r="R2061" s="8"/>
      <c r="S2061" s="8"/>
      <c r="T2061" s="8"/>
      <c r="U2061" s="8"/>
      <c r="V2061" s="8"/>
      <c r="W2061" s="8"/>
      <c r="X2061" s="8"/>
      <c r="Y2061" s="8"/>
    </row>
    <row r="2062">
      <c r="A2062" s="8"/>
      <c r="B2062" s="8"/>
      <c r="C2062" s="8"/>
      <c r="D2062" s="8"/>
      <c r="E2062" s="8"/>
      <c r="F2062" s="8"/>
      <c r="G2062" s="8"/>
      <c r="H2062" s="8"/>
      <c r="I2062" s="8"/>
      <c r="J2062" s="8"/>
      <c r="K2062" s="8"/>
      <c r="L2062" s="8"/>
      <c r="M2062" s="8"/>
      <c r="N2062" s="8"/>
      <c r="O2062" s="8"/>
      <c r="P2062" s="8"/>
      <c r="Q2062" s="8"/>
      <c r="R2062" s="8"/>
      <c r="S2062" s="8"/>
      <c r="T2062" s="8"/>
      <c r="U2062" s="8"/>
      <c r="V2062" s="8"/>
      <c r="W2062" s="8"/>
      <c r="X2062" s="8"/>
      <c r="Y2062" s="8"/>
    </row>
    <row r="2063">
      <c r="A2063" s="8"/>
      <c r="B2063" s="8"/>
      <c r="C2063" s="8"/>
      <c r="D2063" s="8"/>
      <c r="E2063" s="8"/>
      <c r="F2063" s="8"/>
      <c r="G2063" s="8"/>
      <c r="H2063" s="8"/>
      <c r="I2063" s="8"/>
      <c r="J2063" s="8"/>
      <c r="K2063" s="8"/>
      <c r="L2063" s="8"/>
      <c r="M2063" s="8"/>
      <c r="N2063" s="8"/>
      <c r="O2063" s="8"/>
      <c r="P2063" s="8"/>
      <c r="Q2063" s="8"/>
      <c r="R2063" s="8"/>
      <c r="S2063" s="8"/>
      <c r="T2063" s="8"/>
      <c r="U2063" s="8"/>
      <c r="V2063" s="8"/>
      <c r="W2063" s="8"/>
      <c r="X2063" s="8"/>
      <c r="Y2063" s="8"/>
    </row>
    <row r="2064">
      <c r="A2064" s="8"/>
      <c r="B2064" s="8"/>
      <c r="C2064" s="8"/>
      <c r="D2064" s="8"/>
      <c r="E2064" s="8"/>
      <c r="F2064" s="8"/>
      <c r="G2064" s="8"/>
      <c r="H2064" s="8"/>
      <c r="I2064" s="8"/>
      <c r="J2064" s="8"/>
      <c r="K2064" s="8"/>
      <c r="L2064" s="8"/>
      <c r="M2064" s="8"/>
      <c r="N2064" s="8"/>
      <c r="O2064" s="8"/>
      <c r="P2064" s="8"/>
      <c r="Q2064" s="8"/>
      <c r="R2064" s="8"/>
      <c r="S2064" s="8"/>
      <c r="T2064" s="8"/>
      <c r="U2064" s="8"/>
      <c r="V2064" s="8"/>
      <c r="W2064" s="8"/>
      <c r="X2064" s="8"/>
      <c r="Y2064" s="8"/>
    </row>
    <row r="2065">
      <c r="A2065" s="8"/>
      <c r="B2065" s="8"/>
      <c r="C2065" s="8"/>
      <c r="D2065" s="8"/>
      <c r="E2065" s="8"/>
      <c r="F2065" s="8"/>
      <c r="G2065" s="8"/>
      <c r="H2065" s="8"/>
      <c r="I2065" s="8"/>
      <c r="J2065" s="8"/>
      <c r="K2065" s="8"/>
      <c r="L2065" s="8"/>
      <c r="M2065" s="8"/>
      <c r="N2065" s="8"/>
      <c r="O2065" s="8"/>
      <c r="P2065" s="8"/>
      <c r="Q2065" s="8"/>
      <c r="R2065" s="8"/>
      <c r="S2065" s="8"/>
      <c r="T2065" s="8"/>
      <c r="U2065" s="8"/>
      <c r="V2065" s="8"/>
      <c r="W2065" s="8"/>
      <c r="X2065" s="8"/>
      <c r="Y2065" s="8"/>
    </row>
    <row r="2066">
      <c r="A2066" s="8"/>
      <c r="B2066" s="8"/>
      <c r="C2066" s="8"/>
      <c r="D2066" s="8"/>
      <c r="E2066" s="8"/>
      <c r="F2066" s="8"/>
      <c r="G2066" s="8"/>
      <c r="H2066" s="8"/>
      <c r="I2066" s="8"/>
      <c r="J2066" s="8"/>
      <c r="K2066" s="8"/>
      <c r="L2066" s="8"/>
      <c r="M2066" s="8"/>
      <c r="N2066" s="8"/>
      <c r="O2066" s="8"/>
      <c r="P2066" s="8"/>
      <c r="Q2066" s="8"/>
      <c r="R2066" s="8"/>
      <c r="S2066" s="8"/>
      <c r="T2066" s="8"/>
      <c r="U2066" s="8"/>
      <c r="V2066" s="8"/>
      <c r="W2066" s="8"/>
      <c r="X2066" s="8"/>
      <c r="Y2066" s="8"/>
    </row>
    <row r="2067">
      <c r="A2067" s="8"/>
      <c r="B2067" s="8"/>
      <c r="C2067" s="8"/>
      <c r="D2067" s="8"/>
      <c r="E2067" s="8"/>
      <c r="F2067" s="8"/>
      <c r="G2067" s="8"/>
      <c r="H2067" s="8"/>
      <c r="I2067" s="8"/>
      <c r="J2067" s="8"/>
      <c r="K2067" s="8"/>
      <c r="L2067" s="8"/>
      <c r="M2067" s="8"/>
      <c r="N2067" s="8"/>
      <c r="O2067" s="8"/>
      <c r="P2067" s="8"/>
      <c r="Q2067" s="8"/>
      <c r="R2067" s="8"/>
      <c r="S2067" s="8"/>
      <c r="T2067" s="8"/>
      <c r="U2067" s="8"/>
      <c r="V2067" s="8"/>
      <c r="W2067" s="8"/>
      <c r="X2067" s="8"/>
      <c r="Y2067" s="8"/>
    </row>
    <row r="2068">
      <c r="A2068" s="8"/>
      <c r="B2068" s="8"/>
      <c r="C2068" s="8"/>
      <c r="D2068" s="8"/>
      <c r="E2068" s="8"/>
      <c r="F2068" s="8"/>
      <c r="G2068" s="8"/>
      <c r="H2068" s="8"/>
      <c r="I2068" s="8"/>
      <c r="J2068" s="8"/>
      <c r="K2068" s="8"/>
      <c r="L2068" s="8"/>
      <c r="M2068" s="8"/>
      <c r="N2068" s="8"/>
      <c r="O2068" s="8"/>
      <c r="P2068" s="8"/>
      <c r="Q2068" s="8"/>
      <c r="R2068" s="8"/>
      <c r="S2068" s="8"/>
      <c r="T2068" s="8"/>
      <c r="U2068" s="8"/>
      <c r="V2068" s="8"/>
      <c r="W2068" s="8"/>
      <c r="X2068" s="8"/>
      <c r="Y2068" s="8"/>
    </row>
    <row r="2069">
      <c r="A2069" s="8"/>
      <c r="B2069" s="8"/>
      <c r="C2069" s="8"/>
      <c r="D2069" s="8"/>
      <c r="E2069" s="8"/>
      <c r="F2069" s="8"/>
      <c r="G2069" s="8"/>
      <c r="H2069" s="8"/>
      <c r="I2069" s="8"/>
      <c r="J2069" s="8"/>
      <c r="K2069" s="8"/>
      <c r="L2069" s="8"/>
      <c r="M2069" s="8"/>
      <c r="N2069" s="8"/>
      <c r="O2069" s="8"/>
      <c r="P2069" s="8"/>
      <c r="Q2069" s="8"/>
      <c r="R2069" s="8"/>
      <c r="S2069" s="8"/>
      <c r="T2069" s="8"/>
      <c r="U2069" s="8"/>
      <c r="V2069" s="8"/>
      <c r="W2069" s="8"/>
      <c r="X2069" s="8"/>
      <c r="Y2069" s="8"/>
    </row>
    <row r="2070">
      <c r="A2070" s="8"/>
      <c r="B2070" s="8"/>
      <c r="C2070" s="8"/>
      <c r="D2070" s="8"/>
      <c r="E2070" s="8"/>
      <c r="F2070" s="8"/>
      <c r="G2070" s="8"/>
      <c r="H2070" s="8"/>
      <c r="I2070" s="8"/>
      <c r="J2070" s="8"/>
      <c r="K2070" s="8"/>
      <c r="L2070" s="8"/>
      <c r="M2070" s="8"/>
      <c r="N2070" s="8"/>
      <c r="O2070" s="8"/>
      <c r="P2070" s="8"/>
      <c r="Q2070" s="8"/>
      <c r="R2070" s="8"/>
      <c r="S2070" s="8"/>
      <c r="T2070" s="8"/>
      <c r="U2070" s="8"/>
      <c r="V2070" s="8"/>
      <c r="W2070" s="8"/>
      <c r="X2070" s="8"/>
      <c r="Y2070" s="8"/>
    </row>
    <row r="2071">
      <c r="A2071" s="8"/>
      <c r="B2071" s="8"/>
      <c r="C2071" s="8"/>
      <c r="D2071" s="8"/>
      <c r="E2071" s="8"/>
      <c r="F2071" s="8"/>
      <c r="G2071" s="8"/>
      <c r="H2071" s="8"/>
      <c r="I2071" s="8"/>
      <c r="J2071" s="8"/>
      <c r="K2071" s="8"/>
      <c r="L2071" s="8"/>
      <c r="M2071" s="8"/>
      <c r="N2071" s="8"/>
      <c r="O2071" s="8"/>
      <c r="P2071" s="8"/>
      <c r="Q2071" s="8"/>
      <c r="R2071" s="8"/>
      <c r="S2071" s="8"/>
      <c r="T2071" s="8"/>
      <c r="U2071" s="8"/>
      <c r="V2071" s="8"/>
      <c r="W2071" s="8"/>
      <c r="X2071" s="8"/>
      <c r="Y2071" s="8"/>
    </row>
    <row r="2072">
      <c r="A2072" s="8"/>
      <c r="B2072" s="8"/>
      <c r="C2072" s="8"/>
      <c r="D2072" s="8"/>
      <c r="E2072" s="8"/>
      <c r="F2072" s="8"/>
      <c r="G2072" s="8"/>
      <c r="H2072" s="8"/>
      <c r="I2072" s="8"/>
      <c r="J2072" s="8"/>
      <c r="K2072" s="8"/>
      <c r="L2072" s="8"/>
      <c r="M2072" s="8"/>
      <c r="N2072" s="8"/>
      <c r="O2072" s="8"/>
      <c r="P2072" s="8"/>
      <c r="Q2072" s="8"/>
      <c r="R2072" s="8"/>
      <c r="S2072" s="8"/>
      <c r="T2072" s="8"/>
      <c r="U2072" s="8"/>
      <c r="V2072" s="8"/>
      <c r="W2072" s="8"/>
      <c r="X2072" s="8"/>
      <c r="Y2072" s="8"/>
    </row>
    <row r="2073">
      <c r="A2073" s="8"/>
      <c r="B2073" s="8"/>
      <c r="C2073" s="8"/>
      <c r="D2073" s="8"/>
      <c r="E2073" s="8"/>
      <c r="F2073" s="8"/>
      <c r="G2073" s="8"/>
      <c r="H2073" s="8"/>
      <c r="I2073" s="8"/>
      <c r="J2073" s="8"/>
      <c r="K2073" s="8"/>
      <c r="L2073" s="8"/>
      <c r="M2073" s="8"/>
      <c r="N2073" s="8"/>
      <c r="O2073" s="8"/>
      <c r="P2073" s="8"/>
      <c r="Q2073" s="8"/>
      <c r="R2073" s="8"/>
      <c r="S2073" s="8"/>
      <c r="T2073" s="8"/>
      <c r="U2073" s="8"/>
      <c r="V2073" s="8"/>
      <c r="W2073" s="8"/>
      <c r="X2073" s="8"/>
      <c r="Y2073" s="8"/>
    </row>
    <row r="2074">
      <c r="A2074" s="8"/>
      <c r="B2074" s="8"/>
      <c r="C2074" s="8"/>
      <c r="D2074" s="8"/>
      <c r="E2074" s="8"/>
      <c r="F2074" s="8"/>
      <c r="G2074" s="8"/>
      <c r="H2074" s="8"/>
      <c r="I2074" s="8"/>
      <c r="J2074" s="8"/>
      <c r="K2074" s="8"/>
      <c r="L2074" s="8"/>
      <c r="M2074" s="8"/>
      <c r="N2074" s="8"/>
      <c r="O2074" s="8"/>
      <c r="P2074" s="8"/>
      <c r="Q2074" s="8"/>
      <c r="R2074" s="8"/>
      <c r="S2074" s="8"/>
      <c r="T2074" s="8"/>
      <c r="U2074" s="8"/>
      <c r="V2074" s="8"/>
      <c r="W2074" s="8"/>
      <c r="X2074" s="8"/>
      <c r="Y2074" s="8"/>
    </row>
    <row r="2075">
      <c r="A2075" s="8"/>
      <c r="B2075" s="8"/>
      <c r="C2075" s="8"/>
      <c r="D2075" s="8"/>
      <c r="E2075" s="8"/>
      <c r="F2075" s="8"/>
      <c r="G2075" s="8"/>
      <c r="H2075" s="8"/>
      <c r="I2075" s="8"/>
      <c r="J2075" s="8"/>
      <c r="K2075" s="8"/>
      <c r="L2075" s="8"/>
      <c r="M2075" s="8"/>
      <c r="N2075" s="8"/>
      <c r="O2075" s="8"/>
      <c r="P2075" s="8"/>
      <c r="Q2075" s="8"/>
      <c r="R2075" s="8"/>
      <c r="S2075" s="8"/>
      <c r="T2075" s="8"/>
      <c r="U2075" s="8"/>
      <c r="V2075" s="8"/>
      <c r="W2075" s="8"/>
      <c r="X2075" s="8"/>
      <c r="Y2075" s="8"/>
    </row>
    <row r="2076">
      <c r="A2076" s="8"/>
      <c r="B2076" s="8"/>
      <c r="C2076" s="8"/>
      <c r="D2076" s="8"/>
      <c r="E2076" s="8"/>
      <c r="F2076" s="8"/>
      <c r="G2076" s="8"/>
      <c r="H2076" s="8"/>
      <c r="I2076" s="8"/>
      <c r="J2076" s="8"/>
      <c r="K2076" s="8"/>
      <c r="L2076" s="8"/>
      <c r="M2076" s="8"/>
      <c r="N2076" s="8"/>
      <c r="O2076" s="8"/>
      <c r="P2076" s="8"/>
      <c r="Q2076" s="8"/>
      <c r="R2076" s="8"/>
      <c r="S2076" s="8"/>
      <c r="T2076" s="8"/>
      <c r="U2076" s="8"/>
      <c r="V2076" s="8"/>
      <c r="W2076" s="8"/>
      <c r="X2076" s="8"/>
      <c r="Y2076" s="8"/>
    </row>
    <row r="2077">
      <c r="A2077" s="8"/>
      <c r="B2077" s="8"/>
      <c r="C2077" s="8"/>
      <c r="D2077" s="8"/>
      <c r="E2077" s="8"/>
      <c r="F2077" s="8"/>
      <c r="G2077" s="8"/>
      <c r="H2077" s="8"/>
      <c r="I2077" s="8"/>
      <c r="J2077" s="8"/>
      <c r="K2077" s="8"/>
      <c r="L2077" s="8"/>
      <c r="M2077" s="8"/>
      <c r="N2077" s="8"/>
      <c r="O2077" s="8"/>
      <c r="P2077" s="8"/>
      <c r="Q2077" s="8"/>
      <c r="R2077" s="8"/>
      <c r="S2077" s="8"/>
      <c r="T2077" s="8"/>
      <c r="U2077" s="8"/>
      <c r="V2077" s="8"/>
      <c r="W2077" s="8"/>
      <c r="X2077" s="8"/>
      <c r="Y2077" s="8"/>
    </row>
    <row r="2078">
      <c r="A2078" s="8"/>
      <c r="B2078" s="8"/>
      <c r="C2078" s="8"/>
      <c r="D2078" s="8"/>
      <c r="E2078" s="8"/>
      <c r="F2078" s="8"/>
      <c r="G2078" s="8"/>
      <c r="H2078" s="8"/>
      <c r="I2078" s="8"/>
      <c r="J2078" s="8"/>
      <c r="K2078" s="8"/>
      <c r="L2078" s="8"/>
      <c r="M2078" s="8"/>
      <c r="N2078" s="8"/>
      <c r="O2078" s="8"/>
      <c r="P2078" s="8"/>
      <c r="Q2078" s="8"/>
      <c r="R2078" s="8"/>
      <c r="S2078" s="8"/>
      <c r="T2078" s="8"/>
      <c r="U2078" s="8"/>
      <c r="V2078" s="8"/>
      <c r="W2078" s="8"/>
      <c r="X2078" s="8"/>
      <c r="Y2078" s="8"/>
    </row>
    <row r="2079">
      <c r="A2079" s="8"/>
      <c r="B2079" s="8"/>
      <c r="C2079" s="8"/>
      <c r="D2079" s="8"/>
      <c r="E2079" s="8"/>
      <c r="F2079" s="8"/>
      <c r="G2079" s="8"/>
      <c r="H2079" s="8"/>
      <c r="I2079" s="8"/>
      <c r="J2079" s="8"/>
      <c r="K2079" s="8"/>
      <c r="L2079" s="8"/>
      <c r="M2079" s="8"/>
      <c r="N2079" s="8"/>
      <c r="O2079" s="8"/>
      <c r="P2079" s="8"/>
      <c r="Q2079" s="8"/>
      <c r="R2079" s="8"/>
      <c r="S2079" s="8"/>
      <c r="T2079" s="8"/>
      <c r="U2079" s="8"/>
      <c r="V2079" s="8"/>
      <c r="W2079" s="8"/>
      <c r="X2079" s="8"/>
      <c r="Y2079" s="8"/>
    </row>
    <row r="2080">
      <c r="A2080" s="8"/>
      <c r="B2080" s="8"/>
      <c r="C2080" s="8"/>
      <c r="D2080" s="8"/>
      <c r="E2080" s="8"/>
      <c r="F2080" s="8"/>
      <c r="G2080" s="8"/>
      <c r="H2080" s="8"/>
      <c r="I2080" s="8"/>
      <c r="J2080" s="8"/>
      <c r="K2080" s="8"/>
      <c r="L2080" s="8"/>
      <c r="M2080" s="8"/>
      <c r="N2080" s="8"/>
      <c r="O2080" s="8"/>
      <c r="P2080" s="8"/>
      <c r="Q2080" s="8"/>
      <c r="R2080" s="8"/>
      <c r="S2080" s="8"/>
      <c r="T2080" s="8"/>
      <c r="U2080" s="8"/>
      <c r="V2080" s="8"/>
      <c r="W2080" s="8"/>
      <c r="X2080" s="8"/>
      <c r="Y2080" s="8"/>
    </row>
    <row r="2081">
      <c r="A2081" s="8"/>
      <c r="B2081" s="8"/>
      <c r="C2081" s="8"/>
      <c r="D2081" s="8"/>
      <c r="E2081" s="8"/>
      <c r="F2081" s="8"/>
      <c r="G2081" s="8"/>
      <c r="H2081" s="8"/>
      <c r="I2081" s="8"/>
      <c r="J2081" s="8"/>
      <c r="K2081" s="8"/>
      <c r="L2081" s="8"/>
      <c r="M2081" s="8"/>
      <c r="N2081" s="8"/>
      <c r="O2081" s="8"/>
      <c r="P2081" s="8"/>
      <c r="Q2081" s="8"/>
      <c r="R2081" s="8"/>
      <c r="S2081" s="8"/>
      <c r="T2081" s="8"/>
      <c r="U2081" s="8"/>
      <c r="V2081" s="8"/>
      <c r="W2081" s="8"/>
      <c r="X2081" s="8"/>
      <c r="Y2081" s="8"/>
    </row>
    <row r="2082">
      <c r="A2082" s="8"/>
      <c r="B2082" s="8"/>
      <c r="C2082" s="8"/>
      <c r="D2082" s="8"/>
      <c r="E2082" s="8"/>
      <c r="F2082" s="8"/>
      <c r="G2082" s="8"/>
      <c r="H2082" s="8"/>
      <c r="I2082" s="8"/>
      <c r="J2082" s="8"/>
      <c r="K2082" s="8"/>
      <c r="L2082" s="8"/>
      <c r="M2082" s="8"/>
      <c r="N2082" s="8"/>
      <c r="O2082" s="8"/>
      <c r="P2082" s="8"/>
      <c r="Q2082" s="8"/>
      <c r="R2082" s="8"/>
      <c r="S2082" s="8"/>
      <c r="T2082" s="8"/>
      <c r="U2082" s="8"/>
      <c r="V2082" s="8"/>
      <c r="W2082" s="8"/>
      <c r="X2082" s="8"/>
      <c r="Y2082" s="8"/>
    </row>
    <row r="2083">
      <c r="A2083" s="8"/>
      <c r="B2083" s="8"/>
      <c r="C2083" s="8"/>
      <c r="D2083" s="8"/>
      <c r="E2083" s="8"/>
      <c r="F2083" s="8"/>
      <c r="G2083" s="8"/>
      <c r="H2083" s="8"/>
      <c r="I2083" s="8"/>
      <c r="J2083" s="8"/>
      <c r="K2083" s="8"/>
      <c r="L2083" s="8"/>
      <c r="M2083" s="8"/>
      <c r="N2083" s="8"/>
      <c r="O2083" s="8"/>
      <c r="P2083" s="8"/>
      <c r="Q2083" s="8"/>
      <c r="R2083" s="8"/>
      <c r="S2083" s="8"/>
      <c r="T2083" s="8"/>
      <c r="U2083" s="8"/>
      <c r="V2083" s="8"/>
      <c r="W2083" s="8"/>
      <c r="X2083" s="8"/>
      <c r="Y2083" s="8"/>
    </row>
    <row r="2084">
      <c r="A2084" s="8"/>
      <c r="B2084" s="8"/>
      <c r="C2084" s="8"/>
      <c r="D2084" s="8"/>
      <c r="E2084" s="8"/>
      <c r="F2084" s="8"/>
      <c r="G2084" s="8"/>
      <c r="H2084" s="8"/>
      <c r="I2084" s="8"/>
      <c r="J2084" s="8"/>
      <c r="K2084" s="8"/>
      <c r="L2084" s="8"/>
      <c r="M2084" s="8"/>
      <c r="N2084" s="8"/>
      <c r="O2084" s="8"/>
      <c r="P2084" s="8"/>
      <c r="Q2084" s="8"/>
      <c r="R2084" s="8"/>
      <c r="S2084" s="8"/>
      <c r="T2084" s="8"/>
      <c r="U2084" s="8"/>
      <c r="V2084" s="8"/>
      <c r="W2084" s="8"/>
      <c r="X2084" s="8"/>
      <c r="Y2084" s="8"/>
    </row>
    <row r="2085">
      <c r="A2085" s="8"/>
      <c r="B2085" s="8"/>
      <c r="C2085" s="8"/>
      <c r="D2085" s="8"/>
      <c r="E2085" s="8"/>
      <c r="F2085" s="8"/>
      <c r="G2085" s="8"/>
      <c r="H2085" s="8"/>
      <c r="I2085" s="8"/>
      <c r="J2085" s="8"/>
      <c r="K2085" s="8"/>
      <c r="L2085" s="8"/>
      <c r="M2085" s="8"/>
      <c r="N2085" s="8"/>
      <c r="O2085" s="8"/>
      <c r="P2085" s="8"/>
      <c r="Q2085" s="8"/>
      <c r="R2085" s="8"/>
      <c r="S2085" s="8"/>
      <c r="T2085" s="8"/>
      <c r="U2085" s="8"/>
      <c r="V2085" s="8"/>
      <c r="W2085" s="8"/>
      <c r="X2085" s="8"/>
      <c r="Y2085" s="8"/>
    </row>
    <row r="2086">
      <c r="A2086" s="8"/>
      <c r="B2086" s="8"/>
      <c r="C2086" s="8"/>
      <c r="D2086" s="8"/>
      <c r="E2086" s="8"/>
      <c r="F2086" s="8"/>
      <c r="G2086" s="8"/>
      <c r="H2086" s="8"/>
      <c r="I2086" s="8"/>
      <c r="J2086" s="8"/>
      <c r="K2086" s="8"/>
      <c r="L2086" s="8"/>
      <c r="M2086" s="8"/>
      <c r="N2086" s="8"/>
      <c r="O2086" s="8"/>
      <c r="P2086" s="8"/>
      <c r="Q2086" s="8"/>
      <c r="R2086" s="8"/>
      <c r="S2086" s="8"/>
      <c r="T2086" s="8"/>
      <c r="U2086" s="8"/>
      <c r="V2086" s="8"/>
      <c r="W2086" s="8"/>
      <c r="X2086" s="8"/>
      <c r="Y2086" s="8"/>
    </row>
    <row r="2087">
      <c r="A2087" s="8"/>
      <c r="B2087" s="8"/>
      <c r="C2087" s="8"/>
      <c r="D2087" s="8"/>
      <c r="E2087" s="8"/>
      <c r="F2087" s="8"/>
      <c r="G2087" s="8"/>
      <c r="H2087" s="8"/>
      <c r="I2087" s="8"/>
      <c r="J2087" s="8"/>
      <c r="K2087" s="8"/>
      <c r="L2087" s="8"/>
      <c r="M2087" s="8"/>
      <c r="N2087" s="8"/>
      <c r="O2087" s="8"/>
      <c r="P2087" s="8"/>
      <c r="Q2087" s="8"/>
      <c r="R2087" s="8"/>
      <c r="S2087" s="8"/>
      <c r="T2087" s="8"/>
      <c r="U2087" s="8"/>
      <c r="V2087" s="8"/>
      <c r="W2087" s="8"/>
      <c r="X2087" s="8"/>
      <c r="Y2087" s="8"/>
    </row>
    <row r="2088">
      <c r="A2088" s="8"/>
      <c r="B2088" s="8"/>
      <c r="C2088" s="8"/>
      <c r="D2088" s="8"/>
      <c r="E2088" s="8"/>
      <c r="F2088" s="8"/>
      <c r="G2088" s="8"/>
      <c r="H2088" s="8"/>
      <c r="I2088" s="8"/>
      <c r="J2088" s="8"/>
      <c r="K2088" s="8"/>
      <c r="L2088" s="8"/>
      <c r="M2088" s="8"/>
      <c r="N2088" s="8"/>
      <c r="O2088" s="8"/>
      <c r="P2088" s="8"/>
      <c r="Q2088" s="8"/>
      <c r="R2088" s="8"/>
      <c r="S2088" s="8"/>
      <c r="T2088" s="8"/>
      <c r="U2088" s="8"/>
      <c r="V2088" s="8"/>
      <c r="W2088" s="8"/>
      <c r="X2088" s="8"/>
      <c r="Y2088" s="8"/>
    </row>
    <row r="2089">
      <c r="A2089" s="8"/>
      <c r="B2089" s="8"/>
      <c r="C2089" s="8"/>
      <c r="D2089" s="8"/>
      <c r="E2089" s="8"/>
      <c r="F2089" s="8"/>
      <c r="G2089" s="8"/>
      <c r="H2089" s="8"/>
      <c r="I2089" s="8"/>
      <c r="J2089" s="8"/>
      <c r="K2089" s="8"/>
      <c r="L2089" s="8"/>
      <c r="M2089" s="8"/>
      <c r="N2089" s="8"/>
      <c r="O2089" s="8"/>
      <c r="P2089" s="8"/>
      <c r="Q2089" s="8"/>
      <c r="R2089" s="8"/>
      <c r="S2089" s="8"/>
      <c r="T2089" s="8"/>
      <c r="U2089" s="8"/>
      <c r="V2089" s="8"/>
      <c r="W2089" s="8"/>
      <c r="X2089" s="8"/>
      <c r="Y2089" s="8"/>
    </row>
    <row r="2090">
      <c r="A2090" s="8"/>
      <c r="B2090" s="8"/>
      <c r="C2090" s="8"/>
      <c r="D2090" s="8"/>
      <c r="E2090" s="8"/>
      <c r="F2090" s="8"/>
      <c r="G2090" s="8"/>
      <c r="H2090" s="8"/>
      <c r="I2090" s="8"/>
      <c r="J2090" s="8"/>
      <c r="K2090" s="8"/>
      <c r="L2090" s="8"/>
      <c r="M2090" s="8"/>
      <c r="N2090" s="8"/>
      <c r="O2090" s="8"/>
      <c r="P2090" s="8"/>
      <c r="Q2090" s="8"/>
      <c r="R2090" s="8"/>
      <c r="S2090" s="8"/>
      <c r="T2090" s="8"/>
      <c r="U2090" s="8"/>
      <c r="V2090" s="8"/>
      <c r="W2090" s="8"/>
      <c r="X2090" s="8"/>
      <c r="Y2090" s="8"/>
    </row>
    <row r="2091">
      <c r="A2091" s="8"/>
      <c r="B2091" s="8"/>
      <c r="C2091" s="8"/>
      <c r="D2091" s="8"/>
      <c r="E2091" s="8"/>
      <c r="F2091" s="8"/>
      <c r="G2091" s="8"/>
      <c r="H2091" s="8"/>
      <c r="I2091" s="8"/>
      <c r="J2091" s="8"/>
      <c r="K2091" s="8"/>
      <c r="L2091" s="8"/>
      <c r="M2091" s="8"/>
      <c r="N2091" s="8"/>
      <c r="O2091" s="8"/>
      <c r="P2091" s="8"/>
      <c r="Q2091" s="8"/>
      <c r="R2091" s="8"/>
      <c r="S2091" s="8"/>
      <c r="T2091" s="8"/>
      <c r="U2091" s="8"/>
      <c r="V2091" s="8"/>
      <c r="W2091" s="8"/>
      <c r="X2091" s="8"/>
      <c r="Y2091" s="8"/>
    </row>
    <row r="2092">
      <c r="A2092" s="8"/>
      <c r="B2092" s="8"/>
      <c r="C2092" s="8"/>
      <c r="D2092" s="8"/>
      <c r="E2092" s="8"/>
      <c r="F2092" s="8"/>
      <c r="G2092" s="8"/>
      <c r="H2092" s="8"/>
      <c r="I2092" s="8"/>
      <c r="J2092" s="8"/>
      <c r="K2092" s="8"/>
      <c r="L2092" s="8"/>
      <c r="M2092" s="8"/>
      <c r="N2092" s="8"/>
      <c r="O2092" s="8"/>
      <c r="P2092" s="8"/>
      <c r="Q2092" s="8"/>
      <c r="R2092" s="8"/>
      <c r="S2092" s="8"/>
      <c r="T2092" s="8"/>
      <c r="U2092" s="8"/>
      <c r="V2092" s="8"/>
      <c r="W2092" s="8"/>
      <c r="X2092" s="8"/>
      <c r="Y2092" s="8"/>
    </row>
    <row r="2093">
      <c r="A2093" s="8"/>
      <c r="B2093" s="8"/>
      <c r="C2093" s="8"/>
      <c r="D2093" s="8"/>
      <c r="E2093" s="8"/>
      <c r="F2093" s="8"/>
      <c r="G2093" s="8"/>
      <c r="H2093" s="8"/>
      <c r="I2093" s="8"/>
      <c r="J2093" s="8"/>
      <c r="K2093" s="8"/>
      <c r="L2093" s="8"/>
      <c r="M2093" s="8"/>
      <c r="N2093" s="8"/>
      <c r="O2093" s="8"/>
      <c r="P2093" s="8"/>
      <c r="Q2093" s="8"/>
      <c r="R2093" s="8"/>
      <c r="S2093" s="8"/>
      <c r="T2093" s="8"/>
      <c r="U2093" s="8"/>
      <c r="V2093" s="8"/>
      <c r="W2093" s="8"/>
      <c r="X2093" s="8"/>
      <c r="Y2093" s="8"/>
    </row>
    <row r="2094">
      <c r="A2094" s="8"/>
      <c r="B2094" s="8"/>
      <c r="C2094" s="8"/>
      <c r="D2094" s="8"/>
      <c r="E2094" s="8"/>
      <c r="F2094" s="8"/>
      <c r="G2094" s="8"/>
      <c r="H2094" s="8"/>
      <c r="I2094" s="8"/>
      <c r="J2094" s="8"/>
      <c r="K2094" s="8"/>
      <c r="L2094" s="8"/>
      <c r="M2094" s="8"/>
      <c r="N2094" s="8"/>
      <c r="O2094" s="8"/>
      <c r="P2094" s="8"/>
      <c r="Q2094" s="8"/>
      <c r="R2094" s="8"/>
      <c r="S2094" s="8"/>
      <c r="T2094" s="8"/>
      <c r="U2094" s="8"/>
      <c r="V2094" s="8"/>
      <c r="W2094" s="8"/>
      <c r="X2094" s="8"/>
      <c r="Y2094" s="8"/>
    </row>
    <row r="2095">
      <c r="A2095" s="8"/>
      <c r="B2095" s="8"/>
      <c r="C2095" s="8"/>
      <c r="D2095" s="8"/>
      <c r="E2095" s="8"/>
      <c r="F2095" s="8"/>
      <c r="G2095" s="8"/>
      <c r="H2095" s="8"/>
      <c r="I2095" s="8"/>
      <c r="J2095" s="8"/>
      <c r="K2095" s="8"/>
      <c r="L2095" s="8"/>
      <c r="M2095" s="8"/>
      <c r="N2095" s="8"/>
      <c r="O2095" s="8"/>
      <c r="P2095" s="8"/>
      <c r="Q2095" s="8"/>
      <c r="R2095" s="8"/>
      <c r="S2095" s="8"/>
      <c r="T2095" s="8"/>
      <c r="U2095" s="8"/>
      <c r="V2095" s="8"/>
      <c r="W2095" s="8"/>
      <c r="X2095" s="8"/>
      <c r="Y2095" s="8"/>
    </row>
    <row r="2096">
      <c r="A2096" s="8"/>
      <c r="B2096" s="8"/>
      <c r="C2096" s="8"/>
      <c r="D2096" s="8"/>
      <c r="E2096" s="8"/>
      <c r="F2096" s="8"/>
      <c r="G2096" s="8"/>
      <c r="H2096" s="8"/>
      <c r="I2096" s="8"/>
      <c r="J2096" s="8"/>
      <c r="K2096" s="8"/>
      <c r="L2096" s="8"/>
      <c r="M2096" s="8"/>
      <c r="N2096" s="8"/>
      <c r="O2096" s="8"/>
      <c r="P2096" s="8"/>
      <c r="Q2096" s="8"/>
      <c r="R2096" s="8"/>
      <c r="S2096" s="8"/>
      <c r="T2096" s="8"/>
      <c r="U2096" s="8"/>
      <c r="V2096" s="8"/>
      <c r="W2096" s="8"/>
      <c r="X2096" s="8"/>
      <c r="Y2096" s="8"/>
    </row>
    <row r="2097">
      <c r="A2097" s="8"/>
      <c r="B2097" s="8"/>
      <c r="C2097" s="8"/>
      <c r="D2097" s="8"/>
      <c r="E2097" s="8"/>
      <c r="F2097" s="8"/>
      <c r="G2097" s="8"/>
      <c r="H2097" s="8"/>
      <c r="I2097" s="8"/>
      <c r="J2097" s="8"/>
      <c r="K2097" s="8"/>
      <c r="L2097" s="8"/>
      <c r="M2097" s="8"/>
      <c r="N2097" s="8"/>
      <c r="O2097" s="8"/>
      <c r="P2097" s="8"/>
      <c r="Q2097" s="8"/>
      <c r="R2097" s="8"/>
      <c r="S2097" s="8"/>
      <c r="T2097" s="8"/>
      <c r="U2097" s="8"/>
      <c r="V2097" s="8"/>
      <c r="W2097" s="8"/>
      <c r="X2097" s="8"/>
      <c r="Y2097" s="8"/>
    </row>
    <row r="2098">
      <c r="A2098" s="8"/>
      <c r="B2098" s="8"/>
      <c r="C2098" s="8"/>
      <c r="D2098" s="8"/>
      <c r="E2098" s="8"/>
      <c r="F2098" s="8"/>
      <c r="G2098" s="8"/>
      <c r="H2098" s="8"/>
      <c r="I2098" s="8"/>
      <c r="J2098" s="8"/>
      <c r="K2098" s="8"/>
      <c r="L2098" s="8"/>
      <c r="M2098" s="8"/>
      <c r="N2098" s="8"/>
      <c r="O2098" s="8"/>
      <c r="P2098" s="8"/>
      <c r="Q2098" s="8"/>
      <c r="R2098" s="8"/>
      <c r="S2098" s="8"/>
      <c r="T2098" s="8"/>
      <c r="U2098" s="8"/>
      <c r="V2098" s="8"/>
      <c r="W2098" s="8"/>
      <c r="X2098" s="8"/>
      <c r="Y2098" s="8"/>
    </row>
    <row r="2099">
      <c r="A2099" s="8"/>
      <c r="B2099" s="8"/>
      <c r="C2099" s="8"/>
      <c r="D2099" s="8"/>
      <c r="E2099" s="8"/>
      <c r="F2099" s="8"/>
      <c r="G2099" s="8"/>
      <c r="H2099" s="8"/>
      <c r="I2099" s="8"/>
      <c r="J2099" s="8"/>
      <c r="K2099" s="8"/>
      <c r="L2099" s="8"/>
      <c r="M2099" s="8"/>
      <c r="N2099" s="8"/>
      <c r="O2099" s="8"/>
      <c r="P2099" s="8"/>
      <c r="Q2099" s="8"/>
      <c r="R2099" s="8"/>
      <c r="S2099" s="8"/>
      <c r="T2099" s="8"/>
      <c r="U2099" s="8"/>
      <c r="V2099" s="8"/>
      <c r="W2099" s="8"/>
      <c r="X2099" s="8"/>
      <c r="Y2099" s="8"/>
    </row>
    <row r="2100">
      <c r="A2100" s="8"/>
      <c r="B2100" s="8"/>
      <c r="C2100" s="8"/>
      <c r="D2100" s="8"/>
      <c r="E2100" s="8"/>
      <c r="F2100" s="8"/>
      <c r="G2100" s="8"/>
      <c r="H2100" s="8"/>
      <c r="I2100" s="8"/>
      <c r="J2100" s="8"/>
      <c r="K2100" s="8"/>
      <c r="L2100" s="8"/>
      <c r="M2100" s="8"/>
      <c r="N2100" s="8"/>
      <c r="O2100" s="8"/>
      <c r="P2100" s="8"/>
      <c r="Q2100" s="8"/>
      <c r="R2100" s="8"/>
      <c r="S2100" s="8"/>
      <c r="T2100" s="8"/>
      <c r="U2100" s="8"/>
      <c r="V2100" s="8"/>
      <c r="W2100" s="8"/>
      <c r="X2100" s="8"/>
      <c r="Y2100" s="8"/>
    </row>
    <row r="2101">
      <c r="A2101" s="8"/>
      <c r="B2101" s="8"/>
      <c r="C2101" s="8"/>
      <c r="D2101" s="8"/>
      <c r="E2101" s="8"/>
      <c r="F2101" s="8"/>
      <c r="G2101" s="8"/>
      <c r="H2101" s="8"/>
      <c r="I2101" s="8"/>
      <c r="J2101" s="8"/>
      <c r="K2101" s="8"/>
      <c r="L2101" s="8"/>
      <c r="M2101" s="8"/>
      <c r="N2101" s="8"/>
      <c r="O2101" s="8"/>
      <c r="P2101" s="8"/>
      <c r="Q2101" s="8"/>
      <c r="R2101" s="8"/>
      <c r="S2101" s="8"/>
      <c r="T2101" s="8"/>
      <c r="U2101" s="8"/>
      <c r="V2101" s="8"/>
      <c r="W2101" s="8"/>
      <c r="X2101" s="8"/>
      <c r="Y2101" s="8"/>
    </row>
    <row r="2102">
      <c r="A2102" s="8"/>
      <c r="B2102" s="8"/>
      <c r="C2102" s="8"/>
      <c r="D2102" s="8"/>
      <c r="E2102" s="8"/>
      <c r="F2102" s="8"/>
      <c r="G2102" s="8"/>
      <c r="H2102" s="8"/>
      <c r="I2102" s="8"/>
      <c r="J2102" s="8"/>
      <c r="K2102" s="8"/>
      <c r="L2102" s="8"/>
      <c r="M2102" s="8"/>
      <c r="N2102" s="8"/>
      <c r="O2102" s="8"/>
      <c r="P2102" s="8"/>
      <c r="Q2102" s="8"/>
      <c r="R2102" s="8"/>
      <c r="S2102" s="8"/>
      <c r="T2102" s="8"/>
      <c r="U2102" s="8"/>
      <c r="V2102" s="8"/>
      <c r="W2102" s="8"/>
      <c r="X2102" s="8"/>
      <c r="Y2102" s="8"/>
    </row>
    <row r="2103">
      <c r="A2103" s="8"/>
      <c r="B2103" s="8"/>
      <c r="C2103" s="8"/>
      <c r="D2103" s="8"/>
      <c r="E2103" s="8"/>
      <c r="F2103" s="8"/>
      <c r="G2103" s="8"/>
      <c r="H2103" s="8"/>
      <c r="I2103" s="8"/>
      <c r="J2103" s="8"/>
      <c r="K2103" s="8"/>
      <c r="L2103" s="8"/>
      <c r="M2103" s="8"/>
      <c r="N2103" s="8"/>
      <c r="O2103" s="8"/>
      <c r="P2103" s="8"/>
      <c r="Q2103" s="8"/>
      <c r="R2103" s="8"/>
      <c r="S2103" s="8"/>
      <c r="T2103" s="8"/>
      <c r="U2103" s="8"/>
      <c r="V2103" s="8"/>
      <c r="W2103" s="8"/>
      <c r="X2103" s="8"/>
      <c r="Y2103" s="8"/>
    </row>
    <row r="2104">
      <c r="A2104" s="8"/>
      <c r="B2104" s="8"/>
      <c r="C2104" s="8"/>
      <c r="D2104" s="8"/>
      <c r="E2104" s="8"/>
      <c r="F2104" s="8"/>
      <c r="G2104" s="8"/>
      <c r="H2104" s="8"/>
      <c r="I2104" s="8"/>
      <c r="J2104" s="8"/>
      <c r="K2104" s="8"/>
      <c r="L2104" s="8"/>
      <c r="M2104" s="8"/>
      <c r="N2104" s="8"/>
      <c r="O2104" s="8"/>
      <c r="P2104" s="8"/>
      <c r="Q2104" s="8"/>
      <c r="R2104" s="8"/>
      <c r="S2104" s="8"/>
      <c r="T2104" s="8"/>
      <c r="U2104" s="8"/>
      <c r="V2104" s="8"/>
      <c r="W2104" s="8"/>
      <c r="X2104" s="8"/>
      <c r="Y2104" s="8"/>
    </row>
    <row r="2105">
      <c r="A2105" s="8"/>
      <c r="B2105" s="8"/>
      <c r="C2105" s="8"/>
      <c r="D2105" s="8"/>
      <c r="E2105" s="8"/>
      <c r="F2105" s="8"/>
      <c r="G2105" s="8"/>
      <c r="H2105" s="8"/>
      <c r="I2105" s="8"/>
      <c r="J2105" s="8"/>
      <c r="K2105" s="8"/>
      <c r="L2105" s="8"/>
      <c r="M2105" s="8"/>
      <c r="N2105" s="8"/>
      <c r="O2105" s="8"/>
      <c r="P2105" s="8"/>
      <c r="Q2105" s="8"/>
      <c r="R2105" s="8"/>
      <c r="S2105" s="8"/>
      <c r="T2105" s="8"/>
      <c r="U2105" s="8"/>
      <c r="V2105" s="8"/>
      <c r="W2105" s="8"/>
      <c r="X2105" s="8"/>
      <c r="Y2105" s="8"/>
    </row>
    <row r="2106">
      <c r="A2106" s="8"/>
      <c r="B2106" s="8"/>
      <c r="C2106" s="8"/>
      <c r="D2106" s="8"/>
      <c r="E2106" s="8"/>
      <c r="F2106" s="8"/>
      <c r="G2106" s="8"/>
      <c r="H2106" s="8"/>
      <c r="I2106" s="8"/>
      <c r="J2106" s="8"/>
      <c r="K2106" s="8"/>
      <c r="L2106" s="8"/>
      <c r="M2106" s="8"/>
      <c r="N2106" s="8"/>
      <c r="O2106" s="8"/>
      <c r="P2106" s="8"/>
      <c r="Q2106" s="8"/>
      <c r="R2106" s="8"/>
      <c r="S2106" s="8"/>
      <c r="T2106" s="8"/>
      <c r="U2106" s="8"/>
      <c r="V2106" s="8"/>
      <c r="W2106" s="8"/>
      <c r="X2106" s="8"/>
      <c r="Y2106" s="8"/>
    </row>
    <row r="2107">
      <c r="A2107" s="8"/>
      <c r="B2107" s="8"/>
      <c r="C2107" s="8"/>
      <c r="D2107" s="8"/>
      <c r="E2107" s="8"/>
      <c r="F2107" s="8"/>
      <c r="G2107" s="8"/>
      <c r="H2107" s="8"/>
      <c r="I2107" s="8"/>
      <c r="J2107" s="8"/>
      <c r="K2107" s="8"/>
      <c r="L2107" s="8"/>
      <c r="M2107" s="8"/>
      <c r="N2107" s="8"/>
      <c r="O2107" s="8"/>
      <c r="P2107" s="8"/>
      <c r="Q2107" s="8"/>
      <c r="R2107" s="8"/>
      <c r="S2107" s="8"/>
      <c r="T2107" s="8"/>
      <c r="U2107" s="8"/>
      <c r="V2107" s="8"/>
      <c r="W2107" s="8"/>
      <c r="X2107" s="8"/>
      <c r="Y2107" s="8"/>
    </row>
    <row r="2108">
      <c r="A2108" s="8"/>
      <c r="B2108" s="8"/>
      <c r="C2108" s="8"/>
      <c r="D2108" s="8"/>
      <c r="E2108" s="8"/>
      <c r="F2108" s="8"/>
      <c r="G2108" s="8"/>
      <c r="H2108" s="8"/>
      <c r="I2108" s="8"/>
      <c r="J2108" s="8"/>
      <c r="K2108" s="8"/>
      <c r="L2108" s="8"/>
      <c r="M2108" s="8"/>
      <c r="N2108" s="8"/>
      <c r="O2108" s="8"/>
      <c r="P2108" s="8"/>
      <c r="Q2108" s="8"/>
      <c r="R2108" s="8"/>
      <c r="S2108" s="8"/>
      <c r="T2108" s="8"/>
      <c r="U2108" s="8"/>
      <c r="V2108" s="8"/>
      <c r="W2108" s="8"/>
      <c r="X2108" s="8"/>
      <c r="Y2108" s="8"/>
    </row>
    <row r="2109">
      <c r="A2109" s="8"/>
      <c r="B2109" s="8"/>
      <c r="C2109" s="8"/>
      <c r="D2109" s="8"/>
      <c r="E2109" s="8"/>
      <c r="F2109" s="8"/>
      <c r="G2109" s="8"/>
      <c r="H2109" s="8"/>
      <c r="I2109" s="8"/>
      <c r="J2109" s="8"/>
      <c r="K2109" s="8"/>
      <c r="L2109" s="8"/>
      <c r="M2109" s="8"/>
      <c r="N2109" s="8"/>
      <c r="O2109" s="8"/>
      <c r="P2109" s="8"/>
      <c r="Q2109" s="8"/>
      <c r="R2109" s="8"/>
      <c r="S2109" s="8"/>
      <c r="T2109" s="8"/>
      <c r="U2109" s="8"/>
      <c r="V2109" s="8"/>
      <c r="W2109" s="8"/>
      <c r="X2109" s="8"/>
      <c r="Y2109" s="8"/>
    </row>
    <row r="2110">
      <c r="A2110" s="8"/>
      <c r="B2110" s="8"/>
      <c r="C2110" s="8"/>
      <c r="D2110" s="8"/>
      <c r="E2110" s="8"/>
      <c r="F2110" s="8"/>
      <c r="G2110" s="8"/>
      <c r="H2110" s="8"/>
      <c r="I2110" s="8"/>
      <c r="J2110" s="8"/>
      <c r="K2110" s="8"/>
      <c r="L2110" s="8"/>
      <c r="M2110" s="8"/>
      <c r="N2110" s="8"/>
      <c r="O2110" s="8"/>
      <c r="P2110" s="8"/>
      <c r="Q2110" s="8"/>
      <c r="R2110" s="8"/>
      <c r="S2110" s="8"/>
      <c r="T2110" s="8"/>
      <c r="U2110" s="8"/>
      <c r="V2110" s="8"/>
      <c r="W2110" s="8"/>
      <c r="X2110" s="8"/>
      <c r="Y2110" s="8"/>
    </row>
    <row r="2111">
      <c r="A2111" s="8"/>
      <c r="B2111" s="8"/>
      <c r="C2111" s="8"/>
      <c r="D2111" s="8"/>
      <c r="E2111" s="8"/>
      <c r="F2111" s="8"/>
      <c r="G2111" s="8"/>
      <c r="H2111" s="8"/>
      <c r="I2111" s="8"/>
      <c r="J2111" s="8"/>
      <c r="K2111" s="8"/>
      <c r="L2111" s="8"/>
      <c r="M2111" s="8"/>
      <c r="N2111" s="8"/>
      <c r="O2111" s="8"/>
      <c r="P2111" s="8"/>
      <c r="Q2111" s="8"/>
      <c r="R2111" s="8"/>
      <c r="S2111" s="8"/>
      <c r="T2111" s="8"/>
      <c r="U2111" s="8"/>
      <c r="V2111" s="8"/>
      <c r="W2111" s="8"/>
      <c r="X2111" s="8"/>
      <c r="Y2111" s="8"/>
    </row>
    <row r="2112">
      <c r="A2112" s="8"/>
      <c r="B2112" s="8"/>
      <c r="C2112" s="8"/>
      <c r="D2112" s="8"/>
      <c r="E2112" s="8"/>
      <c r="F2112" s="8"/>
      <c r="G2112" s="8"/>
      <c r="H2112" s="8"/>
      <c r="I2112" s="8"/>
      <c r="J2112" s="8"/>
      <c r="K2112" s="8"/>
      <c r="L2112" s="8"/>
      <c r="M2112" s="8"/>
      <c r="N2112" s="8"/>
      <c r="O2112" s="8"/>
      <c r="P2112" s="8"/>
      <c r="Q2112" s="8"/>
      <c r="R2112" s="8"/>
      <c r="S2112" s="8"/>
      <c r="T2112" s="8"/>
      <c r="U2112" s="8"/>
      <c r="V2112" s="8"/>
      <c r="W2112" s="8"/>
      <c r="X2112" s="8"/>
      <c r="Y2112" s="8"/>
    </row>
    <row r="2113">
      <c r="A2113" s="8"/>
      <c r="B2113" s="8"/>
      <c r="C2113" s="8"/>
      <c r="D2113" s="8"/>
      <c r="E2113" s="8"/>
      <c r="F2113" s="8"/>
      <c r="G2113" s="8"/>
      <c r="H2113" s="8"/>
      <c r="I2113" s="8"/>
      <c r="J2113" s="8"/>
      <c r="K2113" s="8"/>
      <c r="L2113" s="8"/>
      <c r="M2113" s="8"/>
      <c r="N2113" s="8"/>
      <c r="O2113" s="8"/>
      <c r="P2113" s="8"/>
      <c r="Q2113" s="8"/>
      <c r="R2113" s="8"/>
      <c r="S2113" s="8"/>
      <c r="T2113" s="8"/>
      <c r="U2113" s="8"/>
      <c r="V2113" s="8"/>
      <c r="W2113" s="8"/>
      <c r="X2113" s="8"/>
      <c r="Y2113" s="8"/>
    </row>
    <row r="2114">
      <c r="A2114" s="8"/>
      <c r="B2114" s="8"/>
      <c r="C2114" s="8"/>
      <c r="D2114" s="8"/>
      <c r="E2114" s="8"/>
      <c r="F2114" s="8"/>
      <c r="G2114" s="8"/>
      <c r="H2114" s="8"/>
      <c r="I2114" s="8"/>
      <c r="J2114" s="8"/>
      <c r="K2114" s="8"/>
      <c r="L2114" s="8"/>
      <c r="M2114" s="8"/>
      <c r="N2114" s="8"/>
      <c r="O2114" s="8"/>
      <c r="P2114" s="8"/>
      <c r="Q2114" s="8"/>
      <c r="R2114" s="8"/>
      <c r="S2114" s="8"/>
      <c r="T2114" s="8"/>
      <c r="U2114" s="8"/>
      <c r="V2114" s="8"/>
      <c r="W2114" s="8"/>
      <c r="X2114" s="8"/>
      <c r="Y2114" s="8"/>
    </row>
    <row r="2115">
      <c r="A2115" s="8"/>
      <c r="B2115" s="8"/>
      <c r="C2115" s="8"/>
      <c r="D2115" s="8"/>
      <c r="E2115" s="8"/>
      <c r="F2115" s="8"/>
      <c r="G2115" s="8"/>
      <c r="H2115" s="8"/>
      <c r="I2115" s="8"/>
      <c r="J2115" s="8"/>
      <c r="K2115" s="8"/>
      <c r="L2115" s="8"/>
      <c r="M2115" s="8"/>
      <c r="N2115" s="8"/>
      <c r="O2115" s="8"/>
      <c r="P2115" s="8"/>
      <c r="Q2115" s="8"/>
      <c r="R2115" s="8"/>
      <c r="S2115" s="8"/>
      <c r="T2115" s="8"/>
      <c r="U2115" s="8"/>
      <c r="V2115" s="8"/>
      <c r="W2115" s="8"/>
      <c r="X2115" s="8"/>
      <c r="Y2115" s="8"/>
    </row>
    <row r="2116">
      <c r="A2116" s="8"/>
      <c r="B2116" s="8"/>
      <c r="C2116" s="8"/>
      <c r="D2116" s="8"/>
      <c r="E2116" s="8"/>
      <c r="F2116" s="8"/>
      <c r="G2116" s="8"/>
      <c r="H2116" s="8"/>
      <c r="I2116" s="8"/>
      <c r="J2116" s="8"/>
      <c r="K2116" s="8"/>
      <c r="L2116" s="8"/>
      <c r="M2116" s="8"/>
      <c r="N2116" s="8"/>
      <c r="O2116" s="8"/>
      <c r="P2116" s="8"/>
      <c r="Q2116" s="8"/>
      <c r="R2116" s="8"/>
      <c r="S2116" s="8"/>
      <c r="T2116" s="8"/>
      <c r="U2116" s="8"/>
      <c r="V2116" s="8"/>
      <c r="W2116" s="8"/>
      <c r="X2116" s="8"/>
      <c r="Y2116" s="8"/>
    </row>
    <row r="2117">
      <c r="A2117" s="8"/>
      <c r="B2117" s="8"/>
      <c r="C2117" s="8"/>
      <c r="D2117" s="8"/>
      <c r="E2117" s="8"/>
      <c r="F2117" s="8"/>
      <c r="G2117" s="8"/>
      <c r="H2117" s="8"/>
      <c r="I2117" s="8"/>
      <c r="J2117" s="8"/>
      <c r="K2117" s="8"/>
      <c r="L2117" s="8"/>
      <c r="M2117" s="8"/>
      <c r="N2117" s="8"/>
      <c r="O2117" s="8"/>
      <c r="P2117" s="8"/>
      <c r="Q2117" s="8"/>
      <c r="R2117" s="8"/>
      <c r="S2117" s="8"/>
      <c r="T2117" s="8"/>
      <c r="U2117" s="8"/>
      <c r="V2117" s="8"/>
      <c r="W2117" s="8"/>
      <c r="X2117" s="8"/>
      <c r="Y2117" s="8"/>
    </row>
    <row r="2118">
      <c r="A2118" s="8"/>
      <c r="B2118" s="8"/>
      <c r="C2118" s="8"/>
      <c r="D2118" s="8"/>
      <c r="E2118" s="8"/>
      <c r="F2118" s="8"/>
      <c r="G2118" s="8"/>
      <c r="H2118" s="8"/>
      <c r="I2118" s="8"/>
      <c r="J2118" s="8"/>
      <c r="K2118" s="8"/>
      <c r="L2118" s="8"/>
      <c r="M2118" s="8"/>
      <c r="N2118" s="8"/>
      <c r="O2118" s="8"/>
      <c r="P2118" s="8"/>
      <c r="Q2118" s="8"/>
      <c r="R2118" s="8"/>
      <c r="S2118" s="8"/>
      <c r="T2118" s="8"/>
      <c r="U2118" s="8"/>
      <c r="V2118" s="8"/>
      <c r="W2118" s="8"/>
      <c r="X2118" s="8"/>
      <c r="Y2118" s="8"/>
    </row>
    <row r="2119">
      <c r="A2119" s="8"/>
      <c r="B2119" s="8"/>
      <c r="C2119" s="8"/>
      <c r="D2119" s="8"/>
      <c r="E2119" s="8"/>
      <c r="F2119" s="8"/>
      <c r="G2119" s="8"/>
      <c r="H2119" s="8"/>
      <c r="I2119" s="8"/>
      <c r="J2119" s="8"/>
      <c r="K2119" s="8"/>
      <c r="L2119" s="8"/>
      <c r="M2119" s="8"/>
      <c r="N2119" s="8"/>
      <c r="O2119" s="8"/>
      <c r="P2119" s="8"/>
      <c r="Q2119" s="8"/>
      <c r="R2119" s="8"/>
      <c r="S2119" s="8"/>
      <c r="T2119" s="8"/>
      <c r="U2119" s="8"/>
      <c r="V2119" s="8"/>
      <c r="W2119" s="8"/>
      <c r="X2119" s="8"/>
      <c r="Y2119" s="8"/>
    </row>
    <row r="2120">
      <c r="A2120" s="8"/>
      <c r="B2120" s="8"/>
      <c r="C2120" s="8"/>
      <c r="D2120" s="8"/>
      <c r="E2120" s="8"/>
      <c r="F2120" s="8"/>
      <c r="G2120" s="8"/>
      <c r="H2120" s="8"/>
      <c r="I2120" s="8"/>
      <c r="J2120" s="8"/>
      <c r="K2120" s="8"/>
      <c r="L2120" s="8"/>
      <c r="M2120" s="8"/>
      <c r="N2120" s="8"/>
      <c r="O2120" s="8"/>
      <c r="P2120" s="8"/>
      <c r="Q2120" s="8"/>
      <c r="R2120" s="8"/>
      <c r="S2120" s="8"/>
      <c r="T2120" s="8"/>
      <c r="U2120" s="8"/>
      <c r="V2120" s="8"/>
      <c r="W2120" s="8"/>
      <c r="X2120" s="8"/>
      <c r="Y2120" s="8"/>
    </row>
    <row r="2121">
      <c r="A2121" s="8"/>
      <c r="B2121" s="8"/>
      <c r="C2121" s="8"/>
      <c r="D2121" s="8"/>
      <c r="E2121" s="8"/>
      <c r="F2121" s="8"/>
      <c r="G2121" s="8"/>
      <c r="H2121" s="8"/>
      <c r="I2121" s="8"/>
      <c r="J2121" s="8"/>
      <c r="K2121" s="8"/>
      <c r="L2121" s="8"/>
      <c r="M2121" s="8"/>
      <c r="N2121" s="8"/>
      <c r="O2121" s="8"/>
      <c r="P2121" s="8"/>
      <c r="Q2121" s="8"/>
      <c r="R2121" s="8"/>
      <c r="S2121" s="8"/>
      <c r="T2121" s="8"/>
      <c r="U2121" s="8"/>
      <c r="V2121" s="8"/>
      <c r="W2121" s="8"/>
      <c r="X2121" s="8"/>
      <c r="Y2121" s="8"/>
    </row>
    <row r="2122">
      <c r="A2122" s="8"/>
      <c r="B2122" s="8"/>
      <c r="C2122" s="8"/>
      <c r="D2122" s="8"/>
      <c r="E2122" s="8"/>
      <c r="F2122" s="8"/>
      <c r="G2122" s="8"/>
      <c r="H2122" s="8"/>
      <c r="I2122" s="8"/>
      <c r="J2122" s="8"/>
      <c r="K2122" s="8"/>
      <c r="L2122" s="8"/>
      <c r="M2122" s="8"/>
      <c r="N2122" s="8"/>
      <c r="O2122" s="8"/>
      <c r="P2122" s="8"/>
      <c r="Q2122" s="8"/>
      <c r="R2122" s="8"/>
      <c r="S2122" s="8"/>
      <c r="T2122" s="8"/>
      <c r="U2122" s="8"/>
      <c r="V2122" s="8"/>
      <c r="W2122" s="8"/>
      <c r="X2122" s="8"/>
      <c r="Y2122" s="8"/>
    </row>
    <row r="2123">
      <c r="A2123" s="8"/>
      <c r="B2123" s="8"/>
      <c r="C2123" s="8"/>
      <c r="D2123" s="8"/>
      <c r="E2123" s="8"/>
      <c r="F2123" s="8"/>
      <c r="G2123" s="8"/>
      <c r="H2123" s="8"/>
      <c r="I2123" s="8"/>
      <c r="J2123" s="8"/>
      <c r="K2123" s="8"/>
      <c r="L2123" s="8"/>
      <c r="M2123" s="8"/>
      <c r="N2123" s="8"/>
      <c r="O2123" s="8"/>
      <c r="P2123" s="8"/>
      <c r="Q2123" s="8"/>
      <c r="R2123" s="8"/>
      <c r="S2123" s="8"/>
      <c r="T2123" s="8"/>
      <c r="U2123" s="8"/>
      <c r="V2123" s="8"/>
      <c r="W2123" s="8"/>
      <c r="X2123" s="8"/>
      <c r="Y2123" s="8"/>
    </row>
    <row r="2124">
      <c r="A2124" s="8"/>
      <c r="B2124" s="8"/>
      <c r="C2124" s="8"/>
      <c r="D2124" s="8"/>
      <c r="E2124" s="8"/>
      <c r="F2124" s="8"/>
      <c r="G2124" s="8"/>
      <c r="H2124" s="8"/>
      <c r="I2124" s="8"/>
      <c r="J2124" s="8"/>
      <c r="K2124" s="8"/>
      <c r="L2124" s="8"/>
      <c r="M2124" s="8"/>
      <c r="N2124" s="8"/>
      <c r="O2124" s="8"/>
      <c r="P2124" s="8"/>
      <c r="Q2124" s="8"/>
      <c r="R2124" s="8"/>
      <c r="S2124" s="8"/>
      <c r="T2124" s="8"/>
      <c r="U2124" s="8"/>
      <c r="V2124" s="8"/>
      <c r="W2124" s="8"/>
      <c r="X2124" s="8"/>
      <c r="Y2124" s="8"/>
    </row>
    <row r="2125">
      <c r="A2125" s="8"/>
      <c r="B2125" s="8"/>
      <c r="C2125" s="8"/>
      <c r="D2125" s="8"/>
      <c r="E2125" s="8"/>
      <c r="F2125" s="8"/>
      <c r="G2125" s="8"/>
      <c r="H2125" s="8"/>
      <c r="I2125" s="8"/>
      <c r="J2125" s="8"/>
      <c r="K2125" s="8"/>
      <c r="L2125" s="8"/>
      <c r="M2125" s="8"/>
      <c r="N2125" s="8"/>
      <c r="O2125" s="8"/>
      <c r="P2125" s="8"/>
      <c r="Q2125" s="8"/>
      <c r="R2125" s="8"/>
      <c r="S2125" s="8"/>
      <c r="T2125" s="8"/>
      <c r="U2125" s="8"/>
      <c r="V2125" s="8"/>
      <c r="W2125" s="8"/>
      <c r="X2125" s="8"/>
      <c r="Y2125" s="8"/>
    </row>
    <row r="2126">
      <c r="A2126" s="8"/>
      <c r="B2126" s="8"/>
      <c r="C2126" s="8"/>
      <c r="D2126" s="8"/>
      <c r="E2126" s="8"/>
      <c r="F2126" s="8"/>
      <c r="G2126" s="8"/>
      <c r="H2126" s="8"/>
      <c r="I2126" s="8"/>
      <c r="J2126" s="8"/>
      <c r="K2126" s="8"/>
      <c r="L2126" s="8"/>
      <c r="M2126" s="8"/>
      <c r="N2126" s="8"/>
      <c r="O2126" s="8"/>
      <c r="P2126" s="8"/>
      <c r="Q2126" s="8"/>
      <c r="R2126" s="8"/>
      <c r="S2126" s="8"/>
      <c r="T2126" s="8"/>
      <c r="U2126" s="8"/>
      <c r="V2126" s="8"/>
      <c r="W2126" s="8"/>
      <c r="X2126" s="8"/>
      <c r="Y2126" s="8"/>
    </row>
    <row r="2127">
      <c r="A2127" s="8"/>
      <c r="B2127" s="8"/>
      <c r="C2127" s="8"/>
      <c r="D2127" s="8"/>
      <c r="E2127" s="8"/>
      <c r="F2127" s="8"/>
      <c r="G2127" s="8"/>
      <c r="H2127" s="8"/>
      <c r="I2127" s="8"/>
      <c r="J2127" s="8"/>
      <c r="K2127" s="8"/>
      <c r="L2127" s="8"/>
      <c r="M2127" s="8"/>
      <c r="N2127" s="8"/>
      <c r="O2127" s="8"/>
      <c r="P2127" s="8"/>
      <c r="Q2127" s="8"/>
      <c r="R2127" s="8"/>
      <c r="S2127" s="8"/>
      <c r="T2127" s="8"/>
      <c r="U2127" s="8"/>
      <c r="V2127" s="8"/>
      <c r="W2127" s="8"/>
      <c r="X2127" s="8"/>
      <c r="Y2127" s="8"/>
    </row>
    <row r="2128">
      <c r="A2128" s="8"/>
      <c r="B2128" s="8"/>
      <c r="C2128" s="8"/>
      <c r="D2128" s="8"/>
      <c r="E2128" s="8"/>
      <c r="F2128" s="8"/>
      <c r="G2128" s="8"/>
      <c r="H2128" s="8"/>
      <c r="I2128" s="8"/>
      <c r="J2128" s="8"/>
      <c r="K2128" s="8"/>
      <c r="L2128" s="8"/>
      <c r="M2128" s="8"/>
      <c r="N2128" s="8"/>
      <c r="O2128" s="8"/>
      <c r="P2128" s="8"/>
      <c r="Q2128" s="8"/>
      <c r="R2128" s="8"/>
      <c r="S2128" s="8"/>
      <c r="T2128" s="8"/>
      <c r="U2128" s="8"/>
      <c r="V2128" s="8"/>
      <c r="W2128" s="8"/>
      <c r="X2128" s="8"/>
      <c r="Y2128" s="8"/>
    </row>
    <row r="2129">
      <c r="A2129" s="8"/>
      <c r="B2129" s="8"/>
      <c r="C2129" s="8"/>
      <c r="D2129" s="8"/>
      <c r="E2129" s="8"/>
      <c r="F2129" s="8"/>
      <c r="G2129" s="8"/>
      <c r="H2129" s="8"/>
      <c r="I2129" s="8"/>
      <c r="J2129" s="8"/>
      <c r="K2129" s="8"/>
      <c r="L2129" s="8"/>
      <c r="M2129" s="8"/>
      <c r="N2129" s="8"/>
      <c r="O2129" s="8"/>
      <c r="P2129" s="8"/>
      <c r="Q2129" s="8"/>
      <c r="R2129" s="8"/>
      <c r="S2129" s="8"/>
      <c r="T2129" s="8"/>
      <c r="U2129" s="8"/>
      <c r="V2129" s="8"/>
      <c r="W2129" s="8"/>
      <c r="X2129" s="8"/>
      <c r="Y2129" s="8"/>
    </row>
    <row r="2130">
      <c r="A2130" s="8"/>
      <c r="B2130" s="8"/>
      <c r="C2130" s="8"/>
      <c r="D2130" s="8"/>
      <c r="E2130" s="8"/>
      <c r="F2130" s="8"/>
      <c r="G2130" s="8"/>
      <c r="H2130" s="8"/>
      <c r="I2130" s="8"/>
      <c r="J2130" s="8"/>
      <c r="K2130" s="8"/>
      <c r="L2130" s="8"/>
      <c r="M2130" s="8"/>
      <c r="N2130" s="8"/>
      <c r="O2130" s="8"/>
      <c r="P2130" s="8"/>
      <c r="Q2130" s="8"/>
      <c r="R2130" s="8"/>
      <c r="S2130" s="8"/>
      <c r="T2130" s="8"/>
      <c r="U2130" s="8"/>
      <c r="V2130" s="8"/>
      <c r="W2130" s="8"/>
      <c r="X2130" s="8"/>
      <c r="Y2130" s="8"/>
    </row>
    <row r="2131">
      <c r="A2131" s="8"/>
      <c r="B2131" s="8"/>
      <c r="C2131" s="8"/>
      <c r="D2131" s="8"/>
      <c r="E2131" s="8"/>
      <c r="F2131" s="8"/>
      <c r="G2131" s="8"/>
      <c r="H2131" s="8"/>
      <c r="I2131" s="8"/>
      <c r="J2131" s="8"/>
      <c r="K2131" s="8"/>
      <c r="L2131" s="8"/>
      <c r="M2131" s="8"/>
      <c r="N2131" s="8"/>
      <c r="O2131" s="8"/>
      <c r="P2131" s="8"/>
      <c r="Q2131" s="8"/>
      <c r="R2131" s="8"/>
      <c r="S2131" s="8"/>
      <c r="T2131" s="8"/>
      <c r="U2131" s="8"/>
      <c r="V2131" s="8"/>
      <c r="W2131" s="8"/>
      <c r="X2131" s="8"/>
      <c r="Y2131" s="8"/>
    </row>
    <row r="2132">
      <c r="A2132" s="8"/>
      <c r="B2132" s="8"/>
      <c r="C2132" s="8"/>
      <c r="D2132" s="8"/>
      <c r="E2132" s="8"/>
      <c r="F2132" s="8"/>
      <c r="G2132" s="8"/>
      <c r="H2132" s="8"/>
      <c r="I2132" s="8"/>
      <c r="J2132" s="8"/>
      <c r="K2132" s="8"/>
      <c r="L2132" s="8"/>
      <c r="M2132" s="8"/>
      <c r="N2132" s="8"/>
      <c r="O2132" s="8"/>
      <c r="P2132" s="8"/>
      <c r="Q2132" s="8"/>
      <c r="R2132" s="8"/>
      <c r="S2132" s="8"/>
      <c r="T2132" s="8"/>
      <c r="U2132" s="8"/>
      <c r="V2132" s="8"/>
      <c r="W2132" s="8"/>
      <c r="X2132" s="8"/>
      <c r="Y2132" s="8"/>
    </row>
    <row r="2133">
      <c r="A2133" s="8"/>
      <c r="B2133" s="8"/>
      <c r="C2133" s="8"/>
      <c r="D2133" s="8"/>
      <c r="E2133" s="8"/>
      <c r="F2133" s="8"/>
      <c r="G2133" s="8"/>
      <c r="H2133" s="8"/>
      <c r="I2133" s="8"/>
      <c r="J2133" s="8"/>
      <c r="K2133" s="8"/>
      <c r="L2133" s="8"/>
      <c r="M2133" s="8"/>
      <c r="N2133" s="8"/>
      <c r="O2133" s="8"/>
      <c r="P2133" s="8"/>
      <c r="Q2133" s="8"/>
      <c r="R2133" s="8"/>
      <c r="S2133" s="8"/>
      <c r="T2133" s="8"/>
      <c r="U2133" s="8"/>
      <c r="V2133" s="8"/>
      <c r="W2133" s="8"/>
      <c r="X2133" s="8"/>
      <c r="Y2133" s="8"/>
    </row>
    <row r="2134">
      <c r="A2134" s="8"/>
      <c r="B2134" s="8"/>
      <c r="C2134" s="8"/>
      <c r="D2134" s="8"/>
      <c r="E2134" s="8"/>
      <c r="F2134" s="8"/>
      <c r="G2134" s="8"/>
      <c r="H2134" s="8"/>
      <c r="I2134" s="8"/>
      <c r="J2134" s="8"/>
      <c r="K2134" s="8"/>
      <c r="L2134" s="8"/>
      <c r="M2134" s="8"/>
      <c r="N2134" s="8"/>
      <c r="O2134" s="8"/>
      <c r="P2134" s="8"/>
      <c r="Q2134" s="8"/>
      <c r="R2134" s="8"/>
      <c r="S2134" s="8"/>
      <c r="T2134" s="8"/>
      <c r="U2134" s="8"/>
      <c r="V2134" s="8"/>
      <c r="W2134" s="8"/>
      <c r="X2134" s="8"/>
      <c r="Y2134" s="8"/>
    </row>
    <row r="2135">
      <c r="A2135" s="8"/>
      <c r="B2135" s="8"/>
      <c r="C2135" s="8"/>
      <c r="D2135" s="8"/>
      <c r="E2135" s="8"/>
      <c r="F2135" s="8"/>
      <c r="G2135" s="8"/>
      <c r="H2135" s="8"/>
      <c r="I2135" s="8"/>
      <c r="J2135" s="8"/>
      <c r="K2135" s="8"/>
      <c r="L2135" s="8"/>
      <c r="M2135" s="8"/>
      <c r="N2135" s="8"/>
      <c r="O2135" s="8"/>
      <c r="P2135" s="8"/>
      <c r="Q2135" s="8"/>
      <c r="R2135" s="8"/>
      <c r="S2135" s="8"/>
      <c r="T2135" s="8"/>
      <c r="U2135" s="8"/>
      <c r="V2135" s="8"/>
      <c r="W2135" s="8"/>
      <c r="X2135" s="8"/>
      <c r="Y2135" s="8"/>
    </row>
    <row r="2136">
      <c r="A2136" s="8"/>
      <c r="B2136" s="8"/>
      <c r="C2136" s="8"/>
      <c r="D2136" s="8"/>
      <c r="E2136" s="8"/>
      <c r="F2136" s="8"/>
      <c r="G2136" s="8"/>
      <c r="H2136" s="8"/>
      <c r="I2136" s="8"/>
      <c r="J2136" s="8"/>
      <c r="K2136" s="8"/>
      <c r="L2136" s="8"/>
      <c r="M2136" s="8"/>
      <c r="N2136" s="8"/>
      <c r="O2136" s="8"/>
      <c r="P2136" s="8"/>
      <c r="Q2136" s="8"/>
      <c r="R2136" s="8"/>
      <c r="S2136" s="8"/>
      <c r="T2136" s="8"/>
      <c r="U2136" s="8"/>
      <c r="V2136" s="8"/>
      <c r="W2136" s="8"/>
      <c r="X2136" s="8"/>
      <c r="Y2136" s="8"/>
    </row>
    <row r="2137">
      <c r="A2137" s="8"/>
      <c r="B2137" s="8"/>
      <c r="C2137" s="8"/>
      <c r="D2137" s="8"/>
      <c r="E2137" s="8"/>
      <c r="F2137" s="8"/>
      <c r="G2137" s="8"/>
      <c r="H2137" s="8"/>
      <c r="I2137" s="8"/>
      <c r="J2137" s="8"/>
      <c r="K2137" s="8"/>
      <c r="L2137" s="8"/>
      <c r="M2137" s="8"/>
      <c r="N2137" s="8"/>
      <c r="O2137" s="8"/>
      <c r="P2137" s="8"/>
      <c r="Q2137" s="8"/>
      <c r="R2137" s="8"/>
      <c r="S2137" s="8"/>
      <c r="T2137" s="8"/>
      <c r="U2137" s="8"/>
      <c r="V2137" s="8"/>
      <c r="W2137" s="8"/>
      <c r="X2137" s="8"/>
      <c r="Y2137" s="8"/>
    </row>
    <row r="2138">
      <c r="A2138" s="8"/>
      <c r="B2138" s="8"/>
      <c r="C2138" s="8"/>
      <c r="D2138" s="8"/>
      <c r="E2138" s="8"/>
      <c r="F2138" s="8"/>
      <c r="G2138" s="8"/>
      <c r="H2138" s="8"/>
      <c r="I2138" s="8"/>
      <c r="J2138" s="8"/>
      <c r="K2138" s="8"/>
      <c r="L2138" s="8"/>
      <c r="M2138" s="8"/>
      <c r="N2138" s="8"/>
      <c r="O2138" s="8"/>
      <c r="P2138" s="8"/>
      <c r="Q2138" s="8"/>
      <c r="R2138" s="8"/>
      <c r="S2138" s="8"/>
      <c r="T2138" s="8"/>
      <c r="U2138" s="8"/>
      <c r="V2138" s="8"/>
      <c r="W2138" s="8"/>
      <c r="X2138" s="8"/>
      <c r="Y2138" s="8"/>
    </row>
    <row r="2139">
      <c r="A2139" s="8"/>
      <c r="B2139" s="8"/>
      <c r="C2139" s="8"/>
      <c r="D2139" s="8"/>
      <c r="E2139" s="8"/>
      <c r="F2139" s="8"/>
      <c r="G2139" s="8"/>
      <c r="H2139" s="8"/>
      <c r="I2139" s="8"/>
      <c r="J2139" s="8"/>
      <c r="K2139" s="8"/>
      <c r="L2139" s="8"/>
      <c r="M2139" s="8"/>
      <c r="N2139" s="8"/>
      <c r="O2139" s="8"/>
      <c r="P2139" s="8"/>
      <c r="Q2139" s="8"/>
      <c r="R2139" s="8"/>
      <c r="S2139" s="8"/>
      <c r="T2139" s="8"/>
      <c r="U2139" s="8"/>
      <c r="V2139" s="8"/>
      <c r="W2139" s="8"/>
      <c r="X2139" s="8"/>
      <c r="Y2139" s="8"/>
    </row>
    <row r="2140">
      <c r="A2140" s="8"/>
      <c r="B2140" s="8"/>
      <c r="C2140" s="8"/>
      <c r="D2140" s="8"/>
      <c r="E2140" s="8"/>
      <c r="F2140" s="8"/>
      <c r="G2140" s="8"/>
      <c r="H2140" s="8"/>
      <c r="I2140" s="8"/>
      <c r="J2140" s="8"/>
      <c r="K2140" s="8"/>
      <c r="L2140" s="8"/>
      <c r="M2140" s="8"/>
      <c r="N2140" s="8"/>
      <c r="O2140" s="8"/>
      <c r="P2140" s="8"/>
      <c r="Q2140" s="8"/>
      <c r="R2140" s="8"/>
      <c r="S2140" s="8"/>
      <c r="T2140" s="8"/>
      <c r="U2140" s="8"/>
      <c r="V2140" s="8"/>
      <c r="W2140" s="8"/>
      <c r="X2140" s="8"/>
      <c r="Y2140" s="8"/>
    </row>
    <row r="2141">
      <c r="A2141" s="8"/>
      <c r="B2141" s="8"/>
      <c r="C2141" s="8"/>
      <c r="D2141" s="8"/>
      <c r="E2141" s="8"/>
      <c r="F2141" s="8"/>
      <c r="G2141" s="8"/>
      <c r="H2141" s="8"/>
      <c r="I2141" s="8"/>
      <c r="J2141" s="8"/>
      <c r="K2141" s="8"/>
      <c r="L2141" s="8"/>
      <c r="M2141" s="8"/>
      <c r="N2141" s="8"/>
      <c r="O2141" s="8"/>
      <c r="P2141" s="8"/>
      <c r="Q2141" s="8"/>
      <c r="R2141" s="8"/>
      <c r="S2141" s="8"/>
      <c r="T2141" s="8"/>
      <c r="U2141" s="8"/>
      <c r="V2141" s="8"/>
      <c r="W2141" s="8"/>
      <c r="X2141" s="8"/>
      <c r="Y2141" s="8"/>
    </row>
    <row r="2142">
      <c r="A2142" s="8"/>
      <c r="B2142" s="8"/>
      <c r="C2142" s="8"/>
      <c r="D2142" s="8"/>
      <c r="E2142" s="8"/>
      <c r="F2142" s="8"/>
      <c r="G2142" s="8"/>
      <c r="H2142" s="8"/>
      <c r="I2142" s="8"/>
      <c r="J2142" s="8"/>
      <c r="K2142" s="8"/>
      <c r="L2142" s="8"/>
      <c r="M2142" s="8"/>
      <c r="N2142" s="8"/>
      <c r="O2142" s="8"/>
      <c r="P2142" s="8"/>
      <c r="Q2142" s="8"/>
      <c r="R2142" s="8"/>
      <c r="S2142" s="8"/>
      <c r="T2142" s="8"/>
      <c r="U2142" s="8"/>
      <c r="V2142" s="8"/>
      <c r="W2142" s="8"/>
      <c r="X2142" s="8"/>
      <c r="Y2142" s="8"/>
    </row>
    <row r="2143">
      <c r="A2143" s="8"/>
      <c r="B2143" s="8"/>
      <c r="C2143" s="8"/>
      <c r="D2143" s="8"/>
      <c r="E2143" s="8"/>
      <c r="F2143" s="8"/>
      <c r="G2143" s="8"/>
      <c r="H2143" s="8"/>
      <c r="I2143" s="8"/>
      <c r="J2143" s="8"/>
      <c r="K2143" s="8"/>
      <c r="L2143" s="8"/>
      <c r="M2143" s="8"/>
      <c r="N2143" s="8"/>
      <c r="O2143" s="8"/>
      <c r="P2143" s="8"/>
      <c r="Q2143" s="8"/>
      <c r="R2143" s="8"/>
      <c r="S2143" s="8"/>
      <c r="T2143" s="8"/>
      <c r="U2143" s="8"/>
      <c r="V2143" s="8"/>
      <c r="W2143" s="8"/>
      <c r="X2143" s="8"/>
      <c r="Y2143" s="8"/>
    </row>
    <row r="2144">
      <c r="A2144" s="8"/>
      <c r="B2144" s="8"/>
      <c r="C2144" s="8"/>
      <c r="D2144" s="8"/>
      <c r="E2144" s="8"/>
      <c r="F2144" s="8"/>
      <c r="G2144" s="8"/>
      <c r="H2144" s="8"/>
      <c r="I2144" s="8"/>
      <c r="J2144" s="8"/>
      <c r="K2144" s="8"/>
      <c r="L2144" s="8"/>
      <c r="M2144" s="8"/>
      <c r="N2144" s="8"/>
      <c r="O2144" s="8"/>
      <c r="P2144" s="8"/>
      <c r="Q2144" s="8"/>
      <c r="R2144" s="8"/>
      <c r="S2144" s="8"/>
      <c r="T2144" s="8"/>
      <c r="U2144" s="8"/>
      <c r="V2144" s="8"/>
      <c r="W2144" s="8"/>
      <c r="X2144" s="8"/>
      <c r="Y2144" s="8"/>
    </row>
    <row r="2145">
      <c r="A2145" s="8"/>
      <c r="B2145" s="8"/>
      <c r="C2145" s="8"/>
      <c r="D2145" s="8"/>
      <c r="E2145" s="8"/>
      <c r="F2145" s="8"/>
      <c r="G2145" s="8"/>
      <c r="H2145" s="8"/>
      <c r="I2145" s="8"/>
      <c r="J2145" s="8"/>
      <c r="K2145" s="8"/>
      <c r="L2145" s="8"/>
      <c r="M2145" s="8"/>
      <c r="N2145" s="8"/>
      <c r="O2145" s="8"/>
      <c r="P2145" s="8"/>
      <c r="Q2145" s="8"/>
      <c r="R2145" s="8"/>
      <c r="S2145" s="8"/>
      <c r="T2145" s="8"/>
      <c r="U2145" s="8"/>
      <c r="V2145" s="8"/>
      <c r="W2145" s="8"/>
      <c r="X2145" s="8"/>
      <c r="Y2145" s="8"/>
    </row>
    <row r="2146">
      <c r="A2146" s="8"/>
      <c r="B2146" s="8"/>
      <c r="C2146" s="8"/>
      <c r="D2146" s="8"/>
      <c r="E2146" s="8"/>
      <c r="F2146" s="8"/>
      <c r="G2146" s="8"/>
      <c r="H2146" s="8"/>
      <c r="I2146" s="8"/>
      <c r="J2146" s="8"/>
      <c r="K2146" s="8"/>
      <c r="L2146" s="8"/>
      <c r="M2146" s="8"/>
      <c r="N2146" s="8"/>
      <c r="O2146" s="8"/>
      <c r="P2146" s="8"/>
      <c r="Q2146" s="8"/>
      <c r="R2146" s="8"/>
      <c r="S2146" s="8"/>
      <c r="T2146" s="8"/>
      <c r="U2146" s="8"/>
      <c r="V2146" s="8"/>
      <c r="W2146" s="8"/>
      <c r="X2146" s="8"/>
      <c r="Y2146" s="8"/>
    </row>
    <row r="2147">
      <c r="A2147" s="8"/>
      <c r="B2147" s="8"/>
      <c r="C2147" s="8"/>
      <c r="D2147" s="8"/>
      <c r="E2147" s="8"/>
      <c r="F2147" s="8"/>
      <c r="G2147" s="8"/>
      <c r="H2147" s="8"/>
      <c r="I2147" s="8"/>
      <c r="J2147" s="8"/>
      <c r="K2147" s="8"/>
      <c r="L2147" s="8"/>
      <c r="M2147" s="8"/>
      <c r="N2147" s="8"/>
      <c r="O2147" s="8"/>
      <c r="P2147" s="8"/>
      <c r="Q2147" s="8"/>
      <c r="R2147" s="8"/>
      <c r="S2147" s="8"/>
      <c r="T2147" s="8"/>
      <c r="U2147" s="8"/>
      <c r="V2147" s="8"/>
      <c r="W2147" s="8"/>
      <c r="X2147" s="8"/>
      <c r="Y2147" s="8"/>
    </row>
    <row r="2148">
      <c r="A2148" s="8"/>
      <c r="B2148" s="8"/>
      <c r="C2148" s="8"/>
      <c r="D2148" s="8"/>
      <c r="E2148" s="8"/>
      <c r="F2148" s="8"/>
      <c r="G2148" s="8"/>
      <c r="H2148" s="8"/>
      <c r="I2148" s="8"/>
      <c r="J2148" s="8"/>
      <c r="K2148" s="8"/>
      <c r="L2148" s="8"/>
      <c r="M2148" s="8"/>
      <c r="N2148" s="8"/>
      <c r="O2148" s="8"/>
      <c r="P2148" s="8"/>
      <c r="Q2148" s="8"/>
      <c r="R2148" s="8"/>
      <c r="S2148" s="8"/>
      <c r="T2148" s="8"/>
      <c r="U2148" s="8"/>
      <c r="V2148" s="8"/>
      <c r="W2148" s="8"/>
      <c r="X2148" s="8"/>
      <c r="Y2148" s="8"/>
    </row>
    <row r="2149">
      <c r="A2149" s="8"/>
      <c r="B2149" s="8"/>
      <c r="C2149" s="8"/>
      <c r="D2149" s="8"/>
      <c r="E2149" s="8"/>
      <c r="F2149" s="8"/>
      <c r="G2149" s="8"/>
      <c r="H2149" s="8"/>
      <c r="I2149" s="8"/>
      <c r="J2149" s="8"/>
      <c r="K2149" s="8"/>
      <c r="L2149" s="8"/>
      <c r="M2149" s="8"/>
      <c r="N2149" s="8"/>
      <c r="O2149" s="8"/>
      <c r="P2149" s="8"/>
      <c r="Q2149" s="8"/>
      <c r="R2149" s="8"/>
      <c r="S2149" s="8"/>
      <c r="T2149" s="8"/>
      <c r="U2149" s="8"/>
      <c r="V2149" s="8"/>
      <c r="W2149" s="8"/>
      <c r="X2149" s="8"/>
      <c r="Y2149" s="8"/>
    </row>
    <row r="2150">
      <c r="A2150" s="8"/>
      <c r="B2150" s="8"/>
      <c r="C2150" s="8"/>
      <c r="D2150" s="8"/>
      <c r="E2150" s="8"/>
      <c r="F2150" s="8"/>
      <c r="G2150" s="8"/>
      <c r="H2150" s="8"/>
      <c r="I2150" s="8"/>
      <c r="J2150" s="8"/>
      <c r="K2150" s="8"/>
      <c r="L2150" s="8"/>
      <c r="M2150" s="8"/>
      <c r="N2150" s="8"/>
      <c r="O2150" s="8"/>
      <c r="P2150" s="8"/>
      <c r="Q2150" s="8"/>
      <c r="R2150" s="8"/>
      <c r="S2150" s="8"/>
      <c r="T2150" s="8"/>
      <c r="U2150" s="8"/>
      <c r="V2150" s="8"/>
      <c r="W2150" s="8"/>
      <c r="X2150" s="8"/>
      <c r="Y2150" s="8"/>
    </row>
    <row r="2151">
      <c r="A2151" s="8"/>
      <c r="B2151" s="8"/>
      <c r="C2151" s="8"/>
      <c r="D2151" s="8"/>
      <c r="E2151" s="8"/>
      <c r="F2151" s="8"/>
      <c r="G2151" s="8"/>
      <c r="H2151" s="8"/>
      <c r="I2151" s="8"/>
      <c r="J2151" s="8"/>
      <c r="K2151" s="8"/>
      <c r="L2151" s="8"/>
      <c r="M2151" s="8"/>
      <c r="N2151" s="8"/>
      <c r="O2151" s="8"/>
      <c r="P2151" s="8"/>
      <c r="Q2151" s="8"/>
      <c r="R2151" s="8"/>
      <c r="S2151" s="8"/>
      <c r="T2151" s="8"/>
      <c r="U2151" s="8"/>
      <c r="V2151" s="8"/>
      <c r="W2151" s="8"/>
      <c r="X2151" s="8"/>
      <c r="Y2151" s="8"/>
    </row>
    <row r="2152">
      <c r="A2152" s="8"/>
      <c r="B2152" s="8"/>
      <c r="C2152" s="8"/>
      <c r="D2152" s="8"/>
      <c r="E2152" s="8"/>
      <c r="F2152" s="8"/>
      <c r="G2152" s="8"/>
      <c r="H2152" s="8"/>
      <c r="I2152" s="8"/>
      <c r="J2152" s="8"/>
      <c r="K2152" s="8"/>
      <c r="L2152" s="8"/>
      <c r="M2152" s="8"/>
      <c r="N2152" s="8"/>
      <c r="O2152" s="8"/>
      <c r="P2152" s="8"/>
      <c r="Q2152" s="8"/>
      <c r="R2152" s="8"/>
      <c r="S2152" s="8"/>
      <c r="T2152" s="8"/>
      <c r="U2152" s="8"/>
      <c r="V2152" s="8"/>
      <c r="W2152" s="8"/>
      <c r="X2152" s="8"/>
      <c r="Y2152" s="8"/>
    </row>
    <row r="2153">
      <c r="A2153" s="8"/>
      <c r="B2153" s="8"/>
      <c r="C2153" s="8"/>
      <c r="D2153" s="8"/>
      <c r="E2153" s="8"/>
      <c r="F2153" s="8"/>
      <c r="G2153" s="8"/>
      <c r="H2153" s="8"/>
      <c r="I2153" s="8"/>
      <c r="J2153" s="8"/>
      <c r="K2153" s="8"/>
      <c r="L2153" s="8"/>
      <c r="M2153" s="8"/>
      <c r="N2153" s="8"/>
      <c r="O2153" s="8"/>
      <c r="P2153" s="8"/>
      <c r="Q2153" s="8"/>
      <c r="R2153" s="8"/>
      <c r="S2153" s="8"/>
      <c r="T2153" s="8"/>
      <c r="U2153" s="8"/>
      <c r="V2153" s="8"/>
      <c r="W2153" s="8"/>
      <c r="X2153" s="8"/>
      <c r="Y2153" s="8"/>
    </row>
    <row r="2154">
      <c r="A2154" s="8"/>
      <c r="B2154" s="8"/>
      <c r="C2154" s="8"/>
      <c r="D2154" s="8"/>
      <c r="E2154" s="8"/>
      <c r="F2154" s="8"/>
      <c r="G2154" s="8"/>
      <c r="H2154" s="8"/>
      <c r="I2154" s="8"/>
      <c r="J2154" s="8"/>
      <c r="K2154" s="8"/>
      <c r="L2154" s="8"/>
      <c r="M2154" s="8"/>
      <c r="N2154" s="8"/>
      <c r="O2154" s="8"/>
      <c r="P2154" s="8"/>
      <c r="Q2154" s="8"/>
      <c r="R2154" s="8"/>
      <c r="S2154" s="8"/>
      <c r="T2154" s="8"/>
      <c r="U2154" s="8"/>
      <c r="V2154" s="8"/>
      <c r="W2154" s="8"/>
      <c r="X2154" s="8"/>
      <c r="Y2154" s="8"/>
    </row>
    <row r="2155">
      <c r="A2155" s="8"/>
      <c r="B2155" s="8"/>
      <c r="C2155" s="8"/>
      <c r="D2155" s="8"/>
      <c r="E2155" s="8"/>
      <c r="F2155" s="8"/>
      <c r="G2155" s="8"/>
      <c r="H2155" s="8"/>
      <c r="I2155" s="8"/>
      <c r="J2155" s="8"/>
      <c r="K2155" s="8"/>
      <c r="L2155" s="8"/>
      <c r="M2155" s="8"/>
      <c r="N2155" s="8"/>
      <c r="O2155" s="8"/>
      <c r="P2155" s="8"/>
      <c r="Q2155" s="8"/>
      <c r="R2155" s="8"/>
      <c r="S2155" s="8"/>
      <c r="T2155" s="8"/>
      <c r="U2155" s="8"/>
      <c r="V2155" s="8"/>
      <c r="W2155" s="8"/>
      <c r="X2155" s="8"/>
      <c r="Y2155" s="8"/>
    </row>
    <row r="2156">
      <c r="A2156" s="8"/>
      <c r="B2156" s="8"/>
      <c r="C2156" s="8"/>
      <c r="D2156" s="8"/>
      <c r="E2156" s="8"/>
      <c r="F2156" s="8"/>
      <c r="G2156" s="8"/>
      <c r="H2156" s="8"/>
      <c r="I2156" s="8"/>
      <c r="J2156" s="8"/>
      <c r="K2156" s="8"/>
      <c r="L2156" s="8"/>
      <c r="M2156" s="8"/>
      <c r="N2156" s="8"/>
      <c r="O2156" s="8"/>
      <c r="P2156" s="8"/>
      <c r="Q2156" s="8"/>
      <c r="R2156" s="8"/>
      <c r="S2156" s="8"/>
      <c r="T2156" s="8"/>
      <c r="U2156" s="8"/>
      <c r="V2156" s="8"/>
      <c r="W2156" s="8"/>
      <c r="X2156" s="8"/>
      <c r="Y2156" s="8"/>
    </row>
    <row r="2157">
      <c r="A2157" s="8"/>
      <c r="B2157" s="8"/>
      <c r="C2157" s="8"/>
      <c r="D2157" s="8"/>
      <c r="E2157" s="8"/>
      <c r="F2157" s="8"/>
      <c r="G2157" s="8"/>
      <c r="H2157" s="8"/>
      <c r="I2157" s="8"/>
      <c r="J2157" s="8"/>
      <c r="K2157" s="8"/>
      <c r="L2157" s="8"/>
      <c r="M2157" s="8"/>
      <c r="N2157" s="8"/>
      <c r="O2157" s="8"/>
      <c r="P2157" s="8"/>
      <c r="Q2157" s="8"/>
      <c r="R2157" s="8"/>
      <c r="S2157" s="8"/>
      <c r="T2157" s="8"/>
      <c r="U2157" s="8"/>
      <c r="V2157" s="8"/>
      <c r="W2157" s="8"/>
      <c r="X2157" s="8"/>
      <c r="Y2157" s="8"/>
    </row>
    <row r="2158">
      <c r="A2158" s="8"/>
      <c r="B2158" s="8"/>
      <c r="C2158" s="8"/>
      <c r="D2158" s="8"/>
      <c r="E2158" s="8"/>
      <c r="F2158" s="8"/>
      <c r="G2158" s="8"/>
      <c r="H2158" s="8"/>
      <c r="I2158" s="8"/>
      <c r="J2158" s="8"/>
      <c r="K2158" s="8"/>
      <c r="L2158" s="8"/>
      <c r="M2158" s="8"/>
      <c r="N2158" s="8"/>
      <c r="O2158" s="8"/>
      <c r="P2158" s="8"/>
      <c r="Q2158" s="8"/>
      <c r="R2158" s="8"/>
      <c r="S2158" s="8"/>
      <c r="T2158" s="8"/>
      <c r="U2158" s="8"/>
      <c r="V2158" s="8"/>
      <c r="W2158" s="8"/>
      <c r="X2158" s="8"/>
      <c r="Y2158" s="8"/>
    </row>
    <row r="2159">
      <c r="A2159" s="8"/>
      <c r="B2159" s="8"/>
      <c r="C2159" s="8"/>
      <c r="D2159" s="8"/>
      <c r="E2159" s="8"/>
      <c r="F2159" s="8"/>
      <c r="G2159" s="8"/>
      <c r="H2159" s="8"/>
      <c r="I2159" s="8"/>
      <c r="J2159" s="8"/>
      <c r="K2159" s="8"/>
      <c r="L2159" s="8"/>
      <c r="M2159" s="8"/>
      <c r="N2159" s="8"/>
      <c r="O2159" s="8"/>
      <c r="P2159" s="8"/>
      <c r="Q2159" s="8"/>
      <c r="R2159" s="8"/>
      <c r="S2159" s="8"/>
      <c r="T2159" s="8"/>
      <c r="U2159" s="8"/>
      <c r="V2159" s="8"/>
      <c r="W2159" s="8"/>
      <c r="X2159" s="8"/>
      <c r="Y2159" s="8"/>
    </row>
    <row r="2160">
      <c r="A2160" s="8"/>
      <c r="B2160" s="8"/>
      <c r="C2160" s="8"/>
      <c r="D2160" s="8"/>
      <c r="E2160" s="8"/>
      <c r="F2160" s="8"/>
      <c r="G2160" s="8"/>
      <c r="H2160" s="8"/>
      <c r="I2160" s="8"/>
      <c r="J2160" s="8"/>
      <c r="K2160" s="8"/>
      <c r="L2160" s="8"/>
      <c r="M2160" s="8"/>
      <c r="N2160" s="8"/>
      <c r="O2160" s="8"/>
      <c r="P2160" s="8"/>
      <c r="Q2160" s="8"/>
      <c r="R2160" s="8"/>
      <c r="S2160" s="8"/>
      <c r="T2160" s="8"/>
      <c r="U2160" s="8"/>
      <c r="V2160" s="8"/>
      <c r="W2160" s="8"/>
      <c r="X2160" s="8"/>
      <c r="Y2160" s="8"/>
    </row>
    <row r="2161">
      <c r="A2161" s="8"/>
      <c r="B2161" s="8"/>
      <c r="C2161" s="8"/>
      <c r="D2161" s="8"/>
      <c r="E2161" s="8"/>
      <c r="F2161" s="8"/>
      <c r="G2161" s="8"/>
      <c r="H2161" s="8"/>
      <c r="I2161" s="8"/>
      <c r="J2161" s="8"/>
      <c r="K2161" s="8"/>
      <c r="L2161" s="8"/>
      <c r="M2161" s="8"/>
      <c r="N2161" s="8"/>
      <c r="O2161" s="8"/>
      <c r="P2161" s="8"/>
      <c r="Q2161" s="8"/>
      <c r="R2161" s="8"/>
      <c r="S2161" s="8"/>
      <c r="T2161" s="8"/>
      <c r="U2161" s="8"/>
      <c r="V2161" s="8"/>
      <c r="W2161" s="8"/>
      <c r="X2161" s="8"/>
      <c r="Y2161" s="8"/>
    </row>
    <row r="2162">
      <c r="A2162" s="8"/>
      <c r="B2162" s="8"/>
      <c r="C2162" s="8"/>
      <c r="D2162" s="8"/>
      <c r="E2162" s="8"/>
      <c r="F2162" s="8"/>
      <c r="G2162" s="8"/>
      <c r="H2162" s="8"/>
      <c r="I2162" s="8"/>
      <c r="J2162" s="8"/>
      <c r="K2162" s="8"/>
      <c r="L2162" s="8"/>
      <c r="M2162" s="8"/>
      <c r="N2162" s="8"/>
      <c r="O2162" s="8"/>
      <c r="P2162" s="8"/>
      <c r="Q2162" s="8"/>
      <c r="R2162" s="8"/>
      <c r="S2162" s="8"/>
      <c r="T2162" s="8"/>
      <c r="U2162" s="8"/>
      <c r="V2162" s="8"/>
      <c r="W2162" s="8"/>
      <c r="X2162" s="8"/>
      <c r="Y2162" s="8"/>
    </row>
    <row r="2163">
      <c r="A2163" s="8"/>
      <c r="B2163" s="8"/>
      <c r="C2163" s="8"/>
      <c r="D2163" s="8"/>
      <c r="E2163" s="8"/>
      <c r="F2163" s="8"/>
      <c r="G2163" s="8"/>
      <c r="H2163" s="8"/>
      <c r="I2163" s="8"/>
      <c r="J2163" s="8"/>
      <c r="K2163" s="8"/>
      <c r="L2163" s="8"/>
      <c r="M2163" s="8"/>
      <c r="N2163" s="8"/>
      <c r="O2163" s="8"/>
      <c r="P2163" s="8"/>
      <c r="Q2163" s="8"/>
      <c r="R2163" s="8"/>
      <c r="S2163" s="8"/>
      <c r="T2163" s="8"/>
      <c r="U2163" s="8"/>
      <c r="V2163" s="8"/>
      <c r="W2163" s="8"/>
      <c r="X2163" s="8"/>
      <c r="Y2163" s="8"/>
    </row>
    <row r="2164">
      <c r="A2164" s="8"/>
      <c r="B2164" s="8"/>
      <c r="C2164" s="8"/>
      <c r="D2164" s="8"/>
      <c r="E2164" s="8"/>
      <c r="F2164" s="8"/>
      <c r="G2164" s="8"/>
      <c r="H2164" s="8"/>
      <c r="I2164" s="8"/>
      <c r="J2164" s="8"/>
      <c r="K2164" s="8"/>
      <c r="L2164" s="8"/>
      <c r="M2164" s="8"/>
      <c r="N2164" s="8"/>
      <c r="O2164" s="8"/>
      <c r="P2164" s="8"/>
      <c r="Q2164" s="8"/>
      <c r="R2164" s="8"/>
      <c r="S2164" s="8"/>
      <c r="T2164" s="8"/>
      <c r="U2164" s="8"/>
      <c r="V2164" s="8"/>
      <c r="W2164" s="8"/>
      <c r="X2164" s="8"/>
      <c r="Y2164" s="8"/>
    </row>
    <row r="2165">
      <c r="A2165" s="8"/>
      <c r="B2165" s="8"/>
      <c r="C2165" s="8"/>
      <c r="D2165" s="8"/>
      <c r="E2165" s="8"/>
      <c r="F2165" s="8"/>
      <c r="G2165" s="8"/>
      <c r="H2165" s="8"/>
      <c r="I2165" s="8"/>
      <c r="J2165" s="8"/>
      <c r="K2165" s="8"/>
      <c r="L2165" s="8"/>
      <c r="M2165" s="8"/>
      <c r="N2165" s="8"/>
      <c r="O2165" s="8"/>
      <c r="P2165" s="8"/>
      <c r="Q2165" s="8"/>
      <c r="R2165" s="8"/>
      <c r="S2165" s="8"/>
      <c r="T2165" s="8"/>
      <c r="U2165" s="8"/>
      <c r="V2165" s="8"/>
      <c r="W2165" s="8"/>
      <c r="X2165" s="8"/>
      <c r="Y2165" s="8"/>
    </row>
    <row r="2166">
      <c r="A2166" s="8"/>
      <c r="B2166" s="8"/>
      <c r="C2166" s="8"/>
      <c r="D2166" s="8"/>
      <c r="E2166" s="8"/>
      <c r="F2166" s="8"/>
      <c r="G2166" s="8"/>
      <c r="H2166" s="8"/>
      <c r="I2166" s="8"/>
      <c r="J2166" s="8"/>
      <c r="K2166" s="8"/>
      <c r="L2166" s="8"/>
      <c r="M2166" s="8"/>
      <c r="N2166" s="8"/>
      <c r="O2166" s="8"/>
      <c r="P2166" s="8"/>
      <c r="Q2166" s="8"/>
      <c r="R2166" s="8"/>
      <c r="S2166" s="8"/>
      <c r="T2166" s="8"/>
      <c r="U2166" s="8"/>
      <c r="V2166" s="8"/>
      <c r="W2166" s="8"/>
      <c r="X2166" s="8"/>
      <c r="Y2166" s="8"/>
    </row>
    <row r="2167">
      <c r="A2167" s="8"/>
      <c r="B2167" s="8"/>
      <c r="C2167" s="8"/>
      <c r="D2167" s="8"/>
      <c r="E2167" s="8"/>
      <c r="F2167" s="8"/>
      <c r="G2167" s="8"/>
      <c r="H2167" s="8"/>
      <c r="I2167" s="8"/>
      <c r="J2167" s="8"/>
      <c r="K2167" s="8"/>
      <c r="L2167" s="8"/>
      <c r="M2167" s="8"/>
      <c r="N2167" s="8"/>
      <c r="O2167" s="8"/>
      <c r="P2167" s="8"/>
      <c r="Q2167" s="8"/>
      <c r="R2167" s="8"/>
      <c r="S2167" s="8"/>
      <c r="T2167" s="8"/>
      <c r="U2167" s="8"/>
      <c r="V2167" s="8"/>
      <c r="W2167" s="8"/>
      <c r="X2167" s="8"/>
      <c r="Y2167" s="8"/>
    </row>
    <row r="2168">
      <c r="A2168" s="8"/>
      <c r="B2168" s="8"/>
      <c r="C2168" s="8"/>
      <c r="D2168" s="8"/>
      <c r="E2168" s="8"/>
      <c r="F2168" s="8"/>
      <c r="G2168" s="8"/>
      <c r="H2168" s="8"/>
      <c r="I2168" s="8"/>
      <c r="J2168" s="8"/>
      <c r="K2168" s="8"/>
      <c r="L2168" s="8"/>
      <c r="M2168" s="8"/>
      <c r="N2168" s="8"/>
      <c r="O2168" s="8"/>
      <c r="P2168" s="8"/>
      <c r="Q2168" s="8"/>
      <c r="R2168" s="8"/>
      <c r="S2168" s="8"/>
      <c r="T2168" s="8"/>
      <c r="U2168" s="8"/>
      <c r="V2168" s="8"/>
      <c r="W2168" s="8"/>
      <c r="X2168" s="8"/>
      <c r="Y2168" s="8"/>
    </row>
    <row r="2169">
      <c r="A2169" s="8"/>
      <c r="B2169" s="8"/>
      <c r="C2169" s="8"/>
      <c r="D2169" s="8"/>
      <c r="E2169" s="8"/>
      <c r="F2169" s="8"/>
      <c r="G2169" s="8"/>
      <c r="H2169" s="8"/>
      <c r="I2169" s="8"/>
      <c r="J2169" s="8"/>
      <c r="K2169" s="8"/>
      <c r="L2169" s="8"/>
      <c r="M2169" s="8"/>
      <c r="N2169" s="8"/>
      <c r="O2169" s="8"/>
      <c r="P2169" s="8"/>
      <c r="Q2169" s="8"/>
      <c r="R2169" s="8"/>
      <c r="S2169" s="8"/>
      <c r="T2169" s="8"/>
      <c r="U2169" s="8"/>
      <c r="V2169" s="8"/>
      <c r="W2169" s="8"/>
      <c r="X2169" s="8"/>
      <c r="Y2169" s="8"/>
    </row>
    <row r="2170">
      <c r="A2170" s="8"/>
      <c r="B2170" s="8"/>
      <c r="C2170" s="8"/>
      <c r="D2170" s="8"/>
      <c r="E2170" s="8"/>
      <c r="F2170" s="8"/>
      <c r="G2170" s="8"/>
      <c r="H2170" s="8"/>
      <c r="I2170" s="8"/>
      <c r="J2170" s="8"/>
      <c r="K2170" s="8"/>
      <c r="L2170" s="8"/>
      <c r="M2170" s="8"/>
      <c r="N2170" s="8"/>
      <c r="O2170" s="8"/>
      <c r="P2170" s="8"/>
      <c r="Q2170" s="8"/>
      <c r="R2170" s="8"/>
      <c r="S2170" s="8"/>
      <c r="T2170" s="8"/>
      <c r="U2170" s="8"/>
      <c r="V2170" s="8"/>
      <c r="W2170" s="8"/>
      <c r="X2170" s="8"/>
      <c r="Y2170" s="8"/>
    </row>
    <row r="2171">
      <c r="A2171" s="8"/>
      <c r="B2171" s="8"/>
      <c r="C2171" s="8"/>
      <c r="D2171" s="8"/>
      <c r="E2171" s="8"/>
      <c r="F2171" s="8"/>
      <c r="G2171" s="8"/>
      <c r="H2171" s="8"/>
      <c r="I2171" s="8"/>
      <c r="J2171" s="8"/>
      <c r="K2171" s="8"/>
      <c r="L2171" s="8"/>
      <c r="M2171" s="8"/>
      <c r="N2171" s="8"/>
      <c r="O2171" s="8"/>
      <c r="P2171" s="8"/>
      <c r="Q2171" s="8"/>
      <c r="R2171" s="8"/>
      <c r="S2171" s="8"/>
      <c r="T2171" s="8"/>
      <c r="U2171" s="8"/>
      <c r="V2171" s="8"/>
      <c r="W2171" s="8"/>
      <c r="X2171" s="8"/>
      <c r="Y2171" s="8"/>
    </row>
    <row r="2172">
      <c r="A2172" s="8"/>
      <c r="B2172" s="8"/>
      <c r="C2172" s="8"/>
      <c r="D2172" s="8"/>
      <c r="E2172" s="8"/>
      <c r="F2172" s="8"/>
      <c r="G2172" s="8"/>
      <c r="H2172" s="8"/>
      <c r="I2172" s="8"/>
      <c r="J2172" s="8"/>
      <c r="K2172" s="8"/>
      <c r="L2172" s="8"/>
      <c r="M2172" s="8"/>
      <c r="N2172" s="8"/>
      <c r="O2172" s="8"/>
      <c r="P2172" s="8"/>
      <c r="Q2172" s="8"/>
      <c r="R2172" s="8"/>
      <c r="S2172" s="8"/>
      <c r="T2172" s="8"/>
      <c r="U2172" s="8"/>
      <c r="V2172" s="8"/>
      <c r="W2172" s="8"/>
      <c r="X2172" s="8"/>
      <c r="Y2172" s="8"/>
    </row>
    <row r="2173">
      <c r="A2173" s="8"/>
      <c r="B2173" s="8"/>
      <c r="C2173" s="8"/>
      <c r="D2173" s="8"/>
      <c r="E2173" s="8"/>
      <c r="F2173" s="8"/>
      <c r="G2173" s="8"/>
      <c r="H2173" s="8"/>
      <c r="I2173" s="8"/>
      <c r="J2173" s="8"/>
      <c r="K2173" s="8"/>
      <c r="L2173" s="8"/>
      <c r="M2173" s="8"/>
      <c r="N2173" s="8"/>
      <c r="O2173" s="8"/>
      <c r="P2173" s="8"/>
      <c r="Q2173" s="8"/>
      <c r="R2173" s="8"/>
      <c r="S2173" s="8"/>
      <c r="T2173" s="8"/>
      <c r="U2173" s="8"/>
      <c r="V2173" s="8"/>
      <c r="W2173" s="8"/>
      <c r="X2173" s="8"/>
      <c r="Y2173" s="8"/>
    </row>
    <row r="2174">
      <c r="A2174" s="8"/>
      <c r="B2174" s="8"/>
      <c r="C2174" s="8"/>
      <c r="D2174" s="8"/>
      <c r="E2174" s="8"/>
      <c r="F2174" s="8"/>
      <c r="G2174" s="8"/>
      <c r="H2174" s="8"/>
      <c r="I2174" s="8"/>
      <c r="J2174" s="8"/>
      <c r="K2174" s="8"/>
      <c r="L2174" s="8"/>
      <c r="M2174" s="8"/>
      <c r="N2174" s="8"/>
      <c r="O2174" s="8"/>
      <c r="P2174" s="8"/>
      <c r="Q2174" s="8"/>
      <c r="R2174" s="8"/>
      <c r="S2174" s="8"/>
      <c r="T2174" s="8"/>
      <c r="U2174" s="8"/>
      <c r="V2174" s="8"/>
      <c r="W2174" s="8"/>
      <c r="X2174" s="8"/>
      <c r="Y2174" s="8"/>
    </row>
    <row r="2175">
      <c r="A2175" s="8"/>
      <c r="B2175" s="8"/>
      <c r="C2175" s="8"/>
      <c r="D2175" s="8"/>
      <c r="E2175" s="8"/>
      <c r="F2175" s="8"/>
      <c r="G2175" s="8"/>
      <c r="H2175" s="8"/>
      <c r="I2175" s="8"/>
      <c r="J2175" s="8"/>
      <c r="K2175" s="8"/>
      <c r="L2175" s="8"/>
      <c r="M2175" s="8"/>
      <c r="N2175" s="8"/>
      <c r="O2175" s="8"/>
      <c r="P2175" s="8"/>
      <c r="Q2175" s="8"/>
      <c r="R2175" s="8"/>
      <c r="S2175" s="8"/>
      <c r="T2175" s="8"/>
      <c r="U2175" s="8"/>
      <c r="V2175" s="8"/>
      <c r="W2175" s="8"/>
      <c r="X2175" s="8"/>
      <c r="Y2175" s="8"/>
    </row>
    <row r="2176">
      <c r="A2176" s="8"/>
      <c r="B2176" s="8"/>
      <c r="C2176" s="8"/>
      <c r="D2176" s="8"/>
      <c r="E2176" s="8"/>
      <c r="F2176" s="8"/>
      <c r="G2176" s="8"/>
      <c r="H2176" s="8"/>
      <c r="I2176" s="8"/>
      <c r="J2176" s="8"/>
      <c r="K2176" s="8"/>
      <c r="L2176" s="8"/>
      <c r="M2176" s="8"/>
      <c r="N2176" s="8"/>
      <c r="O2176" s="8"/>
      <c r="P2176" s="8"/>
      <c r="Q2176" s="8"/>
      <c r="R2176" s="8"/>
      <c r="S2176" s="8"/>
      <c r="T2176" s="8"/>
      <c r="U2176" s="8"/>
      <c r="V2176" s="8"/>
      <c r="W2176" s="8"/>
      <c r="X2176" s="8"/>
      <c r="Y2176" s="8"/>
    </row>
    <row r="2177">
      <c r="A2177" s="8"/>
      <c r="B2177" s="8"/>
      <c r="C2177" s="8"/>
      <c r="D2177" s="8"/>
      <c r="E2177" s="8"/>
      <c r="F2177" s="8"/>
      <c r="G2177" s="8"/>
      <c r="H2177" s="8"/>
      <c r="I2177" s="8"/>
      <c r="J2177" s="8"/>
      <c r="K2177" s="8"/>
      <c r="L2177" s="8"/>
      <c r="M2177" s="8"/>
      <c r="N2177" s="8"/>
      <c r="O2177" s="8"/>
      <c r="P2177" s="8"/>
      <c r="Q2177" s="8"/>
      <c r="R2177" s="8"/>
      <c r="S2177" s="8"/>
      <c r="T2177" s="8"/>
      <c r="U2177" s="8"/>
      <c r="V2177" s="8"/>
      <c r="W2177" s="8"/>
      <c r="X2177" s="8"/>
      <c r="Y2177" s="8"/>
    </row>
    <row r="2178">
      <c r="A2178" s="8"/>
      <c r="B2178" s="8"/>
      <c r="C2178" s="8"/>
      <c r="D2178" s="8"/>
      <c r="E2178" s="8"/>
      <c r="F2178" s="8"/>
      <c r="G2178" s="8"/>
      <c r="H2178" s="8"/>
      <c r="I2178" s="8"/>
      <c r="J2178" s="8"/>
      <c r="K2178" s="8"/>
      <c r="L2178" s="8"/>
      <c r="M2178" s="8"/>
      <c r="N2178" s="8"/>
      <c r="O2178" s="8"/>
      <c r="P2178" s="8"/>
      <c r="Q2178" s="8"/>
      <c r="R2178" s="8"/>
      <c r="S2178" s="8"/>
      <c r="T2178" s="8"/>
      <c r="U2178" s="8"/>
      <c r="V2178" s="8"/>
      <c r="W2178" s="8"/>
      <c r="X2178" s="8"/>
      <c r="Y2178" s="8"/>
    </row>
    <row r="2179">
      <c r="A2179" s="8"/>
      <c r="B2179" s="8"/>
      <c r="C2179" s="8"/>
      <c r="D2179" s="8"/>
      <c r="E2179" s="8"/>
      <c r="F2179" s="8"/>
      <c r="G2179" s="8"/>
      <c r="H2179" s="8"/>
      <c r="I2179" s="8"/>
      <c r="J2179" s="8"/>
      <c r="K2179" s="8"/>
      <c r="L2179" s="8"/>
      <c r="M2179" s="8"/>
      <c r="N2179" s="8"/>
      <c r="O2179" s="8"/>
      <c r="P2179" s="8"/>
      <c r="Q2179" s="8"/>
      <c r="R2179" s="8"/>
      <c r="S2179" s="8"/>
      <c r="T2179" s="8"/>
      <c r="U2179" s="8"/>
      <c r="V2179" s="8"/>
      <c r="W2179" s="8"/>
      <c r="X2179" s="8"/>
      <c r="Y2179" s="8"/>
    </row>
    <row r="2180">
      <c r="A2180" s="8"/>
      <c r="B2180" s="8"/>
      <c r="C2180" s="8"/>
      <c r="D2180" s="8"/>
      <c r="E2180" s="8"/>
      <c r="F2180" s="8"/>
      <c r="G2180" s="8"/>
      <c r="H2180" s="8"/>
      <c r="I2180" s="8"/>
      <c r="J2180" s="8"/>
      <c r="K2180" s="8"/>
      <c r="L2180" s="8"/>
      <c r="M2180" s="8"/>
      <c r="N2180" s="8"/>
      <c r="O2180" s="8"/>
      <c r="P2180" s="8"/>
      <c r="Q2180" s="8"/>
      <c r="R2180" s="8"/>
      <c r="S2180" s="8"/>
      <c r="T2180" s="8"/>
      <c r="U2180" s="8"/>
      <c r="V2180" s="8"/>
      <c r="W2180" s="8"/>
      <c r="X2180" s="8"/>
      <c r="Y2180" s="8"/>
    </row>
    <row r="2181">
      <c r="A2181" s="8"/>
      <c r="B2181" s="8"/>
      <c r="C2181" s="8"/>
      <c r="D2181" s="8"/>
      <c r="E2181" s="8"/>
      <c r="F2181" s="8"/>
      <c r="G2181" s="8"/>
      <c r="H2181" s="8"/>
      <c r="I2181" s="8"/>
      <c r="J2181" s="8"/>
      <c r="K2181" s="8"/>
      <c r="L2181" s="8"/>
      <c r="M2181" s="8"/>
      <c r="N2181" s="8"/>
      <c r="O2181" s="8"/>
      <c r="P2181" s="8"/>
      <c r="Q2181" s="8"/>
      <c r="R2181" s="8"/>
      <c r="S2181" s="8"/>
      <c r="T2181" s="8"/>
      <c r="U2181" s="8"/>
      <c r="V2181" s="8"/>
      <c r="W2181" s="8"/>
      <c r="X2181" s="8"/>
      <c r="Y2181" s="8"/>
    </row>
    <row r="2182">
      <c r="A2182" s="8"/>
      <c r="B2182" s="8"/>
      <c r="C2182" s="8"/>
      <c r="D2182" s="8"/>
      <c r="E2182" s="8"/>
      <c r="F2182" s="8"/>
      <c r="G2182" s="8"/>
      <c r="H2182" s="8"/>
      <c r="I2182" s="8"/>
      <c r="J2182" s="8"/>
      <c r="K2182" s="8"/>
      <c r="L2182" s="8"/>
      <c r="M2182" s="8"/>
      <c r="N2182" s="8"/>
      <c r="O2182" s="8"/>
      <c r="P2182" s="8"/>
      <c r="Q2182" s="8"/>
      <c r="R2182" s="8"/>
      <c r="S2182" s="8"/>
      <c r="T2182" s="8"/>
      <c r="U2182" s="8"/>
      <c r="V2182" s="8"/>
      <c r="W2182" s="8"/>
      <c r="X2182" s="8"/>
      <c r="Y2182" s="8"/>
    </row>
    <row r="2183">
      <c r="A2183" s="8"/>
      <c r="B2183" s="8"/>
      <c r="C2183" s="8"/>
      <c r="D2183" s="8"/>
      <c r="E2183" s="8"/>
      <c r="F2183" s="8"/>
      <c r="G2183" s="8"/>
      <c r="H2183" s="8"/>
      <c r="I2183" s="8"/>
      <c r="J2183" s="8"/>
      <c r="K2183" s="8"/>
      <c r="L2183" s="8"/>
      <c r="M2183" s="8"/>
      <c r="N2183" s="8"/>
      <c r="O2183" s="8"/>
      <c r="P2183" s="8"/>
      <c r="Q2183" s="8"/>
      <c r="R2183" s="8"/>
      <c r="S2183" s="8"/>
      <c r="T2183" s="8"/>
      <c r="U2183" s="8"/>
      <c r="V2183" s="8"/>
      <c r="W2183" s="8"/>
      <c r="X2183" s="8"/>
      <c r="Y2183" s="8"/>
    </row>
    <row r="2184">
      <c r="A2184" s="8"/>
      <c r="B2184" s="8"/>
      <c r="C2184" s="8"/>
      <c r="D2184" s="8"/>
      <c r="E2184" s="8"/>
      <c r="F2184" s="8"/>
      <c r="G2184" s="8"/>
      <c r="H2184" s="8"/>
      <c r="I2184" s="8"/>
      <c r="J2184" s="8"/>
      <c r="K2184" s="8"/>
      <c r="L2184" s="8"/>
      <c r="M2184" s="8"/>
      <c r="N2184" s="8"/>
      <c r="O2184" s="8"/>
      <c r="P2184" s="8"/>
      <c r="Q2184" s="8"/>
      <c r="R2184" s="8"/>
      <c r="S2184" s="8"/>
      <c r="T2184" s="8"/>
      <c r="U2184" s="8"/>
      <c r="V2184" s="8"/>
      <c r="W2184" s="8"/>
      <c r="X2184" s="8"/>
      <c r="Y2184" s="8"/>
    </row>
    <row r="2185">
      <c r="A2185" s="8"/>
      <c r="B2185" s="8"/>
      <c r="C2185" s="8"/>
      <c r="D2185" s="8"/>
      <c r="E2185" s="8"/>
      <c r="F2185" s="8"/>
      <c r="G2185" s="8"/>
      <c r="H2185" s="8"/>
      <c r="I2185" s="8"/>
      <c r="J2185" s="8"/>
      <c r="K2185" s="8"/>
      <c r="L2185" s="8"/>
      <c r="M2185" s="8"/>
      <c r="N2185" s="8"/>
      <c r="O2185" s="8"/>
      <c r="P2185" s="8"/>
      <c r="Q2185" s="8"/>
      <c r="R2185" s="8"/>
      <c r="S2185" s="8"/>
      <c r="T2185" s="8"/>
      <c r="U2185" s="8"/>
      <c r="V2185" s="8"/>
      <c r="W2185" s="8"/>
      <c r="X2185" s="8"/>
      <c r="Y2185" s="8"/>
    </row>
    <row r="2186">
      <c r="A2186" s="8"/>
      <c r="B2186" s="8"/>
      <c r="C2186" s="8"/>
      <c r="D2186" s="8"/>
      <c r="E2186" s="8"/>
      <c r="F2186" s="8"/>
      <c r="G2186" s="8"/>
      <c r="H2186" s="8"/>
      <c r="I2186" s="8"/>
      <c r="J2186" s="8"/>
      <c r="K2186" s="8"/>
      <c r="L2186" s="8"/>
      <c r="M2186" s="8"/>
      <c r="N2186" s="8"/>
      <c r="O2186" s="8"/>
      <c r="P2186" s="8"/>
      <c r="Q2186" s="8"/>
      <c r="R2186" s="8"/>
      <c r="S2186" s="8"/>
      <c r="T2186" s="8"/>
      <c r="U2186" s="8"/>
      <c r="V2186" s="8"/>
      <c r="W2186" s="8"/>
      <c r="X2186" s="8"/>
      <c r="Y2186" s="8"/>
    </row>
    <row r="2187">
      <c r="A2187" s="8"/>
      <c r="B2187" s="8"/>
      <c r="C2187" s="8"/>
      <c r="D2187" s="8"/>
      <c r="E2187" s="8"/>
      <c r="F2187" s="8"/>
      <c r="G2187" s="8"/>
      <c r="H2187" s="8"/>
      <c r="I2187" s="8"/>
      <c r="J2187" s="8"/>
      <c r="K2187" s="8"/>
      <c r="L2187" s="8"/>
      <c r="M2187" s="8"/>
      <c r="N2187" s="8"/>
      <c r="O2187" s="8"/>
      <c r="P2187" s="8"/>
      <c r="Q2187" s="8"/>
      <c r="R2187" s="8"/>
      <c r="S2187" s="8"/>
      <c r="T2187" s="8"/>
      <c r="U2187" s="8"/>
      <c r="V2187" s="8"/>
      <c r="W2187" s="8"/>
      <c r="X2187" s="8"/>
      <c r="Y2187" s="8"/>
    </row>
    <row r="2188">
      <c r="A2188" s="8"/>
      <c r="B2188" s="8"/>
      <c r="C2188" s="8"/>
      <c r="D2188" s="8"/>
      <c r="E2188" s="8"/>
      <c r="F2188" s="8"/>
      <c r="G2188" s="8"/>
      <c r="H2188" s="8"/>
      <c r="I2188" s="8"/>
      <c r="J2188" s="8"/>
      <c r="K2188" s="8"/>
      <c r="L2188" s="8"/>
      <c r="M2188" s="8"/>
      <c r="N2188" s="8"/>
      <c r="O2188" s="8"/>
      <c r="P2188" s="8"/>
      <c r="Q2188" s="8"/>
      <c r="R2188" s="8"/>
      <c r="S2188" s="8"/>
      <c r="T2188" s="8"/>
      <c r="U2188" s="8"/>
      <c r="V2188" s="8"/>
      <c r="W2188" s="8"/>
      <c r="X2188" s="8"/>
      <c r="Y2188" s="8"/>
    </row>
    <row r="2189">
      <c r="A2189" s="8"/>
      <c r="B2189" s="8"/>
      <c r="C2189" s="8"/>
      <c r="D2189" s="8"/>
      <c r="E2189" s="8"/>
      <c r="F2189" s="8"/>
      <c r="G2189" s="8"/>
      <c r="H2189" s="8"/>
      <c r="I2189" s="8"/>
      <c r="J2189" s="8"/>
      <c r="K2189" s="8"/>
      <c r="L2189" s="8"/>
      <c r="M2189" s="8"/>
      <c r="N2189" s="8"/>
      <c r="O2189" s="8"/>
      <c r="P2189" s="8"/>
      <c r="Q2189" s="8"/>
      <c r="R2189" s="8"/>
      <c r="S2189" s="8"/>
      <c r="T2189" s="8"/>
      <c r="U2189" s="8"/>
      <c r="V2189" s="8"/>
      <c r="W2189" s="8"/>
      <c r="X2189" s="8"/>
      <c r="Y2189" s="8"/>
    </row>
    <row r="2190">
      <c r="A2190" s="8"/>
      <c r="B2190" s="8"/>
      <c r="C2190" s="8"/>
      <c r="D2190" s="8"/>
      <c r="E2190" s="8"/>
      <c r="F2190" s="8"/>
      <c r="G2190" s="8"/>
      <c r="H2190" s="8"/>
      <c r="I2190" s="8"/>
      <c r="J2190" s="8"/>
      <c r="K2190" s="8"/>
      <c r="L2190" s="8"/>
      <c r="M2190" s="8"/>
      <c r="N2190" s="8"/>
      <c r="O2190" s="8"/>
      <c r="P2190" s="8"/>
      <c r="Q2190" s="8"/>
      <c r="R2190" s="8"/>
      <c r="S2190" s="8"/>
      <c r="T2190" s="8"/>
      <c r="U2190" s="8"/>
      <c r="V2190" s="8"/>
      <c r="W2190" s="8"/>
      <c r="X2190" s="8"/>
      <c r="Y2190" s="8"/>
    </row>
    <row r="2191">
      <c r="A2191" s="8"/>
      <c r="B2191" s="8"/>
      <c r="C2191" s="8"/>
      <c r="D2191" s="8"/>
      <c r="E2191" s="8"/>
      <c r="F2191" s="8"/>
      <c r="G2191" s="8"/>
      <c r="H2191" s="8"/>
      <c r="I2191" s="8"/>
      <c r="J2191" s="8"/>
      <c r="K2191" s="8"/>
      <c r="L2191" s="8"/>
      <c r="M2191" s="8"/>
      <c r="N2191" s="8"/>
      <c r="O2191" s="8"/>
      <c r="P2191" s="8"/>
      <c r="Q2191" s="8"/>
      <c r="R2191" s="8"/>
      <c r="S2191" s="8"/>
      <c r="T2191" s="8"/>
      <c r="U2191" s="8"/>
      <c r="V2191" s="8"/>
      <c r="W2191" s="8"/>
      <c r="X2191" s="8"/>
      <c r="Y2191" s="8"/>
    </row>
    <row r="2192">
      <c r="A2192" s="8"/>
      <c r="B2192" s="8"/>
      <c r="C2192" s="8"/>
      <c r="D2192" s="8"/>
      <c r="E2192" s="8"/>
      <c r="F2192" s="8"/>
      <c r="G2192" s="8"/>
      <c r="H2192" s="8"/>
      <c r="I2192" s="8"/>
      <c r="J2192" s="8"/>
      <c r="K2192" s="8"/>
      <c r="L2192" s="8"/>
      <c r="M2192" s="8"/>
      <c r="N2192" s="8"/>
      <c r="O2192" s="8"/>
      <c r="P2192" s="8"/>
      <c r="Q2192" s="8"/>
      <c r="R2192" s="8"/>
      <c r="S2192" s="8"/>
      <c r="T2192" s="8"/>
      <c r="U2192" s="8"/>
      <c r="V2192" s="8"/>
      <c r="W2192" s="8"/>
      <c r="X2192" s="8"/>
      <c r="Y2192" s="8"/>
    </row>
    <row r="2193">
      <c r="A2193" s="8"/>
      <c r="B2193" s="8"/>
      <c r="C2193" s="8"/>
      <c r="D2193" s="8"/>
      <c r="E2193" s="8"/>
      <c r="F2193" s="8"/>
      <c r="G2193" s="8"/>
      <c r="H2193" s="8"/>
      <c r="I2193" s="8"/>
      <c r="J2193" s="8"/>
      <c r="K2193" s="8"/>
      <c r="L2193" s="8"/>
      <c r="M2193" s="8"/>
      <c r="N2193" s="8"/>
      <c r="O2193" s="8"/>
      <c r="P2193" s="8"/>
      <c r="Q2193" s="8"/>
      <c r="R2193" s="8"/>
      <c r="S2193" s="8"/>
      <c r="T2193" s="8"/>
      <c r="U2193" s="8"/>
      <c r="V2193" s="8"/>
      <c r="W2193" s="8"/>
      <c r="X2193" s="8"/>
      <c r="Y2193" s="8"/>
    </row>
    <row r="2194">
      <c r="A2194" s="8"/>
      <c r="B2194" s="8"/>
      <c r="C2194" s="8"/>
      <c r="D2194" s="8"/>
      <c r="E2194" s="8"/>
      <c r="F2194" s="8"/>
      <c r="G2194" s="8"/>
      <c r="H2194" s="8"/>
      <c r="I2194" s="8"/>
      <c r="J2194" s="8"/>
      <c r="K2194" s="8"/>
      <c r="L2194" s="8"/>
      <c r="M2194" s="8"/>
      <c r="N2194" s="8"/>
      <c r="O2194" s="8"/>
      <c r="P2194" s="8"/>
      <c r="Q2194" s="8"/>
      <c r="R2194" s="8"/>
      <c r="S2194" s="8"/>
      <c r="T2194" s="8"/>
      <c r="U2194" s="8"/>
      <c r="V2194" s="8"/>
      <c r="W2194" s="8"/>
      <c r="X2194" s="8"/>
      <c r="Y2194" s="8"/>
    </row>
    <row r="2195">
      <c r="A2195" s="8"/>
      <c r="B2195" s="8"/>
      <c r="C2195" s="8"/>
      <c r="D2195" s="8"/>
      <c r="E2195" s="8"/>
      <c r="F2195" s="8"/>
      <c r="G2195" s="8"/>
      <c r="H2195" s="8"/>
      <c r="I2195" s="8"/>
      <c r="J2195" s="8"/>
      <c r="K2195" s="8"/>
      <c r="L2195" s="8"/>
      <c r="M2195" s="8"/>
      <c r="N2195" s="8"/>
      <c r="O2195" s="8"/>
      <c r="P2195" s="8"/>
      <c r="Q2195" s="8"/>
      <c r="R2195" s="8"/>
      <c r="S2195" s="8"/>
      <c r="T2195" s="8"/>
      <c r="U2195" s="8"/>
      <c r="V2195" s="8"/>
      <c r="W2195" s="8"/>
      <c r="X2195" s="8"/>
      <c r="Y2195" s="8"/>
    </row>
    <row r="2196">
      <c r="A2196" s="8"/>
      <c r="B2196" s="8"/>
      <c r="C2196" s="8"/>
      <c r="D2196" s="8"/>
      <c r="E2196" s="8"/>
      <c r="F2196" s="8"/>
      <c r="G2196" s="8"/>
      <c r="H2196" s="8"/>
      <c r="I2196" s="8"/>
      <c r="J2196" s="8"/>
      <c r="K2196" s="8"/>
      <c r="L2196" s="8"/>
      <c r="M2196" s="8"/>
      <c r="N2196" s="8"/>
      <c r="O2196" s="8"/>
      <c r="P2196" s="8"/>
      <c r="Q2196" s="8"/>
      <c r="R2196" s="8"/>
      <c r="S2196" s="8"/>
      <c r="T2196" s="8"/>
      <c r="U2196" s="8"/>
      <c r="V2196" s="8"/>
      <c r="W2196" s="8"/>
      <c r="X2196" s="8"/>
      <c r="Y2196" s="8"/>
    </row>
    <row r="2197">
      <c r="A2197" s="8"/>
      <c r="B2197" s="8"/>
      <c r="C2197" s="8"/>
      <c r="D2197" s="8"/>
      <c r="E2197" s="8"/>
      <c r="F2197" s="8"/>
      <c r="G2197" s="8"/>
      <c r="H2197" s="8"/>
      <c r="I2197" s="8"/>
      <c r="J2197" s="8"/>
      <c r="K2197" s="8"/>
      <c r="L2197" s="8"/>
      <c r="M2197" s="8"/>
      <c r="N2197" s="8"/>
      <c r="O2197" s="8"/>
      <c r="P2197" s="8"/>
      <c r="Q2197" s="8"/>
      <c r="R2197" s="8"/>
      <c r="S2197" s="8"/>
      <c r="T2197" s="8"/>
      <c r="U2197" s="8"/>
      <c r="V2197" s="8"/>
      <c r="W2197" s="8"/>
      <c r="X2197" s="8"/>
      <c r="Y2197" s="8"/>
    </row>
    <row r="2198">
      <c r="A2198" s="8"/>
      <c r="B2198" s="8"/>
      <c r="C2198" s="8"/>
      <c r="D2198" s="8"/>
      <c r="E2198" s="8"/>
      <c r="F2198" s="8"/>
      <c r="G2198" s="8"/>
      <c r="H2198" s="8"/>
      <c r="I2198" s="8"/>
      <c r="J2198" s="8"/>
      <c r="K2198" s="8"/>
      <c r="L2198" s="8"/>
      <c r="M2198" s="8"/>
      <c r="N2198" s="8"/>
      <c r="O2198" s="8"/>
      <c r="P2198" s="8"/>
      <c r="Q2198" s="8"/>
      <c r="R2198" s="8"/>
      <c r="S2198" s="8"/>
      <c r="T2198" s="8"/>
      <c r="U2198" s="8"/>
      <c r="V2198" s="8"/>
      <c r="W2198" s="8"/>
      <c r="X2198" s="8"/>
      <c r="Y2198" s="8"/>
    </row>
    <row r="2199">
      <c r="A2199" s="8"/>
      <c r="B2199" s="8"/>
      <c r="C2199" s="8"/>
      <c r="D2199" s="8"/>
      <c r="E2199" s="8"/>
      <c r="F2199" s="8"/>
      <c r="G2199" s="8"/>
      <c r="H2199" s="8"/>
      <c r="I2199" s="8"/>
      <c r="J2199" s="8"/>
      <c r="K2199" s="8"/>
      <c r="L2199" s="8"/>
      <c r="M2199" s="8"/>
      <c r="N2199" s="8"/>
      <c r="O2199" s="8"/>
      <c r="P2199" s="8"/>
      <c r="Q2199" s="8"/>
      <c r="R2199" s="8"/>
      <c r="S2199" s="8"/>
      <c r="T2199" s="8"/>
      <c r="U2199" s="8"/>
      <c r="V2199" s="8"/>
      <c r="W2199" s="8"/>
      <c r="X2199" s="8"/>
      <c r="Y2199" s="8"/>
    </row>
    <row r="2200">
      <c r="A2200" s="8"/>
      <c r="B2200" s="8"/>
      <c r="C2200" s="8"/>
      <c r="D2200" s="8"/>
      <c r="E2200" s="8"/>
      <c r="F2200" s="8"/>
      <c r="G2200" s="8"/>
      <c r="H2200" s="8"/>
      <c r="I2200" s="8"/>
      <c r="J2200" s="8"/>
      <c r="K2200" s="8"/>
      <c r="L2200" s="8"/>
      <c r="M2200" s="8"/>
      <c r="N2200" s="8"/>
      <c r="O2200" s="8"/>
      <c r="P2200" s="8"/>
      <c r="Q2200" s="8"/>
      <c r="R2200" s="8"/>
      <c r="S2200" s="8"/>
      <c r="T2200" s="8"/>
      <c r="U2200" s="8"/>
      <c r="V2200" s="8"/>
      <c r="W2200" s="8"/>
      <c r="X2200" s="8"/>
      <c r="Y2200" s="8"/>
    </row>
    <row r="2201">
      <c r="A2201" s="8"/>
      <c r="B2201" s="8"/>
      <c r="C2201" s="8"/>
      <c r="D2201" s="8"/>
      <c r="E2201" s="8"/>
      <c r="F2201" s="8"/>
      <c r="G2201" s="8"/>
      <c r="H2201" s="8"/>
      <c r="I2201" s="8"/>
      <c r="J2201" s="8"/>
      <c r="K2201" s="8"/>
      <c r="L2201" s="8"/>
      <c r="M2201" s="8"/>
      <c r="N2201" s="8"/>
      <c r="O2201" s="8"/>
      <c r="P2201" s="8"/>
      <c r="Q2201" s="8"/>
      <c r="R2201" s="8"/>
      <c r="S2201" s="8"/>
      <c r="T2201" s="8"/>
      <c r="U2201" s="8"/>
      <c r="V2201" s="8"/>
      <c r="W2201" s="8"/>
      <c r="X2201" s="8"/>
      <c r="Y2201" s="8"/>
    </row>
    <row r="2202">
      <c r="A2202" s="8"/>
      <c r="B2202" s="8"/>
      <c r="C2202" s="8"/>
      <c r="D2202" s="8"/>
      <c r="E2202" s="8"/>
      <c r="F2202" s="8"/>
      <c r="G2202" s="8"/>
      <c r="H2202" s="8"/>
      <c r="I2202" s="8"/>
      <c r="J2202" s="8"/>
      <c r="K2202" s="8"/>
      <c r="L2202" s="8"/>
      <c r="M2202" s="8"/>
      <c r="N2202" s="8"/>
      <c r="O2202" s="8"/>
      <c r="P2202" s="8"/>
      <c r="Q2202" s="8"/>
      <c r="R2202" s="8"/>
      <c r="S2202" s="8"/>
      <c r="T2202" s="8"/>
      <c r="U2202" s="8"/>
      <c r="V2202" s="8"/>
      <c r="W2202" s="8"/>
      <c r="X2202" s="8"/>
      <c r="Y2202" s="8"/>
    </row>
    <row r="2203">
      <c r="A2203" s="8"/>
      <c r="B2203" s="8"/>
      <c r="C2203" s="8"/>
      <c r="D2203" s="8"/>
      <c r="E2203" s="8"/>
      <c r="F2203" s="8"/>
      <c r="G2203" s="8"/>
      <c r="H2203" s="8"/>
      <c r="I2203" s="8"/>
      <c r="J2203" s="8"/>
      <c r="K2203" s="8"/>
      <c r="L2203" s="8"/>
      <c r="M2203" s="8"/>
      <c r="N2203" s="8"/>
      <c r="O2203" s="8"/>
      <c r="P2203" s="8"/>
      <c r="Q2203" s="8"/>
      <c r="R2203" s="8"/>
      <c r="S2203" s="8"/>
      <c r="T2203" s="8"/>
      <c r="U2203" s="8"/>
      <c r="V2203" s="8"/>
      <c r="W2203" s="8"/>
      <c r="X2203" s="8"/>
      <c r="Y2203" s="8"/>
    </row>
    <row r="2204">
      <c r="A2204" s="8"/>
      <c r="B2204" s="8"/>
      <c r="C2204" s="8"/>
      <c r="D2204" s="8"/>
      <c r="E2204" s="8"/>
      <c r="F2204" s="8"/>
      <c r="G2204" s="8"/>
      <c r="H2204" s="8"/>
      <c r="I2204" s="8"/>
      <c r="J2204" s="8"/>
      <c r="K2204" s="8"/>
      <c r="L2204" s="8"/>
      <c r="M2204" s="8"/>
      <c r="N2204" s="8"/>
      <c r="O2204" s="8"/>
      <c r="P2204" s="8"/>
      <c r="Q2204" s="8"/>
      <c r="R2204" s="8"/>
      <c r="S2204" s="8"/>
      <c r="T2204" s="8"/>
      <c r="U2204" s="8"/>
      <c r="V2204" s="8"/>
      <c r="W2204" s="8"/>
      <c r="X2204" s="8"/>
      <c r="Y2204" s="8"/>
    </row>
    <row r="2205">
      <c r="A2205" s="8"/>
      <c r="B2205" s="8"/>
      <c r="C2205" s="8"/>
      <c r="D2205" s="8"/>
      <c r="E2205" s="8"/>
      <c r="F2205" s="8"/>
      <c r="G2205" s="8"/>
      <c r="H2205" s="8"/>
      <c r="I2205" s="8"/>
      <c r="J2205" s="8"/>
      <c r="K2205" s="8"/>
      <c r="L2205" s="8"/>
      <c r="M2205" s="8"/>
      <c r="N2205" s="8"/>
      <c r="O2205" s="8"/>
      <c r="P2205" s="8"/>
      <c r="Q2205" s="8"/>
      <c r="R2205" s="8"/>
      <c r="S2205" s="8"/>
      <c r="T2205" s="8"/>
      <c r="U2205" s="8"/>
      <c r="V2205" s="8"/>
      <c r="W2205" s="8"/>
      <c r="X2205" s="8"/>
      <c r="Y2205" s="8"/>
    </row>
    <row r="2206">
      <c r="A2206" s="8"/>
      <c r="B2206" s="8"/>
      <c r="C2206" s="8"/>
      <c r="D2206" s="8"/>
      <c r="E2206" s="8"/>
      <c r="F2206" s="8"/>
      <c r="G2206" s="8"/>
      <c r="H2206" s="8"/>
      <c r="I2206" s="8"/>
      <c r="J2206" s="8"/>
      <c r="K2206" s="8"/>
      <c r="L2206" s="8"/>
      <c r="M2206" s="8"/>
      <c r="N2206" s="8"/>
      <c r="O2206" s="8"/>
      <c r="P2206" s="8"/>
      <c r="Q2206" s="8"/>
      <c r="R2206" s="8"/>
      <c r="S2206" s="8"/>
      <c r="T2206" s="8"/>
      <c r="U2206" s="8"/>
      <c r="V2206" s="8"/>
      <c r="W2206" s="8"/>
      <c r="X2206" s="8"/>
      <c r="Y2206" s="8"/>
    </row>
    <row r="2207">
      <c r="A2207" s="8"/>
      <c r="B2207" s="8"/>
      <c r="C2207" s="8"/>
      <c r="D2207" s="8"/>
      <c r="E2207" s="8"/>
      <c r="F2207" s="8"/>
      <c r="G2207" s="8"/>
      <c r="H2207" s="8"/>
      <c r="I2207" s="8"/>
      <c r="J2207" s="8"/>
      <c r="K2207" s="8"/>
      <c r="L2207" s="8"/>
      <c r="M2207" s="8"/>
      <c r="N2207" s="8"/>
      <c r="O2207" s="8"/>
      <c r="P2207" s="8"/>
      <c r="Q2207" s="8"/>
      <c r="R2207" s="8"/>
      <c r="S2207" s="8"/>
      <c r="T2207" s="8"/>
      <c r="U2207" s="8"/>
      <c r="V2207" s="8"/>
      <c r="W2207" s="8"/>
      <c r="X2207" s="8"/>
      <c r="Y2207" s="8"/>
    </row>
    <row r="2208">
      <c r="A2208" s="8"/>
      <c r="B2208" s="8"/>
      <c r="C2208" s="8"/>
      <c r="D2208" s="8"/>
      <c r="E2208" s="8"/>
      <c r="F2208" s="8"/>
      <c r="G2208" s="8"/>
      <c r="H2208" s="8"/>
      <c r="I2208" s="8"/>
      <c r="J2208" s="8"/>
      <c r="K2208" s="8"/>
      <c r="L2208" s="8"/>
      <c r="M2208" s="8"/>
      <c r="N2208" s="8"/>
      <c r="O2208" s="8"/>
      <c r="P2208" s="8"/>
      <c r="Q2208" s="8"/>
      <c r="R2208" s="8"/>
      <c r="S2208" s="8"/>
      <c r="T2208" s="8"/>
      <c r="U2208" s="8"/>
      <c r="V2208" s="8"/>
      <c r="W2208" s="8"/>
      <c r="X2208" s="8"/>
      <c r="Y2208" s="8"/>
    </row>
    <row r="2209">
      <c r="A2209" s="8"/>
      <c r="B2209" s="8"/>
      <c r="C2209" s="8"/>
      <c r="D2209" s="8"/>
      <c r="E2209" s="8"/>
      <c r="F2209" s="8"/>
      <c r="G2209" s="8"/>
      <c r="H2209" s="8"/>
      <c r="I2209" s="8"/>
      <c r="J2209" s="8"/>
      <c r="K2209" s="8"/>
      <c r="L2209" s="8"/>
      <c r="M2209" s="8"/>
      <c r="N2209" s="8"/>
      <c r="O2209" s="8"/>
      <c r="P2209" s="8"/>
      <c r="Q2209" s="8"/>
      <c r="R2209" s="8"/>
      <c r="S2209" s="8"/>
      <c r="T2209" s="8"/>
      <c r="U2209" s="8"/>
      <c r="V2209" s="8"/>
      <c r="W2209" s="8"/>
      <c r="X2209" s="8"/>
      <c r="Y2209" s="8"/>
    </row>
    <row r="2210">
      <c r="A2210" s="8"/>
      <c r="B2210" s="8"/>
      <c r="C2210" s="8"/>
      <c r="D2210" s="8"/>
      <c r="E2210" s="8"/>
      <c r="F2210" s="8"/>
      <c r="G2210" s="8"/>
      <c r="H2210" s="8"/>
      <c r="I2210" s="8"/>
      <c r="J2210" s="8"/>
      <c r="K2210" s="8"/>
      <c r="L2210" s="8"/>
      <c r="M2210" s="8"/>
      <c r="N2210" s="8"/>
      <c r="O2210" s="8"/>
      <c r="P2210" s="8"/>
      <c r="Q2210" s="8"/>
      <c r="R2210" s="8"/>
      <c r="S2210" s="8"/>
      <c r="T2210" s="8"/>
      <c r="U2210" s="8"/>
      <c r="V2210" s="8"/>
      <c r="W2210" s="8"/>
      <c r="X2210" s="8"/>
      <c r="Y2210" s="8"/>
    </row>
    <row r="2211">
      <c r="A2211" s="8"/>
      <c r="B2211" s="8"/>
      <c r="C2211" s="8"/>
      <c r="D2211" s="8"/>
      <c r="E2211" s="8"/>
      <c r="F2211" s="8"/>
      <c r="G2211" s="8"/>
      <c r="H2211" s="8"/>
      <c r="I2211" s="8"/>
      <c r="J2211" s="8"/>
      <c r="K2211" s="8"/>
      <c r="L2211" s="8"/>
      <c r="M2211" s="8"/>
      <c r="N2211" s="8"/>
      <c r="O2211" s="8"/>
      <c r="P2211" s="8"/>
      <c r="Q2211" s="8"/>
      <c r="R2211" s="8"/>
      <c r="S2211" s="8"/>
      <c r="T2211" s="8"/>
      <c r="U2211" s="8"/>
      <c r="V2211" s="8"/>
      <c r="W2211" s="8"/>
      <c r="X2211" s="8"/>
      <c r="Y2211" s="8"/>
    </row>
    <row r="2212">
      <c r="A2212" s="8"/>
      <c r="B2212" s="8"/>
      <c r="C2212" s="8"/>
      <c r="D2212" s="8"/>
      <c r="E2212" s="8"/>
      <c r="F2212" s="8"/>
      <c r="G2212" s="8"/>
      <c r="H2212" s="8"/>
      <c r="I2212" s="8"/>
      <c r="J2212" s="8"/>
      <c r="K2212" s="8"/>
      <c r="L2212" s="8"/>
      <c r="M2212" s="8"/>
      <c r="N2212" s="8"/>
      <c r="O2212" s="8"/>
      <c r="P2212" s="8"/>
      <c r="Q2212" s="8"/>
      <c r="R2212" s="8"/>
      <c r="S2212" s="8"/>
      <c r="T2212" s="8"/>
      <c r="U2212" s="8"/>
      <c r="V2212" s="8"/>
      <c r="W2212" s="8"/>
      <c r="X2212" s="8"/>
      <c r="Y2212" s="8"/>
    </row>
    <row r="2213">
      <c r="A2213" s="8"/>
      <c r="B2213" s="8"/>
      <c r="C2213" s="8"/>
      <c r="D2213" s="8"/>
      <c r="E2213" s="8"/>
      <c r="F2213" s="8"/>
      <c r="G2213" s="8"/>
      <c r="H2213" s="8"/>
      <c r="I2213" s="8"/>
      <c r="J2213" s="8"/>
      <c r="K2213" s="8"/>
      <c r="L2213" s="8"/>
      <c r="M2213" s="8"/>
      <c r="N2213" s="8"/>
      <c r="O2213" s="8"/>
      <c r="P2213" s="8"/>
      <c r="Q2213" s="8"/>
      <c r="R2213" s="8"/>
      <c r="S2213" s="8"/>
      <c r="T2213" s="8"/>
      <c r="U2213" s="8"/>
      <c r="V2213" s="8"/>
      <c r="W2213" s="8"/>
      <c r="X2213" s="8"/>
      <c r="Y2213" s="8"/>
    </row>
    <row r="2214">
      <c r="A2214" s="8"/>
      <c r="B2214" s="8"/>
      <c r="C2214" s="8"/>
      <c r="D2214" s="8"/>
      <c r="E2214" s="8"/>
      <c r="F2214" s="8"/>
      <c r="G2214" s="8"/>
      <c r="H2214" s="8"/>
      <c r="I2214" s="8"/>
      <c r="J2214" s="8"/>
      <c r="K2214" s="8"/>
      <c r="L2214" s="8"/>
      <c r="M2214" s="8"/>
      <c r="N2214" s="8"/>
      <c r="O2214" s="8"/>
      <c r="P2214" s="8"/>
      <c r="Q2214" s="8"/>
      <c r="R2214" s="8"/>
      <c r="S2214" s="8"/>
      <c r="T2214" s="8"/>
      <c r="U2214" s="8"/>
      <c r="V2214" s="8"/>
      <c r="W2214" s="8"/>
      <c r="X2214" s="8"/>
      <c r="Y2214" s="8"/>
    </row>
    <row r="2215">
      <c r="A2215" s="8"/>
      <c r="B2215" s="8"/>
      <c r="C2215" s="8"/>
      <c r="D2215" s="8"/>
      <c r="E2215" s="8"/>
      <c r="F2215" s="8"/>
      <c r="G2215" s="8"/>
      <c r="H2215" s="8"/>
      <c r="I2215" s="8"/>
      <c r="J2215" s="8"/>
      <c r="K2215" s="8"/>
      <c r="L2215" s="8"/>
      <c r="M2215" s="8"/>
      <c r="N2215" s="8"/>
      <c r="O2215" s="8"/>
      <c r="P2215" s="8"/>
      <c r="Q2215" s="8"/>
      <c r="R2215" s="8"/>
      <c r="S2215" s="8"/>
      <c r="T2215" s="8"/>
      <c r="U2215" s="8"/>
      <c r="V2215" s="8"/>
      <c r="W2215" s="8"/>
      <c r="X2215" s="8"/>
      <c r="Y2215" s="8"/>
    </row>
    <row r="2216">
      <c r="A2216" s="8"/>
      <c r="B2216" s="8"/>
      <c r="C2216" s="8"/>
      <c r="D2216" s="8"/>
      <c r="E2216" s="8"/>
      <c r="F2216" s="8"/>
      <c r="G2216" s="8"/>
      <c r="H2216" s="8"/>
      <c r="I2216" s="8"/>
      <c r="J2216" s="8"/>
      <c r="K2216" s="8"/>
      <c r="L2216" s="8"/>
      <c r="M2216" s="8"/>
      <c r="N2216" s="8"/>
      <c r="O2216" s="8"/>
      <c r="P2216" s="8"/>
      <c r="Q2216" s="8"/>
      <c r="R2216" s="8"/>
      <c r="S2216" s="8"/>
      <c r="T2216" s="8"/>
      <c r="U2216" s="8"/>
      <c r="V2216" s="8"/>
      <c r="W2216" s="8"/>
      <c r="X2216" s="8"/>
      <c r="Y2216" s="8"/>
    </row>
    <row r="2217">
      <c r="A2217" s="8"/>
      <c r="B2217" s="8"/>
      <c r="C2217" s="8"/>
      <c r="D2217" s="8"/>
      <c r="E2217" s="8"/>
      <c r="F2217" s="8"/>
      <c r="G2217" s="8"/>
      <c r="H2217" s="8"/>
      <c r="I2217" s="8"/>
      <c r="J2217" s="8"/>
      <c r="K2217" s="8"/>
      <c r="L2217" s="8"/>
      <c r="M2217" s="8"/>
      <c r="N2217" s="8"/>
      <c r="O2217" s="8"/>
      <c r="P2217" s="8"/>
      <c r="Q2217" s="8"/>
      <c r="R2217" s="8"/>
      <c r="S2217" s="8"/>
      <c r="T2217" s="8"/>
      <c r="U2217" s="8"/>
      <c r="V2217" s="8"/>
      <c r="W2217" s="8"/>
      <c r="X2217" s="8"/>
      <c r="Y2217" s="8"/>
    </row>
    <row r="2218">
      <c r="A2218" s="8"/>
      <c r="B2218" s="8"/>
      <c r="C2218" s="8"/>
      <c r="D2218" s="8"/>
      <c r="E2218" s="8"/>
      <c r="F2218" s="8"/>
      <c r="G2218" s="8"/>
      <c r="H2218" s="8"/>
      <c r="I2218" s="8"/>
      <c r="J2218" s="8"/>
      <c r="K2218" s="8"/>
      <c r="L2218" s="8"/>
      <c r="M2218" s="8"/>
      <c r="N2218" s="8"/>
      <c r="O2218" s="8"/>
      <c r="P2218" s="8"/>
      <c r="Q2218" s="8"/>
      <c r="R2218" s="8"/>
      <c r="S2218" s="8"/>
      <c r="T2218" s="8"/>
      <c r="U2218" s="8"/>
      <c r="V2218" s="8"/>
      <c r="W2218" s="8"/>
      <c r="X2218" s="8"/>
      <c r="Y2218" s="8"/>
    </row>
    <row r="2219">
      <c r="A2219" s="8"/>
      <c r="B2219" s="8"/>
      <c r="C2219" s="8"/>
      <c r="D2219" s="8"/>
      <c r="E2219" s="8"/>
      <c r="F2219" s="8"/>
      <c r="G2219" s="8"/>
      <c r="H2219" s="8"/>
      <c r="I2219" s="8"/>
      <c r="J2219" s="8"/>
      <c r="K2219" s="8"/>
      <c r="L2219" s="8"/>
      <c r="M2219" s="8"/>
      <c r="N2219" s="8"/>
      <c r="O2219" s="8"/>
      <c r="P2219" s="8"/>
      <c r="Q2219" s="8"/>
      <c r="R2219" s="8"/>
      <c r="S2219" s="8"/>
      <c r="T2219" s="8"/>
      <c r="U2219" s="8"/>
      <c r="V2219" s="8"/>
      <c r="W2219" s="8"/>
      <c r="X2219" s="8"/>
      <c r="Y2219" s="8"/>
    </row>
    <row r="2220">
      <c r="A2220" s="8"/>
      <c r="B2220" s="8"/>
      <c r="C2220" s="8"/>
      <c r="D2220" s="8"/>
      <c r="E2220" s="8"/>
      <c r="F2220" s="8"/>
      <c r="G2220" s="8"/>
      <c r="H2220" s="8"/>
      <c r="I2220" s="8"/>
      <c r="J2220" s="8"/>
      <c r="K2220" s="8"/>
      <c r="L2220" s="8"/>
      <c r="M2220" s="8"/>
      <c r="N2220" s="8"/>
      <c r="O2220" s="8"/>
      <c r="P2220" s="8"/>
      <c r="Q2220" s="8"/>
      <c r="R2220" s="8"/>
      <c r="S2220" s="8"/>
      <c r="T2220" s="8"/>
      <c r="U2220" s="8"/>
      <c r="V2220" s="8"/>
      <c r="W2220" s="8"/>
      <c r="X2220" s="8"/>
      <c r="Y2220" s="8"/>
    </row>
    <row r="2221">
      <c r="A2221" s="8"/>
      <c r="B2221" s="8"/>
      <c r="C2221" s="8"/>
      <c r="D2221" s="8"/>
      <c r="E2221" s="8"/>
      <c r="F2221" s="8"/>
      <c r="G2221" s="8"/>
      <c r="H2221" s="8"/>
      <c r="I2221" s="8"/>
      <c r="J2221" s="8"/>
      <c r="K2221" s="8"/>
      <c r="L2221" s="8"/>
      <c r="M2221" s="8"/>
      <c r="N2221" s="8"/>
      <c r="O2221" s="8"/>
      <c r="P2221" s="8"/>
      <c r="Q2221" s="8"/>
      <c r="R2221" s="8"/>
      <c r="S2221" s="8"/>
      <c r="T2221" s="8"/>
      <c r="U2221" s="8"/>
      <c r="V2221" s="8"/>
      <c r="W2221" s="8"/>
      <c r="X2221" s="8"/>
      <c r="Y2221" s="8"/>
    </row>
    <row r="2222">
      <c r="A2222" s="8"/>
      <c r="B2222" s="8"/>
      <c r="C2222" s="8"/>
      <c r="D2222" s="8"/>
      <c r="E2222" s="8"/>
      <c r="F2222" s="8"/>
      <c r="G2222" s="8"/>
      <c r="H2222" s="8"/>
      <c r="I2222" s="8"/>
      <c r="J2222" s="8"/>
      <c r="K2222" s="8"/>
      <c r="L2222" s="8"/>
      <c r="M2222" s="8"/>
      <c r="N2222" s="8"/>
      <c r="O2222" s="8"/>
      <c r="P2222" s="8"/>
      <c r="Q2222" s="8"/>
      <c r="R2222" s="8"/>
      <c r="S2222" s="8"/>
      <c r="T2222" s="8"/>
      <c r="U2222" s="8"/>
      <c r="V2222" s="8"/>
      <c r="W2222" s="8"/>
      <c r="X2222" s="8"/>
      <c r="Y2222" s="8"/>
    </row>
    <row r="2223">
      <c r="A2223" s="8"/>
      <c r="B2223" s="8"/>
      <c r="C2223" s="8"/>
      <c r="D2223" s="8"/>
      <c r="E2223" s="8"/>
      <c r="F2223" s="8"/>
      <c r="G2223" s="8"/>
      <c r="H2223" s="8"/>
      <c r="I2223" s="8"/>
      <c r="J2223" s="8"/>
      <c r="K2223" s="8"/>
      <c r="L2223" s="8"/>
      <c r="M2223" s="8"/>
      <c r="N2223" s="8"/>
      <c r="O2223" s="8"/>
      <c r="P2223" s="8"/>
      <c r="Q2223" s="8"/>
      <c r="R2223" s="8"/>
      <c r="S2223" s="8"/>
      <c r="T2223" s="8"/>
      <c r="U2223" s="8"/>
      <c r="V2223" s="8"/>
      <c r="W2223" s="8"/>
      <c r="X2223" s="8"/>
      <c r="Y2223" s="8"/>
    </row>
    <row r="2224">
      <c r="A2224" s="8"/>
      <c r="B2224" s="8"/>
      <c r="C2224" s="8"/>
      <c r="D2224" s="8"/>
      <c r="E2224" s="8"/>
      <c r="F2224" s="8"/>
      <c r="G2224" s="8"/>
      <c r="H2224" s="8"/>
      <c r="I2224" s="8"/>
      <c r="J2224" s="8"/>
      <c r="K2224" s="8"/>
      <c r="L2224" s="8"/>
      <c r="M2224" s="8"/>
      <c r="N2224" s="8"/>
      <c r="O2224" s="8"/>
      <c r="P2224" s="8"/>
      <c r="Q2224" s="8"/>
      <c r="R2224" s="8"/>
      <c r="S2224" s="8"/>
      <c r="T2224" s="8"/>
      <c r="U2224" s="8"/>
      <c r="V2224" s="8"/>
      <c r="W2224" s="8"/>
      <c r="X2224" s="8"/>
      <c r="Y2224" s="8"/>
    </row>
    <row r="2225">
      <c r="A2225" s="8"/>
      <c r="B2225" s="8"/>
      <c r="C2225" s="8"/>
      <c r="D2225" s="8"/>
      <c r="E2225" s="8"/>
      <c r="F2225" s="8"/>
      <c r="G2225" s="8"/>
      <c r="H2225" s="8"/>
      <c r="I2225" s="8"/>
      <c r="J2225" s="8"/>
      <c r="K2225" s="8"/>
      <c r="L2225" s="8"/>
      <c r="M2225" s="8"/>
      <c r="N2225" s="8"/>
      <c r="O2225" s="8"/>
      <c r="P2225" s="8"/>
      <c r="Q2225" s="8"/>
      <c r="R2225" s="8"/>
      <c r="S2225" s="8"/>
      <c r="T2225" s="8"/>
      <c r="U2225" s="8"/>
      <c r="V2225" s="8"/>
      <c r="W2225" s="8"/>
      <c r="X2225" s="8"/>
      <c r="Y2225" s="8"/>
    </row>
    <row r="2226">
      <c r="A2226" s="8"/>
      <c r="B2226" s="8"/>
      <c r="C2226" s="8"/>
      <c r="D2226" s="8"/>
      <c r="E2226" s="8"/>
      <c r="F2226" s="8"/>
      <c r="G2226" s="8"/>
      <c r="H2226" s="8"/>
      <c r="I2226" s="8"/>
      <c r="J2226" s="8"/>
      <c r="K2226" s="8"/>
      <c r="L2226" s="8"/>
      <c r="M2226" s="8"/>
      <c r="N2226" s="8"/>
      <c r="O2226" s="8"/>
      <c r="P2226" s="8"/>
      <c r="Q2226" s="8"/>
      <c r="R2226" s="8"/>
      <c r="S2226" s="8"/>
      <c r="T2226" s="8"/>
      <c r="U2226" s="8"/>
      <c r="V2226" s="8"/>
      <c r="W2226" s="8"/>
      <c r="X2226" s="8"/>
      <c r="Y2226" s="8"/>
    </row>
    <row r="2227">
      <c r="A2227" s="8"/>
      <c r="B2227" s="8"/>
      <c r="C2227" s="8"/>
      <c r="D2227" s="8"/>
      <c r="E2227" s="8"/>
      <c r="F2227" s="8"/>
      <c r="G2227" s="8"/>
      <c r="H2227" s="8"/>
      <c r="I2227" s="8"/>
      <c r="J2227" s="8"/>
      <c r="K2227" s="8"/>
      <c r="L2227" s="8"/>
      <c r="M2227" s="8"/>
      <c r="N2227" s="8"/>
      <c r="O2227" s="8"/>
      <c r="P2227" s="8"/>
      <c r="Q2227" s="8"/>
      <c r="R2227" s="8"/>
      <c r="S2227" s="8"/>
      <c r="T2227" s="8"/>
      <c r="U2227" s="8"/>
      <c r="V2227" s="8"/>
      <c r="W2227" s="8"/>
      <c r="X2227" s="8"/>
      <c r="Y2227" s="8"/>
    </row>
    <row r="2228">
      <c r="A2228" s="8"/>
      <c r="B2228" s="8"/>
      <c r="C2228" s="8"/>
      <c r="D2228" s="8"/>
      <c r="E2228" s="8"/>
      <c r="F2228" s="8"/>
      <c r="G2228" s="8"/>
      <c r="H2228" s="8"/>
      <c r="I2228" s="8"/>
      <c r="J2228" s="8"/>
      <c r="K2228" s="8"/>
      <c r="L2228" s="8"/>
      <c r="M2228" s="8"/>
      <c r="N2228" s="8"/>
      <c r="O2228" s="8"/>
      <c r="P2228" s="8"/>
      <c r="Q2228" s="8"/>
      <c r="R2228" s="8"/>
      <c r="S2228" s="8"/>
      <c r="T2228" s="8"/>
      <c r="U2228" s="8"/>
      <c r="V2228" s="8"/>
      <c r="W2228" s="8"/>
      <c r="X2228" s="8"/>
      <c r="Y2228" s="8"/>
    </row>
    <row r="2229">
      <c r="A2229" s="8"/>
      <c r="B2229" s="8"/>
      <c r="C2229" s="8"/>
      <c r="D2229" s="8"/>
      <c r="E2229" s="8"/>
      <c r="F2229" s="8"/>
      <c r="G2229" s="8"/>
      <c r="H2229" s="8"/>
      <c r="I2229" s="8"/>
      <c r="J2229" s="8"/>
      <c r="K2229" s="8"/>
      <c r="L2229" s="8"/>
      <c r="M2229" s="8"/>
      <c r="N2229" s="8"/>
      <c r="O2229" s="8"/>
      <c r="P2229" s="8"/>
      <c r="Q2229" s="8"/>
      <c r="R2229" s="8"/>
      <c r="S2229" s="8"/>
      <c r="T2229" s="8"/>
      <c r="U2229" s="8"/>
      <c r="V2229" s="8"/>
      <c r="W2229" s="8"/>
      <c r="X2229" s="8"/>
      <c r="Y2229" s="8"/>
    </row>
    <row r="2230">
      <c r="A2230" s="8"/>
      <c r="B2230" s="8"/>
      <c r="C2230" s="8"/>
      <c r="D2230" s="8"/>
      <c r="E2230" s="8"/>
      <c r="F2230" s="8"/>
      <c r="G2230" s="8"/>
      <c r="H2230" s="8"/>
      <c r="I2230" s="8"/>
      <c r="J2230" s="8"/>
      <c r="K2230" s="8"/>
      <c r="L2230" s="8"/>
      <c r="M2230" s="8"/>
      <c r="N2230" s="8"/>
      <c r="O2230" s="8"/>
      <c r="P2230" s="8"/>
      <c r="Q2230" s="8"/>
      <c r="R2230" s="8"/>
      <c r="S2230" s="8"/>
      <c r="T2230" s="8"/>
      <c r="U2230" s="8"/>
      <c r="V2230" s="8"/>
      <c r="W2230" s="8"/>
      <c r="X2230" s="8"/>
      <c r="Y2230" s="8"/>
    </row>
    <row r="2231">
      <c r="A2231" s="8"/>
      <c r="B2231" s="8"/>
      <c r="C2231" s="8"/>
      <c r="D2231" s="8"/>
      <c r="E2231" s="8"/>
      <c r="F2231" s="8"/>
      <c r="G2231" s="8"/>
      <c r="H2231" s="8"/>
      <c r="I2231" s="8"/>
      <c r="J2231" s="8"/>
      <c r="K2231" s="8"/>
      <c r="L2231" s="8"/>
      <c r="M2231" s="8"/>
      <c r="N2231" s="8"/>
      <c r="O2231" s="8"/>
      <c r="P2231" s="8"/>
      <c r="Q2231" s="8"/>
      <c r="R2231" s="8"/>
      <c r="S2231" s="8"/>
      <c r="T2231" s="8"/>
      <c r="U2231" s="8"/>
      <c r="V2231" s="8"/>
      <c r="W2231" s="8"/>
      <c r="X2231" s="8"/>
      <c r="Y2231" s="8"/>
    </row>
    <row r="2232">
      <c r="A2232" s="8"/>
      <c r="B2232" s="8"/>
      <c r="C2232" s="8"/>
      <c r="D2232" s="8"/>
      <c r="E2232" s="8"/>
      <c r="F2232" s="8"/>
      <c r="G2232" s="8"/>
      <c r="H2232" s="8"/>
      <c r="I2232" s="8"/>
      <c r="J2232" s="8"/>
      <c r="K2232" s="8"/>
      <c r="L2232" s="8"/>
      <c r="M2232" s="8"/>
      <c r="N2232" s="8"/>
      <c r="O2232" s="8"/>
      <c r="P2232" s="8"/>
      <c r="Q2232" s="8"/>
      <c r="R2232" s="8"/>
      <c r="S2232" s="8"/>
      <c r="T2232" s="8"/>
      <c r="U2232" s="8"/>
      <c r="V2232" s="8"/>
      <c r="W2232" s="8"/>
      <c r="X2232" s="8"/>
      <c r="Y2232" s="8"/>
    </row>
    <row r="2233">
      <c r="A2233" s="8"/>
      <c r="B2233" s="8"/>
      <c r="C2233" s="8"/>
      <c r="D2233" s="8"/>
      <c r="E2233" s="8"/>
      <c r="F2233" s="8"/>
      <c r="G2233" s="8"/>
      <c r="H2233" s="8"/>
      <c r="I2233" s="8"/>
      <c r="J2233" s="8"/>
      <c r="K2233" s="8"/>
      <c r="L2233" s="8"/>
      <c r="M2233" s="8"/>
      <c r="N2233" s="8"/>
      <c r="O2233" s="8"/>
      <c r="P2233" s="8"/>
      <c r="Q2233" s="8"/>
      <c r="R2233" s="8"/>
      <c r="S2233" s="8"/>
      <c r="T2233" s="8"/>
      <c r="U2233" s="8"/>
      <c r="V2233" s="8"/>
      <c r="W2233" s="8"/>
      <c r="X2233" s="8"/>
      <c r="Y2233" s="8"/>
    </row>
    <row r="2234">
      <c r="A2234" s="8"/>
      <c r="B2234" s="8"/>
      <c r="C2234" s="8"/>
      <c r="D2234" s="8"/>
      <c r="E2234" s="8"/>
      <c r="F2234" s="8"/>
      <c r="G2234" s="8"/>
      <c r="H2234" s="8"/>
      <c r="I2234" s="8"/>
      <c r="J2234" s="8"/>
      <c r="K2234" s="8"/>
      <c r="L2234" s="8"/>
      <c r="M2234" s="8"/>
      <c r="N2234" s="8"/>
      <c r="O2234" s="8"/>
      <c r="P2234" s="8"/>
      <c r="Q2234" s="8"/>
      <c r="R2234" s="8"/>
      <c r="S2234" s="8"/>
      <c r="T2234" s="8"/>
      <c r="U2234" s="8"/>
      <c r="V2234" s="8"/>
      <c r="W2234" s="8"/>
      <c r="X2234" s="8"/>
      <c r="Y2234" s="8"/>
    </row>
    <row r="2235">
      <c r="A2235" s="8"/>
      <c r="B2235" s="8"/>
      <c r="C2235" s="8"/>
      <c r="D2235" s="8"/>
      <c r="E2235" s="8"/>
      <c r="F2235" s="8"/>
      <c r="G2235" s="8"/>
      <c r="H2235" s="8"/>
      <c r="I2235" s="8"/>
      <c r="J2235" s="8"/>
      <c r="K2235" s="8"/>
      <c r="L2235" s="8"/>
      <c r="M2235" s="8"/>
      <c r="N2235" s="8"/>
      <c r="O2235" s="8"/>
      <c r="P2235" s="8"/>
      <c r="Q2235" s="8"/>
      <c r="R2235" s="8"/>
      <c r="S2235" s="8"/>
      <c r="T2235" s="8"/>
      <c r="U2235" s="8"/>
      <c r="V2235" s="8"/>
      <c r="W2235" s="8"/>
      <c r="X2235" s="8"/>
      <c r="Y2235" s="8"/>
    </row>
    <row r="2236">
      <c r="A2236" s="8"/>
      <c r="B2236" s="8"/>
      <c r="C2236" s="8"/>
      <c r="D2236" s="8"/>
      <c r="E2236" s="8"/>
      <c r="F2236" s="8"/>
      <c r="G2236" s="8"/>
      <c r="H2236" s="8"/>
      <c r="I2236" s="8"/>
      <c r="J2236" s="8"/>
      <c r="K2236" s="8"/>
      <c r="L2236" s="8"/>
      <c r="M2236" s="8"/>
      <c r="N2236" s="8"/>
      <c r="O2236" s="8"/>
      <c r="P2236" s="8"/>
      <c r="Q2236" s="8"/>
      <c r="R2236" s="8"/>
      <c r="S2236" s="8"/>
      <c r="T2236" s="8"/>
      <c r="U2236" s="8"/>
      <c r="V2236" s="8"/>
      <c r="W2236" s="8"/>
      <c r="X2236" s="8"/>
      <c r="Y2236" s="8"/>
    </row>
    <row r="2237">
      <c r="A2237" s="8"/>
      <c r="B2237" s="8"/>
      <c r="C2237" s="8"/>
      <c r="D2237" s="8"/>
      <c r="E2237" s="8"/>
      <c r="F2237" s="8"/>
      <c r="G2237" s="8"/>
      <c r="H2237" s="8"/>
      <c r="I2237" s="8"/>
      <c r="J2237" s="8"/>
      <c r="K2237" s="8"/>
      <c r="L2237" s="8"/>
      <c r="M2237" s="8"/>
      <c r="N2237" s="8"/>
      <c r="O2237" s="8"/>
      <c r="P2237" s="8"/>
      <c r="Q2237" s="8"/>
      <c r="R2237" s="8"/>
      <c r="S2237" s="8"/>
      <c r="T2237" s="8"/>
      <c r="U2237" s="8"/>
      <c r="V2237" s="8"/>
      <c r="W2237" s="8"/>
      <c r="X2237" s="8"/>
      <c r="Y2237" s="8"/>
    </row>
    <row r="2238">
      <c r="A2238" s="8"/>
      <c r="B2238" s="8"/>
      <c r="C2238" s="8"/>
      <c r="D2238" s="8"/>
      <c r="E2238" s="8"/>
      <c r="F2238" s="8"/>
      <c r="G2238" s="8"/>
      <c r="H2238" s="8"/>
      <c r="I2238" s="8"/>
      <c r="J2238" s="8"/>
      <c r="K2238" s="8"/>
      <c r="L2238" s="8"/>
      <c r="M2238" s="8"/>
      <c r="N2238" s="8"/>
      <c r="O2238" s="8"/>
      <c r="P2238" s="8"/>
      <c r="Q2238" s="8"/>
      <c r="R2238" s="8"/>
      <c r="S2238" s="8"/>
      <c r="T2238" s="8"/>
      <c r="U2238" s="8"/>
      <c r="V2238" s="8"/>
      <c r="W2238" s="8"/>
      <c r="X2238" s="8"/>
      <c r="Y2238" s="8"/>
    </row>
    <row r="2239">
      <c r="A2239" s="8"/>
      <c r="B2239" s="8"/>
      <c r="C2239" s="8"/>
      <c r="D2239" s="8"/>
      <c r="E2239" s="8"/>
      <c r="F2239" s="8"/>
      <c r="G2239" s="8"/>
      <c r="H2239" s="8"/>
      <c r="I2239" s="8"/>
      <c r="J2239" s="8"/>
      <c r="K2239" s="8"/>
      <c r="L2239" s="8"/>
      <c r="M2239" s="8"/>
      <c r="N2239" s="8"/>
      <c r="O2239" s="8"/>
      <c r="P2239" s="8"/>
      <c r="Q2239" s="8"/>
      <c r="R2239" s="8"/>
      <c r="S2239" s="8"/>
      <c r="T2239" s="8"/>
      <c r="U2239" s="8"/>
      <c r="V2239" s="8"/>
      <c r="W2239" s="8"/>
      <c r="X2239" s="8"/>
      <c r="Y2239" s="8"/>
    </row>
    <row r="2240">
      <c r="A2240" s="8"/>
      <c r="B2240" s="8"/>
      <c r="C2240" s="8"/>
      <c r="D2240" s="8"/>
      <c r="E2240" s="8"/>
      <c r="F2240" s="8"/>
      <c r="G2240" s="8"/>
      <c r="H2240" s="8"/>
      <c r="I2240" s="8"/>
      <c r="J2240" s="8"/>
      <c r="K2240" s="8"/>
      <c r="L2240" s="8"/>
      <c r="M2240" s="8"/>
      <c r="N2240" s="8"/>
      <c r="O2240" s="8"/>
      <c r="P2240" s="8"/>
      <c r="Q2240" s="8"/>
      <c r="R2240" s="8"/>
      <c r="S2240" s="8"/>
      <c r="T2240" s="8"/>
      <c r="U2240" s="8"/>
      <c r="V2240" s="8"/>
      <c r="W2240" s="8"/>
      <c r="X2240" s="8"/>
      <c r="Y2240" s="8"/>
    </row>
    <row r="2241">
      <c r="A2241" s="8"/>
      <c r="B2241" s="8"/>
      <c r="C2241" s="8"/>
      <c r="D2241" s="8"/>
      <c r="E2241" s="8"/>
      <c r="F2241" s="8"/>
      <c r="G2241" s="8"/>
      <c r="H2241" s="8"/>
      <c r="I2241" s="8"/>
      <c r="J2241" s="8"/>
      <c r="K2241" s="8"/>
      <c r="L2241" s="8"/>
      <c r="M2241" s="8"/>
      <c r="N2241" s="8"/>
      <c r="O2241" s="8"/>
      <c r="P2241" s="8"/>
      <c r="Q2241" s="8"/>
      <c r="R2241" s="8"/>
      <c r="S2241" s="8"/>
      <c r="T2241" s="8"/>
      <c r="U2241" s="8"/>
      <c r="V2241" s="8"/>
      <c r="W2241" s="8"/>
      <c r="X2241" s="8"/>
      <c r="Y2241" s="8"/>
    </row>
    <row r="2242">
      <c r="A2242" s="8"/>
      <c r="B2242" s="8"/>
      <c r="C2242" s="8"/>
      <c r="D2242" s="8"/>
      <c r="E2242" s="8"/>
      <c r="F2242" s="8"/>
      <c r="G2242" s="8"/>
      <c r="H2242" s="8"/>
      <c r="I2242" s="8"/>
      <c r="J2242" s="8"/>
      <c r="K2242" s="8"/>
      <c r="L2242" s="8"/>
      <c r="M2242" s="8"/>
      <c r="N2242" s="8"/>
      <c r="O2242" s="8"/>
      <c r="P2242" s="8"/>
      <c r="Q2242" s="8"/>
      <c r="R2242" s="8"/>
      <c r="S2242" s="8"/>
      <c r="T2242" s="8"/>
      <c r="U2242" s="8"/>
      <c r="V2242" s="8"/>
      <c r="W2242" s="8"/>
      <c r="X2242" s="8"/>
      <c r="Y2242" s="8"/>
    </row>
    <row r="2243">
      <c r="A2243" s="8"/>
      <c r="B2243" s="8"/>
      <c r="C2243" s="8"/>
      <c r="D2243" s="8"/>
      <c r="E2243" s="8"/>
      <c r="F2243" s="8"/>
      <c r="G2243" s="8"/>
      <c r="H2243" s="8"/>
      <c r="I2243" s="8"/>
      <c r="J2243" s="8"/>
      <c r="K2243" s="8"/>
      <c r="L2243" s="8"/>
      <c r="M2243" s="8"/>
      <c r="N2243" s="8"/>
      <c r="O2243" s="8"/>
      <c r="P2243" s="8"/>
      <c r="Q2243" s="8"/>
      <c r="R2243" s="8"/>
      <c r="S2243" s="8"/>
      <c r="T2243" s="8"/>
      <c r="U2243" s="8"/>
      <c r="V2243" s="8"/>
      <c r="W2243" s="8"/>
      <c r="X2243" s="8"/>
      <c r="Y2243" s="8"/>
    </row>
    <row r="2244">
      <c r="A2244" s="8"/>
      <c r="B2244" s="8"/>
      <c r="C2244" s="8"/>
      <c r="D2244" s="8"/>
      <c r="E2244" s="8"/>
      <c r="F2244" s="8"/>
      <c r="G2244" s="8"/>
      <c r="H2244" s="8"/>
      <c r="I2244" s="8"/>
      <c r="J2244" s="8"/>
      <c r="K2244" s="8"/>
      <c r="L2244" s="8"/>
      <c r="M2244" s="8"/>
      <c r="N2244" s="8"/>
      <c r="O2244" s="8"/>
      <c r="P2244" s="8"/>
      <c r="Q2244" s="8"/>
      <c r="R2244" s="8"/>
      <c r="S2244" s="8"/>
      <c r="T2244" s="8"/>
      <c r="U2244" s="8"/>
      <c r="V2244" s="8"/>
      <c r="W2244" s="8"/>
      <c r="X2244" s="8"/>
      <c r="Y2244" s="8"/>
    </row>
    <row r="2245">
      <c r="A2245" s="8"/>
      <c r="B2245" s="8"/>
      <c r="C2245" s="8"/>
      <c r="D2245" s="8"/>
      <c r="E2245" s="8"/>
      <c r="F2245" s="8"/>
      <c r="G2245" s="8"/>
      <c r="H2245" s="8"/>
      <c r="I2245" s="8"/>
      <c r="J2245" s="8"/>
      <c r="K2245" s="8"/>
      <c r="L2245" s="8"/>
      <c r="M2245" s="8"/>
      <c r="N2245" s="8"/>
      <c r="O2245" s="8"/>
      <c r="P2245" s="8"/>
      <c r="Q2245" s="8"/>
      <c r="R2245" s="8"/>
      <c r="S2245" s="8"/>
      <c r="T2245" s="8"/>
      <c r="U2245" s="8"/>
      <c r="V2245" s="8"/>
      <c r="W2245" s="8"/>
      <c r="X2245" s="8"/>
      <c r="Y2245" s="8"/>
    </row>
    <row r="2246">
      <c r="A2246" s="8"/>
      <c r="B2246" s="8"/>
      <c r="C2246" s="8"/>
      <c r="D2246" s="8"/>
      <c r="E2246" s="8"/>
      <c r="F2246" s="8"/>
      <c r="G2246" s="8"/>
      <c r="H2246" s="8"/>
      <c r="I2246" s="8"/>
      <c r="J2246" s="8"/>
      <c r="K2246" s="8"/>
      <c r="L2246" s="8"/>
      <c r="M2246" s="8"/>
      <c r="N2246" s="8"/>
      <c r="O2246" s="8"/>
      <c r="P2246" s="8"/>
      <c r="Q2246" s="8"/>
      <c r="R2246" s="8"/>
      <c r="S2246" s="8"/>
      <c r="T2246" s="8"/>
      <c r="U2246" s="8"/>
      <c r="V2246" s="8"/>
      <c r="W2246" s="8"/>
      <c r="X2246" s="8"/>
      <c r="Y2246" s="8"/>
    </row>
    <row r="2247">
      <c r="A2247" s="8"/>
      <c r="B2247" s="8"/>
      <c r="C2247" s="8"/>
      <c r="D2247" s="8"/>
      <c r="E2247" s="8"/>
      <c r="F2247" s="8"/>
      <c r="G2247" s="8"/>
      <c r="H2247" s="8"/>
      <c r="I2247" s="8"/>
      <c r="J2247" s="8"/>
      <c r="K2247" s="8"/>
      <c r="L2247" s="8"/>
      <c r="M2247" s="8"/>
      <c r="N2247" s="8"/>
      <c r="O2247" s="8"/>
      <c r="P2247" s="8"/>
      <c r="Q2247" s="8"/>
      <c r="R2247" s="8"/>
      <c r="S2247" s="8"/>
      <c r="T2247" s="8"/>
      <c r="U2247" s="8"/>
      <c r="V2247" s="8"/>
      <c r="W2247" s="8"/>
      <c r="X2247" s="8"/>
      <c r="Y2247" s="8"/>
    </row>
    <row r="2248">
      <c r="A2248" s="8"/>
      <c r="B2248" s="8"/>
      <c r="C2248" s="8"/>
      <c r="D2248" s="8"/>
      <c r="E2248" s="8"/>
      <c r="F2248" s="8"/>
      <c r="G2248" s="8"/>
      <c r="H2248" s="8"/>
      <c r="I2248" s="8"/>
      <c r="J2248" s="8"/>
      <c r="K2248" s="8"/>
      <c r="L2248" s="8"/>
      <c r="M2248" s="8"/>
      <c r="N2248" s="8"/>
      <c r="O2248" s="8"/>
      <c r="P2248" s="8"/>
      <c r="Q2248" s="8"/>
      <c r="R2248" s="8"/>
      <c r="S2248" s="8"/>
      <c r="T2248" s="8"/>
      <c r="U2248" s="8"/>
      <c r="V2248" s="8"/>
      <c r="W2248" s="8"/>
      <c r="X2248" s="8"/>
      <c r="Y2248" s="8"/>
    </row>
    <row r="2249">
      <c r="A2249" s="8"/>
      <c r="B2249" s="8"/>
      <c r="C2249" s="8"/>
      <c r="D2249" s="8"/>
      <c r="E2249" s="8"/>
      <c r="F2249" s="8"/>
      <c r="G2249" s="8"/>
      <c r="H2249" s="8"/>
      <c r="I2249" s="8"/>
      <c r="J2249" s="8"/>
      <c r="K2249" s="8"/>
      <c r="L2249" s="8"/>
      <c r="M2249" s="8"/>
      <c r="N2249" s="8"/>
      <c r="O2249" s="8"/>
      <c r="P2249" s="8"/>
      <c r="Q2249" s="8"/>
      <c r="R2249" s="8"/>
      <c r="S2249" s="8"/>
      <c r="T2249" s="8"/>
      <c r="U2249" s="8"/>
      <c r="V2249" s="8"/>
      <c r="W2249" s="8"/>
      <c r="X2249" s="8"/>
      <c r="Y2249" s="8"/>
    </row>
    <row r="2250">
      <c r="A2250" s="8"/>
      <c r="B2250" s="8"/>
      <c r="C2250" s="8"/>
      <c r="D2250" s="8"/>
      <c r="E2250" s="8"/>
      <c r="F2250" s="8"/>
      <c r="G2250" s="8"/>
      <c r="H2250" s="8"/>
      <c r="I2250" s="8"/>
      <c r="J2250" s="8"/>
      <c r="K2250" s="8"/>
      <c r="L2250" s="8"/>
      <c r="M2250" s="8"/>
      <c r="N2250" s="8"/>
      <c r="O2250" s="8"/>
      <c r="P2250" s="8"/>
      <c r="Q2250" s="8"/>
      <c r="R2250" s="8"/>
      <c r="S2250" s="8"/>
      <c r="T2250" s="8"/>
      <c r="U2250" s="8"/>
      <c r="V2250" s="8"/>
      <c r="W2250" s="8"/>
      <c r="X2250" s="8"/>
      <c r="Y2250" s="8"/>
    </row>
    <row r="2251">
      <c r="A2251" s="8"/>
      <c r="B2251" s="8"/>
      <c r="C2251" s="8"/>
      <c r="D2251" s="8"/>
      <c r="E2251" s="8"/>
      <c r="F2251" s="8"/>
      <c r="G2251" s="8"/>
      <c r="H2251" s="8"/>
      <c r="I2251" s="8"/>
      <c r="J2251" s="8"/>
      <c r="K2251" s="8"/>
      <c r="L2251" s="8"/>
      <c r="M2251" s="8"/>
      <c r="N2251" s="8"/>
      <c r="O2251" s="8"/>
      <c r="P2251" s="8"/>
      <c r="Q2251" s="8"/>
      <c r="R2251" s="8"/>
      <c r="S2251" s="8"/>
      <c r="T2251" s="8"/>
      <c r="U2251" s="8"/>
      <c r="V2251" s="8"/>
      <c r="W2251" s="8"/>
      <c r="X2251" s="8"/>
      <c r="Y2251" s="8"/>
    </row>
    <row r="2252">
      <c r="A2252" s="8"/>
      <c r="B2252" s="8"/>
      <c r="C2252" s="8"/>
      <c r="D2252" s="8"/>
      <c r="E2252" s="8"/>
      <c r="F2252" s="8"/>
      <c r="G2252" s="8"/>
      <c r="H2252" s="8"/>
      <c r="I2252" s="8"/>
      <c r="J2252" s="8"/>
      <c r="K2252" s="8"/>
      <c r="L2252" s="8"/>
      <c r="M2252" s="8"/>
      <c r="N2252" s="8"/>
      <c r="O2252" s="8"/>
      <c r="P2252" s="8"/>
      <c r="Q2252" s="8"/>
      <c r="R2252" s="8"/>
      <c r="S2252" s="8"/>
      <c r="T2252" s="8"/>
      <c r="U2252" s="8"/>
      <c r="V2252" s="8"/>
      <c r="W2252" s="8"/>
      <c r="X2252" s="8"/>
      <c r="Y2252" s="8"/>
    </row>
    <row r="2253">
      <c r="A2253" s="8"/>
      <c r="B2253" s="8"/>
      <c r="C2253" s="8"/>
      <c r="D2253" s="8"/>
      <c r="E2253" s="8"/>
      <c r="F2253" s="8"/>
      <c r="G2253" s="8"/>
      <c r="H2253" s="8"/>
      <c r="I2253" s="8"/>
      <c r="J2253" s="8"/>
      <c r="K2253" s="8"/>
      <c r="L2253" s="8"/>
      <c r="M2253" s="8"/>
      <c r="N2253" s="8"/>
      <c r="O2253" s="8"/>
      <c r="P2253" s="8"/>
      <c r="Q2253" s="8"/>
      <c r="R2253" s="8"/>
      <c r="S2253" s="8"/>
      <c r="T2253" s="8"/>
      <c r="U2253" s="8"/>
      <c r="V2253" s="8"/>
      <c r="W2253" s="8"/>
      <c r="X2253" s="8"/>
      <c r="Y2253" s="8"/>
    </row>
    <row r="2254">
      <c r="A2254" s="8"/>
      <c r="B2254" s="8"/>
      <c r="C2254" s="8"/>
      <c r="D2254" s="8"/>
      <c r="E2254" s="8"/>
      <c r="F2254" s="8"/>
      <c r="G2254" s="8"/>
      <c r="H2254" s="8"/>
      <c r="I2254" s="8"/>
      <c r="J2254" s="8"/>
      <c r="K2254" s="8"/>
      <c r="L2254" s="8"/>
      <c r="M2254" s="8"/>
      <c r="N2254" s="8"/>
      <c r="O2254" s="8"/>
      <c r="P2254" s="8"/>
      <c r="Q2254" s="8"/>
      <c r="R2254" s="8"/>
      <c r="S2254" s="8"/>
      <c r="T2254" s="8"/>
      <c r="U2254" s="8"/>
      <c r="V2254" s="8"/>
      <c r="W2254" s="8"/>
      <c r="X2254" s="8"/>
      <c r="Y2254" s="8"/>
    </row>
    <row r="2255">
      <c r="A2255" s="8"/>
      <c r="B2255" s="8"/>
      <c r="C2255" s="8"/>
      <c r="D2255" s="8"/>
      <c r="E2255" s="8"/>
      <c r="F2255" s="8"/>
      <c r="G2255" s="8"/>
      <c r="H2255" s="8"/>
      <c r="I2255" s="8"/>
      <c r="J2255" s="8"/>
      <c r="K2255" s="8"/>
      <c r="L2255" s="8"/>
      <c r="M2255" s="8"/>
      <c r="N2255" s="8"/>
      <c r="O2255" s="8"/>
      <c r="P2255" s="8"/>
      <c r="Q2255" s="8"/>
      <c r="R2255" s="8"/>
      <c r="S2255" s="8"/>
      <c r="T2255" s="8"/>
      <c r="U2255" s="8"/>
      <c r="V2255" s="8"/>
      <c r="W2255" s="8"/>
      <c r="X2255" s="8"/>
      <c r="Y2255" s="8"/>
    </row>
    <row r="2256">
      <c r="A2256" s="8"/>
      <c r="B2256" s="8"/>
      <c r="C2256" s="8"/>
      <c r="D2256" s="8"/>
      <c r="E2256" s="8"/>
      <c r="F2256" s="8"/>
      <c r="G2256" s="8"/>
      <c r="H2256" s="8"/>
      <c r="I2256" s="8"/>
      <c r="J2256" s="8"/>
      <c r="K2256" s="8"/>
      <c r="L2256" s="8"/>
      <c r="M2256" s="8"/>
      <c r="N2256" s="8"/>
      <c r="O2256" s="8"/>
      <c r="P2256" s="8"/>
      <c r="Q2256" s="8"/>
      <c r="R2256" s="8"/>
      <c r="S2256" s="8"/>
      <c r="T2256" s="8"/>
      <c r="U2256" s="8"/>
      <c r="V2256" s="8"/>
      <c r="W2256" s="8"/>
      <c r="X2256" s="8"/>
      <c r="Y2256" s="8"/>
    </row>
    <row r="2257">
      <c r="A2257" s="8"/>
      <c r="B2257" s="8"/>
      <c r="C2257" s="8"/>
      <c r="D2257" s="8"/>
      <c r="E2257" s="8"/>
      <c r="F2257" s="8"/>
      <c r="G2257" s="8"/>
      <c r="H2257" s="8"/>
      <c r="I2257" s="8"/>
      <c r="J2257" s="8"/>
      <c r="K2257" s="8"/>
      <c r="L2257" s="8"/>
      <c r="M2257" s="8"/>
      <c r="N2257" s="8"/>
      <c r="O2257" s="8"/>
      <c r="P2257" s="8"/>
      <c r="Q2257" s="8"/>
      <c r="R2257" s="8"/>
      <c r="S2257" s="8"/>
      <c r="T2257" s="8"/>
      <c r="U2257" s="8"/>
      <c r="V2257" s="8"/>
      <c r="W2257" s="8"/>
      <c r="X2257" s="8"/>
      <c r="Y2257" s="8"/>
    </row>
    <row r="2258">
      <c r="A2258" s="8"/>
      <c r="B2258" s="8"/>
      <c r="C2258" s="8"/>
      <c r="D2258" s="8"/>
      <c r="E2258" s="8"/>
      <c r="F2258" s="8"/>
      <c r="G2258" s="8"/>
      <c r="H2258" s="8"/>
      <c r="I2258" s="8"/>
      <c r="J2258" s="8"/>
      <c r="K2258" s="8"/>
      <c r="L2258" s="8"/>
      <c r="M2258" s="8"/>
      <c r="N2258" s="8"/>
      <c r="O2258" s="8"/>
      <c r="P2258" s="8"/>
      <c r="Q2258" s="8"/>
      <c r="R2258" s="8"/>
      <c r="S2258" s="8"/>
      <c r="T2258" s="8"/>
      <c r="U2258" s="8"/>
      <c r="V2258" s="8"/>
      <c r="W2258" s="8"/>
      <c r="X2258" s="8"/>
      <c r="Y2258" s="8"/>
    </row>
    <row r="2259">
      <c r="A2259" s="8"/>
      <c r="B2259" s="8"/>
      <c r="C2259" s="8"/>
      <c r="D2259" s="8"/>
      <c r="E2259" s="8"/>
      <c r="F2259" s="8"/>
      <c r="G2259" s="8"/>
      <c r="H2259" s="8"/>
      <c r="I2259" s="8"/>
      <c r="J2259" s="8"/>
      <c r="K2259" s="8"/>
      <c r="L2259" s="8"/>
      <c r="M2259" s="8"/>
      <c r="N2259" s="8"/>
      <c r="O2259" s="8"/>
      <c r="P2259" s="8"/>
      <c r="Q2259" s="8"/>
      <c r="R2259" s="8"/>
      <c r="S2259" s="8"/>
      <c r="T2259" s="8"/>
      <c r="U2259" s="8"/>
      <c r="V2259" s="8"/>
      <c r="W2259" s="8"/>
      <c r="X2259" s="8"/>
      <c r="Y2259" s="8"/>
    </row>
    <row r="2260">
      <c r="A2260" s="8"/>
      <c r="B2260" s="8"/>
      <c r="C2260" s="8"/>
      <c r="D2260" s="8"/>
      <c r="E2260" s="8"/>
      <c r="F2260" s="8"/>
      <c r="G2260" s="8"/>
      <c r="H2260" s="8"/>
      <c r="I2260" s="8"/>
      <c r="J2260" s="8"/>
      <c r="K2260" s="8"/>
      <c r="L2260" s="8"/>
      <c r="M2260" s="8"/>
      <c r="N2260" s="8"/>
      <c r="O2260" s="8"/>
      <c r="P2260" s="8"/>
      <c r="Q2260" s="8"/>
      <c r="R2260" s="8"/>
      <c r="S2260" s="8"/>
      <c r="T2260" s="8"/>
      <c r="U2260" s="8"/>
      <c r="V2260" s="8"/>
      <c r="W2260" s="8"/>
      <c r="X2260" s="8"/>
      <c r="Y2260" s="8"/>
    </row>
    <row r="2261">
      <c r="A2261" s="8"/>
      <c r="B2261" s="8"/>
      <c r="C2261" s="8"/>
      <c r="D2261" s="8"/>
      <c r="E2261" s="8"/>
      <c r="F2261" s="8"/>
      <c r="G2261" s="8"/>
      <c r="H2261" s="8"/>
      <c r="I2261" s="8"/>
      <c r="J2261" s="8"/>
      <c r="K2261" s="8"/>
      <c r="L2261" s="8"/>
      <c r="M2261" s="8"/>
      <c r="N2261" s="8"/>
      <c r="O2261" s="8"/>
      <c r="P2261" s="8"/>
      <c r="Q2261" s="8"/>
      <c r="R2261" s="8"/>
      <c r="S2261" s="8"/>
      <c r="T2261" s="8"/>
      <c r="U2261" s="8"/>
      <c r="V2261" s="8"/>
      <c r="W2261" s="8"/>
      <c r="X2261" s="8"/>
      <c r="Y2261" s="8"/>
    </row>
    <row r="2262">
      <c r="A2262" s="8"/>
      <c r="B2262" s="8"/>
      <c r="C2262" s="8"/>
      <c r="D2262" s="8"/>
      <c r="E2262" s="8"/>
      <c r="F2262" s="8"/>
      <c r="G2262" s="8"/>
      <c r="H2262" s="8"/>
      <c r="I2262" s="8"/>
      <c r="J2262" s="8"/>
      <c r="K2262" s="8"/>
      <c r="L2262" s="8"/>
      <c r="M2262" s="8"/>
      <c r="N2262" s="8"/>
      <c r="O2262" s="8"/>
      <c r="P2262" s="8"/>
      <c r="Q2262" s="8"/>
      <c r="R2262" s="8"/>
      <c r="S2262" s="8"/>
      <c r="T2262" s="8"/>
      <c r="U2262" s="8"/>
      <c r="V2262" s="8"/>
      <c r="W2262" s="8"/>
      <c r="X2262" s="8"/>
      <c r="Y2262" s="8"/>
    </row>
    <row r="2263">
      <c r="A2263" s="8"/>
      <c r="B2263" s="8"/>
      <c r="C2263" s="8"/>
      <c r="D2263" s="8"/>
      <c r="E2263" s="8"/>
      <c r="F2263" s="8"/>
      <c r="G2263" s="8"/>
      <c r="H2263" s="8"/>
      <c r="I2263" s="8"/>
      <c r="J2263" s="8"/>
      <c r="K2263" s="8"/>
      <c r="L2263" s="8"/>
      <c r="M2263" s="8"/>
      <c r="N2263" s="8"/>
      <c r="O2263" s="8"/>
      <c r="P2263" s="8"/>
      <c r="Q2263" s="8"/>
      <c r="R2263" s="8"/>
      <c r="S2263" s="8"/>
      <c r="T2263" s="8"/>
      <c r="U2263" s="8"/>
      <c r="V2263" s="8"/>
      <c r="W2263" s="8"/>
      <c r="X2263" s="8"/>
      <c r="Y2263" s="8"/>
    </row>
    <row r="2264">
      <c r="A2264" s="8"/>
      <c r="B2264" s="8"/>
      <c r="C2264" s="8"/>
      <c r="D2264" s="8"/>
      <c r="E2264" s="8"/>
      <c r="F2264" s="8"/>
      <c r="G2264" s="8"/>
      <c r="H2264" s="8"/>
      <c r="I2264" s="8"/>
      <c r="J2264" s="8"/>
      <c r="K2264" s="8"/>
      <c r="L2264" s="8"/>
      <c r="M2264" s="8"/>
      <c r="N2264" s="8"/>
      <c r="O2264" s="8"/>
      <c r="P2264" s="8"/>
      <c r="Q2264" s="8"/>
      <c r="R2264" s="8"/>
      <c r="S2264" s="8"/>
      <c r="T2264" s="8"/>
      <c r="U2264" s="8"/>
      <c r="V2264" s="8"/>
      <c r="W2264" s="8"/>
      <c r="X2264" s="8"/>
      <c r="Y2264" s="8"/>
    </row>
    <row r="2265">
      <c r="A2265" s="8"/>
      <c r="B2265" s="8"/>
      <c r="C2265" s="8"/>
      <c r="D2265" s="8"/>
      <c r="E2265" s="8"/>
      <c r="F2265" s="8"/>
      <c r="G2265" s="8"/>
      <c r="H2265" s="8"/>
      <c r="I2265" s="8"/>
      <c r="J2265" s="8"/>
      <c r="K2265" s="8"/>
      <c r="L2265" s="8"/>
      <c r="M2265" s="8"/>
      <c r="N2265" s="8"/>
      <c r="O2265" s="8"/>
      <c r="P2265" s="8"/>
      <c r="Q2265" s="8"/>
      <c r="R2265" s="8"/>
      <c r="S2265" s="8"/>
      <c r="T2265" s="8"/>
      <c r="U2265" s="8"/>
      <c r="V2265" s="8"/>
      <c r="W2265" s="8"/>
      <c r="X2265" s="8"/>
      <c r="Y2265" s="8"/>
    </row>
    <row r="2266">
      <c r="A2266" s="8"/>
      <c r="B2266" s="8"/>
      <c r="C2266" s="8"/>
      <c r="D2266" s="8"/>
      <c r="E2266" s="8"/>
      <c r="F2266" s="8"/>
      <c r="G2266" s="8"/>
      <c r="H2266" s="8"/>
      <c r="I2266" s="8"/>
      <c r="J2266" s="8"/>
      <c r="K2266" s="8"/>
      <c r="L2266" s="8"/>
      <c r="M2266" s="8"/>
      <c r="N2266" s="8"/>
      <c r="O2266" s="8"/>
      <c r="P2266" s="8"/>
      <c r="Q2266" s="8"/>
      <c r="R2266" s="8"/>
      <c r="S2266" s="8"/>
      <c r="T2266" s="8"/>
      <c r="U2266" s="8"/>
      <c r="V2266" s="8"/>
      <c r="W2266" s="8"/>
      <c r="X2266" s="8"/>
      <c r="Y2266" s="8"/>
    </row>
    <row r="2267">
      <c r="A2267" s="8"/>
      <c r="B2267" s="8"/>
      <c r="C2267" s="8"/>
      <c r="D2267" s="8"/>
      <c r="E2267" s="8"/>
      <c r="F2267" s="8"/>
      <c r="G2267" s="8"/>
      <c r="H2267" s="8"/>
      <c r="I2267" s="8"/>
      <c r="J2267" s="8"/>
      <c r="K2267" s="8"/>
      <c r="L2267" s="8"/>
      <c r="M2267" s="8"/>
      <c r="N2267" s="8"/>
      <c r="O2267" s="8"/>
      <c r="P2267" s="8"/>
      <c r="Q2267" s="8"/>
      <c r="R2267" s="8"/>
      <c r="S2267" s="8"/>
      <c r="T2267" s="8"/>
      <c r="U2267" s="8"/>
      <c r="V2267" s="8"/>
      <c r="W2267" s="8"/>
      <c r="X2267" s="8"/>
      <c r="Y2267" s="8"/>
    </row>
    <row r="2268">
      <c r="A2268" s="8"/>
      <c r="B2268" s="8"/>
      <c r="C2268" s="8"/>
      <c r="D2268" s="8"/>
      <c r="E2268" s="8"/>
      <c r="F2268" s="8"/>
      <c r="G2268" s="8"/>
      <c r="H2268" s="8"/>
      <c r="I2268" s="8"/>
      <c r="J2268" s="8"/>
      <c r="K2268" s="8"/>
      <c r="L2268" s="8"/>
      <c r="M2268" s="8"/>
      <c r="N2268" s="8"/>
      <c r="O2268" s="8"/>
      <c r="P2268" s="8"/>
      <c r="Q2268" s="8"/>
      <c r="R2268" s="8"/>
      <c r="S2268" s="8"/>
      <c r="T2268" s="8"/>
      <c r="U2268" s="8"/>
      <c r="V2268" s="8"/>
      <c r="W2268" s="8"/>
      <c r="X2268" s="8"/>
      <c r="Y2268" s="8"/>
    </row>
    <row r="2269">
      <c r="A2269" s="8"/>
      <c r="B2269" s="8"/>
      <c r="C2269" s="8"/>
      <c r="D2269" s="8"/>
      <c r="E2269" s="8"/>
      <c r="F2269" s="8"/>
      <c r="G2269" s="8"/>
      <c r="H2269" s="8"/>
      <c r="I2269" s="8"/>
      <c r="J2269" s="8"/>
      <c r="K2269" s="8"/>
      <c r="L2269" s="8"/>
      <c r="M2269" s="8"/>
      <c r="N2269" s="8"/>
      <c r="O2269" s="8"/>
      <c r="P2269" s="8"/>
      <c r="Q2269" s="8"/>
      <c r="R2269" s="8"/>
      <c r="S2269" s="8"/>
      <c r="T2269" s="8"/>
      <c r="U2269" s="8"/>
      <c r="V2269" s="8"/>
      <c r="W2269" s="8"/>
      <c r="X2269" s="8"/>
      <c r="Y2269" s="8"/>
    </row>
    <row r="2270">
      <c r="A2270" s="8"/>
      <c r="B2270" s="8"/>
      <c r="C2270" s="8"/>
      <c r="D2270" s="8"/>
      <c r="E2270" s="8"/>
      <c r="F2270" s="8"/>
      <c r="G2270" s="8"/>
      <c r="H2270" s="8"/>
      <c r="I2270" s="8"/>
      <c r="J2270" s="8"/>
      <c r="K2270" s="8"/>
      <c r="L2270" s="8"/>
      <c r="M2270" s="8"/>
      <c r="N2270" s="8"/>
      <c r="O2270" s="8"/>
      <c r="P2270" s="8"/>
      <c r="Q2270" s="8"/>
      <c r="R2270" s="8"/>
      <c r="S2270" s="8"/>
      <c r="T2270" s="8"/>
      <c r="U2270" s="8"/>
      <c r="V2270" s="8"/>
      <c r="W2270" s="8"/>
      <c r="X2270" s="8"/>
      <c r="Y2270" s="8"/>
    </row>
    <row r="2271">
      <c r="A2271" s="8"/>
      <c r="B2271" s="8"/>
      <c r="C2271" s="8"/>
      <c r="D2271" s="8"/>
      <c r="E2271" s="8"/>
      <c r="F2271" s="8"/>
      <c r="G2271" s="8"/>
      <c r="H2271" s="8"/>
      <c r="I2271" s="8"/>
      <c r="J2271" s="8"/>
      <c r="K2271" s="8"/>
      <c r="L2271" s="8"/>
      <c r="M2271" s="8"/>
      <c r="N2271" s="8"/>
      <c r="O2271" s="8"/>
      <c r="P2271" s="8"/>
      <c r="Q2271" s="8"/>
      <c r="R2271" s="8"/>
      <c r="S2271" s="8"/>
      <c r="T2271" s="8"/>
      <c r="U2271" s="8"/>
      <c r="V2271" s="8"/>
      <c r="W2271" s="8"/>
      <c r="X2271" s="8"/>
      <c r="Y2271" s="8"/>
    </row>
    <row r="2272">
      <c r="A2272" s="8"/>
      <c r="B2272" s="8"/>
      <c r="C2272" s="8"/>
      <c r="D2272" s="8"/>
      <c r="E2272" s="8"/>
      <c r="F2272" s="8"/>
      <c r="G2272" s="8"/>
      <c r="H2272" s="8"/>
      <c r="I2272" s="8"/>
      <c r="J2272" s="8"/>
      <c r="K2272" s="8"/>
      <c r="L2272" s="8"/>
      <c r="M2272" s="8"/>
      <c r="N2272" s="8"/>
      <c r="O2272" s="8"/>
      <c r="P2272" s="8"/>
      <c r="Q2272" s="8"/>
      <c r="R2272" s="8"/>
      <c r="S2272" s="8"/>
      <c r="T2272" s="8"/>
      <c r="U2272" s="8"/>
      <c r="V2272" s="8"/>
      <c r="W2272" s="8"/>
      <c r="X2272" s="8"/>
      <c r="Y2272" s="8"/>
    </row>
    <row r="2273">
      <c r="A2273" s="8"/>
      <c r="B2273" s="8"/>
      <c r="C2273" s="8"/>
      <c r="D2273" s="8"/>
      <c r="E2273" s="8"/>
      <c r="F2273" s="8"/>
      <c r="G2273" s="8"/>
      <c r="H2273" s="8"/>
      <c r="I2273" s="8"/>
      <c r="J2273" s="8"/>
      <c r="K2273" s="8"/>
      <c r="L2273" s="8"/>
      <c r="M2273" s="8"/>
      <c r="N2273" s="8"/>
      <c r="O2273" s="8"/>
      <c r="P2273" s="8"/>
      <c r="Q2273" s="8"/>
      <c r="R2273" s="8"/>
      <c r="S2273" s="8"/>
      <c r="T2273" s="8"/>
      <c r="U2273" s="8"/>
      <c r="V2273" s="8"/>
      <c r="W2273" s="8"/>
      <c r="X2273" s="8"/>
      <c r="Y2273" s="8"/>
    </row>
    <row r="2274">
      <c r="A2274" s="8"/>
      <c r="B2274" s="8"/>
      <c r="C2274" s="8"/>
      <c r="D2274" s="8"/>
      <c r="E2274" s="8"/>
      <c r="F2274" s="8"/>
      <c r="G2274" s="8"/>
      <c r="H2274" s="8"/>
      <c r="I2274" s="8"/>
      <c r="J2274" s="8"/>
      <c r="K2274" s="8"/>
      <c r="L2274" s="8"/>
      <c r="M2274" s="8"/>
      <c r="N2274" s="8"/>
      <c r="O2274" s="8"/>
      <c r="P2274" s="8"/>
      <c r="Q2274" s="8"/>
      <c r="R2274" s="8"/>
      <c r="S2274" s="8"/>
      <c r="T2274" s="8"/>
      <c r="U2274" s="8"/>
      <c r="V2274" s="8"/>
      <c r="W2274" s="8"/>
      <c r="X2274" s="8"/>
      <c r="Y2274" s="8"/>
    </row>
    <row r="2275">
      <c r="A2275" s="8"/>
      <c r="B2275" s="8"/>
      <c r="C2275" s="8"/>
      <c r="D2275" s="8"/>
      <c r="E2275" s="8"/>
      <c r="F2275" s="8"/>
      <c r="G2275" s="8"/>
      <c r="H2275" s="8"/>
      <c r="I2275" s="8"/>
      <c r="J2275" s="8"/>
      <c r="K2275" s="8"/>
      <c r="L2275" s="8"/>
      <c r="M2275" s="8"/>
      <c r="N2275" s="8"/>
      <c r="O2275" s="8"/>
      <c r="P2275" s="8"/>
      <c r="Q2275" s="8"/>
      <c r="R2275" s="8"/>
      <c r="S2275" s="8"/>
      <c r="T2275" s="8"/>
      <c r="U2275" s="8"/>
      <c r="V2275" s="8"/>
      <c r="W2275" s="8"/>
      <c r="X2275" s="8"/>
      <c r="Y2275" s="8"/>
    </row>
    <row r="2276">
      <c r="A2276" s="8"/>
      <c r="B2276" s="8"/>
      <c r="C2276" s="8"/>
      <c r="D2276" s="8"/>
      <c r="E2276" s="8"/>
      <c r="F2276" s="8"/>
      <c r="G2276" s="8"/>
      <c r="H2276" s="8"/>
      <c r="I2276" s="8"/>
      <c r="J2276" s="8"/>
      <c r="K2276" s="8"/>
      <c r="L2276" s="8"/>
      <c r="M2276" s="8"/>
      <c r="N2276" s="8"/>
      <c r="O2276" s="8"/>
      <c r="P2276" s="8"/>
      <c r="Q2276" s="8"/>
      <c r="R2276" s="8"/>
      <c r="S2276" s="8"/>
      <c r="T2276" s="8"/>
      <c r="U2276" s="8"/>
      <c r="V2276" s="8"/>
      <c r="W2276" s="8"/>
      <c r="X2276" s="8"/>
      <c r="Y2276" s="8"/>
    </row>
    <row r="2277">
      <c r="A2277" s="8"/>
      <c r="B2277" s="8"/>
      <c r="C2277" s="8"/>
      <c r="D2277" s="8"/>
      <c r="E2277" s="8"/>
      <c r="F2277" s="8"/>
      <c r="G2277" s="8"/>
      <c r="H2277" s="8"/>
      <c r="I2277" s="8"/>
      <c r="J2277" s="8"/>
      <c r="K2277" s="8"/>
      <c r="L2277" s="8"/>
      <c r="M2277" s="8"/>
      <c r="N2277" s="8"/>
      <c r="O2277" s="8"/>
      <c r="P2277" s="8"/>
      <c r="Q2277" s="8"/>
      <c r="R2277" s="8"/>
      <c r="S2277" s="8"/>
      <c r="T2277" s="8"/>
      <c r="U2277" s="8"/>
      <c r="V2277" s="8"/>
      <c r="W2277" s="8"/>
      <c r="X2277" s="8"/>
      <c r="Y2277" s="8"/>
    </row>
    <row r="2278">
      <c r="A2278" s="8"/>
      <c r="B2278" s="8"/>
      <c r="C2278" s="8"/>
      <c r="D2278" s="8"/>
      <c r="E2278" s="8"/>
      <c r="F2278" s="8"/>
      <c r="G2278" s="8"/>
      <c r="H2278" s="8"/>
      <c r="I2278" s="8"/>
      <c r="J2278" s="8"/>
      <c r="K2278" s="8"/>
      <c r="L2278" s="8"/>
      <c r="M2278" s="8"/>
      <c r="N2278" s="8"/>
      <c r="O2278" s="8"/>
      <c r="P2278" s="8"/>
      <c r="Q2278" s="8"/>
      <c r="R2278" s="8"/>
      <c r="S2278" s="8"/>
      <c r="T2278" s="8"/>
      <c r="U2278" s="8"/>
      <c r="V2278" s="8"/>
      <c r="W2278" s="8"/>
      <c r="X2278" s="8"/>
      <c r="Y2278" s="8"/>
    </row>
    <row r="2279">
      <c r="A2279" s="8"/>
      <c r="B2279" s="8"/>
      <c r="C2279" s="8"/>
      <c r="D2279" s="8"/>
      <c r="E2279" s="8"/>
      <c r="F2279" s="8"/>
      <c r="G2279" s="8"/>
      <c r="H2279" s="8"/>
      <c r="I2279" s="8"/>
      <c r="J2279" s="8"/>
      <c r="K2279" s="8"/>
      <c r="L2279" s="8"/>
      <c r="M2279" s="8"/>
      <c r="N2279" s="8"/>
      <c r="O2279" s="8"/>
      <c r="P2279" s="8"/>
      <c r="Q2279" s="8"/>
      <c r="R2279" s="8"/>
      <c r="S2279" s="8"/>
      <c r="T2279" s="8"/>
      <c r="U2279" s="8"/>
      <c r="V2279" s="8"/>
      <c r="W2279" s="8"/>
      <c r="X2279" s="8"/>
      <c r="Y2279" s="8"/>
    </row>
    <row r="2280">
      <c r="A2280" s="8"/>
      <c r="B2280" s="8"/>
      <c r="C2280" s="8"/>
      <c r="D2280" s="8"/>
      <c r="E2280" s="8"/>
      <c r="F2280" s="8"/>
      <c r="G2280" s="8"/>
      <c r="H2280" s="8"/>
      <c r="I2280" s="8"/>
      <c r="J2280" s="8"/>
      <c r="K2280" s="8"/>
      <c r="L2280" s="8"/>
      <c r="M2280" s="8"/>
      <c r="N2280" s="8"/>
      <c r="O2280" s="8"/>
      <c r="P2280" s="8"/>
      <c r="Q2280" s="8"/>
      <c r="R2280" s="8"/>
      <c r="S2280" s="8"/>
      <c r="T2280" s="8"/>
      <c r="U2280" s="8"/>
      <c r="V2280" s="8"/>
      <c r="W2280" s="8"/>
      <c r="X2280" s="8"/>
      <c r="Y2280" s="8"/>
    </row>
    <row r="2281">
      <c r="A2281" s="8"/>
      <c r="B2281" s="8"/>
      <c r="C2281" s="8"/>
      <c r="D2281" s="8"/>
      <c r="E2281" s="8"/>
      <c r="F2281" s="8"/>
      <c r="G2281" s="8"/>
      <c r="H2281" s="8"/>
      <c r="I2281" s="8"/>
      <c r="J2281" s="8"/>
      <c r="K2281" s="8"/>
      <c r="L2281" s="8"/>
      <c r="M2281" s="8"/>
      <c r="N2281" s="8"/>
      <c r="O2281" s="8"/>
      <c r="P2281" s="8"/>
      <c r="Q2281" s="8"/>
      <c r="R2281" s="8"/>
      <c r="S2281" s="8"/>
      <c r="T2281" s="8"/>
      <c r="U2281" s="8"/>
      <c r="V2281" s="8"/>
      <c r="W2281" s="8"/>
      <c r="X2281" s="8"/>
      <c r="Y2281" s="8"/>
    </row>
    <row r="2282">
      <c r="A2282" s="8"/>
      <c r="B2282" s="8"/>
      <c r="C2282" s="8"/>
      <c r="D2282" s="8"/>
      <c r="E2282" s="8"/>
      <c r="F2282" s="8"/>
      <c r="G2282" s="8"/>
      <c r="H2282" s="8"/>
      <c r="I2282" s="8"/>
      <c r="J2282" s="8"/>
      <c r="K2282" s="8"/>
      <c r="L2282" s="8"/>
      <c r="M2282" s="8"/>
      <c r="N2282" s="8"/>
      <c r="O2282" s="8"/>
      <c r="P2282" s="8"/>
      <c r="Q2282" s="8"/>
      <c r="R2282" s="8"/>
      <c r="S2282" s="8"/>
      <c r="T2282" s="8"/>
      <c r="U2282" s="8"/>
      <c r="V2282" s="8"/>
      <c r="W2282" s="8"/>
      <c r="X2282" s="8"/>
      <c r="Y2282" s="8"/>
    </row>
    <row r="2283">
      <c r="A2283" s="8"/>
      <c r="B2283" s="8"/>
      <c r="C2283" s="8"/>
      <c r="D2283" s="8"/>
      <c r="E2283" s="8"/>
      <c r="F2283" s="8"/>
      <c r="G2283" s="8"/>
      <c r="H2283" s="8"/>
      <c r="I2283" s="8"/>
      <c r="J2283" s="8"/>
      <c r="K2283" s="8"/>
      <c r="L2283" s="8"/>
      <c r="M2283" s="8"/>
      <c r="N2283" s="8"/>
      <c r="O2283" s="8"/>
      <c r="P2283" s="8"/>
      <c r="Q2283" s="8"/>
      <c r="R2283" s="8"/>
      <c r="S2283" s="8"/>
      <c r="T2283" s="8"/>
      <c r="U2283" s="8"/>
      <c r="V2283" s="8"/>
      <c r="W2283" s="8"/>
      <c r="X2283" s="8"/>
      <c r="Y2283" s="8"/>
    </row>
    <row r="2284">
      <c r="A2284" s="8"/>
      <c r="B2284" s="8"/>
      <c r="C2284" s="8"/>
      <c r="D2284" s="8"/>
      <c r="E2284" s="8"/>
      <c r="F2284" s="8"/>
      <c r="G2284" s="8"/>
      <c r="H2284" s="8"/>
      <c r="I2284" s="8"/>
      <c r="J2284" s="8"/>
      <c r="K2284" s="8"/>
      <c r="L2284" s="8"/>
      <c r="M2284" s="8"/>
      <c r="N2284" s="8"/>
      <c r="O2284" s="8"/>
      <c r="P2284" s="8"/>
      <c r="Q2284" s="8"/>
      <c r="R2284" s="8"/>
      <c r="S2284" s="8"/>
      <c r="T2284" s="8"/>
      <c r="U2284" s="8"/>
      <c r="V2284" s="8"/>
      <c r="W2284" s="8"/>
      <c r="X2284" s="8"/>
      <c r="Y2284" s="8"/>
    </row>
    <row r="2285">
      <c r="A2285" s="8"/>
      <c r="B2285" s="8"/>
      <c r="C2285" s="8"/>
      <c r="D2285" s="8"/>
      <c r="E2285" s="8"/>
      <c r="F2285" s="8"/>
      <c r="G2285" s="8"/>
      <c r="H2285" s="8"/>
      <c r="I2285" s="8"/>
      <c r="J2285" s="8"/>
      <c r="K2285" s="8"/>
      <c r="L2285" s="8"/>
      <c r="M2285" s="8"/>
      <c r="N2285" s="8"/>
      <c r="O2285" s="8"/>
      <c r="P2285" s="8"/>
      <c r="Q2285" s="8"/>
      <c r="R2285" s="8"/>
      <c r="S2285" s="8"/>
      <c r="T2285" s="8"/>
      <c r="U2285" s="8"/>
      <c r="V2285" s="8"/>
      <c r="W2285" s="8"/>
      <c r="X2285" s="8"/>
      <c r="Y2285" s="8"/>
    </row>
    <row r="2286">
      <c r="A2286" s="8"/>
      <c r="B2286" s="8"/>
      <c r="C2286" s="8"/>
      <c r="D2286" s="8"/>
      <c r="E2286" s="8"/>
      <c r="F2286" s="8"/>
      <c r="G2286" s="8"/>
      <c r="H2286" s="8"/>
      <c r="I2286" s="8"/>
      <c r="J2286" s="8"/>
      <c r="K2286" s="8"/>
      <c r="L2286" s="8"/>
      <c r="M2286" s="8"/>
      <c r="N2286" s="8"/>
      <c r="O2286" s="8"/>
      <c r="P2286" s="8"/>
      <c r="Q2286" s="8"/>
      <c r="R2286" s="8"/>
      <c r="S2286" s="8"/>
      <c r="T2286" s="8"/>
      <c r="U2286" s="8"/>
      <c r="V2286" s="8"/>
      <c r="W2286" s="8"/>
      <c r="X2286" s="8"/>
      <c r="Y2286" s="8"/>
    </row>
    <row r="2287">
      <c r="A2287" s="8"/>
      <c r="B2287" s="8"/>
      <c r="C2287" s="8"/>
      <c r="D2287" s="8"/>
      <c r="E2287" s="8"/>
      <c r="F2287" s="8"/>
      <c r="G2287" s="8"/>
      <c r="H2287" s="8"/>
      <c r="I2287" s="8"/>
      <c r="J2287" s="8"/>
      <c r="K2287" s="8"/>
      <c r="L2287" s="8"/>
      <c r="M2287" s="8"/>
      <c r="N2287" s="8"/>
      <c r="O2287" s="8"/>
      <c r="P2287" s="8"/>
      <c r="Q2287" s="8"/>
      <c r="R2287" s="8"/>
      <c r="S2287" s="8"/>
      <c r="T2287" s="8"/>
      <c r="U2287" s="8"/>
      <c r="V2287" s="8"/>
      <c r="W2287" s="8"/>
      <c r="X2287" s="8"/>
      <c r="Y2287" s="8"/>
    </row>
    <row r="2288">
      <c r="A2288" s="8"/>
      <c r="B2288" s="8"/>
      <c r="C2288" s="8"/>
      <c r="D2288" s="8"/>
      <c r="E2288" s="8"/>
      <c r="F2288" s="8"/>
      <c r="G2288" s="8"/>
      <c r="H2288" s="8"/>
      <c r="I2288" s="8"/>
      <c r="J2288" s="8"/>
      <c r="K2288" s="8"/>
      <c r="L2288" s="8"/>
      <c r="M2288" s="8"/>
      <c r="N2288" s="8"/>
      <c r="O2288" s="8"/>
      <c r="P2288" s="8"/>
      <c r="Q2288" s="8"/>
      <c r="R2288" s="8"/>
      <c r="S2288" s="8"/>
      <c r="T2288" s="8"/>
      <c r="U2288" s="8"/>
      <c r="V2288" s="8"/>
      <c r="W2288" s="8"/>
      <c r="X2288" s="8"/>
      <c r="Y2288" s="8"/>
    </row>
    <row r="2289">
      <c r="A2289" s="8"/>
      <c r="B2289" s="8"/>
      <c r="C2289" s="8"/>
      <c r="D2289" s="8"/>
      <c r="E2289" s="8"/>
      <c r="F2289" s="8"/>
      <c r="G2289" s="8"/>
      <c r="H2289" s="8"/>
      <c r="I2289" s="8"/>
      <c r="J2289" s="8"/>
      <c r="K2289" s="8"/>
      <c r="L2289" s="8"/>
      <c r="M2289" s="8"/>
      <c r="N2289" s="8"/>
      <c r="O2289" s="8"/>
      <c r="P2289" s="8"/>
      <c r="Q2289" s="8"/>
      <c r="R2289" s="8"/>
      <c r="S2289" s="8"/>
      <c r="T2289" s="8"/>
      <c r="U2289" s="8"/>
      <c r="V2289" s="8"/>
      <c r="W2289" s="8"/>
      <c r="X2289" s="8"/>
      <c r="Y2289" s="8"/>
    </row>
    <row r="2290">
      <c r="A2290" s="8"/>
      <c r="B2290" s="8"/>
      <c r="C2290" s="8"/>
      <c r="D2290" s="8"/>
      <c r="E2290" s="8"/>
      <c r="F2290" s="8"/>
      <c r="G2290" s="8"/>
      <c r="H2290" s="8"/>
      <c r="I2290" s="8"/>
      <c r="J2290" s="8"/>
      <c r="K2290" s="8"/>
      <c r="L2290" s="8"/>
      <c r="M2290" s="8"/>
      <c r="N2290" s="8"/>
      <c r="O2290" s="8"/>
      <c r="P2290" s="8"/>
      <c r="Q2290" s="8"/>
      <c r="R2290" s="8"/>
      <c r="S2290" s="8"/>
      <c r="T2290" s="8"/>
      <c r="U2290" s="8"/>
      <c r="V2290" s="8"/>
      <c r="W2290" s="8"/>
      <c r="X2290" s="8"/>
      <c r="Y2290" s="8"/>
    </row>
    <row r="2291">
      <c r="A2291" s="8"/>
      <c r="B2291" s="8"/>
      <c r="C2291" s="8"/>
      <c r="D2291" s="8"/>
      <c r="E2291" s="8"/>
      <c r="F2291" s="8"/>
      <c r="G2291" s="8"/>
      <c r="H2291" s="8"/>
      <c r="I2291" s="8"/>
      <c r="J2291" s="8"/>
      <c r="K2291" s="8"/>
      <c r="L2291" s="8"/>
      <c r="M2291" s="8"/>
      <c r="N2291" s="8"/>
      <c r="O2291" s="8"/>
      <c r="P2291" s="8"/>
      <c r="Q2291" s="8"/>
      <c r="R2291" s="8"/>
      <c r="S2291" s="8"/>
      <c r="T2291" s="8"/>
      <c r="U2291" s="8"/>
      <c r="V2291" s="8"/>
      <c r="W2291" s="8"/>
      <c r="X2291" s="8"/>
      <c r="Y2291" s="8"/>
    </row>
    <row r="2292">
      <c r="A2292" s="8"/>
      <c r="B2292" s="8"/>
      <c r="C2292" s="8"/>
      <c r="D2292" s="8"/>
      <c r="E2292" s="8"/>
      <c r="F2292" s="8"/>
      <c r="G2292" s="8"/>
      <c r="H2292" s="8"/>
      <c r="I2292" s="8"/>
      <c r="J2292" s="8"/>
      <c r="K2292" s="8"/>
      <c r="L2292" s="8"/>
      <c r="M2292" s="8"/>
      <c r="N2292" s="8"/>
      <c r="O2292" s="8"/>
      <c r="P2292" s="8"/>
      <c r="Q2292" s="8"/>
      <c r="R2292" s="8"/>
      <c r="S2292" s="8"/>
      <c r="T2292" s="8"/>
      <c r="U2292" s="8"/>
      <c r="V2292" s="8"/>
      <c r="W2292" s="8"/>
      <c r="X2292" s="8"/>
      <c r="Y2292" s="8"/>
    </row>
    <row r="2293">
      <c r="A2293" s="8"/>
      <c r="B2293" s="8"/>
      <c r="C2293" s="8"/>
      <c r="D2293" s="8"/>
      <c r="E2293" s="8"/>
      <c r="F2293" s="8"/>
      <c r="G2293" s="8"/>
      <c r="H2293" s="8"/>
      <c r="I2293" s="8"/>
      <c r="J2293" s="8"/>
      <c r="K2293" s="8"/>
      <c r="L2293" s="8"/>
      <c r="M2293" s="8"/>
      <c r="N2293" s="8"/>
      <c r="O2293" s="8"/>
      <c r="P2293" s="8"/>
      <c r="Q2293" s="8"/>
      <c r="R2293" s="8"/>
      <c r="S2293" s="8"/>
      <c r="T2293" s="8"/>
      <c r="U2293" s="8"/>
      <c r="V2293" s="8"/>
      <c r="W2293" s="8"/>
      <c r="X2293" s="8"/>
      <c r="Y2293" s="8"/>
    </row>
    <row r="2294">
      <c r="A2294" s="8"/>
      <c r="B2294" s="8"/>
      <c r="C2294" s="8"/>
      <c r="D2294" s="8"/>
      <c r="E2294" s="8"/>
      <c r="F2294" s="8"/>
      <c r="G2294" s="8"/>
      <c r="H2294" s="8"/>
      <c r="I2294" s="8"/>
      <c r="J2294" s="8"/>
      <c r="K2294" s="8"/>
      <c r="L2294" s="8"/>
      <c r="M2294" s="8"/>
      <c r="N2294" s="8"/>
      <c r="O2294" s="8"/>
      <c r="P2294" s="8"/>
      <c r="Q2294" s="8"/>
      <c r="R2294" s="8"/>
      <c r="S2294" s="8"/>
      <c r="T2294" s="8"/>
      <c r="U2294" s="8"/>
      <c r="V2294" s="8"/>
      <c r="W2294" s="8"/>
      <c r="X2294" s="8"/>
      <c r="Y2294" s="8"/>
    </row>
    <row r="2295">
      <c r="A2295" s="8"/>
      <c r="B2295" s="8"/>
      <c r="C2295" s="8"/>
      <c r="D2295" s="8"/>
      <c r="E2295" s="8"/>
      <c r="F2295" s="8"/>
      <c r="G2295" s="8"/>
      <c r="H2295" s="8"/>
      <c r="I2295" s="8"/>
      <c r="J2295" s="8"/>
      <c r="K2295" s="8"/>
      <c r="L2295" s="8"/>
      <c r="M2295" s="8"/>
      <c r="N2295" s="8"/>
      <c r="O2295" s="8"/>
      <c r="P2295" s="8"/>
      <c r="Q2295" s="8"/>
      <c r="R2295" s="8"/>
      <c r="S2295" s="8"/>
      <c r="T2295" s="8"/>
      <c r="U2295" s="8"/>
      <c r="V2295" s="8"/>
      <c r="W2295" s="8"/>
      <c r="X2295" s="8"/>
      <c r="Y2295" s="8"/>
    </row>
    <row r="2296">
      <c r="A2296" s="8"/>
      <c r="B2296" s="8"/>
      <c r="C2296" s="8"/>
      <c r="D2296" s="8"/>
      <c r="E2296" s="8"/>
      <c r="F2296" s="8"/>
      <c r="G2296" s="8"/>
      <c r="H2296" s="8"/>
      <c r="I2296" s="8"/>
      <c r="J2296" s="8"/>
      <c r="K2296" s="8"/>
      <c r="L2296" s="8"/>
      <c r="M2296" s="8"/>
      <c r="N2296" s="8"/>
      <c r="O2296" s="8"/>
      <c r="P2296" s="8"/>
      <c r="Q2296" s="8"/>
      <c r="R2296" s="8"/>
      <c r="S2296" s="8"/>
      <c r="T2296" s="8"/>
      <c r="U2296" s="8"/>
      <c r="V2296" s="8"/>
      <c r="W2296" s="8"/>
      <c r="X2296" s="8"/>
      <c r="Y2296" s="8"/>
    </row>
    <row r="2297">
      <c r="A2297" s="8"/>
      <c r="B2297" s="8"/>
      <c r="C2297" s="8"/>
      <c r="D2297" s="8"/>
      <c r="E2297" s="8"/>
      <c r="F2297" s="8"/>
      <c r="G2297" s="8"/>
      <c r="H2297" s="8"/>
      <c r="I2297" s="8"/>
      <c r="J2297" s="8"/>
      <c r="K2297" s="8"/>
      <c r="L2297" s="8"/>
      <c r="M2297" s="8"/>
      <c r="N2297" s="8"/>
      <c r="O2297" s="8"/>
      <c r="P2297" s="8"/>
      <c r="Q2297" s="8"/>
      <c r="R2297" s="8"/>
      <c r="S2297" s="8"/>
      <c r="T2297" s="8"/>
      <c r="U2297" s="8"/>
      <c r="V2297" s="8"/>
      <c r="W2297" s="8"/>
      <c r="X2297" s="8"/>
      <c r="Y2297" s="8"/>
    </row>
    <row r="2298">
      <c r="A2298" s="8"/>
      <c r="B2298" s="8"/>
      <c r="C2298" s="8"/>
      <c r="D2298" s="8"/>
      <c r="E2298" s="8"/>
      <c r="F2298" s="8"/>
      <c r="G2298" s="8"/>
      <c r="H2298" s="8"/>
      <c r="I2298" s="8"/>
      <c r="J2298" s="8"/>
      <c r="K2298" s="8"/>
      <c r="L2298" s="8"/>
      <c r="M2298" s="8"/>
      <c r="N2298" s="8"/>
      <c r="O2298" s="8"/>
      <c r="P2298" s="8"/>
      <c r="Q2298" s="8"/>
      <c r="R2298" s="8"/>
      <c r="S2298" s="8"/>
      <c r="T2298" s="8"/>
      <c r="U2298" s="8"/>
      <c r="V2298" s="8"/>
      <c r="W2298" s="8"/>
      <c r="X2298" s="8"/>
      <c r="Y2298" s="8"/>
    </row>
    <row r="2299">
      <c r="A2299" s="8"/>
      <c r="B2299" s="8"/>
      <c r="C2299" s="8"/>
      <c r="D2299" s="8"/>
      <c r="E2299" s="8"/>
      <c r="F2299" s="8"/>
      <c r="G2299" s="8"/>
      <c r="H2299" s="8"/>
      <c r="I2299" s="8"/>
      <c r="J2299" s="8"/>
      <c r="K2299" s="8"/>
      <c r="L2299" s="8"/>
      <c r="M2299" s="8"/>
      <c r="N2299" s="8"/>
      <c r="O2299" s="8"/>
      <c r="P2299" s="8"/>
      <c r="Q2299" s="8"/>
      <c r="R2299" s="8"/>
      <c r="S2299" s="8"/>
      <c r="T2299" s="8"/>
      <c r="U2299" s="8"/>
      <c r="V2299" s="8"/>
      <c r="W2299" s="8"/>
      <c r="X2299" s="8"/>
      <c r="Y2299" s="8"/>
    </row>
    <row r="2300">
      <c r="A2300" s="8"/>
      <c r="B2300" s="8"/>
      <c r="C2300" s="8"/>
      <c r="D2300" s="8"/>
      <c r="E2300" s="8"/>
      <c r="F2300" s="8"/>
      <c r="G2300" s="8"/>
      <c r="H2300" s="8"/>
      <c r="I2300" s="8"/>
      <c r="J2300" s="8"/>
      <c r="K2300" s="8"/>
      <c r="L2300" s="8"/>
      <c r="M2300" s="8"/>
      <c r="N2300" s="8"/>
      <c r="O2300" s="8"/>
      <c r="P2300" s="8"/>
      <c r="Q2300" s="8"/>
      <c r="R2300" s="8"/>
      <c r="S2300" s="8"/>
      <c r="T2300" s="8"/>
      <c r="U2300" s="8"/>
      <c r="V2300" s="8"/>
      <c r="W2300" s="8"/>
      <c r="X2300" s="8"/>
      <c r="Y2300" s="8"/>
    </row>
    <row r="2301">
      <c r="A2301" s="8"/>
      <c r="B2301" s="8"/>
      <c r="C2301" s="8"/>
      <c r="D2301" s="8"/>
      <c r="E2301" s="8"/>
      <c r="F2301" s="8"/>
      <c r="G2301" s="8"/>
      <c r="H2301" s="8"/>
      <c r="I2301" s="8"/>
      <c r="J2301" s="8"/>
      <c r="K2301" s="8"/>
      <c r="L2301" s="8"/>
      <c r="M2301" s="8"/>
      <c r="N2301" s="8"/>
      <c r="O2301" s="8"/>
      <c r="P2301" s="8"/>
      <c r="Q2301" s="8"/>
      <c r="R2301" s="8"/>
      <c r="S2301" s="8"/>
      <c r="T2301" s="8"/>
      <c r="U2301" s="8"/>
      <c r="V2301" s="8"/>
      <c r="W2301" s="8"/>
      <c r="X2301" s="8"/>
      <c r="Y2301" s="8"/>
    </row>
    <row r="2302">
      <c r="A2302" s="8"/>
      <c r="B2302" s="8"/>
      <c r="C2302" s="8"/>
      <c r="D2302" s="8"/>
      <c r="E2302" s="8"/>
      <c r="F2302" s="8"/>
      <c r="G2302" s="8"/>
      <c r="H2302" s="8"/>
      <c r="I2302" s="8"/>
      <c r="J2302" s="8"/>
      <c r="K2302" s="8"/>
      <c r="L2302" s="8"/>
      <c r="M2302" s="8"/>
      <c r="N2302" s="8"/>
      <c r="O2302" s="8"/>
      <c r="P2302" s="8"/>
      <c r="Q2302" s="8"/>
      <c r="R2302" s="8"/>
      <c r="S2302" s="8"/>
      <c r="T2302" s="8"/>
      <c r="U2302" s="8"/>
      <c r="V2302" s="8"/>
      <c r="W2302" s="8"/>
      <c r="X2302" s="8"/>
      <c r="Y2302" s="8"/>
    </row>
    <row r="2303">
      <c r="A2303" s="8"/>
      <c r="B2303" s="8"/>
      <c r="C2303" s="8"/>
      <c r="D2303" s="8"/>
      <c r="E2303" s="8"/>
      <c r="F2303" s="8"/>
      <c r="G2303" s="8"/>
      <c r="H2303" s="8"/>
      <c r="I2303" s="8"/>
      <c r="J2303" s="8"/>
      <c r="K2303" s="8"/>
      <c r="L2303" s="8"/>
      <c r="M2303" s="8"/>
      <c r="N2303" s="8"/>
      <c r="O2303" s="8"/>
      <c r="P2303" s="8"/>
      <c r="Q2303" s="8"/>
      <c r="R2303" s="8"/>
      <c r="S2303" s="8"/>
      <c r="T2303" s="8"/>
      <c r="U2303" s="8"/>
      <c r="V2303" s="8"/>
      <c r="W2303" s="8"/>
      <c r="X2303" s="8"/>
      <c r="Y2303" s="8"/>
    </row>
    <row r="2304">
      <c r="A2304" s="8"/>
      <c r="B2304" s="8"/>
      <c r="C2304" s="8"/>
      <c r="D2304" s="8"/>
      <c r="E2304" s="8"/>
      <c r="F2304" s="8"/>
      <c r="G2304" s="8"/>
      <c r="H2304" s="8"/>
      <c r="I2304" s="8"/>
      <c r="J2304" s="8"/>
      <c r="K2304" s="8"/>
      <c r="L2304" s="8"/>
      <c r="M2304" s="8"/>
      <c r="N2304" s="8"/>
      <c r="O2304" s="8"/>
      <c r="P2304" s="8"/>
      <c r="Q2304" s="8"/>
      <c r="R2304" s="8"/>
      <c r="S2304" s="8"/>
      <c r="T2304" s="8"/>
      <c r="U2304" s="8"/>
      <c r="V2304" s="8"/>
      <c r="W2304" s="8"/>
      <c r="X2304" s="8"/>
      <c r="Y2304" s="8"/>
    </row>
    <row r="2305">
      <c r="A2305" s="8"/>
      <c r="B2305" s="8"/>
      <c r="C2305" s="8"/>
      <c r="D2305" s="8"/>
      <c r="E2305" s="8"/>
      <c r="F2305" s="8"/>
      <c r="G2305" s="8"/>
      <c r="H2305" s="8"/>
      <c r="I2305" s="8"/>
      <c r="J2305" s="8"/>
      <c r="K2305" s="8"/>
      <c r="L2305" s="8"/>
      <c r="M2305" s="8"/>
      <c r="N2305" s="8"/>
      <c r="O2305" s="8"/>
      <c r="P2305" s="8"/>
      <c r="Q2305" s="8"/>
      <c r="R2305" s="8"/>
      <c r="S2305" s="8"/>
      <c r="T2305" s="8"/>
      <c r="U2305" s="8"/>
      <c r="V2305" s="8"/>
      <c r="W2305" s="8"/>
      <c r="X2305" s="8"/>
      <c r="Y2305" s="8"/>
    </row>
    <row r="2306">
      <c r="A2306" s="8"/>
      <c r="B2306" s="8"/>
      <c r="C2306" s="8"/>
      <c r="D2306" s="8"/>
      <c r="E2306" s="8"/>
      <c r="F2306" s="8"/>
      <c r="G2306" s="8"/>
      <c r="H2306" s="8"/>
      <c r="I2306" s="8"/>
      <c r="J2306" s="8"/>
      <c r="K2306" s="8"/>
      <c r="L2306" s="8"/>
      <c r="M2306" s="8"/>
      <c r="N2306" s="8"/>
      <c r="O2306" s="8"/>
      <c r="P2306" s="8"/>
      <c r="Q2306" s="8"/>
      <c r="R2306" s="8"/>
      <c r="S2306" s="8"/>
      <c r="T2306" s="8"/>
      <c r="U2306" s="8"/>
      <c r="V2306" s="8"/>
      <c r="W2306" s="8"/>
      <c r="X2306" s="8"/>
      <c r="Y2306" s="8"/>
    </row>
    <row r="2307">
      <c r="A2307" s="8"/>
      <c r="B2307" s="8"/>
      <c r="C2307" s="8"/>
      <c r="D2307" s="8"/>
      <c r="E2307" s="8"/>
      <c r="F2307" s="8"/>
      <c r="G2307" s="8"/>
      <c r="H2307" s="8"/>
      <c r="I2307" s="8"/>
      <c r="J2307" s="8"/>
      <c r="K2307" s="8"/>
      <c r="L2307" s="8"/>
      <c r="M2307" s="8"/>
      <c r="N2307" s="8"/>
      <c r="O2307" s="8"/>
      <c r="P2307" s="8"/>
      <c r="Q2307" s="8"/>
      <c r="R2307" s="8"/>
      <c r="S2307" s="8"/>
      <c r="T2307" s="8"/>
      <c r="U2307" s="8"/>
      <c r="V2307" s="8"/>
      <c r="W2307" s="8"/>
      <c r="X2307" s="8"/>
      <c r="Y2307" s="8"/>
    </row>
    <row r="2308">
      <c r="A2308" s="8"/>
      <c r="B2308" s="8"/>
      <c r="C2308" s="8"/>
      <c r="D2308" s="8"/>
      <c r="E2308" s="8"/>
      <c r="F2308" s="8"/>
      <c r="G2308" s="8"/>
      <c r="H2308" s="8"/>
      <c r="I2308" s="8"/>
      <c r="J2308" s="8"/>
      <c r="K2308" s="8"/>
      <c r="L2308" s="8"/>
      <c r="M2308" s="8"/>
      <c r="N2308" s="8"/>
      <c r="O2308" s="8"/>
      <c r="P2308" s="8"/>
      <c r="Q2308" s="8"/>
      <c r="R2308" s="8"/>
      <c r="S2308" s="8"/>
      <c r="T2308" s="8"/>
      <c r="U2308" s="8"/>
      <c r="V2308" s="8"/>
      <c r="W2308" s="8"/>
      <c r="X2308" s="8"/>
      <c r="Y2308" s="8"/>
    </row>
    <row r="2309">
      <c r="A2309" s="8"/>
      <c r="B2309" s="8"/>
      <c r="C2309" s="8"/>
      <c r="D2309" s="8"/>
      <c r="E2309" s="8"/>
      <c r="F2309" s="8"/>
      <c r="G2309" s="8"/>
      <c r="H2309" s="8"/>
      <c r="I2309" s="8"/>
      <c r="J2309" s="8"/>
      <c r="K2309" s="8"/>
      <c r="L2309" s="8"/>
      <c r="M2309" s="8"/>
      <c r="N2309" s="8"/>
      <c r="O2309" s="8"/>
      <c r="P2309" s="8"/>
      <c r="Q2309" s="8"/>
      <c r="R2309" s="8"/>
      <c r="S2309" s="8"/>
      <c r="T2309" s="8"/>
      <c r="U2309" s="8"/>
      <c r="V2309" s="8"/>
      <c r="W2309" s="8"/>
      <c r="X2309" s="8"/>
      <c r="Y2309" s="8"/>
    </row>
    <row r="2310">
      <c r="A2310" s="8"/>
      <c r="B2310" s="8"/>
      <c r="C2310" s="8"/>
      <c r="D2310" s="8"/>
      <c r="E2310" s="8"/>
      <c r="F2310" s="8"/>
      <c r="G2310" s="8"/>
      <c r="H2310" s="8"/>
      <c r="I2310" s="8"/>
      <c r="J2310" s="8"/>
      <c r="K2310" s="8"/>
      <c r="L2310" s="8"/>
      <c r="M2310" s="8"/>
      <c r="N2310" s="8"/>
      <c r="O2310" s="8"/>
      <c r="P2310" s="8"/>
      <c r="Q2310" s="8"/>
      <c r="R2310" s="8"/>
      <c r="S2310" s="8"/>
      <c r="T2310" s="8"/>
      <c r="U2310" s="8"/>
      <c r="V2310" s="8"/>
      <c r="W2310" s="8"/>
      <c r="X2310" s="8"/>
      <c r="Y2310" s="8"/>
    </row>
    <row r="2311">
      <c r="A2311" s="8"/>
      <c r="B2311" s="8"/>
      <c r="C2311" s="8"/>
      <c r="D2311" s="8"/>
      <c r="E2311" s="8"/>
      <c r="F2311" s="8"/>
      <c r="G2311" s="8"/>
      <c r="H2311" s="8"/>
      <c r="I2311" s="8"/>
      <c r="J2311" s="8"/>
      <c r="K2311" s="8"/>
      <c r="L2311" s="8"/>
      <c r="M2311" s="8"/>
      <c r="N2311" s="8"/>
      <c r="O2311" s="8"/>
      <c r="P2311" s="8"/>
      <c r="Q2311" s="8"/>
      <c r="R2311" s="8"/>
      <c r="S2311" s="8"/>
      <c r="T2311" s="8"/>
      <c r="U2311" s="8"/>
      <c r="V2311" s="8"/>
      <c r="W2311" s="8"/>
      <c r="X2311" s="8"/>
      <c r="Y2311" s="8"/>
    </row>
    <row r="2312">
      <c r="A2312" s="8"/>
      <c r="B2312" s="8"/>
      <c r="C2312" s="8"/>
      <c r="D2312" s="8"/>
      <c r="E2312" s="8"/>
      <c r="F2312" s="8"/>
      <c r="G2312" s="8"/>
      <c r="H2312" s="8"/>
      <c r="I2312" s="8"/>
      <c r="J2312" s="8"/>
      <c r="K2312" s="8"/>
      <c r="L2312" s="8"/>
      <c r="M2312" s="8"/>
      <c r="N2312" s="8"/>
      <c r="O2312" s="8"/>
      <c r="P2312" s="8"/>
      <c r="Q2312" s="8"/>
      <c r="R2312" s="8"/>
      <c r="S2312" s="8"/>
      <c r="T2312" s="8"/>
      <c r="U2312" s="8"/>
      <c r="V2312" s="8"/>
      <c r="W2312" s="8"/>
      <c r="X2312" s="8"/>
      <c r="Y2312" s="8"/>
    </row>
    <row r="2313">
      <c r="A2313" s="8"/>
      <c r="B2313" s="8"/>
      <c r="C2313" s="8"/>
      <c r="D2313" s="8"/>
      <c r="E2313" s="8"/>
      <c r="F2313" s="8"/>
      <c r="G2313" s="8"/>
      <c r="H2313" s="8"/>
      <c r="I2313" s="8"/>
      <c r="J2313" s="8"/>
      <c r="K2313" s="8"/>
      <c r="L2313" s="8"/>
      <c r="M2313" s="8"/>
      <c r="N2313" s="8"/>
      <c r="O2313" s="8"/>
      <c r="P2313" s="8"/>
      <c r="Q2313" s="8"/>
      <c r="R2313" s="8"/>
      <c r="S2313" s="8"/>
      <c r="T2313" s="8"/>
      <c r="U2313" s="8"/>
      <c r="V2313" s="8"/>
      <c r="W2313" s="8"/>
      <c r="X2313" s="8"/>
      <c r="Y2313" s="8"/>
    </row>
    <row r="2314">
      <c r="A2314" s="8"/>
      <c r="B2314" s="8"/>
      <c r="C2314" s="8"/>
      <c r="D2314" s="8"/>
      <c r="E2314" s="8"/>
      <c r="F2314" s="8"/>
      <c r="G2314" s="8"/>
      <c r="H2314" s="8"/>
      <c r="I2314" s="8"/>
      <c r="J2314" s="8"/>
      <c r="K2314" s="8"/>
      <c r="L2314" s="8"/>
      <c r="M2314" s="8"/>
      <c r="N2314" s="8"/>
      <c r="O2314" s="8"/>
      <c r="P2314" s="8"/>
      <c r="Q2314" s="8"/>
      <c r="R2314" s="8"/>
      <c r="S2314" s="8"/>
      <c r="T2314" s="8"/>
      <c r="U2314" s="8"/>
      <c r="V2314" s="8"/>
      <c r="W2314" s="8"/>
      <c r="X2314" s="8"/>
      <c r="Y2314" s="8"/>
    </row>
    <row r="2315">
      <c r="A2315" s="8"/>
      <c r="B2315" s="8"/>
      <c r="C2315" s="8"/>
      <c r="D2315" s="8"/>
      <c r="E2315" s="8"/>
      <c r="F2315" s="8"/>
      <c r="G2315" s="8"/>
      <c r="H2315" s="8"/>
      <c r="I2315" s="8"/>
      <c r="J2315" s="8"/>
      <c r="K2315" s="8"/>
      <c r="L2315" s="8"/>
      <c r="M2315" s="8"/>
      <c r="N2315" s="8"/>
      <c r="O2315" s="8"/>
      <c r="P2315" s="8"/>
      <c r="Q2315" s="8"/>
      <c r="R2315" s="8"/>
      <c r="S2315" s="8"/>
      <c r="T2315" s="8"/>
      <c r="U2315" s="8"/>
      <c r="V2315" s="8"/>
      <c r="W2315" s="8"/>
      <c r="X2315" s="8"/>
      <c r="Y2315" s="8"/>
    </row>
    <row r="2316">
      <c r="A2316" s="8"/>
      <c r="B2316" s="8"/>
      <c r="C2316" s="8"/>
      <c r="D2316" s="8"/>
      <c r="E2316" s="8"/>
      <c r="F2316" s="8"/>
      <c r="G2316" s="8"/>
      <c r="H2316" s="8"/>
      <c r="I2316" s="8"/>
      <c r="J2316" s="8"/>
      <c r="K2316" s="8"/>
      <c r="L2316" s="8"/>
      <c r="M2316" s="8"/>
      <c r="N2316" s="8"/>
      <c r="O2316" s="8"/>
      <c r="P2316" s="8"/>
      <c r="Q2316" s="8"/>
      <c r="R2316" s="8"/>
      <c r="S2316" s="8"/>
      <c r="T2316" s="8"/>
      <c r="U2316" s="8"/>
      <c r="V2316" s="8"/>
      <c r="W2316" s="8"/>
      <c r="X2316" s="8"/>
      <c r="Y2316" s="8"/>
    </row>
    <row r="2317">
      <c r="A2317" s="8"/>
      <c r="B2317" s="8"/>
      <c r="C2317" s="8"/>
      <c r="D2317" s="8"/>
      <c r="E2317" s="8"/>
      <c r="F2317" s="8"/>
      <c r="G2317" s="8"/>
      <c r="H2317" s="8"/>
      <c r="I2317" s="8"/>
      <c r="J2317" s="8"/>
      <c r="K2317" s="8"/>
      <c r="L2317" s="8"/>
      <c r="M2317" s="8"/>
      <c r="N2317" s="8"/>
      <c r="O2317" s="8"/>
      <c r="P2317" s="8"/>
      <c r="Q2317" s="8"/>
      <c r="R2317" s="8"/>
      <c r="S2317" s="8"/>
      <c r="T2317" s="8"/>
      <c r="U2317" s="8"/>
      <c r="V2317" s="8"/>
      <c r="W2317" s="8"/>
      <c r="X2317" s="8"/>
      <c r="Y2317" s="8"/>
    </row>
    <row r="2318">
      <c r="A2318" s="8"/>
      <c r="B2318" s="8"/>
      <c r="C2318" s="8"/>
      <c r="D2318" s="8"/>
      <c r="E2318" s="8"/>
      <c r="F2318" s="8"/>
      <c r="G2318" s="8"/>
      <c r="H2318" s="8"/>
      <c r="I2318" s="8"/>
      <c r="J2318" s="8"/>
      <c r="K2318" s="8"/>
      <c r="L2318" s="8"/>
      <c r="M2318" s="8"/>
      <c r="N2318" s="8"/>
      <c r="O2318" s="8"/>
      <c r="P2318" s="8"/>
      <c r="Q2318" s="8"/>
      <c r="R2318" s="8"/>
      <c r="S2318" s="8"/>
      <c r="T2318" s="8"/>
      <c r="U2318" s="8"/>
      <c r="V2318" s="8"/>
      <c r="W2318" s="8"/>
      <c r="X2318" s="8"/>
      <c r="Y2318" s="8"/>
    </row>
    <row r="2319">
      <c r="A2319" s="8"/>
      <c r="B2319" s="8"/>
      <c r="C2319" s="8"/>
      <c r="D2319" s="8"/>
      <c r="E2319" s="8"/>
      <c r="F2319" s="8"/>
      <c r="G2319" s="8"/>
      <c r="H2319" s="8"/>
      <c r="I2319" s="8"/>
      <c r="J2319" s="8"/>
      <c r="K2319" s="8"/>
      <c r="L2319" s="8"/>
      <c r="M2319" s="8"/>
      <c r="N2319" s="8"/>
      <c r="O2319" s="8"/>
      <c r="P2319" s="8"/>
      <c r="Q2319" s="8"/>
      <c r="R2319" s="8"/>
      <c r="S2319" s="8"/>
      <c r="T2319" s="8"/>
      <c r="U2319" s="8"/>
      <c r="V2319" s="8"/>
      <c r="W2319" s="8"/>
      <c r="X2319" s="8"/>
      <c r="Y2319" s="8"/>
    </row>
    <row r="2320">
      <c r="A2320" s="8"/>
      <c r="B2320" s="8"/>
      <c r="C2320" s="8"/>
      <c r="D2320" s="8"/>
      <c r="E2320" s="8"/>
      <c r="F2320" s="8"/>
      <c r="G2320" s="8"/>
      <c r="H2320" s="8"/>
      <c r="I2320" s="8"/>
      <c r="J2320" s="8"/>
      <c r="K2320" s="8"/>
      <c r="L2320" s="8"/>
      <c r="M2320" s="8"/>
      <c r="N2320" s="8"/>
      <c r="O2320" s="8"/>
      <c r="P2320" s="8"/>
      <c r="Q2320" s="8"/>
      <c r="R2320" s="8"/>
      <c r="S2320" s="8"/>
      <c r="T2320" s="8"/>
      <c r="U2320" s="8"/>
      <c r="V2320" s="8"/>
      <c r="W2320" s="8"/>
      <c r="X2320" s="8"/>
      <c r="Y2320" s="8"/>
    </row>
    <row r="2321">
      <c r="A2321" s="8"/>
      <c r="B2321" s="8"/>
      <c r="C2321" s="8"/>
      <c r="D2321" s="8"/>
      <c r="E2321" s="8"/>
      <c r="F2321" s="8"/>
      <c r="G2321" s="8"/>
      <c r="H2321" s="8"/>
      <c r="I2321" s="8"/>
      <c r="J2321" s="8"/>
      <c r="K2321" s="8"/>
      <c r="L2321" s="8"/>
      <c r="M2321" s="8"/>
      <c r="N2321" s="8"/>
      <c r="O2321" s="8"/>
      <c r="P2321" s="8"/>
      <c r="Q2321" s="8"/>
      <c r="R2321" s="8"/>
      <c r="S2321" s="8"/>
      <c r="T2321" s="8"/>
      <c r="U2321" s="8"/>
      <c r="V2321" s="8"/>
      <c r="W2321" s="8"/>
      <c r="X2321" s="8"/>
      <c r="Y2321" s="8"/>
    </row>
    <row r="2322">
      <c r="A2322" s="8"/>
      <c r="B2322" s="8"/>
      <c r="C2322" s="8"/>
      <c r="D2322" s="8"/>
      <c r="E2322" s="8"/>
      <c r="F2322" s="8"/>
      <c r="G2322" s="8"/>
      <c r="H2322" s="8"/>
      <c r="I2322" s="8"/>
      <c r="J2322" s="8"/>
      <c r="K2322" s="8"/>
      <c r="L2322" s="8"/>
      <c r="M2322" s="8"/>
      <c r="N2322" s="8"/>
      <c r="O2322" s="8"/>
      <c r="P2322" s="8"/>
      <c r="Q2322" s="8"/>
      <c r="R2322" s="8"/>
      <c r="S2322" s="8"/>
      <c r="T2322" s="8"/>
      <c r="U2322" s="8"/>
      <c r="V2322" s="8"/>
      <c r="W2322" s="8"/>
      <c r="X2322" s="8"/>
      <c r="Y2322" s="8"/>
    </row>
    <row r="2323">
      <c r="A2323" s="8"/>
      <c r="B2323" s="8"/>
      <c r="C2323" s="8"/>
      <c r="D2323" s="8"/>
      <c r="E2323" s="8"/>
      <c r="F2323" s="8"/>
      <c r="G2323" s="8"/>
      <c r="H2323" s="8"/>
      <c r="I2323" s="8"/>
      <c r="J2323" s="8"/>
      <c r="K2323" s="8"/>
      <c r="L2323" s="8"/>
      <c r="M2323" s="8"/>
      <c r="N2323" s="8"/>
      <c r="O2323" s="8"/>
      <c r="P2323" s="8"/>
      <c r="Q2323" s="8"/>
      <c r="R2323" s="8"/>
      <c r="S2323" s="8"/>
      <c r="T2323" s="8"/>
      <c r="U2323" s="8"/>
      <c r="V2323" s="8"/>
      <c r="W2323" s="8"/>
      <c r="X2323" s="8"/>
      <c r="Y2323" s="8"/>
    </row>
    <row r="2324">
      <c r="A2324" s="8"/>
      <c r="B2324" s="8"/>
      <c r="C2324" s="8"/>
      <c r="D2324" s="8"/>
      <c r="E2324" s="8"/>
      <c r="F2324" s="8"/>
      <c r="G2324" s="8"/>
      <c r="H2324" s="8"/>
      <c r="I2324" s="8"/>
      <c r="J2324" s="8"/>
      <c r="K2324" s="8"/>
      <c r="L2324" s="8"/>
      <c r="M2324" s="8"/>
      <c r="N2324" s="8"/>
      <c r="O2324" s="8"/>
      <c r="P2324" s="8"/>
      <c r="Q2324" s="8"/>
      <c r="R2324" s="8"/>
      <c r="S2324" s="8"/>
      <c r="T2324" s="8"/>
      <c r="U2324" s="8"/>
      <c r="V2324" s="8"/>
      <c r="W2324" s="8"/>
      <c r="X2324" s="8"/>
      <c r="Y2324" s="8"/>
    </row>
    <row r="2325">
      <c r="A2325" s="8"/>
      <c r="B2325" s="8"/>
      <c r="C2325" s="8"/>
      <c r="D2325" s="8"/>
      <c r="E2325" s="8"/>
      <c r="F2325" s="8"/>
      <c r="G2325" s="8"/>
      <c r="H2325" s="8"/>
      <c r="I2325" s="8"/>
      <c r="J2325" s="8"/>
      <c r="K2325" s="8"/>
      <c r="L2325" s="8"/>
      <c r="M2325" s="8"/>
      <c r="N2325" s="8"/>
      <c r="O2325" s="8"/>
      <c r="P2325" s="8"/>
      <c r="Q2325" s="8"/>
      <c r="R2325" s="8"/>
      <c r="S2325" s="8"/>
      <c r="T2325" s="8"/>
      <c r="U2325" s="8"/>
      <c r="V2325" s="8"/>
      <c r="W2325" s="8"/>
      <c r="X2325" s="8"/>
      <c r="Y2325" s="8"/>
    </row>
    <row r="2326">
      <c r="A2326" s="8"/>
      <c r="B2326" s="8"/>
      <c r="C2326" s="8"/>
      <c r="D2326" s="8"/>
      <c r="E2326" s="8"/>
      <c r="F2326" s="8"/>
      <c r="G2326" s="8"/>
      <c r="H2326" s="8"/>
      <c r="I2326" s="8"/>
      <c r="J2326" s="8"/>
      <c r="K2326" s="8"/>
      <c r="L2326" s="8"/>
      <c r="M2326" s="8"/>
      <c r="N2326" s="8"/>
      <c r="O2326" s="8"/>
      <c r="P2326" s="8"/>
      <c r="Q2326" s="8"/>
      <c r="R2326" s="8"/>
      <c r="S2326" s="8"/>
      <c r="T2326" s="8"/>
      <c r="U2326" s="8"/>
      <c r="V2326" s="8"/>
      <c r="W2326" s="8"/>
      <c r="X2326" s="8"/>
      <c r="Y2326" s="8"/>
    </row>
    <row r="2327">
      <c r="A2327" s="8"/>
      <c r="B2327" s="8"/>
      <c r="C2327" s="8"/>
      <c r="D2327" s="8"/>
      <c r="E2327" s="8"/>
      <c r="F2327" s="8"/>
      <c r="G2327" s="8"/>
      <c r="H2327" s="8"/>
      <c r="I2327" s="8"/>
      <c r="J2327" s="8"/>
      <c r="K2327" s="8"/>
      <c r="L2327" s="8"/>
      <c r="M2327" s="8"/>
      <c r="N2327" s="8"/>
      <c r="O2327" s="8"/>
      <c r="P2327" s="8"/>
      <c r="Q2327" s="8"/>
      <c r="R2327" s="8"/>
      <c r="S2327" s="8"/>
      <c r="T2327" s="8"/>
      <c r="U2327" s="8"/>
      <c r="V2327" s="8"/>
      <c r="W2327" s="8"/>
      <c r="X2327" s="8"/>
      <c r="Y2327" s="8"/>
    </row>
    <row r="2328">
      <c r="A2328" s="8"/>
      <c r="B2328" s="8"/>
      <c r="C2328" s="8"/>
      <c r="D2328" s="8"/>
      <c r="E2328" s="8"/>
      <c r="F2328" s="8"/>
      <c r="G2328" s="8"/>
      <c r="H2328" s="8"/>
      <c r="I2328" s="8"/>
      <c r="J2328" s="8"/>
      <c r="K2328" s="8"/>
      <c r="L2328" s="8"/>
      <c r="M2328" s="8"/>
      <c r="N2328" s="8"/>
      <c r="O2328" s="8"/>
      <c r="P2328" s="8"/>
      <c r="Q2328" s="8"/>
      <c r="R2328" s="8"/>
      <c r="S2328" s="8"/>
      <c r="T2328" s="8"/>
      <c r="U2328" s="8"/>
      <c r="V2328" s="8"/>
      <c r="W2328" s="8"/>
      <c r="X2328" s="8"/>
      <c r="Y2328" s="8"/>
    </row>
    <row r="2329">
      <c r="A2329" s="8"/>
      <c r="B2329" s="8"/>
      <c r="C2329" s="8"/>
      <c r="D2329" s="8"/>
      <c r="E2329" s="8"/>
      <c r="F2329" s="8"/>
      <c r="G2329" s="8"/>
      <c r="H2329" s="8"/>
      <c r="I2329" s="8"/>
      <c r="J2329" s="8"/>
      <c r="K2329" s="8"/>
      <c r="L2329" s="8"/>
      <c r="M2329" s="8"/>
      <c r="N2329" s="8"/>
      <c r="O2329" s="8"/>
      <c r="P2329" s="8"/>
      <c r="Q2329" s="8"/>
      <c r="R2329" s="8"/>
      <c r="S2329" s="8"/>
      <c r="T2329" s="8"/>
      <c r="U2329" s="8"/>
      <c r="V2329" s="8"/>
      <c r="W2329" s="8"/>
      <c r="X2329" s="8"/>
      <c r="Y2329" s="8"/>
    </row>
    <row r="2330">
      <c r="A2330" s="8"/>
      <c r="B2330" s="8"/>
      <c r="C2330" s="8"/>
      <c r="D2330" s="8"/>
      <c r="E2330" s="8"/>
      <c r="F2330" s="8"/>
      <c r="G2330" s="8"/>
      <c r="H2330" s="8"/>
      <c r="I2330" s="8"/>
      <c r="J2330" s="8"/>
      <c r="K2330" s="8"/>
      <c r="L2330" s="8"/>
      <c r="M2330" s="8"/>
      <c r="N2330" s="8"/>
      <c r="O2330" s="8"/>
      <c r="P2330" s="8"/>
      <c r="Q2330" s="8"/>
      <c r="R2330" s="8"/>
      <c r="S2330" s="8"/>
      <c r="T2330" s="8"/>
      <c r="U2330" s="8"/>
      <c r="V2330" s="8"/>
      <c r="W2330" s="8"/>
      <c r="X2330" s="8"/>
      <c r="Y2330" s="8"/>
    </row>
    <row r="2331">
      <c r="A2331" s="8"/>
      <c r="B2331" s="8"/>
      <c r="C2331" s="8"/>
      <c r="D2331" s="8"/>
      <c r="E2331" s="8"/>
      <c r="F2331" s="8"/>
      <c r="G2331" s="8"/>
      <c r="H2331" s="8"/>
      <c r="I2331" s="8"/>
      <c r="J2331" s="8"/>
      <c r="K2331" s="8"/>
      <c r="L2331" s="8"/>
      <c r="M2331" s="8"/>
      <c r="N2331" s="8"/>
      <c r="O2331" s="8"/>
      <c r="P2331" s="8"/>
      <c r="Q2331" s="8"/>
      <c r="R2331" s="8"/>
      <c r="S2331" s="8"/>
      <c r="T2331" s="8"/>
      <c r="U2331" s="8"/>
      <c r="V2331" s="8"/>
      <c r="W2331" s="8"/>
      <c r="X2331" s="8"/>
      <c r="Y2331" s="8"/>
    </row>
    <row r="2332">
      <c r="A2332" s="8"/>
      <c r="B2332" s="8"/>
      <c r="C2332" s="8"/>
      <c r="D2332" s="8"/>
      <c r="E2332" s="8"/>
      <c r="F2332" s="8"/>
      <c r="G2332" s="8"/>
      <c r="H2332" s="8"/>
      <c r="I2332" s="8"/>
      <c r="J2332" s="8"/>
      <c r="K2332" s="8"/>
      <c r="L2332" s="8"/>
      <c r="M2332" s="8"/>
      <c r="N2332" s="8"/>
      <c r="O2332" s="8"/>
      <c r="P2332" s="8"/>
      <c r="Q2332" s="8"/>
      <c r="R2332" s="8"/>
      <c r="S2332" s="8"/>
      <c r="T2332" s="8"/>
      <c r="U2332" s="8"/>
      <c r="V2332" s="8"/>
      <c r="W2332" s="8"/>
      <c r="X2332" s="8"/>
      <c r="Y2332" s="8"/>
    </row>
    <row r="2333">
      <c r="A2333" s="8"/>
      <c r="B2333" s="8"/>
      <c r="C2333" s="8"/>
      <c r="D2333" s="8"/>
      <c r="E2333" s="8"/>
      <c r="F2333" s="8"/>
      <c r="G2333" s="8"/>
      <c r="H2333" s="8"/>
      <c r="I2333" s="8"/>
      <c r="J2333" s="8"/>
      <c r="K2333" s="8"/>
      <c r="L2333" s="8"/>
      <c r="M2333" s="8"/>
      <c r="N2333" s="8"/>
      <c r="O2333" s="8"/>
      <c r="P2333" s="8"/>
      <c r="Q2333" s="8"/>
      <c r="R2333" s="8"/>
      <c r="S2333" s="8"/>
      <c r="T2333" s="8"/>
      <c r="U2333" s="8"/>
      <c r="V2333" s="8"/>
      <c r="W2333" s="8"/>
      <c r="X2333" s="8"/>
      <c r="Y2333" s="8"/>
    </row>
    <row r="2334">
      <c r="A2334" s="8"/>
      <c r="B2334" s="8"/>
      <c r="C2334" s="8"/>
      <c r="D2334" s="8"/>
      <c r="E2334" s="8"/>
      <c r="F2334" s="8"/>
      <c r="G2334" s="8"/>
      <c r="H2334" s="8"/>
      <c r="I2334" s="8"/>
      <c r="J2334" s="8"/>
      <c r="K2334" s="8"/>
      <c r="L2334" s="8"/>
      <c r="M2334" s="8"/>
      <c r="N2334" s="8"/>
      <c r="O2334" s="8"/>
      <c r="P2334" s="8"/>
      <c r="Q2334" s="8"/>
      <c r="R2334" s="8"/>
      <c r="S2334" s="8"/>
      <c r="T2334" s="8"/>
      <c r="U2334" s="8"/>
      <c r="V2334" s="8"/>
      <c r="W2334" s="8"/>
      <c r="X2334" s="8"/>
      <c r="Y2334" s="8"/>
    </row>
    <row r="2335">
      <c r="A2335" s="8"/>
      <c r="B2335" s="8"/>
      <c r="C2335" s="8"/>
      <c r="D2335" s="8"/>
      <c r="E2335" s="8"/>
      <c r="F2335" s="8"/>
      <c r="G2335" s="8"/>
      <c r="H2335" s="8"/>
      <c r="I2335" s="8"/>
      <c r="J2335" s="8"/>
      <c r="K2335" s="8"/>
      <c r="L2335" s="8"/>
      <c r="M2335" s="8"/>
      <c r="N2335" s="8"/>
      <c r="O2335" s="8"/>
      <c r="P2335" s="8"/>
      <c r="Q2335" s="8"/>
      <c r="R2335" s="8"/>
      <c r="S2335" s="8"/>
      <c r="T2335" s="8"/>
      <c r="U2335" s="8"/>
      <c r="V2335" s="8"/>
      <c r="W2335" s="8"/>
      <c r="X2335" s="8"/>
      <c r="Y2335" s="8"/>
    </row>
    <row r="2336">
      <c r="A2336" s="8"/>
      <c r="B2336" s="8"/>
      <c r="C2336" s="8"/>
      <c r="D2336" s="8"/>
      <c r="E2336" s="8"/>
      <c r="F2336" s="8"/>
      <c r="G2336" s="8"/>
      <c r="H2336" s="8"/>
      <c r="I2336" s="8"/>
      <c r="J2336" s="8"/>
      <c r="K2336" s="8"/>
      <c r="L2336" s="8"/>
      <c r="M2336" s="8"/>
      <c r="N2336" s="8"/>
      <c r="O2336" s="8"/>
      <c r="P2336" s="8"/>
      <c r="Q2336" s="8"/>
      <c r="R2336" s="8"/>
      <c r="S2336" s="8"/>
      <c r="T2336" s="8"/>
      <c r="U2336" s="8"/>
      <c r="V2336" s="8"/>
      <c r="W2336" s="8"/>
      <c r="X2336" s="8"/>
      <c r="Y2336" s="8"/>
    </row>
    <row r="2337">
      <c r="A2337" s="8"/>
      <c r="B2337" s="8"/>
      <c r="C2337" s="8"/>
      <c r="D2337" s="8"/>
      <c r="E2337" s="8"/>
      <c r="F2337" s="8"/>
      <c r="G2337" s="8"/>
      <c r="H2337" s="8"/>
      <c r="I2337" s="8"/>
      <c r="J2337" s="8"/>
      <c r="K2337" s="8"/>
      <c r="L2337" s="8"/>
      <c r="M2337" s="8"/>
      <c r="N2337" s="8"/>
      <c r="O2337" s="8"/>
      <c r="P2337" s="8"/>
      <c r="Q2337" s="8"/>
      <c r="R2337" s="8"/>
      <c r="S2337" s="8"/>
      <c r="T2337" s="8"/>
      <c r="U2337" s="8"/>
      <c r="V2337" s="8"/>
      <c r="W2337" s="8"/>
      <c r="X2337" s="8"/>
      <c r="Y2337" s="8"/>
    </row>
    <row r="2338">
      <c r="A2338" s="8"/>
      <c r="B2338" s="8"/>
      <c r="C2338" s="8"/>
      <c r="D2338" s="8"/>
      <c r="E2338" s="8"/>
      <c r="F2338" s="8"/>
      <c r="G2338" s="8"/>
      <c r="H2338" s="8"/>
      <c r="I2338" s="8"/>
      <c r="J2338" s="8"/>
      <c r="K2338" s="8"/>
      <c r="L2338" s="8"/>
      <c r="M2338" s="8"/>
      <c r="N2338" s="8"/>
      <c r="O2338" s="8"/>
      <c r="P2338" s="8"/>
      <c r="Q2338" s="8"/>
      <c r="R2338" s="8"/>
      <c r="S2338" s="8"/>
      <c r="T2338" s="8"/>
      <c r="U2338" s="8"/>
      <c r="V2338" s="8"/>
      <c r="W2338" s="8"/>
      <c r="X2338" s="8"/>
      <c r="Y2338" s="8"/>
    </row>
    <row r="2339">
      <c r="A2339" s="8"/>
      <c r="B2339" s="8"/>
      <c r="C2339" s="8"/>
      <c r="D2339" s="8"/>
      <c r="E2339" s="8"/>
      <c r="F2339" s="8"/>
      <c r="G2339" s="8"/>
      <c r="H2339" s="8"/>
      <c r="I2339" s="8"/>
      <c r="J2339" s="8"/>
      <c r="K2339" s="8"/>
      <c r="L2339" s="8"/>
      <c r="M2339" s="8"/>
      <c r="N2339" s="8"/>
      <c r="O2339" s="8"/>
      <c r="P2339" s="8"/>
      <c r="Q2339" s="8"/>
      <c r="R2339" s="8"/>
      <c r="S2339" s="8"/>
      <c r="T2339" s="8"/>
      <c r="U2339" s="8"/>
      <c r="V2339" s="8"/>
      <c r="W2339" s="8"/>
      <c r="X2339" s="8"/>
      <c r="Y2339" s="8"/>
    </row>
    <row r="2340">
      <c r="A2340" s="8"/>
      <c r="B2340" s="8"/>
      <c r="C2340" s="8"/>
      <c r="D2340" s="8"/>
      <c r="E2340" s="8"/>
      <c r="F2340" s="8"/>
      <c r="G2340" s="8"/>
      <c r="H2340" s="8"/>
      <c r="I2340" s="8"/>
      <c r="J2340" s="8"/>
      <c r="K2340" s="8"/>
      <c r="L2340" s="8"/>
      <c r="M2340" s="8"/>
      <c r="N2340" s="8"/>
      <c r="O2340" s="8"/>
      <c r="P2340" s="8"/>
      <c r="Q2340" s="8"/>
      <c r="R2340" s="8"/>
      <c r="S2340" s="8"/>
      <c r="T2340" s="8"/>
      <c r="U2340" s="8"/>
      <c r="V2340" s="8"/>
      <c r="W2340" s="8"/>
      <c r="X2340" s="8"/>
      <c r="Y2340" s="8"/>
    </row>
    <row r="2341">
      <c r="A2341" s="8"/>
      <c r="B2341" s="8"/>
      <c r="C2341" s="8"/>
      <c r="D2341" s="8"/>
      <c r="E2341" s="8"/>
      <c r="F2341" s="8"/>
      <c r="G2341" s="8"/>
      <c r="H2341" s="8"/>
      <c r="I2341" s="8"/>
      <c r="J2341" s="8"/>
      <c r="K2341" s="8"/>
      <c r="L2341" s="8"/>
      <c r="M2341" s="8"/>
      <c r="N2341" s="8"/>
      <c r="O2341" s="8"/>
      <c r="P2341" s="8"/>
      <c r="Q2341" s="8"/>
      <c r="R2341" s="8"/>
      <c r="S2341" s="8"/>
      <c r="T2341" s="8"/>
      <c r="U2341" s="8"/>
      <c r="V2341" s="8"/>
      <c r="W2341" s="8"/>
      <c r="X2341" s="8"/>
      <c r="Y2341" s="8"/>
    </row>
    <row r="2342">
      <c r="A2342" s="8"/>
      <c r="B2342" s="8"/>
      <c r="C2342" s="8"/>
      <c r="D2342" s="8"/>
      <c r="E2342" s="8"/>
      <c r="F2342" s="8"/>
      <c r="G2342" s="8"/>
      <c r="H2342" s="8"/>
      <c r="I2342" s="8"/>
      <c r="J2342" s="8"/>
      <c r="K2342" s="8"/>
      <c r="L2342" s="8"/>
      <c r="M2342" s="8"/>
      <c r="N2342" s="8"/>
      <c r="O2342" s="8"/>
      <c r="P2342" s="8"/>
      <c r="Q2342" s="8"/>
      <c r="R2342" s="8"/>
      <c r="S2342" s="8"/>
      <c r="T2342" s="8"/>
      <c r="U2342" s="8"/>
      <c r="V2342" s="8"/>
      <c r="W2342" s="8"/>
      <c r="X2342" s="8"/>
      <c r="Y2342" s="8"/>
    </row>
    <row r="2343">
      <c r="A2343" s="8"/>
      <c r="B2343" s="8"/>
      <c r="C2343" s="8"/>
      <c r="D2343" s="8"/>
      <c r="E2343" s="8"/>
      <c r="F2343" s="8"/>
      <c r="G2343" s="8"/>
      <c r="H2343" s="8"/>
      <c r="I2343" s="8"/>
      <c r="J2343" s="8"/>
      <c r="K2343" s="8"/>
      <c r="L2343" s="8"/>
      <c r="M2343" s="8"/>
      <c r="N2343" s="8"/>
      <c r="O2343" s="8"/>
      <c r="P2343" s="8"/>
      <c r="Q2343" s="8"/>
      <c r="R2343" s="8"/>
      <c r="S2343" s="8"/>
      <c r="T2343" s="8"/>
      <c r="U2343" s="8"/>
      <c r="V2343" s="8"/>
      <c r="W2343" s="8"/>
      <c r="X2343" s="8"/>
      <c r="Y2343" s="8"/>
    </row>
    <row r="2344">
      <c r="A2344" s="8"/>
      <c r="B2344" s="8"/>
      <c r="C2344" s="8"/>
      <c r="D2344" s="8"/>
      <c r="E2344" s="8"/>
      <c r="F2344" s="8"/>
      <c r="G2344" s="8"/>
      <c r="H2344" s="8"/>
      <c r="I2344" s="8"/>
      <c r="J2344" s="8"/>
      <c r="K2344" s="8"/>
      <c r="L2344" s="8"/>
      <c r="M2344" s="8"/>
      <c r="N2344" s="8"/>
      <c r="O2344" s="8"/>
      <c r="P2344" s="8"/>
      <c r="Q2344" s="8"/>
      <c r="R2344" s="8"/>
      <c r="S2344" s="8"/>
      <c r="T2344" s="8"/>
      <c r="U2344" s="8"/>
      <c r="V2344" s="8"/>
      <c r="W2344" s="8"/>
      <c r="X2344" s="8"/>
      <c r="Y2344" s="8"/>
    </row>
    <row r="2345">
      <c r="A2345" s="8"/>
      <c r="B2345" s="8"/>
      <c r="C2345" s="8"/>
      <c r="D2345" s="8"/>
      <c r="E2345" s="8"/>
      <c r="F2345" s="8"/>
      <c r="G2345" s="8"/>
      <c r="H2345" s="8"/>
      <c r="I2345" s="8"/>
      <c r="J2345" s="8"/>
      <c r="K2345" s="8"/>
      <c r="L2345" s="8"/>
      <c r="M2345" s="8"/>
      <c r="N2345" s="8"/>
      <c r="O2345" s="8"/>
      <c r="P2345" s="8"/>
      <c r="Q2345" s="8"/>
      <c r="R2345" s="8"/>
      <c r="S2345" s="8"/>
      <c r="T2345" s="8"/>
      <c r="U2345" s="8"/>
      <c r="V2345" s="8"/>
      <c r="W2345" s="8"/>
      <c r="X2345" s="8"/>
      <c r="Y2345" s="8"/>
    </row>
    <row r="2346">
      <c r="A2346" s="8"/>
      <c r="B2346" s="8"/>
      <c r="C2346" s="8"/>
      <c r="D2346" s="8"/>
      <c r="E2346" s="8"/>
      <c r="F2346" s="8"/>
      <c r="G2346" s="8"/>
      <c r="H2346" s="8"/>
      <c r="I2346" s="8"/>
      <c r="J2346" s="8"/>
      <c r="K2346" s="8"/>
      <c r="L2346" s="8"/>
      <c r="M2346" s="8"/>
      <c r="N2346" s="8"/>
      <c r="O2346" s="8"/>
      <c r="P2346" s="8"/>
      <c r="Q2346" s="8"/>
      <c r="R2346" s="8"/>
      <c r="S2346" s="8"/>
      <c r="T2346" s="8"/>
      <c r="U2346" s="8"/>
      <c r="V2346" s="8"/>
      <c r="W2346" s="8"/>
      <c r="X2346" s="8"/>
      <c r="Y2346" s="8"/>
    </row>
    <row r="2347">
      <c r="A2347" s="8"/>
      <c r="B2347" s="8"/>
      <c r="C2347" s="8"/>
      <c r="D2347" s="8"/>
      <c r="E2347" s="8"/>
      <c r="F2347" s="8"/>
      <c r="G2347" s="8"/>
      <c r="H2347" s="8"/>
      <c r="I2347" s="8"/>
      <c r="J2347" s="8"/>
      <c r="K2347" s="8"/>
      <c r="L2347" s="8"/>
      <c r="M2347" s="8"/>
      <c r="N2347" s="8"/>
      <c r="O2347" s="8"/>
      <c r="P2347" s="8"/>
      <c r="Q2347" s="8"/>
      <c r="R2347" s="8"/>
      <c r="S2347" s="8"/>
      <c r="T2347" s="8"/>
      <c r="U2347" s="8"/>
      <c r="V2347" s="8"/>
      <c r="W2347" s="8"/>
      <c r="X2347" s="8"/>
      <c r="Y2347" s="8"/>
    </row>
    <row r="2348">
      <c r="A2348" s="8"/>
      <c r="B2348" s="8"/>
      <c r="C2348" s="8"/>
      <c r="D2348" s="8"/>
      <c r="E2348" s="8"/>
      <c r="F2348" s="8"/>
      <c r="G2348" s="8"/>
      <c r="H2348" s="8"/>
      <c r="I2348" s="8"/>
      <c r="J2348" s="8"/>
      <c r="K2348" s="8"/>
      <c r="L2348" s="8"/>
      <c r="M2348" s="8"/>
      <c r="N2348" s="8"/>
      <c r="O2348" s="8"/>
      <c r="P2348" s="8"/>
      <c r="Q2348" s="8"/>
      <c r="R2348" s="8"/>
      <c r="S2348" s="8"/>
      <c r="T2348" s="8"/>
      <c r="U2348" s="8"/>
      <c r="V2348" s="8"/>
      <c r="W2348" s="8"/>
      <c r="X2348" s="8"/>
      <c r="Y2348" s="8"/>
    </row>
    <row r="2349">
      <c r="A2349" s="8"/>
      <c r="B2349" s="8"/>
      <c r="C2349" s="8"/>
      <c r="D2349" s="8"/>
      <c r="E2349" s="8"/>
      <c r="F2349" s="8"/>
      <c r="G2349" s="8"/>
      <c r="H2349" s="8"/>
      <c r="I2349" s="8"/>
      <c r="J2349" s="8"/>
      <c r="K2349" s="8"/>
      <c r="L2349" s="8"/>
      <c r="M2349" s="8"/>
      <c r="N2349" s="8"/>
      <c r="O2349" s="8"/>
      <c r="P2349" s="8"/>
      <c r="Q2349" s="8"/>
      <c r="R2349" s="8"/>
      <c r="S2349" s="8"/>
      <c r="T2349" s="8"/>
      <c r="U2349" s="8"/>
      <c r="V2349" s="8"/>
      <c r="W2349" s="8"/>
      <c r="X2349" s="8"/>
      <c r="Y2349" s="8"/>
    </row>
    <row r="2350">
      <c r="A2350" s="8"/>
      <c r="B2350" s="8"/>
      <c r="C2350" s="8"/>
      <c r="D2350" s="8"/>
      <c r="E2350" s="8"/>
      <c r="F2350" s="8"/>
      <c r="G2350" s="8"/>
      <c r="H2350" s="8"/>
      <c r="I2350" s="8"/>
      <c r="J2350" s="8"/>
      <c r="K2350" s="8"/>
      <c r="L2350" s="8"/>
      <c r="M2350" s="8"/>
      <c r="N2350" s="8"/>
      <c r="O2350" s="8"/>
      <c r="P2350" s="8"/>
      <c r="Q2350" s="8"/>
      <c r="R2350" s="8"/>
      <c r="S2350" s="8"/>
      <c r="T2350" s="8"/>
      <c r="U2350" s="8"/>
      <c r="V2350" s="8"/>
      <c r="W2350" s="8"/>
      <c r="X2350" s="8"/>
      <c r="Y2350" s="8"/>
    </row>
    <row r="2351">
      <c r="A2351" s="8"/>
      <c r="B2351" s="8"/>
      <c r="C2351" s="8"/>
      <c r="D2351" s="8"/>
      <c r="E2351" s="8"/>
      <c r="F2351" s="8"/>
      <c r="G2351" s="8"/>
      <c r="H2351" s="8"/>
      <c r="I2351" s="8"/>
      <c r="J2351" s="8"/>
      <c r="K2351" s="8"/>
      <c r="L2351" s="8"/>
      <c r="M2351" s="8"/>
      <c r="N2351" s="8"/>
      <c r="O2351" s="8"/>
      <c r="P2351" s="8"/>
      <c r="Q2351" s="8"/>
      <c r="R2351" s="8"/>
      <c r="S2351" s="8"/>
      <c r="T2351" s="8"/>
      <c r="U2351" s="8"/>
      <c r="V2351" s="8"/>
      <c r="W2351" s="8"/>
      <c r="X2351" s="8"/>
      <c r="Y2351" s="8"/>
    </row>
    <row r="2352">
      <c r="A2352" s="8"/>
      <c r="B2352" s="8"/>
      <c r="C2352" s="8"/>
      <c r="D2352" s="8"/>
      <c r="E2352" s="8"/>
      <c r="F2352" s="8"/>
      <c r="G2352" s="8"/>
      <c r="H2352" s="8"/>
      <c r="I2352" s="8"/>
      <c r="J2352" s="8"/>
      <c r="K2352" s="8"/>
      <c r="L2352" s="8"/>
      <c r="M2352" s="8"/>
      <c r="N2352" s="8"/>
      <c r="O2352" s="8"/>
      <c r="P2352" s="8"/>
      <c r="Q2352" s="8"/>
      <c r="R2352" s="8"/>
      <c r="S2352" s="8"/>
      <c r="T2352" s="8"/>
      <c r="U2352" s="8"/>
      <c r="V2352" s="8"/>
      <c r="W2352" s="8"/>
      <c r="X2352" s="8"/>
      <c r="Y2352" s="8"/>
    </row>
    <row r="2353">
      <c r="A2353" s="8"/>
      <c r="B2353" s="8"/>
      <c r="C2353" s="8"/>
      <c r="D2353" s="8"/>
      <c r="E2353" s="8"/>
      <c r="F2353" s="8"/>
      <c r="G2353" s="8"/>
      <c r="H2353" s="8"/>
      <c r="I2353" s="8"/>
      <c r="J2353" s="8"/>
      <c r="K2353" s="8"/>
      <c r="L2353" s="8"/>
      <c r="M2353" s="8"/>
      <c r="N2353" s="8"/>
      <c r="O2353" s="8"/>
      <c r="P2353" s="8"/>
      <c r="Q2353" s="8"/>
      <c r="R2353" s="8"/>
      <c r="S2353" s="8"/>
      <c r="T2353" s="8"/>
      <c r="U2353" s="8"/>
      <c r="V2353" s="8"/>
      <c r="W2353" s="8"/>
      <c r="X2353" s="8"/>
      <c r="Y2353" s="8"/>
    </row>
    <row r="2354">
      <c r="A2354" s="8"/>
      <c r="B2354" s="8"/>
      <c r="C2354" s="8"/>
      <c r="D2354" s="8"/>
      <c r="E2354" s="8"/>
      <c r="F2354" s="8"/>
      <c r="G2354" s="8"/>
      <c r="H2354" s="8"/>
      <c r="I2354" s="8"/>
      <c r="J2354" s="8"/>
      <c r="K2354" s="8"/>
      <c r="L2354" s="8"/>
      <c r="M2354" s="8"/>
      <c r="N2354" s="8"/>
      <c r="O2354" s="8"/>
      <c r="P2354" s="8"/>
      <c r="Q2354" s="8"/>
      <c r="R2354" s="8"/>
      <c r="S2354" s="8"/>
      <c r="T2354" s="8"/>
      <c r="U2354" s="8"/>
      <c r="V2354" s="8"/>
      <c r="W2354" s="8"/>
      <c r="X2354" s="8"/>
      <c r="Y2354" s="8"/>
    </row>
    <row r="2355">
      <c r="A2355" s="8"/>
      <c r="B2355" s="8"/>
      <c r="C2355" s="8"/>
      <c r="D2355" s="8"/>
      <c r="E2355" s="8"/>
      <c r="F2355" s="8"/>
      <c r="G2355" s="8"/>
      <c r="H2355" s="8"/>
      <c r="I2355" s="8"/>
      <c r="J2355" s="8"/>
      <c r="K2355" s="8"/>
      <c r="L2355" s="8"/>
      <c r="M2355" s="8"/>
      <c r="N2355" s="8"/>
      <c r="O2355" s="8"/>
      <c r="P2355" s="8"/>
      <c r="Q2355" s="8"/>
      <c r="R2355" s="8"/>
      <c r="S2355" s="8"/>
      <c r="T2355" s="8"/>
      <c r="U2355" s="8"/>
      <c r="V2355" s="8"/>
      <c r="W2355" s="8"/>
      <c r="X2355" s="8"/>
      <c r="Y2355" s="8"/>
    </row>
    <row r="2356">
      <c r="A2356" s="8"/>
      <c r="B2356" s="8"/>
      <c r="C2356" s="8"/>
      <c r="D2356" s="8"/>
      <c r="E2356" s="8"/>
      <c r="F2356" s="8"/>
      <c r="G2356" s="8"/>
      <c r="H2356" s="8"/>
      <c r="I2356" s="8"/>
      <c r="J2356" s="8"/>
      <c r="K2356" s="8"/>
      <c r="L2356" s="8"/>
      <c r="M2356" s="8"/>
      <c r="N2356" s="8"/>
      <c r="O2356" s="8"/>
      <c r="P2356" s="8"/>
      <c r="Q2356" s="8"/>
      <c r="R2356" s="8"/>
      <c r="S2356" s="8"/>
      <c r="T2356" s="8"/>
      <c r="U2356" s="8"/>
      <c r="V2356" s="8"/>
      <c r="W2356" s="8"/>
      <c r="X2356" s="8"/>
      <c r="Y2356" s="8"/>
    </row>
    <row r="2357">
      <c r="A2357" s="8"/>
      <c r="B2357" s="8"/>
      <c r="C2357" s="8"/>
      <c r="D2357" s="8"/>
      <c r="E2357" s="8"/>
      <c r="F2357" s="8"/>
      <c r="G2357" s="8"/>
      <c r="H2357" s="8"/>
      <c r="I2357" s="8"/>
      <c r="J2357" s="8"/>
      <c r="K2357" s="8"/>
      <c r="L2357" s="8"/>
      <c r="M2357" s="8"/>
      <c r="N2357" s="8"/>
      <c r="O2357" s="8"/>
      <c r="P2357" s="8"/>
      <c r="Q2357" s="8"/>
      <c r="R2357" s="8"/>
      <c r="S2357" s="8"/>
      <c r="T2357" s="8"/>
      <c r="U2357" s="8"/>
      <c r="V2357" s="8"/>
      <c r="W2357" s="8"/>
      <c r="X2357" s="8"/>
      <c r="Y2357" s="8"/>
    </row>
    <row r="2358">
      <c r="A2358" s="8"/>
      <c r="B2358" s="8"/>
      <c r="C2358" s="8"/>
      <c r="D2358" s="8"/>
      <c r="E2358" s="8"/>
      <c r="F2358" s="8"/>
      <c r="G2358" s="8"/>
      <c r="H2358" s="8"/>
      <c r="I2358" s="8"/>
      <c r="J2358" s="8"/>
      <c r="K2358" s="8"/>
      <c r="L2358" s="8"/>
      <c r="M2358" s="8"/>
      <c r="N2358" s="8"/>
      <c r="O2358" s="8"/>
      <c r="P2358" s="8"/>
      <c r="Q2358" s="8"/>
      <c r="R2358" s="8"/>
      <c r="S2358" s="8"/>
      <c r="T2358" s="8"/>
      <c r="U2358" s="8"/>
      <c r="V2358" s="8"/>
      <c r="W2358" s="8"/>
      <c r="X2358" s="8"/>
      <c r="Y2358" s="8"/>
    </row>
    <row r="2359">
      <c r="A2359" s="8"/>
      <c r="B2359" s="8"/>
      <c r="C2359" s="8"/>
      <c r="D2359" s="8"/>
      <c r="E2359" s="8"/>
      <c r="F2359" s="8"/>
      <c r="G2359" s="8"/>
      <c r="H2359" s="8"/>
      <c r="I2359" s="8"/>
      <c r="J2359" s="8"/>
      <c r="K2359" s="8"/>
      <c r="L2359" s="8"/>
      <c r="M2359" s="8"/>
      <c r="N2359" s="8"/>
      <c r="O2359" s="8"/>
      <c r="P2359" s="8"/>
      <c r="Q2359" s="8"/>
      <c r="R2359" s="8"/>
      <c r="S2359" s="8"/>
      <c r="T2359" s="8"/>
      <c r="U2359" s="8"/>
      <c r="V2359" s="8"/>
      <c r="W2359" s="8"/>
      <c r="X2359" s="8"/>
      <c r="Y2359" s="8"/>
    </row>
    <row r="2360">
      <c r="A2360" s="8"/>
      <c r="B2360" s="8"/>
      <c r="C2360" s="8"/>
      <c r="D2360" s="8"/>
      <c r="E2360" s="8"/>
      <c r="F2360" s="8"/>
      <c r="G2360" s="8"/>
      <c r="H2360" s="8"/>
      <c r="I2360" s="8"/>
      <c r="J2360" s="8"/>
      <c r="K2360" s="8"/>
      <c r="L2360" s="8"/>
      <c r="M2360" s="8"/>
      <c r="N2360" s="8"/>
      <c r="O2360" s="8"/>
      <c r="P2360" s="8"/>
      <c r="Q2360" s="8"/>
      <c r="R2360" s="8"/>
      <c r="S2360" s="8"/>
      <c r="T2360" s="8"/>
      <c r="U2360" s="8"/>
      <c r="V2360" s="8"/>
      <c r="W2360" s="8"/>
      <c r="X2360" s="8"/>
      <c r="Y2360" s="8"/>
    </row>
    <row r="2361">
      <c r="A2361" s="8"/>
      <c r="B2361" s="8"/>
      <c r="C2361" s="8"/>
      <c r="D2361" s="8"/>
      <c r="E2361" s="8"/>
      <c r="F2361" s="8"/>
      <c r="G2361" s="8"/>
      <c r="H2361" s="8"/>
      <c r="I2361" s="8"/>
      <c r="J2361" s="8"/>
      <c r="K2361" s="8"/>
      <c r="L2361" s="8"/>
      <c r="M2361" s="8"/>
      <c r="N2361" s="8"/>
      <c r="O2361" s="8"/>
      <c r="P2361" s="8"/>
      <c r="Q2361" s="8"/>
      <c r="R2361" s="8"/>
      <c r="S2361" s="8"/>
      <c r="T2361" s="8"/>
      <c r="U2361" s="8"/>
      <c r="V2361" s="8"/>
      <c r="W2361" s="8"/>
      <c r="X2361" s="8"/>
      <c r="Y2361" s="8"/>
    </row>
    <row r="2362">
      <c r="A2362" s="8"/>
      <c r="B2362" s="8"/>
      <c r="C2362" s="8"/>
      <c r="D2362" s="8"/>
      <c r="E2362" s="8"/>
      <c r="F2362" s="8"/>
      <c r="G2362" s="8"/>
      <c r="H2362" s="8"/>
      <c r="I2362" s="8"/>
      <c r="J2362" s="8"/>
      <c r="K2362" s="8"/>
      <c r="L2362" s="8"/>
      <c r="M2362" s="8"/>
      <c r="N2362" s="8"/>
      <c r="O2362" s="8"/>
      <c r="P2362" s="8"/>
      <c r="Q2362" s="8"/>
      <c r="R2362" s="8"/>
      <c r="S2362" s="8"/>
      <c r="T2362" s="8"/>
      <c r="U2362" s="8"/>
      <c r="V2362" s="8"/>
      <c r="W2362" s="8"/>
      <c r="X2362" s="8"/>
      <c r="Y2362" s="8"/>
    </row>
    <row r="2363">
      <c r="A2363" s="8"/>
      <c r="B2363" s="8"/>
      <c r="C2363" s="8"/>
      <c r="D2363" s="8"/>
      <c r="E2363" s="8"/>
      <c r="F2363" s="8"/>
      <c r="G2363" s="8"/>
      <c r="H2363" s="8"/>
      <c r="I2363" s="8"/>
      <c r="J2363" s="8"/>
      <c r="K2363" s="8"/>
      <c r="L2363" s="8"/>
      <c r="M2363" s="8"/>
      <c r="N2363" s="8"/>
      <c r="O2363" s="8"/>
      <c r="P2363" s="8"/>
      <c r="Q2363" s="8"/>
      <c r="R2363" s="8"/>
      <c r="S2363" s="8"/>
      <c r="T2363" s="8"/>
      <c r="U2363" s="8"/>
      <c r="V2363" s="8"/>
      <c r="W2363" s="8"/>
      <c r="X2363" s="8"/>
      <c r="Y2363" s="8"/>
    </row>
    <row r="2364">
      <c r="A2364" s="8"/>
      <c r="B2364" s="8"/>
      <c r="C2364" s="8"/>
      <c r="D2364" s="8"/>
      <c r="E2364" s="8"/>
      <c r="F2364" s="8"/>
      <c r="G2364" s="8"/>
      <c r="H2364" s="8"/>
      <c r="I2364" s="8"/>
      <c r="J2364" s="8"/>
      <c r="K2364" s="8"/>
      <c r="L2364" s="8"/>
      <c r="M2364" s="8"/>
      <c r="N2364" s="8"/>
      <c r="O2364" s="8"/>
      <c r="P2364" s="8"/>
      <c r="Q2364" s="8"/>
      <c r="R2364" s="8"/>
      <c r="S2364" s="8"/>
      <c r="T2364" s="8"/>
      <c r="U2364" s="8"/>
      <c r="V2364" s="8"/>
      <c r="W2364" s="8"/>
      <c r="X2364" s="8"/>
      <c r="Y2364" s="8"/>
    </row>
    <row r="2365">
      <c r="A2365" s="8"/>
      <c r="B2365" s="8"/>
      <c r="C2365" s="8"/>
      <c r="D2365" s="8"/>
      <c r="E2365" s="8"/>
      <c r="F2365" s="8"/>
      <c r="G2365" s="8"/>
      <c r="H2365" s="8"/>
      <c r="I2365" s="8"/>
      <c r="J2365" s="8"/>
      <c r="K2365" s="8"/>
      <c r="L2365" s="8"/>
      <c r="M2365" s="8"/>
      <c r="N2365" s="8"/>
      <c r="O2365" s="8"/>
      <c r="P2365" s="8"/>
      <c r="Q2365" s="8"/>
      <c r="R2365" s="8"/>
      <c r="S2365" s="8"/>
      <c r="T2365" s="8"/>
      <c r="U2365" s="8"/>
      <c r="V2365" s="8"/>
      <c r="W2365" s="8"/>
      <c r="X2365" s="8"/>
      <c r="Y2365" s="8"/>
    </row>
    <row r="2366">
      <c r="A2366" s="8"/>
      <c r="B2366" s="8"/>
      <c r="C2366" s="8"/>
      <c r="D2366" s="8"/>
      <c r="E2366" s="8"/>
      <c r="F2366" s="8"/>
      <c r="G2366" s="8"/>
      <c r="H2366" s="8"/>
      <c r="I2366" s="8"/>
      <c r="J2366" s="8"/>
      <c r="K2366" s="8"/>
      <c r="L2366" s="8"/>
      <c r="M2366" s="8"/>
      <c r="N2366" s="8"/>
      <c r="O2366" s="8"/>
      <c r="P2366" s="8"/>
      <c r="Q2366" s="8"/>
      <c r="R2366" s="8"/>
      <c r="S2366" s="8"/>
      <c r="T2366" s="8"/>
      <c r="U2366" s="8"/>
      <c r="V2366" s="8"/>
      <c r="W2366" s="8"/>
      <c r="X2366" s="8"/>
      <c r="Y2366" s="8"/>
    </row>
    <row r="2367">
      <c r="A2367" s="8"/>
      <c r="B2367" s="8"/>
      <c r="C2367" s="8"/>
      <c r="D2367" s="8"/>
      <c r="E2367" s="8"/>
      <c r="F2367" s="8"/>
      <c r="G2367" s="8"/>
      <c r="H2367" s="8"/>
      <c r="I2367" s="8"/>
      <c r="J2367" s="8"/>
      <c r="K2367" s="8"/>
      <c r="L2367" s="8"/>
      <c r="M2367" s="8"/>
      <c r="N2367" s="8"/>
      <c r="O2367" s="8"/>
      <c r="P2367" s="8"/>
      <c r="Q2367" s="8"/>
      <c r="R2367" s="8"/>
      <c r="S2367" s="8"/>
      <c r="T2367" s="8"/>
      <c r="U2367" s="8"/>
      <c r="V2367" s="8"/>
      <c r="W2367" s="8"/>
      <c r="X2367" s="8"/>
      <c r="Y2367" s="8"/>
    </row>
    <row r="2368">
      <c r="A2368" s="8"/>
      <c r="B2368" s="8"/>
      <c r="C2368" s="8"/>
      <c r="D2368" s="8"/>
      <c r="E2368" s="8"/>
      <c r="F2368" s="8"/>
      <c r="G2368" s="8"/>
      <c r="H2368" s="8"/>
      <c r="I2368" s="8"/>
      <c r="J2368" s="8"/>
      <c r="K2368" s="8"/>
      <c r="L2368" s="8"/>
      <c r="M2368" s="8"/>
      <c r="N2368" s="8"/>
      <c r="O2368" s="8"/>
      <c r="P2368" s="8"/>
      <c r="Q2368" s="8"/>
      <c r="R2368" s="8"/>
      <c r="S2368" s="8"/>
      <c r="T2368" s="8"/>
      <c r="U2368" s="8"/>
      <c r="V2368" s="8"/>
      <c r="W2368" s="8"/>
      <c r="X2368" s="8"/>
      <c r="Y2368" s="8"/>
    </row>
    <row r="2369">
      <c r="A2369" s="8"/>
      <c r="B2369" s="8"/>
      <c r="C2369" s="8"/>
      <c r="D2369" s="8"/>
      <c r="E2369" s="8"/>
      <c r="F2369" s="8"/>
      <c r="G2369" s="8"/>
      <c r="H2369" s="8"/>
      <c r="I2369" s="8"/>
      <c r="J2369" s="8"/>
      <c r="K2369" s="8"/>
      <c r="L2369" s="8"/>
      <c r="M2369" s="8"/>
      <c r="N2369" s="8"/>
      <c r="O2369" s="8"/>
      <c r="P2369" s="8"/>
      <c r="Q2369" s="8"/>
      <c r="R2369" s="8"/>
      <c r="S2369" s="8"/>
      <c r="T2369" s="8"/>
      <c r="U2369" s="8"/>
      <c r="V2369" s="8"/>
      <c r="W2369" s="8"/>
      <c r="X2369" s="8"/>
      <c r="Y2369" s="8"/>
    </row>
    <row r="2370">
      <c r="A2370" s="8"/>
      <c r="B2370" s="8"/>
      <c r="C2370" s="8"/>
      <c r="D2370" s="8"/>
      <c r="E2370" s="8"/>
      <c r="F2370" s="8"/>
      <c r="G2370" s="8"/>
      <c r="H2370" s="8"/>
      <c r="I2370" s="8"/>
      <c r="J2370" s="8"/>
      <c r="K2370" s="8"/>
      <c r="L2370" s="8"/>
      <c r="M2370" s="8"/>
      <c r="N2370" s="8"/>
      <c r="O2370" s="8"/>
      <c r="P2370" s="8"/>
      <c r="Q2370" s="8"/>
      <c r="R2370" s="8"/>
      <c r="S2370" s="8"/>
      <c r="T2370" s="8"/>
      <c r="U2370" s="8"/>
      <c r="V2370" s="8"/>
      <c r="W2370" s="8"/>
      <c r="X2370" s="8"/>
      <c r="Y2370" s="8"/>
    </row>
    <row r="2371">
      <c r="A2371" s="8"/>
      <c r="B2371" s="8"/>
      <c r="C2371" s="8"/>
      <c r="D2371" s="8"/>
      <c r="E2371" s="8"/>
      <c r="F2371" s="8"/>
      <c r="G2371" s="8"/>
      <c r="H2371" s="8"/>
      <c r="I2371" s="8"/>
      <c r="J2371" s="8"/>
      <c r="K2371" s="8"/>
      <c r="L2371" s="8"/>
      <c r="M2371" s="8"/>
      <c r="N2371" s="8"/>
      <c r="O2371" s="8"/>
      <c r="P2371" s="8"/>
      <c r="Q2371" s="8"/>
      <c r="R2371" s="8"/>
      <c r="S2371" s="8"/>
      <c r="T2371" s="8"/>
      <c r="U2371" s="8"/>
      <c r="V2371" s="8"/>
      <c r="W2371" s="8"/>
      <c r="X2371" s="8"/>
      <c r="Y2371" s="8"/>
    </row>
    <row r="2372">
      <c r="A2372" s="8"/>
      <c r="B2372" s="8"/>
      <c r="C2372" s="8"/>
      <c r="D2372" s="8"/>
      <c r="E2372" s="8"/>
      <c r="F2372" s="8"/>
      <c r="G2372" s="8"/>
      <c r="H2372" s="8"/>
      <c r="I2372" s="8"/>
      <c r="J2372" s="8"/>
      <c r="K2372" s="8"/>
      <c r="L2372" s="8"/>
      <c r="M2372" s="8"/>
      <c r="N2372" s="8"/>
      <c r="O2372" s="8"/>
      <c r="P2372" s="8"/>
      <c r="Q2372" s="8"/>
      <c r="R2372" s="8"/>
      <c r="S2372" s="8"/>
      <c r="T2372" s="8"/>
      <c r="U2372" s="8"/>
      <c r="V2372" s="8"/>
      <c r="W2372" s="8"/>
      <c r="X2372" s="8"/>
      <c r="Y2372" s="8"/>
    </row>
    <row r="2373">
      <c r="A2373" s="8"/>
      <c r="B2373" s="8"/>
      <c r="C2373" s="8"/>
      <c r="D2373" s="8"/>
      <c r="E2373" s="8"/>
      <c r="F2373" s="8"/>
      <c r="G2373" s="8"/>
      <c r="H2373" s="8"/>
      <c r="I2373" s="8"/>
      <c r="J2373" s="8"/>
      <c r="K2373" s="8"/>
      <c r="L2373" s="8"/>
      <c r="M2373" s="8"/>
      <c r="N2373" s="8"/>
      <c r="O2373" s="8"/>
      <c r="P2373" s="8"/>
      <c r="Q2373" s="8"/>
      <c r="R2373" s="8"/>
      <c r="S2373" s="8"/>
      <c r="T2373" s="8"/>
      <c r="U2373" s="8"/>
      <c r="V2373" s="8"/>
      <c r="W2373" s="8"/>
      <c r="X2373" s="8"/>
      <c r="Y2373" s="8"/>
    </row>
    <row r="2374">
      <c r="A2374" s="8"/>
      <c r="B2374" s="8"/>
      <c r="C2374" s="8"/>
      <c r="D2374" s="8"/>
      <c r="E2374" s="8"/>
      <c r="F2374" s="8"/>
      <c r="G2374" s="8"/>
      <c r="H2374" s="8"/>
      <c r="I2374" s="8"/>
      <c r="J2374" s="8"/>
      <c r="K2374" s="8"/>
      <c r="L2374" s="8"/>
      <c r="M2374" s="8"/>
      <c r="N2374" s="8"/>
      <c r="O2374" s="8"/>
      <c r="P2374" s="8"/>
      <c r="Q2374" s="8"/>
      <c r="R2374" s="8"/>
      <c r="S2374" s="8"/>
      <c r="T2374" s="8"/>
      <c r="U2374" s="8"/>
      <c r="V2374" s="8"/>
      <c r="W2374" s="8"/>
      <c r="X2374" s="8"/>
      <c r="Y2374" s="8"/>
    </row>
    <row r="2375">
      <c r="A2375" s="8"/>
      <c r="B2375" s="8"/>
      <c r="C2375" s="8"/>
      <c r="D2375" s="8"/>
      <c r="E2375" s="8"/>
      <c r="F2375" s="8"/>
      <c r="G2375" s="8"/>
      <c r="H2375" s="8"/>
      <c r="I2375" s="8"/>
      <c r="J2375" s="8"/>
      <c r="K2375" s="8"/>
      <c r="L2375" s="8"/>
      <c r="M2375" s="8"/>
      <c r="N2375" s="8"/>
      <c r="O2375" s="8"/>
      <c r="P2375" s="8"/>
      <c r="Q2375" s="8"/>
      <c r="R2375" s="8"/>
      <c r="S2375" s="8"/>
      <c r="T2375" s="8"/>
      <c r="U2375" s="8"/>
      <c r="V2375" s="8"/>
      <c r="W2375" s="8"/>
      <c r="X2375" s="8"/>
      <c r="Y2375" s="8"/>
    </row>
    <row r="2376">
      <c r="A2376" s="8"/>
      <c r="B2376" s="8"/>
      <c r="C2376" s="8"/>
      <c r="D2376" s="8"/>
      <c r="E2376" s="8"/>
      <c r="F2376" s="8"/>
      <c r="G2376" s="8"/>
      <c r="H2376" s="8"/>
      <c r="I2376" s="8"/>
      <c r="J2376" s="8"/>
      <c r="K2376" s="8"/>
      <c r="L2376" s="8"/>
      <c r="M2376" s="8"/>
      <c r="N2376" s="8"/>
      <c r="O2376" s="8"/>
      <c r="P2376" s="8"/>
      <c r="Q2376" s="8"/>
      <c r="R2376" s="8"/>
      <c r="S2376" s="8"/>
      <c r="T2376" s="8"/>
      <c r="U2376" s="8"/>
      <c r="V2376" s="8"/>
      <c r="W2376" s="8"/>
      <c r="X2376" s="8"/>
      <c r="Y2376" s="8"/>
    </row>
    <row r="2377">
      <c r="A2377" s="8"/>
      <c r="B2377" s="8"/>
      <c r="C2377" s="8"/>
      <c r="D2377" s="8"/>
      <c r="E2377" s="8"/>
      <c r="F2377" s="8"/>
      <c r="G2377" s="8"/>
      <c r="H2377" s="8"/>
      <c r="I2377" s="8"/>
      <c r="J2377" s="8"/>
      <c r="K2377" s="8"/>
      <c r="L2377" s="8"/>
      <c r="M2377" s="8"/>
      <c r="N2377" s="8"/>
      <c r="O2377" s="8"/>
      <c r="P2377" s="8"/>
      <c r="Q2377" s="8"/>
      <c r="R2377" s="8"/>
      <c r="S2377" s="8"/>
      <c r="T2377" s="8"/>
      <c r="U2377" s="8"/>
      <c r="V2377" s="8"/>
      <c r="W2377" s="8"/>
      <c r="X2377" s="8"/>
      <c r="Y2377" s="8"/>
    </row>
    <row r="2378">
      <c r="A2378" s="8"/>
      <c r="B2378" s="8"/>
      <c r="C2378" s="8"/>
      <c r="D2378" s="8"/>
      <c r="E2378" s="8"/>
      <c r="F2378" s="8"/>
      <c r="G2378" s="8"/>
      <c r="H2378" s="8"/>
      <c r="I2378" s="8"/>
      <c r="J2378" s="8"/>
      <c r="K2378" s="8"/>
      <c r="L2378" s="8"/>
      <c r="M2378" s="8"/>
      <c r="N2378" s="8"/>
      <c r="O2378" s="8"/>
      <c r="P2378" s="8"/>
      <c r="Q2378" s="8"/>
      <c r="R2378" s="8"/>
      <c r="S2378" s="8"/>
      <c r="T2378" s="8"/>
      <c r="U2378" s="8"/>
      <c r="V2378" s="8"/>
      <c r="W2378" s="8"/>
      <c r="X2378" s="8"/>
      <c r="Y2378" s="8"/>
    </row>
    <row r="2379">
      <c r="A2379" s="8"/>
      <c r="B2379" s="8"/>
      <c r="C2379" s="8"/>
      <c r="D2379" s="8"/>
      <c r="E2379" s="8"/>
      <c r="F2379" s="8"/>
      <c r="G2379" s="8"/>
      <c r="H2379" s="8"/>
      <c r="I2379" s="8"/>
      <c r="J2379" s="8"/>
      <c r="K2379" s="8"/>
      <c r="L2379" s="8"/>
      <c r="M2379" s="8"/>
      <c r="N2379" s="8"/>
      <c r="O2379" s="8"/>
      <c r="P2379" s="8"/>
      <c r="Q2379" s="8"/>
      <c r="R2379" s="8"/>
      <c r="S2379" s="8"/>
      <c r="T2379" s="8"/>
      <c r="U2379" s="8"/>
      <c r="V2379" s="8"/>
      <c r="W2379" s="8"/>
      <c r="X2379" s="8"/>
      <c r="Y2379" s="8"/>
    </row>
    <row r="2380">
      <c r="A2380" s="8"/>
      <c r="B2380" s="8"/>
      <c r="C2380" s="8"/>
      <c r="D2380" s="8"/>
      <c r="E2380" s="8"/>
      <c r="F2380" s="8"/>
      <c r="G2380" s="8"/>
      <c r="H2380" s="8"/>
      <c r="I2380" s="8"/>
      <c r="J2380" s="8"/>
      <c r="K2380" s="8"/>
      <c r="L2380" s="8"/>
      <c r="M2380" s="8"/>
      <c r="N2380" s="8"/>
      <c r="O2380" s="8"/>
      <c r="P2380" s="8"/>
      <c r="Q2380" s="8"/>
      <c r="R2380" s="8"/>
      <c r="S2380" s="8"/>
      <c r="T2380" s="8"/>
      <c r="U2380" s="8"/>
      <c r="V2380" s="8"/>
      <c r="W2380" s="8"/>
      <c r="X2380" s="8"/>
      <c r="Y2380" s="8"/>
    </row>
    <row r="2381">
      <c r="A2381" s="8"/>
      <c r="B2381" s="8"/>
      <c r="C2381" s="8"/>
      <c r="D2381" s="8"/>
      <c r="E2381" s="8"/>
      <c r="F2381" s="8"/>
      <c r="G2381" s="8"/>
      <c r="H2381" s="8"/>
      <c r="I2381" s="8"/>
      <c r="J2381" s="8"/>
      <c r="K2381" s="8"/>
      <c r="L2381" s="8"/>
      <c r="M2381" s="8"/>
      <c r="N2381" s="8"/>
      <c r="O2381" s="8"/>
      <c r="P2381" s="8"/>
      <c r="Q2381" s="8"/>
      <c r="R2381" s="8"/>
      <c r="S2381" s="8"/>
      <c r="T2381" s="8"/>
      <c r="U2381" s="8"/>
      <c r="V2381" s="8"/>
      <c r="W2381" s="8"/>
      <c r="X2381" s="8"/>
      <c r="Y2381" s="8"/>
    </row>
    <row r="2382">
      <c r="A2382" s="8"/>
      <c r="B2382" s="8"/>
      <c r="C2382" s="8"/>
      <c r="D2382" s="8"/>
      <c r="E2382" s="8"/>
      <c r="F2382" s="8"/>
      <c r="G2382" s="8"/>
      <c r="H2382" s="8"/>
      <c r="I2382" s="8"/>
      <c r="J2382" s="8"/>
      <c r="K2382" s="8"/>
      <c r="L2382" s="8"/>
      <c r="M2382" s="8"/>
      <c r="N2382" s="8"/>
      <c r="O2382" s="8"/>
      <c r="P2382" s="8"/>
      <c r="Q2382" s="8"/>
      <c r="R2382" s="8"/>
      <c r="S2382" s="8"/>
      <c r="T2382" s="8"/>
      <c r="U2382" s="8"/>
      <c r="V2382" s="8"/>
      <c r="W2382" s="8"/>
      <c r="X2382" s="8"/>
      <c r="Y2382" s="8"/>
    </row>
    <row r="2383">
      <c r="A2383" s="8"/>
      <c r="B2383" s="8"/>
      <c r="C2383" s="8"/>
      <c r="D2383" s="8"/>
      <c r="E2383" s="8"/>
      <c r="F2383" s="8"/>
      <c r="G2383" s="8"/>
      <c r="H2383" s="8"/>
      <c r="I2383" s="8"/>
      <c r="J2383" s="8"/>
      <c r="K2383" s="8"/>
      <c r="L2383" s="8"/>
      <c r="M2383" s="8"/>
      <c r="N2383" s="8"/>
      <c r="O2383" s="8"/>
      <c r="P2383" s="8"/>
      <c r="Q2383" s="8"/>
      <c r="R2383" s="8"/>
      <c r="S2383" s="8"/>
      <c r="T2383" s="8"/>
      <c r="U2383" s="8"/>
      <c r="V2383" s="8"/>
      <c r="W2383" s="8"/>
      <c r="X2383" s="8"/>
      <c r="Y2383" s="8"/>
    </row>
    <row r="2384">
      <c r="A2384" s="8"/>
      <c r="B2384" s="8"/>
      <c r="C2384" s="8"/>
      <c r="D2384" s="8"/>
      <c r="E2384" s="8"/>
      <c r="F2384" s="8"/>
      <c r="G2384" s="8"/>
      <c r="H2384" s="8"/>
      <c r="I2384" s="8"/>
      <c r="J2384" s="8"/>
      <c r="K2384" s="8"/>
      <c r="L2384" s="8"/>
      <c r="M2384" s="8"/>
      <c r="N2384" s="8"/>
      <c r="O2384" s="8"/>
      <c r="P2384" s="8"/>
      <c r="Q2384" s="8"/>
      <c r="R2384" s="8"/>
      <c r="S2384" s="8"/>
      <c r="T2384" s="8"/>
      <c r="U2384" s="8"/>
      <c r="V2384" s="8"/>
      <c r="W2384" s="8"/>
      <c r="X2384" s="8"/>
      <c r="Y2384" s="8"/>
    </row>
    <row r="2385">
      <c r="A2385" s="8"/>
      <c r="B2385" s="8"/>
      <c r="C2385" s="8"/>
      <c r="D2385" s="8"/>
      <c r="E2385" s="8"/>
      <c r="F2385" s="8"/>
      <c r="G2385" s="8"/>
      <c r="H2385" s="8"/>
      <c r="I2385" s="8"/>
      <c r="J2385" s="8"/>
      <c r="K2385" s="8"/>
      <c r="L2385" s="8"/>
      <c r="M2385" s="8"/>
      <c r="N2385" s="8"/>
      <c r="O2385" s="8"/>
      <c r="P2385" s="8"/>
      <c r="Q2385" s="8"/>
      <c r="R2385" s="8"/>
      <c r="S2385" s="8"/>
      <c r="T2385" s="8"/>
      <c r="U2385" s="8"/>
      <c r="V2385" s="8"/>
      <c r="W2385" s="8"/>
      <c r="X2385" s="8"/>
      <c r="Y2385" s="8"/>
    </row>
    <row r="2386">
      <c r="A2386" s="8"/>
      <c r="B2386" s="8"/>
      <c r="C2386" s="8"/>
      <c r="D2386" s="8"/>
      <c r="E2386" s="8"/>
      <c r="F2386" s="8"/>
      <c r="G2386" s="8"/>
      <c r="H2386" s="8"/>
      <c r="I2386" s="8"/>
      <c r="J2386" s="8"/>
      <c r="K2386" s="8"/>
      <c r="L2386" s="8"/>
      <c r="M2386" s="8"/>
      <c r="N2386" s="8"/>
      <c r="O2386" s="8"/>
      <c r="P2386" s="8"/>
      <c r="Q2386" s="8"/>
      <c r="R2386" s="8"/>
      <c r="S2386" s="8"/>
      <c r="T2386" s="8"/>
      <c r="U2386" s="8"/>
      <c r="V2386" s="8"/>
      <c r="W2386" s="8"/>
      <c r="X2386" s="8"/>
      <c r="Y2386" s="8"/>
    </row>
    <row r="2387">
      <c r="A2387" s="8"/>
      <c r="B2387" s="8"/>
      <c r="C2387" s="8"/>
      <c r="D2387" s="8"/>
      <c r="E2387" s="8"/>
      <c r="F2387" s="8"/>
      <c r="G2387" s="8"/>
      <c r="H2387" s="8"/>
      <c r="I2387" s="8"/>
      <c r="J2387" s="8"/>
      <c r="K2387" s="8"/>
      <c r="L2387" s="8"/>
      <c r="M2387" s="8"/>
      <c r="N2387" s="8"/>
      <c r="O2387" s="8"/>
      <c r="P2387" s="8"/>
      <c r="Q2387" s="8"/>
      <c r="R2387" s="8"/>
      <c r="S2387" s="8"/>
      <c r="T2387" s="8"/>
      <c r="U2387" s="8"/>
      <c r="V2387" s="8"/>
      <c r="W2387" s="8"/>
      <c r="X2387" s="8"/>
      <c r="Y2387" s="8"/>
    </row>
    <row r="2388">
      <c r="A2388" s="8"/>
      <c r="B2388" s="8"/>
      <c r="C2388" s="8"/>
      <c r="D2388" s="8"/>
      <c r="E2388" s="8"/>
      <c r="F2388" s="8"/>
      <c r="G2388" s="8"/>
      <c r="H2388" s="8"/>
      <c r="I2388" s="8"/>
      <c r="J2388" s="8"/>
      <c r="K2388" s="8"/>
      <c r="L2388" s="8"/>
      <c r="M2388" s="8"/>
      <c r="N2388" s="8"/>
      <c r="O2388" s="8"/>
      <c r="P2388" s="8"/>
      <c r="Q2388" s="8"/>
      <c r="R2388" s="8"/>
      <c r="S2388" s="8"/>
      <c r="T2388" s="8"/>
      <c r="U2388" s="8"/>
      <c r="V2388" s="8"/>
      <c r="W2388" s="8"/>
      <c r="X2388" s="8"/>
      <c r="Y2388" s="8"/>
    </row>
    <row r="2389">
      <c r="A2389" s="8"/>
      <c r="B2389" s="8"/>
      <c r="C2389" s="8"/>
      <c r="D2389" s="8"/>
      <c r="E2389" s="8"/>
      <c r="F2389" s="8"/>
      <c r="G2389" s="8"/>
      <c r="H2389" s="8"/>
      <c r="I2389" s="8"/>
      <c r="J2389" s="8"/>
      <c r="K2389" s="8"/>
      <c r="L2389" s="8"/>
      <c r="M2389" s="8"/>
      <c r="N2389" s="8"/>
      <c r="O2389" s="8"/>
      <c r="P2389" s="8"/>
      <c r="Q2389" s="8"/>
      <c r="R2389" s="8"/>
      <c r="S2389" s="8"/>
      <c r="T2389" s="8"/>
      <c r="U2389" s="8"/>
      <c r="V2389" s="8"/>
      <c r="W2389" s="8"/>
      <c r="X2389" s="8"/>
      <c r="Y2389" s="8"/>
    </row>
    <row r="2390">
      <c r="A2390" s="8"/>
      <c r="B2390" s="8"/>
      <c r="C2390" s="8"/>
      <c r="D2390" s="8"/>
      <c r="E2390" s="8"/>
      <c r="F2390" s="8"/>
      <c r="G2390" s="8"/>
      <c r="H2390" s="8"/>
      <c r="I2390" s="8"/>
      <c r="J2390" s="8"/>
      <c r="K2390" s="8"/>
      <c r="L2390" s="8"/>
      <c r="M2390" s="8"/>
      <c r="N2390" s="8"/>
      <c r="O2390" s="8"/>
      <c r="P2390" s="8"/>
      <c r="Q2390" s="8"/>
      <c r="R2390" s="8"/>
      <c r="S2390" s="8"/>
      <c r="T2390" s="8"/>
      <c r="U2390" s="8"/>
      <c r="V2390" s="8"/>
      <c r="W2390" s="8"/>
      <c r="X2390" s="8"/>
      <c r="Y2390" s="8"/>
    </row>
    <row r="2391">
      <c r="A2391" s="8"/>
      <c r="B2391" s="8"/>
      <c r="C2391" s="8"/>
      <c r="D2391" s="8"/>
      <c r="E2391" s="8"/>
      <c r="F2391" s="8"/>
      <c r="G2391" s="8"/>
      <c r="H2391" s="8"/>
      <c r="I2391" s="8"/>
      <c r="J2391" s="8"/>
      <c r="K2391" s="8"/>
      <c r="L2391" s="8"/>
      <c r="M2391" s="8"/>
      <c r="N2391" s="8"/>
      <c r="O2391" s="8"/>
      <c r="P2391" s="8"/>
      <c r="Q2391" s="8"/>
      <c r="R2391" s="8"/>
      <c r="S2391" s="8"/>
      <c r="T2391" s="8"/>
      <c r="U2391" s="8"/>
      <c r="V2391" s="8"/>
      <c r="W2391" s="8"/>
      <c r="X2391" s="8"/>
      <c r="Y2391" s="8"/>
    </row>
    <row r="2392">
      <c r="A2392" s="8"/>
      <c r="B2392" s="8"/>
      <c r="C2392" s="8"/>
      <c r="D2392" s="8"/>
      <c r="E2392" s="8"/>
      <c r="F2392" s="8"/>
      <c r="G2392" s="8"/>
      <c r="H2392" s="8"/>
      <c r="I2392" s="8"/>
      <c r="J2392" s="8"/>
      <c r="K2392" s="8"/>
      <c r="L2392" s="8"/>
      <c r="M2392" s="8"/>
      <c r="N2392" s="8"/>
      <c r="O2392" s="8"/>
      <c r="P2392" s="8"/>
      <c r="Q2392" s="8"/>
      <c r="R2392" s="8"/>
      <c r="S2392" s="8"/>
      <c r="T2392" s="8"/>
      <c r="U2392" s="8"/>
      <c r="V2392" s="8"/>
      <c r="W2392" s="8"/>
      <c r="X2392" s="8"/>
      <c r="Y2392" s="8"/>
    </row>
    <row r="2393">
      <c r="A2393" s="8"/>
      <c r="B2393" s="8"/>
      <c r="C2393" s="8"/>
      <c r="D2393" s="8"/>
      <c r="E2393" s="8"/>
      <c r="F2393" s="8"/>
      <c r="G2393" s="8"/>
      <c r="H2393" s="8"/>
      <c r="I2393" s="8"/>
      <c r="J2393" s="8"/>
      <c r="K2393" s="8"/>
      <c r="L2393" s="8"/>
      <c r="M2393" s="8"/>
      <c r="N2393" s="8"/>
      <c r="O2393" s="8"/>
      <c r="P2393" s="8"/>
      <c r="Q2393" s="8"/>
      <c r="R2393" s="8"/>
      <c r="S2393" s="8"/>
      <c r="T2393" s="8"/>
      <c r="U2393" s="8"/>
      <c r="V2393" s="8"/>
      <c r="W2393" s="8"/>
      <c r="X2393" s="8"/>
      <c r="Y2393" s="8"/>
    </row>
    <row r="2394">
      <c r="A2394" s="8"/>
      <c r="B2394" s="8"/>
      <c r="C2394" s="8"/>
      <c r="D2394" s="8"/>
      <c r="E2394" s="8"/>
      <c r="F2394" s="8"/>
      <c r="G2394" s="8"/>
      <c r="H2394" s="8"/>
      <c r="I2394" s="8"/>
      <c r="J2394" s="8"/>
      <c r="K2394" s="8"/>
      <c r="L2394" s="8"/>
      <c r="M2394" s="8"/>
      <c r="N2394" s="8"/>
      <c r="O2394" s="8"/>
      <c r="P2394" s="8"/>
      <c r="Q2394" s="8"/>
      <c r="R2394" s="8"/>
      <c r="S2394" s="8"/>
      <c r="T2394" s="8"/>
      <c r="U2394" s="8"/>
      <c r="V2394" s="8"/>
      <c r="W2394" s="8"/>
      <c r="X2394" s="8"/>
      <c r="Y2394" s="8"/>
    </row>
    <row r="2395">
      <c r="A2395" s="8"/>
      <c r="B2395" s="8"/>
      <c r="C2395" s="8"/>
      <c r="D2395" s="8"/>
      <c r="E2395" s="8"/>
      <c r="F2395" s="8"/>
      <c r="G2395" s="8"/>
      <c r="H2395" s="8"/>
      <c r="I2395" s="8"/>
      <c r="J2395" s="8"/>
      <c r="K2395" s="8"/>
      <c r="L2395" s="8"/>
      <c r="M2395" s="8"/>
      <c r="N2395" s="8"/>
      <c r="O2395" s="8"/>
      <c r="P2395" s="8"/>
      <c r="Q2395" s="8"/>
      <c r="R2395" s="8"/>
      <c r="S2395" s="8"/>
      <c r="T2395" s="8"/>
      <c r="U2395" s="8"/>
      <c r="V2395" s="8"/>
      <c r="W2395" s="8"/>
      <c r="X2395" s="8"/>
      <c r="Y2395" s="8"/>
    </row>
    <row r="2396">
      <c r="A2396" s="8"/>
      <c r="B2396" s="8"/>
      <c r="C2396" s="8"/>
      <c r="D2396" s="8"/>
      <c r="E2396" s="8"/>
      <c r="F2396" s="8"/>
      <c r="G2396" s="8"/>
      <c r="H2396" s="8"/>
      <c r="I2396" s="8"/>
      <c r="J2396" s="8"/>
      <c r="K2396" s="8"/>
      <c r="L2396" s="8"/>
      <c r="M2396" s="8"/>
      <c r="N2396" s="8"/>
      <c r="O2396" s="8"/>
      <c r="P2396" s="8"/>
      <c r="Q2396" s="8"/>
      <c r="R2396" s="8"/>
      <c r="S2396" s="8"/>
      <c r="T2396" s="8"/>
      <c r="U2396" s="8"/>
      <c r="V2396" s="8"/>
      <c r="W2396" s="8"/>
      <c r="X2396" s="8"/>
      <c r="Y2396" s="8"/>
    </row>
    <row r="2397">
      <c r="A2397" s="8"/>
      <c r="B2397" s="8"/>
      <c r="C2397" s="8"/>
      <c r="D2397" s="8"/>
      <c r="E2397" s="8"/>
      <c r="F2397" s="8"/>
      <c r="G2397" s="8"/>
      <c r="H2397" s="8"/>
      <c r="I2397" s="8"/>
      <c r="J2397" s="8"/>
      <c r="K2397" s="8"/>
      <c r="L2397" s="8"/>
      <c r="M2397" s="8"/>
      <c r="N2397" s="8"/>
      <c r="O2397" s="8"/>
      <c r="P2397" s="8"/>
      <c r="Q2397" s="8"/>
      <c r="R2397" s="8"/>
      <c r="S2397" s="8"/>
      <c r="T2397" s="8"/>
      <c r="U2397" s="8"/>
      <c r="V2397" s="8"/>
      <c r="W2397" s="8"/>
      <c r="X2397" s="8"/>
      <c r="Y2397" s="8"/>
    </row>
    <row r="2398">
      <c r="A2398" s="8"/>
      <c r="B2398" s="8"/>
      <c r="C2398" s="8"/>
      <c r="D2398" s="8"/>
      <c r="E2398" s="8"/>
      <c r="F2398" s="8"/>
      <c r="G2398" s="8"/>
      <c r="H2398" s="8"/>
      <c r="I2398" s="8"/>
      <c r="J2398" s="8"/>
      <c r="K2398" s="8"/>
      <c r="L2398" s="8"/>
      <c r="M2398" s="8"/>
      <c r="N2398" s="8"/>
      <c r="O2398" s="8"/>
      <c r="P2398" s="8"/>
      <c r="Q2398" s="8"/>
      <c r="R2398" s="8"/>
      <c r="S2398" s="8"/>
      <c r="T2398" s="8"/>
      <c r="U2398" s="8"/>
      <c r="V2398" s="8"/>
      <c r="W2398" s="8"/>
      <c r="X2398" s="8"/>
      <c r="Y2398" s="8"/>
    </row>
    <row r="2399">
      <c r="A2399" s="8"/>
      <c r="B2399" s="8"/>
      <c r="C2399" s="8"/>
      <c r="D2399" s="8"/>
      <c r="E2399" s="8"/>
      <c r="F2399" s="8"/>
      <c r="G2399" s="8"/>
      <c r="H2399" s="8"/>
      <c r="I2399" s="8"/>
      <c r="J2399" s="8"/>
      <c r="K2399" s="8"/>
      <c r="L2399" s="8"/>
      <c r="M2399" s="8"/>
      <c r="N2399" s="8"/>
      <c r="O2399" s="8"/>
      <c r="P2399" s="8"/>
      <c r="Q2399" s="8"/>
      <c r="R2399" s="8"/>
      <c r="S2399" s="8"/>
      <c r="T2399" s="8"/>
      <c r="U2399" s="8"/>
      <c r="V2399" s="8"/>
      <c r="W2399" s="8"/>
      <c r="X2399" s="8"/>
      <c r="Y2399" s="8"/>
    </row>
    <row r="2400">
      <c r="A2400" s="8"/>
      <c r="B2400" s="8"/>
      <c r="C2400" s="8"/>
      <c r="D2400" s="8"/>
      <c r="E2400" s="8"/>
      <c r="F2400" s="8"/>
      <c r="G2400" s="8"/>
      <c r="H2400" s="8"/>
      <c r="I2400" s="8"/>
      <c r="J2400" s="8"/>
      <c r="K2400" s="8"/>
      <c r="L2400" s="8"/>
      <c r="M2400" s="8"/>
      <c r="N2400" s="8"/>
      <c r="O2400" s="8"/>
      <c r="P2400" s="8"/>
      <c r="Q2400" s="8"/>
      <c r="R2400" s="8"/>
      <c r="S2400" s="8"/>
      <c r="T2400" s="8"/>
      <c r="U2400" s="8"/>
      <c r="V2400" s="8"/>
      <c r="W2400" s="8"/>
      <c r="X2400" s="8"/>
      <c r="Y2400" s="8"/>
    </row>
    <row r="2401">
      <c r="A2401" s="8"/>
      <c r="B2401" s="8"/>
      <c r="C2401" s="8"/>
      <c r="D2401" s="8"/>
      <c r="E2401" s="8"/>
      <c r="F2401" s="8"/>
      <c r="G2401" s="8"/>
      <c r="H2401" s="8"/>
      <c r="I2401" s="8"/>
      <c r="J2401" s="8"/>
      <c r="K2401" s="8"/>
      <c r="L2401" s="8"/>
      <c r="M2401" s="8"/>
      <c r="N2401" s="8"/>
      <c r="O2401" s="8"/>
      <c r="P2401" s="8"/>
      <c r="Q2401" s="8"/>
      <c r="R2401" s="8"/>
      <c r="S2401" s="8"/>
      <c r="T2401" s="8"/>
      <c r="U2401" s="8"/>
      <c r="V2401" s="8"/>
      <c r="W2401" s="8"/>
      <c r="X2401" s="8"/>
      <c r="Y2401" s="8"/>
    </row>
    <row r="2402">
      <c r="A2402" s="8"/>
      <c r="B2402" s="8"/>
      <c r="C2402" s="8"/>
      <c r="D2402" s="8"/>
      <c r="E2402" s="8"/>
      <c r="F2402" s="8"/>
      <c r="G2402" s="8"/>
      <c r="H2402" s="8"/>
      <c r="I2402" s="8"/>
      <c r="J2402" s="8"/>
      <c r="K2402" s="8"/>
      <c r="L2402" s="8"/>
      <c r="M2402" s="8"/>
      <c r="N2402" s="8"/>
      <c r="O2402" s="8"/>
      <c r="P2402" s="8"/>
      <c r="Q2402" s="8"/>
      <c r="R2402" s="8"/>
      <c r="S2402" s="8"/>
      <c r="T2402" s="8"/>
      <c r="U2402" s="8"/>
      <c r="V2402" s="8"/>
      <c r="W2402" s="8"/>
      <c r="X2402" s="8"/>
      <c r="Y2402" s="8"/>
    </row>
    <row r="2403">
      <c r="A2403" s="8"/>
      <c r="B2403" s="8"/>
      <c r="C2403" s="8"/>
      <c r="D2403" s="8"/>
      <c r="E2403" s="8"/>
      <c r="F2403" s="8"/>
      <c r="G2403" s="8"/>
      <c r="H2403" s="8"/>
      <c r="I2403" s="8"/>
      <c r="J2403" s="8"/>
      <c r="K2403" s="8"/>
      <c r="L2403" s="8"/>
      <c r="M2403" s="8"/>
      <c r="N2403" s="8"/>
      <c r="O2403" s="8"/>
      <c r="P2403" s="8"/>
      <c r="Q2403" s="8"/>
      <c r="R2403" s="8"/>
      <c r="S2403" s="8"/>
      <c r="T2403" s="8"/>
      <c r="U2403" s="8"/>
      <c r="V2403" s="8"/>
      <c r="W2403" s="8"/>
      <c r="X2403" s="8"/>
      <c r="Y2403" s="8"/>
    </row>
    <row r="2404">
      <c r="A2404" s="8"/>
      <c r="B2404" s="8"/>
      <c r="C2404" s="8"/>
      <c r="D2404" s="8"/>
      <c r="E2404" s="8"/>
      <c r="F2404" s="8"/>
      <c r="G2404" s="8"/>
      <c r="H2404" s="8"/>
      <c r="I2404" s="8"/>
      <c r="J2404" s="8"/>
      <c r="K2404" s="8"/>
      <c r="L2404" s="8"/>
      <c r="M2404" s="8"/>
      <c r="N2404" s="8"/>
      <c r="O2404" s="8"/>
      <c r="P2404" s="8"/>
      <c r="Q2404" s="8"/>
      <c r="R2404" s="8"/>
      <c r="S2404" s="8"/>
      <c r="T2404" s="8"/>
      <c r="U2404" s="8"/>
      <c r="V2404" s="8"/>
      <c r="W2404" s="8"/>
      <c r="X2404" s="8"/>
      <c r="Y2404" s="8"/>
    </row>
    <row r="2405">
      <c r="A2405" s="8"/>
      <c r="B2405" s="8"/>
      <c r="C2405" s="8"/>
      <c r="D2405" s="8"/>
      <c r="E2405" s="8"/>
      <c r="F2405" s="8"/>
      <c r="G2405" s="8"/>
      <c r="H2405" s="8"/>
      <c r="I2405" s="8"/>
      <c r="J2405" s="8"/>
      <c r="K2405" s="8"/>
      <c r="L2405" s="8"/>
      <c r="M2405" s="8"/>
      <c r="N2405" s="8"/>
      <c r="O2405" s="8"/>
      <c r="P2405" s="8"/>
      <c r="Q2405" s="8"/>
      <c r="R2405" s="8"/>
      <c r="S2405" s="8"/>
      <c r="T2405" s="8"/>
      <c r="U2405" s="8"/>
      <c r="V2405" s="8"/>
      <c r="W2405" s="8"/>
      <c r="X2405" s="8"/>
      <c r="Y2405" s="8"/>
    </row>
    <row r="2406">
      <c r="A2406" s="8"/>
      <c r="B2406" s="8"/>
      <c r="C2406" s="8"/>
      <c r="D2406" s="8"/>
      <c r="E2406" s="8"/>
      <c r="F2406" s="8"/>
      <c r="G2406" s="8"/>
      <c r="H2406" s="8"/>
      <c r="I2406" s="8"/>
      <c r="J2406" s="8"/>
      <c r="K2406" s="8"/>
      <c r="L2406" s="8"/>
      <c r="M2406" s="8"/>
      <c r="N2406" s="8"/>
      <c r="O2406" s="8"/>
      <c r="P2406" s="8"/>
      <c r="Q2406" s="8"/>
      <c r="R2406" s="8"/>
      <c r="S2406" s="8"/>
      <c r="T2406" s="8"/>
      <c r="U2406" s="8"/>
      <c r="V2406" s="8"/>
      <c r="W2406" s="8"/>
      <c r="X2406" s="8"/>
      <c r="Y2406" s="8"/>
    </row>
    <row r="2407">
      <c r="A2407" s="8"/>
      <c r="B2407" s="8"/>
      <c r="C2407" s="8"/>
      <c r="D2407" s="8"/>
      <c r="E2407" s="8"/>
      <c r="F2407" s="8"/>
      <c r="G2407" s="8"/>
      <c r="H2407" s="8"/>
      <c r="I2407" s="8"/>
      <c r="J2407" s="8"/>
      <c r="K2407" s="8"/>
      <c r="L2407" s="8"/>
      <c r="M2407" s="8"/>
      <c r="N2407" s="8"/>
      <c r="O2407" s="8"/>
      <c r="P2407" s="8"/>
      <c r="Q2407" s="8"/>
      <c r="R2407" s="8"/>
      <c r="S2407" s="8"/>
      <c r="T2407" s="8"/>
      <c r="U2407" s="8"/>
      <c r="V2407" s="8"/>
      <c r="W2407" s="8"/>
      <c r="X2407" s="8"/>
      <c r="Y2407" s="8"/>
    </row>
    <row r="2408">
      <c r="A2408" s="8"/>
      <c r="B2408" s="8"/>
      <c r="C2408" s="8"/>
      <c r="D2408" s="8"/>
      <c r="E2408" s="8"/>
      <c r="F2408" s="8"/>
      <c r="G2408" s="8"/>
      <c r="H2408" s="8"/>
      <c r="I2408" s="8"/>
      <c r="J2408" s="8"/>
      <c r="K2408" s="8"/>
      <c r="L2408" s="8"/>
      <c r="M2408" s="8"/>
      <c r="N2408" s="8"/>
      <c r="O2408" s="8"/>
      <c r="P2408" s="8"/>
      <c r="Q2408" s="8"/>
      <c r="R2408" s="8"/>
      <c r="S2408" s="8"/>
      <c r="T2408" s="8"/>
      <c r="U2408" s="8"/>
      <c r="V2408" s="8"/>
      <c r="W2408" s="8"/>
      <c r="X2408" s="8"/>
      <c r="Y2408" s="8"/>
    </row>
    <row r="2409">
      <c r="A2409" s="8"/>
      <c r="B2409" s="8"/>
      <c r="C2409" s="8"/>
      <c r="D2409" s="8"/>
      <c r="E2409" s="8"/>
      <c r="F2409" s="8"/>
      <c r="G2409" s="8"/>
      <c r="H2409" s="8"/>
      <c r="I2409" s="8"/>
      <c r="J2409" s="8"/>
      <c r="K2409" s="8"/>
      <c r="L2409" s="8"/>
      <c r="M2409" s="8"/>
      <c r="N2409" s="8"/>
      <c r="O2409" s="8"/>
      <c r="P2409" s="8"/>
      <c r="Q2409" s="8"/>
      <c r="R2409" s="8"/>
      <c r="S2409" s="8"/>
      <c r="T2409" s="8"/>
      <c r="U2409" s="8"/>
      <c r="V2409" s="8"/>
      <c r="W2409" s="8"/>
      <c r="X2409" s="8"/>
      <c r="Y2409" s="8"/>
    </row>
    <row r="2410">
      <c r="A2410" s="8"/>
      <c r="B2410" s="8"/>
      <c r="C2410" s="8"/>
      <c r="D2410" s="8"/>
      <c r="E2410" s="8"/>
      <c r="F2410" s="8"/>
      <c r="G2410" s="8"/>
      <c r="H2410" s="8"/>
      <c r="I2410" s="8"/>
      <c r="J2410" s="8"/>
      <c r="K2410" s="8"/>
      <c r="L2410" s="8"/>
      <c r="M2410" s="8"/>
      <c r="N2410" s="8"/>
      <c r="O2410" s="8"/>
      <c r="P2410" s="8"/>
      <c r="Q2410" s="8"/>
      <c r="R2410" s="8"/>
      <c r="S2410" s="8"/>
      <c r="T2410" s="8"/>
      <c r="U2410" s="8"/>
      <c r="V2410" s="8"/>
      <c r="W2410" s="8"/>
      <c r="X2410" s="8"/>
      <c r="Y2410" s="8"/>
    </row>
    <row r="2411">
      <c r="A2411" s="8"/>
      <c r="B2411" s="8"/>
      <c r="C2411" s="8"/>
      <c r="D2411" s="8"/>
      <c r="E2411" s="8"/>
      <c r="F2411" s="8"/>
      <c r="G2411" s="8"/>
      <c r="H2411" s="8"/>
      <c r="I2411" s="8"/>
      <c r="J2411" s="8"/>
      <c r="K2411" s="8"/>
      <c r="L2411" s="8"/>
      <c r="M2411" s="8"/>
      <c r="N2411" s="8"/>
      <c r="O2411" s="8"/>
      <c r="P2411" s="8"/>
      <c r="Q2411" s="8"/>
      <c r="R2411" s="8"/>
      <c r="S2411" s="8"/>
      <c r="T2411" s="8"/>
      <c r="U2411" s="8"/>
      <c r="V2411" s="8"/>
      <c r="W2411" s="8"/>
      <c r="X2411" s="8"/>
      <c r="Y2411" s="8"/>
    </row>
    <row r="2412">
      <c r="A2412" s="8"/>
      <c r="B2412" s="8"/>
      <c r="C2412" s="8"/>
      <c r="D2412" s="8"/>
      <c r="E2412" s="8"/>
      <c r="F2412" s="8"/>
      <c r="G2412" s="8"/>
      <c r="H2412" s="8"/>
      <c r="I2412" s="8"/>
      <c r="J2412" s="8"/>
      <c r="K2412" s="8"/>
      <c r="L2412" s="8"/>
      <c r="M2412" s="8"/>
      <c r="N2412" s="8"/>
      <c r="O2412" s="8"/>
      <c r="P2412" s="8"/>
      <c r="Q2412" s="8"/>
      <c r="R2412" s="8"/>
      <c r="S2412" s="8"/>
      <c r="T2412" s="8"/>
      <c r="U2412" s="8"/>
      <c r="V2412" s="8"/>
      <c r="W2412" s="8"/>
      <c r="X2412" s="8"/>
      <c r="Y2412" s="8"/>
    </row>
    <row r="2413">
      <c r="A2413" s="8"/>
      <c r="B2413" s="8"/>
      <c r="C2413" s="8"/>
      <c r="D2413" s="8"/>
      <c r="E2413" s="8"/>
      <c r="F2413" s="8"/>
      <c r="G2413" s="8"/>
      <c r="H2413" s="8"/>
      <c r="I2413" s="8"/>
      <c r="J2413" s="8"/>
      <c r="K2413" s="8"/>
      <c r="L2413" s="8"/>
      <c r="M2413" s="8"/>
      <c r="N2413" s="8"/>
      <c r="O2413" s="8"/>
      <c r="P2413" s="8"/>
      <c r="Q2413" s="8"/>
      <c r="R2413" s="8"/>
      <c r="S2413" s="8"/>
      <c r="T2413" s="8"/>
      <c r="U2413" s="8"/>
      <c r="V2413" s="8"/>
      <c r="W2413" s="8"/>
      <c r="X2413" s="8"/>
      <c r="Y2413" s="8"/>
    </row>
    <row r="2414">
      <c r="A2414" s="8"/>
      <c r="B2414" s="8"/>
      <c r="C2414" s="8"/>
      <c r="D2414" s="8"/>
      <c r="E2414" s="8"/>
      <c r="F2414" s="8"/>
      <c r="G2414" s="8"/>
      <c r="H2414" s="8"/>
      <c r="I2414" s="8"/>
      <c r="J2414" s="8"/>
      <c r="K2414" s="8"/>
      <c r="L2414" s="8"/>
      <c r="M2414" s="8"/>
      <c r="N2414" s="8"/>
      <c r="O2414" s="8"/>
      <c r="P2414" s="8"/>
      <c r="Q2414" s="8"/>
      <c r="R2414" s="8"/>
      <c r="S2414" s="8"/>
      <c r="T2414" s="8"/>
      <c r="U2414" s="8"/>
      <c r="V2414" s="8"/>
      <c r="W2414" s="8"/>
      <c r="X2414" s="8"/>
      <c r="Y2414" s="8"/>
    </row>
    <row r="2415">
      <c r="A2415" s="8"/>
      <c r="B2415" s="8"/>
      <c r="C2415" s="8"/>
      <c r="D2415" s="8"/>
      <c r="E2415" s="8"/>
      <c r="F2415" s="8"/>
      <c r="G2415" s="8"/>
      <c r="H2415" s="8"/>
      <c r="I2415" s="8"/>
      <c r="J2415" s="8"/>
      <c r="K2415" s="8"/>
      <c r="L2415" s="8"/>
      <c r="M2415" s="8"/>
      <c r="N2415" s="8"/>
      <c r="O2415" s="8"/>
      <c r="P2415" s="8"/>
      <c r="Q2415" s="8"/>
      <c r="R2415" s="8"/>
      <c r="S2415" s="8"/>
      <c r="T2415" s="8"/>
      <c r="U2415" s="8"/>
      <c r="V2415" s="8"/>
      <c r="W2415" s="8"/>
      <c r="X2415" s="8"/>
      <c r="Y2415" s="8"/>
    </row>
    <row r="2416">
      <c r="A2416" s="8"/>
      <c r="B2416" s="8"/>
      <c r="C2416" s="8"/>
      <c r="D2416" s="8"/>
      <c r="E2416" s="8"/>
      <c r="F2416" s="8"/>
      <c r="G2416" s="8"/>
      <c r="H2416" s="8"/>
      <c r="I2416" s="8"/>
      <c r="J2416" s="8"/>
      <c r="K2416" s="8"/>
      <c r="L2416" s="8"/>
      <c r="M2416" s="8"/>
      <c r="N2416" s="8"/>
      <c r="O2416" s="8"/>
      <c r="P2416" s="8"/>
      <c r="Q2416" s="8"/>
      <c r="R2416" s="8"/>
      <c r="S2416" s="8"/>
      <c r="T2416" s="8"/>
      <c r="U2416" s="8"/>
      <c r="V2416" s="8"/>
      <c r="W2416" s="8"/>
      <c r="X2416" s="8"/>
      <c r="Y2416" s="8"/>
    </row>
    <row r="2417">
      <c r="A2417" s="8"/>
      <c r="B2417" s="8"/>
      <c r="C2417" s="8"/>
      <c r="D2417" s="8"/>
      <c r="E2417" s="8"/>
      <c r="F2417" s="8"/>
      <c r="G2417" s="8"/>
      <c r="H2417" s="8"/>
      <c r="I2417" s="8"/>
      <c r="J2417" s="8"/>
      <c r="K2417" s="8"/>
      <c r="L2417" s="8"/>
      <c r="M2417" s="8"/>
      <c r="N2417" s="8"/>
      <c r="O2417" s="8"/>
      <c r="P2417" s="8"/>
      <c r="Q2417" s="8"/>
      <c r="R2417" s="8"/>
      <c r="S2417" s="8"/>
      <c r="T2417" s="8"/>
      <c r="U2417" s="8"/>
      <c r="V2417" s="8"/>
      <c r="W2417" s="8"/>
      <c r="X2417" s="8"/>
      <c r="Y2417" s="8"/>
    </row>
    <row r="2418">
      <c r="A2418" s="8"/>
      <c r="B2418" s="8"/>
      <c r="C2418" s="8"/>
      <c r="D2418" s="8"/>
      <c r="E2418" s="8"/>
      <c r="F2418" s="8"/>
      <c r="G2418" s="8"/>
      <c r="H2418" s="8"/>
      <c r="I2418" s="8"/>
      <c r="J2418" s="8"/>
      <c r="K2418" s="8"/>
      <c r="L2418" s="8"/>
      <c r="M2418" s="8"/>
      <c r="N2418" s="8"/>
      <c r="O2418" s="8"/>
      <c r="P2418" s="8"/>
      <c r="Q2418" s="8"/>
      <c r="R2418" s="8"/>
      <c r="S2418" s="8"/>
      <c r="T2418" s="8"/>
      <c r="U2418" s="8"/>
      <c r="V2418" s="8"/>
      <c r="W2418" s="8"/>
      <c r="X2418" s="8"/>
      <c r="Y2418" s="8"/>
    </row>
    <row r="2419">
      <c r="A2419" s="8"/>
      <c r="B2419" s="8"/>
      <c r="C2419" s="8"/>
      <c r="D2419" s="8"/>
      <c r="E2419" s="8"/>
      <c r="F2419" s="8"/>
      <c r="G2419" s="8"/>
      <c r="H2419" s="8"/>
      <c r="I2419" s="8"/>
      <c r="J2419" s="8"/>
      <c r="K2419" s="8"/>
      <c r="L2419" s="8"/>
      <c r="M2419" s="8"/>
      <c r="N2419" s="8"/>
      <c r="O2419" s="8"/>
      <c r="P2419" s="8"/>
      <c r="Q2419" s="8"/>
      <c r="R2419" s="8"/>
      <c r="S2419" s="8"/>
      <c r="T2419" s="8"/>
      <c r="U2419" s="8"/>
      <c r="V2419" s="8"/>
      <c r="W2419" s="8"/>
      <c r="X2419" s="8"/>
      <c r="Y2419" s="8"/>
    </row>
    <row r="2420">
      <c r="A2420" s="8"/>
      <c r="B2420" s="8"/>
      <c r="C2420" s="8"/>
      <c r="D2420" s="8"/>
      <c r="E2420" s="8"/>
      <c r="F2420" s="8"/>
      <c r="G2420" s="8"/>
      <c r="H2420" s="8"/>
      <c r="I2420" s="8"/>
      <c r="J2420" s="8"/>
      <c r="K2420" s="8"/>
      <c r="L2420" s="8"/>
      <c r="M2420" s="8"/>
      <c r="N2420" s="8"/>
      <c r="O2420" s="8"/>
      <c r="P2420" s="8"/>
      <c r="Q2420" s="8"/>
      <c r="R2420" s="8"/>
      <c r="S2420" s="8"/>
      <c r="T2420" s="8"/>
      <c r="U2420" s="8"/>
      <c r="V2420" s="8"/>
      <c r="W2420" s="8"/>
      <c r="X2420" s="8"/>
      <c r="Y2420" s="8"/>
    </row>
    <row r="2421">
      <c r="A2421" s="8"/>
      <c r="B2421" s="8"/>
      <c r="C2421" s="8"/>
      <c r="D2421" s="8"/>
      <c r="E2421" s="8"/>
      <c r="F2421" s="8"/>
      <c r="G2421" s="8"/>
      <c r="H2421" s="8"/>
      <c r="I2421" s="8"/>
      <c r="J2421" s="8"/>
      <c r="K2421" s="8"/>
      <c r="L2421" s="8"/>
      <c r="M2421" s="8"/>
      <c r="N2421" s="8"/>
      <c r="O2421" s="8"/>
      <c r="P2421" s="8"/>
      <c r="Q2421" s="8"/>
      <c r="R2421" s="8"/>
      <c r="S2421" s="8"/>
      <c r="T2421" s="8"/>
      <c r="U2421" s="8"/>
      <c r="V2421" s="8"/>
      <c r="W2421" s="8"/>
      <c r="X2421" s="8"/>
      <c r="Y2421" s="8"/>
    </row>
    <row r="2422">
      <c r="A2422" s="8"/>
      <c r="B2422" s="8"/>
      <c r="C2422" s="8"/>
      <c r="D2422" s="8"/>
      <c r="E2422" s="8"/>
      <c r="F2422" s="8"/>
      <c r="G2422" s="8"/>
      <c r="H2422" s="8"/>
      <c r="I2422" s="8"/>
      <c r="J2422" s="8"/>
      <c r="K2422" s="8"/>
      <c r="L2422" s="8"/>
      <c r="M2422" s="8"/>
      <c r="N2422" s="8"/>
      <c r="O2422" s="8"/>
      <c r="P2422" s="8"/>
      <c r="Q2422" s="8"/>
      <c r="R2422" s="8"/>
      <c r="S2422" s="8"/>
      <c r="T2422" s="8"/>
      <c r="U2422" s="8"/>
      <c r="V2422" s="8"/>
      <c r="W2422" s="8"/>
      <c r="X2422" s="8"/>
      <c r="Y2422" s="8"/>
    </row>
    <row r="2423">
      <c r="A2423" s="8"/>
      <c r="B2423" s="8"/>
      <c r="C2423" s="8"/>
      <c r="D2423" s="8"/>
      <c r="E2423" s="8"/>
      <c r="F2423" s="8"/>
      <c r="G2423" s="8"/>
      <c r="H2423" s="8"/>
      <c r="I2423" s="8"/>
      <c r="J2423" s="8"/>
      <c r="K2423" s="8"/>
      <c r="L2423" s="8"/>
      <c r="M2423" s="8"/>
      <c r="N2423" s="8"/>
      <c r="O2423" s="8"/>
      <c r="P2423" s="8"/>
      <c r="Q2423" s="8"/>
      <c r="R2423" s="8"/>
      <c r="S2423" s="8"/>
      <c r="T2423" s="8"/>
      <c r="U2423" s="8"/>
      <c r="V2423" s="8"/>
      <c r="W2423" s="8"/>
      <c r="X2423" s="8"/>
      <c r="Y2423" s="8"/>
    </row>
    <row r="2424">
      <c r="A2424" s="8"/>
      <c r="B2424" s="8"/>
      <c r="C2424" s="8"/>
      <c r="D2424" s="8"/>
      <c r="E2424" s="8"/>
      <c r="F2424" s="8"/>
      <c r="G2424" s="8"/>
      <c r="H2424" s="8"/>
      <c r="I2424" s="8"/>
      <c r="J2424" s="8"/>
      <c r="K2424" s="8"/>
      <c r="L2424" s="8"/>
      <c r="M2424" s="8"/>
      <c r="N2424" s="8"/>
      <c r="O2424" s="8"/>
      <c r="P2424" s="8"/>
      <c r="Q2424" s="8"/>
      <c r="R2424" s="8"/>
      <c r="S2424" s="8"/>
      <c r="T2424" s="8"/>
      <c r="U2424" s="8"/>
      <c r="V2424" s="8"/>
      <c r="W2424" s="8"/>
      <c r="X2424" s="8"/>
      <c r="Y2424" s="8"/>
    </row>
    <row r="2425">
      <c r="A2425" s="8"/>
      <c r="B2425" s="8"/>
      <c r="C2425" s="8"/>
      <c r="D2425" s="8"/>
      <c r="E2425" s="8"/>
      <c r="F2425" s="8"/>
      <c r="G2425" s="8"/>
      <c r="H2425" s="8"/>
      <c r="I2425" s="8"/>
      <c r="J2425" s="8"/>
      <c r="K2425" s="8"/>
      <c r="L2425" s="8"/>
      <c r="M2425" s="8"/>
      <c r="N2425" s="8"/>
      <c r="O2425" s="8"/>
      <c r="P2425" s="8"/>
      <c r="Q2425" s="8"/>
      <c r="R2425" s="8"/>
      <c r="S2425" s="8"/>
      <c r="T2425" s="8"/>
      <c r="U2425" s="8"/>
      <c r="V2425" s="8"/>
      <c r="W2425" s="8"/>
      <c r="X2425" s="8"/>
      <c r="Y2425" s="8"/>
    </row>
    <row r="2426">
      <c r="A2426" s="8"/>
      <c r="B2426" s="8"/>
      <c r="C2426" s="8"/>
      <c r="D2426" s="8"/>
      <c r="E2426" s="8"/>
      <c r="F2426" s="8"/>
      <c r="G2426" s="8"/>
      <c r="H2426" s="8"/>
      <c r="I2426" s="8"/>
      <c r="J2426" s="8"/>
      <c r="K2426" s="8"/>
      <c r="L2426" s="8"/>
      <c r="M2426" s="8"/>
      <c r="N2426" s="8"/>
      <c r="O2426" s="8"/>
      <c r="P2426" s="8"/>
      <c r="Q2426" s="8"/>
      <c r="R2426" s="8"/>
      <c r="S2426" s="8"/>
      <c r="T2426" s="8"/>
      <c r="U2426" s="8"/>
      <c r="V2426" s="8"/>
      <c r="W2426" s="8"/>
      <c r="X2426" s="8"/>
      <c r="Y2426" s="8"/>
    </row>
    <row r="2427">
      <c r="A2427" s="8"/>
      <c r="B2427" s="8"/>
      <c r="C2427" s="8"/>
      <c r="D2427" s="8"/>
      <c r="E2427" s="8"/>
      <c r="F2427" s="8"/>
      <c r="G2427" s="8"/>
      <c r="H2427" s="8"/>
      <c r="I2427" s="8"/>
      <c r="J2427" s="8"/>
      <c r="K2427" s="8"/>
      <c r="L2427" s="8"/>
      <c r="M2427" s="8"/>
      <c r="N2427" s="8"/>
      <c r="O2427" s="8"/>
      <c r="P2427" s="8"/>
      <c r="Q2427" s="8"/>
      <c r="R2427" s="8"/>
      <c r="S2427" s="8"/>
      <c r="T2427" s="8"/>
      <c r="U2427" s="8"/>
      <c r="V2427" s="8"/>
      <c r="W2427" s="8"/>
      <c r="X2427" s="8"/>
      <c r="Y2427" s="8"/>
    </row>
    <row r="2428">
      <c r="A2428" s="8"/>
      <c r="B2428" s="8"/>
      <c r="C2428" s="8"/>
      <c r="D2428" s="8"/>
      <c r="E2428" s="8"/>
      <c r="F2428" s="8"/>
      <c r="G2428" s="8"/>
      <c r="H2428" s="8"/>
      <c r="I2428" s="8"/>
      <c r="J2428" s="8"/>
      <c r="K2428" s="8"/>
      <c r="L2428" s="8"/>
      <c r="M2428" s="8"/>
      <c r="N2428" s="8"/>
      <c r="O2428" s="8"/>
      <c r="P2428" s="8"/>
      <c r="Q2428" s="8"/>
      <c r="R2428" s="8"/>
      <c r="S2428" s="8"/>
      <c r="T2428" s="8"/>
      <c r="U2428" s="8"/>
      <c r="V2428" s="8"/>
      <c r="W2428" s="8"/>
      <c r="X2428" s="8"/>
      <c r="Y2428" s="8"/>
    </row>
    <row r="2429">
      <c r="A2429" s="8"/>
      <c r="B2429" s="8"/>
      <c r="C2429" s="8"/>
      <c r="D2429" s="8"/>
      <c r="E2429" s="8"/>
      <c r="F2429" s="8"/>
      <c r="G2429" s="8"/>
      <c r="H2429" s="8"/>
      <c r="I2429" s="8"/>
      <c r="J2429" s="8"/>
      <c r="K2429" s="8"/>
      <c r="L2429" s="8"/>
      <c r="M2429" s="8"/>
      <c r="N2429" s="8"/>
      <c r="O2429" s="8"/>
      <c r="P2429" s="8"/>
      <c r="Q2429" s="8"/>
      <c r="R2429" s="8"/>
      <c r="S2429" s="8"/>
      <c r="T2429" s="8"/>
      <c r="U2429" s="8"/>
      <c r="V2429" s="8"/>
      <c r="W2429" s="8"/>
      <c r="X2429" s="8"/>
      <c r="Y2429" s="8"/>
    </row>
    <row r="2430">
      <c r="A2430" s="8"/>
      <c r="B2430" s="8"/>
      <c r="C2430" s="8"/>
      <c r="D2430" s="8"/>
      <c r="E2430" s="8"/>
      <c r="F2430" s="8"/>
      <c r="G2430" s="8"/>
      <c r="H2430" s="8"/>
      <c r="I2430" s="8"/>
      <c r="J2430" s="8"/>
      <c r="K2430" s="8"/>
      <c r="L2430" s="8"/>
      <c r="M2430" s="8"/>
      <c r="N2430" s="8"/>
      <c r="O2430" s="8"/>
      <c r="P2430" s="8"/>
      <c r="Q2430" s="8"/>
      <c r="R2430" s="8"/>
      <c r="S2430" s="8"/>
      <c r="T2430" s="8"/>
      <c r="U2430" s="8"/>
      <c r="V2430" s="8"/>
      <c r="W2430" s="8"/>
      <c r="X2430" s="8"/>
      <c r="Y2430" s="8"/>
    </row>
    <row r="2431">
      <c r="A2431" s="8"/>
      <c r="B2431" s="8"/>
      <c r="C2431" s="8"/>
      <c r="D2431" s="8"/>
      <c r="E2431" s="8"/>
      <c r="F2431" s="8"/>
      <c r="G2431" s="8"/>
      <c r="H2431" s="8"/>
      <c r="I2431" s="8"/>
      <c r="J2431" s="8"/>
      <c r="K2431" s="8"/>
      <c r="L2431" s="8"/>
      <c r="M2431" s="8"/>
      <c r="N2431" s="8"/>
      <c r="O2431" s="8"/>
      <c r="P2431" s="8"/>
      <c r="Q2431" s="8"/>
      <c r="R2431" s="8"/>
      <c r="S2431" s="8"/>
      <c r="T2431" s="8"/>
      <c r="U2431" s="8"/>
      <c r="V2431" s="8"/>
      <c r="W2431" s="8"/>
      <c r="X2431" s="8"/>
      <c r="Y2431" s="8"/>
    </row>
    <row r="2432">
      <c r="A2432" s="8"/>
      <c r="B2432" s="8"/>
      <c r="C2432" s="8"/>
      <c r="D2432" s="8"/>
      <c r="E2432" s="8"/>
      <c r="F2432" s="8"/>
      <c r="G2432" s="8"/>
      <c r="H2432" s="8"/>
      <c r="I2432" s="8"/>
      <c r="J2432" s="8"/>
      <c r="K2432" s="8"/>
      <c r="L2432" s="8"/>
      <c r="M2432" s="8"/>
      <c r="N2432" s="8"/>
      <c r="O2432" s="8"/>
      <c r="P2432" s="8"/>
      <c r="Q2432" s="8"/>
      <c r="R2432" s="8"/>
      <c r="S2432" s="8"/>
      <c r="T2432" s="8"/>
      <c r="U2432" s="8"/>
      <c r="V2432" s="8"/>
      <c r="W2432" s="8"/>
      <c r="X2432" s="8"/>
      <c r="Y2432" s="8"/>
    </row>
    <row r="2433">
      <c r="A2433" s="8"/>
      <c r="B2433" s="8"/>
      <c r="C2433" s="8"/>
      <c r="D2433" s="8"/>
      <c r="E2433" s="8"/>
      <c r="F2433" s="8"/>
      <c r="G2433" s="8"/>
      <c r="H2433" s="8"/>
      <c r="I2433" s="8"/>
      <c r="J2433" s="8"/>
      <c r="K2433" s="8"/>
      <c r="L2433" s="8"/>
      <c r="M2433" s="8"/>
      <c r="N2433" s="8"/>
      <c r="O2433" s="8"/>
      <c r="P2433" s="8"/>
      <c r="Q2433" s="8"/>
      <c r="R2433" s="8"/>
      <c r="S2433" s="8"/>
      <c r="T2433" s="8"/>
      <c r="U2433" s="8"/>
      <c r="V2433" s="8"/>
      <c r="W2433" s="8"/>
      <c r="X2433" s="8"/>
      <c r="Y2433" s="8"/>
    </row>
    <row r="2434">
      <c r="A2434" s="8"/>
      <c r="B2434" s="8"/>
      <c r="C2434" s="8"/>
      <c r="D2434" s="8"/>
      <c r="E2434" s="8"/>
      <c r="F2434" s="8"/>
      <c r="G2434" s="8"/>
      <c r="H2434" s="8"/>
      <c r="I2434" s="8"/>
      <c r="J2434" s="8"/>
      <c r="K2434" s="8"/>
      <c r="L2434" s="8"/>
      <c r="M2434" s="8"/>
      <c r="N2434" s="8"/>
      <c r="O2434" s="8"/>
      <c r="P2434" s="8"/>
      <c r="Q2434" s="8"/>
      <c r="R2434" s="8"/>
      <c r="S2434" s="8"/>
      <c r="T2434" s="8"/>
      <c r="U2434" s="8"/>
      <c r="V2434" s="8"/>
      <c r="W2434" s="8"/>
      <c r="X2434" s="8"/>
      <c r="Y2434" s="8"/>
    </row>
    <row r="2435">
      <c r="A2435" s="8"/>
      <c r="B2435" s="8"/>
      <c r="C2435" s="8"/>
      <c r="D2435" s="8"/>
      <c r="E2435" s="8"/>
      <c r="F2435" s="8"/>
      <c r="G2435" s="8"/>
      <c r="H2435" s="8"/>
      <c r="I2435" s="8"/>
      <c r="J2435" s="8"/>
      <c r="K2435" s="8"/>
      <c r="L2435" s="8"/>
      <c r="M2435" s="8"/>
      <c r="N2435" s="8"/>
      <c r="O2435" s="8"/>
      <c r="P2435" s="8"/>
      <c r="Q2435" s="8"/>
      <c r="R2435" s="8"/>
      <c r="S2435" s="8"/>
      <c r="T2435" s="8"/>
      <c r="U2435" s="8"/>
      <c r="V2435" s="8"/>
      <c r="W2435" s="8"/>
      <c r="X2435" s="8"/>
      <c r="Y2435" s="8"/>
    </row>
    <row r="2436">
      <c r="A2436" s="8"/>
      <c r="B2436" s="8"/>
      <c r="C2436" s="8"/>
      <c r="D2436" s="8"/>
      <c r="E2436" s="8"/>
      <c r="F2436" s="8"/>
      <c r="G2436" s="8"/>
      <c r="H2436" s="8"/>
      <c r="I2436" s="8"/>
      <c r="J2436" s="8"/>
      <c r="K2436" s="8"/>
      <c r="L2436" s="8"/>
      <c r="M2436" s="8"/>
      <c r="N2436" s="8"/>
      <c r="O2436" s="8"/>
      <c r="P2436" s="8"/>
      <c r="Q2436" s="8"/>
      <c r="R2436" s="8"/>
      <c r="S2436" s="8"/>
      <c r="T2436" s="8"/>
      <c r="U2436" s="8"/>
      <c r="V2436" s="8"/>
      <c r="W2436" s="8"/>
      <c r="X2436" s="8"/>
      <c r="Y2436" s="8"/>
    </row>
    <row r="2437">
      <c r="A2437" s="8"/>
      <c r="B2437" s="8"/>
      <c r="C2437" s="8"/>
      <c r="D2437" s="8"/>
      <c r="E2437" s="8"/>
      <c r="F2437" s="8"/>
      <c r="G2437" s="8"/>
      <c r="H2437" s="8"/>
      <c r="I2437" s="8"/>
      <c r="J2437" s="8"/>
      <c r="K2437" s="8"/>
      <c r="L2437" s="8"/>
      <c r="M2437" s="8"/>
      <c r="N2437" s="8"/>
      <c r="O2437" s="8"/>
      <c r="P2437" s="8"/>
      <c r="Q2437" s="8"/>
      <c r="R2437" s="8"/>
      <c r="S2437" s="8"/>
      <c r="T2437" s="8"/>
      <c r="U2437" s="8"/>
      <c r="V2437" s="8"/>
      <c r="W2437" s="8"/>
      <c r="X2437" s="8"/>
      <c r="Y2437" s="8"/>
    </row>
    <row r="2438">
      <c r="A2438" s="8"/>
      <c r="B2438" s="8"/>
      <c r="C2438" s="8"/>
      <c r="D2438" s="8"/>
      <c r="E2438" s="8"/>
      <c r="F2438" s="8"/>
      <c r="G2438" s="8"/>
      <c r="H2438" s="8"/>
      <c r="I2438" s="8"/>
      <c r="J2438" s="8"/>
      <c r="K2438" s="8"/>
      <c r="L2438" s="8"/>
      <c r="M2438" s="8"/>
      <c r="N2438" s="8"/>
      <c r="O2438" s="8"/>
      <c r="P2438" s="8"/>
      <c r="Q2438" s="8"/>
      <c r="R2438" s="8"/>
      <c r="S2438" s="8"/>
      <c r="T2438" s="8"/>
      <c r="U2438" s="8"/>
      <c r="V2438" s="8"/>
      <c r="W2438" s="8"/>
      <c r="X2438" s="8"/>
      <c r="Y2438" s="8"/>
    </row>
    <row r="2439">
      <c r="A2439" s="8"/>
      <c r="B2439" s="8"/>
      <c r="C2439" s="8"/>
      <c r="D2439" s="8"/>
      <c r="E2439" s="8"/>
      <c r="F2439" s="8"/>
      <c r="G2439" s="8"/>
      <c r="H2439" s="8"/>
      <c r="I2439" s="8"/>
      <c r="J2439" s="8"/>
      <c r="K2439" s="8"/>
      <c r="L2439" s="8"/>
      <c r="M2439" s="8"/>
      <c r="N2439" s="8"/>
      <c r="O2439" s="8"/>
      <c r="P2439" s="8"/>
      <c r="Q2439" s="8"/>
      <c r="R2439" s="8"/>
      <c r="S2439" s="8"/>
      <c r="T2439" s="8"/>
      <c r="U2439" s="8"/>
      <c r="V2439" s="8"/>
      <c r="W2439" s="8"/>
      <c r="X2439" s="8"/>
      <c r="Y2439" s="8"/>
    </row>
    <row r="2440">
      <c r="A2440" s="8"/>
      <c r="B2440" s="8"/>
      <c r="C2440" s="8"/>
      <c r="D2440" s="8"/>
      <c r="E2440" s="8"/>
      <c r="F2440" s="8"/>
      <c r="G2440" s="8"/>
      <c r="H2440" s="8"/>
      <c r="I2440" s="8"/>
      <c r="J2440" s="8"/>
      <c r="K2440" s="8"/>
      <c r="L2440" s="8"/>
      <c r="M2440" s="8"/>
      <c r="N2440" s="8"/>
      <c r="O2440" s="8"/>
      <c r="P2440" s="8"/>
      <c r="Q2440" s="8"/>
      <c r="R2440" s="8"/>
      <c r="S2440" s="8"/>
      <c r="T2440" s="8"/>
      <c r="U2440" s="8"/>
      <c r="V2440" s="8"/>
      <c r="W2440" s="8"/>
      <c r="X2440" s="8"/>
      <c r="Y2440" s="8"/>
    </row>
    <row r="2441">
      <c r="A2441" s="8"/>
      <c r="B2441" s="8"/>
      <c r="C2441" s="8"/>
      <c r="D2441" s="8"/>
      <c r="E2441" s="8"/>
      <c r="F2441" s="8"/>
      <c r="G2441" s="8"/>
      <c r="H2441" s="8"/>
      <c r="I2441" s="8"/>
      <c r="J2441" s="8"/>
      <c r="K2441" s="8"/>
      <c r="L2441" s="8"/>
      <c r="M2441" s="8"/>
      <c r="N2441" s="8"/>
      <c r="O2441" s="8"/>
      <c r="P2441" s="8"/>
      <c r="Q2441" s="8"/>
      <c r="R2441" s="8"/>
      <c r="S2441" s="8"/>
      <c r="T2441" s="8"/>
      <c r="U2441" s="8"/>
      <c r="V2441" s="8"/>
      <c r="W2441" s="8"/>
      <c r="X2441" s="8"/>
      <c r="Y2441" s="8"/>
    </row>
    <row r="2442">
      <c r="A2442" s="8"/>
      <c r="B2442" s="8"/>
      <c r="C2442" s="8"/>
      <c r="D2442" s="8"/>
      <c r="E2442" s="8"/>
      <c r="F2442" s="8"/>
      <c r="G2442" s="8"/>
      <c r="H2442" s="8"/>
      <c r="I2442" s="8"/>
      <c r="J2442" s="8"/>
      <c r="K2442" s="8"/>
      <c r="L2442" s="8"/>
      <c r="M2442" s="8"/>
      <c r="N2442" s="8"/>
      <c r="O2442" s="8"/>
      <c r="P2442" s="8"/>
      <c r="Q2442" s="8"/>
      <c r="R2442" s="8"/>
      <c r="S2442" s="8"/>
      <c r="T2442" s="8"/>
      <c r="U2442" s="8"/>
      <c r="V2442" s="8"/>
      <c r="W2442" s="8"/>
      <c r="X2442" s="8"/>
      <c r="Y2442" s="8"/>
    </row>
    <row r="2443">
      <c r="A2443" s="8"/>
      <c r="B2443" s="8"/>
      <c r="C2443" s="8"/>
      <c r="D2443" s="8"/>
      <c r="E2443" s="8"/>
      <c r="F2443" s="8"/>
      <c r="G2443" s="8"/>
      <c r="H2443" s="8"/>
      <c r="I2443" s="8"/>
      <c r="J2443" s="8"/>
      <c r="K2443" s="8"/>
      <c r="L2443" s="8"/>
      <c r="M2443" s="8"/>
      <c r="N2443" s="8"/>
      <c r="O2443" s="8"/>
      <c r="P2443" s="8"/>
      <c r="Q2443" s="8"/>
      <c r="R2443" s="8"/>
      <c r="S2443" s="8"/>
      <c r="T2443" s="8"/>
      <c r="U2443" s="8"/>
      <c r="V2443" s="8"/>
      <c r="W2443" s="8"/>
      <c r="X2443" s="8"/>
      <c r="Y2443" s="8"/>
    </row>
    <row r="2444">
      <c r="A2444" s="8"/>
      <c r="B2444" s="8"/>
      <c r="C2444" s="8"/>
      <c r="D2444" s="8"/>
      <c r="E2444" s="8"/>
      <c r="F2444" s="8"/>
      <c r="G2444" s="8"/>
      <c r="H2444" s="8"/>
      <c r="I2444" s="8"/>
      <c r="J2444" s="8"/>
      <c r="K2444" s="8"/>
      <c r="L2444" s="8"/>
      <c r="M2444" s="8"/>
      <c r="N2444" s="8"/>
      <c r="O2444" s="8"/>
      <c r="P2444" s="8"/>
      <c r="Q2444" s="8"/>
      <c r="R2444" s="8"/>
      <c r="S2444" s="8"/>
      <c r="T2444" s="8"/>
      <c r="U2444" s="8"/>
      <c r="V2444" s="8"/>
      <c r="W2444" s="8"/>
      <c r="X2444" s="8"/>
      <c r="Y2444" s="8"/>
    </row>
    <row r="2445">
      <c r="A2445" s="8"/>
      <c r="B2445" s="8"/>
      <c r="C2445" s="8"/>
      <c r="D2445" s="8"/>
      <c r="E2445" s="8"/>
      <c r="F2445" s="8"/>
      <c r="G2445" s="8"/>
      <c r="H2445" s="8"/>
      <c r="I2445" s="8"/>
      <c r="J2445" s="8"/>
      <c r="K2445" s="8"/>
      <c r="L2445" s="8"/>
      <c r="M2445" s="8"/>
      <c r="N2445" s="8"/>
      <c r="O2445" s="8"/>
      <c r="P2445" s="8"/>
      <c r="Q2445" s="8"/>
      <c r="R2445" s="8"/>
      <c r="S2445" s="8"/>
      <c r="T2445" s="8"/>
      <c r="U2445" s="8"/>
      <c r="V2445" s="8"/>
      <c r="W2445" s="8"/>
      <c r="X2445" s="8"/>
      <c r="Y2445" s="8"/>
    </row>
    <row r="2446">
      <c r="A2446" s="8"/>
      <c r="B2446" s="8"/>
      <c r="C2446" s="8"/>
      <c r="D2446" s="8"/>
      <c r="E2446" s="8"/>
      <c r="F2446" s="8"/>
      <c r="G2446" s="8"/>
      <c r="H2446" s="8"/>
      <c r="I2446" s="8"/>
      <c r="J2446" s="8"/>
      <c r="K2446" s="8"/>
      <c r="L2446" s="8"/>
      <c r="M2446" s="8"/>
      <c r="N2446" s="8"/>
      <c r="O2446" s="8"/>
      <c r="P2446" s="8"/>
      <c r="Q2446" s="8"/>
      <c r="R2446" s="8"/>
      <c r="S2446" s="8"/>
      <c r="T2446" s="8"/>
      <c r="U2446" s="8"/>
      <c r="V2446" s="8"/>
      <c r="W2446" s="8"/>
      <c r="X2446" s="8"/>
      <c r="Y2446" s="8"/>
    </row>
    <row r="2447">
      <c r="A2447" s="8"/>
      <c r="B2447" s="8"/>
      <c r="C2447" s="8"/>
      <c r="D2447" s="8"/>
      <c r="E2447" s="8"/>
      <c r="F2447" s="8"/>
      <c r="G2447" s="8"/>
      <c r="H2447" s="8"/>
      <c r="I2447" s="8"/>
      <c r="J2447" s="8"/>
      <c r="K2447" s="8"/>
      <c r="L2447" s="8"/>
      <c r="M2447" s="8"/>
      <c r="N2447" s="8"/>
      <c r="O2447" s="8"/>
      <c r="P2447" s="8"/>
      <c r="Q2447" s="8"/>
      <c r="R2447" s="8"/>
      <c r="S2447" s="8"/>
      <c r="T2447" s="8"/>
      <c r="U2447" s="8"/>
      <c r="V2447" s="8"/>
      <c r="W2447" s="8"/>
      <c r="X2447" s="8"/>
      <c r="Y2447" s="8"/>
    </row>
    <row r="2448">
      <c r="A2448" s="8"/>
      <c r="B2448" s="8"/>
      <c r="C2448" s="8"/>
      <c r="D2448" s="8"/>
      <c r="E2448" s="8"/>
      <c r="F2448" s="8"/>
      <c r="G2448" s="8"/>
      <c r="H2448" s="8"/>
      <c r="I2448" s="8"/>
      <c r="J2448" s="8"/>
      <c r="K2448" s="8"/>
      <c r="L2448" s="8"/>
      <c r="M2448" s="8"/>
      <c r="N2448" s="8"/>
      <c r="O2448" s="8"/>
      <c r="P2448" s="8"/>
      <c r="Q2448" s="8"/>
      <c r="R2448" s="8"/>
      <c r="S2448" s="8"/>
      <c r="T2448" s="8"/>
      <c r="U2448" s="8"/>
      <c r="V2448" s="8"/>
      <c r="W2448" s="8"/>
      <c r="X2448" s="8"/>
      <c r="Y2448" s="8"/>
    </row>
    <row r="2449">
      <c r="A2449" s="8"/>
      <c r="B2449" s="8"/>
      <c r="C2449" s="8"/>
      <c r="D2449" s="8"/>
      <c r="E2449" s="8"/>
      <c r="F2449" s="8"/>
      <c r="G2449" s="8"/>
      <c r="H2449" s="8"/>
      <c r="I2449" s="8"/>
      <c r="J2449" s="8"/>
      <c r="K2449" s="8"/>
      <c r="L2449" s="8"/>
      <c r="M2449" s="8"/>
      <c r="N2449" s="8"/>
      <c r="O2449" s="8"/>
      <c r="P2449" s="8"/>
      <c r="Q2449" s="8"/>
      <c r="R2449" s="8"/>
      <c r="S2449" s="8"/>
      <c r="T2449" s="8"/>
      <c r="U2449" s="8"/>
      <c r="V2449" s="8"/>
      <c r="W2449" s="8"/>
      <c r="X2449" s="8"/>
      <c r="Y2449" s="8"/>
    </row>
    <row r="2450">
      <c r="A2450" s="8"/>
      <c r="B2450" s="8"/>
      <c r="C2450" s="8"/>
      <c r="D2450" s="8"/>
      <c r="E2450" s="8"/>
      <c r="F2450" s="8"/>
      <c r="G2450" s="8"/>
      <c r="H2450" s="8"/>
      <c r="I2450" s="8"/>
      <c r="J2450" s="8"/>
      <c r="K2450" s="8"/>
      <c r="L2450" s="8"/>
      <c r="M2450" s="8"/>
      <c r="N2450" s="8"/>
      <c r="O2450" s="8"/>
      <c r="P2450" s="8"/>
      <c r="Q2450" s="8"/>
      <c r="R2450" s="8"/>
      <c r="S2450" s="8"/>
      <c r="T2450" s="8"/>
      <c r="U2450" s="8"/>
      <c r="V2450" s="8"/>
      <c r="W2450" s="8"/>
      <c r="X2450" s="8"/>
      <c r="Y2450" s="8"/>
    </row>
    <row r="2451">
      <c r="A2451" s="8"/>
      <c r="B2451" s="8"/>
      <c r="C2451" s="8"/>
      <c r="D2451" s="8"/>
      <c r="E2451" s="8"/>
      <c r="F2451" s="8"/>
      <c r="G2451" s="8"/>
      <c r="H2451" s="8"/>
      <c r="I2451" s="8"/>
      <c r="J2451" s="8"/>
      <c r="K2451" s="8"/>
      <c r="L2451" s="8"/>
      <c r="M2451" s="8"/>
      <c r="N2451" s="8"/>
      <c r="O2451" s="8"/>
      <c r="P2451" s="8"/>
      <c r="Q2451" s="8"/>
      <c r="R2451" s="8"/>
      <c r="S2451" s="8"/>
      <c r="T2451" s="8"/>
      <c r="U2451" s="8"/>
      <c r="V2451" s="8"/>
      <c r="W2451" s="8"/>
      <c r="X2451" s="8"/>
      <c r="Y2451" s="8"/>
    </row>
    <row r="2452">
      <c r="A2452" s="8"/>
      <c r="B2452" s="8"/>
      <c r="C2452" s="8"/>
      <c r="D2452" s="8"/>
      <c r="E2452" s="8"/>
      <c r="F2452" s="8"/>
      <c r="G2452" s="8"/>
      <c r="H2452" s="8"/>
      <c r="I2452" s="8"/>
      <c r="J2452" s="8"/>
      <c r="K2452" s="8"/>
      <c r="L2452" s="8"/>
      <c r="M2452" s="8"/>
      <c r="N2452" s="8"/>
      <c r="O2452" s="8"/>
      <c r="P2452" s="8"/>
      <c r="Q2452" s="8"/>
      <c r="R2452" s="8"/>
      <c r="S2452" s="8"/>
      <c r="T2452" s="8"/>
      <c r="U2452" s="8"/>
      <c r="V2452" s="8"/>
      <c r="W2452" s="8"/>
      <c r="X2452" s="8"/>
      <c r="Y2452" s="8"/>
    </row>
    <row r="2453">
      <c r="A2453" s="8"/>
      <c r="B2453" s="8"/>
      <c r="C2453" s="8"/>
      <c r="D2453" s="8"/>
      <c r="E2453" s="8"/>
      <c r="F2453" s="8"/>
      <c r="G2453" s="8"/>
      <c r="H2453" s="8"/>
      <c r="I2453" s="8"/>
      <c r="J2453" s="8"/>
      <c r="K2453" s="8"/>
      <c r="L2453" s="8"/>
      <c r="M2453" s="8"/>
      <c r="N2453" s="8"/>
      <c r="O2453" s="8"/>
      <c r="P2453" s="8"/>
      <c r="Q2453" s="8"/>
      <c r="R2453" s="8"/>
      <c r="S2453" s="8"/>
      <c r="T2453" s="8"/>
      <c r="U2453" s="8"/>
      <c r="V2453" s="8"/>
      <c r="W2453" s="8"/>
      <c r="X2453" s="8"/>
      <c r="Y2453" s="8"/>
    </row>
    <row r="2454">
      <c r="A2454" s="8"/>
      <c r="B2454" s="8"/>
      <c r="C2454" s="8"/>
      <c r="D2454" s="8"/>
      <c r="E2454" s="8"/>
      <c r="F2454" s="8"/>
      <c r="G2454" s="8"/>
      <c r="H2454" s="8"/>
      <c r="I2454" s="8"/>
      <c r="J2454" s="8"/>
      <c r="K2454" s="8"/>
      <c r="L2454" s="8"/>
      <c r="M2454" s="8"/>
      <c r="N2454" s="8"/>
      <c r="O2454" s="8"/>
      <c r="P2454" s="8"/>
      <c r="Q2454" s="8"/>
      <c r="R2454" s="8"/>
      <c r="S2454" s="8"/>
      <c r="T2454" s="8"/>
      <c r="U2454" s="8"/>
      <c r="V2454" s="8"/>
      <c r="W2454" s="8"/>
      <c r="X2454" s="8"/>
      <c r="Y2454" s="8"/>
    </row>
    <row r="2455">
      <c r="A2455" s="8"/>
      <c r="B2455" s="8"/>
      <c r="C2455" s="8"/>
      <c r="D2455" s="8"/>
      <c r="E2455" s="8"/>
      <c r="F2455" s="8"/>
      <c r="G2455" s="8"/>
      <c r="H2455" s="8"/>
      <c r="I2455" s="8"/>
      <c r="J2455" s="8"/>
      <c r="K2455" s="8"/>
      <c r="L2455" s="8"/>
      <c r="M2455" s="8"/>
      <c r="N2455" s="8"/>
      <c r="O2455" s="8"/>
      <c r="P2455" s="8"/>
      <c r="Q2455" s="8"/>
      <c r="R2455" s="8"/>
      <c r="S2455" s="8"/>
      <c r="T2455" s="8"/>
      <c r="U2455" s="8"/>
      <c r="V2455" s="8"/>
      <c r="W2455" s="8"/>
      <c r="X2455" s="8"/>
      <c r="Y2455" s="8"/>
    </row>
    <row r="2456">
      <c r="A2456" s="8"/>
      <c r="B2456" s="8"/>
      <c r="C2456" s="8"/>
      <c r="D2456" s="8"/>
      <c r="E2456" s="8"/>
      <c r="F2456" s="8"/>
      <c r="G2456" s="8"/>
      <c r="H2456" s="8"/>
      <c r="I2456" s="8"/>
      <c r="J2456" s="8"/>
      <c r="K2456" s="8"/>
      <c r="L2456" s="8"/>
      <c r="M2456" s="8"/>
      <c r="N2456" s="8"/>
      <c r="O2456" s="8"/>
      <c r="P2456" s="8"/>
      <c r="Q2456" s="8"/>
      <c r="R2456" s="8"/>
      <c r="S2456" s="8"/>
      <c r="T2456" s="8"/>
      <c r="U2456" s="8"/>
      <c r="V2456" s="8"/>
      <c r="W2456" s="8"/>
      <c r="X2456" s="8"/>
      <c r="Y2456" s="8"/>
    </row>
    <row r="2457">
      <c r="A2457" s="8"/>
      <c r="B2457" s="8"/>
      <c r="C2457" s="8"/>
      <c r="D2457" s="8"/>
      <c r="E2457" s="8"/>
      <c r="F2457" s="8"/>
      <c r="G2457" s="8"/>
      <c r="H2457" s="8"/>
      <c r="I2457" s="8"/>
      <c r="J2457" s="8"/>
      <c r="K2457" s="8"/>
      <c r="L2457" s="8"/>
      <c r="M2457" s="8"/>
      <c r="N2457" s="8"/>
      <c r="O2457" s="8"/>
      <c r="P2457" s="8"/>
      <c r="Q2457" s="8"/>
      <c r="R2457" s="8"/>
      <c r="S2457" s="8"/>
      <c r="T2457" s="8"/>
      <c r="U2457" s="8"/>
      <c r="V2457" s="8"/>
      <c r="W2457" s="8"/>
      <c r="X2457" s="8"/>
      <c r="Y2457" s="8"/>
    </row>
    <row r="2458">
      <c r="A2458" s="8"/>
      <c r="B2458" s="8"/>
      <c r="C2458" s="8"/>
      <c r="D2458" s="8"/>
      <c r="E2458" s="8"/>
      <c r="F2458" s="8"/>
      <c r="G2458" s="8"/>
      <c r="H2458" s="8"/>
      <c r="I2458" s="8"/>
      <c r="J2458" s="8"/>
      <c r="K2458" s="8"/>
      <c r="L2458" s="8"/>
      <c r="M2458" s="8"/>
      <c r="N2458" s="8"/>
      <c r="O2458" s="8"/>
      <c r="P2458" s="8"/>
      <c r="Q2458" s="8"/>
      <c r="R2458" s="8"/>
      <c r="S2458" s="8"/>
      <c r="T2458" s="8"/>
      <c r="U2458" s="8"/>
      <c r="V2458" s="8"/>
      <c r="W2458" s="8"/>
      <c r="X2458" s="8"/>
      <c r="Y2458" s="8"/>
    </row>
    <row r="2459">
      <c r="A2459" s="8"/>
      <c r="B2459" s="8"/>
      <c r="C2459" s="8"/>
      <c r="D2459" s="8"/>
      <c r="E2459" s="8"/>
      <c r="F2459" s="8"/>
      <c r="G2459" s="8"/>
      <c r="H2459" s="8"/>
      <c r="I2459" s="8"/>
      <c r="J2459" s="8"/>
      <c r="K2459" s="8"/>
      <c r="L2459" s="8"/>
      <c r="M2459" s="8"/>
      <c r="N2459" s="8"/>
      <c r="O2459" s="8"/>
      <c r="P2459" s="8"/>
      <c r="Q2459" s="8"/>
      <c r="R2459" s="8"/>
      <c r="S2459" s="8"/>
      <c r="T2459" s="8"/>
      <c r="U2459" s="8"/>
      <c r="V2459" s="8"/>
      <c r="W2459" s="8"/>
      <c r="X2459" s="8"/>
      <c r="Y2459" s="8"/>
    </row>
    <row r="2460">
      <c r="A2460" s="8"/>
      <c r="B2460" s="8"/>
      <c r="C2460" s="8"/>
      <c r="D2460" s="8"/>
      <c r="E2460" s="8"/>
      <c r="F2460" s="8"/>
      <c r="G2460" s="8"/>
      <c r="H2460" s="8"/>
      <c r="I2460" s="8"/>
      <c r="J2460" s="8"/>
      <c r="K2460" s="8"/>
      <c r="L2460" s="8"/>
      <c r="M2460" s="8"/>
      <c r="N2460" s="8"/>
      <c r="O2460" s="8"/>
      <c r="P2460" s="8"/>
      <c r="Q2460" s="8"/>
      <c r="R2460" s="8"/>
      <c r="S2460" s="8"/>
      <c r="T2460" s="8"/>
      <c r="U2460" s="8"/>
      <c r="V2460" s="8"/>
      <c r="W2460" s="8"/>
      <c r="X2460" s="8"/>
      <c r="Y2460" s="8"/>
    </row>
    <row r="2461">
      <c r="A2461" s="8"/>
      <c r="B2461" s="8"/>
      <c r="C2461" s="8"/>
      <c r="D2461" s="8"/>
      <c r="E2461" s="8"/>
      <c r="F2461" s="8"/>
      <c r="G2461" s="8"/>
      <c r="H2461" s="8"/>
      <c r="I2461" s="8"/>
      <c r="J2461" s="8"/>
      <c r="K2461" s="8"/>
      <c r="L2461" s="8"/>
      <c r="M2461" s="8"/>
      <c r="N2461" s="8"/>
      <c r="O2461" s="8"/>
      <c r="P2461" s="8"/>
      <c r="Q2461" s="8"/>
      <c r="R2461" s="8"/>
      <c r="S2461" s="8"/>
      <c r="T2461" s="8"/>
      <c r="U2461" s="8"/>
      <c r="V2461" s="8"/>
      <c r="W2461" s="8"/>
      <c r="X2461" s="8"/>
      <c r="Y2461" s="8"/>
    </row>
    <row r="2462">
      <c r="A2462" s="8"/>
      <c r="B2462" s="8"/>
      <c r="C2462" s="8"/>
      <c r="D2462" s="8"/>
      <c r="E2462" s="8"/>
      <c r="F2462" s="8"/>
      <c r="G2462" s="8"/>
      <c r="H2462" s="8"/>
      <c r="I2462" s="8"/>
      <c r="J2462" s="8"/>
      <c r="K2462" s="8"/>
      <c r="L2462" s="8"/>
      <c r="M2462" s="8"/>
      <c r="N2462" s="8"/>
      <c r="O2462" s="8"/>
      <c r="P2462" s="8"/>
      <c r="Q2462" s="8"/>
      <c r="R2462" s="8"/>
      <c r="S2462" s="8"/>
      <c r="T2462" s="8"/>
      <c r="U2462" s="8"/>
      <c r="V2462" s="8"/>
      <c r="W2462" s="8"/>
      <c r="X2462" s="8"/>
      <c r="Y2462" s="8"/>
    </row>
    <row r="2463">
      <c r="A2463" s="8"/>
      <c r="B2463" s="8"/>
      <c r="C2463" s="8"/>
      <c r="D2463" s="8"/>
      <c r="E2463" s="8"/>
      <c r="F2463" s="8"/>
      <c r="G2463" s="8"/>
      <c r="H2463" s="8"/>
      <c r="I2463" s="8"/>
      <c r="J2463" s="8"/>
      <c r="K2463" s="8"/>
      <c r="L2463" s="8"/>
      <c r="M2463" s="8"/>
      <c r="N2463" s="8"/>
      <c r="O2463" s="8"/>
      <c r="P2463" s="8"/>
      <c r="Q2463" s="8"/>
      <c r="R2463" s="8"/>
      <c r="S2463" s="8"/>
      <c r="T2463" s="8"/>
      <c r="U2463" s="8"/>
      <c r="V2463" s="8"/>
      <c r="W2463" s="8"/>
      <c r="X2463" s="8"/>
      <c r="Y2463" s="8"/>
    </row>
    <row r="2464">
      <c r="A2464" s="8"/>
      <c r="B2464" s="8"/>
      <c r="C2464" s="8"/>
      <c r="D2464" s="8"/>
      <c r="E2464" s="8"/>
      <c r="F2464" s="8"/>
      <c r="G2464" s="8"/>
      <c r="H2464" s="8"/>
      <c r="I2464" s="8"/>
      <c r="J2464" s="8"/>
      <c r="K2464" s="8"/>
      <c r="L2464" s="8"/>
      <c r="M2464" s="8"/>
      <c r="N2464" s="8"/>
      <c r="O2464" s="8"/>
      <c r="P2464" s="8"/>
      <c r="Q2464" s="8"/>
      <c r="R2464" s="8"/>
      <c r="S2464" s="8"/>
      <c r="T2464" s="8"/>
      <c r="U2464" s="8"/>
      <c r="V2464" s="8"/>
      <c r="W2464" s="8"/>
      <c r="X2464" s="8"/>
      <c r="Y2464" s="8"/>
    </row>
    <row r="2465">
      <c r="A2465" s="8"/>
      <c r="B2465" s="8"/>
      <c r="C2465" s="8"/>
      <c r="D2465" s="8"/>
      <c r="E2465" s="8"/>
      <c r="F2465" s="8"/>
      <c r="G2465" s="8"/>
      <c r="H2465" s="8"/>
      <c r="I2465" s="8"/>
      <c r="J2465" s="8"/>
      <c r="K2465" s="8"/>
      <c r="L2465" s="8"/>
      <c r="M2465" s="8"/>
      <c r="N2465" s="8"/>
      <c r="O2465" s="8"/>
      <c r="P2465" s="8"/>
      <c r="Q2465" s="8"/>
      <c r="R2465" s="8"/>
      <c r="S2465" s="8"/>
      <c r="T2465" s="8"/>
      <c r="U2465" s="8"/>
      <c r="V2465" s="8"/>
      <c r="W2465" s="8"/>
      <c r="X2465" s="8"/>
      <c r="Y2465" s="8"/>
    </row>
    <row r="2466">
      <c r="A2466" s="8"/>
      <c r="B2466" s="8"/>
      <c r="C2466" s="8"/>
      <c r="D2466" s="8"/>
      <c r="E2466" s="8"/>
      <c r="F2466" s="8"/>
      <c r="G2466" s="8"/>
      <c r="H2466" s="8"/>
      <c r="I2466" s="8"/>
      <c r="J2466" s="8"/>
      <c r="K2466" s="8"/>
      <c r="L2466" s="8"/>
      <c r="M2466" s="8"/>
      <c r="N2466" s="8"/>
      <c r="O2466" s="8"/>
      <c r="P2466" s="8"/>
      <c r="Q2466" s="8"/>
      <c r="R2466" s="8"/>
      <c r="S2466" s="8"/>
      <c r="T2466" s="8"/>
      <c r="U2466" s="8"/>
      <c r="V2466" s="8"/>
      <c r="W2466" s="8"/>
      <c r="X2466" s="8"/>
      <c r="Y2466" s="8"/>
    </row>
    <row r="2467">
      <c r="A2467" s="8"/>
      <c r="B2467" s="8"/>
      <c r="C2467" s="8"/>
      <c r="D2467" s="8"/>
      <c r="E2467" s="8"/>
      <c r="F2467" s="8"/>
      <c r="G2467" s="8"/>
      <c r="H2467" s="8"/>
      <c r="I2467" s="8"/>
      <c r="J2467" s="8"/>
      <c r="K2467" s="8"/>
      <c r="L2467" s="8"/>
      <c r="M2467" s="8"/>
      <c r="N2467" s="8"/>
      <c r="O2467" s="8"/>
      <c r="P2467" s="8"/>
      <c r="Q2467" s="8"/>
      <c r="R2467" s="8"/>
      <c r="S2467" s="8"/>
      <c r="T2467" s="8"/>
      <c r="U2467" s="8"/>
      <c r="V2467" s="8"/>
      <c r="W2467" s="8"/>
      <c r="X2467" s="8"/>
      <c r="Y2467" s="8"/>
    </row>
    <row r="2468">
      <c r="A2468" s="8"/>
      <c r="B2468" s="8"/>
      <c r="C2468" s="8"/>
      <c r="D2468" s="8"/>
      <c r="E2468" s="8"/>
      <c r="F2468" s="8"/>
      <c r="G2468" s="8"/>
      <c r="H2468" s="8"/>
      <c r="I2468" s="8"/>
      <c r="J2468" s="8"/>
      <c r="K2468" s="8"/>
      <c r="L2468" s="8"/>
      <c r="M2468" s="8"/>
      <c r="N2468" s="8"/>
      <c r="O2468" s="8"/>
      <c r="P2468" s="8"/>
      <c r="Q2468" s="8"/>
      <c r="R2468" s="8"/>
      <c r="S2468" s="8"/>
      <c r="T2468" s="8"/>
      <c r="U2468" s="8"/>
      <c r="V2468" s="8"/>
      <c r="W2468" s="8"/>
      <c r="X2468" s="8"/>
      <c r="Y2468" s="8"/>
    </row>
    <row r="2469">
      <c r="A2469" s="8"/>
      <c r="B2469" s="8"/>
      <c r="C2469" s="8"/>
      <c r="D2469" s="8"/>
      <c r="E2469" s="8"/>
      <c r="F2469" s="8"/>
      <c r="G2469" s="8"/>
      <c r="H2469" s="8"/>
      <c r="I2469" s="8"/>
      <c r="J2469" s="8"/>
      <c r="K2469" s="8"/>
      <c r="L2469" s="8"/>
      <c r="M2469" s="8"/>
      <c r="N2469" s="8"/>
      <c r="O2469" s="8"/>
      <c r="P2469" s="8"/>
      <c r="Q2469" s="8"/>
      <c r="R2469" s="8"/>
      <c r="S2469" s="8"/>
      <c r="T2469" s="8"/>
      <c r="U2469" s="8"/>
      <c r="V2469" s="8"/>
      <c r="W2469" s="8"/>
      <c r="X2469" s="8"/>
      <c r="Y2469" s="8"/>
    </row>
    <row r="2470">
      <c r="A2470" s="8"/>
      <c r="B2470" s="8"/>
      <c r="C2470" s="8"/>
      <c r="D2470" s="8"/>
      <c r="E2470" s="8"/>
      <c r="F2470" s="8"/>
      <c r="G2470" s="8"/>
      <c r="H2470" s="8"/>
      <c r="I2470" s="8"/>
      <c r="J2470" s="8"/>
      <c r="K2470" s="8"/>
      <c r="L2470" s="8"/>
      <c r="M2470" s="8"/>
      <c r="N2470" s="8"/>
      <c r="O2470" s="8"/>
      <c r="P2470" s="8"/>
      <c r="Q2470" s="8"/>
      <c r="R2470" s="8"/>
      <c r="S2470" s="8"/>
      <c r="T2470" s="8"/>
      <c r="U2470" s="8"/>
      <c r="V2470" s="8"/>
      <c r="W2470" s="8"/>
      <c r="X2470" s="8"/>
      <c r="Y2470" s="8"/>
    </row>
    <row r="2471">
      <c r="A2471" s="8"/>
      <c r="B2471" s="8"/>
      <c r="C2471" s="8"/>
      <c r="D2471" s="8"/>
      <c r="E2471" s="8"/>
      <c r="F2471" s="8"/>
      <c r="G2471" s="8"/>
      <c r="H2471" s="8"/>
      <c r="I2471" s="8"/>
      <c r="J2471" s="8"/>
      <c r="K2471" s="8"/>
      <c r="L2471" s="8"/>
      <c r="M2471" s="8"/>
      <c r="N2471" s="8"/>
      <c r="O2471" s="8"/>
      <c r="P2471" s="8"/>
      <c r="Q2471" s="8"/>
      <c r="R2471" s="8"/>
      <c r="S2471" s="8"/>
      <c r="T2471" s="8"/>
      <c r="U2471" s="8"/>
      <c r="V2471" s="8"/>
      <c r="W2471" s="8"/>
      <c r="X2471" s="8"/>
      <c r="Y2471" s="8"/>
    </row>
    <row r="2472">
      <c r="A2472" s="8"/>
      <c r="B2472" s="8"/>
      <c r="C2472" s="8"/>
      <c r="D2472" s="8"/>
      <c r="E2472" s="8"/>
      <c r="F2472" s="8"/>
      <c r="G2472" s="8"/>
      <c r="H2472" s="8"/>
      <c r="I2472" s="8"/>
      <c r="J2472" s="8"/>
      <c r="K2472" s="8"/>
      <c r="L2472" s="8"/>
      <c r="M2472" s="8"/>
      <c r="N2472" s="8"/>
      <c r="O2472" s="8"/>
      <c r="P2472" s="8"/>
      <c r="Q2472" s="8"/>
      <c r="R2472" s="8"/>
      <c r="S2472" s="8"/>
      <c r="T2472" s="8"/>
      <c r="U2472" s="8"/>
      <c r="V2472" s="8"/>
      <c r="W2472" s="8"/>
      <c r="X2472" s="8"/>
      <c r="Y2472" s="8"/>
    </row>
    <row r="2473">
      <c r="A2473" s="8"/>
      <c r="B2473" s="8"/>
      <c r="C2473" s="8"/>
      <c r="D2473" s="8"/>
      <c r="E2473" s="8"/>
      <c r="F2473" s="8"/>
      <c r="G2473" s="8"/>
      <c r="H2473" s="8"/>
      <c r="I2473" s="8"/>
      <c r="J2473" s="8"/>
      <c r="K2473" s="8"/>
      <c r="L2473" s="8"/>
      <c r="M2473" s="8"/>
      <c r="N2473" s="8"/>
      <c r="O2473" s="8"/>
      <c r="P2473" s="8"/>
      <c r="Q2473" s="8"/>
      <c r="R2473" s="8"/>
      <c r="S2473" s="8"/>
      <c r="T2473" s="8"/>
      <c r="U2473" s="8"/>
      <c r="V2473" s="8"/>
      <c r="W2473" s="8"/>
      <c r="X2473" s="8"/>
      <c r="Y2473" s="8"/>
    </row>
    <row r="2474">
      <c r="A2474" s="8"/>
      <c r="B2474" s="8"/>
      <c r="C2474" s="8"/>
      <c r="D2474" s="8"/>
      <c r="E2474" s="8"/>
      <c r="F2474" s="8"/>
      <c r="G2474" s="8"/>
      <c r="H2474" s="8"/>
      <c r="I2474" s="8"/>
      <c r="J2474" s="8"/>
      <c r="K2474" s="8"/>
      <c r="L2474" s="8"/>
      <c r="M2474" s="8"/>
      <c r="N2474" s="8"/>
      <c r="O2474" s="8"/>
      <c r="P2474" s="8"/>
      <c r="Q2474" s="8"/>
      <c r="R2474" s="8"/>
      <c r="S2474" s="8"/>
      <c r="T2474" s="8"/>
      <c r="U2474" s="8"/>
      <c r="V2474" s="8"/>
      <c r="W2474" s="8"/>
      <c r="X2474" s="8"/>
      <c r="Y2474" s="8"/>
    </row>
    <row r="2475">
      <c r="A2475" s="8"/>
      <c r="B2475" s="8"/>
      <c r="C2475" s="8"/>
      <c r="D2475" s="8"/>
      <c r="E2475" s="8"/>
      <c r="F2475" s="8"/>
      <c r="G2475" s="8"/>
      <c r="H2475" s="8"/>
      <c r="I2475" s="8"/>
      <c r="J2475" s="8"/>
      <c r="K2475" s="8"/>
      <c r="L2475" s="8"/>
      <c r="M2475" s="8"/>
      <c r="N2475" s="8"/>
      <c r="O2475" s="8"/>
      <c r="P2475" s="8"/>
      <c r="Q2475" s="8"/>
      <c r="R2475" s="8"/>
      <c r="S2475" s="8"/>
      <c r="T2475" s="8"/>
      <c r="U2475" s="8"/>
      <c r="V2475" s="8"/>
      <c r="W2475" s="8"/>
      <c r="X2475" s="8"/>
      <c r="Y2475" s="8"/>
    </row>
    <row r="2476">
      <c r="A2476" s="8"/>
      <c r="B2476" s="8"/>
      <c r="C2476" s="8"/>
      <c r="D2476" s="8"/>
      <c r="E2476" s="8"/>
      <c r="F2476" s="8"/>
      <c r="G2476" s="8"/>
      <c r="H2476" s="8"/>
      <c r="I2476" s="8"/>
      <c r="J2476" s="8"/>
      <c r="K2476" s="8"/>
      <c r="L2476" s="8"/>
      <c r="M2476" s="8"/>
      <c r="N2476" s="8"/>
      <c r="O2476" s="8"/>
      <c r="P2476" s="8"/>
      <c r="Q2476" s="8"/>
      <c r="R2476" s="8"/>
      <c r="S2476" s="8"/>
      <c r="T2476" s="8"/>
      <c r="U2476" s="8"/>
      <c r="V2476" s="8"/>
      <c r="W2476" s="8"/>
      <c r="X2476" s="8"/>
      <c r="Y2476" s="8"/>
    </row>
    <row r="2477">
      <c r="A2477" s="8"/>
      <c r="B2477" s="8"/>
      <c r="C2477" s="8"/>
      <c r="D2477" s="8"/>
      <c r="E2477" s="8"/>
      <c r="F2477" s="8"/>
      <c r="G2477" s="8"/>
      <c r="H2477" s="8"/>
      <c r="I2477" s="8"/>
      <c r="J2477" s="8"/>
      <c r="K2477" s="8"/>
      <c r="L2477" s="8"/>
      <c r="M2477" s="8"/>
      <c r="N2477" s="8"/>
      <c r="O2477" s="8"/>
      <c r="P2477" s="8"/>
      <c r="Q2477" s="8"/>
      <c r="R2477" s="8"/>
      <c r="S2477" s="8"/>
      <c r="T2477" s="8"/>
      <c r="U2477" s="8"/>
      <c r="V2477" s="8"/>
      <c r="W2477" s="8"/>
      <c r="X2477" s="8"/>
      <c r="Y2477" s="8"/>
    </row>
    <row r="2478">
      <c r="A2478" s="8"/>
      <c r="B2478" s="8"/>
      <c r="C2478" s="8"/>
      <c r="D2478" s="8"/>
      <c r="E2478" s="8"/>
      <c r="F2478" s="8"/>
      <c r="G2478" s="8"/>
      <c r="H2478" s="8"/>
      <c r="I2478" s="8"/>
      <c r="J2478" s="8"/>
      <c r="K2478" s="8"/>
      <c r="L2478" s="8"/>
      <c r="M2478" s="8"/>
      <c r="N2478" s="8"/>
      <c r="O2478" s="8"/>
      <c r="P2478" s="8"/>
      <c r="Q2478" s="8"/>
      <c r="R2478" s="8"/>
      <c r="S2478" s="8"/>
      <c r="T2478" s="8"/>
      <c r="U2478" s="8"/>
      <c r="V2478" s="8"/>
      <c r="W2478" s="8"/>
      <c r="X2478" s="8"/>
      <c r="Y2478" s="8"/>
    </row>
    <row r="2479">
      <c r="A2479" s="8"/>
      <c r="B2479" s="8"/>
      <c r="C2479" s="8"/>
      <c r="D2479" s="8"/>
      <c r="E2479" s="8"/>
      <c r="F2479" s="8"/>
      <c r="G2479" s="8"/>
      <c r="H2479" s="8"/>
      <c r="I2479" s="8"/>
      <c r="J2479" s="8"/>
      <c r="K2479" s="8"/>
      <c r="L2479" s="8"/>
      <c r="M2479" s="8"/>
      <c r="N2479" s="8"/>
      <c r="O2479" s="8"/>
      <c r="P2479" s="8"/>
      <c r="Q2479" s="8"/>
      <c r="R2479" s="8"/>
      <c r="S2479" s="8"/>
      <c r="T2479" s="8"/>
      <c r="U2479" s="8"/>
      <c r="V2479" s="8"/>
      <c r="W2479" s="8"/>
      <c r="X2479" s="8"/>
      <c r="Y2479" s="8"/>
    </row>
    <row r="2480">
      <c r="A2480" s="8"/>
      <c r="B2480" s="8"/>
      <c r="C2480" s="8"/>
      <c r="D2480" s="8"/>
      <c r="E2480" s="8"/>
      <c r="F2480" s="8"/>
      <c r="G2480" s="8"/>
      <c r="H2480" s="8"/>
      <c r="I2480" s="8"/>
      <c r="J2480" s="8"/>
      <c r="K2480" s="8"/>
      <c r="L2480" s="8"/>
      <c r="M2480" s="8"/>
      <c r="N2480" s="8"/>
      <c r="O2480" s="8"/>
      <c r="P2480" s="8"/>
      <c r="Q2480" s="8"/>
      <c r="R2480" s="8"/>
      <c r="S2480" s="8"/>
      <c r="T2480" s="8"/>
      <c r="U2480" s="8"/>
      <c r="V2480" s="8"/>
      <c r="W2480" s="8"/>
      <c r="X2480" s="8"/>
      <c r="Y2480" s="8"/>
    </row>
    <row r="2481">
      <c r="A2481" s="8"/>
      <c r="B2481" s="8"/>
      <c r="C2481" s="8"/>
      <c r="D2481" s="8"/>
      <c r="E2481" s="8"/>
      <c r="F2481" s="8"/>
      <c r="G2481" s="8"/>
      <c r="H2481" s="8"/>
      <c r="I2481" s="8"/>
      <c r="J2481" s="8"/>
      <c r="K2481" s="8"/>
      <c r="L2481" s="8"/>
      <c r="M2481" s="8"/>
      <c r="N2481" s="8"/>
      <c r="O2481" s="8"/>
      <c r="P2481" s="8"/>
      <c r="Q2481" s="8"/>
      <c r="R2481" s="8"/>
      <c r="S2481" s="8"/>
      <c r="T2481" s="8"/>
      <c r="U2481" s="8"/>
      <c r="V2481" s="8"/>
      <c r="W2481" s="8"/>
      <c r="X2481" s="8"/>
      <c r="Y2481" s="8"/>
    </row>
    <row r="2482">
      <c r="A2482" s="8"/>
      <c r="B2482" s="8"/>
      <c r="C2482" s="8"/>
      <c r="D2482" s="8"/>
      <c r="E2482" s="8"/>
      <c r="F2482" s="8"/>
      <c r="G2482" s="8"/>
      <c r="H2482" s="8"/>
      <c r="I2482" s="8"/>
      <c r="J2482" s="8"/>
      <c r="K2482" s="8"/>
      <c r="L2482" s="8"/>
      <c r="M2482" s="8"/>
      <c r="N2482" s="8"/>
      <c r="O2482" s="8"/>
      <c r="P2482" s="8"/>
      <c r="Q2482" s="8"/>
      <c r="R2482" s="8"/>
      <c r="S2482" s="8"/>
      <c r="T2482" s="8"/>
      <c r="U2482" s="8"/>
      <c r="V2482" s="8"/>
      <c r="W2482" s="8"/>
      <c r="X2482" s="8"/>
      <c r="Y2482" s="8"/>
    </row>
    <row r="2483">
      <c r="A2483" s="8"/>
      <c r="B2483" s="8"/>
      <c r="C2483" s="8"/>
      <c r="D2483" s="8"/>
      <c r="E2483" s="8"/>
      <c r="F2483" s="8"/>
      <c r="G2483" s="8"/>
      <c r="H2483" s="8"/>
      <c r="I2483" s="8"/>
      <c r="J2483" s="8"/>
      <c r="K2483" s="8"/>
      <c r="L2483" s="8"/>
      <c r="M2483" s="8"/>
      <c r="N2483" s="8"/>
      <c r="O2483" s="8"/>
      <c r="P2483" s="8"/>
      <c r="Q2483" s="8"/>
      <c r="R2483" s="8"/>
      <c r="S2483" s="8"/>
      <c r="T2483" s="8"/>
      <c r="U2483" s="8"/>
      <c r="V2483" s="8"/>
      <c r="W2483" s="8"/>
      <c r="X2483" s="8"/>
      <c r="Y2483" s="8"/>
    </row>
    <row r="2484">
      <c r="A2484" s="8"/>
      <c r="B2484" s="8"/>
      <c r="C2484" s="8"/>
      <c r="D2484" s="8"/>
      <c r="E2484" s="8"/>
      <c r="F2484" s="8"/>
      <c r="G2484" s="8"/>
      <c r="H2484" s="8"/>
      <c r="I2484" s="8"/>
      <c r="J2484" s="8"/>
      <c r="K2484" s="8"/>
      <c r="L2484" s="8"/>
      <c r="M2484" s="8"/>
      <c r="N2484" s="8"/>
      <c r="O2484" s="8"/>
      <c r="P2484" s="8"/>
      <c r="Q2484" s="8"/>
      <c r="R2484" s="8"/>
      <c r="S2484" s="8"/>
      <c r="T2484" s="8"/>
      <c r="U2484" s="8"/>
      <c r="V2484" s="8"/>
      <c r="W2484" s="8"/>
      <c r="X2484" s="8"/>
      <c r="Y2484" s="8"/>
    </row>
    <row r="2485">
      <c r="A2485" s="8"/>
      <c r="B2485" s="8"/>
      <c r="C2485" s="8"/>
      <c r="D2485" s="8"/>
      <c r="E2485" s="8"/>
      <c r="F2485" s="8"/>
      <c r="G2485" s="8"/>
      <c r="H2485" s="8"/>
      <c r="I2485" s="8"/>
      <c r="J2485" s="8"/>
      <c r="K2485" s="8"/>
      <c r="L2485" s="8"/>
      <c r="M2485" s="8"/>
      <c r="N2485" s="8"/>
      <c r="O2485" s="8"/>
      <c r="P2485" s="8"/>
      <c r="Q2485" s="8"/>
      <c r="R2485" s="8"/>
      <c r="S2485" s="8"/>
      <c r="T2485" s="8"/>
      <c r="U2485" s="8"/>
      <c r="V2485" s="8"/>
      <c r="W2485" s="8"/>
      <c r="X2485" s="8"/>
      <c r="Y2485" s="8"/>
    </row>
    <row r="2486">
      <c r="A2486" s="8"/>
      <c r="B2486" s="8"/>
      <c r="C2486" s="8"/>
      <c r="D2486" s="8"/>
      <c r="E2486" s="8"/>
      <c r="F2486" s="8"/>
      <c r="G2486" s="8"/>
      <c r="H2486" s="8"/>
      <c r="I2486" s="8"/>
      <c r="J2486" s="8"/>
      <c r="K2486" s="8"/>
      <c r="L2486" s="8"/>
      <c r="M2486" s="8"/>
      <c r="N2486" s="8"/>
      <c r="O2486" s="8"/>
      <c r="P2486" s="8"/>
      <c r="Q2486" s="8"/>
      <c r="R2486" s="8"/>
      <c r="S2486" s="8"/>
      <c r="T2486" s="8"/>
      <c r="U2486" s="8"/>
      <c r="V2486" s="8"/>
      <c r="W2486" s="8"/>
      <c r="X2486" s="8"/>
      <c r="Y2486" s="8"/>
    </row>
    <row r="2487">
      <c r="A2487" s="8"/>
      <c r="B2487" s="8"/>
      <c r="C2487" s="8"/>
      <c r="D2487" s="8"/>
      <c r="E2487" s="8"/>
      <c r="F2487" s="8"/>
      <c r="G2487" s="8"/>
      <c r="H2487" s="8"/>
      <c r="I2487" s="8"/>
      <c r="J2487" s="8"/>
      <c r="K2487" s="8"/>
      <c r="L2487" s="8"/>
      <c r="M2487" s="8"/>
      <c r="N2487" s="8"/>
      <c r="O2487" s="8"/>
      <c r="P2487" s="8"/>
      <c r="Q2487" s="8"/>
      <c r="R2487" s="8"/>
      <c r="S2487" s="8"/>
      <c r="T2487" s="8"/>
      <c r="U2487" s="8"/>
      <c r="V2487" s="8"/>
      <c r="W2487" s="8"/>
      <c r="X2487" s="8"/>
      <c r="Y2487" s="8"/>
    </row>
    <row r="2488">
      <c r="A2488" s="8"/>
      <c r="B2488" s="8"/>
      <c r="C2488" s="8"/>
      <c r="D2488" s="8"/>
      <c r="E2488" s="8"/>
      <c r="F2488" s="8"/>
      <c r="G2488" s="8"/>
      <c r="H2488" s="8"/>
      <c r="I2488" s="8"/>
      <c r="J2488" s="8"/>
      <c r="K2488" s="8"/>
      <c r="L2488" s="8"/>
      <c r="M2488" s="8"/>
      <c r="N2488" s="8"/>
      <c r="O2488" s="8"/>
      <c r="P2488" s="8"/>
      <c r="Q2488" s="8"/>
      <c r="R2488" s="8"/>
      <c r="S2488" s="8"/>
      <c r="T2488" s="8"/>
      <c r="U2488" s="8"/>
      <c r="V2488" s="8"/>
      <c r="W2488" s="8"/>
      <c r="X2488" s="8"/>
      <c r="Y2488" s="8"/>
    </row>
    <row r="2489">
      <c r="A2489" s="8"/>
      <c r="B2489" s="8"/>
      <c r="C2489" s="8"/>
      <c r="D2489" s="8"/>
      <c r="E2489" s="8"/>
      <c r="F2489" s="8"/>
      <c r="G2489" s="8"/>
      <c r="H2489" s="8"/>
      <c r="I2489" s="8"/>
      <c r="J2489" s="8"/>
      <c r="K2489" s="8"/>
      <c r="L2489" s="8"/>
      <c r="M2489" s="8"/>
      <c r="N2489" s="8"/>
      <c r="O2489" s="8"/>
      <c r="P2489" s="8"/>
      <c r="Q2489" s="8"/>
      <c r="R2489" s="8"/>
      <c r="S2489" s="8"/>
      <c r="T2489" s="8"/>
      <c r="U2489" s="8"/>
      <c r="V2489" s="8"/>
      <c r="W2489" s="8"/>
      <c r="X2489" s="8"/>
      <c r="Y2489" s="8"/>
    </row>
    <row r="2490">
      <c r="A2490" s="8"/>
      <c r="B2490" s="8"/>
      <c r="C2490" s="8"/>
      <c r="D2490" s="8"/>
      <c r="E2490" s="8"/>
      <c r="F2490" s="8"/>
      <c r="G2490" s="8"/>
      <c r="H2490" s="8"/>
      <c r="I2490" s="8"/>
      <c r="J2490" s="8"/>
      <c r="K2490" s="8"/>
      <c r="L2490" s="8"/>
      <c r="M2490" s="8"/>
      <c r="N2490" s="8"/>
      <c r="O2490" s="8"/>
      <c r="P2490" s="8"/>
      <c r="Q2490" s="8"/>
      <c r="R2490" s="8"/>
      <c r="S2490" s="8"/>
      <c r="T2490" s="8"/>
      <c r="U2490" s="8"/>
      <c r="V2490" s="8"/>
      <c r="W2490" s="8"/>
      <c r="X2490" s="8"/>
      <c r="Y2490" s="8"/>
    </row>
    <row r="2491">
      <c r="A2491" s="8"/>
      <c r="B2491" s="8"/>
      <c r="C2491" s="8"/>
      <c r="D2491" s="8"/>
      <c r="E2491" s="8"/>
      <c r="F2491" s="8"/>
      <c r="G2491" s="8"/>
      <c r="H2491" s="8"/>
      <c r="I2491" s="8"/>
      <c r="J2491" s="8"/>
      <c r="K2491" s="8"/>
      <c r="L2491" s="8"/>
      <c r="M2491" s="8"/>
      <c r="N2491" s="8"/>
      <c r="O2491" s="8"/>
      <c r="P2491" s="8"/>
      <c r="Q2491" s="8"/>
      <c r="R2491" s="8"/>
      <c r="S2491" s="8"/>
      <c r="T2491" s="8"/>
      <c r="U2491" s="8"/>
      <c r="V2491" s="8"/>
      <c r="W2491" s="8"/>
      <c r="X2491" s="8"/>
      <c r="Y2491" s="8"/>
    </row>
    <row r="2492">
      <c r="A2492" s="8"/>
      <c r="B2492" s="8"/>
      <c r="C2492" s="8"/>
      <c r="D2492" s="8"/>
      <c r="E2492" s="8"/>
      <c r="F2492" s="8"/>
      <c r="G2492" s="8"/>
      <c r="H2492" s="8"/>
      <c r="I2492" s="8"/>
      <c r="J2492" s="8"/>
      <c r="K2492" s="8"/>
      <c r="L2492" s="8"/>
      <c r="M2492" s="8"/>
      <c r="N2492" s="8"/>
      <c r="O2492" s="8"/>
      <c r="P2492" s="8"/>
      <c r="Q2492" s="8"/>
      <c r="R2492" s="8"/>
      <c r="S2492" s="8"/>
      <c r="T2492" s="8"/>
      <c r="U2492" s="8"/>
      <c r="V2492" s="8"/>
      <c r="W2492" s="8"/>
      <c r="X2492" s="8"/>
      <c r="Y2492" s="8"/>
    </row>
    <row r="2493">
      <c r="A2493" s="8"/>
      <c r="B2493" s="8"/>
      <c r="C2493" s="8"/>
      <c r="D2493" s="8"/>
      <c r="E2493" s="8"/>
      <c r="F2493" s="8"/>
      <c r="G2493" s="8"/>
      <c r="H2493" s="8"/>
      <c r="I2493" s="8"/>
      <c r="J2493" s="8"/>
      <c r="K2493" s="8"/>
      <c r="L2493" s="8"/>
      <c r="M2493" s="8"/>
      <c r="N2493" s="8"/>
      <c r="O2493" s="8"/>
      <c r="P2493" s="8"/>
      <c r="Q2493" s="8"/>
      <c r="R2493" s="8"/>
      <c r="S2493" s="8"/>
      <c r="T2493" s="8"/>
      <c r="U2493" s="8"/>
      <c r="V2493" s="8"/>
      <c r="W2493" s="8"/>
      <c r="X2493" s="8"/>
      <c r="Y2493" s="8"/>
    </row>
    <row r="2494">
      <c r="A2494" s="8"/>
      <c r="B2494" s="8"/>
      <c r="C2494" s="8"/>
      <c r="D2494" s="8"/>
      <c r="E2494" s="8"/>
      <c r="F2494" s="8"/>
      <c r="G2494" s="8"/>
      <c r="H2494" s="8"/>
      <c r="I2494" s="8"/>
      <c r="J2494" s="8"/>
      <c r="K2494" s="8"/>
      <c r="L2494" s="8"/>
      <c r="M2494" s="8"/>
      <c r="N2494" s="8"/>
      <c r="O2494" s="8"/>
      <c r="P2494" s="8"/>
      <c r="Q2494" s="8"/>
      <c r="R2494" s="8"/>
      <c r="S2494" s="8"/>
      <c r="T2494" s="8"/>
      <c r="U2494" s="8"/>
      <c r="V2494" s="8"/>
      <c r="W2494" s="8"/>
      <c r="X2494" s="8"/>
      <c r="Y2494" s="8"/>
    </row>
    <row r="2495">
      <c r="A2495" s="8"/>
      <c r="B2495" s="8"/>
      <c r="C2495" s="8"/>
      <c r="D2495" s="8"/>
      <c r="E2495" s="8"/>
      <c r="F2495" s="8"/>
      <c r="G2495" s="8"/>
      <c r="H2495" s="8"/>
      <c r="I2495" s="8"/>
      <c r="J2495" s="8"/>
      <c r="K2495" s="8"/>
      <c r="L2495" s="8"/>
      <c r="M2495" s="8"/>
      <c r="N2495" s="8"/>
      <c r="O2495" s="8"/>
      <c r="P2495" s="8"/>
      <c r="Q2495" s="8"/>
      <c r="R2495" s="8"/>
      <c r="S2495" s="8"/>
      <c r="T2495" s="8"/>
      <c r="U2495" s="8"/>
      <c r="V2495" s="8"/>
      <c r="W2495" s="8"/>
      <c r="X2495" s="8"/>
      <c r="Y2495" s="8"/>
    </row>
    <row r="2496">
      <c r="A2496" s="8"/>
      <c r="B2496" s="8"/>
      <c r="C2496" s="8"/>
      <c r="D2496" s="8"/>
      <c r="E2496" s="8"/>
      <c r="F2496" s="8"/>
      <c r="G2496" s="8"/>
      <c r="H2496" s="8"/>
      <c r="I2496" s="8"/>
      <c r="J2496" s="8"/>
      <c r="K2496" s="8"/>
      <c r="L2496" s="8"/>
      <c r="M2496" s="8"/>
      <c r="N2496" s="8"/>
      <c r="O2496" s="8"/>
      <c r="P2496" s="8"/>
      <c r="Q2496" s="8"/>
      <c r="R2496" s="8"/>
      <c r="S2496" s="8"/>
      <c r="T2496" s="8"/>
      <c r="U2496" s="8"/>
      <c r="V2496" s="8"/>
      <c r="W2496" s="8"/>
      <c r="X2496" s="8"/>
      <c r="Y2496" s="8"/>
    </row>
    <row r="2497">
      <c r="A2497" s="8"/>
      <c r="B2497" s="8"/>
      <c r="C2497" s="8"/>
      <c r="D2497" s="8"/>
      <c r="E2497" s="8"/>
      <c r="F2497" s="8"/>
      <c r="G2497" s="8"/>
      <c r="H2497" s="8"/>
      <c r="I2497" s="8"/>
      <c r="J2497" s="8"/>
      <c r="K2497" s="8"/>
      <c r="L2497" s="8"/>
      <c r="M2497" s="8"/>
      <c r="N2497" s="8"/>
      <c r="O2497" s="8"/>
      <c r="P2497" s="8"/>
      <c r="Q2497" s="8"/>
      <c r="R2497" s="8"/>
      <c r="S2497" s="8"/>
      <c r="T2497" s="8"/>
      <c r="U2497" s="8"/>
      <c r="V2497" s="8"/>
      <c r="W2497" s="8"/>
      <c r="X2497" s="8"/>
      <c r="Y2497" s="8"/>
    </row>
    <row r="2498">
      <c r="A2498" s="8"/>
      <c r="B2498" s="8"/>
      <c r="C2498" s="8"/>
      <c r="D2498" s="8"/>
      <c r="E2498" s="8"/>
      <c r="F2498" s="8"/>
      <c r="G2498" s="8"/>
      <c r="H2498" s="8"/>
      <c r="I2498" s="8"/>
      <c r="J2498" s="8"/>
      <c r="K2498" s="8"/>
      <c r="L2498" s="8"/>
      <c r="M2498" s="8"/>
      <c r="N2498" s="8"/>
      <c r="O2498" s="8"/>
      <c r="P2498" s="8"/>
      <c r="Q2498" s="8"/>
      <c r="R2498" s="8"/>
      <c r="S2498" s="8"/>
      <c r="T2498" s="8"/>
      <c r="U2498" s="8"/>
      <c r="V2498" s="8"/>
      <c r="W2498" s="8"/>
      <c r="X2498" s="8"/>
      <c r="Y2498" s="8"/>
    </row>
    <row r="2499">
      <c r="A2499" s="8"/>
      <c r="B2499" s="8"/>
      <c r="C2499" s="8"/>
      <c r="D2499" s="8"/>
      <c r="E2499" s="8"/>
      <c r="F2499" s="8"/>
      <c r="G2499" s="8"/>
      <c r="H2499" s="8"/>
      <c r="I2499" s="8"/>
      <c r="J2499" s="8"/>
      <c r="K2499" s="8"/>
      <c r="L2499" s="8"/>
      <c r="M2499" s="8"/>
      <c r="N2499" s="8"/>
      <c r="O2499" s="8"/>
      <c r="P2499" s="8"/>
      <c r="Q2499" s="8"/>
      <c r="R2499" s="8"/>
      <c r="S2499" s="8"/>
      <c r="T2499" s="8"/>
      <c r="U2499" s="8"/>
      <c r="V2499" s="8"/>
      <c r="W2499" s="8"/>
      <c r="X2499" s="8"/>
      <c r="Y2499" s="8"/>
    </row>
    <row r="2500">
      <c r="A2500" s="8"/>
      <c r="B2500" s="8"/>
      <c r="C2500" s="8"/>
      <c r="D2500" s="8"/>
      <c r="E2500" s="8"/>
      <c r="F2500" s="8"/>
      <c r="G2500" s="8"/>
      <c r="H2500" s="8"/>
      <c r="I2500" s="8"/>
      <c r="J2500" s="8"/>
      <c r="K2500" s="8"/>
      <c r="L2500" s="8"/>
      <c r="M2500" s="8"/>
      <c r="N2500" s="8"/>
      <c r="O2500" s="8"/>
      <c r="P2500" s="8"/>
      <c r="Q2500" s="8"/>
      <c r="R2500" s="8"/>
      <c r="S2500" s="8"/>
      <c r="T2500" s="8"/>
      <c r="U2500" s="8"/>
      <c r="V2500" s="8"/>
      <c r="W2500" s="8"/>
      <c r="X2500" s="8"/>
      <c r="Y2500" s="8"/>
    </row>
    <row r="2501">
      <c r="A2501" s="8"/>
      <c r="B2501" s="8"/>
      <c r="C2501" s="8"/>
      <c r="D2501" s="8"/>
      <c r="E2501" s="8"/>
      <c r="F2501" s="8"/>
      <c r="G2501" s="8"/>
      <c r="H2501" s="8"/>
      <c r="I2501" s="8"/>
      <c r="J2501" s="8"/>
      <c r="K2501" s="8"/>
      <c r="L2501" s="8"/>
      <c r="M2501" s="8"/>
      <c r="N2501" s="8"/>
      <c r="O2501" s="8"/>
      <c r="P2501" s="8"/>
      <c r="Q2501" s="8"/>
      <c r="R2501" s="8"/>
      <c r="S2501" s="8"/>
      <c r="T2501" s="8"/>
      <c r="U2501" s="8"/>
      <c r="V2501" s="8"/>
      <c r="W2501" s="8"/>
      <c r="X2501" s="8"/>
      <c r="Y2501" s="8"/>
    </row>
    <row r="2502">
      <c r="A2502" s="8"/>
      <c r="B2502" s="8"/>
      <c r="C2502" s="8"/>
      <c r="D2502" s="8"/>
      <c r="E2502" s="8"/>
      <c r="F2502" s="8"/>
      <c r="G2502" s="8"/>
      <c r="H2502" s="8"/>
      <c r="I2502" s="8"/>
      <c r="J2502" s="8"/>
      <c r="K2502" s="8"/>
      <c r="L2502" s="8"/>
      <c r="M2502" s="8"/>
      <c r="N2502" s="8"/>
      <c r="O2502" s="8"/>
      <c r="P2502" s="8"/>
      <c r="Q2502" s="8"/>
      <c r="R2502" s="8"/>
      <c r="S2502" s="8"/>
      <c r="T2502" s="8"/>
      <c r="U2502" s="8"/>
      <c r="V2502" s="8"/>
      <c r="W2502" s="8"/>
      <c r="X2502" s="8"/>
      <c r="Y2502" s="8"/>
    </row>
    <row r="2503">
      <c r="A2503" s="8"/>
      <c r="B2503" s="8"/>
      <c r="C2503" s="8"/>
      <c r="D2503" s="8"/>
      <c r="E2503" s="8"/>
      <c r="F2503" s="8"/>
      <c r="G2503" s="8"/>
      <c r="H2503" s="8"/>
      <c r="I2503" s="8"/>
      <c r="J2503" s="8"/>
      <c r="K2503" s="8"/>
      <c r="L2503" s="8"/>
      <c r="M2503" s="8"/>
      <c r="N2503" s="8"/>
      <c r="O2503" s="8"/>
      <c r="P2503" s="8"/>
      <c r="Q2503" s="8"/>
      <c r="R2503" s="8"/>
      <c r="S2503" s="8"/>
      <c r="T2503" s="8"/>
      <c r="U2503" s="8"/>
      <c r="V2503" s="8"/>
      <c r="W2503" s="8"/>
      <c r="X2503" s="8"/>
      <c r="Y2503" s="8"/>
    </row>
    <row r="2504">
      <c r="A2504" s="8"/>
      <c r="B2504" s="8"/>
      <c r="C2504" s="8"/>
      <c r="D2504" s="8"/>
      <c r="E2504" s="8"/>
      <c r="F2504" s="8"/>
      <c r="G2504" s="8"/>
      <c r="H2504" s="8"/>
      <c r="I2504" s="8"/>
      <c r="J2504" s="8"/>
      <c r="K2504" s="8"/>
      <c r="L2504" s="8"/>
      <c r="M2504" s="8"/>
      <c r="N2504" s="8"/>
      <c r="O2504" s="8"/>
      <c r="P2504" s="8"/>
      <c r="Q2504" s="8"/>
      <c r="R2504" s="8"/>
      <c r="S2504" s="8"/>
      <c r="T2504" s="8"/>
      <c r="U2504" s="8"/>
      <c r="V2504" s="8"/>
      <c r="W2504" s="8"/>
      <c r="X2504" s="8"/>
      <c r="Y2504" s="8"/>
    </row>
    <row r="2505">
      <c r="A2505" s="8"/>
      <c r="B2505" s="8"/>
      <c r="C2505" s="8"/>
      <c r="D2505" s="8"/>
      <c r="E2505" s="8"/>
      <c r="F2505" s="8"/>
      <c r="G2505" s="8"/>
      <c r="H2505" s="8"/>
      <c r="I2505" s="8"/>
      <c r="J2505" s="8"/>
      <c r="K2505" s="8"/>
      <c r="L2505" s="8"/>
      <c r="M2505" s="8"/>
      <c r="N2505" s="8"/>
      <c r="O2505" s="8"/>
      <c r="P2505" s="8"/>
      <c r="Q2505" s="8"/>
      <c r="R2505" s="8"/>
      <c r="S2505" s="8"/>
      <c r="T2505" s="8"/>
      <c r="U2505" s="8"/>
      <c r="V2505" s="8"/>
      <c r="W2505" s="8"/>
      <c r="X2505" s="8"/>
      <c r="Y2505" s="8"/>
    </row>
    <row r="2506">
      <c r="A2506" s="8"/>
      <c r="B2506" s="8"/>
      <c r="C2506" s="8"/>
      <c r="D2506" s="8"/>
      <c r="E2506" s="8"/>
      <c r="F2506" s="8"/>
      <c r="G2506" s="8"/>
      <c r="H2506" s="8"/>
      <c r="I2506" s="8"/>
      <c r="J2506" s="8"/>
      <c r="K2506" s="8"/>
      <c r="L2506" s="8"/>
      <c r="M2506" s="8"/>
      <c r="N2506" s="8"/>
      <c r="O2506" s="8"/>
      <c r="P2506" s="8"/>
      <c r="Q2506" s="8"/>
      <c r="R2506" s="8"/>
      <c r="S2506" s="8"/>
      <c r="T2506" s="8"/>
      <c r="U2506" s="8"/>
      <c r="V2506" s="8"/>
      <c r="W2506" s="8"/>
      <c r="X2506" s="8"/>
      <c r="Y2506" s="8"/>
    </row>
    <row r="2507">
      <c r="A2507" s="8"/>
      <c r="B2507" s="8"/>
      <c r="C2507" s="8"/>
      <c r="D2507" s="8"/>
      <c r="E2507" s="8"/>
      <c r="F2507" s="8"/>
      <c r="G2507" s="8"/>
      <c r="H2507" s="8"/>
      <c r="I2507" s="8"/>
      <c r="J2507" s="8"/>
      <c r="K2507" s="8"/>
      <c r="L2507" s="8"/>
      <c r="M2507" s="8"/>
      <c r="N2507" s="8"/>
      <c r="O2507" s="8"/>
      <c r="P2507" s="8"/>
      <c r="Q2507" s="8"/>
      <c r="R2507" s="8"/>
      <c r="S2507" s="8"/>
      <c r="T2507" s="8"/>
      <c r="U2507" s="8"/>
      <c r="V2507" s="8"/>
      <c r="W2507" s="8"/>
      <c r="X2507" s="8"/>
      <c r="Y2507" s="8"/>
    </row>
    <row r="2508">
      <c r="A2508" s="8"/>
      <c r="B2508" s="8"/>
      <c r="C2508" s="8"/>
      <c r="D2508" s="8"/>
      <c r="E2508" s="8"/>
      <c r="F2508" s="8"/>
      <c r="G2508" s="8"/>
      <c r="H2508" s="8"/>
      <c r="I2508" s="8"/>
      <c r="J2508" s="8"/>
      <c r="K2508" s="8"/>
      <c r="L2508" s="8"/>
      <c r="M2508" s="8"/>
      <c r="N2508" s="8"/>
      <c r="O2508" s="8"/>
      <c r="P2508" s="8"/>
      <c r="Q2508" s="8"/>
      <c r="R2508" s="8"/>
      <c r="S2508" s="8"/>
      <c r="T2508" s="8"/>
      <c r="U2508" s="8"/>
      <c r="V2508" s="8"/>
      <c r="W2508" s="8"/>
      <c r="X2508" s="8"/>
      <c r="Y2508" s="8"/>
    </row>
    <row r="2509">
      <c r="A2509" s="8"/>
      <c r="B2509" s="8"/>
      <c r="C2509" s="8"/>
      <c r="D2509" s="8"/>
      <c r="E2509" s="8"/>
      <c r="F2509" s="8"/>
      <c r="G2509" s="8"/>
      <c r="H2509" s="8"/>
      <c r="I2509" s="8"/>
      <c r="J2509" s="8"/>
      <c r="K2509" s="8"/>
      <c r="L2509" s="8"/>
      <c r="M2509" s="8"/>
      <c r="N2509" s="8"/>
      <c r="O2509" s="8"/>
      <c r="P2509" s="8"/>
      <c r="Q2509" s="8"/>
      <c r="R2509" s="8"/>
      <c r="S2509" s="8"/>
      <c r="T2509" s="8"/>
      <c r="U2509" s="8"/>
      <c r="V2509" s="8"/>
      <c r="W2509" s="8"/>
      <c r="X2509" s="8"/>
      <c r="Y2509" s="8"/>
    </row>
    <row r="2510">
      <c r="A2510" s="8"/>
      <c r="B2510" s="8"/>
      <c r="C2510" s="8"/>
      <c r="D2510" s="8"/>
      <c r="E2510" s="8"/>
      <c r="F2510" s="8"/>
      <c r="G2510" s="8"/>
      <c r="H2510" s="8"/>
      <c r="I2510" s="8"/>
      <c r="J2510" s="8"/>
      <c r="K2510" s="8"/>
      <c r="L2510" s="8"/>
      <c r="M2510" s="8"/>
      <c r="N2510" s="8"/>
      <c r="O2510" s="8"/>
      <c r="P2510" s="8"/>
      <c r="Q2510" s="8"/>
      <c r="R2510" s="8"/>
      <c r="S2510" s="8"/>
      <c r="T2510" s="8"/>
      <c r="U2510" s="8"/>
      <c r="V2510" s="8"/>
      <c r="W2510" s="8"/>
      <c r="X2510" s="8"/>
      <c r="Y2510" s="8"/>
    </row>
    <row r="2511">
      <c r="A2511" s="8"/>
      <c r="B2511" s="8"/>
      <c r="C2511" s="8"/>
      <c r="D2511" s="8"/>
      <c r="E2511" s="8"/>
      <c r="F2511" s="8"/>
      <c r="G2511" s="8"/>
      <c r="H2511" s="8"/>
      <c r="I2511" s="8"/>
      <c r="J2511" s="8"/>
      <c r="K2511" s="8"/>
      <c r="L2511" s="8"/>
      <c r="M2511" s="8"/>
      <c r="N2511" s="8"/>
      <c r="O2511" s="8"/>
      <c r="P2511" s="8"/>
      <c r="Q2511" s="8"/>
      <c r="R2511" s="8"/>
      <c r="S2511" s="8"/>
      <c r="T2511" s="8"/>
      <c r="U2511" s="8"/>
      <c r="V2511" s="8"/>
      <c r="W2511" s="8"/>
      <c r="X2511" s="8"/>
      <c r="Y2511" s="8"/>
    </row>
    <row r="2512">
      <c r="A2512" s="8"/>
      <c r="B2512" s="8"/>
      <c r="C2512" s="8"/>
      <c r="D2512" s="8"/>
      <c r="E2512" s="8"/>
      <c r="F2512" s="8"/>
      <c r="G2512" s="8"/>
      <c r="H2512" s="8"/>
      <c r="I2512" s="8"/>
      <c r="J2512" s="8"/>
      <c r="K2512" s="8"/>
      <c r="L2512" s="8"/>
      <c r="M2512" s="8"/>
      <c r="N2512" s="8"/>
      <c r="O2512" s="8"/>
      <c r="P2512" s="8"/>
      <c r="Q2512" s="8"/>
      <c r="R2512" s="8"/>
      <c r="S2512" s="8"/>
      <c r="T2512" s="8"/>
      <c r="U2512" s="8"/>
      <c r="V2512" s="8"/>
      <c r="W2512" s="8"/>
      <c r="X2512" s="8"/>
      <c r="Y2512" s="8"/>
    </row>
    <row r="2513">
      <c r="A2513" s="8"/>
      <c r="B2513" s="8"/>
      <c r="C2513" s="8"/>
      <c r="D2513" s="8"/>
      <c r="E2513" s="8"/>
      <c r="F2513" s="8"/>
      <c r="G2513" s="8"/>
      <c r="H2513" s="8"/>
      <c r="I2513" s="8"/>
      <c r="J2513" s="8"/>
      <c r="K2513" s="8"/>
      <c r="L2513" s="8"/>
      <c r="M2513" s="8"/>
      <c r="N2513" s="8"/>
      <c r="O2513" s="8"/>
      <c r="P2513" s="8"/>
      <c r="Q2513" s="8"/>
      <c r="R2513" s="8"/>
      <c r="S2513" s="8"/>
      <c r="T2513" s="8"/>
      <c r="U2513" s="8"/>
      <c r="V2513" s="8"/>
      <c r="W2513" s="8"/>
      <c r="X2513" s="8"/>
      <c r="Y2513" s="8"/>
    </row>
    <row r="2514">
      <c r="A2514" s="8"/>
      <c r="B2514" s="8"/>
      <c r="C2514" s="8"/>
      <c r="D2514" s="8"/>
      <c r="E2514" s="8"/>
      <c r="F2514" s="8"/>
      <c r="G2514" s="8"/>
      <c r="H2514" s="8"/>
      <c r="I2514" s="8"/>
      <c r="J2514" s="8"/>
      <c r="K2514" s="8"/>
      <c r="L2514" s="8"/>
      <c r="M2514" s="8"/>
      <c r="N2514" s="8"/>
      <c r="O2514" s="8"/>
      <c r="P2514" s="8"/>
      <c r="Q2514" s="8"/>
      <c r="R2514" s="8"/>
      <c r="S2514" s="8"/>
      <c r="T2514" s="8"/>
      <c r="U2514" s="8"/>
      <c r="V2514" s="8"/>
      <c r="W2514" s="8"/>
      <c r="X2514" s="8"/>
      <c r="Y2514" s="8"/>
    </row>
    <row r="2515">
      <c r="A2515" s="8"/>
      <c r="B2515" s="8"/>
      <c r="C2515" s="8"/>
      <c r="D2515" s="8"/>
      <c r="E2515" s="8"/>
      <c r="F2515" s="8"/>
      <c r="G2515" s="8"/>
      <c r="H2515" s="8"/>
      <c r="I2515" s="8"/>
      <c r="J2515" s="8"/>
      <c r="K2515" s="8"/>
      <c r="L2515" s="8"/>
      <c r="M2515" s="8"/>
      <c r="N2515" s="8"/>
      <c r="O2515" s="8"/>
      <c r="P2515" s="8"/>
      <c r="Q2515" s="8"/>
      <c r="R2515" s="8"/>
      <c r="S2515" s="8"/>
      <c r="T2515" s="8"/>
      <c r="U2515" s="8"/>
      <c r="V2515" s="8"/>
      <c r="W2515" s="8"/>
      <c r="X2515" s="8"/>
      <c r="Y2515" s="8"/>
    </row>
    <row r="2516">
      <c r="A2516" s="8"/>
      <c r="B2516" s="8"/>
      <c r="C2516" s="8"/>
      <c r="D2516" s="8"/>
      <c r="E2516" s="8"/>
      <c r="F2516" s="8"/>
      <c r="G2516" s="8"/>
      <c r="H2516" s="8"/>
      <c r="I2516" s="8"/>
      <c r="J2516" s="8"/>
      <c r="K2516" s="8"/>
      <c r="L2516" s="8"/>
      <c r="M2516" s="8"/>
      <c r="N2516" s="8"/>
      <c r="O2516" s="8"/>
      <c r="P2516" s="8"/>
      <c r="Q2516" s="8"/>
      <c r="R2516" s="8"/>
      <c r="S2516" s="8"/>
      <c r="T2516" s="8"/>
      <c r="U2516" s="8"/>
      <c r="V2516" s="8"/>
      <c r="W2516" s="8"/>
      <c r="X2516" s="8"/>
      <c r="Y2516" s="8"/>
    </row>
    <row r="2517">
      <c r="A2517" s="8"/>
      <c r="B2517" s="8"/>
      <c r="C2517" s="8"/>
      <c r="D2517" s="8"/>
      <c r="E2517" s="8"/>
      <c r="F2517" s="8"/>
      <c r="G2517" s="8"/>
      <c r="H2517" s="8"/>
      <c r="I2517" s="8"/>
      <c r="J2517" s="8"/>
      <c r="K2517" s="8"/>
      <c r="L2517" s="8"/>
      <c r="M2517" s="8"/>
      <c r="N2517" s="8"/>
      <c r="O2517" s="8"/>
      <c r="P2517" s="8"/>
      <c r="Q2517" s="8"/>
      <c r="R2517" s="8"/>
      <c r="S2517" s="8"/>
      <c r="T2517" s="8"/>
      <c r="U2517" s="8"/>
      <c r="V2517" s="8"/>
      <c r="W2517" s="8"/>
      <c r="X2517" s="8"/>
      <c r="Y2517" s="8"/>
    </row>
    <row r="2518">
      <c r="A2518" s="8"/>
      <c r="B2518" s="8"/>
      <c r="C2518" s="8"/>
      <c r="D2518" s="8"/>
      <c r="E2518" s="8"/>
      <c r="F2518" s="8"/>
      <c r="G2518" s="8"/>
      <c r="H2518" s="8"/>
      <c r="I2518" s="8"/>
      <c r="J2518" s="8"/>
      <c r="K2518" s="8"/>
      <c r="L2518" s="8"/>
      <c r="M2518" s="8"/>
      <c r="N2518" s="8"/>
      <c r="O2518" s="8"/>
      <c r="P2518" s="8"/>
      <c r="Q2518" s="8"/>
      <c r="R2518" s="8"/>
      <c r="S2518" s="8"/>
      <c r="T2518" s="8"/>
      <c r="U2518" s="8"/>
      <c r="V2518" s="8"/>
      <c r="W2518" s="8"/>
      <c r="X2518" s="8"/>
      <c r="Y2518" s="8"/>
    </row>
    <row r="2519">
      <c r="A2519" s="8"/>
      <c r="B2519" s="8"/>
      <c r="C2519" s="8"/>
      <c r="D2519" s="8"/>
      <c r="E2519" s="8"/>
      <c r="F2519" s="8"/>
      <c r="G2519" s="8"/>
      <c r="H2519" s="8"/>
      <c r="I2519" s="8"/>
      <c r="J2519" s="8"/>
      <c r="K2519" s="8"/>
      <c r="L2519" s="8"/>
      <c r="M2519" s="8"/>
      <c r="N2519" s="8"/>
      <c r="O2519" s="8"/>
      <c r="P2519" s="8"/>
      <c r="Q2519" s="8"/>
      <c r="R2519" s="8"/>
      <c r="S2519" s="8"/>
      <c r="T2519" s="8"/>
      <c r="U2519" s="8"/>
      <c r="V2519" s="8"/>
      <c r="W2519" s="8"/>
      <c r="X2519" s="8"/>
      <c r="Y2519" s="8"/>
    </row>
    <row r="2520">
      <c r="A2520" s="8"/>
      <c r="B2520" s="8"/>
      <c r="C2520" s="8"/>
      <c r="D2520" s="8"/>
      <c r="E2520" s="8"/>
      <c r="F2520" s="8"/>
      <c r="G2520" s="8"/>
      <c r="H2520" s="8"/>
      <c r="I2520" s="8"/>
      <c r="J2520" s="8"/>
      <c r="K2520" s="8"/>
      <c r="L2520" s="8"/>
      <c r="M2520" s="8"/>
      <c r="N2520" s="8"/>
      <c r="O2520" s="8"/>
      <c r="P2520" s="8"/>
      <c r="Q2520" s="8"/>
      <c r="R2520" s="8"/>
      <c r="S2520" s="8"/>
      <c r="T2520" s="8"/>
      <c r="U2520" s="8"/>
      <c r="V2520" s="8"/>
      <c r="W2520" s="8"/>
      <c r="X2520" s="8"/>
      <c r="Y2520" s="8"/>
    </row>
    <row r="2521">
      <c r="A2521" s="8"/>
      <c r="B2521" s="8"/>
      <c r="C2521" s="8"/>
      <c r="D2521" s="8"/>
      <c r="E2521" s="8"/>
      <c r="F2521" s="8"/>
      <c r="G2521" s="8"/>
      <c r="H2521" s="8"/>
      <c r="I2521" s="8"/>
      <c r="J2521" s="8"/>
      <c r="K2521" s="8"/>
      <c r="L2521" s="8"/>
      <c r="M2521" s="8"/>
      <c r="N2521" s="8"/>
      <c r="O2521" s="8"/>
      <c r="P2521" s="8"/>
      <c r="Q2521" s="8"/>
      <c r="R2521" s="8"/>
      <c r="S2521" s="8"/>
      <c r="T2521" s="8"/>
      <c r="U2521" s="8"/>
      <c r="V2521" s="8"/>
      <c r="W2521" s="8"/>
      <c r="X2521" s="8"/>
      <c r="Y2521" s="8"/>
    </row>
    <row r="2522">
      <c r="A2522" s="8"/>
      <c r="B2522" s="8"/>
      <c r="C2522" s="8"/>
      <c r="D2522" s="8"/>
      <c r="E2522" s="8"/>
      <c r="F2522" s="8"/>
      <c r="G2522" s="8"/>
      <c r="H2522" s="8"/>
      <c r="I2522" s="8"/>
      <c r="J2522" s="8"/>
      <c r="K2522" s="8"/>
      <c r="L2522" s="8"/>
      <c r="M2522" s="8"/>
      <c r="N2522" s="8"/>
      <c r="O2522" s="8"/>
      <c r="P2522" s="8"/>
      <c r="Q2522" s="8"/>
      <c r="R2522" s="8"/>
      <c r="S2522" s="8"/>
      <c r="T2522" s="8"/>
      <c r="U2522" s="8"/>
      <c r="V2522" s="8"/>
      <c r="W2522" s="8"/>
      <c r="X2522" s="8"/>
      <c r="Y2522" s="8"/>
    </row>
    <row r="2523">
      <c r="A2523" s="8"/>
      <c r="B2523" s="8"/>
      <c r="C2523" s="8"/>
      <c r="D2523" s="8"/>
      <c r="E2523" s="8"/>
      <c r="F2523" s="8"/>
      <c r="G2523" s="8"/>
      <c r="H2523" s="8"/>
      <c r="I2523" s="8"/>
      <c r="J2523" s="8"/>
      <c r="K2523" s="8"/>
      <c r="L2523" s="8"/>
      <c r="M2523" s="8"/>
      <c r="N2523" s="8"/>
      <c r="O2523" s="8"/>
      <c r="P2523" s="8"/>
      <c r="Q2523" s="8"/>
      <c r="R2523" s="8"/>
      <c r="S2523" s="8"/>
      <c r="T2523" s="8"/>
      <c r="U2523" s="8"/>
      <c r="V2523" s="8"/>
      <c r="W2523" s="8"/>
      <c r="X2523" s="8"/>
      <c r="Y2523" s="8"/>
    </row>
    <row r="2524">
      <c r="A2524" s="8"/>
      <c r="B2524" s="8"/>
      <c r="C2524" s="8"/>
      <c r="D2524" s="8"/>
      <c r="E2524" s="8"/>
      <c r="F2524" s="8"/>
      <c r="G2524" s="8"/>
      <c r="H2524" s="8"/>
      <c r="I2524" s="8"/>
      <c r="J2524" s="8"/>
      <c r="K2524" s="8"/>
      <c r="L2524" s="8"/>
      <c r="M2524" s="8"/>
      <c r="N2524" s="8"/>
      <c r="O2524" s="8"/>
      <c r="P2524" s="8"/>
      <c r="Q2524" s="8"/>
      <c r="R2524" s="8"/>
      <c r="S2524" s="8"/>
      <c r="T2524" s="8"/>
      <c r="U2524" s="8"/>
      <c r="V2524" s="8"/>
      <c r="W2524" s="8"/>
      <c r="X2524" s="8"/>
      <c r="Y2524" s="8"/>
    </row>
    <row r="2525">
      <c r="A2525" s="8"/>
      <c r="B2525" s="8"/>
      <c r="C2525" s="8"/>
      <c r="D2525" s="8"/>
      <c r="E2525" s="8"/>
      <c r="F2525" s="8"/>
      <c r="G2525" s="8"/>
      <c r="H2525" s="8"/>
      <c r="I2525" s="8"/>
      <c r="J2525" s="8"/>
      <c r="K2525" s="8"/>
      <c r="L2525" s="8"/>
      <c r="M2525" s="8"/>
      <c r="N2525" s="8"/>
      <c r="O2525" s="8"/>
      <c r="P2525" s="8"/>
      <c r="Q2525" s="8"/>
      <c r="R2525" s="8"/>
      <c r="S2525" s="8"/>
      <c r="T2525" s="8"/>
      <c r="U2525" s="8"/>
      <c r="V2525" s="8"/>
      <c r="W2525" s="8"/>
      <c r="X2525" s="8"/>
      <c r="Y2525" s="8"/>
    </row>
    <row r="2526">
      <c r="A2526" s="8"/>
      <c r="B2526" s="8"/>
      <c r="C2526" s="8"/>
      <c r="D2526" s="8"/>
      <c r="E2526" s="8"/>
      <c r="F2526" s="8"/>
      <c r="G2526" s="8"/>
      <c r="H2526" s="8"/>
      <c r="I2526" s="8"/>
      <c r="J2526" s="8"/>
      <c r="K2526" s="8"/>
      <c r="L2526" s="8"/>
      <c r="M2526" s="8"/>
      <c r="N2526" s="8"/>
      <c r="O2526" s="8"/>
      <c r="P2526" s="8"/>
      <c r="Q2526" s="8"/>
      <c r="R2526" s="8"/>
      <c r="S2526" s="8"/>
      <c r="T2526" s="8"/>
      <c r="U2526" s="8"/>
      <c r="V2526" s="8"/>
      <c r="W2526" s="8"/>
      <c r="X2526" s="8"/>
      <c r="Y2526" s="8"/>
    </row>
    <row r="2527">
      <c r="A2527" s="8"/>
      <c r="B2527" s="8"/>
      <c r="C2527" s="8"/>
      <c r="D2527" s="8"/>
      <c r="E2527" s="8"/>
      <c r="F2527" s="8"/>
      <c r="G2527" s="8"/>
      <c r="H2527" s="8"/>
      <c r="I2527" s="8"/>
      <c r="J2527" s="8"/>
      <c r="K2527" s="8"/>
      <c r="L2527" s="8"/>
      <c r="M2527" s="8"/>
      <c r="N2527" s="8"/>
      <c r="O2527" s="8"/>
      <c r="P2527" s="8"/>
      <c r="Q2527" s="8"/>
      <c r="R2527" s="8"/>
      <c r="S2527" s="8"/>
      <c r="T2527" s="8"/>
      <c r="U2527" s="8"/>
      <c r="V2527" s="8"/>
      <c r="W2527" s="8"/>
      <c r="X2527" s="8"/>
      <c r="Y2527" s="8"/>
    </row>
    <row r="2528">
      <c r="A2528" s="8"/>
      <c r="B2528" s="8"/>
      <c r="C2528" s="8"/>
      <c r="D2528" s="8"/>
      <c r="E2528" s="8"/>
      <c r="F2528" s="8"/>
      <c r="G2528" s="8"/>
      <c r="H2528" s="8"/>
      <c r="I2528" s="8"/>
      <c r="J2528" s="8"/>
      <c r="K2528" s="8"/>
      <c r="L2528" s="8"/>
      <c r="M2528" s="8"/>
      <c r="N2528" s="8"/>
      <c r="O2528" s="8"/>
      <c r="P2528" s="8"/>
      <c r="Q2528" s="8"/>
      <c r="R2528" s="8"/>
      <c r="S2528" s="8"/>
      <c r="T2528" s="8"/>
      <c r="U2528" s="8"/>
      <c r="V2528" s="8"/>
      <c r="W2528" s="8"/>
      <c r="X2528" s="8"/>
      <c r="Y2528" s="8"/>
    </row>
    <row r="2529">
      <c r="A2529" s="8"/>
      <c r="B2529" s="8"/>
      <c r="C2529" s="8"/>
      <c r="D2529" s="8"/>
      <c r="E2529" s="8"/>
      <c r="F2529" s="8"/>
      <c r="G2529" s="8"/>
      <c r="H2529" s="8"/>
      <c r="I2529" s="8"/>
      <c r="J2529" s="8"/>
      <c r="K2529" s="8"/>
      <c r="L2529" s="8"/>
      <c r="M2529" s="8"/>
      <c r="N2529" s="8"/>
      <c r="O2529" s="8"/>
      <c r="P2529" s="8"/>
      <c r="Q2529" s="8"/>
      <c r="R2529" s="8"/>
      <c r="S2529" s="8"/>
      <c r="T2529" s="8"/>
      <c r="U2529" s="8"/>
      <c r="V2529" s="8"/>
      <c r="W2529" s="8"/>
      <c r="X2529" s="8"/>
      <c r="Y2529" s="8"/>
    </row>
    <row r="2530">
      <c r="A2530" s="8"/>
      <c r="B2530" s="8"/>
      <c r="C2530" s="8"/>
      <c r="D2530" s="8"/>
      <c r="E2530" s="8"/>
      <c r="F2530" s="8"/>
      <c r="G2530" s="8"/>
      <c r="H2530" s="8"/>
      <c r="I2530" s="8"/>
      <c r="J2530" s="8"/>
      <c r="K2530" s="8"/>
      <c r="L2530" s="8"/>
      <c r="M2530" s="8"/>
      <c r="N2530" s="8"/>
      <c r="O2530" s="8"/>
      <c r="P2530" s="8"/>
      <c r="Q2530" s="8"/>
      <c r="R2530" s="8"/>
      <c r="S2530" s="8"/>
      <c r="T2530" s="8"/>
      <c r="U2530" s="8"/>
      <c r="V2530" s="8"/>
      <c r="W2530" s="8"/>
      <c r="X2530" s="8"/>
      <c r="Y2530" s="8"/>
    </row>
    <row r="2531">
      <c r="A2531" s="8"/>
      <c r="B2531" s="8"/>
      <c r="C2531" s="8"/>
      <c r="D2531" s="8"/>
      <c r="E2531" s="8"/>
      <c r="F2531" s="8"/>
      <c r="G2531" s="8"/>
      <c r="H2531" s="8"/>
      <c r="I2531" s="8"/>
      <c r="J2531" s="8"/>
      <c r="K2531" s="8"/>
      <c r="L2531" s="8"/>
      <c r="M2531" s="8"/>
      <c r="N2531" s="8"/>
      <c r="O2531" s="8"/>
      <c r="P2531" s="8"/>
      <c r="Q2531" s="8"/>
      <c r="R2531" s="8"/>
      <c r="S2531" s="8"/>
      <c r="T2531" s="8"/>
      <c r="U2531" s="8"/>
      <c r="V2531" s="8"/>
      <c r="W2531" s="8"/>
      <c r="X2531" s="8"/>
      <c r="Y2531" s="8"/>
    </row>
    <row r="2532">
      <c r="A2532" s="8"/>
      <c r="B2532" s="8"/>
      <c r="C2532" s="8"/>
      <c r="D2532" s="8"/>
      <c r="E2532" s="8"/>
      <c r="F2532" s="8"/>
      <c r="G2532" s="8"/>
      <c r="H2532" s="8"/>
      <c r="I2532" s="8"/>
      <c r="J2532" s="8"/>
      <c r="K2532" s="8"/>
      <c r="L2532" s="8"/>
      <c r="M2532" s="8"/>
      <c r="N2532" s="8"/>
      <c r="O2532" s="8"/>
      <c r="P2532" s="8"/>
      <c r="Q2532" s="8"/>
      <c r="R2532" s="8"/>
      <c r="S2532" s="8"/>
      <c r="T2532" s="8"/>
      <c r="U2532" s="8"/>
      <c r="V2532" s="8"/>
      <c r="W2532" s="8"/>
      <c r="X2532" s="8"/>
      <c r="Y2532" s="8"/>
    </row>
    <row r="2533">
      <c r="A2533" s="8"/>
      <c r="B2533" s="8"/>
      <c r="C2533" s="8"/>
      <c r="D2533" s="8"/>
      <c r="E2533" s="8"/>
      <c r="F2533" s="8"/>
      <c r="G2533" s="8"/>
      <c r="H2533" s="8"/>
      <c r="I2533" s="8"/>
      <c r="J2533" s="8"/>
      <c r="K2533" s="8"/>
      <c r="L2533" s="8"/>
      <c r="M2533" s="8"/>
      <c r="N2533" s="8"/>
      <c r="O2533" s="8"/>
      <c r="P2533" s="8"/>
      <c r="Q2533" s="8"/>
      <c r="R2533" s="8"/>
      <c r="S2533" s="8"/>
      <c r="T2533" s="8"/>
      <c r="U2533" s="8"/>
      <c r="V2533" s="8"/>
      <c r="W2533" s="8"/>
      <c r="X2533" s="8"/>
      <c r="Y2533" s="8"/>
    </row>
    <row r="2534">
      <c r="A2534" s="8"/>
      <c r="B2534" s="8"/>
      <c r="C2534" s="8"/>
      <c r="D2534" s="8"/>
      <c r="E2534" s="8"/>
      <c r="F2534" s="8"/>
      <c r="G2534" s="8"/>
      <c r="H2534" s="8"/>
      <c r="I2534" s="8"/>
      <c r="J2534" s="8"/>
      <c r="K2534" s="8"/>
      <c r="L2534" s="8"/>
      <c r="M2534" s="8"/>
      <c r="N2534" s="8"/>
      <c r="O2534" s="8"/>
      <c r="P2534" s="8"/>
      <c r="Q2534" s="8"/>
      <c r="R2534" s="8"/>
      <c r="S2534" s="8"/>
      <c r="T2534" s="8"/>
      <c r="U2534" s="8"/>
      <c r="V2534" s="8"/>
      <c r="W2534" s="8"/>
      <c r="X2534" s="8"/>
      <c r="Y2534" s="8"/>
    </row>
    <row r="2535">
      <c r="A2535" s="8"/>
      <c r="B2535" s="8"/>
      <c r="C2535" s="8"/>
      <c r="D2535" s="8"/>
      <c r="E2535" s="8"/>
      <c r="F2535" s="8"/>
      <c r="G2535" s="8"/>
      <c r="H2535" s="8"/>
      <c r="I2535" s="8"/>
      <c r="J2535" s="8"/>
      <c r="K2535" s="8"/>
      <c r="L2535" s="8"/>
      <c r="M2535" s="8"/>
      <c r="N2535" s="8"/>
      <c r="O2535" s="8"/>
      <c r="P2535" s="8"/>
      <c r="Q2535" s="8"/>
      <c r="R2535" s="8"/>
      <c r="S2535" s="8"/>
      <c r="T2535" s="8"/>
      <c r="U2535" s="8"/>
      <c r="V2535" s="8"/>
      <c r="W2535" s="8"/>
      <c r="X2535" s="8"/>
      <c r="Y2535" s="8"/>
    </row>
    <row r="2536">
      <c r="A2536" s="8"/>
      <c r="B2536" s="8"/>
      <c r="C2536" s="8"/>
      <c r="D2536" s="8"/>
      <c r="E2536" s="8"/>
      <c r="F2536" s="8"/>
      <c r="G2536" s="8"/>
      <c r="H2536" s="8"/>
      <c r="I2536" s="8"/>
      <c r="J2536" s="8"/>
      <c r="K2536" s="8"/>
      <c r="L2536" s="8"/>
      <c r="M2536" s="8"/>
      <c r="N2536" s="8"/>
      <c r="O2536" s="8"/>
      <c r="P2536" s="8"/>
      <c r="Q2536" s="8"/>
      <c r="R2536" s="8"/>
      <c r="S2536" s="8"/>
      <c r="T2536" s="8"/>
      <c r="U2536" s="8"/>
      <c r="V2536" s="8"/>
      <c r="W2536" s="8"/>
      <c r="X2536" s="8"/>
      <c r="Y2536" s="8"/>
    </row>
    <row r="2537">
      <c r="A2537" s="8"/>
      <c r="B2537" s="8"/>
      <c r="C2537" s="8"/>
      <c r="D2537" s="8"/>
      <c r="E2537" s="8"/>
      <c r="F2537" s="8"/>
      <c r="G2537" s="8"/>
      <c r="H2537" s="8"/>
      <c r="I2537" s="8"/>
      <c r="J2537" s="8"/>
      <c r="K2537" s="8"/>
      <c r="L2537" s="8"/>
      <c r="M2537" s="8"/>
      <c r="N2537" s="8"/>
      <c r="O2537" s="8"/>
      <c r="P2537" s="8"/>
      <c r="Q2537" s="8"/>
      <c r="R2537" s="8"/>
      <c r="S2537" s="8"/>
      <c r="T2537" s="8"/>
      <c r="U2537" s="8"/>
      <c r="V2537" s="8"/>
      <c r="W2537" s="8"/>
      <c r="X2537" s="8"/>
      <c r="Y2537" s="8"/>
    </row>
    <row r="2538">
      <c r="A2538" s="8"/>
      <c r="B2538" s="8"/>
      <c r="C2538" s="8"/>
      <c r="D2538" s="8"/>
      <c r="E2538" s="8"/>
      <c r="F2538" s="8"/>
      <c r="G2538" s="8"/>
      <c r="H2538" s="8"/>
      <c r="I2538" s="8"/>
      <c r="J2538" s="8"/>
      <c r="K2538" s="8"/>
      <c r="L2538" s="8"/>
      <c r="M2538" s="8"/>
      <c r="N2538" s="8"/>
      <c r="O2538" s="8"/>
      <c r="P2538" s="8"/>
      <c r="Q2538" s="8"/>
      <c r="R2538" s="8"/>
      <c r="S2538" s="8"/>
      <c r="T2538" s="8"/>
      <c r="U2538" s="8"/>
      <c r="V2538" s="8"/>
      <c r="W2538" s="8"/>
      <c r="X2538" s="8"/>
      <c r="Y2538" s="8"/>
    </row>
    <row r="2539">
      <c r="A2539" s="8"/>
      <c r="B2539" s="8"/>
      <c r="C2539" s="8"/>
      <c r="D2539" s="8"/>
      <c r="E2539" s="8"/>
      <c r="F2539" s="8"/>
      <c r="G2539" s="8"/>
      <c r="H2539" s="8"/>
      <c r="I2539" s="8"/>
      <c r="J2539" s="8"/>
      <c r="K2539" s="8"/>
      <c r="L2539" s="8"/>
      <c r="M2539" s="8"/>
      <c r="N2539" s="8"/>
      <c r="O2539" s="8"/>
      <c r="P2539" s="8"/>
      <c r="Q2539" s="8"/>
      <c r="R2539" s="8"/>
      <c r="S2539" s="8"/>
      <c r="T2539" s="8"/>
      <c r="U2539" s="8"/>
      <c r="V2539" s="8"/>
      <c r="W2539" s="8"/>
      <c r="X2539" s="8"/>
      <c r="Y2539" s="8"/>
    </row>
    <row r="2540">
      <c r="A2540" s="8"/>
      <c r="B2540" s="8"/>
      <c r="C2540" s="8"/>
      <c r="D2540" s="8"/>
      <c r="E2540" s="8"/>
      <c r="F2540" s="8"/>
      <c r="G2540" s="8"/>
      <c r="H2540" s="8"/>
      <c r="I2540" s="8"/>
      <c r="J2540" s="8"/>
      <c r="K2540" s="8"/>
      <c r="L2540" s="8"/>
      <c r="M2540" s="8"/>
      <c r="N2540" s="8"/>
      <c r="O2540" s="8"/>
      <c r="P2540" s="8"/>
      <c r="Q2540" s="8"/>
      <c r="R2540" s="8"/>
      <c r="S2540" s="8"/>
      <c r="T2540" s="8"/>
      <c r="U2540" s="8"/>
      <c r="V2540" s="8"/>
      <c r="W2540" s="8"/>
      <c r="X2540" s="8"/>
      <c r="Y2540" s="8"/>
    </row>
    <row r="2541">
      <c r="A2541" s="8"/>
      <c r="B2541" s="8"/>
      <c r="C2541" s="8"/>
      <c r="D2541" s="8"/>
      <c r="E2541" s="8"/>
      <c r="F2541" s="8"/>
      <c r="G2541" s="8"/>
      <c r="H2541" s="8"/>
      <c r="I2541" s="8"/>
      <c r="J2541" s="8"/>
      <c r="K2541" s="8"/>
      <c r="L2541" s="8"/>
      <c r="M2541" s="8"/>
      <c r="N2541" s="8"/>
      <c r="O2541" s="8"/>
      <c r="P2541" s="8"/>
      <c r="Q2541" s="8"/>
      <c r="R2541" s="8"/>
      <c r="S2541" s="8"/>
      <c r="T2541" s="8"/>
      <c r="U2541" s="8"/>
      <c r="V2541" s="8"/>
      <c r="W2541" s="8"/>
      <c r="X2541" s="8"/>
      <c r="Y2541" s="8"/>
    </row>
    <row r="2542">
      <c r="A2542" s="8"/>
      <c r="B2542" s="8"/>
      <c r="C2542" s="8"/>
      <c r="D2542" s="8"/>
      <c r="E2542" s="8"/>
      <c r="F2542" s="8"/>
      <c r="G2542" s="8"/>
      <c r="H2542" s="8"/>
      <c r="I2542" s="8"/>
      <c r="J2542" s="8"/>
      <c r="K2542" s="8"/>
      <c r="L2542" s="8"/>
      <c r="M2542" s="8"/>
      <c r="N2542" s="8"/>
      <c r="O2542" s="8"/>
      <c r="P2542" s="8"/>
      <c r="Q2542" s="8"/>
      <c r="R2542" s="8"/>
      <c r="S2542" s="8"/>
      <c r="T2542" s="8"/>
      <c r="U2542" s="8"/>
      <c r="V2542" s="8"/>
      <c r="W2542" s="8"/>
      <c r="X2542" s="8"/>
      <c r="Y2542" s="8"/>
    </row>
    <row r="2543">
      <c r="A2543" s="8"/>
      <c r="B2543" s="8"/>
      <c r="C2543" s="8"/>
      <c r="D2543" s="8"/>
      <c r="E2543" s="8"/>
      <c r="F2543" s="8"/>
      <c r="G2543" s="8"/>
      <c r="H2543" s="8"/>
      <c r="I2543" s="8"/>
      <c r="J2543" s="8"/>
      <c r="K2543" s="8"/>
      <c r="L2543" s="8"/>
      <c r="M2543" s="8"/>
      <c r="N2543" s="8"/>
      <c r="O2543" s="8"/>
      <c r="P2543" s="8"/>
      <c r="Q2543" s="8"/>
      <c r="R2543" s="8"/>
      <c r="S2543" s="8"/>
      <c r="T2543" s="8"/>
      <c r="U2543" s="8"/>
      <c r="V2543" s="8"/>
      <c r="W2543" s="8"/>
      <c r="X2543" s="8"/>
      <c r="Y2543" s="8"/>
    </row>
    <row r="2544">
      <c r="A2544" s="8"/>
      <c r="B2544" s="8"/>
      <c r="C2544" s="8"/>
      <c r="D2544" s="8"/>
      <c r="E2544" s="8"/>
      <c r="F2544" s="8"/>
      <c r="G2544" s="8"/>
      <c r="H2544" s="8"/>
      <c r="I2544" s="8"/>
      <c r="J2544" s="8"/>
      <c r="K2544" s="8"/>
      <c r="L2544" s="8"/>
      <c r="M2544" s="8"/>
      <c r="N2544" s="8"/>
      <c r="O2544" s="8"/>
      <c r="P2544" s="8"/>
      <c r="Q2544" s="8"/>
      <c r="R2544" s="8"/>
      <c r="S2544" s="8"/>
      <c r="T2544" s="8"/>
      <c r="U2544" s="8"/>
      <c r="V2544" s="8"/>
      <c r="W2544" s="8"/>
      <c r="X2544" s="8"/>
      <c r="Y2544" s="8"/>
    </row>
    <row r="2545">
      <c r="A2545" s="8"/>
      <c r="B2545" s="8"/>
      <c r="C2545" s="8"/>
      <c r="D2545" s="8"/>
      <c r="E2545" s="8"/>
      <c r="F2545" s="8"/>
      <c r="G2545" s="8"/>
      <c r="H2545" s="8"/>
      <c r="I2545" s="8"/>
      <c r="J2545" s="8"/>
      <c r="K2545" s="8"/>
      <c r="L2545" s="8"/>
      <c r="M2545" s="8"/>
      <c r="N2545" s="8"/>
      <c r="O2545" s="8"/>
      <c r="P2545" s="8"/>
      <c r="Q2545" s="8"/>
      <c r="R2545" s="8"/>
      <c r="S2545" s="8"/>
      <c r="T2545" s="8"/>
      <c r="U2545" s="8"/>
      <c r="V2545" s="8"/>
      <c r="W2545" s="8"/>
      <c r="X2545" s="8"/>
      <c r="Y2545" s="8"/>
    </row>
    <row r="2546">
      <c r="A2546" s="8"/>
      <c r="B2546" s="8"/>
      <c r="C2546" s="8"/>
      <c r="D2546" s="8"/>
      <c r="E2546" s="8"/>
      <c r="F2546" s="8"/>
      <c r="G2546" s="8"/>
      <c r="H2546" s="8"/>
      <c r="I2546" s="8"/>
      <c r="J2546" s="8"/>
      <c r="K2546" s="8"/>
      <c r="L2546" s="8"/>
      <c r="M2546" s="8"/>
      <c r="N2546" s="8"/>
      <c r="O2546" s="8"/>
      <c r="P2546" s="8"/>
      <c r="Q2546" s="8"/>
      <c r="R2546" s="8"/>
      <c r="S2546" s="8"/>
      <c r="T2546" s="8"/>
      <c r="U2546" s="8"/>
      <c r="V2546" s="8"/>
      <c r="W2546" s="8"/>
      <c r="X2546" s="8"/>
      <c r="Y2546" s="8"/>
    </row>
    <row r="2547">
      <c r="A2547" s="8"/>
      <c r="B2547" s="8"/>
      <c r="C2547" s="8"/>
      <c r="D2547" s="8"/>
      <c r="E2547" s="8"/>
      <c r="F2547" s="8"/>
      <c r="G2547" s="8"/>
      <c r="H2547" s="8"/>
      <c r="I2547" s="8"/>
      <c r="J2547" s="8"/>
      <c r="K2547" s="8"/>
      <c r="L2547" s="8"/>
      <c r="M2547" s="8"/>
      <c r="N2547" s="8"/>
      <c r="O2547" s="8"/>
      <c r="P2547" s="8"/>
      <c r="Q2547" s="8"/>
      <c r="R2547" s="8"/>
      <c r="S2547" s="8"/>
      <c r="T2547" s="8"/>
      <c r="U2547" s="8"/>
      <c r="V2547" s="8"/>
      <c r="W2547" s="8"/>
      <c r="X2547" s="8"/>
      <c r="Y2547" s="8"/>
    </row>
    <row r="2548">
      <c r="A2548" s="8"/>
      <c r="B2548" s="8"/>
      <c r="C2548" s="8"/>
      <c r="D2548" s="8"/>
      <c r="E2548" s="8"/>
      <c r="F2548" s="8"/>
      <c r="G2548" s="8"/>
      <c r="H2548" s="8"/>
      <c r="I2548" s="8"/>
      <c r="J2548" s="8"/>
      <c r="K2548" s="8"/>
      <c r="L2548" s="8"/>
      <c r="M2548" s="8"/>
      <c r="N2548" s="8"/>
      <c r="O2548" s="8"/>
      <c r="P2548" s="8"/>
      <c r="Q2548" s="8"/>
      <c r="R2548" s="8"/>
      <c r="S2548" s="8"/>
      <c r="T2548" s="8"/>
      <c r="U2548" s="8"/>
      <c r="V2548" s="8"/>
      <c r="W2548" s="8"/>
      <c r="X2548" s="8"/>
      <c r="Y2548" s="8"/>
    </row>
    <row r="2549">
      <c r="A2549" s="8"/>
      <c r="B2549" s="8"/>
      <c r="C2549" s="8"/>
      <c r="D2549" s="8"/>
      <c r="E2549" s="8"/>
      <c r="F2549" s="8"/>
      <c r="G2549" s="8"/>
      <c r="H2549" s="8"/>
      <c r="I2549" s="8"/>
      <c r="J2549" s="8"/>
      <c r="K2549" s="8"/>
      <c r="L2549" s="8"/>
      <c r="M2549" s="8"/>
      <c r="N2549" s="8"/>
      <c r="O2549" s="8"/>
      <c r="P2549" s="8"/>
      <c r="Q2549" s="8"/>
      <c r="R2549" s="8"/>
      <c r="S2549" s="8"/>
      <c r="T2549" s="8"/>
      <c r="U2549" s="8"/>
      <c r="V2549" s="8"/>
      <c r="W2549" s="8"/>
      <c r="X2549" s="8"/>
      <c r="Y2549" s="8"/>
    </row>
    <row r="2550">
      <c r="A2550" s="8"/>
      <c r="B2550" s="8"/>
      <c r="C2550" s="8"/>
      <c r="D2550" s="8"/>
      <c r="E2550" s="8"/>
      <c r="F2550" s="8"/>
      <c r="G2550" s="8"/>
      <c r="H2550" s="8"/>
      <c r="I2550" s="8"/>
      <c r="J2550" s="8"/>
      <c r="K2550" s="8"/>
      <c r="L2550" s="8"/>
      <c r="M2550" s="8"/>
      <c r="N2550" s="8"/>
      <c r="O2550" s="8"/>
      <c r="P2550" s="8"/>
      <c r="Q2550" s="8"/>
      <c r="R2550" s="8"/>
      <c r="S2550" s="8"/>
      <c r="T2550" s="8"/>
      <c r="U2550" s="8"/>
      <c r="V2550" s="8"/>
      <c r="W2550" s="8"/>
      <c r="X2550" s="8"/>
      <c r="Y2550" s="8"/>
    </row>
    <row r="2551">
      <c r="A2551" s="8"/>
      <c r="B2551" s="8"/>
      <c r="C2551" s="8"/>
      <c r="D2551" s="8"/>
      <c r="E2551" s="8"/>
      <c r="F2551" s="8"/>
      <c r="G2551" s="8"/>
      <c r="H2551" s="8"/>
      <c r="I2551" s="8"/>
      <c r="J2551" s="8"/>
      <c r="K2551" s="8"/>
      <c r="L2551" s="8"/>
      <c r="M2551" s="8"/>
      <c r="N2551" s="8"/>
      <c r="O2551" s="8"/>
      <c r="P2551" s="8"/>
      <c r="Q2551" s="8"/>
      <c r="R2551" s="8"/>
      <c r="S2551" s="8"/>
      <c r="T2551" s="8"/>
      <c r="U2551" s="8"/>
      <c r="V2551" s="8"/>
      <c r="W2551" s="8"/>
      <c r="X2551" s="8"/>
      <c r="Y2551" s="8"/>
    </row>
    <row r="2552">
      <c r="A2552" s="8"/>
      <c r="B2552" s="8"/>
      <c r="C2552" s="8"/>
      <c r="D2552" s="8"/>
      <c r="E2552" s="8"/>
      <c r="F2552" s="8"/>
      <c r="G2552" s="8"/>
      <c r="H2552" s="8"/>
      <c r="I2552" s="8"/>
      <c r="J2552" s="8"/>
      <c r="K2552" s="8"/>
      <c r="L2552" s="8"/>
      <c r="M2552" s="8"/>
      <c r="N2552" s="8"/>
      <c r="O2552" s="8"/>
      <c r="P2552" s="8"/>
      <c r="Q2552" s="8"/>
      <c r="R2552" s="8"/>
      <c r="S2552" s="8"/>
      <c r="T2552" s="8"/>
      <c r="U2552" s="8"/>
      <c r="V2552" s="8"/>
      <c r="W2552" s="8"/>
      <c r="X2552" s="8"/>
      <c r="Y2552" s="8"/>
    </row>
    <row r="2553">
      <c r="A2553" s="8"/>
      <c r="B2553" s="8"/>
      <c r="C2553" s="8"/>
      <c r="D2553" s="8"/>
      <c r="E2553" s="8"/>
      <c r="F2553" s="8"/>
      <c r="G2553" s="8"/>
      <c r="H2553" s="8"/>
      <c r="I2553" s="8"/>
      <c r="J2553" s="8"/>
      <c r="K2553" s="8"/>
      <c r="L2553" s="8"/>
      <c r="M2553" s="8"/>
      <c r="N2553" s="8"/>
      <c r="O2553" s="8"/>
      <c r="P2553" s="8"/>
      <c r="Q2553" s="8"/>
      <c r="R2553" s="8"/>
      <c r="S2553" s="8"/>
      <c r="T2553" s="8"/>
      <c r="U2553" s="8"/>
      <c r="V2553" s="8"/>
      <c r="W2553" s="8"/>
      <c r="X2553" s="8"/>
      <c r="Y2553" s="8"/>
    </row>
    <row r="2554">
      <c r="A2554" s="8"/>
      <c r="B2554" s="8"/>
      <c r="C2554" s="8"/>
      <c r="D2554" s="8"/>
      <c r="E2554" s="8"/>
      <c r="F2554" s="8"/>
      <c r="G2554" s="8"/>
      <c r="H2554" s="8"/>
      <c r="I2554" s="8"/>
      <c r="J2554" s="8"/>
      <c r="K2554" s="8"/>
      <c r="L2554" s="8"/>
      <c r="M2554" s="8"/>
      <c r="N2554" s="8"/>
      <c r="O2554" s="8"/>
      <c r="P2554" s="8"/>
      <c r="Q2554" s="8"/>
      <c r="R2554" s="8"/>
      <c r="S2554" s="8"/>
      <c r="T2554" s="8"/>
      <c r="U2554" s="8"/>
      <c r="V2554" s="8"/>
      <c r="W2554" s="8"/>
      <c r="X2554" s="8"/>
      <c r="Y2554" s="8"/>
    </row>
    <row r="2555">
      <c r="A2555" s="8"/>
      <c r="B2555" s="8"/>
      <c r="C2555" s="8"/>
      <c r="D2555" s="8"/>
      <c r="E2555" s="8"/>
      <c r="F2555" s="8"/>
      <c r="G2555" s="8"/>
      <c r="H2555" s="8"/>
      <c r="I2555" s="8"/>
      <c r="J2555" s="8"/>
      <c r="K2555" s="8"/>
      <c r="L2555" s="8"/>
      <c r="M2555" s="8"/>
      <c r="N2555" s="8"/>
      <c r="O2555" s="8"/>
      <c r="P2555" s="8"/>
      <c r="Q2555" s="8"/>
      <c r="R2555" s="8"/>
      <c r="S2555" s="8"/>
      <c r="T2555" s="8"/>
      <c r="U2555" s="8"/>
      <c r="V2555" s="8"/>
      <c r="W2555" s="8"/>
      <c r="X2555" s="8"/>
      <c r="Y2555" s="8"/>
    </row>
    <row r="2556">
      <c r="A2556" s="8"/>
      <c r="B2556" s="8"/>
      <c r="C2556" s="8"/>
      <c r="D2556" s="8"/>
      <c r="E2556" s="8"/>
      <c r="F2556" s="8"/>
      <c r="G2556" s="8"/>
      <c r="H2556" s="8"/>
      <c r="I2556" s="8"/>
      <c r="J2556" s="8"/>
      <c r="K2556" s="8"/>
      <c r="L2556" s="8"/>
      <c r="M2556" s="8"/>
      <c r="N2556" s="8"/>
      <c r="O2556" s="8"/>
      <c r="P2556" s="8"/>
      <c r="Q2556" s="8"/>
      <c r="R2556" s="8"/>
      <c r="S2556" s="8"/>
      <c r="T2556" s="8"/>
      <c r="U2556" s="8"/>
      <c r="V2556" s="8"/>
      <c r="W2556" s="8"/>
      <c r="X2556" s="8"/>
      <c r="Y2556" s="8"/>
    </row>
    <row r="2557">
      <c r="A2557" s="8"/>
      <c r="B2557" s="8"/>
      <c r="C2557" s="8"/>
      <c r="D2557" s="8"/>
      <c r="E2557" s="8"/>
      <c r="F2557" s="8"/>
      <c r="G2557" s="8"/>
      <c r="H2557" s="8"/>
      <c r="I2557" s="8"/>
      <c r="J2557" s="8"/>
      <c r="K2557" s="8"/>
      <c r="L2557" s="8"/>
      <c r="M2557" s="8"/>
      <c r="N2557" s="8"/>
      <c r="O2557" s="8"/>
      <c r="P2557" s="8"/>
      <c r="Q2557" s="8"/>
      <c r="R2557" s="8"/>
      <c r="S2557" s="8"/>
      <c r="T2557" s="8"/>
      <c r="U2557" s="8"/>
      <c r="V2557" s="8"/>
      <c r="W2557" s="8"/>
      <c r="X2557" s="8"/>
      <c r="Y2557" s="8"/>
    </row>
    <row r="2558">
      <c r="A2558" s="8"/>
      <c r="B2558" s="8"/>
      <c r="C2558" s="8"/>
      <c r="D2558" s="8"/>
      <c r="E2558" s="8"/>
      <c r="F2558" s="8"/>
      <c r="G2558" s="8"/>
      <c r="H2558" s="8"/>
      <c r="I2558" s="8"/>
      <c r="J2558" s="8"/>
      <c r="K2558" s="8"/>
      <c r="L2558" s="8"/>
      <c r="M2558" s="8"/>
      <c r="N2558" s="8"/>
      <c r="O2558" s="8"/>
      <c r="P2558" s="8"/>
      <c r="Q2558" s="8"/>
      <c r="R2558" s="8"/>
      <c r="S2558" s="8"/>
      <c r="T2558" s="8"/>
      <c r="U2558" s="8"/>
      <c r="V2558" s="8"/>
      <c r="W2558" s="8"/>
      <c r="X2558" s="8"/>
      <c r="Y2558" s="8"/>
    </row>
    <row r="2559">
      <c r="A2559" s="8"/>
      <c r="B2559" s="8"/>
      <c r="C2559" s="8"/>
      <c r="D2559" s="8"/>
      <c r="E2559" s="8"/>
      <c r="F2559" s="8"/>
      <c r="G2559" s="8"/>
      <c r="H2559" s="8"/>
      <c r="I2559" s="8"/>
      <c r="J2559" s="8"/>
      <c r="K2559" s="8"/>
      <c r="L2559" s="8"/>
      <c r="M2559" s="8"/>
      <c r="N2559" s="8"/>
      <c r="O2559" s="8"/>
      <c r="P2559" s="8"/>
      <c r="Q2559" s="8"/>
      <c r="R2559" s="8"/>
      <c r="S2559" s="8"/>
      <c r="T2559" s="8"/>
      <c r="U2559" s="8"/>
      <c r="V2559" s="8"/>
      <c r="W2559" s="8"/>
      <c r="X2559" s="8"/>
      <c r="Y2559" s="8"/>
    </row>
    <row r="2560">
      <c r="A2560" s="8"/>
      <c r="B2560" s="8"/>
      <c r="C2560" s="8"/>
      <c r="D2560" s="8"/>
      <c r="E2560" s="8"/>
      <c r="F2560" s="8"/>
      <c r="G2560" s="8"/>
      <c r="H2560" s="8"/>
      <c r="I2560" s="8"/>
      <c r="J2560" s="8"/>
      <c r="K2560" s="8"/>
      <c r="L2560" s="8"/>
      <c r="M2560" s="8"/>
      <c r="N2560" s="8"/>
      <c r="O2560" s="8"/>
      <c r="P2560" s="8"/>
      <c r="Q2560" s="8"/>
      <c r="R2560" s="8"/>
      <c r="S2560" s="8"/>
      <c r="T2560" s="8"/>
      <c r="U2560" s="8"/>
      <c r="V2560" s="8"/>
      <c r="W2560" s="8"/>
      <c r="X2560" s="8"/>
      <c r="Y2560" s="8"/>
    </row>
    <row r="2561">
      <c r="A2561" s="8"/>
      <c r="B2561" s="8"/>
      <c r="C2561" s="8"/>
      <c r="D2561" s="8"/>
      <c r="E2561" s="8"/>
      <c r="F2561" s="8"/>
      <c r="G2561" s="8"/>
      <c r="H2561" s="8"/>
      <c r="I2561" s="8"/>
      <c r="J2561" s="8"/>
      <c r="K2561" s="8"/>
      <c r="L2561" s="8"/>
      <c r="M2561" s="8"/>
      <c r="N2561" s="8"/>
      <c r="O2561" s="8"/>
      <c r="P2561" s="8"/>
      <c r="Q2561" s="8"/>
      <c r="R2561" s="8"/>
      <c r="S2561" s="8"/>
      <c r="T2561" s="8"/>
      <c r="U2561" s="8"/>
      <c r="V2561" s="8"/>
      <c r="W2561" s="8"/>
      <c r="X2561" s="8"/>
      <c r="Y2561" s="8"/>
    </row>
    <row r="2562">
      <c r="A2562" s="8"/>
      <c r="B2562" s="8"/>
      <c r="C2562" s="8"/>
      <c r="D2562" s="8"/>
      <c r="E2562" s="8"/>
      <c r="F2562" s="8"/>
      <c r="G2562" s="8"/>
      <c r="H2562" s="8"/>
      <c r="I2562" s="8"/>
      <c r="J2562" s="8"/>
      <c r="K2562" s="8"/>
      <c r="L2562" s="8"/>
      <c r="M2562" s="8"/>
      <c r="N2562" s="8"/>
      <c r="O2562" s="8"/>
      <c r="P2562" s="8"/>
      <c r="Q2562" s="8"/>
      <c r="R2562" s="8"/>
      <c r="S2562" s="8"/>
      <c r="T2562" s="8"/>
      <c r="U2562" s="8"/>
      <c r="V2562" s="8"/>
      <c r="W2562" s="8"/>
      <c r="X2562" s="8"/>
      <c r="Y2562" s="8"/>
    </row>
    <row r="2563">
      <c r="A2563" s="8"/>
      <c r="B2563" s="8"/>
      <c r="C2563" s="8"/>
      <c r="D2563" s="8"/>
      <c r="E2563" s="8"/>
      <c r="F2563" s="8"/>
      <c r="G2563" s="8"/>
      <c r="H2563" s="8"/>
      <c r="I2563" s="8"/>
      <c r="J2563" s="8"/>
      <c r="K2563" s="8"/>
      <c r="L2563" s="8"/>
      <c r="M2563" s="8"/>
      <c r="N2563" s="8"/>
      <c r="O2563" s="8"/>
      <c r="P2563" s="8"/>
      <c r="Q2563" s="8"/>
      <c r="R2563" s="8"/>
      <c r="S2563" s="8"/>
      <c r="T2563" s="8"/>
      <c r="U2563" s="8"/>
      <c r="V2563" s="8"/>
      <c r="W2563" s="8"/>
      <c r="X2563" s="8"/>
      <c r="Y2563" s="8"/>
    </row>
    <row r="2564">
      <c r="A2564" s="8"/>
      <c r="B2564" s="8"/>
      <c r="C2564" s="8"/>
      <c r="D2564" s="8"/>
      <c r="E2564" s="8"/>
      <c r="F2564" s="8"/>
      <c r="G2564" s="8"/>
      <c r="H2564" s="8"/>
      <c r="I2564" s="8"/>
      <c r="J2564" s="8"/>
      <c r="K2564" s="8"/>
      <c r="L2564" s="8"/>
      <c r="M2564" s="8"/>
      <c r="N2564" s="8"/>
      <c r="O2564" s="8"/>
      <c r="P2564" s="8"/>
      <c r="Q2564" s="8"/>
      <c r="R2564" s="8"/>
      <c r="S2564" s="8"/>
      <c r="T2564" s="8"/>
      <c r="U2564" s="8"/>
      <c r="V2564" s="8"/>
      <c r="W2564" s="8"/>
      <c r="X2564" s="8"/>
      <c r="Y2564" s="8"/>
    </row>
    <row r="2565">
      <c r="A2565" s="8"/>
      <c r="B2565" s="8"/>
      <c r="C2565" s="8"/>
      <c r="D2565" s="8"/>
      <c r="E2565" s="8"/>
      <c r="F2565" s="8"/>
      <c r="G2565" s="8"/>
      <c r="H2565" s="8"/>
      <c r="I2565" s="8"/>
      <c r="J2565" s="8"/>
      <c r="K2565" s="8"/>
      <c r="L2565" s="8"/>
      <c r="M2565" s="8"/>
      <c r="N2565" s="8"/>
      <c r="O2565" s="8"/>
      <c r="P2565" s="8"/>
      <c r="Q2565" s="8"/>
      <c r="R2565" s="8"/>
      <c r="S2565" s="8"/>
      <c r="T2565" s="8"/>
      <c r="U2565" s="8"/>
      <c r="V2565" s="8"/>
      <c r="W2565" s="8"/>
      <c r="X2565" s="8"/>
      <c r="Y2565" s="8"/>
    </row>
    <row r="2566">
      <c r="A2566" s="8"/>
      <c r="B2566" s="8"/>
      <c r="C2566" s="8"/>
      <c r="D2566" s="8"/>
      <c r="E2566" s="8"/>
      <c r="F2566" s="8"/>
      <c r="G2566" s="8"/>
      <c r="H2566" s="8"/>
      <c r="I2566" s="8"/>
      <c r="J2566" s="8"/>
      <c r="K2566" s="8"/>
      <c r="L2566" s="8"/>
      <c r="M2566" s="8"/>
      <c r="N2566" s="8"/>
      <c r="O2566" s="8"/>
      <c r="P2566" s="8"/>
      <c r="Q2566" s="8"/>
      <c r="R2566" s="8"/>
      <c r="S2566" s="8"/>
      <c r="T2566" s="8"/>
      <c r="U2566" s="8"/>
      <c r="V2566" s="8"/>
      <c r="W2566" s="8"/>
      <c r="X2566" s="8"/>
      <c r="Y2566" s="8"/>
    </row>
    <row r="2567">
      <c r="A2567" s="8"/>
      <c r="B2567" s="8"/>
      <c r="C2567" s="8"/>
      <c r="D2567" s="8"/>
      <c r="E2567" s="8"/>
      <c r="F2567" s="8"/>
      <c r="G2567" s="8"/>
      <c r="H2567" s="8"/>
      <c r="I2567" s="8"/>
      <c r="J2567" s="8"/>
      <c r="K2567" s="8"/>
      <c r="L2567" s="8"/>
      <c r="M2567" s="8"/>
      <c r="N2567" s="8"/>
      <c r="O2567" s="8"/>
      <c r="P2567" s="8"/>
      <c r="Q2567" s="8"/>
      <c r="R2567" s="8"/>
      <c r="S2567" s="8"/>
      <c r="T2567" s="8"/>
      <c r="U2567" s="8"/>
      <c r="V2567" s="8"/>
      <c r="W2567" s="8"/>
      <c r="X2567" s="8"/>
      <c r="Y2567" s="8"/>
    </row>
    <row r="2568">
      <c r="A2568" s="8"/>
      <c r="B2568" s="8"/>
      <c r="C2568" s="8"/>
      <c r="D2568" s="8"/>
      <c r="E2568" s="8"/>
      <c r="F2568" s="8"/>
      <c r="G2568" s="8"/>
      <c r="H2568" s="8"/>
      <c r="I2568" s="8"/>
      <c r="J2568" s="8"/>
      <c r="K2568" s="8"/>
      <c r="L2568" s="8"/>
      <c r="M2568" s="8"/>
      <c r="N2568" s="8"/>
      <c r="O2568" s="8"/>
      <c r="P2568" s="8"/>
      <c r="Q2568" s="8"/>
      <c r="R2568" s="8"/>
      <c r="S2568" s="8"/>
      <c r="T2568" s="8"/>
      <c r="U2568" s="8"/>
      <c r="V2568" s="8"/>
      <c r="W2568" s="8"/>
      <c r="X2568" s="8"/>
      <c r="Y2568" s="8"/>
    </row>
    <row r="2569">
      <c r="A2569" s="8"/>
      <c r="B2569" s="8"/>
      <c r="C2569" s="8"/>
      <c r="D2569" s="8"/>
      <c r="E2569" s="8"/>
      <c r="F2569" s="8"/>
      <c r="G2569" s="8"/>
      <c r="H2569" s="8"/>
      <c r="I2569" s="8"/>
      <c r="J2569" s="8"/>
      <c r="K2569" s="8"/>
      <c r="L2569" s="8"/>
      <c r="M2569" s="8"/>
      <c r="N2569" s="8"/>
      <c r="O2569" s="8"/>
      <c r="P2569" s="8"/>
      <c r="Q2569" s="8"/>
      <c r="R2569" s="8"/>
      <c r="S2569" s="8"/>
      <c r="T2569" s="8"/>
      <c r="U2569" s="8"/>
      <c r="V2569" s="8"/>
      <c r="W2569" s="8"/>
      <c r="X2569" s="8"/>
      <c r="Y2569" s="8"/>
    </row>
    <row r="2570">
      <c r="A2570" s="8"/>
      <c r="B2570" s="8"/>
      <c r="C2570" s="8"/>
      <c r="D2570" s="8"/>
      <c r="E2570" s="8"/>
      <c r="F2570" s="8"/>
      <c r="G2570" s="8"/>
      <c r="H2570" s="8"/>
      <c r="I2570" s="8"/>
      <c r="J2570" s="8"/>
      <c r="K2570" s="8"/>
      <c r="L2570" s="8"/>
      <c r="M2570" s="8"/>
      <c r="N2570" s="8"/>
      <c r="O2570" s="8"/>
      <c r="P2570" s="8"/>
      <c r="Q2570" s="8"/>
      <c r="R2570" s="8"/>
      <c r="S2570" s="8"/>
      <c r="T2570" s="8"/>
      <c r="U2570" s="8"/>
      <c r="V2570" s="8"/>
      <c r="W2570" s="8"/>
      <c r="X2570" s="8"/>
      <c r="Y2570" s="8"/>
    </row>
    <row r="2571">
      <c r="A2571" s="8"/>
      <c r="B2571" s="8"/>
      <c r="C2571" s="8"/>
      <c r="D2571" s="8"/>
      <c r="E2571" s="8"/>
      <c r="F2571" s="8"/>
      <c r="G2571" s="8"/>
      <c r="H2571" s="8"/>
      <c r="I2571" s="8"/>
      <c r="J2571" s="8"/>
      <c r="K2571" s="8"/>
      <c r="L2571" s="8"/>
      <c r="M2571" s="8"/>
      <c r="N2571" s="8"/>
      <c r="O2571" s="8"/>
      <c r="P2571" s="8"/>
      <c r="Q2571" s="8"/>
      <c r="R2571" s="8"/>
      <c r="S2571" s="8"/>
      <c r="T2571" s="8"/>
      <c r="U2571" s="8"/>
      <c r="V2571" s="8"/>
      <c r="W2571" s="8"/>
      <c r="X2571" s="8"/>
      <c r="Y2571" s="8"/>
    </row>
    <row r="2572">
      <c r="A2572" s="8"/>
      <c r="B2572" s="8"/>
      <c r="C2572" s="8"/>
      <c r="D2572" s="8"/>
      <c r="E2572" s="8"/>
      <c r="F2572" s="8"/>
      <c r="G2572" s="8"/>
      <c r="H2572" s="8"/>
      <c r="I2572" s="8"/>
      <c r="J2572" s="8"/>
      <c r="K2572" s="8"/>
      <c r="L2572" s="8"/>
      <c r="M2572" s="8"/>
      <c r="N2572" s="8"/>
      <c r="O2572" s="8"/>
      <c r="P2572" s="8"/>
      <c r="Q2572" s="8"/>
      <c r="R2572" s="8"/>
      <c r="S2572" s="8"/>
      <c r="T2572" s="8"/>
      <c r="U2572" s="8"/>
      <c r="V2572" s="8"/>
      <c r="W2572" s="8"/>
      <c r="X2572" s="8"/>
      <c r="Y2572" s="8"/>
    </row>
    <row r="2573">
      <c r="A2573" s="8"/>
      <c r="B2573" s="8"/>
      <c r="C2573" s="8"/>
      <c r="D2573" s="8"/>
      <c r="E2573" s="8"/>
      <c r="F2573" s="8"/>
      <c r="G2573" s="8"/>
      <c r="H2573" s="8"/>
      <c r="I2573" s="8"/>
      <c r="J2573" s="8"/>
      <c r="K2573" s="8"/>
      <c r="L2573" s="8"/>
      <c r="M2573" s="8"/>
      <c r="N2573" s="8"/>
      <c r="O2573" s="8"/>
      <c r="P2573" s="8"/>
      <c r="Q2573" s="8"/>
      <c r="R2573" s="8"/>
      <c r="S2573" s="8"/>
      <c r="T2573" s="8"/>
      <c r="U2573" s="8"/>
      <c r="V2573" s="8"/>
      <c r="W2573" s="8"/>
      <c r="X2573" s="8"/>
      <c r="Y2573" s="8"/>
    </row>
    <row r="2574">
      <c r="A2574" s="8"/>
      <c r="B2574" s="8"/>
      <c r="C2574" s="8"/>
      <c r="D2574" s="8"/>
      <c r="E2574" s="8"/>
      <c r="F2574" s="8"/>
      <c r="G2574" s="8"/>
      <c r="H2574" s="8"/>
      <c r="I2574" s="8"/>
      <c r="J2574" s="8"/>
      <c r="K2574" s="8"/>
      <c r="L2574" s="8"/>
      <c r="M2574" s="8"/>
      <c r="N2574" s="8"/>
      <c r="O2574" s="8"/>
      <c r="P2574" s="8"/>
      <c r="Q2574" s="8"/>
      <c r="R2574" s="8"/>
      <c r="S2574" s="8"/>
      <c r="T2574" s="8"/>
      <c r="U2574" s="8"/>
      <c r="V2574" s="8"/>
      <c r="W2574" s="8"/>
      <c r="X2574" s="8"/>
      <c r="Y2574" s="8"/>
    </row>
    <row r="2575">
      <c r="A2575" s="8"/>
      <c r="B2575" s="8"/>
      <c r="C2575" s="8"/>
      <c r="D2575" s="8"/>
      <c r="E2575" s="8"/>
      <c r="F2575" s="8"/>
      <c r="G2575" s="8"/>
      <c r="H2575" s="8"/>
      <c r="I2575" s="8"/>
      <c r="J2575" s="8"/>
      <c r="K2575" s="8"/>
      <c r="L2575" s="8"/>
      <c r="M2575" s="8"/>
      <c r="N2575" s="8"/>
      <c r="O2575" s="8"/>
      <c r="P2575" s="8"/>
      <c r="Q2575" s="8"/>
      <c r="R2575" s="8"/>
      <c r="S2575" s="8"/>
      <c r="T2575" s="8"/>
      <c r="U2575" s="8"/>
      <c r="V2575" s="8"/>
      <c r="W2575" s="8"/>
      <c r="X2575" s="8"/>
      <c r="Y2575" s="8"/>
    </row>
    <row r="2576">
      <c r="A2576" s="8"/>
      <c r="B2576" s="8"/>
      <c r="C2576" s="8"/>
      <c r="D2576" s="8"/>
      <c r="E2576" s="8"/>
      <c r="F2576" s="8"/>
      <c r="G2576" s="8"/>
      <c r="H2576" s="8"/>
      <c r="I2576" s="8"/>
      <c r="J2576" s="8"/>
      <c r="K2576" s="8"/>
      <c r="L2576" s="8"/>
      <c r="M2576" s="8"/>
      <c r="N2576" s="8"/>
      <c r="O2576" s="8"/>
      <c r="P2576" s="8"/>
      <c r="Q2576" s="8"/>
      <c r="R2576" s="8"/>
      <c r="S2576" s="8"/>
      <c r="T2576" s="8"/>
      <c r="U2576" s="8"/>
      <c r="V2576" s="8"/>
      <c r="W2576" s="8"/>
      <c r="X2576" s="8"/>
      <c r="Y2576" s="8"/>
    </row>
    <row r="2577">
      <c r="A2577" s="8"/>
      <c r="B2577" s="8"/>
      <c r="C2577" s="8"/>
      <c r="D2577" s="8"/>
      <c r="E2577" s="8"/>
      <c r="F2577" s="8"/>
      <c r="G2577" s="8"/>
      <c r="H2577" s="8"/>
      <c r="I2577" s="8"/>
      <c r="J2577" s="8"/>
      <c r="K2577" s="8"/>
      <c r="L2577" s="8"/>
      <c r="M2577" s="8"/>
      <c r="N2577" s="8"/>
      <c r="O2577" s="8"/>
      <c r="P2577" s="8"/>
      <c r="Q2577" s="8"/>
      <c r="R2577" s="8"/>
      <c r="S2577" s="8"/>
      <c r="T2577" s="8"/>
      <c r="U2577" s="8"/>
      <c r="V2577" s="8"/>
      <c r="W2577" s="8"/>
      <c r="X2577" s="8"/>
      <c r="Y2577" s="8"/>
    </row>
    <row r="2578">
      <c r="A2578" s="8"/>
      <c r="B2578" s="8"/>
      <c r="C2578" s="8"/>
      <c r="D2578" s="8"/>
      <c r="E2578" s="8"/>
      <c r="F2578" s="8"/>
      <c r="G2578" s="8"/>
      <c r="H2578" s="8"/>
      <c r="I2578" s="8"/>
      <c r="J2578" s="8"/>
      <c r="K2578" s="8"/>
      <c r="L2578" s="8"/>
      <c r="M2578" s="8"/>
      <c r="N2578" s="8"/>
      <c r="O2578" s="8"/>
      <c r="P2578" s="8"/>
      <c r="Q2578" s="8"/>
      <c r="R2578" s="8"/>
      <c r="S2578" s="8"/>
      <c r="T2578" s="8"/>
      <c r="U2578" s="8"/>
      <c r="V2578" s="8"/>
      <c r="W2578" s="8"/>
      <c r="X2578" s="8"/>
      <c r="Y2578" s="8"/>
    </row>
    <row r="2579">
      <c r="A2579" s="8"/>
      <c r="B2579" s="8"/>
      <c r="C2579" s="8"/>
      <c r="D2579" s="8"/>
      <c r="E2579" s="8"/>
      <c r="F2579" s="8"/>
      <c r="G2579" s="8"/>
      <c r="H2579" s="8"/>
      <c r="I2579" s="8"/>
      <c r="J2579" s="8"/>
      <c r="K2579" s="8"/>
      <c r="L2579" s="8"/>
      <c r="M2579" s="8"/>
      <c r="N2579" s="8"/>
      <c r="O2579" s="8"/>
      <c r="P2579" s="8"/>
      <c r="Q2579" s="8"/>
      <c r="R2579" s="8"/>
      <c r="S2579" s="8"/>
      <c r="T2579" s="8"/>
      <c r="U2579" s="8"/>
      <c r="V2579" s="8"/>
      <c r="W2579" s="8"/>
      <c r="X2579" s="8"/>
      <c r="Y2579" s="8"/>
    </row>
    <row r="2580">
      <c r="A2580" s="8"/>
      <c r="B2580" s="8"/>
      <c r="C2580" s="8"/>
      <c r="D2580" s="8"/>
      <c r="E2580" s="8"/>
      <c r="F2580" s="8"/>
      <c r="G2580" s="8"/>
      <c r="H2580" s="8"/>
      <c r="I2580" s="8"/>
      <c r="J2580" s="8"/>
      <c r="K2580" s="8"/>
      <c r="L2580" s="8"/>
      <c r="M2580" s="8"/>
      <c r="N2580" s="8"/>
      <c r="O2580" s="8"/>
      <c r="P2580" s="8"/>
      <c r="Q2580" s="8"/>
      <c r="R2580" s="8"/>
      <c r="S2580" s="8"/>
      <c r="T2580" s="8"/>
      <c r="U2580" s="8"/>
      <c r="V2580" s="8"/>
      <c r="W2580" s="8"/>
      <c r="X2580" s="8"/>
      <c r="Y2580" s="8"/>
    </row>
    <row r="2581">
      <c r="A2581" s="8"/>
      <c r="B2581" s="8"/>
      <c r="C2581" s="8"/>
      <c r="D2581" s="8"/>
      <c r="E2581" s="8"/>
      <c r="F2581" s="8"/>
      <c r="G2581" s="8"/>
      <c r="H2581" s="8"/>
      <c r="I2581" s="8"/>
      <c r="J2581" s="8"/>
      <c r="K2581" s="8"/>
      <c r="L2581" s="8"/>
      <c r="M2581" s="8"/>
      <c r="N2581" s="8"/>
      <c r="O2581" s="8"/>
      <c r="P2581" s="8"/>
      <c r="Q2581" s="8"/>
      <c r="R2581" s="8"/>
      <c r="S2581" s="8"/>
      <c r="T2581" s="8"/>
      <c r="U2581" s="8"/>
      <c r="V2581" s="8"/>
      <c r="W2581" s="8"/>
      <c r="X2581" s="8"/>
      <c r="Y2581" s="8"/>
    </row>
    <row r="2582">
      <c r="A2582" s="8"/>
      <c r="B2582" s="8"/>
      <c r="C2582" s="8"/>
      <c r="D2582" s="8"/>
      <c r="E2582" s="8"/>
      <c r="F2582" s="8"/>
      <c r="G2582" s="8"/>
      <c r="H2582" s="8"/>
      <c r="I2582" s="8"/>
      <c r="J2582" s="8"/>
      <c r="K2582" s="8"/>
      <c r="L2582" s="8"/>
      <c r="M2582" s="8"/>
      <c r="N2582" s="8"/>
      <c r="O2582" s="8"/>
      <c r="P2582" s="8"/>
      <c r="Q2582" s="8"/>
      <c r="R2582" s="8"/>
      <c r="S2582" s="8"/>
      <c r="T2582" s="8"/>
      <c r="U2582" s="8"/>
      <c r="V2582" s="8"/>
      <c r="W2582" s="8"/>
      <c r="X2582" s="8"/>
      <c r="Y2582" s="8"/>
    </row>
    <row r="2583">
      <c r="A2583" s="8"/>
      <c r="B2583" s="8"/>
      <c r="C2583" s="8"/>
      <c r="D2583" s="8"/>
      <c r="E2583" s="8"/>
      <c r="F2583" s="8"/>
      <c r="G2583" s="8"/>
      <c r="H2583" s="8"/>
      <c r="I2583" s="8"/>
      <c r="J2583" s="8"/>
      <c r="K2583" s="8"/>
      <c r="L2583" s="8"/>
      <c r="M2583" s="8"/>
      <c r="N2583" s="8"/>
      <c r="O2583" s="8"/>
      <c r="P2583" s="8"/>
      <c r="Q2583" s="8"/>
      <c r="R2583" s="8"/>
      <c r="S2583" s="8"/>
      <c r="T2583" s="8"/>
      <c r="U2583" s="8"/>
      <c r="V2583" s="8"/>
      <c r="W2583" s="8"/>
      <c r="X2583" s="8"/>
      <c r="Y2583" s="8"/>
    </row>
    <row r="2584">
      <c r="A2584" s="8"/>
      <c r="B2584" s="8"/>
      <c r="C2584" s="8"/>
      <c r="D2584" s="8"/>
      <c r="E2584" s="8"/>
      <c r="F2584" s="8"/>
      <c r="G2584" s="8"/>
      <c r="H2584" s="8"/>
      <c r="I2584" s="8"/>
      <c r="J2584" s="8"/>
      <c r="K2584" s="8"/>
      <c r="L2584" s="8"/>
      <c r="M2584" s="8"/>
      <c r="N2584" s="8"/>
      <c r="O2584" s="8"/>
      <c r="P2584" s="8"/>
      <c r="Q2584" s="8"/>
      <c r="R2584" s="8"/>
      <c r="S2584" s="8"/>
      <c r="T2584" s="8"/>
      <c r="U2584" s="8"/>
      <c r="V2584" s="8"/>
      <c r="W2584" s="8"/>
      <c r="X2584" s="8"/>
      <c r="Y2584" s="8"/>
    </row>
    <row r="2585">
      <c r="A2585" s="8"/>
      <c r="B2585" s="8"/>
      <c r="C2585" s="8"/>
      <c r="D2585" s="8"/>
      <c r="E2585" s="8"/>
      <c r="F2585" s="8"/>
      <c r="G2585" s="8"/>
      <c r="H2585" s="8"/>
      <c r="I2585" s="8"/>
      <c r="J2585" s="8"/>
      <c r="K2585" s="8"/>
      <c r="L2585" s="8"/>
      <c r="M2585" s="8"/>
      <c r="N2585" s="8"/>
      <c r="O2585" s="8"/>
      <c r="P2585" s="8"/>
      <c r="Q2585" s="8"/>
      <c r="R2585" s="8"/>
      <c r="S2585" s="8"/>
      <c r="T2585" s="8"/>
      <c r="U2585" s="8"/>
      <c r="V2585" s="8"/>
      <c r="W2585" s="8"/>
      <c r="X2585" s="8"/>
      <c r="Y2585" s="8"/>
    </row>
    <row r="2586">
      <c r="A2586" s="8"/>
      <c r="B2586" s="8"/>
      <c r="C2586" s="8"/>
      <c r="D2586" s="8"/>
      <c r="E2586" s="8"/>
      <c r="F2586" s="8"/>
      <c r="G2586" s="8"/>
      <c r="H2586" s="8"/>
      <c r="I2586" s="8"/>
      <c r="J2586" s="8"/>
      <c r="K2586" s="8"/>
      <c r="L2586" s="8"/>
      <c r="M2586" s="8"/>
      <c r="N2586" s="8"/>
      <c r="O2586" s="8"/>
      <c r="P2586" s="8"/>
      <c r="Q2586" s="8"/>
      <c r="R2586" s="8"/>
      <c r="S2586" s="8"/>
      <c r="T2586" s="8"/>
      <c r="U2586" s="8"/>
      <c r="V2586" s="8"/>
      <c r="W2586" s="8"/>
      <c r="X2586" s="8"/>
      <c r="Y2586" s="8"/>
    </row>
    <row r="2587">
      <c r="A2587" s="8"/>
      <c r="B2587" s="8"/>
      <c r="C2587" s="8"/>
      <c r="D2587" s="8"/>
      <c r="E2587" s="8"/>
      <c r="F2587" s="8"/>
      <c r="G2587" s="8"/>
      <c r="H2587" s="8"/>
      <c r="I2587" s="8"/>
      <c r="J2587" s="8"/>
      <c r="K2587" s="8"/>
      <c r="L2587" s="8"/>
      <c r="M2587" s="8"/>
      <c r="N2587" s="8"/>
      <c r="O2587" s="8"/>
      <c r="P2587" s="8"/>
      <c r="Q2587" s="8"/>
      <c r="R2587" s="8"/>
      <c r="S2587" s="8"/>
      <c r="T2587" s="8"/>
      <c r="U2587" s="8"/>
      <c r="V2587" s="8"/>
      <c r="W2587" s="8"/>
      <c r="X2587" s="8"/>
      <c r="Y2587" s="8"/>
    </row>
    <row r="2588">
      <c r="A2588" s="8"/>
      <c r="B2588" s="8"/>
      <c r="C2588" s="8"/>
      <c r="D2588" s="8"/>
      <c r="E2588" s="8"/>
      <c r="F2588" s="8"/>
      <c r="G2588" s="8"/>
      <c r="H2588" s="8"/>
      <c r="I2588" s="8"/>
      <c r="J2588" s="8"/>
      <c r="K2588" s="8"/>
      <c r="L2588" s="8"/>
      <c r="M2588" s="8"/>
      <c r="N2588" s="8"/>
      <c r="O2588" s="8"/>
      <c r="P2588" s="8"/>
      <c r="Q2588" s="8"/>
      <c r="R2588" s="8"/>
      <c r="S2588" s="8"/>
      <c r="T2588" s="8"/>
      <c r="U2588" s="8"/>
      <c r="V2588" s="8"/>
      <c r="W2588" s="8"/>
      <c r="X2588" s="8"/>
      <c r="Y2588" s="8"/>
    </row>
    <row r="2589">
      <c r="A2589" s="8"/>
      <c r="B2589" s="8"/>
      <c r="C2589" s="8"/>
      <c r="D2589" s="8"/>
      <c r="E2589" s="8"/>
      <c r="F2589" s="8"/>
      <c r="G2589" s="8"/>
      <c r="H2589" s="8"/>
      <c r="I2589" s="8"/>
      <c r="J2589" s="8"/>
      <c r="K2589" s="8"/>
      <c r="L2589" s="8"/>
      <c r="M2589" s="8"/>
      <c r="N2589" s="8"/>
      <c r="O2589" s="8"/>
      <c r="P2589" s="8"/>
      <c r="Q2589" s="8"/>
      <c r="R2589" s="8"/>
      <c r="S2589" s="8"/>
      <c r="T2589" s="8"/>
      <c r="U2589" s="8"/>
      <c r="V2589" s="8"/>
      <c r="W2589" s="8"/>
      <c r="X2589" s="8"/>
      <c r="Y2589" s="8"/>
    </row>
    <row r="2590">
      <c r="A2590" s="8"/>
      <c r="B2590" s="8"/>
      <c r="C2590" s="8"/>
      <c r="D2590" s="8"/>
      <c r="E2590" s="8"/>
      <c r="F2590" s="8"/>
      <c r="G2590" s="8"/>
      <c r="H2590" s="8"/>
      <c r="I2590" s="8"/>
      <c r="J2590" s="8"/>
      <c r="K2590" s="8"/>
      <c r="L2590" s="8"/>
      <c r="M2590" s="8"/>
      <c r="N2590" s="8"/>
      <c r="O2590" s="8"/>
      <c r="P2590" s="8"/>
      <c r="Q2590" s="8"/>
      <c r="R2590" s="8"/>
      <c r="S2590" s="8"/>
      <c r="T2590" s="8"/>
      <c r="U2590" s="8"/>
      <c r="V2590" s="8"/>
      <c r="W2590" s="8"/>
      <c r="X2590" s="8"/>
      <c r="Y2590" s="8"/>
    </row>
    <row r="2591">
      <c r="A2591" s="8"/>
      <c r="B2591" s="8"/>
      <c r="C2591" s="8"/>
      <c r="D2591" s="8"/>
      <c r="E2591" s="8"/>
      <c r="F2591" s="8"/>
      <c r="G2591" s="8"/>
      <c r="H2591" s="8"/>
      <c r="I2591" s="8"/>
      <c r="J2591" s="8"/>
      <c r="K2591" s="8"/>
      <c r="L2591" s="8"/>
      <c r="M2591" s="8"/>
      <c r="N2591" s="8"/>
      <c r="O2591" s="8"/>
      <c r="P2591" s="8"/>
      <c r="Q2591" s="8"/>
      <c r="R2591" s="8"/>
      <c r="S2591" s="8"/>
      <c r="T2591" s="8"/>
      <c r="U2591" s="8"/>
      <c r="V2591" s="8"/>
      <c r="W2591" s="8"/>
      <c r="X2591" s="8"/>
      <c r="Y2591" s="8"/>
    </row>
    <row r="2592">
      <c r="A2592" s="8"/>
      <c r="B2592" s="8"/>
      <c r="C2592" s="8"/>
      <c r="D2592" s="8"/>
      <c r="E2592" s="8"/>
      <c r="F2592" s="8"/>
      <c r="G2592" s="8"/>
      <c r="H2592" s="8"/>
      <c r="I2592" s="8"/>
      <c r="J2592" s="8"/>
      <c r="K2592" s="8"/>
      <c r="L2592" s="8"/>
      <c r="M2592" s="8"/>
      <c r="N2592" s="8"/>
      <c r="O2592" s="8"/>
      <c r="P2592" s="8"/>
      <c r="Q2592" s="8"/>
      <c r="R2592" s="8"/>
      <c r="S2592" s="8"/>
      <c r="T2592" s="8"/>
      <c r="U2592" s="8"/>
      <c r="V2592" s="8"/>
      <c r="W2592" s="8"/>
      <c r="X2592" s="8"/>
      <c r="Y2592" s="8"/>
    </row>
    <row r="2593">
      <c r="A2593" s="8"/>
      <c r="B2593" s="8"/>
      <c r="C2593" s="8"/>
      <c r="D2593" s="8"/>
      <c r="E2593" s="8"/>
      <c r="F2593" s="8"/>
      <c r="G2593" s="8"/>
      <c r="H2593" s="8"/>
      <c r="I2593" s="8"/>
      <c r="J2593" s="8"/>
      <c r="K2593" s="8"/>
      <c r="L2593" s="8"/>
      <c r="M2593" s="8"/>
      <c r="N2593" s="8"/>
      <c r="O2593" s="8"/>
      <c r="P2593" s="8"/>
      <c r="Q2593" s="8"/>
      <c r="R2593" s="8"/>
      <c r="S2593" s="8"/>
      <c r="T2593" s="8"/>
      <c r="U2593" s="8"/>
      <c r="V2593" s="8"/>
      <c r="W2593" s="8"/>
      <c r="X2593" s="8"/>
      <c r="Y2593" s="8"/>
    </row>
    <row r="2594">
      <c r="A2594" s="8"/>
      <c r="B2594" s="8"/>
      <c r="C2594" s="8"/>
      <c r="D2594" s="8"/>
      <c r="E2594" s="8"/>
      <c r="F2594" s="8"/>
      <c r="G2594" s="8"/>
      <c r="H2594" s="8"/>
      <c r="I2594" s="8"/>
      <c r="J2594" s="8"/>
      <c r="K2594" s="8"/>
      <c r="L2594" s="8"/>
      <c r="M2594" s="8"/>
      <c r="N2594" s="8"/>
      <c r="O2594" s="8"/>
      <c r="P2594" s="8"/>
      <c r="Q2594" s="8"/>
      <c r="R2594" s="8"/>
      <c r="S2594" s="8"/>
      <c r="T2594" s="8"/>
      <c r="U2594" s="8"/>
      <c r="V2594" s="8"/>
      <c r="W2594" s="8"/>
      <c r="X2594" s="8"/>
      <c r="Y2594" s="8"/>
    </row>
    <row r="2595">
      <c r="A2595" s="8"/>
      <c r="B2595" s="8"/>
      <c r="C2595" s="8"/>
      <c r="D2595" s="8"/>
      <c r="E2595" s="8"/>
      <c r="F2595" s="8"/>
      <c r="G2595" s="8"/>
      <c r="H2595" s="8"/>
      <c r="I2595" s="8"/>
      <c r="J2595" s="8"/>
      <c r="K2595" s="8"/>
      <c r="L2595" s="8"/>
      <c r="M2595" s="8"/>
      <c r="N2595" s="8"/>
      <c r="O2595" s="8"/>
      <c r="P2595" s="8"/>
      <c r="Q2595" s="8"/>
      <c r="R2595" s="8"/>
      <c r="S2595" s="8"/>
      <c r="T2595" s="8"/>
      <c r="U2595" s="8"/>
      <c r="V2595" s="8"/>
      <c r="W2595" s="8"/>
      <c r="X2595" s="8"/>
      <c r="Y2595" s="8"/>
    </row>
    <row r="2596">
      <c r="A2596" s="8"/>
      <c r="B2596" s="8"/>
      <c r="C2596" s="8"/>
      <c r="D2596" s="8"/>
      <c r="E2596" s="8"/>
      <c r="F2596" s="8"/>
      <c r="G2596" s="8"/>
      <c r="H2596" s="8"/>
      <c r="I2596" s="8"/>
      <c r="J2596" s="8"/>
      <c r="K2596" s="8"/>
      <c r="L2596" s="8"/>
      <c r="M2596" s="8"/>
      <c r="N2596" s="8"/>
      <c r="O2596" s="8"/>
      <c r="P2596" s="8"/>
      <c r="Q2596" s="8"/>
      <c r="R2596" s="8"/>
      <c r="S2596" s="8"/>
      <c r="T2596" s="8"/>
      <c r="U2596" s="8"/>
      <c r="V2596" s="8"/>
      <c r="W2596" s="8"/>
      <c r="X2596" s="8"/>
      <c r="Y2596" s="8"/>
    </row>
    <row r="2597">
      <c r="A2597" s="8"/>
      <c r="B2597" s="8"/>
      <c r="C2597" s="8"/>
      <c r="D2597" s="8"/>
      <c r="E2597" s="8"/>
      <c r="F2597" s="8"/>
      <c r="G2597" s="8"/>
      <c r="H2597" s="8"/>
      <c r="I2597" s="8"/>
      <c r="J2597" s="8"/>
      <c r="K2597" s="8"/>
      <c r="L2597" s="8"/>
      <c r="M2597" s="8"/>
      <c r="N2597" s="8"/>
      <c r="O2597" s="8"/>
      <c r="P2597" s="8"/>
      <c r="Q2597" s="8"/>
      <c r="R2597" s="8"/>
      <c r="S2597" s="8"/>
      <c r="T2597" s="8"/>
      <c r="U2597" s="8"/>
      <c r="V2597" s="8"/>
      <c r="W2597" s="8"/>
      <c r="X2597" s="8"/>
      <c r="Y2597" s="8"/>
    </row>
    <row r="2598">
      <c r="A2598" s="8"/>
      <c r="B2598" s="8"/>
      <c r="C2598" s="8"/>
      <c r="D2598" s="8"/>
      <c r="E2598" s="8"/>
      <c r="F2598" s="8"/>
      <c r="G2598" s="8"/>
      <c r="H2598" s="8"/>
      <c r="I2598" s="8"/>
      <c r="J2598" s="8"/>
      <c r="K2598" s="8"/>
      <c r="L2598" s="8"/>
      <c r="M2598" s="8"/>
      <c r="N2598" s="8"/>
      <c r="O2598" s="8"/>
      <c r="P2598" s="8"/>
      <c r="Q2598" s="8"/>
      <c r="R2598" s="8"/>
      <c r="S2598" s="8"/>
      <c r="T2598" s="8"/>
      <c r="U2598" s="8"/>
      <c r="V2598" s="8"/>
      <c r="W2598" s="8"/>
      <c r="X2598" s="8"/>
      <c r="Y2598" s="8"/>
    </row>
    <row r="2599">
      <c r="A2599" s="8"/>
      <c r="B2599" s="8"/>
      <c r="C2599" s="8"/>
      <c r="D2599" s="8"/>
      <c r="E2599" s="8"/>
      <c r="F2599" s="8"/>
      <c r="G2599" s="8"/>
      <c r="H2599" s="8"/>
      <c r="I2599" s="8"/>
      <c r="J2599" s="8"/>
      <c r="K2599" s="8"/>
      <c r="L2599" s="8"/>
      <c r="M2599" s="8"/>
      <c r="N2599" s="8"/>
      <c r="O2599" s="8"/>
      <c r="P2599" s="8"/>
      <c r="Q2599" s="8"/>
      <c r="R2599" s="8"/>
      <c r="S2599" s="8"/>
      <c r="T2599" s="8"/>
      <c r="U2599" s="8"/>
      <c r="V2599" s="8"/>
      <c r="W2599" s="8"/>
      <c r="X2599" s="8"/>
      <c r="Y2599" s="8"/>
    </row>
    <row r="2600">
      <c r="A2600" s="8"/>
      <c r="B2600" s="8"/>
      <c r="C2600" s="8"/>
      <c r="D2600" s="8"/>
      <c r="E2600" s="8"/>
      <c r="F2600" s="8"/>
      <c r="G2600" s="8"/>
      <c r="H2600" s="8"/>
      <c r="I2600" s="8"/>
      <c r="J2600" s="8"/>
      <c r="K2600" s="8"/>
      <c r="L2600" s="8"/>
      <c r="M2600" s="8"/>
      <c r="N2600" s="8"/>
      <c r="O2600" s="8"/>
      <c r="P2600" s="8"/>
      <c r="Q2600" s="8"/>
      <c r="R2600" s="8"/>
      <c r="S2600" s="8"/>
      <c r="T2600" s="8"/>
      <c r="U2600" s="8"/>
      <c r="V2600" s="8"/>
      <c r="W2600" s="8"/>
      <c r="X2600" s="8"/>
      <c r="Y2600" s="8"/>
    </row>
    <row r="2601">
      <c r="A2601" s="8"/>
      <c r="B2601" s="8"/>
      <c r="C2601" s="8"/>
      <c r="D2601" s="8"/>
      <c r="E2601" s="8"/>
      <c r="F2601" s="8"/>
      <c r="G2601" s="8"/>
      <c r="H2601" s="8"/>
      <c r="I2601" s="8"/>
      <c r="J2601" s="8"/>
      <c r="K2601" s="8"/>
      <c r="L2601" s="8"/>
      <c r="M2601" s="8"/>
      <c r="N2601" s="8"/>
      <c r="O2601" s="8"/>
      <c r="P2601" s="8"/>
      <c r="Q2601" s="8"/>
      <c r="R2601" s="8"/>
      <c r="S2601" s="8"/>
      <c r="T2601" s="8"/>
      <c r="U2601" s="8"/>
      <c r="V2601" s="8"/>
      <c r="W2601" s="8"/>
      <c r="X2601" s="8"/>
      <c r="Y2601" s="8"/>
    </row>
    <row r="2602">
      <c r="A2602" s="8"/>
      <c r="B2602" s="8"/>
      <c r="C2602" s="8"/>
      <c r="D2602" s="8"/>
      <c r="E2602" s="8"/>
      <c r="F2602" s="8"/>
      <c r="G2602" s="8"/>
      <c r="H2602" s="8"/>
      <c r="I2602" s="8"/>
      <c r="J2602" s="8"/>
      <c r="K2602" s="8"/>
      <c r="L2602" s="8"/>
      <c r="M2602" s="8"/>
      <c r="N2602" s="8"/>
      <c r="O2602" s="8"/>
      <c r="P2602" s="8"/>
      <c r="Q2602" s="8"/>
      <c r="R2602" s="8"/>
      <c r="S2602" s="8"/>
      <c r="T2602" s="8"/>
      <c r="U2602" s="8"/>
      <c r="V2602" s="8"/>
      <c r="W2602" s="8"/>
      <c r="X2602" s="8"/>
      <c r="Y2602" s="8"/>
    </row>
    <row r="2603">
      <c r="A2603" s="8"/>
      <c r="B2603" s="8"/>
      <c r="C2603" s="8"/>
      <c r="D2603" s="8"/>
      <c r="E2603" s="8"/>
      <c r="F2603" s="8"/>
      <c r="G2603" s="8"/>
      <c r="H2603" s="8"/>
      <c r="I2603" s="8"/>
      <c r="J2603" s="8"/>
      <c r="K2603" s="8"/>
      <c r="L2603" s="8"/>
      <c r="M2603" s="8"/>
      <c r="N2603" s="8"/>
      <c r="O2603" s="8"/>
      <c r="P2603" s="8"/>
      <c r="Q2603" s="8"/>
      <c r="R2603" s="8"/>
      <c r="S2603" s="8"/>
      <c r="T2603" s="8"/>
      <c r="U2603" s="8"/>
      <c r="V2603" s="8"/>
      <c r="W2603" s="8"/>
      <c r="X2603" s="8"/>
      <c r="Y2603" s="8"/>
    </row>
    <row r="2604">
      <c r="A2604" s="8"/>
      <c r="B2604" s="8"/>
      <c r="C2604" s="8"/>
      <c r="D2604" s="8"/>
      <c r="E2604" s="8"/>
      <c r="F2604" s="8"/>
      <c r="G2604" s="8"/>
      <c r="H2604" s="8"/>
      <c r="I2604" s="8"/>
      <c r="J2604" s="8"/>
      <c r="K2604" s="8"/>
      <c r="L2604" s="8"/>
      <c r="M2604" s="8"/>
      <c r="N2604" s="8"/>
      <c r="O2604" s="8"/>
      <c r="P2604" s="8"/>
      <c r="Q2604" s="8"/>
      <c r="R2604" s="8"/>
      <c r="S2604" s="8"/>
      <c r="T2604" s="8"/>
      <c r="U2604" s="8"/>
      <c r="V2604" s="8"/>
      <c r="W2604" s="8"/>
      <c r="X2604" s="8"/>
      <c r="Y2604" s="8"/>
    </row>
    <row r="2605">
      <c r="A2605" s="8"/>
      <c r="B2605" s="8"/>
      <c r="C2605" s="8"/>
      <c r="D2605" s="8"/>
      <c r="E2605" s="8"/>
      <c r="F2605" s="8"/>
      <c r="G2605" s="8"/>
      <c r="H2605" s="8"/>
      <c r="I2605" s="8"/>
      <c r="J2605" s="8"/>
      <c r="K2605" s="8"/>
      <c r="L2605" s="8"/>
      <c r="M2605" s="8"/>
      <c r="N2605" s="8"/>
      <c r="O2605" s="8"/>
      <c r="P2605" s="8"/>
      <c r="Q2605" s="8"/>
      <c r="R2605" s="8"/>
      <c r="S2605" s="8"/>
      <c r="T2605" s="8"/>
      <c r="U2605" s="8"/>
      <c r="V2605" s="8"/>
      <c r="W2605" s="8"/>
      <c r="X2605" s="8"/>
      <c r="Y2605" s="8"/>
    </row>
    <row r="2606">
      <c r="A2606" s="8"/>
      <c r="B2606" s="8"/>
      <c r="C2606" s="8"/>
      <c r="D2606" s="8"/>
      <c r="E2606" s="8"/>
      <c r="F2606" s="8"/>
      <c r="G2606" s="8"/>
      <c r="H2606" s="8"/>
      <c r="I2606" s="8"/>
      <c r="J2606" s="8"/>
      <c r="K2606" s="8"/>
      <c r="L2606" s="8"/>
      <c r="M2606" s="8"/>
      <c r="N2606" s="8"/>
      <c r="O2606" s="8"/>
      <c r="P2606" s="8"/>
      <c r="Q2606" s="8"/>
      <c r="R2606" s="8"/>
      <c r="S2606" s="8"/>
      <c r="T2606" s="8"/>
      <c r="U2606" s="8"/>
      <c r="V2606" s="8"/>
      <c r="W2606" s="8"/>
      <c r="X2606" s="8"/>
      <c r="Y2606" s="8"/>
    </row>
    <row r="2607">
      <c r="A2607" s="8"/>
      <c r="B2607" s="8"/>
      <c r="C2607" s="8"/>
      <c r="D2607" s="8"/>
      <c r="E2607" s="8"/>
      <c r="F2607" s="8"/>
      <c r="G2607" s="8"/>
      <c r="H2607" s="8"/>
      <c r="I2607" s="8"/>
      <c r="J2607" s="8"/>
      <c r="K2607" s="8"/>
      <c r="L2607" s="8"/>
      <c r="M2607" s="8"/>
      <c r="N2607" s="8"/>
      <c r="O2607" s="8"/>
      <c r="P2607" s="8"/>
      <c r="Q2607" s="8"/>
      <c r="R2607" s="8"/>
      <c r="S2607" s="8"/>
      <c r="T2607" s="8"/>
      <c r="U2607" s="8"/>
      <c r="V2607" s="8"/>
      <c r="W2607" s="8"/>
      <c r="X2607" s="8"/>
      <c r="Y2607" s="8"/>
    </row>
    <row r="2608">
      <c r="A2608" s="8"/>
      <c r="B2608" s="8"/>
      <c r="C2608" s="8"/>
      <c r="D2608" s="8"/>
      <c r="E2608" s="8"/>
      <c r="F2608" s="8"/>
      <c r="G2608" s="8"/>
      <c r="H2608" s="8"/>
      <c r="I2608" s="8"/>
      <c r="J2608" s="8"/>
      <c r="K2608" s="8"/>
      <c r="L2608" s="8"/>
      <c r="M2608" s="8"/>
      <c r="N2608" s="8"/>
      <c r="O2608" s="8"/>
      <c r="P2608" s="8"/>
      <c r="Q2608" s="8"/>
      <c r="R2608" s="8"/>
      <c r="S2608" s="8"/>
      <c r="T2608" s="8"/>
      <c r="U2608" s="8"/>
      <c r="V2608" s="8"/>
      <c r="W2608" s="8"/>
      <c r="X2608" s="8"/>
      <c r="Y2608" s="8"/>
    </row>
    <row r="2609">
      <c r="A2609" s="8"/>
      <c r="B2609" s="8"/>
      <c r="C2609" s="8"/>
      <c r="D2609" s="8"/>
      <c r="E2609" s="8"/>
      <c r="F2609" s="8"/>
      <c r="G2609" s="8"/>
      <c r="H2609" s="8"/>
      <c r="I2609" s="8"/>
      <c r="J2609" s="8"/>
      <c r="K2609" s="8"/>
      <c r="L2609" s="8"/>
      <c r="M2609" s="8"/>
      <c r="N2609" s="8"/>
      <c r="O2609" s="8"/>
      <c r="P2609" s="8"/>
      <c r="Q2609" s="8"/>
      <c r="R2609" s="8"/>
      <c r="S2609" s="8"/>
      <c r="T2609" s="8"/>
      <c r="U2609" s="8"/>
      <c r="V2609" s="8"/>
      <c r="W2609" s="8"/>
      <c r="X2609" s="8"/>
      <c r="Y2609" s="8"/>
    </row>
    <row r="2610">
      <c r="A2610" s="8"/>
      <c r="B2610" s="8"/>
      <c r="C2610" s="8"/>
      <c r="D2610" s="8"/>
      <c r="E2610" s="8"/>
      <c r="F2610" s="8"/>
      <c r="G2610" s="8"/>
      <c r="H2610" s="8"/>
      <c r="I2610" s="8"/>
      <c r="J2610" s="8"/>
      <c r="K2610" s="8"/>
      <c r="L2610" s="8"/>
      <c r="M2610" s="8"/>
      <c r="N2610" s="8"/>
      <c r="O2610" s="8"/>
      <c r="P2610" s="8"/>
      <c r="Q2610" s="8"/>
      <c r="R2610" s="8"/>
      <c r="S2610" s="8"/>
      <c r="T2610" s="8"/>
      <c r="U2610" s="8"/>
      <c r="V2610" s="8"/>
      <c r="W2610" s="8"/>
      <c r="X2610" s="8"/>
      <c r="Y2610" s="8"/>
    </row>
    <row r="2611">
      <c r="A2611" s="8"/>
      <c r="B2611" s="8"/>
      <c r="C2611" s="8"/>
      <c r="D2611" s="8"/>
      <c r="E2611" s="8"/>
      <c r="F2611" s="8"/>
      <c r="G2611" s="8"/>
      <c r="H2611" s="8"/>
      <c r="I2611" s="8"/>
      <c r="J2611" s="8"/>
      <c r="K2611" s="8"/>
      <c r="L2611" s="8"/>
      <c r="M2611" s="8"/>
      <c r="N2611" s="8"/>
      <c r="O2611" s="8"/>
      <c r="P2611" s="8"/>
      <c r="Q2611" s="8"/>
      <c r="R2611" s="8"/>
      <c r="S2611" s="8"/>
      <c r="T2611" s="8"/>
      <c r="U2611" s="8"/>
      <c r="V2611" s="8"/>
      <c r="W2611" s="8"/>
      <c r="X2611" s="8"/>
      <c r="Y2611" s="8"/>
    </row>
    <row r="2612">
      <c r="A2612" s="8"/>
      <c r="B2612" s="8"/>
      <c r="C2612" s="8"/>
      <c r="D2612" s="8"/>
      <c r="E2612" s="8"/>
      <c r="F2612" s="8"/>
      <c r="G2612" s="8"/>
      <c r="H2612" s="8"/>
      <c r="I2612" s="8"/>
      <c r="J2612" s="8"/>
      <c r="K2612" s="8"/>
      <c r="L2612" s="8"/>
      <c r="M2612" s="8"/>
      <c r="N2612" s="8"/>
      <c r="O2612" s="8"/>
      <c r="P2612" s="8"/>
      <c r="Q2612" s="8"/>
      <c r="R2612" s="8"/>
      <c r="S2612" s="8"/>
      <c r="T2612" s="8"/>
      <c r="U2612" s="8"/>
      <c r="V2612" s="8"/>
      <c r="W2612" s="8"/>
      <c r="X2612" s="8"/>
      <c r="Y2612" s="8"/>
    </row>
    <row r="2613">
      <c r="A2613" s="8"/>
      <c r="B2613" s="8"/>
      <c r="C2613" s="8"/>
      <c r="D2613" s="8"/>
      <c r="E2613" s="8"/>
      <c r="F2613" s="8"/>
      <c r="G2613" s="8"/>
      <c r="H2613" s="8"/>
      <c r="I2613" s="8"/>
      <c r="J2613" s="8"/>
      <c r="K2613" s="8"/>
      <c r="L2613" s="8"/>
      <c r="M2613" s="8"/>
      <c r="N2613" s="8"/>
      <c r="O2613" s="8"/>
      <c r="P2613" s="8"/>
      <c r="Q2613" s="8"/>
      <c r="R2613" s="8"/>
      <c r="S2613" s="8"/>
      <c r="T2613" s="8"/>
      <c r="U2613" s="8"/>
      <c r="V2613" s="8"/>
      <c r="W2613" s="8"/>
      <c r="X2613" s="8"/>
      <c r="Y2613" s="8"/>
    </row>
    <row r="2614">
      <c r="A2614" s="8"/>
      <c r="B2614" s="8"/>
      <c r="C2614" s="8"/>
      <c r="D2614" s="8"/>
      <c r="E2614" s="8"/>
      <c r="F2614" s="8"/>
      <c r="G2614" s="8"/>
      <c r="H2614" s="8"/>
      <c r="I2614" s="8"/>
      <c r="J2614" s="8"/>
      <c r="K2614" s="8"/>
      <c r="L2614" s="8"/>
      <c r="M2614" s="8"/>
      <c r="N2614" s="8"/>
      <c r="O2614" s="8"/>
      <c r="P2614" s="8"/>
      <c r="Q2614" s="8"/>
      <c r="R2614" s="8"/>
      <c r="S2614" s="8"/>
      <c r="T2614" s="8"/>
      <c r="U2614" s="8"/>
      <c r="V2614" s="8"/>
      <c r="W2614" s="8"/>
      <c r="X2614" s="8"/>
      <c r="Y2614" s="8"/>
    </row>
    <row r="2615">
      <c r="A2615" s="8"/>
      <c r="B2615" s="8"/>
      <c r="C2615" s="8"/>
      <c r="D2615" s="8"/>
      <c r="E2615" s="8"/>
      <c r="F2615" s="8"/>
      <c r="G2615" s="8"/>
      <c r="H2615" s="8"/>
      <c r="I2615" s="8"/>
      <c r="J2615" s="8"/>
      <c r="K2615" s="8"/>
      <c r="L2615" s="8"/>
      <c r="M2615" s="8"/>
      <c r="N2615" s="8"/>
      <c r="O2615" s="8"/>
      <c r="P2615" s="8"/>
      <c r="Q2615" s="8"/>
      <c r="R2615" s="8"/>
      <c r="S2615" s="8"/>
      <c r="T2615" s="8"/>
      <c r="U2615" s="8"/>
      <c r="V2615" s="8"/>
      <c r="W2615" s="8"/>
      <c r="X2615" s="8"/>
      <c r="Y2615" s="8"/>
    </row>
    <row r="2616">
      <c r="A2616" s="8"/>
      <c r="B2616" s="8"/>
      <c r="C2616" s="8"/>
      <c r="D2616" s="8"/>
      <c r="E2616" s="8"/>
      <c r="F2616" s="8"/>
      <c r="G2616" s="8"/>
      <c r="H2616" s="8"/>
      <c r="I2616" s="8"/>
      <c r="J2616" s="8"/>
      <c r="K2616" s="8"/>
      <c r="L2616" s="8"/>
      <c r="M2616" s="8"/>
      <c r="N2616" s="8"/>
      <c r="O2616" s="8"/>
      <c r="P2616" s="8"/>
      <c r="Q2616" s="8"/>
      <c r="R2616" s="8"/>
      <c r="S2616" s="8"/>
      <c r="T2616" s="8"/>
      <c r="U2616" s="8"/>
      <c r="V2616" s="8"/>
      <c r="W2616" s="8"/>
      <c r="X2616" s="8"/>
      <c r="Y2616" s="8"/>
    </row>
    <row r="2617">
      <c r="A2617" s="8"/>
      <c r="B2617" s="8"/>
      <c r="C2617" s="8"/>
      <c r="D2617" s="8"/>
      <c r="E2617" s="8"/>
      <c r="F2617" s="8"/>
      <c r="G2617" s="8"/>
      <c r="H2617" s="8"/>
      <c r="I2617" s="8"/>
      <c r="J2617" s="8"/>
      <c r="K2617" s="8"/>
      <c r="L2617" s="8"/>
      <c r="M2617" s="8"/>
      <c r="N2617" s="8"/>
      <c r="O2617" s="8"/>
      <c r="P2617" s="8"/>
      <c r="Q2617" s="8"/>
      <c r="R2617" s="8"/>
      <c r="S2617" s="8"/>
      <c r="T2617" s="8"/>
      <c r="U2617" s="8"/>
      <c r="V2617" s="8"/>
      <c r="W2617" s="8"/>
      <c r="X2617" s="8"/>
      <c r="Y2617" s="8"/>
    </row>
    <row r="2618">
      <c r="A2618" s="8"/>
      <c r="B2618" s="8"/>
      <c r="C2618" s="8"/>
      <c r="D2618" s="8"/>
      <c r="E2618" s="8"/>
      <c r="F2618" s="8"/>
      <c r="G2618" s="8"/>
      <c r="H2618" s="8"/>
      <c r="I2618" s="8"/>
      <c r="J2618" s="8"/>
      <c r="K2618" s="8"/>
      <c r="L2618" s="8"/>
      <c r="M2618" s="8"/>
      <c r="N2618" s="8"/>
      <c r="O2618" s="8"/>
      <c r="P2618" s="8"/>
      <c r="Q2618" s="8"/>
      <c r="R2618" s="8"/>
      <c r="S2618" s="8"/>
      <c r="T2618" s="8"/>
      <c r="U2618" s="8"/>
      <c r="V2618" s="8"/>
      <c r="W2618" s="8"/>
      <c r="X2618" s="8"/>
      <c r="Y2618" s="8"/>
    </row>
    <row r="2619">
      <c r="A2619" s="8"/>
      <c r="B2619" s="8"/>
      <c r="C2619" s="8"/>
      <c r="D2619" s="8"/>
      <c r="E2619" s="8"/>
      <c r="F2619" s="8"/>
      <c r="G2619" s="8"/>
      <c r="H2619" s="8"/>
      <c r="I2619" s="8"/>
      <c r="J2619" s="8"/>
      <c r="K2619" s="8"/>
      <c r="L2619" s="8"/>
      <c r="M2619" s="8"/>
      <c r="N2619" s="8"/>
      <c r="O2619" s="8"/>
      <c r="P2619" s="8"/>
      <c r="Q2619" s="8"/>
      <c r="R2619" s="8"/>
      <c r="S2619" s="8"/>
      <c r="T2619" s="8"/>
      <c r="U2619" s="8"/>
      <c r="V2619" s="8"/>
      <c r="W2619" s="8"/>
      <c r="X2619" s="8"/>
      <c r="Y2619" s="8"/>
    </row>
    <row r="2620">
      <c r="A2620" s="8"/>
      <c r="B2620" s="8"/>
      <c r="C2620" s="8"/>
      <c r="D2620" s="8"/>
      <c r="E2620" s="8"/>
      <c r="F2620" s="8"/>
      <c r="G2620" s="8"/>
      <c r="H2620" s="8"/>
      <c r="I2620" s="8"/>
      <c r="J2620" s="8"/>
      <c r="K2620" s="8"/>
      <c r="L2620" s="8"/>
      <c r="M2620" s="8"/>
      <c r="N2620" s="8"/>
      <c r="O2620" s="8"/>
      <c r="P2620" s="8"/>
      <c r="Q2620" s="8"/>
      <c r="R2620" s="8"/>
      <c r="S2620" s="8"/>
      <c r="T2620" s="8"/>
      <c r="U2620" s="8"/>
      <c r="V2620" s="8"/>
      <c r="W2620" s="8"/>
      <c r="X2620" s="8"/>
      <c r="Y2620" s="8"/>
    </row>
    <row r="2621">
      <c r="A2621" s="8"/>
      <c r="B2621" s="8"/>
      <c r="C2621" s="8"/>
      <c r="D2621" s="8"/>
      <c r="E2621" s="8"/>
      <c r="F2621" s="8"/>
      <c r="G2621" s="8"/>
      <c r="H2621" s="8"/>
      <c r="I2621" s="8"/>
      <c r="J2621" s="8"/>
      <c r="K2621" s="8"/>
      <c r="L2621" s="8"/>
      <c r="M2621" s="8"/>
      <c r="N2621" s="8"/>
      <c r="O2621" s="8"/>
      <c r="P2621" s="8"/>
      <c r="Q2621" s="8"/>
      <c r="R2621" s="8"/>
      <c r="S2621" s="8"/>
      <c r="T2621" s="8"/>
      <c r="U2621" s="8"/>
      <c r="V2621" s="8"/>
      <c r="W2621" s="8"/>
      <c r="X2621" s="8"/>
      <c r="Y2621" s="8"/>
    </row>
    <row r="2622">
      <c r="A2622" s="8"/>
      <c r="B2622" s="8"/>
      <c r="C2622" s="8"/>
      <c r="D2622" s="8"/>
      <c r="E2622" s="8"/>
      <c r="F2622" s="8"/>
      <c r="G2622" s="8"/>
      <c r="H2622" s="8"/>
      <c r="I2622" s="8"/>
      <c r="J2622" s="8"/>
      <c r="K2622" s="8"/>
      <c r="L2622" s="8"/>
      <c r="M2622" s="8"/>
      <c r="N2622" s="8"/>
      <c r="O2622" s="8"/>
      <c r="P2622" s="8"/>
      <c r="Q2622" s="8"/>
      <c r="R2622" s="8"/>
      <c r="S2622" s="8"/>
      <c r="T2622" s="8"/>
      <c r="U2622" s="8"/>
      <c r="V2622" s="8"/>
      <c r="W2622" s="8"/>
      <c r="X2622" s="8"/>
      <c r="Y2622" s="8"/>
    </row>
    <row r="2623">
      <c r="A2623" s="8"/>
      <c r="B2623" s="8"/>
      <c r="C2623" s="8"/>
      <c r="D2623" s="8"/>
      <c r="E2623" s="8"/>
      <c r="F2623" s="8"/>
      <c r="G2623" s="8"/>
      <c r="H2623" s="8"/>
      <c r="I2623" s="8"/>
      <c r="J2623" s="8"/>
      <c r="K2623" s="8"/>
      <c r="L2623" s="8"/>
      <c r="M2623" s="8"/>
      <c r="N2623" s="8"/>
      <c r="O2623" s="8"/>
      <c r="P2623" s="8"/>
      <c r="Q2623" s="8"/>
      <c r="R2623" s="8"/>
      <c r="S2623" s="8"/>
      <c r="T2623" s="8"/>
      <c r="U2623" s="8"/>
      <c r="V2623" s="8"/>
      <c r="W2623" s="8"/>
      <c r="X2623" s="8"/>
      <c r="Y2623" s="8"/>
    </row>
    <row r="2624">
      <c r="A2624" s="8"/>
      <c r="B2624" s="8"/>
      <c r="C2624" s="8"/>
      <c r="D2624" s="8"/>
      <c r="E2624" s="8"/>
      <c r="F2624" s="8"/>
      <c r="G2624" s="8"/>
      <c r="H2624" s="8"/>
      <c r="I2624" s="8"/>
      <c r="J2624" s="8"/>
      <c r="K2624" s="8"/>
      <c r="L2624" s="8"/>
      <c r="M2624" s="8"/>
      <c r="N2624" s="8"/>
      <c r="O2624" s="8"/>
      <c r="P2624" s="8"/>
      <c r="Q2624" s="8"/>
      <c r="R2624" s="8"/>
      <c r="S2624" s="8"/>
      <c r="T2624" s="8"/>
      <c r="U2624" s="8"/>
      <c r="V2624" s="8"/>
      <c r="W2624" s="8"/>
      <c r="X2624" s="8"/>
      <c r="Y2624" s="8"/>
    </row>
    <row r="2625">
      <c r="A2625" s="8"/>
      <c r="B2625" s="8"/>
      <c r="C2625" s="8"/>
      <c r="D2625" s="8"/>
      <c r="E2625" s="8"/>
      <c r="F2625" s="8"/>
      <c r="G2625" s="8"/>
      <c r="H2625" s="8"/>
      <c r="I2625" s="8"/>
      <c r="J2625" s="8"/>
      <c r="K2625" s="8"/>
      <c r="L2625" s="8"/>
      <c r="M2625" s="8"/>
      <c r="N2625" s="8"/>
      <c r="O2625" s="8"/>
      <c r="P2625" s="8"/>
      <c r="Q2625" s="8"/>
      <c r="R2625" s="8"/>
      <c r="S2625" s="8"/>
      <c r="T2625" s="8"/>
      <c r="U2625" s="8"/>
      <c r="V2625" s="8"/>
      <c r="W2625" s="8"/>
      <c r="X2625" s="8"/>
      <c r="Y2625" s="8"/>
    </row>
    <row r="2626">
      <c r="A2626" s="8"/>
      <c r="B2626" s="8"/>
      <c r="C2626" s="8"/>
      <c r="D2626" s="8"/>
      <c r="E2626" s="8"/>
      <c r="F2626" s="8"/>
      <c r="G2626" s="8"/>
      <c r="H2626" s="8"/>
      <c r="I2626" s="8"/>
      <c r="J2626" s="8"/>
      <c r="K2626" s="8"/>
      <c r="L2626" s="8"/>
      <c r="M2626" s="8"/>
      <c r="N2626" s="8"/>
      <c r="O2626" s="8"/>
      <c r="P2626" s="8"/>
      <c r="Q2626" s="8"/>
      <c r="R2626" s="8"/>
      <c r="S2626" s="8"/>
      <c r="T2626" s="8"/>
      <c r="U2626" s="8"/>
      <c r="V2626" s="8"/>
      <c r="W2626" s="8"/>
      <c r="X2626" s="8"/>
      <c r="Y2626" s="8"/>
    </row>
    <row r="2627">
      <c r="A2627" s="8"/>
      <c r="B2627" s="8"/>
      <c r="C2627" s="8"/>
      <c r="D2627" s="8"/>
      <c r="E2627" s="8"/>
      <c r="F2627" s="8"/>
      <c r="G2627" s="8"/>
      <c r="H2627" s="8"/>
      <c r="I2627" s="8"/>
      <c r="J2627" s="8"/>
      <c r="K2627" s="8"/>
      <c r="L2627" s="8"/>
      <c r="M2627" s="8"/>
      <c r="N2627" s="8"/>
      <c r="O2627" s="8"/>
      <c r="P2627" s="8"/>
      <c r="Q2627" s="8"/>
      <c r="R2627" s="8"/>
      <c r="S2627" s="8"/>
      <c r="T2627" s="8"/>
      <c r="U2627" s="8"/>
      <c r="V2627" s="8"/>
      <c r="W2627" s="8"/>
      <c r="X2627" s="8"/>
      <c r="Y2627" s="8"/>
    </row>
    <row r="2628">
      <c r="A2628" s="8"/>
      <c r="B2628" s="8"/>
      <c r="C2628" s="8"/>
      <c r="D2628" s="8"/>
      <c r="E2628" s="8"/>
      <c r="F2628" s="8"/>
      <c r="G2628" s="8"/>
      <c r="H2628" s="8"/>
      <c r="I2628" s="8"/>
      <c r="J2628" s="8"/>
      <c r="K2628" s="8"/>
      <c r="L2628" s="8"/>
      <c r="M2628" s="8"/>
      <c r="N2628" s="8"/>
      <c r="O2628" s="8"/>
      <c r="P2628" s="8"/>
      <c r="Q2628" s="8"/>
      <c r="R2628" s="8"/>
      <c r="S2628" s="8"/>
      <c r="T2628" s="8"/>
      <c r="U2628" s="8"/>
      <c r="V2628" s="8"/>
      <c r="W2628" s="8"/>
      <c r="X2628" s="8"/>
      <c r="Y2628" s="8"/>
    </row>
    <row r="2629">
      <c r="A2629" s="8"/>
      <c r="B2629" s="8"/>
      <c r="C2629" s="8"/>
      <c r="D2629" s="8"/>
      <c r="E2629" s="8"/>
      <c r="F2629" s="8"/>
      <c r="G2629" s="8"/>
      <c r="H2629" s="8"/>
      <c r="I2629" s="8"/>
      <c r="J2629" s="8"/>
      <c r="K2629" s="8"/>
      <c r="L2629" s="8"/>
      <c r="M2629" s="8"/>
      <c r="N2629" s="8"/>
      <c r="O2629" s="8"/>
      <c r="P2629" s="8"/>
      <c r="Q2629" s="8"/>
      <c r="R2629" s="8"/>
      <c r="S2629" s="8"/>
      <c r="T2629" s="8"/>
      <c r="U2629" s="8"/>
      <c r="V2629" s="8"/>
      <c r="W2629" s="8"/>
      <c r="X2629" s="8"/>
      <c r="Y2629" s="8"/>
    </row>
    <row r="2630">
      <c r="A2630" s="8"/>
      <c r="B2630" s="8"/>
      <c r="C2630" s="8"/>
      <c r="D2630" s="8"/>
      <c r="E2630" s="8"/>
      <c r="F2630" s="8"/>
      <c r="G2630" s="8"/>
      <c r="H2630" s="8"/>
      <c r="I2630" s="8"/>
      <c r="J2630" s="8"/>
      <c r="K2630" s="8"/>
      <c r="L2630" s="8"/>
      <c r="M2630" s="8"/>
      <c r="N2630" s="8"/>
      <c r="O2630" s="8"/>
      <c r="P2630" s="8"/>
      <c r="Q2630" s="8"/>
      <c r="R2630" s="8"/>
      <c r="S2630" s="8"/>
      <c r="T2630" s="8"/>
      <c r="U2630" s="8"/>
      <c r="V2630" s="8"/>
      <c r="W2630" s="8"/>
      <c r="X2630" s="8"/>
      <c r="Y2630" s="8"/>
    </row>
    <row r="2631">
      <c r="A2631" s="8"/>
      <c r="B2631" s="8"/>
      <c r="C2631" s="8"/>
      <c r="D2631" s="8"/>
      <c r="E2631" s="8"/>
      <c r="F2631" s="8"/>
      <c r="G2631" s="8"/>
      <c r="H2631" s="8"/>
      <c r="I2631" s="8"/>
      <c r="J2631" s="8"/>
      <c r="K2631" s="8"/>
      <c r="L2631" s="8"/>
      <c r="M2631" s="8"/>
      <c r="N2631" s="8"/>
      <c r="O2631" s="8"/>
      <c r="P2631" s="8"/>
      <c r="Q2631" s="8"/>
      <c r="R2631" s="8"/>
      <c r="S2631" s="8"/>
      <c r="T2631" s="8"/>
      <c r="U2631" s="8"/>
      <c r="V2631" s="8"/>
      <c r="W2631" s="8"/>
      <c r="X2631" s="8"/>
      <c r="Y2631" s="8"/>
    </row>
    <row r="2632">
      <c r="A2632" s="8"/>
      <c r="B2632" s="8"/>
      <c r="C2632" s="8"/>
      <c r="D2632" s="8"/>
      <c r="E2632" s="8"/>
      <c r="F2632" s="8"/>
      <c r="G2632" s="8"/>
      <c r="H2632" s="8"/>
      <c r="I2632" s="8"/>
      <c r="J2632" s="8"/>
      <c r="K2632" s="8"/>
      <c r="L2632" s="8"/>
      <c r="M2632" s="8"/>
      <c r="N2632" s="8"/>
      <c r="O2632" s="8"/>
      <c r="P2632" s="8"/>
      <c r="Q2632" s="8"/>
      <c r="R2632" s="8"/>
      <c r="S2632" s="8"/>
      <c r="T2632" s="8"/>
      <c r="U2632" s="8"/>
      <c r="V2632" s="8"/>
      <c r="W2632" s="8"/>
      <c r="X2632" s="8"/>
      <c r="Y2632" s="8"/>
    </row>
    <row r="2633">
      <c r="A2633" s="8"/>
      <c r="B2633" s="8"/>
      <c r="C2633" s="8"/>
      <c r="D2633" s="8"/>
      <c r="E2633" s="8"/>
      <c r="F2633" s="8"/>
      <c r="G2633" s="8"/>
      <c r="H2633" s="8"/>
      <c r="I2633" s="8"/>
      <c r="J2633" s="8"/>
      <c r="K2633" s="8"/>
      <c r="L2633" s="8"/>
      <c r="M2633" s="8"/>
      <c r="N2633" s="8"/>
      <c r="O2633" s="8"/>
      <c r="P2633" s="8"/>
      <c r="Q2633" s="8"/>
      <c r="R2633" s="8"/>
      <c r="S2633" s="8"/>
      <c r="T2633" s="8"/>
      <c r="U2633" s="8"/>
      <c r="V2633" s="8"/>
      <c r="W2633" s="8"/>
      <c r="X2633" s="8"/>
      <c r="Y2633" s="8"/>
    </row>
    <row r="2634">
      <c r="A2634" s="8"/>
      <c r="B2634" s="8"/>
      <c r="C2634" s="8"/>
      <c r="D2634" s="8"/>
      <c r="E2634" s="8"/>
      <c r="F2634" s="8"/>
      <c r="G2634" s="8"/>
      <c r="H2634" s="8"/>
      <c r="I2634" s="8"/>
      <c r="J2634" s="8"/>
      <c r="K2634" s="8"/>
      <c r="L2634" s="8"/>
      <c r="M2634" s="8"/>
      <c r="N2634" s="8"/>
      <c r="O2634" s="8"/>
      <c r="P2634" s="8"/>
      <c r="Q2634" s="8"/>
      <c r="R2634" s="8"/>
      <c r="S2634" s="8"/>
      <c r="T2634" s="8"/>
      <c r="U2634" s="8"/>
      <c r="V2634" s="8"/>
      <c r="W2634" s="8"/>
      <c r="X2634" s="8"/>
      <c r="Y2634" s="8"/>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9.14"/>
    <col customWidth="1" min="2" max="2" width="8.14"/>
    <col customWidth="1" min="3" max="3" width="11.57"/>
    <col customWidth="1" min="4" max="4" width="34.14"/>
    <col customWidth="1" min="12" max="12" width="15.86"/>
    <col customWidth="1" min="13" max="13" width="31.14"/>
    <col customWidth="1" min="14" max="14" width="63.43"/>
  </cols>
  <sheetData>
    <row r="1">
      <c r="A1" s="2" t="s">
        <v>1</v>
      </c>
      <c r="B1" s="1" t="s">
        <v>737</v>
      </c>
      <c r="C1" s="1" t="s">
        <v>738</v>
      </c>
      <c r="D1" s="1" t="s">
        <v>739</v>
      </c>
      <c r="L1" s="8"/>
      <c r="M1" s="8"/>
      <c r="N1" s="8"/>
    </row>
    <row r="2">
      <c r="A2" s="2" t="s">
        <v>589</v>
      </c>
      <c r="B2" s="1">
        <v>1.0</v>
      </c>
      <c r="C2" s="14">
        <v>44392.0</v>
      </c>
      <c r="D2" s="15" t="s">
        <v>740</v>
      </c>
      <c r="L2" s="8"/>
      <c r="M2" s="8"/>
      <c r="N2" s="8"/>
    </row>
    <row r="3">
      <c r="A3" s="8"/>
      <c r="L3" s="8"/>
      <c r="M3" s="8"/>
      <c r="N3" s="8"/>
    </row>
    <row r="4">
      <c r="A4" s="8"/>
      <c r="L4" s="8"/>
      <c r="M4" s="8"/>
      <c r="N4" s="8"/>
    </row>
    <row r="5">
      <c r="A5" s="8"/>
      <c r="L5" s="8"/>
      <c r="M5" s="8"/>
      <c r="N5" s="8"/>
    </row>
    <row r="6">
      <c r="A6" s="8"/>
      <c r="L6" s="8"/>
      <c r="M6" s="8"/>
      <c r="N6" s="8"/>
    </row>
    <row r="7">
      <c r="A7" s="8"/>
      <c r="L7" s="8"/>
      <c r="M7" s="8"/>
      <c r="N7" s="8"/>
    </row>
    <row r="8">
      <c r="A8" s="8"/>
      <c r="L8" s="8"/>
      <c r="M8" s="8"/>
      <c r="N8" s="8"/>
    </row>
    <row r="9">
      <c r="A9" s="8"/>
      <c r="L9" s="8"/>
      <c r="M9" s="8"/>
      <c r="N9" s="8"/>
    </row>
    <row r="10">
      <c r="A10" s="8"/>
      <c r="L10" s="8"/>
      <c r="M10" s="8"/>
      <c r="N10" s="8"/>
    </row>
    <row r="11">
      <c r="A11" s="8"/>
      <c r="L11" s="8"/>
      <c r="M11" s="8"/>
      <c r="N11" s="8"/>
    </row>
    <row r="12">
      <c r="A12" s="8"/>
      <c r="L12" s="8"/>
      <c r="M12" s="8"/>
      <c r="N12" s="8"/>
    </row>
    <row r="13">
      <c r="A13" s="8"/>
      <c r="F13" s="1" t="s">
        <v>736</v>
      </c>
      <c r="L13" s="8"/>
      <c r="M13" s="8"/>
      <c r="N13" s="8"/>
    </row>
    <row r="14">
      <c r="A14" s="8"/>
      <c r="L14" s="8"/>
      <c r="M14" s="8"/>
      <c r="N14" s="8"/>
    </row>
    <row r="15">
      <c r="A15" s="8"/>
      <c r="L15" s="8"/>
      <c r="M15" s="8"/>
      <c r="N15" s="8"/>
    </row>
    <row r="16">
      <c r="A16" s="8"/>
      <c r="L16" s="8"/>
      <c r="M16" s="8"/>
      <c r="N16" s="8"/>
    </row>
    <row r="17">
      <c r="A17" s="8"/>
      <c r="L17" s="8"/>
      <c r="M17" s="8"/>
      <c r="N17" s="8"/>
    </row>
    <row r="18">
      <c r="A18" s="8"/>
      <c r="L18" s="8"/>
      <c r="M18" s="8"/>
      <c r="N18" s="8"/>
    </row>
    <row r="19">
      <c r="A19" s="8"/>
      <c r="L19" s="8"/>
      <c r="M19" s="8"/>
      <c r="N19" s="8"/>
    </row>
    <row r="20">
      <c r="A20" s="8"/>
      <c r="L20" s="8"/>
      <c r="M20" s="8"/>
      <c r="N20" s="8"/>
    </row>
    <row r="21">
      <c r="A21" s="8"/>
      <c r="L21" s="8"/>
      <c r="M21" s="8"/>
      <c r="N21" s="8"/>
    </row>
    <row r="22">
      <c r="A22" s="8"/>
      <c r="L22" s="8"/>
      <c r="M22" s="8"/>
      <c r="N22" s="8"/>
    </row>
    <row r="23">
      <c r="A23" s="8"/>
      <c r="L23" s="8"/>
      <c r="M23" s="8"/>
      <c r="N23" s="8"/>
    </row>
    <row r="24">
      <c r="A24" s="8"/>
      <c r="L24" s="8"/>
      <c r="M24" s="8"/>
      <c r="N24" s="8"/>
    </row>
    <row r="25">
      <c r="A25" s="8"/>
      <c r="L25" s="8"/>
      <c r="M25" s="8"/>
      <c r="N25" s="8"/>
    </row>
    <row r="26">
      <c r="A26" s="8"/>
      <c r="L26" s="8"/>
      <c r="M26" s="8"/>
      <c r="N26" s="8"/>
    </row>
    <row r="27">
      <c r="A27" s="8"/>
      <c r="L27" s="8"/>
      <c r="M27" s="8"/>
      <c r="N27" s="8"/>
    </row>
    <row r="28">
      <c r="A28" s="8"/>
      <c r="L28" s="8"/>
      <c r="M28" s="8"/>
      <c r="N28" s="8"/>
    </row>
    <row r="29">
      <c r="A29" s="8"/>
      <c r="L29" s="8"/>
      <c r="M29" s="8"/>
      <c r="N29" s="8"/>
    </row>
    <row r="30">
      <c r="A30" s="8"/>
      <c r="L30" s="8"/>
      <c r="M30" s="8"/>
      <c r="N30" s="8"/>
    </row>
    <row r="31">
      <c r="A31" s="8"/>
      <c r="L31" s="8"/>
      <c r="M31" s="8"/>
      <c r="N31" s="8"/>
    </row>
    <row r="32">
      <c r="A32" s="8"/>
      <c r="L32" s="8"/>
      <c r="M32" s="8"/>
      <c r="N32" s="8"/>
    </row>
    <row r="33">
      <c r="A33" s="8"/>
      <c r="L33" s="8"/>
      <c r="M33" s="8"/>
      <c r="N33" s="8"/>
    </row>
    <row r="34">
      <c r="A34" s="8"/>
      <c r="L34" s="8"/>
      <c r="M34" s="8"/>
      <c r="N34" s="8"/>
    </row>
    <row r="35">
      <c r="A35" s="8"/>
      <c r="L35" s="8"/>
      <c r="M35" s="8"/>
      <c r="N35" s="8"/>
    </row>
    <row r="36">
      <c r="A36" s="8"/>
      <c r="L36" s="8"/>
      <c r="M36" s="8"/>
      <c r="N36" s="8"/>
    </row>
    <row r="37">
      <c r="A37" s="8"/>
      <c r="L37" s="8"/>
      <c r="M37" s="8"/>
      <c r="N37" s="8"/>
    </row>
    <row r="38">
      <c r="A38" s="8"/>
      <c r="L38" s="8"/>
      <c r="M38" s="8"/>
      <c r="N38" s="8"/>
    </row>
    <row r="39">
      <c r="A39" s="8"/>
      <c r="L39" s="8"/>
      <c r="M39" s="8"/>
      <c r="N39" s="8"/>
    </row>
    <row r="40">
      <c r="A40" s="8"/>
      <c r="L40" s="8"/>
      <c r="M40" s="8"/>
      <c r="N40" s="8"/>
    </row>
    <row r="41">
      <c r="A41" s="8"/>
      <c r="L41" s="8"/>
      <c r="M41" s="8"/>
      <c r="N41" s="8"/>
    </row>
    <row r="42">
      <c r="A42" s="8"/>
      <c r="L42" s="8"/>
      <c r="M42" s="8"/>
      <c r="N42" s="8"/>
    </row>
    <row r="43">
      <c r="A43" s="8"/>
      <c r="L43" s="8"/>
      <c r="M43" s="8"/>
      <c r="N43" s="8"/>
    </row>
    <row r="44">
      <c r="A44" s="8"/>
      <c r="L44" s="8"/>
      <c r="M44" s="8"/>
      <c r="N44" s="8"/>
    </row>
    <row r="45">
      <c r="A45" s="8"/>
      <c r="L45" s="8"/>
      <c r="M45" s="8"/>
      <c r="N45" s="8"/>
    </row>
    <row r="46">
      <c r="A46" s="8"/>
      <c r="L46" s="8"/>
      <c r="M46" s="8"/>
      <c r="N46" s="8"/>
    </row>
    <row r="47">
      <c r="A47" s="8"/>
      <c r="L47" s="8"/>
      <c r="M47" s="8"/>
      <c r="N47" s="8"/>
    </row>
    <row r="48">
      <c r="A48" s="8"/>
      <c r="L48" s="8"/>
      <c r="M48" s="8"/>
      <c r="N48" s="8"/>
    </row>
    <row r="49">
      <c r="A49" s="8"/>
      <c r="L49" s="8"/>
      <c r="M49" s="8"/>
      <c r="N49" s="8"/>
    </row>
    <row r="50">
      <c r="A50" s="8"/>
      <c r="L50" s="8"/>
      <c r="M50" s="8"/>
      <c r="N50" s="8"/>
    </row>
    <row r="51">
      <c r="A51" s="8"/>
      <c r="L51" s="8"/>
      <c r="M51" s="8"/>
      <c r="N51" s="8"/>
    </row>
    <row r="52">
      <c r="A52" s="8"/>
      <c r="L52" s="8"/>
      <c r="M52" s="8"/>
      <c r="N52" s="8"/>
    </row>
    <row r="53">
      <c r="A53" s="8"/>
      <c r="L53" s="8"/>
      <c r="M53" s="8"/>
      <c r="N53" s="8"/>
    </row>
    <row r="54">
      <c r="A54" s="8"/>
      <c r="L54" s="8"/>
      <c r="M54" s="8"/>
      <c r="N54" s="8"/>
    </row>
    <row r="55">
      <c r="A55" s="8"/>
      <c r="L55" s="8"/>
      <c r="M55" s="8"/>
      <c r="N55" s="8"/>
    </row>
    <row r="56">
      <c r="A56" s="8"/>
      <c r="L56" s="8"/>
      <c r="M56" s="8"/>
      <c r="N56" s="8"/>
    </row>
    <row r="57">
      <c r="A57" s="8"/>
      <c r="L57" s="8"/>
      <c r="M57" s="8"/>
      <c r="N57" s="8"/>
    </row>
    <row r="58">
      <c r="A58" s="8"/>
      <c r="L58" s="8"/>
      <c r="M58" s="8"/>
      <c r="N58" s="8"/>
    </row>
    <row r="59">
      <c r="A59" s="8"/>
      <c r="L59" s="8"/>
      <c r="M59" s="8"/>
      <c r="N59" s="8"/>
    </row>
    <row r="60">
      <c r="A60" s="8"/>
      <c r="L60" s="8"/>
      <c r="M60" s="8"/>
      <c r="N60" s="8"/>
    </row>
    <row r="61">
      <c r="A61" s="8"/>
      <c r="L61" s="8"/>
      <c r="M61" s="8"/>
      <c r="N61" s="8"/>
    </row>
    <row r="62">
      <c r="A62" s="8"/>
      <c r="L62" s="8"/>
      <c r="M62" s="8"/>
      <c r="N62" s="8"/>
    </row>
    <row r="63">
      <c r="A63" s="8"/>
      <c r="L63" s="8"/>
      <c r="M63" s="8"/>
      <c r="N63" s="8"/>
    </row>
    <row r="64">
      <c r="A64" s="8"/>
      <c r="L64" s="8"/>
      <c r="M64" s="8"/>
      <c r="N64" s="8"/>
    </row>
    <row r="65">
      <c r="A65" s="8"/>
      <c r="L65" s="8"/>
      <c r="M65" s="8"/>
      <c r="N65" s="8"/>
    </row>
    <row r="66">
      <c r="A66" s="8"/>
      <c r="L66" s="8"/>
      <c r="M66" s="8"/>
      <c r="N66" s="8"/>
    </row>
    <row r="67">
      <c r="A67" s="8"/>
      <c r="L67" s="8"/>
      <c r="M67" s="8"/>
      <c r="N67" s="8"/>
    </row>
    <row r="68">
      <c r="A68" s="8"/>
      <c r="L68" s="8"/>
      <c r="M68" s="8"/>
      <c r="N68" s="8"/>
    </row>
    <row r="69">
      <c r="A69" s="8"/>
      <c r="L69" s="8"/>
      <c r="M69" s="8"/>
      <c r="N69" s="8"/>
    </row>
    <row r="70">
      <c r="A70" s="8"/>
      <c r="L70" s="8"/>
      <c r="M70" s="8"/>
      <c r="N70" s="8"/>
    </row>
    <row r="71">
      <c r="A71" s="8"/>
      <c r="L71" s="8"/>
      <c r="M71" s="8"/>
      <c r="N71" s="8"/>
    </row>
    <row r="72">
      <c r="A72" s="8"/>
      <c r="L72" s="8"/>
      <c r="M72" s="8"/>
      <c r="N72" s="8"/>
    </row>
    <row r="73">
      <c r="A73" s="8"/>
      <c r="L73" s="8"/>
      <c r="M73" s="8"/>
      <c r="N73" s="8"/>
    </row>
    <row r="74">
      <c r="A74" s="8"/>
      <c r="L74" s="8"/>
      <c r="M74" s="8"/>
      <c r="N74" s="8"/>
    </row>
    <row r="75">
      <c r="A75" s="8"/>
      <c r="L75" s="8"/>
      <c r="M75" s="8"/>
      <c r="N75" s="8"/>
    </row>
    <row r="76">
      <c r="A76" s="8"/>
      <c r="L76" s="8"/>
      <c r="M76" s="8"/>
      <c r="N76" s="8"/>
    </row>
    <row r="77">
      <c r="A77" s="8"/>
      <c r="L77" s="8"/>
      <c r="M77" s="8"/>
      <c r="N77" s="8"/>
    </row>
    <row r="78">
      <c r="A78" s="8"/>
      <c r="L78" s="8"/>
      <c r="M78" s="8"/>
      <c r="N78" s="8"/>
    </row>
    <row r="79">
      <c r="A79" s="8"/>
      <c r="L79" s="8"/>
      <c r="M79" s="8"/>
      <c r="N79" s="8"/>
    </row>
    <row r="80">
      <c r="A80" s="8"/>
      <c r="L80" s="8"/>
      <c r="M80" s="8"/>
      <c r="N80" s="8"/>
    </row>
    <row r="81">
      <c r="A81" s="8"/>
      <c r="L81" s="8"/>
      <c r="M81" s="8"/>
      <c r="N81" s="8"/>
    </row>
    <row r="82">
      <c r="A82" s="8"/>
      <c r="L82" s="8"/>
      <c r="M82" s="8"/>
      <c r="N82" s="8"/>
    </row>
    <row r="83">
      <c r="A83" s="8"/>
      <c r="L83" s="8"/>
      <c r="M83" s="8"/>
      <c r="N83" s="8"/>
    </row>
    <row r="84">
      <c r="A84" s="8"/>
      <c r="L84" s="8"/>
      <c r="M84" s="8"/>
      <c r="N84" s="8"/>
    </row>
    <row r="85">
      <c r="A85" s="8"/>
      <c r="L85" s="8"/>
      <c r="M85" s="8"/>
      <c r="N85" s="8"/>
    </row>
    <row r="86">
      <c r="A86" s="8"/>
      <c r="L86" s="8"/>
      <c r="M86" s="8"/>
      <c r="N86" s="8"/>
    </row>
    <row r="87">
      <c r="A87" s="8"/>
      <c r="L87" s="8"/>
      <c r="M87" s="8"/>
      <c r="N87" s="8"/>
    </row>
    <row r="88">
      <c r="A88" s="8"/>
      <c r="L88" s="8"/>
      <c r="M88" s="8"/>
      <c r="N88" s="8"/>
    </row>
    <row r="89">
      <c r="A89" s="8"/>
      <c r="L89" s="8"/>
      <c r="M89" s="8"/>
      <c r="N89" s="8"/>
    </row>
    <row r="90">
      <c r="A90" s="8"/>
      <c r="L90" s="8"/>
      <c r="M90" s="8"/>
      <c r="N90" s="8"/>
    </row>
    <row r="91">
      <c r="A91" s="8"/>
      <c r="L91" s="8"/>
      <c r="M91" s="8"/>
      <c r="N91" s="8"/>
    </row>
    <row r="92">
      <c r="A92" s="8"/>
      <c r="L92" s="8"/>
      <c r="M92" s="8"/>
      <c r="N92" s="8"/>
    </row>
    <row r="93">
      <c r="A93" s="8"/>
      <c r="L93" s="8"/>
      <c r="M93" s="8"/>
      <c r="N93" s="8"/>
    </row>
    <row r="94">
      <c r="A94" s="8"/>
      <c r="L94" s="8"/>
      <c r="M94" s="8"/>
      <c r="N94" s="8"/>
    </row>
    <row r="95">
      <c r="A95" s="8"/>
      <c r="L95" s="8"/>
      <c r="M95" s="8"/>
      <c r="N95" s="8"/>
    </row>
    <row r="96">
      <c r="A96" s="8"/>
      <c r="L96" s="8"/>
      <c r="M96" s="8"/>
      <c r="N96" s="8"/>
    </row>
    <row r="97">
      <c r="A97" s="8"/>
      <c r="L97" s="8"/>
      <c r="M97" s="8"/>
      <c r="N97" s="8"/>
    </row>
    <row r="98">
      <c r="A98" s="8"/>
      <c r="L98" s="8"/>
      <c r="M98" s="8"/>
      <c r="N98" s="8"/>
    </row>
    <row r="99">
      <c r="A99" s="8"/>
      <c r="L99" s="8"/>
      <c r="M99" s="8"/>
      <c r="N99" s="8"/>
    </row>
    <row r="100">
      <c r="A100" s="8"/>
      <c r="L100" s="8"/>
      <c r="M100" s="8"/>
      <c r="N100" s="8"/>
    </row>
    <row r="101">
      <c r="A101" s="8"/>
      <c r="L101" s="8"/>
      <c r="M101" s="8"/>
      <c r="N101" s="8"/>
    </row>
    <row r="102">
      <c r="A102" s="8"/>
      <c r="L102" s="8"/>
      <c r="M102" s="8"/>
      <c r="N102" s="8"/>
    </row>
    <row r="103">
      <c r="A103" s="8"/>
      <c r="L103" s="8"/>
      <c r="M103" s="8"/>
      <c r="N103" s="8"/>
    </row>
    <row r="104">
      <c r="A104" s="8"/>
      <c r="L104" s="8"/>
      <c r="M104" s="8"/>
      <c r="N104" s="8"/>
    </row>
    <row r="105">
      <c r="A105" s="8"/>
      <c r="L105" s="8"/>
      <c r="M105" s="8"/>
      <c r="N105" s="8"/>
    </row>
    <row r="106">
      <c r="A106" s="8"/>
      <c r="L106" s="8"/>
      <c r="M106" s="8"/>
      <c r="N106" s="8"/>
    </row>
    <row r="107">
      <c r="A107" s="8"/>
      <c r="L107" s="8"/>
      <c r="M107" s="8"/>
      <c r="N107" s="8"/>
    </row>
    <row r="108">
      <c r="A108" s="8"/>
      <c r="L108" s="8"/>
      <c r="M108" s="8"/>
      <c r="N108" s="8"/>
    </row>
    <row r="109">
      <c r="A109" s="8"/>
      <c r="L109" s="8"/>
      <c r="M109" s="8"/>
      <c r="N109" s="8"/>
    </row>
    <row r="110">
      <c r="A110" s="8"/>
      <c r="L110" s="8"/>
      <c r="M110" s="8"/>
      <c r="N110" s="8"/>
    </row>
    <row r="111">
      <c r="A111" s="8"/>
      <c r="L111" s="8"/>
      <c r="M111" s="8"/>
      <c r="N111" s="8"/>
    </row>
    <row r="112">
      <c r="A112" s="8"/>
      <c r="L112" s="8"/>
      <c r="M112" s="8"/>
      <c r="N112" s="8"/>
    </row>
    <row r="113">
      <c r="A113" s="8"/>
      <c r="L113" s="8"/>
      <c r="M113" s="8"/>
      <c r="N113" s="8"/>
    </row>
    <row r="114">
      <c r="A114" s="8"/>
      <c r="L114" s="8"/>
      <c r="M114" s="8"/>
      <c r="N114" s="8"/>
    </row>
    <row r="115">
      <c r="A115" s="8"/>
      <c r="L115" s="8"/>
      <c r="M115" s="8"/>
      <c r="N115" s="8"/>
    </row>
    <row r="116">
      <c r="A116" s="8"/>
      <c r="L116" s="8"/>
      <c r="M116" s="8"/>
      <c r="N116" s="8"/>
    </row>
    <row r="117">
      <c r="A117" s="8"/>
      <c r="L117" s="8"/>
      <c r="M117" s="8"/>
      <c r="N117" s="8"/>
    </row>
    <row r="118">
      <c r="A118" s="8"/>
      <c r="L118" s="8"/>
      <c r="M118" s="8"/>
      <c r="N118" s="8"/>
    </row>
    <row r="119">
      <c r="A119" s="8"/>
      <c r="L119" s="8"/>
      <c r="M119" s="8"/>
      <c r="N119" s="8"/>
    </row>
    <row r="120">
      <c r="A120" s="8"/>
      <c r="L120" s="8"/>
      <c r="M120" s="8"/>
      <c r="N120" s="8"/>
    </row>
    <row r="121">
      <c r="A121" s="8"/>
      <c r="L121" s="8"/>
      <c r="M121" s="8"/>
      <c r="N121" s="8"/>
    </row>
    <row r="122">
      <c r="A122" s="8"/>
      <c r="L122" s="8"/>
      <c r="M122" s="8"/>
      <c r="N122" s="8"/>
    </row>
    <row r="123">
      <c r="A123" s="8"/>
      <c r="L123" s="8"/>
      <c r="M123" s="8"/>
      <c r="N123" s="8"/>
    </row>
    <row r="124">
      <c r="A124" s="8"/>
      <c r="L124" s="8"/>
      <c r="M124" s="8"/>
      <c r="N124" s="8"/>
    </row>
    <row r="125">
      <c r="A125" s="8"/>
      <c r="L125" s="8"/>
      <c r="M125" s="8"/>
      <c r="N125" s="8"/>
    </row>
    <row r="126">
      <c r="A126" s="8"/>
      <c r="L126" s="8"/>
      <c r="M126" s="8"/>
      <c r="N126" s="8"/>
    </row>
    <row r="127">
      <c r="A127" s="8"/>
      <c r="L127" s="8"/>
      <c r="M127" s="8"/>
      <c r="N127" s="8"/>
    </row>
    <row r="128">
      <c r="A128" s="8"/>
      <c r="L128" s="8"/>
      <c r="M128" s="8"/>
      <c r="N128" s="8"/>
    </row>
    <row r="129">
      <c r="A129" s="8"/>
      <c r="L129" s="8"/>
      <c r="M129" s="8"/>
      <c r="N129" s="8"/>
    </row>
    <row r="130">
      <c r="A130" s="8"/>
      <c r="L130" s="8"/>
      <c r="M130" s="8"/>
      <c r="N130" s="8"/>
    </row>
    <row r="131">
      <c r="A131" s="8"/>
      <c r="L131" s="8"/>
      <c r="M131" s="8"/>
      <c r="N131" s="8"/>
    </row>
    <row r="132">
      <c r="A132" s="8"/>
      <c r="L132" s="8"/>
      <c r="M132" s="8"/>
      <c r="N132" s="8"/>
    </row>
    <row r="133">
      <c r="A133" s="8"/>
      <c r="L133" s="8"/>
      <c r="M133" s="8"/>
      <c r="N133" s="8"/>
    </row>
    <row r="134">
      <c r="A134" s="8"/>
      <c r="L134" s="8"/>
      <c r="M134" s="8"/>
      <c r="N134" s="8"/>
    </row>
    <row r="135">
      <c r="A135" s="8"/>
      <c r="L135" s="8"/>
      <c r="M135" s="8"/>
      <c r="N135" s="8"/>
    </row>
    <row r="136">
      <c r="A136" s="8"/>
      <c r="L136" s="8"/>
      <c r="M136" s="8"/>
      <c r="N136" s="8"/>
    </row>
    <row r="137">
      <c r="A137" s="8"/>
      <c r="L137" s="8"/>
      <c r="M137" s="8"/>
      <c r="N137" s="8"/>
    </row>
    <row r="138">
      <c r="A138" s="8"/>
      <c r="L138" s="8"/>
      <c r="M138" s="8"/>
      <c r="N138" s="8"/>
    </row>
    <row r="139">
      <c r="A139" s="8"/>
      <c r="L139" s="8"/>
      <c r="M139" s="8"/>
      <c r="N139" s="8"/>
    </row>
    <row r="140">
      <c r="A140" s="8"/>
      <c r="L140" s="8"/>
      <c r="M140" s="8"/>
      <c r="N140" s="8"/>
    </row>
    <row r="141">
      <c r="A141" s="8"/>
      <c r="L141" s="8"/>
      <c r="M141" s="8"/>
      <c r="N141" s="8"/>
    </row>
    <row r="142">
      <c r="A142" s="8"/>
      <c r="L142" s="8"/>
      <c r="M142" s="8"/>
      <c r="N142" s="8"/>
    </row>
    <row r="143">
      <c r="A143" s="8"/>
      <c r="L143" s="8"/>
      <c r="M143" s="8"/>
      <c r="N143" s="8"/>
    </row>
    <row r="144">
      <c r="A144" s="8"/>
      <c r="L144" s="8"/>
      <c r="M144" s="8"/>
      <c r="N144" s="8"/>
    </row>
    <row r="145">
      <c r="A145" s="8"/>
      <c r="L145" s="8"/>
      <c r="M145" s="8"/>
      <c r="N145" s="8"/>
    </row>
    <row r="146">
      <c r="A146" s="8"/>
      <c r="L146" s="8"/>
      <c r="M146" s="8"/>
      <c r="N146" s="8"/>
    </row>
    <row r="147">
      <c r="A147" s="8"/>
      <c r="L147" s="8"/>
      <c r="M147" s="8"/>
      <c r="N147" s="8"/>
    </row>
    <row r="148">
      <c r="A148" s="8"/>
      <c r="L148" s="8"/>
      <c r="M148" s="8"/>
      <c r="N148" s="8"/>
    </row>
    <row r="149">
      <c r="A149" s="8"/>
      <c r="L149" s="8"/>
      <c r="M149" s="8"/>
      <c r="N149" s="8"/>
    </row>
    <row r="150">
      <c r="A150" s="8"/>
      <c r="L150" s="8"/>
      <c r="M150" s="8"/>
      <c r="N150" s="8"/>
    </row>
    <row r="151">
      <c r="A151" s="8"/>
      <c r="L151" s="8"/>
      <c r="M151" s="8"/>
      <c r="N151" s="8"/>
    </row>
    <row r="152">
      <c r="A152" s="8"/>
      <c r="L152" s="8"/>
      <c r="M152" s="8"/>
      <c r="N152" s="8"/>
    </row>
    <row r="153">
      <c r="A153" s="8"/>
      <c r="L153" s="8"/>
      <c r="M153" s="8"/>
      <c r="N153" s="8"/>
    </row>
    <row r="154">
      <c r="A154" s="8"/>
      <c r="L154" s="8"/>
      <c r="M154" s="8"/>
      <c r="N154" s="8"/>
    </row>
    <row r="155">
      <c r="A155" s="8"/>
      <c r="L155" s="8"/>
      <c r="M155" s="8"/>
      <c r="N155" s="8"/>
    </row>
    <row r="156">
      <c r="A156" s="8"/>
      <c r="L156" s="8"/>
      <c r="M156" s="8"/>
      <c r="N156" s="8"/>
    </row>
    <row r="157">
      <c r="A157" s="8"/>
      <c r="L157" s="8"/>
      <c r="M157" s="8"/>
      <c r="N157" s="8"/>
    </row>
    <row r="158">
      <c r="A158" s="8"/>
      <c r="L158" s="8"/>
      <c r="M158" s="8"/>
      <c r="N158" s="8"/>
    </row>
    <row r="159">
      <c r="A159" s="8"/>
      <c r="L159" s="8"/>
      <c r="M159" s="8"/>
      <c r="N159" s="8"/>
    </row>
    <row r="160">
      <c r="A160" s="8"/>
      <c r="L160" s="8"/>
      <c r="M160" s="8"/>
      <c r="N160" s="8"/>
    </row>
    <row r="161">
      <c r="A161" s="8"/>
      <c r="L161" s="8"/>
      <c r="M161" s="8"/>
      <c r="N161" s="8"/>
    </row>
    <row r="162">
      <c r="A162" s="8"/>
      <c r="L162" s="8"/>
      <c r="M162" s="8"/>
      <c r="N162" s="8"/>
    </row>
    <row r="163">
      <c r="A163" s="8"/>
      <c r="L163" s="8"/>
      <c r="M163" s="8"/>
      <c r="N163" s="8"/>
    </row>
    <row r="164">
      <c r="A164" s="8"/>
      <c r="L164" s="8"/>
      <c r="M164" s="8"/>
      <c r="N164" s="8"/>
    </row>
    <row r="165">
      <c r="A165" s="8"/>
      <c r="L165" s="8"/>
      <c r="M165" s="8"/>
      <c r="N165" s="8"/>
    </row>
    <row r="166">
      <c r="A166" s="8"/>
      <c r="L166" s="8"/>
      <c r="M166" s="8"/>
      <c r="N166" s="8"/>
    </row>
    <row r="167">
      <c r="A167" s="8"/>
      <c r="L167" s="8"/>
      <c r="M167" s="8"/>
      <c r="N167" s="8"/>
    </row>
    <row r="168">
      <c r="A168" s="8"/>
      <c r="L168" s="8"/>
      <c r="M168" s="8"/>
      <c r="N168" s="8"/>
    </row>
    <row r="169">
      <c r="A169" s="8"/>
      <c r="L169" s="8"/>
      <c r="M169" s="8"/>
      <c r="N169" s="8"/>
    </row>
    <row r="170">
      <c r="A170" s="8"/>
      <c r="L170" s="8"/>
      <c r="M170" s="8"/>
      <c r="N170" s="8"/>
    </row>
    <row r="171">
      <c r="A171" s="8"/>
      <c r="L171" s="8"/>
      <c r="M171" s="8"/>
      <c r="N171" s="8"/>
    </row>
    <row r="172">
      <c r="A172" s="8"/>
      <c r="L172" s="8"/>
      <c r="M172" s="8"/>
      <c r="N172" s="8"/>
    </row>
    <row r="173">
      <c r="A173" s="8"/>
      <c r="L173" s="8"/>
      <c r="M173" s="8"/>
      <c r="N173" s="8"/>
    </row>
    <row r="174">
      <c r="A174" s="8"/>
      <c r="L174" s="8"/>
      <c r="M174" s="8"/>
      <c r="N174" s="8"/>
    </row>
    <row r="175">
      <c r="A175" s="8"/>
      <c r="L175" s="8"/>
      <c r="M175" s="8"/>
      <c r="N175" s="8"/>
    </row>
    <row r="176">
      <c r="A176" s="8"/>
      <c r="L176" s="8"/>
      <c r="M176" s="8"/>
      <c r="N176" s="8"/>
    </row>
    <row r="177">
      <c r="A177" s="8"/>
      <c r="L177" s="8"/>
      <c r="M177" s="8"/>
      <c r="N177" s="8"/>
    </row>
    <row r="178">
      <c r="A178" s="8"/>
      <c r="L178" s="8"/>
      <c r="M178" s="8"/>
      <c r="N178" s="8"/>
    </row>
    <row r="179">
      <c r="A179" s="8"/>
      <c r="L179" s="8"/>
      <c r="M179" s="8"/>
      <c r="N179" s="8"/>
    </row>
    <row r="180">
      <c r="A180" s="8"/>
      <c r="L180" s="8"/>
      <c r="M180" s="8"/>
      <c r="N180" s="8"/>
    </row>
    <row r="181">
      <c r="A181" s="8"/>
      <c r="L181" s="8"/>
      <c r="M181" s="8"/>
      <c r="N181" s="8"/>
    </row>
    <row r="182">
      <c r="A182" s="8"/>
      <c r="L182" s="8"/>
      <c r="M182" s="8"/>
      <c r="N182" s="8"/>
    </row>
    <row r="183">
      <c r="A183" s="8"/>
      <c r="L183" s="8"/>
      <c r="M183" s="8"/>
      <c r="N183" s="8"/>
    </row>
    <row r="184">
      <c r="A184" s="8"/>
      <c r="L184" s="8"/>
      <c r="M184" s="8"/>
      <c r="N184" s="8"/>
    </row>
    <row r="185">
      <c r="A185" s="8"/>
      <c r="L185" s="8"/>
      <c r="M185" s="8"/>
      <c r="N185" s="8"/>
    </row>
    <row r="186">
      <c r="A186" s="8"/>
      <c r="L186" s="8"/>
      <c r="M186" s="8"/>
      <c r="N186" s="8"/>
    </row>
    <row r="187">
      <c r="A187" s="8"/>
      <c r="L187" s="8"/>
      <c r="M187" s="8"/>
      <c r="N187" s="8"/>
    </row>
    <row r="188">
      <c r="A188" s="8"/>
      <c r="L188" s="8"/>
      <c r="M188" s="8"/>
      <c r="N188" s="8"/>
    </row>
    <row r="189">
      <c r="A189" s="8"/>
      <c r="L189" s="8"/>
      <c r="M189" s="8"/>
      <c r="N189" s="8"/>
    </row>
    <row r="190">
      <c r="A190" s="8"/>
      <c r="L190" s="8"/>
      <c r="M190" s="8"/>
      <c r="N190" s="8"/>
    </row>
    <row r="191">
      <c r="A191" s="8"/>
      <c r="L191" s="8"/>
      <c r="M191" s="8"/>
      <c r="N191" s="8"/>
    </row>
    <row r="192">
      <c r="A192" s="8"/>
      <c r="L192" s="8"/>
      <c r="M192" s="8"/>
      <c r="N192" s="8"/>
    </row>
    <row r="193">
      <c r="A193" s="8"/>
      <c r="L193" s="8"/>
      <c r="M193" s="8"/>
      <c r="N193" s="8"/>
    </row>
    <row r="194">
      <c r="A194" s="8"/>
      <c r="L194" s="8"/>
      <c r="M194" s="8"/>
      <c r="N194" s="8"/>
    </row>
    <row r="195">
      <c r="A195" s="8"/>
      <c r="L195" s="8"/>
      <c r="M195" s="8"/>
      <c r="N195" s="8"/>
    </row>
    <row r="196">
      <c r="A196" s="8"/>
      <c r="L196" s="8"/>
      <c r="M196" s="8"/>
      <c r="N196" s="8"/>
    </row>
    <row r="197">
      <c r="A197" s="8"/>
      <c r="L197" s="8"/>
      <c r="M197" s="8"/>
      <c r="N197" s="8"/>
    </row>
    <row r="198">
      <c r="A198" s="8"/>
      <c r="L198" s="8"/>
      <c r="M198" s="8"/>
      <c r="N198" s="8"/>
    </row>
    <row r="199">
      <c r="A199" s="8"/>
      <c r="L199" s="8"/>
      <c r="M199" s="8"/>
      <c r="N199" s="8"/>
    </row>
    <row r="200">
      <c r="A200" s="8"/>
      <c r="L200" s="8"/>
      <c r="M200" s="8"/>
      <c r="N200" s="8"/>
    </row>
    <row r="201">
      <c r="A201" s="8"/>
      <c r="L201" s="8"/>
      <c r="M201" s="8"/>
      <c r="N201" s="8"/>
    </row>
    <row r="202">
      <c r="A202" s="8"/>
      <c r="L202" s="8"/>
      <c r="M202" s="8"/>
      <c r="N202" s="8"/>
    </row>
    <row r="203">
      <c r="A203" s="8"/>
      <c r="L203" s="8"/>
      <c r="M203" s="8"/>
      <c r="N203" s="8"/>
    </row>
    <row r="204">
      <c r="A204" s="8"/>
      <c r="L204" s="8"/>
      <c r="M204" s="8"/>
      <c r="N204" s="8"/>
    </row>
    <row r="205">
      <c r="A205" s="8"/>
      <c r="L205" s="8"/>
      <c r="M205" s="8"/>
      <c r="N205" s="8"/>
    </row>
    <row r="206">
      <c r="A206" s="8"/>
      <c r="L206" s="8"/>
      <c r="M206" s="8"/>
      <c r="N206" s="8"/>
    </row>
    <row r="207">
      <c r="A207" s="8"/>
      <c r="L207" s="8"/>
      <c r="M207" s="8"/>
      <c r="N207" s="8"/>
    </row>
    <row r="208">
      <c r="A208" s="8"/>
      <c r="L208" s="8"/>
      <c r="M208" s="8"/>
      <c r="N208" s="8"/>
    </row>
    <row r="209">
      <c r="A209" s="8"/>
      <c r="L209" s="8"/>
      <c r="M209" s="8"/>
      <c r="N209" s="8"/>
    </row>
    <row r="210">
      <c r="A210" s="8"/>
      <c r="L210" s="8"/>
      <c r="M210" s="8"/>
      <c r="N210" s="8"/>
    </row>
    <row r="211">
      <c r="A211" s="8"/>
      <c r="L211" s="8"/>
      <c r="M211" s="8"/>
      <c r="N211" s="8"/>
    </row>
    <row r="212">
      <c r="A212" s="8"/>
      <c r="L212" s="8"/>
      <c r="M212" s="8"/>
      <c r="N212" s="8"/>
    </row>
    <row r="213">
      <c r="A213" s="8"/>
      <c r="L213" s="8"/>
      <c r="M213" s="8"/>
      <c r="N213" s="8"/>
    </row>
    <row r="214">
      <c r="A214" s="8"/>
      <c r="L214" s="8"/>
      <c r="M214" s="8"/>
      <c r="N214" s="8"/>
    </row>
    <row r="215">
      <c r="A215" s="8"/>
      <c r="L215" s="8"/>
      <c r="M215" s="8"/>
      <c r="N215" s="8"/>
    </row>
    <row r="216">
      <c r="A216" s="8"/>
      <c r="L216" s="8"/>
      <c r="M216" s="8"/>
      <c r="N216" s="8"/>
    </row>
    <row r="217">
      <c r="A217" s="8"/>
      <c r="L217" s="8"/>
      <c r="M217" s="8"/>
      <c r="N217" s="8"/>
    </row>
    <row r="218">
      <c r="A218" s="8"/>
      <c r="L218" s="8"/>
      <c r="M218" s="8"/>
      <c r="N218" s="8"/>
    </row>
    <row r="219">
      <c r="A219" s="8"/>
      <c r="L219" s="8"/>
      <c r="M219" s="8"/>
      <c r="N219" s="8"/>
    </row>
    <row r="220">
      <c r="A220" s="8"/>
      <c r="L220" s="8"/>
      <c r="M220" s="8"/>
      <c r="N220" s="8"/>
    </row>
    <row r="221">
      <c r="A221" s="8"/>
      <c r="L221" s="8"/>
      <c r="M221" s="8"/>
      <c r="N221" s="8"/>
    </row>
    <row r="222">
      <c r="A222" s="8"/>
      <c r="L222" s="8"/>
      <c r="M222" s="8"/>
      <c r="N222" s="8"/>
    </row>
    <row r="223">
      <c r="A223" s="8"/>
      <c r="L223" s="8"/>
      <c r="M223" s="8"/>
      <c r="N223" s="8"/>
    </row>
    <row r="224">
      <c r="A224" s="8"/>
      <c r="L224" s="8"/>
      <c r="M224" s="8"/>
      <c r="N224" s="8"/>
    </row>
    <row r="225">
      <c r="A225" s="8"/>
      <c r="L225" s="8"/>
      <c r="M225" s="8"/>
      <c r="N225" s="8"/>
    </row>
    <row r="226">
      <c r="A226" s="8"/>
      <c r="L226" s="8"/>
      <c r="M226" s="8"/>
      <c r="N226" s="8"/>
    </row>
    <row r="227">
      <c r="A227" s="8"/>
      <c r="L227" s="8"/>
      <c r="M227" s="8"/>
      <c r="N227" s="8"/>
    </row>
    <row r="228">
      <c r="A228" s="8"/>
      <c r="L228" s="8"/>
      <c r="M228" s="8"/>
      <c r="N228" s="8"/>
    </row>
    <row r="229">
      <c r="A229" s="8"/>
      <c r="L229" s="8"/>
      <c r="M229" s="8"/>
      <c r="N229" s="8"/>
    </row>
    <row r="230">
      <c r="A230" s="8"/>
      <c r="L230" s="8"/>
      <c r="M230" s="8"/>
      <c r="N230" s="8"/>
    </row>
    <row r="231">
      <c r="A231" s="8"/>
      <c r="L231" s="8"/>
      <c r="M231" s="8"/>
      <c r="N231" s="8"/>
    </row>
    <row r="232">
      <c r="A232" s="8"/>
      <c r="L232" s="8"/>
      <c r="M232" s="8"/>
      <c r="N232" s="8"/>
    </row>
    <row r="233">
      <c r="A233" s="8"/>
      <c r="L233" s="8"/>
      <c r="M233" s="8"/>
      <c r="N233" s="8"/>
    </row>
    <row r="234">
      <c r="A234" s="8"/>
      <c r="L234" s="8"/>
      <c r="M234" s="8"/>
      <c r="N234" s="8"/>
    </row>
    <row r="235">
      <c r="A235" s="8"/>
      <c r="L235" s="8"/>
      <c r="M235" s="8"/>
      <c r="N235" s="8"/>
    </row>
    <row r="236">
      <c r="A236" s="8"/>
      <c r="L236" s="8"/>
      <c r="M236" s="8"/>
      <c r="N236" s="8"/>
    </row>
    <row r="237">
      <c r="A237" s="8"/>
      <c r="L237" s="8"/>
      <c r="M237" s="8"/>
      <c r="N237" s="8"/>
    </row>
    <row r="238">
      <c r="A238" s="8"/>
      <c r="L238" s="8"/>
      <c r="M238" s="8"/>
      <c r="N238" s="8"/>
    </row>
    <row r="239">
      <c r="A239" s="8"/>
      <c r="L239" s="8"/>
      <c r="M239" s="8"/>
      <c r="N239" s="8"/>
    </row>
    <row r="240">
      <c r="A240" s="8"/>
      <c r="L240" s="8"/>
      <c r="M240" s="8"/>
      <c r="N240" s="8"/>
    </row>
    <row r="241">
      <c r="A241" s="8"/>
      <c r="L241" s="8"/>
      <c r="M241" s="8"/>
      <c r="N241" s="8"/>
    </row>
    <row r="242">
      <c r="A242" s="8"/>
      <c r="L242" s="8"/>
      <c r="M242" s="8"/>
      <c r="N242" s="8"/>
    </row>
    <row r="243">
      <c r="A243" s="8"/>
      <c r="L243" s="8"/>
      <c r="M243" s="8"/>
      <c r="N243" s="8"/>
    </row>
    <row r="244">
      <c r="A244" s="8"/>
      <c r="L244" s="8"/>
      <c r="M244" s="8"/>
      <c r="N244" s="8"/>
    </row>
    <row r="245">
      <c r="A245" s="8"/>
      <c r="L245" s="8"/>
      <c r="M245" s="8"/>
      <c r="N245" s="8"/>
    </row>
    <row r="246">
      <c r="A246" s="8"/>
      <c r="L246" s="8"/>
      <c r="M246" s="8"/>
      <c r="N246" s="8"/>
    </row>
    <row r="247">
      <c r="A247" s="8"/>
      <c r="L247" s="8"/>
      <c r="M247" s="8"/>
      <c r="N247" s="8"/>
    </row>
    <row r="248">
      <c r="A248" s="8"/>
      <c r="L248" s="8"/>
      <c r="M248" s="8"/>
      <c r="N248" s="8"/>
    </row>
    <row r="249">
      <c r="A249" s="8"/>
      <c r="L249" s="8"/>
      <c r="M249" s="8"/>
      <c r="N249" s="8"/>
    </row>
    <row r="250">
      <c r="A250" s="8"/>
      <c r="L250" s="8"/>
      <c r="M250" s="8"/>
      <c r="N250" s="8"/>
    </row>
    <row r="251">
      <c r="A251" s="8"/>
      <c r="L251" s="8"/>
      <c r="M251" s="8"/>
      <c r="N251" s="8"/>
    </row>
    <row r="252">
      <c r="A252" s="8"/>
      <c r="L252" s="8"/>
      <c r="M252" s="8"/>
      <c r="N252" s="8"/>
    </row>
    <row r="253">
      <c r="A253" s="8"/>
      <c r="L253" s="8"/>
      <c r="M253" s="8"/>
      <c r="N253" s="8"/>
    </row>
    <row r="254">
      <c r="A254" s="8"/>
      <c r="L254" s="8"/>
      <c r="M254" s="8"/>
      <c r="N254" s="8"/>
    </row>
    <row r="255">
      <c r="A255" s="8"/>
      <c r="L255" s="8"/>
      <c r="M255" s="8"/>
      <c r="N255" s="8"/>
    </row>
    <row r="256">
      <c r="A256" s="8"/>
      <c r="L256" s="8"/>
      <c r="M256" s="8"/>
      <c r="N256" s="8"/>
    </row>
    <row r="257">
      <c r="A257" s="8"/>
      <c r="L257" s="8"/>
      <c r="M257" s="8"/>
      <c r="N257" s="8"/>
    </row>
    <row r="258">
      <c r="A258" s="8"/>
      <c r="L258" s="8"/>
      <c r="M258" s="8"/>
      <c r="N258" s="8"/>
    </row>
    <row r="259">
      <c r="A259" s="8"/>
      <c r="L259" s="8"/>
      <c r="M259" s="8"/>
      <c r="N259" s="8"/>
    </row>
    <row r="260">
      <c r="A260" s="8"/>
      <c r="L260" s="8"/>
      <c r="M260" s="8"/>
      <c r="N260" s="8"/>
    </row>
    <row r="261">
      <c r="A261" s="8"/>
      <c r="L261" s="8"/>
      <c r="M261" s="8"/>
      <c r="N261" s="8"/>
    </row>
    <row r="262">
      <c r="A262" s="8"/>
      <c r="L262" s="8"/>
      <c r="M262" s="8"/>
      <c r="N262" s="8"/>
    </row>
    <row r="263">
      <c r="A263" s="8"/>
      <c r="L263" s="8"/>
      <c r="M263" s="8"/>
      <c r="N263" s="8"/>
    </row>
    <row r="264">
      <c r="A264" s="8"/>
      <c r="L264" s="8"/>
      <c r="M264" s="8"/>
      <c r="N264" s="8"/>
    </row>
    <row r="265">
      <c r="A265" s="8"/>
      <c r="L265" s="8"/>
      <c r="M265" s="8"/>
      <c r="N265" s="8"/>
    </row>
    <row r="266">
      <c r="A266" s="8"/>
      <c r="L266" s="8"/>
      <c r="M266" s="8"/>
      <c r="N266" s="8"/>
    </row>
    <row r="267">
      <c r="A267" s="8"/>
      <c r="L267" s="8"/>
      <c r="M267" s="8"/>
      <c r="N267" s="8"/>
    </row>
    <row r="268">
      <c r="A268" s="8"/>
      <c r="L268" s="8"/>
      <c r="M268" s="8"/>
      <c r="N268" s="8"/>
    </row>
    <row r="269">
      <c r="A269" s="8"/>
      <c r="L269" s="8"/>
      <c r="M269" s="8"/>
      <c r="N269" s="8"/>
    </row>
    <row r="270">
      <c r="A270" s="8"/>
      <c r="L270" s="8"/>
      <c r="M270" s="8"/>
      <c r="N270" s="8"/>
    </row>
    <row r="271">
      <c r="A271" s="8"/>
      <c r="L271" s="8"/>
      <c r="M271" s="8"/>
      <c r="N271" s="8"/>
    </row>
    <row r="272">
      <c r="A272" s="8"/>
      <c r="L272" s="8"/>
      <c r="M272" s="8"/>
      <c r="N272" s="8"/>
    </row>
    <row r="273">
      <c r="A273" s="8"/>
      <c r="L273" s="8"/>
      <c r="M273" s="8"/>
      <c r="N273" s="8"/>
    </row>
    <row r="274">
      <c r="A274" s="8"/>
      <c r="L274" s="8"/>
      <c r="M274" s="8"/>
      <c r="N274" s="8"/>
    </row>
    <row r="275">
      <c r="A275" s="8"/>
      <c r="L275" s="8"/>
      <c r="M275" s="8"/>
      <c r="N275" s="8"/>
    </row>
    <row r="276">
      <c r="A276" s="8"/>
      <c r="L276" s="8"/>
      <c r="M276" s="8"/>
      <c r="N276" s="8"/>
    </row>
    <row r="277">
      <c r="A277" s="8"/>
      <c r="L277" s="8"/>
      <c r="M277" s="8"/>
      <c r="N277" s="8"/>
    </row>
    <row r="278">
      <c r="A278" s="8"/>
      <c r="L278" s="8"/>
      <c r="M278" s="8"/>
      <c r="N278" s="8"/>
    </row>
    <row r="279">
      <c r="A279" s="8"/>
      <c r="L279" s="8"/>
      <c r="M279" s="8"/>
      <c r="N279" s="8"/>
    </row>
    <row r="280">
      <c r="A280" s="8"/>
      <c r="L280" s="8"/>
      <c r="M280" s="8"/>
      <c r="N280" s="8"/>
    </row>
    <row r="281">
      <c r="A281" s="8"/>
      <c r="L281" s="8"/>
      <c r="M281" s="8"/>
      <c r="N281" s="8"/>
    </row>
    <row r="282">
      <c r="A282" s="8"/>
      <c r="L282" s="8"/>
      <c r="M282" s="8"/>
      <c r="N282" s="8"/>
    </row>
    <row r="283">
      <c r="A283" s="8"/>
      <c r="L283" s="8"/>
      <c r="M283" s="8"/>
      <c r="N283" s="8"/>
    </row>
    <row r="284">
      <c r="A284" s="8"/>
      <c r="L284" s="8"/>
      <c r="M284" s="8"/>
      <c r="N284" s="8"/>
    </row>
    <row r="285">
      <c r="A285" s="8"/>
      <c r="L285" s="8"/>
      <c r="M285" s="8"/>
      <c r="N285" s="8"/>
    </row>
    <row r="286">
      <c r="A286" s="8"/>
      <c r="L286" s="8"/>
      <c r="M286" s="8"/>
      <c r="N286" s="8"/>
    </row>
    <row r="287">
      <c r="A287" s="8"/>
      <c r="L287" s="8"/>
      <c r="M287" s="8"/>
      <c r="N287" s="8"/>
    </row>
    <row r="288">
      <c r="A288" s="8"/>
      <c r="L288" s="8"/>
      <c r="M288" s="8"/>
      <c r="N288" s="8"/>
    </row>
    <row r="289">
      <c r="A289" s="8"/>
      <c r="L289" s="8"/>
      <c r="M289" s="8"/>
      <c r="N289" s="8"/>
    </row>
    <row r="290">
      <c r="A290" s="8"/>
      <c r="L290" s="8"/>
      <c r="M290" s="8"/>
      <c r="N290" s="8"/>
    </row>
    <row r="291">
      <c r="A291" s="8"/>
      <c r="L291" s="8"/>
      <c r="M291" s="8"/>
      <c r="N291" s="8"/>
    </row>
    <row r="292">
      <c r="A292" s="8"/>
      <c r="L292" s="8"/>
      <c r="M292" s="8"/>
      <c r="N292" s="8"/>
    </row>
    <row r="293">
      <c r="A293" s="8"/>
      <c r="L293" s="8"/>
      <c r="M293" s="8"/>
      <c r="N293" s="8"/>
    </row>
    <row r="294">
      <c r="A294" s="8"/>
      <c r="L294" s="8"/>
      <c r="M294" s="8"/>
      <c r="N294" s="8"/>
    </row>
    <row r="295">
      <c r="A295" s="8"/>
      <c r="L295" s="8"/>
      <c r="M295" s="8"/>
      <c r="N295" s="8"/>
    </row>
    <row r="296">
      <c r="A296" s="8"/>
      <c r="L296" s="8"/>
      <c r="M296" s="8"/>
      <c r="N296" s="8"/>
    </row>
    <row r="297">
      <c r="A297" s="8"/>
      <c r="L297" s="8"/>
      <c r="M297" s="8"/>
      <c r="N297" s="8"/>
    </row>
    <row r="298">
      <c r="A298" s="8"/>
      <c r="L298" s="8"/>
      <c r="M298" s="8"/>
      <c r="N298" s="8"/>
    </row>
    <row r="299">
      <c r="A299" s="8"/>
      <c r="L299" s="8"/>
      <c r="M299" s="8"/>
      <c r="N299" s="8"/>
    </row>
    <row r="300">
      <c r="A300" s="8"/>
      <c r="L300" s="8"/>
      <c r="M300" s="8"/>
      <c r="N300" s="8"/>
    </row>
    <row r="301">
      <c r="A301" s="8"/>
      <c r="L301" s="8"/>
      <c r="M301" s="8"/>
      <c r="N301" s="8"/>
    </row>
    <row r="302">
      <c r="A302" s="8"/>
      <c r="L302" s="8"/>
      <c r="M302" s="8"/>
      <c r="N302" s="8"/>
    </row>
    <row r="303">
      <c r="A303" s="8"/>
      <c r="L303" s="8"/>
      <c r="M303" s="8"/>
      <c r="N303" s="8"/>
    </row>
    <row r="304">
      <c r="A304" s="8"/>
      <c r="L304" s="8"/>
      <c r="M304" s="8"/>
      <c r="N304" s="8"/>
    </row>
    <row r="305">
      <c r="A305" s="8"/>
      <c r="L305" s="8"/>
      <c r="M305" s="8"/>
      <c r="N305" s="8"/>
    </row>
    <row r="306">
      <c r="A306" s="8"/>
      <c r="L306" s="8"/>
      <c r="M306" s="8"/>
      <c r="N306" s="8"/>
    </row>
    <row r="307">
      <c r="A307" s="8"/>
      <c r="L307" s="8"/>
      <c r="M307" s="8"/>
      <c r="N307" s="8"/>
    </row>
    <row r="308">
      <c r="A308" s="8"/>
      <c r="L308" s="8"/>
      <c r="M308" s="8"/>
      <c r="N308" s="8"/>
    </row>
    <row r="309">
      <c r="A309" s="8"/>
      <c r="L309" s="8"/>
      <c r="M309" s="8"/>
      <c r="N309" s="8"/>
    </row>
    <row r="310">
      <c r="A310" s="8"/>
      <c r="L310" s="8"/>
      <c r="M310" s="8"/>
      <c r="N310" s="8"/>
    </row>
    <row r="311">
      <c r="A311" s="8"/>
      <c r="L311" s="8"/>
      <c r="M311" s="8"/>
      <c r="N311" s="8"/>
    </row>
    <row r="312">
      <c r="A312" s="8"/>
      <c r="L312" s="8"/>
      <c r="M312" s="8"/>
      <c r="N312" s="8"/>
    </row>
    <row r="313">
      <c r="A313" s="8"/>
      <c r="L313" s="8"/>
      <c r="M313" s="8"/>
      <c r="N313" s="8"/>
    </row>
    <row r="314">
      <c r="A314" s="8"/>
      <c r="L314" s="8"/>
      <c r="M314" s="8"/>
      <c r="N314" s="8"/>
    </row>
    <row r="315">
      <c r="A315" s="8"/>
      <c r="L315" s="8"/>
      <c r="M315" s="8"/>
      <c r="N315" s="8"/>
    </row>
    <row r="316">
      <c r="A316" s="8"/>
      <c r="L316" s="8"/>
      <c r="M316" s="8"/>
      <c r="N316" s="8"/>
    </row>
    <row r="317">
      <c r="A317" s="8"/>
      <c r="L317" s="8"/>
      <c r="M317" s="8"/>
      <c r="N317" s="8"/>
    </row>
    <row r="318">
      <c r="A318" s="8"/>
      <c r="L318" s="8"/>
      <c r="M318" s="8"/>
      <c r="N318" s="8"/>
    </row>
    <row r="319">
      <c r="A319" s="8"/>
      <c r="L319" s="8"/>
      <c r="M319" s="8"/>
      <c r="N319" s="8"/>
    </row>
    <row r="320">
      <c r="A320" s="8"/>
      <c r="L320" s="8"/>
      <c r="M320" s="8"/>
      <c r="N320" s="8"/>
    </row>
    <row r="321">
      <c r="A321" s="8"/>
      <c r="L321" s="8"/>
      <c r="M321" s="8"/>
      <c r="N321" s="8"/>
    </row>
    <row r="322">
      <c r="A322" s="8"/>
      <c r="L322" s="8"/>
      <c r="M322" s="8"/>
      <c r="N322" s="8"/>
    </row>
    <row r="323">
      <c r="A323" s="8"/>
      <c r="L323" s="8"/>
      <c r="M323" s="8"/>
      <c r="N323" s="8"/>
    </row>
    <row r="324">
      <c r="A324" s="8"/>
      <c r="L324" s="8"/>
      <c r="M324" s="8"/>
      <c r="N324" s="8"/>
    </row>
    <row r="325">
      <c r="A325" s="8"/>
      <c r="L325" s="8"/>
      <c r="M325" s="8"/>
      <c r="N325" s="8"/>
    </row>
    <row r="326">
      <c r="A326" s="8"/>
      <c r="L326" s="8"/>
      <c r="M326" s="8"/>
      <c r="N326" s="8"/>
    </row>
    <row r="327">
      <c r="A327" s="8"/>
      <c r="L327" s="8"/>
      <c r="M327" s="8"/>
      <c r="N327" s="8"/>
    </row>
    <row r="328">
      <c r="A328" s="8"/>
      <c r="L328" s="8"/>
      <c r="M328" s="8"/>
      <c r="N328" s="8"/>
    </row>
    <row r="329">
      <c r="A329" s="8"/>
      <c r="L329" s="8"/>
      <c r="M329" s="8"/>
      <c r="N329" s="8"/>
    </row>
    <row r="330">
      <c r="A330" s="8"/>
      <c r="L330" s="8"/>
      <c r="M330" s="8"/>
      <c r="N330" s="8"/>
    </row>
    <row r="331">
      <c r="A331" s="8"/>
      <c r="L331" s="8"/>
      <c r="M331" s="8"/>
      <c r="N331" s="8"/>
    </row>
    <row r="332">
      <c r="A332" s="8"/>
      <c r="L332" s="8"/>
      <c r="M332" s="8"/>
      <c r="N332" s="8"/>
    </row>
    <row r="333">
      <c r="A333" s="8"/>
      <c r="L333" s="8"/>
      <c r="M333" s="8"/>
      <c r="N333" s="8"/>
    </row>
    <row r="334">
      <c r="A334" s="8"/>
      <c r="L334" s="8"/>
      <c r="M334" s="8"/>
      <c r="N334" s="8"/>
    </row>
    <row r="335">
      <c r="A335" s="8"/>
      <c r="L335" s="8"/>
      <c r="M335" s="8"/>
      <c r="N335" s="8"/>
    </row>
    <row r="336">
      <c r="A336" s="8"/>
      <c r="L336" s="8"/>
      <c r="M336" s="8"/>
      <c r="N336" s="8"/>
    </row>
    <row r="337">
      <c r="A337" s="8"/>
      <c r="L337" s="8"/>
      <c r="M337" s="8"/>
      <c r="N337" s="8"/>
    </row>
    <row r="338">
      <c r="A338" s="8"/>
      <c r="L338" s="8"/>
      <c r="M338" s="8"/>
      <c r="N338" s="8"/>
    </row>
    <row r="339">
      <c r="A339" s="8"/>
      <c r="L339" s="8"/>
      <c r="M339" s="8"/>
      <c r="N339" s="8"/>
    </row>
    <row r="340">
      <c r="A340" s="8"/>
      <c r="L340" s="8"/>
      <c r="M340" s="8"/>
      <c r="N340" s="8"/>
    </row>
    <row r="341">
      <c r="A341" s="8"/>
      <c r="L341" s="8"/>
      <c r="M341" s="8"/>
      <c r="N341" s="8"/>
    </row>
    <row r="342">
      <c r="A342" s="8"/>
      <c r="L342" s="8"/>
      <c r="M342" s="8"/>
      <c r="N342" s="8"/>
    </row>
    <row r="343">
      <c r="A343" s="8"/>
      <c r="L343" s="8"/>
      <c r="M343" s="8"/>
      <c r="N343" s="8"/>
    </row>
    <row r="344">
      <c r="A344" s="8"/>
      <c r="L344" s="8"/>
      <c r="M344" s="8"/>
      <c r="N344" s="8"/>
    </row>
    <row r="345">
      <c r="A345" s="8"/>
      <c r="L345" s="8"/>
      <c r="M345" s="8"/>
      <c r="N345" s="8"/>
    </row>
    <row r="346">
      <c r="A346" s="8"/>
      <c r="L346" s="8"/>
      <c r="M346" s="8"/>
      <c r="N346" s="8"/>
    </row>
    <row r="347">
      <c r="A347" s="8"/>
      <c r="L347" s="8"/>
      <c r="M347" s="8"/>
      <c r="N347" s="8"/>
    </row>
    <row r="348">
      <c r="A348" s="8"/>
      <c r="L348" s="8"/>
      <c r="M348" s="8"/>
      <c r="N348" s="8"/>
    </row>
    <row r="349">
      <c r="A349" s="8"/>
      <c r="L349" s="8"/>
      <c r="M349" s="8"/>
      <c r="N349" s="8"/>
    </row>
    <row r="350">
      <c r="A350" s="8"/>
      <c r="L350" s="8"/>
      <c r="M350" s="8"/>
      <c r="N350" s="8"/>
    </row>
    <row r="351">
      <c r="A351" s="8"/>
      <c r="L351" s="8"/>
      <c r="M351" s="8"/>
      <c r="N351" s="8"/>
    </row>
    <row r="352">
      <c r="A352" s="8"/>
      <c r="L352" s="8"/>
      <c r="M352" s="8"/>
      <c r="N352" s="8"/>
    </row>
    <row r="353">
      <c r="A353" s="8"/>
      <c r="L353" s="8"/>
      <c r="M353" s="8"/>
      <c r="N353" s="8"/>
    </row>
    <row r="354">
      <c r="A354" s="8"/>
      <c r="L354" s="8"/>
      <c r="M354" s="8"/>
      <c r="N354" s="8"/>
    </row>
    <row r="355">
      <c r="A355" s="8"/>
      <c r="L355" s="8"/>
      <c r="M355" s="8"/>
      <c r="N355" s="8"/>
    </row>
    <row r="356">
      <c r="A356" s="8"/>
      <c r="L356" s="8"/>
      <c r="M356" s="8"/>
      <c r="N356" s="8"/>
    </row>
    <row r="357">
      <c r="A357" s="8"/>
      <c r="L357" s="8"/>
      <c r="M357" s="8"/>
      <c r="N357" s="8"/>
    </row>
    <row r="358">
      <c r="A358" s="8"/>
      <c r="L358" s="8"/>
      <c r="M358" s="8"/>
      <c r="N358" s="8"/>
    </row>
    <row r="359">
      <c r="A359" s="8"/>
      <c r="L359" s="8"/>
      <c r="M359" s="8"/>
      <c r="N359" s="8"/>
    </row>
    <row r="360">
      <c r="A360" s="8"/>
      <c r="L360" s="8"/>
      <c r="M360" s="8"/>
      <c r="N360" s="8"/>
    </row>
    <row r="361">
      <c r="A361" s="8"/>
      <c r="L361" s="8"/>
      <c r="M361" s="8"/>
      <c r="N361" s="8"/>
    </row>
    <row r="362">
      <c r="A362" s="8"/>
      <c r="L362" s="8"/>
      <c r="M362" s="8"/>
      <c r="N362" s="8"/>
    </row>
    <row r="363">
      <c r="A363" s="8"/>
      <c r="L363" s="8"/>
      <c r="M363" s="8"/>
      <c r="N363" s="8"/>
    </row>
    <row r="364">
      <c r="A364" s="8"/>
      <c r="L364" s="8"/>
      <c r="M364" s="8"/>
      <c r="N364" s="8"/>
    </row>
    <row r="365">
      <c r="A365" s="8"/>
      <c r="L365" s="8"/>
      <c r="M365" s="8"/>
      <c r="N365" s="8"/>
    </row>
    <row r="366">
      <c r="A366" s="8"/>
      <c r="L366" s="8"/>
      <c r="M366" s="8"/>
      <c r="N366" s="8"/>
    </row>
    <row r="367">
      <c r="A367" s="8"/>
      <c r="L367" s="8"/>
      <c r="M367" s="8"/>
      <c r="N367" s="8"/>
    </row>
    <row r="368">
      <c r="A368" s="8"/>
      <c r="L368" s="8"/>
      <c r="M368" s="8"/>
      <c r="N368" s="8"/>
    </row>
    <row r="369">
      <c r="A369" s="8"/>
      <c r="L369" s="8"/>
      <c r="M369" s="8"/>
      <c r="N369" s="8"/>
    </row>
    <row r="370">
      <c r="A370" s="8"/>
      <c r="L370" s="8"/>
      <c r="M370" s="8"/>
      <c r="N370" s="8"/>
    </row>
    <row r="371">
      <c r="A371" s="8"/>
      <c r="L371" s="8"/>
      <c r="M371" s="8"/>
      <c r="N371" s="8"/>
    </row>
    <row r="372">
      <c r="A372" s="8"/>
      <c r="L372" s="8"/>
      <c r="M372" s="8"/>
      <c r="N372" s="8"/>
    </row>
    <row r="373">
      <c r="A373" s="8"/>
      <c r="L373" s="8"/>
      <c r="M373" s="8"/>
      <c r="N373" s="8"/>
    </row>
    <row r="374">
      <c r="A374" s="8"/>
      <c r="L374" s="8"/>
      <c r="M374" s="8"/>
      <c r="N374" s="8"/>
    </row>
    <row r="375">
      <c r="A375" s="8"/>
      <c r="L375" s="8"/>
      <c r="M375" s="8"/>
      <c r="N375" s="8"/>
    </row>
    <row r="376">
      <c r="A376" s="8"/>
      <c r="L376" s="8"/>
      <c r="M376" s="8"/>
      <c r="N376" s="8"/>
    </row>
    <row r="377">
      <c r="A377" s="8"/>
      <c r="L377" s="8"/>
      <c r="M377" s="8"/>
      <c r="N377" s="8"/>
    </row>
    <row r="378">
      <c r="A378" s="8"/>
      <c r="L378" s="8"/>
      <c r="M378" s="8"/>
      <c r="N378" s="8"/>
    </row>
    <row r="379">
      <c r="A379" s="8"/>
      <c r="L379" s="8"/>
      <c r="M379" s="8"/>
      <c r="N379" s="8"/>
    </row>
    <row r="380">
      <c r="A380" s="8"/>
      <c r="L380" s="8"/>
      <c r="M380" s="8"/>
      <c r="N380" s="8"/>
    </row>
    <row r="381">
      <c r="A381" s="8"/>
      <c r="L381" s="8"/>
      <c r="M381" s="8"/>
      <c r="N381" s="8"/>
    </row>
    <row r="382">
      <c r="A382" s="8"/>
      <c r="L382" s="8"/>
      <c r="M382" s="8"/>
      <c r="N382" s="8"/>
    </row>
    <row r="383">
      <c r="A383" s="8"/>
      <c r="L383" s="8"/>
      <c r="M383" s="8"/>
      <c r="N383" s="8"/>
    </row>
    <row r="384">
      <c r="A384" s="8"/>
      <c r="L384" s="8"/>
      <c r="M384" s="8"/>
      <c r="N384" s="8"/>
    </row>
    <row r="385">
      <c r="A385" s="8"/>
      <c r="L385" s="8"/>
      <c r="M385" s="8"/>
      <c r="N385" s="8"/>
    </row>
    <row r="386">
      <c r="A386" s="8"/>
      <c r="L386" s="8"/>
      <c r="M386" s="8"/>
      <c r="N386" s="8"/>
    </row>
    <row r="387">
      <c r="A387" s="8"/>
      <c r="L387" s="8"/>
      <c r="M387" s="8"/>
      <c r="N387" s="8"/>
    </row>
    <row r="388">
      <c r="A388" s="8"/>
      <c r="L388" s="8"/>
      <c r="M388" s="8"/>
      <c r="N388" s="8"/>
    </row>
    <row r="389">
      <c r="A389" s="8"/>
      <c r="L389" s="8"/>
      <c r="M389" s="8"/>
      <c r="N389" s="8"/>
    </row>
    <row r="390">
      <c r="A390" s="8"/>
      <c r="L390" s="8"/>
      <c r="M390" s="8"/>
      <c r="N390" s="8"/>
    </row>
    <row r="391">
      <c r="A391" s="8"/>
      <c r="L391" s="8"/>
      <c r="M391" s="8"/>
      <c r="N391" s="8"/>
    </row>
    <row r="392">
      <c r="A392" s="8"/>
      <c r="L392" s="8"/>
      <c r="M392" s="8"/>
      <c r="N392" s="8"/>
    </row>
    <row r="393">
      <c r="A393" s="8"/>
      <c r="L393" s="8"/>
      <c r="M393" s="8"/>
      <c r="N393" s="8"/>
    </row>
    <row r="394">
      <c r="A394" s="8"/>
      <c r="L394" s="8"/>
      <c r="M394" s="8"/>
      <c r="N394" s="8"/>
    </row>
    <row r="395">
      <c r="A395" s="8"/>
      <c r="L395" s="8"/>
      <c r="M395" s="8"/>
      <c r="N395" s="8"/>
    </row>
    <row r="396">
      <c r="A396" s="8"/>
      <c r="L396" s="8"/>
      <c r="M396" s="8"/>
      <c r="N396" s="8"/>
    </row>
    <row r="397">
      <c r="A397" s="8"/>
      <c r="L397" s="8"/>
      <c r="M397" s="8"/>
      <c r="N397" s="8"/>
    </row>
    <row r="398">
      <c r="A398" s="8"/>
      <c r="L398" s="8"/>
      <c r="M398" s="8"/>
      <c r="N398" s="8"/>
    </row>
    <row r="399">
      <c r="A399" s="8"/>
      <c r="L399" s="8"/>
      <c r="M399" s="8"/>
      <c r="N399" s="8"/>
    </row>
    <row r="400">
      <c r="A400" s="8"/>
      <c r="L400" s="8"/>
      <c r="M400" s="8"/>
      <c r="N400" s="8"/>
    </row>
    <row r="401">
      <c r="A401" s="8"/>
      <c r="L401" s="8"/>
      <c r="M401" s="8"/>
      <c r="N401" s="8"/>
    </row>
    <row r="402">
      <c r="A402" s="8"/>
      <c r="L402" s="8"/>
      <c r="M402" s="8"/>
      <c r="N402" s="8"/>
    </row>
    <row r="403">
      <c r="A403" s="8"/>
      <c r="L403" s="8"/>
      <c r="M403" s="8"/>
      <c r="N403" s="8"/>
    </row>
    <row r="404">
      <c r="A404" s="8"/>
      <c r="L404" s="8"/>
      <c r="M404" s="8"/>
      <c r="N404" s="8"/>
    </row>
    <row r="405">
      <c r="A405" s="8"/>
      <c r="L405" s="8"/>
      <c r="M405" s="8"/>
      <c r="N405" s="8"/>
    </row>
    <row r="406">
      <c r="A406" s="8"/>
      <c r="L406" s="8"/>
      <c r="M406" s="8"/>
      <c r="N406" s="8"/>
    </row>
    <row r="407">
      <c r="A407" s="8"/>
      <c r="L407" s="8"/>
      <c r="M407" s="8"/>
      <c r="N407" s="8"/>
    </row>
    <row r="408">
      <c r="A408" s="8"/>
      <c r="L408" s="8"/>
      <c r="M408" s="8"/>
      <c r="N408" s="8"/>
    </row>
    <row r="409">
      <c r="A409" s="8"/>
      <c r="L409" s="8"/>
      <c r="M409" s="8"/>
      <c r="N409" s="8"/>
    </row>
    <row r="410">
      <c r="A410" s="8"/>
      <c r="L410" s="8"/>
      <c r="M410" s="8"/>
      <c r="N410" s="8"/>
    </row>
    <row r="411">
      <c r="A411" s="8"/>
      <c r="L411" s="8"/>
      <c r="M411" s="8"/>
      <c r="N411" s="8"/>
    </row>
    <row r="412">
      <c r="A412" s="8"/>
      <c r="L412" s="8"/>
      <c r="M412" s="8"/>
      <c r="N412" s="8"/>
    </row>
    <row r="413">
      <c r="A413" s="8"/>
      <c r="L413" s="8"/>
      <c r="M413" s="8"/>
      <c r="N413" s="8"/>
    </row>
    <row r="414">
      <c r="A414" s="8"/>
      <c r="L414" s="8"/>
      <c r="M414" s="8"/>
      <c r="N414" s="8"/>
    </row>
    <row r="415">
      <c r="A415" s="8"/>
      <c r="L415" s="8"/>
      <c r="M415" s="8"/>
      <c r="N415" s="8"/>
    </row>
    <row r="416">
      <c r="A416" s="8"/>
      <c r="L416" s="8"/>
      <c r="M416" s="8"/>
      <c r="N416" s="8"/>
    </row>
    <row r="417">
      <c r="A417" s="8"/>
      <c r="L417" s="8"/>
      <c r="M417" s="8"/>
      <c r="N417" s="8"/>
    </row>
    <row r="418">
      <c r="A418" s="8"/>
      <c r="L418" s="8"/>
      <c r="M418" s="8"/>
      <c r="N418" s="8"/>
    </row>
    <row r="419">
      <c r="A419" s="8"/>
      <c r="L419" s="8"/>
      <c r="M419" s="8"/>
      <c r="N419" s="8"/>
    </row>
    <row r="420">
      <c r="A420" s="8"/>
      <c r="L420" s="8"/>
      <c r="M420" s="8"/>
      <c r="N420" s="8"/>
    </row>
    <row r="421">
      <c r="A421" s="8"/>
      <c r="L421" s="8"/>
      <c r="M421" s="8"/>
      <c r="N421" s="8"/>
    </row>
    <row r="422">
      <c r="A422" s="8"/>
      <c r="L422" s="8"/>
      <c r="M422" s="8"/>
      <c r="N422" s="8"/>
    </row>
    <row r="423">
      <c r="A423" s="8"/>
      <c r="L423" s="8"/>
      <c r="M423" s="8"/>
      <c r="N423" s="8"/>
    </row>
    <row r="424">
      <c r="A424" s="8"/>
      <c r="L424" s="8"/>
      <c r="M424" s="8"/>
      <c r="N424" s="8"/>
    </row>
    <row r="425">
      <c r="A425" s="8"/>
      <c r="L425" s="8"/>
      <c r="M425" s="8"/>
      <c r="N425" s="8"/>
    </row>
    <row r="426">
      <c r="A426" s="8"/>
      <c r="L426" s="8"/>
      <c r="M426" s="8"/>
      <c r="N426" s="8"/>
    </row>
    <row r="427">
      <c r="A427" s="8"/>
      <c r="L427" s="8"/>
      <c r="M427" s="8"/>
      <c r="N427" s="8"/>
    </row>
    <row r="428">
      <c r="A428" s="8"/>
      <c r="L428" s="8"/>
      <c r="M428" s="8"/>
      <c r="N428" s="8"/>
    </row>
    <row r="429">
      <c r="A429" s="8"/>
      <c r="L429" s="8"/>
      <c r="M429" s="8"/>
      <c r="N429" s="8"/>
    </row>
    <row r="430">
      <c r="A430" s="8"/>
      <c r="L430" s="8"/>
      <c r="M430" s="8"/>
      <c r="N430" s="8"/>
    </row>
    <row r="431">
      <c r="A431" s="8"/>
      <c r="L431" s="8"/>
      <c r="M431" s="8"/>
      <c r="N431" s="8"/>
    </row>
    <row r="432">
      <c r="A432" s="8"/>
      <c r="L432" s="8"/>
      <c r="M432" s="8"/>
      <c r="N432" s="8"/>
    </row>
    <row r="433">
      <c r="A433" s="8"/>
      <c r="L433" s="8"/>
      <c r="M433" s="8"/>
      <c r="N433" s="8"/>
    </row>
    <row r="434">
      <c r="A434" s="8"/>
      <c r="L434" s="8"/>
      <c r="M434" s="8"/>
      <c r="N434" s="8"/>
    </row>
    <row r="435">
      <c r="A435" s="8"/>
      <c r="L435" s="8"/>
      <c r="M435" s="8"/>
      <c r="N435" s="8"/>
    </row>
    <row r="436">
      <c r="A436" s="8"/>
      <c r="L436" s="8"/>
      <c r="M436" s="8"/>
      <c r="N436" s="8"/>
    </row>
    <row r="437">
      <c r="A437" s="8"/>
      <c r="L437" s="8"/>
      <c r="M437" s="8"/>
      <c r="N437" s="8"/>
    </row>
    <row r="438">
      <c r="A438" s="8"/>
      <c r="L438" s="8"/>
      <c r="M438" s="8"/>
      <c r="N438" s="8"/>
    </row>
    <row r="439">
      <c r="A439" s="8"/>
      <c r="L439" s="8"/>
      <c r="M439" s="8"/>
      <c r="N439" s="8"/>
    </row>
    <row r="440">
      <c r="A440" s="8"/>
      <c r="L440" s="8"/>
      <c r="M440" s="8"/>
      <c r="N440" s="8"/>
    </row>
    <row r="441">
      <c r="A441" s="8"/>
      <c r="L441" s="8"/>
      <c r="M441" s="8"/>
      <c r="N441" s="8"/>
    </row>
    <row r="442">
      <c r="A442" s="8"/>
      <c r="L442" s="8"/>
      <c r="M442" s="8"/>
      <c r="N442" s="8"/>
    </row>
    <row r="443">
      <c r="A443" s="8"/>
      <c r="L443" s="8"/>
      <c r="M443" s="8"/>
      <c r="N443" s="8"/>
    </row>
    <row r="444">
      <c r="A444" s="8"/>
      <c r="L444" s="8"/>
      <c r="M444" s="8"/>
      <c r="N444" s="8"/>
    </row>
    <row r="445">
      <c r="A445" s="8"/>
      <c r="L445" s="8"/>
      <c r="M445" s="8"/>
      <c r="N445" s="8"/>
    </row>
    <row r="446">
      <c r="A446" s="8"/>
      <c r="L446" s="8"/>
      <c r="M446" s="8"/>
      <c r="N446" s="8"/>
    </row>
    <row r="447">
      <c r="A447" s="8"/>
      <c r="L447" s="8"/>
      <c r="M447" s="8"/>
      <c r="N447" s="8"/>
    </row>
    <row r="448">
      <c r="A448" s="8"/>
      <c r="L448" s="8"/>
      <c r="M448" s="8"/>
      <c r="N448" s="8"/>
    </row>
    <row r="449">
      <c r="A449" s="8"/>
      <c r="L449" s="8"/>
      <c r="M449" s="8"/>
      <c r="N449" s="8"/>
    </row>
    <row r="450">
      <c r="A450" s="8"/>
      <c r="L450" s="8"/>
      <c r="M450" s="8"/>
      <c r="N450" s="8"/>
    </row>
    <row r="451">
      <c r="A451" s="8"/>
      <c r="L451" s="8"/>
      <c r="M451" s="8"/>
      <c r="N451" s="8"/>
    </row>
    <row r="452">
      <c r="A452" s="8"/>
      <c r="L452" s="8"/>
      <c r="M452" s="8"/>
      <c r="N452" s="8"/>
    </row>
    <row r="453">
      <c r="A453" s="8"/>
      <c r="L453" s="8"/>
      <c r="M453" s="8"/>
      <c r="N453" s="8"/>
    </row>
    <row r="454">
      <c r="A454" s="8"/>
      <c r="L454" s="8"/>
      <c r="M454" s="8"/>
      <c r="N454" s="8"/>
    </row>
    <row r="455">
      <c r="A455" s="8"/>
      <c r="L455" s="8"/>
      <c r="M455" s="8"/>
      <c r="N455" s="8"/>
    </row>
    <row r="456">
      <c r="A456" s="8"/>
      <c r="L456" s="8"/>
      <c r="M456" s="8"/>
      <c r="N456" s="8"/>
    </row>
    <row r="457">
      <c r="A457" s="8"/>
      <c r="L457" s="8"/>
      <c r="M457" s="8"/>
      <c r="N457" s="8"/>
    </row>
    <row r="458">
      <c r="A458" s="8"/>
      <c r="L458" s="8"/>
      <c r="M458" s="8"/>
      <c r="N458" s="8"/>
    </row>
    <row r="459">
      <c r="A459" s="8"/>
      <c r="L459" s="8"/>
      <c r="M459" s="8"/>
      <c r="N459" s="8"/>
    </row>
    <row r="460">
      <c r="A460" s="8"/>
      <c r="L460" s="8"/>
      <c r="M460" s="8"/>
      <c r="N460" s="8"/>
    </row>
    <row r="461">
      <c r="A461" s="8"/>
      <c r="L461" s="8"/>
      <c r="M461" s="8"/>
      <c r="N461" s="8"/>
    </row>
    <row r="462">
      <c r="A462" s="8"/>
      <c r="L462" s="8"/>
      <c r="M462" s="8"/>
      <c r="N462" s="8"/>
    </row>
    <row r="463">
      <c r="A463" s="8"/>
      <c r="L463" s="8"/>
      <c r="M463" s="8"/>
      <c r="N463" s="8"/>
    </row>
    <row r="464">
      <c r="A464" s="8"/>
      <c r="L464" s="8"/>
      <c r="M464" s="8"/>
      <c r="N464" s="8"/>
    </row>
    <row r="465">
      <c r="A465" s="8"/>
      <c r="L465" s="8"/>
      <c r="M465" s="8"/>
      <c r="N465" s="8"/>
    </row>
    <row r="466">
      <c r="A466" s="8"/>
      <c r="L466" s="8"/>
      <c r="M466" s="8"/>
      <c r="N466" s="8"/>
    </row>
    <row r="467">
      <c r="A467" s="8"/>
      <c r="L467" s="8"/>
      <c r="M467" s="8"/>
      <c r="N467" s="8"/>
    </row>
    <row r="468">
      <c r="A468" s="8"/>
      <c r="L468" s="8"/>
      <c r="M468" s="8"/>
      <c r="N468" s="8"/>
    </row>
    <row r="469">
      <c r="A469" s="8"/>
      <c r="L469" s="8"/>
      <c r="M469" s="8"/>
      <c r="N469" s="8"/>
    </row>
    <row r="470">
      <c r="A470" s="8"/>
      <c r="L470" s="8"/>
      <c r="M470" s="8"/>
      <c r="N470" s="8"/>
    </row>
    <row r="471">
      <c r="A471" s="8"/>
      <c r="L471" s="8"/>
      <c r="M471" s="8"/>
      <c r="N471" s="8"/>
    </row>
    <row r="472">
      <c r="A472" s="8"/>
      <c r="L472" s="8"/>
      <c r="M472" s="8"/>
      <c r="N472" s="8"/>
    </row>
    <row r="473">
      <c r="A473" s="8"/>
      <c r="L473" s="8"/>
      <c r="M473" s="8"/>
      <c r="N473" s="8"/>
    </row>
    <row r="474">
      <c r="A474" s="8"/>
      <c r="L474" s="8"/>
      <c r="M474" s="8"/>
      <c r="N474" s="8"/>
    </row>
    <row r="475">
      <c r="A475" s="8"/>
      <c r="L475" s="8"/>
      <c r="M475" s="8"/>
      <c r="N475" s="8"/>
    </row>
    <row r="476">
      <c r="A476" s="8"/>
      <c r="L476" s="8"/>
      <c r="M476" s="8"/>
      <c r="N476" s="8"/>
    </row>
    <row r="477">
      <c r="A477" s="8"/>
      <c r="L477" s="8"/>
      <c r="M477" s="8"/>
      <c r="N477" s="8"/>
    </row>
    <row r="478">
      <c r="A478" s="8"/>
      <c r="L478" s="8"/>
      <c r="M478" s="8"/>
      <c r="N478" s="8"/>
    </row>
    <row r="479">
      <c r="A479" s="8"/>
      <c r="L479" s="8"/>
      <c r="M479" s="8"/>
      <c r="N479" s="8"/>
    </row>
    <row r="480">
      <c r="A480" s="8"/>
      <c r="L480" s="8"/>
      <c r="M480" s="8"/>
      <c r="N480" s="8"/>
    </row>
    <row r="481">
      <c r="A481" s="8"/>
      <c r="L481" s="8"/>
      <c r="M481" s="8"/>
      <c r="N481" s="8"/>
    </row>
    <row r="482">
      <c r="A482" s="8"/>
      <c r="L482" s="8"/>
      <c r="M482" s="8"/>
      <c r="N482" s="8"/>
    </row>
    <row r="483">
      <c r="A483" s="8"/>
      <c r="L483" s="8"/>
      <c r="M483" s="8"/>
      <c r="N483" s="8"/>
    </row>
    <row r="484">
      <c r="A484" s="8"/>
      <c r="L484" s="8"/>
      <c r="M484" s="8"/>
      <c r="N484" s="8"/>
    </row>
    <row r="485">
      <c r="A485" s="8"/>
      <c r="L485" s="8"/>
      <c r="M485" s="8"/>
      <c r="N485" s="8"/>
    </row>
    <row r="486">
      <c r="A486" s="8"/>
      <c r="L486" s="8"/>
      <c r="M486" s="8"/>
      <c r="N486" s="8"/>
    </row>
    <row r="487">
      <c r="A487" s="8"/>
      <c r="L487" s="8"/>
      <c r="M487" s="8"/>
      <c r="N487" s="8"/>
    </row>
    <row r="488">
      <c r="A488" s="8"/>
      <c r="L488" s="8"/>
      <c r="M488" s="8"/>
      <c r="N488" s="8"/>
    </row>
    <row r="489">
      <c r="A489" s="8"/>
      <c r="L489" s="8"/>
      <c r="M489" s="8"/>
      <c r="N489" s="8"/>
    </row>
    <row r="490">
      <c r="A490" s="8"/>
      <c r="L490" s="8"/>
      <c r="M490" s="8"/>
      <c r="N490" s="8"/>
    </row>
    <row r="491">
      <c r="A491" s="8"/>
      <c r="L491" s="8"/>
      <c r="M491" s="8"/>
      <c r="N491" s="8"/>
    </row>
    <row r="492">
      <c r="A492" s="8"/>
      <c r="L492" s="8"/>
      <c r="M492" s="8"/>
      <c r="N492" s="8"/>
    </row>
    <row r="493">
      <c r="A493" s="8"/>
      <c r="L493" s="8"/>
      <c r="M493" s="8"/>
      <c r="N493" s="8"/>
    </row>
    <row r="494">
      <c r="A494" s="8"/>
      <c r="L494" s="8"/>
      <c r="M494" s="8"/>
      <c r="N494" s="8"/>
    </row>
    <row r="495">
      <c r="A495" s="8"/>
      <c r="L495" s="8"/>
      <c r="M495" s="8"/>
      <c r="N495" s="8"/>
    </row>
    <row r="496">
      <c r="A496" s="8"/>
      <c r="L496" s="8"/>
      <c r="M496" s="8"/>
      <c r="N496" s="8"/>
    </row>
    <row r="497">
      <c r="A497" s="8"/>
      <c r="L497" s="8"/>
      <c r="M497" s="8"/>
      <c r="N497" s="8"/>
    </row>
    <row r="498">
      <c r="A498" s="8"/>
      <c r="L498" s="8"/>
      <c r="M498" s="8"/>
      <c r="N498" s="8"/>
    </row>
    <row r="499">
      <c r="A499" s="8"/>
      <c r="L499" s="8"/>
      <c r="M499" s="8"/>
      <c r="N499" s="8"/>
    </row>
    <row r="500">
      <c r="A500" s="8"/>
      <c r="L500" s="8"/>
      <c r="M500" s="8"/>
      <c r="N500" s="8"/>
    </row>
    <row r="501">
      <c r="A501" s="8"/>
      <c r="L501" s="8"/>
      <c r="M501" s="8"/>
      <c r="N501" s="8"/>
    </row>
    <row r="502">
      <c r="A502" s="8"/>
      <c r="L502" s="8"/>
      <c r="M502" s="8"/>
      <c r="N502" s="8"/>
    </row>
    <row r="503">
      <c r="A503" s="8"/>
      <c r="L503" s="8"/>
      <c r="M503" s="8"/>
      <c r="N503" s="8"/>
    </row>
    <row r="504">
      <c r="A504" s="8"/>
      <c r="L504" s="8"/>
      <c r="M504" s="8"/>
      <c r="N504" s="8"/>
    </row>
    <row r="505">
      <c r="A505" s="8"/>
      <c r="L505" s="8"/>
      <c r="M505" s="8"/>
      <c r="N505" s="8"/>
    </row>
    <row r="506">
      <c r="A506" s="8"/>
      <c r="L506" s="8"/>
      <c r="M506" s="8"/>
      <c r="N506" s="8"/>
    </row>
    <row r="507">
      <c r="A507" s="8"/>
      <c r="L507" s="8"/>
      <c r="M507" s="8"/>
      <c r="N507" s="8"/>
    </row>
    <row r="508">
      <c r="A508" s="8"/>
      <c r="L508" s="8"/>
      <c r="M508" s="8"/>
      <c r="N508" s="8"/>
    </row>
    <row r="509">
      <c r="A509" s="8"/>
      <c r="L509" s="8"/>
      <c r="M509" s="8"/>
      <c r="N509" s="8"/>
    </row>
    <row r="510">
      <c r="A510" s="8"/>
      <c r="L510" s="8"/>
      <c r="M510" s="8"/>
      <c r="N510" s="8"/>
    </row>
    <row r="511">
      <c r="A511" s="8"/>
      <c r="L511" s="8"/>
      <c r="M511" s="8"/>
      <c r="N511" s="8"/>
    </row>
    <row r="512">
      <c r="A512" s="8"/>
      <c r="L512" s="8"/>
      <c r="M512" s="8"/>
      <c r="N512" s="8"/>
    </row>
    <row r="513">
      <c r="A513" s="8"/>
      <c r="L513" s="8"/>
      <c r="M513" s="8"/>
      <c r="N513" s="8"/>
    </row>
    <row r="514">
      <c r="A514" s="8"/>
      <c r="L514" s="8"/>
      <c r="M514" s="8"/>
      <c r="N514" s="8"/>
    </row>
    <row r="515">
      <c r="A515" s="8"/>
      <c r="L515" s="8"/>
      <c r="M515" s="8"/>
      <c r="N515" s="8"/>
    </row>
    <row r="516">
      <c r="A516" s="8"/>
      <c r="L516" s="8"/>
      <c r="M516" s="8"/>
      <c r="N516" s="8"/>
    </row>
    <row r="517">
      <c r="A517" s="8"/>
      <c r="L517" s="8"/>
      <c r="M517" s="8"/>
      <c r="N517" s="8"/>
    </row>
    <row r="518">
      <c r="A518" s="8"/>
      <c r="L518" s="8"/>
      <c r="M518" s="8"/>
      <c r="N518" s="8"/>
    </row>
    <row r="519">
      <c r="A519" s="8"/>
      <c r="L519" s="8"/>
      <c r="M519" s="8"/>
      <c r="N519" s="8"/>
    </row>
    <row r="520">
      <c r="A520" s="8"/>
      <c r="L520" s="8"/>
      <c r="M520" s="8"/>
      <c r="N520" s="8"/>
    </row>
    <row r="521">
      <c r="A521" s="8"/>
      <c r="L521" s="8"/>
      <c r="M521" s="8"/>
      <c r="N521" s="8"/>
    </row>
    <row r="522">
      <c r="A522" s="8"/>
      <c r="L522" s="8"/>
      <c r="M522" s="8"/>
      <c r="N522" s="8"/>
    </row>
    <row r="523">
      <c r="A523" s="8"/>
      <c r="L523" s="8"/>
      <c r="M523" s="8"/>
      <c r="N523" s="8"/>
    </row>
    <row r="524">
      <c r="A524" s="8"/>
      <c r="L524" s="8"/>
      <c r="M524" s="8"/>
      <c r="N524" s="8"/>
    </row>
    <row r="525">
      <c r="A525" s="8"/>
      <c r="L525" s="8"/>
      <c r="M525" s="8"/>
      <c r="N525" s="8"/>
    </row>
    <row r="526">
      <c r="A526" s="8"/>
      <c r="L526" s="8"/>
      <c r="M526" s="8"/>
      <c r="N526" s="8"/>
    </row>
    <row r="527">
      <c r="A527" s="8"/>
      <c r="L527" s="8"/>
      <c r="M527" s="8"/>
      <c r="N527" s="8"/>
    </row>
    <row r="528">
      <c r="A528" s="8"/>
      <c r="L528" s="8"/>
      <c r="M528" s="8"/>
      <c r="N528" s="8"/>
    </row>
    <row r="529">
      <c r="A529" s="8"/>
      <c r="L529" s="8"/>
      <c r="M529" s="8"/>
      <c r="N529" s="8"/>
    </row>
    <row r="530">
      <c r="A530" s="8"/>
      <c r="L530" s="8"/>
      <c r="M530" s="8"/>
      <c r="N530" s="8"/>
    </row>
    <row r="531">
      <c r="A531" s="8"/>
      <c r="L531" s="8"/>
      <c r="M531" s="8"/>
      <c r="N531" s="8"/>
    </row>
    <row r="532">
      <c r="A532" s="8"/>
      <c r="L532" s="8"/>
      <c r="M532" s="8"/>
      <c r="N532" s="8"/>
    </row>
    <row r="533">
      <c r="A533" s="8"/>
      <c r="L533" s="8"/>
      <c r="M533" s="8"/>
      <c r="N533" s="8"/>
    </row>
    <row r="534">
      <c r="A534" s="8"/>
      <c r="L534" s="8"/>
      <c r="M534" s="8"/>
      <c r="N534" s="8"/>
    </row>
    <row r="535">
      <c r="A535" s="8"/>
      <c r="L535" s="8"/>
      <c r="M535" s="8"/>
      <c r="N535" s="8"/>
    </row>
    <row r="536">
      <c r="A536" s="8"/>
      <c r="L536" s="8"/>
      <c r="M536" s="8"/>
      <c r="N536" s="8"/>
    </row>
    <row r="537">
      <c r="A537" s="8"/>
      <c r="L537" s="8"/>
      <c r="M537" s="8"/>
      <c r="N537" s="8"/>
    </row>
    <row r="538">
      <c r="A538" s="8"/>
      <c r="L538" s="8"/>
      <c r="M538" s="8"/>
      <c r="N538" s="8"/>
    </row>
    <row r="539">
      <c r="A539" s="8"/>
      <c r="L539" s="8"/>
      <c r="M539" s="8"/>
      <c r="N539" s="8"/>
    </row>
    <row r="540">
      <c r="A540" s="8"/>
      <c r="L540" s="8"/>
      <c r="M540" s="8"/>
      <c r="N540" s="8"/>
    </row>
    <row r="541">
      <c r="A541" s="8"/>
      <c r="L541" s="8"/>
      <c r="M541" s="8"/>
      <c r="N541" s="8"/>
    </row>
    <row r="542">
      <c r="A542" s="8"/>
      <c r="L542" s="8"/>
      <c r="M542" s="8"/>
      <c r="N542" s="8"/>
    </row>
    <row r="543">
      <c r="A543" s="8"/>
      <c r="L543" s="8"/>
      <c r="M543" s="8"/>
      <c r="N543" s="8"/>
    </row>
    <row r="544">
      <c r="A544" s="8"/>
      <c r="L544" s="8"/>
      <c r="M544" s="8"/>
      <c r="N544" s="8"/>
    </row>
    <row r="545">
      <c r="A545" s="8"/>
      <c r="L545" s="8"/>
      <c r="M545" s="8"/>
      <c r="N545" s="8"/>
    </row>
    <row r="546">
      <c r="A546" s="8"/>
      <c r="L546" s="8"/>
      <c r="M546" s="8"/>
      <c r="N546" s="8"/>
    </row>
    <row r="547">
      <c r="A547" s="8"/>
      <c r="L547" s="8"/>
      <c r="M547" s="8"/>
      <c r="N547" s="8"/>
    </row>
    <row r="548">
      <c r="A548" s="8"/>
      <c r="L548" s="8"/>
      <c r="M548" s="8"/>
      <c r="N548" s="8"/>
    </row>
    <row r="549">
      <c r="A549" s="8"/>
      <c r="L549" s="8"/>
      <c r="M549" s="8"/>
      <c r="N549" s="8"/>
    </row>
    <row r="550">
      <c r="A550" s="8"/>
      <c r="L550" s="8"/>
      <c r="M550" s="8"/>
      <c r="N550" s="8"/>
    </row>
    <row r="551">
      <c r="A551" s="8"/>
      <c r="L551" s="8"/>
      <c r="M551" s="8"/>
      <c r="N551" s="8"/>
    </row>
    <row r="552">
      <c r="A552" s="8"/>
      <c r="L552" s="8"/>
      <c r="M552" s="8"/>
      <c r="N552" s="8"/>
    </row>
    <row r="553">
      <c r="A553" s="8"/>
      <c r="L553" s="8"/>
      <c r="M553" s="8"/>
      <c r="N553" s="8"/>
    </row>
    <row r="554">
      <c r="A554" s="8"/>
      <c r="L554" s="8"/>
      <c r="M554" s="8"/>
      <c r="N554" s="8"/>
    </row>
    <row r="555">
      <c r="A555" s="8"/>
      <c r="L555" s="8"/>
      <c r="M555" s="8"/>
      <c r="N555" s="8"/>
    </row>
    <row r="556">
      <c r="A556" s="8"/>
      <c r="L556" s="8"/>
      <c r="M556" s="8"/>
      <c r="N556" s="8"/>
    </row>
    <row r="557">
      <c r="A557" s="8"/>
      <c r="L557" s="8"/>
      <c r="M557" s="8"/>
      <c r="N557" s="8"/>
    </row>
    <row r="558">
      <c r="A558" s="8"/>
      <c r="L558" s="8"/>
      <c r="M558" s="8"/>
      <c r="N558" s="8"/>
    </row>
    <row r="559">
      <c r="A559" s="8"/>
      <c r="L559" s="8"/>
      <c r="M559" s="8"/>
      <c r="N559" s="8"/>
    </row>
    <row r="560">
      <c r="A560" s="8"/>
      <c r="L560" s="8"/>
      <c r="M560" s="8"/>
      <c r="N560" s="8"/>
    </row>
    <row r="561">
      <c r="A561" s="8"/>
      <c r="L561" s="8"/>
      <c r="M561" s="8"/>
      <c r="N561" s="8"/>
    </row>
    <row r="562">
      <c r="A562" s="8"/>
      <c r="L562" s="8"/>
      <c r="M562" s="8"/>
      <c r="N562" s="8"/>
    </row>
    <row r="563">
      <c r="A563" s="8"/>
      <c r="L563" s="8"/>
      <c r="M563" s="8"/>
      <c r="N563" s="8"/>
    </row>
    <row r="564">
      <c r="A564" s="8"/>
      <c r="L564" s="8"/>
      <c r="M564" s="8"/>
      <c r="N564" s="8"/>
    </row>
    <row r="565">
      <c r="A565" s="8"/>
      <c r="L565" s="8"/>
      <c r="M565" s="8"/>
      <c r="N565" s="8"/>
    </row>
    <row r="566">
      <c r="A566" s="8"/>
      <c r="L566" s="8"/>
      <c r="M566" s="8"/>
      <c r="N566" s="8"/>
    </row>
    <row r="567">
      <c r="A567" s="8"/>
      <c r="L567" s="8"/>
      <c r="M567" s="8"/>
      <c r="N567" s="8"/>
    </row>
    <row r="568">
      <c r="A568" s="8"/>
      <c r="L568" s="8"/>
      <c r="M568" s="8"/>
      <c r="N568" s="8"/>
    </row>
    <row r="569">
      <c r="A569" s="8"/>
      <c r="L569" s="8"/>
      <c r="M569" s="8"/>
      <c r="N569" s="8"/>
    </row>
    <row r="570">
      <c r="A570" s="8"/>
      <c r="L570" s="8"/>
      <c r="M570" s="8"/>
      <c r="N570" s="8"/>
    </row>
    <row r="571">
      <c r="A571" s="8"/>
      <c r="L571" s="8"/>
      <c r="M571" s="8"/>
      <c r="N571" s="8"/>
    </row>
    <row r="572">
      <c r="A572" s="8"/>
      <c r="L572" s="8"/>
      <c r="M572" s="8"/>
      <c r="N572" s="8"/>
    </row>
    <row r="573">
      <c r="A573" s="8"/>
      <c r="L573" s="8"/>
      <c r="M573" s="8"/>
      <c r="N573" s="8"/>
    </row>
    <row r="574">
      <c r="A574" s="8"/>
      <c r="L574" s="8"/>
      <c r="M574" s="8"/>
      <c r="N574" s="8"/>
    </row>
    <row r="575">
      <c r="A575" s="8"/>
      <c r="L575" s="8"/>
      <c r="M575" s="8"/>
      <c r="N575" s="8"/>
    </row>
    <row r="576">
      <c r="A576" s="8"/>
      <c r="L576" s="8"/>
      <c r="M576" s="8"/>
      <c r="N576" s="8"/>
    </row>
    <row r="577">
      <c r="A577" s="8"/>
      <c r="L577" s="8"/>
      <c r="M577" s="8"/>
      <c r="N577" s="8"/>
    </row>
    <row r="578">
      <c r="A578" s="8"/>
      <c r="L578" s="8"/>
      <c r="M578" s="8"/>
      <c r="N578" s="8"/>
    </row>
    <row r="579">
      <c r="A579" s="8"/>
      <c r="L579" s="8"/>
      <c r="M579" s="8"/>
      <c r="N579" s="8"/>
    </row>
    <row r="580">
      <c r="A580" s="8"/>
      <c r="L580" s="8"/>
      <c r="M580" s="8"/>
      <c r="N580" s="8"/>
    </row>
    <row r="581">
      <c r="A581" s="8"/>
      <c r="L581" s="8"/>
      <c r="M581" s="8"/>
      <c r="N581" s="8"/>
    </row>
    <row r="582">
      <c r="A582" s="8"/>
      <c r="L582" s="8"/>
      <c r="M582" s="8"/>
      <c r="N582" s="8"/>
    </row>
    <row r="583">
      <c r="A583" s="8"/>
      <c r="L583" s="8"/>
      <c r="M583" s="8"/>
      <c r="N583" s="8"/>
    </row>
    <row r="584">
      <c r="A584" s="8"/>
      <c r="L584" s="8"/>
      <c r="M584" s="8"/>
      <c r="N584" s="8"/>
    </row>
    <row r="585">
      <c r="A585" s="8"/>
      <c r="L585" s="8"/>
      <c r="M585" s="8"/>
      <c r="N585" s="8"/>
    </row>
    <row r="586">
      <c r="A586" s="8"/>
      <c r="L586" s="8"/>
      <c r="M586" s="8"/>
      <c r="N586" s="8"/>
    </row>
    <row r="587">
      <c r="A587" s="8"/>
      <c r="L587" s="8"/>
      <c r="M587" s="8"/>
      <c r="N587" s="8"/>
    </row>
    <row r="588">
      <c r="A588" s="8"/>
      <c r="L588" s="8"/>
      <c r="M588" s="8"/>
      <c r="N588" s="8"/>
    </row>
    <row r="589">
      <c r="A589" s="8"/>
      <c r="L589" s="8"/>
      <c r="M589" s="8"/>
      <c r="N589" s="8"/>
    </row>
    <row r="590">
      <c r="A590" s="8"/>
      <c r="L590" s="8"/>
      <c r="M590" s="8"/>
      <c r="N590" s="8"/>
    </row>
    <row r="591">
      <c r="A591" s="8"/>
      <c r="L591" s="8"/>
      <c r="M591" s="8"/>
      <c r="N591" s="8"/>
    </row>
    <row r="592">
      <c r="A592" s="8"/>
      <c r="L592" s="8"/>
      <c r="M592" s="8"/>
      <c r="N592" s="8"/>
    </row>
    <row r="593">
      <c r="A593" s="8"/>
      <c r="L593" s="8"/>
      <c r="M593" s="8"/>
      <c r="N593" s="8"/>
    </row>
    <row r="594">
      <c r="A594" s="8"/>
      <c r="L594" s="8"/>
      <c r="M594" s="8"/>
      <c r="N594" s="8"/>
    </row>
    <row r="595">
      <c r="A595" s="8"/>
      <c r="L595" s="8"/>
      <c r="M595" s="8"/>
      <c r="N595" s="8"/>
    </row>
    <row r="596">
      <c r="A596" s="8"/>
      <c r="L596" s="8"/>
      <c r="M596" s="8"/>
      <c r="N596" s="8"/>
    </row>
    <row r="597">
      <c r="A597" s="8"/>
      <c r="L597" s="8"/>
      <c r="M597" s="8"/>
      <c r="N597" s="8"/>
    </row>
    <row r="598">
      <c r="A598" s="8"/>
      <c r="L598" s="8"/>
      <c r="M598" s="8"/>
      <c r="N598" s="8"/>
    </row>
    <row r="599">
      <c r="A599" s="8"/>
      <c r="L599" s="8"/>
      <c r="M599" s="8"/>
      <c r="N599" s="8"/>
    </row>
    <row r="600">
      <c r="A600" s="8"/>
      <c r="L600" s="8"/>
      <c r="M600" s="8"/>
      <c r="N600" s="8"/>
    </row>
    <row r="601">
      <c r="A601" s="8"/>
      <c r="L601" s="8"/>
      <c r="M601" s="8"/>
      <c r="N601" s="8"/>
    </row>
    <row r="602">
      <c r="A602" s="8"/>
      <c r="L602" s="8"/>
      <c r="M602" s="8"/>
      <c r="N602" s="8"/>
    </row>
    <row r="603">
      <c r="A603" s="8"/>
      <c r="L603" s="8"/>
      <c r="M603" s="8"/>
      <c r="N603" s="8"/>
    </row>
    <row r="604">
      <c r="A604" s="8"/>
      <c r="L604" s="8"/>
      <c r="M604" s="8"/>
      <c r="N604" s="8"/>
    </row>
    <row r="605">
      <c r="A605" s="8"/>
      <c r="L605" s="8"/>
      <c r="M605" s="8"/>
      <c r="N605" s="8"/>
    </row>
    <row r="606">
      <c r="A606" s="8"/>
      <c r="L606" s="8"/>
      <c r="M606" s="8"/>
      <c r="N606" s="8"/>
    </row>
    <row r="607">
      <c r="A607" s="8"/>
      <c r="L607" s="8"/>
      <c r="M607" s="8"/>
      <c r="N607" s="8"/>
    </row>
    <row r="608">
      <c r="A608" s="8"/>
      <c r="L608" s="8"/>
      <c r="M608" s="8"/>
      <c r="N608" s="8"/>
    </row>
    <row r="609">
      <c r="A609" s="8"/>
      <c r="L609" s="8"/>
      <c r="M609" s="8"/>
      <c r="N609" s="8"/>
    </row>
    <row r="610">
      <c r="A610" s="8"/>
      <c r="L610" s="8"/>
      <c r="M610" s="8"/>
      <c r="N610" s="8"/>
    </row>
    <row r="611">
      <c r="A611" s="8"/>
      <c r="L611" s="8"/>
      <c r="M611" s="8"/>
      <c r="N611" s="8"/>
    </row>
    <row r="612">
      <c r="A612" s="8"/>
      <c r="L612" s="8"/>
      <c r="M612" s="8"/>
      <c r="N612" s="8"/>
    </row>
    <row r="613">
      <c r="A613" s="8"/>
      <c r="L613" s="8"/>
      <c r="M613" s="8"/>
      <c r="N613" s="8"/>
    </row>
    <row r="614">
      <c r="A614" s="8"/>
      <c r="L614" s="8"/>
      <c r="M614" s="8"/>
      <c r="N614" s="8"/>
    </row>
    <row r="615">
      <c r="A615" s="8"/>
      <c r="L615" s="8"/>
      <c r="M615" s="8"/>
      <c r="N615" s="8"/>
    </row>
    <row r="616">
      <c r="A616" s="8"/>
      <c r="L616" s="8"/>
      <c r="M616" s="8"/>
      <c r="N616" s="8"/>
    </row>
    <row r="617">
      <c r="A617" s="8"/>
      <c r="L617" s="8"/>
      <c r="M617" s="8"/>
      <c r="N617" s="8"/>
    </row>
    <row r="618">
      <c r="A618" s="8"/>
      <c r="L618" s="8"/>
      <c r="M618" s="8"/>
      <c r="N618" s="8"/>
    </row>
    <row r="619">
      <c r="A619" s="8"/>
      <c r="L619" s="8"/>
      <c r="M619" s="8"/>
      <c r="N619" s="8"/>
    </row>
    <row r="620">
      <c r="A620" s="8"/>
      <c r="L620" s="8"/>
      <c r="M620" s="8"/>
      <c r="N620" s="8"/>
    </row>
    <row r="621">
      <c r="A621" s="8"/>
      <c r="L621" s="8"/>
      <c r="M621" s="8"/>
      <c r="N621" s="8"/>
    </row>
    <row r="622">
      <c r="A622" s="8"/>
      <c r="L622" s="8"/>
      <c r="M622" s="8"/>
      <c r="N622" s="8"/>
    </row>
    <row r="623">
      <c r="A623" s="8"/>
      <c r="L623" s="8"/>
      <c r="M623" s="8"/>
      <c r="N623" s="8"/>
    </row>
    <row r="624">
      <c r="A624" s="8"/>
      <c r="L624" s="8"/>
      <c r="M624" s="8"/>
      <c r="N624" s="8"/>
    </row>
    <row r="625">
      <c r="A625" s="8"/>
      <c r="L625" s="8"/>
      <c r="M625" s="8"/>
      <c r="N625" s="8"/>
    </row>
    <row r="626">
      <c r="A626" s="8"/>
      <c r="L626" s="8"/>
      <c r="M626" s="8"/>
      <c r="N626" s="8"/>
    </row>
    <row r="627">
      <c r="A627" s="8"/>
      <c r="L627" s="8"/>
      <c r="M627" s="8"/>
      <c r="N627" s="8"/>
    </row>
    <row r="628">
      <c r="A628" s="8"/>
      <c r="L628" s="8"/>
      <c r="M628" s="8"/>
      <c r="N628" s="8"/>
    </row>
    <row r="629">
      <c r="A629" s="8"/>
      <c r="L629" s="8"/>
      <c r="M629" s="8"/>
      <c r="N629" s="8"/>
    </row>
    <row r="630">
      <c r="A630" s="8"/>
      <c r="L630" s="8"/>
      <c r="M630" s="8"/>
      <c r="N630" s="8"/>
    </row>
    <row r="631">
      <c r="A631" s="8"/>
      <c r="L631" s="8"/>
      <c r="M631" s="8"/>
      <c r="N631" s="8"/>
    </row>
    <row r="632">
      <c r="A632" s="8"/>
      <c r="L632" s="8"/>
      <c r="M632" s="8"/>
      <c r="N632" s="8"/>
    </row>
    <row r="633">
      <c r="A633" s="8"/>
      <c r="L633" s="8"/>
      <c r="M633" s="8"/>
      <c r="N633" s="8"/>
    </row>
    <row r="634">
      <c r="A634" s="8"/>
      <c r="L634" s="8"/>
      <c r="M634" s="8"/>
      <c r="N634" s="8"/>
    </row>
    <row r="635">
      <c r="A635" s="8"/>
      <c r="L635" s="8"/>
      <c r="M635" s="8"/>
      <c r="N635" s="8"/>
    </row>
    <row r="636">
      <c r="A636" s="8"/>
      <c r="L636" s="8"/>
      <c r="M636" s="8"/>
      <c r="N636" s="8"/>
    </row>
    <row r="637">
      <c r="A637" s="8"/>
      <c r="L637" s="8"/>
      <c r="M637" s="8"/>
      <c r="N637" s="8"/>
    </row>
    <row r="638">
      <c r="A638" s="8"/>
      <c r="L638" s="8"/>
      <c r="M638" s="8"/>
      <c r="N638" s="8"/>
    </row>
    <row r="639">
      <c r="A639" s="8"/>
      <c r="L639" s="8"/>
      <c r="M639" s="8"/>
      <c r="N639" s="8"/>
    </row>
    <row r="640">
      <c r="A640" s="8"/>
      <c r="L640" s="8"/>
      <c r="M640" s="8"/>
      <c r="N640" s="8"/>
    </row>
    <row r="641">
      <c r="A641" s="8"/>
      <c r="L641" s="8"/>
      <c r="M641" s="8"/>
      <c r="N641" s="8"/>
    </row>
    <row r="642">
      <c r="A642" s="8"/>
      <c r="L642" s="8"/>
      <c r="M642" s="8"/>
      <c r="N642" s="8"/>
    </row>
    <row r="643">
      <c r="A643" s="8"/>
      <c r="L643" s="8"/>
      <c r="M643" s="8"/>
      <c r="N643" s="8"/>
    </row>
    <row r="644">
      <c r="A644" s="8"/>
      <c r="L644" s="8"/>
      <c r="M644" s="8"/>
      <c r="N644" s="8"/>
    </row>
    <row r="645">
      <c r="A645" s="8"/>
      <c r="L645" s="8"/>
      <c r="M645" s="8"/>
      <c r="N645" s="8"/>
    </row>
    <row r="646">
      <c r="A646" s="8"/>
      <c r="L646" s="8"/>
      <c r="M646" s="8"/>
      <c r="N646" s="8"/>
    </row>
    <row r="647">
      <c r="A647" s="8"/>
      <c r="L647" s="8"/>
      <c r="M647" s="8"/>
      <c r="N647" s="8"/>
    </row>
    <row r="648">
      <c r="A648" s="8"/>
      <c r="L648" s="8"/>
      <c r="M648" s="8"/>
      <c r="N648" s="8"/>
    </row>
    <row r="649">
      <c r="A649" s="8"/>
      <c r="L649" s="8"/>
      <c r="M649" s="8"/>
      <c r="N649" s="8"/>
    </row>
    <row r="650">
      <c r="A650" s="8"/>
      <c r="L650" s="8"/>
      <c r="M650" s="8"/>
      <c r="N650" s="8"/>
    </row>
    <row r="651">
      <c r="A651" s="8"/>
      <c r="L651" s="8"/>
      <c r="M651" s="8"/>
      <c r="N651" s="8"/>
    </row>
    <row r="652">
      <c r="A652" s="8"/>
      <c r="L652" s="8"/>
      <c r="M652" s="8"/>
      <c r="N652" s="8"/>
    </row>
    <row r="653">
      <c r="A653" s="8"/>
      <c r="L653" s="8"/>
      <c r="M653" s="8"/>
      <c r="N653" s="8"/>
    </row>
    <row r="654">
      <c r="A654" s="8"/>
      <c r="L654" s="8"/>
      <c r="M654" s="8"/>
      <c r="N654" s="8"/>
    </row>
    <row r="655">
      <c r="A655" s="8"/>
      <c r="L655" s="8"/>
      <c r="M655" s="8"/>
      <c r="N655" s="8"/>
    </row>
    <row r="656">
      <c r="A656" s="8"/>
      <c r="L656" s="8"/>
      <c r="M656" s="8"/>
      <c r="N656" s="8"/>
    </row>
    <row r="657">
      <c r="A657" s="8"/>
      <c r="L657" s="8"/>
      <c r="M657" s="8"/>
      <c r="N657" s="8"/>
    </row>
    <row r="658">
      <c r="A658" s="8"/>
      <c r="L658" s="8"/>
      <c r="M658" s="8"/>
      <c r="N658" s="8"/>
    </row>
    <row r="659">
      <c r="A659" s="8"/>
      <c r="L659" s="8"/>
      <c r="M659" s="8"/>
      <c r="N659" s="8"/>
    </row>
    <row r="660">
      <c r="A660" s="8"/>
      <c r="L660" s="8"/>
      <c r="M660" s="8"/>
      <c r="N660" s="8"/>
    </row>
    <row r="661">
      <c r="A661" s="8"/>
      <c r="L661" s="8"/>
      <c r="M661" s="8"/>
      <c r="N661" s="8"/>
    </row>
    <row r="662">
      <c r="A662" s="8"/>
      <c r="L662" s="8"/>
      <c r="M662" s="8"/>
      <c r="N662" s="8"/>
    </row>
    <row r="663">
      <c r="A663" s="8"/>
      <c r="L663" s="8"/>
      <c r="M663" s="8"/>
      <c r="N663" s="8"/>
    </row>
    <row r="664">
      <c r="A664" s="8"/>
      <c r="L664" s="8"/>
      <c r="M664" s="8"/>
      <c r="N664" s="8"/>
    </row>
    <row r="665">
      <c r="A665" s="8"/>
      <c r="L665" s="8"/>
      <c r="M665" s="8"/>
      <c r="N665" s="8"/>
    </row>
    <row r="666">
      <c r="A666" s="8"/>
      <c r="L666" s="8"/>
      <c r="M666" s="8"/>
      <c r="N666" s="8"/>
    </row>
    <row r="667">
      <c r="A667" s="8"/>
      <c r="L667" s="8"/>
      <c r="M667" s="8"/>
      <c r="N667" s="8"/>
    </row>
    <row r="668">
      <c r="A668" s="8"/>
      <c r="L668" s="8"/>
      <c r="M668" s="8"/>
      <c r="N668" s="8"/>
    </row>
    <row r="669">
      <c r="A669" s="8"/>
      <c r="L669" s="8"/>
      <c r="M669" s="8"/>
      <c r="N669" s="8"/>
    </row>
    <row r="670">
      <c r="A670" s="8"/>
      <c r="L670" s="8"/>
      <c r="M670" s="8"/>
      <c r="N670" s="8"/>
    </row>
    <row r="671">
      <c r="A671" s="8"/>
      <c r="L671" s="8"/>
      <c r="M671" s="8"/>
      <c r="N671" s="8"/>
    </row>
    <row r="672">
      <c r="A672" s="8"/>
      <c r="L672" s="8"/>
      <c r="M672" s="8"/>
      <c r="N672" s="8"/>
    </row>
    <row r="673">
      <c r="A673" s="8"/>
      <c r="L673" s="8"/>
      <c r="M673" s="8"/>
      <c r="N673" s="8"/>
    </row>
    <row r="674">
      <c r="A674" s="8"/>
      <c r="L674" s="8"/>
      <c r="M674" s="8"/>
      <c r="N674" s="8"/>
    </row>
    <row r="675">
      <c r="A675" s="8"/>
      <c r="L675" s="8"/>
      <c r="M675" s="8"/>
      <c r="N675" s="8"/>
    </row>
    <row r="676">
      <c r="A676" s="8"/>
      <c r="L676" s="8"/>
      <c r="M676" s="8"/>
      <c r="N676" s="8"/>
    </row>
    <row r="677">
      <c r="A677" s="8"/>
      <c r="L677" s="8"/>
      <c r="M677" s="8"/>
      <c r="N677" s="8"/>
    </row>
    <row r="678">
      <c r="A678" s="8"/>
      <c r="L678" s="8"/>
      <c r="M678" s="8"/>
      <c r="N678" s="8"/>
    </row>
    <row r="679">
      <c r="A679" s="8"/>
      <c r="L679" s="8"/>
      <c r="M679" s="8"/>
      <c r="N679" s="8"/>
    </row>
    <row r="680">
      <c r="A680" s="8"/>
      <c r="L680" s="8"/>
      <c r="M680" s="8"/>
      <c r="N680" s="8"/>
    </row>
    <row r="681">
      <c r="A681" s="8"/>
      <c r="L681" s="8"/>
      <c r="M681" s="8"/>
      <c r="N681" s="8"/>
    </row>
    <row r="682">
      <c r="A682" s="8"/>
      <c r="L682" s="8"/>
      <c r="M682" s="8"/>
      <c r="N682" s="8"/>
    </row>
    <row r="683">
      <c r="A683" s="8"/>
      <c r="L683" s="8"/>
      <c r="M683" s="8"/>
      <c r="N683" s="8"/>
    </row>
    <row r="684">
      <c r="A684" s="8"/>
      <c r="L684" s="8"/>
      <c r="M684" s="8"/>
      <c r="N684" s="8"/>
    </row>
    <row r="685">
      <c r="A685" s="8"/>
      <c r="L685" s="8"/>
      <c r="M685" s="8"/>
      <c r="N685" s="8"/>
    </row>
    <row r="686">
      <c r="A686" s="8"/>
      <c r="L686" s="8"/>
      <c r="M686" s="8"/>
      <c r="N686" s="8"/>
    </row>
    <row r="687">
      <c r="A687" s="8"/>
      <c r="L687" s="8"/>
      <c r="M687" s="8"/>
      <c r="N687" s="8"/>
    </row>
    <row r="688">
      <c r="A688" s="8"/>
      <c r="L688" s="8"/>
      <c r="M688" s="8"/>
      <c r="N688" s="8"/>
    </row>
    <row r="689">
      <c r="A689" s="8"/>
      <c r="L689" s="8"/>
      <c r="M689" s="8"/>
      <c r="N689" s="8"/>
    </row>
    <row r="690">
      <c r="A690" s="8"/>
      <c r="L690" s="8"/>
      <c r="M690" s="8"/>
      <c r="N690" s="8"/>
    </row>
    <row r="691">
      <c r="A691" s="8"/>
      <c r="L691" s="8"/>
      <c r="M691" s="8"/>
      <c r="N691" s="8"/>
    </row>
    <row r="692">
      <c r="A692" s="8"/>
      <c r="L692" s="8"/>
      <c r="M692" s="8"/>
      <c r="N692" s="8"/>
    </row>
    <row r="693">
      <c r="A693" s="8"/>
      <c r="L693" s="8"/>
      <c r="M693" s="8"/>
      <c r="N693" s="8"/>
    </row>
    <row r="694">
      <c r="A694" s="8"/>
      <c r="L694" s="8"/>
      <c r="M694" s="8"/>
      <c r="N694" s="8"/>
    </row>
    <row r="695">
      <c r="A695" s="8"/>
      <c r="L695" s="8"/>
      <c r="M695" s="8"/>
      <c r="N695" s="8"/>
    </row>
    <row r="696">
      <c r="A696" s="8"/>
      <c r="L696" s="8"/>
      <c r="M696" s="8"/>
      <c r="N696" s="8"/>
    </row>
    <row r="697">
      <c r="A697" s="8"/>
      <c r="L697" s="8"/>
      <c r="M697" s="8"/>
      <c r="N697" s="8"/>
    </row>
    <row r="698">
      <c r="A698" s="8"/>
      <c r="L698" s="8"/>
      <c r="M698" s="8"/>
      <c r="N698" s="8"/>
    </row>
    <row r="699">
      <c r="A699" s="8"/>
      <c r="L699" s="8"/>
      <c r="M699" s="8"/>
      <c r="N699" s="8"/>
    </row>
    <row r="700">
      <c r="A700" s="8"/>
      <c r="L700" s="8"/>
      <c r="M700" s="8"/>
      <c r="N700" s="8"/>
    </row>
    <row r="701">
      <c r="A701" s="8"/>
      <c r="L701" s="8"/>
      <c r="M701" s="8"/>
      <c r="N701" s="8"/>
    </row>
    <row r="702">
      <c r="A702" s="8"/>
      <c r="L702" s="8"/>
      <c r="M702" s="8"/>
      <c r="N702" s="8"/>
    </row>
    <row r="703">
      <c r="A703" s="8"/>
      <c r="L703" s="8"/>
      <c r="M703" s="8"/>
      <c r="N703" s="8"/>
    </row>
    <row r="704">
      <c r="A704" s="8"/>
      <c r="L704" s="8"/>
      <c r="M704" s="8"/>
      <c r="N704" s="8"/>
    </row>
    <row r="705">
      <c r="A705" s="8"/>
      <c r="L705" s="8"/>
      <c r="M705" s="8"/>
      <c r="N705" s="8"/>
    </row>
    <row r="706">
      <c r="A706" s="8"/>
      <c r="L706" s="8"/>
      <c r="M706" s="8"/>
      <c r="N706" s="8"/>
    </row>
    <row r="707">
      <c r="A707" s="8"/>
      <c r="L707" s="8"/>
      <c r="M707" s="8"/>
      <c r="N707" s="8"/>
    </row>
    <row r="708">
      <c r="A708" s="8"/>
      <c r="L708" s="8"/>
      <c r="M708" s="8"/>
      <c r="N708" s="8"/>
    </row>
    <row r="709">
      <c r="A709" s="8"/>
      <c r="L709" s="8"/>
      <c r="M709" s="8"/>
      <c r="N709" s="8"/>
    </row>
    <row r="710">
      <c r="A710" s="8"/>
      <c r="L710" s="8"/>
      <c r="M710" s="8"/>
      <c r="N710" s="8"/>
    </row>
    <row r="711">
      <c r="A711" s="8"/>
      <c r="L711" s="8"/>
      <c r="M711" s="8"/>
      <c r="N711" s="8"/>
    </row>
    <row r="712">
      <c r="A712" s="8"/>
      <c r="L712" s="8"/>
      <c r="M712" s="8"/>
      <c r="N712" s="8"/>
    </row>
    <row r="713">
      <c r="A713" s="8"/>
      <c r="L713" s="8"/>
      <c r="M713" s="8"/>
      <c r="N713" s="8"/>
    </row>
    <row r="714">
      <c r="A714" s="8"/>
      <c r="L714" s="8"/>
      <c r="M714" s="8"/>
      <c r="N714" s="8"/>
    </row>
    <row r="715">
      <c r="A715" s="8"/>
      <c r="L715" s="8"/>
      <c r="M715" s="8"/>
      <c r="N715" s="8"/>
    </row>
    <row r="716">
      <c r="A716" s="8"/>
      <c r="L716" s="8"/>
      <c r="M716" s="8"/>
      <c r="N716" s="8"/>
    </row>
    <row r="717">
      <c r="A717" s="8"/>
      <c r="L717" s="8"/>
      <c r="M717" s="8"/>
      <c r="N717" s="8"/>
    </row>
    <row r="718">
      <c r="A718" s="8"/>
      <c r="L718" s="8"/>
      <c r="M718" s="8"/>
      <c r="N718" s="8"/>
    </row>
    <row r="719">
      <c r="A719" s="8"/>
      <c r="L719" s="8"/>
      <c r="M719" s="8"/>
      <c r="N719" s="8"/>
    </row>
    <row r="720">
      <c r="A720" s="8"/>
      <c r="L720" s="8"/>
      <c r="M720" s="8"/>
      <c r="N720" s="8"/>
    </row>
    <row r="721">
      <c r="A721" s="8"/>
      <c r="L721" s="8"/>
      <c r="M721" s="8"/>
      <c r="N721" s="8"/>
    </row>
    <row r="722">
      <c r="A722" s="8"/>
      <c r="L722" s="8"/>
      <c r="M722" s="8"/>
      <c r="N722" s="8"/>
    </row>
    <row r="723">
      <c r="A723" s="8"/>
      <c r="L723" s="8"/>
      <c r="M723" s="8"/>
      <c r="N723" s="8"/>
    </row>
    <row r="724">
      <c r="A724" s="8"/>
      <c r="L724" s="8"/>
      <c r="M724" s="8"/>
      <c r="N724" s="8"/>
    </row>
    <row r="725">
      <c r="A725" s="8"/>
      <c r="L725" s="8"/>
      <c r="M725" s="8"/>
      <c r="N725" s="8"/>
    </row>
    <row r="726">
      <c r="A726" s="8"/>
      <c r="L726" s="8"/>
      <c r="M726" s="8"/>
      <c r="N726" s="8"/>
    </row>
    <row r="727">
      <c r="A727" s="8"/>
      <c r="L727" s="8"/>
      <c r="M727" s="8"/>
      <c r="N727" s="8"/>
    </row>
    <row r="728">
      <c r="A728" s="8"/>
      <c r="L728" s="8"/>
      <c r="M728" s="8"/>
      <c r="N728" s="8"/>
    </row>
    <row r="729">
      <c r="A729" s="8"/>
      <c r="L729" s="8"/>
      <c r="M729" s="8"/>
      <c r="N729" s="8"/>
    </row>
    <row r="730">
      <c r="A730" s="8"/>
      <c r="L730" s="8"/>
      <c r="M730" s="8"/>
      <c r="N730" s="8"/>
    </row>
    <row r="731">
      <c r="A731" s="8"/>
      <c r="L731" s="8"/>
      <c r="M731" s="8"/>
      <c r="N731" s="8"/>
    </row>
    <row r="732">
      <c r="A732" s="8"/>
      <c r="L732" s="8"/>
      <c r="M732" s="8"/>
      <c r="N732" s="8"/>
    </row>
    <row r="733">
      <c r="A733" s="8"/>
      <c r="L733" s="8"/>
      <c r="M733" s="8"/>
      <c r="N733" s="8"/>
    </row>
    <row r="734">
      <c r="A734" s="8"/>
      <c r="L734" s="8"/>
      <c r="M734" s="8"/>
      <c r="N734" s="8"/>
    </row>
    <row r="735">
      <c r="A735" s="8"/>
      <c r="L735" s="8"/>
      <c r="M735" s="8"/>
      <c r="N735" s="8"/>
    </row>
    <row r="736">
      <c r="A736" s="8"/>
      <c r="L736" s="8"/>
      <c r="M736" s="8"/>
      <c r="N736" s="8"/>
    </row>
    <row r="737">
      <c r="A737" s="8"/>
      <c r="L737" s="8"/>
      <c r="M737" s="8"/>
      <c r="N737" s="8"/>
    </row>
    <row r="738">
      <c r="A738" s="8"/>
      <c r="L738" s="8"/>
      <c r="M738" s="8"/>
      <c r="N738" s="8"/>
    </row>
    <row r="739">
      <c r="A739" s="8"/>
      <c r="L739" s="8"/>
      <c r="M739" s="8"/>
      <c r="N739" s="8"/>
    </row>
    <row r="740">
      <c r="A740" s="8"/>
      <c r="L740" s="8"/>
      <c r="M740" s="8"/>
      <c r="N740" s="8"/>
    </row>
    <row r="741">
      <c r="A741" s="8"/>
      <c r="L741" s="8"/>
      <c r="M741" s="8"/>
      <c r="N741" s="8"/>
    </row>
    <row r="742">
      <c r="A742" s="8"/>
      <c r="L742" s="8"/>
      <c r="M742" s="8"/>
      <c r="N742" s="8"/>
    </row>
    <row r="743">
      <c r="A743" s="8"/>
      <c r="L743" s="8"/>
      <c r="M743" s="8"/>
      <c r="N743" s="8"/>
    </row>
    <row r="744">
      <c r="A744" s="8"/>
      <c r="L744" s="8"/>
      <c r="M744" s="8"/>
      <c r="N744" s="8"/>
    </row>
    <row r="745">
      <c r="A745" s="8"/>
      <c r="L745" s="8"/>
      <c r="M745" s="8"/>
      <c r="N745" s="8"/>
    </row>
    <row r="746">
      <c r="A746" s="8"/>
      <c r="L746" s="8"/>
      <c r="M746" s="8"/>
      <c r="N746" s="8"/>
    </row>
    <row r="747">
      <c r="A747" s="8"/>
      <c r="L747" s="8"/>
      <c r="M747" s="8"/>
      <c r="N747" s="8"/>
    </row>
    <row r="748">
      <c r="A748" s="8"/>
      <c r="L748" s="8"/>
      <c r="M748" s="8"/>
      <c r="N748" s="8"/>
    </row>
    <row r="749">
      <c r="A749" s="8"/>
      <c r="L749" s="8"/>
      <c r="M749" s="8"/>
      <c r="N749" s="8"/>
    </row>
    <row r="750">
      <c r="A750" s="8"/>
      <c r="L750" s="8"/>
      <c r="M750" s="8"/>
      <c r="N750" s="8"/>
    </row>
    <row r="751">
      <c r="A751" s="8"/>
      <c r="L751" s="8"/>
      <c r="M751" s="8"/>
      <c r="N751" s="8"/>
    </row>
    <row r="752">
      <c r="A752" s="8"/>
      <c r="L752" s="8"/>
      <c r="M752" s="8"/>
      <c r="N752" s="8"/>
    </row>
    <row r="753">
      <c r="A753" s="8"/>
      <c r="L753" s="8"/>
      <c r="M753" s="8"/>
      <c r="N753" s="8"/>
    </row>
    <row r="754">
      <c r="A754" s="8"/>
      <c r="L754" s="8"/>
      <c r="M754" s="8"/>
      <c r="N754" s="8"/>
    </row>
    <row r="755">
      <c r="A755" s="8"/>
      <c r="L755" s="8"/>
      <c r="M755" s="8"/>
      <c r="N755" s="8"/>
    </row>
    <row r="756">
      <c r="A756" s="8"/>
      <c r="L756" s="8"/>
      <c r="M756" s="8"/>
      <c r="N756" s="8"/>
    </row>
    <row r="757">
      <c r="A757" s="8"/>
      <c r="L757" s="8"/>
      <c r="M757" s="8"/>
      <c r="N757" s="8"/>
    </row>
    <row r="758">
      <c r="A758" s="8"/>
      <c r="L758" s="8"/>
      <c r="M758" s="8"/>
      <c r="N758" s="8"/>
    </row>
    <row r="759">
      <c r="A759" s="8"/>
      <c r="L759" s="8"/>
      <c r="M759" s="8"/>
      <c r="N759" s="8"/>
    </row>
    <row r="760">
      <c r="A760" s="8"/>
      <c r="L760" s="8"/>
      <c r="M760" s="8"/>
      <c r="N760" s="8"/>
    </row>
    <row r="761">
      <c r="A761" s="8"/>
      <c r="L761" s="8"/>
      <c r="M761" s="8"/>
      <c r="N761" s="8"/>
    </row>
    <row r="762">
      <c r="A762" s="8"/>
      <c r="L762" s="8"/>
      <c r="M762" s="8"/>
      <c r="N762" s="8"/>
    </row>
    <row r="763">
      <c r="A763" s="8"/>
      <c r="L763" s="8"/>
      <c r="M763" s="8"/>
      <c r="N763" s="8"/>
    </row>
    <row r="764">
      <c r="A764" s="8"/>
      <c r="L764" s="8"/>
      <c r="M764" s="8"/>
      <c r="N764" s="8"/>
    </row>
    <row r="765">
      <c r="A765" s="8"/>
      <c r="L765" s="8"/>
      <c r="M765" s="8"/>
      <c r="N765" s="8"/>
    </row>
    <row r="766">
      <c r="A766" s="8"/>
      <c r="L766" s="8"/>
      <c r="M766" s="8"/>
      <c r="N766" s="8"/>
    </row>
    <row r="767">
      <c r="A767" s="8"/>
      <c r="L767" s="8"/>
      <c r="M767" s="8"/>
      <c r="N767" s="8"/>
    </row>
    <row r="768">
      <c r="A768" s="8"/>
      <c r="L768" s="8"/>
      <c r="M768" s="8"/>
      <c r="N768" s="8"/>
    </row>
    <row r="769">
      <c r="A769" s="8"/>
      <c r="L769" s="8"/>
      <c r="M769" s="8"/>
      <c r="N769" s="8"/>
    </row>
    <row r="770">
      <c r="A770" s="8"/>
      <c r="L770" s="8"/>
      <c r="M770" s="8"/>
      <c r="N770" s="8"/>
    </row>
    <row r="771">
      <c r="A771" s="8"/>
      <c r="L771" s="8"/>
      <c r="M771" s="8"/>
      <c r="N771" s="8"/>
    </row>
    <row r="772">
      <c r="A772" s="8"/>
      <c r="L772" s="8"/>
      <c r="M772" s="8"/>
      <c r="N772" s="8"/>
    </row>
    <row r="773">
      <c r="A773" s="8"/>
      <c r="L773" s="8"/>
      <c r="M773" s="8"/>
      <c r="N773" s="8"/>
    </row>
    <row r="774">
      <c r="A774" s="8"/>
      <c r="L774" s="8"/>
      <c r="M774" s="8"/>
      <c r="N774" s="8"/>
    </row>
    <row r="775">
      <c r="A775" s="8"/>
      <c r="L775" s="8"/>
      <c r="M775" s="8"/>
      <c r="N775" s="8"/>
    </row>
    <row r="776">
      <c r="A776" s="8"/>
      <c r="L776" s="8"/>
      <c r="M776" s="8"/>
      <c r="N776" s="8"/>
    </row>
    <row r="777">
      <c r="A777" s="8"/>
      <c r="L777" s="8"/>
      <c r="M777" s="8"/>
      <c r="N777" s="8"/>
    </row>
    <row r="778">
      <c r="A778" s="8"/>
      <c r="L778" s="8"/>
      <c r="M778" s="8"/>
      <c r="N778" s="8"/>
    </row>
    <row r="779">
      <c r="A779" s="8"/>
      <c r="L779" s="8"/>
      <c r="M779" s="8"/>
      <c r="N779" s="8"/>
    </row>
    <row r="780">
      <c r="A780" s="8"/>
      <c r="L780" s="8"/>
      <c r="M780" s="8"/>
      <c r="N780" s="8"/>
    </row>
    <row r="781">
      <c r="A781" s="8"/>
      <c r="L781" s="8"/>
      <c r="M781" s="8"/>
      <c r="N781" s="8"/>
    </row>
    <row r="782">
      <c r="A782" s="8"/>
      <c r="L782" s="8"/>
      <c r="M782" s="8"/>
      <c r="N782" s="8"/>
    </row>
    <row r="783">
      <c r="A783" s="8"/>
      <c r="L783" s="8"/>
      <c r="M783" s="8"/>
      <c r="N783" s="8"/>
    </row>
    <row r="784">
      <c r="A784" s="8"/>
      <c r="L784" s="8"/>
      <c r="M784" s="8"/>
      <c r="N784" s="8"/>
    </row>
    <row r="785">
      <c r="A785" s="8"/>
      <c r="L785" s="8"/>
      <c r="M785" s="8"/>
      <c r="N785" s="8"/>
    </row>
    <row r="786">
      <c r="A786" s="8"/>
      <c r="L786" s="8"/>
      <c r="M786" s="8"/>
      <c r="N786" s="8"/>
    </row>
    <row r="787">
      <c r="A787" s="8"/>
      <c r="L787" s="8"/>
      <c r="M787" s="8"/>
      <c r="N787" s="8"/>
    </row>
    <row r="788">
      <c r="A788" s="8"/>
      <c r="L788" s="8"/>
      <c r="M788" s="8"/>
      <c r="N788" s="8"/>
    </row>
    <row r="789">
      <c r="A789" s="8"/>
      <c r="L789" s="8"/>
      <c r="M789" s="8"/>
      <c r="N789" s="8"/>
    </row>
    <row r="790">
      <c r="A790" s="8"/>
      <c r="L790" s="8"/>
      <c r="M790" s="8"/>
      <c r="N790" s="8"/>
    </row>
    <row r="791">
      <c r="A791" s="8"/>
      <c r="L791" s="8"/>
      <c r="M791" s="8"/>
      <c r="N791" s="8"/>
    </row>
    <row r="792">
      <c r="A792" s="8"/>
      <c r="L792" s="8"/>
      <c r="M792" s="8"/>
      <c r="N792" s="8"/>
    </row>
    <row r="793">
      <c r="A793" s="8"/>
      <c r="L793" s="8"/>
      <c r="M793" s="8"/>
      <c r="N793" s="8"/>
    </row>
    <row r="794">
      <c r="A794" s="8"/>
      <c r="L794" s="8"/>
      <c r="M794" s="8"/>
      <c r="N794" s="8"/>
    </row>
    <row r="795">
      <c r="A795" s="8"/>
      <c r="L795" s="8"/>
      <c r="M795" s="8"/>
      <c r="N795" s="8"/>
    </row>
    <row r="796">
      <c r="A796" s="8"/>
      <c r="L796" s="8"/>
      <c r="M796" s="8"/>
      <c r="N796" s="8"/>
    </row>
    <row r="797">
      <c r="A797" s="8"/>
      <c r="L797" s="8"/>
      <c r="M797" s="8"/>
      <c r="N797" s="8"/>
    </row>
    <row r="798">
      <c r="A798" s="8"/>
      <c r="L798" s="8"/>
      <c r="M798" s="8"/>
      <c r="N798" s="8"/>
    </row>
    <row r="799">
      <c r="A799" s="8"/>
      <c r="L799" s="8"/>
      <c r="M799" s="8"/>
      <c r="N799" s="8"/>
    </row>
    <row r="800">
      <c r="A800" s="8"/>
      <c r="L800" s="8"/>
      <c r="M800" s="8"/>
      <c r="N800" s="8"/>
    </row>
    <row r="801">
      <c r="A801" s="8"/>
      <c r="L801" s="8"/>
      <c r="M801" s="8"/>
      <c r="N801" s="8"/>
    </row>
    <row r="802">
      <c r="A802" s="8"/>
      <c r="L802" s="8"/>
      <c r="M802" s="8"/>
      <c r="N802" s="8"/>
    </row>
    <row r="803">
      <c r="A803" s="8"/>
      <c r="L803" s="8"/>
      <c r="M803" s="8"/>
      <c r="N803" s="8"/>
    </row>
    <row r="804">
      <c r="A804" s="8"/>
      <c r="L804" s="8"/>
      <c r="M804" s="8"/>
      <c r="N804" s="8"/>
    </row>
    <row r="805">
      <c r="A805" s="8"/>
      <c r="L805" s="8"/>
      <c r="M805" s="8"/>
      <c r="N805" s="8"/>
    </row>
    <row r="806">
      <c r="A806" s="8"/>
      <c r="L806" s="8"/>
      <c r="M806" s="8"/>
      <c r="N806" s="8"/>
    </row>
    <row r="807">
      <c r="A807" s="8"/>
      <c r="L807" s="8"/>
      <c r="M807" s="8"/>
      <c r="N807" s="8"/>
    </row>
    <row r="808">
      <c r="A808" s="8"/>
      <c r="L808" s="8"/>
      <c r="M808" s="8"/>
      <c r="N808" s="8"/>
    </row>
    <row r="809">
      <c r="A809" s="8"/>
      <c r="L809" s="8"/>
      <c r="M809" s="8"/>
      <c r="N809" s="8"/>
    </row>
    <row r="810">
      <c r="A810" s="8"/>
      <c r="L810" s="8"/>
      <c r="M810" s="8"/>
      <c r="N810" s="8"/>
    </row>
    <row r="811">
      <c r="A811" s="8"/>
      <c r="L811" s="8"/>
      <c r="M811" s="8"/>
      <c r="N811" s="8"/>
    </row>
    <row r="812">
      <c r="A812" s="8"/>
      <c r="L812" s="8"/>
      <c r="M812" s="8"/>
      <c r="N812" s="8"/>
    </row>
    <row r="813">
      <c r="A813" s="8"/>
      <c r="L813" s="8"/>
      <c r="M813" s="8"/>
      <c r="N813" s="8"/>
    </row>
    <row r="814">
      <c r="A814" s="8"/>
      <c r="L814" s="8"/>
      <c r="M814" s="8"/>
      <c r="N814" s="8"/>
    </row>
    <row r="815">
      <c r="A815" s="8"/>
      <c r="L815" s="8"/>
      <c r="M815" s="8"/>
      <c r="N815" s="8"/>
    </row>
    <row r="816">
      <c r="A816" s="8"/>
      <c r="L816" s="8"/>
      <c r="M816" s="8"/>
      <c r="N816" s="8"/>
    </row>
    <row r="817">
      <c r="A817" s="8"/>
      <c r="L817" s="8"/>
      <c r="M817" s="8"/>
      <c r="N817" s="8"/>
    </row>
    <row r="818">
      <c r="A818" s="8"/>
      <c r="L818" s="8"/>
      <c r="M818" s="8"/>
      <c r="N818" s="8"/>
    </row>
    <row r="819">
      <c r="A819" s="8"/>
      <c r="L819" s="8"/>
      <c r="M819" s="8"/>
      <c r="N819" s="8"/>
    </row>
    <row r="820">
      <c r="A820" s="8"/>
      <c r="L820" s="8"/>
      <c r="M820" s="8"/>
      <c r="N820" s="8"/>
    </row>
    <row r="821">
      <c r="A821" s="8"/>
      <c r="L821" s="8"/>
      <c r="M821" s="8"/>
      <c r="N821" s="8"/>
    </row>
    <row r="822">
      <c r="A822" s="8"/>
      <c r="L822" s="8"/>
      <c r="M822" s="8"/>
      <c r="N822" s="8"/>
    </row>
    <row r="823">
      <c r="A823" s="8"/>
      <c r="L823" s="8"/>
      <c r="M823" s="8"/>
      <c r="N823" s="8"/>
    </row>
    <row r="824">
      <c r="A824" s="8"/>
      <c r="L824" s="8"/>
      <c r="M824" s="8"/>
      <c r="N824" s="8"/>
    </row>
    <row r="825">
      <c r="A825" s="8"/>
      <c r="L825" s="8"/>
      <c r="M825" s="8"/>
      <c r="N825" s="8"/>
    </row>
    <row r="826">
      <c r="A826" s="8"/>
      <c r="L826" s="8"/>
      <c r="M826" s="8"/>
      <c r="N826" s="8"/>
    </row>
    <row r="827">
      <c r="A827" s="8"/>
      <c r="L827" s="8"/>
      <c r="M827" s="8"/>
      <c r="N827" s="8"/>
    </row>
    <row r="828">
      <c r="A828" s="8"/>
      <c r="L828" s="8"/>
      <c r="M828" s="8"/>
      <c r="N828" s="8"/>
    </row>
    <row r="829">
      <c r="A829" s="8"/>
      <c r="L829" s="8"/>
      <c r="M829" s="8"/>
      <c r="N829" s="8"/>
    </row>
    <row r="830">
      <c r="A830" s="8"/>
      <c r="L830" s="8"/>
      <c r="M830" s="8"/>
      <c r="N830" s="8"/>
    </row>
    <row r="831">
      <c r="A831" s="8"/>
      <c r="L831" s="8"/>
      <c r="M831" s="8"/>
      <c r="N831" s="8"/>
    </row>
    <row r="832">
      <c r="A832" s="8"/>
      <c r="L832" s="8"/>
      <c r="M832" s="8"/>
      <c r="N832" s="8"/>
    </row>
    <row r="833">
      <c r="A833" s="8"/>
      <c r="L833" s="8"/>
      <c r="M833" s="8"/>
      <c r="N833" s="8"/>
    </row>
    <row r="834">
      <c r="A834" s="8"/>
      <c r="L834" s="8"/>
      <c r="M834" s="8"/>
      <c r="N834" s="8"/>
    </row>
    <row r="835">
      <c r="A835" s="8"/>
      <c r="L835" s="8"/>
      <c r="M835" s="8"/>
      <c r="N835" s="8"/>
    </row>
    <row r="836">
      <c r="A836" s="8"/>
      <c r="L836" s="8"/>
      <c r="M836" s="8"/>
      <c r="N836" s="8"/>
    </row>
    <row r="837">
      <c r="A837" s="8"/>
      <c r="L837" s="8"/>
      <c r="M837" s="8"/>
      <c r="N837" s="8"/>
    </row>
    <row r="838">
      <c r="A838" s="8"/>
      <c r="L838" s="8"/>
      <c r="M838" s="8"/>
      <c r="N838" s="8"/>
    </row>
    <row r="839">
      <c r="A839" s="8"/>
      <c r="L839" s="8"/>
      <c r="M839" s="8"/>
      <c r="N839" s="8"/>
    </row>
    <row r="840">
      <c r="A840" s="8"/>
      <c r="L840" s="8"/>
      <c r="M840" s="8"/>
      <c r="N840" s="8"/>
    </row>
    <row r="841">
      <c r="A841" s="8"/>
      <c r="L841" s="8"/>
      <c r="M841" s="8"/>
      <c r="N841" s="8"/>
    </row>
    <row r="842">
      <c r="A842" s="8"/>
      <c r="L842" s="8"/>
      <c r="M842" s="8"/>
      <c r="N842" s="8"/>
    </row>
    <row r="843">
      <c r="A843" s="8"/>
      <c r="L843" s="8"/>
      <c r="M843" s="8"/>
      <c r="N843" s="8"/>
    </row>
    <row r="844">
      <c r="A844" s="8"/>
      <c r="L844" s="8"/>
      <c r="M844" s="8"/>
      <c r="N844" s="8"/>
    </row>
    <row r="845">
      <c r="A845" s="8"/>
      <c r="L845" s="8"/>
      <c r="M845" s="8"/>
      <c r="N845" s="8"/>
    </row>
    <row r="846">
      <c r="A846" s="8"/>
      <c r="L846" s="8"/>
      <c r="M846" s="8"/>
      <c r="N846" s="8"/>
    </row>
    <row r="847">
      <c r="A847" s="8"/>
      <c r="L847" s="8"/>
      <c r="M847" s="8"/>
      <c r="N847" s="8"/>
    </row>
    <row r="848">
      <c r="A848" s="8"/>
      <c r="L848" s="8"/>
      <c r="M848" s="8"/>
      <c r="N848" s="8"/>
    </row>
    <row r="849">
      <c r="A849" s="8"/>
      <c r="L849" s="8"/>
      <c r="M849" s="8"/>
      <c r="N849" s="8"/>
    </row>
    <row r="850">
      <c r="A850" s="8"/>
      <c r="L850" s="8"/>
      <c r="M850" s="8"/>
      <c r="N850" s="8"/>
    </row>
    <row r="851">
      <c r="A851" s="8"/>
      <c r="L851" s="8"/>
      <c r="M851" s="8"/>
      <c r="N851" s="8"/>
    </row>
    <row r="852">
      <c r="A852" s="8"/>
      <c r="L852" s="8"/>
      <c r="M852" s="8"/>
      <c r="N852" s="8"/>
    </row>
    <row r="853">
      <c r="A853" s="8"/>
      <c r="L853" s="8"/>
      <c r="M853" s="8"/>
      <c r="N853" s="8"/>
    </row>
    <row r="854">
      <c r="A854" s="8"/>
      <c r="L854" s="8"/>
      <c r="M854" s="8"/>
      <c r="N854" s="8"/>
    </row>
    <row r="855">
      <c r="A855" s="8"/>
      <c r="L855" s="8"/>
      <c r="M855" s="8"/>
      <c r="N855" s="8"/>
    </row>
    <row r="856">
      <c r="A856" s="8"/>
      <c r="L856" s="8"/>
      <c r="M856" s="8"/>
      <c r="N856" s="8"/>
    </row>
    <row r="857">
      <c r="A857" s="8"/>
      <c r="L857" s="8"/>
      <c r="M857" s="8"/>
      <c r="N857" s="8"/>
    </row>
    <row r="858">
      <c r="A858" s="8"/>
      <c r="L858" s="8"/>
      <c r="M858" s="8"/>
      <c r="N858" s="8"/>
    </row>
    <row r="859">
      <c r="A859" s="8"/>
      <c r="L859" s="8"/>
      <c r="M859" s="8"/>
      <c r="N859" s="8"/>
    </row>
    <row r="860">
      <c r="A860" s="8"/>
      <c r="L860" s="8"/>
      <c r="M860" s="8"/>
      <c r="N860" s="8"/>
    </row>
    <row r="861">
      <c r="A861" s="8"/>
      <c r="L861" s="8"/>
      <c r="M861" s="8"/>
      <c r="N861" s="8"/>
    </row>
    <row r="862">
      <c r="A862" s="8"/>
      <c r="L862" s="8"/>
      <c r="M862" s="8"/>
      <c r="N862" s="8"/>
    </row>
    <row r="863">
      <c r="A863" s="8"/>
      <c r="L863" s="8"/>
      <c r="M863" s="8"/>
      <c r="N863" s="8"/>
    </row>
    <row r="864">
      <c r="A864" s="8"/>
      <c r="L864" s="8"/>
      <c r="M864" s="8"/>
      <c r="N864" s="8"/>
    </row>
    <row r="865">
      <c r="A865" s="8"/>
      <c r="L865" s="8"/>
      <c r="M865" s="8"/>
      <c r="N865" s="8"/>
    </row>
    <row r="866">
      <c r="A866" s="8"/>
      <c r="L866" s="8"/>
      <c r="M866" s="8"/>
      <c r="N866" s="8"/>
    </row>
    <row r="867">
      <c r="A867" s="8"/>
      <c r="L867" s="8"/>
      <c r="M867" s="8"/>
      <c r="N867" s="8"/>
    </row>
    <row r="868">
      <c r="A868" s="8"/>
      <c r="L868" s="8"/>
      <c r="M868" s="8"/>
      <c r="N868" s="8"/>
    </row>
    <row r="869">
      <c r="A869" s="8"/>
      <c r="L869" s="8"/>
      <c r="M869" s="8"/>
      <c r="N869" s="8"/>
    </row>
    <row r="870">
      <c r="A870" s="8"/>
      <c r="L870" s="8"/>
      <c r="M870" s="8"/>
      <c r="N870" s="8"/>
    </row>
    <row r="871">
      <c r="A871" s="8"/>
      <c r="L871" s="8"/>
      <c r="M871" s="8"/>
      <c r="N871" s="8"/>
    </row>
    <row r="872">
      <c r="A872" s="8"/>
      <c r="L872" s="8"/>
      <c r="M872" s="8"/>
      <c r="N872" s="8"/>
    </row>
    <row r="873">
      <c r="A873" s="8"/>
      <c r="L873" s="8"/>
      <c r="M873" s="8"/>
      <c r="N873" s="8"/>
    </row>
    <row r="874">
      <c r="A874" s="8"/>
      <c r="L874" s="8"/>
      <c r="M874" s="8"/>
      <c r="N874" s="8"/>
    </row>
    <row r="875">
      <c r="A875" s="8"/>
      <c r="L875" s="8"/>
      <c r="M875" s="8"/>
      <c r="N875" s="8"/>
    </row>
    <row r="876">
      <c r="A876" s="8"/>
      <c r="L876" s="8"/>
      <c r="M876" s="8"/>
      <c r="N876" s="8"/>
    </row>
    <row r="877">
      <c r="A877" s="8"/>
      <c r="L877" s="8"/>
      <c r="M877" s="8"/>
      <c r="N877" s="8"/>
    </row>
    <row r="878">
      <c r="A878" s="8"/>
      <c r="L878" s="8"/>
      <c r="M878" s="8"/>
      <c r="N878" s="8"/>
    </row>
    <row r="879">
      <c r="A879" s="8"/>
      <c r="L879" s="8"/>
      <c r="M879" s="8"/>
      <c r="N879" s="8"/>
    </row>
    <row r="880">
      <c r="A880" s="8"/>
      <c r="L880" s="8"/>
      <c r="M880" s="8"/>
      <c r="N880" s="8"/>
    </row>
    <row r="881">
      <c r="A881" s="8"/>
      <c r="L881" s="8"/>
      <c r="M881" s="8"/>
      <c r="N881" s="8"/>
    </row>
    <row r="882">
      <c r="A882" s="8"/>
      <c r="L882" s="8"/>
      <c r="M882" s="8"/>
      <c r="N882" s="8"/>
    </row>
    <row r="883">
      <c r="A883" s="8"/>
      <c r="L883" s="8"/>
      <c r="M883" s="8"/>
      <c r="N883" s="8"/>
    </row>
    <row r="884">
      <c r="A884" s="8"/>
      <c r="L884" s="8"/>
      <c r="M884" s="8"/>
      <c r="N884" s="8"/>
    </row>
    <row r="885">
      <c r="A885" s="8"/>
      <c r="L885" s="8"/>
      <c r="M885" s="8"/>
      <c r="N885" s="8"/>
    </row>
    <row r="886">
      <c r="A886" s="8"/>
      <c r="L886" s="8"/>
      <c r="M886" s="8"/>
      <c r="N886" s="8"/>
    </row>
    <row r="887">
      <c r="A887" s="8"/>
      <c r="L887" s="8"/>
      <c r="M887" s="8"/>
      <c r="N887" s="8"/>
    </row>
    <row r="888">
      <c r="A888" s="8"/>
      <c r="L888" s="8"/>
      <c r="M888" s="8"/>
      <c r="N888" s="8"/>
    </row>
    <row r="889">
      <c r="A889" s="8"/>
      <c r="L889" s="8"/>
      <c r="M889" s="8"/>
      <c r="N889" s="8"/>
    </row>
    <row r="890">
      <c r="A890" s="8"/>
      <c r="L890" s="8"/>
      <c r="M890" s="8"/>
      <c r="N890" s="8"/>
    </row>
    <row r="891">
      <c r="A891" s="8"/>
      <c r="L891" s="8"/>
      <c r="M891" s="8"/>
      <c r="N891" s="8"/>
    </row>
    <row r="892">
      <c r="A892" s="8"/>
      <c r="L892" s="8"/>
      <c r="M892" s="8"/>
      <c r="N892" s="8"/>
    </row>
    <row r="893">
      <c r="A893" s="8"/>
      <c r="L893" s="8"/>
      <c r="M893" s="8"/>
      <c r="N893" s="8"/>
    </row>
    <row r="894">
      <c r="A894" s="8"/>
      <c r="L894" s="8"/>
      <c r="M894" s="8"/>
      <c r="N894" s="8"/>
    </row>
    <row r="895">
      <c r="A895" s="8"/>
      <c r="L895" s="8"/>
      <c r="M895" s="8"/>
      <c r="N895" s="8"/>
    </row>
    <row r="896">
      <c r="A896" s="8"/>
      <c r="L896" s="8"/>
      <c r="M896" s="8"/>
      <c r="N896" s="8"/>
    </row>
    <row r="897">
      <c r="A897" s="8"/>
      <c r="L897" s="8"/>
      <c r="M897" s="8"/>
      <c r="N897" s="8"/>
    </row>
    <row r="898">
      <c r="A898" s="8"/>
      <c r="L898" s="8"/>
      <c r="M898" s="8"/>
      <c r="N898" s="8"/>
    </row>
    <row r="899">
      <c r="A899" s="8"/>
      <c r="L899" s="8"/>
      <c r="M899" s="8"/>
      <c r="N899" s="8"/>
    </row>
    <row r="900">
      <c r="A900" s="8"/>
      <c r="L900" s="8"/>
      <c r="M900" s="8"/>
      <c r="N900" s="8"/>
    </row>
    <row r="901">
      <c r="A901" s="8"/>
      <c r="L901" s="8"/>
      <c r="M901" s="8"/>
      <c r="N901" s="8"/>
    </row>
    <row r="902">
      <c r="A902" s="8"/>
      <c r="L902" s="8"/>
      <c r="M902" s="8"/>
      <c r="N902" s="8"/>
    </row>
    <row r="903">
      <c r="A903" s="8"/>
      <c r="L903" s="8"/>
      <c r="M903" s="8"/>
      <c r="N903" s="8"/>
    </row>
    <row r="904">
      <c r="A904" s="8"/>
      <c r="L904" s="8"/>
      <c r="M904" s="8"/>
      <c r="N904" s="8"/>
    </row>
    <row r="905">
      <c r="A905" s="8"/>
      <c r="L905" s="8"/>
      <c r="M905" s="8"/>
      <c r="N905" s="8"/>
    </row>
    <row r="906">
      <c r="A906" s="8"/>
      <c r="L906" s="8"/>
      <c r="M906" s="8"/>
      <c r="N906" s="8"/>
    </row>
    <row r="907">
      <c r="A907" s="8"/>
      <c r="L907" s="8"/>
      <c r="M907" s="8"/>
      <c r="N907" s="8"/>
    </row>
    <row r="908">
      <c r="A908" s="8"/>
      <c r="L908" s="8"/>
      <c r="M908" s="8"/>
      <c r="N908" s="8"/>
    </row>
    <row r="909">
      <c r="A909" s="8"/>
      <c r="L909" s="8"/>
      <c r="M909" s="8"/>
      <c r="N909" s="8"/>
    </row>
    <row r="910">
      <c r="A910" s="8"/>
      <c r="L910" s="8"/>
      <c r="M910" s="8"/>
      <c r="N910" s="8"/>
    </row>
    <row r="911">
      <c r="A911" s="8"/>
      <c r="L911" s="8"/>
      <c r="M911" s="8"/>
      <c r="N911" s="8"/>
    </row>
    <row r="912">
      <c r="A912" s="8"/>
      <c r="L912" s="8"/>
      <c r="M912" s="8"/>
      <c r="N912" s="8"/>
    </row>
    <row r="913">
      <c r="A913" s="8"/>
      <c r="L913" s="8"/>
      <c r="M913" s="8"/>
      <c r="N913" s="8"/>
    </row>
    <row r="914">
      <c r="A914" s="8"/>
      <c r="L914" s="8"/>
      <c r="M914" s="8"/>
      <c r="N914" s="8"/>
    </row>
    <row r="915">
      <c r="A915" s="8"/>
      <c r="L915" s="8"/>
      <c r="M915" s="8"/>
      <c r="N915" s="8"/>
    </row>
    <row r="916">
      <c r="A916" s="8"/>
      <c r="L916" s="8"/>
      <c r="M916" s="8"/>
      <c r="N916" s="8"/>
    </row>
    <row r="917">
      <c r="A917" s="8"/>
      <c r="L917" s="8"/>
      <c r="M917" s="8"/>
      <c r="N917" s="8"/>
    </row>
    <row r="918">
      <c r="A918" s="8"/>
      <c r="L918" s="8"/>
      <c r="M918" s="8"/>
      <c r="N918" s="8"/>
    </row>
    <row r="919">
      <c r="A919" s="8"/>
      <c r="L919" s="8"/>
      <c r="M919" s="8"/>
      <c r="N919" s="8"/>
    </row>
    <row r="920">
      <c r="A920" s="8"/>
      <c r="L920" s="8"/>
      <c r="M920" s="8"/>
      <c r="N920" s="8"/>
    </row>
    <row r="921">
      <c r="A921" s="8"/>
      <c r="L921" s="8"/>
      <c r="M921" s="8"/>
      <c r="N921" s="8"/>
    </row>
    <row r="922">
      <c r="A922" s="8"/>
      <c r="L922" s="8"/>
      <c r="M922" s="8"/>
      <c r="N922" s="8"/>
    </row>
    <row r="923">
      <c r="A923" s="8"/>
      <c r="L923" s="8"/>
      <c r="M923" s="8"/>
      <c r="N923" s="8"/>
    </row>
    <row r="924">
      <c r="A924" s="8"/>
      <c r="L924" s="8"/>
      <c r="M924" s="8"/>
      <c r="N924" s="8"/>
    </row>
    <row r="925">
      <c r="A925" s="8"/>
      <c r="L925" s="8"/>
      <c r="M925" s="8"/>
      <c r="N925" s="8"/>
    </row>
    <row r="926">
      <c r="A926" s="8"/>
      <c r="L926" s="8"/>
      <c r="M926" s="8"/>
      <c r="N926" s="8"/>
    </row>
    <row r="927">
      <c r="A927" s="8"/>
      <c r="L927" s="8"/>
      <c r="M927" s="8"/>
      <c r="N927" s="8"/>
    </row>
    <row r="928">
      <c r="A928" s="8"/>
      <c r="L928" s="8"/>
      <c r="M928" s="8"/>
      <c r="N928" s="8"/>
    </row>
    <row r="929">
      <c r="A929" s="8"/>
      <c r="L929" s="8"/>
      <c r="M929" s="8"/>
      <c r="N929" s="8"/>
    </row>
    <row r="930">
      <c r="A930" s="8"/>
      <c r="L930" s="8"/>
      <c r="M930" s="8"/>
      <c r="N930" s="8"/>
    </row>
    <row r="931">
      <c r="A931" s="8"/>
      <c r="L931" s="8"/>
      <c r="M931" s="8"/>
      <c r="N931" s="8"/>
    </row>
    <row r="932">
      <c r="A932" s="8"/>
      <c r="L932" s="8"/>
      <c r="M932" s="8"/>
      <c r="N932" s="8"/>
    </row>
    <row r="933">
      <c r="A933" s="8"/>
      <c r="L933" s="8"/>
      <c r="M933" s="8"/>
      <c r="N933" s="8"/>
    </row>
    <row r="934">
      <c r="A934" s="8"/>
      <c r="L934" s="8"/>
      <c r="M934" s="8"/>
      <c r="N934" s="8"/>
    </row>
    <row r="935">
      <c r="A935" s="8"/>
      <c r="L935" s="8"/>
      <c r="M935" s="8"/>
      <c r="N935" s="8"/>
    </row>
    <row r="936">
      <c r="A936" s="8"/>
      <c r="L936" s="8"/>
      <c r="M936" s="8"/>
      <c r="N936" s="8"/>
    </row>
    <row r="937">
      <c r="A937" s="8"/>
      <c r="L937" s="8"/>
      <c r="M937" s="8"/>
      <c r="N937" s="8"/>
    </row>
    <row r="938">
      <c r="A938" s="8"/>
      <c r="L938" s="8"/>
      <c r="M938" s="8"/>
      <c r="N938" s="8"/>
    </row>
    <row r="939">
      <c r="A939" s="8"/>
      <c r="L939" s="8"/>
      <c r="M939" s="8"/>
      <c r="N939" s="8"/>
    </row>
    <row r="940">
      <c r="A940" s="8"/>
      <c r="L940" s="8"/>
      <c r="M940" s="8"/>
      <c r="N940" s="8"/>
    </row>
    <row r="941">
      <c r="A941" s="8"/>
      <c r="L941" s="8"/>
      <c r="M941" s="8"/>
      <c r="N941" s="8"/>
    </row>
    <row r="942">
      <c r="A942" s="8"/>
      <c r="L942" s="8"/>
      <c r="M942" s="8"/>
      <c r="N942" s="8"/>
    </row>
    <row r="943">
      <c r="A943" s="8"/>
      <c r="L943" s="8"/>
      <c r="M943" s="8"/>
      <c r="N943" s="8"/>
    </row>
    <row r="944">
      <c r="A944" s="8"/>
      <c r="L944" s="8"/>
      <c r="M944" s="8"/>
      <c r="N944" s="8"/>
    </row>
    <row r="945">
      <c r="A945" s="8"/>
      <c r="L945" s="8"/>
      <c r="M945" s="8"/>
      <c r="N945" s="8"/>
    </row>
    <row r="946">
      <c r="A946" s="8"/>
      <c r="L946" s="8"/>
      <c r="M946" s="8"/>
      <c r="N946" s="8"/>
    </row>
    <row r="947">
      <c r="A947" s="8"/>
      <c r="L947" s="8"/>
      <c r="M947" s="8"/>
      <c r="N947" s="8"/>
    </row>
    <row r="948">
      <c r="A948" s="8"/>
      <c r="L948" s="8"/>
      <c r="M948" s="8"/>
      <c r="N948" s="8"/>
    </row>
    <row r="949">
      <c r="A949" s="8"/>
      <c r="L949" s="8"/>
      <c r="M949" s="8"/>
      <c r="N949" s="8"/>
    </row>
    <row r="950">
      <c r="A950" s="8"/>
      <c r="L950" s="8"/>
      <c r="M950" s="8"/>
      <c r="N950" s="8"/>
    </row>
    <row r="951">
      <c r="A951" s="8"/>
      <c r="L951" s="8"/>
      <c r="M951" s="8"/>
      <c r="N951" s="8"/>
    </row>
    <row r="952">
      <c r="A952" s="8"/>
      <c r="L952" s="8"/>
      <c r="M952" s="8"/>
      <c r="N952" s="8"/>
    </row>
    <row r="953">
      <c r="A953" s="8"/>
      <c r="L953" s="8"/>
      <c r="M953" s="8"/>
      <c r="N953" s="8"/>
    </row>
    <row r="954">
      <c r="A954" s="8"/>
      <c r="L954" s="8"/>
      <c r="M954" s="8"/>
      <c r="N954" s="8"/>
    </row>
    <row r="955">
      <c r="A955" s="8"/>
      <c r="L955" s="8"/>
      <c r="M955" s="8"/>
      <c r="N955" s="8"/>
    </row>
    <row r="956">
      <c r="A956" s="8"/>
      <c r="L956" s="8"/>
      <c r="M956" s="8"/>
      <c r="N956" s="8"/>
    </row>
    <row r="957">
      <c r="A957" s="8"/>
      <c r="L957" s="8"/>
      <c r="M957" s="8"/>
      <c r="N957" s="8"/>
    </row>
    <row r="958">
      <c r="A958" s="8"/>
      <c r="L958" s="8"/>
      <c r="M958" s="8"/>
      <c r="N958" s="8"/>
    </row>
    <row r="959">
      <c r="A959" s="8"/>
      <c r="L959" s="8"/>
      <c r="M959" s="8"/>
      <c r="N959" s="8"/>
    </row>
    <row r="960">
      <c r="A960" s="8"/>
      <c r="L960" s="8"/>
      <c r="M960" s="8"/>
      <c r="N960" s="8"/>
    </row>
    <row r="961">
      <c r="A961" s="8"/>
      <c r="L961" s="8"/>
      <c r="M961" s="8"/>
      <c r="N961" s="8"/>
    </row>
    <row r="962">
      <c r="A962" s="8"/>
      <c r="L962" s="8"/>
      <c r="M962" s="8"/>
      <c r="N962" s="8"/>
    </row>
    <row r="963">
      <c r="A963" s="8"/>
      <c r="L963" s="8"/>
      <c r="M963" s="8"/>
      <c r="N963" s="8"/>
    </row>
    <row r="964">
      <c r="A964" s="8"/>
      <c r="L964" s="8"/>
      <c r="M964" s="8"/>
      <c r="N964" s="8"/>
    </row>
    <row r="965">
      <c r="A965" s="8"/>
      <c r="L965" s="8"/>
      <c r="M965" s="8"/>
      <c r="N965" s="8"/>
    </row>
    <row r="966">
      <c r="A966" s="8"/>
      <c r="L966" s="8"/>
      <c r="M966" s="8"/>
      <c r="N966" s="8"/>
    </row>
    <row r="967">
      <c r="A967" s="8"/>
      <c r="L967" s="8"/>
      <c r="M967" s="8"/>
      <c r="N967" s="8"/>
    </row>
    <row r="968">
      <c r="A968" s="8"/>
      <c r="L968" s="8"/>
      <c r="M968" s="8"/>
      <c r="N968" s="8"/>
    </row>
    <row r="969">
      <c r="A969" s="8"/>
      <c r="L969" s="8"/>
      <c r="M969" s="8"/>
      <c r="N969" s="8"/>
    </row>
    <row r="970">
      <c r="A970" s="8"/>
      <c r="L970" s="8"/>
      <c r="M970" s="8"/>
      <c r="N970" s="8"/>
    </row>
    <row r="971">
      <c r="A971" s="8"/>
      <c r="L971" s="8"/>
      <c r="M971" s="8"/>
      <c r="N971" s="8"/>
    </row>
    <row r="972">
      <c r="A972" s="8"/>
      <c r="L972" s="8"/>
      <c r="M972" s="8"/>
      <c r="N972" s="8"/>
    </row>
    <row r="973">
      <c r="A973" s="8"/>
      <c r="L973" s="8"/>
      <c r="M973" s="8"/>
      <c r="N973" s="8"/>
    </row>
    <row r="974">
      <c r="A974" s="8"/>
      <c r="L974" s="8"/>
      <c r="M974" s="8"/>
      <c r="N974" s="8"/>
    </row>
    <row r="975">
      <c r="A975" s="8"/>
      <c r="L975" s="8"/>
      <c r="M975" s="8"/>
      <c r="N975" s="8"/>
    </row>
    <row r="976">
      <c r="A976" s="8"/>
      <c r="L976" s="8"/>
      <c r="M976" s="8"/>
      <c r="N976" s="8"/>
    </row>
    <row r="977">
      <c r="A977" s="8"/>
      <c r="L977" s="8"/>
      <c r="M977" s="8"/>
      <c r="N977" s="8"/>
    </row>
    <row r="978">
      <c r="A978" s="8"/>
      <c r="L978" s="8"/>
      <c r="M978" s="8"/>
      <c r="N978" s="8"/>
    </row>
    <row r="979">
      <c r="A979" s="8"/>
      <c r="L979" s="8"/>
      <c r="M979" s="8"/>
      <c r="N979" s="8"/>
    </row>
    <row r="980">
      <c r="A980" s="8"/>
      <c r="L980" s="8"/>
      <c r="M980" s="8"/>
      <c r="N980" s="8"/>
    </row>
    <row r="981">
      <c r="A981" s="8"/>
      <c r="L981" s="8"/>
      <c r="M981" s="8"/>
      <c r="N981" s="8"/>
    </row>
    <row r="982">
      <c r="A982" s="8"/>
      <c r="L982" s="8"/>
      <c r="M982" s="8"/>
      <c r="N982" s="8"/>
    </row>
    <row r="983">
      <c r="A983" s="8"/>
      <c r="L983" s="8"/>
      <c r="M983" s="8"/>
      <c r="N983" s="8"/>
    </row>
    <row r="984">
      <c r="A984" s="8"/>
      <c r="L984" s="8"/>
      <c r="M984" s="8"/>
      <c r="N984" s="8"/>
    </row>
    <row r="985">
      <c r="A985" s="8"/>
      <c r="L985" s="8"/>
      <c r="M985" s="8"/>
      <c r="N985" s="8"/>
    </row>
    <row r="986">
      <c r="A986" s="8"/>
      <c r="L986" s="8"/>
      <c r="M986" s="8"/>
      <c r="N986" s="8"/>
    </row>
    <row r="987">
      <c r="A987" s="8"/>
      <c r="L987" s="8"/>
      <c r="M987" s="8"/>
      <c r="N987" s="8"/>
    </row>
    <row r="988">
      <c r="A988" s="8"/>
      <c r="L988" s="8"/>
      <c r="M988" s="8"/>
      <c r="N988" s="8"/>
    </row>
    <row r="989">
      <c r="A989" s="8"/>
      <c r="L989" s="8"/>
      <c r="M989" s="8"/>
      <c r="N989" s="8"/>
    </row>
    <row r="990">
      <c r="A990" s="8"/>
      <c r="L990" s="8"/>
      <c r="M990" s="8"/>
      <c r="N990" s="8"/>
    </row>
    <row r="991">
      <c r="A991" s="8"/>
      <c r="L991" s="8"/>
      <c r="M991" s="8"/>
      <c r="N991" s="8"/>
    </row>
    <row r="992">
      <c r="A992" s="8"/>
      <c r="L992" s="8"/>
      <c r="M992" s="8"/>
      <c r="N992" s="8"/>
    </row>
    <row r="993">
      <c r="A993" s="8"/>
      <c r="L993" s="8"/>
      <c r="M993" s="8"/>
      <c r="N993" s="8"/>
    </row>
    <row r="994">
      <c r="A994" s="8"/>
      <c r="L994" s="8"/>
      <c r="M994" s="8"/>
      <c r="N994" s="8"/>
    </row>
    <row r="995">
      <c r="A995" s="8"/>
      <c r="L995" s="8"/>
      <c r="M995" s="8"/>
      <c r="N995" s="8"/>
    </row>
    <row r="996">
      <c r="A996" s="8"/>
      <c r="L996" s="8"/>
      <c r="M996" s="8"/>
      <c r="N996" s="8"/>
    </row>
    <row r="997">
      <c r="A997" s="8"/>
      <c r="L997" s="8"/>
      <c r="M997" s="8"/>
      <c r="N997" s="8"/>
    </row>
    <row r="998">
      <c r="A998" s="8"/>
      <c r="L998" s="8"/>
      <c r="M998" s="8"/>
      <c r="N998" s="8"/>
    </row>
    <row r="999">
      <c r="A999" s="8"/>
      <c r="L999" s="8"/>
      <c r="M999" s="8"/>
      <c r="N999" s="8"/>
    </row>
    <row r="1000">
      <c r="A1000" s="8"/>
      <c r="L1000" s="8"/>
      <c r="M1000" s="8"/>
      <c r="N1000" s="8"/>
    </row>
    <row r="1001">
      <c r="A1001" s="8"/>
      <c r="L1001" s="8"/>
      <c r="M1001" s="8"/>
      <c r="N1001" s="8"/>
    </row>
    <row r="1002">
      <c r="A1002" s="8"/>
      <c r="L1002" s="8"/>
      <c r="M1002" s="8"/>
      <c r="N1002" s="8"/>
    </row>
    <row r="1003">
      <c r="A1003" s="8"/>
      <c r="L1003" s="8"/>
      <c r="M1003" s="8"/>
      <c r="N1003" s="8"/>
    </row>
    <row r="1004">
      <c r="A1004" s="8"/>
      <c r="L1004" s="8"/>
      <c r="M1004" s="8"/>
      <c r="N1004" s="8"/>
    </row>
    <row r="1005">
      <c r="A1005" s="8"/>
      <c r="L1005" s="8"/>
      <c r="M1005" s="8"/>
      <c r="N1005" s="8"/>
    </row>
    <row r="1006">
      <c r="A1006" s="8"/>
      <c r="L1006" s="8"/>
      <c r="M1006" s="8"/>
      <c r="N1006" s="8"/>
    </row>
    <row r="1007">
      <c r="A1007" s="8"/>
      <c r="L1007" s="8"/>
      <c r="M1007" s="8"/>
      <c r="N1007" s="8"/>
    </row>
    <row r="1008">
      <c r="A1008" s="8"/>
      <c r="L1008" s="8"/>
      <c r="M1008" s="8"/>
      <c r="N1008" s="8"/>
    </row>
    <row r="1009">
      <c r="A1009" s="8"/>
      <c r="L1009" s="8"/>
      <c r="M1009" s="8"/>
      <c r="N1009" s="8"/>
    </row>
    <row r="1010">
      <c r="A1010" s="8"/>
      <c r="L1010" s="8"/>
      <c r="M1010" s="8"/>
      <c r="N1010" s="8"/>
    </row>
    <row r="1011">
      <c r="A1011" s="8"/>
      <c r="L1011" s="8"/>
      <c r="M1011" s="8"/>
      <c r="N1011" s="8"/>
    </row>
    <row r="1012">
      <c r="A1012" s="8"/>
      <c r="L1012" s="8"/>
      <c r="M1012" s="8"/>
      <c r="N1012" s="8"/>
    </row>
    <row r="1013">
      <c r="A1013" s="8"/>
      <c r="L1013" s="8"/>
      <c r="M1013" s="8"/>
      <c r="N1013" s="8"/>
    </row>
    <row r="1014">
      <c r="A1014" s="8"/>
      <c r="L1014" s="8"/>
      <c r="M1014" s="8"/>
      <c r="N1014" s="8"/>
    </row>
    <row r="1015">
      <c r="A1015" s="8"/>
      <c r="L1015" s="8"/>
      <c r="M1015" s="8"/>
      <c r="N1015" s="8"/>
    </row>
    <row r="1016">
      <c r="A1016" s="8"/>
      <c r="L1016" s="8"/>
      <c r="M1016" s="8"/>
      <c r="N1016" s="8"/>
    </row>
    <row r="1017">
      <c r="A1017" s="8"/>
      <c r="L1017" s="8"/>
      <c r="M1017" s="8"/>
      <c r="N1017" s="8"/>
    </row>
    <row r="1018">
      <c r="A1018" s="8"/>
      <c r="L1018" s="8"/>
      <c r="M1018" s="8"/>
      <c r="N1018" s="8"/>
    </row>
    <row r="1019">
      <c r="A1019" s="8"/>
      <c r="L1019" s="8"/>
      <c r="M1019" s="8"/>
      <c r="N1019" s="8"/>
    </row>
    <row r="1020">
      <c r="A1020" s="8"/>
      <c r="L1020" s="8"/>
      <c r="M1020" s="8"/>
      <c r="N1020" s="8"/>
    </row>
    <row r="1021">
      <c r="A1021" s="8"/>
      <c r="L1021" s="8"/>
      <c r="M1021" s="8"/>
      <c r="N1021" s="8"/>
    </row>
    <row r="1022">
      <c r="A1022" s="8"/>
      <c r="L1022" s="8"/>
      <c r="M1022" s="8"/>
      <c r="N1022" s="8"/>
    </row>
    <row r="1023">
      <c r="A1023" s="8"/>
      <c r="L1023" s="8"/>
      <c r="M1023" s="8"/>
      <c r="N1023" s="8"/>
    </row>
    <row r="1024">
      <c r="A1024" s="8"/>
      <c r="L1024" s="8"/>
      <c r="M1024" s="8"/>
      <c r="N1024" s="8"/>
    </row>
    <row r="1025">
      <c r="A1025" s="8"/>
      <c r="L1025" s="8"/>
      <c r="M1025" s="8"/>
      <c r="N1025" s="8"/>
    </row>
    <row r="1026">
      <c r="A1026" s="8"/>
      <c r="L1026" s="8"/>
      <c r="M1026" s="8"/>
      <c r="N1026" s="8"/>
    </row>
    <row r="1027">
      <c r="A1027" s="8"/>
      <c r="L1027" s="8"/>
      <c r="M1027" s="8"/>
      <c r="N1027" s="8"/>
    </row>
    <row r="1028">
      <c r="A1028" s="8"/>
      <c r="L1028" s="8"/>
      <c r="M1028" s="8"/>
      <c r="N1028" s="8"/>
    </row>
    <row r="1029">
      <c r="A1029" s="8"/>
      <c r="L1029" s="8"/>
      <c r="M1029" s="8"/>
      <c r="N1029" s="8"/>
    </row>
    <row r="1030">
      <c r="A1030" s="8"/>
      <c r="L1030" s="8"/>
      <c r="M1030" s="8"/>
      <c r="N1030" s="8"/>
    </row>
    <row r="1031">
      <c r="A1031" s="8"/>
      <c r="L1031" s="8"/>
      <c r="M1031" s="8"/>
      <c r="N1031" s="8"/>
    </row>
    <row r="1032">
      <c r="A1032" s="8"/>
      <c r="L1032" s="8"/>
      <c r="M1032" s="8"/>
      <c r="N1032" s="8"/>
    </row>
    <row r="1033">
      <c r="A1033" s="8"/>
      <c r="L1033" s="8"/>
      <c r="M1033" s="8"/>
      <c r="N1033" s="8"/>
    </row>
    <row r="1034">
      <c r="A1034" s="8"/>
      <c r="L1034" s="8"/>
      <c r="M1034" s="8"/>
      <c r="N1034" s="8"/>
    </row>
    <row r="1035">
      <c r="A1035" s="8"/>
      <c r="L1035" s="8"/>
      <c r="M1035" s="8"/>
      <c r="N1035" s="8"/>
    </row>
    <row r="1036">
      <c r="A1036" s="8"/>
      <c r="L1036" s="8"/>
      <c r="M1036" s="8"/>
      <c r="N1036" s="8"/>
    </row>
    <row r="1037">
      <c r="A1037" s="8"/>
      <c r="L1037" s="8"/>
      <c r="M1037" s="8"/>
      <c r="N1037" s="8"/>
    </row>
    <row r="1038">
      <c r="A1038" s="8"/>
      <c r="L1038" s="8"/>
      <c r="M1038" s="8"/>
      <c r="N1038" s="8"/>
    </row>
    <row r="1039">
      <c r="A1039" s="8"/>
      <c r="L1039" s="8"/>
      <c r="M1039" s="8"/>
      <c r="N1039" s="8"/>
    </row>
    <row r="1040">
      <c r="A1040" s="8"/>
      <c r="L1040" s="8"/>
      <c r="M1040" s="8"/>
      <c r="N1040" s="8"/>
    </row>
    <row r="1041">
      <c r="A1041" s="8"/>
      <c r="L1041" s="8"/>
      <c r="M1041" s="8"/>
      <c r="N1041" s="8"/>
    </row>
    <row r="1042">
      <c r="A1042" s="8"/>
      <c r="L1042" s="8"/>
      <c r="M1042" s="8"/>
      <c r="N1042" s="8"/>
    </row>
    <row r="1043">
      <c r="A1043" s="8"/>
      <c r="L1043" s="8"/>
      <c r="M1043" s="8"/>
      <c r="N1043" s="8"/>
    </row>
    <row r="1044">
      <c r="A1044" s="8"/>
      <c r="L1044" s="8"/>
      <c r="M1044" s="8"/>
      <c r="N1044" s="8"/>
    </row>
    <row r="1045">
      <c r="A1045" s="8"/>
      <c r="L1045" s="8"/>
      <c r="M1045" s="8"/>
      <c r="N1045" s="8"/>
    </row>
    <row r="1046">
      <c r="A1046" s="8"/>
      <c r="L1046" s="8"/>
      <c r="M1046" s="8"/>
      <c r="N1046" s="8"/>
    </row>
    <row r="1047">
      <c r="A1047" s="8"/>
      <c r="L1047" s="8"/>
      <c r="M1047" s="8"/>
      <c r="N1047" s="8"/>
    </row>
    <row r="1048">
      <c r="A1048" s="8"/>
      <c r="L1048" s="8"/>
      <c r="M1048" s="8"/>
      <c r="N1048" s="8"/>
    </row>
    <row r="1049">
      <c r="A1049" s="8"/>
      <c r="L1049" s="8"/>
      <c r="M1049" s="8"/>
      <c r="N1049" s="8"/>
    </row>
    <row r="1050">
      <c r="A1050" s="8"/>
      <c r="L1050" s="8"/>
      <c r="M1050" s="8"/>
      <c r="N1050" s="8"/>
    </row>
    <row r="1051">
      <c r="A1051" s="8"/>
      <c r="L1051" s="8"/>
      <c r="M1051" s="8"/>
      <c r="N1051" s="8"/>
    </row>
    <row r="1052">
      <c r="A1052" s="8"/>
      <c r="L1052" s="8"/>
      <c r="M1052" s="8"/>
      <c r="N1052" s="8"/>
    </row>
    <row r="1053">
      <c r="A1053" s="8"/>
      <c r="L1053" s="8"/>
      <c r="M1053" s="8"/>
      <c r="N1053" s="8"/>
    </row>
    <row r="1054">
      <c r="A1054" s="8"/>
      <c r="L1054" s="8"/>
      <c r="M1054" s="8"/>
      <c r="N1054" s="8"/>
    </row>
    <row r="1055">
      <c r="A1055" s="8"/>
      <c r="L1055" s="8"/>
      <c r="M1055" s="8"/>
      <c r="N1055" s="8"/>
    </row>
    <row r="1056">
      <c r="A1056" s="8"/>
      <c r="L1056" s="8"/>
      <c r="M1056" s="8"/>
      <c r="N1056" s="8"/>
    </row>
    <row r="1057">
      <c r="A1057" s="8"/>
      <c r="L1057" s="8"/>
      <c r="M1057" s="8"/>
      <c r="N1057" s="8"/>
    </row>
    <row r="1058">
      <c r="A1058" s="8"/>
      <c r="L1058" s="8"/>
      <c r="M1058" s="8"/>
      <c r="N1058" s="8"/>
    </row>
    <row r="1059">
      <c r="A1059" s="8"/>
      <c r="L1059" s="8"/>
      <c r="M1059" s="8"/>
      <c r="N1059" s="8"/>
    </row>
    <row r="1060">
      <c r="A1060" s="8"/>
      <c r="L1060" s="8"/>
      <c r="M1060" s="8"/>
      <c r="N1060" s="8"/>
    </row>
    <row r="1061">
      <c r="A1061" s="8"/>
      <c r="L1061" s="8"/>
      <c r="M1061" s="8"/>
      <c r="N1061" s="8"/>
    </row>
    <row r="1062">
      <c r="A1062" s="8"/>
      <c r="L1062" s="8"/>
      <c r="M1062" s="8"/>
      <c r="N1062" s="8"/>
    </row>
    <row r="1063">
      <c r="A1063" s="8"/>
      <c r="L1063" s="8"/>
      <c r="M1063" s="8"/>
      <c r="N1063" s="8"/>
    </row>
    <row r="1064">
      <c r="A1064" s="8"/>
      <c r="L1064" s="8"/>
      <c r="M1064" s="8"/>
      <c r="N1064" s="8"/>
    </row>
    <row r="1065">
      <c r="A1065" s="8"/>
      <c r="L1065" s="8"/>
      <c r="M1065" s="8"/>
      <c r="N1065" s="8"/>
    </row>
    <row r="1066">
      <c r="A1066" s="8"/>
      <c r="L1066" s="8"/>
      <c r="M1066" s="8"/>
      <c r="N1066" s="8"/>
    </row>
    <row r="1067">
      <c r="A1067" s="8"/>
      <c r="L1067" s="8"/>
      <c r="M1067" s="8"/>
      <c r="N1067" s="8"/>
    </row>
    <row r="1068">
      <c r="A1068" s="8"/>
      <c r="L1068" s="8"/>
      <c r="M1068" s="8"/>
      <c r="N1068" s="8"/>
    </row>
    <row r="1069">
      <c r="A1069" s="8"/>
      <c r="L1069" s="8"/>
      <c r="M1069" s="8"/>
      <c r="N1069" s="8"/>
    </row>
    <row r="1070">
      <c r="A1070" s="8"/>
      <c r="L1070" s="8"/>
      <c r="M1070" s="8"/>
      <c r="N1070" s="8"/>
    </row>
    <row r="1071">
      <c r="A1071" s="8"/>
      <c r="L1071" s="8"/>
      <c r="M1071" s="8"/>
      <c r="N1071" s="8"/>
    </row>
    <row r="1072">
      <c r="A1072" s="8"/>
      <c r="L1072" s="8"/>
      <c r="M1072" s="8"/>
      <c r="N1072" s="8"/>
    </row>
    <row r="1073">
      <c r="A1073" s="8"/>
      <c r="L1073" s="8"/>
      <c r="M1073" s="8"/>
      <c r="N1073" s="8"/>
    </row>
    <row r="1074">
      <c r="A1074" s="8"/>
      <c r="L1074" s="8"/>
      <c r="M1074" s="8"/>
      <c r="N1074" s="8"/>
    </row>
    <row r="1075">
      <c r="A1075" s="8"/>
      <c r="L1075" s="8"/>
      <c r="M1075" s="8"/>
      <c r="N1075" s="8"/>
    </row>
    <row r="1076">
      <c r="A1076" s="8"/>
      <c r="L1076" s="8"/>
      <c r="M1076" s="8"/>
      <c r="N1076" s="8"/>
    </row>
    <row r="1077">
      <c r="A1077" s="8"/>
      <c r="L1077" s="8"/>
      <c r="M1077" s="8"/>
      <c r="N1077" s="8"/>
    </row>
    <row r="1078">
      <c r="A1078" s="8"/>
      <c r="L1078" s="8"/>
      <c r="M1078" s="8"/>
      <c r="N1078" s="8"/>
    </row>
    <row r="1079">
      <c r="A1079" s="8"/>
      <c r="L1079" s="8"/>
      <c r="M1079" s="8"/>
      <c r="N1079" s="8"/>
    </row>
    <row r="1080">
      <c r="A1080" s="8"/>
      <c r="L1080" s="8"/>
      <c r="M1080" s="8"/>
      <c r="N1080" s="8"/>
    </row>
    <row r="1081">
      <c r="A1081" s="8"/>
      <c r="L1081" s="8"/>
      <c r="M1081" s="8"/>
      <c r="N1081" s="8"/>
    </row>
    <row r="1082">
      <c r="A1082" s="8"/>
      <c r="L1082" s="8"/>
      <c r="M1082" s="8"/>
      <c r="N1082" s="8"/>
    </row>
    <row r="1083">
      <c r="A1083" s="8"/>
      <c r="L1083" s="8"/>
      <c r="M1083" s="8"/>
      <c r="N1083" s="8"/>
    </row>
    <row r="1084">
      <c r="A1084" s="8"/>
      <c r="L1084" s="8"/>
      <c r="M1084" s="8"/>
      <c r="N1084" s="8"/>
    </row>
    <row r="1085">
      <c r="A1085" s="8"/>
      <c r="L1085" s="8"/>
      <c r="M1085" s="8"/>
      <c r="N1085" s="8"/>
    </row>
    <row r="1086">
      <c r="A1086" s="8"/>
      <c r="L1086" s="8"/>
      <c r="M1086" s="8"/>
      <c r="N1086" s="8"/>
    </row>
    <row r="1087">
      <c r="A1087" s="8"/>
      <c r="L1087" s="8"/>
      <c r="M1087" s="8"/>
      <c r="N1087" s="8"/>
    </row>
    <row r="1088">
      <c r="A1088" s="8"/>
      <c r="L1088" s="8"/>
      <c r="M1088" s="8"/>
      <c r="N1088" s="8"/>
    </row>
    <row r="1089">
      <c r="A1089" s="8"/>
      <c r="L1089" s="8"/>
      <c r="M1089" s="8"/>
      <c r="N1089" s="8"/>
    </row>
    <row r="1090">
      <c r="A1090" s="8"/>
      <c r="L1090" s="8"/>
      <c r="M1090" s="8"/>
      <c r="N1090" s="8"/>
    </row>
    <row r="1091">
      <c r="A1091" s="8"/>
      <c r="L1091" s="8"/>
      <c r="M1091" s="8"/>
      <c r="N1091" s="8"/>
    </row>
    <row r="1092">
      <c r="A1092" s="8"/>
      <c r="L1092" s="8"/>
      <c r="M1092" s="8"/>
      <c r="N1092" s="8"/>
    </row>
    <row r="1093">
      <c r="A1093" s="8"/>
      <c r="L1093" s="8"/>
      <c r="M1093" s="8"/>
      <c r="N1093" s="8"/>
    </row>
    <row r="1094">
      <c r="A1094" s="8"/>
      <c r="L1094" s="8"/>
      <c r="M1094" s="8"/>
      <c r="N1094" s="8"/>
    </row>
    <row r="1095">
      <c r="A1095" s="8"/>
      <c r="L1095" s="8"/>
      <c r="M1095" s="8"/>
      <c r="N1095" s="8"/>
    </row>
    <row r="1096">
      <c r="A1096" s="8"/>
      <c r="L1096" s="8"/>
      <c r="M1096" s="8"/>
      <c r="N1096" s="8"/>
    </row>
    <row r="1097">
      <c r="A1097" s="8"/>
      <c r="L1097" s="8"/>
      <c r="M1097" s="8"/>
      <c r="N1097" s="8"/>
    </row>
    <row r="1098">
      <c r="A1098" s="8"/>
      <c r="L1098" s="8"/>
      <c r="M1098" s="8"/>
      <c r="N1098" s="8"/>
    </row>
    <row r="1099">
      <c r="A1099" s="8"/>
      <c r="L1099" s="8"/>
      <c r="M1099" s="8"/>
      <c r="N1099" s="8"/>
    </row>
    <row r="1100">
      <c r="A1100" s="8"/>
      <c r="L1100" s="8"/>
      <c r="M1100" s="8"/>
      <c r="N1100" s="8"/>
    </row>
    <row r="1101">
      <c r="A1101" s="8"/>
      <c r="L1101" s="8"/>
      <c r="M1101" s="8"/>
      <c r="N1101" s="8"/>
    </row>
    <row r="1102">
      <c r="A1102" s="8"/>
      <c r="L1102" s="8"/>
      <c r="M1102" s="8"/>
      <c r="N1102" s="8"/>
    </row>
    <row r="1103">
      <c r="A1103" s="8"/>
      <c r="L1103" s="8"/>
      <c r="M1103" s="8"/>
      <c r="N1103" s="8"/>
    </row>
    <row r="1104">
      <c r="A1104" s="8"/>
      <c r="L1104" s="8"/>
      <c r="M1104" s="8"/>
      <c r="N1104" s="8"/>
    </row>
    <row r="1105">
      <c r="A1105" s="8"/>
      <c r="L1105" s="8"/>
      <c r="M1105" s="8"/>
      <c r="N1105" s="8"/>
    </row>
    <row r="1106">
      <c r="A1106" s="8"/>
      <c r="L1106" s="8"/>
      <c r="M1106" s="8"/>
      <c r="N1106" s="8"/>
    </row>
    <row r="1107">
      <c r="A1107" s="8"/>
      <c r="L1107" s="8"/>
      <c r="M1107" s="8"/>
      <c r="N1107" s="8"/>
    </row>
    <row r="1108">
      <c r="A1108" s="8"/>
      <c r="L1108" s="8"/>
      <c r="M1108" s="8"/>
      <c r="N1108" s="8"/>
    </row>
    <row r="1109">
      <c r="A1109" s="8"/>
      <c r="L1109" s="8"/>
      <c r="M1109" s="8"/>
      <c r="N1109" s="8"/>
    </row>
    <row r="1110">
      <c r="A1110" s="8"/>
      <c r="L1110" s="8"/>
      <c r="M1110" s="8"/>
      <c r="N1110" s="8"/>
    </row>
    <row r="1111">
      <c r="A1111" s="8"/>
      <c r="L1111" s="8"/>
      <c r="M1111" s="8"/>
      <c r="N1111" s="8"/>
    </row>
    <row r="1112">
      <c r="A1112" s="8"/>
      <c r="L1112" s="8"/>
      <c r="M1112" s="8"/>
      <c r="N1112" s="8"/>
    </row>
    <row r="1113">
      <c r="A1113" s="8"/>
      <c r="L1113" s="8"/>
      <c r="M1113" s="8"/>
      <c r="N1113" s="8"/>
    </row>
    <row r="1114">
      <c r="A1114" s="8"/>
      <c r="L1114" s="8"/>
      <c r="M1114" s="8"/>
      <c r="N1114" s="8"/>
    </row>
    <row r="1115">
      <c r="A1115" s="8"/>
      <c r="L1115" s="8"/>
      <c r="M1115" s="8"/>
      <c r="N1115" s="8"/>
    </row>
    <row r="1116">
      <c r="A1116" s="8"/>
      <c r="L1116" s="8"/>
      <c r="M1116" s="8"/>
      <c r="N1116" s="8"/>
    </row>
    <row r="1117">
      <c r="A1117" s="8"/>
      <c r="L1117" s="8"/>
      <c r="M1117" s="8"/>
      <c r="N1117" s="8"/>
    </row>
    <row r="1118">
      <c r="A1118" s="8"/>
      <c r="L1118" s="8"/>
      <c r="M1118" s="8"/>
      <c r="N1118" s="8"/>
    </row>
    <row r="1119">
      <c r="A1119" s="8"/>
      <c r="L1119" s="8"/>
      <c r="M1119" s="8"/>
      <c r="N1119" s="8"/>
    </row>
    <row r="1120">
      <c r="A1120" s="8"/>
      <c r="L1120" s="8"/>
      <c r="M1120" s="8"/>
      <c r="N1120" s="8"/>
    </row>
    <row r="1121">
      <c r="A1121" s="8"/>
      <c r="L1121" s="8"/>
      <c r="M1121" s="8"/>
      <c r="N1121" s="8"/>
    </row>
    <row r="1122">
      <c r="A1122" s="8"/>
      <c r="L1122" s="8"/>
      <c r="M1122" s="8"/>
      <c r="N1122" s="8"/>
    </row>
    <row r="1123">
      <c r="A1123" s="8"/>
      <c r="L1123" s="8"/>
      <c r="M1123" s="8"/>
      <c r="N1123" s="8"/>
    </row>
    <row r="1124">
      <c r="A1124" s="8"/>
      <c r="L1124" s="8"/>
      <c r="M1124" s="8"/>
      <c r="N1124" s="8"/>
    </row>
    <row r="1125">
      <c r="A1125" s="8"/>
      <c r="L1125" s="8"/>
      <c r="M1125" s="8"/>
      <c r="N1125" s="8"/>
    </row>
    <row r="1126">
      <c r="A1126" s="8"/>
      <c r="L1126" s="8"/>
      <c r="M1126" s="8"/>
      <c r="N1126" s="8"/>
    </row>
    <row r="1127">
      <c r="A1127" s="8"/>
      <c r="L1127" s="8"/>
      <c r="M1127" s="8"/>
      <c r="N1127" s="8"/>
    </row>
    <row r="1128">
      <c r="A1128" s="8"/>
      <c r="L1128" s="8"/>
      <c r="M1128" s="8"/>
      <c r="N1128" s="8"/>
    </row>
    <row r="1129">
      <c r="A1129" s="8"/>
      <c r="L1129" s="8"/>
      <c r="M1129" s="8"/>
      <c r="N1129" s="8"/>
    </row>
    <row r="1130">
      <c r="A1130" s="8"/>
      <c r="L1130" s="8"/>
      <c r="M1130" s="8"/>
      <c r="N1130" s="8"/>
    </row>
    <row r="1131">
      <c r="A1131" s="8"/>
      <c r="L1131" s="8"/>
      <c r="M1131" s="8"/>
      <c r="N1131" s="8"/>
    </row>
    <row r="1132">
      <c r="A1132" s="8"/>
      <c r="L1132" s="8"/>
      <c r="M1132" s="8"/>
      <c r="N1132" s="8"/>
    </row>
    <row r="1133">
      <c r="A1133" s="8"/>
      <c r="L1133" s="8"/>
      <c r="M1133" s="8"/>
      <c r="N1133" s="8"/>
    </row>
    <row r="1134">
      <c r="A1134" s="8"/>
      <c r="L1134" s="8"/>
      <c r="M1134" s="8"/>
      <c r="N1134" s="8"/>
    </row>
    <row r="1135">
      <c r="A1135" s="8"/>
      <c r="L1135" s="8"/>
      <c r="M1135" s="8"/>
      <c r="N1135" s="8"/>
    </row>
    <row r="1136">
      <c r="A1136" s="8"/>
      <c r="L1136" s="8"/>
      <c r="M1136" s="8"/>
      <c r="N1136" s="8"/>
    </row>
    <row r="1137">
      <c r="A1137" s="8"/>
      <c r="L1137" s="8"/>
      <c r="M1137" s="8"/>
      <c r="N1137" s="8"/>
    </row>
    <row r="1138">
      <c r="A1138" s="8"/>
      <c r="L1138" s="8"/>
      <c r="M1138" s="8"/>
      <c r="N1138" s="8"/>
    </row>
    <row r="1139">
      <c r="A1139" s="8"/>
      <c r="L1139" s="8"/>
      <c r="M1139" s="8"/>
      <c r="N1139" s="8"/>
    </row>
    <row r="1140">
      <c r="A1140" s="8"/>
      <c r="L1140" s="8"/>
      <c r="M1140" s="8"/>
      <c r="N1140" s="8"/>
    </row>
    <row r="1141">
      <c r="A1141" s="8"/>
      <c r="L1141" s="8"/>
      <c r="M1141" s="8"/>
      <c r="N1141" s="8"/>
    </row>
    <row r="1142">
      <c r="A1142" s="8"/>
      <c r="L1142" s="8"/>
      <c r="M1142" s="8"/>
      <c r="N1142" s="8"/>
    </row>
    <row r="1143">
      <c r="A1143" s="8"/>
      <c r="L1143" s="8"/>
      <c r="M1143" s="8"/>
      <c r="N1143" s="8"/>
    </row>
    <row r="1144">
      <c r="A1144" s="8"/>
      <c r="L1144" s="8"/>
      <c r="M1144" s="8"/>
      <c r="N1144" s="8"/>
    </row>
    <row r="1145">
      <c r="A1145" s="8"/>
      <c r="L1145" s="8"/>
      <c r="M1145" s="8"/>
      <c r="N1145" s="8"/>
    </row>
    <row r="1146">
      <c r="A1146" s="8"/>
      <c r="L1146" s="8"/>
      <c r="M1146" s="8"/>
      <c r="N1146" s="8"/>
    </row>
    <row r="1147">
      <c r="A1147" s="8"/>
      <c r="L1147" s="8"/>
      <c r="M1147" s="8"/>
      <c r="N1147" s="8"/>
    </row>
    <row r="1148">
      <c r="A1148" s="8"/>
      <c r="L1148" s="8"/>
      <c r="M1148" s="8"/>
      <c r="N1148" s="8"/>
    </row>
    <row r="1149">
      <c r="A1149" s="8"/>
      <c r="L1149" s="8"/>
      <c r="M1149" s="8"/>
      <c r="N1149" s="8"/>
    </row>
    <row r="1150">
      <c r="A1150" s="8"/>
      <c r="L1150" s="8"/>
      <c r="M1150" s="8"/>
      <c r="N1150" s="8"/>
    </row>
    <row r="1151">
      <c r="A1151" s="8"/>
      <c r="L1151" s="8"/>
      <c r="M1151" s="8"/>
      <c r="N1151" s="8"/>
    </row>
    <row r="1152">
      <c r="A1152" s="8"/>
      <c r="L1152" s="8"/>
      <c r="M1152" s="8"/>
      <c r="N1152" s="8"/>
    </row>
    <row r="1153">
      <c r="A1153" s="8"/>
      <c r="L1153" s="8"/>
      <c r="M1153" s="8"/>
      <c r="N1153" s="8"/>
    </row>
    <row r="1154">
      <c r="A1154" s="8"/>
      <c r="L1154" s="8"/>
      <c r="M1154" s="8"/>
      <c r="N1154" s="8"/>
    </row>
    <row r="1155">
      <c r="A1155" s="8"/>
      <c r="L1155" s="8"/>
      <c r="M1155" s="8"/>
      <c r="N1155" s="8"/>
    </row>
    <row r="1156">
      <c r="A1156" s="8"/>
      <c r="L1156" s="8"/>
      <c r="M1156" s="8"/>
      <c r="N1156" s="8"/>
    </row>
    <row r="1157">
      <c r="A1157" s="8"/>
      <c r="L1157" s="8"/>
      <c r="M1157" s="8"/>
      <c r="N1157" s="8"/>
    </row>
    <row r="1158">
      <c r="A1158" s="8"/>
      <c r="L1158" s="8"/>
      <c r="M1158" s="8"/>
      <c r="N1158" s="8"/>
    </row>
    <row r="1159">
      <c r="A1159" s="8"/>
      <c r="L1159" s="8"/>
      <c r="M1159" s="8"/>
      <c r="N1159" s="8"/>
    </row>
    <row r="1160">
      <c r="A1160" s="8"/>
      <c r="L1160" s="8"/>
      <c r="M1160" s="8"/>
      <c r="N1160" s="8"/>
    </row>
    <row r="1161">
      <c r="A1161" s="8"/>
      <c r="L1161" s="8"/>
      <c r="M1161" s="8"/>
      <c r="N1161" s="8"/>
    </row>
    <row r="1162">
      <c r="A1162" s="8"/>
      <c r="L1162" s="8"/>
      <c r="M1162" s="8"/>
      <c r="N1162" s="8"/>
    </row>
    <row r="1163">
      <c r="A1163" s="8"/>
      <c r="L1163" s="8"/>
      <c r="M1163" s="8"/>
      <c r="N1163" s="8"/>
    </row>
    <row r="1164">
      <c r="A1164" s="8"/>
      <c r="L1164" s="8"/>
      <c r="M1164" s="8"/>
      <c r="N1164" s="8"/>
    </row>
    <row r="1165">
      <c r="A1165" s="8"/>
      <c r="L1165" s="8"/>
      <c r="M1165" s="8"/>
      <c r="N1165" s="8"/>
    </row>
    <row r="1166">
      <c r="A1166" s="8"/>
      <c r="L1166" s="8"/>
      <c r="M1166" s="8"/>
      <c r="N1166" s="8"/>
    </row>
    <row r="1167">
      <c r="A1167" s="8"/>
      <c r="L1167" s="8"/>
      <c r="M1167" s="8"/>
      <c r="N1167" s="8"/>
    </row>
    <row r="1168">
      <c r="A1168" s="8"/>
      <c r="L1168" s="8"/>
      <c r="M1168" s="8"/>
      <c r="N1168" s="8"/>
    </row>
    <row r="1169">
      <c r="A1169" s="8"/>
      <c r="L1169" s="8"/>
      <c r="M1169" s="8"/>
      <c r="N1169" s="8"/>
    </row>
    <row r="1170">
      <c r="A1170" s="8"/>
      <c r="L1170" s="8"/>
      <c r="M1170" s="8"/>
      <c r="N1170" s="8"/>
    </row>
    <row r="1171">
      <c r="A1171" s="8"/>
      <c r="L1171" s="8"/>
      <c r="M1171" s="8"/>
      <c r="N1171" s="8"/>
    </row>
    <row r="1172">
      <c r="A1172" s="8"/>
      <c r="L1172" s="8"/>
      <c r="M1172" s="8"/>
      <c r="N1172" s="8"/>
    </row>
    <row r="1173">
      <c r="A1173" s="8"/>
      <c r="L1173" s="8"/>
      <c r="M1173" s="8"/>
      <c r="N1173" s="8"/>
    </row>
    <row r="1174">
      <c r="A1174" s="8"/>
      <c r="L1174" s="8"/>
      <c r="M1174" s="8"/>
      <c r="N1174" s="8"/>
    </row>
    <row r="1175">
      <c r="A1175" s="8"/>
      <c r="L1175" s="8"/>
      <c r="M1175" s="8"/>
      <c r="N1175" s="8"/>
    </row>
    <row r="1176">
      <c r="A1176" s="8"/>
      <c r="L1176" s="8"/>
      <c r="M1176" s="8"/>
      <c r="N1176" s="8"/>
    </row>
    <row r="1177">
      <c r="A1177" s="8"/>
      <c r="L1177" s="8"/>
      <c r="M1177" s="8"/>
      <c r="N1177" s="8"/>
    </row>
    <row r="1178">
      <c r="A1178" s="8"/>
      <c r="L1178" s="8"/>
      <c r="M1178" s="8"/>
      <c r="N1178" s="8"/>
    </row>
    <row r="1179">
      <c r="A1179" s="8"/>
      <c r="L1179" s="8"/>
      <c r="M1179" s="8"/>
      <c r="N1179" s="8"/>
    </row>
    <row r="1180">
      <c r="A1180" s="8"/>
      <c r="L1180" s="8"/>
      <c r="M1180" s="8"/>
      <c r="N1180" s="8"/>
    </row>
    <row r="1181">
      <c r="A1181" s="8"/>
      <c r="L1181" s="8"/>
      <c r="M1181" s="8"/>
      <c r="N1181" s="8"/>
    </row>
    <row r="1182">
      <c r="A1182" s="8"/>
      <c r="L1182" s="8"/>
      <c r="M1182" s="8"/>
      <c r="N1182" s="8"/>
    </row>
    <row r="1183">
      <c r="A1183" s="8"/>
      <c r="L1183" s="8"/>
      <c r="M1183" s="8"/>
      <c r="N1183" s="8"/>
    </row>
    <row r="1184">
      <c r="A1184" s="8"/>
      <c r="L1184" s="8"/>
      <c r="M1184" s="8"/>
      <c r="N1184" s="8"/>
    </row>
    <row r="1185">
      <c r="A1185" s="8"/>
      <c r="L1185" s="8"/>
      <c r="M1185" s="8"/>
      <c r="N1185" s="8"/>
    </row>
    <row r="1186">
      <c r="A1186" s="8"/>
      <c r="L1186" s="8"/>
      <c r="M1186" s="8"/>
      <c r="N1186" s="8"/>
    </row>
    <row r="1187">
      <c r="A1187" s="8"/>
      <c r="L1187" s="8"/>
      <c r="M1187" s="8"/>
      <c r="N1187" s="8"/>
    </row>
    <row r="1188">
      <c r="A1188" s="8"/>
      <c r="L1188" s="8"/>
      <c r="M1188" s="8"/>
      <c r="N1188" s="8"/>
    </row>
    <row r="1189">
      <c r="A1189" s="8"/>
      <c r="L1189" s="8"/>
      <c r="M1189" s="8"/>
      <c r="N1189" s="8"/>
    </row>
    <row r="1190">
      <c r="A1190" s="8"/>
      <c r="L1190" s="8"/>
      <c r="M1190" s="8"/>
      <c r="N1190" s="8"/>
    </row>
    <row r="1191">
      <c r="A1191" s="8"/>
      <c r="L1191" s="8"/>
      <c r="M1191" s="8"/>
      <c r="N1191" s="8"/>
    </row>
    <row r="1192">
      <c r="A1192" s="8"/>
      <c r="L1192" s="8"/>
      <c r="M1192" s="8"/>
      <c r="N1192" s="8"/>
    </row>
    <row r="1193">
      <c r="A1193" s="8"/>
      <c r="L1193" s="8"/>
      <c r="M1193" s="8"/>
      <c r="N1193" s="8"/>
    </row>
    <row r="1194">
      <c r="A1194" s="8"/>
      <c r="L1194" s="8"/>
      <c r="M1194" s="8"/>
      <c r="N1194" s="8"/>
    </row>
    <row r="1195">
      <c r="A1195" s="8"/>
      <c r="L1195" s="8"/>
      <c r="M1195" s="8"/>
      <c r="N1195" s="8"/>
    </row>
    <row r="1196">
      <c r="A1196" s="8"/>
      <c r="L1196" s="8"/>
      <c r="M1196" s="8"/>
      <c r="N1196" s="8"/>
    </row>
    <row r="1197">
      <c r="A1197" s="8"/>
      <c r="L1197" s="8"/>
      <c r="M1197" s="8"/>
      <c r="N1197" s="8"/>
    </row>
    <row r="1198">
      <c r="A1198" s="8"/>
      <c r="L1198" s="8"/>
      <c r="M1198" s="8"/>
      <c r="N1198" s="8"/>
    </row>
    <row r="1199">
      <c r="A1199" s="8"/>
      <c r="L1199" s="8"/>
      <c r="M1199" s="8"/>
      <c r="N1199" s="8"/>
    </row>
    <row r="1200">
      <c r="A1200" s="8"/>
      <c r="L1200" s="8"/>
      <c r="M1200" s="8"/>
      <c r="N1200" s="8"/>
    </row>
    <row r="1201">
      <c r="A1201" s="8"/>
      <c r="L1201" s="8"/>
      <c r="M1201" s="8"/>
      <c r="N1201" s="8"/>
    </row>
    <row r="1202">
      <c r="A1202" s="8"/>
      <c r="L1202" s="8"/>
      <c r="M1202" s="8"/>
      <c r="N1202" s="8"/>
    </row>
    <row r="1203">
      <c r="A1203" s="8"/>
      <c r="L1203" s="8"/>
      <c r="M1203" s="8"/>
      <c r="N1203" s="8"/>
    </row>
    <row r="1204">
      <c r="A1204" s="8"/>
      <c r="L1204" s="8"/>
      <c r="M1204" s="8"/>
      <c r="N1204" s="8"/>
    </row>
    <row r="1205">
      <c r="A1205" s="8"/>
      <c r="L1205" s="8"/>
      <c r="M1205" s="8"/>
      <c r="N1205" s="8"/>
    </row>
    <row r="1206">
      <c r="A1206" s="8"/>
      <c r="L1206" s="8"/>
      <c r="M1206" s="8"/>
      <c r="N1206" s="8"/>
    </row>
    <row r="1207">
      <c r="A1207" s="8"/>
      <c r="L1207" s="8"/>
      <c r="M1207" s="8"/>
      <c r="N1207" s="8"/>
    </row>
    <row r="1208">
      <c r="A1208" s="8"/>
      <c r="L1208" s="8"/>
      <c r="M1208" s="8"/>
      <c r="N1208" s="8"/>
    </row>
    <row r="1209">
      <c r="A1209" s="8"/>
      <c r="L1209" s="8"/>
      <c r="M1209" s="8"/>
      <c r="N1209" s="8"/>
    </row>
    <row r="1210">
      <c r="A1210" s="8"/>
      <c r="L1210" s="8"/>
      <c r="M1210" s="8"/>
      <c r="N1210" s="8"/>
    </row>
    <row r="1211">
      <c r="A1211" s="8"/>
      <c r="L1211" s="8"/>
      <c r="M1211" s="8"/>
      <c r="N1211" s="8"/>
    </row>
    <row r="1212">
      <c r="A1212" s="8"/>
      <c r="L1212" s="8"/>
      <c r="M1212" s="8"/>
      <c r="N1212" s="8"/>
    </row>
    <row r="1213">
      <c r="A1213" s="8"/>
      <c r="L1213" s="8"/>
      <c r="M1213" s="8"/>
      <c r="N1213" s="8"/>
    </row>
    <row r="1214">
      <c r="A1214" s="8"/>
      <c r="L1214" s="8"/>
      <c r="M1214" s="8"/>
      <c r="N1214" s="8"/>
    </row>
    <row r="1215">
      <c r="A1215" s="8"/>
      <c r="L1215" s="8"/>
      <c r="M1215" s="8"/>
      <c r="N1215" s="8"/>
    </row>
    <row r="1216">
      <c r="A1216" s="8"/>
      <c r="L1216" s="8"/>
      <c r="M1216" s="8"/>
      <c r="N1216" s="8"/>
    </row>
    <row r="1217">
      <c r="A1217" s="8"/>
      <c r="L1217" s="8"/>
      <c r="M1217" s="8"/>
      <c r="N1217" s="8"/>
    </row>
    <row r="1218">
      <c r="A1218" s="8"/>
      <c r="L1218" s="8"/>
      <c r="M1218" s="8"/>
      <c r="N1218" s="8"/>
    </row>
    <row r="1219">
      <c r="A1219" s="8"/>
      <c r="L1219" s="8"/>
      <c r="M1219" s="8"/>
      <c r="N1219" s="8"/>
    </row>
    <row r="1220">
      <c r="A1220" s="8"/>
      <c r="L1220" s="8"/>
      <c r="M1220" s="8"/>
      <c r="N1220" s="8"/>
    </row>
    <row r="1221">
      <c r="A1221" s="8"/>
      <c r="L1221" s="8"/>
      <c r="M1221" s="8"/>
      <c r="N1221" s="8"/>
    </row>
    <row r="1222">
      <c r="A1222" s="8"/>
      <c r="L1222" s="8"/>
      <c r="M1222" s="8"/>
      <c r="N1222" s="8"/>
    </row>
    <row r="1223">
      <c r="A1223" s="8"/>
      <c r="L1223" s="8"/>
      <c r="M1223" s="8"/>
      <c r="N1223" s="8"/>
    </row>
    <row r="1224">
      <c r="A1224" s="8"/>
      <c r="L1224" s="8"/>
      <c r="M1224" s="8"/>
      <c r="N1224" s="8"/>
    </row>
    <row r="1225">
      <c r="A1225" s="8"/>
      <c r="L1225" s="8"/>
      <c r="M1225" s="8"/>
      <c r="N1225" s="8"/>
    </row>
    <row r="1226">
      <c r="A1226" s="8"/>
      <c r="L1226" s="8"/>
      <c r="M1226" s="8"/>
      <c r="N1226" s="8"/>
    </row>
    <row r="1227">
      <c r="A1227" s="8"/>
      <c r="L1227" s="8"/>
      <c r="M1227" s="8"/>
      <c r="N1227" s="8"/>
    </row>
    <row r="1228">
      <c r="A1228" s="8"/>
      <c r="L1228" s="8"/>
      <c r="M1228" s="8"/>
      <c r="N1228" s="8"/>
    </row>
    <row r="1229">
      <c r="A1229" s="8"/>
      <c r="L1229" s="8"/>
      <c r="M1229" s="8"/>
      <c r="N1229" s="8"/>
    </row>
    <row r="1230">
      <c r="A1230" s="8"/>
      <c r="L1230" s="8"/>
      <c r="M1230" s="8"/>
      <c r="N1230" s="8"/>
    </row>
    <row r="1231">
      <c r="A1231" s="8"/>
      <c r="L1231" s="8"/>
      <c r="M1231" s="8"/>
      <c r="N1231" s="8"/>
    </row>
    <row r="1232">
      <c r="A1232" s="8"/>
      <c r="L1232" s="8"/>
      <c r="M1232" s="8"/>
      <c r="N1232" s="8"/>
    </row>
    <row r="1233">
      <c r="A1233" s="8"/>
      <c r="L1233" s="8"/>
      <c r="M1233" s="8"/>
      <c r="N1233" s="8"/>
    </row>
    <row r="1234">
      <c r="A1234" s="8"/>
      <c r="L1234" s="8"/>
      <c r="M1234" s="8"/>
      <c r="N1234" s="8"/>
    </row>
    <row r="1235">
      <c r="A1235" s="8"/>
      <c r="L1235" s="8"/>
      <c r="M1235" s="8"/>
      <c r="N1235" s="8"/>
    </row>
    <row r="1236">
      <c r="A1236" s="8"/>
      <c r="L1236" s="8"/>
      <c r="M1236" s="8"/>
      <c r="N1236" s="8"/>
    </row>
    <row r="1237">
      <c r="A1237" s="8"/>
      <c r="L1237" s="8"/>
      <c r="M1237" s="8"/>
      <c r="N1237" s="8"/>
    </row>
    <row r="1238">
      <c r="A1238" s="8"/>
      <c r="L1238" s="8"/>
      <c r="M1238" s="8"/>
      <c r="N1238" s="8"/>
    </row>
    <row r="1239">
      <c r="A1239" s="8"/>
      <c r="L1239" s="8"/>
      <c r="M1239" s="8"/>
      <c r="N1239" s="8"/>
    </row>
    <row r="1240">
      <c r="A1240" s="8"/>
      <c r="L1240" s="8"/>
      <c r="M1240" s="8"/>
      <c r="N1240" s="8"/>
    </row>
    <row r="1241">
      <c r="A1241" s="8"/>
      <c r="L1241" s="8"/>
      <c r="M1241" s="8"/>
      <c r="N1241" s="8"/>
    </row>
    <row r="1242">
      <c r="A1242" s="8"/>
      <c r="L1242" s="8"/>
      <c r="M1242" s="8"/>
      <c r="N1242" s="8"/>
    </row>
    <row r="1243">
      <c r="A1243" s="8"/>
      <c r="L1243" s="8"/>
      <c r="M1243" s="8"/>
      <c r="N1243" s="8"/>
    </row>
    <row r="1244">
      <c r="A1244" s="8"/>
      <c r="L1244" s="8"/>
      <c r="M1244" s="8"/>
      <c r="N1244" s="8"/>
    </row>
    <row r="1245">
      <c r="A1245" s="8"/>
      <c r="L1245" s="8"/>
      <c r="M1245" s="8"/>
      <c r="N1245" s="8"/>
    </row>
    <row r="1246">
      <c r="A1246" s="8"/>
      <c r="L1246" s="8"/>
      <c r="M1246" s="8"/>
      <c r="N1246" s="8"/>
    </row>
    <row r="1247">
      <c r="A1247" s="8"/>
      <c r="L1247" s="8"/>
      <c r="M1247" s="8"/>
      <c r="N1247" s="8"/>
    </row>
    <row r="1248">
      <c r="A1248" s="8"/>
      <c r="L1248" s="8"/>
      <c r="M1248" s="8"/>
      <c r="N1248" s="8"/>
    </row>
    <row r="1249">
      <c r="A1249" s="8"/>
      <c r="L1249" s="8"/>
      <c r="M1249" s="8"/>
      <c r="N1249" s="8"/>
    </row>
    <row r="1250">
      <c r="A1250" s="8"/>
      <c r="L1250" s="8"/>
      <c r="M1250" s="8"/>
      <c r="N1250" s="8"/>
    </row>
    <row r="1251">
      <c r="A1251" s="8"/>
      <c r="L1251" s="8"/>
      <c r="M1251" s="8"/>
      <c r="N1251" s="8"/>
    </row>
    <row r="1252">
      <c r="A1252" s="8"/>
      <c r="L1252" s="8"/>
      <c r="M1252" s="8"/>
      <c r="N1252" s="8"/>
    </row>
    <row r="1253">
      <c r="A1253" s="8"/>
      <c r="L1253" s="8"/>
      <c r="M1253" s="8"/>
      <c r="N1253" s="8"/>
    </row>
    <row r="1254">
      <c r="A1254" s="8"/>
      <c r="L1254" s="8"/>
      <c r="M1254" s="8"/>
      <c r="N1254" s="8"/>
    </row>
    <row r="1255">
      <c r="A1255" s="8"/>
      <c r="L1255" s="8"/>
      <c r="M1255" s="8"/>
      <c r="N1255" s="8"/>
    </row>
    <row r="1256">
      <c r="A1256" s="8"/>
      <c r="L1256" s="8"/>
      <c r="M1256" s="8"/>
      <c r="N1256" s="8"/>
    </row>
    <row r="1257">
      <c r="A1257" s="8"/>
      <c r="L1257" s="8"/>
      <c r="M1257" s="8"/>
      <c r="N1257" s="8"/>
    </row>
    <row r="1258">
      <c r="A1258" s="8"/>
      <c r="L1258" s="8"/>
      <c r="M1258" s="8"/>
      <c r="N1258" s="8"/>
    </row>
    <row r="1259">
      <c r="A1259" s="8"/>
      <c r="L1259" s="8"/>
      <c r="M1259" s="8"/>
      <c r="N1259" s="8"/>
    </row>
    <row r="1260">
      <c r="A1260" s="8"/>
      <c r="L1260" s="8"/>
      <c r="M1260" s="8"/>
      <c r="N1260" s="8"/>
    </row>
    <row r="1261">
      <c r="A1261" s="8"/>
      <c r="L1261" s="8"/>
      <c r="M1261" s="8"/>
      <c r="N1261" s="8"/>
    </row>
    <row r="1262">
      <c r="A1262" s="8"/>
      <c r="L1262" s="8"/>
      <c r="M1262" s="8"/>
      <c r="N1262" s="8"/>
    </row>
    <row r="1263">
      <c r="A1263" s="8"/>
      <c r="L1263" s="8"/>
      <c r="M1263" s="8"/>
      <c r="N1263" s="8"/>
    </row>
    <row r="1264">
      <c r="A1264" s="8"/>
      <c r="L1264" s="8"/>
      <c r="M1264" s="8"/>
      <c r="N1264" s="8"/>
    </row>
    <row r="1265">
      <c r="A1265" s="8"/>
      <c r="L1265" s="8"/>
      <c r="M1265" s="8"/>
      <c r="N1265" s="8"/>
    </row>
    <row r="1266">
      <c r="A1266" s="8"/>
      <c r="L1266" s="8"/>
      <c r="M1266" s="8"/>
      <c r="N1266" s="8"/>
    </row>
    <row r="1267">
      <c r="A1267" s="8"/>
      <c r="L1267" s="8"/>
      <c r="M1267" s="8"/>
      <c r="N1267" s="8"/>
    </row>
    <row r="1268">
      <c r="A1268" s="8"/>
      <c r="L1268" s="8"/>
      <c r="M1268" s="8"/>
      <c r="N1268" s="8"/>
    </row>
    <row r="1269">
      <c r="A1269" s="8"/>
      <c r="L1269" s="8"/>
      <c r="M1269" s="8"/>
      <c r="N1269" s="8"/>
    </row>
    <row r="1270">
      <c r="A1270" s="8"/>
      <c r="L1270" s="8"/>
      <c r="M1270" s="8"/>
      <c r="N1270" s="8"/>
    </row>
    <row r="1271">
      <c r="A1271" s="8"/>
      <c r="L1271" s="8"/>
      <c r="M1271" s="8"/>
      <c r="N1271" s="8"/>
    </row>
    <row r="1272">
      <c r="A1272" s="8"/>
      <c r="L1272" s="8"/>
      <c r="M1272" s="8"/>
      <c r="N1272" s="8"/>
    </row>
    <row r="1273">
      <c r="A1273" s="8"/>
      <c r="L1273" s="8"/>
      <c r="M1273" s="8"/>
      <c r="N1273" s="8"/>
    </row>
    <row r="1274">
      <c r="A1274" s="8"/>
      <c r="L1274" s="8"/>
      <c r="M1274" s="8"/>
      <c r="N1274" s="8"/>
    </row>
    <row r="1275">
      <c r="A1275" s="8"/>
      <c r="L1275" s="8"/>
      <c r="M1275" s="8"/>
      <c r="N1275" s="8"/>
    </row>
    <row r="1276">
      <c r="A1276" s="8"/>
      <c r="L1276" s="8"/>
      <c r="M1276" s="8"/>
      <c r="N1276" s="8"/>
    </row>
    <row r="1277">
      <c r="A1277" s="8"/>
      <c r="L1277" s="8"/>
      <c r="M1277" s="8"/>
      <c r="N1277" s="8"/>
    </row>
    <row r="1278">
      <c r="A1278" s="8"/>
      <c r="L1278" s="8"/>
      <c r="M1278" s="8"/>
      <c r="N1278" s="8"/>
    </row>
    <row r="1279">
      <c r="A1279" s="8"/>
      <c r="L1279" s="8"/>
      <c r="M1279" s="8"/>
      <c r="N1279" s="8"/>
    </row>
    <row r="1280">
      <c r="A1280" s="8"/>
      <c r="L1280" s="8"/>
      <c r="M1280" s="8"/>
      <c r="N1280" s="8"/>
    </row>
    <row r="1281">
      <c r="A1281" s="8"/>
      <c r="L1281" s="8"/>
      <c r="M1281" s="8"/>
      <c r="N1281" s="8"/>
    </row>
    <row r="1282">
      <c r="A1282" s="8"/>
      <c r="L1282" s="8"/>
      <c r="M1282" s="8"/>
      <c r="N1282" s="8"/>
    </row>
    <row r="1283">
      <c r="A1283" s="8"/>
      <c r="L1283" s="8"/>
      <c r="M1283" s="8"/>
      <c r="N1283" s="8"/>
    </row>
    <row r="1284">
      <c r="A1284" s="8"/>
      <c r="L1284" s="8"/>
      <c r="M1284" s="8"/>
      <c r="N1284" s="8"/>
    </row>
    <row r="1285">
      <c r="A1285" s="8"/>
      <c r="L1285" s="8"/>
      <c r="M1285" s="8"/>
      <c r="N1285" s="8"/>
    </row>
    <row r="1286">
      <c r="A1286" s="8"/>
      <c r="L1286" s="8"/>
      <c r="M1286" s="8"/>
      <c r="N1286" s="8"/>
    </row>
    <row r="1287">
      <c r="A1287" s="8"/>
      <c r="L1287" s="8"/>
      <c r="M1287" s="8"/>
      <c r="N1287" s="8"/>
    </row>
    <row r="1288">
      <c r="A1288" s="8"/>
      <c r="L1288" s="8"/>
      <c r="M1288" s="8"/>
      <c r="N1288" s="8"/>
    </row>
    <row r="1289">
      <c r="A1289" s="8"/>
      <c r="L1289" s="8"/>
      <c r="M1289" s="8"/>
      <c r="N1289" s="8"/>
    </row>
    <row r="1290">
      <c r="A1290" s="8"/>
      <c r="L1290" s="8"/>
      <c r="M1290" s="8"/>
      <c r="N1290" s="8"/>
    </row>
    <row r="1291">
      <c r="A1291" s="8"/>
      <c r="L1291" s="8"/>
      <c r="M1291" s="8"/>
      <c r="N1291" s="8"/>
    </row>
    <row r="1292">
      <c r="A1292" s="8"/>
      <c r="L1292" s="8"/>
      <c r="M1292" s="8"/>
      <c r="N1292" s="8"/>
    </row>
    <row r="1293">
      <c r="A1293" s="8"/>
      <c r="L1293" s="8"/>
      <c r="M1293" s="8"/>
      <c r="N1293" s="8"/>
    </row>
    <row r="1294">
      <c r="A1294" s="8"/>
      <c r="L1294" s="8"/>
      <c r="M1294" s="8"/>
      <c r="N1294" s="8"/>
    </row>
    <row r="1295">
      <c r="A1295" s="8"/>
      <c r="L1295" s="8"/>
      <c r="M1295" s="8"/>
      <c r="N1295" s="8"/>
    </row>
    <row r="1296">
      <c r="A1296" s="8"/>
      <c r="L1296" s="8"/>
      <c r="M1296" s="8"/>
      <c r="N1296" s="8"/>
    </row>
    <row r="1297">
      <c r="A1297" s="8"/>
      <c r="L1297" s="8"/>
      <c r="M1297" s="8"/>
      <c r="N1297" s="8"/>
    </row>
    <row r="1298">
      <c r="A1298" s="8"/>
      <c r="L1298" s="8"/>
      <c r="M1298" s="8"/>
      <c r="N1298" s="8"/>
    </row>
    <row r="1299">
      <c r="A1299" s="8"/>
      <c r="L1299" s="8"/>
      <c r="M1299" s="8"/>
      <c r="N1299" s="8"/>
    </row>
    <row r="1300">
      <c r="A1300" s="8"/>
      <c r="L1300" s="8"/>
      <c r="M1300" s="8"/>
      <c r="N1300" s="8"/>
    </row>
    <row r="1301">
      <c r="A1301" s="8"/>
      <c r="L1301" s="8"/>
      <c r="M1301" s="8"/>
      <c r="N1301" s="8"/>
    </row>
    <row r="1302">
      <c r="A1302" s="8"/>
      <c r="L1302" s="8"/>
      <c r="M1302" s="8"/>
      <c r="N1302" s="8"/>
    </row>
    <row r="1303">
      <c r="A1303" s="8"/>
      <c r="L1303" s="8"/>
      <c r="M1303" s="8"/>
      <c r="N1303" s="8"/>
    </row>
    <row r="1304">
      <c r="A1304" s="8"/>
      <c r="L1304" s="8"/>
      <c r="M1304" s="8"/>
      <c r="N1304" s="8"/>
    </row>
    <row r="1305">
      <c r="A1305" s="8"/>
      <c r="L1305" s="8"/>
      <c r="M1305" s="8"/>
      <c r="N1305" s="8"/>
    </row>
    <row r="1306">
      <c r="A1306" s="8"/>
      <c r="L1306" s="8"/>
      <c r="M1306" s="8"/>
      <c r="N1306" s="8"/>
    </row>
    <row r="1307">
      <c r="A1307" s="8"/>
      <c r="L1307" s="8"/>
      <c r="M1307" s="8"/>
      <c r="N1307" s="8"/>
    </row>
    <row r="1308">
      <c r="A1308" s="8"/>
      <c r="L1308" s="8"/>
      <c r="M1308" s="8"/>
      <c r="N1308" s="8"/>
    </row>
    <row r="1309">
      <c r="A1309" s="8"/>
      <c r="L1309" s="8"/>
      <c r="M1309" s="8"/>
      <c r="N1309" s="8"/>
    </row>
    <row r="1310">
      <c r="A1310" s="8"/>
      <c r="L1310" s="8"/>
      <c r="M1310" s="8"/>
      <c r="N1310" s="8"/>
    </row>
    <row r="1311">
      <c r="A1311" s="8"/>
      <c r="L1311" s="8"/>
      <c r="M1311" s="8"/>
      <c r="N1311" s="8"/>
    </row>
    <row r="1312">
      <c r="A1312" s="8"/>
      <c r="L1312" s="8"/>
      <c r="M1312" s="8"/>
      <c r="N1312" s="8"/>
    </row>
    <row r="1313">
      <c r="A1313" s="8"/>
      <c r="L1313" s="8"/>
      <c r="M1313" s="8"/>
      <c r="N1313" s="8"/>
    </row>
    <row r="1314">
      <c r="A1314" s="8"/>
      <c r="L1314" s="8"/>
      <c r="M1314" s="8"/>
      <c r="N1314" s="8"/>
    </row>
    <row r="1315">
      <c r="A1315" s="8"/>
      <c r="L1315" s="8"/>
      <c r="M1315" s="8"/>
      <c r="N1315" s="8"/>
    </row>
    <row r="1316">
      <c r="A1316" s="8"/>
      <c r="L1316" s="8"/>
      <c r="M1316" s="8"/>
      <c r="N1316" s="8"/>
    </row>
    <row r="1317">
      <c r="A1317" s="8"/>
      <c r="L1317" s="8"/>
      <c r="M1317" s="8"/>
      <c r="N1317" s="8"/>
    </row>
    <row r="1318">
      <c r="A1318" s="8"/>
      <c r="L1318" s="8"/>
      <c r="M1318" s="8"/>
      <c r="N1318" s="8"/>
    </row>
    <row r="1319">
      <c r="A1319" s="8"/>
      <c r="L1319" s="8"/>
      <c r="M1319" s="8"/>
      <c r="N1319" s="8"/>
    </row>
    <row r="1320">
      <c r="A1320" s="8"/>
      <c r="L1320" s="8"/>
      <c r="M1320" s="8"/>
      <c r="N1320" s="8"/>
    </row>
    <row r="1321">
      <c r="A1321" s="8"/>
      <c r="L1321" s="8"/>
      <c r="M1321" s="8"/>
      <c r="N1321" s="8"/>
    </row>
    <row r="1322">
      <c r="A1322" s="8"/>
      <c r="L1322" s="8"/>
      <c r="M1322" s="8"/>
      <c r="N1322" s="8"/>
    </row>
    <row r="1323">
      <c r="A1323" s="8"/>
      <c r="L1323" s="8"/>
      <c r="M1323" s="8"/>
      <c r="N1323" s="8"/>
    </row>
    <row r="1324">
      <c r="A1324" s="8"/>
      <c r="L1324" s="8"/>
      <c r="M1324" s="8"/>
      <c r="N1324" s="8"/>
    </row>
    <row r="1325">
      <c r="A1325" s="8"/>
      <c r="L1325" s="8"/>
      <c r="M1325" s="8"/>
      <c r="N1325" s="8"/>
    </row>
    <row r="1326">
      <c r="A1326" s="8"/>
      <c r="L1326" s="8"/>
      <c r="M1326" s="8"/>
      <c r="N1326" s="8"/>
    </row>
    <row r="1327">
      <c r="A1327" s="8"/>
      <c r="L1327" s="8"/>
      <c r="M1327" s="8"/>
      <c r="N1327" s="8"/>
    </row>
    <row r="1328">
      <c r="A1328" s="8"/>
      <c r="L1328" s="8"/>
      <c r="M1328" s="8"/>
      <c r="N1328" s="8"/>
    </row>
    <row r="1329">
      <c r="A1329" s="8"/>
      <c r="L1329" s="8"/>
      <c r="M1329" s="8"/>
      <c r="N1329" s="8"/>
    </row>
    <row r="1330">
      <c r="A1330" s="8"/>
      <c r="L1330" s="8"/>
      <c r="M1330" s="8"/>
      <c r="N1330" s="8"/>
    </row>
    <row r="1331">
      <c r="A1331" s="8"/>
      <c r="L1331" s="8"/>
      <c r="M1331" s="8"/>
      <c r="N1331" s="8"/>
    </row>
    <row r="1332">
      <c r="A1332" s="8"/>
      <c r="L1332" s="8"/>
      <c r="M1332" s="8"/>
      <c r="N1332" s="8"/>
    </row>
    <row r="1333">
      <c r="A1333" s="8"/>
      <c r="L1333" s="8"/>
      <c r="M1333" s="8"/>
      <c r="N1333" s="8"/>
    </row>
    <row r="1334">
      <c r="A1334" s="8"/>
      <c r="L1334" s="8"/>
      <c r="M1334" s="8"/>
      <c r="N1334" s="8"/>
    </row>
    <row r="1335">
      <c r="A1335" s="8"/>
      <c r="L1335" s="8"/>
      <c r="M1335" s="8"/>
      <c r="N1335" s="8"/>
    </row>
    <row r="1336">
      <c r="A1336" s="8"/>
      <c r="L1336" s="8"/>
      <c r="M1336" s="8"/>
      <c r="N1336" s="8"/>
    </row>
    <row r="1337">
      <c r="A1337" s="8"/>
      <c r="L1337" s="8"/>
      <c r="M1337" s="8"/>
      <c r="N1337" s="8"/>
    </row>
    <row r="1338">
      <c r="A1338" s="8"/>
      <c r="L1338" s="8"/>
      <c r="M1338" s="8"/>
      <c r="N1338" s="8"/>
    </row>
    <row r="1339">
      <c r="A1339" s="8"/>
      <c r="L1339" s="8"/>
      <c r="M1339" s="8"/>
      <c r="N1339" s="8"/>
    </row>
    <row r="1340">
      <c r="A1340" s="8"/>
      <c r="L1340" s="8"/>
      <c r="M1340" s="8"/>
      <c r="N1340" s="8"/>
    </row>
    <row r="1341">
      <c r="A1341" s="8"/>
      <c r="L1341" s="8"/>
      <c r="M1341" s="8"/>
      <c r="N1341" s="8"/>
    </row>
    <row r="1342">
      <c r="A1342" s="8"/>
      <c r="L1342" s="8"/>
      <c r="M1342" s="8"/>
      <c r="N1342" s="8"/>
    </row>
    <row r="1343">
      <c r="A1343" s="8"/>
      <c r="L1343" s="8"/>
      <c r="M1343" s="8"/>
      <c r="N1343" s="8"/>
    </row>
    <row r="1344">
      <c r="A1344" s="8"/>
      <c r="L1344" s="8"/>
      <c r="M1344" s="8"/>
      <c r="N1344" s="8"/>
    </row>
    <row r="1345">
      <c r="A1345" s="8"/>
      <c r="L1345" s="8"/>
      <c r="M1345" s="8"/>
      <c r="N1345" s="8"/>
    </row>
    <row r="1346">
      <c r="A1346" s="8"/>
      <c r="L1346" s="8"/>
      <c r="M1346" s="8"/>
      <c r="N1346" s="8"/>
    </row>
    <row r="1347">
      <c r="A1347" s="8"/>
      <c r="L1347" s="8"/>
      <c r="M1347" s="8"/>
      <c r="N1347" s="8"/>
    </row>
    <row r="1348">
      <c r="A1348" s="8"/>
      <c r="L1348" s="8"/>
      <c r="M1348" s="8"/>
      <c r="N1348" s="8"/>
    </row>
    <row r="1349">
      <c r="A1349" s="8"/>
      <c r="L1349" s="8"/>
      <c r="M1349" s="8"/>
      <c r="N1349" s="8"/>
    </row>
    <row r="1350">
      <c r="A1350" s="8"/>
      <c r="L1350" s="8"/>
      <c r="M1350" s="8"/>
      <c r="N1350" s="8"/>
    </row>
    <row r="1351">
      <c r="A1351" s="8"/>
      <c r="L1351" s="8"/>
      <c r="M1351" s="8"/>
      <c r="N1351" s="8"/>
    </row>
    <row r="1352">
      <c r="A1352" s="8"/>
      <c r="L1352" s="8"/>
      <c r="M1352" s="8"/>
      <c r="N1352" s="8"/>
    </row>
    <row r="1353">
      <c r="A1353" s="8"/>
      <c r="L1353" s="8"/>
      <c r="M1353" s="8"/>
      <c r="N1353" s="8"/>
    </row>
    <row r="1354">
      <c r="A1354" s="8"/>
      <c r="L1354" s="8"/>
      <c r="M1354" s="8"/>
      <c r="N1354" s="8"/>
    </row>
    <row r="1355">
      <c r="A1355" s="8"/>
      <c r="L1355" s="8"/>
      <c r="M1355" s="8"/>
      <c r="N1355" s="8"/>
    </row>
    <row r="1356">
      <c r="A1356" s="8"/>
      <c r="L1356" s="8"/>
      <c r="M1356" s="8"/>
      <c r="N1356" s="8"/>
    </row>
    <row r="1357">
      <c r="A1357" s="8"/>
      <c r="L1357" s="8"/>
      <c r="M1357" s="8"/>
      <c r="N1357" s="8"/>
    </row>
    <row r="1358">
      <c r="A1358" s="8"/>
      <c r="L1358" s="8"/>
      <c r="M1358" s="8"/>
      <c r="N1358" s="8"/>
    </row>
    <row r="1359">
      <c r="A1359" s="8"/>
      <c r="L1359" s="8"/>
      <c r="M1359" s="8"/>
      <c r="N1359" s="8"/>
    </row>
    <row r="1360">
      <c r="A1360" s="8"/>
      <c r="L1360" s="8"/>
      <c r="M1360" s="8"/>
      <c r="N1360" s="8"/>
    </row>
    <row r="1361">
      <c r="A1361" s="8"/>
      <c r="L1361" s="8"/>
      <c r="M1361" s="8"/>
      <c r="N1361" s="8"/>
    </row>
    <row r="1362">
      <c r="A1362" s="8"/>
      <c r="L1362" s="8"/>
      <c r="M1362" s="8"/>
      <c r="N1362" s="8"/>
    </row>
    <row r="1363">
      <c r="A1363" s="8"/>
      <c r="L1363" s="8"/>
      <c r="M1363" s="8"/>
      <c r="N1363" s="8"/>
    </row>
    <row r="1364">
      <c r="A1364" s="8"/>
      <c r="L1364" s="8"/>
      <c r="M1364" s="8"/>
      <c r="N1364" s="8"/>
    </row>
    <row r="1365">
      <c r="A1365" s="8"/>
      <c r="L1365" s="8"/>
      <c r="M1365" s="8"/>
      <c r="N1365" s="8"/>
    </row>
    <row r="1366">
      <c r="A1366" s="8"/>
      <c r="L1366" s="8"/>
      <c r="M1366" s="8"/>
      <c r="N1366" s="8"/>
    </row>
    <row r="1367">
      <c r="A1367" s="8"/>
      <c r="L1367" s="8"/>
      <c r="M1367" s="8"/>
      <c r="N1367" s="8"/>
    </row>
    <row r="1368">
      <c r="A1368" s="8"/>
      <c r="L1368" s="8"/>
      <c r="M1368" s="8"/>
      <c r="N1368" s="8"/>
    </row>
    <row r="1369">
      <c r="A1369" s="8"/>
      <c r="L1369" s="8"/>
      <c r="M1369" s="8"/>
      <c r="N1369" s="8"/>
    </row>
    <row r="1370">
      <c r="A1370" s="8"/>
      <c r="L1370" s="8"/>
      <c r="M1370" s="8"/>
      <c r="N1370" s="8"/>
    </row>
    <row r="1371">
      <c r="A1371" s="8"/>
      <c r="L1371" s="8"/>
      <c r="M1371" s="8"/>
      <c r="N1371" s="8"/>
    </row>
    <row r="1372">
      <c r="A1372" s="8"/>
      <c r="L1372" s="8"/>
      <c r="M1372" s="8"/>
      <c r="N1372" s="8"/>
    </row>
    <row r="1373">
      <c r="A1373" s="8"/>
      <c r="L1373" s="8"/>
      <c r="M1373" s="8"/>
      <c r="N1373" s="8"/>
    </row>
    <row r="1374">
      <c r="A1374" s="8"/>
      <c r="L1374" s="8"/>
      <c r="M1374" s="8"/>
      <c r="N1374" s="8"/>
    </row>
    <row r="1375">
      <c r="A1375" s="8"/>
      <c r="L1375" s="8"/>
      <c r="M1375" s="8"/>
      <c r="N1375" s="8"/>
    </row>
    <row r="1376">
      <c r="A1376" s="8"/>
      <c r="L1376" s="8"/>
      <c r="M1376" s="8"/>
      <c r="N1376" s="8"/>
    </row>
    <row r="1377">
      <c r="A1377" s="8"/>
      <c r="L1377" s="8"/>
      <c r="M1377" s="8"/>
      <c r="N1377" s="8"/>
    </row>
    <row r="1378">
      <c r="A1378" s="8"/>
      <c r="L1378" s="8"/>
      <c r="M1378" s="8"/>
      <c r="N1378" s="8"/>
    </row>
    <row r="1379">
      <c r="A1379" s="8"/>
      <c r="L1379" s="8"/>
      <c r="M1379" s="8"/>
      <c r="N1379" s="8"/>
    </row>
    <row r="1380">
      <c r="A1380" s="8"/>
      <c r="L1380" s="8"/>
      <c r="M1380" s="8"/>
      <c r="N1380" s="8"/>
    </row>
    <row r="1381">
      <c r="A1381" s="8"/>
      <c r="L1381" s="8"/>
      <c r="M1381" s="8"/>
      <c r="N1381" s="8"/>
    </row>
    <row r="1382">
      <c r="A1382" s="8"/>
      <c r="L1382" s="8"/>
      <c r="M1382" s="8"/>
      <c r="N1382" s="8"/>
    </row>
    <row r="1383">
      <c r="A1383" s="8"/>
      <c r="L1383" s="8"/>
      <c r="M1383" s="8"/>
      <c r="N1383" s="8"/>
    </row>
    <row r="1384">
      <c r="A1384" s="8"/>
      <c r="L1384" s="8"/>
      <c r="M1384" s="8"/>
      <c r="N1384" s="8"/>
    </row>
    <row r="1385">
      <c r="A1385" s="8"/>
      <c r="L1385" s="8"/>
      <c r="M1385" s="8"/>
      <c r="N1385" s="8"/>
    </row>
    <row r="1386">
      <c r="A1386" s="8"/>
      <c r="L1386" s="8"/>
      <c r="M1386" s="8"/>
      <c r="N1386" s="8"/>
    </row>
    <row r="1387">
      <c r="A1387" s="8"/>
      <c r="L1387" s="8"/>
      <c r="M1387" s="8"/>
      <c r="N1387" s="8"/>
    </row>
    <row r="1388">
      <c r="A1388" s="8"/>
      <c r="L1388" s="8"/>
      <c r="M1388" s="8"/>
      <c r="N1388" s="8"/>
    </row>
    <row r="1389">
      <c r="A1389" s="8"/>
      <c r="L1389" s="8"/>
      <c r="M1389" s="8"/>
      <c r="N1389" s="8"/>
    </row>
    <row r="1390">
      <c r="A1390" s="8"/>
      <c r="L1390" s="8"/>
      <c r="M1390" s="8"/>
      <c r="N1390" s="8"/>
    </row>
    <row r="1391">
      <c r="A1391" s="8"/>
      <c r="L1391" s="8"/>
      <c r="M1391" s="8"/>
      <c r="N1391" s="8"/>
    </row>
    <row r="1392">
      <c r="A1392" s="8"/>
      <c r="L1392" s="8"/>
      <c r="M1392" s="8"/>
      <c r="N1392" s="8"/>
    </row>
    <row r="1393">
      <c r="A1393" s="8"/>
      <c r="L1393" s="8"/>
      <c r="M1393" s="8"/>
      <c r="N1393" s="8"/>
    </row>
    <row r="1394">
      <c r="A1394" s="8"/>
      <c r="L1394" s="8"/>
      <c r="M1394" s="8"/>
      <c r="N1394" s="8"/>
    </row>
    <row r="1395">
      <c r="A1395" s="8"/>
      <c r="L1395" s="8"/>
      <c r="M1395" s="8"/>
      <c r="N1395" s="8"/>
    </row>
    <row r="1396">
      <c r="A1396" s="8"/>
      <c r="L1396" s="8"/>
      <c r="M1396" s="8"/>
      <c r="N1396" s="8"/>
    </row>
    <row r="1397">
      <c r="A1397" s="8"/>
      <c r="L1397" s="8"/>
      <c r="M1397" s="8"/>
      <c r="N1397" s="8"/>
    </row>
    <row r="1398">
      <c r="A1398" s="8"/>
      <c r="L1398" s="8"/>
      <c r="M1398" s="8"/>
      <c r="N1398" s="8"/>
    </row>
    <row r="1399">
      <c r="A1399" s="8"/>
      <c r="L1399" s="8"/>
      <c r="M1399" s="8"/>
      <c r="N1399" s="8"/>
    </row>
    <row r="1400">
      <c r="A1400" s="8"/>
      <c r="L1400" s="8"/>
      <c r="M1400" s="8"/>
      <c r="N1400" s="8"/>
    </row>
    <row r="1401">
      <c r="A1401" s="8"/>
      <c r="L1401" s="8"/>
      <c r="M1401" s="8"/>
      <c r="N1401" s="8"/>
    </row>
    <row r="1402">
      <c r="A1402" s="8"/>
      <c r="L1402" s="8"/>
      <c r="M1402" s="8"/>
      <c r="N1402" s="8"/>
    </row>
    <row r="1403">
      <c r="A1403" s="8"/>
      <c r="L1403" s="8"/>
      <c r="M1403" s="8"/>
      <c r="N1403" s="8"/>
    </row>
    <row r="1404">
      <c r="A1404" s="8"/>
      <c r="L1404" s="8"/>
      <c r="M1404" s="8"/>
      <c r="N1404" s="8"/>
    </row>
    <row r="1405">
      <c r="A1405" s="8"/>
      <c r="L1405" s="8"/>
      <c r="M1405" s="8"/>
      <c r="N1405" s="8"/>
    </row>
    <row r="1406">
      <c r="A1406" s="8"/>
      <c r="L1406" s="8"/>
      <c r="M1406" s="8"/>
      <c r="N1406" s="8"/>
    </row>
    <row r="1407">
      <c r="A1407" s="8"/>
      <c r="L1407" s="8"/>
      <c r="M1407" s="8"/>
      <c r="N1407" s="8"/>
    </row>
    <row r="1408">
      <c r="A1408" s="8"/>
      <c r="L1408" s="8"/>
      <c r="M1408" s="8"/>
      <c r="N1408" s="8"/>
    </row>
    <row r="1409">
      <c r="A1409" s="8"/>
      <c r="L1409" s="8"/>
      <c r="M1409" s="8"/>
      <c r="N1409" s="8"/>
    </row>
    <row r="1410">
      <c r="A1410" s="8"/>
      <c r="L1410" s="8"/>
      <c r="M1410" s="8"/>
      <c r="N1410" s="8"/>
    </row>
    <row r="1411">
      <c r="A1411" s="8"/>
      <c r="L1411" s="8"/>
      <c r="M1411" s="8"/>
      <c r="N1411" s="8"/>
    </row>
    <row r="1412">
      <c r="A1412" s="8"/>
      <c r="L1412" s="8"/>
      <c r="M1412" s="8"/>
      <c r="N1412" s="8"/>
    </row>
    <row r="1413">
      <c r="A1413" s="8"/>
      <c r="L1413" s="8"/>
      <c r="M1413" s="8"/>
      <c r="N1413" s="8"/>
    </row>
    <row r="1414">
      <c r="A1414" s="8"/>
      <c r="L1414" s="8"/>
      <c r="M1414" s="8"/>
      <c r="N1414" s="8"/>
    </row>
    <row r="1415">
      <c r="A1415" s="8"/>
      <c r="L1415" s="8"/>
      <c r="M1415" s="8"/>
      <c r="N1415" s="8"/>
    </row>
    <row r="1416">
      <c r="A1416" s="8"/>
      <c r="L1416" s="8"/>
      <c r="M1416" s="8"/>
      <c r="N1416" s="8"/>
    </row>
    <row r="1417">
      <c r="A1417" s="8"/>
      <c r="L1417" s="8"/>
      <c r="M1417" s="8"/>
      <c r="N1417" s="8"/>
    </row>
    <row r="1418">
      <c r="A1418" s="8"/>
      <c r="L1418" s="8"/>
      <c r="M1418" s="8"/>
      <c r="N1418" s="8"/>
    </row>
    <row r="1419">
      <c r="A1419" s="8"/>
      <c r="L1419" s="8"/>
      <c r="M1419" s="8"/>
      <c r="N1419" s="8"/>
    </row>
    <row r="1420">
      <c r="A1420" s="8"/>
      <c r="L1420" s="8"/>
      <c r="M1420" s="8"/>
      <c r="N1420" s="8"/>
    </row>
    <row r="1421">
      <c r="A1421" s="8"/>
      <c r="L1421" s="8"/>
      <c r="M1421" s="8"/>
      <c r="N1421" s="8"/>
    </row>
    <row r="1422">
      <c r="A1422" s="8"/>
      <c r="L1422" s="8"/>
      <c r="M1422" s="8"/>
      <c r="N1422" s="8"/>
    </row>
    <row r="1423">
      <c r="A1423" s="8"/>
      <c r="L1423" s="8"/>
      <c r="M1423" s="8"/>
      <c r="N1423" s="8"/>
    </row>
    <row r="1424">
      <c r="A1424" s="8"/>
      <c r="L1424" s="8"/>
      <c r="M1424" s="8"/>
      <c r="N1424" s="8"/>
    </row>
    <row r="1425">
      <c r="A1425" s="8"/>
      <c r="L1425" s="8"/>
      <c r="M1425" s="8"/>
      <c r="N1425" s="8"/>
    </row>
    <row r="1426">
      <c r="A1426" s="8"/>
      <c r="L1426" s="8"/>
      <c r="M1426" s="8"/>
      <c r="N1426" s="8"/>
    </row>
    <row r="1427">
      <c r="A1427" s="8"/>
      <c r="L1427" s="8"/>
      <c r="M1427" s="8"/>
      <c r="N1427" s="8"/>
    </row>
    <row r="1428">
      <c r="A1428" s="8"/>
      <c r="L1428" s="8"/>
      <c r="M1428" s="8"/>
      <c r="N1428" s="8"/>
    </row>
    <row r="1429">
      <c r="A1429" s="8"/>
      <c r="L1429" s="8"/>
      <c r="M1429" s="8"/>
      <c r="N1429" s="8"/>
    </row>
    <row r="1430">
      <c r="A1430" s="8"/>
      <c r="L1430" s="8"/>
      <c r="M1430" s="8"/>
      <c r="N1430" s="8"/>
    </row>
    <row r="1431">
      <c r="A1431" s="8"/>
      <c r="L1431" s="8"/>
      <c r="M1431" s="8"/>
      <c r="N1431" s="8"/>
    </row>
    <row r="1432">
      <c r="A1432" s="8"/>
      <c r="L1432" s="8"/>
      <c r="M1432" s="8"/>
      <c r="N1432" s="8"/>
    </row>
    <row r="1433">
      <c r="A1433" s="8"/>
      <c r="L1433" s="8"/>
      <c r="M1433" s="8"/>
      <c r="N1433" s="8"/>
    </row>
    <row r="1434">
      <c r="A1434" s="8"/>
      <c r="L1434" s="8"/>
      <c r="M1434" s="8"/>
      <c r="N1434" s="8"/>
    </row>
    <row r="1435">
      <c r="A1435" s="8"/>
      <c r="L1435" s="8"/>
      <c r="M1435" s="8"/>
      <c r="N1435" s="8"/>
    </row>
    <row r="1436">
      <c r="A1436" s="8"/>
      <c r="L1436" s="8"/>
      <c r="M1436" s="8"/>
      <c r="N1436" s="8"/>
    </row>
    <row r="1437">
      <c r="A1437" s="8"/>
      <c r="L1437" s="8"/>
      <c r="M1437" s="8"/>
      <c r="N1437" s="8"/>
    </row>
    <row r="1438">
      <c r="A1438" s="8"/>
      <c r="L1438" s="8"/>
      <c r="M1438" s="8"/>
      <c r="N1438" s="8"/>
    </row>
    <row r="1439">
      <c r="A1439" s="8"/>
      <c r="L1439" s="8"/>
      <c r="M1439" s="8"/>
      <c r="N1439" s="8"/>
    </row>
    <row r="1440">
      <c r="A1440" s="8"/>
      <c r="L1440" s="8"/>
      <c r="M1440" s="8"/>
      <c r="N1440" s="8"/>
    </row>
    <row r="1441">
      <c r="A1441" s="8"/>
      <c r="L1441" s="8"/>
      <c r="M1441" s="8"/>
      <c r="N1441" s="8"/>
    </row>
    <row r="1442">
      <c r="A1442" s="8"/>
      <c r="L1442" s="8"/>
      <c r="M1442" s="8"/>
      <c r="N1442" s="8"/>
    </row>
    <row r="1443">
      <c r="A1443" s="8"/>
      <c r="L1443" s="8"/>
      <c r="M1443" s="8"/>
      <c r="N1443" s="8"/>
    </row>
    <row r="1444">
      <c r="A1444" s="8"/>
      <c r="L1444" s="8"/>
      <c r="M1444" s="8"/>
      <c r="N1444" s="8"/>
    </row>
    <row r="1445">
      <c r="A1445" s="8"/>
      <c r="L1445" s="8"/>
      <c r="M1445" s="8"/>
      <c r="N1445" s="8"/>
    </row>
    <row r="1446">
      <c r="A1446" s="8"/>
      <c r="L1446" s="8"/>
      <c r="M1446" s="8"/>
      <c r="N1446" s="8"/>
    </row>
    <row r="1447">
      <c r="A1447" s="8"/>
      <c r="L1447" s="8"/>
      <c r="M1447" s="8"/>
      <c r="N1447" s="8"/>
    </row>
    <row r="1448">
      <c r="A1448" s="8"/>
      <c r="L1448" s="8"/>
      <c r="M1448" s="8"/>
      <c r="N1448" s="8"/>
    </row>
    <row r="1449">
      <c r="A1449" s="8"/>
      <c r="L1449" s="8"/>
      <c r="M1449" s="8"/>
      <c r="N1449" s="8"/>
    </row>
    <row r="1450">
      <c r="A1450" s="8"/>
      <c r="L1450" s="8"/>
      <c r="M1450" s="8"/>
      <c r="N1450" s="8"/>
    </row>
    <row r="1451">
      <c r="A1451" s="8"/>
      <c r="L1451" s="8"/>
      <c r="M1451" s="8"/>
      <c r="N1451" s="8"/>
    </row>
    <row r="1452">
      <c r="A1452" s="8"/>
      <c r="L1452" s="8"/>
      <c r="M1452" s="8"/>
      <c r="N1452" s="8"/>
    </row>
    <row r="1453">
      <c r="A1453" s="8"/>
      <c r="L1453" s="8"/>
      <c r="M1453" s="8"/>
      <c r="N1453" s="8"/>
    </row>
    <row r="1454">
      <c r="A1454" s="8"/>
      <c r="L1454" s="8"/>
      <c r="M1454" s="8"/>
      <c r="N1454" s="8"/>
    </row>
    <row r="1455">
      <c r="A1455" s="8"/>
      <c r="L1455" s="8"/>
      <c r="M1455" s="8"/>
      <c r="N1455" s="8"/>
    </row>
    <row r="1456">
      <c r="A1456" s="8"/>
      <c r="L1456" s="8"/>
      <c r="M1456" s="8"/>
      <c r="N1456" s="8"/>
    </row>
    <row r="1457">
      <c r="A1457" s="8"/>
      <c r="L1457" s="8"/>
      <c r="M1457" s="8"/>
      <c r="N1457" s="8"/>
    </row>
    <row r="1458">
      <c r="A1458" s="8"/>
      <c r="L1458" s="8"/>
      <c r="M1458" s="8"/>
      <c r="N1458" s="8"/>
    </row>
    <row r="1459">
      <c r="A1459" s="8"/>
      <c r="L1459" s="8"/>
      <c r="M1459" s="8"/>
      <c r="N1459" s="8"/>
    </row>
    <row r="1460">
      <c r="A1460" s="8"/>
      <c r="L1460" s="8"/>
      <c r="M1460" s="8"/>
      <c r="N1460" s="8"/>
    </row>
    <row r="1461">
      <c r="A1461" s="8"/>
      <c r="L1461" s="8"/>
      <c r="M1461" s="8"/>
      <c r="N1461" s="8"/>
    </row>
    <row r="1462">
      <c r="A1462" s="8"/>
      <c r="L1462" s="8"/>
      <c r="M1462" s="8"/>
      <c r="N1462" s="8"/>
    </row>
    <row r="1463">
      <c r="A1463" s="8"/>
      <c r="L1463" s="8"/>
      <c r="M1463" s="8"/>
      <c r="N1463" s="8"/>
    </row>
    <row r="1464">
      <c r="A1464" s="8"/>
      <c r="L1464" s="8"/>
      <c r="M1464" s="8"/>
      <c r="N1464" s="8"/>
    </row>
    <row r="1465">
      <c r="A1465" s="8"/>
      <c r="L1465" s="8"/>
      <c r="M1465" s="8"/>
      <c r="N1465" s="8"/>
    </row>
    <row r="1466">
      <c r="A1466" s="8"/>
      <c r="L1466" s="8"/>
      <c r="M1466" s="8"/>
      <c r="N1466" s="8"/>
    </row>
    <row r="1467">
      <c r="A1467" s="8"/>
      <c r="L1467" s="8"/>
      <c r="M1467" s="8"/>
      <c r="N1467" s="8"/>
    </row>
    <row r="1468">
      <c r="A1468" s="8"/>
      <c r="L1468" s="8"/>
      <c r="M1468" s="8"/>
      <c r="N1468" s="8"/>
    </row>
    <row r="1469">
      <c r="A1469" s="8"/>
      <c r="L1469" s="8"/>
      <c r="M1469" s="8"/>
      <c r="N1469" s="8"/>
    </row>
    <row r="1470">
      <c r="A1470" s="8"/>
      <c r="L1470" s="8"/>
      <c r="M1470" s="8"/>
      <c r="N1470" s="8"/>
    </row>
    <row r="1471">
      <c r="A1471" s="8"/>
      <c r="L1471" s="8"/>
      <c r="M1471" s="8"/>
      <c r="N1471" s="8"/>
    </row>
    <row r="1472">
      <c r="A1472" s="8"/>
      <c r="L1472" s="8"/>
      <c r="M1472" s="8"/>
      <c r="N1472" s="8"/>
    </row>
    <row r="1473">
      <c r="A1473" s="8"/>
      <c r="L1473" s="8"/>
      <c r="M1473" s="8"/>
      <c r="N1473" s="8"/>
    </row>
    <row r="1474">
      <c r="A1474" s="8"/>
      <c r="L1474" s="8"/>
      <c r="M1474" s="8"/>
      <c r="N1474" s="8"/>
    </row>
    <row r="1475">
      <c r="A1475" s="8"/>
      <c r="L1475" s="8"/>
      <c r="M1475" s="8"/>
      <c r="N1475" s="8"/>
    </row>
    <row r="1476">
      <c r="A1476" s="8"/>
      <c r="L1476" s="8"/>
      <c r="M1476" s="8"/>
      <c r="N1476" s="8"/>
    </row>
    <row r="1477">
      <c r="A1477" s="8"/>
      <c r="L1477" s="8"/>
      <c r="M1477" s="8"/>
      <c r="N1477" s="8"/>
    </row>
    <row r="1478">
      <c r="A1478" s="8"/>
      <c r="L1478" s="8"/>
      <c r="M1478" s="8"/>
      <c r="N1478" s="8"/>
    </row>
    <row r="1479">
      <c r="A1479" s="8"/>
      <c r="L1479" s="8"/>
      <c r="M1479" s="8"/>
      <c r="N1479" s="8"/>
    </row>
    <row r="1480">
      <c r="A1480" s="8"/>
      <c r="L1480" s="8"/>
      <c r="M1480" s="8"/>
      <c r="N1480" s="8"/>
    </row>
    <row r="1481">
      <c r="A1481" s="8"/>
      <c r="L1481" s="8"/>
      <c r="M1481" s="8"/>
      <c r="N1481" s="8"/>
    </row>
    <row r="1482">
      <c r="A1482" s="8"/>
      <c r="L1482" s="8"/>
      <c r="M1482" s="8"/>
      <c r="N1482" s="8"/>
    </row>
    <row r="1483">
      <c r="A1483" s="8"/>
      <c r="L1483" s="8"/>
      <c r="M1483" s="8"/>
      <c r="N1483" s="8"/>
    </row>
    <row r="1484">
      <c r="A1484" s="8"/>
      <c r="L1484" s="8"/>
      <c r="M1484" s="8"/>
      <c r="N1484" s="8"/>
    </row>
    <row r="1485">
      <c r="A1485" s="8"/>
      <c r="L1485" s="8"/>
      <c r="M1485" s="8"/>
      <c r="N1485" s="8"/>
    </row>
    <row r="1486">
      <c r="A1486" s="8"/>
      <c r="L1486" s="8"/>
      <c r="M1486" s="8"/>
      <c r="N1486" s="8"/>
    </row>
    <row r="1487">
      <c r="A1487" s="8"/>
      <c r="L1487" s="8"/>
      <c r="M1487" s="8"/>
      <c r="N1487" s="8"/>
    </row>
    <row r="1488">
      <c r="A1488" s="8"/>
      <c r="L1488" s="8"/>
      <c r="M1488" s="8"/>
      <c r="N1488" s="8"/>
    </row>
    <row r="1489">
      <c r="A1489" s="8"/>
      <c r="L1489" s="8"/>
      <c r="M1489" s="8"/>
      <c r="N1489" s="8"/>
    </row>
    <row r="1490">
      <c r="A1490" s="8"/>
      <c r="L1490" s="8"/>
      <c r="M1490" s="8"/>
      <c r="N1490" s="8"/>
    </row>
    <row r="1491">
      <c r="A1491" s="8"/>
      <c r="L1491" s="8"/>
      <c r="M1491" s="8"/>
      <c r="N1491" s="8"/>
    </row>
    <row r="1492">
      <c r="A1492" s="8"/>
      <c r="L1492" s="8"/>
      <c r="M1492" s="8"/>
      <c r="N1492" s="8"/>
    </row>
    <row r="1493">
      <c r="A1493" s="8"/>
      <c r="L1493" s="8"/>
      <c r="M1493" s="8"/>
      <c r="N1493" s="8"/>
    </row>
    <row r="1494">
      <c r="A1494" s="8"/>
      <c r="L1494" s="8"/>
      <c r="M1494" s="8"/>
      <c r="N1494" s="8"/>
    </row>
    <row r="1495">
      <c r="A1495" s="8"/>
      <c r="L1495" s="8"/>
      <c r="M1495" s="8"/>
      <c r="N1495" s="8"/>
    </row>
    <row r="1496">
      <c r="A1496" s="8"/>
      <c r="L1496" s="8"/>
      <c r="M1496" s="8"/>
      <c r="N1496" s="8"/>
    </row>
    <row r="1497">
      <c r="A1497" s="8"/>
      <c r="L1497" s="8"/>
      <c r="M1497" s="8"/>
      <c r="N1497" s="8"/>
    </row>
    <row r="1498">
      <c r="A1498" s="8"/>
      <c r="L1498" s="8"/>
      <c r="M1498" s="8"/>
      <c r="N1498" s="8"/>
    </row>
    <row r="1499">
      <c r="A1499" s="8"/>
      <c r="L1499" s="8"/>
      <c r="M1499" s="8"/>
      <c r="N1499" s="8"/>
    </row>
    <row r="1500">
      <c r="A1500" s="8"/>
      <c r="L1500" s="8"/>
      <c r="M1500" s="8"/>
      <c r="N1500" s="8"/>
    </row>
    <row r="1501">
      <c r="A1501" s="8"/>
      <c r="L1501" s="8"/>
      <c r="M1501" s="8"/>
      <c r="N1501" s="8"/>
    </row>
    <row r="1502">
      <c r="A1502" s="8"/>
      <c r="L1502" s="8"/>
      <c r="M1502" s="8"/>
      <c r="N1502" s="8"/>
    </row>
    <row r="1503">
      <c r="A1503" s="8"/>
      <c r="L1503" s="8"/>
      <c r="M1503" s="8"/>
      <c r="N1503" s="8"/>
    </row>
    <row r="1504">
      <c r="A1504" s="8"/>
      <c r="L1504" s="8"/>
      <c r="M1504" s="8"/>
      <c r="N1504" s="8"/>
    </row>
    <row r="1505">
      <c r="A1505" s="8"/>
      <c r="L1505" s="8"/>
      <c r="M1505" s="8"/>
      <c r="N1505" s="8"/>
    </row>
    <row r="1506">
      <c r="A1506" s="8"/>
      <c r="L1506" s="8"/>
      <c r="M1506" s="8"/>
      <c r="N1506" s="8"/>
    </row>
    <row r="1507">
      <c r="A1507" s="8"/>
      <c r="L1507" s="8"/>
      <c r="M1507" s="8"/>
      <c r="N1507" s="8"/>
    </row>
    <row r="1508">
      <c r="A1508" s="8"/>
      <c r="L1508" s="8"/>
      <c r="M1508" s="8"/>
      <c r="N1508" s="8"/>
    </row>
    <row r="1509">
      <c r="A1509" s="8"/>
      <c r="L1509" s="8"/>
      <c r="M1509" s="8"/>
      <c r="N1509" s="8"/>
    </row>
    <row r="1510">
      <c r="A1510" s="8"/>
      <c r="L1510" s="8"/>
      <c r="M1510" s="8"/>
      <c r="N1510" s="8"/>
    </row>
    <row r="1511">
      <c r="A1511" s="8"/>
      <c r="L1511" s="8"/>
      <c r="M1511" s="8"/>
      <c r="N1511" s="8"/>
    </row>
    <row r="1512">
      <c r="A1512" s="8"/>
      <c r="L1512" s="8"/>
      <c r="M1512" s="8"/>
      <c r="N1512" s="8"/>
    </row>
    <row r="1513">
      <c r="A1513" s="8"/>
      <c r="L1513" s="8"/>
      <c r="M1513" s="8"/>
      <c r="N1513" s="8"/>
    </row>
    <row r="1514">
      <c r="A1514" s="8"/>
      <c r="L1514" s="8"/>
      <c r="M1514" s="8"/>
      <c r="N1514" s="8"/>
    </row>
    <row r="1515">
      <c r="A1515" s="8"/>
      <c r="L1515" s="8"/>
      <c r="M1515" s="8"/>
      <c r="N1515" s="8"/>
    </row>
    <row r="1516">
      <c r="A1516" s="8"/>
      <c r="L1516" s="8"/>
      <c r="M1516" s="8"/>
      <c r="N1516" s="8"/>
    </row>
    <row r="1517">
      <c r="A1517" s="8"/>
      <c r="L1517" s="8"/>
      <c r="M1517" s="8"/>
      <c r="N1517" s="8"/>
    </row>
    <row r="1518">
      <c r="A1518" s="8"/>
      <c r="L1518" s="8"/>
      <c r="M1518" s="8"/>
      <c r="N1518" s="8"/>
    </row>
    <row r="1519">
      <c r="A1519" s="8"/>
      <c r="L1519" s="8"/>
      <c r="M1519" s="8"/>
      <c r="N1519" s="8"/>
    </row>
    <row r="1520">
      <c r="A1520" s="8"/>
      <c r="L1520" s="8"/>
      <c r="M1520" s="8"/>
      <c r="N1520" s="8"/>
    </row>
    <row r="1521">
      <c r="A1521" s="8"/>
      <c r="L1521" s="8"/>
      <c r="M1521" s="8"/>
      <c r="N1521" s="8"/>
    </row>
    <row r="1522">
      <c r="A1522" s="8"/>
      <c r="L1522" s="8"/>
      <c r="M1522" s="8"/>
      <c r="N1522" s="8"/>
    </row>
    <row r="1523">
      <c r="A1523" s="8"/>
      <c r="L1523" s="8"/>
      <c r="M1523" s="8"/>
      <c r="N1523" s="8"/>
    </row>
    <row r="1524">
      <c r="A1524" s="8"/>
      <c r="L1524" s="8"/>
      <c r="M1524" s="8"/>
      <c r="N1524" s="8"/>
    </row>
    <row r="1525">
      <c r="A1525" s="8"/>
      <c r="L1525" s="8"/>
      <c r="M1525" s="8"/>
      <c r="N1525" s="8"/>
    </row>
    <row r="1526">
      <c r="A1526" s="8"/>
      <c r="L1526" s="8"/>
      <c r="M1526" s="8"/>
      <c r="N1526" s="8"/>
    </row>
    <row r="1527">
      <c r="A1527" s="8"/>
      <c r="L1527" s="8"/>
      <c r="M1527" s="8"/>
      <c r="N1527" s="8"/>
    </row>
    <row r="1528">
      <c r="A1528" s="8"/>
      <c r="L1528" s="8"/>
      <c r="M1528" s="8"/>
      <c r="N1528" s="8"/>
    </row>
    <row r="1529">
      <c r="A1529" s="8"/>
      <c r="L1529" s="8"/>
      <c r="M1529" s="8"/>
      <c r="N1529" s="8"/>
    </row>
    <row r="1530">
      <c r="A1530" s="8"/>
      <c r="L1530" s="8"/>
      <c r="M1530" s="8"/>
      <c r="N1530" s="8"/>
    </row>
    <row r="1531">
      <c r="A1531" s="8"/>
      <c r="L1531" s="8"/>
      <c r="M1531" s="8"/>
      <c r="N1531" s="8"/>
    </row>
    <row r="1532">
      <c r="A1532" s="8"/>
      <c r="L1532" s="8"/>
      <c r="M1532" s="8"/>
      <c r="N1532" s="8"/>
    </row>
    <row r="1533">
      <c r="A1533" s="8"/>
      <c r="L1533" s="8"/>
      <c r="M1533" s="8"/>
      <c r="N1533" s="8"/>
    </row>
    <row r="1534">
      <c r="A1534" s="8"/>
      <c r="L1534" s="8"/>
      <c r="M1534" s="8"/>
      <c r="N1534" s="8"/>
    </row>
    <row r="1535">
      <c r="A1535" s="8"/>
      <c r="L1535" s="8"/>
      <c r="M1535" s="8"/>
      <c r="N1535" s="8"/>
    </row>
    <row r="1536">
      <c r="A1536" s="8"/>
      <c r="L1536" s="8"/>
      <c r="M1536" s="8"/>
      <c r="N1536" s="8"/>
    </row>
    <row r="1537">
      <c r="A1537" s="8"/>
      <c r="L1537" s="8"/>
      <c r="M1537" s="8"/>
      <c r="N1537" s="8"/>
    </row>
    <row r="1538">
      <c r="A1538" s="8"/>
      <c r="L1538" s="8"/>
      <c r="M1538" s="8"/>
      <c r="N1538" s="8"/>
    </row>
    <row r="1539">
      <c r="A1539" s="8"/>
      <c r="L1539" s="8"/>
      <c r="M1539" s="8"/>
      <c r="N1539" s="8"/>
    </row>
    <row r="1540">
      <c r="A1540" s="8"/>
      <c r="L1540" s="8"/>
      <c r="M1540" s="8"/>
      <c r="N1540" s="8"/>
    </row>
    <row r="1541">
      <c r="A1541" s="8"/>
      <c r="L1541" s="8"/>
      <c r="M1541" s="8"/>
      <c r="N1541" s="8"/>
    </row>
    <row r="1542">
      <c r="A1542" s="8"/>
      <c r="L1542" s="8"/>
      <c r="M1542" s="8"/>
      <c r="N1542" s="8"/>
    </row>
    <row r="1543">
      <c r="A1543" s="8"/>
      <c r="L1543" s="8"/>
      <c r="M1543" s="8"/>
      <c r="N1543" s="8"/>
    </row>
    <row r="1544">
      <c r="A1544" s="8"/>
      <c r="L1544" s="8"/>
      <c r="M1544" s="8"/>
      <c r="N1544" s="8"/>
    </row>
    <row r="1545">
      <c r="A1545" s="8"/>
      <c r="L1545" s="8"/>
      <c r="M1545" s="8"/>
      <c r="N1545" s="8"/>
    </row>
    <row r="1546">
      <c r="A1546" s="8"/>
      <c r="L1546" s="8"/>
      <c r="M1546" s="8"/>
      <c r="N1546" s="8"/>
    </row>
    <row r="1547">
      <c r="A1547" s="8"/>
      <c r="L1547" s="8"/>
      <c r="M1547" s="8"/>
      <c r="N1547" s="8"/>
    </row>
    <row r="1548">
      <c r="A1548" s="8"/>
      <c r="L1548" s="8"/>
      <c r="M1548" s="8"/>
      <c r="N1548" s="8"/>
    </row>
    <row r="1549">
      <c r="A1549" s="8"/>
      <c r="L1549" s="8"/>
      <c r="M1549" s="8"/>
      <c r="N1549" s="8"/>
    </row>
    <row r="1550">
      <c r="A1550" s="8"/>
      <c r="L1550" s="8"/>
      <c r="M1550" s="8"/>
      <c r="N1550" s="8"/>
    </row>
    <row r="1551">
      <c r="A1551" s="8"/>
      <c r="L1551" s="8"/>
      <c r="M1551" s="8"/>
      <c r="N1551" s="8"/>
    </row>
    <row r="1552">
      <c r="A1552" s="8"/>
      <c r="L1552" s="8"/>
      <c r="M1552" s="8"/>
      <c r="N1552" s="8"/>
    </row>
    <row r="1553">
      <c r="A1553" s="8"/>
      <c r="L1553" s="8"/>
      <c r="M1553" s="8"/>
      <c r="N1553" s="8"/>
    </row>
    <row r="1554">
      <c r="A1554" s="8"/>
      <c r="L1554" s="8"/>
      <c r="M1554" s="8"/>
      <c r="N1554" s="8"/>
    </row>
    <row r="1555">
      <c r="A1555" s="8"/>
      <c r="L1555" s="8"/>
      <c r="M1555" s="8"/>
      <c r="N1555" s="8"/>
    </row>
    <row r="1556">
      <c r="A1556" s="8"/>
      <c r="L1556" s="8"/>
      <c r="M1556" s="8"/>
      <c r="N1556" s="8"/>
    </row>
    <row r="1557">
      <c r="A1557" s="8"/>
      <c r="L1557" s="8"/>
      <c r="M1557" s="8"/>
      <c r="N1557" s="8"/>
    </row>
    <row r="1558">
      <c r="A1558" s="8"/>
      <c r="L1558" s="8"/>
      <c r="M1558" s="8"/>
      <c r="N1558" s="8"/>
    </row>
    <row r="1559">
      <c r="A1559" s="8"/>
      <c r="L1559" s="8"/>
      <c r="M1559" s="8"/>
      <c r="N1559" s="8"/>
    </row>
    <row r="1560">
      <c r="A1560" s="8"/>
      <c r="L1560" s="8"/>
      <c r="M1560" s="8"/>
      <c r="N1560" s="8"/>
    </row>
    <row r="1561">
      <c r="A1561" s="8"/>
      <c r="L1561" s="8"/>
      <c r="M1561" s="8"/>
      <c r="N1561" s="8"/>
    </row>
    <row r="1562">
      <c r="A1562" s="8"/>
      <c r="L1562" s="8"/>
      <c r="M1562" s="8"/>
      <c r="N1562" s="8"/>
    </row>
    <row r="1563">
      <c r="A1563" s="8"/>
      <c r="L1563" s="8"/>
      <c r="M1563" s="8"/>
      <c r="N1563" s="8"/>
    </row>
    <row r="1564">
      <c r="A1564" s="8"/>
      <c r="L1564" s="8"/>
      <c r="M1564" s="8"/>
      <c r="N1564" s="8"/>
    </row>
    <row r="1565">
      <c r="A1565" s="8"/>
      <c r="L1565" s="8"/>
      <c r="M1565" s="8"/>
      <c r="N1565" s="8"/>
    </row>
    <row r="1566">
      <c r="A1566" s="8"/>
      <c r="L1566" s="8"/>
      <c r="M1566" s="8"/>
      <c r="N1566" s="8"/>
    </row>
    <row r="1567">
      <c r="A1567" s="8"/>
      <c r="L1567" s="8"/>
      <c r="M1567" s="8"/>
      <c r="N1567" s="8"/>
    </row>
    <row r="1568">
      <c r="A1568" s="8"/>
      <c r="L1568" s="8"/>
      <c r="M1568" s="8"/>
      <c r="N1568" s="8"/>
    </row>
    <row r="1569">
      <c r="A1569" s="8"/>
      <c r="L1569" s="8"/>
      <c r="M1569" s="8"/>
      <c r="N1569" s="8"/>
    </row>
    <row r="1570">
      <c r="A1570" s="8"/>
      <c r="L1570" s="8"/>
      <c r="M1570" s="8"/>
      <c r="N1570" s="8"/>
    </row>
    <row r="1571">
      <c r="A1571" s="8"/>
      <c r="L1571" s="8"/>
      <c r="M1571" s="8"/>
      <c r="N1571" s="8"/>
    </row>
    <row r="1572">
      <c r="A1572" s="8"/>
      <c r="L1572" s="8"/>
      <c r="M1572" s="8"/>
      <c r="N1572" s="8"/>
    </row>
    <row r="1573">
      <c r="A1573" s="8"/>
      <c r="L1573" s="8"/>
      <c r="M1573" s="8"/>
      <c r="N1573" s="8"/>
    </row>
    <row r="1574">
      <c r="A1574" s="8"/>
      <c r="L1574" s="8"/>
      <c r="M1574" s="8"/>
      <c r="N1574" s="8"/>
    </row>
    <row r="1575">
      <c r="A1575" s="8"/>
      <c r="L1575" s="8"/>
      <c r="M1575" s="8"/>
      <c r="N1575" s="8"/>
    </row>
    <row r="1576">
      <c r="A1576" s="8"/>
      <c r="L1576" s="8"/>
      <c r="M1576" s="8"/>
      <c r="N1576" s="8"/>
    </row>
    <row r="1577">
      <c r="A1577" s="8"/>
      <c r="L1577" s="8"/>
      <c r="M1577" s="8"/>
      <c r="N1577" s="8"/>
    </row>
    <row r="1578">
      <c r="A1578" s="8"/>
      <c r="L1578" s="8"/>
      <c r="M1578" s="8"/>
      <c r="N1578" s="8"/>
    </row>
    <row r="1579">
      <c r="A1579" s="8"/>
      <c r="L1579" s="8"/>
      <c r="M1579" s="8"/>
      <c r="N1579" s="8"/>
    </row>
    <row r="1580">
      <c r="A1580" s="8"/>
      <c r="L1580" s="8"/>
      <c r="M1580" s="8"/>
      <c r="N1580" s="8"/>
    </row>
    <row r="1581">
      <c r="A1581" s="8"/>
      <c r="L1581" s="8"/>
      <c r="M1581" s="8"/>
      <c r="N1581" s="8"/>
    </row>
    <row r="1582">
      <c r="A1582" s="8"/>
      <c r="L1582" s="8"/>
      <c r="M1582" s="8"/>
      <c r="N1582" s="8"/>
    </row>
    <row r="1583">
      <c r="A1583" s="8"/>
      <c r="L1583" s="8"/>
      <c r="M1583" s="8"/>
      <c r="N1583" s="8"/>
    </row>
    <row r="1584">
      <c r="A1584" s="8"/>
      <c r="L1584" s="8"/>
      <c r="M1584" s="8"/>
      <c r="N1584" s="8"/>
    </row>
    <row r="1585">
      <c r="A1585" s="8"/>
      <c r="L1585" s="8"/>
      <c r="M1585" s="8"/>
      <c r="N1585" s="8"/>
    </row>
    <row r="1586">
      <c r="A1586" s="8"/>
      <c r="L1586" s="8"/>
      <c r="M1586" s="8"/>
      <c r="N1586" s="8"/>
    </row>
    <row r="1587">
      <c r="A1587" s="8"/>
      <c r="L1587" s="8"/>
      <c r="M1587" s="8"/>
      <c r="N1587" s="8"/>
    </row>
    <row r="1588">
      <c r="A1588" s="8"/>
      <c r="L1588" s="8"/>
      <c r="M1588" s="8"/>
      <c r="N1588" s="8"/>
    </row>
    <row r="1589">
      <c r="A1589" s="8"/>
      <c r="L1589" s="8"/>
      <c r="M1589" s="8"/>
      <c r="N1589" s="8"/>
    </row>
    <row r="1590">
      <c r="A1590" s="8"/>
      <c r="L1590" s="8"/>
      <c r="M1590" s="8"/>
      <c r="N1590" s="8"/>
    </row>
    <row r="1591">
      <c r="A1591" s="8"/>
      <c r="L1591" s="8"/>
      <c r="M1591" s="8"/>
      <c r="N1591" s="8"/>
    </row>
    <row r="1592">
      <c r="A1592" s="8"/>
      <c r="L1592" s="8"/>
      <c r="M1592" s="8"/>
      <c r="N1592" s="8"/>
    </row>
    <row r="1593">
      <c r="A1593" s="8"/>
      <c r="L1593" s="8"/>
      <c r="M1593" s="8"/>
      <c r="N1593" s="8"/>
    </row>
    <row r="1594">
      <c r="A1594" s="8"/>
      <c r="L1594" s="8"/>
      <c r="M1594" s="8"/>
      <c r="N1594" s="8"/>
    </row>
    <row r="1595">
      <c r="A1595" s="8"/>
      <c r="L1595" s="8"/>
      <c r="M1595" s="8"/>
      <c r="N1595" s="8"/>
    </row>
    <row r="1596">
      <c r="A1596" s="8"/>
      <c r="L1596" s="8"/>
      <c r="M1596" s="8"/>
      <c r="N1596" s="8"/>
    </row>
    <row r="1597">
      <c r="A1597" s="8"/>
      <c r="L1597" s="8"/>
      <c r="M1597" s="8"/>
      <c r="N1597" s="8"/>
    </row>
    <row r="1598">
      <c r="A1598" s="8"/>
      <c r="L1598" s="8"/>
      <c r="M1598" s="8"/>
      <c r="N1598" s="8"/>
    </row>
    <row r="1599">
      <c r="A1599" s="8"/>
      <c r="L1599" s="8"/>
      <c r="M1599" s="8"/>
      <c r="N1599" s="8"/>
    </row>
    <row r="1600">
      <c r="A1600" s="8"/>
      <c r="L1600" s="8"/>
      <c r="M1600" s="8"/>
      <c r="N1600" s="8"/>
    </row>
    <row r="1601">
      <c r="A1601" s="8"/>
      <c r="L1601" s="8"/>
      <c r="M1601" s="8"/>
      <c r="N1601" s="8"/>
    </row>
    <row r="1602">
      <c r="A1602" s="8"/>
      <c r="L1602" s="8"/>
      <c r="M1602" s="8"/>
      <c r="N1602" s="8"/>
    </row>
    <row r="1603">
      <c r="A1603" s="8"/>
      <c r="L1603" s="8"/>
      <c r="M1603" s="8"/>
      <c r="N1603" s="8"/>
    </row>
    <row r="1604">
      <c r="A1604" s="8"/>
      <c r="L1604" s="8"/>
      <c r="M1604" s="8"/>
      <c r="N1604" s="8"/>
    </row>
    <row r="1605">
      <c r="A1605" s="8"/>
      <c r="L1605" s="8"/>
      <c r="M1605" s="8"/>
      <c r="N1605" s="8"/>
    </row>
    <row r="1606">
      <c r="A1606" s="8"/>
      <c r="L1606" s="8"/>
      <c r="M1606" s="8"/>
      <c r="N1606" s="8"/>
    </row>
    <row r="1607">
      <c r="A1607" s="8"/>
      <c r="L1607" s="8"/>
      <c r="M1607" s="8"/>
      <c r="N1607" s="8"/>
    </row>
    <row r="1608">
      <c r="A1608" s="8"/>
      <c r="L1608" s="8"/>
      <c r="M1608" s="8"/>
      <c r="N1608" s="8"/>
    </row>
    <row r="1609">
      <c r="A1609" s="8"/>
      <c r="L1609" s="8"/>
      <c r="M1609" s="8"/>
      <c r="N1609" s="8"/>
    </row>
    <row r="1610">
      <c r="A1610" s="8"/>
      <c r="L1610" s="8"/>
      <c r="M1610" s="8"/>
      <c r="N1610" s="8"/>
    </row>
    <row r="1611">
      <c r="A1611" s="8"/>
      <c r="L1611" s="8"/>
      <c r="M1611" s="8"/>
      <c r="N1611" s="8"/>
    </row>
    <row r="1612">
      <c r="A1612" s="8"/>
      <c r="L1612" s="8"/>
      <c r="M1612" s="8"/>
      <c r="N1612" s="8"/>
    </row>
    <row r="1613">
      <c r="A1613" s="8"/>
      <c r="L1613" s="8"/>
      <c r="M1613" s="8"/>
      <c r="N1613" s="8"/>
    </row>
    <row r="1614">
      <c r="A1614" s="8"/>
      <c r="L1614" s="8"/>
      <c r="M1614" s="8"/>
      <c r="N1614" s="8"/>
    </row>
    <row r="1615">
      <c r="A1615" s="8"/>
      <c r="L1615" s="8"/>
      <c r="M1615" s="8"/>
      <c r="N1615" s="8"/>
    </row>
    <row r="1616">
      <c r="A1616" s="8"/>
      <c r="L1616" s="8"/>
      <c r="M1616" s="8"/>
      <c r="N1616" s="8"/>
    </row>
    <row r="1617">
      <c r="A1617" s="8"/>
      <c r="L1617" s="8"/>
      <c r="M1617" s="8"/>
      <c r="N1617" s="8"/>
    </row>
    <row r="1618">
      <c r="A1618" s="8"/>
      <c r="L1618" s="8"/>
      <c r="M1618" s="8"/>
      <c r="N1618" s="8"/>
    </row>
    <row r="1619">
      <c r="A1619" s="8"/>
      <c r="L1619" s="8"/>
      <c r="M1619" s="8"/>
      <c r="N1619" s="8"/>
    </row>
    <row r="1620">
      <c r="A1620" s="8"/>
      <c r="L1620" s="8"/>
      <c r="M1620" s="8"/>
      <c r="N1620" s="8"/>
    </row>
    <row r="1621">
      <c r="A1621" s="8"/>
      <c r="L1621" s="8"/>
      <c r="M1621" s="8"/>
      <c r="N1621" s="8"/>
    </row>
    <row r="1622">
      <c r="A1622" s="8"/>
      <c r="L1622" s="8"/>
      <c r="M1622" s="8"/>
      <c r="N1622" s="8"/>
    </row>
    <row r="1623">
      <c r="A1623" s="8"/>
      <c r="L1623" s="8"/>
      <c r="M1623" s="8"/>
      <c r="N1623" s="8"/>
    </row>
    <row r="1624">
      <c r="A1624" s="8"/>
      <c r="L1624" s="8"/>
      <c r="M1624" s="8"/>
      <c r="N1624" s="8"/>
    </row>
    <row r="1625">
      <c r="A1625" s="8"/>
      <c r="L1625" s="8"/>
      <c r="M1625" s="8"/>
      <c r="N1625" s="8"/>
    </row>
    <row r="1626">
      <c r="A1626" s="8"/>
      <c r="L1626" s="8"/>
      <c r="M1626" s="8"/>
      <c r="N1626" s="8"/>
    </row>
    <row r="1627">
      <c r="A1627" s="8"/>
      <c r="L1627" s="8"/>
      <c r="M1627" s="8"/>
      <c r="N1627" s="8"/>
    </row>
    <row r="1628">
      <c r="A1628" s="8"/>
      <c r="L1628" s="8"/>
      <c r="M1628" s="8"/>
      <c r="N1628" s="8"/>
    </row>
    <row r="1629">
      <c r="A1629" s="8"/>
      <c r="L1629" s="8"/>
      <c r="M1629" s="8"/>
      <c r="N1629" s="8"/>
    </row>
    <row r="1630">
      <c r="A1630" s="8"/>
      <c r="L1630" s="8"/>
      <c r="M1630" s="8"/>
      <c r="N1630" s="8"/>
    </row>
    <row r="1631">
      <c r="A1631" s="8"/>
      <c r="L1631" s="8"/>
      <c r="M1631" s="8"/>
      <c r="N1631" s="8"/>
    </row>
    <row r="1632">
      <c r="A1632" s="8"/>
      <c r="L1632" s="8"/>
      <c r="M1632" s="8"/>
      <c r="N1632" s="8"/>
    </row>
    <row r="1633">
      <c r="A1633" s="8"/>
      <c r="L1633" s="8"/>
      <c r="M1633" s="8"/>
      <c r="N1633" s="8"/>
    </row>
    <row r="1634">
      <c r="A1634" s="8"/>
      <c r="L1634" s="8"/>
      <c r="M1634" s="8"/>
      <c r="N1634" s="8"/>
    </row>
    <row r="1635">
      <c r="A1635" s="8"/>
      <c r="L1635" s="8"/>
      <c r="M1635" s="8"/>
      <c r="N1635" s="8"/>
    </row>
    <row r="1636">
      <c r="A1636" s="8"/>
      <c r="L1636" s="8"/>
      <c r="M1636" s="8"/>
      <c r="N1636" s="8"/>
    </row>
    <row r="1637">
      <c r="A1637" s="8"/>
      <c r="L1637" s="8"/>
      <c r="M1637" s="8"/>
      <c r="N1637" s="8"/>
    </row>
    <row r="1638">
      <c r="A1638" s="8"/>
      <c r="L1638" s="8"/>
      <c r="M1638" s="8"/>
      <c r="N1638" s="8"/>
    </row>
    <row r="1639">
      <c r="A1639" s="8"/>
      <c r="L1639" s="8"/>
      <c r="M1639" s="8"/>
      <c r="N1639" s="8"/>
    </row>
    <row r="1640">
      <c r="A1640" s="8"/>
      <c r="L1640" s="8"/>
      <c r="M1640" s="8"/>
      <c r="N1640" s="8"/>
    </row>
    <row r="1641">
      <c r="A1641" s="8"/>
      <c r="L1641" s="8"/>
      <c r="M1641" s="8"/>
      <c r="N1641" s="8"/>
    </row>
    <row r="1642">
      <c r="A1642" s="8"/>
      <c r="L1642" s="8"/>
      <c r="M1642" s="8"/>
      <c r="N1642" s="8"/>
    </row>
    <row r="1643">
      <c r="A1643" s="8"/>
      <c r="L1643" s="8"/>
      <c r="M1643" s="8"/>
      <c r="N1643" s="8"/>
    </row>
    <row r="1644">
      <c r="A1644" s="8"/>
      <c r="L1644" s="8"/>
      <c r="M1644" s="8"/>
      <c r="N1644" s="8"/>
    </row>
    <row r="1645">
      <c r="A1645" s="8"/>
      <c r="L1645" s="8"/>
      <c r="M1645" s="8"/>
      <c r="N1645" s="8"/>
    </row>
    <row r="1646">
      <c r="A1646" s="8"/>
      <c r="L1646" s="8"/>
      <c r="M1646" s="8"/>
      <c r="N1646" s="8"/>
    </row>
    <row r="1647">
      <c r="A1647" s="8"/>
      <c r="L1647" s="8"/>
      <c r="M1647" s="8"/>
      <c r="N1647" s="8"/>
    </row>
    <row r="1648">
      <c r="A1648" s="8"/>
      <c r="L1648" s="8"/>
      <c r="M1648" s="8"/>
      <c r="N1648" s="8"/>
    </row>
    <row r="1649">
      <c r="A1649" s="8"/>
      <c r="L1649" s="8"/>
      <c r="M1649" s="8"/>
      <c r="N1649" s="8"/>
    </row>
    <row r="1650">
      <c r="A1650" s="8"/>
      <c r="L1650" s="8"/>
      <c r="M1650" s="8"/>
      <c r="N1650" s="8"/>
    </row>
    <row r="1651">
      <c r="A1651" s="8"/>
      <c r="L1651" s="8"/>
      <c r="M1651" s="8"/>
      <c r="N1651" s="8"/>
    </row>
    <row r="1652">
      <c r="A1652" s="8"/>
      <c r="L1652" s="8"/>
      <c r="M1652" s="8"/>
      <c r="N1652" s="8"/>
    </row>
    <row r="1653">
      <c r="A1653" s="8"/>
      <c r="L1653" s="8"/>
      <c r="M1653" s="8"/>
      <c r="N1653" s="8"/>
    </row>
    <row r="1654">
      <c r="A1654" s="8"/>
      <c r="L1654" s="8"/>
      <c r="M1654" s="8"/>
      <c r="N1654" s="8"/>
    </row>
    <row r="1655">
      <c r="A1655" s="8"/>
      <c r="L1655" s="8"/>
      <c r="M1655" s="8"/>
      <c r="N1655" s="8"/>
    </row>
    <row r="1656">
      <c r="A1656" s="8"/>
      <c r="L1656" s="8"/>
      <c r="M1656" s="8"/>
      <c r="N1656" s="8"/>
    </row>
    <row r="1657">
      <c r="A1657" s="8"/>
      <c r="L1657" s="8"/>
      <c r="M1657" s="8"/>
      <c r="N1657" s="8"/>
    </row>
    <row r="1658">
      <c r="A1658" s="8"/>
      <c r="L1658" s="8"/>
      <c r="M1658" s="8"/>
      <c r="N1658" s="8"/>
    </row>
    <row r="1659">
      <c r="A1659" s="8"/>
      <c r="L1659" s="8"/>
      <c r="M1659" s="8"/>
      <c r="N1659" s="8"/>
    </row>
    <row r="1660">
      <c r="A1660" s="8"/>
      <c r="L1660" s="8"/>
      <c r="M1660" s="8"/>
      <c r="N1660" s="8"/>
    </row>
    <row r="1661">
      <c r="A1661" s="8"/>
      <c r="L1661" s="8"/>
      <c r="M1661" s="8"/>
      <c r="N1661" s="8"/>
    </row>
    <row r="1662">
      <c r="A1662" s="8"/>
      <c r="L1662" s="8"/>
      <c r="M1662" s="8"/>
      <c r="N1662" s="8"/>
    </row>
    <row r="1663">
      <c r="A1663" s="8"/>
      <c r="L1663" s="8"/>
      <c r="M1663" s="8"/>
      <c r="N1663" s="8"/>
    </row>
    <row r="1664">
      <c r="A1664" s="8"/>
      <c r="L1664" s="8"/>
      <c r="M1664" s="8"/>
      <c r="N1664" s="8"/>
    </row>
    <row r="1665">
      <c r="A1665" s="8"/>
      <c r="L1665" s="8"/>
      <c r="M1665" s="8"/>
      <c r="N1665" s="8"/>
    </row>
    <row r="1666">
      <c r="A1666" s="8"/>
      <c r="L1666" s="8"/>
      <c r="M1666" s="8"/>
      <c r="N1666" s="8"/>
    </row>
    <row r="1667">
      <c r="A1667" s="8"/>
      <c r="L1667" s="8"/>
      <c r="M1667" s="8"/>
      <c r="N1667" s="8"/>
    </row>
    <row r="1668">
      <c r="A1668" s="8"/>
      <c r="L1668" s="8"/>
      <c r="M1668" s="8"/>
      <c r="N1668" s="8"/>
    </row>
    <row r="1669">
      <c r="A1669" s="8"/>
      <c r="L1669" s="8"/>
      <c r="M1669" s="8"/>
      <c r="N1669" s="8"/>
    </row>
    <row r="1670">
      <c r="A1670" s="8"/>
      <c r="L1670" s="8"/>
      <c r="M1670" s="8"/>
      <c r="N1670" s="8"/>
    </row>
    <row r="1671">
      <c r="A1671" s="8"/>
      <c r="L1671" s="8"/>
      <c r="M1671" s="8"/>
      <c r="N1671" s="8"/>
    </row>
    <row r="1672">
      <c r="A1672" s="8"/>
      <c r="L1672" s="8"/>
      <c r="M1672" s="8"/>
      <c r="N1672" s="8"/>
    </row>
    <row r="1673">
      <c r="A1673" s="8"/>
      <c r="L1673" s="8"/>
      <c r="M1673" s="8"/>
      <c r="N1673" s="8"/>
    </row>
    <row r="1674">
      <c r="A1674" s="8"/>
      <c r="L1674" s="8"/>
      <c r="M1674" s="8"/>
      <c r="N1674" s="8"/>
    </row>
    <row r="1675">
      <c r="A1675" s="8"/>
      <c r="L1675" s="8"/>
      <c r="M1675" s="8"/>
      <c r="N1675" s="8"/>
    </row>
    <row r="1676">
      <c r="A1676" s="8"/>
      <c r="L1676" s="8"/>
      <c r="M1676" s="8"/>
      <c r="N1676" s="8"/>
    </row>
    <row r="1677">
      <c r="A1677" s="8"/>
      <c r="L1677" s="8"/>
      <c r="M1677" s="8"/>
      <c r="N1677" s="8"/>
    </row>
    <row r="1678">
      <c r="A1678" s="8"/>
      <c r="L1678" s="8"/>
      <c r="M1678" s="8"/>
      <c r="N1678" s="8"/>
    </row>
    <row r="1679">
      <c r="A1679" s="8"/>
      <c r="L1679" s="8"/>
      <c r="M1679" s="8"/>
      <c r="N1679" s="8"/>
    </row>
    <row r="1680">
      <c r="A1680" s="8"/>
      <c r="L1680" s="8"/>
      <c r="M1680" s="8"/>
      <c r="N1680" s="8"/>
    </row>
    <row r="1681">
      <c r="A1681" s="8"/>
      <c r="L1681" s="8"/>
      <c r="M1681" s="8"/>
      <c r="N1681" s="8"/>
    </row>
    <row r="1682">
      <c r="A1682" s="8"/>
      <c r="L1682" s="8"/>
      <c r="M1682" s="8"/>
      <c r="N1682" s="8"/>
    </row>
    <row r="1683">
      <c r="A1683" s="8"/>
      <c r="L1683" s="8"/>
      <c r="M1683" s="8"/>
      <c r="N1683" s="8"/>
    </row>
    <row r="1684">
      <c r="A1684" s="8"/>
      <c r="L1684" s="8"/>
      <c r="M1684" s="8"/>
      <c r="N1684" s="8"/>
    </row>
    <row r="1685">
      <c r="A1685" s="8"/>
      <c r="L1685" s="8"/>
      <c r="M1685" s="8"/>
      <c r="N1685" s="8"/>
    </row>
    <row r="1686">
      <c r="A1686" s="8"/>
      <c r="L1686" s="8"/>
      <c r="M1686" s="8"/>
      <c r="N1686" s="8"/>
    </row>
    <row r="1687">
      <c r="A1687" s="8"/>
      <c r="L1687" s="8"/>
      <c r="M1687" s="8"/>
      <c r="N1687" s="8"/>
    </row>
    <row r="1688">
      <c r="A1688" s="8"/>
      <c r="L1688" s="8"/>
      <c r="M1688" s="8"/>
      <c r="N1688" s="8"/>
    </row>
    <row r="1689">
      <c r="A1689" s="8"/>
      <c r="L1689" s="8"/>
      <c r="M1689" s="8"/>
      <c r="N1689" s="8"/>
    </row>
    <row r="1690">
      <c r="A1690" s="8"/>
      <c r="L1690" s="8"/>
      <c r="M1690" s="8"/>
      <c r="N1690" s="8"/>
    </row>
    <row r="1691">
      <c r="A1691" s="8"/>
      <c r="L1691" s="8"/>
      <c r="M1691" s="8"/>
      <c r="N1691" s="8"/>
    </row>
    <row r="1692">
      <c r="A1692" s="8"/>
      <c r="L1692" s="8"/>
      <c r="M1692" s="8"/>
      <c r="N1692" s="8"/>
    </row>
    <row r="1693">
      <c r="A1693" s="8"/>
      <c r="L1693" s="8"/>
      <c r="M1693" s="8"/>
      <c r="N1693" s="8"/>
    </row>
    <row r="1694">
      <c r="A1694" s="8"/>
      <c r="L1694" s="8"/>
      <c r="M1694" s="8"/>
      <c r="N1694" s="8"/>
    </row>
    <row r="1695">
      <c r="A1695" s="8"/>
      <c r="L1695" s="8"/>
      <c r="M1695" s="8"/>
      <c r="N1695" s="8"/>
    </row>
    <row r="1696">
      <c r="A1696" s="8"/>
      <c r="L1696" s="8"/>
      <c r="M1696" s="8"/>
      <c r="N1696" s="8"/>
    </row>
    <row r="1697">
      <c r="A1697" s="8"/>
      <c r="L1697" s="8"/>
      <c r="M1697" s="8"/>
      <c r="N1697" s="8"/>
    </row>
    <row r="1698">
      <c r="A1698" s="8"/>
      <c r="L1698" s="8"/>
      <c r="M1698" s="8"/>
      <c r="N1698" s="8"/>
    </row>
    <row r="1699">
      <c r="A1699" s="8"/>
      <c r="L1699" s="8"/>
      <c r="M1699" s="8"/>
      <c r="N1699" s="8"/>
    </row>
    <row r="1700">
      <c r="A1700" s="8"/>
      <c r="L1700" s="8"/>
      <c r="M1700" s="8"/>
      <c r="N1700" s="8"/>
    </row>
    <row r="1701">
      <c r="A1701" s="8"/>
      <c r="L1701" s="8"/>
      <c r="M1701" s="8"/>
      <c r="N1701" s="8"/>
    </row>
    <row r="1702">
      <c r="A1702" s="8"/>
      <c r="L1702" s="8"/>
      <c r="M1702" s="8"/>
      <c r="N1702" s="8"/>
    </row>
    <row r="1703">
      <c r="A1703" s="8"/>
      <c r="L1703" s="8"/>
      <c r="M1703" s="8"/>
      <c r="N1703" s="8"/>
    </row>
    <row r="1704">
      <c r="A1704" s="8"/>
      <c r="L1704" s="8"/>
      <c r="M1704" s="8"/>
      <c r="N1704" s="8"/>
    </row>
    <row r="1705">
      <c r="A1705" s="8"/>
      <c r="L1705" s="8"/>
      <c r="M1705" s="8"/>
      <c r="N1705" s="8"/>
    </row>
    <row r="1706">
      <c r="A1706" s="8"/>
      <c r="L1706" s="8"/>
      <c r="M1706" s="8"/>
      <c r="N1706" s="8"/>
    </row>
    <row r="1707">
      <c r="A1707" s="8"/>
      <c r="L1707" s="8"/>
      <c r="M1707" s="8"/>
      <c r="N1707" s="8"/>
    </row>
    <row r="1708">
      <c r="A1708" s="8"/>
      <c r="L1708" s="8"/>
      <c r="M1708" s="8"/>
      <c r="N1708" s="8"/>
    </row>
    <row r="1709">
      <c r="A1709" s="8"/>
      <c r="L1709" s="8"/>
      <c r="M1709" s="8"/>
      <c r="N1709" s="8"/>
    </row>
    <row r="1710">
      <c r="A1710" s="8"/>
      <c r="L1710" s="8"/>
      <c r="M1710" s="8"/>
      <c r="N1710" s="8"/>
    </row>
    <row r="1711">
      <c r="A1711" s="8"/>
      <c r="L1711" s="8"/>
      <c r="M1711" s="8"/>
      <c r="N1711" s="8"/>
    </row>
    <row r="1712">
      <c r="A1712" s="8"/>
      <c r="L1712" s="8"/>
      <c r="M1712" s="8"/>
      <c r="N1712" s="8"/>
    </row>
    <row r="1713">
      <c r="A1713" s="8"/>
      <c r="L1713" s="8"/>
      <c r="M1713" s="8"/>
      <c r="N1713" s="8"/>
    </row>
    <row r="1714">
      <c r="A1714" s="8"/>
      <c r="L1714" s="8"/>
      <c r="M1714" s="8"/>
      <c r="N1714" s="8"/>
    </row>
    <row r="1715">
      <c r="A1715" s="8"/>
      <c r="L1715" s="8"/>
      <c r="M1715" s="8"/>
      <c r="N1715" s="8"/>
    </row>
    <row r="1716">
      <c r="A1716" s="8"/>
      <c r="L1716" s="8"/>
      <c r="M1716" s="8"/>
      <c r="N1716" s="8"/>
    </row>
    <row r="1717">
      <c r="A1717" s="8"/>
      <c r="L1717" s="8"/>
      <c r="M1717" s="8"/>
      <c r="N1717" s="8"/>
    </row>
    <row r="1718">
      <c r="A1718" s="8"/>
      <c r="L1718" s="8"/>
      <c r="M1718" s="8"/>
      <c r="N1718" s="8"/>
    </row>
    <row r="1719">
      <c r="A1719" s="8"/>
      <c r="L1719" s="8"/>
      <c r="M1719" s="8"/>
      <c r="N1719" s="8"/>
    </row>
    <row r="1720">
      <c r="A1720" s="8"/>
      <c r="L1720" s="8"/>
      <c r="M1720" s="8"/>
      <c r="N1720" s="8"/>
    </row>
    <row r="1721">
      <c r="A1721" s="8"/>
      <c r="L1721" s="8"/>
      <c r="M1721" s="8"/>
      <c r="N1721" s="8"/>
    </row>
    <row r="1722">
      <c r="A1722" s="8"/>
      <c r="L1722" s="8"/>
      <c r="M1722" s="8"/>
      <c r="N1722" s="8"/>
    </row>
    <row r="1723">
      <c r="A1723" s="8"/>
      <c r="L1723" s="8"/>
      <c r="M1723" s="8"/>
      <c r="N1723" s="8"/>
    </row>
    <row r="1724">
      <c r="A1724" s="8"/>
      <c r="L1724" s="8"/>
      <c r="M1724" s="8"/>
      <c r="N1724" s="8"/>
    </row>
    <row r="1725">
      <c r="A1725" s="8"/>
      <c r="L1725" s="8"/>
      <c r="M1725" s="8"/>
      <c r="N1725" s="8"/>
    </row>
    <row r="1726">
      <c r="A1726" s="8"/>
      <c r="L1726" s="8"/>
      <c r="M1726" s="8"/>
      <c r="N1726" s="8"/>
    </row>
    <row r="1727">
      <c r="A1727" s="8"/>
      <c r="L1727" s="8"/>
      <c r="M1727" s="8"/>
      <c r="N1727" s="8"/>
    </row>
    <row r="1728">
      <c r="A1728" s="8"/>
      <c r="L1728" s="8"/>
      <c r="M1728" s="8"/>
      <c r="N1728" s="8"/>
    </row>
    <row r="1729">
      <c r="A1729" s="8"/>
      <c r="L1729" s="8"/>
      <c r="M1729" s="8"/>
      <c r="N1729" s="8"/>
    </row>
    <row r="1730">
      <c r="A1730" s="8"/>
      <c r="L1730" s="8"/>
      <c r="M1730" s="8"/>
      <c r="N1730" s="8"/>
    </row>
    <row r="1731">
      <c r="A1731" s="8"/>
      <c r="L1731" s="8"/>
      <c r="M1731" s="8"/>
      <c r="N1731" s="8"/>
    </row>
    <row r="1732">
      <c r="A1732" s="8"/>
      <c r="L1732" s="8"/>
      <c r="M1732" s="8"/>
      <c r="N1732" s="8"/>
    </row>
    <row r="1733">
      <c r="A1733" s="8"/>
      <c r="L1733" s="8"/>
      <c r="M1733" s="8"/>
      <c r="N1733" s="8"/>
    </row>
    <row r="1734">
      <c r="A1734" s="8"/>
      <c r="L1734" s="8"/>
      <c r="M1734" s="8"/>
      <c r="N1734" s="8"/>
    </row>
    <row r="1735">
      <c r="A1735" s="8"/>
      <c r="L1735" s="8"/>
      <c r="M1735" s="8"/>
      <c r="N1735" s="8"/>
    </row>
    <row r="1736">
      <c r="A1736" s="8"/>
      <c r="L1736" s="8"/>
      <c r="M1736" s="8"/>
      <c r="N1736" s="8"/>
    </row>
    <row r="1737">
      <c r="A1737" s="8"/>
      <c r="L1737" s="8"/>
      <c r="M1737" s="8"/>
      <c r="N1737" s="8"/>
    </row>
    <row r="1738">
      <c r="A1738" s="8"/>
      <c r="L1738" s="8"/>
      <c r="M1738" s="8"/>
      <c r="N1738" s="8"/>
    </row>
    <row r="1739">
      <c r="A1739" s="8"/>
      <c r="L1739" s="8"/>
      <c r="M1739" s="8"/>
      <c r="N1739" s="8"/>
    </row>
    <row r="1740">
      <c r="A1740" s="8"/>
      <c r="L1740" s="8"/>
      <c r="M1740" s="8"/>
      <c r="N1740" s="8"/>
    </row>
    <row r="1741">
      <c r="A1741" s="8"/>
      <c r="L1741" s="8"/>
      <c r="M1741" s="8"/>
      <c r="N1741" s="8"/>
    </row>
    <row r="1742">
      <c r="A1742" s="8"/>
      <c r="L1742" s="8"/>
      <c r="M1742" s="8"/>
      <c r="N1742" s="8"/>
    </row>
    <row r="1743">
      <c r="A1743" s="8"/>
      <c r="L1743" s="8"/>
      <c r="M1743" s="8"/>
      <c r="N1743" s="8"/>
    </row>
    <row r="1744">
      <c r="A1744" s="8"/>
      <c r="L1744" s="8"/>
      <c r="M1744" s="8"/>
      <c r="N1744" s="8"/>
    </row>
    <row r="1745">
      <c r="A1745" s="8"/>
      <c r="L1745" s="8"/>
      <c r="M1745" s="8"/>
      <c r="N1745" s="8"/>
    </row>
    <row r="1746">
      <c r="A1746" s="8"/>
      <c r="L1746" s="8"/>
      <c r="M1746" s="8"/>
      <c r="N1746" s="8"/>
    </row>
    <row r="1747">
      <c r="A1747" s="8"/>
      <c r="L1747" s="8"/>
      <c r="M1747" s="8"/>
      <c r="N1747" s="8"/>
    </row>
    <row r="1748">
      <c r="A1748" s="8"/>
      <c r="L1748" s="8"/>
      <c r="M1748" s="8"/>
      <c r="N1748" s="8"/>
    </row>
    <row r="1749">
      <c r="A1749" s="8"/>
      <c r="L1749" s="8"/>
      <c r="M1749" s="8"/>
      <c r="N1749" s="8"/>
    </row>
    <row r="1750">
      <c r="A1750" s="8"/>
      <c r="L1750" s="8"/>
      <c r="M1750" s="8"/>
      <c r="N1750" s="8"/>
    </row>
    <row r="1751">
      <c r="A1751" s="8"/>
      <c r="L1751" s="8"/>
      <c r="M1751" s="8"/>
      <c r="N1751" s="8"/>
    </row>
    <row r="1752">
      <c r="A1752" s="8"/>
      <c r="L1752" s="8"/>
      <c r="M1752" s="8"/>
      <c r="N1752" s="8"/>
    </row>
    <row r="1753">
      <c r="A1753" s="8"/>
      <c r="L1753" s="8"/>
      <c r="M1753" s="8"/>
      <c r="N1753" s="8"/>
    </row>
    <row r="1754">
      <c r="A1754" s="8"/>
      <c r="L1754" s="8"/>
      <c r="M1754" s="8"/>
      <c r="N1754" s="8"/>
    </row>
    <row r="1755">
      <c r="A1755" s="8"/>
      <c r="L1755" s="8"/>
      <c r="M1755" s="8"/>
      <c r="N1755" s="8"/>
    </row>
    <row r="1756">
      <c r="A1756" s="8"/>
      <c r="L1756" s="8"/>
      <c r="M1756" s="8"/>
      <c r="N1756" s="8"/>
    </row>
    <row r="1757">
      <c r="A1757" s="8"/>
      <c r="L1757" s="8"/>
      <c r="M1757" s="8"/>
      <c r="N1757" s="8"/>
    </row>
    <row r="1758">
      <c r="A1758" s="8"/>
      <c r="L1758" s="8"/>
      <c r="M1758" s="8"/>
      <c r="N1758" s="8"/>
    </row>
    <row r="1759">
      <c r="A1759" s="8"/>
      <c r="L1759" s="8"/>
      <c r="M1759" s="8"/>
      <c r="N1759" s="8"/>
    </row>
    <row r="1760">
      <c r="A1760" s="8"/>
      <c r="L1760" s="8"/>
      <c r="M1760" s="8"/>
      <c r="N1760" s="8"/>
    </row>
    <row r="1761">
      <c r="A1761" s="8"/>
      <c r="L1761" s="8"/>
      <c r="M1761" s="8"/>
      <c r="N1761" s="8"/>
    </row>
    <row r="1762">
      <c r="A1762" s="8"/>
      <c r="L1762" s="8"/>
      <c r="M1762" s="8"/>
      <c r="N1762" s="8"/>
    </row>
    <row r="1763">
      <c r="A1763" s="8"/>
      <c r="L1763" s="8"/>
      <c r="M1763" s="8"/>
      <c r="N1763" s="8"/>
    </row>
    <row r="1764">
      <c r="A1764" s="8"/>
      <c r="L1764" s="8"/>
      <c r="M1764" s="8"/>
      <c r="N1764" s="8"/>
    </row>
    <row r="1765">
      <c r="A1765" s="8"/>
      <c r="L1765" s="8"/>
      <c r="M1765" s="8"/>
      <c r="N1765" s="8"/>
    </row>
    <row r="1766">
      <c r="A1766" s="8"/>
      <c r="L1766" s="8"/>
      <c r="M1766" s="8"/>
      <c r="N1766" s="8"/>
    </row>
    <row r="1767">
      <c r="A1767" s="8"/>
      <c r="L1767" s="8"/>
      <c r="M1767" s="8"/>
      <c r="N1767" s="8"/>
    </row>
    <row r="1768">
      <c r="A1768" s="8"/>
      <c r="L1768" s="8"/>
      <c r="M1768" s="8"/>
      <c r="N1768" s="8"/>
    </row>
    <row r="1769">
      <c r="A1769" s="8"/>
      <c r="L1769" s="8"/>
      <c r="M1769" s="8"/>
      <c r="N1769" s="8"/>
    </row>
    <row r="1770">
      <c r="A1770" s="8"/>
      <c r="L1770" s="8"/>
      <c r="M1770" s="8"/>
      <c r="N1770" s="8"/>
    </row>
    <row r="1771">
      <c r="A1771" s="8"/>
      <c r="L1771" s="8"/>
      <c r="M1771" s="8"/>
      <c r="N1771" s="8"/>
    </row>
    <row r="1772">
      <c r="A1772" s="8"/>
      <c r="L1772" s="8"/>
      <c r="M1772" s="8"/>
      <c r="N1772" s="8"/>
    </row>
    <row r="1773">
      <c r="A1773" s="8"/>
      <c r="L1773" s="8"/>
      <c r="M1773" s="8"/>
      <c r="N1773" s="8"/>
    </row>
    <row r="1774">
      <c r="A1774" s="8"/>
      <c r="L1774" s="8"/>
      <c r="M1774" s="8"/>
      <c r="N1774" s="8"/>
    </row>
    <row r="1775">
      <c r="A1775" s="8"/>
      <c r="L1775" s="8"/>
      <c r="M1775" s="8"/>
      <c r="N1775" s="8"/>
    </row>
    <row r="1776">
      <c r="A1776" s="8"/>
      <c r="L1776" s="8"/>
      <c r="M1776" s="8"/>
      <c r="N1776" s="8"/>
    </row>
    <row r="1777">
      <c r="A1777" s="8"/>
      <c r="L1777" s="8"/>
      <c r="M1777" s="8"/>
      <c r="N1777" s="8"/>
    </row>
    <row r="1778">
      <c r="A1778" s="8"/>
      <c r="L1778" s="8"/>
      <c r="M1778" s="8"/>
      <c r="N1778" s="8"/>
    </row>
    <row r="1779">
      <c r="A1779" s="8"/>
      <c r="L1779" s="8"/>
      <c r="M1779" s="8"/>
      <c r="N1779" s="8"/>
    </row>
    <row r="1780">
      <c r="A1780" s="8"/>
      <c r="L1780" s="8"/>
      <c r="M1780" s="8"/>
      <c r="N1780" s="8"/>
    </row>
    <row r="1781">
      <c r="A1781" s="8"/>
      <c r="L1781" s="8"/>
      <c r="M1781" s="8"/>
      <c r="N1781" s="8"/>
    </row>
    <row r="1782">
      <c r="A1782" s="8"/>
      <c r="L1782" s="8"/>
      <c r="M1782" s="8"/>
      <c r="N1782" s="8"/>
    </row>
    <row r="1783">
      <c r="A1783" s="8"/>
      <c r="L1783" s="8"/>
      <c r="M1783" s="8"/>
      <c r="N1783" s="8"/>
    </row>
    <row r="1784">
      <c r="A1784" s="8"/>
      <c r="L1784" s="8"/>
      <c r="M1784" s="8"/>
      <c r="N1784" s="8"/>
    </row>
    <row r="1785">
      <c r="A1785" s="8"/>
      <c r="L1785" s="8"/>
      <c r="M1785" s="8"/>
      <c r="N1785" s="8"/>
    </row>
    <row r="1786">
      <c r="A1786" s="8"/>
      <c r="L1786" s="8"/>
      <c r="M1786" s="8"/>
      <c r="N1786" s="8"/>
    </row>
    <row r="1787">
      <c r="A1787" s="8"/>
      <c r="L1787" s="8"/>
      <c r="M1787" s="8"/>
      <c r="N1787" s="8"/>
    </row>
    <row r="1788">
      <c r="A1788" s="8"/>
      <c r="L1788" s="8"/>
      <c r="M1788" s="8"/>
      <c r="N1788" s="8"/>
    </row>
    <row r="1789">
      <c r="A1789" s="8"/>
      <c r="L1789" s="8"/>
      <c r="M1789" s="8"/>
      <c r="N1789" s="8"/>
    </row>
    <row r="1790">
      <c r="A1790" s="8"/>
      <c r="L1790" s="8"/>
      <c r="M1790" s="8"/>
      <c r="N1790" s="8"/>
    </row>
    <row r="1791">
      <c r="A1791" s="8"/>
      <c r="L1791" s="8"/>
      <c r="M1791" s="8"/>
      <c r="N1791" s="8"/>
    </row>
    <row r="1792">
      <c r="A1792" s="8"/>
      <c r="L1792" s="8"/>
      <c r="M1792" s="8"/>
      <c r="N1792" s="8"/>
    </row>
    <row r="1793">
      <c r="A1793" s="8"/>
      <c r="L1793" s="8"/>
      <c r="M1793" s="8"/>
      <c r="N1793" s="8"/>
    </row>
    <row r="1794">
      <c r="A1794" s="8"/>
      <c r="L1794" s="8"/>
      <c r="M1794" s="8"/>
      <c r="N1794" s="8"/>
    </row>
    <row r="1795">
      <c r="A1795" s="8"/>
      <c r="L1795" s="8"/>
      <c r="M1795" s="8"/>
      <c r="N1795" s="8"/>
    </row>
    <row r="1796">
      <c r="A1796" s="8"/>
      <c r="L1796" s="8"/>
      <c r="M1796" s="8"/>
      <c r="N1796" s="8"/>
    </row>
    <row r="1797">
      <c r="A1797" s="8"/>
      <c r="L1797" s="8"/>
      <c r="M1797" s="8"/>
      <c r="N1797" s="8"/>
    </row>
    <row r="1798">
      <c r="A1798" s="8"/>
      <c r="L1798" s="8"/>
      <c r="M1798" s="8"/>
      <c r="N1798" s="8"/>
    </row>
    <row r="1799">
      <c r="A1799" s="8"/>
      <c r="L1799" s="8"/>
      <c r="M1799" s="8"/>
      <c r="N1799" s="8"/>
    </row>
    <row r="1800">
      <c r="A1800" s="8"/>
      <c r="L1800" s="8"/>
      <c r="M1800" s="8"/>
      <c r="N1800" s="8"/>
    </row>
    <row r="1801">
      <c r="A1801" s="8"/>
      <c r="L1801" s="8"/>
      <c r="M1801" s="8"/>
      <c r="N1801" s="8"/>
    </row>
    <row r="1802">
      <c r="A1802" s="8"/>
      <c r="L1802" s="8"/>
      <c r="M1802" s="8"/>
      <c r="N1802" s="8"/>
    </row>
    <row r="1803">
      <c r="A1803" s="8"/>
      <c r="L1803" s="8"/>
      <c r="M1803" s="8"/>
      <c r="N1803" s="8"/>
    </row>
    <row r="1804">
      <c r="A1804" s="8"/>
      <c r="L1804" s="8"/>
      <c r="M1804" s="8"/>
      <c r="N1804" s="8"/>
    </row>
    <row r="1805">
      <c r="A1805" s="8"/>
      <c r="L1805" s="8"/>
      <c r="M1805" s="8"/>
      <c r="N1805" s="8"/>
    </row>
    <row r="1806">
      <c r="A1806" s="8"/>
      <c r="L1806" s="8"/>
      <c r="M1806" s="8"/>
      <c r="N1806" s="8"/>
    </row>
    <row r="1807">
      <c r="A1807" s="8"/>
      <c r="L1807" s="8"/>
      <c r="M1807" s="8"/>
      <c r="N1807" s="8"/>
    </row>
    <row r="1808">
      <c r="A1808" s="8"/>
      <c r="L1808" s="8"/>
      <c r="M1808" s="8"/>
      <c r="N1808" s="8"/>
    </row>
    <row r="1809">
      <c r="A1809" s="8"/>
      <c r="L1809" s="8"/>
      <c r="M1809" s="8"/>
      <c r="N1809" s="8"/>
    </row>
    <row r="1810">
      <c r="A1810" s="8"/>
      <c r="L1810" s="8"/>
      <c r="M1810" s="8"/>
      <c r="N1810" s="8"/>
    </row>
    <row r="1811">
      <c r="A1811" s="8"/>
      <c r="L1811" s="8"/>
      <c r="M1811" s="8"/>
      <c r="N1811" s="8"/>
    </row>
    <row r="1812">
      <c r="A1812" s="8"/>
      <c r="L1812" s="8"/>
      <c r="M1812" s="8"/>
      <c r="N1812" s="8"/>
    </row>
    <row r="1813">
      <c r="A1813" s="8"/>
      <c r="L1813" s="8"/>
      <c r="M1813" s="8"/>
      <c r="N1813" s="8"/>
    </row>
    <row r="1814">
      <c r="A1814" s="8"/>
      <c r="L1814" s="8"/>
      <c r="M1814" s="8"/>
      <c r="N1814" s="8"/>
    </row>
    <row r="1815">
      <c r="A1815" s="8"/>
      <c r="L1815" s="8"/>
      <c r="M1815" s="8"/>
      <c r="N1815" s="8"/>
    </row>
    <row r="1816">
      <c r="A1816" s="8"/>
      <c r="L1816" s="8"/>
      <c r="M1816" s="8"/>
      <c r="N1816" s="8"/>
    </row>
    <row r="1817">
      <c r="A1817" s="8"/>
      <c r="L1817" s="8"/>
      <c r="M1817" s="8"/>
      <c r="N1817" s="8"/>
    </row>
    <row r="1818">
      <c r="A1818" s="8"/>
      <c r="L1818" s="8"/>
      <c r="M1818" s="8"/>
      <c r="N1818" s="8"/>
    </row>
    <row r="1819">
      <c r="A1819" s="8"/>
      <c r="L1819" s="8"/>
      <c r="M1819" s="8"/>
      <c r="N1819" s="8"/>
    </row>
    <row r="1820">
      <c r="A1820" s="8"/>
      <c r="L1820" s="8"/>
      <c r="M1820" s="8"/>
      <c r="N1820" s="8"/>
    </row>
    <row r="1821">
      <c r="A1821" s="8"/>
      <c r="L1821" s="8"/>
      <c r="M1821" s="8"/>
      <c r="N1821" s="8"/>
    </row>
    <row r="1822">
      <c r="A1822" s="8"/>
      <c r="L1822" s="8"/>
      <c r="M1822" s="8"/>
      <c r="N1822" s="8"/>
    </row>
    <row r="1823">
      <c r="A1823" s="8"/>
      <c r="L1823" s="8"/>
      <c r="M1823" s="8"/>
      <c r="N1823" s="8"/>
    </row>
    <row r="1824">
      <c r="A1824" s="8"/>
      <c r="L1824" s="8"/>
      <c r="M1824" s="8"/>
      <c r="N1824" s="8"/>
    </row>
    <row r="1825">
      <c r="A1825" s="8"/>
      <c r="L1825" s="8"/>
      <c r="M1825" s="8"/>
      <c r="N1825" s="8"/>
    </row>
    <row r="1826">
      <c r="A1826" s="8"/>
      <c r="L1826" s="8"/>
      <c r="M1826" s="8"/>
      <c r="N1826" s="8"/>
    </row>
    <row r="1827">
      <c r="A1827" s="8"/>
      <c r="L1827" s="8"/>
      <c r="M1827" s="8"/>
      <c r="N1827" s="8"/>
    </row>
    <row r="1828">
      <c r="A1828" s="8"/>
      <c r="L1828" s="8"/>
      <c r="M1828" s="8"/>
      <c r="N1828" s="8"/>
    </row>
    <row r="1829">
      <c r="A1829" s="8"/>
      <c r="L1829" s="8"/>
      <c r="M1829" s="8"/>
      <c r="N1829" s="8"/>
    </row>
    <row r="1830">
      <c r="A1830" s="8"/>
      <c r="L1830" s="8"/>
      <c r="M1830" s="8"/>
      <c r="N1830" s="8"/>
    </row>
    <row r="1831">
      <c r="A1831" s="8"/>
      <c r="L1831" s="8"/>
      <c r="M1831" s="8"/>
      <c r="N1831" s="8"/>
    </row>
    <row r="1832">
      <c r="A1832" s="8"/>
      <c r="L1832" s="8"/>
      <c r="M1832" s="8"/>
      <c r="N1832" s="8"/>
    </row>
    <row r="1833">
      <c r="A1833" s="8"/>
      <c r="L1833" s="8"/>
      <c r="M1833" s="8"/>
      <c r="N1833" s="8"/>
    </row>
    <row r="1834">
      <c r="A1834" s="8"/>
      <c r="L1834" s="8"/>
      <c r="M1834" s="8"/>
      <c r="N1834" s="8"/>
    </row>
    <row r="1835">
      <c r="A1835" s="8"/>
      <c r="L1835" s="8"/>
      <c r="M1835" s="8"/>
      <c r="N1835" s="8"/>
    </row>
    <row r="1836">
      <c r="A1836" s="8"/>
      <c r="L1836" s="8"/>
      <c r="M1836" s="8"/>
      <c r="N1836" s="8"/>
    </row>
    <row r="1837">
      <c r="A1837" s="8"/>
      <c r="L1837" s="8"/>
      <c r="M1837" s="8"/>
      <c r="N1837" s="8"/>
    </row>
    <row r="1838">
      <c r="A1838" s="8"/>
      <c r="L1838" s="8"/>
      <c r="M1838" s="8"/>
      <c r="N1838" s="8"/>
    </row>
    <row r="1839">
      <c r="A1839" s="8"/>
      <c r="L1839" s="8"/>
      <c r="M1839" s="8"/>
      <c r="N1839" s="8"/>
    </row>
    <row r="1840">
      <c r="A1840" s="8"/>
      <c r="L1840" s="8"/>
      <c r="M1840" s="8"/>
      <c r="N1840" s="8"/>
    </row>
    <row r="1841">
      <c r="A1841" s="8"/>
      <c r="L1841" s="8"/>
      <c r="M1841" s="8"/>
      <c r="N1841" s="8"/>
    </row>
    <row r="1842">
      <c r="A1842" s="8"/>
      <c r="L1842" s="8"/>
      <c r="M1842" s="8"/>
      <c r="N1842" s="8"/>
    </row>
    <row r="1843">
      <c r="A1843" s="8"/>
      <c r="L1843" s="8"/>
      <c r="M1843" s="8"/>
      <c r="N1843" s="8"/>
    </row>
    <row r="1844">
      <c r="A1844" s="8"/>
      <c r="L1844" s="8"/>
      <c r="M1844" s="8"/>
      <c r="N1844" s="8"/>
    </row>
    <row r="1845">
      <c r="A1845" s="8"/>
      <c r="L1845" s="8"/>
      <c r="M1845" s="8"/>
      <c r="N1845" s="8"/>
    </row>
    <row r="1846">
      <c r="A1846" s="8"/>
      <c r="L1846" s="8"/>
      <c r="M1846" s="8"/>
      <c r="N1846" s="8"/>
    </row>
    <row r="1847">
      <c r="A1847" s="8"/>
      <c r="L1847" s="8"/>
      <c r="M1847" s="8"/>
      <c r="N1847" s="8"/>
    </row>
    <row r="1848">
      <c r="A1848" s="8"/>
      <c r="L1848" s="8"/>
      <c r="M1848" s="8"/>
      <c r="N1848" s="8"/>
    </row>
    <row r="1849">
      <c r="A1849" s="8"/>
      <c r="L1849" s="8"/>
      <c r="M1849" s="8"/>
      <c r="N1849" s="8"/>
    </row>
    <row r="1850">
      <c r="A1850" s="8"/>
      <c r="L1850" s="8"/>
      <c r="M1850" s="8"/>
      <c r="N1850" s="8"/>
    </row>
    <row r="1851">
      <c r="A1851" s="8"/>
      <c r="L1851" s="8"/>
      <c r="M1851" s="8"/>
      <c r="N1851" s="8"/>
    </row>
    <row r="1852">
      <c r="A1852" s="8"/>
      <c r="L1852" s="8"/>
      <c r="M1852" s="8"/>
      <c r="N1852" s="8"/>
    </row>
    <row r="1853">
      <c r="A1853" s="8"/>
      <c r="L1853" s="8"/>
      <c r="M1853" s="8"/>
      <c r="N1853" s="8"/>
    </row>
    <row r="1854">
      <c r="A1854" s="8"/>
      <c r="L1854" s="8"/>
      <c r="M1854" s="8"/>
      <c r="N1854" s="8"/>
    </row>
    <row r="1855">
      <c r="A1855" s="8"/>
      <c r="L1855" s="8"/>
      <c r="M1855" s="8"/>
      <c r="N1855" s="8"/>
    </row>
    <row r="1856">
      <c r="A1856" s="8"/>
      <c r="L1856" s="8"/>
      <c r="M1856" s="8"/>
      <c r="N1856" s="8"/>
    </row>
    <row r="1857">
      <c r="A1857" s="8"/>
      <c r="L1857" s="8"/>
      <c r="M1857" s="8"/>
      <c r="N1857" s="8"/>
    </row>
    <row r="1858">
      <c r="A1858" s="8"/>
      <c r="L1858" s="8"/>
      <c r="M1858" s="8"/>
      <c r="N1858" s="8"/>
    </row>
    <row r="1859">
      <c r="A1859" s="8"/>
      <c r="L1859" s="8"/>
      <c r="M1859" s="8"/>
      <c r="N1859" s="8"/>
    </row>
    <row r="1860">
      <c r="A1860" s="8"/>
      <c r="L1860" s="8"/>
      <c r="M1860" s="8"/>
      <c r="N1860" s="8"/>
    </row>
    <row r="1861">
      <c r="A1861" s="8"/>
      <c r="L1861" s="8"/>
      <c r="M1861" s="8"/>
      <c r="N1861" s="8"/>
    </row>
    <row r="1862">
      <c r="A1862" s="8"/>
      <c r="L1862" s="8"/>
      <c r="M1862" s="8"/>
      <c r="N1862" s="8"/>
    </row>
    <row r="1863">
      <c r="A1863" s="8"/>
      <c r="L1863" s="8"/>
      <c r="M1863" s="8"/>
      <c r="N1863" s="8"/>
    </row>
    <row r="1864">
      <c r="A1864" s="8"/>
      <c r="L1864" s="8"/>
      <c r="M1864" s="8"/>
      <c r="N1864" s="8"/>
    </row>
    <row r="1865">
      <c r="A1865" s="8"/>
      <c r="L1865" s="8"/>
      <c r="M1865" s="8"/>
      <c r="N1865" s="8"/>
    </row>
    <row r="1866">
      <c r="A1866" s="8"/>
      <c r="L1866" s="8"/>
      <c r="M1866" s="8"/>
      <c r="N1866" s="8"/>
    </row>
    <row r="1867">
      <c r="A1867" s="8"/>
      <c r="L1867" s="8"/>
      <c r="M1867" s="8"/>
      <c r="N1867" s="8"/>
    </row>
    <row r="1868">
      <c r="A1868" s="8"/>
      <c r="L1868" s="8"/>
      <c r="M1868" s="8"/>
      <c r="N1868" s="8"/>
    </row>
    <row r="1869">
      <c r="A1869" s="8"/>
      <c r="L1869" s="8"/>
      <c r="M1869" s="8"/>
      <c r="N1869" s="8"/>
    </row>
    <row r="1870">
      <c r="A1870" s="8"/>
      <c r="L1870" s="8"/>
      <c r="M1870" s="8"/>
      <c r="N1870" s="8"/>
    </row>
    <row r="1871">
      <c r="A1871" s="8"/>
      <c r="L1871" s="8"/>
      <c r="M1871" s="8"/>
      <c r="N1871" s="8"/>
    </row>
    <row r="1872">
      <c r="A1872" s="8"/>
      <c r="L1872" s="8"/>
      <c r="M1872" s="8"/>
      <c r="N1872" s="8"/>
    </row>
    <row r="1873">
      <c r="A1873" s="8"/>
      <c r="L1873" s="8"/>
      <c r="M1873" s="8"/>
      <c r="N1873" s="8"/>
    </row>
    <row r="1874">
      <c r="A1874" s="8"/>
      <c r="L1874" s="8"/>
      <c r="M1874" s="8"/>
      <c r="N1874" s="8"/>
    </row>
    <row r="1875">
      <c r="A1875" s="8"/>
      <c r="L1875" s="8"/>
      <c r="M1875" s="8"/>
      <c r="N1875" s="8"/>
    </row>
    <row r="1876">
      <c r="A1876" s="8"/>
      <c r="L1876" s="8"/>
      <c r="M1876" s="8"/>
      <c r="N1876" s="8"/>
    </row>
    <row r="1877">
      <c r="A1877" s="8"/>
      <c r="L1877" s="8"/>
      <c r="M1877" s="8"/>
      <c r="N1877" s="8"/>
    </row>
    <row r="1878">
      <c r="A1878" s="8"/>
      <c r="L1878" s="8"/>
      <c r="M1878" s="8"/>
      <c r="N1878" s="8"/>
    </row>
    <row r="1879">
      <c r="A1879" s="8"/>
      <c r="L1879" s="8"/>
      <c r="M1879" s="8"/>
      <c r="N1879" s="8"/>
    </row>
    <row r="1880">
      <c r="A1880" s="8"/>
      <c r="L1880" s="8"/>
      <c r="M1880" s="8"/>
      <c r="N1880" s="8"/>
    </row>
    <row r="1881">
      <c r="A1881" s="8"/>
      <c r="L1881" s="8"/>
      <c r="M1881" s="8"/>
      <c r="N1881" s="8"/>
    </row>
    <row r="1882">
      <c r="A1882" s="8"/>
      <c r="L1882" s="8"/>
      <c r="M1882" s="8"/>
      <c r="N1882" s="8"/>
    </row>
    <row r="1883">
      <c r="A1883" s="8"/>
      <c r="L1883" s="8"/>
      <c r="M1883" s="8"/>
      <c r="N1883" s="8"/>
    </row>
    <row r="1884">
      <c r="A1884" s="8"/>
      <c r="L1884" s="8"/>
      <c r="M1884" s="8"/>
      <c r="N1884" s="8"/>
    </row>
    <row r="1885">
      <c r="A1885" s="8"/>
      <c r="L1885" s="8"/>
      <c r="M1885" s="8"/>
      <c r="N1885" s="8"/>
    </row>
    <row r="1886">
      <c r="A1886" s="8"/>
      <c r="L1886" s="8"/>
      <c r="M1886" s="8"/>
      <c r="N1886" s="8"/>
    </row>
    <row r="1887">
      <c r="A1887" s="8"/>
      <c r="L1887" s="8"/>
      <c r="M1887" s="8"/>
      <c r="N1887" s="8"/>
    </row>
    <row r="1888">
      <c r="A1888" s="8"/>
      <c r="L1888" s="8"/>
      <c r="M1888" s="8"/>
      <c r="N1888" s="8"/>
    </row>
    <row r="1889">
      <c r="A1889" s="8"/>
      <c r="L1889" s="8"/>
      <c r="M1889" s="8"/>
      <c r="N1889" s="8"/>
    </row>
    <row r="1890">
      <c r="A1890" s="8"/>
      <c r="L1890" s="8"/>
      <c r="M1890" s="8"/>
      <c r="N1890" s="8"/>
    </row>
    <row r="1891">
      <c r="A1891" s="8"/>
      <c r="L1891" s="8"/>
      <c r="M1891" s="8"/>
      <c r="N1891" s="8"/>
    </row>
    <row r="1892">
      <c r="A1892" s="8"/>
      <c r="L1892" s="8"/>
      <c r="M1892" s="8"/>
      <c r="N1892" s="8"/>
    </row>
    <row r="1893">
      <c r="A1893" s="8"/>
      <c r="L1893" s="8"/>
      <c r="M1893" s="8"/>
      <c r="N1893" s="8"/>
    </row>
    <row r="1894">
      <c r="A1894" s="8"/>
      <c r="L1894" s="8"/>
      <c r="M1894" s="8"/>
      <c r="N1894" s="8"/>
    </row>
    <row r="1895">
      <c r="A1895" s="8"/>
      <c r="L1895" s="8"/>
      <c r="M1895" s="8"/>
      <c r="N1895" s="8"/>
    </row>
    <row r="1896">
      <c r="A1896" s="8"/>
      <c r="L1896" s="8"/>
      <c r="M1896" s="8"/>
      <c r="N1896" s="8"/>
    </row>
    <row r="1897">
      <c r="A1897" s="8"/>
      <c r="L1897" s="8"/>
      <c r="M1897" s="8"/>
      <c r="N1897" s="8"/>
    </row>
    <row r="1898">
      <c r="A1898" s="8"/>
      <c r="L1898" s="8"/>
      <c r="M1898" s="8"/>
      <c r="N1898" s="8"/>
    </row>
    <row r="1899">
      <c r="A1899" s="8"/>
      <c r="L1899" s="8"/>
      <c r="M1899" s="8"/>
      <c r="N1899" s="8"/>
    </row>
    <row r="1900">
      <c r="A1900" s="8"/>
      <c r="L1900" s="8"/>
      <c r="M1900" s="8"/>
      <c r="N1900" s="8"/>
    </row>
    <row r="1901">
      <c r="A1901" s="8"/>
      <c r="L1901" s="8"/>
      <c r="M1901" s="8"/>
      <c r="N1901" s="8"/>
    </row>
    <row r="1902">
      <c r="A1902" s="8"/>
      <c r="L1902" s="8"/>
      <c r="M1902" s="8"/>
      <c r="N1902" s="8"/>
    </row>
    <row r="1903">
      <c r="A1903" s="8"/>
      <c r="L1903" s="8"/>
      <c r="M1903" s="8"/>
      <c r="N1903" s="8"/>
    </row>
    <row r="1904">
      <c r="A1904" s="8"/>
      <c r="L1904" s="8"/>
      <c r="M1904" s="8"/>
      <c r="N1904" s="8"/>
    </row>
    <row r="1905">
      <c r="A1905" s="8"/>
      <c r="L1905" s="8"/>
      <c r="M1905" s="8"/>
      <c r="N1905" s="8"/>
    </row>
    <row r="1906">
      <c r="A1906" s="8"/>
      <c r="L1906" s="8"/>
      <c r="M1906" s="8"/>
      <c r="N1906" s="8"/>
    </row>
    <row r="1907">
      <c r="A1907" s="8"/>
      <c r="L1907" s="8"/>
      <c r="M1907" s="8"/>
      <c r="N1907" s="8"/>
    </row>
    <row r="1908">
      <c r="A1908" s="8"/>
      <c r="L1908" s="8"/>
      <c r="M1908" s="8"/>
      <c r="N1908" s="8"/>
    </row>
    <row r="1909">
      <c r="A1909" s="8"/>
      <c r="L1909" s="8"/>
      <c r="M1909" s="8"/>
      <c r="N1909" s="8"/>
    </row>
    <row r="1910">
      <c r="A1910" s="8"/>
      <c r="L1910" s="8"/>
      <c r="M1910" s="8"/>
      <c r="N1910" s="8"/>
    </row>
    <row r="1911">
      <c r="A1911" s="8"/>
      <c r="L1911" s="8"/>
      <c r="M1911" s="8"/>
      <c r="N1911" s="8"/>
    </row>
    <row r="1912">
      <c r="A1912" s="8"/>
      <c r="L1912" s="8"/>
      <c r="M1912" s="8"/>
      <c r="N1912" s="8"/>
    </row>
    <row r="1913">
      <c r="A1913" s="8"/>
      <c r="L1913" s="8"/>
      <c r="M1913" s="8"/>
      <c r="N1913" s="8"/>
    </row>
    <row r="1914">
      <c r="A1914" s="8"/>
      <c r="L1914" s="8"/>
      <c r="M1914" s="8"/>
      <c r="N1914" s="8"/>
    </row>
    <row r="1915">
      <c r="A1915" s="8"/>
      <c r="L1915" s="8"/>
      <c r="M1915" s="8"/>
      <c r="N1915" s="8"/>
    </row>
    <row r="1916">
      <c r="A1916" s="8"/>
      <c r="L1916" s="8"/>
      <c r="M1916" s="8"/>
      <c r="N1916" s="8"/>
    </row>
    <row r="1917">
      <c r="A1917" s="8"/>
      <c r="L1917" s="8"/>
      <c r="M1917" s="8"/>
      <c r="N1917" s="8"/>
    </row>
    <row r="1918">
      <c r="A1918" s="8"/>
      <c r="L1918" s="8"/>
      <c r="M1918" s="8"/>
      <c r="N1918" s="8"/>
    </row>
    <row r="1919">
      <c r="A1919" s="8"/>
      <c r="L1919" s="8"/>
      <c r="M1919" s="8"/>
      <c r="N1919" s="8"/>
    </row>
    <row r="1920">
      <c r="A1920" s="8"/>
      <c r="L1920" s="8"/>
      <c r="M1920" s="8"/>
      <c r="N1920" s="8"/>
    </row>
    <row r="1921">
      <c r="A1921" s="8"/>
      <c r="L1921" s="8"/>
      <c r="M1921" s="8"/>
      <c r="N1921" s="8"/>
    </row>
    <row r="1922">
      <c r="A1922" s="8"/>
      <c r="L1922" s="8"/>
      <c r="M1922" s="8"/>
      <c r="N1922" s="8"/>
    </row>
    <row r="1923">
      <c r="A1923" s="8"/>
      <c r="L1923" s="8"/>
      <c r="M1923" s="8"/>
      <c r="N1923" s="8"/>
    </row>
    <row r="1924">
      <c r="A1924" s="8"/>
      <c r="L1924" s="8"/>
      <c r="M1924" s="8"/>
      <c r="N1924" s="8"/>
    </row>
    <row r="1925">
      <c r="A1925" s="8"/>
      <c r="L1925" s="8"/>
      <c r="M1925" s="8"/>
      <c r="N1925" s="8"/>
    </row>
    <row r="1926">
      <c r="A1926" s="8"/>
      <c r="L1926" s="8"/>
      <c r="M1926" s="8"/>
      <c r="N1926" s="8"/>
    </row>
    <row r="1927">
      <c r="A1927" s="8"/>
      <c r="L1927" s="8"/>
      <c r="M1927" s="8"/>
      <c r="N1927" s="8"/>
    </row>
    <row r="1928">
      <c r="A1928" s="8"/>
      <c r="L1928" s="8"/>
      <c r="M1928" s="8"/>
      <c r="N1928" s="8"/>
    </row>
    <row r="1929">
      <c r="A1929" s="8"/>
      <c r="L1929" s="8"/>
      <c r="M1929" s="8"/>
      <c r="N1929" s="8"/>
    </row>
    <row r="1930">
      <c r="A1930" s="8"/>
      <c r="L1930" s="8"/>
      <c r="M1930" s="8"/>
      <c r="N1930" s="8"/>
    </row>
    <row r="1931">
      <c r="A1931" s="8"/>
      <c r="L1931" s="8"/>
      <c r="M1931" s="8"/>
      <c r="N1931" s="8"/>
    </row>
    <row r="1932">
      <c r="A1932" s="8"/>
      <c r="L1932" s="8"/>
      <c r="M1932" s="8"/>
      <c r="N1932" s="8"/>
    </row>
    <row r="1933">
      <c r="A1933" s="8"/>
      <c r="L1933" s="8"/>
      <c r="M1933" s="8"/>
      <c r="N1933" s="8"/>
    </row>
    <row r="1934">
      <c r="A1934" s="8"/>
      <c r="L1934" s="8"/>
      <c r="M1934" s="8"/>
      <c r="N1934" s="8"/>
    </row>
    <row r="1935">
      <c r="A1935" s="8"/>
      <c r="L1935" s="8"/>
      <c r="M1935" s="8"/>
      <c r="N1935" s="8"/>
    </row>
    <row r="1936">
      <c r="A1936" s="8"/>
      <c r="L1936" s="8"/>
      <c r="M1936" s="8"/>
      <c r="N1936" s="8"/>
    </row>
    <row r="1937">
      <c r="A1937" s="8"/>
      <c r="L1937" s="8"/>
      <c r="M1937" s="8"/>
      <c r="N1937" s="8"/>
    </row>
    <row r="1938">
      <c r="A1938" s="8"/>
      <c r="L1938" s="8"/>
      <c r="M1938" s="8"/>
      <c r="N1938" s="8"/>
    </row>
    <row r="1939">
      <c r="A1939" s="8"/>
      <c r="L1939" s="8"/>
      <c r="M1939" s="8"/>
      <c r="N1939" s="8"/>
    </row>
    <row r="1940">
      <c r="A1940" s="8"/>
      <c r="L1940" s="8"/>
      <c r="M1940" s="8"/>
      <c r="N1940" s="8"/>
    </row>
    <row r="1941">
      <c r="A1941" s="8"/>
      <c r="L1941" s="8"/>
      <c r="M1941" s="8"/>
      <c r="N1941" s="8"/>
    </row>
    <row r="1942">
      <c r="A1942" s="8"/>
      <c r="L1942" s="8"/>
      <c r="M1942" s="8"/>
      <c r="N1942" s="8"/>
    </row>
    <row r="1943">
      <c r="A1943" s="8"/>
      <c r="L1943" s="8"/>
      <c r="M1943" s="8"/>
      <c r="N1943" s="8"/>
    </row>
    <row r="1944">
      <c r="A1944" s="8"/>
      <c r="L1944" s="8"/>
      <c r="M1944" s="8"/>
      <c r="N1944" s="8"/>
    </row>
    <row r="1945">
      <c r="A1945" s="8"/>
      <c r="L1945" s="8"/>
      <c r="M1945" s="8"/>
      <c r="N1945" s="8"/>
    </row>
    <row r="1946">
      <c r="A1946" s="8"/>
      <c r="L1946" s="8"/>
      <c r="M1946" s="8"/>
      <c r="N1946" s="8"/>
    </row>
    <row r="1947">
      <c r="A1947" s="8"/>
      <c r="L1947" s="8"/>
      <c r="M1947" s="8"/>
      <c r="N1947" s="8"/>
    </row>
    <row r="1948">
      <c r="A1948" s="8"/>
      <c r="L1948" s="8"/>
      <c r="M1948" s="8"/>
      <c r="N1948" s="8"/>
    </row>
    <row r="1949">
      <c r="A1949" s="8"/>
      <c r="L1949" s="8"/>
      <c r="M1949" s="8"/>
      <c r="N1949" s="8"/>
    </row>
    <row r="1950">
      <c r="A1950" s="8"/>
      <c r="L1950" s="8"/>
      <c r="M1950" s="8"/>
      <c r="N1950" s="8"/>
    </row>
    <row r="1951">
      <c r="A1951" s="8"/>
      <c r="L1951" s="8"/>
      <c r="M1951" s="8"/>
      <c r="N1951" s="8"/>
    </row>
    <row r="1952">
      <c r="A1952" s="8"/>
      <c r="L1952" s="8"/>
      <c r="M1952" s="8"/>
      <c r="N1952" s="8"/>
    </row>
    <row r="1953">
      <c r="A1953" s="8"/>
      <c r="L1953" s="8"/>
      <c r="M1953" s="8"/>
      <c r="N1953" s="8"/>
    </row>
    <row r="1954">
      <c r="A1954" s="8"/>
      <c r="L1954" s="8"/>
      <c r="M1954" s="8"/>
      <c r="N1954" s="8"/>
    </row>
    <row r="1955">
      <c r="A1955" s="8"/>
      <c r="L1955" s="8"/>
      <c r="M1955" s="8"/>
      <c r="N1955" s="8"/>
    </row>
    <row r="1956">
      <c r="A1956" s="8"/>
      <c r="L1956" s="8"/>
      <c r="M1956" s="8"/>
      <c r="N1956" s="8"/>
    </row>
    <row r="1957">
      <c r="A1957" s="8"/>
      <c r="L1957" s="8"/>
      <c r="M1957" s="8"/>
      <c r="N1957" s="8"/>
    </row>
    <row r="1958">
      <c r="A1958" s="8"/>
      <c r="L1958" s="8"/>
      <c r="M1958" s="8"/>
      <c r="N1958" s="8"/>
    </row>
    <row r="1959">
      <c r="A1959" s="8"/>
      <c r="L1959" s="8"/>
      <c r="M1959" s="8"/>
      <c r="N1959" s="8"/>
    </row>
    <row r="1960">
      <c r="A1960" s="8"/>
      <c r="L1960" s="8"/>
      <c r="M1960" s="8"/>
      <c r="N1960" s="8"/>
    </row>
    <row r="1961">
      <c r="A1961" s="8"/>
      <c r="L1961" s="8"/>
      <c r="M1961" s="8"/>
      <c r="N1961" s="8"/>
    </row>
    <row r="1962">
      <c r="A1962" s="8"/>
      <c r="L1962" s="8"/>
      <c r="M1962" s="8"/>
      <c r="N1962" s="8"/>
    </row>
    <row r="1963">
      <c r="A1963" s="8"/>
      <c r="L1963" s="8"/>
      <c r="M1963" s="8"/>
      <c r="N1963" s="8"/>
    </row>
    <row r="1964">
      <c r="A1964" s="8"/>
      <c r="L1964" s="8"/>
      <c r="M1964" s="8"/>
      <c r="N1964" s="8"/>
    </row>
    <row r="1965">
      <c r="A1965" s="8"/>
      <c r="L1965" s="8"/>
      <c r="M1965" s="8"/>
      <c r="N1965" s="8"/>
    </row>
    <row r="1966">
      <c r="A1966" s="8"/>
      <c r="L1966" s="8"/>
      <c r="M1966" s="8"/>
      <c r="N1966" s="8"/>
    </row>
    <row r="1967">
      <c r="A1967" s="8"/>
      <c r="L1967" s="8"/>
      <c r="M1967" s="8"/>
      <c r="N1967" s="8"/>
    </row>
    <row r="1968">
      <c r="A1968" s="8"/>
      <c r="L1968" s="8"/>
      <c r="M1968" s="8"/>
      <c r="N1968" s="8"/>
    </row>
    <row r="1969">
      <c r="A1969" s="8"/>
      <c r="L1969" s="8"/>
      <c r="M1969" s="8"/>
      <c r="N1969" s="8"/>
    </row>
    <row r="1970">
      <c r="A1970" s="8"/>
      <c r="L1970" s="8"/>
      <c r="M1970" s="8"/>
      <c r="N1970" s="8"/>
    </row>
    <row r="1971">
      <c r="A1971" s="8"/>
      <c r="L1971" s="8"/>
      <c r="M1971" s="8"/>
      <c r="N1971" s="8"/>
    </row>
    <row r="1972">
      <c r="A1972" s="8"/>
      <c r="L1972" s="8"/>
      <c r="M1972" s="8"/>
      <c r="N1972" s="8"/>
    </row>
    <row r="1973">
      <c r="A1973" s="8"/>
      <c r="L1973" s="8"/>
      <c r="M1973" s="8"/>
      <c r="N1973" s="8"/>
    </row>
    <row r="1974">
      <c r="A1974" s="8"/>
      <c r="L1974" s="8"/>
      <c r="M1974" s="8"/>
      <c r="N1974" s="8"/>
    </row>
    <row r="1975">
      <c r="A1975" s="8"/>
      <c r="L1975" s="8"/>
      <c r="M1975" s="8"/>
      <c r="N1975" s="8"/>
    </row>
    <row r="1976">
      <c r="A1976" s="8"/>
      <c r="L1976" s="8"/>
      <c r="M1976" s="8"/>
      <c r="N1976" s="8"/>
    </row>
    <row r="1977">
      <c r="A1977" s="8"/>
      <c r="L1977" s="8"/>
      <c r="M1977" s="8"/>
      <c r="N1977" s="8"/>
    </row>
    <row r="1978">
      <c r="A1978" s="8"/>
      <c r="L1978" s="8"/>
      <c r="M1978" s="8"/>
      <c r="N1978" s="8"/>
    </row>
    <row r="1979">
      <c r="A1979" s="8"/>
      <c r="L1979" s="8"/>
      <c r="M1979" s="8"/>
      <c r="N1979" s="8"/>
    </row>
    <row r="1980">
      <c r="A1980" s="8"/>
      <c r="L1980" s="8"/>
      <c r="M1980" s="8"/>
      <c r="N1980" s="8"/>
    </row>
    <row r="1981">
      <c r="A1981" s="8"/>
      <c r="L1981" s="8"/>
      <c r="M1981" s="8"/>
      <c r="N1981" s="8"/>
    </row>
    <row r="1982">
      <c r="A1982" s="8"/>
      <c r="L1982" s="8"/>
      <c r="M1982" s="8"/>
      <c r="N1982" s="8"/>
    </row>
    <row r="1983">
      <c r="A1983" s="8"/>
      <c r="L1983" s="8"/>
      <c r="M1983" s="8"/>
      <c r="N1983" s="8"/>
    </row>
    <row r="1984">
      <c r="A1984" s="8"/>
      <c r="L1984" s="8"/>
      <c r="M1984" s="8"/>
      <c r="N1984" s="8"/>
    </row>
    <row r="1985">
      <c r="A1985" s="8"/>
      <c r="L1985" s="8"/>
      <c r="M1985" s="8"/>
      <c r="N1985" s="8"/>
    </row>
    <row r="1986">
      <c r="A1986" s="8"/>
      <c r="L1986" s="8"/>
      <c r="M1986" s="8"/>
      <c r="N1986" s="8"/>
    </row>
    <row r="1987">
      <c r="A1987" s="8"/>
      <c r="L1987" s="8"/>
      <c r="M1987" s="8"/>
      <c r="N1987" s="8"/>
    </row>
    <row r="1988">
      <c r="A1988" s="8"/>
      <c r="L1988" s="8"/>
      <c r="M1988" s="8"/>
      <c r="N1988" s="8"/>
    </row>
    <row r="1989">
      <c r="A1989" s="8"/>
      <c r="L1989" s="8"/>
      <c r="M1989" s="8"/>
      <c r="N1989" s="8"/>
    </row>
    <row r="1990">
      <c r="A1990" s="8"/>
      <c r="L1990" s="8"/>
      <c r="M1990" s="8"/>
      <c r="N1990" s="8"/>
    </row>
    <row r="1991">
      <c r="A1991" s="8"/>
      <c r="L1991" s="8"/>
      <c r="M1991" s="8"/>
      <c r="N1991" s="8"/>
    </row>
    <row r="1992">
      <c r="A1992" s="8"/>
      <c r="L1992" s="8"/>
      <c r="M1992" s="8"/>
      <c r="N1992" s="8"/>
    </row>
    <row r="1993">
      <c r="A1993" s="8"/>
      <c r="L1993" s="8"/>
      <c r="M1993" s="8"/>
      <c r="N1993" s="8"/>
    </row>
    <row r="1994">
      <c r="A1994" s="8"/>
      <c r="L1994" s="8"/>
      <c r="M1994" s="8"/>
      <c r="N1994" s="8"/>
    </row>
    <row r="1995">
      <c r="A1995" s="8"/>
      <c r="L1995" s="8"/>
      <c r="M1995" s="8"/>
      <c r="N1995" s="8"/>
    </row>
    <row r="1996">
      <c r="A1996" s="8"/>
      <c r="L1996" s="8"/>
      <c r="M1996" s="8"/>
      <c r="N1996" s="8"/>
    </row>
    <row r="1997">
      <c r="A1997" s="8"/>
      <c r="L1997" s="8"/>
      <c r="M1997" s="8"/>
      <c r="N1997" s="8"/>
    </row>
    <row r="1998">
      <c r="A1998" s="8"/>
      <c r="L1998" s="8"/>
      <c r="M1998" s="8"/>
      <c r="N1998" s="8"/>
    </row>
    <row r="1999">
      <c r="A1999" s="8"/>
      <c r="L1999" s="8"/>
      <c r="M1999" s="8"/>
      <c r="N1999" s="8"/>
    </row>
    <row r="2000">
      <c r="A2000" s="8"/>
      <c r="L2000" s="8"/>
      <c r="M2000" s="8"/>
      <c r="N2000" s="8"/>
    </row>
    <row r="2001">
      <c r="A2001" s="8"/>
      <c r="L2001" s="8"/>
      <c r="M2001" s="8"/>
      <c r="N2001" s="8"/>
    </row>
    <row r="2002">
      <c r="A2002" s="8"/>
      <c r="L2002" s="8"/>
      <c r="M2002" s="8"/>
      <c r="N2002" s="8"/>
    </row>
    <row r="2003">
      <c r="A2003" s="8"/>
      <c r="L2003" s="8"/>
      <c r="M2003" s="8"/>
      <c r="N2003" s="8"/>
    </row>
    <row r="2004">
      <c r="A2004" s="8"/>
      <c r="L2004" s="8"/>
      <c r="M2004" s="8"/>
      <c r="N2004" s="8"/>
    </row>
    <row r="2005">
      <c r="A2005" s="8"/>
      <c r="L2005" s="8"/>
      <c r="M2005" s="8"/>
      <c r="N2005" s="8"/>
    </row>
    <row r="2006">
      <c r="A2006" s="8"/>
      <c r="L2006" s="8"/>
      <c r="M2006" s="8"/>
      <c r="N2006" s="8"/>
    </row>
    <row r="2007">
      <c r="A2007" s="8"/>
      <c r="L2007" s="8"/>
      <c r="M2007" s="8"/>
      <c r="N2007" s="8"/>
    </row>
    <row r="2008">
      <c r="A2008" s="8"/>
      <c r="L2008" s="8"/>
      <c r="M2008" s="8"/>
      <c r="N2008" s="8"/>
    </row>
    <row r="2009">
      <c r="A2009" s="8"/>
      <c r="L2009" s="8"/>
      <c r="M2009" s="8"/>
      <c r="N2009" s="8"/>
    </row>
    <row r="2010">
      <c r="A2010" s="8"/>
      <c r="L2010" s="8"/>
      <c r="M2010" s="8"/>
      <c r="N2010" s="8"/>
    </row>
    <row r="2011">
      <c r="A2011" s="8"/>
      <c r="L2011" s="8"/>
      <c r="M2011" s="8"/>
      <c r="N2011" s="8"/>
    </row>
    <row r="2012">
      <c r="A2012" s="8"/>
      <c r="L2012" s="8"/>
      <c r="M2012" s="8"/>
      <c r="N2012" s="8"/>
    </row>
    <row r="2013">
      <c r="A2013" s="8"/>
      <c r="L2013" s="8"/>
      <c r="M2013" s="8"/>
      <c r="N2013" s="8"/>
    </row>
    <row r="2014">
      <c r="A2014" s="8"/>
      <c r="L2014" s="8"/>
      <c r="M2014" s="8"/>
      <c r="N2014" s="8"/>
    </row>
    <row r="2015">
      <c r="A2015" s="8"/>
      <c r="L2015" s="8"/>
      <c r="M2015" s="8"/>
      <c r="N2015" s="8"/>
    </row>
    <row r="2016">
      <c r="A2016" s="8"/>
      <c r="L2016" s="8"/>
      <c r="M2016" s="8"/>
      <c r="N2016" s="8"/>
    </row>
    <row r="2017">
      <c r="A2017" s="8"/>
      <c r="L2017" s="8"/>
      <c r="M2017" s="8"/>
      <c r="N2017" s="8"/>
    </row>
    <row r="2018">
      <c r="A2018" s="8"/>
      <c r="L2018" s="8"/>
      <c r="M2018" s="8"/>
      <c r="N2018" s="8"/>
    </row>
    <row r="2019">
      <c r="A2019" s="8"/>
      <c r="L2019" s="8"/>
      <c r="M2019" s="8"/>
      <c r="N2019" s="8"/>
    </row>
    <row r="2020">
      <c r="A2020" s="8"/>
      <c r="L2020" s="8"/>
      <c r="M2020" s="8"/>
      <c r="N2020" s="8"/>
    </row>
    <row r="2021">
      <c r="A2021" s="8"/>
      <c r="L2021" s="8"/>
      <c r="M2021" s="8"/>
      <c r="N2021" s="8"/>
    </row>
    <row r="2022">
      <c r="A2022" s="8"/>
      <c r="L2022" s="8"/>
      <c r="M2022" s="8"/>
      <c r="N2022" s="8"/>
    </row>
    <row r="2023">
      <c r="A2023" s="8"/>
      <c r="L2023" s="8"/>
      <c r="M2023" s="8"/>
      <c r="N2023" s="8"/>
    </row>
    <row r="2024">
      <c r="A2024" s="8"/>
      <c r="L2024" s="8"/>
      <c r="M2024" s="8"/>
      <c r="N2024" s="8"/>
    </row>
    <row r="2025">
      <c r="A2025" s="8"/>
      <c r="L2025" s="8"/>
      <c r="M2025" s="8"/>
      <c r="N2025" s="8"/>
    </row>
    <row r="2026">
      <c r="A2026" s="8"/>
      <c r="L2026" s="8"/>
      <c r="M2026" s="8"/>
      <c r="N2026" s="8"/>
    </row>
    <row r="2027">
      <c r="A2027" s="8"/>
      <c r="L2027" s="8"/>
      <c r="M2027" s="8"/>
      <c r="N2027" s="8"/>
    </row>
    <row r="2028">
      <c r="A2028" s="8"/>
      <c r="L2028" s="8"/>
      <c r="M2028" s="8"/>
      <c r="N2028" s="8"/>
    </row>
    <row r="2029">
      <c r="A2029" s="8"/>
      <c r="L2029" s="8"/>
      <c r="M2029" s="8"/>
      <c r="N2029" s="8"/>
    </row>
    <row r="2030">
      <c r="A2030" s="8"/>
      <c r="L2030" s="8"/>
      <c r="M2030" s="8"/>
      <c r="N2030" s="8"/>
    </row>
    <row r="2031">
      <c r="A2031" s="8"/>
      <c r="L2031" s="8"/>
      <c r="M2031" s="8"/>
      <c r="N2031" s="8"/>
    </row>
    <row r="2032">
      <c r="A2032" s="8"/>
      <c r="L2032" s="8"/>
      <c r="M2032" s="8"/>
      <c r="N2032" s="8"/>
    </row>
    <row r="2033">
      <c r="A2033" s="8"/>
      <c r="L2033" s="8"/>
      <c r="M2033" s="8"/>
      <c r="N2033" s="8"/>
    </row>
    <row r="2034">
      <c r="A2034" s="8"/>
      <c r="L2034" s="8"/>
      <c r="M2034" s="8"/>
      <c r="N2034" s="8"/>
    </row>
    <row r="2035">
      <c r="A2035" s="8"/>
      <c r="L2035" s="8"/>
      <c r="M2035" s="8"/>
      <c r="N2035" s="8"/>
    </row>
    <row r="2036">
      <c r="A2036" s="8"/>
      <c r="L2036" s="8"/>
      <c r="M2036" s="8"/>
      <c r="N2036" s="8"/>
    </row>
    <row r="2037">
      <c r="A2037" s="8"/>
      <c r="L2037" s="8"/>
      <c r="M2037" s="8"/>
      <c r="N2037" s="8"/>
    </row>
    <row r="2038">
      <c r="A2038" s="8"/>
      <c r="L2038" s="8"/>
      <c r="M2038" s="8"/>
      <c r="N2038" s="8"/>
    </row>
    <row r="2039">
      <c r="A2039" s="8"/>
      <c r="L2039" s="8"/>
      <c r="M2039" s="8"/>
      <c r="N2039" s="8"/>
    </row>
    <row r="2040">
      <c r="A2040" s="8"/>
      <c r="L2040" s="8"/>
      <c r="M2040" s="8"/>
      <c r="N2040" s="8"/>
    </row>
    <row r="2041">
      <c r="A2041" s="8"/>
      <c r="L2041" s="8"/>
      <c r="M2041" s="8"/>
      <c r="N2041" s="8"/>
    </row>
    <row r="2042">
      <c r="A2042" s="8"/>
      <c r="L2042" s="8"/>
      <c r="M2042" s="8"/>
      <c r="N2042" s="8"/>
    </row>
    <row r="2043">
      <c r="A2043" s="8"/>
      <c r="L2043" s="8"/>
      <c r="M2043" s="8"/>
      <c r="N2043" s="8"/>
    </row>
    <row r="2044">
      <c r="A2044" s="8"/>
      <c r="L2044" s="8"/>
      <c r="M2044" s="8"/>
      <c r="N2044" s="8"/>
    </row>
    <row r="2045">
      <c r="A2045" s="8"/>
      <c r="L2045" s="8"/>
      <c r="M2045" s="8"/>
      <c r="N2045" s="8"/>
    </row>
    <row r="2046">
      <c r="A2046" s="8"/>
      <c r="L2046" s="8"/>
      <c r="M2046" s="8"/>
      <c r="N2046" s="8"/>
    </row>
    <row r="2047">
      <c r="A2047" s="8"/>
      <c r="L2047" s="8"/>
      <c r="M2047" s="8"/>
      <c r="N2047" s="8"/>
    </row>
    <row r="2048">
      <c r="A2048" s="8"/>
      <c r="L2048" s="8"/>
      <c r="M2048" s="8"/>
      <c r="N2048" s="8"/>
    </row>
    <row r="2049">
      <c r="A2049" s="8"/>
      <c r="L2049" s="8"/>
      <c r="M2049" s="8"/>
      <c r="N2049" s="8"/>
    </row>
    <row r="2050">
      <c r="A2050" s="8"/>
      <c r="L2050" s="8"/>
      <c r="M2050" s="8"/>
      <c r="N2050" s="8"/>
    </row>
    <row r="2051">
      <c r="A2051" s="8"/>
      <c r="L2051" s="8"/>
      <c r="M2051" s="8"/>
      <c r="N2051" s="8"/>
    </row>
    <row r="2052">
      <c r="A2052" s="8"/>
      <c r="L2052" s="8"/>
      <c r="M2052" s="8"/>
      <c r="N2052" s="8"/>
    </row>
    <row r="2053">
      <c r="A2053" s="8"/>
      <c r="L2053" s="8"/>
      <c r="M2053" s="8"/>
      <c r="N2053" s="8"/>
    </row>
    <row r="2054">
      <c r="A2054" s="8"/>
      <c r="L2054" s="8"/>
      <c r="M2054" s="8"/>
      <c r="N2054" s="8"/>
    </row>
    <row r="2055">
      <c r="A2055" s="8"/>
      <c r="L2055" s="8"/>
      <c r="M2055" s="8"/>
      <c r="N2055" s="8"/>
    </row>
    <row r="2056">
      <c r="A2056" s="8"/>
      <c r="L2056" s="8"/>
      <c r="M2056" s="8"/>
      <c r="N2056" s="8"/>
    </row>
    <row r="2057">
      <c r="A2057" s="8"/>
      <c r="L2057" s="8"/>
      <c r="M2057" s="8"/>
      <c r="N2057" s="8"/>
    </row>
    <row r="2058">
      <c r="A2058" s="8"/>
      <c r="L2058" s="8"/>
      <c r="M2058" s="8"/>
      <c r="N2058" s="8"/>
    </row>
    <row r="2059">
      <c r="A2059" s="8"/>
      <c r="L2059" s="8"/>
      <c r="M2059" s="8"/>
      <c r="N2059" s="8"/>
    </row>
    <row r="2060">
      <c r="A2060" s="8"/>
      <c r="L2060" s="8"/>
      <c r="M2060" s="8"/>
      <c r="N2060" s="8"/>
    </row>
    <row r="2061">
      <c r="A2061" s="8"/>
      <c r="L2061" s="8"/>
      <c r="M2061" s="8"/>
      <c r="N2061" s="8"/>
    </row>
    <row r="2062">
      <c r="A2062" s="8"/>
      <c r="L2062" s="8"/>
      <c r="M2062" s="8"/>
      <c r="N2062" s="8"/>
    </row>
    <row r="2063">
      <c r="A2063" s="8"/>
      <c r="L2063" s="8"/>
      <c r="M2063" s="8"/>
      <c r="N2063" s="8"/>
    </row>
    <row r="2064">
      <c r="A2064" s="8"/>
      <c r="L2064" s="8"/>
      <c r="M2064" s="8"/>
      <c r="N2064" s="8"/>
    </row>
    <row r="2065">
      <c r="A2065" s="8"/>
      <c r="L2065" s="8"/>
      <c r="M2065" s="8"/>
      <c r="N2065" s="8"/>
    </row>
    <row r="2066">
      <c r="A2066" s="8"/>
      <c r="L2066" s="8"/>
      <c r="M2066" s="8"/>
      <c r="N2066" s="8"/>
    </row>
    <row r="2067">
      <c r="A2067" s="8"/>
      <c r="L2067" s="8"/>
      <c r="M2067" s="8"/>
      <c r="N2067" s="8"/>
    </row>
    <row r="2068">
      <c r="A2068" s="8"/>
      <c r="L2068" s="8"/>
      <c r="M2068" s="8"/>
      <c r="N2068" s="8"/>
    </row>
    <row r="2069">
      <c r="A2069" s="8"/>
      <c r="L2069" s="8"/>
      <c r="M2069" s="8"/>
      <c r="N2069" s="8"/>
    </row>
    <row r="2070">
      <c r="A2070" s="8"/>
      <c r="L2070" s="8"/>
      <c r="M2070" s="8"/>
      <c r="N2070" s="8"/>
    </row>
    <row r="2071">
      <c r="A2071" s="8"/>
      <c r="L2071" s="8"/>
      <c r="M2071" s="8"/>
      <c r="N2071" s="8"/>
    </row>
    <row r="2072">
      <c r="A2072" s="8"/>
      <c r="L2072" s="8"/>
      <c r="M2072" s="8"/>
      <c r="N2072" s="8"/>
    </row>
    <row r="2073">
      <c r="A2073" s="8"/>
      <c r="L2073" s="8"/>
      <c r="M2073" s="8"/>
      <c r="N2073" s="8"/>
    </row>
    <row r="2074">
      <c r="A2074" s="8"/>
      <c r="L2074" s="8"/>
      <c r="M2074" s="8"/>
      <c r="N2074" s="8"/>
    </row>
    <row r="2075">
      <c r="A2075" s="8"/>
      <c r="L2075" s="8"/>
      <c r="M2075" s="8"/>
      <c r="N2075" s="8"/>
    </row>
    <row r="2076">
      <c r="A2076" s="8"/>
      <c r="L2076" s="8"/>
      <c r="M2076" s="8"/>
      <c r="N2076" s="8"/>
    </row>
    <row r="2077">
      <c r="A2077" s="8"/>
      <c r="L2077" s="8"/>
      <c r="M2077" s="8"/>
      <c r="N2077" s="8"/>
    </row>
    <row r="2078">
      <c r="A2078" s="8"/>
      <c r="L2078" s="8"/>
      <c r="M2078" s="8"/>
      <c r="N2078" s="8"/>
    </row>
    <row r="2079">
      <c r="A2079" s="8"/>
      <c r="L2079" s="8"/>
      <c r="M2079" s="8"/>
      <c r="N2079" s="8"/>
    </row>
    <row r="2080">
      <c r="A2080" s="8"/>
      <c r="L2080" s="8"/>
      <c r="M2080" s="8"/>
      <c r="N2080" s="8"/>
    </row>
    <row r="2081">
      <c r="A2081" s="8"/>
      <c r="L2081" s="8"/>
      <c r="M2081" s="8"/>
      <c r="N2081" s="8"/>
    </row>
    <row r="2082">
      <c r="A2082" s="8"/>
      <c r="L2082" s="8"/>
      <c r="M2082" s="8"/>
      <c r="N2082" s="8"/>
    </row>
    <row r="2083">
      <c r="A2083" s="8"/>
      <c r="L2083" s="8"/>
      <c r="M2083" s="8"/>
      <c r="N2083" s="8"/>
    </row>
    <row r="2084">
      <c r="A2084" s="8"/>
      <c r="L2084" s="8"/>
      <c r="M2084" s="8"/>
      <c r="N2084" s="8"/>
    </row>
    <row r="2085">
      <c r="A2085" s="8"/>
      <c r="L2085" s="8"/>
      <c r="M2085" s="8"/>
      <c r="N2085" s="8"/>
    </row>
    <row r="2086">
      <c r="A2086" s="8"/>
      <c r="L2086" s="8"/>
      <c r="M2086" s="8"/>
      <c r="N2086" s="8"/>
    </row>
    <row r="2087">
      <c r="A2087" s="8"/>
      <c r="L2087" s="8"/>
      <c r="M2087" s="8"/>
      <c r="N2087" s="8"/>
    </row>
    <row r="2088">
      <c r="A2088" s="8"/>
      <c r="L2088" s="8"/>
      <c r="M2088" s="8"/>
      <c r="N2088" s="8"/>
    </row>
    <row r="2089">
      <c r="A2089" s="8"/>
      <c r="L2089" s="8"/>
      <c r="M2089" s="8"/>
      <c r="N2089" s="8"/>
    </row>
    <row r="2090">
      <c r="A2090" s="8"/>
      <c r="L2090" s="8"/>
      <c r="M2090" s="8"/>
      <c r="N2090" s="8"/>
    </row>
    <row r="2091">
      <c r="A2091" s="8"/>
      <c r="L2091" s="8"/>
      <c r="M2091" s="8"/>
      <c r="N2091" s="8"/>
    </row>
    <row r="2092">
      <c r="A2092" s="8"/>
      <c r="L2092" s="8"/>
      <c r="M2092" s="8"/>
      <c r="N2092" s="8"/>
    </row>
    <row r="2093">
      <c r="A2093" s="8"/>
      <c r="L2093" s="8"/>
      <c r="M2093" s="8"/>
      <c r="N2093" s="8"/>
    </row>
    <row r="2094">
      <c r="A2094" s="8"/>
      <c r="L2094" s="8"/>
      <c r="M2094" s="8"/>
      <c r="N2094" s="8"/>
    </row>
    <row r="2095">
      <c r="A2095" s="8"/>
      <c r="L2095" s="8"/>
      <c r="M2095" s="8"/>
      <c r="N2095" s="8"/>
    </row>
    <row r="2096">
      <c r="A2096" s="8"/>
      <c r="L2096" s="8"/>
      <c r="M2096" s="8"/>
      <c r="N2096" s="8"/>
    </row>
    <row r="2097">
      <c r="A2097" s="8"/>
      <c r="L2097" s="8"/>
      <c r="M2097" s="8"/>
      <c r="N2097" s="8"/>
    </row>
    <row r="2098">
      <c r="A2098" s="8"/>
      <c r="L2098" s="8"/>
      <c r="M2098" s="8"/>
      <c r="N2098" s="8"/>
    </row>
    <row r="2099">
      <c r="A2099" s="8"/>
      <c r="L2099" s="8"/>
      <c r="M2099" s="8"/>
      <c r="N2099" s="8"/>
    </row>
    <row r="2100">
      <c r="A2100" s="8"/>
      <c r="L2100" s="8"/>
      <c r="M2100" s="8"/>
      <c r="N2100" s="8"/>
    </row>
    <row r="2101">
      <c r="A2101" s="8"/>
      <c r="L2101" s="8"/>
      <c r="M2101" s="8"/>
      <c r="N2101" s="8"/>
    </row>
    <row r="2102">
      <c r="A2102" s="8"/>
      <c r="L2102" s="8"/>
      <c r="M2102" s="8"/>
      <c r="N2102" s="8"/>
    </row>
    <row r="2103">
      <c r="A2103" s="8"/>
      <c r="L2103" s="8"/>
      <c r="M2103" s="8"/>
      <c r="N2103" s="8"/>
    </row>
    <row r="2104">
      <c r="A2104" s="8"/>
      <c r="L2104" s="8"/>
      <c r="M2104" s="8"/>
      <c r="N2104" s="8"/>
    </row>
    <row r="2105">
      <c r="A2105" s="8"/>
      <c r="L2105" s="8"/>
      <c r="M2105" s="8"/>
      <c r="N2105" s="8"/>
    </row>
    <row r="2106">
      <c r="A2106" s="8"/>
      <c r="L2106" s="8"/>
      <c r="M2106" s="8"/>
      <c r="N2106" s="8"/>
    </row>
    <row r="2107">
      <c r="A2107" s="8"/>
      <c r="L2107" s="8"/>
      <c r="M2107" s="8"/>
      <c r="N2107" s="8"/>
    </row>
    <row r="2108">
      <c r="A2108" s="8"/>
      <c r="L2108" s="8"/>
      <c r="M2108" s="8"/>
      <c r="N2108" s="8"/>
    </row>
    <row r="2109">
      <c r="A2109" s="8"/>
      <c r="L2109" s="8"/>
      <c r="M2109" s="8"/>
      <c r="N2109" s="8"/>
    </row>
    <row r="2110">
      <c r="A2110" s="8"/>
      <c r="L2110" s="8"/>
      <c r="M2110" s="8"/>
      <c r="N2110" s="8"/>
    </row>
    <row r="2111">
      <c r="A2111" s="8"/>
      <c r="L2111" s="8"/>
      <c r="M2111" s="8"/>
      <c r="N2111" s="8"/>
    </row>
    <row r="2112">
      <c r="A2112" s="8"/>
      <c r="L2112" s="8"/>
      <c r="M2112" s="8"/>
      <c r="N2112" s="8"/>
    </row>
    <row r="2113">
      <c r="A2113" s="8"/>
      <c r="L2113" s="8"/>
      <c r="M2113" s="8"/>
      <c r="N2113" s="8"/>
    </row>
    <row r="2114">
      <c r="A2114" s="8"/>
      <c r="L2114" s="8"/>
      <c r="M2114" s="8"/>
      <c r="N2114" s="8"/>
    </row>
    <row r="2115">
      <c r="A2115" s="8"/>
      <c r="L2115" s="8"/>
      <c r="M2115" s="8"/>
      <c r="N2115" s="8"/>
    </row>
    <row r="2116">
      <c r="A2116" s="8"/>
      <c r="L2116" s="8"/>
      <c r="M2116" s="8"/>
      <c r="N2116" s="8"/>
    </row>
    <row r="2117">
      <c r="A2117" s="8"/>
      <c r="L2117" s="8"/>
      <c r="M2117" s="8"/>
      <c r="N2117" s="8"/>
    </row>
    <row r="2118">
      <c r="A2118" s="8"/>
      <c r="L2118" s="8"/>
      <c r="M2118" s="8"/>
      <c r="N2118" s="8"/>
    </row>
    <row r="2119">
      <c r="A2119" s="8"/>
      <c r="L2119" s="8"/>
      <c r="M2119" s="8"/>
      <c r="N2119" s="8"/>
    </row>
    <row r="2120">
      <c r="A2120" s="8"/>
      <c r="L2120" s="8"/>
      <c r="M2120" s="8"/>
      <c r="N2120" s="8"/>
    </row>
    <row r="2121">
      <c r="A2121" s="8"/>
      <c r="L2121" s="8"/>
      <c r="M2121" s="8"/>
      <c r="N2121" s="8"/>
    </row>
    <row r="2122">
      <c r="A2122" s="8"/>
      <c r="L2122" s="8"/>
      <c r="M2122" s="8"/>
      <c r="N2122" s="8"/>
    </row>
    <row r="2123">
      <c r="A2123" s="8"/>
      <c r="L2123" s="8"/>
      <c r="M2123" s="8"/>
      <c r="N2123" s="8"/>
    </row>
    <row r="2124">
      <c r="A2124" s="8"/>
      <c r="L2124" s="8"/>
      <c r="M2124" s="8"/>
      <c r="N2124" s="8"/>
    </row>
    <row r="2125">
      <c r="A2125" s="8"/>
      <c r="L2125" s="8"/>
      <c r="M2125" s="8"/>
      <c r="N2125" s="8"/>
    </row>
    <row r="2126">
      <c r="A2126" s="8"/>
      <c r="L2126" s="8"/>
      <c r="M2126" s="8"/>
      <c r="N2126" s="8"/>
    </row>
    <row r="2127">
      <c r="A2127" s="8"/>
      <c r="L2127" s="8"/>
      <c r="M2127" s="8"/>
      <c r="N2127" s="8"/>
    </row>
    <row r="2128">
      <c r="A2128" s="8"/>
      <c r="L2128" s="8"/>
      <c r="M2128" s="8"/>
      <c r="N2128" s="8"/>
    </row>
    <row r="2129">
      <c r="A2129" s="8"/>
      <c r="L2129" s="8"/>
      <c r="M2129" s="8"/>
      <c r="N2129" s="8"/>
    </row>
    <row r="2130">
      <c r="A2130" s="8"/>
      <c r="L2130" s="8"/>
      <c r="M2130" s="8"/>
      <c r="N2130" s="8"/>
    </row>
    <row r="2131">
      <c r="A2131" s="8"/>
      <c r="L2131" s="8"/>
      <c r="M2131" s="8"/>
      <c r="N2131" s="8"/>
    </row>
    <row r="2132">
      <c r="A2132" s="8"/>
      <c r="L2132" s="8"/>
      <c r="M2132" s="8"/>
      <c r="N2132" s="8"/>
    </row>
    <row r="2133">
      <c r="A2133" s="8"/>
      <c r="L2133" s="8"/>
      <c r="M2133" s="8"/>
      <c r="N2133" s="8"/>
    </row>
    <row r="2134">
      <c r="A2134" s="8"/>
      <c r="L2134" s="8"/>
      <c r="M2134" s="8"/>
      <c r="N2134" s="8"/>
    </row>
    <row r="2135">
      <c r="A2135" s="8"/>
      <c r="L2135" s="8"/>
      <c r="M2135" s="8"/>
      <c r="N2135" s="8"/>
    </row>
    <row r="2136">
      <c r="A2136" s="8"/>
      <c r="L2136" s="8"/>
      <c r="M2136" s="8"/>
      <c r="N2136" s="8"/>
    </row>
    <row r="2137">
      <c r="A2137" s="8"/>
      <c r="L2137" s="8"/>
      <c r="M2137" s="8"/>
      <c r="N2137" s="8"/>
    </row>
    <row r="2138">
      <c r="A2138" s="8"/>
      <c r="L2138" s="8"/>
      <c r="M2138" s="8"/>
      <c r="N2138" s="8"/>
    </row>
    <row r="2139">
      <c r="A2139" s="8"/>
      <c r="L2139" s="8"/>
      <c r="M2139" s="8"/>
      <c r="N2139" s="8"/>
    </row>
    <row r="2140">
      <c r="A2140" s="8"/>
      <c r="L2140" s="8"/>
      <c r="M2140" s="8"/>
      <c r="N2140" s="8"/>
    </row>
    <row r="2141">
      <c r="A2141" s="8"/>
      <c r="L2141" s="8"/>
      <c r="M2141" s="8"/>
      <c r="N2141" s="8"/>
    </row>
    <row r="2142">
      <c r="A2142" s="8"/>
      <c r="L2142" s="8"/>
      <c r="M2142" s="8"/>
      <c r="N2142" s="8"/>
    </row>
    <row r="2143">
      <c r="A2143" s="8"/>
      <c r="L2143" s="8"/>
      <c r="M2143" s="8"/>
      <c r="N2143" s="8"/>
    </row>
    <row r="2144">
      <c r="A2144" s="8"/>
      <c r="L2144" s="8"/>
      <c r="M2144" s="8"/>
      <c r="N2144" s="8"/>
    </row>
    <row r="2145">
      <c r="A2145" s="8"/>
      <c r="L2145" s="8"/>
      <c r="M2145" s="8"/>
      <c r="N2145" s="8"/>
    </row>
    <row r="2146">
      <c r="A2146" s="8"/>
      <c r="L2146" s="8"/>
      <c r="M2146" s="8"/>
      <c r="N2146" s="8"/>
    </row>
    <row r="2147">
      <c r="A2147" s="8"/>
      <c r="L2147" s="8"/>
      <c r="M2147" s="8"/>
      <c r="N2147" s="8"/>
    </row>
    <row r="2148">
      <c r="A2148" s="8"/>
      <c r="L2148" s="8"/>
      <c r="M2148" s="8"/>
      <c r="N2148" s="8"/>
    </row>
    <row r="2149">
      <c r="A2149" s="8"/>
      <c r="L2149" s="8"/>
      <c r="M2149" s="8"/>
      <c r="N2149" s="8"/>
    </row>
    <row r="2150">
      <c r="A2150" s="8"/>
      <c r="L2150" s="8"/>
      <c r="M2150" s="8"/>
      <c r="N2150" s="8"/>
    </row>
    <row r="2151">
      <c r="A2151" s="8"/>
      <c r="L2151" s="8"/>
      <c r="M2151" s="8"/>
      <c r="N2151" s="8"/>
    </row>
    <row r="2152">
      <c r="A2152" s="8"/>
      <c r="L2152" s="8"/>
      <c r="M2152" s="8"/>
      <c r="N2152" s="8"/>
    </row>
    <row r="2153">
      <c r="A2153" s="8"/>
      <c r="L2153" s="8"/>
      <c r="M2153" s="8"/>
      <c r="N2153" s="8"/>
    </row>
    <row r="2154">
      <c r="A2154" s="8"/>
      <c r="L2154" s="8"/>
      <c r="M2154" s="8"/>
      <c r="N2154" s="8"/>
    </row>
    <row r="2155">
      <c r="A2155" s="8"/>
      <c r="L2155" s="8"/>
      <c r="M2155" s="8"/>
      <c r="N2155" s="8"/>
    </row>
    <row r="2156">
      <c r="A2156" s="8"/>
      <c r="L2156" s="8"/>
      <c r="M2156" s="8"/>
      <c r="N2156" s="8"/>
    </row>
    <row r="2157">
      <c r="A2157" s="8"/>
      <c r="L2157" s="8"/>
      <c r="M2157" s="8"/>
      <c r="N2157" s="8"/>
    </row>
    <row r="2158">
      <c r="A2158" s="8"/>
      <c r="L2158" s="8"/>
      <c r="M2158" s="8"/>
      <c r="N2158" s="8"/>
    </row>
    <row r="2159">
      <c r="A2159" s="8"/>
      <c r="L2159" s="8"/>
      <c r="M2159" s="8"/>
      <c r="N2159" s="8"/>
    </row>
    <row r="2160">
      <c r="A2160" s="8"/>
      <c r="L2160" s="8"/>
      <c r="M2160" s="8"/>
      <c r="N2160" s="8"/>
    </row>
    <row r="2161">
      <c r="A2161" s="8"/>
      <c r="L2161" s="8"/>
      <c r="M2161" s="8"/>
      <c r="N2161" s="8"/>
    </row>
    <row r="2162">
      <c r="A2162" s="8"/>
      <c r="L2162" s="8"/>
      <c r="M2162" s="8"/>
      <c r="N2162" s="8"/>
    </row>
    <row r="2163">
      <c r="A2163" s="8"/>
      <c r="L2163" s="8"/>
      <c r="M2163" s="8"/>
      <c r="N2163" s="8"/>
    </row>
    <row r="2164">
      <c r="A2164" s="8"/>
      <c r="L2164" s="8"/>
      <c r="M2164" s="8"/>
      <c r="N2164" s="8"/>
    </row>
    <row r="2165">
      <c r="A2165" s="8"/>
      <c r="L2165" s="8"/>
      <c r="M2165" s="8"/>
      <c r="N2165" s="8"/>
    </row>
    <row r="2166">
      <c r="A2166" s="8"/>
      <c r="L2166" s="8"/>
      <c r="M2166" s="8"/>
      <c r="N2166" s="8"/>
    </row>
    <row r="2167">
      <c r="A2167" s="8"/>
      <c r="L2167" s="8"/>
      <c r="M2167" s="8"/>
      <c r="N2167" s="8"/>
    </row>
    <row r="2168">
      <c r="A2168" s="8"/>
      <c r="L2168" s="8"/>
      <c r="M2168" s="8"/>
      <c r="N2168" s="8"/>
    </row>
    <row r="2169">
      <c r="A2169" s="8"/>
      <c r="L2169" s="8"/>
      <c r="M2169" s="8"/>
      <c r="N2169" s="8"/>
    </row>
    <row r="2170">
      <c r="A2170" s="8"/>
      <c r="L2170" s="8"/>
      <c r="M2170" s="8"/>
      <c r="N2170" s="8"/>
    </row>
    <row r="2171">
      <c r="A2171" s="8"/>
      <c r="L2171" s="8"/>
      <c r="M2171" s="8"/>
      <c r="N2171" s="8"/>
    </row>
    <row r="2172">
      <c r="A2172" s="8"/>
      <c r="L2172" s="8"/>
      <c r="M2172" s="8"/>
      <c r="N2172" s="8"/>
    </row>
    <row r="2173">
      <c r="A2173" s="8"/>
      <c r="L2173" s="8"/>
      <c r="M2173" s="8"/>
      <c r="N2173" s="8"/>
    </row>
    <row r="2174">
      <c r="A2174" s="8"/>
      <c r="L2174" s="8"/>
      <c r="M2174" s="8"/>
      <c r="N2174" s="8"/>
    </row>
    <row r="2175">
      <c r="A2175" s="8"/>
      <c r="L2175" s="8"/>
      <c r="M2175" s="8"/>
      <c r="N2175" s="8"/>
    </row>
    <row r="2176">
      <c r="A2176" s="8"/>
      <c r="L2176" s="8"/>
      <c r="M2176" s="8"/>
      <c r="N2176" s="8"/>
    </row>
    <row r="2177">
      <c r="A2177" s="8"/>
      <c r="L2177" s="8"/>
      <c r="M2177" s="8"/>
      <c r="N2177" s="8"/>
    </row>
    <row r="2178">
      <c r="A2178" s="8"/>
      <c r="L2178" s="8"/>
      <c r="M2178" s="8"/>
      <c r="N2178" s="8"/>
    </row>
    <row r="2179">
      <c r="A2179" s="8"/>
      <c r="L2179" s="8"/>
      <c r="M2179" s="8"/>
      <c r="N2179" s="8"/>
    </row>
    <row r="2180">
      <c r="A2180" s="8"/>
      <c r="L2180" s="8"/>
      <c r="M2180" s="8"/>
      <c r="N2180" s="8"/>
    </row>
    <row r="2181">
      <c r="A2181" s="8"/>
      <c r="L2181" s="8"/>
      <c r="M2181" s="8"/>
      <c r="N2181" s="8"/>
    </row>
    <row r="2182">
      <c r="A2182" s="8"/>
      <c r="L2182" s="8"/>
      <c r="M2182" s="8"/>
      <c r="N2182" s="8"/>
    </row>
    <row r="2183">
      <c r="A2183" s="8"/>
      <c r="L2183" s="8"/>
      <c r="M2183" s="8"/>
      <c r="N2183" s="8"/>
    </row>
    <row r="2184">
      <c r="A2184" s="8"/>
      <c r="L2184" s="8"/>
      <c r="M2184" s="8"/>
      <c r="N2184" s="8"/>
    </row>
    <row r="2185">
      <c r="A2185" s="8"/>
      <c r="L2185" s="8"/>
      <c r="M2185" s="8"/>
      <c r="N2185" s="8"/>
    </row>
    <row r="2186">
      <c r="A2186" s="8"/>
      <c r="L2186" s="8"/>
      <c r="M2186" s="8"/>
      <c r="N2186" s="8"/>
    </row>
    <row r="2187">
      <c r="A2187" s="8"/>
      <c r="L2187" s="8"/>
      <c r="M2187" s="8"/>
      <c r="N2187" s="8"/>
    </row>
    <row r="2188">
      <c r="A2188" s="8"/>
      <c r="L2188" s="8"/>
      <c r="M2188" s="8"/>
      <c r="N2188" s="8"/>
    </row>
    <row r="2189">
      <c r="A2189" s="8"/>
      <c r="L2189" s="8"/>
      <c r="M2189" s="8"/>
      <c r="N2189" s="8"/>
    </row>
    <row r="2190">
      <c r="A2190" s="8"/>
      <c r="L2190" s="8"/>
      <c r="M2190" s="8"/>
      <c r="N2190" s="8"/>
    </row>
    <row r="2191">
      <c r="A2191" s="8"/>
      <c r="L2191" s="8"/>
      <c r="M2191" s="8"/>
      <c r="N2191" s="8"/>
    </row>
    <row r="2192">
      <c r="A2192" s="8"/>
      <c r="L2192" s="8"/>
      <c r="M2192" s="8"/>
      <c r="N2192" s="8"/>
    </row>
    <row r="2193">
      <c r="A2193" s="8"/>
      <c r="L2193" s="8"/>
      <c r="M2193" s="8"/>
      <c r="N2193" s="8"/>
    </row>
    <row r="2194">
      <c r="A2194" s="8"/>
      <c r="L2194" s="8"/>
      <c r="M2194" s="8"/>
      <c r="N2194" s="8"/>
    </row>
    <row r="2195">
      <c r="A2195" s="8"/>
      <c r="L2195" s="8"/>
      <c r="M2195" s="8"/>
      <c r="N2195" s="8"/>
    </row>
    <row r="2196">
      <c r="A2196" s="8"/>
      <c r="L2196" s="8"/>
      <c r="M2196" s="8"/>
      <c r="N2196" s="8"/>
    </row>
    <row r="2197">
      <c r="A2197" s="8"/>
      <c r="L2197" s="8"/>
      <c r="M2197" s="8"/>
      <c r="N2197" s="8"/>
    </row>
    <row r="2198">
      <c r="A2198" s="8"/>
      <c r="L2198" s="8"/>
      <c r="M2198" s="8"/>
      <c r="N2198" s="8"/>
    </row>
    <row r="2199">
      <c r="A2199" s="8"/>
      <c r="L2199" s="8"/>
      <c r="M2199" s="8"/>
      <c r="N2199" s="8"/>
    </row>
    <row r="2200">
      <c r="A2200" s="8"/>
      <c r="L2200" s="8"/>
      <c r="M2200" s="8"/>
      <c r="N2200" s="8"/>
    </row>
    <row r="2201">
      <c r="A2201" s="8"/>
      <c r="L2201" s="8"/>
      <c r="M2201" s="8"/>
      <c r="N2201" s="8"/>
    </row>
    <row r="2202">
      <c r="A2202" s="8"/>
      <c r="L2202" s="8"/>
      <c r="M2202" s="8"/>
      <c r="N2202" s="8"/>
    </row>
    <row r="2203">
      <c r="A2203" s="8"/>
      <c r="L2203" s="8"/>
      <c r="M2203" s="8"/>
      <c r="N2203" s="8"/>
    </row>
    <row r="2204">
      <c r="A2204" s="8"/>
      <c r="L2204" s="8"/>
      <c r="M2204" s="8"/>
      <c r="N2204" s="8"/>
    </row>
    <row r="2205">
      <c r="A2205" s="8"/>
      <c r="L2205" s="8"/>
      <c r="M2205" s="8"/>
      <c r="N2205" s="8"/>
    </row>
    <row r="2206">
      <c r="A2206" s="8"/>
      <c r="L2206" s="8"/>
      <c r="M2206" s="8"/>
      <c r="N2206" s="8"/>
    </row>
    <row r="2207">
      <c r="A2207" s="8"/>
      <c r="L2207" s="8"/>
      <c r="M2207" s="8"/>
      <c r="N2207" s="8"/>
    </row>
    <row r="2208">
      <c r="A2208" s="8"/>
      <c r="L2208" s="8"/>
      <c r="M2208" s="8"/>
      <c r="N2208" s="8"/>
    </row>
    <row r="2209">
      <c r="A2209" s="8"/>
      <c r="L2209" s="8"/>
      <c r="M2209" s="8"/>
      <c r="N2209" s="8"/>
    </row>
    <row r="2210">
      <c r="A2210" s="8"/>
      <c r="L2210" s="8"/>
      <c r="M2210" s="8"/>
      <c r="N2210" s="8"/>
    </row>
    <row r="2211">
      <c r="A2211" s="8"/>
      <c r="L2211" s="8"/>
      <c r="M2211" s="8"/>
      <c r="N2211" s="8"/>
    </row>
    <row r="2212">
      <c r="A2212" s="8"/>
      <c r="L2212" s="8"/>
      <c r="M2212" s="8"/>
      <c r="N2212" s="8"/>
    </row>
    <row r="2213">
      <c r="A2213" s="8"/>
      <c r="L2213" s="8"/>
      <c r="M2213" s="8"/>
      <c r="N2213" s="8"/>
    </row>
    <row r="2214">
      <c r="A2214" s="8"/>
      <c r="L2214" s="8"/>
      <c r="M2214" s="8"/>
      <c r="N2214" s="8"/>
    </row>
    <row r="2215">
      <c r="A2215" s="8"/>
      <c r="L2215" s="8"/>
      <c r="M2215" s="8"/>
      <c r="N2215" s="8"/>
    </row>
    <row r="2216">
      <c r="A2216" s="8"/>
      <c r="L2216" s="8"/>
      <c r="M2216" s="8"/>
      <c r="N2216" s="8"/>
    </row>
    <row r="2217">
      <c r="A2217" s="8"/>
      <c r="L2217" s="8"/>
      <c r="M2217" s="8"/>
      <c r="N2217" s="8"/>
    </row>
    <row r="2218">
      <c r="A2218" s="8"/>
      <c r="L2218" s="8"/>
      <c r="M2218" s="8"/>
      <c r="N2218" s="8"/>
    </row>
    <row r="2219">
      <c r="A2219" s="8"/>
      <c r="L2219" s="8"/>
      <c r="M2219" s="8"/>
      <c r="N2219" s="8"/>
    </row>
    <row r="2220">
      <c r="A2220" s="8"/>
      <c r="L2220" s="8"/>
      <c r="M2220" s="8"/>
      <c r="N2220" s="8"/>
    </row>
    <row r="2221">
      <c r="A2221" s="8"/>
      <c r="L2221" s="8"/>
      <c r="M2221" s="8"/>
      <c r="N2221" s="8"/>
    </row>
    <row r="2222">
      <c r="A2222" s="8"/>
      <c r="L2222" s="8"/>
      <c r="M2222" s="8"/>
      <c r="N2222" s="8"/>
    </row>
    <row r="2223">
      <c r="A2223" s="8"/>
      <c r="L2223" s="8"/>
      <c r="M2223" s="8"/>
      <c r="N2223" s="8"/>
    </row>
    <row r="2224">
      <c r="A2224" s="8"/>
      <c r="L2224" s="8"/>
      <c r="M2224" s="8"/>
      <c r="N2224" s="8"/>
    </row>
    <row r="2225">
      <c r="A2225" s="8"/>
      <c r="L2225" s="8"/>
      <c r="M2225" s="8"/>
      <c r="N2225" s="8"/>
    </row>
    <row r="2226">
      <c r="A2226" s="8"/>
      <c r="L2226" s="8"/>
      <c r="M2226" s="8"/>
      <c r="N2226" s="8"/>
    </row>
    <row r="2227">
      <c r="A2227" s="8"/>
      <c r="L2227" s="8"/>
      <c r="M2227" s="8"/>
      <c r="N2227" s="8"/>
    </row>
    <row r="2228">
      <c r="A2228" s="8"/>
      <c r="L2228" s="8"/>
      <c r="M2228" s="8"/>
      <c r="N2228" s="8"/>
    </row>
    <row r="2229">
      <c r="A2229" s="8"/>
      <c r="L2229" s="8"/>
      <c r="M2229" s="8"/>
      <c r="N2229" s="8"/>
    </row>
    <row r="2230">
      <c r="A2230" s="8"/>
      <c r="L2230" s="8"/>
      <c r="M2230" s="8"/>
      <c r="N2230" s="8"/>
    </row>
    <row r="2231">
      <c r="A2231" s="8"/>
      <c r="L2231" s="8"/>
      <c r="M2231" s="8"/>
      <c r="N2231" s="8"/>
    </row>
    <row r="2232">
      <c r="A2232" s="8"/>
      <c r="L2232" s="8"/>
      <c r="M2232" s="8"/>
      <c r="N2232" s="8"/>
    </row>
    <row r="2233">
      <c r="A2233" s="8"/>
      <c r="L2233" s="8"/>
      <c r="M2233" s="8"/>
      <c r="N2233" s="8"/>
    </row>
    <row r="2234">
      <c r="A2234" s="8"/>
      <c r="L2234" s="8"/>
      <c r="M2234" s="8"/>
      <c r="N2234" s="8"/>
    </row>
    <row r="2235">
      <c r="A2235" s="8"/>
      <c r="L2235" s="8"/>
      <c r="M2235" s="8"/>
      <c r="N2235" s="8"/>
    </row>
    <row r="2236">
      <c r="A2236" s="8"/>
      <c r="L2236" s="8"/>
      <c r="M2236" s="8"/>
      <c r="N2236" s="8"/>
    </row>
    <row r="2237">
      <c r="A2237" s="8"/>
      <c r="L2237" s="8"/>
      <c r="M2237" s="8"/>
      <c r="N2237" s="8"/>
    </row>
    <row r="2238">
      <c r="A2238" s="8"/>
      <c r="L2238" s="8"/>
      <c r="M2238" s="8"/>
      <c r="N2238" s="8"/>
    </row>
    <row r="2239">
      <c r="A2239" s="8"/>
      <c r="L2239" s="8"/>
      <c r="M2239" s="8"/>
      <c r="N2239" s="8"/>
    </row>
    <row r="2240">
      <c r="A2240" s="8"/>
      <c r="L2240" s="8"/>
      <c r="M2240" s="8"/>
      <c r="N2240" s="8"/>
    </row>
    <row r="2241">
      <c r="A2241" s="8"/>
      <c r="L2241" s="8"/>
      <c r="M2241" s="8"/>
      <c r="N2241" s="8"/>
    </row>
    <row r="2242">
      <c r="A2242" s="8"/>
      <c r="L2242" s="8"/>
      <c r="M2242" s="8"/>
      <c r="N2242" s="8"/>
    </row>
    <row r="2243">
      <c r="A2243" s="8"/>
      <c r="L2243" s="8"/>
      <c r="M2243" s="8"/>
      <c r="N2243" s="8"/>
    </row>
    <row r="2244">
      <c r="A2244" s="8"/>
      <c r="L2244" s="8"/>
      <c r="M2244" s="8"/>
      <c r="N2244" s="8"/>
    </row>
    <row r="2245">
      <c r="A2245" s="8"/>
      <c r="L2245" s="8"/>
      <c r="M2245" s="8"/>
      <c r="N2245" s="8"/>
    </row>
    <row r="2246">
      <c r="A2246" s="8"/>
      <c r="L2246" s="8"/>
      <c r="M2246" s="8"/>
      <c r="N2246" s="8"/>
    </row>
    <row r="2247">
      <c r="A2247" s="8"/>
      <c r="L2247" s="8"/>
      <c r="M2247" s="8"/>
      <c r="N2247" s="8"/>
    </row>
    <row r="2248">
      <c r="A2248" s="8"/>
      <c r="L2248" s="8"/>
      <c r="M2248" s="8"/>
      <c r="N2248" s="8"/>
    </row>
    <row r="2249">
      <c r="A2249" s="8"/>
      <c r="L2249" s="8"/>
      <c r="M2249" s="8"/>
      <c r="N2249" s="8"/>
    </row>
    <row r="2250">
      <c r="A2250" s="8"/>
      <c r="L2250" s="8"/>
      <c r="M2250" s="8"/>
      <c r="N2250" s="8"/>
    </row>
    <row r="2251">
      <c r="A2251" s="8"/>
      <c r="L2251" s="8"/>
      <c r="M2251" s="8"/>
      <c r="N2251" s="8"/>
    </row>
    <row r="2252">
      <c r="A2252" s="8"/>
      <c r="L2252" s="8"/>
      <c r="M2252" s="8"/>
      <c r="N2252" s="8"/>
    </row>
    <row r="2253">
      <c r="A2253" s="8"/>
      <c r="L2253" s="8"/>
      <c r="M2253" s="8"/>
      <c r="N2253" s="8"/>
    </row>
    <row r="2254">
      <c r="A2254" s="8"/>
      <c r="L2254" s="8"/>
      <c r="M2254" s="8"/>
      <c r="N2254" s="8"/>
    </row>
    <row r="2255">
      <c r="A2255" s="8"/>
      <c r="L2255" s="8"/>
      <c r="M2255" s="8"/>
      <c r="N2255" s="8"/>
    </row>
    <row r="2256">
      <c r="A2256" s="8"/>
      <c r="L2256" s="8"/>
      <c r="M2256" s="8"/>
      <c r="N2256" s="8"/>
    </row>
    <row r="2257">
      <c r="A2257" s="8"/>
      <c r="L2257" s="8"/>
      <c r="M2257" s="8"/>
      <c r="N2257" s="8"/>
    </row>
    <row r="2258">
      <c r="A2258" s="8"/>
      <c r="L2258" s="8"/>
      <c r="M2258" s="8"/>
      <c r="N2258" s="8"/>
    </row>
    <row r="2259">
      <c r="A2259" s="8"/>
      <c r="L2259" s="8"/>
      <c r="M2259" s="8"/>
      <c r="N2259" s="8"/>
    </row>
    <row r="2260">
      <c r="A2260" s="8"/>
      <c r="L2260" s="8"/>
      <c r="M2260" s="8"/>
      <c r="N2260" s="8"/>
    </row>
    <row r="2261">
      <c r="A2261" s="8"/>
      <c r="L2261" s="8"/>
      <c r="M2261" s="8"/>
      <c r="N2261" s="8"/>
    </row>
    <row r="2262">
      <c r="A2262" s="8"/>
      <c r="L2262" s="8"/>
      <c r="M2262" s="8"/>
      <c r="N2262" s="8"/>
    </row>
    <row r="2263">
      <c r="A2263" s="8"/>
      <c r="L2263" s="8"/>
      <c r="M2263" s="8"/>
      <c r="N2263" s="8"/>
    </row>
    <row r="2264">
      <c r="A2264" s="8"/>
      <c r="L2264" s="8"/>
      <c r="M2264" s="8"/>
      <c r="N2264" s="8"/>
    </row>
    <row r="2265">
      <c r="A2265" s="8"/>
      <c r="L2265" s="8"/>
      <c r="M2265" s="8"/>
      <c r="N2265" s="8"/>
    </row>
    <row r="2266">
      <c r="A2266" s="8"/>
      <c r="L2266" s="8"/>
      <c r="M2266" s="8"/>
      <c r="N2266" s="8"/>
    </row>
    <row r="2267">
      <c r="A2267" s="8"/>
      <c r="L2267" s="8"/>
      <c r="M2267" s="8"/>
      <c r="N2267" s="8"/>
    </row>
    <row r="2268">
      <c r="A2268" s="8"/>
      <c r="L2268" s="8"/>
      <c r="M2268" s="8"/>
      <c r="N2268" s="8"/>
    </row>
    <row r="2269">
      <c r="A2269" s="8"/>
      <c r="L2269" s="8"/>
      <c r="M2269" s="8"/>
      <c r="N2269" s="8"/>
    </row>
    <row r="2270">
      <c r="A2270" s="8"/>
      <c r="L2270" s="8"/>
      <c r="M2270" s="8"/>
      <c r="N2270" s="8"/>
    </row>
    <row r="2271">
      <c r="A2271" s="8"/>
      <c r="L2271" s="8"/>
      <c r="M2271" s="8"/>
      <c r="N2271" s="8"/>
    </row>
    <row r="2272">
      <c r="A2272" s="8"/>
      <c r="L2272" s="8"/>
      <c r="M2272" s="8"/>
      <c r="N2272" s="8"/>
    </row>
    <row r="2273">
      <c r="A2273" s="8"/>
      <c r="L2273" s="8"/>
      <c r="M2273" s="8"/>
      <c r="N2273" s="8"/>
    </row>
    <row r="2274">
      <c r="A2274" s="8"/>
      <c r="L2274" s="8"/>
      <c r="M2274" s="8"/>
      <c r="N2274" s="8"/>
    </row>
    <row r="2275">
      <c r="A2275" s="8"/>
      <c r="L2275" s="8"/>
      <c r="M2275" s="8"/>
      <c r="N2275" s="8"/>
    </row>
    <row r="2276">
      <c r="A2276" s="8"/>
      <c r="L2276" s="8"/>
      <c r="M2276" s="8"/>
      <c r="N2276" s="8"/>
    </row>
    <row r="2277">
      <c r="A2277" s="8"/>
      <c r="L2277" s="8"/>
      <c r="M2277" s="8"/>
      <c r="N2277" s="8"/>
    </row>
    <row r="2278">
      <c r="A2278" s="8"/>
      <c r="L2278" s="8"/>
      <c r="M2278" s="8"/>
      <c r="N2278" s="8"/>
    </row>
    <row r="2279">
      <c r="A2279" s="8"/>
      <c r="L2279" s="8"/>
      <c r="M2279" s="8"/>
      <c r="N2279" s="8"/>
    </row>
    <row r="2280">
      <c r="A2280" s="8"/>
      <c r="L2280" s="8"/>
      <c r="M2280" s="8"/>
      <c r="N2280" s="8"/>
    </row>
    <row r="2281">
      <c r="A2281" s="8"/>
      <c r="L2281" s="8"/>
      <c r="M2281" s="8"/>
      <c r="N2281" s="8"/>
    </row>
    <row r="2282">
      <c r="A2282" s="8"/>
      <c r="L2282" s="8"/>
      <c r="M2282" s="8"/>
      <c r="N2282" s="8"/>
    </row>
    <row r="2283">
      <c r="A2283" s="8"/>
      <c r="L2283" s="8"/>
      <c r="M2283" s="8"/>
      <c r="N2283" s="8"/>
    </row>
    <row r="2284">
      <c r="A2284" s="8"/>
      <c r="L2284" s="8"/>
      <c r="M2284" s="8"/>
      <c r="N2284" s="8"/>
    </row>
    <row r="2285">
      <c r="A2285" s="8"/>
      <c r="L2285" s="8"/>
      <c r="M2285" s="8"/>
      <c r="N2285" s="8"/>
    </row>
    <row r="2286">
      <c r="A2286" s="8"/>
      <c r="L2286" s="8"/>
      <c r="M2286" s="8"/>
      <c r="N2286" s="8"/>
    </row>
    <row r="2287">
      <c r="A2287" s="8"/>
      <c r="L2287" s="8"/>
      <c r="M2287" s="8"/>
      <c r="N2287" s="8"/>
    </row>
    <row r="2288">
      <c r="A2288" s="8"/>
      <c r="L2288" s="8"/>
      <c r="M2288" s="8"/>
      <c r="N2288" s="8"/>
    </row>
    <row r="2289">
      <c r="A2289" s="8"/>
      <c r="L2289" s="8"/>
      <c r="M2289" s="8"/>
      <c r="N2289" s="8"/>
    </row>
    <row r="2290">
      <c r="A2290" s="8"/>
      <c r="L2290" s="8"/>
      <c r="M2290" s="8"/>
      <c r="N2290" s="8"/>
    </row>
    <row r="2291">
      <c r="A2291" s="8"/>
      <c r="L2291" s="8"/>
      <c r="M2291" s="8"/>
      <c r="N2291" s="8"/>
    </row>
    <row r="2292">
      <c r="A2292" s="8"/>
      <c r="L2292" s="8"/>
      <c r="M2292" s="8"/>
      <c r="N2292" s="8"/>
    </row>
    <row r="2293">
      <c r="A2293" s="8"/>
      <c r="L2293" s="8"/>
      <c r="M2293" s="8"/>
      <c r="N2293" s="8"/>
    </row>
    <row r="2294">
      <c r="A2294" s="8"/>
      <c r="L2294" s="8"/>
      <c r="M2294" s="8"/>
      <c r="N2294" s="8"/>
    </row>
    <row r="2295">
      <c r="A2295" s="8"/>
      <c r="L2295" s="8"/>
      <c r="M2295" s="8"/>
      <c r="N2295" s="8"/>
    </row>
    <row r="2296">
      <c r="A2296" s="8"/>
      <c r="L2296" s="8"/>
      <c r="M2296" s="8"/>
      <c r="N2296" s="8"/>
    </row>
    <row r="2297">
      <c r="A2297" s="8"/>
      <c r="L2297" s="8"/>
      <c r="M2297" s="8"/>
      <c r="N2297" s="8"/>
    </row>
    <row r="2298">
      <c r="A2298" s="8"/>
      <c r="L2298" s="8"/>
      <c r="M2298" s="8"/>
      <c r="N2298" s="8"/>
    </row>
    <row r="2299">
      <c r="A2299" s="8"/>
      <c r="L2299" s="8"/>
      <c r="M2299" s="8"/>
      <c r="N2299" s="8"/>
    </row>
    <row r="2300">
      <c r="A2300" s="8"/>
      <c r="L2300" s="8"/>
      <c r="M2300" s="8"/>
      <c r="N2300" s="8"/>
    </row>
    <row r="2301">
      <c r="A2301" s="8"/>
      <c r="L2301" s="8"/>
      <c r="M2301" s="8"/>
      <c r="N2301" s="8"/>
    </row>
    <row r="2302">
      <c r="A2302" s="8"/>
      <c r="L2302" s="8"/>
      <c r="M2302" s="8"/>
      <c r="N2302" s="8"/>
    </row>
    <row r="2303">
      <c r="A2303" s="8"/>
      <c r="L2303" s="8"/>
      <c r="M2303" s="8"/>
      <c r="N2303" s="8"/>
    </row>
    <row r="2304">
      <c r="A2304" s="8"/>
      <c r="L2304" s="8"/>
      <c r="M2304" s="8"/>
      <c r="N2304" s="8"/>
    </row>
    <row r="2305">
      <c r="A2305" s="8"/>
      <c r="L2305" s="8"/>
      <c r="M2305" s="8"/>
      <c r="N2305" s="8"/>
    </row>
    <row r="2306">
      <c r="A2306" s="8"/>
      <c r="L2306" s="8"/>
      <c r="M2306" s="8"/>
      <c r="N2306" s="8"/>
    </row>
    <row r="2307">
      <c r="A2307" s="8"/>
      <c r="L2307" s="8"/>
      <c r="M2307" s="8"/>
      <c r="N2307" s="8"/>
    </row>
    <row r="2308">
      <c r="A2308" s="8"/>
      <c r="L2308" s="8"/>
      <c r="M2308" s="8"/>
      <c r="N2308" s="8"/>
    </row>
    <row r="2309">
      <c r="A2309" s="8"/>
      <c r="L2309" s="8"/>
      <c r="M2309" s="8"/>
      <c r="N2309" s="8"/>
    </row>
    <row r="2310">
      <c r="A2310" s="8"/>
      <c r="L2310" s="8"/>
      <c r="M2310" s="8"/>
      <c r="N2310" s="8"/>
    </row>
    <row r="2311">
      <c r="A2311" s="8"/>
      <c r="L2311" s="8"/>
      <c r="M2311" s="8"/>
      <c r="N2311" s="8"/>
    </row>
    <row r="2312">
      <c r="A2312" s="8"/>
      <c r="L2312" s="8"/>
      <c r="M2312" s="8"/>
      <c r="N2312" s="8"/>
    </row>
    <row r="2313">
      <c r="A2313" s="8"/>
      <c r="L2313" s="8"/>
      <c r="M2313" s="8"/>
      <c r="N2313" s="8"/>
    </row>
    <row r="2314">
      <c r="A2314" s="8"/>
      <c r="L2314" s="8"/>
      <c r="M2314" s="8"/>
      <c r="N2314" s="8"/>
    </row>
    <row r="2315">
      <c r="A2315" s="8"/>
      <c r="L2315" s="8"/>
      <c r="M2315" s="8"/>
      <c r="N2315" s="8"/>
    </row>
    <row r="2316">
      <c r="A2316" s="8"/>
      <c r="L2316" s="8"/>
      <c r="M2316" s="8"/>
      <c r="N2316" s="8"/>
    </row>
    <row r="2317">
      <c r="A2317" s="8"/>
      <c r="L2317" s="8"/>
      <c r="M2317" s="8"/>
      <c r="N2317" s="8"/>
    </row>
    <row r="2318">
      <c r="A2318" s="8"/>
      <c r="L2318" s="8"/>
      <c r="M2318" s="8"/>
      <c r="N2318" s="8"/>
    </row>
    <row r="2319">
      <c r="A2319" s="8"/>
      <c r="L2319" s="8"/>
      <c r="M2319" s="8"/>
      <c r="N2319" s="8"/>
    </row>
    <row r="2320">
      <c r="A2320" s="8"/>
      <c r="L2320" s="8"/>
      <c r="M2320" s="8"/>
      <c r="N2320" s="8"/>
    </row>
    <row r="2321">
      <c r="A2321" s="8"/>
      <c r="L2321" s="8"/>
      <c r="M2321" s="8"/>
      <c r="N2321" s="8"/>
    </row>
    <row r="2322">
      <c r="A2322" s="8"/>
      <c r="L2322" s="8"/>
      <c r="M2322" s="8"/>
      <c r="N2322" s="8"/>
    </row>
    <row r="2323">
      <c r="A2323" s="8"/>
      <c r="L2323" s="8"/>
      <c r="M2323" s="8"/>
      <c r="N2323" s="8"/>
    </row>
    <row r="2324">
      <c r="A2324" s="8"/>
      <c r="L2324" s="8"/>
      <c r="M2324" s="8"/>
      <c r="N2324" s="8"/>
    </row>
    <row r="2325">
      <c r="A2325" s="8"/>
      <c r="L2325" s="8"/>
      <c r="M2325" s="8"/>
      <c r="N2325" s="8"/>
    </row>
    <row r="2326">
      <c r="A2326" s="8"/>
      <c r="L2326" s="8"/>
      <c r="M2326" s="8"/>
      <c r="N2326" s="8"/>
    </row>
    <row r="2327">
      <c r="A2327" s="8"/>
      <c r="L2327" s="8"/>
      <c r="M2327" s="8"/>
      <c r="N2327" s="8"/>
    </row>
    <row r="2328">
      <c r="A2328" s="8"/>
      <c r="L2328" s="8"/>
      <c r="M2328" s="8"/>
      <c r="N2328" s="8"/>
    </row>
    <row r="2329">
      <c r="A2329" s="8"/>
      <c r="L2329" s="8"/>
      <c r="M2329" s="8"/>
      <c r="N2329" s="8"/>
    </row>
    <row r="2330">
      <c r="A2330" s="8"/>
      <c r="L2330" s="8"/>
      <c r="M2330" s="8"/>
      <c r="N2330" s="8"/>
    </row>
    <row r="2331">
      <c r="A2331" s="8"/>
      <c r="L2331" s="8"/>
      <c r="M2331" s="8"/>
      <c r="N2331" s="8"/>
    </row>
    <row r="2332">
      <c r="A2332" s="8"/>
      <c r="L2332" s="8"/>
      <c r="M2332" s="8"/>
      <c r="N2332" s="8"/>
    </row>
    <row r="2333">
      <c r="A2333" s="8"/>
      <c r="L2333" s="8"/>
      <c r="M2333" s="8"/>
      <c r="N2333" s="8"/>
    </row>
    <row r="2334">
      <c r="A2334" s="8"/>
      <c r="L2334" s="8"/>
      <c r="M2334" s="8"/>
      <c r="N2334" s="8"/>
    </row>
    <row r="2335">
      <c r="A2335" s="8"/>
      <c r="L2335" s="8"/>
      <c r="M2335" s="8"/>
      <c r="N2335" s="8"/>
    </row>
    <row r="2336">
      <c r="A2336" s="8"/>
      <c r="L2336" s="8"/>
      <c r="M2336" s="8"/>
      <c r="N2336" s="8"/>
    </row>
    <row r="2337">
      <c r="A2337" s="8"/>
      <c r="L2337" s="8"/>
      <c r="M2337" s="8"/>
      <c r="N2337" s="8"/>
    </row>
    <row r="2338">
      <c r="A2338" s="8"/>
      <c r="L2338" s="8"/>
      <c r="M2338" s="8"/>
      <c r="N2338" s="8"/>
    </row>
    <row r="2339">
      <c r="A2339" s="8"/>
      <c r="L2339" s="8"/>
      <c r="M2339" s="8"/>
      <c r="N2339" s="8"/>
    </row>
    <row r="2340">
      <c r="A2340" s="8"/>
      <c r="L2340" s="8"/>
      <c r="M2340" s="8"/>
      <c r="N2340" s="8"/>
    </row>
    <row r="2341">
      <c r="A2341" s="8"/>
      <c r="L2341" s="8"/>
      <c r="M2341" s="8"/>
      <c r="N2341" s="8"/>
    </row>
    <row r="2342">
      <c r="A2342" s="8"/>
      <c r="L2342" s="8"/>
      <c r="M2342" s="8"/>
      <c r="N2342" s="8"/>
    </row>
    <row r="2343">
      <c r="A2343" s="8"/>
      <c r="L2343" s="8"/>
      <c r="M2343" s="8"/>
      <c r="N2343" s="8"/>
    </row>
    <row r="2344">
      <c r="A2344" s="8"/>
      <c r="L2344" s="8"/>
      <c r="M2344" s="8"/>
      <c r="N2344" s="8"/>
    </row>
    <row r="2345">
      <c r="A2345" s="8"/>
      <c r="L2345" s="8"/>
      <c r="M2345" s="8"/>
      <c r="N2345" s="8"/>
    </row>
    <row r="2346">
      <c r="A2346" s="8"/>
      <c r="L2346" s="8"/>
      <c r="M2346" s="8"/>
      <c r="N2346" s="8"/>
    </row>
    <row r="2347">
      <c r="A2347" s="8"/>
      <c r="L2347" s="8"/>
      <c r="M2347" s="8"/>
      <c r="N2347" s="8"/>
    </row>
    <row r="2348">
      <c r="A2348" s="8"/>
      <c r="L2348" s="8"/>
      <c r="M2348" s="8"/>
      <c r="N2348" s="8"/>
    </row>
    <row r="2349">
      <c r="A2349" s="8"/>
      <c r="L2349" s="8"/>
      <c r="M2349" s="8"/>
      <c r="N2349" s="8"/>
    </row>
    <row r="2350">
      <c r="A2350" s="8"/>
      <c r="L2350" s="8"/>
      <c r="M2350" s="8"/>
      <c r="N2350" s="8"/>
    </row>
    <row r="2351">
      <c r="A2351" s="8"/>
      <c r="L2351" s="8"/>
      <c r="M2351" s="8"/>
      <c r="N2351" s="8"/>
    </row>
    <row r="2352">
      <c r="A2352" s="8"/>
      <c r="L2352" s="8"/>
      <c r="M2352" s="8"/>
      <c r="N2352" s="8"/>
    </row>
    <row r="2353">
      <c r="A2353" s="8"/>
      <c r="L2353" s="8"/>
      <c r="M2353" s="8"/>
      <c r="N2353" s="8"/>
    </row>
    <row r="2354">
      <c r="A2354" s="8"/>
      <c r="L2354" s="8"/>
      <c r="M2354" s="8"/>
      <c r="N2354" s="8"/>
    </row>
    <row r="2355">
      <c r="A2355" s="8"/>
      <c r="L2355" s="8"/>
      <c r="M2355" s="8"/>
      <c r="N2355" s="8"/>
    </row>
    <row r="2356">
      <c r="A2356" s="8"/>
      <c r="L2356" s="8"/>
      <c r="M2356" s="8"/>
      <c r="N2356" s="8"/>
    </row>
    <row r="2357">
      <c r="A2357" s="8"/>
      <c r="L2357" s="8"/>
      <c r="M2357" s="8"/>
      <c r="N2357" s="8"/>
    </row>
    <row r="2358">
      <c r="A2358" s="8"/>
      <c r="L2358" s="8"/>
      <c r="M2358" s="8"/>
      <c r="N2358" s="8"/>
    </row>
    <row r="2359">
      <c r="A2359" s="8"/>
      <c r="L2359" s="8"/>
      <c r="M2359" s="8"/>
      <c r="N2359" s="8"/>
    </row>
    <row r="2360">
      <c r="A2360" s="8"/>
      <c r="L2360" s="8"/>
      <c r="M2360" s="8"/>
      <c r="N2360" s="8"/>
    </row>
    <row r="2361">
      <c r="A2361" s="8"/>
      <c r="L2361" s="8"/>
      <c r="M2361" s="8"/>
      <c r="N2361" s="8"/>
    </row>
    <row r="2362">
      <c r="A2362" s="8"/>
      <c r="L2362" s="8"/>
      <c r="M2362" s="8"/>
      <c r="N2362" s="8"/>
    </row>
    <row r="2363">
      <c r="A2363" s="8"/>
      <c r="L2363" s="8"/>
      <c r="M2363" s="8"/>
      <c r="N2363" s="8"/>
    </row>
    <row r="2364">
      <c r="A2364" s="8"/>
      <c r="L2364" s="8"/>
      <c r="M2364" s="8"/>
      <c r="N2364" s="8"/>
    </row>
    <row r="2365">
      <c r="A2365" s="8"/>
      <c r="L2365" s="8"/>
      <c r="M2365" s="8"/>
      <c r="N2365" s="8"/>
    </row>
    <row r="2366">
      <c r="A2366" s="8"/>
      <c r="L2366" s="8"/>
      <c r="M2366" s="8"/>
      <c r="N2366" s="8"/>
    </row>
    <row r="2367">
      <c r="A2367" s="8"/>
      <c r="L2367" s="8"/>
      <c r="M2367" s="8"/>
      <c r="N2367" s="8"/>
    </row>
    <row r="2368">
      <c r="A2368" s="8"/>
      <c r="L2368" s="8"/>
      <c r="M2368" s="8"/>
      <c r="N2368" s="8"/>
    </row>
    <row r="2369">
      <c r="A2369" s="8"/>
      <c r="L2369" s="8"/>
      <c r="M2369" s="8"/>
      <c r="N2369" s="8"/>
    </row>
    <row r="2370">
      <c r="A2370" s="8"/>
      <c r="L2370" s="8"/>
      <c r="M2370" s="8"/>
      <c r="N2370" s="8"/>
    </row>
    <row r="2371">
      <c r="A2371" s="8"/>
      <c r="L2371" s="8"/>
      <c r="M2371" s="8"/>
      <c r="N2371" s="8"/>
    </row>
    <row r="2372">
      <c r="A2372" s="8"/>
      <c r="L2372" s="8"/>
      <c r="M2372" s="8"/>
      <c r="N2372" s="8"/>
    </row>
    <row r="2373">
      <c r="A2373" s="8"/>
      <c r="L2373" s="8"/>
      <c r="M2373" s="8"/>
      <c r="N2373" s="8"/>
    </row>
    <row r="2374">
      <c r="A2374" s="8"/>
      <c r="L2374" s="8"/>
      <c r="M2374" s="8"/>
      <c r="N2374" s="8"/>
    </row>
    <row r="2375">
      <c r="A2375" s="8"/>
      <c r="L2375" s="8"/>
      <c r="M2375" s="8"/>
      <c r="N2375" s="8"/>
    </row>
    <row r="2376">
      <c r="A2376" s="8"/>
      <c r="L2376" s="8"/>
      <c r="M2376" s="8"/>
      <c r="N2376" s="8"/>
    </row>
    <row r="2377">
      <c r="A2377" s="8"/>
      <c r="L2377" s="8"/>
      <c r="M2377" s="8"/>
      <c r="N2377" s="8"/>
    </row>
    <row r="2378">
      <c r="A2378" s="8"/>
      <c r="L2378" s="8"/>
      <c r="M2378" s="8"/>
      <c r="N2378" s="8"/>
    </row>
    <row r="2379">
      <c r="A2379" s="8"/>
      <c r="L2379" s="8"/>
      <c r="M2379" s="8"/>
      <c r="N2379" s="8"/>
    </row>
    <row r="2380">
      <c r="A2380" s="8"/>
      <c r="L2380" s="8"/>
      <c r="M2380" s="8"/>
      <c r="N2380" s="8"/>
    </row>
    <row r="2381">
      <c r="A2381" s="8"/>
      <c r="L2381" s="8"/>
      <c r="M2381" s="8"/>
      <c r="N2381" s="8"/>
    </row>
    <row r="2382">
      <c r="A2382" s="8"/>
      <c r="L2382" s="8"/>
      <c r="M2382" s="8"/>
      <c r="N2382" s="8"/>
    </row>
    <row r="2383">
      <c r="A2383" s="8"/>
      <c r="L2383" s="8"/>
      <c r="M2383" s="8"/>
      <c r="N2383" s="8"/>
    </row>
    <row r="2384">
      <c r="A2384" s="8"/>
      <c r="L2384" s="8"/>
      <c r="M2384" s="8"/>
      <c r="N2384" s="8"/>
    </row>
    <row r="2385">
      <c r="A2385" s="8"/>
      <c r="L2385" s="8"/>
      <c r="M2385" s="8"/>
      <c r="N2385" s="8"/>
    </row>
    <row r="2386">
      <c r="A2386" s="8"/>
      <c r="L2386" s="8"/>
      <c r="M2386" s="8"/>
      <c r="N2386" s="8"/>
    </row>
    <row r="2387">
      <c r="A2387" s="8"/>
      <c r="L2387" s="8"/>
      <c r="M2387" s="8"/>
      <c r="N2387" s="8"/>
    </row>
    <row r="2388">
      <c r="A2388" s="8"/>
      <c r="L2388" s="8"/>
      <c r="M2388" s="8"/>
      <c r="N2388" s="8"/>
    </row>
    <row r="2389">
      <c r="A2389" s="8"/>
      <c r="L2389" s="8"/>
      <c r="M2389" s="8"/>
      <c r="N2389" s="8"/>
    </row>
    <row r="2390">
      <c r="A2390" s="8"/>
      <c r="L2390" s="8"/>
      <c r="M2390" s="8"/>
      <c r="N2390" s="8"/>
    </row>
    <row r="2391">
      <c r="A2391" s="8"/>
      <c r="L2391" s="8"/>
      <c r="M2391" s="8"/>
      <c r="N2391" s="8"/>
    </row>
    <row r="2392">
      <c r="A2392" s="8"/>
      <c r="L2392" s="8"/>
      <c r="M2392" s="8"/>
      <c r="N2392" s="8"/>
    </row>
    <row r="2393">
      <c r="A2393" s="8"/>
      <c r="L2393" s="8"/>
      <c r="M2393" s="8"/>
      <c r="N2393" s="8"/>
    </row>
    <row r="2394">
      <c r="A2394" s="8"/>
      <c r="L2394" s="8"/>
      <c r="M2394" s="8"/>
      <c r="N2394" s="8"/>
    </row>
    <row r="2395">
      <c r="A2395" s="8"/>
      <c r="L2395" s="8"/>
      <c r="M2395" s="8"/>
      <c r="N2395" s="8"/>
    </row>
    <row r="2396">
      <c r="A2396" s="8"/>
      <c r="L2396" s="8"/>
      <c r="M2396" s="8"/>
      <c r="N2396" s="8"/>
    </row>
    <row r="2397">
      <c r="A2397" s="8"/>
      <c r="L2397" s="8"/>
      <c r="M2397" s="8"/>
      <c r="N2397" s="8"/>
    </row>
    <row r="2398">
      <c r="A2398" s="8"/>
      <c r="L2398" s="8"/>
      <c r="M2398" s="8"/>
      <c r="N2398" s="8"/>
    </row>
    <row r="2399">
      <c r="A2399" s="8"/>
      <c r="L2399" s="8"/>
      <c r="M2399" s="8"/>
      <c r="N2399" s="8"/>
    </row>
    <row r="2400">
      <c r="A2400" s="8"/>
      <c r="L2400" s="8"/>
      <c r="M2400" s="8"/>
      <c r="N2400" s="8"/>
    </row>
    <row r="2401">
      <c r="A2401" s="8"/>
      <c r="L2401" s="8"/>
      <c r="M2401" s="8"/>
      <c r="N2401" s="8"/>
    </row>
    <row r="2402">
      <c r="A2402" s="8"/>
      <c r="L2402" s="8"/>
      <c r="M2402" s="8"/>
      <c r="N2402" s="8"/>
    </row>
    <row r="2403">
      <c r="A2403" s="8"/>
      <c r="L2403" s="8"/>
      <c r="M2403" s="8"/>
      <c r="N2403" s="8"/>
    </row>
    <row r="2404">
      <c r="A2404" s="8"/>
      <c r="L2404" s="8"/>
      <c r="M2404" s="8"/>
      <c r="N2404" s="8"/>
    </row>
    <row r="2405">
      <c r="A2405" s="8"/>
      <c r="L2405" s="8"/>
      <c r="M2405" s="8"/>
      <c r="N2405" s="8"/>
    </row>
    <row r="2406">
      <c r="A2406" s="8"/>
      <c r="L2406" s="8"/>
      <c r="M2406" s="8"/>
      <c r="N2406" s="8"/>
    </row>
    <row r="2407">
      <c r="A2407" s="8"/>
      <c r="L2407" s="8"/>
      <c r="M2407" s="8"/>
      <c r="N2407" s="8"/>
    </row>
    <row r="2408">
      <c r="A2408" s="8"/>
      <c r="L2408" s="8"/>
      <c r="M2408" s="8"/>
      <c r="N2408" s="8"/>
    </row>
    <row r="2409">
      <c r="A2409" s="8"/>
      <c r="L2409" s="8"/>
      <c r="M2409" s="8"/>
      <c r="N2409" s="8"/>
    </row>
    <row r="2410">
      <c r="A2410" s="8"/>
      <c r="L2410" s="8"/>
      <c r="M2410" s="8"/>
      <c r="N2410" s="8"/>
    </row>
    <row r="2411">
      <c r="A2411" s="8"/>
      <c r="L2411" s="8"/>
      <c r="M2411" s="8"/>
      <c r="N2411" s="8"/>
    </row>
    <row r="2412">
      <c r="A2412" s="8"/>
      <c r="L2412" s="8"/>
      <c r="M2412" s="8"/>
      <c r="N2412" s="8"/>
    </row>
    <row r="2413">
      <c r="A2413" s="8"/>
      <c r="L2413" s="8"/>
      <c r="M2413" s="8"/>
      <c r="N2413" s="8"/>
    </row>
    <row r="2414">
      <c r="A2414" s="8"/>
      <c r="L2414" s="8"/>
      <c r="M2414" s="8"/>
      <c r="N2414" s="8"/>
    </row>
    <row r="2415">
      <c r="A2415" s="8"/>
      <c r="L2415" s="8"/>
      <c r="M2415" s="8"/>
      <c r="N2415" s="8"/>
    </row>
    <row r="2416">
      <c r="A2416" s="8"/>
      <c r="L2416" s="8"/>
      <c r="M2416" s="8"/>
      <c r="N2416" s="8"/>
    </row>
    <row r="2417">
      <c r="A2417" s="8"/>
      <c r="L2417" s="8"/>
      <c r="M2417" s="8"/>
      <c r="N2417" s="8"/>
    </row>
    <row r="2418">
      <c r="A2418" s="8"/>
      <c r="L2418" s="8"/>
      <c r="M2418" s="8"/>
      <c r="N2418" s="8"/>
    </row>
    <row r="2419">
      <c r="A2419" s="8"/>
      <c r="L2419" s="8"/>
      <c r="M2419" s="8"/>
      <c r="N2419" s="8"/>
    </row>
    <row r="2420">
      <c r="A2420" s="8"/>
      <c r="L2420" s="8"/>
      <c r="M2420" s="8"/>
      <c r="N2420" s="8"/>
    </row>
    <row r="2421">
      <c r="A2421" s="8"/>
      <c r="L2421" s="8"/>
      <c r="M2421" s="8"/>
      <c r="N2421" s="8"/>
    </row>
    <row r="2422">
      <c r="A2422" s="8"/>
      <c r="L2422" s="8"/>
      <c r="M2422" s="8"/>
      <c r="N2422" s="8"/>
    </row>
    <row r="2423">
      <c r="A2423" s="8"/>
      <c r="L2423" s="8"/>
      <c r="M2423" s="8"/>
      <c r="N2423" s="8"/>
    </row>
    <row r="2424">
      <c r="A2424" s="8"/>
      <c r="L2424" s="8"/>
      <c r="M2424" s="8"/>
      <c r="N2424" s="8"/>
    </row>
    <row r="2425">
      <c r="A2425" s="8"/>
      <c r="L2425" s="8"/>
      <c r="M2425" s="8"/>
      <c r="N2425" s="8"/>
    </row>
    <row r="2426">
      <c r="A2426" s="8"/>
      <c r="L2426" s="8"/>
      <c r="M2426" s="8"/>
      <c r="N2426" s="8"/>
    </row>
    <row r="2427">
      <c r="A2427" s="8"/>
      <c r="L2427" s="8"/>
      <c r="M2427" s="8"/>
      <c r="N2427" s="8"/>
    </row>
    <row r="2428">
      <c r="A2428" s="8"/>
      <c r="L2428" s="8"/>
      <c r="M2428" s="8"/>
      <c r="N2428" s="8"/>
    </row>
    <row r="2429">
      <c r="A2429" s="8"/>
      <c r="L2429" s="8"/>
      <c r="M2429" s="8"/>
      <c r="N2429" s="8"/>
    </row>
    <row r="2430">
      <c r="A2430" s="8"/>
      <c r="L2430" s="8"/>
      <c r="M2430" s="8"/>
      <c r="N2430" s="8"/>
    </row>
    <row r="2431">
      <c r="A2431" s="8"/>
      <c r="L2431" s="8"/>
      <c r="M2431" s="8"/>
      <c r="N2431" s="8"/>
    </row>
    <row r="2432">
      <c r="A2432" s="8"/>
      <c r="L2432" s="8"/>
      <c r="M2432" s="8"/>
      <c r="N2432" s="8"/>
    </row>
    <row r="2433">
      <c r="A2433" s="8"/>
      <c r="L2433" s="8"/>
      <c r="M2433" s="8"/>
      <c r="N2433" s="8"/>
    </row>
    <row r="2434">
      <c r="A2434" s="8"/>
      <c r="L2434" s="8"/>
      <c r="M2434" s="8"/>
      <c r="N2434" s="8"/>
    </row>
    <row r="2435">
      <c r="A2435" s="8"/>
      <c r="L2435" s="8"/>
      <c r="M2435" s="8"/>
      <c r="N2435" s="8"/>
    </row>
    <row r="2436">
      <c r="A2436" s="8"/>
      <c r="L2436" s="8"/>
      <c r="M2436" s="8"/>
      <c r="N2436" s="8"/>
    </row>
    <row r="2437">
      <c r="A2437" s="8"/>
      <c r="L2437" s="8"/>
      <c r="M2437" s="8"/>
      <c r="N2437" s="8"/>
    </row>
    <row r="2438">
      <c r="A2438" s="8"/>
      <c r="L2438" s="8"/>
      <c r="M2438" s="8"/>
      <c r="N2438" s="8"/>
    </row>
    <row r="2439">
      <c r="A2439" s="8"/>
      <c r="L2439" s="8"/>
      <c r="M2439" s="8"/>
      <c r="N2439" s="8"/>
    </row>
    <row r="2440">
      <c r="A2440" s="8"/>
      <c r="L2440" s="8"/>
      <c r="M2440" s="8"/>
      <c r="N2440" s="8"/>
    </row>
    <row r="2441">
      <c r="A2441" s="8"/>
      <c r="L2441" s="8"/>
      <c r="M2441" s="8"/>
      <c r="N2441" s="8"/>
    </row>
    <row r="2442">
      <c r="A2442" s="8"/>
      <c r="L2442" s="8"/>
      <c r="M2442" s="8"/>
      <c r="N2442" s="8"/>
    </row>
    <row r="2443">
      <c r="A2443" s="8"/>
      <c r="L2443" s="8"/>
      <c r="M2443" s="8"/>
      <c r="N2443" s="8"/>
    </row>
    <row r="2444">
      <c r="A2444" s="8"/>
      <c r="L2444" s="8"/>
      <c r="M2444" s="8"/>
      <c r="N2444" s="8"/>
    </row>
    <row r="2445">
      <c r="A2445" s="8"/>
      <c r="L2445" s="8"/>
      <c r="M2445" s="8"/>
      <c r="N2445" s="8"/>
    </row>
    <row r="2446">
      <c r="A2446" s="8"/>
      <c r="L2446" s="8"/>
      <c r="M2446" s="8"/>
      <c r="N2446" s="8"/>
    </row>
    <row r="2447">
      <c r="A2447" s="8"/>
      <c r="L2447" s="8"/>
      <c r="M2447" s="8"/>
      <c r="N2447" s="8"/>
    </row>
    <row r="2448">
      <c r="A2448" s="8"/>
      <c r="L2448" s="8"/>
      <c r="M2448" s="8"/>
      <c r="N2448" s="8"/>
    </row>
    <row r="2449">
      <c r="A2449" s="8"/>
      <c r="L2449" s="8"/>
      <c r="M2449" s="8"/>
      <c r="N2449" s="8"/>
    </row>
    <row r="2450">
      <c r="A2450" s="8"/>
      <c r="L2450" s="8"/>
      <c r="M2450" s="8"/>
      <c r="N2450" s="8"/>
    </row>
    <row r="2451">
      <c r="A2451" s="8"/>
      <c r="L2451" s="8"/>
      <c r="M2451" s="8"/>
      <c r="N2451" s="8"/>
    </row>
    <row r="2452">
      <c r="A2452" s="8"/>
      <c r="L2452" s="8"/>
      <c r="M2452" s="8"/>
      <c r="N2452" s="8"/>
    </row>
    <row r="2453">
      <c r="A2453" s="8"/>
      <c r="L2453" s="8"/>
      <c r="M2453" s="8"/>
      <c r="N2453" s="8"/>
    </row>
    <row r="2454">
      <c r="A2454" s="8"/>
      <c r="L2454" s="8"/>
      <c r="M2454" s="8"/>
      <c r="N2454" s="8"/>
    </row>
    <row r="2455">
      <c r="A2455" s="8"/>
      <c r="L2455" s="8"/>
      <c r="M2455" s="8"/>
      <c r="N2455" s="8"/>
    </row>
    <row r="2456">
      <c r="A2456" s="8"/>
      <c r="L2456" s="8"/>
      <c r="M2456" s="8"/>
      <c r="N2456" s="8"/>
    </row>
    <row r="2457">
      <c r="A2457" s="8"/>
      <c r="L2457" s="8"/>
      <c r="M2457" s="8"/>
      <c r="N2457" s="8"/>
    </row>
    <row r="2458">
      <c r="A2458" s="8"/>
      <c r="L2458" s="8"/>
      <c r="M2458" s="8"/>
      <c r="N2458" s="8"/>
    </row>
    <row r="2459">
      <c r="A2459" s="8"/>
      <c r="L2459" s="8"/>
      <c r="M2459" s="8"/>
      <c r="N2459" s="8"/>
    </row>
    <row r="2460">
      <c r="A2460" s="8"/>
      <c r="L2460" s="8"/>
      <c r="M2460" s="8"/>
      <c r="N2460" s="8"/>
    </row>
    <row r="2461">
      <c r="A2461" s="8"/>
      <c r="L2461" s="8"/>
      <c r="M2461" s="8"/>
      <c r="N2461" s="8"/>
    </row>
    <row r="2462">
      <c r="A2462" s="8"/>
      <c r="L2462" s="8"/>
      <c r="M2462" s="8"/>
      <c r="N2462" s="8"/>
    </row>
    <row r="2463">
      <c r="A2463" s="8"/>
      <c r="L2463" s="8"/>
      <c r="M2463" s="8"/>
      <c r="N2463" s="8"/>
    </row>
    <row r="2464">
      <c r="A2464" s="8"/>
      <c r="L2464" s="8"/>
      <c r="M2464" s="8"/>
      <c r="N2464" s="8"/>
    </row>
    <row r="2465">
      <c r="A2465" s="8"/>
      <c r="L2465" s="8"/>
      <c r="M2465" s="8"/>
      <c r="N2465" s="8"/>
    </row>
    <row r="2466">
      <c r="A2466" s="8"/>
      <c r="L2466" s="8"/>
      <c r="M2466" s="8"/>
      <c r="N2466" s="8"/>
    </row>
    <row r="2467">
      <c r="A2467" s="8"/>
      <c r="L2467" s="8"/>
      <c r="M2467" s="8"/>
      <c r="N2467" s="8"/>
    </row>
    <row r="2468">
      <c r="A2468" s="8"/>
      <c r="L2468" s="8"/>
      <c r="M2468" s="8"/>
      <c r="N2468" s="8"/>
    </row>
    <row r="2469">
      <c r="A2469" s="8"/>
      <c r="L2469" s="8"/>
      <c r="M2469" s="8"/>
      <c r="N2469" s="8"/>
    </row>
    <row r="2470">
      <c r="A2470" s="8"/>
      <c r="L2470" s="8"/>
      <c r="M2470" s="8"/>
      <c r="N2470" s="8"/>
    </row>
    <row r="2471">
      <c r="A2471" s="8"/>
      <c r="L2471" s="8"/>
      <c r="M2471" s="8"/>
      <c r="N2471" s="8"/>
    </row>
    <row r="2472">
      <c r="A2472" s="8"/>
      <c r="L2472" s="8"/>
      <c r="M2472" s="8"/>
      <c r="N2472" s="8"/>
    </row>
    <row r="2473">
      <c r="A2473" s="8"/>
      <c r="L2473" s="8"/>
      <c r="M2473" s="8"/>
      <c r="N2473" s="8"/>
    </row>
    <row r="2474">
      <c r="A2474" s="8"/>
      <c r="L2474" s="8"/>
      <c r="M2474" s="8"/>
      <c r="N2474" s="8"/>
    </row>
    <row r="2475">
      <c r="A2475" s="8"/>
      <c r="L2475" s="8"/>
      <c r="M2475" s="8"/>
      <c r="N2475" s="8"/>
    </row>
    <row r="2476">
      <c r="A2476" s="8"/>
      <c r="L2476" s="8"/>
      <c r="M2476" s="8"/>
      <c r="N2476" s="8"/>
    </row>
    <row r="2477">
      <c r="A2477" s="8"/>
      <c r="L2477" s="8"/>
      <c r="M2477" s="8"/>
      <c r="N2477" s="8"/>
    </row>
    <row r="2478">
      <c r="A2478" s="8"/>
      <c r="L2478" s="8"/>
      <c r="M2478" s="8"/>
      <c r="N2478" s="8"/>
    </row>
    <row r="2479">
      <c r="A2479" s="8"/>
      <c r="L2479" s="8"/>
      <c r="M2479" s="8"/>
      <c r="N2479" s="8"/>
    </row>
    <row r="2480">
      <c r="A2480" s="8"/>
      <c r="L2480" s="8"/>
      <c r="M2480" s="8"/>
      <c r="N2480" s="8"/>
    </row>
    <row r="2481">
      <c r="A2481" s="8"/>
      <c r="L2481" s="8"/>
      <c r="M2481" s="8"/>
      <c r="N2481" s="8"/>
    </row>
    <row r="2482">
      <c r="A2482" s="8"/>
      <c r="L2482" s="8"/>
      <c r="M2482" s="8"/>
      <c r="N2482" s="8"/>
    </row>
    <row r="2483">
      <c r="A2483" s="8"/>
      <c r="L2483" s="8"/>
      <c r="M2483" s="8"/>
      <c r="N2483" s="8"/>
    </row>
    <row r="2484">
      <c r="A2484" s="8"/>
      <c r="L2484" s="8"/>
      <c r="M2484" s="8"/>
      <c r="N2484" s="8"/>
    </row>
    <row r="2485">
      <c r="A2485" s="8"/>
      <c r="L2485" s="8"/>
      <c r="M2485" s="8"/>
      <c r="N2485" s="8"/>
    </row>
    <row r="2486">
      <c r="A2486" s="8"/>
      <c r="L2486" s="8"/>
      <c r="M2486" s="8"/>
      <c r="N2486" s="8"/>
    </row>
    <row r="2487">
      <c r="A2487" s="8"/>
      <c r="L2487" s="8"/>
      <c r="M2487" s="8"/>
      <c r="N2487" s="8"/>
    </row>
    <row r="2488">
      <c r="A2488" s="8"/>
      <c r="L2488" s="8"/>
      <c r="M2488" s="8"/>
      <c r="N2488" s="8"/>
    </row>
    <row r="2489">
      <c r="A2489" s="8"/>
      <c r="L2489" s="8"/>
      <c r="M2489" s="8"/>
      <c r="N2489" s="8"/>
    </row>
    <row r="2490">
      <c r="A2490" s="8"/>
      <c r="L2490" s="8"/>
      <c r="M2490" s="8"/>
      <c r="N2490" s="8"/>
    </row>
    <row r="2491">
      <c r="A2491" s="8"/>
      <c r="L2491" s="8"/>
      <c r="M2491" s="8"/>
      <c r="N2491" s="8"/>
    </row>
    <row r="2492">
      <c r="A2492" s="8"/>
      <c r="L2492" s="8"/>
      <c r="M2492" s="8"/>
      <c r="N2492" s="8"/>
    </row>
    <row r="2493">
      <c r="A2493" s="8"/>
      <c r="L2493" s="8"/>
      <c r="M2493" s="8"/>
      <c r="N2493" s="8"/>
    </row>
    <row r="2494">
      <c r="A2494" s="8"/>
      <c r="L2494" s="8"/>
      <c r="M2494" s="8"/>
      <c r="N2494" s="8"/>
    </row>
    <row r="2495">
      <c r="A2495" s="8"/>
      <c r="L2495" s="8"/>
      <c r="M2495" s="8"/>
      <c r="N2495" s="8"/>
    </row>
    <row r="2496">
      <c r="A2496" s="8"/>
      <c r="L2496" s="8"/>
      <c r="M2496" s="8"/>
      <c r="N2496" s="8"/>
    </row>
    <row r="2497">
      <c r="A2497" s="8"/>
      <c r="L2497" s="8"/>
      <c r="M2497" s="8"/>
      <c r="N2497" s="8"/>
    </row>
    <row r="2498">
      <c r="A2498" s="8"/>
      <c r="L2498" s="8"/>
      <c r="M2498" s="8"/>
      <c r="N2498" s="8"/>
    </row>
    <row r="2499">
      <c r="A2499" s="8"/>
      <c r="L2499" s="8"/>
      <c r="M2499" s="8"/>
      <c r="N2499" s="8"/>
    </row>
    <row r="2500">
      <c r="A2500" s="8"/>
      <c r="L2500" s="8"/>
      <c r="M2500" s="8"/>
      <c r="N2500" s="8"/>
    </row>
    <row r="2501">
      <c r="A2501" s="8"/>
      <c r="L2501" s="8"/>
      <c r="M2501" s="8"/>
      <c r="N2501" s="8"/>
    </row>
    <row r="2502">
      <c r="A2502" s="8"/>
      <c r="L2502" s="8"/>
      <c r="M2502" s="8"/>
      <c r="N2502" s="8"/>
    </row>
    <row r="2503">
      <c r="A2503" s="8"/>
      <c r="L2503" s="8"/>
      <c r="M2503" s="8"/>
      <c r="N2503" s="8"/>
    </row>
    <row r="2504">
      <c r="A2504" s="8"/>
      <c r="L2504" s="8"/>
      <c r="M2504" s="8"/>
      <c r="N2504" s="8"/>
    </row>
    <row r="2505">
      <c r="A2505" s="8"/>
      <c r="L2505" s="8"/>
      <c r="M2505" s="8"/>
      <c r="N2505" s="8"/>
    </row>
    <row r="2506">
      <c r="A2506" s="8"/>
      <c r="L2506" s="8"/>
      <c r="M2506" s="8"/>
      <c r="N2506" s="8"/>
    </row>
    <row r="2507">
      <c r="A2507" s="8"/>
      <c r="L2507" s="8"/>
      <c r="M2507" s="8"/>
      <c r="N2507" s="8"/>
    </row>
    <row r="2508">
      <c r="A2508" s="8"/>
      <c r="L2508" s="8"/>
      <c r="M2508" s="8"/>
      <c r="N2508" s="8"/>
    </row>
    <row r="2509">
      <c r="A2509" s="8"/>
      <c r="L2509" s="8"/>
      <c r="M2509" s="8"/>
      <c r="N2509" s="8"/>
    </row>
    <row r="2510">
      <c r="A2510" s="8"/>
      <c r="L2510" s="8"/>
      <c r="M2510" s="8"/>
      <c r="N2510" s="8"/>
    </row>
    <row r="2511">
      <c r="A2511" s="8"/>
      <c r="L2511" s="8"/>
      <c r="M2511" s="8"/>
      <c r="N2511" s="8"/>
    </row>
    <row r="2512">
      <c r="A2512" s="8"/>
      <c r="L2512" s="8"/>
      <c r="M2512" s="8"/>
      <c r="N2512" s="8"/>
    </row>
    <row r="2513">
      <c r="A2513" s="8"/>
      <c r="L2513" s="8"/>
      <c r="M2513" s="8"/>
      <c r="N2513" s="8"/>
    </row>
    <row r="2514">
      <c r="A2514" s="8"/>
      <c r="L2514" s="8"/>
      <c r="M2514" s="8"/>
      <c r="N2514" s="8"/>
    </row>
    <row r="2515">
      <c r="A2515" s="8"/>
      <c r="L2515" s="8"/>
      <c r="M2515" s="8"/>
      <c r="N2515" s="8"/>
    </row>
    <row r="2516">
      <c r="A2516" s="8"/>
      <c r="L2516" s="8"/>
      <c r="M2516" s="8"/>
      <c r="N2516" s="8"/>
    </row>
    <row r="2517">
      <c r="A2517" s="8"/>
      <c r="L2517" s="8"/>
      <c r="M2517" s="8"/>
      <c r="N2517" s="8"/>
    </row>
    <row r="2518">
      <c r="A2518" s="8"/>
      <c r="L2518" s="8"/>
      <c r="M2518" s="8"/>
      <c r="N2518" s="8"/>
    </row>
    <row r="2519">
      <c r="A2519" s="8"/>
      <c r="L2519" s="8"/>
      <c r="M2519" s="8"/>
      <c r="N2519" s="8"/>
    </row>
    <row r="2520">
      <c r="A2520" s="8"/>
      <c r="L2520" s="8"/>
      <c r="M2520" s="8"/>
      <c r="N2520" s="8"/>
    </row>
    <row r="2521">
      <c r="A2521" s="8"/>
      <c r="L2521" s="8"/>
      <c r="M2521" s="8"/>
      <c r="N2521" s="8"/>
    </row>
    <row r="2522">
      <c r="A2522" s="8"/>
      <c r="L2522" s="8"/>
      <c r="M2522" s="8"/>
      <c r="N2522" s="8"/>
    </row>
    <row r="2523">
      <c r="A2523" s="8"/>
      <c r="L2523" s="8"/>
      <c r="M2523" s="8"/>
      <c r="N2523" s="8"/>
    </row>
    <row r="2524">
      <c r="A2524" s="8"/>
      <c r="L2524" s="8"/>
      <c r="M2524" s="8"/>
      <c r="N2524" s="8"/>
    </row>
    <row r="2525">
      <c r="A2525" s="8"/>
      <c r="L2525" s="8"/>
      <c r="M2525" s="8"/>
      <c r="N2525" s="8"/>
    </row>
    <row r="2526">
      <c r="A2526" s="8"/>
      <c r="L2526" s="8"/>
      <c r="M2526" s="8"/>
      <c r="N2526" s="8"/>
    </row>
    <row r="2527">
      <c r="A2527" s="8"/>
      <c r="L2527" s="8"/>
      <c r="M2527" s="8"/>
      <c r="N2527" s="8"/>
    </row>
    <row r="2528">
      <c r="A2528" s="8"/>
      <c r="L2528" s="8"/>
      <c r="M2528" s="8"/>
      <c r="N2528" s="8"/>
    </row>
    <row r="2529">
      <c r="A2529" s="8"/>
      <c r="L2529" s="8"/>
      <c r="M2529" s="8"/>
      <c r="N2529" s="8"/>
    </row>
    <row r="2530">
      <c r="A2530" s="8"/>
      <c r="L2530" s="8"/>
      <c r="M2530" s="8"/>
      <c r="N2530" s="8"/>
    </row>
    <row r="2531">
      <c r="A2531" s="8"/>
      <c r="L2531" s="8"/>
      <c r="M2531" s="8"/>
      <c r="N2531" s="8"/>
    </row>
    <row r="2532">
      <c r="A2532" s="8"/>
      <c r="L2532" s="8"/>
      <c r="M2532" s="8"/>
      <c r="N2532" s="8"/>
    </row>
    <row r="2533">
      <c r="A2533" s="8"/>
      <c r="L2533" s="8"/>
      <c r="M2533" s="8"/>
      <c r="N2533" s="8"/>
    </row>
    <row r="2534">
      <c r="A2534" s="8"/>
      <c r="L2534" s="8"/>
      <c r="M2534" s="8"/>
      <c r="N2534" s="8"/>
    </row>
    <row r="2535">
      <c r="A2535" s="8"/>
      <c r="L2535" s="8"/>
      <c r="M2535" s="8"/>
      <c r="N2535" s="8"/>
    </row>
    <row r="2536">
      <c r="A2536" s="8"/>
      <c r="L2536" s="8"/>
      <c r="M2536" s="8"/>
      <c r="N2536" s="8"/>
    </row>
    <row r="2537">
      <c r="A2537" s="8"/>
      <c r="L2537" s="8"/>
      <c r="M2537" s="8"/>
      <c r="N2537" s="8"/>
    </row>
    <row r="2538">
      <c r="A2538" s="8"/>
      <c r="L2538" s="8"/>
      <c r="M2538" s="8"/>
      <c r="N2538" s="8"/>
    </row>
    <row r="2539">
      <c r="A2539" s="8"/>
      <c r="L2539" s="8"/>
      <c r="M2539" s="8"/>
      <c r="N2539" s="8"/>
    </row>
    <row r="2540">
      <c r="A2540" s="8"/>
      <c r="L2540" s="8"/>
      <c r="M2540" s="8"/>
      <c r="N2540" s="8"/>
    </row>
    <row r="2541">
      <c r="A2541" s="8"/>
      <c r="L2541" s="8"/>
      <c r="M2541" s="8"/>
      <c r="N2541" s="8"/>
    </row>
    <row r="2542">
      <c r="A2542" s="8"/>
      <c r="L2542" s="8"/>
      <c r="M2542" s="8"/>
      <c r="N2542" s="8"/>
    </row>
    <row r="2543">
      <c r="A2543" s="8"/>
      <c r="L2543" s="8"/>
      <c r="M2543" s="8"/>
      <c r="N2543" s="8"/>
    </row>
    <row r="2544">
      <c r="A2544" s="8"/>
      <c r="L2544" s="8"/>
      <c r="M2544" s="8"/>
      <c r="N2544" s="8"/>
    </row>
    <row r="2545">
      <c r="A2545" s="8"/>
      <c r="L2545" s="8"/>
      <c r="M2545" s="8"/>
      <c r="N2545" s="8"/>
    </row>
    <row r="2546">
      <c r="A2546" s="8"/>
      <c r="L2546" s="8"/>
      <c r="M2546" s="8"/>
      <c r="N2546" s="8"/>
    </row>
    <row r="2547">
      <c r="A2547" s="8"/>
      <c r="L2547" s="8"/>
      <c r="M2547" s="8"/>
      <c r="N2547" s="8"/>
    </row>
    <row r="2548">
      <c r="A2548" s="8"/>
      <c r="L2548" s="8"/>
      <c r="M2548" s="8"/>
      <c r="N2548" s="8"/>
    </row>
    <row r="2549">
      <c r="A2549" s="8"/>
      <c r="L2549" s="8"/>
      <c r="M2549" s="8"/>
      <c r="N2549" s="8"/>
    </row>
    <row r="2550">
      <c r="A2550" s="8"/>
      <c r="L2550" s="8"/>
      <c r="M2550" s="8"/>
      <c r="N2550" s="8"/>
    </row>
    <row r="2551">
      <c r="A2551" s="8"/>
      <c r="L2551" s="8"/>
      <c r="M2551" s="8"/>
      <c r="N2551" s="8"/>
    </row>
    <row r="2552">
      <c r="A2552" s="8"/>
      <c r="L2552" s="8"/>
      <c r="M2552" s="8"/>
      <c r="N2552" s="8"/>
    </row>
    <row r="2553">
      <c r="A2553" s="8"/>
      <c r="L2553" s="8"/>
      <c r="M2553" s="8"/>
      <c r="N2553" s="8"/>
    </row>
    <row r="2554">
      <c r="A2554" s="8"/>
      <c r="L2554" s="8"/>
      <c r="M2554" s="8"/>
      <c r="N2554" s="8"/>
    </row>
    <row r="2555">
      <c r="A2555" s="8"/>
      <c r="L2555" s="8"/>
      <c r="M2555" s="8"/>
      <c r="N2555" s="8"/>
    </row>
    <row r="2556">
      <c r="A2556" s="8"/>
      <c r="L2556" s="8"/>
      <c r="M2556" s="8"/>
      <c r="N2556" s="8"/>
    </row>
    <row r="2557">
      <c r="A2557" s="8"/>
      <c r="L2557" s="8"/>
      <c r="M2557" s="8"/>
      <c r="N2557" s="8"/>
    </row>
    <row r="2558">
      <c r="A2558" s="8"/>
      <c r="L2558" s="8"/>
      <c r="M2558" s="8"/>
      <c r="N2558" s="8"/>
    </row>
    <row r="2559">
      <c r="A2559" s="8"/>
      <c r="L2559" s="8"/>
      <c r="M2559" s="8"/>
      <c r="N2559" s="8"/>
    </row>
    <row r="2560">
      <c r="A2560" s="8"/>
      <c r="L2560" s="8"/>
      <c r="M2560" s="8"/>
      <c r="N2560" s="8"/>
    </row>
    <row r="2561">
      <c r="A2561" s="8"/>
      <c r="L2561" s="8"/>
      <c r="M2561" s="8"/>
      <c r="N2561" s="8"/>
    </row>
    <row r="2562">
      <c r="A2562" s="8"/>
      <c r="L2562" s="8"/>
      <c r="M2562" s="8"/>
      <c r="N2562" s="8"/>
    </row>
    <row r="2563">
      <c r="A2563" s="8"/>
      <c r="L2563" s="8"/>
      <c r="M2563" s="8"/>
      <c r="N2563" s="8"/>
    </row>
    <row r="2564">
      <c r="A2564" s="8"/>
      <c r="L2564" s="8"/>
      <c r="M2564" s="8"/>
      <c r="N2564" s="8"/>
    </row>
    <row r="2565">
      <c r="A2565" s="8"/>
      <c r="L2565" s="8"/>
      <c r="M2565" s="8"/>
      <c r="N2565" s="8"/>
    </row>
    <row r="2566">
      <c r="A2566" s="8"/>
      <c r="L2566" s="8"/>
      <c r="M2566" s="8"/>
      <c r="N2566" s="8"/>
    </row>
    <row r="2567">
      <c r="A2567" s="8"/>
      <c r="L2567" s="8"/>
      <c r="M2567" s="8"/>
      <c r="N2567" s="8"/>
    </row>
    <row r="2568">
      <c r="A2568" s="8"/>
      <c r="L2568" s="8"/>
      <c r="M2568" s="8"/>
      <c r="N2568" s="8"/>
    </row>
    <row r="2569">
      <c r="A2569" s="8"/>
      <c r="L2569" s="8"/>
      <c r="M2569" s="8"/>
      <c r="N2569" s="8"/>
    </row>
    <row r="2570">
      <c r="A2570" s="8"/>
      <c r="L2570" s="8"/>
      <c r="M2570" s="8"/>
      <c r="N2570" s="8"/>
    </row>
    <row r="2571">
      <c r="A2571" s="8"/>
      <c r="L2571" s="8"/>
      <c r="M2571" s="8"/>
      <c r="N2571" s="8"/>
    </row>
    <row r="2572">
      <c r="A2572" s="8"/>
      <c r="L2572" s="8"/>
      <c r="M2572" s="8"/>
      <c r="N2572" s="8"/>
    </row>
    <row r="2573">
      <c r="A2573" s="8"/>
      <c r="L2573" s="8"/>
      <c r="M2573" s="8"/>
      <c r="N2573" s="8"/>
    </row>
    <row r="2574">
      <c r="A2574" s="8"/>
      <c r="L2574" s="8"/>
      <c r="M2574" s="8"/>
      <c r="N2574" s="8"/>
    </row>
    <row r="2575">
      <c r="A2575" s="8"/>
      <c r="L2575" s="8"/>
      <c r="M2575" s="8"/>
      <c r="N2575" s="8"/>
    </row>
    <row r="2576">
      <c r="A2576" s="8"/>
      <c r="L2576" s="8"/>
      <c r="M2576" s="8"/>
      <c r="N2576" s="8"/>
    </row>
    <row r="2577">
      <c r="A2577" s="8"/>
      <c r="L2577" s="8"/>
      <c r="M2577" s="8"/>
      <c r="N2577" s="8"/>
    </row>
    <row r="2578">
      <c r="A2578" s="8"/>
      <c r="L2578" s="8"/>
      <c r="M2578" s="8"/>
      <c r="N2578" s="8"/>
    </row>
    <row r="2579">
      <c r="A2579" s="8"/>
      <c r="L2579" s="8"/>
      <c r="M2579" s="8"/>
      <c r="N2579" s="8"/>
    </row>
    <row r="2580">
      <c r="A2580" s="8"/>
      <c r="L2580" s="8"/>
      <c r="M2580" s="8"/>
      <c r="N2580" s="8"/>
    </row>
    <row r="2581">
      <c r="A2581" s="8"/>
      <c r="L2581" s="8"/>
      <c r="M2581" s="8"/>
      <c r="N2581" s="8"/>
    </row>
    <row r="2582">
      <c r="A2582" s="8"/>
      <c r="L2582" s="8"/>
      <c r="M2582" s="8"/>
      <c r="N2582" s="8"/>
    </row>
    <row r="2583">
      <c r="A2583" s="8"/>
      <c r="L2583" s="8"/>
      <c r="M2583" s="8"/>
      <c r="N2583" s="8"/>
    </row>
    <row r="2584">
      <c r="A2584" s="8"/>
      <c r="L2584" s="8"/>
      <c r="M2584" s="8"/>
      <c r="N2584" s="8"/>
    </row>
    <row r="2585">
      <c r="A2585" s="8"/>
      <c r="L2585" s="8"/>
      <c r="M2585" s="8"/>
      <c r="N2585" s="8"/>
    </row>
    <row r="2586">
      <c r="A2586" s="8"/>
      <c r="L2586" s="8"/>
      <c r="M2586" s="8"/>
      <c r="N2586" s="8"/>
    </row>
    <row r="2587">
      <c r="A2587" s="8"/>
      <c r="L2587" s="8"/>
      <c r="M2587" s="8"/>
      <c r="N2587" s="8"/>
    </row>
    <row r="2588">
      <c r="A2588" s="8"/>
      <c r="L2588" s="8"/>
      <c r="M2588" s="8"/>
      <c r="N2588" s="8"/>
    </row>
    <row r="2589">
      <c r="A2589" s="8"/>
      <c r="L2589" s="8"/>
      <c r="M2589" s="8"/>
      <c r="N2589" s="8"/>
    </row>
    <row r="2590">
      <c r="A2590" s="8"/>
      <c r="L2590" s="8"/>
      <c r="M2590" s="8"/>
      <c r="N2590" s="8"/>
    </row>
    <row r="2591">
      <c r="A2591" s="8"/>
      <c r="L2591" s="8"/>
      <c r="M2591" s="8"/>
      <c r="N2591" s="8"/>
    </row>
    <row r="2592">
      <c r="A2592" s="8"/>
      <c r="L2592" s="8"/>
      <c r="M2592" s="8"/>
      <c r="N2592" s="8"/>
    </row>
    <row r="2593">
      <c r="A2593" s="8"/>
      <c r="L2593" s="8"/>
      <c r="M2593" s="8"/>
      <c r="N2593" s="8"/>
    </row>
    <row r="2594">
      <c r="A2594" s="8"/>
      <c r="L2594" s="8"/>
      <c r="M2594" s="8"/>
      <c r="N2594" s="8"/>
    </row>
    <row r="2595">
      <c r="A2595" s="8"/>
      <c r="L2595" s="8"/>
      <c r="M2595" s="8"/>
      <c r="N2595" s="8"/>
    </row>
    <row r="2596">
      <c r="A2596" s="8"/>
      <c r="L2596" s="8"/>
      <c r="M2596" s="8"/>
      <c r="N2596" s="8"/>
    </row>
    <row r="2597">
      <c r="A2597" s="8"/>
      <c r="L2597" s="8"/>
      <c r="M2597" s="8"/>
      <c r="N2597" s="8"/>
    </row>
    <row r="2598">
      <c r="A2598" s="8"/>
      <c r="L2598" s="8"/>
      <c r="M2598" s="8"/>
      <c r="N2598" s="8"/>
    </row>
    <row r="2599">
      <c r="A2599" s="8"/>
      <c r="L2599" s="8"/>
      <c r="M2599" s="8"/>
      <c r="N2599" s="8"/>
    </row>
    <row r="2600">
      <c r="A2600" s="8"/>
      <c r="L2600" s="8"/>
      <c r="M2600" s="8"/>
      <c r="N2600" s="8"/>
    </row>
    <row r="2601">
      <c r="A2601" s="8"/>
      <c r="L2601" s="8"/>
      <c r="M2601" s="8"/>
      <c r="N2601" s="8"/>
    </row>
    <row r="2602">
      <c r="A2602" s="8"/>
      <c r="L2602" s="8"/>
      <c r="M2602" s="8"/>
      <c r="N2602" s="8"/>
    </row>
    <row r="2603">
      <c r="A2603" s="8"/>
      <c r="L2603" s="8"/>
      <c r="M2603" s="8"/>
      <c r="N2603" s="8"/>
    </row>
    <row r="2604">
      <c r="A2604" s="8"/>
      <c r="L2604" s="8"/>
      <c r="M2604" s="8"/>
      <c r="N2604" s="8"/>
    </row>
    <row r="2605">
      <c r="A2605" s="8"/>
      <c r="L2605" s="8"/>
      <c r="M2605" s="8"/>
      <c r="N2605" s="8"/>
    </row>
    <row r="2606">
      <c r="A2606" s="8"/>
      <c r="L2606" s="8"/>
      <c r="M2606" s="8"/>
      <c r="N2606" s="8"/>
    </row>
    <row r="2607">
      <c r="A2607" s="8"/>
      <c r="L2607" s="8"/>
      <c r="M2607" s="8"/>
      <c r="N2607" s="8"/>
    </row>
    <row r="2608">
      <c r="A2608" s="8"/>
      <c r="L2608" s="8"/>
      <c r="M2608" s="8"/>
      <c r="N2608" s="8"/>
    </row>
    <row r="2609">
      <c r="A2609" s="8"/>
      <c r="L2609" s="8"/>
      <c r="M2609" s="8"/>
      <c r="N2609" s="8"/>
    </row>
    <row r="2610">
      <c r="A2610" s="8"/>
      <c r="L2610" s="8"/>
      <c r="M2610" s="8"/>
      <c r="N2610" s="8"/>
    </row>
    <row r="2611">
      <c r="A2611" s="8"/>
      <c r="L2611" s="8"/>
      <c r="M2611" s="8"/>
      <c r="N2611" s="8"/>
    </row>
    <row r="2612">
      <c r="A2612" s="8"/>
      <c r="L2612" s="8"/>
      <c r="M2612" s="8"/>
      <c r="N2612" s="8"/>
    </row>
    <row r="2613">
      <c r="A2613" s="8"/>
      <c r="L2613" s="8"/>
      <c r="M2613" s="8"/>
      <c r="N2613" s="8"/>
    </row>
    <row r="2614">
      <c r="A2614" s="8"/>
      <c r="L2614" s="8"/>
      <c r="M2614" s="8"/>
      <c r="N2614" s="8"/>
    </row>
    <row r="2615">
      <c r="A2615" s="8"/>
      <c r="L2615" s="8"/>
      <c r="M2615" s="8"/>
      <c r="N2615" s="8"/>
    </row>
    <row r="2616">
      <c r="A2616" s="8"/>
      <c r="L2616" s="8"/>
      <c r="M2616" s="8"/>
      <c r="N2616" s="8"/>
    </row>
    <row r="2617">
      <c r="A2617" s="8"/>
      <c r="L2617" s="8"/>
      <c r="M2617" s="8"/>
      <c r="N2617" s="8"/>
    </row>
  </sheetData>
  <hyperlinks>
    <hyperlink r:id="rId1" ref="D2"/>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89.14"/>
    <col customWidth="1" min="3" max="3" width="63.43"/>
  </cols>
  <sheetData>
    <row r="1">
      <c r="A1" s="16" t="s">
        <v>1</v>
      </c>
      <c r="B1" s="17" t="s">
        <v>0</v>
      </c>
      <c r="C1" s="8"/>
    </row>
    <row r="2">
      <c r="A2" s="18" t="s">
        <v>32</v>
      </c>
      <c r="B2" s="19" t="s">
        <v>741</v>
      </c>
      <c r="C2" s="2"/>
      <c r="D2" s="20"/>
      <c r="E2" s="8"/>
      <c r="F2" s="2"/>
      <c r="G2" s="20"/>
      <c r="H2" s="8"/>
      <c r="I2" s="2"/>
      <c r="J2" s="20"/>
      <c r="K2" s="8"/>
    </row>
    <row r="3">
      <c r="A3" s="21" t="s">
        <v>33</v>
      </c>
      <c r="B3" s="19" t="s">
        <v>742</v>
      </c>
      <c r="C3" s="2"/>
      <c r="D3" s="2"/>
      <c r="E3" s="8"/>
      <c r="F3" s="2"/>
      <c r="G3" s="2"/>
      <c r="H3" s="8"/>
      <c r="I3" s="2"/>
      <c r="J3" s="2"/>
      <c r="K3" s="8"/>
    </row>
    <row r="4">
      <c r="A4" s="22" t="s">
        <v>34</v>
      </c>
      <c r="B4" s="19" t="s">
        <v>743</v>
      </c>
      <c r="C4" s="2"/>
      <c r="D4" s="2"/>
      <c r="E4" s="8"/>
      <c r="F4" s="2"/>
      <c r="G4" s="2"/>
      <c r="H4" s="8"/>
      <c r="I4" s="2"/>
      <c r="J4" s="2"/>
      <c r="K4" s="8"/>
    </row>
    <row r="5">
      <c r="A5" s="22" t="s">
        <v>35</v>
      </c>
      <c r="B5" s="19" t="s">
        <v>744</v>
      </c>
      <c r="C5" s="2"/>
      <c r="D5" s="2"/>
      <c r="E5" s="8"/>
      <c r="F5" s="2"/>
      <c r="G5" s="2"/>
      <c r="H5" s="8"/>
      <c r="I5" s="2"/>
      <c r="J5" s="2"/>
      <c r="K5" s="8"/>
    </row>
    <row r="6">
      <c r="A6" s="22" t="s">
        <v>36</v>
      </c>
      <c r="B6" s="19" t="s">
        <v>745</v>
      </c>
      <c r="C6" s="2"/>
      <c r="D6" s="2"/>
      <c r="E6" s="8"/>
      <c r="F6" s="2"/>
      <c r="G6" s="2"/>
      <c r="H6" s="8"/>
      <c r="I6" s="2"/>
      <c r="J6" s="2"/>
      <c r="K6" s="8"/>
    </row>
    <row r="7">
      <c r="A7" s="22" t="s">
        <v>37</v>
      </c>
      <c r="B7" s="19" t="s">
        <v>746</v>
      </c>
      <c r="C7" s="2"/>
      <c r="D7" s="2"/>
      <c r="E7" s="8"/>
      <c r="F7" s="2"/>
      <c r="G7" s="2"/>
      <c r="H7" s="8"/>
      <c r="I7" s="2"/>
      <c r="J7" s="2"/>
      <c r="K7" s="8"/>
    </row>
    <row r="8">
      <c r="A8" s="21" t="s">
        <v>38</v>
      </c>
      <c r="B8" s="19" t="s">
        <v>747</v>
      </c>
      <c r="C8" s="2"/>
      <c r="D8" s="2"/>
      <c r="E8" s="8"/>
      <c r="F8" s="2"/>
      <c r="G8" s="2"/>
      <c r="H8" s="8"/>
      <c r="I8" s="2"/>
      <c r="J8" s="2"/>
      <c r="K8" s="8"/>
    </row>
    <row r="9">
      <c r="A9" s="22" t="s">
        <v>39</v>
      </c>
      <c r="B9" s="19" t="s">
        <v>748</v>
      </c>
      <c r="C9" s="2"/>
      <c r="D9" s="2"/>
      <c r="E9" s="8"/>
      <c r="F9" s="2"/>
      <c r="G9" s="2"/>
      <c r="H9" s="8"/>
      <c r="I9" s="2"/>
      <c r="J9" s="2"/>
      <c r="K9" s="8"/>
    </row>
    <row r="10">
      <c r="A10" s="22" t="s">
        <v>40</v>
      </c>
      <c r="B10" s="19" t="s">
        <v>749</v>
      </c>
      <c r="C10" s="8"/>
      <c r="D10" s="8"/>
      <c r="E10" s="8"/>
      <c r="F10" s="8"/>
      <c r="G10" s="8"/>
      <c r="H10" s="8"/>
      <c r="I10" s="8"/>
      <c r="J10" s="8"/>
      <c r="K10" s="8"/>
    </row>
    <row r="11">
      <c r="A11" s="22" t="s">
        <v>41</v>
      </c>
      <c r="B11" s="19" t="s">
        <v>750</v>
      </c>
      <c r="C11" s="8"/>
    </row>
    <row r="12">
      <c r="A12" s="22" t="s">
        <v>42</v>
      </c>
      <c r="B12" s="19" t="s">
        <v>751</v>
      </c>
      <c r="C12" s="8"/>
    </row>
    <row r="13">
      <c r="A13" s="21" t="s">
        <v>43</v>
      </c>
      <c r="B13" s="19" t="s">
        <v>752</v>
      </c>
      <c r="C13" s="8"/>
    </row>
    <row r="14">
      <c r="A14" s="21" t="s">
        <v>44</v>
      </c>
      <c r="B14" s="19" t="s">
        <v>753</v>
      </c>
      <c r="C14" s="8"/>
    </row>
    <row r="15">
      <c r="A15" s="22" t="s">
        <v>45</v>
      </c>
      <c r="B15" s="19" t="s">
        <v>754</v>
      </c>
      <c r="C15" s="8"/>
    </row>
    <row r="16">
      <c r="A16" s="22" t="s">
        <v>46</v>
      </c>
      <c r="B16" s="19" t="s">
        <v>755</v>
      </c>
      <c r="C16" s="8"/>
    </row>
    <row r="17">
      <c r="A17" s="22" t="s">
        <v>47</v>
      </c>
      <c r="B17" s="19" t="s">
        <v>756</v>
      </c>
      <c r="C17" s="8"/>
    </row>
    <row r="18">
      <c r="A18" s="22" t="s">
        <v>48</v>
      </c>
      <c r="B18" s="19" t="s">
        <v>757</v>
      </c>
      <c r="C18" s="8"/>
    </row>
    <row r="19">
      <c r="A19" s="23" t="s">
        <v>4</v>
      </c>
      <c r="B19" s="19" t="s">
        <v>758</v>
      </c>
      <c r="C19" s="8"/>
    </row>
    <row r="20">
      <c r="A20" s="23" t="s">
        <v>49</v>
      </c>
      <c r="B20" s="19" t="s">
        <v>759</v>
      </c>
      <c r="C20" s="8"/>
    </row>
    <row r="21">
      <c r="A21" s="23" t="s">
        <v>50</v>
      </c>
      <c r="B21" s="19" t="s">
        <v>760</v>
      </c>
      <c r="C21" s="8"/>
    </row>
    <row r="22">
      <c r="A22" s="23" t="s">
        <v>51</v>
      </c>
      <c r="B22" s="19" t="s">
        <v>761</v>
      </c>
      <c r="C22" s="8"/>
    </row>
    <row r="23">
      <c r="A23" s="23" t="s">
        <v>52</v>
      </c>
      <c r="B23" s="19" t="s">
        <v>762</v>
      </c>
      <c r="C23" s="8"/>
    </row>
    <row r="24">
      <c r="A24" s="23" t="s">
        <v>53</v>
      </c>
      <c r="B24" s="19" t="s">
        <v>763</v>
      </c>
      <c r="C24" s="8"/>
    </row>
    <row r="25">
      <c r="A25" s="23" t="s">
        <v>54</v>
      </c>
      <c r="B25" s="19" t="s">
        <v>764</v>
      </c>
      <c r="C25" s="8"/>
    </row>
    <row r="26">
      <c r="A26" s="23" t="s">
        <v>55</v>
      </c>
      <c r="B26" s="19" t="s">
        <v>765</v>
      </c>
      <c r="C26" s="8"/>
    </row>
    <row r="27">
      <c r="A27" s="23" t="s">
        <v>56</v>
      </c>
      <c r="B27" s="19" t="s">
        <v>766</v>
      </c>
      <c r="C27" s="8"/>
    </row>
    <row r="28">
      <c r="A28" s="23" t="s">
        <v>57</v>
      </c>
      <c r="B28" s="19" t="s">
        <v>767</v>
      </c>
      <c r="C28" s="8"/>
    </row>
    <row r="29">
      <c r="A29" s="23" t="s">
        <v>58</v>
      </c>
      <c r="B29" s="19" t="s">
        <v>768</v>
      </c>
      <c r="C29" s="8"/>
    </row>
    <row r="30">
      <c r="A30" s="23" t="s">
        <v>59</v>
      </c>
      <c r="B30" s="19" t="s">
        <v>769</v>
      </c>
      <c r="C30" s="8"/>
    </row>
    <row r="31">
      <c r="A31" s="23" t="s">
        <v>60</v>
      </c>
      <c r="B31" s="19" t="s">
        <v>770</v>
      </c>
      <c r="C31" s="8"/>
    </row>
    <row r="32">
      <c r="A32" s="23" t="s">
        <v>61</v>
      </c>
      <c r="B32" s="19" t="s">
        <v>771</v>
      </c>
      <c r="C32" s="8"/>
    </row>
    <row r="33">
      <c r="A33" s="23" t="s">
        <v>62</v>
      </c>
      <c r="B33" s="19" t="s">
        <v>772</v>
      </c>
      <c r="C33" s="8"/>
    </row>
    <row r="34">
      <c r="A34" s="23" t="s">
        <v>63</v>
      </c>
      <c r="B34" s="19" t="s">
        <v>773</v>
      </c>
      <c r="C34" s="8"/>
    </row>
    <row r="35">
      <c r="A35" s="23" t="s">
        <v>64</v>
      </c>
      <c r="B35" s="19" t="s">
        <v>774</v>
      </c>
      <c r="C35" s="8"/>
    </row>
    <row r="36">
      <c r="A36" s="23" t="s">
        <v>65</v>
      </c>
      <c r="B36" s="19" t="s">
        <v>775</v>
      </c>
      <c r="C36" s="8"/>
    </row>
    <row r="37">
      <c r="A37" s="23" t="s">
        <v>66</v>
      </c>
      <c r="B37" s="19" t="s">
        <v>776</v>
      </c>
      <c r="C37" s="8"/>
    </row>
    <row r="38">
      <c r="A38" s="23" t="s">
        <v>67</v>
      </c>
      <c r="B38" s="19" t="s">
        <v>777</v>
      </c>
      <c r="C38" s="8"/>
    </row>
    <row r="39">
      <c r="A39" s="23" t="s">
        <v>68</v>
      </c>
      <c r="B39" s="19" t="s">
        <v>778</v>
      </c>
      <c r="C39" s="8"/>
    </row>
    <row r="40">
      <c r="A40" s="23" t="s">
        <v>69</v>
      </c>
      <c r="B40" s="19" t="s">
        <v>779</v>
      </c>
      <c r="C40" s="8"/>
    </row>
    <row r="41">
      <c r="A41" s="23" t="s">
        <v>70</v>
      </c>
      <c r="B41" s="19" t="s">
        <v>780</v>
      </c>
      <c r="C41" s="8"/>
    </row>
    <row r="42">
      <c r="A42" s="23" t="s">
        <v>71</v>
      </c>
      <c r="B42" s="19" t="s">
        <v>781</v>
      </c>
      <c r="C42" s="8"/>
    </row>
    <row r="43">
      <c r="A43" s="23" t="s">
        <v>72</v>
      </c>
      <c r="B43" s="19" t="s">
        <v>782</v>
      </c>
      <c r="C43" s="8"/>
    </row>
    <row r="44">
      <c r="A44" s="23" t="s">
        <v>73</v>
      </c>
      <c r="B44" s="19" t="s">
        <v>783</v>
      </c>
      <c r="C44" s="8"/>
    </row>
    <row r="45">
      <c r="A45" s="23" t="s">
        <v>74</v>
      </c>
      <c r="B45" s="19" t="s">
        <v>784</v>
      </c>
      <c r="C45" s="8"/>
    </row>
    <row r="46">
      <c r="A46" s="23" t="s">
        <v>75</v>
      </c>
      <c r="B46" s="19" t="s">
        <v>785</v>
      </c>
      <c r="C46" s="8"/>
    </row>
    <row r="47">
      <c r="A47" s="23" t="s">
        <v>76</v>
      </c>
      <c r="B47" s="19" t="s">
        <v>786</v>
      </c>
      <c r="C47" s="8"/>
    </row>
    <row r="48">
      <c r="A48" s="23" t="s">
        <v>77</v>
      </c>
      <c r="B48" s="19" t="s">
        <v>787</v>
      </c>
      <c r="C48" s="8"/>
    </row>
    <row r="49">
      <c r="A49" s="23" t="s">
        <v>78</v>
      </c>
      <c r="B49" s="19" t="s">
        <v>788</v>
      </c>
      <c r="C49" s="8"/>
    </row>
    <row r="50">
      <c r="A50" s="23" t="s">
        <v>79</v>
      </c>
      <c r="B50" s="19" t="s">
        <v>789</v>
      </c>
      <c r="C50" s="8"/>
    </row>
    <row r="51">
      <c r="A51" s="23" t="s">
        <v>80</v>
      </c>
      <c r="B51" s="19" t="s">
        <v>790</v>
      </c>
      <c r="C51" s="8"/>
    </row>
    <row r="52">
      <c r="A52" s="23" t="s">
        <v>81</v>
      </c>
      <c r="B52" s="19" t="s">
        <v>791</v>
      </c>
      <c r="C52" s="8"/>
    </row>
    <row r="53">
      <c r="A53" s="23" t="s">
        <v>82</v>
      </c>
      <c r="B53" s="19" t="s">
        <v>792</v>
      </c>
      <c r="C53" s="8"/>
    </row>
    <row r="54">
      <c r="A54" s="23" t="s">
        <v>83</v>
      </c>
      <c r="B54" s="19" t="s">
        <v>793</v>
      </c>
      <c r="C54" s="8"/>
    </row>
    <row r="55">
      <c r="A55" s="23" t="s">
        <v>84</v>
      </c>
      <c r="B55" s="19" t="s">
        <v>794</v>
      </c>
      <c r="C55" s="8"/>
    </row>
    <row r="56">
      <c r="A56" s="23" t="s">
        <v>85</v>
      </c>
      <c r="B56" s="19" t="s">
        <v>795</v>
      </c>
      <c r="C56" s="8"/>
    </row>
    <row r="57">
      <c r="A57" s="23" t="s">
        <v>86</v>
      </c>
      <c r="B57" s="19" t="s">
        <v>796</v>
      </c>
      <c r="C57" s="8"/>
    </row>
    <row r="58">
      <c r="A58" s="23" t="s">
        <v>87</v>
      </c>
      <c r="B58" s="19" t="s">
        <v>797</v>
      </c>
      <c r="C58" s="8"/>
    </row>
    <row r="59">
      <c r="A59" s="23" t="s">
        <v>88</v>
      </c>
      <c r="B59" s="19" t="s">
        <v>798</v>
      </c>
      <c r="C59" s="8"/>
    </row>
    <row r="60">
      <c r="A60" s="23" t="s">
        <v>89</v>
      </c>
      <c r="B60" s="19" t="s">
        <v>799</v>
      </c>
      <c r="C60" s="8"/>
    </row>
    <row r="61">
      <c r="A61" s="23" t="s">
        <v>90</v>
      </c>
      <c r="B61" s="19" t="s">
        <v>800</v>
      </c>
      <c r="C61" s="8"/>
    </row>
    <row r="62">
      <c r="A62" s="23" t="s">
        <v>91</v>
      </c>
      <c r="B62" s="19" t="s">
        <v>801</v>
      </c>
      <c r="C62" s="8"/>
    </row>
    <row r="63">
      <c r="A63" s="23" t="s">
        <v>9</v>
      </c>
      <c r="B63" s="19" t="s">
        <v>802</v>
      </c>
      <c r="C63" s="8"/>
    </row>
    <row r="64">
      <c r="A64" s="23" t="s">
        <v>92</v>
      </c>
      <c r="B64" s="19" t="s">
        <v>803</v>
      </c>
      <c r="C64" s="8"/>
    </row>
    <row r="65">
      <c r="A65" s="23" t="s">
        <v>93</v>
      </c>
      <c r="B65" s="19" t="s">
        <v>804</v>
      </c>
      <c r="C65" s="8"/>
    </row>
    <row r="66">
      <c r="A66" s="23" t="s">
        <v>94</v>
      </c>
      <c r="B66" s="19" t="s">
        <v>805</v>
      </c>
      <c r="C66" s="8"/>
    </row>
    <row r="67">
      <c r="A67" s="23" t="s">
        <v>95</v>
      </c>
      <c r="B67" s="19" t="s">
        <v>806</v>
      </c>
      <c r="C67" s="8"/>
    </row>
    <row r="68">
      <c r="A68" s="23" t="s">
        <v>96</v>
      </c>
      <c r="B68" s="19" t="s">
        <v>807</v>
      </c>
      <c r="C68" s="8"/>
    </row>
    <row r="69">
      <c r="A69" s="23" t="s">
        <v>97</v>
      </c>
      <c r="B69" s="19" t="s">
        <v>808</v>
      </c>
      <c r="C69" s="8"/>
    </row>
    <row r="70">
      <c r="A70" s="23" t="s">
        <v>98</v>
      </c>
      <c r="B70" s="19" t="s">
        <v>809</v>
      </c>
      <c r="C70" s="8"/>
    </row>
    <row r="71">
      <c r="A71" s="23" t="s">
        <v>99</v>
      </c>
      <c r="B71" s="19" t="s">
        <v>810</v>
      </c>
      <c r="C71" s="8"/>
    </row>
    <row r="72">
      <c r="A72" s="23" t="s">
        <v>100</v>
      </c>
      <c r="B72" s="19" t="s">
        <v>811</v>
      </c>
      <c r="C72" s="8"/>
    </row>
    <row r="73">
      <c r="A73" s="23" t="s">
        <v>101</v>
      </c>
      <c r="B73" s="19" t="s">
        <v>812</v>
      </c>
      <c r="C73" s="8"/>
    </row>
    <row r="74">
      <c r="A74" s="23" t="s">
        <v>102</v>
      </c>
      <c r="B74" s="19" t="s">
        <v>813</v>
      </c>
      <c r="C74" s="8"/>
    </row>
    <row r="75">
      <c r="A75" s="23" t="s">
        <v>103</v>
      </c>
      <c r="B75" s="19" t="s">
        <v>814</v>
      </c>
      <c r="C75" s="8"/>
    </row>
    <row r="76">
      <c r="A76" s="23" t="s">
        <v>104</v>
      </c>
      <c r="B76" s="19" t="s">
        <v>815</v>
      </c>
      <c r="C76" s="8"/>
    </row>
    <row r="77">
      <c r="A77" s="23" t="s">
        <v>105</v>
      </c>
      <c r="B77" s="19" t="s">
        <v>816</v>
      </c>
      <c r="C77" s="8"/>
    </row>
    <row r="78">
      <c r="A78" s="23" t="s">
        <v>106</v>
      </c>
      <c r="B78" s="19" t="s">
        <v>817</v>
      </c>
      <c r="C78" s="8"/>
    </row>
    <row r="79">
      <c r="A79" s="23" t="s">
        <v>107</v>
      </c>
      <c r="B79" s="19" t="s">
        <v>818</v>
      </c>
      <c r="C79" s="8"/>
    </row>
    <row r="80">
      <c r="A80" s="23" t="s">
        <v>108</v>
      </c>
      <c r="B80" s="19" t="s">
        <v>819</v>
      </c>
      <c r="C80" s="8"/>
    </row>
    <row r="81">
      <c r="A81" s="23" t="s">
        <v>109</v>
      </c>
      <c r="B81" s="19" t="s">
        <v>820</v>
      </c>
      <c r="C81" s="8"/>
    </row>
    <row r="82">
      <c r="A82" s="23" t="s">
        <v>110</v>
      </c>
      <c r="B82" s="19" t="s">
        <v>821</v>
      </c>
      <c r="C82" s="8"/>
    </row>
    <row r="83">
      <c r="A83" s="23" t="s">
        <v>111</v>
      </c>
      <c r="B83" s="19" t="s">
        <v>822</v>
      </c>
      <c r="C83" s="8"/>
    </row>
    <row r="84">
      <c r="A84" s="23" t="s">
        <v>112</v>
      </c>
      <c r="B84" s="19" t="s">
        <v>823</v>
      </c>
      <c r="C84" s="8"/>
    </row>
    <row r="85">
      <c r="A85" s="23" t="s">
        <v>113</v>
      </c>
      <c r="B85" s="19" t="s">
        <v>824</v>
      </c>
      <c r="C85" s="8"/>
    </row>
    <row r="86">
      <c r="A86" s="23" t="s">
        <v>114</v>
      </c>
      <c r="B86" s="19" t="s">
        <v>825</v>
      </c>
      <c r="C86" s="8"/>
    </row>
    <row r="87">
      <c r="A87" s="23" t="s">
        <v>115</v>
      </c>
      <c r="B87" s="19" t="s">
        <v>826</v>
      </c>
      <c r="C87" s="8"/>
    </row>
    <row r="88">
      <c r="A88" s="23" t="s">
        <v>116</v>
      </c>
      <c r="B88" s="19" t="s">
        <v>827</v>
      </c>
      <c r="C88" s="8"/>
    </row>
    <row r="89">
      <c r="A89" s="23" t="s">
        <v>117</v>
      </c>
      <c r="B89" s="19" t="s">
        <v>828</v>
      </c>
      <c r="C89" s="8"/>
    </row>
    <row r="90">
      <c r="A90" s="23" t="s">
        <v>118</v>
      </c>
      <c r="B90" s="19" t="s">
        <v>829</v>
      </c>
      <c r="C90" s="8"/>
    </row>
    <row r="91">
      <c r="A91" s="23" t="s">
        <v>119</v>
      </c>
      <c r="B91" s="19" t="s">
        <v>830</v>
      </c>
      <c r="C91" s="8"/>
    </row>
    <row r="92">
      <c r="A92" s="23" t="s">
        <v>120</v>
      </c>
      <c r="B92" s="19" t="s">
        <v>831</v>
      </c>
      <c r="C92" s="8"/>
    </row>
    <row r="93">
      <c r="A93" s="23" t="s">
        <v>121</v>
      </c>
      <c r="B93" s="19" t="s">
        <v>832</v>
      </c>
      <c r="C93" s="8"/>
    </row>
    <row r="94">
      <c r="A94" s="23" t="s">
        <v>122</v>
      </c>
      <c r="B94" s="19" t="s">
        <v>833</v>
      </c>
      <c r="C94" s="8"/>
    </row>
    <row r="95">
      <c r="A95" s="23" t="s">
        <v>123</v>
      </c>
      <c r="B95" s="19" t="s">
        <v>834</v>
      </c>
      <c r="C95" s="8"/>
    </row>
    <row r="96">
      <c r="A96" s="23" t="s">
        <v>124</v>
      </c>
      <c r="B96" s="19" t="s">
        <v>835</v>
      </c>
      <c r="C96" s="8"/>
    </row>
    <row r="97">
      <c r="A97" s="23" t="s">
        <v>125</v>
      </c>
      <c r="B97" s="19" t="s">
        <v>836</v>
      </c>
      <c r="C97" s="8"/>
    </row>
    <row r="98">
      <c r="A98" s="23" t="s">
        <v>126</v>
      </c>
      <c r="B98" s="19" t="s">
        <v>837</v>
      </c>
      <c r="C98" s="8"/>
    </row>
    <row r="99">
      <c r="A99" s="23" t="s">
        <v>127</v>
      </c>
      <c r="B99" s="19" t="s">
        <v>838</v>
      </c>
      <c r="C99" s="8"/>
    </row>
    <row r="100">
      <c r="A100" s="23" t="s">
        <v>128</v>
      </c>
      <c r="B100" s="19" t="s">
        <v>839</v>
      </c>
      <c r="C100" s="8"/>
    </row>
    <row r="101">
      <c r="A101" s="23" t="s">
        <v>129</v>
      </c>
      <c r="B101" s="19" t="s">
        <v>840</v>
      </c>
      <c r="C101" s="8"/>
    </row>
    <row r="102">
      <c r="A102" s="23" t="s">
        <v>130</v>
      </c>
      <c r="B102" s="19" t="s">
        <v>841</v>
      </c>
      <c r="C102" s="8"/>
    </row>
    <row r="103">
      <c r="A103" s="23" t="s">
        <v>131</v>
      </c>
      <c r="B103" s="19" t="s">
        <v>842</v>
      </c>
      <c r="C103" s="8"/>
    </row>
    <row r="104">
      <c r="A104" s="23" t="s">
        <v>132</v>
      </c>
      <c r="B104" s="19" t="s">
        <v>843</v>
      </c>
      <c r="C104" s="8"/>
    </row>
    <row r="105">
      <c r="A105" s="23" t="s">
        <v>133</v>
      </c>
      <c r="B105" s="19" t="s">
        <v>844</v>
      </c>
      <c r="C105" s="8"/>
    </row>
    <row r="106">
      <c r="A106" s="23" t="s">
        <v>134</v>
      </c>
      <c r="B106" s="19" t="s">
        <v>845</v>
      </c>
      <c r="C106" s="8"/>
    </row>
    <row r="107">
      <c r="A107" s="23" t="s">
        <v>135</v>
      </c>
      <c r="B107" s="19" t="s">
        <v>846</v>
      </c>
      <c r="C107" s="8"/>
    </row>
    <row r="108">
      <c r="A108" s="23" t="s">
        <v>136</v>
      </c>
      <c r="B108" s="19" t="s">
        <v>847</v>
      </c>
      <c r="C108" s="8"/>
    </row>
    <row r="109">
      <c r="A109" s="23" t="s">
        <v>137</v>
      </c>
      <c r="B109" s="19" t="s">
        <v>848</v>
      </c>
      <c r="C109" s="8"/>
    </row>
    <row r="110">
      <c r="A110" s="23" t="s">
        <v>138</v>
      </c>
      <c r="B110" s="19" t="s">
        <v>849</v>
      </c>
      <c r="C110" s="8"/>
    </row>
    <row r="111">
      <c r="A111" s="23" t="s">
        <v>139</v>
      </c>
      <c r="B111" s="19" t="s">
        <v>850</v>
      </c>
      <c r="C111" s="8"/>
    </row>
    <row r="112">
      <c r="A112" s="23" t="s">
        <v>140</v>
      </c>
      <c r="B112" s="19" t="s">
        <v>851</v>
      </c>
      <c r="C112" s="8"/>
    </row>
    <row r="113">
      <c r="A113" s="23" t="s">
        <v>141</v>
      </c>
      <c r="B113" s="19" t="s">
        <v>852</v>
      </c>
      <c r="C113" s="8"/>
    </row>
    <row r="114">
      <c r="A114" s="23" t="s">
        <v>142</v>
      </c>
      <c r="B114" s="19" t="s">
        <v>853</v>
      </c>
      <c r="C114" s="8"/>
    </row>
    <row r="115">
      <c r="A115" s="23" t="s">
        <v>143</v>
      </c>
      <c r="B115" s="19" t="s">
        <v>854</v>
      </c>
      <c r="C115" s="8"/>
    </row>
    <row r="116">
      <c r="A116" s="23" t="s">
        <v>144</v>
      </c>
      <c r="B116" s="19" t="s">
        <v>855</v>
      </c>
      <c r="C116" s="8"/>
    </row>
    <row r="117">
      <c r="A117" s="23" t="s">
        <v>145</v>
      </c>
      <c r="B117" s="19" t="s">
        <v>856</v>
      </c>
      <c r="C117" s="8"/>
    </row>
    <row r="118">
      <c r="A118" s="23" t="s">
        <v>146</v>
      </c>
      <c r="B118" s="19" t="s">
        <v>857</v>
      </c>
      <c r="C118" s="8"/>
    </row>
    <row r="119">
      <c r="A119" s="23" t="s">
        <v>147</v>
      </c>
      <c r="B119" s="19" t="s">
        <v>858</v>
      </c>
      <c r="C119" s="8"/>
    </row>
    <row r="120">
      <c r="A120" s="23" t="s">
        <v>148</v>
      </c>
      <c r="B120" s="19" t="s">
        <v>859</v>
      </c>
      <c r="C120" s="8"/>
    </row>
    <row r="121">
      <c r="A121" s="23" t="s">
        <v>149</v>
      </c>
      <c r="B121" s="19" t="s">
        <v>860</v>
      </c>
      <c r="C121" s="8"/>
    </row>
    <row r="122">
      <c r="A122" s="23" t="s">
        <v>150</v>
      </c>
      <c r="B122" s="19" t="s">
        <v>861</v>
      </c>
      <c r="C122" s="8"/>
    </row>
    <row r="123">
      <c r="A123" s="23" t="s">
        <v>151</v>
      </c>
      <c r="B123" s="19" t="s">
        <v>862</v>
      </c>
      <c r="C123" s="8"/>
    </row>
    <row r="124">
      <c r="A124" s="23" t="s">
        <v>152</v>
      </c>
      <c r="B124" s="19" t="s">
        <v>863</v>
      </c>
      <c r="C124" s="8"/>
    </row>
    <row r="125">
      <c r="A125" s="23" t="s">
        <v>153</v>
      </c>
      <c r="B125" s="19" t="s">
        <v>864</v>
      </c>
      <c r="C125" s="8"/>
    </row>
    <row r="126">
      <c r="A126" s="23" t="s">
        <v>154</v>
      </c>
      <c r="B126" s="19" t="s">
        <v>865</v>
      </c>
      <c r="C126" s="8"/>
    </row>
    <row r="127">
      <c r="A127" s="23" t="s">
        <v>155</v>
      </c>
      <c r="B127" s="19" t="s">
        <v>866</v>
      </c>
      <c r="C127" s="8"/>
    </row>
    <row r="128">
      <c r="A128" s="23" t="s">
        <v>156</v>
      </c>
      <c r="B128" s="19" t="s">
        <v>867</v>
      </c>
      <c r="C128" s="8"/>
    </row>
    <row r="129">
      <c r="A129" s="23" t="s">
        <v>157</v>
      </c>
      <c r="B129" s="19" t="s">
        <v>868</v>
      </c>
      <c r="C129" s="8"/>
    </row>
    <row r="130">
      <c r="A130" s="23" t="s">
        <v>158</v>
      </c>
      <c r="B130" s="19" t="s">
        <v>869</v>
      </c>
      <c r="C130" s="8"/>
    </row>
    <row r="131">
      <c r="A131" s="23" t="s">
        <v>159</v>
      </c>
      <c r="B131" s="19" t="s">
        <v>870</v>
      </c>
      <c r="C131" s="8"/>
    </row>
    <row r="132">
      <c r="A132" s="23" t="s">
        <v>160</v>
      </c>
      <c r="B132" s="19" t="s">
        <v>871</v>
      </c>
      <c r="C132" s="8"/>
    </row>
    <row r="133">
      <c r="A133" s="23" t="s">
        <v>161</v>
      </c>
      <c r="B133" s="19" t="s">
        <v>872</v>
      </c>
      <c r="C133" s="8"/>
    </row>
    <row r="134">
      <c r="A134" s="23" t="s">
        <v>162</v>
      </c>
      <c r="B134" s="19" t="s">
        <v>873</v>
      </c>
      <c r="C134" s="8"/>
    </row>
    <row r="135">
      <c r="A135" s="23" t="s">
        <v>163</v>
      </c>
      <c r="B135" s="19" t="s">
        <v>874</v>
      </c>
      <c r="C135" s="8"/>
    </row>
    <row r="136">
      <c r="A136" s="23" t="s">
        <v>164</v>
      </c>
      <c r="B136" s="19" t="s">
        <v>875</v>
      </c>
      <c r="C136" s="8"/>
    </row>
    <row r="137">
      <c r="A137" s="23" t="s">
        <v>165</v>
      </c>
      <c r="B137" s="19" t="s">
        <v>876</v>
      </c>
      <c r="C137" s="8"/>
    </row>
    <row r="138">
      <c r="A138" s="23" t="s">
        <v>166</v>
      </c>
      <c r="B138" s="19" t="s">
        <v>877</v>
      </c>
      <c r="C138" s="8"/>
    </row>
    <row r="139">
      <c r="A139" s="23" t="s">
        <v>167</v>
      </c>
      <c r="B139" s="19" t="s">
        <v>878</v>
      </c>
      <c r="C139" s="8"/>
    </row>
    <row r="140">
      <c r="A140" s="23" t="s">
        <v>168</v>
      </c>
      <c r="B140" s="19" t="s">
        <v>879</v>
      </c>
      <c r="C140" s="8"/>
    </row>
    <row r="141">
      <c r="A141" s="23" t="s">
        <v>169</v>
      </c>
      <c r="B141" s="19" t="s">
        <v>880</v>
      </c>
      <c r="C141" s="8"/>
    </row>
    <row r="142">
      <c r="A142" s="23" t="s">
        <v>170</v>
      </c>
      <c r="B142" s="19" t="s">
        <v>881</v>
      </c>
      <c r="C142" s="8"/>
    </row>
    <row r="143">
      <c r="A143" s="23" t="s">
        <v>171</v>
      </c>
      <c r="B143" s="19" t="s">
        <v>882</v>
      </c>
      <c r="C143" s="8"/>
    </row>
    <row r="144">
      <c r="A144" s="23" t="s">
        <v>172</v>
      </c>
      <c r="B144" s="19" t="s">
        <v>883</v>
      </c>
      <c r="C144" s="8"/>
    </row>
    <row r="145">
      <c r="A145" s="23" t="s">
        <v>173</v>
      </c>
      <c r="B145" s="19" t="s">
        <v>884</v>
      </c>
      <c r="C145" s="8"/>
    </row>
    <row r="146">
      <c r="A146" s="23" t="s">
        <v>174</v>
      </c>
      <c r="B146" s="19" t="s">
        <v>885</v>
      </c>
      <c r="C146" s="8"/>
    </row>
    <row r="147">
      <c r="A147" s="23" t="s">
        <v>175</v>
      </c>
      <c r="B147" s="19" t="s">
        <v>886</v>
      </c>
      <c r="C147" s="8"/>
    </row>
    <row r="148">
      <c r="A148" s="23" t="s">
        <v>176</v>
      </c>
      <c r="B148" s="19" t="s">
        <v>887</v>
      </c>
      <c r="C148" s="8"/>
    </row>
    <row r="149">
      <c r="A149" s="23" t="s">
        <v>177</v>
      </c>
      <c r="B149" s="19" t="s">
        <v>888</v>
      </c>
      <c r="C149" s="8"/>
    </row>
    <row r="150">
      <c r="A150" s="23" t="s">
        <v>178</v>
      </c>
      <c r="B150" s="19" t="s">
        <v>889</v>
      </c>
      <c r="C150" s="8"/>
    </row>
    <row r="151">
      <c r="A151" s="23" t="s">
        <v>179</v>
      </c>
      <c r="B151" s="19" t="s">
        <v>890</v>
      </c>
      <c r="C151" s="8"/>
    </row>
    <row r="152">
      <c r="A152" s="23" t="s">
        <v>180</v>
      </c>
      <c r="B152" s="19" t="s">
        <v>891</v>
      </c>
      <c r="C152" s="8"/>
    </row>
    <row r="153">
      <c r="A153" s="23" t="s">
        <v>181</v>
      </c>
      <c r="B153" s="19" t="s">
        <v>892</v>
      </c>
      <c r="C153" s="8"/>
    </row>
    <row r="154">
      <c r="A154" s="23" t="s">
        <v>182</v>
      </c>
      <c r="B154" s="19" t="s">
        <v>893</v>
      </c>
      <c r="C154" s="8"/>
    </row>
    <row r="155">
      <c r="A155" s="23" t="s">
        <v>183</v>
      </c>
      <c r="B155" s="19" t="s">
        <v>894</v>
      </c>
      <c r="C155" s="8"/>
    </row>
    <row r="156">
      <c r="A156" s="23" t="s">
        <v>184</v>
      </c>
      <c r="B156" s="19" t="s">
        <v>895</v>
      </c>
      <c r="C156" s="8"/>
    </row>
    <row r="157">
      <c r="A157" s="23" t="s">
        <v>185</v>
      </c>
      <c r="B157" s="19" t="s">
        <v>896</v>
      </c>
      <c r="C157" s="8"/>
    </row>
    <row r="158">
      <c r="A158" s="23" t="s">
        <v>186</v>
      </c>
      <c r="B158" s="19" t="s">
        <v>897</v>
      </c>
      <c r="C158" s="8"/>
    </row>
    <row r="159">
      <c r="A159" s="23" t="s">
        <v>187</v>
      </c>
      <c r="B159" s="19" t="s">
        <v>898</v>
      </c>
      <c r="C159" s="8"/>
    </row>
    <row r="160">
      <c r="A160" s="23" t="s">
        <v>188</v>
      </c>
      <c r="B160" s="19" t="s">
        <v>899</v>
      </c>
      <c r="C160" s="8"/>
    </row>
    <row r="161">
      <c r="A161" s="23" t="s">
        <v>189</v>
      </c>
      <c r="B161" s="19" t="s">
        <v>900</v>
      </c>
      <c r="C161" s="8"/>
    </row>
    <row r="162">
      <c r="A162" s="23" t="s">
        <v>190</v>
      </c>
      <c r="B162" s="19" t="s">
        <v>901</v>
      </c>
      <c r="C162" s="8"/>
    </row>
    <row r="163">
      <c r="A163" s="23" t="s">
        <v>191</v>
      </c>
      <c r="B163" s="19" t="s">
        <v>902</v>
      </c>
      <c r="C163" s="8"/>
    </row>
    <row r="164">
      <c r="A164" s="23" t="s">
        <v>192</v>
      </c>
      <c r="B164" s="19" t="s">
        <v>903</v>
      </c>
      <c r="C164" s="8"/>
    </row>
    <row r="165">
      <c r="A165" s="23" t="s">
        <v>193</v>
      </c>
      <c r="B165" s="19" t="s">
        <v>904</v>
      </c>
      <c r="C165" s="8"/>
    </row>
    <row r="166">
      <c r="A166" s="23" t="s">
        <v>194</v>
      </c>
      <c r="B166" s="19" t="s">
        <v>905</v>
      </c>
      <c r="C166" s="8"/>
    </row>
    <row r="167">
      <c r="A167" s="23" t="s">
        <v>195</v>
      </c>
      <c r="B167" s="19" t="s">
        <v>906</v>
      </c>
      <c r="C167" s="8"/>
    </row>
    <row r="168">
      <c r="A168" s="23" t="s">
        <v>196</v>
      </c>
      <c r="B168" s="19" t="s">
        <v>907</v>
      </c>
      <c r="C168" s="8"/>
    </row>
    <row r="169">
      <c r="A169" s="23" t="s">
        <v>197</v>
      </c>
      <c r="B169" s="19" t="s">
        <v>908</v>
      </c>
      <c r="C169" s="8"/>
    </row>
    <row r="170">
      <c r="A170" s="23" t="s">
        <v>198</v>
      </c>
      <c r="B170" s="19" t="s">
        <v>909</v>
      </c>
      <c r="C170" s="8"/>
    </row>
    <row r="171">
      <c r="A171" s="23" t="s">
        <v>199</v>
      </c>
      <c r="B171" s="19" t="s">
        <v>910</v>
      </c>
      <c r="C171" s="8"/>
    </row>
    <row r="172">
      <c r="A172" s="23" t="s">
        <v>200</v>
      </c>
      <c r="B172" s="19" t="s">
        <v>911</v>
      </c>
      <c r="C172" s="8"/>
    </row>
    <row r="173">
      <c r="A173" s="23" t="s">
        <v>201</v>
      </c>
      <c r="B173" s="19" t="s">
        <v>912</v>
      </c>
      <c r="C173" s="8"/>
    </row>
    <row r="174">
      <c r="A174" s="23" t="s">
        <v>202</v>
      </c>
      <c r="B174" s="19" t="s">
        <v>913</v>
      </c>
      <c r="C174" s="8"/>
    </row>
    <row r="175">
      <c r="A175" s="23" t="s">
        <v>203</v>
      </c>
      <c r="B175" s="19" t="s">
        <v>914</v>
      </c>
      <c r="C175" s="8"/>
    </row>
    <row r="176">
      <c r="A176" s="23" t="s">
        <v>204</v>
      </c>
      <c r="B176" s="19" t="s">
        <v>915</v>
      </c>
      <c r="C176" s="8"/>
    </row>
    <row r="177">
      <c r="A177" s="23" t="s">
        <v>205</v>
      </c>
      <c r="B177" s="19" t="s">
        <v>916</v>
      </c>
      <c r="C177" s="8"/>
    </row>
    <row r="178">
      <c r="A178" s="23" t="s">
        <v>206</v>
      </c>
      <c r="B178" s="19" t="s">
        <v>917</v>
      </c>
      <c r="C178" s="8"/>
    </row>
    <row r="179">
      <c r="A179" s="23" t="s">
        <v>207</v>
      </c>
      <c r="B179" s="19" t="s">
        <v>918</v>
      </c>
      <c r="C179" s="8"/>
    </row>
    <row r="180">
      <c r="A180" s="23" t="s">
        <v>208</v>
      </c>
      <c r="B180" s="19" t="s">
        <v>919</v>
      </c>
      <c r="C180" s="8"/>
    </row>
    <row r="181">
      <c r="A181" s="23" t="s">
        <v>209</v>
      </c>
      <c r="B181" s="19" t="s">
        <v>920</v>
      </c>
      <c r="C181" s="8"/>
    </row>
    <row r="182">
      <c r="A182" s="23" t="s">
        <v>210</v>
      </c>
      <c r="B182" s="19" t="s">
        <v>921</v>
      </c>
      <c r="C182" s="8"/>
    </row>
    <row r="183">
      <c r="A183" s="23" t="s">
        <v>211</v>
      </c>
      <c r="B183" s="19" t="s">
        <v>922</v>
      </c>
      <c r="C183" s="8"/>
    </row>
    <row r="184">
      <c r="A184" s="23" t="s">
        <v>212</v>
      </c>
      <c r="B184" s="19" t="s">
        <v>923</v>
      </c>
      <c r="C184" s="8"/>
    </row>
    <row r="185">
      <c r="A185" s="23" t="s">
        <v>213</v>
      </c>
      <c r="B185" s="19" t="s">
        <v>924</v>
      </c>
      <c r="C185" s="8"/>
    </row>
    <row r="186">
      <c r="A186" s="23" t="s">
        <v>214</v>
      </c>
      <c r="B186" s="19" t="s">
        <v>925</v>
      </c>
      <c r="C186" s="8"/>
    </row>
    <row r="187">
      <c r="A187" s="23" t="s">
        <v>215</v>
      </c>
      <c r="B187" s="19" t="s">
        <v>926</v>
      </c>
      <c r="C187" s="8"/>
    </row>
    <row r="188">
      <c r="A188" s="23" t="s">
        <v>216</v>
      </c>
      <c r="B188" s="19" t="s">
        <v>927</v>
      </c>
      <c r="C188" s="8"/>
    </row>
    <row r="189">
      <c r="A189" s="23" t="s">
        <v>217</v>
      </c>
      <c r="B189" s="19" t="s">
        <v>928</v>
      </c>
      <c r="C189" s="8"/>
    </row>
    <row r="190">
      <c r="A190" s="23" t="s">
        <v>218</v>
      </c>
      <c r="B190" s="19" t="s">
        <v>929</v>
      </c>
      <c r="C190" s="8"/>
    </row>
    <row r="191">
      <c r="A191" s="23" t="s">
        <v>219</v>
      </c>
      <c r="B191" s="19" t="s">
        <v>930</v>
      </c>
      <c r="C191" s="8"/>
    </row>
    <row r="192">
      <c r="A192" s="23" t="s">
        <v>220</v>
      </c>
      <c r="B192" s="19" t="s">
        <v>931</v>
      </c>
      <c r="C192" s="8"/>
    </row>
    <row r="193">
      <c r="A193" s="23" t="s">
        <v>221</v>
      </c>
      <c r="B193" s="19" t="s">
        <v>932</v>
      </c>
      <c r="C193" s="8"/>
    </row>
    <row r="194">
      <c r="A194" s="23" t="s">
        <v>222</v>
      </c>
      <c r="B194" s="19" t="s">
        <v>933</v>
      </c>
      <c r="C194" s="8"/>
    </row>
    <row r="195">
      <c r="A195" s="23" t="s">
        <v>223</v>
      </c>
      <c r="B195" s="19" t="s">
        <v>934</v>
      </c>
      <c r="C195" s="8"/>
    </row>
    <row r="196">
      <c r="A196" s="23" t="s">
        <v>224</v>
      </c>
      <c r="B196" s="19" t="s">
        <v>935</v>
      </c>
      <c r="C196" s="8"/>
    </row>
    <row r="197">
      <c r="A197" s="23" t="s">
        <v>225</v>
      </c>
      <c r="B197" s="19" t="s">
        <v>936</v>
      </c>
      <c r="C197" s="8"/>
    </row>
    <row r="198">
      <c r="A198" s="23" t="s">
        <v>226</v>
      </c>
      <c r="B198" s="19" t="s">
        <v>937</v>
      </c>
      <c r="C198" s="8"/>
    </row>
    <row r="199">
      <c r="A199" s="23" t="s">
        <v>227</v>
      </c>
      <c r="B199" s="19" t="s">
        <v>938</v>
      </c>
      <c r="C199" s="8"/>
    </row>
    <row r="200">
      <c r="A200" s="23" t="s">
        <v>228</v>
      </c>
      <c r="B200" s="19" t="s">
        <v>939</v>
      </c>
      <c r="C200" s="8"/>
    </row>
    <row r="201">
      <c r="A201" s="23" t="s">
        <v>229</v>
      </c>
      <c r="B201" s="19" t="s">
        <v>940</v>
      </c>
      <c r="C201" s="8"/>
    </row>
    <row r="202">
      <c r="A202" s="23" t="s">
        <v>230</v>
      </c>
      <c r="B202" s="19" t="s">
        <v>941</v>
      </c>
      <c r="C202" s="8"/>
    </row>
    <row r="203">
      <c r="A203" s="23" t="s">
        <v>231</v>
      </c>
      <c r="B203" s="19" t="s">
        <v>942</v>
      </c>
      <c r="C203" s="8"/>
    </row>
    <row r="204">
      <c r="A204" s="23" t="s">
        <v>232</v>
      </c>
      <c r="B204" s="19" t="s">
        <v>943</v>
      </c>
      <c r="C204" s="8"/>
    </row>
    <row r="205">
      <c r="A205" s="23" t="s">
        <v>233</v>
      </c>
      <c r="B205" s="19" t="s">
        <v>944</v>
      </c>
      <c r="C205" s="8"/>
    </row>
    <row r="206">
      <c r="A206" s="23" t="s">
        <v>234</v>
      </c>
      <c r="B206" s="19" t="s">
        <v>945</v>
      </c>
      <c r="C206" s="8"/>
    </row>
    <row r="207">
      <c r="A207" s="23" t="s">
        <v>235</v>
      </c>
      <c r="B207" s="19" t="s">
        <v>946</v>
      </c>
      <c r="C207" s="8"/>
    </row>
    <row r="208">
      <c r="A208" s="23" t="s">
        <v>236</v>
      </c>
      <c r="B208" s="19" t="s">
        <v>947</v>
      </c>
      <c r="C208" s="8"/>
    </row>
    <row r="209">
      <c r="A209" s="23" t="s">
        <v>237</v>
      </c>
      <c r="B209" s="19" t="s">
        <v>948</v>
      </c>
      <c r="C209" s="8"/>
    </row>
    <row r="210">
      <c r="A210" s="23" t="s">
        <v>238</v>
      </c>
      <c r="B210" s="19" t="s">
        <v>949</v>
      </c>
      <c r="C210" s="8"/>
    </row>
    <row r="211">
      <c r="A211" s="23" t="s">
        <v>239</v>
      </c>
      <c r="B211" s="19" t="s">
        <v>950</v>
      </c>
      <c r="C211" s="8"/>
    </row>
    <row r="212">
      <c r="A212" s="23" t="s">
        <v>240</v>
      </c>
      <c r="B212" s="19" t="s">
        <v>951</v>
      </c>
      <c r="C212" s="8"/>
    </row>
    <row r="213">
      <c r="A213" s="23" t="s">
        <v>241</v>
      </c>
      <c r="B213" s="19" t="s">
        <v>952</v>
      </c>
      <c r="C213" s="8"/>
    </row>
    <row r="214">
      <c r="A214" s="23" t="s">
        <v>242</v>
      </c>
      <c r="B214" s="19" t="s">
        <v>953</v>
      </c>
      <c r="C214" s="8"/>
    </row>
    <row r="215">
      <c r="A215" s="23" t="s">
        <v>243</v>
      </c>
      <c r="B215" s="19" t="s">
        <v>954</v>
      </c>
      <c r="C215" s="8"/>
    </row>
    <row r="216">
      <c r="A216" s="23" t="s">
        <v>244</v>
      </c>
      <c r="B216" s="19" t="s">
        <v>955</v>
      </c>
      <c r="C216" s="8"/>
    </row>
    <row r="217">
      <c r="A217" s="23" t="s">
        <v>245</v>
      </c>
      <c r="B217" s="19" t="s">
        <v>956</v>
      </c>
      <c r="C217" s="8"/>
    </row>
    <row r="218">
      <c r="A218" s="23" t="s">
        <v>246</v>
      </c>
      <c r="B218" s="19" t="s">
        <v>957</v>
      </c>
      <c r="C218" s="8"/>
    </row>
    <row r="219">
      <c r="A219" s="23" t="s">
        <v>247</v>
      </c>
      <c r="B219" s="19" t="s">
        <v>958</v>
      </c>
      <c r="C219" s="8"/>
    </row>
    <row r="220">
      <c r="A220" s="23" t="s">
        <v>248</v>
      </c>
      <c r="B220" s="19" t="s">
        <v>959</v>
      </c>
      <c r="C220" s="8"/>
    </row>
    <row r="221">
      <c r="A221" s="23" t="s">
        <v>249</v>
      </c>
      <c r="B221" s="19" t="s">
        <v>960</v>
      </c>
      <c r="C221" s="8"/>
    </row>
    <row r="222">
      <c r="A222" s="23" t="s">
        <v>250</v>
      </c>
      <c r="B222" s="19" t="s">
        <v>961</v>
      </c>
      <c r="C222" s="8"/>
    </row>
    <row r="223">
      <c r="A223" s="23" t="s">
        <v>251</v>
      </c>
      <c r="B223" s="19" t="s">
        <v>962</v>
      </c>
      <c r="C223" s="8"/>
    </row>
    <row r="224">
      <c r="A224" s="23" t="s">
        <v>252</v>
      </c>
      <c r="B224" s="19" t="s">
        <v>963</v>
      </c>
      <c r="C224" s="8"/>
    </row>
    <row r="225">
      <c r="A225" s="23" t="s">
        <v>253</v>
      </c>
      <c r="B225" s="19" t="s">
        <v>964</v>
      </c>
      <c r="C225" s="8"/>
    </row>
    <row r="226">
      <c r="A226" s="23" t="s">
        <v>254</v>
      </c>
      <c r="B226" s="19" t="s">
        <v>965</v>
      </c>
      <c r="C226" s="8"/>
    </row>
    <row r="227">
      <c r="A227" s="23" t="s">
        <v>255</v>
      </c>
      <c r="B227" s="19" t="s">
        <v>966</v>
      </c>
      <c r="C227" s="8"/>
    </row>
    <row r="228">
      <c r="A228" s="23" t="s">
        <v>256</v>
      </c>
      <c r="B228" s="19" t="s">
        <v>967</v>
      </c>
      <c r="C228" s="8"/>
    </row>
    <row r="229">
      <c r="A229" s="23" t="s">
        <v>257</v>
      </c>
      <c r="B229" s="19" t="s">
        <v>968</v>
      </c>
      <c r="C229" s="8"/>
    </row>
    <row r="230">
      <c r="A230" s="23" t="s">
        <v>258</v>
      </c>
      <c r="B230" s="19" t="s">
        <v>969</v>
      </c>
      <c r="C230" s="8"/>
    </row>
    <row r="231">
      <c r="A231" s="23" t="s">
        <v>259</v>
      </c>
      <c r="B231" s="19" t="s">
        <v>970</v>
      </c>
      <c r="C231" s="8"/>
    </row>
    <row r="232">
      <c r="A232" s="23" t="s">
        <v>260</v>
      </c>
      <c r="B232" s="19" t="s">
        <v>971</v>
      </c>
      <c r="C232" s="8"/>
    </row>
    <row r="233">
      <c r="A233" s="23" t="s">
        <v>261</v>
      </c>
      <c r="B233" s="19" t="s">
        <v>972</v>
      </c>
      <c r="C233" s="8"/>
    </row>
    <row r="234">
      <c r="A234" s="23" t="s">
        <v>262</v>
      </c>
      <c r="B234" s="19" t="s">
        <v>973</v>
      </c>
      <c r="C234" s="8"/>
    </row>
    <row r="235">
      <c r="A235" s="23" t="s">
        <v>263</v>
      </c>
      <c r="B235" s="19" t="s">
        <v>974</v>
      </c>
      <c r="C235" s="8"/>
    </row>
    <row r="236">
      <c r="A236" s="23" t="s">
        <v>264</v>
      </c>
      <c r="B236" s="19" t="s">
        <v>975</v>
      </c>
      <c r="C236" s="8"/>
    </row>
    <row r="237">
      <c r="A237" s="23" t="s">
        <v>265</v>
      </c>
      <c r="B237" s="19" t="s">
        <v>976</v>
      </c>
      <c r="C237" s="8"/>
    </row>
    <row r="238">
      <c r="A238" s="23" t="s">
        <v>266</v>
      </c>
      <c r="B238" s="19" t="s">
        <v>977</v>
      </c>
      <c r="C238" s="8"/>
    </row>
    <row r="239">
      <c r="A239" s="23" t="s">
        <v>267</v>
      </c>
      <c r="B239" s="19" t="s">
        <v>978</v>
      </c>
      <c r="C239" s="8"/>
    </row>
    <row r="240">
      <c r="A240" s="23" t="s">
        <v>268</v>
      </c>
      <c r="B240" s="19" t="s">
        <v>979</v>
      </c>
      <c r="C240" s="8"/>
    </row>
    <row r="241">
      <c r="A241" s="23" t="s">
        <v>269</v>
      </c>
      <c r="B241" s="19" t="s">
        <v>980</v>
      </c>
      <c r="C241" s="8"/>
    </row>
    <row r="242">
      <c r="A242" s="23" t="s">
        <v>270</v>
      </c>
      <c r="B242" s="19" t="s">
        <v>981</v>
      </c>
      <c r="C242" s="8"/>
    </row>
    <row r="243">
      <c r="A243" s="23" t="s">
        <v>271</v>
      </c>
      <c r="B243" s="19" t="s">
        <v>982</v>
      </c>
      <c r="C243" s="8"/>
    </row>
    <row r="244">
      <c r="A244" s="23" t="s">
        <v>272</v>
      </c>
      <c r="B244" s="19" t="s">
        <v>983</v>
      </c>
      <c r="C244" s="8"/>
    </row>
    <row r="245">
      <c r="A245" s="23" t="s">
        <v>273</v>
      </c>
      <c r="B245" s="19" t="s">
        <v>984</v>
      </c>
      <c r="C245" s="8"/>
    </row>
    <row r="246">
      <c r="A246" s="23" t="s">
        <v>274</v>
      </c>
      <c r="B246" s="19" t="s">
        <v>985</v>
      </c>
      <c r="C246" s="8"/>
    </row>
    <row r="247">
      <c r="A247" s="23" t="s">
        <v>275</v>
      </c>
      <c r="B247" s="19" t="s">
        <v>986</v>
      </c>
      <c r="C247" s="8"/>
    </row>
    <row r="248">
      <c r="A248" s="23" t="s">
        <v>276</v>
      </c>
      <c r="B248" s="19" t="s">
        <v>987</v>
      </c>
      <c r="C248" s="8"/>
    </row>
    <row r="249">
      <c r="A249" s="23" t="s">
        <v>277</v>
      </c>
      <c r="B249" s="19" t="s">
        <v>988</v>
      </c>
      <c r="C249" s="8"/>
    </row>
    <row r="250">
      <c r="A250" s="23" t="s">
        <v>278</v>
      </c>
      <c r="B250" s="19" t="s">
        <v>989</v>
      </c>
      <c r="C250" s="8"/>
    </row>
    <row r="251">
      <c r="A251" s="23" t="s">
        <v>279</v>
      </c>
      <c r="B251" s="19" t="s">
        <v>990</v>
      </c>
      <c r="C251" s="8"/>
    </row>
    <row r="252">
      <c r="A252" s="23" t="s">
        <v>280</v>
      </c>
      <c r="B252" s="19" t="s">
        <v>991</v>
      </c>
      <c r="C252" s="8"/>
    </row>
    <row r="253">
      <c r="A253" s="23" t="s">
        <v>281</v>
      </c>
      <c r="B253" s="19" t="s">
        <v>992</v>
      </c>
      <c r="C253" s="8"/>
    </row>
    <row r="254">
      <c r="A254" s="23" t="s">
        <v>282</v>
      </c>
      <c r="B254" s="19" t="s">
        <v>993</v>
      </c>
      <c r="C254" s="8"/>
    </row>
    <row r="255">
      <c r="A255" s="23" t="s">
        <v>283</v>
      </c>
      <c r="B255" s="19" t="s">
        <v>994</v>
      </c>
      <c r="C255" s="8"/>
    </row>
    <row r="256">
      <c r="A256" s="23" t="s">
        <v>284</v>
      </c>
      <c r="B256" s="19" t="s">
        <v>995</v>
      </c>
      <c r="C256" s="8"/>
    </row>
    <row r="257">
      <c r="A257" s="23" t="s">
        <v>285</v>
      </c>
      <c r="B257" s="19" t="s">
        <v>996</v>
      </c>
      <c r="C257" s="8"/>
    </row>
    <row r="258">
      <c r="A258" s="23" t="s">
        <v>286</v>
      </c>
      <c r="B258" s="19" t="s">
        <v>997</v>
      </c>
      <c r="C258" s="8"/>
    </row>
    <row r="259">
      <c r="A259" s="23" t="s">
        <v>287</v>
      </c>
      <c r="B259" s="19" t="s">
        <v>998</v>
      </c>
      <c r="C259" s="8"/>
    </row>
    <row r="260">
      <c r="A260" s="23" t="s">
        <v>288</v>
      </c>
      <c r="B260" s="19" t="s">
        <v>999</v>
      </c>
      <c r="C260" s="8"/>
    </row>
    <row r="261">
      <c r="A261" s="23" t="s">
        <v>289</v>
      </c>
      <c r="B261" s="19" t="s">
        <v>1000</v>
      </c>
      <c r="C261" s="8"/>
    </row>
    <row r="262">
      <c r="A262" s="23" t="s">
        <v>290</v>
      </c>
      <c r="B262" s="19" t="s">
        <v>1001</v>
      </c>
      <c r="C262" s="8"/>
    </row>
    <row r="263">
      <c r="A263" s="23" t="s">
        <v>291</v>
      </c>
      <c r="B263" s="19" t="s">
        <v>1002</v>
      </c>
      <c r="C263" s="8"/>
    </row>
    <row r="264">
      <c r="A264" s="23" t="s">
        <v>292</v>
      </c>
      <c r="B264" s="19" t="s">
        <v>1003</v>
      </c>
      <c r="C264" s="8"/>
    </row>
    <row r="265">
      <c r="A265" s="23" t="s">
        <v>293</v>
      </c>
      <c r="B265" s="19" t="s">
        <v>1004</v>
      </c>
      <c r="C265" s="8"/>
    </row>
    <row r="266">
      <c r="A266" s="23" t="s">
        <v>294</v>
      </c>
      <c r="B266" s="19" t="s">
        <v>1005</v>
      </c>
      <c r="C266" s="8"/>
    </row>
    <row r="267">
      <c r="A267" s="23" t="s">
        <v>295</v>
      </c>
      <c r="B267" s="19" t="s">
        <v>1006</v>
      </c>
      <c r="C267" s="8"/>
    </row>
    <row r="268">
      <c r="A268" s="23" t="s">
        <v>296</v>
      </c>
      <c r="B268" s="19" t="s">
        <v>1007</v>
      </c>
      <c r="C268" s="8"/>
    </row>
    <row r="269">
      <c r="A269" s="23" t="s">
        <v>297</v>
      </c>
      <c r="B269" s="19" t="s">
        <v>1008</v>
      </c>
      <c r="C269" s="8"/>
    </row>
    <row r="270">
      <c r="A270" s="23" t="s">
        <v>298</v>
      </c>
      <c r="B270" s="19" t="s">
        <v>1009</v>
      </c>
      <c r="C270" s="8"/>
    </row>
    <row r="271">
      <c r="A271" s="23" t="s">
        <v>299</v>
      </c>
      <c r="B271" s="19" t="s">
        <v>1010</v>
      </c>
      <c r="C271" s="8"/>
    </row>
    <row r="272">
      <c r="A272" s="23" t="s">
        <v>300</v>
      </c>
      <c r="B272" s="19" t="s">
        <v>1011</v>
      </c>
      <c r="C272" s="8"/>
    </row>
    <row r="273">
      <c r="A273" s="23" t="s">
        <v>301</v>
      </c>
      <c r="B273" s="19" t="s">
        <v>1012</v>
      </c>
      <c r="C273" s="8"/>
    </row>
    <row r="274">
      <c r="A274" s="23" t="s">
        <v>302</v>
      </c>
      <c r="B274" s="19" t="s">
        <v>1013</v>
      </c>
      <c r="C274" s="8"/>
    </row>
    <row r="275">
      <c r="A275" s="23" t="s">
        <v>303</v>
      </c>
      <c r="B275" s="19" t="s">
        <v>1014</v>
      </c>
      <c r="C275" s="8"/>
    </row>
    <row r="276">
      <c r="A276" s="23" t="s">
        <v>304</v>
      </c>
      <c r="B276" s="19" t="s">
        <v>1015</v>
      </c>
      <c r="C276" s="8"/>
    </row>
    <row r="277">
      <c r="A277" s="23" t="s">
        <v>305</v>
      </c>
      <c r="B277" s="19" t="s">
        <v>1016</v>
      </c>
      <c r="C277" s="8"/>
    </row>
    <row r="278">
      <c r="A278" s="23" t="s">
        <v>306</v>
      </c>
      <c r="B278" s="19" t="s">
        <v>1017</v>
      </c>
      <c r="C278" s="8"/>
    </row>
    <row r="279">
      <c r="A279" s="23" t="s">
        <v>307</v>
      </c>
      <c r="B279" s="19" t="s">
        <v>1018</v>
      </c>
      <c r="C279" s="8"/>
    </row>
    <row r="280">
      <c r="A280" s="23" t="s">
        <v>308</v>
      </c>
      <c r="B280" s="19" t="s">
        <v>1019</v>
      </c>
      <c r="C280" s="8"/>
    </row>
    <row r="281">
      <c r="A281" s="23" t="s">
        <v>309</v>
      </c>
      <c r="B281" s="19" t="s">
        <v>1020</v>
      </c>
      <c r="C281" s="8"/>
    </row>
    <row r="282">
      <c r="A282" s="23" t="s">
        <v>310</v>
      </c>
      <c r="B282" s="19" t="s">
        <v>1021</v>
      </c>
      <c r="C282" s="8"/>
    </row>
    <row r="283">
      <c r="A283" s="23" t="s">
        <v>311</v>
      </c>
      <c r="B283" s="19" t="s">
        <v>1022</v>
      </c>
      <c r="C283" s="8"/>
    </row>
    <row r="284">
      <c r="A284" s="23" t="s">
        <v>312</v>
      </c>
      <c r="B284" s="19" t="s">
        <v>1023</v>
      </c>
      <c r="C284" s="8"/>
    </row>
    <row r="285">
      <c r="A285" s="23" t="s">
        <v>313</v>
      </c>
      <c r="B285" s="19" t="s">
        <v>1024</v>
      </c>
      <c r="C285" s="8"/>
    </row>
    <row r="286">
      <c r="A286" s="23" t="s">
        <v>314</v>
      </c>
      <c r="B286" s="19" t="s">
        <v>1025</v>
      </c>
      <c r="C286" s="8"/>
    </row>
    <row r="287">
      <c r="A287" s="23" t="s">
        <v>315</v>
      </c>
      <c r="B287" s="19" t="s">
        <v>1026</v>
      </c>
      <c r="C287" s="8"/>
    </row>
    <row r="288">
      <c r="A288" s="23" t="s">
        <v>316</v>
      </c>
      <c r="B288" s="19" t="s">
        <v>1027</v>
      </c>
      <c r="C288" s="8"/>
    </row>
    <row r="289">
      <c r="A289" s="23" t="s">
        <v>317</v>
      </c>
      <c r="B289" s="19" t="s">
        <v>1028</v>
      </c>
      <c r="C289" s="8"/>
    </row>
    <row r="290">
      <c r="A290" s="23" t="s">
        <v>318</v>
      </c>
      <c r="B290" s="19" t="s">
        <v>1029</v>
      </c>
      <c r="C290" s="8"/>
    </row>
    <row r="291">
      <c r="A291" s="23" t="s">
        <v>319</v>
      </c>
      <c r="B291" s="19" t="s">
        <v>1030</v>
      </c>
      <c r="C291" s="8"/>
    </row>
    <row r="292">
      <c r="A292" s="23" t="s">
        <v>320</v>
      </c>
      <c r="B292" s="19" t="s">
        <v>1031</v>
      </c>
      <c r="C292" s="8"/>
    </row>
    <row r="293">
      <c r="A293" s="23" t="s">
        <v>321</v>
      </c>
      <c r="B293" s="19" t="s">
        <v>1032</v>
      </c>
      <c r="C293" s="8"/>
    </row>
    <row r="294">
      <c r="A294" s="23" t="s">
        <v>322</v>
      </c>
      <c r="B294" s="19" t="s">
        <v>1033</v>
      </c>
      <c r="C294" s="8"/>
    </row>
    <row r="295">
      <c r="A295" s="23" t="s">
        <v>323</v>
      </c>
      <c r="B295" s="19" t="s">
        <v>1034</v>
      </c>
      <c r="C295" s="8"/>
    </row>
    <row r="296">
      <c r="A296" s="23" t="s">
        <v>324</v>
      </c>
      <c r="B296" s="19" t="s">
        <v>1035</v>
      </c>
      <c r="C296" s="8"/>
    </row>
    <row r="297">
      <c r="A297" s="23" t="s">
        <v>325</v>
      </c>
      <c r="B297" s="19" t="s">
        <v>1036</v>
      </c>
      <c r="C297" s="8"/>
    </row>
    <row r="298">
      <c r="A298" s="23" t="s">
        <v>326</v>
      </c>
      <c r="B298" s="19" t="s">
        <v>1037</v>
      </c>
      <c r="C298" s="8"/>
    </row>
    <row r="299">
      <c r="A299" s="23" t="s">
        <v>327</v>
      </c>
      <c r="B299" s="19" t="s">
        <v>1038</v>
      </c>
      <c r="C299" s="8"/>
    </row>
    <row r="300">
      <c r="A300" s="23" t="s">
        <v>328</v>
      </c>
      <c r="B300" s="19" t="s">
        <v>1039</v>
      </c>
      <c r="C300" s="8"/>
    </row>
    <row r="301">
      <c r="A301" s="23" t="s">
        <v>329</v>
      </c>
      <c r="B301" s="19" t="s">
        <v>1040</v>
      </c>
      <c r="C301" s="8"/>
    </row>
    <row r="302">
      <c r="A302" s="23" t="s">
        <v>330</v>
      </c>
      <c r="B302" s="19" t="s">
        <v>1041</v>
      </c>
      <c r="C302" s="8"/>
    </row>
    <row r="303">
      <c r="A303" s="23" t="s">
        <v>331</v>
      </c>
      <c r="B303" s="19" t="s">
        <v>1042</v>
      </c>
      <c r="C303" s="8"/>
    </row>
    <row r="304">
      <c r="A304" s="23" t="s">
        <v>332</v>
      </c>
      <c r="B304" s="19" t="s">
        <v>1043</v>
      </c>
      <c r="C304" s="8"/>
    </row>
    <row r="305">
      <c r="A305" s="23" t="s">
        <v>333</v>
      </c>
      <c r="B305" s="19" t="s">
        <v>1044</v>
      </c>
      <c r="C305" s="8"/>
    </row>
    <row r="306">
      <c r="A306" s="23" t="s">
        <v>334</v>
      </c>
      <c r="B306" s="19" t="s">
        <v>1045</v>
      </c>
      <c r="C306" s="8"/>
    </row>
    <row r="307">
      <c r="A307" s="23" t="s">
        <v>335</v>
      </c>
      <c r="B307" s="19" t="s">
        <v>1046</v>
      </c>
      <c r="C307" s="8"/>
    </row>
    <row r="308">
      <c r="A308" s="23" t="s">
        <v>336</v>
      </c>
      <c r="B308" s="19" t="s">
        <v>1047</v>
      </c>
      <c r="C308" s="8"/>
    </row>
    <row r="309">
      <c r="A309" s="23" t="s">
        <v>337</v>
      </c>
      <c r="B309" s="19" t="s">
        <v>1048</v>
      </c>
      <c r="C309" s="8"/>
    </row>
    <row r="310">
      <c r="A310" s="23" t="s">
        <v>338</v>
      </c>
      <c r="B310" s="19" t="s">
        <v>1049</v>
      </c>
      <c r="C310" s="8"/>
    </row>
    <row r="311">
      <c r="A311" s="23" t="s">
        <v>339</v>
      </c>
      <c r="B311" s="19" t="s">
        <v>1050</v>
      </c>
      <c r="C311" s="8"/>
    </row>
    <row r="312">
      <c r="A312" s="23" t="s">
        <v>340</v>
      </c>
      <c r="B312" s="19" t="s">
        <v>1051</v>
      </c>
      <c r="C312" s="8"/>
    </row>
    <row r="313">
      <c r="A313" s="23" t="s">
        <v>341</v>
      </c>
      <c r="B313" s="19" t="s">
        <v>1052</v>
      </c>
      <c r="C313" s="8"/>
    </row>
    <row r="314">
      <c r="A314" s="23" t="s">
        <v>342</v>
      </c>
      <c r="B314" s="19" t="s">
        <v>1053</v>
      </c>
      <c r="C314" s="8"/>
    </row>
    <row r="315">
      <c r="A315" s="23" t="s">
        <v>343</v>
      </c>
      <c r="B315" s="19" t="s">
        <v>1054</v>
      </c>
      <c r="C315" s="8"/>
    </row>
    <row r="316">
      <c r="A316" s="23" t="s">
        <v>344</v>
      </c>
      <c r="B316" s="19" t="s">
        <v>1055</v>
      </c>
      <c r="C316" s="8"/>
    </row>
    <row r="317">
      <c r="A317" s="23" t="s">
        <v>345</v>
      </c>
      <c r="B317" s="19" t="s">
        <v>1056</v>
      </c>
      <c r="C317" s="8"/>
    </row>
    <row r="318">
      <c r="A318" s="23" t="s">
        <v>346</v>
      </c>
      <c r="B318" s="19" t="s">
        <v>1057</v>
      </c>
      <c r="C318" s="8"/>
    </row>
    <row r="319">
      <c r="A319" s="23" t="s">
        <v>347</v>
      </c>
      <c r="B319" s="19" t="s">
        <v>1058</v>
      </c>
      <c r="C319" s="8"/>
    </row>
    <row r="320">
      <c r="A320" s="23" t="s">
        <v>348</v>
      </c>
      <c r="B320" s="19" t="s">
        <v>1059</v>
      </c>
      <c r="C320" s="8"/>
    </row>
    <row r="321">
      <c r="A321" s="23" t="s">
        <v>349</v>
      </c>
      <c r="B321" s="19" t="s">
        <v>1060</v>
      </c>
      <c r="C321" s="8"/>
    </row>
    <row r="322">
      <c r="A322" s="23" t="s">
        <v>350</v>
      </c>
      <c r="B322" s="19" t="s">
        <v>1061</v>
      </c>
      <c r="C322" s="8"/>
    </row>
    <row r="323">
      <c r="A323" s="23" t="s">
        <v>351</v>
      </c>
      <c r="B323" s="19" t="s">
        <v>1062</v>
      </c>
      <c r="C323" s="8"/>
    </row>
    <row r="324">
      <c r="A324" s="23" t="s">
        <v>352</v>
      </c>
      <c r="B324" s="19" t="s">
        <v>1063</v>
      </c>
      <c r="C324" s="8"/>
    </row>
    <row r="325">
      <c r="A325" s="23" t="s">
        <v>353</v>
      </c>
      <c r="B325" s="19" t="s">
        <v>1064</v>
      </c>
      <c r="C325" s="8"/>
    </row>
    <row r="326">
      <c r="A326" s="23" t="s">
        <v>354</v>
      </c>
      <c r="B326" s="19" t="s">
        <v>1065</v>
      </c>
      <c r="C326" s="8"/>
    </row>
    <row r="327">
      <c r="A327" s="23" t="s">
        <v>355</v>
      </c>
      <c r="B327" s="19" t="s">
        <v>1066</v>
      </c>
      <c r="C327" s="8"/>
    </row>
    <row r="328">
      <c r="A328" s="23" t="s">
        <v>356</v>
      </c>
      <c r="B328" s="19" t="s">
        <v>1067</v>
      </c>
      <c r="C328" s="8"/>
    </row>
    <row r="329">
      <c r="A329" s="23" t="s">
        <v>357</v>
      </c>
      <c r="B329" s="19" t="s">
        <v>1068</v>
      </c>
      <c r="C329" s="8"/>
    </row>
    <row r="330">
      <c r="A330" s="23" t="s">
        <v>358</v>
      </c>
      <c r="B330" s="19" t="s">
        <v>1069</v>
      </c>
      <c r="C330" s="8"/>
    </row>
    <row r="331">
      <c r="A331" s="23" t="s">
        <v>359</v>
      </c>
      <c r="B331" s="19" t="s">
        <v>1070</v>
      </c>
      <c r="C331" s="8"/>
    </row>
    <row r="332">
      <c r="A332" s="23" t="s">
        <v>360</v>
      </c>
      <c r="B332" s="19" t="s">
        <v>1071</v>
      </c>
      <c r="C332" s="8"/>
    </row>
    <row r="333">
      <c r="A333" s="23" t="s">
        <v>361</v>
      </c>
      <c r="B333" s="19" t="s">
        <v>1072</v>
      </c>
      <c r="C333" s="8"/>
    </row>
    <row r="334">
      <c r="A334" s="23" t="s">
        <v>362</v>
      </c>
      <c r="B334" s="19" t="s">
        <v>1073</v>
      </c>
      <c r="C334" s="8"/>
    </row>
    <row r="335">
      <c r="A335" s="23" t="s">
        <v>363</v>
      </c>
      <c r="B335" s="19" t="s">
        <v>1074</v>
      </c>
      <c r="C335" s="8"/>
    </row>
    <row r="336">
      <c r="A336" s="23" t="s">
        <v>364</v>
      </c>
      <c r="B336" s="19" t="s">
        <v>1075</v>
      </c>
      <c r="C336" s="8"/>
    </row>
    <row r="337">
      <c r="A337" s="23" t="s">
        <v>365</v>
      </c>
      <c r="B337" s="19" t="s">
        <v>1076</v>
      </c>
      <c r="C337" s="8"/>
    </row>
    <row r="338">
      <c r="A338" s="23" t="s">
        <v>366</v>
      </c>
      <c r="B338" s="19" t="s">
        <v>1077</v>
      </c>
      <c r="C338" s="8"/>
    </row>
    <row r="339">
      <c r="A339" s="23" t="s">
        <v>367</v>
      </c>
      <c r="B339" s="19" t="s">
        <v>1078</v>
      </c>
      <c r="C339" s="8"/>
    </row>
    <row r="340">
      <c r="A340" s="23" t="s">
        <v>368</v>
      </c>
      <c r="B340" s="19" t="s">
        <v>1079</v>
      </c>
      <c r="C340" s="8"/>
    </row>
    <row r="341">
      <c r="A341" s="23" t="s">
        <v>369</v>
      </c>
      <c r="B341" s="19" t="s">
        <v>1080</v>
      </c>
      <c r="C341" s="8"/>
    </row>
    <row r="342">
      <c r="A342" s="23" t="s">
        <v>370</v>
      </c>
      <c r="B342" s="19" t="s">
        <v>1081</v>
      </c>
      <c r="C342" s="8"/>
    </row>
    <row r="343">
      <c r="A343" s="23" t="s">
        <v>371</v>
      </c>
      <c r="B343" s="19" t="s">
        <v>1082</v>
      </c>
      <c r="C343" s="8"/>
    </row>
    <row r="344">
      <c r="A344" s="23" t="s">
        <v>372</v>
      </c>
      <c r="B344" s="19" t="s">
        <v>1083</v>
      </c>
      <c r="C344" s="8"/>
    </row>
    <row r="345">
      <c r="A345" s="23" t="s">
        <v>373</v>
      </c>
      <c r="B345" s="19" t="s">
        <v>1084</v>
      </c>
      <c r="C345" s="8"/>
    </row>
    <row r="346">
      <c r="A346" s="23" t="s">
        <v>374</v>
      </c>
      <c r="B346" s="19" t="s">
        <v>1085</v>
      </c>
      <c r="C346" s="8"/>
    </row>
    <row r="347">
      <c r="A347" s="23" t="s">
        <v>375</v>
      </c>
      <c r="B347" s="19" t="s">
        <v>1086</v>
      </c>
      <c r="C347" s="8"/>
    </row>
    <row r="348">
      <c r="A348" s="23" t="s">
        <v>376</v>
      </c>
      <c r="B348" s="19" t="s">
        <v>1087</v>
      </c>
      <c r="C348" s="8"/>
    </row>
    <row r="349">
      <c r="A349" s="23" t="s">
        <v>377</v>
      </c>
      <c r="B349" s="19" t="s">
        <v>1088</v>
      </c>
      <c r="C349" s="8"/>
    </row>
    <row r="350">
      <c r="A350" s="23" t="s">
        <v>378</v>
      </c>
      <c r="B350" s="19" t="s">
        <v>1089</v>
      </c>
      <c r="C350" s="8"/>
    </row>
    <row r="351">
      <c r="A351" s="23" t="s">
        <v>379</v>
      </c>
      <c r="B351" s="19" t="s">
        <v>1090</v>
      </c>
      <c r="C351" s="8"/>
    </row>
    <row r="352">
      <c r="A352" s="23" t="s">
        <v>380</v>
      </c>
      <c r="B352" s="19" t="s">
        <v>1091</v>
      </c>
      <c r="C352" s="8"/>
    </row>
    <row r="353">
      <c r="A353" s="23" t="s">
        <v>381</v>
      </c>
      <c r="B353" s="19" t="s">
        <v>1092</v>
      </c>
      <c r="C353" s="8"/>
    </row>
    <row r="354">
      <c r="A354" s="23" t="s">
        <v>382</v>
      </c>
      <c r="B354" s="19" t="s">
        <v>1093</v>
      </c>
      <c r="C354" s="8"/>
    </row>
    <row r="355">
      <c r="A355" s="23" t="s">
        <v>383</v>
      </c>
      <c r="B355" s="19" t="s">
        <v>1094</v>
      </c>
      <c r="C355" s="8"/>
    </row>
    <row r="356">
      <c r="A356" s="23" t="s">
        <v>384</v>
      </c>
      <c r="B356" s="19" t="s">
        <v>1095</v>
      </c>
      <c r="C356" s="8"/>
    </row>
    <row r="357">
      <c r="A357" s="23" t="s">
        <v>385</v>
      </c>
      <c r="B357" s="19" t="s">
        <v>1096</v>
      </c>
      <c r="C357" s="8"/>
    </row>
    <row r="358">
      <c r="A358" s="23" t="s">
        <v>386</v>
      </c>
      <c r="B358" s="19" t="s">
        <v>1097</v>
      </c>
      <c r="C358" s="8"/>
    </row>
    <row r="359">
      <c r="A359" s="23" t="s">
        <v>387</v>
      </c>
      <c r="B359" s="19" t="s">
        <v>1098</v>
      </c>
      <c r="C359" s="8"/>
    </row>
    <row r="360">
      <c r="A360" s="23" t="s">
        <v>388</v>
      </c>
      <c r="B360" s="19" t="s">
        <v>1099</v>
      </c>
      <c r="C360" s="8"/>
    </row>
    <row r="361">
      <c r="A361" s="23" t="s">
        <v>389</v>
      </c>
      <c r="B361" s="19" t="s">
        <v>1100</v>
      </c>
      <c r="C361" s="8"/>
    </row>
    <row r="362">
      <c r="A362" s="23" t="s">
        <v>390</v>
      </c>
      <c r="B362" s="19" t="s">
        <v>1101</v>
      </c>
      <c r="C362" s="8"/>
    </row>
    <row r="363">
      <c r="A363" s="23" t="s">
        <v>391</v>
      </c>
      <c r="B363" s="19" t="s">
        <v>1102</v>
      </c>
      <c r="C363" s="8"/>
    </row>
    <row r="364">
      <c r="A364" s="23" t="s">
        <v>392</v>
      </c>
      <c r="B364" s="19" t="s">
        <v>1103</v>
      </c>
      <c r="C364" s="8"/>
    </row>
    <row r="365">
      <c r="A365" s="23" t="s">
        <v>393</v>
      </c>
      <c r="B365" s="19" t="s">
        <v>1104</v>
      </c>
      <c r="C365" s="8"/>
    </row>
    <row r="366">
      <c r="A366" s="23" t="s">
        <v>394</v>
      </c>
      <c r="B366" s="19" t="s">
        <v>1105</v>
      </c>
      <c r="C366" s="8"/>
    </row>
    <row r="367">
      <c r="A367" s="23" t="s">
        <v>395</v>
      </c>
      <c r="B367" s="19" t="s">
        <v>1106</v>
      </c>
      <c r="C367" s="8"/>
    </row>
    <row r="368">
      <c r="A368" s="23" t="s">
        <v>396</v>
      </c>
      <c r="B368" s="19" t="s">
        <v>1107</v>
      </c>
      <c r="C368" s="8"/>
    </row>
    <row r="369">
      <c r="A369" s="23" t="s">
        <v>397</v>
      </c>
      <c r="B369" s="19" t="s">
        <v>1108</v>
      </c>
      <c r="C369" s="8"/>
    </row>
    <row r="370">
      <c r="A370" s="23" t="s">
        <v>398</v>
      </c>
      <c r="B370" s="19" t="s">
        <v>1109</v>
      </c>
      <c r="C370" s="8"/>
    </row>
    <row r="371">
      <c r="A371" s="23" t="s">
        <v>399</v>
      </c>
      <c r="B371" s="19" t="s">
        <v>1110</v>
      </c>
      <c r="C371" s="8"/>
    </row>
    <row r="372">
      <c r="A372" s="23" t="s">
        <v>400</v>
      </c>
      <c r="B372" s="19" t="s">
        <v>1111</v>
      </c>
      <c r="C372" s="8"/>
    </row>
    <row r="373">
      <c r="A373" s="23" t="s">
        <v>401</v>
      </c>
      <c r="B373" s="19" t="s">
        <v>1112</v>
      </c>
      <c r="C373" s="8"/>
    </row>
    <row r="374">
      <c r="A374" s="23" t="s">
        <v>402</v>
      </c>
      <c r="B374" s="19" t="s">
        <v>1113</v>
      </c>
      <c r="C374" s="8"/>
    </row>
    <row r="375">
      <c r="A375" s="23" t="s">
        <v>403</v>
      </c>
      <c r="B375" s="19" t="s">
        <v>1114</v>
      </c>
      <c r="C375" s="8"/>
    </row>
    <row r="376">
      <c r="A376" s="23" t="s">
        <v>404</v>
      </c>
      <c r="B376" s="19" t="s">
        <v>1115</v>
      </c>
      <c r="C376" s="8"/>
    </row>
    <row r="377">
      <c r="A377" s="23" t="s">
        <v>405</v>
      </c>
      <c r="B377" s="19" t="s">
        <v>1116</v>
      </c>
      <c r="C377" s="8"/>
    </row>
    <row r="378">
      <c r="A378" s="23" t="s">
        <v>406</v>
      </c>
      <c r="B378" s="19" t="s">
        <v>1117</v>
      </c>
      <c r="C378" s="8"/>
    </row>
    <row r="379">
      <c r="A379" s="23" t="s">
        <v>407</v>
      </c>
      <c r="B379" s="19" t="s">
        <v>1118</v>
      </c>
      <c r="C379" s="8"/>
    </row>
    <row r="380">
      <c r="A380" s="23" t="s">
        <v>408</v>
      </c>
      <c r="B380" s="19" t="s">
        <v>1119</v>
      </c>
      <c r="C380" s="8"/>
    </row>
    <row r="381">
      <c r="A381" s="23" t="s">
        <v>409</v>
      </c>
      <c r="B381" s="19" t="s">
        <v>1120</v>
      </c>
      <c r="C381" s="8"/>
    </row>
    <row r="382">
      <c r="A382" s="23" t="s">
        <v>410</v>
      </c>
      <c r="B382" s="19" t="s">
        <v>1121</v>
      </c>
      <c r="C382" s="8"/>
    </row>
    <row r="383">
      <c r="A383" s="23" t="s">
        <v>411</v>
      </c>
      <c r="B383" s="19" t="s">
        <v>1122</v>
      </c>
      <c r="C383" s="8"/>
    </row>
    <row r="384">
      <c r="A384" s="23" t="s">
        <v>412</v>
      </c>
      <c r="B384" s="19" t="s">
        <v>1123</v>
      </c>
      <c r="C384" s="8"/>
    </row>
    <row r="385">
      <c r="A385" s="23" t="s">
        <v>413</v>
      </c>
      <c r="B385" s="19" t="s">
        <v>1124</v>
      </c>
      <c r="C385" s="8"/>
    </row>
    <row r="386">
      <c r="A386" s="23" t="s">
        <v>414</v>
      </c>
      <c r="B386" s="19" t="s">
        <v>1125</v>
      </c>
      <c r="C386" s="8"/>
    </row>
    <row r="387">
      <c r="A387" s="23" t="s">
        <v>415</v>
      </c>
      <c r="B387" s="19" t="s">
        <v>1126</v>
      </c>
      <c r="C387" s="8"/>
    </row>
    <row r="388">
      <c r="A388" s="23" t="s">
        <v>416</v>
      </c>
      <c r="B388" s="19" t="s">
        <v>1127</v>
      </c>
      <c r="C388" s="8"/>
    </row>
    <row r="389">
      <c r="A389" s="23" t="s">
        <v>417</v>
      </c>
      <c r="B389" s="19" t="s">
        <v>1128</v>
      </c>
      <c r="C389" s="8"/>
    </row>
    <row r="390">
      <c r="A390" s="23" t="s">
        <v>418</v>
      </c>
      <c r="B390" s="19" t="s">
        <v>1129</v>
      </c>
      <c r="C390" s="8"/>
    </row>
    <row r="391">
      <c r="A391" s="23" t="s">
        <v>419</v>
      </c>
      <c r="B391" s="19" t="s">
        <v>1130</v>
      </c>
      <c r="C391" s="8"/>
    </row>
    <row r="392">
      <c r="A392" s="23" t="s">
        <v>420</v>
      </c>
      <c r="B392" s="19" t="s">
        <v>1131</v>
      </c>
      <c r="C392" s="8"/>
    </row>
    <row r="393">
      <c r="A393" s="23" t="s">
        <v>421</v>
      </c>
      <c r="B393" s="19" t="s">
        <v>1132</v>
      </c>
      <c r="C393" s="8"/>
    </row>
    <row r="394">
      <c r="A394" s="23" t="s">
        <v>422</v>
      </c>
      <c r="B394" s="19" t="s">
        <v>1133</v>
      </c>
      <c r="C394" s="8"/>
    </row>
    <row r="395">
      <c r="A395" s="23" t="s">
        <v>423</v>
      </c>
      <c r="B395" s="19" t="s">
        <v>1134</v>
      </c>
      <c r="C395" s="8"/>
    </row>
    <row r="396">
      <c r="A396" s="23" t="s">
        <v>424</v>
      </c>
      <c r="B396" s="19" t="s">
        <v>1135</v>
      </c>
      <c r="C396" s="8"/>
    </row>
    <row r="397">
      <c r="A397" s="23" t="s">
        <v>425</v>
      </c>
      <c r="B397" s="19" t="s">
        <v>1136</v>
      </c>
      <c r="C397" s="8"/>
    </row>
    <row r="398">
      <c r="A398" s="23" t="s">
        <v>426</v>
      </c>
      <c r="B398" s="19" t="s">
        <v>1137</v>
      </c>
      <c r="C398" s="8"/>
    </row>
    <row r="399">
      <c r="A399" s="23" t="s">
        <v>427</v>
      </c>
      <c r="B399" s="19" t="s">
        <v>1138</v>
      </c>
      <c r="C399" s="8"/>
    </row>
    <row r="400">
      <c r="A400" s="23" t="s">
        <v>428</v>
      </c>
      <c r="B400" s="19" t="s">
        <v>1139</v>
      </c>
      <c r="C400" s="8"/>
    </row>
    <row r="401">
      <c r="A401" s="23" t="s">
        <v>429</v>
      </c>
      <c r="B401" s="19" t="s">
        <v>1140</v>
      </c>
      <c r="C401" s="8"/>
    </row>
    <row r="402">
      <c r="A402" s="23" t="s">
        <v>430</v>
      </c>
      <c r="B402" s="19" t="s">
        <v>1141</v>
      </c>
      <c r="C402" s="8"/>
    </row>
    <row r="403">
      <c r="A403" s="23" t="s">
        <v>431</v>
      </c>
      <c r="B403" s="19" t="s">
        <v>1142</v>
      </c>
      <c r="C403" s="8"/>
    </row>
    <row r="404">
      <c r="A404" s="23" t="s">
        <v>432</v>
      </c>
      <c r="B404" s="19" t="s">
        <v>1143</v>
      </c>
      <c r="C404" s="8"/>
    </row>
    <row r="405">
      <c r="A405" s="23" t="s">
        <v>433</v>
      </c>
      <c r="B405" s="19" t="s">
        <v>1144</v>
      </c>
      <c r="C405" s="8"/>
    </row>
    <row r="406">
      <c r="A406" s="23" t="s">
        <v>434</v>
      </c>
      <c r="B406" s="19" t="s">
        <v>1145</v>
      </c>
      <c r="C406" s="8"/>
    </row>
    <row r="407">
      <c r="A407" s="23" t="s">
        <v>435</v>
      </c>
      <c r="B407" s="19" t="s">
        <v>1146</v>
      </c>
      <c r="C407" s="8"/>
    </row>
    <row r="408">
      <c r="A408" s="23" t="s">
        <v>436</v>
      </c>
      <c r="B408" s="19" t="s">
        <v>1147</v>
      </c>
      <c r="C408" s="8"/>
    </row>
    <row r="409">
      <c r="A409" s="23" t="s">
        <v>437</v>
      </c>
      <c r="B409" s="19" t="s">
        <v>1148</v>
      </c>
      <c r="C409" s="8"/>
    </row>
    <row r="410">
      <c r="A410" s="23" t="s">
        <v>438</v>
      </c>
      <c r="B410" s="19" t="s">
        <v>1149</v>
      </c>
      <c r="C410" s="8"/>
    </row>
    <row r="411">
      <c r="A411" s="23" t="s">
        <v>439</v>
      </c>
      <c r="B411" s="19" t="s">
        <v>1150</v>
      </c>
      <c r="C411" s="8"/>
    </row>
    <row r="412">
      <c r="A412" s="23" t="s">
        <v>440</v>
      </c>
      <c r="B412" s="19" t="s">
        <v>1151</v>
      </c>
      <c r="C412" s="8"/>
    </row>
    <row r="413">
      <c r="A413" s="23" t="s">
        <v>441</v>
      </c>
      <c r="B413" s="19" t="s">
        <v>1152</v>
      </c>
      <c r="C413" s="8"/>
    </row>
    <row r="414">
      <c r="A414" s="23" t="s">
        <v>442</v>
      </c>
      <c r="B414" s="19" t="s">
        <v>1153</v>
      </c>
      <c r="C414" s="8"/>
    </row>
    <row r="415">
      <c r="A415" s="23" t="s">
        <v>443</v>
      </c>
      <c r="B415" s="19" t="s">
        <v>1154</v>
      </c>
      <c r="C415" s="8"/>
    </row>
    <row r="416">
      <c r="A416" s="23" t="s">
        <v>444</v>
      </c>
      <c r="B416" s="19" t="s">
        <v>1155</v>
      </c>
      <c r="C416" s="8"/>
    </row>
    <row r="417">
      <c r="A417" s="23" t="s">
        <v>445</v>
      </c>
      <c r="B417" s="19" t="s">
        <v>1156</v>
      </c>
      <c r="C417" s="8"/>
    </row>
    <row r="418">
      <c r="A418" s="23" t="s">
        <v>446</v>
      </c>
      <c r="B418" s="19" t="s">
        <v>1157</v>
      </c>
      <c r="C418" s="8"/>
    </row>
    <row r="419">
      <c r="A419" s="23" t="s">
        <v>447</v>
      </c>
      <c r="B419" s="19" t="s">
        <v>1158</v>
      </c>
      <c r="C419" s="8"/>
    </row>
    <row r="420">
      <c r="A420" s="23" t="s">
        <v>448</v>
      </c>
      <c r="B420" s="19" t="s">
        <v>1159</v>
      </c>
      <c r="C420" s="8"/>
    </row>
    <row r="421">
      <c r="A421" s="23" t="s">
        <v>449</v>
      </c>
      <c r="B421" s="19" t="s">
        <v>1160</v>
      </c>
      <c r="C421" s="8"/>
    </row>
    <row r="422">
      <c r="A422" s="23" t="s">
        <v>450</v>
      </c>
      <c r="B422" s="19" t="s">
        <v>1161</v>
      </c>
      <c r="C422" s="8"/>
    </row>
    <row r="423">
      <c r="A423" s="23" t="s">
        <v>451</v>
      </c>
      <c r="B423" s="19" t="s">
        <v>1162</v>
      </c>
      <c r="C423" s="8"/>
    </row>
    <row r="424">
      <c r="A424" s="23" t="s">
        <v>452</v>
      </c>
      <c r="B424" s="19" t="s">
        <v>1163</v>
      </c>
      <c r="C424" s="8"/>
    </row>
    <row r="425">
      <c r="A425" s="23" t="s">
        <v>453</v>
      </c>
      <c r="B425" s="19" t="s">
        <v>1164</v>
      </c>
      <c r="C425" s="8"/>
    </row>
    <row r="426">
      <c r="A426" s="23" t="s">
        <v>454</v>
      </c>
      <c r="B426" s="19" t="s">
        <v>1165</v>
      </c>
      <c r="C426" s="8"/>
    </row>
    <row r="427">
      <c r="A427" s="23" t="s">
        <v>455</v>
      </c>
      <c r="B427" s="19" t="s">
        <v>1166</v>
      </c>
      <c r="C427" s="8"/>
    </row>
    <row r="428">
      <c r="A428" s="23" t="s">
        <v>456</v>
      </c>
      <c r="B428" s="19" t="s">
        <v>1167</v>
      </c>
      <c r="C428" s="8"/>
    </row>
    <row r="429">
      <c r="A429" s="23" t="s">
        <v>457</v>
      </c>
      <c r="B429" s="19" t="s">
        <v>1168</v>
      </c>
      <c r="C429" s="8"/>
    </row>
    <row r="430">
      <c r="A430" s="23" t="s">
        <v>458</v>
      </c>
      <c r="B430" s="19" t="s">
        <v>1169</v>
      </c>
      <c r="C430" s="8"/>
    </row>
    <row r="431">
      <c r="A431" s="23" t="s">
        <v>459</v>
      </c>
      <c r="B431" s="19" t="s">
        <v>1170</v>
      </c>
      <c r="C431" s="8"/>
    </row>
    <row r="432">
      <c r="A432" s="23" t="s">
        <v>460</v>
      </c>
      <c r="B432" s="19" t="s">
        <v>1171</v>
      </c>
      <c r="C432" s="8"/>
    </row>
    <row r="433">
      <c r="A433" s="23" t="s">
        <v>461</v>
      </c>
      <c r="B433" s="19" t="s">
        <v>1172</v>
      </c>
      <c r="C433" s="8"/>
    </row>
    <row r="434">
      <c r="A434" s="23" t="s">
        <v>462</v>
      </c>
      <c r="B434" s="19" t="s">
        <v>1173</v>
      </c>
      <c r="C434" s="8"/>
    </row>
    <row r="435">
      <c r="A435" s="23" t="s">
        <v>463</v>
      </c>
      <c r="B435" s="19" t="s">
        <v>1174</v>
      </c>
      <c r="C435" s="8"/>
    </row>
    <row r="436">
      <c r="A436" s="23" t="s">
        <v>464</v>
      </c>
      <c r="B436" s="19" t="s">
        <v>1175</v>
      </c>
      <c r="C436" s="8"/>
    </row>
    <row r="437">
      <c r="A437" s="23" t="s">
        <v>465</v>
      </c>
      <c r="B437" s="19" t="s">
        <v>1176</v>
      </c>
      <c r="C437" s="8"/>
    </row>
    <row r="438">
      <c r="A438" s="23" t="s">
        <v>466</v>
      </c>
      <c r="B438" s="19" t="s">
        <v>1177</v>
      </c>
      <c r="C438" s="8"/>
    </row>
    <row r="439">
      <c r="A439" s="23" t="s">
        <v>467</v>
      </c>
      <c r="B439" s="19" t="s">
        <v>1178</v>
      </c>
      <c r="C439" s="8"/>
    </row>
    <row r="440">
      <c r="A440" s="23" t="s">
        <v>468</v>
      </c>
      <c r="B440" s="19" t="s">
        <v>1179</v>
      </c>
      <c r="C440" s="8"/>
    </row>
    <row r="441">
      <c r="A441" s="23" t="s">
        <v>469</v>
      </c>
      <c r="B441" s="19" t="s">
        <v>1180</v>
      </c>
      <c r="C441" s="8"/>
    </row>
    <row r="442">
      <c r="A442" s="23" t="s">
        <v>470</v>
      </c>
      <c r="B442" s="19" t="s">
        <v>1181</v>
      </c>
      <c r="C442" s="8"/>
    </row>
    <row r="443">
      <c r="A443" s="23" t="s">
        <v>471</v>
      </c>
      <c r="B443" s="19" t="s">
        <v>1182</v>
      </c>
      <c r="C443" s="8"/>
    </row>
    <row r="444">
      <c r="A444" s="23" t="s">
        <v>472</v>
      </c>
      <c r="B444" s="19" t="s">
        <v>1183</v>
      </c>
      <c r="C444" s="8"/>
    </row>
    <row r="445">
      <c r="A445" s="23" t="s">
        <v>473</v>
      </c>
      <c r="B445" s="19" t="s">
        <v>1184</v>
      </c>
      <c r="C445" s="8"/>
    </row>
    <row r="446">
      <c r="A446" s="23" t="s">
        <v>474</v>
      </c>
      <c r="B446" s="19" t="s">
        <v>1185</v>
      </c>
      <c r="C446" s="8"/>
    </row>
    <row r="447">
      <c r="A447" s="23" t="s">
        <v>475</v>
      </c>
      <c r="B447" s="19" t="s">
        <v>1186</v>
      </c>
      <c r="C447" s="8"/>
    </row>
    <row r="448">
      <c r="A448" s="23" t="s">
        <v>476</v>
      </c>
      <c r="B448" s="19" t="s">
        <v>1187</v>
      </c>
      <c r="C448" s="8"/>
    </row>
    <row r="449">
      <c r="A449" s="23" t="s">
        <v>477</v>
      </c>
      <c r="B449" s="19" t="s">
        <v>1188</v>
      </c>
      <c r="C449" s="8"/>
    </row>
    <row r="450">
      <c r="A450" s="23" t="s">
        <v>478</v>
      </c>
      <c r="B450" s="19" t="s">
        <v>1189</v>
      </c>
      <c r="C450" s="8"/>
    </row>
    <row r="451">
      <c r="A451" s="23" t="s">
        <v>479</v>
      </c>
      <c r="B451" s="19" t="s">
        <v>1190</v>
      </c>
      <c r="C451" s="8"/>
    </row>
    <row r="452">
      <c r="A452" s="23" t="s">
        <v>480</v>
      </c>
      <c r="B452" s="19" t="s">
        <v>1191</v>
      </c>
      <c r="C452" s="8"/>
    </row>
    <row r="453">
      <c r="A453" s="23" t="s">
        <v>481</v>
      </c>
      <c r="B453" s="19" t="s">
        <v>1192</v>
      </c>
      <c r="C453" s="8"/>
    </row>
    <row r="454">
      <c r="A454" s="23" t="s">
        <v>482</v>
      </c>
      <c r="B454" s="19" t="s">
        <v>1193</v>
      </c>
      <c r="C454" s="8"/>
    </row>
    <row r="455">
      <c r="A455" s="23" t="s">
        <v>483</v>
      </c>
      <c r="B455" s="19" t="s">
        <v>1194</v>
      </c>
      <c r="C455" s="8"/>
    </row>
    <row r="456">
      <c r="A456" s="23" t="s">
        <v>484</v>
      </c>
      <c r="B456" s="19" t="s">
        <v>1195</v>
      </c>
      <c r="C456" s="8"/>
    </row>
    <row r="457">
      <c r="A457" s="23" t="s">
        <v>485</v>
      </c>
      <c r="B457" s="19" t="s">
        <v>1196</v>
      </c>
      <c r="C457" s="8"/>
    </row>
    <row r="458">
      <c r="A458" s="23" t="s">
        <v>486</v>
      </c>
      <c r="B458" s="19" t="s">
        <v>1197</v>
      </c>
      <c r="C458" s="8"/>
    </row>
    <row r="459">
      <c r="A459" s="23" t="s">
        <v>487</v>
      </c>
      <c r="B459" s="19" t="s">
        <v>1198</v>
      </c>
      <c r="C459" s="8"/>
    </row>
    <row r="460">
      <c r="A460" s="23" t="s">
        <v>488</v>
      </c>
      <c r="B460" s="19" t="s">
        <v>1199</v>
      </c>
      <c r="C460" s="8"/>
    </row>
    <row r="461">
      <c r="A461" s="23" t="s">
        <v>489</v>
      </c>
      <c r="B461" s="19" t="s">
        <v>1200</v>
      </c>
      <c r="C461" s="8"/>
    </row>
    <row r="462">
      <c r="A462" s="23" t="s">
        <v>490</v>
      </c>
      <c r="B462" s="19" t="s">
        <v>1201</v>
      </c>
      <c r="C462" s="8"/>
    </row>
    <row r="463">
      <c r="A463" s="23" t="s">
        <v>491</v>
      </c>
      <c r="B463" s="19" t="s">
        <v>1202</v>
      </c>
      <c r="C463" s="8"/>
    </row>
    <row r="464">
      <c r="A464" s="23" t="s">
        <v>492</v>
      </c>
      <c r="B464" s="19" t="s">
        <v>1203</v>
      </c>
      <c r="C464" s="8"/>
    </row>
    <row r="465">
      <c r="A465" s="23" t="s">
        <v>493</v>
      </c>
      <c r="B465" s="19" t="s">
        <v>1204</v>
      </c>
      <c r="C465" s="8"/>
    </row>
    <row r="466">
      <c r="A466" s="23" t="s">
        <v>494</v>
      </c>
      <c r="B466" s="19" t="s">
        <v>1205</v>
      </c>
      <c r="C466" s="8"/>
    </row>
    <row r="467">
      <c r="A467" s="23" t="s">
        <v>495</v>
      </c>
      <c r="B467" s="19" t="s">
        <v>1206</v>
      </c>
      <c r="C467" s="8"/>
    </row>
    <row r="468">
      <c r="A468" s="23" t="s">
        <v>496</v>
      </c>
      <c r="B468" s="19" t="s">
        <v>1207</v>
      </c>
      <c r="C468" s="8"/>
    </row>
    <row r="469">
      <c r="A469" s="23" t="s">
        <v>497</v>
      </c>
      <c r="B469" s="19" t="s">
        <v>1208</v>
      </c>
      <c r="C469" s="8"/>
    </row>
    <row r="470">
      <c r="A470" s="23" t="s">
        <v>498</v>
      </c>
      <c r="B470" s="19" t="s">
        <v>1209</v>
      </c>
      <c r="C470" s="8"/>
    </row>
    <row r="471">
      <c r="A471" s="23" t="s">
        <v>499</v>
      </c>
      <c r="B471" s="19" t="s">
        <v>1210</v>
      </c>
      <c r="C471" s="8"/>
    </row>
    <row r="472">
      <c r="A472" s="23" t="s">
        <v>500</v>
      </c>
      <c r="B472" s="19" t="s">
        <v>1211</v>
      </c>
      <c r="C472" s="8"/>
    </row>
    <row r="473">
      <c r="A473" s="23" t="s">
        <v>501</v>
      </c>
      <c r="B473" s="19" t="s">
        <v>1212</v>
      </c>
      <c r="C473" s="8"/>
    </row>
    <row r="474">
      <c r="A474" s="23" t="s">
        <v>502</v>
      </c>
      <c r="B474" s="19" t="s">
        <v>1213</v>
      </c>
      <c r="C474" s="8"/>
    </row>
    <row r="475">
      <c r="A475" s="23" t="s">
        <v>503</v>
      </c>
      <c r="B475" s="19" t="s">
        <v>1214</v>
      </c>
      <c r="C475" s="8"/>
    </row>
    <row r="476">
      <c r="A476" s="23" t="s">
        <v>504</v>
      </c>
      <c r="B476" s="19" t="s">
        <v>1215</v>
      </c>
      <c r="C476" s="8"/>
    </row>
    <row r="477">
      <c r="A477" s="23" t="s">
        <v>505</v>
      </c>
      <c r="B477" s="19" t="s">
        <v>1216</v>
      </c>
      <c r="C477" s="8"/>
    </row>
    <row r="478">
      <c r="A478" s="23" t="s">
        <v>506</v>
      </c>
      <c r="B478" s="19" t="s">
        <v>1217</v>
      </c>
      <c r="C478" s="8"/>
    </row>
    <row r="479">
      <c r="A479" s="23" t="s">
        <v>507</v>
      </c>
      <c r="B479" s="19" t="s">
        <v>1218</v>
      </c>
      <c r="C479" s="8"/>
    </row>
    <row r="480">
      <c r="A480" s="23" t="s">
        <v>508</v>
      </c>
      <c r="B480" s="19" t="s">
        <v>1219</v>
      </c>
      <c r="C480" s="8"/>
    </row>
    <row r="481">
      <c r="A481" s="23" t="s">
        <v>509</v>
      </c>
      <c r="B481" s="19" t="s">
        <v>1220</v>
      </c>
      <c r="C481" s="8"/>
    </row>
    <row r="482">
      <c r="A482" s="23" t="s">
        <v>510</v>
      </c>
      <c r="B482" s="19" t="s">
        <v>1221</v>
      </c>
      <c r="C482" s="8"/>
    </row>
    <row r="483">
      <c r="A483" s="23" t="s">
        <v>511</v>
      </c>
      <c r="B483" s="19" t="s">
        <v>1222</v>
      </c>
      <c r="C483" s="8"/>
    </row>
    <row r="484">
      <c r="A484" s="23" t="s">
        <v>512</v>
      </c>
      <c r="B484" s="19" t="s">
        <v>1223</v>
      </c>
      <c r="C484" s="8"/>
    </row>
    <row r="485">
      <c r="A485" s="23" t="s">
        <v>513</v>
      </c>
      <c r="B485" s="19" t="s">
        <v>1224</v>
      </c>
      <c r="C485" s="8"/>
    </row>
    <row r="486">
      <c r="A486" s="23" t="s">
        <v>514</v>
      </c>
      <c r="B486" s="19" t="s">
        <v>1225</v>
      </c>
      <c r="C486" s="8"/>
    </row>
    <row r="487">
      <c r="A487" s="23" t="s">
        <v>515</v>
      </c>
      <c r="B487" s="19" t="s">
        <v>1226</v>
      </c>
      <c r="C487" s="8"/>
    </row>
    <row r="488">
      <c r="A488" s="23" t="s">
        <v>516</v>
      </c>
      <c r="B488" s="19" t="s">
        <v>1227</v>
      </c>
      <c r="C488" s="8"/>
    </row>
    <row r="489">
      <c r="A489" s="23" t="s">
        <v>517</v>
      </c>
      <c r="B489" s="19" t="s">
        <v>1228</v>
      </c>
      <c r="C489" s="8"/>
    </row>
    <row r="490">
      <c r="A490" s="23" t="s">
        <v>518</v>
      </c>
      <c r="B490" s="19" t="s">
        <v>1229</v>
      </c>
      <c r="C490" s="8"/>
    </row>
    <row r="491">
      <c r="A491" s="23" t="s">
        <v>519</v>
      </c>
      <c r="B491" s="19" t="s">
        <v>1230</v>
      </c>
      <c r="C491" s="8"/>
    </row>
    <row r="492">
      <c r="A492" s="23" t="s">
        <v>520</v>
      </c>
      <c r="B492" s="19" t="s">
        <v>1231</v>
      </c>
      <c r="C492" s="8"/>
    </row>
    <row r="493">
      <c r="A493" s="23" t="s">
        <v>521</v>
      </c>
      <c r="B493" s="19" t="s">
        <v>1232</v>
      </c>
      <c r="C493" s="8"/>
    </row>
    <row r="494">
      <c r="A494" s="23" t="s">
        <v>522</v>
      </c>
      <c r="B494" s="19" t="s">
        <v>1233</v>
      </c>
      <c r="C494" s="8"/>
    </row>
    <row r="495">
      <c r="A495" s="23" t="s">
        <v>523</v>
      </c>
      <c r="B495" s="19" t="s">
        <v>1234</v>
      </c>
      <c r="C495" s="8"/>
    </row>
    <row r="496">
      <c r="A496" s="23" t="s">
        <v>524</v>
      </c>
      <c r="B496" s="19" t="s">
        <v>1235</v>
      </c>
      <c r="C496" s="8"/>
    </row>
    <row r="497">
      <c r="A497" s="23" t="s">
        <v>525</v>
      </c>
      <c r="B497" s="19" t="s">
        <v>1236</v>
      </c>
      <c r="C497" s="8"/>
    </row>
    <row r="498">
      <c r="A498" s="23" t="s">
        <v>526</v>
      </c>
      <c r="B498" s="19" t="s">
        <v>1237</v>
      </c>
      <c r="C498" s="8"/>
    </row>
    <row r="499">
      <c r="A499" s="23" t="s">
        <v>527</v>
      </c>
      <c r="B499" s="19" t="s">
        <v>1238</v>
      </c>
      <c r="C499" s="8"/>
    </row>
    <row r="500">
      <c r="A500" s="23" t="s">
        <v>528</v>
      </c>
      <c r="B500" s="19" t="s">
        <v>1239</v>
      </c>
      <c r="C500" s="8"/>
    </row>
    <row r="501">
      <c r="A501" s="23" t="s">
        <v>529</v>
      </c>
      <c r="B501" s="19" t="s">
        <v>1240</v>
      </c>
      <c r="C501" s="8"/>
    </row>
    <row r="502">
      <c r="A502" s="23" t="s">
        <v>530</v>
      </c>
      <c r="B502" s="19" t="s">
        <v>1241</v>
      </c>
      <c r="C502" s="8"/>
    </row>
    <row r="503">
      <c r="A503" s="23" t="s">
        <v>531</v>
      </c>
      <c r="B503" s="19" t="s">
        <v>1242</v>
      </c>
      <c r="C503" s="8"/>
    </row>
    <row r="504">
      <c r="A504" s="23" t="s">
        <v>532</v>
      </c>
      <c r="B504" s="19" t="s">
        <v>1243</v>
      </c>
      <c r="C504" s="8"/>
    </row>
    <row r="505">
      <c r="A505" s="23" t="s">
        <v>533</v>
      </c>
      <c r="B505" s="19" t="s">
        <v>1244</v>
      </c>
      <c r="C505" s="8"/>
    </row>
    <row r="506">
      <c r="A506" s="23" t="s">
        <v>534</v>
      </c>
      <c r="B506" s="19" t="s">
        <v>1245</v>
      </c>
      <c r="C506" s="8"/>
    </row>
    <row r="507">
      <c r="A507" s="23" t="s">
        <v>535</v>
      </c>
      <c r="B507" s="19" t="s">
        <v>1246</v>
      </c>
      <c r="C507" s="8"/>
    </row>
    <row r="508">
      <c r="A508" s="23" t="s">
        <v>536</v>
      </c>
      <c r="B508" s="19" t="s">
        <v>1247</v>
      </c>
      <c r="C508" s="8"/>
    </row>
    <row r="509">
      <c r="A509" s="23" t="s">
        <v>537</v>
      </c>
      <c r="B509" s="19" t="s">
        <v>1248</v>
      </c>
      <c r="C509" s="8"/>
    </row>
    <row r="510">
      <c r="A510" s="23" t="s">
        <v>538</v>
      </c>
      <c r="B510" s="19" t="s">
        <v>1249</v>
      </c>
      <c r="C510" s="8"/>
    </row>
    <row r="511">
      <c r="A511" s="23" t="s">
        <v>539</v>
      </c>
      <c r="B511" s="19" t="s">
        <v>1250</v>
      </c>
      <c r="C511" s="8"/>
    </row>
    <row r="512">
      <c r="A512" s="23" t="s">
        <v>540</v>
      </c>
      <c r="B512" s="19" t="s">
        <v>1251</v>
      </c>
      <c r="C512" s="8"/>
    </row>
    <row r="513">
      <c r="A513" s="23" t="s">
        <v>541</v>
      </c>
      <c r="B513" s="19" t="s">
        <v>1252</v>
      </c>
      <c r="C513" s="8"/>
    </row>
    <row r="514">
      <c r="A514" s="23" t="s">
        <v>542</v>
      </c>
      <c r="B514" s="19" t="s">
        <v>1253</v>
      </c>
      <c r="C514" s="8"/>
    </row>
    <row r="515">
      <c r="A515" s="23" t="s">
        <v>543</v>
      </c>
      <c r="B515" s="19" t="s">
        <v>1254</v>
      </c>
      <c r="C515" s="8"/>
    </row>
    <row r="516">
      <c r="A516" s="23" t="s">
        <v>544</v>
      </c>
      <c r="B516" s="19" t="s">
        <v>1255</v>
      </c>
      <c r="C516" s="8"/>
    </row>
    <row r="517">
      <c r="A517" s="23" t="s">
        <v>545</v>
      </c>
      <c r="B517" s="19" t="s">
        <v>1256</v>
      </c>
      <c r="C517" s="8"/>
    </row>
    <row r="518">
      <c r="A518" s="23" t="s">
        <v>546</v>
      </c>
      <c r="B518" s="19" t="s">
        <v>1257</v>
      </c>
      <c r="C518" s="8"/>
    </row>
    <row r="519">
      <c r="A519" s="23" t="s">
        <v>547</v>
      </c>
      <c r="B519" s="19" t="s">
        <v>1258</v>
      </c>
      <c r="C519" s="8"/>
    </row>
    <row r="520">
      <c r="A520" s="23" t="s">
        <v>548</v>
      </c>
      <c r="B520" s="19" t="s">
        <v>1259</v>
      </c>
      <c r="C520" s="8"/>
    </row>
    <row r="521">
      <c r="A521" s="23" t="s">
        <v>549</v>
      </c>
      <c r="B521" s="19" t="s">
        <v>1260</v>
      </c>
      <c r="C521" s="8"/>
    </row>
    <row r="522">
      <c r="A522" s="23" t="s">
        <v>550</v>
      </c>
      <c r="B522" s="19" t="s">
        <v>1261</v>
      </c>
      <c r="C522" s="8"/>
    </row>
    <row r="523">
      <c r="A523" s="23" t="s">
        <v>551</v>
      </c>
      <c r="B523" s="19" t="s">
        <v>1262</v>
      </c>
      <c r="C523" s="8"/>
    </row>
    <row r="524">
      <c r="A524" s="23" t="s">
        <v>552</v>
      </c>
      <c r="B524" s="19" t="s">
        <v>1263</v>
      </c>
      <c r="C524" s="8"/>
    </row>
    <row r="525">
      <c r="A525" s="23" t="s">
        <v>553</v>
      </c>
      <c r="B525" s="19" t="s">
        <v>1264</v>
      </c>
      <c r="C525" s="8"/>
    </row>
    <row r="526">
      <c r="A526" s="23" t="s">
        <v>554</v>
      </c>
      <c r="B526" s="19" t="s">
        <v>1265</v>
      </c>
      <c r="C526" s="8"/>
    </row>
    <row r="527">
      <c r="A527" s="23" t="s">
        <v>555</v>
      </c>
      <c r="B527" s="19" t="s">
        <v>1266</v>
      </c>
      <c r="C527" s="8"/>
    </row>
    <row r="528">
      <c r="A528" s="23" t="s">
        <v>556</v>
      </c>
      <c r="B528" s="19" t="s">
        <v>1267</v>
      </c>
      <c r="C528" s="8"/>
    </row>
    <row r="529">
      <c r="A529" s="23" t="s">
        <v>557</v>
      </c>
      <c r="B529" s="19" t="s">
        <v>1268</v>
      </c>
      <c r="C529" s="8"/>
    </row>
    <row r="530">
      <c r="A530" s="23" t="s">
        <v>558</v>
      </c>
      <c r="B530" s="19" t="s">
        <v>1269</v>
      </c>
      <c r="C530" s="8"/>
    </row>
    <row r="531">
      <c r="A531" s="23" t="s">
        <v>559</v>
      </c>
      <c r="B531" s="19" t="s">
        <v>1270</v>
      </c>
      <c r="C531" s="8"/>
    </row>
    <row r="532">
      <c r="A532" s="23" t="s">
        <v>560</v>
      </c>
      <c r="B532" s="19" t="s">
        <v>1271</v>
      </c>
      <c r="C532" s="8"/>
    </row>
    <row r="533">
      <c r="A533" s="23" t="s">
        <v>561</v>
      </c>
      <c r="B533" s="19" t="s">
        <v>1272</v>
      </c>
      <c r="C533" s="8"/>
    </row>
    <row r="534">
      <c r="A534" s="23" t="s">
        <v>562</v>
      </c>
      <c r="B534" s="19" t="s">
        <v>1273</v>
      </c>
      <c r="C534" s="8"/>
    </row>
    <row r="535">
      <c r="A535" s="23" t="s">
        <v>563</v>
      </c>
      <c r="B535" s="19" t="s">
        <v>1274</v>
      </c>
      <c r="C535" s="8"/>
    </row>
    <row r="536">
      <c r="A536" s="23" t="s">
        <v>564</v>
      </c>
      <c r="B536" s="19" t="s">
        <v>1275</v>
      </c>
      <c r="C536" s="8"/>
    </row>
    <row r="537">
      <c r="A537" s="23" t="s">
        <v>565</v>
      </c>
      <c r="B537" s="19" t="s">
        <v>1276</v>
      </c>
      <c r="C537" s="8"/>
    </row>
    <row r="538">
      <c r="A538" s="23" t="s">
        <v>566</v>
      </c>
      <c r="B538" s="19" t="s">
        <v>1277</v>
      </c>
      <c r="C538" s="8"/>
    </row>
    <row r="539">
      <c r="A539" s="23" t="s">
        <v>567</v>
      </c>
      <c r="B539" s="19" t="s">
        <v>1278</v>
      </c>
      <c r="C539" s="8"/>
    </row>
    <row r="540">
      <c r="A540" s="23" t="s">
        <v>568</v>
      </c>
      <c r="B540" s="19" t="s">
        <v>1279</v>
      </c>
      <c r="C540" s="8"/>
    </row>
    <row r="541">
      <c r="A541" s="23" t="s">
        <v>569</v>
      </c>
      <c r="B541" s="19" t="s">
        <v>1280</v>
      </c>
      <c r="C541" s="8"/>
    </row>
    <row r="542">
      <c r="A542" s="23" t="s">
        <v>570</v>
      </c>
      <c r="B542" s="19" t="s">
        <v>1281</v>
      </c>
      <c r="C542" s="8"/>
    </row>
    <row r="543">
      <c r="A543" s="23" t="s">
        <v>571</v>
      </c>
      <c r="B543" s="19" t="s">
        <v>1282</v>
      </c>
      <c r="C543" s="8"/>
    </row>
    <row r="544">
      <c r="A544" s="23" t="s">
        <v>572</v>
      </c>
      <c r="B544" s="19" t="s">
        <v>1283</v>
      </c>
      <c r="C544" s="8"/>
    </row>
    <row r="545">
      <c r="A545" s="23" t="s">
        <v>573</v>
      </c>
      <c r="B545" s="19" t="s">
        <v>1284</v>
      </c>
      <c r="C545" s="8"/>
    </row>
    <row r="546">
      <c r="A546" s="23" t="s">
        <v>574</v>
      </c>
      <c r="B546" s="19" t="s">
        <v>1285</v>
      </c>
      <c r="C546" s="8"/>
    </row>
    <row r="547">
      <c r="A547" s="23" t="s">
        <v>575</v>
      </c>
      <c r="B547" s="19" t="s">
        <v>1286</v>
      </c>
      <c r="C547" s="8"/>
    </row>
    <row r="548">
      <c r="A548" s="23" t="s">
        <v>576</v>
      </c>
      <c r="B548" s="19" t="s">
        <v>1287</v>
      </c>
      <c r="C548" s="8"/>
    </row>
    <row r="549">
      <c r="A549" s="23" t="s">
        <v>577</v>
      </c>
      <c r="B549" s="19" t="s">
        <v>1288</v>
      </c>
      <c r="C549" s="8"/>
    </row>
    <row r="550">
      <c r="A550" s="23" t="s">
        <v>578</v>
      </c>
      <c r="B550" s="19" t="s">
        <v>1289</v>
      </c>
      <c r="C550" s="8"/>
    </row>
    <row r="551">
      <c r="A551" s="23" t="s">
        <v>579</v>
      </c>
      <c r="B551" s="19" t="s">
        <v>1290</v>
      </c>
      <c r="C551" s="8"/>
    </row>
    <row r="552">
      <c r="A552" s="23" t="s">
        <v>580</v>
      </c>
      <c r="B552" s="19" t="s">
        <v>1291</v>
      </c>
      <c r="C552" s="8"/>
    </row>
    <row r="553">
      <c r="A553" s="23" t="s">
        <v>581</v>
      </c>
      <c r="B553" s="19" t="s">
        <v>1292</v>
      </c>
      <c r="C553" s="8"/>
    </row>
    <row r="554">
      <c r="A554" s="23" t="s">
        <v>582</v>
      </c>
      <c r="B554" s="19" t="s">
        <v>1293</v>
      </c>
      <c r="C554" s="8"/>
    </row>
    <row r="555">
      <c r="A555" s="23" t="s">
        <v>583</v>
      </c>
      <c r="B555" s="19" t="s">
        <v>1294</v>
      </c>
      <c r="C555" s="8"/>
    </row>
    <row r="556">
      <c r="A556" s="23" t="s">
        <v>584</v>
      </c>
      <c r="B556" s="19" t="s">
        <v>1295</v>
      </c>
      <c r="C556" s="8"/>
    </row>
    <row r="557">
      <c r="A557" s="23" t="s">
        <v>585</v>
      </c>
      <c r="B557" s="19" t="s">
        <v>1296</v>
      </c>
      <c r="C557" s="8"/>
    </row>
    <row r="558">
      <c r="A558" s="23" t="s">
        <v>586</v>
      </c>
      <c r="B558" s="19" t="s">
        <v>1297</v>
      </c>
      <c r="C558" s="8"/>
    </row>
    <row r="559">
      <c r="A559" s="23" t="s">
        <v>587</v>
      </c>
      <c r="B559" s="19" t="s">
        <v>1298</v>
      </c>
      <c r="C559" s="8"/>
    </row>
    <row r="560">
      <c r="A560" s="23" t="s">
        <v>588</v>
      </c>
      <c r="B560" s="19" t="s">
        <v>1299</v>
      </c>
      <c r="C560" s="8"/>
    </row>
    <row r="561">
      <c r="A561" s="23" t="s">
        <v>589</v>
      </c>
      <c r="B561" s="19" t="s">
        <v>1300</v>
      </c>
      <c r="C561" s="8"/>
    </row>
    <row r="562">
      <c r="A562" s="23" t="s">
        <v>590</v>
      </c>
      <c r="B562" s="19" t="s">
        <v>1301</v>
      </c>
      <c r="C562" s="8"/>
    </row>
    <row r="563">
      <c r="A563" s="23" t="s">
        <v>591</v>
      </c>
      <c r="B563" s="19" t="s">
        <v>1302</v>
      </c>
      <c r="C563" s="8"/>
    </row>
    <row r="564">
      <c r="A564" s="23" t="s">
        <v>592</v>
      </c>
      <c r="B564" s="19" t="s">
        <v>1303</v>
      </c>
      <c r="C564" s="8"/>
    </row>
    <row r="565">
      <c r="A565" s="23" t="s">
        <v>593</v>
      </c>
      <c r="B565" s="19" t="s">
        <v>1304</v>
      </c>
      <c r="C565" s="8"/>
    </row>
    <row r="566">
      <c r="A566" s="23" t="s">
        <v>594</v>
      </c>
      <c r="B566" s="19" t="s">
        <v>1305</v>
      </c>
      <c r="C566" s="8"/>
    </row>
    <row r="567">
      <c r="A567" s="23" t="s">
        <v>595</v>
      </c>
      <c r="B567" s="19" t="s">
        <v>1306</v>
      </c>
      <c r="C567" s="8"/>
    </row>
    <row r="568">
      <c r="A568" s="23" t="s">
        <v>596</v>
      </c>
      <c r="B568" s="19" t="s">
        <v>1307</v>
      </c>
      <c r="C568" s="8"/>
    </row>
    <row r="569">
      <c r="A569" s="23" t="s">
        <v>597</v>
      </c>
      <c r="B569" s="19" t="s">
        <v>1308</v>
      </c>
      <c r="C569" s="8"/>
    </row>
    <row r="570">
      <c r="A570" s="23" t="s">
        <v>598</v>
      </c>
      <c r="B570" s="19" t="s">
        <v>1309</v>
      </c>
      <c r="C570" s="8"/>
    </row>
    <row r="571">
      <c r="A571" s="23" t="s">
        <v>599</v>
      </c>
      <c r="B571" s="19" t="s">
        <v>1310</v>
      </c>
      <c r="C571" s="8"/>
    </row>
    <row r="572">
      <c r="A572" s="23" t="s">
        <v>600</v>
      </c>
      <c r="B572" s="19" t="s">
        <v>1311</v>
      </c>
      <c r="C572" s="8"/>
    </row>
    <row r="573">
      <c r="A573" s="23" t="s">
        <v>601</v>
      </c>
      <c r="B573" s="19" t="s">
        <v>1312</v>
      </c>
      <c r="C573" s="8"/>
    </row>
    <row r="574">
      <c r="A574" s="23" t="s">
        <v>602</v>
      </c>
      <c r="B574" s="19" t="s">
        <v>1313</v>
      </c>
      <c r="C574" s="8"/>
    </row>
    <row r="575">
      <c r="A575" s="23" t="s">
        <v>603</v>
      </c>
      <c r="B575" s="19" t="s">
        <v>1314</v>
      </c>
      <c r="C575" s="8"/>
    </row>
    <row r="576">
      <c r="A576" s="23" t="s">
        <v>604</v>
      </c>
      <c r="B576" s="19" t="s">
        <v>1315</v>
      </c>
      <c r="C576" s="8"/>
    </row>
    <row r="577">
      <c r="A577" s="23" t="s">
        <v>605</v>
      </c>
      <c r="B577" s="19" t="s">
        <v>1316</v>
      </c>
      <c r="C577" s="8"/>
    </row>
    <row r="578">
      <c r="A578" s="23" t="s">
        <v>606</v>
      </c>
      <c r="B578" s="19" t="s">
        <v>1317</v>
      </c>
      <c r="C578" s="8"/>
    </row>
    <row r="579">
      <c r="A579" s="23" t="s">
        <v>607</v>
      </c>
      <c r="B579" s="19" t="s">
        <v>1318</v>
      </c>
      <c r="C579" s="8"/>
    </row>
    <row r="580">
      <c r="A580" s="23" t="s">
        <v>608</v>
      </c>
      <c r="B580" s="19" t="s">
        <v>1319</v>
      </c>
      <c r="C580" s="8"/>
    </row>
    <row r="581">
      <c r="A581" s="23" t="s">
        <v>609</v>
      </c>
      <c r="B581" s="19" t="s">
        <v>1320</v>
      </c>
      <c r="C581" s="8"/>
    </row>
    <row r="582">
      <c r="A582" s="23" t="s">
        <v>610</v>
      </c>
      <c r="B582" s="19" t="s">
        <v>1321</v>
      </c>
      <c r="C582" s="8"/>
    </row>
    <row r="583">
      <c r="A583" s="23" t="s">
        <v>611</v>
      </c>
      <c r="B583" s="19" t="s">
        <v>1322</v>
      </c>
      <c r="C583" s="8"/>
    </row>
    <row r="584">
      <c r="A584" s="23" t="s">
        <v>612</v>
      </c>
      <c r="B584" s="19" t="s">
        <v>1323</v>
      </c>
      <c r="C584" s="8"/>
    </row>
    <row r="585">
      <c r="A585" s="23" t="s">
        <v>613</v>
      </c>
      <c r="B585" s="19" t="s">
        <v>1324</v>
      </c>
      <c r="C585" s="8"/>
    </row>
    <row r="586">
      <c r="A586" s="23" t="s">
        <v>614</v>
      </c>
      <c r="B586" s="19" t="s">
        <v>1325</v>
      </c>
      <c r="C586" s="8"/>
    </row>
    <row r="587">
      <c r="A587" s="23" t="s">
        <v>615</v>
      </c>
      <c r="B587" s="19" t="s">
        <v>1326</v>
      </c>
      <c r="C587" s="8"/>
    </row>
    <row r="588">
      <c r="A588" s="23" t="s">
        <v>616</v>
      </c>
      <c r="B588" s="19" t="s">
        <v>1327</v>
      </c>
      <c r="C588" s="8"/>
    </row>
    <row r="589">
      <c r="A589" s="23" t="s">
        <v>617</v>
      </c>
      <c r="B589" s="19" t="s">
        <v>1328</v>
      </c>
      <c r="C589" s="8"/>
    </row>
    <row r="590">
      <c r="A590" s="23" t="s">
        <v>618</v>
      </c>
      <c r="B590" s="19" t="s">
        <v>1329</v>
      </c>
      <c r="C590" s="8"/>
    </row>
    <row r="591">
      <c r="A591" s="23" t="s">
        <v>619</v>
      </c>
      <c r="B591" s="19" t="s">
        <v>1330</v>
      </c>
      <c r="C591" s="8"/>
    </row>
    <row r="592">
      <c r="A592" s="23" t="s">
        <v>620</v>
      </c>
      <c r="B592" s="19" t="s">
        <v>1331</v>
      </c>
      <c r="C592" s="8"/>
    </row>
    <row r="593">
      <c r="A593" s="23" t="s">
        <v>621</v>
      </c>
      <c r="B593" s="19" t="s">
        <v>1332</v>
      </c>
      <c r="C593" s="8"/>
    </row>
    <row r="594">
      <c r="A594" s="23" t="s">
        <v>622</v>
      </c>
      <c r="B594" s="19" t="s">
        <v>1333</v>
      </c>
      <c r="C594" s="8"/>
    </row>
    <row r="595">
      <c r="A595" s="23" t="s">
        <v>623</v>
      </c>
      <c r="B595" s="19" t="s">
        <v>1334</v>
      </c>
      <c r="C595" s="8"/>
    </row>
    <row r="596">
      <c r="A596" s="23" t="s">
        <v>624</v>
      </c>
      <c r="B596" s="19" t="s">
        <v>1335</v>
      </c>
      <c r="C596" s="8"/>
    </row>
    <row r="597">
      <c r="A597" s="23" t="s">
        <v>625</v>
      </c>
      <c r="B597" s="19" t="s">
        <v>1336</v>
      </c>
      <c r="C597" s="8"/>
    </row>
    <row r="598">
      <c r="A598" s="23" t="s">
        <v>626</v>
      </c>
      <c r="B598" s="19" t="s">
        <v>1337</v>
      </c>
      <c r="C598" s="8"/>
    </row>
    <row r="599">
      <c r="A599" s="23" t="s">
        <v>627</v>
      </c>
      <c r="B599" s="19" t="s">
        <v>1338</v>
      </c>
      <c r="C599" s="8"/>
    </row>
    <row r="600">
      <c r="A600" s="23" t="s">
        <v>628</v>
      </c>
      <c r="B600" s="19" t="s">
        <v>1339</v>
      </c>
      <c r="C600" s="8"/>
    </row>
    <row r="601">
      <c r="A601" s="23" t="s">
        <v>629</v>
      </c>
      <c r="B601" s="19" t="s">
        <v>1340</v>
      </c>
      <c r="C601" s="8"/>
    </row>
    <row r="602">
      <c r="A602" s="23" t="s">
        <v>630</v>
      </c>
      <c r="B602" s="19" t="s">
        <v>1341</v>
      </c>
      <c r="C602" s="8"/>
    </row>
    <row r="603">
      <c r="A603" s="23" t="s">
        <v>631</v>
      </c>
      <c r="B603" s="19" t="s">
        <v>1342</v>
      </c>
      <c r="C603" s="8"/>
    </row>
    <row r="604">
      <c r="A604" s="23" t="s">
        <v>632</v>
      </c>
      <c r="B604" s="19" t="s">
        <v>1343</v>
      </c>
      <c r="C604" s="8"/>
    </row>
    <row r="605">
      <c r="A605" s="23" t="s">
        <v>633</v>
      </c>
      <c r="B605" s="19" t="s">
        <v>1344</v>
      </c>
      <c r="C605" s="8"/>
    </row>
    <row r="606">
      <c r="A606" s="23" t="s">
        <v>634</v>
      </c>
      <c r="B606" s="19" t="s">
        <v>1345</v>
      </c>
      <c r="C606" s="8"/>
    </row>
    <row r="607">
      <c r="A607" s="23" t="s">
        <v>635</v>
      </c>
      <c r="B607" s="19" t="s">
        <v>1346</v>
      </c>
      <c r="C607" s="8"/>
    </row>
    <row r="608">
      <c r="A608" s="23" t="s">
        <v>636</v>
      </c>
      <c r="B608" s="19" t="s">
        <v>1347</v>
      </c>
      <c r="C608" s="8"/>
    </row>
    <row r="609">
      <c r="A609" s="23" t="s">
        <v>637</v>
      </c>
      <c r="B609" s="19" t="s">
        <v>1348</v>
      </c>
      <c r="C609" s="8"/>
    </row>
    <row r="610">
      <c r="A610" s="23" t="s">
        <v>638</v>
      </c>
      <c r="B610" s="19" t="s">
        <v>1349</v>
      </c>
      <c r="C610" s="8"/>
    </row>
    <row r="611">
      <c r="A611" s="23" t="s">
        <v>639</v>
      </c>
      <c r="B611" s="19" t="s">
        <v>1350</v>
      </c>
      <c r="C611" s="8"/>
    </row>
    <row r="612">
      <c r="A612" s="23" t="s">
        <v>640</v>
      </c>
      <c r="B612" s="19" t="s">
        <v>1351</v>
      </c>
      <c r="C612" s="8"/>
    </row>
    <row r="613">
      <c r="A613" s="23" t="s">
        <v>641</v>
      </c>
      <c r="B613" s="19" t="s">
        <v>1352</v>
      </c>
      <c r="C613" s="8"/>
    </row>
    <row r="614">
      <c r="A614" s="23" t="s">
        <v>642</v>
      </c>
      <c r="B614" s="19" t="s">
        <v>1353</v>
      </c>
      <c r="C614" s="8"/>
    </row>
    <row r="615">
      <c r="A615" s="23" t="s">
        <v>643</v>
      </c>
      <c r="B615" s="19" t="s">
        <v>1354</v>
      </c>
      <c r="C615" s="8"/>
    </row>
    <row r="616">
      <c r="A616" s="23" t="s">
        <v>644</v>
      </c>
      <c r="B616" s="19" t="s">
        <v>1355</v>
      </c>
      <c r="C616" s="8"/>
    </row>
    <row r="617">
      <c r="A617" s="23" t="s">
        <v>645</v>
      </c>
      <c r="B617" s="19" t="s">
        <v>1356</v>
      </c>
      <c r="C617" s="8"/>
    </row>
    <row r="618">
      <c r="A618" s="23" t="s">
        <v>646</v>
      </c>
      <c r="B618" s="19" t="s">
        <v>1357</v>
      </c>
      <c r="C618" s="8"/>
    </row>
    <row r="619">
      <c r="A619" s="23" t="s">
        <v>647</v>
      </c>
      <c r="B619" s="19" t="s">
        <v>1358</v>
      </c>
      <c r="C619" s="8"/>
    </row>
    <row r="620">
      <c r="A620" s="23" t="s">
        <v>648</v>
      </c>
      <c r="B620" s="19" t="s">
        <v>1359</v>
      </c>
      <c r="C620" s="8"/>
    </row>
    <row r="621">
      <c r="A621" s="23" t="s">
        <v>649</v>
      </c>
      <c r="B621" s="19" t="s">
        <v>1360</v>
      </c>
      <c r="C621" s="8"/>
    </row>
    <row r="622">
      <c r="A622" s="23" t="s">
        <v>650</v>
      </c>
      <c r="B622" s="19" t="s">
        <v>1361</v>
      </c>
      <c r="C622" s="8"/>
    </row>
    <row r="623">
      <c r="A623" s="23" t="s">
        <v>651</v>
      </c>
      <c r="B623" s="19" t="s">
        <v>1362</v>
      </c>
      <c r="C623" s="8"/>
    </row>
    <row r="624">
      <c r="A624" s="23" t="s">
        <v>652</v>
      </c>
      <c r="B624" s="19" t="s">
        <v>1363</v>
      </c>
      <c r="C624" s="8"/>
    </row>
    <row r="625">
      <c r="A625" s="23" t="s">
        <v>653</v>
      </c>
      <c r="B625" s="19" t="s">
        <v>1364</v>
      </c>
      <c r="C625" s="8"/>
    </row>
    <row r="626">
      <c r="A626" s="23" t="s">
        <v>654</v>
      </c>
      <c r="B626" s="19" t="s">
        <v>1365</v>
      </c>
      <c r="C626" s="8"/>
    </row>
    <row r="627">
      <c r="A627" s="23" t="s">
        <v>655</v>
      </c>
      <c r="B627" s="19" t="s">
        <v>1366</v>
      </c>
      <c r="C627" s="8"/>
    </row>
    <row r="628">
      <c r="A628" s="23" t="s">
        <v>656</v>
      </c>
      <c r="B628" s="19" t="s">
        <v>1367</v>
      </c>
      <c r="C628" s="8"/>
    </row>
    <row r="629">
      <c r="A629" s="23" t="s">
        <v>657</v>
      </c>
      <c r="B629" s="19" t="s">
        <v>1368</v>
      </c>
      <c r="C629" s="8"/>
    </row>
    <row r="630">
      <c r="A630" s="23" t="s">
        <v>658</v>
      </c>
      <c r="B630" s="19" t="s">
        <v>1369</v>
      </c>
      <c r="C630" s="8"/>
    </row>
    <row r="631">
      <c r="A631" s="23" t="s">
        <v>659</v>
      </c>
      <c r="B631" s="19" t="s">
        <v>1370</v>
      </c>
      <c r="C631" s="8"/>
    </row>
    <row r="632">
      <c r="A632" s="23" t="s">
        <v>660</v>
      </c>
      <c r="B632" s="19" t="s">
        <v>1371</v>
      </c>
      <c r="C632" s="8"/>
    </row>
    <row r="633">
      <c r="A633" s="23" t="s">
        <v>661</v>
      </c>
      <c r="B633" s="19" t="s">
        <v>1372</v>
      </c>
      <c r="C633" s="8"/>
    </row>
    <row r="634">
      <c r="A634" s="23" t="s">
        <v>662</v>
      </c>
      <c r="B634" s="19" t="s">
        <v>1373</v>
      </c>
      <c r="C634" s="8"/>
    </row>
    <row r="635">
      <c r="A635" s="23" t="s">
        <v>663</v>
      </c>
      <c r="B635" s="19" t="s">
        <v>1374</v>
      </c>
      <c r="C635" s="8"/>
    </row>
    <row r="636">
      <c r="A636" s="23" t="s">
        <v>664</v>
      </c>
      <c r="B636" s="19" t="s">
        <v>1375</v>
      </c>
      <c r="C636" s="8"/>
    </row>
    <row r="637">
      <c r="A637" s="23" t="s">
        <v>665</v>
      </c>
      <c r="B637" s="19" t="s">
        <v>1376</v>
      </c>
      <c r="C637" s="8"/>
    </row>
    <row r="638">
      <c r="A638" s="23" t="s">
        <v>666</v>
      </c>
      <c r="B638" s="19" t="s">
        <v>1377</v>
      </c>
      <c r="C638" s="8"/>
    </row>
    <row r="639">
      <c r="A639" s="23" t="s">
        <v>667</v>
      </c>
      <c r="B639" s="19" t="s">
        <v>1378</v>
      </c>
      <c r="C639" s="8"/>
    </row>
    <row r="640">
      <c r="A640" s="23" t="s">
        <v>668</v>
      </c>
      <c r="B640" s="19" t="s">
        <v>1379</v>
      </c>
      <c r="C640" s="8"/>
    </row>
    <row r="641">
      <c r="A641" s="23" t="s">
        <v>669</v>
      </c>
      <c r="B641" s="19" t="s">
        <v>1380</v>
      </c>
      <c r="C641" s="8"/>
    </row>
    <row r="642">
      <c r="A642" s="23" t="s">
        <v>670</v>
      </c>
      <c r="B642" s="19" t="s">
        <v>1381</v>
      </c>
      <c r="C642" s="8"/>
    </row>
    <row r="643">
      <c r="A643" s="23" t="s">
        <v>671</v>
      </c>
      <c r="B643" s="19" t="s">
        <v>1382</v>
      </c>
      <c r="C643" s="8"/>
    </row>
    <row r="644">
      <c r="A644" s="23" t="s">
        <v>672</v>
      </c>
      <c r="B644" s="19" t="s">
        <v>1383</v>
      </c>
      <c r="C644" s="8"/>
    </row>
    <row r="645">
      <c r="A645" s="23" t="s">
        <v>673</v>
      </c>
      <c r="B645" s="19" t="s">
        <v>1384</v>
      </c>
      <c r="C645" s="8"/>
    </row>
    <row r="646">
      <c r="A646" s="23" t="s">
        <v>674</v>
      </c>
      <c r="B646" s="19" t="s">
        <v>1385</v>
      </c>
      <c r="C646" s="8"/>
    </row>
    <row r="647">
      <c r="A647" s="23" t="s">
        <v>675</v>
      </c>
      <c r="B647" s="19" t="s">
        <v>1386</v>
      </c>
      <c r="C647" s="8"/>
    </row>
    <row r="648">
      <c r="A648" s="23" t="s">
        <v>676</v>
      </c>
      <c r="B648" s="19" t="s">
        <v>1387</v>
      </c>
      <c r="C648" s="8"/>
    </row>
    <row r="649">
      <c r="A649" s="23" t="s">
        <v>677</v>
      </c>
      <c r="B649" s="19" t="s">
        <v>1388</v>
      </c>
      <c r="C649" s="8"/>
    </row>
    <row r="650">
      <c r="A650" s="23" t="s">
        <v>678</v>
      </c>
      <c r="B650" s="19" t="s">
        <v>1389</v>
      </c>
      <c r="C650" s="8"/>
    </row>
    <row r="651">
      <c r="A651" s="23" t="s">
        <v>679</v>
      </c>
      <c r="B651" s="19" t="s">
        <v>1390</v>
      </c>
      <c r="C651" s="8"/>
    </row>
    <row r="652">
      <c r="A652" s="23" t="s">
        <v>680</v>
      </c>
      <c r="B652" s="19" t="s">
        <v>1391</v>
      </c>
      <c r="C652" s="8"/>
    </row>
    <row r="653">
      <c r="A653" s="23" t="s">
        <v>681</v>
      </c>
      <c r="B653" s="19" t="s">
        <v>1392</v>
      </c>
      <c r="C653" s="8"/>
    </row>
    <row r="654">
      <c r="A654" s="23" t="s">
        <v>682</v>
      </c>
      <c r="B654" s="19" t="s">
        <v>1393</v>
      </c>
      <c r="C654" s="8"/>
    </row>
    <row r="655">
      <c r="A655" s="23" t="s">
        <v>683</v>
      </c>
      <c r="B655" s="19" t="s">
        <v>1394</v>
      </c>
      <c r="C655" s="8"/>
    </row>
    <row r="656">
      <c r="A656" s="23" t="s">
        <v>684</v>
      </c>
      <c r="B656" s="19" t="s">
        <v>1395</v>
      </c>
      <c r="C656" s="8"/>
    </row>
    <row r="657">
      <c r="A657" s="23" t="s">
        <v>685</v>
      </c>
      <c r="B657" s="19" t="s">
        <v>1396</v>
      </c>
      <c r="C657" s="8"/>
    </row>
    <row r="658">
      <c r="A658" s="23" t="s">
        <v>686</v>
      </c>
      <c r="B658" s="19" t="s">
        <v>1397</v>
      </c>
      <c r="C658" s="8"/>
    </row>
    <row r="659">
      <c r="A659" s="23" t="s">
        <v>687</v>
      </c>
      <c r="B659" s="19" t="s">
        <v>1398</v>
      </c>
      <c r="C659" s="8"/>
    </row>
    <row r="660">
      <c r="A660" s="23" t="s">
        <v>688</v>
      </c>
      <c r="B660" s="19" t="s">
        <v>1399</v>
      </c>
      <c r="C660" s="8"/>
    </row>
    <row r="661">
      <c r="A661" s="23" t="s">
        <v>689</v>
      </c>
      <c r="B661" s="19" t="s">
        <v>1400</v>
      </c>
      <c r="C661" s="8"/>
    </row>
    <row r="662">
      <c r="A662" s="23" t="s">
        <v>690</v>
      </c>
      <c r="B662" s="19" t="s">
        <v>1401</v>
      </c>
      <c r="C662" s="8"/>
    </row>
    <row r="663">
      <c r="A663" s="23" t="s">
        <v>691</v>
      </c>
      <c r="B663" s="19" t="s">
        <v>1402</v>
      </c>
      <c r="C663" s="8"/>
    </row>
    <row r="664">
      <c r="A664" s="23" t="s">
        <v>692</v>
      </c>
      <c r="B664" s="19" t="s">
        <v>1403</v>
      </c>
      <c r="C664" s="8"/>
    </row>
    <row r="665">
      <c r="A665" s="23" t="s">
        <v>693</v>
      </c>
      <c r="B665" s="19" t="s">
        <v>1404</v>
      </c>
      <c r="C665" s="8"/>
    </row>
    <row r="666">
      <c r="A666" s="23" t="s">
        <v>694</v>
      </c>
      <c r="B666" s="19" t="s">
        <v>1405</v>
      </c>
      <c r="C666" s="8"/>
    </row>
    <row r="667">
      <c r="A667" s="23" t="s">
        <v>695</v>
      </c>
      <c r="B667" s="19" t="s">
        <v>1406</v>
      </c>
      <c r="C667" s="8"/>
    </row>
    <row r="668">
      <c r="A668" s="23" t="s">
        <v>696</v>
      </c>
      <c r="B668" s="19" t="s">
        <v>1407</v>
      </c>
      <c r="C668" s="8"/>
    </row>
    <row r="669">
      <c r="A669" s="23" t="s">
        <v>697</v>
      </c>
      <c r="B669" s="19" t="s">
        <v>1408</v>
      </c>
      <c r="C669" s="8"/>
    </row>
    <row r="670">
      <c r="A670" s="23" t="s">
        <v>698</v>
      </c>
      <c r="B670" s="19" t="s">
        <v>1409</v>
      </c>
      <c r="C670" s="8"/>
    </row>
    <row r="671">
      <c r="A671" s="23" t="s">
        <v>699</v>
      </c>
      <c r="B671" s="19" t="s">
        <v>1410</v>
      </c>
      <c r="C671" s="8"/>
    </row>
    <row r="672">
      <c r="A672" s="23" t="s">
        <v>700</v>
      </c>
      <c r="B672" s="19" t="s">
        <v>1411</v>
      </c>
      <c r="C672" s="8"/>
    </row>
    <row r="673">
      <c r="A673" s="23" t="s">
        <v>701</v>
      </c>
      <c r="B673" s="19" t="s">
        <v>1412</v>
      </c>
      <c r="C673" s="8"/>
    </row>
    <row r="674">
      <c r="A674" s="23" t="s">
        <v>702</v>
      </c>
      <c r="B674" s="19" t="s">
        <v>1413</v>
      </c>
      <c r="C674" s="8"/>
    </row>
    <row r="675">
      <c r="A675" s="23" t="s">
        <v>703</v>
      </c>
      <c r="B675" s="19" t="s">
        <v>1414</v>
      </c>
      <c r="C675" s="8"/>
    </row>
    <row r="676">
      <c r="A676" s="23" t="s">
        <v>704</v>
      </c>
      <c r="B676" s="19" t="s">
        <v>1415</v>
      </c>
      <c r="C676" s="8"/>
    </row>
    <row r="677">
      <c r="A677" s="23" t="s">
        <v>705</v>
      </c>
      <c r="B677" s="19" t="s">
        <v>1416</v>
      </c>
      <c r="C677" s="8"/>
    </row>
    <row r="678">
      <c r="A678" s="23" t="s">
        <v>706</v>
      </c>
      <c r="B678" s="19" t="s">
        <v>1417</v>
      </c>
      <c r="C678" s="8"/>
    </row>
    <row r="679">
      <c r="A679" s="23" t="s">
        <v>707</v>
      </c>
      <c r="B679" s="19" t="s">
        <v>1418</v>
      </c>
      <c r="C679" s="8"/>
    </row>
    <row r="680">
      <c r="A680" s="23" t="s">
        <v>708</v>
      </c>
      <c r="B680" s="19" t="s">
        <v>1419</v>
      </c>
      <c r="C680" s="8"/>
    </row>
    <row r="681">
      <c r="A681" s="23" t="s">
        <v>709</v>
      </c>
      <c r="B681" s="19" t="s">
        <v>1420</v>
      </c>
      <c r="C681" s="8"/>
    </row>
    <row r="682">
      <c r="A682" s="23" t="s">
        <v>710</v>
      </c>
      <c r="B682" s="19" t="s">
        <v>1421</v>
      </c>
      <c r="C682" s="8"/>
    </row>
    <row r="683">
      <c r="A683" s="23" t="s">
        <v>711</v>
      </c>
      <c r="B683" s="19" t="s">
        <v>1422</v>
      </c>
      <c r="C683" s="8"/>
    </row>
    <row r="684">
      <c r="A684" s="23" t="s">
        <v>712</v>
      </c>
      <c r="B684" s="19" t="s">
        <v>1423</v>
      </c>
      <c r="C684" s="8"/>
    </row>
    <row r="685">
      <c r="A685" s="23" t="s">
        <v>713</v>
      </c>
      <c r="B685" s="19" t="s">
        <v>1424</v>
      </c>
      <c r="C685" s="8"/>
    </row>
    <row r="686">
      <c r="A686" s="23" t="s">
        <v>714</v>
      </c>
      <c r="B686" s="19" t="s">
        <v>1425</v>
      </c>
      <c r="C686" s="8"/>
    </row>
    <row r="687">
      <c r="A687" s="23" t="s">
        <v>715</v>
      </c>
      <c r="B687" s="19" t="s">
        <v>1426</v>
      </c>
      <c r="C687" s="8"/>
    </row>
    <row r="688">
      <c r="A688" s="23" t="s">
        <v>716</v>
      </c>
      <c r="B688" s="19" t="s">
        <v>1427</v>
      </c>
      <c r="C688" s="8"/>
    </row>
    <row r="689">
      <c r="A689" s="23" t="s">
        <v>717</v>
      </c>
      <c r="B689" s="19" t="s">
        <v>1428</v>
      </c>
      <c r="C689" s="8"/>
    </row>
    <row r="690">
      <c r="A690" s="23" t="s">
        <v>718</v>
      </c>
      <c r="B690" s="19" t="s">
        <v>1429</v>
      </c>
      <c r="C690" s="8"/>
    </row>
    <row r="691">
      <c r="A691" s="23" t="s">
        <v>719</v>
      </c>
      <c r="B691" s="19" t="s">
        <v>1430</v>
      </c>
      <c r="C691" s="8"/>
    </row>
    <row r="692">
      <c r="A692" s="23" t="s">
        <v>720</v>
      </c>
      <c r="B692" s="19" t="s">
        <v>1431</v>
      </c>
      <c r="C692" s="8"/>
    </row>
    <row r="693">
      <c r="A693" s="23" t="s">
        <v>721</v>
      </c>
      <c r="B693" s="19" t="s">
        <v>1432</v>
      </c>
      <c r="C693" s="8"/>
    </row>
    <row r="694">
      <c r="A694" s="23" t="s">
        <v>722</v>
      </c>
      <c r="B694" s="19" t="s">
        <v>1433</v>
      </c>
      <c r="C694" s="8"/>
    </row>
    <row r="695">
      <c r="A695" s="23" t="s">
        <v>723</v>
      </c>
      <c r="B695" s="19" t="s">
        <v>1434</v>
      </c>
      <c r="C695" s="8"/>
    </row>
    <row r="696">
      <c r="A696" s="23" t="s">
        <v>724</v>
      </c>
      <c r="B696" s="19" t="s">
        <v>1435</v>
      </c>
      <c r="C696" s="8"/>
    </row>
    <row r="697">
      <c r="A697" s="23" t="s">
        <v>725</v>
      </c>
      <c r="B697" s="19" t="s">
        <v>1436</v>
      </c>
      <c r="C697" s="8"/>
    </row>
    <row r="698">
      <c r="A698" s="23" t="s">
        <v>726</v>
      </c>
      <c r="B698" s="19" t="s">
        <v>1437</v>
      </c>
      <c r="C698" s="8"/>
    </row>
    <row r="699">
      <c r="A699" s="23" t="s">
        <v>727</v>
      </c>
      <c r="B699" s="19" t="s">
        <v>1438</v>
      </c>
      <c r="C699" s="8"/>
    </row>
    <row r="700">
      <c r="A700" s="23" t="s">
        <v>728</v>
      </c>
      <c r="B700" s="19" t="s">
        <v>1439</v>
      </c>
      <c r="C700" s="8"/>
    </row>
    <row r="701">
      <c r="A701" s="23" t="s">
        <v>729</v>
      </c>
      <c r="B701" s="19" t="s">
        <v>1440</v>
      </c>
      <c r="C701" s="8"/>
    </row>
    <row r="702">
      <c r="A702" s="24"/>
      <c r="B702" s="25"/>
      <c r="C702" s="8"/>
    </row>
    <row r="703">
      <c r="A703" s="24"/>
      <c r="B703" s="25"/>
      <c r="C703" s="8"/>
    </row>
    <row r="704">
      <c r="A704" s="24"/>
      <c r="B704" s="25"/>
      <c r="C704" s="8"/>
    </row>
    <row r="705">
      <c r="A705" s="24"/>
      <c r="B705" s="25"/>
      <c r="C705" s="8"/>
    </row>
    <row r="706">
      <c r="A706" s="24"/>
      <c r="B706" s="25"/>
      <c r="C706" s="8"/>
    </row>
    <row r="707">
      <c r="A707" s="24"/>
      <c r="B707" s="25"/>
      <c r="C707" s="8"/>
    </row>
    <row r="708">
      <c r="A708" s="24"/>
      <c r="B708" s="25"/>
      <c r="C708" s="8"/>
    </row>
    <row r="709">
      <c r="A709" s="24"/>
      <c r="B709" s="25"/>
      <c r="C709" s="8"/>
    </row>
    <row r="710">
      <c r="A710" s="24"/>
      <c r="B710" s="25"/>
      <c r="C710" s="8"/>
    </row>
    <row r="711">
      <c r="A711" s="24"/>
      <c r="B711" s="25"/>
      <c r="C711" s="8"/>
    </row>
    <row r="712">
      <c r="A712" s="24"/>
      <c r="B712" s="25"/>
      <c r="C712" s="8"/>
    </row>
    <row r="713">
      <c r="A713" s="24"/>
      <c r="B713" s="25"/>
      <c r="C713" s="8"/>
    </row>
    <row r="714">
      <c r="A714" s="24"/>
      <c r="B714" s="25"/>
      <c r="C714" s="8"/>
    </row>
    <row r="715">
      <c r="A715" s="24"/>
      <c r="B715" s="25"/>
      <c r="C715" s="8"/>
    </row>
    <row r="716">
      <c r="A716" s="24"/>
      <c r="B716" s="25"/>
      <c r="C716" s="8"/>
    </row>
    <row r="717">
      <c r="A717" s="24"/>
      <c r="B717" s="25"/>
      <c r="C717" s="8"/>
    </row>
    <row r="718">
      <c r="A718" s="24"/>
      <c r="B718" s="25"/>
      <c r="C718" s="8"/>
    </row>
    <row r="719">
      <c r="A719" s="24"/>
      <c r="B719" s="25"/>
      <c r="C719" s="8"/>
    </row>
    <row r="720">
      <c r="A720" s="24"/>
      <c r="B720" s="25"/>
      <c r="C720" s="8"/>
    </row>
    <row r="721">
      <c r="A721" s="24"/>
      <c r="B721" s="25"/>
      <c r="C721" s="8"/>
    </row>
    <row r="722">
      <c r="A722" s="24"/>
      <c r="B722" s="25"/>
      <c r="C722" s="8"/>
    </row>
    <row r="723">
      <c r="A723" s="24"/>
      <c r="B723" s="25"/>
      <c r="C723" s="8"/>
    </row>
    <row r="724">
      <c r="A724" s="24"/>
      <c r="B724" s="25"/>
      <c r="C724" s="8"/>
    </row>
    <row r="725">
      <c r="A725" s="24"/>
      <c r="B725" s="25"/>
      <c r="C725" s="8"/>
    </row>
    <row r="726">
      <c r="A726" s="24"/>
      <c r="B726" s="25"/>
      <c r="C726" s="8"/>
    </row>
    <row r="727">
      <c r="A727" s="24"/>
      <c r="B727" s="25"/>
      <c r="C727" s="8"/>
    </row>
    <row r="728">
      <c r="A728" s="24"/>
      <c r="B728" s="25"/>
      <c r="C728" s="8"/>
    </row>
    <row r="729">
      <c r="A729" s="24"/>
      <c r="B729" s="25"/>
      <c r="C729" s="8"/>
    </row>
    <row r="730">
      <c r="A730" s="24"/>
      <c r="B730" s="25"/>
      <c r="C730" s="8"/>
    </row>
    <row r="731">
      <c r="A731" s="24"/>
      <c r="B731" s="25"/>
      <c r="C731" s="8"/>
    </row>
    <row r="732">
      <c r="A732" s="24"/>
      <c r="B732" s="25"/>
      <c r="C732" s="8"/>
    </row>
    <row r="733">
      <c r="A733" s="24"/>
      <c r="B733" s="25"/>
      <c r="C733" s="8"/>
    </row>
    <row r="734">
      <c r="A734" s="24"/>
      <c r="B734" s="25"/>
      <c r="C734" s="8"/>
    </row>
    <row r="735">
      <c r="A735" s="24"/>
      <c r="B735" s="25"/>
      <c r="C735" s="8"/>
    </row>
    <row r="736">
      <c r="A736" s="24"/>
      <c r="B736" s="25"/>
      <c r="C736" s="8"/>
    </row>
    <row r="737">
      <c r="A737" s="24"/>
      <c r="B737" s="25"/>
      <c r="C737" s="8"/>
    </row>
    <row r="738">
      <c r="A738" s="24"/>
      <c r="B738" s="25"/>
      <c r="C738" s="8"/>
    </row>
    <row r="739">
      <c r="A739" s="24"/>
      <c r="B739" s="25"/>
      <c r="C739" s="8"/>
    </row>
    <row r="740">
      <c r="A740" s="24"/>
      <c r="B740" s="25"/>
      <c r="C740" s="8"/>
    </row>
    <row r="741">
      <c r="A741" s="24"/>
      <c r="B741" s="25"/>
      <c r="C741" s="8"/>
    </row>
    <row r="742">
      <c r="A742" s="24"/>
      <c r="B742" s="25"/>
      <c r="C742" s="8"/>
    </row>
    <row r="743">
      <c r="A743" s="24"/>
      <c r="B743" s="25"/>
      <c r="C743" s="8"/>
    </row>
    <row r="744">
      <c r="A744" s="24"/>
      <c r="B744" s="25"/>
      <c r="C744" s="8"/>
    </row>
    <row r="745">
      <c r="A745" s="24"/>
      <c r="B745" s="25"/>
      <c r="C745" s="8"/>
    </row>
    <row r="746">
      <c r="A746" s="24"/>
      <c r="B746" s="25"/>
      <c r="C746" s="8"/>
    </row>
    <row r="747">
      <c r="A747" s="24"/>
      <c r="B747" s="25"/>
      <c r="C747" s="8"/>
    </row>
    <row r="748">
      <c r="A748" s="24"/>
      <c r="B748" s="25"/>
      <c r="C748" s="8"/>
    </row>
    <row r="749">
      <c r="A749" s="24"/>
      <c r="B749" s="25"/>
      <c r="C749" s="8"/>
    </row>
    <row r="750">
      <c r="A750" s="24"/>
      <c r="B750" s="25"/>
      <c r="C750" s="8"/>
    </row>
    <row r="751">
      <c r="A751" s="24"/>
      <c r="B751" s="25"/>
      <c r="C751" s="8"/>
    </row>
    <row r="752">
      <c r="A752" s="24"/>
      <c r="B752" s="25"/>
      <c r="C752" s="8"/>
    </row>
    <row r="753">
      <c r="A753" s="24"/>
      <c r="B753" s="25"/>
      <c r="C753" s="8"/>
    </row>
    <row r="754">
      <c r="A754" s="24"/>
      <c r="B754" s="25"/>
      <c r="C754" s="8"/>
    </row>
    <row r="755">
      <c r="A755" s="24"/>
      <c r="B755" s="25"/>
      <c r="C755" s="8"/>
    </row>
    <row r="756">
      <c r="A756" s="24"/>
      <c r="B756" s="25"/>
      <c r="C756" s="8"/>
    </row>
    <row r="757">
      <c r="A757" s="24"/>
      <c r="B757" s="25"/>
      <c r="C757" s="8"/>
    </row>
    <row r="758">
      <c r="A758" s="24"/>
      <c r="B758" s="25"/>
      <c r="C758" s="8"/>
    </row>
    <row r="759">
      <c r="A759" s="24"/>
      <c r="B759" s="25"/>
      <c r="C759" s="8"/>
    </row>
    <row r="760">
      <c r="A760" s="24"/>
      <c r="B760" s="25"/>
      <c r="C760" s="8"/>
    </row>
    <row r="761">
      <c r="A761" s="24"/>
      <c r="B761" s="25"/>
      <c r="C761" s="8"/>
    </row>
    <row r="762">
      <c r="A762" s="24"/>
      <c r="B762" s="25"/>
      <c r="C762" s="8"/>
    </row>
    <row r="763">
      <c r="A763" s="24"/>
      <c r="B763" s="25"/>
      <c r="C763" s="8"/>
    </row>
    <row r="764">
      <c r="A764" s="24"/>
      <c r="B764" s="25"/>
      <c r="C764" s="8"/>
    </row>
    <row r="765">
      <c r="A765" s="24"/>
      <c r="B765" s="25"/>
      <c r="C765" s="8"/>
    </row>
    <row r="766">
      <c r="A766" s="24"/>
      <c r="B766" s="25"/>
      <c r="C766" s="8"/>
    </row>
    <row r="767">
      <c r="A767" s="24"/>
      <c r="B767" s="25"/>
      <c r="C767" s="8"/>
    </row>
    <row r="768">
      <c r="A768" s="24"/>
      <c r="B768" s="25"/>
      <c r="C768" s="8"/>
    </row>
    <row r="769">
      <c r="A769" s="24"/>
      <c r="B769" s="25"/>
      <c r="C769" s="8"/>
    </row>
    <row r="770">
      <c r="A770" s="24"/>
      <c r="B770" s="25"/>
      <c r="C770" s="8"/>
    </row>
    <row r="771">
      <c r="A771" s="24"/>
      <c r="B771" s="25"/>
      <c r="C771" s="8"/>
    </row>
    <row r="772">
      <c r="A772" s="24"/>
      <c r="B772" s="25"/>
      <c r="C772" s="8"/>
    </row>
    <row r="773">
      <c r="A773" s="24"/>
      <c r="B773" s="25"/>
      <c r="C773" s="8"/>
    </row>
    <row r="774">
      <c r="A774" s="24"/>
      <c r="B774" s="25"/>
      <c r="C774" s="8"/>
    </row>
    <row r="775">
      <c r="A775" s="24"/>
      <c r="B775" s="25"/>
      <c r="C775" s="8"/>
    </row>
    <row r="776">
      <c r="A776" s="24"/>
      <c r="B776" s="25"/>
      <c r="C776" s="8"/>
    </row>
    <row r="777">
      <c r="A777" s="24"/>
      <c r="B777" s="25"/>
      <c r="C777" s="8"/>
    </row>
    <row r="778">
      <c r="A778" s="24"/>
      <c r="B778" s="25"/>
      <c r="C778" s="8"/>
    </row>
    <row r="779">
      <c r="A779" s="24"/>
      <c r="B779" s="25"/>
      <c r="C779" s="8"/>
    </row>
    <row r="780">
      <c r="A780" s="24"/>
      <c r="B780" s="25"/>
      <c r="C780" s="8"/>
    </row>
    <row r="781">
      <c r="A781" s="24"/>
      <c r="B781" s="25"/>
      <c r="C781" s="8"/>
    </row>
    <row r="782">
      <c r="A782" s="24"/>
      <c r="B782" s="25"/>
      <c r="C782" s="8"/>
    </row>
    <row r="783">
      <c r="A783" s="24"/>
      <c r="B783" s="25"/>
      <c r="C783" s="8"/>
    </row>
    <row r="784">
      <c r="A784" s="24"/>
      <c r="B784" s="25"/>
      <c r="C784" s="8"/>
    </row>
    <row r="785">
      <c r="A785" s="24"/>
      <c r="B785" s="25"/>
      <c r="C785" s="8"/>
    </row>
    <row r="786">
      <c r="A786" s="24"/>
      <c r="B786" s="25"/>
      <c r="C786" s="8"/>
    </row>
    <row r="787">
      <c r="A787" s="24"/>
      <c r="B787" s="25"/>
      <c r="C787" s="8"/>
    </row>
    <row r="788">
      <c r="A788" s="24"/>
      <c r="B788" s="25"/>
      <c r="C788" s="8"/>
    </row>
    <row r="789">
      <c r="A789" s="24"/>
      <c r="B789" s="25"/>
      <c r="C789" s="8"/>
    </row>
    <row r="790">
      <c r="A790" s="24"/>
      <c r="B790" s="25"/>
      <c r="C790" s="8"/>
    </row>
    <row r="791">
      <c r="A791" s="24"/>
      <c r="B791" s="25"/>
      <c r="C791" s="8"/>
    </row>
    <row r="792">
      <c r="A792" s="24"/>
      <c r="B792" s="25"/>
      <c r="C792" s="8"/>
    </row>
    <row r="793">
      <c r="A793" s="24"/>
      <c r="B793" s="25"/>
      <c r="C793" s="8"/>
    </row>
    <row r="794">
      <c r="A794" s="24"/>
      <c r="B794" s="25"/>
      <c r="C794" s="8"/>
    </row>
    <row r="795">
      <c r="A795" s="24"/>
      <c r="B795" s="25"/>
      <c r="C795" s="8"/>
    </row>
    <row r="796">
      <c r="A796" s="24"/>
      <c r="B796" s="25"/>
      <c r="C796" s="8"/>
    </row>
    <row r="797">
      <c r="A797" s="24"/>
      <c r="B797" s="25"/>
      <c r="C797" s="8"/>
    </row>
    <row r="798">
      <c r="A798" s="24"/>
      <c r="B798" s="25"/>
      <c r="C798" s="8"/>
    </row>
    <row r="799">
      <c r="A799" s="24"/>
      <c r="B799" s="25"/>
      <c r="C799" s="8"/>
    </row>
    <row r="800">
      <c r="A800" s="24"/>
      <c r="B800" s="25"/>
      <c r="C800" s="8"/>
    </row>
    <row r="801">
      <c r="A801" s="24"/>
      <c r="B801" s="25"/>
      <c r="C801" s="8"/>
    </row>
    <row r="802">
      <c r="A802" s="24"/>
      <c r="B802" s="25"/>
      <c r="C802" s="8"/>
    </row>
    <row r="803">
      <c r="A803" s="24"/>
      <c r="B803" s="25"/>
      <c r="C803" s="8"/>
    </row>
    <row r="804">
      <c r="A804" s="24"/>
      <c r="B804" s="25"/>
      <c r="C804" s="8"/>
    </row>
    <row r="805">
      <c r="A805" s="24"/>
      <c r="B805" s="25"/>
      <c r="C805" s="8"/>
    </row>
    <row r="806">
      <c r="A806" s="24"/>
      <c r="B806" s="25"/>
      <c r="C806" s="8"/>
    </row>
    <row r="807">
      <c r="A807" s="24"/>
      <c r="B807" s="25"/>
      <c r="C807" s="8"/>
    </row>
    <row r="808">
      <c r="A808" s="24"/>
      <c r="B808" s="25"/>
      <c r="C808" s="8"/>
    </row>
    <row r="809">
      <c r="A809" s="24"/>
      <c r="B809" s="25"/>
      <c r="C809" s="8"/>
    </row>
    <row r="810">
      <c r="A810" s="24"/>
      <c r="B810" s="25"/>
      <c r="C810" s="8"/>
    </row>
    <row r="811">
      <c r="A811" s="24"/>
      <c r="B811" s="25"/>
      <c r="C811" s="8"/>
    </row>
    <row r="812">
      <c r="A812" s="24"/>
      <c r="B812" s="25"/>
      <c r="C812" s="8"/>
    </row>
    <row r="813">
      <c r="A813" s="24"/>
      <c r="B813" s="25"/>
      <c r="C813" s="8"/>
    </row>
    <row r="814">
      <c r="A814" s="24"/>
      <c r="B814" s="25"/>
      <c r="C814" s="8"/>
    </row>
    <row r="815">
      <c r="A815" s="24"/>
      <c r="B815" s="25"/>
      <c r="C815" s="8"/>
    </row>
    <row r="816">
      <c r="A816" s="24"/>
      <c r="B816" s="25"/>
      <c r="C816" s="8"/>
    </row>
    <row r="817">
      <c r="A817" s="24"/>
      <c r="B817" s="25"/>
      <c r="C817" s="8"/>
    </row>
    <row r="818">
      <c r="A818" s="24"/>
      <c r="B818" s="25"/>
      <c r="C818" s="8"/>
    </row>
    <row r="819">
      <c r="A819" s="24"/>
      <c r="B819" s="25"/>
      <c r="C819" s="8"/>
    </row>
    <row r="820">
      <c r="A820" s="24"/>
      <c r="B820" s="25"/>
      <c r="C820" s="8"/>
    </row>
    <row r="821">
      <c r="A821" s="24"/>
      <c r="B821" s="25"/>
      <c r="C821" s="8"/>
    </row>
    <row r="822">
      <c r="A822" s="24"/>
      <c r="B822" s="25"/>
      <c r="C822" s="8"/>
    </row>
    <row r="823">
      <c r="A823" s="24"/>
      <c r="B823" s="25"/>
      <c r="C823" s="8"/>
    </row>
    <row r="824">
      <c r="A824" s="24"/>
      <c r="B824" s="25"/>
      <c r="C824" s="8"/>
    </row>
    <row r="825">
      <c r="A825" s="24"/>
      <c r="B825" s="25"/>
      <c r="C825" s="8"/>
    </row>
    <row r="826">
      <c r="A826" s="24"/>
      <c r="B826" s="25"/>
      <c r="C826" s="8"/>
    </row>
    <row r="827">
      <c r="A827" s="24"/>
      <c r="B827" s="25"/>
      <c r="C827" s="8"/>
    </row>
    <row r="828">
      <c r="A828" s="24"/>
      <c r="B828" s="25"/>
      <c r="C828" s="8"/>
    </row>
    <row r="829">
      <c r="A829" s="24"/>
      <c r="B829" s="25"/>
      <c r="C829" s="8"/>
    </row>
    <row r="830">
      <c r="A830" s="24"/>
      <c r="B830" s="25"/>
      <c r="C830" s="8"/>
    </row>
    <row r="831">
      <c r="A831" s="24"/>
      <c r="B831" s="25"/>
      <c r="C831" s="8"/>
    </row>
    <row r="832">
      <c r="A832" s="24"/>
      <c r="B832" s="25"/>
      <c r="C832" s="8"/>
    </row>
    <row r="833">
      <c r="A833" s="24"/>
      <c r="B833" s="25"/>
      <c r="C833" s="8"/>
    </row>
    <row r="834">
      <c r="A834" s="24"/>
      <c r="B834" s="25"/>
      <c r="C834" s="8"/>
    </row>
    <row r="835">
      <c r="A835" s="24"/>
      <c r="B835" s="25"/>
      <c r="C835" s="8"/>
    </row>
    <row r="836">
      <c r="A836" s="24"/>
      <c r="B836" s="25"/>
      <c r="C836" s="8"/>
    </row>
    <row r="837">
      <c r="A837" s="24"/>
      <c r="B837" s="25"/>
      <c r="C837" s="8"/>
    </row>
    <row r="838">
      <c r="A838" s="24"/>
      <c r="B838" s="25"/>
      <c r="C838" s="8"/>
    </row>
    <row r="839">
      <c r="A839" s="24"/>
      <c r="B839" s="25"/>
      <c r="C839" s="8"/>
    </row>
    <row r="840">
      <c r="A840" s="24"/>
      <c r="B840" s="25"/>
      <c r="C840" s="8"/>
    </row>
    <row r="841">
      <c r="A841" s="24"/>
      <c r="B841" s="25"/>
      <c r="C841" s="8"/>
    </row>
    <row r="842">
      <c r="A842" s="24"/>
      <c r="B842" s="25"/>
      <c r="C842" s="8"/>
    </row>
    <row r="843">
      <c r="A843" s="24"/>
      <c r="B843" s="25"/>
      <c r="C843" s="8"/>
    </row>
    <row r="844">
      <c r="A844" s="24"/>
      <c r="B844" s="25"/>
      <c r="C844" s="8"/>
    </row>
    <row r="845">
      <c r="A845" s="24"/>
      <c r="B845" s="25"/>
      <c r="C845" s="8"/>
    </row>
    <row r="846">
      <c r="A846" s="24"/>
      <c r="B846" s="25"/>
      <c r="C846" s="8"/>
    </row>
    <row r="847">
      <c r="A847" s="24"/>
      <c r="B847" s="25"/>
      <c r="C847" s="8"/>
    </row>
    <row r="848">
      <c r="A848" s="24"/>
      <c r="B848" s="25"/>
      <c r="C848" s="8"/>
    </row>
    <row r="849">
      <c r="A849" s="24"/>
      <c r="B849" s="25"/>
      <c r="C849" s="8"/>
    </row>
    <row r="850">
      <c r="A850" s="24"/>
      <c r="B850" s="25"/>
      <c r="C850" s="8"/>
    </row>
    <row r="851">
      <c r="A851" s="24"/>
      <c r="B851" s="25"/>
      <c r="C851" s="8"/>
    </row>
    <row r="852">
      <c r="A852" s="24"/>
      <c r="B852" s="25"/>
      <c r="C852" s="8"/>
    </row>
    <row r="853">
      <c r="A853" s="24"/>
      <c r="B853" s="25"/>
      <c r="C853" s="8"/>
    </row>
    <row r="854">
      <c r="A854" s="24"/>
      <c r="B854" s="25"/>
      <c r="C854" s="8"/>
    </row>
    <row r="855">
      <c r="A855" s="24"/>
      <c r="B855" s="25"/>
      <c r="C855" s="8"/>
    </row>
    <row r="856">
      <c r="A856" s="24"/>
      <c r="B856" s="25"/>
      <c r="C856" s="8"/>
    </row>
    <row r="857">
      <c r="A857" s="24"/>
      <c r="B857" s="25"/>
      <c r="C857" s="8"/>
    </row>
    <row r="858">
      <c r="A858" s="24"/>
      <c r="B858" s="25"/>
      <c r="C858" s="8"/>
    </row>
    <row r="859">
      <c r="A859" s="24"/>
      <c r="B859" s="25"/>
      <c r="C859" s="8"/>
    </row>
    <row r="860">
      <c r="A860" s="24"/>
      <c r="B860" s="25"/>
      <c r="C860" s="8"/>
    </row>
    <row r="861">
      <c r="A861" s="24"/>
      <c r="B861" s="25"/>
      <c r="C861" s="8"/>
    </row>
    <row r="862">
      <c r="A862" s="24"/>
      <c r="B862" s="25"/>
      <c r="C862" s="8"/>
    </row>
    <row r="863">
      <c r="A863" s="24"/>
      <c r="B863" s="25"/>
      <c r="C863" s="8"/>
    </row>
    <row r="864">
      <c r="A864" s="24"/>
      <c r="B864" s="25"/>
      <c r="C864" s="8"/>
    </row>
    <row r="865">
      <c r="A865" s="24"/>
      <c r="B865" s="25"/>
      <c r="C865" s="8"/>
    </row>
    <row r="866">
      <c r="A866" s="24"/>
      <c r="B866" s="25"/>
      <c r="C866" s="8"/>
    </row>
    <row r="867">
      <c r="A867" s="24"/>
      <c r="B867" s="25"/>
      <c r="C867" s="8"/>
    </row>
    <row r="868">
      <c r="A868" s="24"/>
      <c r="B868" s="25"/>
      <c r="C868" s="8"/>
    </row>
    <row r="869">
      <c r="A869" s="24"/>
      <c r="B869" s="25"/>
      <c r="C869" s="8"/>
    </row>
    <row r="870">
      <c r="A870" s="24"/>
      <c r="B870" s="25"/>
      <c r="C870" s="8"/>
    </row>
    <row r="871">
      <c r="A871" s="24"/>
      <c r="B871" s="25"/>
      <c r="C871" s="8"/>
    </row>
    <row r="872">
      <c r="A872" s="24"/>
      <c r="B872" s="25"/>
      <c r="C872" s="8"/>
    </row>
    <row r="873">
      <c r="A873" s="24"/>
      <c r="B873" s="25"/>
      <c r="C873" s="8"/>
    </row>
    <row r="874">
      <c r="A874" s="24"/>
      <c r="B874" s="25"/>
      <c r="C874" s="8"/>
    </row>
    <row r="875">
      <c r="A875" s="24"/>
      <c r="B875" s="25"/>
      <c r="C875" s="8"/>
    </row>
    <row r="876">
      <c r="A876" s="24"/>
      <c r="B876" s="25"/>
      <c r="C876" s="8"/>
    </row>
    <row r="877">
      <c r="A877" s="24"/>
      <c r="B877" s="25"/>
      <c r="C877" s="8"/>
    </row>
    <row r="878">
      <c r="A878" s="24"/>
      <c r="B878" s="25"/>
      <c r="C878" s="8"/>
    </row>
    <row r="879">
      <c r="A879" s="24"/>
      <c r="B879" s="25"/>
      <c r="C879" s="8"/>
    </row>
    <row r="880">
      <c r="A880" s="24"/>
      <c r="B880" s="25"/>
      <c r="C880" s="8"/>
    </row>
    <row r="881">
      <c r="A881" s="24"/>
      <c r="B881" s="25"/>
      <c r="C881" s="8"/>
    </row>
    <row r="882">
      <c r="A882" s="24"/>
      <c r="B882" s="25"/>
      <c r="C882" s="8"/>
    </row>
    <row r="883">
      <c r="A883" s="24"/>
      <c r="B883" s="25"/>
      <c r="C883" s="8"/>
    </row>
    <row r="884">
      <c r="A884" s="24"/>
      <c r="B884" s="25"/>
      <c r="C884" s="8"/>
    </row>
    <row r="885">
      <c r="A885" s="24"/>
      <c r="B885" s="25"/>
      <c r="C885" s="8"/>
    </row>
    <row r="886">
      <c r="A886" s="24"/>
      <c r="B886" s="25"/>
      <c r="C886" s="8"/>
    </row>
    <row r="887">
      <c r="A887" s="24"/>
      <c r="B887" s="25"/>
      <c r="C887" s="8"/>
    </row>
    <row r="888">
      <c r="A888" s="24"/>
      <c r="B888" s="25"/>
      <c r="C888" s="8"/>
    </row>
    <row r="889">
      <c r="A889" s="24"/>
      <c r="B889" s="25"/>
      <c r="C889" s="8"/>
    </row>
    <row r="890">
      <c r="A890" s="24"/>
      <c r="B890" s="25"/>
      <c r="C890" s="8"/>
    </row>
    <row r="891">
      <c r="A891" s="24"/>
      <c r="B891" s="25"/>
      <c r="C891" s="8"/>
    </row>
    <row r="892">
      <c r="A892" s="24"/>
      <c r="B892" s="25"/>
      <c r="C892" s="8"/>
    </row>
    <row r="893">
      <c r="A893" s="24"/>
      <c r="B893" s="25"/>
      <c r="C893" s="8"/>
    </row>
    <row r="894">
      <c r="A894" s="24"/>
      <c r="B894" s="25"/>
      <c r="C894" s="8"/>
    </row>
    <row r="895">
      <c r="A895" s="24"/>
      <c r="B895" s="25"/>
      <c r="C895" s="8"/>
    </row>
    <row r="896">
      <c r="A896" s="24"/>
      <c r="B896" s="25"/>
      <c r="C896" s="8"/>
    </row>
    <row r="897">
      <c r="A897" s="24"/>
      <c r="B897" s="25"/>
      <c r="C897" s="8"/>
    </row>
    <row r="898">
      <c r="A898" s="24"/>
      <c r="B898" s="25"/>
      <c r="C898" s="8"/>
    </row>
    <row r="899">
      <c r="A899" s="24"/>
      <c r="B899" s="25"/>
      <c r="C899" s="8"/>
    </row>
    <row r="900">
      <c r="A900" s="24"/>
      <c r="B900" s="25"/>
      <c r="C900" s="8"/>
    </row>
    <row r="901">
      <c r="A901" s="24"/>
      <c r="B901" s="25"/>
      <c r="C901" s="8"/>
    </row>
    <row r="902">
      <c r="A902" s="24"/>
      <c r="B902" s="25"/>
      <c r="C902" s="8"/>
    </row>
    <row r="903">
      <c r="A903" s="24"/>
      <c r="B903" s="25"/>
      <c r="C903" s="8"/>
    </row>
    <row r="904">
      <c r="A904" s="24"/>
      <c r="B904" s="25"/>
      <c r="C904" s="8"/>
    </row>
    <row r="905">
      <c r="A905" s="24"/>
      <c r="B905" s="25"/>
      <c r="C905" s="8"/>
    </row>
    <row r="906">
      <c r="A906" s="24"/>
      <c r="B906" s="25"/>
      <c r="C906" s="8"/>
    </row>
    <row r="907">
      <c r="A907" s="24"/>
      <c r="B907" s="25"/>
      <c r="C907" s="8"/>
    </row>
    <row r="908">
      <c r="A908" s="24"/>
      <c r="B908" s="25"/>
      <c r="C908" s="8"/>
    </row>
    <row r="909">
      <c r="A909" s="24"/>
      <c r="B909" s="25"/>
      <c r="C909" s="8"/>
    </row>
    <row r="910">
      <c r="A910" s="24"/>
      <c r="B910" s="25"/>
      <c r="C910" s="8"/>
    </row>
    <row r="911">
      <c r="A911" s="24"/>
      <c r="B911" s="25"/>
      <c r="C911" s="8"/>
    </row>
    <row r="912">
      <c r="A912" s="24"/>
      <c r="B912" s="25"/>
      <c r="C912" s="8"/>
    </row>
    <row r="913">
      <c r="A913" s="24"/>
      <c r="B913" s="25"/>
      <c r="C913" s="8"/>
    </row>
    <row r="914">
      <c r="A914" s="24"/>
      <c r="B914" s="25"/>
      <c r="C914" s="8"/>
    </row>
    <row r="915">
      <c r="A915" s="24"/>
      <c r="B915" s="25"/>
      <c r="C915" s="8"/>
    </row>
    <row r="916">
      <c r="A916" s="24"/>
      <c r="B916" s="25"/>
      <c r="C916" s="8"/>
    </row>
    <row r="917">
      <c r="A917" s="24"/>
      <c r="B917" s="25"/>
      <c r="C917" s="8"/>
    </row>
    <row r="918">
      <c r="A918" s="24"/>
      <c r="B918" s="25"/>
      <c r="C918" s="8"/>
    </row>
    <row r="919">
      <c r="A919" s="24"/>
      <c r="B919" s="25"/>
      <c r="C919" s="8"/>
    </row>
    <row r="920">
      <c r="A920" s="24"/>
      <c r="B920" s="25"/>
      <c r="C920" s="8"/>
    </row>
    <row r="921">
      <c r="A921" s="24"/>
      <c r="B921" s="25"/>
      <c r="C921" s="8"/>
    </row>
    <row r="922">
      <c r="A922" s="24"/>
      <c r="B922" s="25"/>
      <c r="C922" s="8"/>
    </row>
    <row r="923">
      <c r="A923" s="24"/>
      <c r="B923" s="25"/>
      <c r="C923" s="8"/>
    </row>
    <row r="924">
      <c r="A924" s="24"/>
      <c r="B924" s="25"/>
      <c r="C924" s="8"/>
    </row>
    <row r="925">
      <c r="A925" s="24"/>
      <c r="B925" s="25"/>
      <c r="C925" s="8"/>
    </row>
    <row r="926">
      <c r="A926" s="24"/>
      <c r="B926" s="25"/>
      <c r="C926" s="8"/>
    </row>
    <row r="927">
      <c r="A927" s="24"/>
      <c r="B927" s="25"/>
      <c r="C927" s="8"/>
    </row>
    <row r="928">
      <c r="A928" s="24"/>
      <c r="B928" s="25"/>
      <c r="C928" s="8"/>
    </row>
    <row r="929">
      <c r="A929" s="24"/>
      <c r="B929" s="25"/>
      <c r="C929" s="8"/>
    </row>
    <row r="930">
      <c r="A930" s="24"/>
      <c r="B930" s="25"/>
      <c r="C930" s="8"/>
    </row>
    <row r="931">
      <c r="A931" s="24"/>
      <c r="B931" s="25"/>
      <c r="C931" s="8"/>
    </row>
    <row r="932">
      <c r="A932" s="24"/>
      <c r="B932" s="25"/>
      <c r="C932" s="8"/>
    </row>
    <row r="933">
      <c r="A933" s="24"/>
      <c r="B933" s="25"/>
      <c r="C933" s="8"/>
    </row>
    <row r="934">
      <c r="A934" s="24"/>
      <c r="B934" s="25"/>
      <c r="C934" s="8"/>
    </row>
    <row r="935">
      <c r="A935" s="24"/>
      <c r="B935" s="25"/>
      <c r="C935" s="8"/>
    </row>
    <row r="936">
      <c r="A936" s="24"/>
      <c r="B936" s="25"/>
      <c r="C936" s="8"/>
    </row>
    <row r="937">
      <c r="A937" s="24"/>
      <c r="B937" s="25"/>
      <c r="C937" s="8"/>
    </row>
    <row r="938">
      <c r="A938" s="24"/>
      <c r="B938" s="25"/>
      <c r="C938" s="8"/>
    </row>
    <row r="939">
      <c r="A939" s="24"/>
      <c r="B939" s="25"/>
      <c r="C939" s="8"/>
    </row>
    <row r="940">
      <c r="A940" s="24"/>
      <c r="B940" s="25"/>
      <c r="C940" s="8"/>
    </row>
    <row r="941">
      <c r="A941" s="24"/>
      <c r="B941" s="25"/>
      <c r="C941" s="8"/>
    </row>
    <row r="942">
      <c r="A942" s="24"/>
      <c r="B942" s="25"/>
      <c r="C942" s="8"/>
    </row>
    <row r="943">
      <c r="A943" s="24"/>
      <c r="B943" s="25"/>
      <c r="C943" s="8"/>
    </row>
    <row r="944">
      <c r="A944" s="24"/>
      <c r="B944" s="25"/>
      <c r="C944" s="8"/>
    </row>
    <row r="945">
      <c r="A945" s="24"/>
      <c r="B945" s="25"/>
      <c r="C945" s="8"/>
    </row>
    <row r="946">
      <c r="A946" s="24"/>
      <c r="B946" s="25"/>
      <c r="C946" s="8"/>
    </row>
    <row r="947">
      <c r="A947" s="24"/>
      <c r="B947" s="25"/>
      <c r="C947" s="8"/>
    </row>
    <row r="948">
      <c r="A948" s="24"/>
      <c r="B948" s="25"/>
      <c r="C948" s="8"/>
    </row>
    <row r="949">
      <c r="A949" s="24"/>
      <c r="B949" s="25"/>
      <c r="C949" s="8"/>
    </row>
    <row r="950">
      <c r="A950" s="24"/>
      <c r="B950" s="25"/>
      <c r="C950" s="8"/>
    </row>
    <row r="951">
      <c r="A951" s="24"/>
      <c r="B951" s="25"/>
      <c r="C951" s="8"/>
    </row>
    <row r="952">
      <c r="A952" s="24"/>
      <c r="B952" s="25"/>
      <c r="C952" s="8"/>
    </row>
    <row r="953">
      <c r="A953" s="24"/>
      <c r="B953" s="25"/>
      <c r="C953" s="8"/>
    </row>
    <row r="954">
      <c r="A954" s="24"/>
      <c r="B954" s="25"/>
      <c r="C954" s="8"/>
    </row>
    <row r="955">
      <c r="A955" s="24"/>
      <c r="B955" s="25"/>
      <c r="C955" s="8"/>
    </row>
    <row r="956">
      <c r="A956" s="24"/>
      <c r="B956" s="25"/>
      <c r="C956" s="8"/>
    </row>
    <row r="957">
      <c r="A957" s="24"/>
      <c r="B957" s="25"/>
      <c r="C957" s="8"/>
    </row>
    <row r="958">
      <c r="A958" s="24"/>
      <c r="B958" s="25"/>
      <c r="C958" s="8"/>
    </row>
    <row r="959">
      <c r="A959" s="24"/>
      <c r="B959" s="25"/>
      <c r="C959" s="8"/>
    </row>
    <row r="960">
      <c r="A960" s="24"/>
      <c r="B960" s="25"/>
      <c r="C960" s="8"/>
    </row>
    <row r="961">
      <c r="A961" s="24"/>
      <c r="B961" s="25"/>
      <c r="C961" s="8"/>
    </row>
    <row r="962">
      <c r="A962" s="24"/>
      <c r="B962" s="25"/>
      <c r="C962" s="8"/>
    </row>
    <row r="963">
      <c r="A963" s="24"/>
      <c r="B963" s="25"/>
      <c r="C963" s="8"/>
    </row>
    <row r="964">
      <c r="A964" s="24"/>
      <c r="B964" s="25"/>
      <c r="C964" s="8"/>
    </row>
    <row r="965">
      <c r="A965" s="24"/>
      <c r="B965" s="25"/>
      <c r="C965" s="8"/>
    </row>
    <row r="966">
      <c r="A966" s="24"/>
      <c r="B966" s="25"/>
      <c r="C966" s="8"/>
    </row>
    <row r="967">
      <c r="A967" s="24"/>
      <c r="B967" s="25"/>
      <c r="C967" s="8"/>
    </row>
    <row r="968">
      <c r="A968" s="24"/>
      <c r="B968" s="25"/>
      <c r="C968" s="8"/>
    </row>
    <row r="969">
      <c r="A969" s="24"/>
      <c r="B969" s="25"/>
      <c r="C969" s="8"/>
    </row>
    <row r="970">
      <c r="A970" s="24"/>
      <c r="B970" s="25"/>
      <c r="C970" s="8"/>
    </row>
    <row r="971">
      <c r="A971" s="24"/>
      <c r="B971" s="25"/>
      <c r="C971" s="8"/>
    </row>
    <row r="972">
      <c r="A972" s="24"/>
      <c r="B972" s="25"/>
      <c r="C972" s="8"/>
    </row>
    <row r="973">
      <c r="A973" s="24"/>
      <c r="B973" s="25"/>
      <c r="C973" s="8"/>
    </row>
    <row r="974">
      <c r="A974" s="24"/>
      <c r="B974" s="25"/>
      <c r="C974" s="8"/>
    </row>
    <row r="975">
      <c r="A975" s="24"/>
      <c r="B975" s="25"/>
      <c r="C975" s="8"/>
    </row>
    <row r="976">
      <c r="A976" s="24"/>
      <c r="B976" s="25"/>
      <c r="C976" s="8"/>
    </row>
    <row r="977">
      <c r="A977" s="24"/>
      <c r="B977" s="25"/>
      <c r="C977" s="8"/>
    </row>
    <row r="978">
      <c r="A978" s="24"/>
      <c r="B978" s="25"/>
      <c r="C978" s="8"/>
    </row>
    <row r="979">
      <c r="A979" s="24"/>
      <c r="B979" s="25"/>
      <c r="C979" s="8"/>
    </row>
    <row r="980">
      <c r="A980" s="24"/>
      <c r="B980" s="25"/>
      <c r="C980" s="8"/>
    </row>
    <row r="981">
      <c r="A981" s="24"/>
      <c r="B981" s="25"/>
      <c r="C981" s="8"/>
    </row>
    <row r="982">
      <c r="A982" s="24"/>
      <c r="B982" s="25"/>
      <c r="C982" s="8"/>
    </row>
    <row r="983">
      <c r="A983" s="24"/>
      <c r="B983" s="25"/>
      <c r="C983" s="8"/>
    </row>
    <row r="984">
      <c r="A984" s="24"/>
      <c r="B984" s="25"/>
      <c r="C984" s="8"/>
    </row>
    <row r="985">
      <c r="A985" s="24"/>
      <c r="B985" s="25"/>
      <c r="C985" s="8"/>
    </row>
    <row r="986">
      <c r="A986" s="24"/>
      <c r="B986" s="25"/>
      <c r="C986" s="8"/>
    </row>
    <row r="987">
      <c r="A987" s="24"/>
      <c r="B987" s="25"/>
      <c r="C987" s="8"/>
    </row>
    <row r="988">
      <c r="A988" s="24"/>
      <c r="B988" s="25"/>
      <c r="C988" s="8"/>
    </row>
    <row r="989">
      <c r="A989" s="24"/>
      <c r="B989" s="25"/>
      <c r="C989" s="8"/>
    </row>
    <row r="990">
      <c r="A990" s="24"/>
      <c r="B990" s="25"/>
      <c r="C990" s="8"/>
    </row>
    <row r="991">
      <c r="A991" s="24"/>
      <c r="B991" s="25"/>
      <c r="C991" s="8"/>
    </row>
    <row r="992">
      <c r="A992" s="24"/>
      <c r="B992" s="25"/>
      <c r="C992" s="8"/>
    </row>
    <row r="993">
      <c r="A993" s="24"/>
      <c r="B993" s="25"/>
      <c r="C993" s="8"/>
    </row>
    <row r="994">
      <c r="A994" s="24"/>
      <c r="B994" s="25"/>
      <c r="C994" s="8"/>
    </row>
    <row r="995">
      <c r="A995" s="24"/>
      <c r="B995" s="25"/>
      <c r="C995" s="8"/>
    </row>
    <row r="996">
      <c r="A996" s="24"/>
      <c r="B996" s="25"/>
      <c r="C996" s="8"/>
    </row>
    <row r="997">
      <c r="A997" s="24"/>
      <c r="B997" s="25"/>
      <c r="C997" s="8"/>
    </row>
    <row r="998">
      <c r="A998" s="24"/>
      <c r="B998" s="25"/>
      <c r="C998" s="8"/>
    </row>
    <row r="999">
      <c r="A999" s="24"/>
      <c r="B999" s="25"/>
      <c r="C999" s="8"/>
    </row>
    <row r="1000">
      <c r="A1000" s="24"/>
      <c r="B1000" s="25"/>
      <c r="C1000" s="8"/>
    </row>
    <row r="1001">
      <c r="A1001" s="24"/>
      <c r="B1001" s="25"/>
      <c r="C1001" s="8"/>
    </row>
    <row r="1002">
      <c r="A1002" s="24"/>
      <c r="B1002" s="25"/>
      <c r="C1002" s="8"/>
    </row>
    <row r="1003">
      <c r="A1003" s="24"/>
      <c r="B1003" s="25"/>
      <c r="C1003" s="8"/>
    </row>
    <row r="1004">
      <c r="A1004" s="24"/>
      <c r="B1004" s="25"/>
      <c r="C1004" s="8"/>
    </row>
    <row r="1005">
      <c r="A1005" s="24"/>
      <c r="B1005" s="25"/>
      <c r="C1005" s="8"/>
    </row>
    <row r="1006">
      <c r="A1006" s="24"/>
      <c r="B1006" s="25"/>
      <c r="C1006" s="8"/>
    </row>
    <row r="1007">
      <c r="A1007" s="24"/>
      <c r="B1007" s="25"/>
      <c r="C1007" s="8"/>
    </row>
    <row r="1008">
      <c r="A1008" s="24"/>
      <c r="B1008" s="25"/>
      <c r="C1008" s="8"/>
    </row>
    <row r="1009">
      <c r="A1009" s="24"/>
      <c r="B1009" s="25"/>
      <c r="C1009" s="8"/>
    </row>
    <row r="1010">
      <c r="A1010" s="24"/>
      <c r="B1010" s="25"/>
      <c r="C1010" s="8"/>
    </row>
    <row r="1011">
      <c r="A1011" s="24"/>
      <c r="B1011" s="25"/>
      <c r="C1011" s="8"/>
    </row>
    <row r="1012">
      <c r="A1012" s="24"/>
      <c r="B1012" s="25"/>
      <c r="C1012" s="8"/>
    </row>
    <row r="1013">
      <c r="A1013" s="24"/>
      <c r="B1013" s="25"/>
      <c r="C1013" s="8"/>
    </row>
    <row r="1014">
      <c r="A1014" s="24"/>
      <c r="B1014" s="25"/>
      <c r="C1014" s="8"/>
    </row>
    <row r="1015">
      <c r="A1015" s="24"/>
      <c r="B1015" s="25"/>
      <c r="C1015" s="8"/>
    </row>
    <row r="1016">
      <c r="A1016" s="24"/>
      <c r="B1016" s="25"/>
      <c r="C1016" s="8"/>
    </row>
    <row r="1017">
      <c r="A1017" s="24"/>
      <c r="B1017" s="25"/>
      <c r="C1017" s="8"/>
    </row>
    <row r="1018">
      <c r="A1018" s="24"/>
      <c r="B1018" s="25"/>
      <c r="C1018" s="8"/>
    </row>
    <row r="1019">
      <c r="A1019" s="24"/>
      <c r="B1019" s="25"/>
      <c r="C1019" s="8"/>
    </row>
    <row r="1020">
      <c r="A1020" s="24"/>
      <c r="B1020" s="25"/>
      <c r="C1020" s="8"/>
    </row>
    <row r="1021">
      <c r="A1021" s="24"/>
      <c r="B1021" s="25"/>
      <c r="C1021" s="8"/>
    </row>
    <row r="1022">
      <c r="A1022" s="24"/>
      <c r="B1022" s="25"/>
      <c r="C1022" s="8"/>
    </row>
    <row r="1023">
      <c r="A1023" s="24"/>
      <c r="B1023" s="25"/>
      <c r="C1023" s="8"/>
    </row>
    <row r="1024">
      <c r="A1024" s="24"/>
      <c r="B1024" s="25"/>
      <c r="C1024" s="8"/>
    </row>
    <row r="1025">
      <c r="A1025" s="24"/>
      <c r="B1025" s="25"/>
      <c r="C1025" s="8"/>
    </row>
    <row r="1026">
      <c r="A1026" s="24"/>
      <c r="B1026" s="25"/>
      <c r="C1026" s="8"/>
    </row>
    <row r="1027">
      <c r="A1027" s="24"/>
      <c r="B1027" s="25"/>
      <c r="C1027" s="8"/>
    </row>
    <row r="1028">
      <c r="A1028" s="24"/>
      <c r="B1028" s="25"/>
      <c r="C1028" s="8"/>
    </row>
    <row r="1029">
      <c r="A1029" s="24"/>
      <c r="B1029" s="25"/>
      <c r="C1029" s="8"/>
    </row>
    <row r="1030">
      <c r="A1030" s="24"/>
      <c r="B1030" s="25"/>
      <c r="C1030" s="8"/>
    </row>
    <row r="1031">
      <c r="A1031" s="24"/>
      <c r="B1031" s="25"/>
      <c r="C1031" s="8"/>
    </row>
    <row r="1032">
      <c r="A1032" s="24"/>
      <c r="B1032" s="25"/>
      <c r="C1032" s="8"/>
    </row>
    <row r="1033">
      <c r="A1033" s="24"/>
      <c r="B1033" s="25"/>
      <c r="C1033" s="8"/>
    </row>
    <row r="1034">
      <c r="A1034" s="24"/>
      <c r="B1034" s="25"/>
      <c r="C1034" s="8"/>
    </row>
    <row r="1035">
      <c r="A1035" s="24"/>
      <c r="B1035" s="25"/>
      <c r="C1035" s="8"/>
    </row>
    <row r="1036">
      <c r="A1036" s="24"/>
      <c r="B1036" s="25"/>
      <c r="C1036" s="8"/>
    </row>
    <row r="1037">
      <c r="A1037" s="24"/>
      <c r="B1037" s="25"/>
      <c r="C1037" s="8"/>
    </row>
    <row r="1038">
      <c r="A1038" s="24"/>
      <c r="B1038" s="25"/>
      <c r="C1038" s="8"/>
    </row>
    <row r="1039">
      <c r="A1039" s="24"/>
      <c r="B1039" s="25"/>
      <c r="C1039" s="8"/>
    </row>
    <row r="1040">
      <c r="A1040" s="24"/>
      <c r="B1040" s="25"/>
      <c r="C1040" s="8"/>
    </row>
    <row r="1041">
      <c r="A1041" s="24"/>
      <c r="B1041" s="25"/>
      <c r="C1041" s="8"/>
    </row>
    <row r="1042">
      <c r="A1042" s="24"/>
      <c r="B1042" s="25"/>
      <c r="C1042" s="8"/>
    </row>
    <row r="1043">
      <c r="A1043" s="24"/>
      <c r="B1043" s="25"/>
      <c r="C1043" s="8"/>
    </row>
    <row r="1044">
      <c r="A1044" s="24"/>
      <c r="B1044" s="25"/>
      <c r="C1044" s="8"/>
    </row>
    <row r="1045">
      <c r="A1045" s="24"/>
      <c r="B1045" s="25"/>
      <c r="C1045" s="8"/>
    </row>
    <row r="1046">
      <c r="A1046" s="24"/>
      <c r="B1046" s="25"/>
      <c r="C1046" s="8"/>
    </row>
    <row r="1047">
      <c r="A1047" s="24"/>
      <c r="B1047" s="25"/>
      <c r="C1047" s="8"/>
    </row>
    <row r="1048">
      <c r="A1048" s="24"/>
      <c r="B1048" s="25"/>
      <c r="C1048" s="8"/>
    </row>
    <row r="1049">
      <c r="A1049" s="24"/>
      <c r="B1049" s="25"/>
      <c r="C1049" s="8"/>
    </row>
    <row r="1050">
      <c r="A1050" s="24"/>
      <c r="B1050" s="25"/>
      <c r="C1050" s="8"/>
    </row>
    <row r="1051">
      <c r="A1051" s="24"/>
      <c r="B1051" s="25"/>
      <c r="C1051" s="8"/>
    </row>
    <row r="1052">
      <c r="A1052" s="24"/>
      <c r="B1052" s="25"/>
      <c r="C1052" s="8"/>
    </row>
    <row r="1053">
      <c r="A1053" s="24"/>
      <c r="B1053" s="25"/>
      <c r="C1053" s="8"/>
    </row>
    <row r="1054">
      <c r="A1054" s="24"/>
      <c r="B1054" s="25"/>
      <c r="C1054" s="8"/>
    </row>
    <row r="1055">
      <c r="A1055" s="24"/>
      <c r="B1055" s="25"/>
      <c r="C1055" s="8"/>
    </row>
    <row r="1056">
      <c r="A1056" s="24"/>
      <c r="B1056" s="25"/>
      <c r="C1056" s="8"/>
    </row>
    <row r="1057">
      <c r="A1057" s="24"/>
      <c r="B1057" s="25"/>
      <c r="C1057" s="8"/>
    </row>
    <row r="1058">
      <c r="A1058" s="24"/>
      <c r="B1058" s="25"/>
      <c r="C1058" s="8"/>
    </row>
    <row r="1059">
      <c r="A1059" s="24"/>
      <c r="B1059" s="25"/>
      <c r="C1059" s="8"/>
    </row>
    <row r="1060">
      <c r="A1060" s="24"/>
      <c r="B1060" s="25"/>
      <c r="C1060" s="8"/>
    </row>
    <row r="1061">
      <c r="A1061" s="24"/>
      <c r="B1061" s="25"/>
      <c r="C1061" s="8"/>
    </row>
    <row r="1062">
      <c r="A1062" s="24"/>
      <c r="B1062" s="25"/>
      <c r="C1062" s="8"/>
    </row>
    <row r="1063">
      <c r="A1063" s="24"/>
      <c r="B1063" s="25"/>
      <c r="C1063" s="8"/>
    </row>
    <row r="1064">
      <c r="A1064" s="24"/>
      <c r="B1064" s="25"/>
      <c r="C1064" s="8"/>
    </row>
    <row r="1065">
      <c r="A1065" s="24"/>
      <c r="B1065" s="25"/>
      <c r="C1065" s="8"/>
    </row>
    <row r="1066">
      <c r="A1066" s="24"/>
      <c r="B1066" s="25"/>
      <c r="C1066" s="8"/>
    </row>
    <row r="1067">
      <c r="A1067" s="24"/>
      <c r="B1067" s="25"/>
      <c r="C1067" s="8"/>
    </row>
    <row r="1068">
      <c r="A1068" s="24"/>
      <c r="B1068" s="25"/>
      <c r="C1068" s="8"/>
    </row>
    <row r="1069">
      <c r="A1069" s="24"/>
      <c r="B1069" s="25"/>
      <c r="C1069" s="8"/>
    </row>
    <row r="1070">
      <c r="A1070" s="24"/>
      <c r="B1070" s="25"/>
      <c r="C1070" s="8"/>
    </row>
    <row r="1071">
      <c r="A1071" s="24"/>
      <c r="B1071" s="25"/>
      <c r="C1071" s="8"/>
    </row>
    <row r="1072">
      <c r="A1072" s="24"/>
      <c r="B1072" s="25"/>
      <c r="C1072" s="8"/>
    </row>
    <row r="1073">
      <c r="A1073" s="24"/>
      <c r="B1073" s="25"/>
      <c r="C1073" s="8"/>
    </row>
    <row r="1074">
      <c r="A1074" s="24"/>
      <c r="B1074" s="25"/>
      <c r="C1074" s="8"/>
    </row>
    <row r="1075">
      <c r="A1075" s="24"/>
      <c r="B1075" s="25"/>
      <c r="C1075" s="8"/>
    </row>
    <row r="1076">
      <c r="A1076" s="24"/>
      <c r="B1076" s="25"/>
      <c r="C1076" s="8"/>
    </row>
    <row r="1077">
      <c r="A1077" s="24"/>
      <c r="B1077" s="25"/>
      <c r="C1077" s="8"/>
    </row>
    <row r="1078">
      <c r="A1078" s="24"/>
      <c r="B1078" s="25"/>
      <c r="C1078" s="8"/>
    </row>
    <row r="1079">
      <c r="A1079" s="24"/>
      <c r="B1079" s="25"/>
      <c r="C1079" s="8"/>
    </row>
    <row r="1080">
      <c r="A1080" s="24"/>
      <c r="B1080" s="25"/>
      <c r="C1080" s="8"/>
    </row>
    <row r="1081">
      <c r="A1081" s="24"/>
      <c r="B1081" s="25"/>
      <c r="C1081" s="8"/>
    </row>
    <row r="1082">
      <c r="A1082" s="24"/>
      <c r="B1082" s="25"/>
      <c r="C1082" s="8"/>
    </row>
    <row r="1083">
      <c r="A1083" s="24"/>
      <c r="B1083" s="25"/>
      <c r="C1083" s="8"/>
    </row>
    <row r="1084">
      <c r="A1084" s="24"/>
      <c r="B1084" s="25"/>
      <c r="C1084" s="8"/>
    </row>
    <row r="1085">
      <c r="A1085" s="24"/>
      <c r="B1085" s="25"/>
      <c r="C1085" s="8"/>
    </row>
    <row r="1086">
      <c r="A1086" s="24"/>
      <c r="B1086" s="25"/>
      <c r="C1086" s="8"/>
    </row>
    <row r="1087">
      <c r="A1087" s="24"/>
      <c r="B1087" s="25"/>
      <c r="C1087" s="8"/>
    </row>
    <row r="1088">
      <c r="A1088" s="24"/>
      <c r="B1088" s="25"/>
      <c r="C1088" s="8"/>
    </row>
    <row r="1089">
      <c r="A1089" s="24"/>
      <c r="B1089" s="25"/>
      <c r="C1089" s="8"/>
    </row>
    <row r="1090">
      <c r="A1090" s="24"/>
      <c r="B1090" s="25"/>
      <c r="C1090" s="8"/>
    </row>
    <row r="1091">
      <c r="A1091" s="24"/>
      <c r="B1091" s="25"/>
      <c r="C1091" s="8"/>
    </row>
    <row r="1092">
      <c r="A1092" s="24"/>
      <c r="B1092" s="25"/>
      <c r="C1092" s="8"/>
    </row>
    <row r="1093">
      <c r="A1093" s="24"/>
      <c r="B1093" s="25"/>
      <c r="C1093" s="8"/>
    </row>
    <row r="1094">
      <c r="A1094" s="24"/>
      <c r="B1094" s="25"/>
      <c r="C1094" s="8"/>
    </row>
    <row r="1095">
      <c r="A1095" s="24"/>
      <c r="B1095" s="25"/>
      <c r="C1095" s="8"/>
    </row>
    <row r="1096">
      <c r="A1096" s="24"/>
      <c r="B1096" s="25"/>
      <c r="C1096" s="8"/>
    </row>
    <row r="1097">
      <c r="A1097" s="24"/>
      <c r="B1097" s="25"/>
      <c r="C1097" s="8"/>
    </row>
    <row r="1098">
      <c r="A1098" s="24"/>
      <c r="B1098" s="25"/>
      <c r="C1098" s="8"/>
    </row>
    <row r="1099">
      <c r="A1099" s="24"/>
      <c r="B1099" s="25"/>
      <c r="C1099" s="8"/>
    </row>
    <row r="1100">
      <c r="A1100" s="24"/>
      <c r="B1100" s="25"/>
      <c r="C1100" s="8"/>
    </row>
    <row r="1101">
      <c r="A1101" s="24"/>
      <c r="B1101" s="25"/>
      <c r="C1101" s="8"/>
    </row>
    <row r="1102">
      <c r="A1102" s="24"/>
      <c r="B1102" s="25"/>
      <c r="C1102" s="8"/>
    </row>
    <row r="1103">
      <c r="A1103" s="24"/>
      <c r="B1103" s="25"/>
      <c r="C1103" s="8"/>
    </row>
    <row r="1104">
      <c r="A1104" s="24"/>
      <c r="B1104" s="25"/>
      <c r="C1104" s="8"/>
    </row>
    <row r="1105">
      <c r="A1105" s="24"/>
      <c r="B1105" s="25"/>
      <c r="C1105" s="8"/>
    </row>
    <row r="1106">
      <c r="A1106" s="24"/>
      <c r="B1106" s="25"/>
      <c r="C1106" s="8"/>
    </row>
    <row r="1107">
      <c r="A1107" s="24"/>
      <c r="B1107" s="25"/>
      <c r="C1107" s="8"/>
    </row>
    <row r="1108">
      <c r="A1108" s="24"/>
      <c r="B1108" s="25"/>
      <c r="C1108" s="8"/>
    </row>
    <row r="1109">
      <c r="A1109" s="24"/>
      <c r="B1109" s="25"/>
      <c r="C1109" s="8"/>
    </row>
    <row r="1110">
      <c r="A1110" s="24"/>
      <c r="B1110" s="25"/>
      <c r="C1110" s="8"/>
    </row>
    <row r="1111">
      <c r="A1111" s="24"/>
      <c r="B1111" s="25"/>
      <c r="C1111" s="8"/>
    </row>
    <row r="1112">
      <c r="A1112" s="24"/>
      <c r="B1112" s="25"/>
      <c r="C1112" s="8"/>
    </row>
    <row r="1113">
      <c r="A1113" s="24"/>
      <c r="B1113" s="25"/>
      <c r="C1113" s="8"/>
    </row>
    <row r="1114">
      <c r="A1114" s="24"/>
      <c r="B1114" s="25"/>
      <c r="C1114" s="8"/>
    </row>
    <row r="1115">
      <c r="A1115" s="24"/>
      <c r="B1115" s="25"/>
      <c r="C1115" s="8"/>
    </row>
    <row r="1116">
      <c r="A1116" s="24"/>
      <c r="B1116" s="25"/>
      <c r="C1116" s="8"/>
    </row>
    <row r="1117">
      <c r="A1117" s="24"/>
      <c r="B1117" s="25"/>
      <c r="C1117" s="8"/>
    </row>
    <row r="1118">
      <c r="A1118" s="24"/>
      <c r="B1118" s="25"/>
      <c r="C1118" s="8"/>
    </row>
    <row r="1119">
      <c r="A1119" s="24"/>
      <c r="B1119" s="25"/>
      <c r="C1119" s="8"/>
    </row>
    <row r="1120">
      <c r="A1120" s="24"/>
      <c r="B1120" s="25"/>
      <c r="C1120" s="8"/>
    </row>
    <row r="1121">
      <c r="A1121" s="24"/>
      <c r="B1121" s="25"/>
      <c r="C1121" s="8"/>
    </row>
    <row r="1122">
      <c r="A1122" s="24"/>
      <c r="B1122" s="25"/>
      <c r="C1122" s="8"/>
    </row>
    <row r="1123">
      <c r="A1123" s="24"/>
      <c r="B1123" s="25"/>
      <c r="C1123" s="8"/>
    </row>
    <row r="1124">
      <c r="A1124" s="24"/>
      <c r="B1124" s="25"/>
      <c r="C1124" s="8"/>
    </row>
    <row r="1125">
      <c r="A1125" s="24"/>
      <c r="B1125" s="25"/>
      <c r="C1125" s="8"/>
    </row>
    <row r="1126">
      <c r="A1126" s="24"/>
      <c r="B1126" s="25"/>
      <c r="C1126" s="8"/>
    </row>
    <row r="1127">
      <c r="A1127" s="24"/>
      <c r="B1127" s="25"/>
      <c r="C1127" s="8"/>
    </row>
    <row r="1128">
      <c r="A1128" s="24"/>
      <c r="B1128" s="25"/>
      <c r="C1128" s="8"/>
    </row>
    <row r="1129">
      <c r="A1129" s="24"/>
      <c r="B1129" s="25"/>
      <c r="C1129" s="8"/>
    </row>
    <row r="1130">
      <c r="A1130" s="24"/>
      <c r="B1130" s="25"/>
      <c r="C1130" s="8"/>
    </row>
    <row r="1131">
      <c r="A1131" s="24"/>
      <c r="B1131" s="25"/>
      <c r="C1131" s="8"/>
    </row>
    <row r="1132">
      <c r="A1132" s="24"/>
      <c r="B1132" s="25"/>
      <c r="C1132" s="8"/>
    </row>
    <row r="1133">
      <c r="A1133" s="24"/>
      <c r="B1133" s="25"/>
      <c r="C1133" s="8"/>
    </row>
    <row r="1134">
      <c r="A1134" s="24"/>
      <c r="B1134" s="25"/>
      <c r="C1134" s="8"/>
    </row>
    <row r="1135">
      <c r="A1135" s="24"/>
      <c r="B1135" s="25"/>
      <c r="C1135" s="8"/>
    </row>
    <row r="1136">
      <c r="A1136" s="24"/>
      <c r="B1136" s="25"/>
      <c r="C1136" s="8"/>
    </row>
    <row r="1137">
      <c r="A1137" s="24"/>
      <c r="B1137" s="25"/>
      <c r="C1137" s="8"/>
    </row>
    <row r="1138">
      <c r="A1138" s="24"/>
      <c r="B1138" s="25"/>
      <c r="C1138" s="8"/>
    </row>
    <row r="1139">
      <c r="A1139" s="24"/>
      <c r="B1139" s="25"/>
      <c r="C1139" s="8"/>
    </row>
    <row r="1140">
      <c r="A1140" s="24"/>
      <c r="B1140" s="25"/>
      <c r="C1140" s="8"/>
    </row>
    <row r="1141">
      <c r="A1141" s="24"/>
      <c r="B1141" s="25"/>
      <c r="C1141" s="8"/>
    </row>
    <row r="1142">
      <c r="A1142" s="24"/>
      <c r="B1142" s="25"/>
      <c r="C1142" s="8"/>
    </row>
    <row r="1143">
      <c r="A1143" s="24"/>
      <c r="B1143" s="25"/>
      <c r="C1143" s="8"/>
    </row>
    <row r="1144">
      <c r="A1144" s="24"/>
      <c r="B1144" s="25"/>
      <c r="C1144" s="8"/>
    </row>
    <row r="1145">
      <c r="A1145" s="24"/>
      <c r="B1145" s="25"/>
      <c r="C1145" s="8"/>
    </row>
    <row r="1146">
      <c r="A1146" s="24"/>
      <c r="B1146" s="25"/>
      <c r="C1146" s="8"/>
    </row>
    <row r="1147">
      <c r="A1147" s="24"/>
      <c r="B1147" s="25"/>
      <c r="C1147" s="8"/>
    </row>
    <row r="1148">
      <c r="A1148" s="24"/>
      <c r="B1148" s="25"/>
      <c r="C1148" s="8"/>
    </row>
    <row r="1149">
      <c r="A1149" s="24"/>
      <c r="B1149" s="25"/>
      <c r="C1149" s="8"/>
    </row>
    <row r="1150">
      <c r="A1150" s="24"/>
      <c r="B1150" s="25"/>
      <c r="C1150" s="8"/>
    </row>
    <row r="1151">
      <c r="A1151" s="24"/>
      <c r="B1151" s="25"/>
      <c r="C1151" s="8"/>
    </row>
    <row r="1152">
      <c r="A1152" s="24"/>
      <c r="B1152" s="25"/>
      <c r="C1152" s="8"/>
    </row>
    <row r="1153">
      <c r="A1153" s="24"/>
      <c r="B1153" s="25"/>
      <c r="C1153" s="8"/>
    </row>
    <row r="1154">
      <c r="A1154" s="24"/>
      <c r="B1154" s="25"/>
      <c r="C1154" s="8"/>
    </row>
    <row r="1155">
      <c r="A1155" s="24"/>
      <c r="B1155" s="25"/>
      <c r="C1155" s="8"/>
    </row>
    <row r="1156">
      <c r="A1156" s="24"/>
      <c r="B1156" s="25"/>
      <c r="C1156" s="8"/>
    </row>
    <row r="1157">
      <c r="A1157" s="24"/>
      <c r="B1157" s="25"/>
      <c r="C1157" s="8"/>
    </row>
    <row r="1158">
      <c r="A1158" s="24"/>
      <c r="B1158" s="25"/>
      <c r="C1158" s="8"/>
    </row>
    <row r="1159">
      <c r="A1159" s="24"/>
      <c r="B1159" s="25"/>
      <c r="C1159" s="8"/>
    </row>
    <row r="1160">
      <c r="A1160" s="24"/>
      <c r="B1160" s="25"/>
      <c r="C1160" s="8"/>
    </row>
    <row r="1161">
      <c r="A1161" s="24"/>
      <c r="B1161" s="25"/>
      <c r="C1161" s="8"/>
    </row>
    <row r="1162">
      <c r="A1162" s="24"/>
      <c r="B1162" s="25"/>
      <c r="C1162" s="8"/>
    </row>
    <row r="1163">
      <c r="A1163" s="24"/>
      <c r="B1163" s="25"/>
      <c r="C1163" s="8"/>
    </row>
    <row r="1164">
      <c r="A1164" s="24"/>
      <c r="B1164" s="25"/>
      <c r="C1164" s="8"/>
    </row>
    <row r="1165">
      <c r="A1165" s="24"/>
      <c r="B1165" s="25"/>
      <c r="C1165" s="8"/>
    </row>
    <row r="1166">
      <c r="A1166" s="24"/>
      <c r="B1166" s="25"/>
      <c r="C1166" s="8"/>
    </row>
    <row r="1167">
      <c r="A1167" s="24"/>
      <c r="B1167" s="25"/>
      <c r="C1167" s="8"/>
    </row>
    <row r="1168">
      <c r="A1168" s="24"/>
      <c r="B1168" s="25"/>
      <c r="C1168" s="8"/>
    </row>
    <row r="1169">
      <c r="A1169" s="24"/>
      <c r="B1169" s="25"/>
      <c r="C1169" s="8"/>
    </row>
    <row r="1170">
      <c r="A1170" s="24"/>
      <c r="B1170" s="25"/>
      <c r="C1170" s="8"/>
    </row>
    <row r="1171">
      <c r="A1171" s="24"/>
      <c r="B1171" s="25"/>
      <c r="C1171" s="8"/>
    </row>
    <row r="1172">
      <c r="A1172" s="24"/>
      <c r="B1172" s="25"/>
      <c r="C1172" s="8"/>
    </row>
    <row r="1173">
      <c r="A1173" s="24"/>
      <c r="B1173" s="25"/>
      <c r="C1173" s="8"/>
    </row>
    <row r="1174">
      <c r="A1174" s="24"/>
      <c r="B1174" s="25"/>
      <c r="C1174" s="8"/>
    </row>
    <row r="1175">
      <c r="A1175" s="24"/>
      <c r="B1175" s="25"/>
      <c r="C1175" s="8"/>
    </row>
    <row r="1176">
      <c r="A1176" s="24"/>
      <c r="B1176" s="25"/>
      <c r="C1176" s="8"/>
    </row>
    <row r="1177">
      <c r="A1177" s="24"/>
      <c r="B1177" s="25"/>
      <c r="C1177" s="8"/>
    </row>
    <row r="1178">
      <c r="A1178" s="24"/>
      <c r="B1178" s="25"/>
      <c r="C1178" s="8"/>
    </row>
    <row r="1179">
      <c r="A1179" s="24"/>
      <c r="B1179" s="25"/>
      <c r="C1179" s="8"/>
    </row>
    <row r="1180">
      <c r="A1180" s="24"/>
      <c r="B1180" s="25"/>
      <c r="C1180" s="8"/>
    </row>
    <row r="1181">
      <c r="A1181" s="24"/>
      <c r="B1181" s="25"/>
      <c r="C1181" s="8"/>
    </row>
    <row r="1182">
      <c r="A1182" s="24"/>
      <c r="B1182" s="25"/>
      <c r="C1182" s="8"/>
    </row>
    <row r="1183">
      <c r="A1183" s="24"/>
      <c r="B1183" s="25"/>
      <c r="C1183" s="8"/>
    </row>
    <row r="1184">
      <c r="A1184" s="24"/>
      <c r="B1184" s="25"/>
      <c r="C1184" s="8"/>
    </row>
    <row r="1185">
      <c r="A1185" s="24"/>
      <c r="B1185" s="25"/>
      <c r="C1185" s="8"/>
    </row>
    <row r="1186">
      <c r="A1186" s="24"/>
      <c r="B1186" s="25"/>
      <c r="C1186" s="8"/>
    </row>
    <row r="1187">
      <c r="A1187" s="24"/>
      <c r="B1187" s="25"/>
      <c r="C1187" s="8"/>
    </row>
    <row r="1188">
      <c r="A1188" s="24"/>
      <c r="B1188" s="25"/>
      <c r="C1188" s="8"/>
    </row>
    <row r="1189">
      <c r="A1189" s="24"/>
      <c r="B1189" s="25"/>
      <c r="C1189" s="8"/>
    </row>
    <row r="1190">
      <c r="A1190" s="24"/>
      <c r="B1190" s="25"/>
      <c r="C1190" s="8"/>
    </row>
    <row r="1191">
      <c r="A1191" s="24"/>
      <c r="B1191" s="25"/>
      <c r="C1191" s="8"/>
    </row>
    <row r="1192">
      <c r="A1192" s="24"/>
      <c r="B1192" s="25"/>
      <c r="C1192" s="8"/>
    </row>
    <row r="1193">
      <c r="A1193" s="24"/>
      <c r="B1193" s="25"/>
      <c r="C1193" s="8"/>
    </row>
    <row r="1194">
      <c r="A1194" s="24"/>
      <c r="B1194" s="25"/>
      <c r="C1194" s="8"/>
    </row>
    <row r="1195">
      <c r="A1195" s="24"/>
      <c r="B1195" s="25"/>
      <c r="C1195" s="8"/>
    </row>
    <row r="1196">
      <c r="A1196" s="24"/>
      <c r="B1196" s="25"/>
      <c r="C1196" s="8"/>
    </row>
    <row r="1197">
      <c r="A1197" s="24"/>
      <c r="B1197" s="25"/>
      <c r="C1197" s="8"/>
    </row>
    <row r="1198">
      <c r="A1198" s="24"/>
      <c r="B1198" s="25"/>
      <c r="C1198" s="8"/>
    </row>
    <row r="1199">
      <c r="A1199" s="24"/>
      <c r="B1199" s="25"/>
      <c r="C1199" s="8"/>
    </row>
    <row r="1200">
      <c r="A1200" s="24"/>
      <c r="B1200" s="25"/>
      <c r="C1200" s="8"/>
    </row>
    <row r="1201">
      <c r="A1201" s="24"/>
      <c r="B1201" s="25"/>
      <c r="C1201" s="8"/>
    </row>
    <row r="1202">
      <c r="A1202" s="24"/>
      <c r="B1202" s="25"/>
      <c r="C1202" s="8"/>
    </row>
    <row r="1203">
      <c r="A1203" s="24"/>
      <c r="B1203" s="25"/>
      <c r="C1203" s="8"/>
    </row>
    <row r="1204">
      <c r="A1204" s="24"/>
      <c r="B1204" s="25"/>
      <c r="C1204" s="8"/>
    </row>
    <row r="1205">
      <c r="A1205" s="24"/>
      <c r="B1205" s="25"/>
      <c r="C1205" s="8"/>
    </row>
    <row r="1206">
      <c r="A1206" s="24"/>
      <c r="B1206" s="25"/>
      <c r="C1206" s="8"/>
    </row>
    <row r="1207">
      <c r="A1207" s="24"/>
      <c r="B1207" s="25"/>
      <c r="C1207" s="8"/>
    </row>
    <row r="1208">
      <c r="A1208" s="24"/>
      <c r="B1208" s="25"/>
      <c r="C1208" s="8"/>
    </row>
    <row r="1209">
      <c r="A1209" s="24"/>
      <c r="B1209" s="25"/>
      <c r="C1209" s="8"/>
    </row>
    <row r="1210">
      <c r="A1210" s="24"/>
      <c r="B1210" s="25"/>
      <c r="C1210" s="8"/>
    </row>
    <row r="1211">
      <c r="A1211" s="24"/>
      <c r="B1211" s="25"/>
      <c r="C1211" s="8"/>
    </row>
    <row r="1212">
      <c r="A1212" s="24"/>
      <c r="B1212" s="25"/>
      <c r="C1212" s="8"/>
    </row>
    <row r="1213">
      <c r="A1213" s="24"/>
      <c r="B1213" s="25"/>
      <c r="C1213" s="8"/>
    </row>
    <row r="1214">
      <c r="A1214" s="24"/>
      <c r="B1214" s="25"/>
      <c r="C1214" s="8"/>
    </row>
    <row r="1215">
      <c r="A1215" s="24"/>
      <c r="B1215" s="25"/>
      <c r="C1215" s="8"/>
    </row>
    <row r="1216">
      <c r="A1216" s="24"/>
      <c r="B1216" s="25"/>
      <c r="C1216" s="8"/>
    </row>
    <row r="1217">
      <c r="A1217" s="24"/>
      <c r="B1217" s="25"/>
      <c r="C1217" s="8"/>
    </row>
    <row r="1218">
      <c r="A1218" s="24"/>
      <c r="B1218" s="25"/>
      <c r="C1218" s="8"/>
    </row>
    <row r="1219">
      <c r="A1219" s="24"/>
      <c r="B1219" s="25"/>
      <c r="C1219" s="8"/>
    </row>
    <row r="1220">
      <c r="A1220" s="24"/>
      <c r="B1220" s="25"/>
      <c r="C1220" s="8"/>
    </row>
    <row r="1221">
      <c r="A1221" s="24"/>
      <c r="B1221" s="25"/>
      <c r="C1221" s="8"/>
    </row>
    <row r="1222">
      <c r="A1222" s="24"/>
      <c r="B1222" s="25"/>
      <c r="C1222" s="8"/>
    </row>
    <row r="1223">
      <c r="A1223" s="24"/>
      <c r="B1223" s="25"/>
      <c r="C1223" s="8"/>
    </row>
    <row r="1224">
      <c r="A1224" s="24"/>
      <c r="B1224" s="25"/>
      <c r="C1224" s="8"/>
    </row>
    <row r="1225">
      <c r="A1225" s="24"/>
      <c r="B1225" s="25"/>
      <c r="C1225" s="8"/>
    </row>
    <row r="1226">
      <c r="A1226" s="24"/>
      <c r="B1226" s="25"/>
      <c r="C1226" s="8"/>
    </row>
    <row r="1227">
      <c r="A1227" s="24"/>
      <c r="B1227" s="25"/>
      <c r="C1227" s="8"/>
    </row>
    <row r="1228">
      <c r="A1228" s="24"/>
      <c r="B1228" s="25"/>
      <c r="C1228" s="8"/>
    </row>
    <row r="1229">
      <c r="A1229" s="24"/>
      <c r="B1229" s="25"/>
      <c r="C1229" s="8"/>
    </row>
    <row r="1230">
      <c r="A1230" s="24"/>
      <c r="B1230" s="25"/>
      <c r="C1230" s="8"/>
    </row>
    <row r="1231">
      <c r="A1231" s="24"/>
      <c r="B1231" s="25"/>
      <c r="C1231" s="8"/>
    </row>
    <row r="1232">
      <c r="A1232" s="24"/>
      <c r="B1232" s="25"/>
      <c r="C1232" s="8"/>
    </row>
    <row r="1233">
      <c r="A1233" s="24"/>
      <c r="B1233" s="25"/>
      <c r="C1233" s="8"/>
    </row>
    <row r="1234">
      <c r="A1234" s="24"/>
      <c r="B1234" s="25"/>
      <c r="C1234" s="8"/>
    </row>
    <row r="1235">
      <c r="A1235" s="24"/>
      <c r="B1235" s="25"/>
      <c r="C1235" s="8"/>
    </row>
    <row r="1236">
      <c r="A1236" s="24"/>
      <c r="B1236" s="25"/>
      <c r="C1236" s="8"/>
    </row>
    <row r="1237">
      <c r="A1237" s="24"/>
      <c r="B1237" s="25"/>
      <c r="C1237" s="8"/>
    </row>
    <row r="1238">
      <c r="A1238" s="24"/>
      <c r="B1238" s="25"/>
      <c r="C1238" s="8"/>
    </row>
    <row r="1239">
      <c r="A1239" s="24"/>
      <c r="B1239" s="25"/>
      <c r="C1239" s="8"/>
    </row>
    <row r="1240">
      <c r="A1240" s="24"/>
      <c r="B1240" s="25"/>
      <c r="C1240" s="8"/>
    </row>
    <row r="1241">
      <c r="A1241" s="24"/>
      <c r="B1241" s="25"/>
      <c r="C1241" s="8"/>
    </row>
    <row r="1242">
      <c r="A1242" s="24"/>
      <c r="B1242" s="25"/>
      <c r="C1242" s="8"/>
    </row>
    <row r="1243">
      <c r="A1243" s="24"/>
      <c r="B1243" s="25"/>
      <c r="C1243" s="8"/>
    </row>
    <row r="1244">
      <c r="A1244" s="24"/>
      <c r="B1244" s="25"/>
      <c r="C1244" s="8"/>
    </row>
    <row r="1245">
      <c r="A1245" s="24"/>
      <c r="B1245" s="25"/>
      <c r="C1245" s="8"/>
    </row>
    <row r="1246">
      <c r="A1246" s="24"/>
      <c r="B1246" s="25"/>
      <c r="C1246" s="8"/>
    </row>
    <row r="1247">
      <c r="A1247" s="24"/>
      <c r="B1247" s="25"/>
      <c r="C1247" s="8"/>
    </row>
    <row r="1248">
      <c r="A1248" s="24"/>
      <c r="B1248" s="25"/>
      <c r="C1248" s="8"/>
    </row>
    <row r="1249">
      <c r="A1249" s="24"/>
      <c r="B1249" s="25"/>
      <c r="C1249" s="8"/>
    </row>
    <row r="1250">
      <c r="A1250" s="24"/>
      <c r="B1250" s="25"/>
      <c r="C1250" s="8"/>
    </row>
    <row r="1251">
      <c r="A1251" s="24"/>
      <c r="B1251" s="25"/>
      <c r="C1251" s="8"/>
    </row>
    <row r="1252">
      <c r="A1252" s="24"/>
      <c r="B1252" s="25"/>
      <c r="C1252" s="8"/>
    </row>
    <row r="1253">
      <c r="A1253" s="24"/>
      <c r="B1253" s="25"/>
      <c r="C1253" s="8"/>
    </row>
    <row r="1254">
      <c r="A1254" s="24"/>
      <c r="B1254" s="25"/>
      <c r="C1254" s="8"/>
    </row>
    <row r="1255">
      <c r="A1255" s="24"/>
      <c r="B1255" s="25"/>
      <c r="C1255" s="8"/>
    </row>
    <row r="1256">
      <c r="A1256" s="24"/>
      <c r="B1256" s="25"/>
      <c r="C1256" s="8"/>
    </row>
    <row r="1257">
      <c r="A1257" s="24"/>
      <c r="B1257" s="25"/>
      <c r="C1257" s="8"/>
    </row>
    <row r="1258">
      <c r="A1258" s="24"/>
      <c r="B1258" s="25"/>
      <c r="C1258" s="8"/>
    </row>
    <row r="1259">
      <c r="A1259" s="24"/>
      <c r="B1259" s="25"/>
      <c r="C1259" s="8"/>
    </row>
    <row r="1260">
      <c r="A1260" s="24"/>
      <c r="B1260" s="25"/>
      <c r="C1260" s="8"/>
    </row>
    <row r="1261">
      <c r="A1261" s="24"/>
      <c r="B1261" s="25"/>
      <c r="C1261" s="8"/>
    </row>
    <row r="1262">
      <c r="A1262" s="24"/>
      <c r="B1262" s="25"/>
      <c r="C1262" s="8"/>
    </row>
    <row r="1263">
      <c r="A1263" s="24"/>
      <c r="B1263" s="25"/>
      <c r="C1263" s="8"/>
    </row>
    <row r="1264">
      <c r="A1264" s="24"/>
      <c r="B1264" s="25"/>
      <c r="C1264" s="8"/>
    </row>
    <row r="1265">
      <c r="A1265" s="24"/>
      <c r="B1265" s="25"/>
      <c r="C1265" s="8"/>
    </row>
    <row r="1266">
      <c r="A1266" s="24"/>
      <c r="B1266" s="25"/>
      <c r="C1266" s="8"/>
    </row>
    <row r="1267">
      <c r="A1267" s="24"/>
      <c r="B1267" s="25"/>
      <c r="C1267" s="8"/>
    </row>
    <row r="1268">
      <c r="A1268" s="24"/>
      <c r="B1268" s="25"/>
      <c r="C1268" s="8"/>
    </row>
    <row r="1269">
      <c r="A1269" s="24"/>
      <c r="B1269" s="25"/>
      <c r="C1269" s="8"/>
    </row>
    <row r="1270">
      <c r="A1270" s="24"/>
      <c r="B1270" s="25"/>
      <c r="C1270" s="8"/>
    </row>
    <row r="1271">
      <c r="A1271" s="24"/>
      <c r="B1271" s="25"/>
      <c r="C1271" s="8"/>
    </row>
    <row r="1272">
      <c r="A1272" s="24"/>
      <c r="B1272" s="25"/>
      <c r="C1272" s="8"/>
    </row>
    <row r="1273">
      <c r="A1273" s="24"/>
      <c r="B1273" s="25"/>
      <c r="C1273" s="8"/>
    </row>
    <row r="1274">
      <c r="A1274" s="24"/>
      <c r="B1274" s="25"/>
      <c r="C1274" s="8"/>
    </row>
    <row r="1275">
      <c r="A1275" s="24"/>
      <c r="B1275" s="25"/>
      <c r="C1275" s="8"/>
    </row>
    <row r="1276">
      <c r="A1276" s="24"/>
      <c r="B1276" s="25"/>
      <c r="C1276" s="8"/>
    </row>
    <row r="1277">
      <c r="A1277" s="24"/>
      <c r="B1277" s="25"/>
      <c r="C1277" s="8"/>
    </row>
    <row r="1278">
      <c r="A1278" s="24"/>
      <c r="B1278" s="25"/>
      <c r="C1278" s="8"/>
    </row>
    <row r="1279">
      <c r="A1279" s="24"/>
      <c r="B1279" s="25"/>
      <c r="C1279" s="8"/>
    </row>
    <row r="1280">
      <c r="A1280" s="24"/>
      <c r="B1280" s="25"/>
      <c r="C1280" s="8"/>
    </row>
    <row r="1281">
      <c r="A1281" s="24"/>
      <c r="B1281" s="25"/>
      <c r="C1281" s="8"/>
    </row>
    <row r="1282">
      <c r="A1282" s="24"/>
      <c r="B1282" s="25"/>
      <c r="C1282" s="8"/>
    </row>
    <row r="1283">
      <c r="A1283" s="24"/>
      <c r="B1283" s="25"/>
      <c r="C1283" s="8"/>
    </row>
    <row r="1284">
      <c r="A1284" s="24"/>
      <c r="B1284" s="25"/>
      <c r="C1284" s="8"/>
    </row>
    <row r="1285">
      <c r="A1285" s="24"/>
      <c r="B1285" s="25"/>
      <c r="C1285" s="8"/>
    </row>
    <row r="1286">
      <c r="A1286" s="24"/>
      <c r="B1286" s="25"/>
      <c r="C1286" s="8"/>
    </row>
    <row r="1287">
      <c r="A1287" s="24"/>
      <c r="B1287" s="25"/>
      <c r="C1287" s="8"/>
    </row>
    <row r="1288">
      <c r="A1288" s="24"/>
      <c r="B1288" s="25"/>
      <c r="C1288" s="8"/>
    </row>
    <row r="1289">
      <c r="A1289" s="24"/>
      <c r="B1289" s="25"/>
      <c r="C1289" s="8"/>
    </row>
    <row r="1290">
      <c r="A1290" s="24"/>
      <c r="B1290" s="25"/>
      <c r="C1290" s="8"/>
    </row>
    <row r="1291">
      <c r="A1291" s="24"/>
      <c r="B1291" s="25"/>
      <c r="C1291" s="8"/>
    </row>
    <row r="1292">
      <c r="A1292" s="24"/>
      <c r="B1292" s="25"/>
      <c r="C1292" s="8"/>
    </row>
    <row r="1293">
      <c r="A1293" s="24"/>
      <c r="B1293" s="25"/>
      <c r="C1293" s="8"/>
    </row>
    <row r="1294">
      <c r="A1294" s="24"/>
      <c r="B1294" s="25"/>
      <c r="C1294" s="8"/>
    </row>
    <row r="1295">
      <c r="A1295" s="24"/>
      <c r="B1295" s="25"/>
      <c r="C1295" s="8"/>
    </row>
    <row r="1296">
      <c r="A1296" s="24"/>
      <c r="B1296" s="25"/>
      <c r="C1296" s="8"/>
    </row>
    <row r="1297">
      <c r="A1297" s="24"/>
      <c r="B1297" s="25"/>
      <c r="C1297" s="8"/>
    </row>
    <row r="1298">
      <c r="A1298" s="24"/>
      <c r="B1298" s="25"/>
      <c r="C1298" s="8"/>
    </row>
    <row r="1299">
      <c r="A1299" s="24"/>
      <c r="B1299" s="25"/>
      <c r="C1299" s="8"/>
    </row>
    <row r="1300">
      <c r="A1300" s="24"/>
      <c r="B1300" s="25"/>
      <c r="C1300" s="8"/>
    </row>
    <row r="1301">
      <c r="A1301" s="24"/>
      <c r="B1301" s="25"/>
      <c r="C1301" s="8"/>
    </row>
    <row r="1302">
      <c r="A1302" s="24"/>
      <c r="B1302" s="25"/>
      <c r="C1302" s="8"/>
    </row>
    <row r="1303">
      <c r="A1303" s="24"/>
      <c r="B1303" s="25"/>
      <c r="C1303" s="8"/>
    </row>
    <row r="1304">
      <c r="A1304" s="24"/>
      <c r="B1304" s="25"/>
      <c r="C1304" s="8"/>
    </row>
    <row r="1305">
      <c r="A1305" s="24"/>
      <c r="B1305" s="25"/>
      <c r="C1305" s="8"/>
    </row>
    <row r="1306">
      <c r="A1306" s="24"/>
      <c r="B1306" s="25"/>
      <c r="C1306" s="8"/>
    </row>
    <row r="1307">
      <c r="A1307" s="24"/>
      <c r="B1307" s="25"/>
      <c r="C1307" s="8"/>
    </row>
    <row r="1308">
      <c r="A1308" s="24"/>
      <c r="B1308" s="25"/>
      <c r="C1308" s="8"/>
    </row>
    <row r="1309">
      <c r="A1309" s="24"/>
      <c r="B1309" s="25"/>
      <c r="C1309" s="8"/>
    </row>
    <row r="1310">
      <c r="A1310" s="24"/>
      <c r="B1310" s="25"/>
      <c r="C1310" s="8"/>
    </row>
    <row r="1311">
      <c r="A1311" s="24"/>
      <c r="B1311" s="25"/>
      <c r="C1311" s="8"/>
    </row>
    <row r="1312">
      <c r="A1312" s="24"/>
      <c r="B1312" s="25"/>
      <c r="C1312" s="8"/>
    </row>
    <row r="1313">
      <c r="A1313" s="24"/>
      <c r="B1313" s="25"/>
      <c r="C1313" s="8"/>
    </row>
    <row r="1314">
      <c r="A1314" s="24"/>
      <c r="B1314" s="25"/>
      <c r="C1314" s="8"/>
    </row>
    <row r="1315">
      <c r="A1315" s="24"/>
      <c r="B1315" s="25"/>
      <c r="C1315" s="8"/>
    </row>
    <row r="1316">
      <c r="A1316" s="24"/>
      <c r="B1316" s="25"/>
      <c r="C1316" s="8"/>
    </row>
    <row r="1317">
      <c r="A1317" s="24"/>
      <c r="B1317" s="25"/>
      <c r="C1317" s="8"/>
    </row>
    <row r="1318">
      <c r="A1318" s="24"/>
      <c r="B1318" s="25"/>
      <c r="C1318" s="8"/>
    </row>
    <row r="1319">
      <c r="A1319" s="24"/>
      <c r="B1319" s="25"/>
      <c r="C1319" s="8"/>
    </row>
    <row r="1320">
      <c r="A1320" s="24"/>
      <c r="B1320" s="25"/>
      <c r="C1320" s="8"/>
    </row>
    <row r="1321">
      <c r="A1321" s="24"/>
      <c r="B1321" s="25"/>
      <c r="C1321" s="8"/>
    </row>
    <row r="1322">
      <c r="A1322" s="24"/>
      <c r="B1322" s="25"/>
      <c r="C1322" s="8"/>
    </row>
    <row r="1323">
      <c r="A1323" s="24"/>
      <c r="B1323" s="25"/>
      <c r="C1323" s="8"/>
    </row>
    <row r="1324">
      <c r="A1324" s="24"/>
      <c r="B1324" s="25"/>
      <c r="C1324" s="8"/>
    </row>
    <row r="1325">
      <c r="A1325" s="24"/>
      <c r="B1325" s="25"/>
      <c r="C1325" s="8"/>
    </row>
    <row r="1326">
      <c r="A1326" s="24"/>
      <c r="B1326" s="25"/>
      <c r="C1326" s="8"/>
    </row>
    <row r="1327">
      <c r="A1327" s="24"/>
      <c r="B1327" s="25"/>
      <c r="C1327" s="8"/>
    </row>
    <row r="1328">
      <c r="A1328" s="24"/>
      <c r="B1328" s="25"/>
      <c r="C1328" s="8"/>
    </row>
    <row r="1329">
      <c r="A1329" s="24"/>
      <c r="B1329" s="25"/>
      <c r="C1329" s="8"/>
    </row>
    <row r="1330">
      <c r="A1330" s="24"/>
      <c r="B1330" s="25"/>
      <c r="C1330" s="8"/>
    </row>
    <row r="1331">
      <c r="A1331" s="24"/>
      <c r="B1331" s="25"/>
      <c r="C1331" s="8"/>
    </row>
    <row r="1332">
      <c r="A1332" s="24"/>
      <c r="B1332" s="25"/>
      <c r="C1332" s="8"/>
    </row>
    <row r="1333">
      <c r="A1333" s="24"/>
      <c r="B1333" s="25"/>
      <c r="C1333" s="8"/>
    </row>
    <row r="1334">
      <c r="A1334" s="24"/>
      <c r="B1334" s="25"/>
      <c r="C1334" s="8"/>
    </row>
    <row r="1335">
      <c r="A1335" s="24"/>
      <c r="B1335" s="25"/>
      <c r="C1335" s="8"/>
    </row>
    <row r="1336">
      <c r="A1336" s="24"/>
      <c r="B1336" s="25"/>
      <c r="C1336" s="8"/>
    </row>
    <row r="1337">
      <c r="A1337" s="24"/>
      <c r="B1337" s="25"/>
      <c r="C1337" s="8"/>
    </row>
    <row r="1338">
      <c r="A1338" s="24"/>
      <c r="B1338" s="25"/>
      <c r="C1338" s="8"/>
    </row>
    <row r="1339">
      <c r="A1339" s="24"/>
      <c r="B1339" s="25"/>
      <c r="C1339" s="8"/>
    </row>
    <row r="1340">
      <c r="A1340" s="24"/>
      <c r="B1340" s="25"/>
      <c r="C1340" s="8"/>
    </row>
    <row r="1341">
      <c r="A1341" s="24"/>
      <c r="B1341" s="25"/>
      <c r="C1341" s="8"/>
    </row>
    <row r="1342">
      <c r="A1342" s="24"/>
      <c r="B1342" s="25"/>
      <c r="C1342" s="8"/>
    </row>
    <row r="1343">
      <c r="A1343" s="24"/>
      <c r="B1343" s="25"/>
      <c r="C1343" s="8"/>
    </row>
    <row r="1344">
      <c r="A1344" s="24"/>
      <c r="B1344" s="25"/>
      <c r="C1344" s="8"/>
    </row>
    <row r="1345">
      <c r="A1345" s="24"/>
      <c r="B1345" s="25"/>
      <c r="C1345" s="8"/>
    </row>
    <row r="1346">
      <c r="A1346" s="24"/>
      <c r="B1346" s="25"/>
      <c r="C1346" s="8"/>
    </row>
    <row r="1347">
      <c r="A1347" s="24"/>
      <c r="B1347" s="25"/>
      <c r="C1347" s="8"/>
    </row>
    <row r="1348">
      <c r="A1348" s="24"/>
      <c r="B1348" s="25"/>
      <c r="C1348" s="8"/>
    </row>
    <row r="1349">
      <c r="A1349" s="24"/>
      <c r="B1349" s="25"/>
      <c r="C1349" s="8"/>
    </row>
    <row r="1350">
      <c r="A1350" s="24"/>
      <c r="B1350" s="25"/>
      <c r="C1350" s="8"/>
    </row>
    <row r="1351">
      <c r="A1351" s="24"/>
      <c r="B1351" s="25"/>
      <c r="C1351" s="8"/>
    </row>
    <row r="1352">
      <c r="A1352" s="24"/>
      <c r="B1352" s="25"/>
      <c r="C1352" s="8"/>
    </row>
    <row r="1353">
      <c r="A1353" s="24"/>
      <c r="B1353" s="25"/>
      <c r="C1353" s="8"/>
    </row>
    <row r="1354">
      <c r="A1354" s="24"/>
      <c r="B1354" s="25"/>
      <c r="C1354" s="8"/>
    </row>
    <row r="1355">
      <c r="A1355" s="24"/>
      <c r="B1355" s="25"/>
      <c r="C1355" s="8"/>
    </row>
    <row r="1356">
      <c r="A1356" s="24"/>
      <c r="B1356" s="25"/>
      <c r="C1356" s="8"/>
    </row>
    <row r="1357">
      <c r="A1357" s="24"/>
      <c r="B1357" s="25"/>
      <c r="C1357" s="8"/>
    </row>
    <row r="1358">
      <c r="A1358" s="24"/>
      <c r="B1358" s="25"/>
      <c r="C1358" s="8"/>
    </row>
    <row r="1359">
      <c r="A1359" s="24"/>
      <c r="B1359" s="25"/>
      <c r="C1359" s="8"/>
    </row>
    <row r="1360">
      <c r="A1360" s="24"/>
      <c r="B1360" s="25"/>
      <c r="C1360" s="8"/>
    </row>
    <row r="1361">
      <c r="A1361" s="24"/>
      <c r="B1361" s="25"/>
      <c r="C1361" s="8"/>
    </row>
    <row r="1362">
      <c r="A1362" s="24"/>
      <c r="B1362" s="25"/>
      <c r="C1362" s="8"/>
    </row>
    <row r="1363">
      <c r="A1363" s="24"/>
      <c r="B1363" s="25"/>
      <c r="C1363" s="8"/>
    </row>
    <row r="1364">
      <c r="A1364" s="24"/>
      <c r="B1364" s="25"/>
      <c r="C1364" s="8"/>
    </row>
    <row r="1365">
      <c r="A1365" s="24"/>
      <c r="B1365" s="25"/>
      <c r="C1365" s="8"/>
    </row>
    <row r="1366">
      <c r="A1366" s="24"/>
      <c r="B1366" s="25"/>
      <c r="C1366" s="8"/>
    </row>
    <row r="1367">
      <c r="A1367" s="24"/>
      <c r="B1367" s="25"/>
      <c r="C1367" s="8"/>
    </row>
    <row r="1368">
      <c r="A1368" s="24"/>
      <c r="B1368" s="25"/>
      <c r="C1368" s="8"/>
    </row>
    <row r="1369">
      <c r="A1369" s="24"/>
      <c r="B1369" s="25"/>
      <c r="C1369" s="8"/>
    </row>
    <row r="1370">
      <c r="A1370" s="24"/>
      <c r="B1370" s="25"/>
      <c r="C1370" s="8"/>
    </row>
    <row r="1371">
      <c r="A1371" s="24"/>
      <c r="B1371" s="25"/>
      <c r="C1371" s="8"/>
    </row>
    <row r="1372">
      <c r="A1372" s="24"/>
      <c r="B1372" s="25"/>
      <c r="C1372" s="8"/>
    </row>
    <row r="1373">
      <c r="A1373" s="24"/>
      <c r="B1373" s="25"/>
      <c r="C1373" s="8"/>
    </row>
    <row r="1374">
      <c r="A1374" s="24"/>
      <c r="B1374" s="25"/>
      <c r="C1374" s="8"/>
    </row>
    <row r="1375">
      <c r="A1375" s="24"/>
      <c r="B1375" s="25"/>
      <c r="C1375" s="8"/>
    </row>
    <row r="1376">
      <c r="A1376" s="24"/>
      <c r="B1376" s="25"/>
      <c r="C1376" s="8"/>
    </row>
    <row r="1377">
      <c r="A1377" s="24"/>
      <c r="B1377" s="25"/>
      <c r="C1377" s="8"/>
    </row>
    <row r="1378">
      <c r="A1378" s="24"/>
      <c r="B1378" s="25"/>
      <c r="C1378" s="8"/>
    </row>
    <row r="1379">
      <c r="A1379" s="24"/>
      <c r="B1379" s="25"/>
      <c r="C1379" s="8"/>
    </row>
    <row r="1380">
      <c r="A1380" s="24"/>
      <c r="B1380" s="25"/>
      <c r="C1380" s="8"/>
    </row>
    <row r="1381">
      <c r="A1381" s="24"/>
      <c r="B1381" s="25"/>
      <c r="C1381" s="8"/>
    </row>
    <row r="1382">
      <c r="A1382" s="24"/>
      <c r="B1382" s="25"/>
      <c r="C1382" s="8"/>
    </row>
    <row r="1383">
      <c r="A1383" s="24"/>
      <c r="B1383" s="25"/>
      <c r="C1383" s="8"/>
    </row>
    <row r="1384">
      <c r="A1384" s="24"/>
      <c r="B1384" s="25"/>
      <c r="C1384" s="8"/>
    </row>
    <row r="1385">
      <c r="A1385" s="24"/>
      <c r="B1385" s="25"/>
      <c r="C1385" s="8"/>
    </row>
    <row r="1386">
      <c r="A1386" s="24"/>
      <c r="B1386" s="25"/>
      <c r="C1386" s="8"/>
    </row>
    <row r="1387">
      <c r="A1387" s="24"/>
      <c r="B1387" s="25"/>
      <c r="C1387" s="8"/>
    </row>
    <row r="1388">
      <c r="A1388" s="24"/>
      <c r="B1388" s="25"/>
      <c r="C1388" s="8"/>
    </row>
    <row r="1389">
      <c r="A1389" s="24"/>
      <c r="B1389" s="25"/>
      <c r="C1389" s="8"/>
    </row>
    <row r="1390">
      <c r="A1390" s="24"/>
      <c r="B1390" s="25"/>
      <c r="C1390" s="8"/>
    </row>
    <row r="1391">
      <c r="A1391" s="24"/>
      <c r="B1391" s="25"/>
      <c r="C1391" s="8"/>
    </row>
    <row r="1392">
      <c r="A1392" s="24"/>
      <c r="B1392" s="25"/>
      <c r="C1392" s="8"/>
    </row>
    <row r="1393">
      <c r="A1393" s="24"/>
      <c r="B1393" s="25"/>
      <c r="C1393" s="8"/>
    </row>
    <row r="1394">
      <c r="A1394" s="24"/>
      <c r="B1394" s="25"/>
      <c r="C1394" s="8"/>
    </row>
    <row r="1395">
      <c r="A1395" s="24"/>
      <c r="B1395" s="25"/>
      <c r="C1395" s="8"/>
    </row>
    <row r="1396">
      <c r="A1396" s="24"/>
      <c r="B1396" s="25"/>
      <c r="C1396" s="8"/>
    </row>
    <row r="1397">
      <c r="A1397" s="24"/>
      <c r="B1397" s="25"/>
      <c r="C1397" s="8"/>
    </row>
    <row r="1398">
      <c r="A1398" s="24"/>
      <c r="B1398" s="25"/>
      <c r="C1398" s="8"/>
    </row>
    <row r="1399">
      <c r="A1399" s="24"/>
      <c r="B1399" s="25"/>
      <c r="C1399" s="8"/>
    </row>
    <row r="1400">
      <c r="A1400" s="24"/>
      <c r="B1400" s="25"/>
      <c r="C1400" s="8"/>
    </row>
    <row r="1401">
      <c r="A1401" s="24"/>
      <c r="B1401" s="25"/>
      <c r="C1401" s="8"/>
    </row>
    <row r="1402">
      <c r="A1402" s="24"/>
      <c r="B1402" s="25"/>
      <c r="C1402" s="8"/>
    </row>
    <row r="1403">
      <c r="A1403" s="24"/>
      <c r="B1403" s="25"/>
      <c r="C1403" s="8"/>
    </row>
    <row r="1404">
      <c r="A1404" s="24"/>
      <c r="B1404" s="25"/>
      <c r="C1404" s="8"/>
    </row>
    <row r="1405">
      <c r="A1405" s="24"/>
      <c r="B1405" s="25"/>
      <c r="C1405" s="8"/>
    </row>
    <row r="1406">
      <c r="A1406" s="24"/>
      <c r="B1406" s="25"/>
      <c r="C1406" s="8"/>
    </row>
    <row r="1407">
      <c r="A1407" s="24"/>
      <c r="B1407" s="25"/>
      <c r="C1407" s="8"/>
    </row>
    <row r="1408">
      <c r="A1408" s="24"/>
      <c r="B1408" s="25"/>
      <c r="C1408" s="8"/>
    </row>
    <row r="1409">
      <c r="A1409" s="24"/>
      <c r="B1409" s="25"/>
      <c r="C1409" s="8"/>
    </row>
    <row r="1410">
      <c r="A1410" s="24"/>
      <c r="B1410" s="25"/>
      <c r="C1410" s="8"/>
    </row>
    <row r="1411">
      <c r="A1411" s="24"/>
      <c r="B1411" s="25"/>
      <c r="C1411" s="8"/>
    </row>
    <row r="1412">
      <c r="A1412" s="24"/>
      <c r="B1412" s="25"/>
      <c r="C1412" s="8"/>
    </row>
    <row r="1413">
      <c r="A1413" s="24"/>
      <c r="B1413" s="25"/>
      <c r="C1413" s="8"/>
    </row>
    <row r="1414">
      <c r="A1414" s="24"/>
      <c r="B1414" s="25"/>
      <c r="C1414" s="8"/>
    </row>
    <row r="1415">
      <c r="A1415" s="24"/>
      <c r="B1415" s="25"/>
      <c r="C1415" s="8"/>
    </row>
    <row r="1416">
      <c r="A1416" s="24"/>
      <c r="B1416" s="25"/>
      <c r="C1416" s="8"/>
    </row>
    <row r="1417">
      <c r="A1417" s="24"/>
      <c r="B1417" s="25"/>
      <c r="C1417" s="8"/>
    </row>
    <row r="1418">
      <c r="A1418" s="24"/>
      <c r="B1418" s="25"/>
      <c r="C1418" s="8"/>
    </row>
    <row r="1419">
      <c r="A1419" s="24"/>
      <c r="B1419" s="25"/>
      <c r="C1419" s="8"/>
    </row>
    <row r="1420">
      <c r="A1420" s="24"/>
      <c r="B1420" s="25"/>
      <c r="C1420" s="8"/>
    </row>
    <row r="1421">
      <c r="A1421" s="24"/>
      <c r="B1421" s="25"/>
      <c r="C1421" s="8"/>
    </row>
    <row r="1422">
      <c r="A1422" s="24"/>
      <c r="B1422" s="25"/>
      <c r="C1422" s="8"/>
    </row>
    <row r="1423">
      <c r="A1423" s="24"/>
      <c r="B1423" s="25"/>
      <c r="C1423" s="8"/>
    </row>
    <row r="1424">
      <c r="A1424" s="24"/>
      <c r="B1424" s="25"/>
      <c r="C1424" s="8"/>
    </row>
    <row r="1425">
      <c r="A1425" s="24"/>
      <c r="B1425" s="25"/>
      <c r="C1425" s="8"/>
    </row>
    <row r="1426">
      <c r="A1426" s="24"/>
      <c r="B1426" s="25"/>
      <c r="C1426" s="8"/>
    </row>
    <row r="1427">
      <c r="A1427" s="24"/>
      <c r="B1427" s="25"/>
      <c r="C1427" s="8"/>
    </row>
    <row r="1428">
      <c r="A1428" s="24"/>
      <c r="B1428" s="25"/>
      <c r="C1428" s="8"/>
    </row>
    <row r="1429">
      <c r="A1429" s="24"/>
      <c r="B1429" s="25"/>
      <c r="C1429" s="8"/>
    </row>
    <row r="1430">
      <c r="A1430" s="24"/>
      <c r="B1430" s="25"/>
      <c r="C1430" s="8"/>
    </row>
    <row r="1431">
      <c r="A1431" s="24"/>
      <c r="B1431" s="25"/>
      <c r="C1431" s="8"/>
    </row>
    <row r="1432">
      <c r="A1432" s="24"/>
      <c r="B1432" s="25"/>
      <c r="C1432" s="8"/>
    </row>
    <row r="1433">
      <c r="A1433" s="24"/>
      <c r="B1433" s="25"/>
      <c r="C1433" s="8"/>
    </row>
    <row r="1434">
      <c r="A1434" s="24"/>
      <c r="B1434" s="25"/>
      <c r="C1434" s="8"/>
    </row>
    <row r="1435">
      <c r="A1435" s="24"/>
      <c r="B1435" s="25"/>
      <c r="C1435" s="8"/>
    </row>
    <row r="1436">
      <c r="A1436" s="24"/>
      <c r="B1436" s="25"/>
      <c r="C1436" s="8"/>
    </row>
    <row r="1437">
      <c r="A1437" s="24"/>
      <c r="B1437" s="25"/>
      <c r="C1437" s="8"/>
    </row>
    <row r="1438">
      <c r="A1438" s="24"/>
      <c r="B1438" s="25"/>
      <c r="C1438" s="8"/>
    </row>
    <row r="1439">
      <c r="A1439" s="24"/>
      <c r="B1439" s="25"/>
      <c r="C1439" s="8"/>
    </row>
    <row r="1440">
      <c r="A1440" s="24"/>
      <c r="B1440" s="25"/>
      <c r="C1440" s="8"/>
    </row>
    <row r="1441">
      <c r="A1441" s="24"/>
      <c r="B1441" s="25"/>
      <c r="C1441" s="8"/>
    </row>
    <row r="1442">
      <c r="A1442" s="24"/>
      <c r="B1442" s="25"/>
      <c r="C1442" s="8"/>
    </row>
    <row r="1443">
      <c r="A1443" s="24"/>
      <c r="B1443" s="25"/>
      <c r="C1443" s="8"/>
    </row>
    <row r="1444">
      <c r="A1444" s="24"/>
      <c r="B1444" s="25"/>
      <c r="C1444" s="8"/>
    </row>
    <row r="1445">
      <c r="A1445" s="24"/>
      <c r="B1445" s="25"/>
      <c r="C1445" s="8"/>
    </row>
    <row r="1446">
      <c r="A1446" s="24"/>
      <c r="B1446" s="25"/>
      <c r="C1446" s="8"/>
    </row>
    <row r="1447">
      <c r="A1447" s="24"/>
      <c r="B1447" s="25"/>
      <c r="C1447" s="8"/>
    </row>
    <row r="1448">
      <c r="A1448" s="24"/>
      <c r="B1448" s="25"/>
      <c r="C1448" s="8"/>
    </row>
    <row r="1449">
      <c r="A1449" s="24"/>
      <c r="B1449" s="25"/>
      <c r="C1449" s="8"/>
    </row>
    <row r="1450">
      <c r="A1450" s="24"/>
      <c r="B1450" s="25"/>
      <c r="C1450" s="8"/>
    </row>
    <row r="1451">
      <c r="A1451" s="24"/>
      <c r="B1451" s="25"/>
      <c r="C1451" s="8"/>
    </row>
    <row r="1452">
      <c r="A1452" s="24"/>
      <c r="B1452" s="25"/>
      <c r="C1452" s="8"/>
    </row>
    <row r="1453">
      <c r="A1453" s="24"/>
      <c r="B1453" s="25"/>
      <c r="C1453" s="8"/>
    </row>
    <row r="1454">
      <c r="A1454" s="24"/>
      <c r="B1454" s="25"/>
      <c r="C1454" s="8"/>
    </row>
    <row r="1455">
      <c r="A1455" s="24"/>
      <c r="B1455" s="25"/>
      <c r="C1455" s="8"/>
    </row>
    <row r="1456">
      <c r="A1456" s="24"/>
      <c r="B1456" s="25"/>
      <c r="C1456" s="8"/>
    </row>
    <row r="1457">
      <c r="A1457" s="24"/>
      <c r="B1457" s="25"/>
      <c r="C1457" s="8"/>
    </row>
    <row r="1458">
      <c r="A1458" s="24"/>
      <c r="B1458" s="25"/>
      <c r="C1458" s="8"/>
    </row>
    <row r="1459">
      <c r="A1459" s="24"/>
      <c r="B1459" s="25"/>
      <c r="C1459" s="8"/>
    </row>
    <row r="1460">
      <c r="A1460" s="24"/>
      <c r="B1460" s="25"/>
      <c r="C1460" s="8"/>
    </row>
    <row r="1461">
      <c r="A1461" s="24"/>
      <c r="B1461" s="25"/>
      <c r="C1461" s="8"/>
    </row>
    <row r="1462">
      <c r="A1462" s="24"/>
      <c r="B1462" s="25"/>
      <c r="C1462" s="8"/>
    </row>
    <row r="1463">
      <c r="A1463" s="24"/>
      <c r="B1463" s="25"/>
      <c r="C1463" s="8"/>
    </row>
    <row r="1464">
      <c r="A1464" s="24"/>
      <c r="B1464" s="25"/>
      <c r="C1464" s="8"/>
    </row>
    <row r="1465">
      <c r="A1465" s="24"/>
      <c r="B1465" s="25"/>
      <c r="C1465" s="8"/>
    </row>
    <row r="1466">
      <c r="A1466" s="24"/>
      <c r="B1466" s="25"/>
      <c r="C1466" s="8"/>
    </row>
    <row r="1467">
      <c r="A1467" s="24"/>
      <c r="B1467" s="25"/>
      <c r="C1467" s="8"/>
    </row>
    <row r="1468">
      <c r="A1468" s="24"/>
      <c r="B1468" s="25"/>
      <c r="C1468" s="8"/>
    </row>
    <row r="1469">
      <c r="A1469" s="24"/>
      <c r="B1469" s="25"/>
      <c r="C1469" s="8"/>
    </row>
    <row r="1470">
      <c r="A1470" s="24"/>
      <c r="B1470" s="25"/>
      <c r="C1470" s="8"/>
    </row>
    <row r="1471">
      <c r="A1471" s="24"/>
      <c r="B1471" s="25"/>
      <c r="C1471" s="8"/>
    </row>
    <row r="1472">
      <c r="A1472" s="24"/>
      <c r="B1472" s="25"/>
      <c r="C1472" s="8"/>
    </row>
    <row r="1473">
      <c r="A1473" s="24"/>
      <c r="B1473" s="25"/>
      <c r="C1473" s="8"/>
    </row>
    <row r="1474">
      <c r="A1474" s="24"/>
      <c r="B1474" s="25"/>
      <c r="C1474" s="8"/>
    </row>
    <row r="1475">
      <c r="A1475" s="24"/>
      <c r="B1475" s="25"/>
      <c r="C1475" s="8"/>
    </row>
    <row r="1476">
      <c r="A1476" s="24"/>
      <c r="B1476" s="25"/>
      <c r="C1476" s="8"/>
    </row>
    <row r="1477">
      <c r="A1477" s="24"/>
      <c r="B1477" s="25"/>
      <c r="C1477" s="8"/>
    </row>
    <row r="1478">
      <c r="A1478" s="24"/>
      <c r="B1478" s="25"/>
      <c r="C1478" s="8"/>
    </row>
    <row r="1479">
      <c r="A1479" s="24"/>
      <c r="B1479" s="25"/>
      <c r="C1479" s="8"/>
    </row>
    <row r="1480">
      <c r="A1480" s="24"/>
      <c r="B1480" s="25"/>
      <c r="C1480" s="8"/>
    </row>
    <row r="1481">
      <c r="A1481" s="24"/>
      <c r="B1481" s="25"/>
      <c r="C1481" s="8"/>
    </row>
    <row r="1482">
      <c r="A1482" s="24"/>
      <c r="B1482" s="25"/>
      <c r="C1482" s="8"/>
    </row>
    <row r="1483">
      <c r="A1483" s="24"/>
      <c r="B1483" s="25"/>
      <c r="C1483" s="8"/>
    </row>
    <row r="1484">
      <c r="A1484" s="24"/>
      <c r="B1484" s="25"/>
      <c r="C1484" s="8"/>
    </row>
    <row r="1485">
      <c r="A1485" s="24"/>
      <c r="B1485" s="25"/>
      <c r="C1485" s="8"/>
    </row>
    <row r="1486">
      <c r="A1486" s="24"/>
      <c r="B1486" s="25"/>
      <c r="C1486" s="8"/>
    </row>
    <row r="1487">
      <c r="A1487" s="24"/>
      <c r="B1487" s="25"/>
      <c r="C1487" s="8"/>
    </row>
    <row r="1488">
      <c r="A1488" s="24"/>
      <c r="B1488" s="25"/>
      <c r="C1488" s="8"/>
    </row>
    <row r="1489">
      <c r="A1489" s="24"/>
      <c r="B1489" s="25"/>
      <c r="C1489" s="8"/>
    </row>
    <row r="1490">
      <c r="A1490" s="24"/>
      <c r="B1490" s="25"/>
      <c r="C1490" s="8"/>
    </row>
    <row r="1491">
      <c r="A1491" s="24"/>
      <c r="B1491" s="25"/>
      <c r="C1491" s="8"/>
    </row>
    <row r="1492">
      <c r="A1492" s="24"/>
      <c r="B1492" s="25"/>
      <c r="C1492" s="8"/>
    </row>
    <row r="1493">
      <c r="A1493" s="24"/>
      <c r="B1493" s="25"/>
      <c r="C1493" s="8"/>
    </row>
    <row r="1494">
      <c r="A1494" s="24"/>
      <c r="B1494" s="25"/>
      <c r="C1494" s="8"/>
    </row>
    <row r="1495">
      <c r="A1495" s="24"/>
      <c r="B1495" s="25"/>
      <c r="C1495" s="8"/>
    </row>
    <row r="1496">
      <c r="A1496" s="24"/>
      <c r="B1496" s="25"/>
      <c r="C1496" s="8"/>
    </row>
    <row r="1497">
      <c r="A1497" s="24"/>
      <c r="B1497" s="25"/>
      <c r="C1497" s="8"/>
    </row>
    <row r="1498">
      <c r="A1498" s="24"/>
      <c r="B1498" s="25"/>
      <c r="C1498" s="8"/>
    </row>
    <row r="1499">
      <c r="A1499" s="24"/>
      <c r="B1499" s="25"/>
      <c r="C1499" s="8"/>
    </row>
    <row r="1500">
      <c r="A1500" s="24"/>
      <c r="B1500" s="25"/>
      <c r="C1500" s="8"/>
    </row>
    <row r="1501">
      <c r="A1501" s="24"/>
      <c r="B1501" s="25"/>
      <c r="C1501" s="8"/>
    </row>
    <row r="1502">
      <c r="A1502" s="24"/>
      <c r="B1502" s="25"/>
      <c r="C1502" s="8"/>
    </row>
    <row r="1503">
      <c r="A1503" s="24"/>
      <c r="B1503" s="25"/>
      <c r="C1503" s="8"/>
    </row>
    <row r="1504">
      <c r="A1504" s="24"/>
      <c r="B1504" s="25"/>
      <c r="C1504" s="8"/>
    </row>
    <row r="1505">
      <c r="A1505" s="24"/>
      <c r="B1505" s="25"/>
      <c r="C1505" s="8"/>
    </row>
    <row r="1506">
      <c r="A1506" s="24"/>
      <c r="B1506" s="25"/>
      <c r="C1506" s="8"/>
    </row>
    <row r="1507">
      <c r="A1507" s="24"/>
      <c r="B1507" s="25"/>
      <c r="C1507" s="8"/>
    </row>
    <row r="1508">
      <c r="A1508" s="24"/>
      <c r="B1508" s="25"/>
      <c r="C1508" s="8"/>
    </row>
    <row r="1509">
      <c r="A1509" s="24"/>
      <c r="B1509" s="25"/>
      <c r="C1509" s="8"/>
    </row>
    <row r="1510">
      <c r="A1510" s="24"/>
      <c r="B1510" s="25"/>
      <c r="C1510" s="8"/>
    </row>
    <row r="1511">
      <c r="A1511" s="24"/>
      <c r="B1511" s="25"/>
      <c r="C1511" s="8"/>
    </row>
    <row r="1512">
      <c r="A1512" s="24"/>
      <c r="B1512" s="25"/>
      <c r="C1512" s="8"/>
    </row>
    <row r="1513">
      <c r="A1513" s="24"/>
      <c r="B1513" s="25"/>
      <c r="C1513" s="8"/>
    </row>
    <row r="1514">
      <c r="A1514" s="24"/>
      <c r="B1514" s="25"/>
      <c r="C1514" s="8"/>
    </row>
    <row r="1515">
      <c r="A1515" s="24"/>
      <c r="B1515" s="25"/>
      <c r="C1515" s="8"/>
    </row>
    <row r="1516">
      <c r="A1516" s="24"/>
      <c r="B1516" s="25"/>
      <c r="C1516" s="8"/>
    </row>
    <row r="1517">
      <c r="A1517" s="24"/>
      <c r="B1517" s="25"/>
      <c r="C1517" s="8"/>
    </row>
    <row r="1518">
      <c r="A1518" s="24"/>
      <c r="B1518" s="25"/>
      <c r="C1518" s="8"/>
    </row>
    <row r="1519">
      <c r="A1519" s="24"/>
      <c r="B1519" s="25"/>
      <c r="C1519" s="8"/>
    </row>
    <row r="1520">
      <c r="A1520" s="24"/>
      <c r="B1520" s="25"/>
      <c r="C1520" s="8"/>
    </row>
    <row r="1521">
      <c r="A1521" s="24"/>
      <c r="B1521" s="25"/>
      <c r="C1521" s="8"/>
    </row>
    <row r="1522">
      <c r="A1522" s="24"/>
      <c r="B1522" s="25"/>
      <c r="C1522" s="8"/>
    </row>
    <row r="1523">
      <c r="A1523" s="24"/>
      <c r="B1523" s="25"/>
      <c r="C1523" s="8"/>
    </row>
    <row r="1524">
      <c r="A1524" s="24"/>
      <c r="B1524" s="25"/>
      <c r="C1524" s="8"/>
    </row>
    <row r="1525">
      <c r="A1525" s="24"/>
      <c r="B1525" s="25"/>
      <c r="C1525" s="8"/>
    </row>
    <row r="1526">
      <c r="A1526" s="24"/>
      <c r="B1526" s="25"/>
      <c r="C1526" s="8"/>
    </row>
    <row r="1527">
      <c r="A1527" s="24"/>
      <c r="B1527" s="25"/>
      <c r="C1527" s="8"/>
    </row>
    <row r="1528">
      <c r="A1528" s="24"/>
      <c r="B1528" s="25"/>
      <c r="C1528" s="8"/>
    </row>
    <row r="1529">
      <c r="A1529" s="24"/>
      <c r="B1529" s="25"/>
      <c r="C1529" s="8"/>
    </row>
    <row r="1530">
      <c r="A1530" s="24"/>
      <c r="B1530" s="25"/>
      <c r="C1530" s="8"/>
    </row>
    <row r="1531">
      <c r="A1531" s="24"/>
      <c r="B1531" s="25"/>
      <c r="C1531" s="8"/>
    </row>
    <row r="1532">
      <c r="A1532" s="24"/>
      <c r="B1532" s="25"/>
      <c r="C1532" s="8"/>
    </row>
    <row r="1533">
      <c r="A1533" s="24"/>
      <c r="B1533" s="25"/>
      <c r="C1533" s="8"/>
    </row>
    <row r="1534">
      <c r="A1534" s="24"/>
      <c r="B1534" s="25"/>
      <c r="C1534" s="8"/>
    </row>
    <row r="1535">
      <c r="A1535" s="24"/>
      <c r="B1535" s="25"/>
      <c r="C1535" s="8"/>
    </row>
    <row r="1536">
      <c r="A1536" s="24"/>
      <c r="B1536" s="25"/>
      <c r="C1536" s="8"/>
    </row>
    <row r="1537">
      <c r="A1537" s="24"/>
      <c r="B1537" s="25"/>
      <c r="C1537" s="8"/>
    </row>
    <row r="1538">
      <c r="A1538" s="24"/>
      <c r="B1538" s="25"/>
      <c r="C1538" s="8"/>
    </row>
    <row r="1539">
      <c r="A1539" s="24"/>
      <c r="B1539" s="25"/>
      <c r="C1539" s="8"/>
    </row>
    <row r="1540">
      <c r="A1540" s="24"/>
      <c r="B1540" s="25"/>
      <c r="C1540" s="8"/>
    </row>
    <row r="1541">
      <c r="A1541" s="24"/>
      <c r="B1541" s="25"/>
      <c r="C1541" s="8"/>
    </row>
    <row r="1542">
      <c r="A1542" s="24"/>
      <c r="B1542" s="25"/>
      <c r="C1542" s="8"/>
    </row>
    <row r="1543">
      <c r="A1543" s="24"/>
      <c r="B1543" s="25"/>
      <c r="C1543" s="8"/>
    </row>
    <row r="1544">
      <c r="A1544" s="24"/>
      <c r="B1544" s="25"/>
      <c r="C1544" s="8"/>
    </row>
    <row r="1545">
      <c r="A1545" s="24"/>
      <c r="B1545" s="25"/>
      <c r="C1545" s="8"/>
    </row>
    <row r="1546">
      <c r="A1546" s="24"/>
      <c r="B1546" s="25"/>
      <c r="C1546" s="8"/>
    </row>
    <row r="1547">
      <c r="A1547" s="24"/>
      <c r="B1547" s="25"/>
      <c r="C1547" s="8"/>
    </row>
    <row r="1548">
      <c r="A1548" s="24"/>
      <c r="B1548" s="25"/>
      <c r="C1548" s="8"/>
    </row>
    <row r="1549">
      <c r="A1549" s="24"/>
      <c r="B1549" s="25"/>
      <c r="C1549" s="8"/>
    </row>
    <row r="1550">
      <c r="A1550" s="24"/>
      <c r="B1550" s="25"/>
      <c r="C1550" s="8"/>
    </row>
    <row r="1551">
      <c r="A1551" s="24"/>
      <c r="B1551" s="25"/>
      <c r="C1551" s="8"/>
    </row>
    <row r="1552">
      <c r="A1552" s="24"/>
      <c r="B1552" s="25"/>
      <c r="C1552" s="8"/>
    </row>
    <row r="1553">
      <c r="A1553" s="24"/>
      <c r="B1553" s="25"/>
      <c r="C1553" s="8"/>
    </row>
    <row r="1554">
      <c r="A1554" s="24"/>
      <c r="B1554" s="25"/>
      <c r="C1554" s="8"/>
    </row>
    <row r="1555">
      <c r="A1555" s="24"/>
      <c r="B1555" s="25"/>
      <c r="C1555" s="8"/>
    </row>
    <row r="1556">
      <c r="A1556" s="24"/>
      <c r="B1556" s="25"/>
      <c r="C1556" s="8"/>
    </row>
    <row r="1557">
      <c r="A1557" s="24"/>
      <c r="B1557" s="25"/>
      <c r="C1557" s="8"/>
    </row>
    <row r="1558">
      <c r="A1558" s="24"/>
      <c r="B1558" s="25"/>
      <c r="C1558" s="8"/>
    </row>
    <row r="1559">
      <c r="A1559" s="24"/>
      <c r="B1559" s="25"/>
      <c r="C1559" s="8"/>
    </row>
    <row r="1560">
      <c r="A1560" s="24"/>
      <c r="B1560" s="25"/>
      <c r="C1560" s="8"/>
    </row>
    <row r="1561">
      <c r="A1561" s="24"/>
      <c r="B1561" s="25"/>
      <c r="C1561" s="8"/>
    </row>
    <row r="1562">
      <c r="A1562" s="24"/>
      <c r="B1562" s="25"/>
      <c r="C1562" s="8"/>
    </row>
    <row r="1563">
      <c r="A1563" s="24"/>
      <c r="B1563" s="25"/>
      <c r="C1563" s="8"/>
    </row>
    <row r="1564">
      <c r="A1564" s="24"/>
      <c r="B1564" s="25"/>
      <c r="C1564" s="8"/>
    </row>
    <row r="1565">
      <c r="A1565" s="24"/>
      <c r="B1565" s="25"/>
      <c r="C1565" s="8"/>
    </row>
    <row r="1566">
      <c r="A1566" s="24"/>
      <c r="B1566" s="25"/>
      <c r="C1566" s="8"/>
    </row>
    <row r="1567">
      <c r="A1567" s="24"/>
      <c r="B1567" s="25"/>
      <c r="C1567" s="8"/>
    </row>
    <row r="1568">
      <c r="A1568" s="24"/>
      <c r="B1568" s="25"/>
      <c r="C1568" s="8"/>
    </row>
    <row r="1569">
      <c r="A1569" s="24"/>
      <c r="B1569" s="25"/>
      <c r="C1569" s="8"/>
    </row>
    <row r="1570">
      <c r="A1570" s="24"/>
      <c r="B1570" s="25"/>
      <c r="C1570" s="8"/>
    </row>
    <row r="1571">
      <c r="A1571" s="24"/>
      <c r="B1571" s="25"/>
      <c r="C1571" s="8"/>
    </row>
    <row r="1572">
      <c r="A1572" s="24"/>
      <c r="B1572" s="25"/>
      <c r="C1572" s="8"/>
    </row>
    <row r="1573">
      <c r="A1573" s="24"/>
      <c r="B1573" s="25"/>
      <c r="C1573" s="8"/>
    </row>
    <row r="1574">
      <c r="A1574" s="24"/>
      <c r="B1574" s="25"/>
      <c r="C1574" s="8"/>
    </row>
    <row r="1575">
      <c r="A1575" s="24"/>
      <c r="B1575" s="25"/>
      <c r="C1575" s="8"/>
    </row>
    <row r="1576">
      <c r="A1576" s="24"/>
      <c r="B1576" s="25"/>
      <c r="C1576" s="8"/>
    </row>
    <row r="1577">
      <c r="A1577" s="24"/>
      <c r="B1577" s="25"/>
      <c r="C1577" s="8"/>
    </row>
    <row r="1578">
      <c r="A1578" s="24"/>
      <c r="B1578" s="25"/>
      <c r="C1578" s="8"/>
    </row>
    <row r="1579">
      <c r="A1579" s="24"/>
      <c r="B1579" s="25"/>
      <c r="C1579" s="8"/>
    </row>
    <row r="1580">
      <c r="A1580" s="24"/>
      <c r="B1580" s="25"/>
      <c r="C1580" s="8"/>
    </row>
    <row r="1581">
      <c r="A1581" s="24"/>
      <c r="B1581" s="25"/>
      <c r="C1581" s="8"/>
    </row>
    <row r="1582">
      <c r="A1582" s="24"/>
      <c r="B1582" s="25"/>
      <c r="C1582" s="8"/>
    </row>
    <row r="1583">
      <c r="A1583" s="24"/>
      <c r="B1583" s="25"/>
      <c r="C1583" s="8"/>
    </row>
    <row r="1584">
      <c r="A1584" s="24"/>
      <c r="B1584" s="25"/>
      <c r="C1584" s="8"/>
    </row>
    <row r="1585">
      <c r="A1585" s="24"/>
      <c r="B1585" s="25"/>
      <c r="C1585" s="8"/>
    </row>
    <row r="1586">
      <c r="A1586" s="24"/>
      <c r="B1586" s="25"/>
      <c r="C1586" s="8"/>
    </row>
    <row r="1587">
      <c r="A1587" s="24"/>
      <c r="B1587" s="25"/>
      <c r="C1587" s="8"/>
    </row>
    <row r="1588">
      <c r="A1588" s="24"/>
      <c r="B1588" s="25"/>
      <c r="C1588" s="8"/>
    </row>
    <row r="1589">
      <c r="A1589" s="24"/>
      <c r="B1589" s="25"/>
      <c r="C1589" s="8"/>
    </row>
    <row r="1590">
      <c r="A1590" s="24"/>
      <c r="B1590" s="25"/>
      <c r="C1590" s="8"/>
    </row>
    <row r="1591">
      <c r="A1591" s="24"/>
      <c r="B1591" s="25"/>
      <c r="C1591" s="8"/>
    </row>
    <row r="1592">
      <c r="A1592" s="24"/>
      <c r="B1592" s="25"/>
      <c r="C1592" s="8"/>
    </row>
    <row r="1593">
      <c r="A1593" s="24"/>
      <c r="B1593" s="25"/>
      <c r="C1593" s="8"/>
    </row>
    <row r="1594">
      <c r="A1594" s="24"/>
      <c r="B1594" s="25"/>
      <c r="C1594" s="8"/>
    </row>
    <row r="1595">
      <c r="A1595" s="24"/>
      <c r="B1595" s="25"/>
      <c r="C1595" s="8"/>
    </row>
    <row r="1596">
      <c r="A1596" s="24"/>
      <c r="B1596" s="25"/>
      <c r="C1596" s="8"/>
    </row>
    <row r="1597">
      <c r="A1597" s="24"/>
      <c r="B1597" s="25"/>
      <c r="C1597" s="8"/>
    </row>
    <row r="1598">
      <c r="A1598" s="24"/>
      <c r="B1598" s="25"/>
      <c r="C1598" s="8"/>
    </row>
    <row r="1599">
      <c r="A1599" s="24"/>
      <c r="B1599" s="25"/>
      <c r="C1599" s="8"/>
    </row>
    <row r="1600">
      <c r="A1600" s="24"/>
      <c r="B1600" s="25"/>
      <c r="C1600" s="8"/>
    </row>
    <row r="1601">
      <c r="A1601" s="24"/>
      <c r="B1601" s="25"/>
      <c r="C1601" s="8"/>
    </row>
    <row r="1602">
      <c r="A1602" s="24"/>
      <c r="B1602" s="25"/>
      <c r="C1602" s="8"/>
    </row>
    <row r="1603">
      <c r="A1603" s="24"/>
      <c r="B1603" s="25"/>
      <c r="C1603" s="8"/>
    </row>
    <row r="1604">
      <c r="A1604" s="24"/>
      <c r="B1604" s="25"/>
      <c r="C1604" s="8"/>
    </row>
    <row r="1605">
      <c r="A1605" s="24"/>
      <c r="B1605" s="25"/>
      <c r="C1605" s="8"/>
    </row>
    <row r="1606">
      <c r="A1606" s="24"/>
      <c r="B1606" s="25"/>
      <c r="C1606" s="8"/>
    </row>
    <row r="1607">
      <c r="A1607" s="24"/>
      <c r="B1607" s="25"/>
      <c r="C1607" s="8"/>
    </row>
    <row r="1608">
      <c r="A1608" s="24"/>
      <c r="B1608" s="25"/>
      <c r="C1608" s="8"/>
    </row>
    <row r="1609">
      <c r="A1609" s="24"/>
      <c r="B1609" s="25"/>
      <c r="C1609" s="8"/>
    </row>
    <row r="1610">
      <c r="A1610" s="24"/>
      <c r="B1610" s="25"/>
      <c r="C1610" s="8"/>
    </row>
    <row r="1611">
      <c r="A1611" s="24"/>
      <c r="B1611" s="25"/>
      <c r="C1611" s="8"/>
    </row>
    <row r="1612">
      <c r="A1612" s="24"/>
      <c r="B1612" s="25"/>
      <c r="C1612" s="8"/>
    </row>
    <row r="1613">
      <c r="A1613" s="24"/>
      <c r="B1613" s="25"/>
      <c r="C1613" s="8"/>
    </row>
    <row r="1614">
      <c r="A1614" s="24"/>
      <c r="B1614" s="25"/>
      <c r="C1614" s="8"/>
    </row>
    <row r="1615">
      <c r="A1615" s="24"/>
      <c r="B1615" s="25"/>
      <c r="C1615" s="8"/>
    </row>
    <row r="1616">
      <c r="A1616" s="24"/>
      <c r="B1616" s="25"/>
      <c r="C1616" s="8"/>
    </row>
    <row r="1617">
      <c r="A1617" s="24"/>
      <c r="B1617" s="25"/>
      <c r="C1617" s="8"/>
    </row>
    <row r="1618">
      <c r="A1618" s="24"/>
      <c r="B1618" s="25"/>
      <c r="C1618" s="8"/>
    </row>
    <row r="1619">
      <c r="A1619" s="24"/>
      <c r="B1619" s="25"/>
      <c r="C1619" s="8"/>
    </row>
    <row r="1620">
      <c r="A1620" s="24"/>
      <c r="B1620" s="25"/>
      <c r="C1620" s="8"/>
    </row>
    <row r="1621">
      <c r="A1621" s="24"/>
      <c r="B1621" s="25"/>
      <c r="C1621" s="8"/>
    </row>
    <row r="1622">
      <c r="A1622" s="24"/>
      <c r="B1622" s="25"/>
      <c r="C1622" s="8"/>
    </row>
    <row r="1623">
      <c r="A1623" s="24"/>
      <c r="B1623" s="25"/>
      <c r="C1623" s="8"/>
    </row>
    <row r="1624">
      <c r="A1624" s="24"/>
      <c r="B1624" s="25"/>
      <c r="C1624" s="8"/>
    </row>
    <row r="1625">
      <c r="A1625" s="24"/>
      <c r="B1625" s="25"/>
      <c r="C1625" s="8"/>
    </row>
    <row r="1626">
      <c r="A1626" s="24"/>
      <c r="B1626" s="25"/>
      <c r="C1626" s="8"/>
    </row>
    <row r="1627">
      <c r="A1627" s="24"/>
      <c r="B1627" s="25"/>
      <c r="C1627" s="8"/>
    </row>
    <row r="1628">
      <c r="A1628" s="24"/>
      <c r="B1628" s="25"/>
      <c r="C1628" s="8"/>
    </row>
    <row r="1629">
      <c r="A1629" s="24"/>
      <c r="B1629" s="25"/>
      <c r="C1629" s="8"/>
    </row>
    <row r="1630">
      <c r="A1630" s="24"/>
      <c r="B1630" s="25"/>
      <c r="C1630" s="8"/>
    </row>
    <row r="1631">
      <c r="A1631" s="24"/>
      <c r="B1631" s="25"/>
      <c r="C1631" s="8"/>
    </row>
    <row r="1632">
      <c r="A1632" s="24"/>
      <c r="B1632" s="25"/>
      <c r="C1632" s="8"/>
    </row>
    <row r="1633">
      <c r="A1633" s="24"/>
      <c r="B1633" s="25"/>
      <c r="C1633" s="8"/>
    </row>
    <row r="1634">
      <c r="A1634" s="24"/>
      <c r="B1634" s="25"/>
      <c r="C1634" s="8"/>
    </row>
    <row r="1635">
      <c r="A1635" s="24"/>
      <c r="B1635" s="25"/>
      <c r="C1635" s="8"/>
    </row>
    <row r="1636">
      <c r="A1636" s="24"/>
      <c r="B1636" s="25"/>
      <c r="C1636" s="8"/>
    </row>
    <row r="1637">
      <c r="A1637" s="24"/>
      <c r="B1637" s="25"/>
      <c r="C1637" s="8"/>
    </row>
    <row r="1638">
      <c r="A1638" s="24"/>
      <c r="B1638" s="25"/>
      <c r="C1638" s="8"/>
    </row>
    <row r="1639">
      <c r="A1639" s="24"/>
      <c r="B1639" s="25"/>
      <c r="C1639" s="8"/>
    </row>
    <row r="1640">
      <c r="A1640" s="24"/>
      <c r="B1640" s="25"/>
      <c r="C1640" s="8"/>
    </row>
    <row r="1641">
      <c r="A1641" s="24"/>
      <c r="B1641" s="25"/>
      <c r="C1641" s="8"/>
    </row>
    <row r="1642">
      <c r="A1642" s="24"/>
      <c r="B1642" s="25"/>
      <c r="C1642" s="8"/>
    </row>
    <row r="1643">
      <c r="A1643" s="24"/>
      <c r="B1643" s="25"/>
      <c r="C1643" s="8"/>
    </row>
    <row r="1644">
      <c r="A1644" s="24"/>
      <c r="B1644" s="25"/>
      <c r="C1644" s="8"/>
    </row>
    <row r="1645">
      <c r="A1645" s="24"/>
      <c r="B1645" s="25"/>
      <c r="C1645" s="8"/>
    </row>
    <row r="1646">
      <c r="A1646" s="24"/>
      <c r="B1646" s="25"/>
      <c r="C1646" s="8"/>
    </row>
    <row r="1647">
      <c r="A1647" s="24"/>
      <c r="B1647" s="25"/>
      <c r="C1647" s="8"/>
    </row>
    <row r="1648">
      <c r="A1648" s="24"/>
      <c r="B1648" s="25"/>
      <c r="C1648" s="8"/>
    </row>
    <row r="1649">
      <c r="A1649" s="24"/>
      <c r="B1649" s="25"/>
      <c r="C1649" s="8"/>
    </row>
    <row r="1650">
      <c r="A1650" s="24"/>
      <c r="B1650" s="25"/>
      <c r="C1650" s="8"/>
    </row>
    <row r="1651">
      <c r="A1651" s="24"/>
      <c r="B1651" s="25"/>
      <c r="C1651" s="8"/>
    </row>
    <row r="1652">
      <c r="A1652" s="24"/>
      <c r="B1652" s="25"/>
      <c r="C1652" s="8"/>
    </row>
    <row r="1653">
      <c r="A1653" s="24"/>
      <c r="B1653" s="25"/>
      <c r="C1653" s="8"/>
    </row>
    <row r="1654">
      <c r="A1654" s="24"/>
      <c r="B1654" s="25"/>
      <c r="C1654" s="8"/>
    </row>
    <row r="1655">
      <c r="A1655" s="24"/>
      <c r="B1655" s="25"/>
      <c r="C1655" s="8"/>
    </row>
    <row r="1656">
      <c r="A1656" s="24"/>
      <c r="B1656" s="25"/>
      <c r="C1656" s="8"/>
    </row>
    <row r="1657">
      <c r="A1657" s="24"/>
      <c r="B1657" s="25"/>
      <c r="C1657" s="8"/>
    </row>
    <row r="1658">
      <c r="A1658" s="24"/>
      <c r="B1658" s="25"/>
      <c r="C1658" s="8"/>
    </row>
    <row r="1659">
      <c r="A1659" s="24"/>
      <c r="B1659" s="25"/>
      <c r="C1659" s="8"/>
    </row>
    <row r="1660">
      <c r="A1660" s="24"/>
      <c r="B1660" s="25"/>
      <c r="C1660" s="8"/>
    </row>
    <row r="1661">
      <c r="A1661" s="24"/>
      <c r="B1661" s="25"/>
      <c r="C1661" s="8"/>
    </row>
    <row r="1662">
      <c r="A1662" s="24"/>
      <c r="B1662" s="25"/>
      <c r="C1662" s="8"/>
    </row>
    <row r="1663">
      <c r="A1663" s="24"/>
      <c r="B1663" s="25"/>
      <c r="C1663" s="8"/>
    </row>
    <row r="1664">
      <c r="A1664" s="24"/>
      <c r="B1664" s="25"/>
      <c r="C1664" s="8"/>
    </row>
    <row r="1665">
      <c r="A1665" s="24"/>
      <c r="B1665" s="25"/>
      <c r="C1665" s="8"/>
    </row>
    <row r="1666">
      <c r="A1666" s="24"/>
      <c r="B1666" s="25"/>
      <c r="C1666" s="8"/>
    </row>
    <row r="1667">
      <c r="A1667" s="24"/>
      <c r="B1667" s="25"/>
      <c r="C1667" s="8"/>
    </row>
    <row r="1668">
      <c r="A1668" s="24"/>
      <c r="B1668" s="25"/>
      <c r="C1668" s="8"/>
    </row>
    <row r="1669">
      <c r="A1669" s="24"/>
      <c r="B1669" s="25"/>
      <c r="C1669" s="8"/>
    </row>
    <row r="1670">
      <c r="A1670" s="24"/>
      <c r="B1670" s="25"/>
      <c r="C1670" s="8"/>
    </row>
    <row r="1671">
      <c r="A1671" s="24"/>
      <c r="B1671" s="25"/>
      <c r="C1671" s="8"/>
    </row>
    <row r="1672">
      <c r="A1672" s="24"/>
      <c r="B1672" s="25"/>
      <c r="C1672" s="8"/>
    </row>
    <row r="1673">
      <c r="A1673" s="24"/>
      <c r="B1673" s="25"/>
      <c r="C1673" s="8"/>
    </row>
    <row r="1674">
      <c r="A1674" s="24"/>
      <c r="B1674" s="25"/>
      <c r="C1674" s="8"/>
    </row>
    <row r="1675">
      <c r="A1675" s="24"/>
      <c r="B1675" s="25"/>
      <c r="C1675" s="8"/>
    </row>
    <row r="1676">
      <c r="A1676" s="24"/>
      <c r="B1676" s="25"/>
      <c r="C1676" s="8"/>
    </row>
    <row r="1677">
      <c r="A1677" s="24"/>
      <c r="B1677" s="25"/>
      <c r="C1677" s="8"/>
    </row>
    <row r="1678">
      <c r="A1678" s="24"/>
      <c r="B1678" s="25"/>
      <c r="C1678" s="8"/>
    </row>
    <row r="1679">
      <c r="A1679" s="24"/>
      <c r="B1679" s="25"/>
      <c r="C1679" s="8"/>
    </row>
    <row r="1680">
      <c r="A1680" s="24"/>
      <c r="B1680" s="25"/>
      <c r="C1680" s="8"/>
    </row>
    <row r="1681">
      <c r="A1681" s="24"/>
      <c r="B1681" s="25"/>
      <c r="C1681" s="8"/>
    </row>
    <row r="1682">
      <c r="A1682" s="24"/>
      <c r="B1682" s="25"/>
      <c r="C1682" s="8"/>
    </row>
    <row r="1683">
      <c r="A1683" s="24"/>
      <c r="B1683" s="25"/>
      <c r="C1683" s="8"/>
    </row>
    <row r="1684">
      <c r="A1684" s="24"/>
      <c r="B1684" s="25"/>
      <c r="C1684" s="8"/>
    </row>
    <row r="1685">
      <c r="A1685" s="24"/>
      <c r="B1685" s="25"/>
      <c r="C1685" s="8"/>
    </row>
    <row r="1686">
      <c r="A1686" s="24"/>
      <c r="B1686" s="25"/>
      <c r="C1686" s="8"/>
    </row>
    <row r="1687">
      <c r="A1687" s="24"/>
      <c r="B1687" s="25"/>
      <c r="C1687" s="8"/>
    </row>
    <row r="1688">
      <c r="A1688" s="24"/>
      <c r="B1688" s="25"/>
      <c r="C1688" s="8"/>
    </row>
    <row r="1689">
      <c r="A1689" s="24"/>
      <c r="B1689" s="25"/>
      <c r="C1689" s="8"/>
    </row>
    <row r="1690">
      <c r="A1690" s="24"/>
      <c r="B1690" s="25"/>
      <c r="C1690" s="8"/>
    </row>
    <row r="1691">
      <c r="A1691" s="24"/>
      <c r="B1691" s="25"/>
      <c r="C1691" s="8"/>
    </row>
    <row r="1692">
      <c r="A1692" s="24"/>
      <c r="B1692" s="25"/>
      <c r="C1692" s="8"/>
    </row>
    <row r="1693">
      <c r="A1693" s="24"/>
      <c r="B1693" s="25"/>
      <c r="C1693" s="8"/>
    </row>
    <row r="1694">
      <c r="A1694" s="24"/>
      <c r="B1694" s="25"/>
      <c r="C1694" s="8"/>
    </row>
    <row r="1695">
      <c r="A1695" s="24"/>
      <c r="B1695" s="25"/>
      <c r="C1695" s="8"/>
    </row>
    <row r="1696">
      <c r="A1696" s="24"/>
      <c r="B1696" s="25"/>
      <c r="C1696" s="8"/>
    </row>
    <row r="1697">
      <c r="A1697" s="24"/>
      <c r="B1697" s="25"/>
      <c r="C1697" s="8"/>
    </row>
    <row r="1698">
      <c r="A1698" s="24"/>
      <c r="B1698" s="25"/>
      <c r="C1698" s="8"/>
    </row>
    <row r="1699">
      <c r="A1699" s="24"/>
      <c r="B1699" s="25"/>
      <c r="C1699" s="8"/>
    </row>
    <row r="1700">
      <c r="A1700" s="24"/>
      <c r="B1700" s="25"/>
      <c r="C1700" s="8"/>
    </row>
    <row r="1701">
      <c r="A1701" s="24"/>
      <c r="B1701" s="25"/>
      <c r="C1701" s="8"/>
    </row>
    <row r="1702">
      <c r="A1702" s="24"/>
      <c r="B1702" s="25"/>
      <c r="C1702" s="8"/>
    </row>
    <row r="1703">
      <c r="A1703" s="24"/>
      <c r="B1703" s="25"/>
      <c r="C1703" s="8"/>
    </row>
    <row r="1704">
      <c r="A1704" s="24"/>
      <c r="B1704" s="25"/>
      <c r="C1704" s="8"/>
    </row>
    <row r="1705">
      <c r="A1705" s="24"/>
      <c r="B1705" s="25"/>
      <c r="C1705" s="8"/>
    </row>
    <row r="1706">
      <c r="A1706" s="24"/>
      <c r="B1706" s="25"/>
      <c r="C1706" s="8"/>
    </row>
    <row r="1707">
      <c r="A1707" s="24"/>
      <c r="B1707" s="25"/>
      <c r="C1707" s="8"/>
    </row>
    <row r="1708">
      <c r="A1708" s="24"/>
      <c r="B1708" s="25"/>
      <c r="C1708" s="8"/>
    </row>
    <row r="1709">
      <c r="A1709" s="24"/>
      <c r="B1709" s="25"/>
      <c r="C1709" s="8"/>
    </row>
    <row r="1710">
      <c r="A1710" s="24"/>
      <c r="B1710" s="25"/>
      <c r="C1710" s="8"/>
    </row>
    <row r="1711">
      <c r="A1711" s="24"/>
      <c r="B1711" s="25"/>
      <c r="C1711" s="8"/>
    </row>
    <row r="1712">
      <c r="A1712" s="24"/>
      <c r="B1712" s="25"/>
      <c r="C1712" s="8"/>
    </row>
    <row r="1713">
      <c r="A1713" s="24"/>
      <c r="B1713" s="25"/>
      <c r="C1713" s="8"/>
    </row>
    <row r="1714">
      <c r="A1714" s="24"/>
      <c r="B1714" s="25"/>
      <c r="C1714" s="8"/>
    </row>
    <row r="1715">
      <c r="A1715" s="24"/>
      <c r="B1715" s="25"/>
      <c r="C1715" s="8"/>
    </row>
    <row r="1716">
      <c r="A1716" s="24"/>
      <c r="B1716" s="25"/>
      <c r="C1716" s="8"/>
    </row>
    <row r="1717">
      <c r="A1717" s="24"/>
      <c r="B1717" s="25"/>
      <c r="C1717" s="8"/>
    </row>
    <row r="1718">
      <c r="A1718" s="24"/>
      <c r="B1718" s="25"/>
      <c r="C1718" s="8"/>
    </row>
    <row r="1719">
      <c r="A1719" s="24"/>
      <c r="B1719" s="25"/>
      <c r="C1719" s="8"/>
    </row>
    <row r="1720">
      <c r="A1720" s="24"/>
      <c r="B1720" s="25"/>
      <c r="C1720" s="8"/>
    </row>
    <row r="1721">
      <c r="A1721" s="24"/>
      <c r="B1721" s="25"/>
      <c r="C1721" s="8"/>
    </row>
    <row r="1722">
      <c r="A1722" s="24"/>
      <c r="B1722" s="25"/>
      <c r="C1722" s="8"/>
    </row>
    <row r="1723">
      <c r="A1723" s="24"/>
      <c r="B1723" s="25"/>
      <c r="C1723" s="8"/>
    </row>
    <row r="1724">
      <c r="A1724" s="24"/>
      <c r="B1724" s="25"/>
      <c r="C1724" s="8"/>
    </row>
    <row r="1725">
      <c r="A1725" s="24"/>
      <c r="B1725" s="25"/>
      <c r="C1725" s="8"/>
    </row>
    <row r="1726">
      <c r="A1726" s="24"/>
      <c r="B1726" s="25"/>
      <c r="C1726" s="8"/>
    </row>
    <row r="1727">
      <c r="A1727" s="24"/>
      <c r="B1727" s="25"/>
      <c r="C1727" s="8"/>
    </row>
    <row r="1728">
      <c r="A1728" s="24"/>
      <c r="B1728" s="25"/>
      <c r="C1728" s="8"/>
    </row>
    <row r="1729">
      <c r="A1729" s="24"/>
      <c r="B1729" s="25"/>
      <c r="C1729" s="8"/>
    </row>
    <row r="1730">
      <c r="A1730" s="24"/>
      <c r="B1730" s="25"/>
      <c r="C1730" s="8"/>
    </row>
    <row r="1731">
      <c r="A1731" s="24"/>
      <c r="B1731" s="25"/>
      <c r="C1731" s="8"/>
    </row>
    <row r="1732">
      <c r="A1732" s="24"/>
      <c r="B1732" s="25"/>
      <c r="C1732" s="8"/>
    </row>
    <row r="1733">
      <c r="A1733" s="24"/>
      <c r="B1733" s="25"/>
      <c r="C1733" s="8"/>
    </row>
    <row r="1734">
      <c r="A1734" s="24"/>
      <c r="B1734" s="25"/>
      <c r="C1734" s="8"/>
    </row>
    <row r="1735">
      <c r="A1735" s="24"/>
      <c r="B1735" s="25"/>
      <c r="C1735" s="8"/>
    </row>
    <row r="1736">
      <c r="A1736" s="24"/>
      <c r="B1736" s="25"/>
      <c r="C1736" s="8"/>
    </row>
    <row r="1737">
      <c r="A1737" s="24"/>
      <c r="B1737" s="25"/>
      <c r="C1737" s="8"/>
    </row>
    <row r="1738">
      <c r="A1738" s="24"/>
      <c r="B1738" s="25"/>
      <c r="C1738" s="8"/>
    </row>
    <row r="1739">
      <c r="A1739" s="24"/>
      <c r="B1739" s="25"/>
      <c r="C1739" s="8"/>
    </row>
    <row r="1740">
      <c r="A1740" s="24"/>
      <c r="B1740" s="25"/>
      <c r="C1740" s="8"/>
    </row>
    <row r="1741">
      <c r="A1741" s="24"/>
      <c r="B1741" s="25"/>
      <c r="C1741" s="8"/>
    </row>
    <row r="1742">
      <c r="A1742" s="24"/>
      <c r="B1742" s="25"/>
      <c r="C1742" s="8"/>
    </row>
    <row r="1743">
      <c r="A1743" s="24"/>
      <c r="B1743" s="25"/>
      <c r="C1743" s="8"/>
    </row>
    <row r="1744">
      <c r="A1744" s="24"/>
      <c r="B1744" s="25"/>
      <c r="C1744" s="8"/>
    </row>
    <row r="1745">
      <c r="A1745" s="24"/>
      <c r="B1745" s="25"/>
      <c r="C1745" s="8"/>
    </row>
    <row r="1746">
      <c r="A1746" s="24"/>
      <c r="B1746" s="25"/>
      <c r="C1746" s="8"/>
    </row>
    <row r="1747">
      <c r="A1747" s="24"/>
      <c r="B1747" s="25"/>
      <c r="C1747" s="8"/>
    </row>
    <row r="1748">
      <c r="A1748" s="24"/>
      <c r="B1748" s="25"/>
      <c r="C1748" s="8"/>
    </row>
    <row r="1749">
      <c r="A1749" s="24"/>
      <c r="B1749" s="25"/>
      <c r="C1749" s="8"/>
    </row>
    <row r="1750">
      <c r="A1750" s="24"/>
      <c r="B1750" s="25"/>
      <c r="C1750" s="8"/>
    </row>
    <row r="1751">
      <c r="A1751" s="24"/>
      <c r="B1751" s="25"/>
      <c r="C1751" s="8"/>
    </row>
    <row r="1752">
      <c r="A1752" s="24"/>
      <c r="B1752" s="25"/>
      <c r="C1752" s="8"/>
    </row>
    <row r="1753">
      <c r="A1753" s="24"/>
      <c r="B1753" s="25"/>
      <c r="C1753" s="8"/>
    </row>
    <row r="1754">
      <c r="A1754" s="24"/>
      <c r="B1754" s="25"/>
      <c r="C1754" s="8"/>
    </row>
    <row r="1755">
      <c r="A1755" s="24"/>
      <c r="B1755" s="25"/>
      <c r="C1755" s="8"/>
    </row>
    <row r="1756">
      <c r="A1756" s="24"/>
      <c r="B1756" s="25"/>
      <c r="C1756" s="8"/>
    </row>
    <row r="1757">
      <c r="A1757" s="24"/>
      <c r="B1757" s="25"/>
      <c r="C1757" s="8"/>
    </row>
    <row r="1758">
      <c r="A1758" s="24"/>
      <c r="B1758" s="25"/>
      <c r="C1758" s="8"/>
    </row>
    <row r="1759">
      <c r="A1759" s="24"/>
      <c r="B1759" s="25"/>
      <c r="C1759" s="8"/>
    </row>
    <row r="1760">
      <c r="A1760" s="24"/>
      <c r="B1760" s="25"/>
      <c r="C1760" s="8"/>
    </row>
    <row r="1761">
      <c r="A1761" s="24"/>
      <c r="B1761" s="25"/>
      <c r="C1761" s="8"/>
    </row>
    <row r="1762">
      <c r="A1762" s="24"/>
      <c r="B1762" s="25"/>
      <c r="C1762" s="8"/>
    </row>
    <row r="1763">
      <c r="A1763" s="24"/>
      <c r="B1763" s="25"/>
      <c r="C1763" s="8"/>
    </row>
    <row r="1764">
      <c r="A1764" s="24"/>
      <c r="B1764" s="25"/>
      <c r="C1764" s="8"/>
    </row>
    <row r="1765">
      <c r="A1765" s="24"/>
      <c r="B1765" s="25"/>
      <c r="C1765" s="8"/>
    </row>
    <row r="1766">
      <c r="A1766" s="24"/>
      <c r="B1766" s="25"/>
      <c r="C1766" s="8"/>
    </row>
    <row r="1767">
      <c r="A1767" s="24"/>
      <c r="B1767" s="25"/>
      <c r="C1767" s="8"/>
    </row>
    <row r="1768">
      <c r="A1768" s="24"/>
      <c r="B1768" s="25"/>
      <c r="C1768" s="8"/>
    </row>
    <row r="1769">
      <c r="A1769" s="24"/>
      <c r="B1769" s="25"/>
      <c r="C1769" s="8"/>
    </row>
    <row r="1770">
      <c r="A1770" s="24"/>
      <c r="B1770" s="25"/>
      <c r="C1770" s="8"/>
    </row>
    <row r="1771">
      <c r="A1771" s="24"/>
      <c r="B1771" s="25"/>
      <c r="C1771" s="8"/>
    </row>
    <row r="1772">
      <c r="A1772" s="24"/>
      <c r="B1772" s="25"/>
      <c r="C1772" s="8"/>
    </row>
    <row r="1773">
      <c r="A1773" s="24"/>
      <c r="B1773" s="25"/>
      <c r="C1773" s="8"/>
    </row>
    <row r="1774">
      <c r="A1774" s="24"/>
      <c r="B1774" s="25"/>
      <c r="C1774" s="8"/>
    </row>
    <row r="1775">
      <c r="A1775" s="24"/>
      <c r="B1775" s="25"/>
      <c r="C1775" s="8"/>
    </row>
    <row r="1776">
      <c r="A1776" s="24"/>
      <c r="B1776" s="25"/>
      <c r="C1776" s="8"/>
    </row>
    <row r="1777">
      <c r="A1777" s="24"/>
      <c r="B1777" s="25"/>
      <c r="C1777" s="8"/>
    </row>
    <row r="1778">
      <c r="A1778" s="24"/>
      <c r="B1778" s="25"/>
      <c r="C1778" s="8"/>
    </row>
    <row r="1779">
      <c r="A1779" s="24"/>
      <c r="B1779" s="25"/>
      <c r="C1779" s="8"/>
    </row>
    <row r="1780">
      <c r="A1780" s="24"/>
      <c r="B1780" s="25"/>
      <c r="C1780" s="8"/>
    </row>
    <row r="1781">
      <c r="A1781" s="24"/>
      <c r="B1781" s="25"/>
      <c r="C1781" s="8"/>
    </row>
    <row r="1782">
      <c r="A1782" s="24"/>
      <c r="B1782" s="25"/>
      <c r="C1782" s="8"/>
    </row>
    <row r="1783">
      <c r="A1783" s="24"/>
      <c r="B1783" s="25"/>
      <c r="C1783" s="8"/>
    </row>
    <row r="1784">
      <c r="A1784" s="24"/>
      <c r="B1784" s="25"/>
      <c r="C1784" s="8"/>
    </row>
    <row r="1785">
      <c r="A1785" s="24"/>
      <c r="B1785" s="25"/>
      <c r="C1785" s="8"/>
    </row>
    <row r="1786">
      <c r="A1786" s="24"/>
      <c r="B1786" s="25"/>
      <c r="C1786" s="8"/>
    </row>
    <row r="1787">
      <c r="A1787" s="24"/>
      <c r="B1787" s="25"/>
      <c r="C1787" s="8"/>
    </row>
    <row r="1788">
      <c r="A1788" s="24"/>
      <c r="B1788" s="25"/>
      <c r="C1788" s="8"/>
    </row>
    <row r="1789">
      <c r="A1789" s="24"/>
      <c r="B1789" s="25"/>
      <c r="C1789" s="8"/>
    </row>
    <row r="1790">
      <c r="A1790" s="24"/>
      <c r="B1790" s="25"/>
      <c r="C1790" s="8"/>
    </row>
    <row r="1791">
      <c r="A1791" s="24"/>
      <c r="B1791" s="25"/>
      <c r="C1791" s="8"/>
    </row>
    <row r="1792">
      <c r="A1792" s="24"/>
      <c r="B1792" s="25"/>
      <c r="C1792" s="8"/>
    </row>
    <row r="1793">
      <c r="A1793" s="24"/>
      <c r="B1793" s="25"/>
      <c r="C1793" s="8"/>
    </row>
    <row r="1794">
      <c r="A1794" s="24"/>
      <c r="B1794" s="25"/>
      <c r="C1794" s="8"/>
    </row>
    <row r="1795">
      <c r="A1795" s="24"/>
      <c r="B1795" s="25"/>
      <c r="C1795" s="8"/>
    </row>
    <row r="1796">
      <c r="A1796" s="24"/>
      <c r="B1796" s="25"/>
      <c r="C1796" s="8"/>
    </row>
    <row r="1797">
      <c r="A1797" s="24"/>
      <c r="B1797" s="25"/>
      <c r="C1797" s="8"/>
    </row>
    <row r="1798">
      <c r="A1798" s="24"/>
      <c r="B1798" s="25"/>
      <c r="C1798" s="8"/>
    </row>
    <row r="1799">
      <c r="A1799" s="24"/>
      <c r="B1799" s="25"/>
      <c r="C1799" s="8"/>
    </row>
    <row r="1800">
      <c r="A1800" s="24"/>
      <c r="B1800" s="25"/>
      <c r="C1800" s="8"/>
    </row>
    <row r="1801">
      <c r="A1801" s="24"/>
      <c r="B1801" s="25"/>
      <c r="C1801" s="8"/>
    </row>
    <row r="1802">
      <c r="A1802" s="24"/>
      <c r="B1802" s="25"/>
      <c r="C1802" s="8"/>
    </row>
    <row r="1803">
      <c r="A1803" s="24"/>
      <c r="B1803" s="25"/>
      <c r="C1803" s="8"/>
    </row>
    <row r="1804">
      <c r="A1804" s="24"/>
      <c r="B1804" s="25"/>
      <c r="C1804" s="8"/>
    </row>
    <row r="1805">
      <c r="A1805" s="24"/>
      <c r="B1805" s="25"/>
      <c r="C1805" s="8"/>
    </row>
    <row r="1806">
      <c r="A1806" s="24"/>
      <c r="B1806" s="25"/>
      <c r="C1806" s="8"/>
    </row>
    <row r="1807">
      <c r="A1807" s="24"/>
      <c r="B1807" s="25"/>
      <c r="C1807" s="8"/>
    </row>
    <row r="1808">
      <c r="A1808" s="24"/>
      <c r="B1808" s="25"/>
      <c r="C1808" s="8"/>
    </row>
    <row r="1809">
      <c r="A1809" s="24"/>
      <c r="B1809" s="25"/>
      <c r="C1809" s="8"/>
    </row>
    <row r="1810">
      <c r="A1810" s="24"/>
      <c r="B1810" s="25"/>
      <c r="C1810" s="8"/>
    </row>
    <row r="1811">
      <c r="A1811" s="24"/>
      <c r="B1811" s="25"/>
      <c r="C1811" s="8"/>
    </row>
    <row r="1812">
      <c r="A1812" s="24"/>
      <c r="B1812" s="25"/>
      <c r="C1812" s="8"/>
    </row>
    <row r="1813">
      <c r="A1813" s="24"/>
      <c r="B1813" s="25"/>
      <c r="C1813" s="8"/>
    </row>
    <row r="1814">
      <c r="A1814" s="24"/>
      <c r="B1814" s="25"/>
      <c r="C1814" s="8"/>
    </row>
    <row r="1815">
      <c r="A1815" s="24"/>
      <c r="B1815" s="25"/>
      <c r="C1815" s="8"/>
    </row>
    <row r="1816">
      <c r="A1816" s="24"/>
      <c r="B1816" s="25"/>
      <c r="C1816" s="8"/>
    </row>
    <row r="1817">
      <c r="A1817" s="24"/>
      <c r="B1817" s="25"/>
      <c r="C1817" s="8"/>
    </row>
    <row r="1818">
      <c r="A1818" s="24"/>
      <c r="B1818" s="25"/>
      <c r="C1818" s="8"/>
    </row>
    <row r="1819">
      <c r="A1819" s="24"/>
      <c r="B1819" s="25"/>
      <c r="C1819" s="8"/>
    </row>
    <row r="1820">
      <c r="A1820" s="24"/>
      <c r="B1820" s="25"/>
      <c r="C1820" s="8"/>
    </row>
    <row r="1821">
      <c r="A1821" s="24"/>
      <c r="B1821" s="25"/>
      <c r="C1821" s="8"/>
    </row>
    <row r="1822">
      <c r="A1822" s="24"/>
      <c r="B1822" s="25"/>
      <c r="C1822" s="8"/>
    </row>
    <row r="1823">
      <c r="A1823" s="24"/>
      <c r="B1823" s="25"/>
      <c r="C1823" s="8"/>
    </row>
    <row r="1824">
      <c r="A1824" s="24"/>
      <c r="B1824" s="25"/>
      <c r="C1824" s="8"/>
    </row>
    <row r="1825">
      <c r="A1825" s="24"/>
      <c r="B1825" s="25"/>
      <c r="C1825" s="8"/>
    </row>
    <row r="1826">
      <c r="A1826" s="24"/>
      <c r="B1826" s="25"/>
      <c r="C1826" s="8"/>
    </row>
    <row r="1827">
      <c r="A1827" s="24"/>
      <c r="B1827" s="25"/>
      <c r="C1827" s="8"/>
    </row>
    <row r="1828">
      <c r="A1828" s="24"/>
      <c r="B1828" s="25"/>
      <c r="C1828" s="8"/>
    </row>
    <row r="1829">
      <c r="A1829" s="24"/>
      <c r="B1829" s="25"/>
      <c r="C1829" s="8"/>
    </row>
    <row r="1830">
      <c r="A1830" s="24"/>
      <c r="B1830" s="25"/>
      <c r="C1830" s="8"/>
    </row>
    <row r="1831">
      <c r="A1831" s="24"/>
      <c r="B1831" s="25"/>
      <c r="C1831" s="8"/>
    </row>
    <row r="1832">
      <c r="A1832" s="24"/>
      <c r="B1832" s="25"/>
      <c r="C1832" s="8"/>
    </row>
    <row r="1833">
      <c r="A1833" s="24"/>
      <c r="B1833" s="25"/>
      <c r="C1833" s="8"/>
    </row>
    <row r="1834">
      <c r="A1834" s="24"/>
      <c r="B1834" s="25"/>
      <c r="C1834" s="8"/>
    </row>
    <row r="1835">
      <c r="A1835" s="24"/>
      <c r="B1835" s="25"/>
      <c r="C1835" s="8"/>
    </row>
    <row r="1836">
      <c r="A1836" s="24"/>
      <c r="B1836" s="25"/>
      <c r="C1836" s="8"/>
    </row>
    <row r="1837">
      <c r="A1837" s="24"/>
      <c r="B1837" s="25"/>
      <c r="C1837" s="8"/>
    </row>
    <row r="1838">
      <c r="A1838" s="24"/>
      <c r="B1838" s="25"/>
      <c r="C1838" s="8"/>
    </row>
    <row r="1839">
      <c r="A1839" s="24"/>
      <c r="B1839" s="25"/>
      <c r="C1839" s="8"/>
    </row>
    <row r="1840">
      <c r="A1840" s="24"/>
      <c r="B1840" s="25"/>
      <c r="C1840" s="8"/>
    </row>
    <row r="1841">
      <c r="A1841" s="24"/>
      <c r="B1841" s="25"/>
      <c r="C1841" s="8"/>
    </row>
    <row r="1842">
      <c r="A1842" s="24"/>
      <c r="B1842" s="25"/>
      <c r="C1842" s="8"/>
    </row>
    <row r="1843">
      <c r="A1843" s="24"/>
      <c r="B1843" s="25"/>
      <c r="C1843" s="8"/>
    </row>
    <row r="1844">
      <c r="A1844" s="24"/>
      <c r="B1844" s="25"/>
      <c r="C1844" s="8"/>
    </row>
    <row r="1845">
      <c r="A1845" s="24"/>
      <c r="B1845" s="25"/>
      <c r="C1845" s="8"/>
    </row>
    <row r="1846">
      <c r="A1846" s="24"/>
      <c r="B1846" s="25"/>
      <c r="C1846" s="8"/>
    </row>
    <row r="1847">
      <c r="A1847" s="24"/>
      <c r="B1847" s="25"/>
      <c r="C1847" s="8"/>
    </row>
    <row r="1848">
      <c r="A1848" s="24"/>
      <c r="B1848" s="25"/>
      <c r="C1848" s="8"/>
    </row>
    <row r="1849">
      <c r="A1849" s="24"/>
      <c r="B1849" s="25"/>
      <c r="C1849" s="8"/>
    </row>
    <row r="1850">
      <c r="A1850" s="24"/>
      <c r="B1850" s="25"/>
      <c r="C1850" s="8"/>
    </row>
    <row r="1851">
      <c r="A1851" s="24"/>
      <c r="B1851" s="25"/>
      <c r="C1851" s="8"/>
    </row>
    <row r="1852">
      <c r="A1852" s="24"/>
      <c r="B1852" s="25"/>
      <c r="C1852" s="8"/>
    </row>
    <row r="1853">
      <c r="A1853" s="24"/>
      <c r="B1853" s="25"/>
      <c r="C1853" s="8"/>
    </row>
    <row r="1854">
      <c r="A1854" s="24"/>
      <c r="B1854" s="25"/>
      <c r="C1854" s="8"/>
    </row>
    <row r="1855">
      <c r="A1855" s="24"/>
      <c r="B1855" s="25"/>
      <c r="C1855" s="8"/>
    </row>
    <row r="1856">
      <c r="A1856" s="24"/>
      <c r="B1856" s="25"/>
      <c r="C1856" s="8"/>
    </row>
    <row r="1857">
      <c r="A1857" s="24"/>
      <c r="B1857" s="25"/>
      <c r="C1857" s="8"/>
    </row>
    <row r="1858">
      <c r="A1858" s="24"/>
      <c r="B1858" s="25"/>
      <c r="C1858" s="8"/>
    </row>
    <row r="1859">
      <c r="A1859" s="24"/>
      <c r="B1859" s="25"/>
      <c r="C1859" s="8"/>
    </row>
    <row r="1860">
      <c r="A1860" s="24"/>
      <c r="B1860" s="25"/>
      <c r="C1860" s="8"/>
    </row>
    <row r="1861">
      <c r="A1861" s="24"/>
      <c r="B1861" s="25"/>
      <c r="C1861" s="8"/>
    </row>
    <row r="1862">
      <c r="A1862" s="24"/>
      <c r="B1862" s="25"/>
      <c r="C1862" s="8"/>
    </row>
    <row r="1863">
      <c r="A1863" s="24"/>
      <c r="B1863" s="25"/>
      <c r="C1863" s="8"/>
    </row>
    <row r="1864">
      <c r="A1864" s="24"/>
      <c r="B1864" s="25"/>
      <c r="C1864" s="8"/>
    </row>
    <row r="1865">
      <c r="A1865" s="24"/>
      <c r="B1865" s="25"/>
      <c r="C1865" s="8"/>
    </row>
    <row r="1866">
      <c r="A1866" s="24"/>
      <c r="B1866" s="25"/>
      <c r="C1866" s="8"/>
    </row>
    <row r="1867">
      <c r="A1867" s="24"/>
      <c r="B1867" s="25"/>
      <c r="C1867" s="8"/>
    </row>
    <row r="1868">
      <c r="A1868" s="24"/>
      <c r="B1868" s="25"/>
      <c r="C1868" s="8"/>
    </row>
    <row r="1869">
      <c r="A1869" s="24"/>
      <c r="B1869" s="25"/>
      <c r="C1869" s="8"/>
    </row>
    <row r="1870">
      <c r="A1870" s="24"/>
      <c r="B1870" s="25"/>
      <c r="C1870" s="8"/>
    </row>
    <row r="1871">
      <c r="A1871" s="24"/>
      <c r="B1871" s="25"/>
      <c r="C1871" s="8"/>
    </row>
    <row r="1872">
      <c r="A1872" s="24"/>
      <c r="B1872" s="25"/>
      <c r="C1872" s="8"/>
    </row>
    <row r="1873">
      <c r="A1873" s="24"/>
      <c r="B1873" s="25"/>
      <c r="C1873" s="8"/>
    </row>
    <row r="1874">
      <c r="A1874" s="24"/>
      <c r="B1874" s="25"/>
      <c r="C1874" s="8"/>
    </row>
    <row r="1875">
      <c r="A1875" s="24"/>
      <c r="B1875" s="25"/>
      <c r="C1875" s="8"/>
    </row>
    <row r="1876">
      <c r="A1876" s="24"/>
      <c r="B1876" s="25"/>
      <c r="C1876" s="8"/>
    </row>
    <row r="1877">
      <c r="A1877" s="24"/>
      <c r="B1877" s="25"/>
      <c r="C1877" s="8"/>
    </row>
    <row r="1878">
      <c r="A1878" s="24"/>
      <c r="B1878" s="25"/>
      <c r="C1878" s="8"/>
    </row>
    <row r="1879">
      <c r="A1879" s="24"/>
      <c r="B1879" s="25"/>
      <c r="C1879" s="8"/>
    </row>
    <row r="1880">
      <c r="A1880" s="24"/>
      <c r="B1880" s="25"/>
      <c r="C1880" s="8"/>
    </row>
    <row r="1881">
      <c r="A1881" s="24"/>
      <c r="B1881" s="25"/>
      <c r="C1881" s="8"/>
    </row>
    <row r="1882">
      <c r="A1882" s="24"/>
      <c r="B1882" s="25"/>
      <c r="C1882" s="8"/>
    </row>
    <row r="1883">
      <c r="A1883" s="24"/>
      <c r="B1883" s="25"/>
      <c r="C1883" s="8"/>
    </row>
    <row r="1884">
      <c r="A1884" s="24"/>
      <c r="B1884" s="25"/>
      <c r="C1884" s="8"/>
    </row>
    <row r="1885">
      <c r="A1885" s="24"/>
      <c r="B1885" s="25"/>
      <c r="C1885" s="8"/>
    </row>
    <row r="1886">
      <c r="A1886" s="24"/>
      <c r="B1886" s="25"/>
      <c r="C1886" s="8"/>
    </row>
    <row r="1887">
      <c r="A1887" s="24"/>
      <c r="B1887" s="25"/>
      <c r="C1887" s="8"/>
    </row>
    <row r="1888">
      <c r="A1888" s="24"/>
      <c r="B1888" s="25"/>
      <c r="C1888" s="8"/>
    </row>
    <row r="1889">
      <c r="A1889" s="24"/>
      <c r="B1889" s="25"/>
      <c r="C1889" s="8"/>
    </row>
    <row r="1890">
      <c r="A1890" s="24"/>
      <c r="B1890" s="25"/>
      <c r="C1890" s="8"/>
    </row>
    <row r="1891">
      <c r="A1891" s="24"/>
      <c r="B1891" s="25"/>
      <c r="C1891" s="8"/>
    </row>
    <row r="1892">
      <c r="A1892" s="24"/>
      <c r="B1892" s="25"/>
      <c r="C1892" s="8"/>
    </row>
    <row r="1893">
      <c r="A1893" s="24"/>
      <c r="B1893" s="25"/>
      <c r="C1893" s="8"/>
    </row>
    <row r="1894">
      <c r="A1894" s="24"/>
      <c r="B1894" s="25"/>
      <c r="C1894" s="8"/>
    </row>
    <row r="1895">
      <c r="A1895" s="24"/>
      <c r="B1895" s="25"/>
      <c r="C1895" s="8"/>
    </row>
    <row r="1896">
      <c r="A1896" s="24"/>
      <c r="B1896" s="25"/>
      <c r="C1896" s="8"/>
    </row>
    <row r="1897">
      <c r="A1897" s="24"/>
      <c r="B1897" s="25"/>
      <c r="C1897" s="8"/>
    </row>
    <row r="1898">
      <c r="A1898" s="24"/>
      <c r="B1898" s="25"/>
      <c r="C1898" s="8"/>
    </row>
    <row r="1899">
      <c r="A1899" s="24"/>
      <c r="B1899" s="25"/>
      <c r="C1899" s="8"/>
    </row>
    <row r="1900">
      <c r="A1900" s="24"/>
      <c r="B1900" s="25"/>
      <c r="C1900" s="8"/>
    </row>
    <row r="1901">
      <c r="A1901" s="24"/>
      <c r="B1901" s="25"/>
      <c r="C1901" s="8"/>
    </row>
    <row r="1902">
      <c r="A1902" s="24"/>
      <c r="B1902" s="25"/>
      <c r="C1902" s="8"/>
    </row>
    <row r="1903">
      <c r="A1903" s="24"/>
      <c r="B1903" s="25"/>
      <c r="C1903" s="8"/>
    </row>
    <row r="1904">
      <c r="A1904" s="24"/>
      <c r="B1904" s="25"/>
      <c r="C1904" s="8"/>
    </row>
    <row r="1905">
      <c r="A1905" s="24"/>
      <c r="B1905" s="25"/>
      <c r="C1905" s="8"/>
    </row>
    <row r="1906">
      <c r="A1906" s="24"/>
      <c r="B1906" s="25"/>
      <c r="C1906" s="8"/>
    </row>
    <row r="1907">
      <c r="A1907" s="24"/>
      <c r="B1907" s="25"/>
      <c r="C1907" s="8"/>
    </row>
    <row r="1908">
      <c r="A1908" s="24"/>
      <c r="B1908" s="25"/>
      <c r="C1908" s="8"/>
    </row>
    <row r="1909">
      <c r="A1909" s="24"/>
      <c r="B1909" s="25"/>
      <c r="C1909" s="8"/>
    </row>
    <row r="1910">
      <c r="A1910" s="24"/>
      <c r="B1910" s="25"/>
      <c r="C1910" s="8"/>
    </row>
    <row r="1911">
      <c r="A1911" s="24"/>
      <c r="B1911" s="25"/>
      <c r="C1911" s="8"/>
    </row>
    <row r="1912">
      <c r="A1912" s="24"/>
      <c r="B1912" s="25"/>
      <c r="C1912" s="8"/>
    </row>
    <row r="1913">
      <c r="A1913" s="24"/>
      <c r="B1913" s="25"/>
      <c r="C1913" s="8"/>
    </row>
    <row r="1914">
      <c r="A1914" s="24"/>
      <c r="B1914" s="25"/>
      <c r="C1914" s="8"/>
    </row>
    <row r="1915">
      <c r="A1915" s="24"/>
      <c r="B1915" s="25"/>
      <c r="C1915" s="8"/>
    </row>
    <row r="1916">
      <c r="A1916" s="24"/>
      <c r="B1916" s="25"/>
      <c r="C1916" s="8"/>
    </row>
    <row r="1917">
      <c r="A1917" s="24"/>
      <c r="B1917" s="25"/>
      <c r="C1917" s="8"/>
    </row>
    <row r="1918">
      <c r="A1918" s="24"/>
      <c r="B1918" s="25"/>
      <c r="C1918" s="8"/>
    </row>
    <row r="1919">
      <c r="A1919" s="24"/>
      <c r="B1919" s="25"/>
      <c r="C1919" s="8"/>
    </row>
    <row r="1920">
      <c r="A1920" s="24"/>
      <c r="B1920" s="25"/>
      <c r="C1920" s="8"/>
    </row>
    <row r="1921">
      <c r="A1921" s="24"/>
      <c r="B1921" s="25"/>
      <c r="C1921" s="8"/>
    </row>
    <row r="1922">
      <c r="A1922" s="24"/>
      <c r="B1922" s="25"/>
      <c r="C1922" s="8"/>
    </row>
    <row r="1923">
      <c r="A1923" s="24"/>
      <c r="B1923" s="25"/>
      <c r="C1923" s="8"/>
    </row>
    <row r="1924">
      <c r="A1924" s="24"/>
      <c r="B1924" s="25"/>
      <c r="C1924" s="8"/>
    </row>
    <row r="1925">
      <c r="A1925" s="24"/>
      <c r="B1925" s="25"/>
      <c r="C1925" s="8"/>
    </row>
    <row r="1926">
      <c r="A1926" s="24"/>
      <c r="B1926" s="25"/>
      <c r="C1926" s="8"/>
    </row>
    <row r="1927">
      <c r="A1927" s="24"/>
      <c r="B1927" s="25"/>
      <c r="C1927" s="8"/>
    </row>
    <row r="1928">
      <c r="A1928" s="24"/>
      <c r="B1928" s="25"/>
      <c r="C1928" s="8"/>
    </row>
    <row r="1929">
      <c r="A1929" s="24"/>
      <c r="B1929" s="25"/>
      <c r="C1929" s="8"/>
    </row>
    <row r="1930">
      <c r="A1930" s="24"/>
      <c r="B1930" s="25"/>
      <c r="C1930" s="8"/>
    </row>
    <row r="1931">
      <c r="A1931" s="24"/>
      <c r="B1931" s="25"/>
      <c r="C1931" s="8"/>
    </row>
    <row r="1932">
      <c r="A1932" s="24"/>
      <c r="B1932" s="25"/>
      <c r="C1932" s="8"/>
    </row>
    <row r="1933">
      <c r="A1933" s="24"/>
      <c r="B1933" s="25"/>
      <c r="C1933" s="8"/>
    </row>
    <row r="1934">
      <c r="A1934" s="24"/>
      <c r="B1934" s="25"/>
      <c r="C1934" s="8"/>
    </row>
    <row r="1935">
      <c r="A1935" s="24"/>
      <c r="B1935" s="25"/>
      <c r="C1935" s="8"/>
    </row>
    <row r="1936">
      <c r="A1936" s="24"/>
      <c r="B1936" s="25"/>
      <c r="C1936" s="8"/>
    </row>
    <row r="1937">
      <c r="A1937" s="24"/>
      <c r="B1937" s="25"/>
      <c r="C1937" s="8"/>
    </row>
    <row r="1938">
      <c r="A1938" s="24"/>
      <c r="B1938" s="25"/>
      <c r="C1938" s="8"/>
    </row>
    <row r="1939">
      <c r="A1939" s="24"/>
      <c r="B1939" s="25"/>
      <c r="C1939" s="8"/>
    </row>
    <row r="1940">
      <c r="A1940" s="24"/>
      <c r="B1940" s="25"/>
      <c r="C1940" s="8"/>
    </row>
    <row r="1941">
      <c r="A1941" s="24"/>
      <c r="B1941" s="25"/>
      <c r="C1941" s="8"/>
    </row>
    <row r="1942">
      <c r="A1942" s="24"/>
      <c r="B1942" s="25"/>
      <c r="C1942" s="8"/>
    </row>
    <row r="1943">
      <c r="A1943" s="24"/>
      <c r="B1943" s="25"/>
      <c r="C1943" s="8"/>
    </row>
    <row r="1944">
      <c r="A1944" s="24"/>
      <c r="B1944" s="25"/>
      <c r="C1944" s="8"/>
    </row>
    <row r="1945">
      <c r="A1945" s="24"/>
      <c r="B1945" s="25"/>
      <c r="C1945" s="8"/>
    </row>
    <row r="1946">
      <c r="A1946" s="24"/>
      <c r="B1946" s="25"/>
      <c r="C1946" s="8"/>
    </row>
    <row r="1947">
      <c r="A1947" s="24"/>
      <c r="B1947" s="25"/>
      <c r="C1947" s="8"/>
    </row>
    <row r="1948">
      <c r="A1948" s="24"/>
      <c r="B1948" s="25"/>
      <c r="C1948" s="8"/>
    </row>
    <row r="1949">
      <c r="A1949" s="24"/>
      <c r="B1949" s="25"/>
      <c r="C1949" s="8"/>
    </row>
    <row r="1950">
      <c r="A1950" s="24"/>
      <c r="B1950" s="25"/>
      <c r="C1950" s="8"/>
    </row>
    <row r="1951">
      <c r="A1951" s="24"/>
      <c r="B1951" s="25"/>
      <c r="C1951" s="8"/>
    </row>
    <row r="1952">
      <c r="A1952" s="24"/>
      <c r="B1952" s="25"/>
      <c r="C1952" s="8"/>
    </row>
    <row r="1953">
      <c r="A1953" s="24"/>
      <c r="B1953" s="25"/>
      <c r="C1953" s="8"/>
    </row>
    <row r="1954">
      <c r="A1954" s="24"/>
      <c r="B1954" s="25"/>
      <c r="C1954" s="8"/>
    </row>
    <row r="1955">
      <c r="A1955" s="24"/>
      <c r="B1955" s="25"/>
      <c r="C1955" s="8"/>
    </row>
    <row r="1956">
      <c r="A1956" s="24"/>
      <c r="B1956" s="25"/>
      <c r="C1956" s="8"/>
    </row>
    <row r="1957">
      <c r="A1957" s="24"/>
      <c r="B1957" s="25"/>
      <c r="C1957" s="8"/>
    </row>
    <row r="1958">
      <c r="A1958" s="24"/>
      <c r="B1958" s="25"/>
      <c r="C1958" s="8"/>
    </row>
    <row r="1959">
      <c r="A1959" s="24"/>
      <c r="B1959" s="25"/>
      <c r="C1959" s="8"/>
    </row>
    <row r="1960">
      <c r="A1960" s="24"/>
      <c r="B1960" s="25"/>
      <c r="C1960" s="8"/>
    </row>
    <row r="1961">
      <c r="A1961" s="24"/>
      <c r="B1961" s="25"/>
      <c r="C1961" s="8"/>
    </row>
    <row r="1962">
      <c r="A1962" s="24"/>
      <c r="B1962" s="25"/>
      <c r="C1962" s="8"/>
    </row>
    <row r="1963">
      <c r="A1963" s="24"/>
      <c r="B1963" s="25"/>
      <c r="C1963" s="8"/>
    </row>
    <row r="1964">
      <c r="A1964" s="24"/>
      <c r="B1964" s="25"/>
      <c r="C1964" s="8"/>
    </row>
    <row r="1965">
      <c r="A1965" s="24"/>
      <c r="B1965" s="25"/>
      <c r="C1965" s="8"/>
    </row>
    <row r="1966">
      <c r="A1966" s="24"/>
      <c r="B1966" s="25"/>
      <c r="C1966" s="8"/>
    </row>
    <row r="1967">
      <c r="A1967" s="24"/>
      <c r="B1967" s="25"/>
      <c r="C1967" s="8"/>
    </row>
    <row r="1968">
      <c r="A1968" s="24"/>
      <c r="B1968" s="25"/>
      <c r="C1968" s="8"/>
    </row>
    <row r="1969">
      <c r="A1969" s="24"/>
      <c r="B1969" s="25"/>
      <c r="C1969" s="8"/>
    </row>
    <row r="1970">
      <c r="A1970" s="24"/>
      <c r="B1970" s="25"/>
      <c r="C1970" s="8"/>
    </row>
    <row r="1971">
      <c r="A1971" s="24"/>
      <c r="B1971" s="25"/>
      <c r="C1971" s="8"/>
    </row>
    <row r="1972">
      <c r="A1972" s="24"/>
      <c r="B1972" s="25"/>
      <c r="C1972" s="8"/>
    </row>
    <row r="1973">
      <c r="A1973" s="24"/>
      <c r="B1973" s="25"/>
      <c r="C1973" s="8"/>
    </row>
    <row r="1974">
      <c r="A1974" s="24"/>
      <c r="B1974" s="25"/>
      <c r="C1974" s="8"/>
    </row>
    <row r="1975">
      <c r="A1975" s="24"/>
      <c r="B1975" s="25"/>
      <c r="C1975" s="8"/>
    </row>
    <row r="1976">
      <c r="A1976" s="24"/>
      <c r="B1976" s="25"/>
      <c r="C1976" s="8"/>
    </row>
    <row r="1977">
      <c r="A1977" s="24"/>
      <c r="B1977" s="25"/>
      <c r="C1977" s="8"/>
    </row>
    <row r="1978">
      <c r="A1978" s="24"/>
      <c r="B1978" s="25"/>
      <c r="C1978" s="8"/>
    </row>
    <row r="1979">
      <c r="A1979" s="24"/>
      <c r="B1979" s="25"/>
      <c r="C1979" s="8"/>
    </row>
    <row r="1980">
      <c r="A1980" s="24"/>
      <c r="B1980" s="25"/>
      <c r="C1980" s="8"/>
    </row>
    <row r="1981">
      <c r="A1981" s="24"/>
      <c r="B1981" s="25"/>
      <c r="C1981" s="8"/>
    </row>
    <row r="1982">
      <c r="A1982" s="24"/>
      <c r="B1982" s="25"/>
      <c r="C1982" s="8"/>
    </row>
    <row r="1983">
      <c r="A1983" s="24"/>
      <c r="B1983" s="25"/>
      <c r="C1983" s="8"/>
    </row>
    <row r="1984">
      <c r="A1984" s="24"/>
      <c r="B1984" s="25"/>
      <c r="C1984" s="8"/>
    </row>
    <row r="1985">
      <c r="A1985" s="24"/>
      <c r="B1985" s="25"/>
      <c r="C1985" s="8"/>
    </row>
    <row r="1986">
      <c r="A1986" s="24"/>
      <c r="B1986" s="25"/>
      <c r="C1986" s="8"/>
    </row>
    <row r="1987">
      <c r="A1987" s="24"/>
      <c r="B1987" s="25"/>
      <c r="C1987" s="8"/>
    </row>
    <row r="1988">
      <c r="A1988" s="24"/>
      <c r="B1988" s="25"/>
      <c r="C1988" s="8"/>
    </row>
    <row r="1989">
      <c r="A1989" s="24"/>
      <c r="B1989" s="25"/>
      <c r="C1989" s="8"/>
    </row>
    <row r="1990">
      <c r="A1990" s="24"/>
      <c r="B1990" s="25"/>
      <c r="C1990" s="8"/>
    </row>
    <row r="1991">
      <c r="A1991" s="24"/>
      <c r="B1991" s="25"/>
      <c r="C1991" s="8"/>
    </row>
    <row r="1992">
      <c r="A1992" s="24"/>
      <c r="B1992" s="25"/>
      <c r="C1992" s="8"/>
    </row>
    <row r="1993">
      <c r="A1993" s="24"/>
      <c r="B1993" s="25"/>
      <c r="C1993" s="8"/>
    </row>
    <row r="1994">
      <c r="A1994" s="24"/>
      <c r="B1994" s="25"/>
      <c r="C1994" s="8"/>
    </row>
    <row r="1995">
      <c r="A1995" s="24"/>
      <c r="B1995" s="25"/>
      <c r="C1995" s="8"/>
    </row>
    <row r="1996">
      <c r="A1996" s="24"/>
      <c r="B1996" s="25"/>
      <c r="C1996" s="8"/>
    </row>
    <row r="1997">
      <c r="A1997" s="24"/>
      <c r="B1997" s="25"/>
      <c r="C1997" s="8"/>
    </row>
    <row r="1998">
      <c r="A1998" s="24"/>
      <c r="B1998" s="25"/>
      <c r="C1998" s="8"/>
    </row>
    <row r="1999">
      <c r="A1999" s="24"/>
      <c r="B1999" s="25"/>
      <c r="C1999" s="8"/>
    </row>
    <row r="2000">
      <c r="A2000" s="24"/>
      <c r="B2000" s="25"/>
      <c r="C2000" s="8"/>
    </row>
    <row r="2001">
      <c r="A2001" s="24"/>
      <c r="B2001" s="25"/>
      <c r="C2001" s="8"/>
    </row>
    <row r="2002">
      <c r="A2002" s="24"/>
      <c r="B2002" s="25"/>
      <c r="C2002" s="8"/>
    </row>
    <row r="2003">
      <c r="A2003" s="24"/>
      <c r="B2003" s="25"/>
      <c r="C2003" s="8"/>
    </row>
    <row r="2004">
      <c r="A2004" s="24"/>
      <c r="B2004" s="25"/>
      <c r="C2004" s="8"/>
    </row>
    <row r="2005">
      <c r="A2005" s="24"/>
      <c r="B2005" s="25"/>
      <c r="C2005" s="8"/>
    </row>
    <row r="2006">
      <c r="A2006" s="24"/>
      <c r="B2006" s="25"/>
      <c r="C2006" s="8"/>
    </row>
    <row r="2007">
      <c r="A2007" s="24"/>
      <c r="B2007" s="25"/>
      <c r="C2007" s="8"/>
    </row>
    <row r="2008">
      <c r="A2008" s="24"/>
      <c r="B2008" s="25"/>
      <c r="C2008" s="8"/>
    </row>
    <row r="2009">
      <c r="A2009" s="24"/>
      <c r="B2009" s="25"/>
      <c r="C2009" s="8"/>
    </row>
    <row r="2010">
      <c r="A2010" s="24"/>
      <c r="B2010" s="25"/>
      <c r="C2010" s="8"/>
    </row>
    <row r="2011">
      <c r="A2011" s="24"/>
      <c r="B2011" s="25"/>
      <c r="C2011" s="8"/>
    </row>
    <row r="2012">
      <c r="A2012" s="24"/>
      <c r="B2012" s="25"/>
      <c r="C2012" s="8"/>
    </row>
    <row r="2013">
      <c r="A2013" s="24"/>
      <c r="B2013" s="25"/>
      <c r="C2013" s="8"/>
    </row>
    <row r="2014">
      <c r="A2014" s="24"/>
      <c r="B2014" s="25"/>
      <c r="C2014" s="8"/>
    </row>
    <row r="2015">
      <c r="A2015" s="24"/>
      <c r="B2015" s="25"/>
      <c r="C2015" s="8"/>
    </row>
    <row r="2016">
      <c r="A2016" s="24"/>
      <c r="B2016" s="25"/>
      <c r="C2016" s="8"/>
    </row>
    <row r="2017">
      <c r="A2017" s="24"/>
      <c r="B2017" s="25"/>
      <c r="C2017" s="8"/>
    </row>
    <row r="2018">
      <c r="A2018" s="24"/>
      <c r="B2018" s="25"/>
      <c r="C2018" s="8"/>
    </row>
    <row r="2019">
      <c r="A2019" s="24"/>
      <c r="B2019" s="25"/>
      <c r="C2019" s="8"/>
    </row>
    <row r="2020">
      <c r="A2020" s="24"/>
      <c r="B2020" s="25"/>
      <c r="C2020" s="8"/>
    </row>
    <row r="2021">
      <c r="A2021" s="24"/>
      <c r="B2021" s="25"/>
      <c r="C2021" s="8"/>
    </row>
    <row r="2022">
      <c r="A2022" s="24"/>
      <c r="B2022" s="25"/>
      <c r="C2022" s="8"/>
    </row>
    <row r="2023">
      <c r="A2023" s="24"/>
      <c r="B2023" s="25"/>
      <c r="C2023" s="8"/>
    </row>
    <row r="2024">
      <c r="A2024" s="24"/>
      <c r="B2024" s="25"/>
      <c r="C2024" s="8"/>
    </row>
    <row r="2025">
      <c r="A2025" s="24"/>
      <c r="B2025" s="25"/>
      <c r="C2025" s="8"/>
    </row>
    <row r="2026">
      <c r="A2026" s="24"/>
      <c r="B2026" s="25"/>
      <c r="C2026" s="8"/>
    </row>
    <row r="2027">
      <c r="A2027" s="24"/>
      <c r="B2027" s="25"/>
      <c r="C2027" s="8"/>
    </row>
    <row r="2028">
      <c r="A2028" s="24"/>
      <c r="B2028" s="25"/>
      <c r="C2028" s="8"/>
    </row>
    <row r="2029">
      <c r="A2029" s="24"/>
      <c r="B2029" s="25"/>
      <c r="C2029" s="8"/>
    </row>
    <row r="2030">
      <c r="A2030" s="24"/>
      <c r="B2030" s="25"/>
      <c r="C2030" s="8"/>
    </row>
    <row r="2031">
      <c r="A2031" s="24"/>
      <c r="B2031" s="25"/>
      <c r="C2031" s="8"/>
    </row>
    <row r="2032">
      <c r="A2032" s="24"/>
      <c r="B2032" s="25"/>
      <c r="C2032" s="8"/>
    </row>
    <row r="2033">
      <c r="A2033" s="24"/>
      <c r="B2033" s="25"/>
      <c r="C2033" s="8"/>
    </row>
    <row r="2034">
      <c r="A2034" s="24"/>
      <c r="B2034" s="25"/>
      <c r="C2034" s="8"/>
    </row>
    <row r="2035">
      <c r="A2035" s="24"/>
      <c r="B2035" s="25"/>
      <c r="C2035" s="8"/>
    </row>
    <row r="2036">
      <c r="A2036" s="24"/>
      <c r="B2036" s="25"/>
      <c r="C2036" s="8"/>
    </row>
    <row r="2037">
      <c r="A2037" s="24"/>
      <c r="B2037" s="25"/>
      <c r="C2037" s="8"/>
    </row>
    <row r="2038">
      <c r="A2038" s="24"/>
      <c r="B2038" s="25"/>
      <c r="C2038" s="8"/>
    </row>
    <row r="2039">
      <c r="A2039" s="24"/>
      <c r="B2039" s="25"/>
      <c r="C2039" s="8"/>
    </row>
    <row r="2040">
      <c r="A2040" s="24"/>
      <c r="B2040" s="25"/>
      <c r="C2040" s="8"/>
    </row>
    <row r="2041">
      <c r="A2041" s="24"/>
      <c r="B2041" s="25"/>
      <c r="C2041" s="8"/>
    </row>
    <row r="2042">
      <c r="A2042" s="24"/>
      <c r="B2042" s="25"/>
      <c r="C2042" s="8"/>
    </row>
    <row r="2043">
      <c r="A2043" s="24"/>
      <c r="B2043" s="25"/>
      <c r="C2043" s="8"/>
    </row>
    <row r="2044">
      <c r="A2044" s="24"/>
      <c r="B2044" s="25"/>
      <c r="C2044" s="8"/>
    </row>
    <row r="2045">
      <c r="A2045" s="24"/>
      <c r="B2045" s="25"/>
      <c r="C2045" s="8"/>
    </row>
    <row r="2046">
      <c r="A2046" s="24"/>
      <c r="B2046" s="25"/>
      <c r="C2046" s="8"/>
    </row>
    <row r="2047">
      <c r="A2047" s="24"/>
      <c r="B2047" s="25"/>
      <c r="C2047" s="8"/>
    </row>
    <row r="2048">
      <c r="A2048" s="24"/>
      <c r="B2048" s="25"/>
      <c r="C2048" s="8"/>
    </row>
    <row r="2049">
      <c r="A2049" s="24"/>
      <c r="B2049" s="25"/>
      <c r="C2049" s="8"/>
    </row>
    <row r="2050">
      <c r="A2050" s="24"/>
      <c r="B2050" s="25"/>
      <c r="C2050" s="8"/>
    </row>
    <row r="2051">
      <c r="A2051" s="24"/>
      <c r="B2051" s="25"/>
      <c r="C2051" s="8"/>
    </row>
    <row r="2052">
      <c r="A2052" s="24"/>
      <c r="B2052" s="25"/>
      <c r="C2052" s="8"/>
    </row>
    <row r="2053">
      <c r="A2053" s="24"/>
      <c r="B2053" s="25"/>
      <c r="C2053" s="8"/>
    </row>
    <row r="2054">
      <c r="A2054" s="24"/>
      <c r="B2054" s="25"/>
      <c r="C2054" s="8"/>
    </row>
    <row r="2055">
      <c r="A2055" s="24"/>
      <c r="B2055" s="25"/>
      <c r="C2055" s="8"/>
    </row>
    <row r="2056">
      <c r="A2056" s="24"/>
      <c r="B2056" s="25"/>
      <c r="C2056" s="8"/>
    </row>
    <row r="2057">
      <c r="A2057" s="24"/>
      <c r="B2057" s="25"/>
      <c r="C2057" s="8"/>
    </row>
    <row r="2058">
      <c r="A2058" s="24"/>
      <c r="B2058" s="25"/>
      <c r="C2058" s="8"/>
    </row>
    <row r="2059">
      <c r="A2059" s="24"/>
      <c r="B2059" s="25"/>
      <c r="C2059" s="8"/>
    </row>
    <row r="2060">
      <c r="A2060" s="24"/>
      <c r="B2060" s="25"/>
      <c r="C2060" s="8"/>
    </row>
    <row r="2061">
      <c r="A2061" s="24"/>
      <c r="B2061" s="25"/>
      <c r="C2061" s="8"/>
    </row>
    <row r="2062">
      <c r="A2062" s="24"/>
      <c r="B2062" s="25"/>
      <c r="C2062" s="8"/>
    </row>
    <row r="2063">
      <c r="A2063" s="24"/>
      <c r="B2063" s="25"/>
      <c r="C2063" s="8"/>
    </row>
    <row r="2064">
      <c r="A2064" s="24"/>
      <c r="B2064" s="25"/>
      <c r="C2064" s="8"/>
    </row>
    <row r="2065">
      <c r="A2065" s="24"/>
      <c r="B2065" s="25"/>
      <c r="C2065" s="8"/>
    </row>
    <row r="2066">
      <c r="A2066" s="24"/>
      <c r="B2066" s="25"/>
      <c r="C2066" s="8"/>
    </row>
    <row r="2067">
      <c r="A2067" s="24"/>
      <c r="B2067" s="25"/>
      <c r="C2067" s="8"/>
    </row>
    <row r="2068">
      <c r="A2068" s="24"/>
      <c r="B2068" s="25"/>
      <c r="C2068" s="8"/>
    </row>
    <row r="2069">
      <c r="A2069" s="24"/>
      <c r="B2069" s="25"/>
      <c r="C2069" s="8"/>
    </row>
    <row r="2070">
      <c r="A2070" s="24"/>
      <c r="B2070" s="25"/>
      <c r="C2070" s="8"/>
    </row>
    <row r="2071">
      <c r="A2071" s="24"/>
      <c r="B2071" s="25"/>
      <c r="C2071" s="8"/>
    </row>
    <row r="2072">
      <c r="A2072" s="24"/>
      <c r="B2072" s="25"/>
      <c r="C2072" s="8"/>
    </row>
    <row r="2073">
      <c r="A2073" s="24"/>
      <c r="B2073" s="25"/>
      <c r="C2073" s="8"/>
    </row>
    <row r="2074">
      <c r="A2074" s="24"/>
      <c r="B2074" s="25"/>
      <c r="C2074" s="8"/>
    </row>
    <row r="2075">
      <c r="A2075" s="24"/>
      <c r="B2075" s="25"/>
      <c r="C2075" s="8"/>
    </row>
    <row r="2076">
      <c r="A2076" s="24"/>
      <c r="B2076" s="25"/>
      <c r="C2076" s="8"/>
    </row>
    <row r="2077">
      <c r="A2077" s="24"/>
      <c r="B2077" s="25"/>
      <c r="C2077" s="8"/>
    </row>
    <row r="2078">
      <c r="A2078" s="24"/>
      <c r="B2078" s="25"/>
      <c r="C2078" s="8"/>
    </row>
    <row r="2079">
      <c r="A2079" s="24"/>
      <c r="B2079" s="25"/>
      <c r="C2079" s="8"/>
    </row>
    <row r="2080">
      <c r="A2080" s="24"/>
      <c r="B2080" s="25"/>
      <c r="C2080" s="8"/>
    </row>
    <row r="2081">
      <c r="A2081" s="24"/>
      <c r="B2081" s="25"/>
      <c r="C2081" s="8"/>
    </row>
    <row r="2082">
      <c r="A2082" s="24"/>
      <c r="B2082" s="25"/>
      <c r="C2082" s="8"/>
    </row>
    <row r="2083">
      <c r="A2083" s="24"/>
      <c r="B2083" s="25"/>
      <c r="C2083" s="8"/>
    </row>
    <row r="2084">
      <c r="A2084" s="24"/>
      <c r="B2084" s="25"/>
      <c r="C2084" s="8"/>
    </row>
    <row r="2085">
      <c r="A2085" s="24"/>
      <c r="B2085" s="25"/>
      <c r="C2085" s="8"/>
    </row>
    <row r="2086">
      <c r="A2086" s="24"/>
      <c r="B2086" s="25"/>
      <c r="C2086" s="8"/>
    </row>
    <row r="2087">
      <c r="A2087" s="24"/>
      <c r="B2087" s="25"/>
      <c r="C2087" s="8"/>
    </row>
    <row r="2088">
      <c r="A2088" s="24"/>
      <c r="B2088" s="25"/>
      <c r="C2088" s="8"/>
    </row>
    <row r="2089">
      <c r="A2089" s="24"/>
      <c r="B2089" s="25"/>
      <c r="C2089" s="8"/>
    </row>
    <row r="2090">
      <c r="A2090" s="24"/>
      <c r="B2090" s="25"/>
      <c r="C2090" s="8"/>
    </row>
    <row r="2091">
      <c r="A2091" s="24"/>
      <c r="B2091" s="25"/>
      <c r="C2091" s="8"/>
    </row>
    <row r="2092">
      <c r="A2092" s="24"/>
      <c r="B2092" s="25"/>
      <c r="C2092" s="8"/>
    </row>
    <row r="2093">
      <c r="A2093" s="24"/>
      <c r="B2093" s="25"/>
      <c r="C2093" s="8"/>
    </row>
    <row r="2094">
      <c r="A2094" s="24"/>
      <c r="B2094" s="25"/>
      <c r="C2094" s="8"/>
    </row>
    <row r="2095">
      <c r="A2095" s="24"/>
      <c r="B2095" s="25"/>
      <c r="C2095" s="8"/>
    </row>
    <row r="2096">
      <c r="A2096" s="24"/>
      <c r="B2096" s="25"/>
      <c r="C2096" s="8"/>
    </row>
    <row r="2097">
      <c r="A2097" s="24"/>
      <c r="B2097" s="25"/>
      <c r="C2097" s="8"/>
    </row>
    <row r="2098">
      <c r="A2098" s="24"/>
      <c r="B2098" s="25"/>
      <c r="C2098" s="8"/>
    </row>
    <row r="2099">
      <c r="A2099" s="24"/>
      <c r="B2099" s="25"/>
      <c r="C2099" s="8"/>
    </row>
    <row r="2100">
      <c r="A2100" s="24"/>
      <c r="B2100" s="25"/>
      <c r="C2100" s="8"/>
    </row>
    <row r="2101">
      <c r="A2101" s="24"/>
      <c r="B2101" s="25"/>
      <c r="C2101" s="8"/>
    </row>
    <row r="2102">
      <c r="A2102" s="24"/>
      <c r="B2102" s="25"/>
      <c r="C2102" s="8"/>
    </row>
    <row r="2103">
      <c r="A2103" s="24"/>
      <c r="B2103" s="25"/>
      <c r="C2103" s="8"/>
    </row>
    <row r="2104">
      <c r="A2104" s="24"/>
      <c r="B2104" s="25"/>
      <c r="C2104" s="8"/>
    </row>
    <row r="2105">
      <c r="A2105" s="24"/>
      <c r="B2105" s="25"/>
      <c r="C2105" s="8"/>
    </row>
    <row r="2106">
      <c r="A2106" s="24"/>
      <c r="B2106" s="25"/>
      <c r="C2106" s="8"/>
    </row>
    <row r="2107">
      <c r="A2107" s="24"/>
      <c r="B2107" s="25"/>
      <c r="C2107" s="8"/>
    </row>
    <row r="2108">
      <c r="A2108" s="24"/>
      <c r="B2108" s="25"/>
      <c r="C2108" s="8"/>
    </row>
    <row r="2109">
      <c r="A2109" s="24"/>
      <c r="B2109" s="25"/>
      <c r="C2109" s="8"/>
    </row>
    <row r="2110">
      <c r="A2110" s="24"/>
      <c r="B2110" s="25"/>
      <c r="C2110" s="8"/>
    </row>
    <row r="2111">
      <c r="A2111" s="24"/>
      <c r="B2111" s="25"/>
      <c r="C2111" s="8"/>
    </row>
    <row r="2112">
      <c r="A2112" s="24"/>
      <c r="B2112" s="25"/>
      <c r="C2112" s="8"/>
    </row>
    <row r="2113">
      <c r="A2113" s="24"/>
      <c r="B2113" s="25"/>
      <c r="C2113" s="8"/>
    </row>
    <row r="2114">
      <c r="A2114" s="24"/>
      <c r="B2114" s="25"/>
      <c r="C2114" s="8"/>
    </row>
    <row r="2115">
      <c r="A2115" s="24"/>
      <c r="B2115" s="25"/>
      <c r="C2115" s="8"/>
    </row>
    <row r="2116">
      <c r="A2116" s="24"/>
      <c r="B2116" s="25"/>
      <c r="C2116" s="8"/>
    </row>
    <row r="2117">
      <c r="A2117" s="24"/>
      <c r="B2117" s="25"/>
      <c r="C2117" s="8"/>
    </row>
    <row r="2118">
      <c r="A2118" s="24"/>
      <c r="B2118" s="25"/>
      <c r="C2118" s="8"/>
    </row>
    <row r="2119">
      <c r="A2119" s="24"/>
      <c r="B2119" s="25"/>
      <c r="C2119" s="8"/>
    </row>
    <row r="2120">
      <c r="A2120" s="24"/>
      <c r="B2120" s="25"/>
      <c r="C2120" s="8"/>
    </row>
    <row r="2121">
      <c r="A2121" s="24"/>
      <c r="B2121" s="25"/>
      <c r="C2121" s="8"/>
    </row>
    <row r="2122">
      <c r="A2122" s="24"/>
      <c r="B2122" s="25"/>
      <c r="C2122" s="8"/>
    </row>
    <row r="2123">
      <c r="A2123" s="24"/>
      <c r="B2123" s="25"/>
      <c r="C2123" s="8"/>
    </row>
    <row r="2124">
      <c r="A2124" s="24"/>
      <c r="B2124" s="25"/>
      <c r="C2124" s="8"/>
    </row>
    <row r="2125">
      <c r="A2125" s="24"/>
      <c r="B2125" s="25"/>
      <c r="C2125" s="8"/>
    </row>
    <row r="2126">
      <c r="A2126" s="24"/>
      <c r="B2126" s="25"/>
      <c r="C2126" s="8"/>
    </row>
    <row r="2127">
      <c r="A2127" s="24"/>
      <c r="B2127" s="25"/>
      <c r="C2127" s="8"/>
    </row>
    <row r="2128">
      <c r="A2128" s="24"/>
      <c r="B2128" s="25"/>
      <c r="C2128" s="8"/>
    </row>
    <row r="2129">
      <c r="A2129" s="24"/>
      <c r="B2129" s="25"/>
      <c r="C2129" s="8"/>
    </row>
    <row r="2130">
      <c r="A2130" s="24"/>
      <c r="B2130" s="25"/>
      <c r="C2130" s="8"/>
    </row>
    <row r="2131">
      <c r="A2131" s="24"/>
      <c r="B2131" s="25"/>
      <c r="C2131" s="8"/>
    </row>
    <row r="2132">
      <c r="A2132" s="24"/>
      <c r="B2132" s="25"/>
      <c r="C2132" s="8"/>
    </row>
    <row r="2133">
      <c r="A2133" s="24"/>
      <c r="B2133" s="25"/>
      <c r="C2133" s="8"/>
    </row>
    <row r="2134">
      <c r="A2134" s="24"/>
      <c r="B2134" s="25"/>
      <c r="C2134" s="8"/>
    </row>
    <row r="2135">
      <c r="A2135" s="24"/>
      <c r="B2135" s="25"/>
      <c r="C2135" s="8"/>
    </row>
    <row r="2136">
      <c r="A2136" s="24"/>
      <c r="B2136" s="25"/>
      <c r="C2136" s="8"/>
    </row>
    <row r="2137">
      <c r="A2137" s="24"/>
      <c r="B2137" s="25"/>
      <c r="C2137" s="8"/>
    </row>
    <row r="2138">
      <c r="A2138" s="24"/>
      <c r="B2138" s="25"/>
      <c r="C2138" s="8"/>
    </row>
    <row r="2139">
      <c r="A2139" s="24"/>
      <c r="B2139" s="25"/>
      <c r="C2139" s="8"/>
    </row>
    <row r="2140">
      <c r="A2140" s="24"/>
      <c r="B2140" s="25"/>
      <c r="C2140" s="8"/>
    </row>
    <row r="2141">
      <c r="A2141" s="24"/>
      <c r="B2141" s="25"/>
      <c r="C2141" s="8"/>
    </row>
    <row r="2142">
      <c r="A2142" s="24"/>
      <c r="B2142" s="25"/>
      <c r="C2142" s="8"/>
    </row>
    <row r="2143">
      <c r="A2143" s="24"/>
      <c r="B2143" s="25"/>
      <c r="C2143" s="8"/>
    </row>
    <row r="2144">
      <c r="A2144" s="24"/>
      <c r="B2144" s="25"/>
      <c r="C2144" s="8"/>
    </row>
    <row r="2145">
      <c r="A2145" s="24"/>
      <c r="B2145" s="25"/>
      <c r="C2145" s="8"/>
    </row>
    <row r="2146">
      <c r="A2146" s="24"/>
      <c r="B2146" s="25"/>
      <c r="C2146" s="8"/>
    </row>
    <row r="2147">
      <c r="A2147" s="24"/>
      <c r="B2147" s="25"/>
      <c r="C2147" s="8"/>
    </row>
    <row r="2148">
      <c r="A2148" s="24"/>
      <c r="B2148" s="25"/>
      <c r="C2148" s="8"/>
    </row>
    <row r="2149">
      <c r="A2149" s="24"/>
      <c r="B2149" s="25"/>
      <c r="C2149" s="8"/>
    </row>
    <row r="2150">
      <c r="A2150" s="24"/>
      <c r="B2150" s="25"/>
      <c r="C2150" s="8"/>
    </row>
    <row r="2151">
      <c r="A2151" s="24"/>
      <c r="B2151" s="25"/>
      <c r="C2151" s="8"/>
    </row>
    <row r="2152">
      <c r="A2152" s="24"/>
      <c r="B2152" s="25"/>
      <c r="C2152" s="8"/>
    </row>
    <row r="2153">
      <c r="A2153" s="24"/>
      <c r="B2153" s="25"/>
      <c r="C2153" s="8"/>
    </row>
    <row r="2154">
      <c r="A2154" s="24"/>
      <c r="B2154" s="25"/>
      <c r="C2154" s="8"/>
    </row>
    <row r="2155">
      <c r="A2155" s="24"/>
      <c r="B2155" s="25"/>
      <c r="C2155" s="8"/>
    </row>
    <row r="2156">
      <c r="A2156" s="24"/>
      <c r="B2156" s="25"/>
      <c r="C2156" s="8"/>
    </row>
    <row r="2157">
      <c r="A2157" s="24"/>
      <c r="B2157" s="25"/>
      <c r="C2157" s="8"/>
    </row>
    <row r="2158">
      <c r="A2158" s="24"/>
      <c r="B2158" s="25"/>
      <c r="C2158" s="8"/>
    </row>
    <row r="2159">
      <c r="A2159" s="24"/>
      <c r="B2159" s="25"/>
      <c r="C2159" s="8"/>
    </row>
    <row r="2160">
      <c r="A2160" s="24"/>
      <c r="B2160" s="25"/>
      <c r="C2160" s="8"/>
    </row>
    <row r="2161">
      <c r="A2161" s="24"/>
      <c r="B2161" s="25"/>
      <c r="C2161" s="8"/>
    </row>
    <row r="2162">
      <c r="A2162" s="24"/>
      <c r="B2162" s="25"/>
      <c r="C2162" s="8"/>
    </row>
    <row r="2163">
      <c r="A2163" s="24"/>
      <c r="B2163" s="25"/>
      <c r="C2163" s="8"/>
    </row>
    <row r="2164">
      <c r="A2164" s="24"/>
      <c r="B2164" s="25"/>
      <c r="C2164" s="8"/>
    </row>
    <row r="2165">
      <c r="A2165" s="24"/>
      <c r="B2165" s="25"/>
      <c r="C2165" s="8"/>
    </row>
    <row r="2166">
      <c r="A2166" s="24"/>
      <c r="B2166" s="25"/>
      <c r="C2166" s="8"/>
    </row>
    <row r="2167">
      <c r="A2167" s="24"/>
      <c r="B2167" s="25"/>
      <c r="C2167" s="8"/>
    </row>
    <row r="2168">
      <c r="A2168" s="24"/>
      <c r="B2168" s="25"/>
      <c r="C2168" s="8"/>
    </row>
    <row r="2169">
      <c r="A2169" s="24"/>
      <c r="B2169" s="25"/>
      <c r="C2169" s="8"/>
    </row>
    <row r="2170">
      <c r="A2170" s="24"/>
      <c r="B2170" s="25"/>
      <c r="C2170" s="8"/>
    </row>
    <row r="2171">
      <c r="A2171" s="24"/>
      <c r="B2171" s="25"/>
      <c r="C2171" s="8"/>
    </row>
    <row r="2172">
      <c r="A2172" s="24"/>
      <c r="B2172" s="25"/>
      <c r="C2172" s="8"/>
    </row>
    <row r="2173">
      <c r="A2173" s="24"/>
      <c r="B2173" s="25"/>
      <c r="C2173" s="8"/>
    </row>
    <row r="2174">
      <c r="A2174" s="24"/>
      <c r="B2174" s="25"/>
      <c r="C2174" s="8"/>
    </row>
    <row r="2175">
      <c r="A2175" s="24"/>
      <c r="B2175" s="25"/>
      <c r="C2175" s="8"/>
    </row>
    <row r="2176">
      <c r="A2176" s="24"/>
      <c r="B2176" s="25"/>
      <c r="C2176" s="8"/>
    </row>
    <row r="2177">
      <c r="A2177" s="24"/>
      <c r="B2177" s="25"/>
      <c r="C2177" s="8"/>
    </row>
    <row r="2178">
      <c r="A2178" s="24"/>
      <c r="B2178" s="25"/>
      <c r="C2178" s="8"/>
    </row>
    <row r="2179">
      <c r="A2179" s="24"/>
      <c r="B2179" s="25"/>
      <c r="C2179" s="8"/>
    </row>
    <row r="2180">
      <c r="A2180" s="24"/>
      <c r="B2180" s="25"/>
      <c r="C2180" s="8"/>
    </row>
    <row r="2181">
      <c r="A2181" s="24"/>
      <c r="B2181" s="25"/>
      <c r="C2181" s="8"/>
    </row>
    <row r="2182">
      <c r="A2182" s="24"/>
      <c r="B2182" s="25"/>
      <c r="C2182" s="8"/>
    </row>
    <row r="2183">
      <c r="A2183" s="24"/>
      <c r="B2183" s="25"/>
      <c r="C2183" s="8"/>
    </row>
    <row r="2184">
      <c r="A2184" s="24"/>
      <c r="B2184" s="25"/>
      <c r="C2184" s="8"/>
    </row>
    <row r="2185">
      <c r="A2185" s="24"/>
      <c r="B2185" s="25"/>
      <c r="C2185" s="8"/>
    </row>
    <row r="2186">
      <c r="A2186" s="24"/>
      <c r="B2186" s="25"/>
      <c r="C2186" s="8"/>
    </row>
    <row r="2187">
      <c r="A2187" s="24"/>
      <c r="B2187" s="25"/>
      <c r="C2187" s="8"/>
    </row>
    <row r="2188">
      <c r="A2188" s="24"/>
      <c r="B2188" s="25"/>
      <c r="C2188" s="8"/>
    </row>
    <row r="2189">
      <c r="A2189" s="24"/>
      <c r="B2189" s="25"/>
      <c r="C2189" s="8"/>
    </row>
    <row r="2190">
      <c r="A2190" s="24"/>
      <c r="B2190" s="25"/>
      <c r="C2190" s="8"/>
    </row>
    <row r="2191">
      <c r="A2191" s="24"/>
      <c r="B2191" s="25"/>
      <c r="C2191" s="8"/>
    </row>
    <row r="2192">
      <c r="A2192" s="24"/>
      <c r="B2192" s="25"/>
      <c r="C2192" s="8"/>
    </row>
    <row r="2193">
      <c r="A2193" s="24"/>
      <c r="B2193" s="25"/>
      <c r="C2193" s="8"/>
    </row>
    <row r="2194">
      <c r="A2194" s="24"/>
      <c r="B2194" s="25"/>
      <c r="C2194" s="8"/>
    </row>
    <row r="2195">
      <c r="A2195" s="24"/>
      <c r="B2195" s="25"/>
      <c r="C2195" s="8"/>
    </row>
    <row r="2196">
      <c r="A2196" s="24"/>
      <c r="B2196" s="25"/>
      <c r="C2196" s="8"/>
    </row>
    <row r="2197">
      <c r="A2197" s="24"/>
      <c r="B2197" s="25"/>
      <c r="C2197" s="8"/>
    </row>
    <row r="2198">
      <c r="A2198" s="24"/>
      <c r="B2198" s="25"/>
      <c r="C2198" s="8"/>
    </row>
    <row r="2199">
      <c r="A2199" s="24"/>
      <c r="B2199" s="25"/>
      <c r="C2199" s="8"/>
    </row>
    <row r="2200">
      <c r="A2200" s="24"/>
      <c r="B2200" s="25"/>
      <c r="C2200" s="8"/>
    </row>
    <row r="2201">
      <c r="A2201" s="24"/>
      <c r="B2201" s="25"/>
      <c r="C2201" s="8"/>
    </row>
    <row r="2202">
      <c r="A2202" s="24"/>
      <c r="B2202" s="25"/>
      <c r="C2202" s="8"/>
    </row>
    <row r="2203">
      <c r="A2203" s="24"/>
      <c r="B2203" s="25"/>
      <c r="C2203" s="8"/>
    </row>
    <row r="2204">
      <c r="A2204" s="24"/>
      <c r="B2204" s="25"/>
      <c r="C2204" s="8"/>
    </row>
    <row r="2205">
      <c r="A2205" s="24"/>
      <c r="B2205" s="25"/>
      <c r="C2205" s="8"/>
    </row>
    <row r="2206">
      <c r="A2206" s="24"/>
      <c r="B2206" s="25"/>
      <c r="C2206" s="8"/>
    </row>
    <row r="2207">
      <c r="A2207" s="24"/>
      <c r="B2207" s="25"/>
      <c r="C2207" s="8"/>
    </row>
    <row r="2208">
      <c r="A2208" s="24"/>
      <c r="B2208" s="25"/>
      <c r="C2208" s="8"/>
    </row>
    <row r="2209">
      <c r="A2209" s="24"/>
      <c r="B2209" s="25"/>
      <c r="C2209" s="8"/>
    </row>
    <row r="2210">
      <c r="A2210" s="24"/>
      <c r="B2210" s="25"/>
      <c r="C2210" s="8"/>
    </row>
    <row r="2211">
      <c r="A2211" s="24"/>
      <c r="B2211" s="25"/>
      <c r="C2211" s="8"/>
    </row>
    <row r="2212">
      <c r="A2212" s="24"/>
      <c r="B2212" s="25"/>
      <c r="C2212" s="8"/>
    </row>
    <row r="2213">
      <c r="A2213" s="24"/>
      <c r="B2213" s="25"/>
      <c r="C2213" s="8"/>
    </row>
    <row r="2214">
      <c r="A2214" s="24"/>
      <c r="B2214" s="25"/>
      <c r="C2214" s="8"/>
    </row>
    <row r="2215">
      <c r="A2215" s="24"/>
      <c r="B2215" s="25"/>
      <c r="C2215" s="8"/>
    </row>
    <row r="2216">
      <c r="A2216" s="24"/>
      <c r="B2216" s="25"/>
      <c r="C2216" s="8"/>
    </row>
    <row r="2217">
      <c r="A2217" s="24"/>
      <c r="B2217" s="25"/>
      <c r="C2217" s="8"/>
    </row>
    <row r="2218">
      <c r="A2218" s="24"/>
      <c r="B2218" s="25"/>
      <c r="C2218" s="8"/>
    </row>
    <row r="2219">
      <c r="A2219" s="24"/>
      <c r="B2219" s="25"/>
      <c r="C2219" s="8"/>
    </row>
    <row r="2220">
      <c r="A2220" s="24"/>
      <c r="B2220" s="25"/>
      <c r="C2220" s="8"/>
    </row>
    <row r="2221">
      <c r="A2221" s="24"/>
      <c r="B2221" s="25"/>
      <c r="C2221" s="8"/>
    </row>
    <row r="2222">
      <c r="A2222" s="24"/>
      <c r="B2222" s="25"/>
      <c r="C2222" s="8"/>
    </row>
    <row r="2223">
      <c r="A2223" s="24"/>
      <c r="B2223" s="25"/>
      <c r="C2223" s="8"/>
    </row>
    <row r="2224">
      <c r="A2224" s="24"/>
      <c r="B2224" s="25"/>
      <c r="C2224" s="8"/>
    </row>
    <row r="2225">
      <c r="A2225" s="24"/>
      <c r="B2225" s="25"/>
      <c r="C2225" s="8"/>
    </row>
    <row r="2226">
      <c r="A2226" s="24"/>
      <c r="B2226" s="25"/>
      <c r="C2226" s="8"/>
    </row>
    <row r="2227">
      <c r="A2227" s="24"/>
      <c r="B2227" s="25"/>
      <c r="C2227" s="8"/>
    </row>
    <row r="2228">
      <c r="A2228" s="24"/>
      <c r="B2228" s="25"/>
      <c r="C2228" s="8"/>
    </row>
    <row r="2229">
      <c r="A2229" s="24"/>
      <c r="B2229" s="25"/>
      <c r="C2229" s="8"/>
    </row>
    <row r="2230">
      <c r="A2230" s="24"/>
      <c r="B2230" s="25"/>
      <c r="C2230" s="8"/>
    </row>
    <row r="2231">
      <c r="A2231" s="24"/>
      <c r="B2231" s="25"/>
      <c r="C2231" s="8"/>
    </row>
    <row r="2232">
      <c r="A2232" s="24"/>
      <c r="B2232" s="25"/>
      <c r="C2232" s="8"/>
    </row>
    <row r="2233">
      <c r="A2233" s="24"/>
      <c r="B2233" s="25"/>
      <c r="C2233" s="8"/>
    </row>
    <row r="2234">
      <c r="A2234" s="24"/>
      <c r="B2234" s="25"/>
      <c r="C2234" s="8"/>
    </row>
    <row r="2235">
      <c r="A2235" s="24"/>
      <c r="B2235" s="25"/>
      <c r="C2235" s="8"/>
    </row>
    <row r="2236">
      <c r="A2236" s="24"/>
      <c r="B2236" s="25"/>
      <c r="C2236" s="8"/>
    </row>
    <row r="2237">
      <c r="A2237" s="24"/>
      <c r="B2237" s="25"/>
      <c r="C2237" s="8"/>
    </row>
    <row r="2238">
      <c r="A2238" s="24"/>
      <c r="B2238" s="25"/>
      <c r="C2238" s="8"/>
    </row>
    <row r="2239">
      <c r="A2239" s="24"/>
      <c r="B2239" s="25"/>
      <c r="C2239" s="8"/>
    </row>
    <row r="2240">
      <c r="A2240" s="24"/>
      <c r="B2240" s="25"/>
      <c r="C2240" s="8"/>
    </row>
    <row r="2241">
      <c r="A2241" s="24"/>
      <c r="B2241" s="25"/>
      <c r="C2241" s="8"/>
    </row>
    <row r="2242">
      <c r="A2242" s="24"/>
      <c r="B2242" s="25"/>
      <c r="C2242" s="8"/>
    </row>
    <row r="2243">
      <c r="A2243" s="24"/>
      <c r="B2243" s="25"/>
      <c r="C2243" s="8"/>
    </row>
    <row r="2244">
      <c r="A2244" s="24"/>
      <c r="B2244" s="25"/>
      <c r="C2244" s="8"/>
    </row>
    <row r="2245">
      <c r="A2245" s="24"/>
      <c r="B2245" s="25"/>
      <c r="C2245" s="8"/>
    </row>
    <row r="2246">
      <c r="A2246" s="24"/>
      <c r="B2246" s="25"/>
      <c r="C2246" s="8"/>
    </row>
    <row r="2247">
      <c r="A2247" s="24"/>
      <c r="B2247" s="25"/>
      <c r="C2247" s="8"/>
    </row>
    <row r="2248">
      <c r="A2248" s="24"/>
      <c r="B2248" s="25"/>
      <c r="C2248" s="8"/>
    </row>
    <row r="2249">
      <c r="A2249" s="24"/>
      <c r="B2249" s="25"/>
      <c r="C2249" s="8"/>
    </row>
    <row r="2250">
      <c r="A2250" s="24"/>
      <c r="B2250" s="25"/>
      <c r="C2250" s="8"/>
    </row>
    <row r="2251">
      <c r="A2251" s="24"/>
      <c r="B2251" s="25"/>
      <c r="C2251" s="8"/>
    </row>
    <row r="2252">
      <c r="A2252" s="24"/>
      <c r="B2252" s="25"/>
      <c r="C2252" s="8"/>
    </row>
    <row r="2253">
      <c r="A2253" s="24"/>
      <c r="B2253" s="25"/>
      <c r="C2253" s="8"/>
    </row>
    <row r="2254">
      <c r="A2254" s="24"/>
      <c r="B2254" s="25"/>
      <c r="C2254" s="8"/>
    </row>
    <row r="2255">
      <c r="A2255" s="24"/>
      <c r="B2255" s="25"/>
      <c r="C2255" s="8"/>
    </row>
    <row r="2256">
      <c r="A2256" s="24"/>
      <c r="B2256" s="25"/>
      <c r="C2256" s="8"/>
    </row>
    <row r="2257">
      <c r="A2257" s="24"/>
      <c r="B2257" s="25"/>
      <c r="C2257" s="8"/>
    </row>
    <row r="2258">
      <c r="A2258" s="24"/>
      <c r="B2258" s="25"/>
      <c r="C2258" s="8"/>
    </row>
    <row r="2259">
      <c r="A2259" s="24"/>
      <c r="B2259" s="25"/>
      <c r="C2259" s="8"/>
    </row>
    <row r="2260">
      <c r="A2260" s="24"/>
      <c r="B2260" s="25"/>
      <c r="C2260" s="8"/>
    </row>
    <row r="2261">
      <c r="A2261" s="24"/>
      <c r="B2261" s="25"/>
      <c r="C2261" s="8"/>
    </row>
    <row r="2262">
      <c r="A2262" s="24"/>
      <c r="B2262" s="25"/>
      <c r="C2262" s="8"/>
    </row>
    <row r="2263">
      <c r="A2263" s="24"/>
      <c r="B2263" s="25"/>
      <c r="C2263" s="8"/>
    </row>
    <row r="2264">
      <c r="A2264" s="24"/>
      <c r="B2264" s="25"/>
      <c r="C2264" s="8"/>
    </row>
    <row r="2265">
      <c r="A2265" s="24"/>
      <c r="B2265" s="25"/>
      <c r="C2265" s="8"/>
    </row>
    <row r="2266">
      <c r="A2266" s="24"/>
      <c r="B2266" s="25"/>
      <c r="C2266" s="8"/>
    </row>
    <row r="2267">
      <c r="A2267" s="24"/>
      <c r="B2267" s="25"/>
      <c r="C2267" s="8"/>
    </row>
    <row r="2268">
      <c r="A2268" s="24"/>
      <c r="B2268" s="25"/>
      <c r="C2268" s="8"/>
    </row>
    <row r="2269">
      <c r="A2269" s="24"/>
      <c r="B2269" s="25"/>
      <c r="C2269" s="8"/>
    </row>
    <row r="2270">
      <c r="A2270" s="24"/>
      <c r="B2270" s="25"/>
      <c r="C2270" s="8"/>
    </row>
    <row r="2271">
      <c r="A2271" s="24"/>
      <c r="B2271" s="25"/>
      <c r="C2271" s="8"/>
    </row>
    <row r="2272">
      <c r="A2272" s="24"/>
      <c r="B2272" s="25"/>
      <c r="C2272" s="8"/>
    </row>
    <row r="2273">
      <c r="A2273" s="24"/>
      <c r="B2273" s="25"/>
      <c r="C2273" s="8"/>
    </row>
    <row r="2274">
      <c r="A2274" s="24"/>
      <c r="B2274" s="25"/>
      <c r="C2274" s="8"/>
    </row>
    <row r="2275">
      <c r="A2275" s="24"/>
      <c r="B2275" s="25"/>
      <c r="C2275" s="8"/>
    </row>
    <row r="2276">
      <c r="A2276" s="24"/>
      <c r="B2276" s="25"/>
      <c r="C2276" s="8"/>
    </row>
    <row r="2277">
      <c r="A2277" s="24"/>
      <c r="B2277" s="25"/>
      <c r="C2277" s="8"/>
    </row>
    <row r="2278">
      <c r="A2278" s="24"/>
      <c r="B2278" s="25"/>
      <c r="C2278" s="8"/>
    </row>
    <row r="2279">
      <c r="A2279" s="24"/>
      <c r="B2279" s="25"/>
      <c r="C2279" s="8"/>
    </row>
    <row r="2280">
      <c r="A2280" s="24"/>
      <c r="B2280" s="25"/>
      <c r="C2280" s="8"/>
    </row>
    <row r="2281">
      <c r="A2281" s="24"/>
      <c r="B2281" s="25"/>
      <c r="C2281" s="8"/>
    </row>
    <row r="2282">
      <c r="A2282" s="24"/>
      <c r="B2282" s="25"/>
      <c r="C2282" s="8"/>
    </row>
    <row r="2283">
      <c r="A2283" s="24"/>
      <c r="B2283" s="25"/>
      <c r="C2283" s="8"/>
    </row>
    <row r="2284">
      <c r="A2284" s="24"/>
      <c r="B2284" s="25"/>
      <c r="C2284" s="8"/>
    </row>
    <row r="2285">
      <c r="A2285" s="24"/>
      <c r="B2285" s="25"/>
      <c r="C2285" s="8"/>
    </row>
    <row r="2286">
      <c r="A2286" s="24"/>
      <c r="B2286" s="25"/>
      <c r="C2286" s="8"/>
    </row>
    <row r="2287">
      <c r="A2287" s="24"/>
      <c r="B2287" s="25"/>
      <c r="C2287" s="8"/>
    </row>
    <row r="2288">
      <c r="A2288" s="24"/>
      <c r="B2288" s="25"/>
      <c r="C2288" s="8"/>
    </row>
    <row r="2289">
      <c r="A2289" s="24"/>
      <c r="B2289" s="25"/>
      <c r="C2289" s="8"/>
    </row>
    <row r="2290">
      <c r="A2290" s="24"/>
      <c r="B2290" s="25"/>
      <c r="C2290" s="8"/>
    </row>
    <row r="2291">
      <c r="A2291" s="24"/>
      <c r="B2291" s="25"/>
      <c r="C2291" s="8"/>
    </row>
    <row r="2292">
      <c r="A2292" s="24"/>
      <c r="B2292" s="25"/>
      <c r="C2292" s="8"/>
    </row>
    <row r="2293">
      <c r="A2293" s="24"/>
      <c r="B2293" s="25"/>
      <c r="C2293" s="8"/>
    </row>
    <row r="2294">
      <c r="A2294" s="24"/>
      <c r="B2294" s="25"/>
      <c r="C2294" s="8"/>
    </row>
    <row r="2295">
      <c r="A2295" s="24"/>
      <c r="B2295" s="25"/>
      <c r="C2295" s="8"/>
    </row>
    <row r="2296">
      <c r="A2296" s="24"/>
      <c r="B2296" s="25"/>
      <c r="C2296" s="8"/>
    </row>
    <row r="2297">
      <c r="A2297" s="24"/>
      <c r="B2297" s="25"/>
      <c r="C2297" s="8"/>
    </row>
    <row r="2298">
      <c r="A2298" s="24"/>
      <c r="B2298" s="25"/>
      <c r="C2298" s="8"/>
    </row>
    <row r="2299">
      <c r="A2299" s="24"/>
      <c r="B2299" s="25"/>
      <c r="C2299" s="8"/>
    </row>
    <row r="2300">
      <c r="A2300" s="24"/>
      <c r="B2300" s="25"/>
      <c r="C2300" s="8"/>
    </row>
    <row r="2301">
      <c r="A2301" s="24"/>
      <c r="B2301" s="25"/>
      <c r="C2301" s="8"/>
    </row>
    <row r="2302">
      <c r="A2302" s="24"/>
      <c r="B2302" s="25"/>
      <c r="C2302" s="8"/>
    </row>
    <row r="2303">
      <c r="A2303" s="24"/>
      <c r="B2303" s="25"/>
      <c r="C2303" s="8"/>
    </row>
    <row r="2304">
      <c r="A2304" s="24"/>
      <c r="B2304" s="25"/>
      <c r="C2304" s="8"/>
    </row>
    <row r="2305">
      <c r="A2305" s="24"/>
      <c r="B2305" s="25"/>
      <c r="C2305" s="8"/>
    </row>
    <row r="2306">
      <c r="A2306" s="24"/>
      <c r="B2306" s="25"/>
      <c r="C2306" s="8"/>
    </row>
    <row r="2307">
      <c r="A2307" s="24"/>
      <c r="B2307" s="25"/>
      <c r="C2307" s="8"/>
    </row>
    <row r="2308">
      <c r="A2308" s="24"/>
      <c r="B2308" s="25"/>
      <c r="C2308" s="8"/>
    </row>
    <row r="2309">
      <c r="A2309" s="24"/>
      <c r="B2309" s="25"/>
      <c r="C2309" s="8"/>
    </row>
    <row r="2310">
      <c r="A2310" s="24"/>
      <c r="B2310" s="25"/>
      <c r="C2310" s="8"/>
    </row>
    <row r="2311">
      <c r="A2311" s="24"/>
      <c r="B2311" s="25"/>
      <c r="C2311" s="8"/>
    </row>
    <row r="2312">
      <c r="A2312" s="24"/>
      <c r="B2312" s="25"/>
      <c r="C2312" s="8"/>
    </row>
    <row r="2313">
      <c r="A2313" s="24"/>
      <c r="B2313" s="25"/>
      <c r="C2313" s="8"/>
    </row>
    <row r="2314">
      <c r="A2314" s="24"/>
      <c r="B2314" s="25"/>
      <c r="C2314" s="8"/>
    </row>
    <row r="2315">
      <c r="A2315" s="24"/>
      <c r="B2315" s="25"/>
      <c r="C2315" s="8"/>
    </row>
    <row r="2316">
      <c r="A2316" s="24"/>
      <c r="B2316" s="25"/>
      <c r="C2316" s="8"/>
    </row>
    <row r="2317">
      <c r="A2317" s="24"/>
      <c r="B2317" s="25"/>
      <c r="C2317" s="8"/>
    </row>
    <row r="2318">
      <c r="A2318" s="24"/>
      <c r="B2318" s="25"/>
      <c r="C2318" s="8"/>
    </row>
    <row r="2319">
      <c r="A2319" s="24"/>
      <c r="B2319" s="25"/>
      <c r="C2319" s="8"/>
    </row>
    <row r="2320">
      <c r="A2320" s="24"/>
      <c r="B2320" s="25"/>
      <c r="C2320" s="8"/>
    </row>
    <row r="2321">
      <c r="A2321" s="24"/>
      <c r="B2321" s="25"/>
      <c r="C2321" s="8"/>
    </row>
    <row r="2322">
      <c r="A2322" s="24"/>
      <c r="B2322" s="25"/>
      <c r="C2322" s="8"/>
    </row>
    <row r="2323">
      <c r="A2323" s="24"/>
      <c r="B2323" s="25"/>
      <c r="C2323" s="8"/>
    </row>
    <row r="2324">
      <c r="A2324" s="24"/>
      <c r="B2324" s="25"/>
      <c r="C2324" s="8"/>
    </row>
    <row r="2325">
      <c r="A2325" s="24"/>
      <c r="B2325" s="25"/>
      <c r="C2325" s="8"/>
    </row>
    <row r="2326">
      <c r="A2326" s="24"/>
      <c r="B2326" s="25"/>
      <c r="C2326" s="8"/>
    </row>
    <row r="2327">
      <c r="A2327" s="24"/>
      <c r="B2327" s="25"/>
      <c r="C2327" s="8"/>
    </row>
    <row r="2328">
      <c r="A2328" s="24"/>
      <c r="B2328" s="25"/>
      <c r="C2328" s="8"/>
    </row>
    <row r="2329">
      <c r="A2329" s="24"/>
      <c r="B2329" s="25"/>
      <c r="C2329" s="8"/>
    </row>
    <row r="2330">
      <c r="A2330" s="24"/>
      <c r="B2330" s="25"/>
      <c r="C2330" s="8"/>
    </row>
    <row r="2331">
      <c r="A2331" s="24"/>
      <c r="B2331" s="25"/>
      <c r="C2331" s="8"/>
    </row>
    <row r="2332">
      <c r="A2332" s="24"/>
      <c r="B2332" s="25"/>
      <c r="C2332" s="8"/>
    </row>
    <row r="2333">
      <c r="A2333" s="24"/>
      <c r="B2333" s="25"/>
      <c r="C2333" s="8"/>
    </row>
    <row r="2334">
      <c r="A2334" s="24"/>
      <c r="B2334" s="25"/>
      <c r="C2334" s="8"/>
    </row>
    <row r="2335">
      <c r="A2335" s="24"/>
      <c r="B2335" s="25"/>
      <c r="C2335" s="8"/>
    </row>
    <row r="2336">
      <c r="A2336" s="24"/>
      <c r="B2336" s="25"/>
      <c r="C2336" s="8"/>
    </row>
    <row r="2337">
      <c r="A2337" s="24"/>
      <c r="B2337" s="25"/>
      <c r="C2337" s="8"/>
    </row>
    <row r="2338">
      <c r="A2338" s="24"/>
      <c r="B2338" s="25"/>
      <c r="C2338" s="8"/>
    </row>
    <row r="2339">
      <c r="A2339" s="24"/>
      <c r="B2339" s="25"/>
      <c r="C2339" s="8"/>
    </row>
    <row r="2340">
      <c r="A2340" s="24"/>
      <c r="B2340" s="25"/>
      <c r="C2340" s="8"/>
    </row>
    <row r="2341">
      <c r="A2341" s="24"/>
      <c r="B2341" s="25"/>
      <c r="C2341" s="8"/>
    </row>
    <row r="2342">
      <c r="A2342" s="24"/>
      <c r="B2342" s="25"/>
      <c r="C2342" s="8"/>
    </row>
    <row r="2343">
      <c r="A2343" s="24"/>
      <c r="B2343" s="25"/>
      <c r="C2343" s="8"/>
    </row>
    <row r="2344">
      <c r="A2344" s="24"/>
      <c r="B2344" s="25"/>
      <c r="C2344" s="8"/>
    </row>
    <row r="2345">
      <c r="A2345" s="24"/>
      <c r="B2345" s="25"/>
      <c r="C2345" s="8"/>
    </row>
    <row r="2346">
      <c r="A2346" s="24"/>
      <c r="B2346" s="25"/>
      <c r="C2346" s="8"/>
    </row>
    <row r="2347">
      <c r="A2347" s="24"/>
      <c r="B2347" s="25"/>
      <c r="C2347" s="8"/>
    </row>
    <row r="2348">
      <c r="A2348" s="24"/>
      <c r="B2348" s="25"/>
      <c r="C2348" s="8"/>
    </row>
    <row r="2349">
      <c r="A2349" s="24"/>
      <c r="B2349" s="25"/>
      <c r="C2349" s="8"/>
    </row>
    <row r="2350">
      <c r="A2350" s="24"/>
      <c r="B2350" s="25"/>
      <c r="C2350" s="8"/>
    </row>
    <row r="2351">
      <c r="A2351" s="24"/>
      <c r="B2351" s="25"/>
      <c r="C2351" s="8"/>
    </row>
    <row r="2352">
      <c r="A2352" s="24"/>
      <c r="B2352" s="25"/>
      <c r="C2352" s="8"/>
    </row>
    <row r="2353">
      <c r="A2353" s="24"/>
      <c r="B2353" s="25"/>
      <c r="C2353" s="8"/>
    </row>
    <row r="2354">
      <c r="A2354" s="24"/>
      <c r="B2354" s="25"/>
      <c r="C2354" s="8"/>
    </row>
    <row r="2355">
      <c r="A2355" s="24"/>
      <c r="B2355" s="25"/>
      <c r="C2355" s="8"/>
    </row>
    <row r="2356">
      <c r="A2356" s="24"/>
      <c r="B2356" s="25"/>
      <c r="C2356" s="8"/>
    </row>
    <row r="2357">
      <c r="A2357" s="24"/>
      <c r="B2357" s="25"/>
      <c r="C2357" s="8"/>
    </row>
    <row r="2358">
      <c r="A2358" s="24"/>
      <c r="B2358" s="25"/>
      <c r="C2358" s="8"/>
    </row>
    <row r="2359">
      <c r="A2359" s="24"/>
      <c r="B2359" s="25"/>
      <c r="C2359" s="8"/>
    </row>
    <row r="2360">
      <c r="A2360" s="24"/>
      <c r="B2360" s="25"/>
      <c r="C2360" s="8"/>
    </row>
    <row r="2361">
      <c r="A2361" s="24"/>
      <c r="B2361" s="25"/>
      <c r="C2361" s="8"/>
    </row>
    <row r="2362">
      <c r="A2362" s="24"/>
      <c r="B2362" s="25"/>
      <c r="C2362" s="8"/>
    </row>
    <row r="2363">
      <c r="A2363" s="24"/>
      <c r="B2363" s="25"/>
      <c r="C2363" s="8"/>
    </row>
    <row r="2364">
      <c r="A2364" s="24"/>
      <c r="B2364" s="25"/>
      <c r="C2364" s="8"/>
    </row>
    <row r="2365">
      <c r="A2365" s="24"/>
      <c r="B2365" s="25"/>
      <c r="C2365" s="8"/>
    </row>
    <row r="2366">
      <c r="A2366" s="24"/>
      <c r="B2366" s="25"/>
      <c r="C2366" s="8"/>
    </row>
    <row r="2367">
      <c r="A2367" s="24"/>
      <c r="B2367" s="25"/>
      <c r="C2367" s="8"/>
    </row>
    <row r="2368">
      <c r="A2368" s="24"/>
      <c r="B2368" s="25"/>
      <c r="C2368" s="8"/>
    </row>
    <row r="2369">
      <c r="A2369" s="24"/>
      <c r="B2369" s="25"/>
      <c r="C2369" s="8"/>
    </row>
    <row r="2370">
      <c r="A2370" s="24"/>
      <c r="B2370" s="25"/>
      <c r="C2370" s="8"/>
    </row>
    <row r="2371">
      <c r="A2371" s="24"/>
      <c r="B2371" s="25"/>
      <c r="C2371" s="8"/>
    </row>
    <row r="2372">
      <c r="A2372" s="24"/>
      <c r="B2372" s="25"/>
      <c r="C2372" s="8"/>
    </row>
    <row r="2373">
      <c r="A2373" s="24"/>
      <c r="B2373" s="25"/>
      <c r="C2373" s="8"/>
    </row>
    <row r="2374">
      <c r="A2374" s="24"/>
      <c r="B2374" s="25"/>
      <c r="C2374" s="8"/>
    </row>
    <row r="2375">
      <c r="A2375" s="24"/>
      <c r="B2375" s="25"/>
      <c r="C2375" s="8"/>
    </row>
    <row r="2376">
      <c r="A2376" s="24"/>
      <c r="B2376" s="25"/>
      <c r="C2376" s="8"/>
    </row>
    <row r="2377">
      <c r="A2377" s="24"/>
      <c r="B2377" s="25"/>
      <c r="C2377" s="8"/>
    </row>
    <row r="2378">
      <c r="A2378" s="24"/>
      <c r="B2378" s="25"/>
      <c r="C2378" s="8"/>
    </row>
    <row r="2379">
      <c r="A2379" s="24"/>
      <c r="B2379" s="25"/>
      <c r="C2379" s="8"/>
    </row>
    <row r="2380">
      <c r="A2380" s="24"/>
      <c r="B2380" s="25"/>
      <c r="C2380" s="8"/>
    </row>
    <row r="2381">
      <c r="A2381" s="24"/>
      <c r="B2381" s="25"/>
      <c r="C2381" s="8"/>
    </row>
    <row r="2382">
      <c r="A2382" s="24"/>
      <c r="B2382" s="25"/>
      <c r="C2382" s="8"/>
    </row>
    <row r="2383">
      <c r="A2383" s="24"/>
      <c r="B2383" s="25"/>
      <c r="C2383" s="8"/>
    </row>
    <row r="2384">
      <c r="A2384" s="24"/>
      <c r="B2384" s="25"/>
      <c r="C2384" s="8"/>
    </row>
    <row r="2385">
      <c r="A2385" s="24"/>
      <c r="B2385" s="25"/>
      <c r="C2385" s="8"/>
    </row>
    <row r="2386">
      <c r="A2386" s="24"/>
      <c r="B2386" s="25"/>
      <c r="C2386" s="8"/>
    </row>
    <row r="2387">
      <c r="A2387" s="24"/>
      <c r="B2387" s="25"/>
      <c r="C2387" s="8"/>
    </row>
    <row r="2388">
      <c r="A2388" s="24"/>
      <c r="B2388" s="25"/>
      <c r="C2388" s="8"/>
    </row>
    <row r="2389">
      <c r="A2389" s="24"/>
      <c r="B2389" s="25"/>
      <c r="C2389" s="8"/>
    </row>
    <row r="2390">
      <c r="A2390" s="24"/>
      <c r="B2390" s="25"/>
      <c r="C2390" s="8"/>
    </row>
    <row r="2391">
      <c r="A2391" s="24"/>
      <c r="B2391" s="25"/>
      <c r="C2391" s="8"/>
    </row>
    <row r="2392">
      <c r="A2392" s="24"/>
      <c r="B2392" s="25"/>
      <c r="C2392" s="8"/>
    </row>
    <row r="2393">
      <c r="A2393" s="24"/>
      <c r="B2393" s="25"/>
      <c r="C2393" s="8"/>
    </row>
    <row r="2394">
      <c r="A2394" s="24"/>
      <c r="B2394" s="25"/>
      <c r="C2394" s="8"/>
    </row>
    <row r="2395">
      <c r="A2395" s="24"/>
      <c r="B2395" s="25"/>
      <c r="C2395" s="8"/>
    </row>
    <row r="2396">
      <c r="A2396" s="24"/>
      <c r="B2396" s="25"/>
      <c r="C2396" s="8"/>
    </row>
    <row r="2397">
      <c r="A2397" s="24"/>
      <c r="B2397" s="25"/>
      <c r="C2397" s="8"/>
    </row>
    <row r="2398">
      <c r="A2398" s="24"/>
      <c r="B2398" s="25"/>
      <c r="C2398" s="8"/>
    </row>
    <row r="2399">
      <c r="A2399" s="24"/>
      <c r="B2399" s="25"/>
      <c r="C2399" s="8"/>
    </row>
    <row r="2400">
      <c r="A2400" s="24"/>
      <c r="B2400" s="25"/>
      <c r="C2400" s="8"/>
    </row>
    <row r="2401">
      <c r="A2401" s="24"/>
      <c r="B2401" s="25"/>
      <c r="C2401" s="8"/>
    </row>
    <row r="2402">
      <c r="A2402" s="24"/>
      <c r="B2402" s="25"/>
      <c r="C2402" s="8"/>
    </row>
    <row r="2403">
      <c r="A2403" s="24"/>
      <c r="B2403" s="25"/>
      <c r="C2403" s="8"/>
    </row>
    <row r="2404">
      <c r="A2404" s="24"/>
      <c r="B2404" s="25"/>
      <c r="C2404" s="8"/>
    </row>
    <row r="2405">
      <c r="A2405" s="24"/>
      <c r="B2405" s="25"/>
      <c r="C2405" s="8"/>
    </row>
    <row r="2406">
      <c r="A2406" s="24"/>
      <c r="B2406" s="25"/>
      <c r="C2406" s="8"/>
    </row>
    <row r="2407">
      <c r="A2407" s="24"/>
      <c r="B2407" s="25"/>
      <c r="C2407" s="8"/>
    </row>
    <row r="2408">
      <c r="A2408" s="24"/>
      <c r="B2408" s="25"/>
      <c r="C2408" s="8"/>
    </row>
    <row r="2409">
      <c r="A2409" s="24"/>
      <c r="B2409" s="25"/>
      <c r="C2409" s="8"/>
    </row>
    <row r="2410">
      <c r="A2410" s="24"/>
      <c r="B2410" s="25"/>
      <c r="C2410" s="8"/>
    </row>
    <row r="2411">
      <c r="A2411" s="24"/>
      <c r="B2411" s="25"/>
      <c r="C2411" s="8"/>
    </row>
    <row r="2412">
      <c r="A2412" s="24"/>
      <c r="B2412" s="25"/>
      <c r="C2412" s="8"/>
    </row>
    <row r="2413">
      <c r="A2413" s="24"/>
      <c r="B2413" s="25"/>
      <c r="C2413" s="8"/>
    </row>
    <row r="2414">
      <c r="A2414" s="24"/>
      <c r="B2414" s="25"/>
      <c r="C2414" s="8"/>
    </row>
    <row r="2415">
      <c r="A2415" s="24"/>
      <c r="B2415" s="25"/>
      <c r="C2415" s="8"/>
    </row>
    <row r="2416">
      <c r="A2416" s="24"/>
      <c r="B2416" s="25"/>
      <c r="C2416" s="8"/>
    </row>
    <row r="2417">
      <c r="A2417" s="24"/>
      <c r="B2417" s="25"/>
      <c r="C2417" s="8"/>
    </row>
    <row r="2418">
      <c r="A2418" s="24"/>
      <c r="B2418" s="25"/>
      <c r="C2418" s="8"/>
    </row>
    <row r="2419">
      <c r="A2419" s="24"/>
      <c r="B2419" s="25"/>
      <c r="C2419" s="8"/>
    </row>
    <row r="2420">
      <c r="A2420" s="24"/>
      <c r="B2420" s="25"/>
      <c r="C2420" s="8"/>
    </row>
    <row r="2421">
      <c r="A2421" s="24"/>
      <c r="B2421" s="25"/>
      <c r="C2421" s="8"/>
    </row>
    <row r="2422">
      <c r="A2422" s="24"/>
      <c r="B2422" s="25"/>
      <c r="C2422" s="8"/>
    </row>
    <row r="2423">
      <c r="A2423" s="24"/>
      <c r="B2423" s="25"/>
      <c r="C2423" s="8"/>
    </row>
    <row r="2424">
      <c r="A2424" s="24"/>
      <c r="B2424" s="25"/>
      <c r="C2424" s="8"/>
    </row>
    <row r="2425">
      <c r="A2425" s="24"/>
      <c r="B2425" s="25"/>
      <c r="C2425" s="8"/>
    </row>
    <row r="2426">
      <c r="A2426" s="24"/>
      <c r="B2426" s="25"/>
      <c r="C2426" s="8"/>
    </row>
    <row r="2427">
      <c r="A2427" s="24"/>
      <c r="B2427" s="25"/>
      <c r="C2427" s="8"/>
    </row>
    <row r="2428">
      <c r="A2428" s="24"/>
      <c r="B2428" s="25"/>
      <c r="C2428" s="8"/>
    </row>
    <row r="2429">
      <c r="A2429" s="24"/>
      <c r="B2429" s="25"/>
      <c r="C2429" s="8"/>
    </row>
    <row r="2430">
      <c r="A2430" s="24"/>
      <c r="B2430" s="25"/>
      <c r="C2430" s="8"/>
    </row>
    <row r="2431">
      <c r="A2431" s="24"/>
      <c r="B2431" s="25"/>
      <c r="C2431" s="8"/>
    </row>
    <row r="2432">
      <c r="A2432" s="24"/>
      <c r="B2432" s="25"/>
      <c r="C2432" s="8"/>
    </row>
    <row r="2433">
      <c r="A2433" s="24"/>
      <c r="B2433" s="25"/>
      <c r="C2433" s="8"/>
    </row>
    <row r="2434">
      <c r="A2434" s="24"/>
      <c r="B2434" s="25"/>
      <c r="C2434" s="8"/>
    </row>
    <row r="2435">
      <c r="A2435" s="24"/>
      <c r="B2435" s="25"/>
      <c r="C2435" s="8"/>
    </row>
    <row r="2436">
      <c r="A2436" s="24"/>
      <c r="B2436" s="25"/>
      <c r="C2436" s="8"/>
    </row>
    <row r="2437">
      <c r="A2437" s="24"/>
      <c r="B2437" s="25"/>
      <c r="C2437" s="8"/>
    </row>
    <row r="2438">
      <c r="A2438" s="24"/>
      <c r="B2438" s="25"/>
      <c r="C2438" s="8"/>
    </row>
    <row r="2439">
      <c r="A2439" s="24"/>
      <c r="B2439" s="25"/>
      <c r="C2439" s="8"/>
    </row>
    <row r="2440">
      <c r="A2440" s="24"/>
      <c r="B2440" s="25"/>
      <c r="C2440" s="8"/>
    </row>
    <row r="2441">
      <c r="A2441" s="24"/>
      <c r="B2441" s="25"/>
      <c r="C2441" s="8"/>
    </row>
    <row r="2442">
      <c r="A2442" s="24"/>
      <c r="B2442" s="25"/>
      <c r="C2442" s="8"/>
    </row>
    <row r="2443">
      <c r="A2443" s="24"/>
      <c r="B2443" s="25"/>
      <c r="C2443" s="8"/>
    </row>
    <row r="2444">
      <c r="A2444" s="24"/>
      <c r="B2444" s="25"/>
      <c r="C2444" s="8"/>
    </row>
    <row r="2445">
      <c r="A2445" s="24"/>
      <c r="B2445" s="25"/>
      <c r="C2445" s="8"/>
    </row>
    <row r="2446">
      <c r="A2446" s="24"/>
      <c r="B2446" s="25"/>
      <c r="C2446" s="8"/>
    </row>
    <row r="2447">
      <c r="A2447" s="24"/>
      <c r="B2447" s="25"/>
      <c r="C2447" s="8"/>
    </row>
    <row r="2448">
      <c r="A2448" s="24"/>
      <c r="B2448" s="25"/>
      <c r="C2448" s="8"/>
    </row>
    <row r="2449">
      <c r="A2449" s="24"/>
      <c r="B2449" s="25"/>
      <c r="C2449" s="8"/>
    </row>
    <row r="2450">
      <c r="A2450" s="24"/>
      <c r="B2450" s="25"/>
      <c r="C2450" s="8"/>
    </row>
    <row r="2451">
      <c r="A2451" s="24"/>
      <c r="B2451" s="25"/>
      <c r="C2451" s="8"/>
    </row>
    <row r="2452">
      <c r="A2452" s="24"/>
      <c r="B2452" s="25"/>
      <c r="C2452" s="8"/>
    </row>
    <row r="2453">
      <c r="A2453" s="24"/>
      <c r="B2453" s="25"/>
      <c r="C2453" s="8"/>
    </row>
    <row r="2454">
      <c r="A2454" s="24"/>
      <c r="B2454" s="25"/>
      <c r="C2454" s="8"/>
    </row>
    <row r="2455">
      <c r="A2455" s="24"/>
      <c r="B2455" s="25"/>
      <c r="C2455" s="8"/>
    </row>
    <row r="2456">
      <c r="A2456" s="24"/>
      <c r="B2456" s="25"/>
      <c r="C2456" s="8"/>
    </row>
    <row r="2457">
      <c r="A2457" s="24"/>
      <c r="B2457" s="25"/>
      <c r="C2457" s="8"/>
    </row>
    <row r="2458">
      <c r="A2458" s="24"/>
      <c r="B2458" s="25"/>
      <c r="C2458" s="8"/>
    </row>
    <row r="2459">
      <c r="A2459" s="24"/>
      <c r="B2459" s="25"/>
      <c r="C2459" s="8"/>
    </row>
    <row r="2460">
      <c r="A2460" s="24"/>
      <c r="B2460" s="25"/>
      <c r="C2460" s="8"/>
    </row>
    <row r="2461">
      <c r="A2461" s="24"/>
      <c r="B2461" s="25"/>
      <c r="C2461" s="8"/>
    </row>
    <row r="2462">
      <c r="A2462" s="24"/>
      <c r="B2462" s="25"/>
      <c r="C2462" s="8"/>
    </row>
    <row r="2463">
      <c r="A2463" s="24"/>
      <c r="B2463" s="25"/>
      <c r="C2463" s="8"/>
    </row>
    <row r="2464">
      <c r="A2464" s="24"/>
      <c r="B2464" s="25"/>
      <c r="C2464" s="8"/>
    </row>
    <row r="2465">
      <c r="A2465" s="24"/>
      <c r="B2465" s="25"/>
      <c r="C2465" s="8"/>
    </row>
    <row r="2466">
      <c r="A2466" s="24"/>
      <c r="B2466" s="25"/>
      <c r="C2466" s="8"/>
    </row>
    <row r="2467">
      <c r="A2467" s="24"/>
      <c r="B2467" s="25"/>
      <c r="C2467" s="8"/>
    </row>
    <row r="2468">
      <c r="A2468" s="24"/>
      <c r="B2468" s="25"/>
      <c r="C2468" s="8"/>
    </row>
    <row r="2469">
      <c r="A2469" s="24"/>
      <c r="B2469" s="25"/>
      <c r="C2469" s="8"/>
    </row>
    <row r="2470">
      <c r="A2470" s="24"/>
      <c r="B2470" s="25"/>
      <c r="C2470" s="8"/>
    </row>
    <row r="2471">
      <c r="A2471" s="24"/>
      <c r="B2471" s="25"/>
      <c r="C2471" s="8"/>
    </row>
    <row r="2472">
      <c r="A2472" s="24"/>
      <c r="B2472" s="25"/>
      <c r="C2472" s="8"/>
    </row>
    <row r="2473">
      <c r="A2473" s="24"/>
      <c r="B2473" s="25"/>
      <c r="C2473" s="8"/>
    </row>
    <row r="2474">
      <c r="A2474" s="24"/>
      <c r="B2474" s="25"/>
      <c r="C2474" s="8"/>
    </row>
    <row r="2475">
      <c r="A2475" s="24"/>
      <c r="B2475" s="25"/>
      <c r="C2475" s="8"/>
    </row>
    <row r="2476">
      <c r="A2476" s="24"/>
      <c r="B2476" s="25"/>
      <c r="C2476" s="8"/>
    </row>
    <row r="2477">
      <c r="A2477" s="24"/>
      <c r="B2477" s="25"/>
      <c r="C2477" s="8"/>
    </row>
    <row r="2478">
      <c r="A2478" s="24"/>
      <c r="B2478" s="25"/>
      <c r="C2478" s="8"/>
    </row>
    <row r="2479">
      <c r="A2479" s="24"/>
      <c r="B2479" s="25"/>
      <c r="C2479" s="8"/>
    </row>
    <row r="2480">
      <c r="A2480" s="24"/>
      <c r="B2480" s="25"/>
      <c r="C2480" s="8"/>
    </row>
    <row r="2481">
      <c r="A2481" s="24"/>
      <c r="B2481" s="25"/>
      <c r="C2481" s="8"/>
    </row>
    <row r="2482">
      <c r="A2482" s="24"/>
      <c r="B2482" s="25"/>
      <c r="C2482" s="8"/>
    </row>
    <row r="2483">
      <c r="A2483" s="24"/>
      <c r="B2483" s="25"/>
      <c r="C2483" s="8"/>
    </row>
    <row r="2484">
      <c r="A2484" s="24"/>
      <c r="B2484" s="25"/>
      <c r="C2484" s="8"/>
    </row>
    <row r="2485">
      <c r="A2485" s="24"/>
      <c r="B2485" s="25"/>
      <c r="C2485" s="8"/>
    </row>
    <row r="2486">
      <c r="A2486" s="24"/>
      <c r="B2486" s="25"/>
      <c r="C2486" s="8"/>
    </row>
    <row r="2487">
      <c r="A2487" s="24"/>
      <c r="B2487" s="25"/>
      <c r="C2487" s="8"/>
    </row>
    <row r="2488">
      <c r="A2488" s="24"/>
      <c r="B2488" s="25"/>
      <c r="C2488" s="8"/>
    </row>
    <row r="2489">
      <c r="A2489" s="24"/>
      <c r="B2489" s="25"/>
      <c r="C2489" s="8"/>
    </row>
    <row r="2490">
      <c r="A2490" s="24"/>
      <c r="B2490" s="25"/>
      <c r="C2490" s="8"/>
    </row>
    <row r="2491">
      <c r="A2491" s="24"/>
      <c r="B2491" s="25"/>
      <c r="C2491" s="8"/>
    </row>
    <row r="2492">
      <c r="A2492" s="24"/>
      <c r="B2492" s="25"/>
      <c r="C2492" s="8"/>
    </row>
    <row r="2493">
      <c r="A2493" s="24"/>
      <c r="B2493" s="25"/>
      <c r="C2493" s="8"/>
    </row>
    <row r="2494">
      <c r="A2494" s="24"/>
      <c r="B2494" s="25"/>
      <c r="C2494" s="8"/>
    </row>
    <row r="2495">
      <c r="A2495" s="24"/>
      <c r="B2495" s="25"/>
      <c r="C2495" s="8"/>
    </row>
    <row r="2496">
      <c r="A2496" s="24"/>
      <c r="B2496" s="25"/>
      <c r="C2496" s="8"/>
    </row>
    <row r="2497">
      <c r="A2497" s="24"/>
      <c r="B2497" s="25"/>
      <c r="C2497" s="8"/>
    </row>
    <row r="2498">
      <c r="A2498" s="24"/>
      <c r="B2498" s="25"/>
      <c r="C2498" s="8"/>
    </row>
    <row r="2499">
      <c r="A2499" s="24"/>
      <c r="B2499" s="25"/>
      <c r="C2499" s="8"/>
    </row>
    <row r="2500">
      <c r="A2500" s="24"/>
      <c r="B2500" s="25"/>
      <c r="C2500" s="8"/>
    </row>
    <row r="2501">
      <c r="A2501" s="24"/>
      <c r="B2501" s="25"/>
      <c r="C2501" s="8"/>
    </row>
    <row r="2502">
      <c r="A2502" s="24"/>
      <c r="B2502" s="25"/>
      <c r="C2502" s="8"/>
    </row>
    <row r="2503">
      <c r="A2503" s="24"/>
      <c r="B2503" s="25"/>
      <c r="C2503" s="8"/>
    </row>
    <row r="2504">
      <c r="A2504" s="24"/>
      <c r="B2504" s="25"/>
      <c r="C2504" s="8"/>
    </row>
    <row r="2505">
      <c r="A2505" s="24"/>
      <c r="B2505" s="25"/>
      <c r="C2505" s="8"/>
    </row>
    <row r="2506">
      <c r="A2506" s="24"/>
      <c r="B2506" s="25"/>
      <c r="C2506" s="8"/>
    </row>
    <row r="2507">
      <c r="A2507" s="24"/>
      <c r="B2507" s="25"/>
      <c r="C2507" s="8"/>
    </row>
    <row r="2508">
      <c r="A2508" s="24"/>
      <c r="B2508" s="25"/>
      <c r="C2508" s="8"/>
    </row>
    <row r="2509">
      <c r="A2509" s="24"/>
      <c r="B2509" s="25"/>
      <c r="C2509" s="8"/>
    </row>
    <row r="2510">
      <c r="A2510" s="24"/>
      <c r="B2510" s="25"/>
      <c r="C2510" s="8"/>
    </row>
    <row r="2511">
      <c r="A2511" s="24"/>
      <c r="B2511" s="25"/>
      <c r="C2511" s="8"/>
    </row>
    <row r="2512">
      <c r="A2512" s="24"/>
      <c r="B2512" s="25"/>
      <c r="C2512" s="8"/>
    </row>
    <row r="2513">
      <c r="A2513" s="24"/>
      <c r="B2513" s="25"/>
      <c r="C2513" s="8"/>
    </row>
    <row r="2514">
      <c r="A2514" s="24"/>
      <c r="B2514" s="25"/>
      <c r="C2514" s="8"/>
    </row>
    <row r="2515">
      <c r="A2515" s="24"/>
      <c r="B2515" s="25"/>
      <c r="C2515" s="8"/>
    </row>
    <row r="2516">
      <c r="A2516" s="24"/>
      <c r="B2516" s="25"/>
      <c r="C2516" s="8"/>
    </row>
    <row r="2517">
      <c r="A2517" s="24"/>
      <c r="B2517" s="25"/>
      <c r="C2517" s="8"/>
    </row>
    <row r="2518">
      <c r="A2518" s="24"/>
      <c r="B2518" s="25"/>
      <c r="C2518" s="8"/>
    </row>
    <row r="2519">
      <c r="A2519" s="24"/>
      <c r="B2519" s="25"/>
      <c r="C2519" s="8"/>
    </row>
    <row r="2520">
      <c r="A2520" s="24"/>
      <c r="B2520" s="25"/>
      <c r="C2520" s="8"/>
    </row>
    <row r="2521">
      <c r="A2521" s="24"/>
      <c r="B2521" s="25"/>
      <c r="C2521" s="8"/>
    </row>
    <row r="2522">
      <c r="A2522" s="24"/>
      <c r="B2522" s="25"/>
      <c r="C2522" s="8"/>
    </row>
    <row r="2523">
      <c r="A2523" s="24"/>
      <c r="B2523" s="25"/>
      <c r="C2523" s="8"/>
    </row>
    <row r="2524">
      <c r="A2524" s="24"/>
      <c r="B2524" s="25"/>
      <c r="C2524" s="8"/>
    </row>
    <row r="2525">
      <c r="A2525" s="24"/>
      <c r="B2525" s="25"/>
      <c r="C2525" s="8"/>
    </row>
    <row r="2526">
      <c r="A2526" s="24"/>
      <c r="B2526" s="25"/>
      <c r="C2526" s="8"/>
    </row>
    <row r="2527">
      <c r="A2527" s="24"/>
      <c r="B2527" s="25"/>
      <c r="C2527" s="8"/>
    </row>
    <row r="2528">
      <c r="A2528" s="24"/>
      <c r="B2528" s="25"/>
      <c r="C2528" s="8"/>
    </row>
    <row r="2529">
      <c r="A2529" s="24"/>
      <c r="B2529" s="25"/>
      <c r="C2529" s="8"/>
    </row>
    <row r="2530">
      <c r="A2530" s="24"/>
      <c r="B2530" s="25"/>
      <c r="C2530" s="8"/>
    </row>
    <row r="2531">
      <c r="A2531" s="24"/>
      <c r="B2531" s="25"/>
      <c r="C2531" s="8"/>
    </row>
    <row r="2532">
      <c r="A2532" s="24"/>
      <c r="B2532" s="25"/>
      <c r="C2532" s="8"/>
    </row>
    <row r="2533">
      <c r="A2533" s="24"/>
      <c r="B2533" s="25"/>
      <c r="C2533" s="8"/>
    </row>
    <row r="2534">
      <c r="A2534" s="24"/>
      <c r="B2534" s="25"/>
      <c r="C2534" s="8"/>
    </row>
    <row r="2535">
      <c r="A2535" s="24"/>
      <c r="B2535" s="25"/>
      <c r="C2535" s="8"/>
    </row>
    <row r="2536">
      <c r="A2536" s="24"/>
      <c r="B2536" s="25"/>
      <c r="C2536" s="8"/>
    </row>
    <row r="2537">
      <c r="A2537" s="24"/>
      <c r="B2537" s="25"/>
      <c r="C2537" s="8"/>
    </row>
    <row r="2538">
      <c r="A2538" s="24"/>
      <c r="B2538" s="25"/>
      <c r="C2538" s="8"/>
    </row>
    <row r="2539">
      <c r="A2539" s="24"/>
      <c r="B2539" s="25"/>
      <c r="C2539" s="8"/>
    </row>
    <row r="2540">
      <c r="A2540" s="24"/>
      <c r="B2540" s="25"/>
      <c r="C2540" s="8"/>
    </row>
    <row r="2541">
      <c r="A2541" s="24"/>
      <c r="B2541" s="25"/>
      <c r="C2541" s="8"/>
    </row>
    <row r="2542">
      <c r="A2542" s="24"/>
      <c r="B2542" s="25"/>
      <c r="C2542" s="8"/>
    </row>
    <row r="2543">
      <c r="A2543" s="24"/>
      <c r="B2543" s="25"/>
      <c r="C2543" s="8"/>
    </row>
    <row r="2544">
      <c r="A2544" s="24"/>
      <c r="B2544" s="25"/>
      <c r="C2544" s="8"/>
    </row>
    <row r="2545">
      <c r="A2545" s="24"/>
      <c r="B2545" s="25"/>
      <c r="C2545" s="8"/>
    </row>
    <row r="2546">
      <c r="A2546" s="24"/>
      <c r="B2546" s="25"/>
      <c r="C2546" s="8"/>
    </row>
    <row r="2547">
      <c r="A2547" s="24"/>
      <c r="B2547" s="25"/>
      <c r="C2547" s="8"/>
    </row>
    <row r="2548">
      <c r="A2548" s="24"/>
      <c r="B2548" s="25"/>
      <c r="C2548" s="8"/>
    </row>
    <row r="2549">
      <c r="A2549" s="24"/>
      <c r="B2549" s="25"/>
      <c r="C2549" s="8"/>
    </row>
    <row r="2550">
      <c r="A2550" s="24"/>
      <c r="B2550" s="25"/>
      <c r="C2550" s="8"/>
    </row>
    <row r="2551">
      <c r="A2551" s="24"/>
      <c r="B2551" s="25"/>
      <c r="C2551" s="8"/>
    </row>
    <row r="2552">
      <c r="A2552" s="24"/>
      <c r="B2552" s="25"/>
      <c r="C2552" s="8"/>
    </row>
    <row r="2553">
      <c r="A2553" s="24"/>
      <c r="B2553" s="25"/>
      <c r="C2553" s="8"/>
    </row>
    <row r="2554">
      <c r="A2554" s="24"/>
      <c r="B2554" s="25"/>
      <c r="C2554" s="8"/>
    </row>
    <row r="2555">
      <c r="A2555" s="24"/>
      <c r="B2555" s="25"/>
      <c r="C2555" s="8"/>
    </row>
    <row r="2556">
      <c r="A2556" s="24"/>
      <c r="B2556" s="25"/>
      <c r="C2556" s="8"/>
    </row>
    <row r="2557">
      <c r="A2557" s="24"/>
      <c r="B2557" s="25"/>
      <c r="C2557" s="8"/>
    </row>
    <row r="2558">
      <c r="A2558" s="24"/>
      <c r="B2558" s="25"/>
      <c r="C2558" s="8"/>
    </row>
    <row r="2559">
      <c r="A2559" s="24"/>
      <c r="B2559" s="25"/>
      <c r="C2559" s="8"/>
    </row>
    <row r="2560">
      <c r="A2560" s="24"/>
      <c r="B2560" s="25"/>
      <c r="C2560" s="8"/>
    </row>
    <row r="2561">
      <c r="A2561" s="24"/>
      <c r="B2561" s="25"/>
      <c r="C2561" s="8"/>
    </row>
    <row r="2562">
      <c r="A2562" s="24"/>
      <c r="B2562" s="25"/>
      <c r="C2562" s="8"/>
    </row>
    <row r="2563">
      <c r="A2563" s="24"/>
      <c r="B2563" s="25"/>
      <c r="C2563" s="8"/>
    </row>
    <row r="2564">
      <c r="A2564" s="24"/>
      <c r="B2564" s="25"/>
      <c r="C2564" s="8"/>
    </row>
    <row r="2565">
      <c r="A2565" s="24"/>
      <c r="B2565" s="25"/>
      <c r="C2565" s="8"/>
    </row>
    <row r="2566">
      <c r="A2566" s="24"/>
      <c r="B2566" s="25"/>
      <c r="C2566" s="8"/>
    </row>
    <row r="2567">
      <c r="A2567" s="24"/>
      <c r="B2567" s="25"/>
      <c r="C2567" s="8"/>
    </row>
    <row r="2568">
      <c r="A2568" s="24"/>
      <c r="B2568" s="25"/>
      <c r="C2568" s="8"/>
    </row>
    <row r="2569">
      <c r="A2569" s="24"/>
      <c r="B2569" s="25"/>
      <c r="C2569" s="8"/>
    </row>
    <row r="2570">
      <c r="A2570" s="24"/>
      <c r="B2570" s="25"/>
      <c r="C2570" s="8"/>
    </row>
    <row r="2571">
      <c r="A2571" s="24"/>
      <c r="B2571" s="25"/>
      <c r="C2571" s="8"/>
    </row>
    <row r="2572">
      <c r="A2572" s="24"/>
      <c r="B2572" s="25"/>
      <c r="C2572" s="8"/>
    </row>
    <row r="2573">
      <c r="A2573" s="24"/>
      <c r="B2573" s="25"/>
      <c r="C2573" s="8"/>
    </row>
    <row r="2574">
      <c r="A2574" s="24"/>
      <c r="B2574" s="25"/>
      <c r="C2574" s="8"/>
    </row>
    <row r="2575">
      <c r="A2575" s="24"/>
      <c r="B2575" s="25"/>
      <c r="C2575" s="8"/>
    </row>
    <row r="2576">
      <c r="A2576" s="24"/>
      <c r="B2576" s="25"/>
      <c r="C2576" s="8"/>
    </row>
    <row r="2577">
      <c r="A2577" s="24"/>
      <c r="B2577" s="25"/>
      <c r="C2577" s="8"/>
    </row>
    <row r="2578">
      <c r="A2578" s="24"/>
      <c r="B2578" s="25"/>
      <c r="C2578" s="8"/>
    </row>
    <row r="2579">
      <c r="A2579" s="24"/>
      <c r="B2579" s="25"/>
      <c r="C2579" s="8"/>
    </row>
    <row r="2580">
      <c r="A2580" s="24"/>
      <c r="B2580" s="25"/>
      <c r="C2580" s="8"/>
    </row>
    <row r="2581">
      <c r="A2581" s="24"/>
      <c r="B2581" s="25"/>
      <c r="C2581" s="8"/>
    </row>
    <row r="2582">
      <c r="A2582" s="24"/>
      <c r="B2582" s="25"/>
      <c r="C2582" s="8"/>
    </row>
    <row r="2583">
      <c r="A2583" s="24"/>
      <c r="B2583" s="25"/>
      <c r="C2583" s="8"/>
    </row>
    <row r="2584">
      <c r="A2584" s="24"/>
      <c r="B2584" s="25"/>
      <c r="C2584" s="8"/>
    </row>
    <row r="2585">
      <c r="A2585" s="24"/>
      <c r="B2585" s="25"/>
      <c r="C2585" s="8"/>
    </row>
    <row r="2586">
      <c r="A2586" s="24"/>
      <c r="B2586" s="25"/>
      <c r="C2586" s="8"/>
    </row>
    <row r="2587">
      <c r="A2587" s="24"/>
      <c r="B2587" s="25"/>
      <c r="C2587" s="8"/>
    </row>
    <row r="2588">
      <c r="A2588" s="24"/>
      <c r="B2588" s="25"/>
      <c r="C2588" s="8"/>
    </row>
    <row r="2589">
      <c r="A2589" s="24"/>
      <c r="B2589" s="25"/>
      <c r="C2589" s="8"/>
    </row>
    <row r="2590">
      <c r="A2590" s="24"/>
      <c r="B2590" s="25"/>
      <c r="C2590" s="8"/>
    </row>
    <row r="2591">
      <c r="A2591" s="24"/>
      <c r="B2591" s="25"/>
      <c r="C2591" s="8"/>
    </row>
    <row r="2592">
      <c r="A2592" s="24"/>
      <c r="B2592" s="25"/>
      <c r="C2592" s="8"/>
    </row>
    <row r="2593">
      <c r="A2593" s="24"/>
      <c r="B2593" s="25"/>
      <c r="C2593" s="8"/>
    </row>
    <row r="2594">
      <c r="A2594" s="24"/>
      <c r="B2594" s="25"/>
      <c r="C2594" s="8"/>
    </row>
    <row r="2595">
      <c r="A2595" s="24"/>
      <c r="B2595" s="25"/>
      <c r="C2595" s="8"/>
    </row>
    <row r="2596">
      <c r="A2596" s="24"/>
      <c r="B2596" s="25"/>
      <c r="C2596" s="8"/>
    </row>
    <row r="2597">
      <c r="A2597" s="24"/>
      <c r="B2597" s="25"/>
      <c r="C2597" s="8"/>
    </row>
    <row r="2598">
      <c r="A2598" s="24"/>
      <c r="B2598" s="25"/>
      <c r="C2598" s="8"/>
    </row>
    <row r="2599">
      <c r="A2599" s="24"/>
      <c r="B2599" s="25"/>
      <c r="C2599" s="8"/>
    </row>
    <row r="2600">
      <c r="A2600" s="24"/>
      <c r="B2600" s="25"/>
      <c r="C2600" s="8"/>
    </row>
    <row r="2601">
      <c r="A2601" s="24"/>
      <c r="B2601" s="25"/>
      <c r="C2601" s="8"/>
    </row>
    <row r="2602">
      <c r="A2602" s="24"/>
      <c r="B2602" s="25"/>
      <c r="C2602" s="8"/>
    </row>
    <row r="2603">
      <c r="A2603" s="24"/>
      <c r="B2603" s="25"/>
      <c r="C2603" s="8"/>
    </row>
    <row r="2604">
      <c r="A2604" s="24"/>
      <c r="B2604" s="25"/>
      <c r="C2604" s="8"/>
    </row>
    <row r="2605">
      <c r="A2605" s="24"/>
      <c r="B2605" s="25"/>
      <c r="C2605" s="8"/>
    </row>
    <row r="2606">
      <c r="A2606" s="24"/>
      <c r="B2606" s="25"/>
      <c r="C2606" s="8"/>
    </row>
    <row r="2607">
      <c r="A2607" s="24"/>
      <c r="B2607" s="25"/>
      <c r="C2607" s="8"/>
    </row>
    <row r="2608">
      <c r="A2608" s="24"/>
      <c r="B2608" s="25"/>
      <c r="C2608" s="8"/>
    </row>
    <row r="2609">
      <c r="A2609" s="24"/>
      <c r="B2609" s="25"/>
      <c r="C2609" s="8"/>
    </row>
    <row r="2610">
      <c r="A2610" s="24"/>
      <c r="B2610" s="25"/>
      <c r="C2610" s="8"/>
    </row>
    <row r="2611">
      <c r="A2611" s="24"/>
      <c r="B2611" s="25"/>
      <c r="C2611" s="8"/>
    </row>
    <row r="2612">
      <c r="A2612" s="24"/>
      <c r="B2612" s="25"/>
      <c r="C2612" s="8"/>
    </row>
    <row r="2613">
      <c r="A2613" s="24"/>
      <c r="B2613" s="25"/>
      <c r="C2613" s="8"/>
    </row>
    <row r="2614">
      <c r="A2614" s="24"/>
      <c r="B2614" s="25"/>
      <c r="C2614" s="8"/>
    </row>
    <row r="2615">
      <c r="A2615" s="24"/>
      <c r="B2615" s="25"/>
      <c r="C2615" s="8"/>
    </row>
    <row r="2616">
      <c r="A2616" s="24"/>
      <c r="B2616" s="25"/>
      <c r="C2616" s="8"/>
    </row>
    <row r="2617">
      <c r="A2617" s="24"/>
      <c r="B2617" s="25"/>
      <c r="C2617" s="8"/>
    </row>
    <row r="2618">
      <c r="A2618" s="24"/>
      <c r="B2618" s="25"/>
      <c r="C2618" s="8"/>
    </row>
    <row r="2619">
      <c r="A2619" s="24"/>
      <c r="B2619" s="25"/>
      <c r="C2619" s="8"/>
    </row>
    <row r="2620">
      <c r="A2620" s="24"/>
      <c r="B2620" s="25"/>
      <c r="C2620" s="8"/>
    </row>
    <row r="2621">
      <c r="A2621" s="24"/>
      <c r="B2621" s="25"/>
      <c r="C2621" s="8"/>
    </row>
    <row r="2622">
      <c r="A2622" s="24"/>
      <c r="B2622" s="25"/>
      <c r="C2622" s="8"/>
    </row>
    <row r="2623">
      <c r="A2623" s="24"/>
      <c r="B2623" s="25"/>
      <c r="C2623" s="8"/>
    </row>
    <row r="2624">
      <c r="A2624" s="24"/>
      <c r="B2624" s="25"/>
      <c r="C2624" s="8"/>
    </row>
    <row r="2625">
      <c r="A2625" s="24"/>
      <c r="B2625" s="25"/>
      <c r="C2625" s="8"/>
    </row>
    <row r="2626">
      <c r="A2626" s="24"/>
      <c r="B2626" s="25"/>
      <c r="C2626" s="8"/>
    </row>
    <row r="2627">
      <c r="A2627" s="24"/>
      <c r="B2627" s="25"/>
      <c r="C2627" s="8"/>
    </row>
    <row r="2628">
      <c r="A2628" s="24"/>
      <c r="B2628" s="25"/>
      <c r="C2628" s="8"/>
    </row>
    <row r="2629">
      <c r="A2629" s="24"/>
      <c r="B2629" s="25"/>
      <c r="C2629" s="8"/>
    </row>
    <row r="2630">
      <c r="A2630" s="24"/>
      <c r="B2630" s="25"/>
      <c r="C2630" s="8"/>
    </row>
    <row r="2631">
      <c r="A2631" s="24"/>
      <c r="B2631" s="25"/>
      <c r="C2631" s="8"/>
    </row>
    <row r="2632">
      <c r="A2632" s="24"/>
      <c r="B2632" s="25"/>
      <c r="C2632" s="8"/>
    </row>
    <row r="2633">
      <c r="A2633" s="24"/>
      <c r="B2633" s="25"/>
      <c r="C2633" s="8"/>
    </row>
    <row r="2634">
      <c r="A2634" s="24"/>
      <c r="B2634" s="25"/>
      <c r="C2634" s="8"/>
    </row>
    <row r="2635">
      <c r="A2635" s="24"/>
      <c r="B2635" s="25"/>
    </row>
    <row r="2636">
      <c r="A2636" s="24"/>
      <c r="B2636" s="25"/>
    </row>
    <row r="2637">
      <c r="A2637" s="24"/>
      <c r="B2637" s="25"/>
    </row>
    <row r="2638">
      <c r="A2638" s="24"/>
      <c r="B2638" s="25"/>
    </row>
    <row r="2639">
      <c r="A2639" s="24"/>
      <c r="B2639" s="25"/>
    </row>
    <row r="2640">
      <c r="A2640" s="24"/>
      <c r="B2640" s="25"/>
    </row>
    <row r="2641">
      <c r="A2641" s="24"/>
      <c r="B2641" s="25"/>
    </row>
    <row r="2642">
      <c r="A2642" s="24"/>
      <c r="B2642" s="25"/>
    </row>
    <row r="2643">
      <c r="A2643" s="24"/>
      <c r="B2643" s="25"/>
    </row>
    <row r="2644">
      <c r="A2644" s="24"/>
      <c r="B2644" s="25"/>
    </row>
    <row r="2645">
      <c r="A2645" s="24"/>
      <c r="B2645" s="25"/>
    </row>
    <row r="2646">
      <c r="A2646" s="24"/>
      <c r="B2646" s="25"/>
    </row>
    <row r="2647">
      <c r="A2647" s="24"/>
      <c r="B2647" s="25"/>
    </row>
    <row r="2648">
      <c r="A2648" s="24"/>
      <c r="B2648" s="25"/>
    </row>
    <row r="2649">
      <c r="A2649" s="24"/>
      <c r="B2649" s="25"/>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 r:id="rId363" ref="B364"/>
    <hyperlink r:id="rId364" ref="B365"/>
    <hyperlink r:id="rId365" ref="B366"/>
    <hyperlink r:id="rId366" ref="B367"/>
    <hyperlink r:id="rId367" ref="B368"/>
    <hyperlink r:id="rId368" ref="B369"/>
    <hyperlink r:id="rId369" ref="B370"/>
    <hyperlink r:id="rId370" ref="B371"/>
    <hyperlink r:id="rId371" ref="B372"/>
    <hyperlink r:id="rId372" ref="B373"/>
    <hyperlink r:id="rId373" ref="B374"/>
    <hyperlink r:id="rId374" ref="B375"/>
    <hyperlink r:id="rId375" ref="B376"/>
    <hyperlink r:id="rId376" ref="B377"/>
    <hyperlink r:id="rId377" ref="B378"/>
    <hyperlink r:id="rId378" ref="B379"/>
    <hyperlink r:id="rId379" ref="B380"/>
    <hyperlink r:id="rId380" ref="B381"/>
    <hyperlink r:id="rId381" ref="B382"/>
    <hyperlink r:id="rId382" ref="B383"/>
    <hyperlink r:id="rId383" ref="B384"/>
    <hyperlink r:id="rId384" ref="B385"/>
    <hyperlink r:id="rId385" ref="B386"/>
    <hyperlink r:id="rId386" ref="B387"/>
    <hyperlink r:id="rId387" ref="B388"/>
    <hyperlink r:id="rId388" ref="B389"/>
    <hyperlink r:id="rId389" ref="B390"/>
    <hyperlink r:id="rId390" ref="B391"/>
    <hyperlink r:id="rId391" ref="B392"/>
    <hyperlink r:id="rId392" ref="B393"/>
    <hyperlink r:id="rId393" ref="B394"/>
    <hyperlink r:id="rId394" ref="B395"/>
    <hyperlink r:id="rId395" ref="B396"/>
    <hyperlink r:id="rId396" ref="B397"/>
    <hyperlink r:id="rId397" ref="B398"/>
    <hyperlink r:id="rId398" ref="B399"/>
    <hyperlink r:id="rId399" ref="B400"/>
    <hyperlink r:id="rId400" ref="B401"/>
    <hyperlink r:id="rId401" ref="B402"/>
    <hyperlink r:id="rId402" ref="B403"/>
    <hyperlink r:id="rId403" ref="B404"/>
    <hyperlink r:id="rId404" ref="B405"/>
    <hyperlink r:id="rId405" ref="B406"/>
    <hyperlink r:id="rId406" ref="B407"/>
    <hyperlink r:id="rId407" ref="B408"/>
    <hyperlink r:id="rId408" ref="B409"/>
    <hyperlink r:id="rId409" ref="B410"/>
    <hyperlink r:id="rId410" ref="B411"/>
    <hyperlink r:id="rId411" ref="B412"/>
    <hyperlink r:id="rId412" ref="B413"/>
    <hyperlink r:id="rId413" ref="B414"/>
    <hyperlink r:id="rId414" ref="B415"/>
    <hyperlink r:id="rId415" ref="B416"/>
    <hyperlink r:id="rId416" ref="B417"/>
    <hyperlink r:id="rId417" ref="B418"/>
    <hyperlink r:id="rId418" ref="B419"/>
    <hyperlink r:id="rId419" ref="B420"/>
    <hyperlink r:id="rId420" ref="B421"/>
    <hyperlink r:id="rId421" ref="B422"/>
    <hyperlink r:id="rId422" ref="B423"/>
    <hyperlink r:id="rId423" ref="B424"/>
    <hyperlink r:id="rId424" ref="B425"/>
    <hyperlink r:id="rId425" ref="B426"/>
    <hyperlink r:id="rId426" ref="B427"/>
    <hyperlink r:id="rId427" ref="B428"/>
    <hyperlink r:id="rId428" ref="B429"/>
    <hyperlink r:id="rId429" ref="B430"/>
    <hyperlink r:id="rId430" ref="B431"/>
    <hyperlink r:id="rId431" ref="B432"/>
    <hyperlink r:id="rId432" ref="B433"/>
    <hyperlink r:id="rId433" ref="B434"/>
    <hyperlink r:id="rId434" ref="B435"/>
    <hyperlink r:id="rId435" ref="B436"/>
    <hyperlink r:id="rId436" ref="B437"/>
    <hyperlink r:id="rId437" ref="B438"/>
    <hyperlink r:id="rId438" ref="B439"/>
    <hyperlink r:id="rId439" ref="B440"/>
    <hyperlink r:id="rId440" ref="B441"/>
    <hyperlink r:id="rId441" ref="B442"/>
    <hyperlink r:id="rId442" ref="B443"/>
    <hyperlink r:id="rId443" ref="B444"/>
    <hyperlink r:id="rId444" ref="B445"/>
    <hyperlink r:id="rId445" ref="B446"/>
    <hyperlink r:id="rId446" ref="B447"/>
    <hyperlink r:id="rId447" ref="B448"/>
    <hyperlink r:id="rId448" ref="B449"/>
    <hyperlink r:id="rId449" ref="B450"/>
    <hyperlink r:id="rId450" ref="B451"/>
    <hyperlink r:id="rId451" ref="B452"/>
    <hyperlink r:id="rId452" ref="B453"/>
    <hyperlink r:id="rId453" ref="B454"/>
    <hyperlink r:id="rId454" ref="B455"/>
    <hyperlink r:id="rId455" ref="B456"/>
    <hyperlink r:id="rId456" ref="B457"/>
    <hyperlink r:id="rId457" ref="B458"/>
    <hyperlink r:id="rId458" ref="B459"/>
    <hyperlink r:id="rId459" ref="B460"/>
    <hyperlink r:id="rId460" ref="B461"/>
    <hyperlink r:id="rId461" ref="B462"/>
    <hyperlink r:id="rId462" ref="B463"/>
    <hyperlink r:id="rId463" ref="B464"/>
    <hyperlink r:id="rId464" ref="B465"/>
    <hyperlink r:id="rId465" ref="B466"/>
    <hyperlink r:id="rId466" ref="B467"/>
    <hyperlink r:id="rId467" ref="B468"/>
    <hyperlink r:id="rId468" ref="B469"/>
    <hyperlink r:id="rId469" ref="B470"/>
    <hyperlink r:id="rId470" ref="B471"/>
    <hyperlink r:id="rId471" ref="B472"/>
    <hyperlink r:id="rId472" ref="B473"/>
    <hyperlink r:id="rId473" ref="B474"/>
    <hyperlink r:id="rId474" ref="B475"/>
    <hyperlink r:id="rId475" ref="B476"/>
    <hyperlink r:id="rId476" ref="B477"/>
    <hyperlink r:id="rId477" ref="B478"/>
    <hyperlink r:id="rId478" ref="B479"/>
    <hyperlink r:id="rId479" ref="B480"/>
    <hyperlink r:id="rId480" ref="B481"/>
    <hyperlink r:id="rId481" ref="B482"/>
    <hyperlink r:id="rId482" ref="B483"/>
    <hyperlink r:id="rId483" ref="B484"/>
    <hyperlink r:id="rId484" ref="B485"/>
    <hyperlink r:id="rId485" ref="B486"/>
    <hyperlink r:id="rId486" ref="B487"/>
    <hyperlink r:id="rId487" ref="B488"/>
    <hyperlink r:id="rId488" ref="B489"/>
    <hyperlink r:id="rId489" ref="B490"/>
    <hyperlink r:id="rId490" ref="B491"/>
    <hyperlink r:id="rId491" ref="B492"/>
    <hyperlink r:id="rId492" ref="B493"/>
    <hyperlink r:id="rId493" ref="B494"/>
    <hyperlink r:id="rId494" ref="B495"/>
    <hyperlink r:id="rId495" ref="B496"/>
    <hyperlink r:id="rId496" ref="B497"/>
    <hyperlink r:id="rId497" ref="B498"/>
    <hyperlink r:id="rId498" ref="B499"/>
    <hyperlink r:id="rId499" ref="B500"/>
    <hyperlink r:id="rId500" ref="B501"/>
    <hyperlink r:id="rId501" ref="B502"/>
    <hyperlink r:id="rId502" ref="B503"/>
    <hyperlink r:id="rId503" ref="B504"/>
    <hyperlink r:id="rId504" ref="B505"/>
    <hyperlink r:id="rId505" ref="B506"/>
    <hyperlink r:id="rId506" ref="B507"/>
    <hyperlink r:id="rId507" ref="B508"/>
    <hyperlink r:id="rId508" ref="B509"/>
    <hyperlink r:id="rId509" ref="B510"/>
    <hyperlink r:id="rId510" ref="B511"/>
    <hyperlink r:id="rId511" ref="B512"/>
    <hyperlink r:id="rId512" ref="B513"/>
    <hyperlink r:id="rId513" ref="B514"/>
    <hyperlink r:id="rId514" ref="B515"/>
    <hyperlink r:id="rId515" ref="B516"/>
    <hyperlink r:id="rId516" ref="B517"/>
    <hyperlink r:id="rId517" ref="B518"/>
    <hyperlink r:id="rId518" ref="B519"/>
    <hyperlink r:id="rId519" ref="B520"/>
    <hyperlink r:id="rId520" ref="B521"/>
    <hyperlink r:id="rId521" ref="B522"/>
    <hyperlink r:id="rId522" ref="B523"/>
    <hyperlink r:id="rId523" ref="B524"/>
    <hyperlink r:id="rId524" ref="B525"/>
    <hyperlink r:id="rId525" ref="B526"/>
    <hyperlink r:id="rId526" ref="B527"/>
    <hyperlink r:id="rId527" ref="B528"/>
    <hyperlink r:id="rId528" ref="B529"/>
    <hyperlink r:id="rId529" ref="B530"/>
    <hyperlink r:id="rId530" ref="B531"/>
    <hyperlink r:id="rId531" ref="B532"/>
    <hyperlink r:id="rId532" ref="B533"/>
    <hyperlink r:id="rId533" ref="B534"/>
    <hyperlink r:id="rId534" ref="B535"/>
    <hyperlink r:id="rId535" ref="B536"/>
    <hyperlink r:id="rId536" ref="B537"/>
    <hyperlink r:id="rId537" ref="B538"/>
    <hyperlink r:id="rId538" ref="B539"/>
    <hyperlink r:id="rId539" ref="B540"/>
    <hyperlink r:id="rId540" ref="B541"/>
    <hyperlink r:id="rId541" ref="B542"/>
    <hyperlink r:id="rId542" ref="B543"/>
    <hyperlink r:id="rId543" ref="B544"/>
    <hyperlink r:id="rId544" ref="B545"/>
    <hyperlink r:id="rId545" ref="B546"/>
    <hyperlink r:id="rId546" ref="B547"/>
    <hyperlink r:id="rId547" ref="B548"/>
    <hyperlink r:id="rId548" ref="B549"/>
    <hyperlink r:id="rId549" ref="B550"/>
    <hyperlink r:id="rId550" ref="B551"/>
    <hyperlink r:id="rId551" ref="B552"/>
    <hyperlink r:id="rId552" ref="B553"/>
    <hyperlink r:id="rId553" ref="B554"/>
    <hyperlink r:id="rId554" ref="B555"/>
    <hyperlink r:id="rId555" ref="B556"/>
    <hyperlink r:id="rId556" ref="B557"/>
    <hyperlink r:id="rId557" ref="B558"/>
    <hyperlink r:id="rId558" ref="B559"/>
    <hyperlink r:id="rId559" ref="B560"/>
    <hyperlink r:id="rId560" ref="B561"/>
    <hyperlink r:id="rId561" ref="B562"/>
    <hyperlink r:id="rId562" ref="B563"/>
    <hyperlink r:id="rId563" ref="B564"/>
    <hyperlink r:id="rId564" ref="B565"/>
    <hyperlink r:id="rId565" ref="B566"/>
    <hyperlink r:id="rId566" ref="B567"/>
    <hyperlink r:id="rId567" ref="B568"/>
    <hyperlink r:id="rId568" ref="B569"/>
    <hyperlink r:id="rId569" ref="B570"/>
    <hyperlink r:id="rId570" ref="B571"/>
    <hyperlink r:id="rId571" ref="B572"/>
    <hyperlink r:id="rId572" ref="B573"/>
    <hyperlink r:id="rId573" ref="B574"/>
    <hyperlink r:id="rId574" ref="B575"/>
    <hyperlink r:id="rId575" ref="B576"/>
    <hyperlink r:id="rId576" ref="B577"/>
    <hyperlink r:id="rId577" ref="B578"/>
    <hyperlink r:id="rId578" ref="B579"/>
    <hyperlink r:id="rId579" ref="B580"/>
    <hyperlink r:id="rId580" ref="B581"/>
    <hyperlink r:id="rId581" ref="B582"/>
    <hyperlink r:id="rId582" ref="B583"/>
    <hyperlink r:id="rId583" ref="B584"/>
    <hyperlink r:id="rId584" ref="B585"/>
    <hyperlink r:id="rId585" ref="B586"/>
    <hyperlink r:id="rId586" ref="B587"/>
    <hyperlink r:id="rId587" ref="B588"/>
    <hyperlink r:id="rId588" ref="B589"/>
    <hyperlink r:id="rId589" ref="B590"/>
    <hyperlink r:id="rId590" ref="B591"/>
    <hyperlink r:id="rId591" ref="B592"/>
    <hyperlink r:id="rId592" ref="B593"/>
    <hyperlink r:id="rId593" ref="B594"/>
    <hyperlink r:id="rId594" ref="B595"/>
    <hyperlink r:id="rId595" ref="B596"/>
    <hyperlink r:id="rId596" ref="B597"/>
    <hyperlink r:id="rId597" ref="B598"/>
    <hyperlink r:id="rId598" ref="B599"/>
    <hyperlink r:id="rId599" ref="B600"/>
    <hyperlink r:id="rId600" ref="B601"/>
    <hyperlink r:id="rId601" ref="B602"/>
    <hyperlink r:id="rId602" ref="B603"/>
    <hyperlink r:id="rId603" ref="B604"/>
    <hyperlink r:id="rId604" ref="B605"/>
    <hyperlink r:id="rId605" ref="B606"/>
    <hyperlink r:id="rId606" ref="B607"/>
    <hyperlink r:id="rId607" ref="B608"/>
    <hyperlink r:id="rId608" ref="B609"/>
    <hyperlink r:id="rId609" ref="B610"/>
    <hyperlink r:id="rId610" ref="B611"/>
    <hyperlink r:id="rId611" ref="B612"/>
    <hyperlink r:id="rId612" ref="B613"/>
    <hyperlink r:id="rId613" ref="B614"/>
    <hyperlink r:id="rId614" ref="B615"/>
    <hyperlink r:id="rId615" ref="B616"/>
    <hyperlink r:id="rId616" ref="B617"/>
    <hyperlink r:id="rId617" ref="B618"/>
    <hyperlink r:id="rId618" ref="B619"/>
    <hyperlink r:id="rId619" ref="B620"/>
    <hyperlink r:id="rId620" ref="B621"/>
    <hyperlink r:id="rId621" ref="B622"/>
    <hyperlink r:id="rId622" ref="B623"/>
    <hyperlink r:id="rId623" ref="B624"/>
    <hyperlink r:id="rId624" ref="B625"/>
    <hyperlink r:id="rId625" ref="B626"/>
    <hyperlink r:id="rId626" ref="B627"/>
    <hyperlink r:id="rId627" ref="B628"/>
    <hyperlink r:id="rId628" ref="B629"/>
    <hyperlink r:id="rId629" ref="B630"/>
    <hyperlink r:id="rId630" ref="B631"/>
    <hyperlink r:id="rId631" ref="B632"/>
    <hyperlink r:id="rId632" ref="B633"/>
    <hyperlink r:id="rId633" ref="B634"/>
    <hyperlink r:id="rId634" ref="B635"/>
    <hyperlink r:id="rId635" ref="B636"/>
    <hyperlink r:id="rId636" ref="B637"/>
    <hyperlink r:id="rId637" ref="B638"/>
    <hyperlink r:id="rId638" ref="B639"/>
    <hyperlink r:id="rId639" ref="B640"/>
    <hyperlink r:id="rId640" ref="B641"/>
    <hyperlink r:id="rId641" ref="B642"/>
    <hyperlink r:id="rId642" ref="B643"/>
    <hyperlink r:id="rId643" ref="B644"/>
    <hyperlink r:id="rId644" ref="B645"/>
    <hyperlink r:id="rId645" ref="B646"/>
    <hyperlink r:id="rId646" ref="B647"/>
    <hyperlink r:id="rId647" ref="B648"/>
    <hyperlink r:id="rId648" ref="B649"/>
    <hyperlink r:id="rId649" ref="B650"/>
    <hyperlink r:id="rId650" ref="B651"/>
    <hyperlink r:id="rId651" ref="B652"/>
    <hyperlink r:id="rId652" ref="B653"/>
    <hyperlink r:id="rId653" ref="B654"/>
    <hyperlink r:id="rId654" ref="B655"/>
    <hyperlink r:id="rId655" ref="B656"/>
    <hyperlink r:id="rId656" ref="B657"/>
    <hyperlink r:id="rId657" ref="B658"/>
    <hyperlink r:id="rId658" ref="B659"/>
    <hyperlink r:id="rId659" ref="B660"/>
    <hyperlink r:id="rId660" ref="B661"/>
    <hyperlink r:id="rId661" ref="B662"/>
    <hyperlink r:id="rId662" ref="B663"/>
    <hyperlink r:id="rId663" ref="B664"/>
    <hyperlink r:id="rId664" ref="B665"/>
    <hyperlink r:id="rId665" ref="B666"/>
    <hyperlink r:id="rId666" ref="B667"/>
    <hyperlink r:id="rId667" ref="B668"/>
    <hyperlink r:id="rId668" ref="B669"/>
    <hyperlink r:id="rId669" ref="B670"/>
    <hyperlink r:id="rId670" ref="B671"/>
    <hyperlink r:id="rId671" ref="B672"/>
    <hyperlink r:id="rId672" ref="B673"/>
    <hyperlink r:id="rId673" ref="B674"/>
    <hyperlink r:id="rId674" ref="B675"/>
    <hyperlink r:id="rId675" ref="B676"/>
    <hyperlink r:id="rId676" ref="B677"/>
    <hyperlink r:id="rId677" ref="B678"/>
    <hyperlink r:id="rId678" ref="B679"/>
    <hyperlink r:id="rId679" ref="B680"/>
    <hyperlink r:id="rId680" ref="B681"/>
    <hyperlink r:id="rId681" ref="B682"/>
    <hyperlink r:id="rId682" ref="B683"/>
    <hyperlink r:id="rId683" ref="B684"/>
    <hyperlink r:id="rId684" ref="B685"/>
    <hyperlink r:id="rId685" ref="B686"/>
    <hyperlink r:id="rId686" ref="B687"/>
    <hyperlink r:id="rId687" ref="B688"/>
    <hyperlink r:id="rId688" ref="B689"/>
    <hyperlink r:id="rId689" ref="B690"/>
    <hyperlink r:id="rId690" ref="B691"/>
    <hyperlink r:id="rId691" ref="B692"/>
    <hyperlink r:id="rId692" ref="B693"/>
    <hyperlink r:id="rId693" ref="B694"/>
    <hyperlink r:id="rId694" ref="B695"/>
    <hyperlink r:id="rId695" ref="B696"/>
    <hyperlink r:id="rId696" ref="B697"/>
    <hyperlink r:id="rId697" ref="B698"/>
    <hyperlink r:id="rId698" ref="B699"/>
    <hyperlink r:id="rId699" ref="B700"/>
    <hyperlink r:id="rId700" ref="B701"/>
  </hyperlinks>
  <drawing r:id="rId70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57"/>
    <col customWidth="1" min="2" max="2" width="102.43"/>
    <col customWidth="1" min="3" max="3" width="102.86"/>
    <col customWidth="1" min="4" max="4" width="182.71"/>
    <col customWidth="1" min="5" max="26" width="3.0"/>
  </cols>
  <sheetData>
    <row r="1">
      <c r="A1" s="2" t="s">
        <v>1</v>
      </c>
      <c r="B1" s="2" t="s">
        <v>1441</v>
      </c>
      <c r="C1" s="2" t="s">
        <v>1442</v>
      </c>
      <c r="D1" s="8"/>
      <c r="L1" s="8"/>
      <c r="M1" s="8"/>
      <c r="N1" s="8"/>
      <c r="O1" s="8"/>
    </row>
    <row r="2">
      <c r="A2" s="2" t="s">
        <v>32</v>
      </c>
      <c r="B2" s="26" t="s">
        <v>1443</v>
      </c>
      <c r="C2" s="26" t="s">
        <v>1444</v>
      </c>
      <c r="D2" s="8"/>
      <c r="L2" s="8"/>
      <c r="M2" s="8"/>
      <c r="N2" s="8"/>
      <c r="O2" s="8"/>
    </row>
    <row r="3">
      <c r="A3" s="2" t="s">
        <v>33</v>
      </c>
      <c r="B3" s="26" t="s">
        <v>1445</v>
      </c>
      <c r="C3" s="26" t="s">
        <v>1446</v>
      </c>
      <c r="D3" s="8"/>
      <c r="L3" s="8"/>
      <c r="M3" s="8"/>
      <c r="N3" s="8"/>
      <c r="O3" s="8"/>
    </row>
    <row r="4">
      <c r="A4" s="2" t="s">
        <v>34</v>
      </c>
      <c r="B4" s="26" t="s">
        <v>1447</v>
      </c>
      <c r="C4" s="26" t="s">
        <v>1448</v>
      </c>
      <c r="D4" s="8"/>
      <c r="L4" s="8"/>
      <c r="M4" s="8"/>
      <c r="N4" s="8"/>
      <c r="O4" s="8"/>
    </row>
    <row r="5">
      <c r="A5" s="2" t="s">
        <v>35</v>
      </c>
      <c r="B5" s="26" t="s">
        <v>1449</v>
      </c>
      <c r="C5" s="26" t="s">
        <v>1450</v>
      </c>
      <c r="D5" s="8"/>
      <c r="L5" s="8"/>
      <c r="M5" s="8"/>
      <c r="N5" s="8"/>
      <c r="O5" s="8"/>
    </row>
    <row r="6">
      <c r="A6" s="2" t="s">
        <v>36</v>
      </c>
      <c r="B6" s="26" t="s">
        <v>1451</v>
      </c>
      <c r="C6" s="26" t="s">
        <v>1452</v>
      </c>
      <c r="D6" s="8"/>
      <c r="L6" s="8"/>
      <c r="M6" s="8"/>
      <c r="N6" s="8"/>
      <c r="O6" s="8"/>
    </row>
    <row r="7">
      <c r="A7" s="2" t="s">
        <v>37</v>
      </c>
      <c r="B7" s="26" t="s">
        <v>1453</v>
      </c>
      <c r="C7" s="26" t="s">
        <v>1454</v>
      </c>
      <c r="D7" s="8"/>
      <c r="L7" s="8"/>
      <c r="M7" s="8"/>
      <c r="N7" s="8"/>
      <c r="O7" s="8"/>
    </row>
    <row r="8">
      <c r="A8" s="2" t="s">
        <v>38</v>
      </c>
      <c r="B8" s="26" t="s">
        <v>1455</v>
      </c>
      <c r="C8" s="26" t="s">
        <v>1456</v>
      </c>
      <c r="D8" s="8"/>
      <c r="L8" s="8"/>
      <c r="M8" s="8"/>
      <c r="N8" s="8"/>
      <c r="O8" s="8"/>
    </row>
    <row r="9">
      <c r="A9" s="2" t="s">
        <v>39</v>
      </c>
      <c r="B9" s="26" t="s">
        <v>1457</v>
      </c>
      <c r="C9" s="26" t="s">
        <v>1458</v>
      </c>
      <c r="D9" s="8"/>
      <c r="L9" s="8"/>
      <c r="M9" s="8"/>
      <c r="N9" s="8"/>
      <c r="O9" s="8"/>
    </row>
    <row r="10">
      <c r="A10" s="2" t="s">
        <v>40</v>
      </c>
      <c r="B10" s="26" t="s">
        <v>1459</v>
      </c>
      <c r="C10" s="26" t="s">
        <v>1460</v>
      </c>
      <c r="D10" s="8"/>
      <c r="L10" s="8"/>
      <c r="M10" s="8"/>
      <c r="N10" s="8"/>
      <c r="O10" s="8"/>
    </row>
    <row r="11">
      <c r="A11" s="2" t="s">
        <v>41</v>
      </c>
      <c r="B11" s="26" t="s">
        <v>1461</v>
      </c>
      <c r="C11" s="26" t="s">
        <v>1462</v>
      </c>
      <c r="D11" s="8"/>
      <c r="L11" s="8"/>
      <c r="M11" s="8"/>
      <c r="N11" s="8"/>
      <c r="O11" s="8"/>
    </row>
    <row r="12">
      <c r="A12" s="2" t="s">
        <v>42</v>
      </c>
      <c r="B12" s="26" t="s">
        <v>1463</v>
      </c>
      <c r="C12" s="26" t="s">
        <v>1464</v>
      </c>
      <c r="D12" s="8"/>
      <c r="L12" s="8"/>
      <c r="M12" s="8"/>
      <c r="N12" s="8"/>
      <c r="O12" s="8"/>
    </row>
    <row r="13">
      <c r="A13" s="2" t="s">
        <v>43</v>
      </c>
      <c r="B13" s="26" t="s">
        <v>1465</v>
      </c>
      <c r="C13" s="26" t="s">
        <v>1466</v>
      </c>
      <c r="D13" s="8"/>
      <c r="L13" s="8"/>
      <c r="M13" s="8"/>
      <c r="N13" s="8"/>
      <c r="O13" s="8"/>
    </row>
    <row r="14">
      <c r="A14" s="2" t="s">
        <v>44</v>
      </c>
      <c r="B14" s="26" t="s">
        <v>1467</v>
      </c>
      <c r="C14" s="26" t="s">
        <v>1468</v>
      </c>
      <c r="D14" s="8"/>
      <c r="L14" s="8"/>
      <c r="M14" s="8"/>
      <c r="N14" s="8"/>
      <c r="O14" s="8"/>
    </row>
    <row r="15">
      <c r="A15" s="2" t="s">
        <v>45</v>
      </c>
      <c r="B15" s="26" t="s">
        <v>1469</v>
      </c>
      <c r="C15" s="26" t="s">
        <v>1470</v>
      </c>
      <c r="D15" s="8"/>
      <c r="L15" s="8"/>
      <c r="M15" s="8"/>
      <c r="N15" s="8"/>
      <c r="O15" s="8"/>
    </row>
    <row r="16">
      <c r="A16" s="2" t="s">
        <v>46</v>
      </c>
      <c r="B16" s="26" t="s">
        <v>1471</v>
      </c>
      <c r="C16" s="26" t="s">
        <v>1472</v>
      </c>
      <c r="D16" s="8"/>
      <c r="L16" s="8"/>
      <c r="M16" s="8"/>
      <c r="N16" s="8"/>
      <c r="O16" s="8"/>
    </row>
    <row r="17">
      <c r="A17" s="2" t="s">
        <v>47</v>
      </c>
      <c r="B17" s="26" t="s">
        <v>1473</v>
      </c>
      <c r="C17" s="26" t="s">
        <v>1474</v>
      </c>
      <c r="D17" s="8"/>
      <c r="L17" s="8"/>
      <c r="M17" s="8"/>
      <c r="N17" s="8"/>
      <c r="O17" s="8"/>
    </row>
    <row r="18">
      <c r="A18" s="2" t="s">
        <v>48</v>
      </c>
      <c r="B18" s="26" t="s">
        <v>1475</v>
      </c>
      <c r="C18" s="26" t="s">
        <v>1476</v>
      </c>
      <c r="D18" s="8"/>
      <c r="L18" s="8"/>
      <c r="M18" s="8"/>
      <c r="N18" s="8"/>
      <c r="O18" s="8"/>
    </row>
    <row r="19">
      <c r="A19" s="2" t="s">
        <v>4</v>
      </c>
      <c r="B19" s="26" t="s">
        <v>1477</v>
      </c>
      <c r="C19" s="26" t="s">
        <v>1478</v>
      </c>
      <c r="D19" s="8"/>
      <c r="L19" s="8"/>
      <c r="M19" s="8"/>
      <c r="N19" s="8"/>
      <c r="O19" s="8"/>
    </row>
    <row r="20">
      <c r="A20" s="2" t="s">
        <v>49</v>
      </c>
      <c r="B20" s="26" t="s">
        <v>1479</v>
      </c>
      <c r="C20" s="26" t="s">
        <v>1480</v>
      </c>
      <c r="D20" s="8"/>
      <c r="L20" s="8"/>
      <c r="M20" s="8"/>
      <c r="N20" s="8"/>
      <c r="O20" s="8"/>
    </row>
    <row r="21">
      <c r="A21" s="2" t="s">
        <v>50</v>
      </c>
      <c r="B21" s="26" t="s">
        <v>1481</v>
      </c>
      <c r="C21" s="26" t="s">
        <v>1482</v>
      </c>
      <c r="D21" s="8"/>
      <c r="L21" s="8"/>
      <c r="M21" s="8"/>
      <c r="N21" s="8"/>
      <c r="O21" s="8"/>
    </row>
    <row r="22">
      <c r="A22" s="2" t="s">
        <v>51</v>
      </c>
      <c r="B22" s="26" t="s">
        <v>1483</v>
      </c>
      <c r="C22" s="26" t="s">
        <v>1484</v>
      </c>
      <c r="D22" s="8"/>
      <c r="L22" s="8"/>
      <c r="M22" s="8"/>
      <c r="N22" s="8"/>
      <c r="O22" s="8"/>
    </row>
    <row r="23">
      <c r="A23" s="2" t="s">
        <v>52</v>
      </c>
      <c r="B23" s="26" t="s">
        <v>1485</v>
      </c>
      <c r="C23" s="26" t="s">
        <v>1486</v>
      </c>
      <c r="D23" s="8"/>
      <c r="L23" s="8"/>
      <c r="M23" s="8"/>
      <c r="N23" s="8"/>
      <c r="O23" s="8"/>
    </row>
    <row r="24">
      <c r="A24" s="2" t="s">
        <v>53</v>
      </c>
      <c r="B24" s="26" t="s">
        <v>1487</v>
      </c>
      <c r="C24" s="26" t="s">
        <v>1488</v>
      </c>
      <c r="D24" s="8"/>
      <c r="L24" s="8"/>
      <c r="M24" s="8"/>
      <c r="N24" s="8"/>
      <c r="O24" s="8"/>
    </row>
    <row r="25">
      <c r="A25" s="2" t="s">
        <v>54</v>
      </c>
      <c r="B25" s="26" t="s">
        <v>1489</v>
      </c>
      <c r="C25" s="26" t="s">
        <v>1490</v>
      </c>
      <c r="D25" s="8"/>
      <c r="L25" s="8"/>
      <c r="M25" s="8"/>
      <c r="N25" s="8"/>
      <c r="O25" s="8"/>
    </row>
    <row r="26">
      <c r="A26" s="2" t="s">
        <v>55</v>
      </c>
      <c r="B26" s="26" t="s">
        <v>1491</v>
      </c>
      <c r="C26" s="26" t="s">
        <v>1492</v>
      </c>
      <c r="D26" s="8"/>
      <c r="L26" s="8"/>
      <c r="M26" s="8"/>
      <c r="N26" s="8"/>
      <c r="O26" s="8"/>
    </row>
    <row r="27">
      <c r="A27" s="2" t="s">
        <v>56</v>
      </c>
      <c r="B27" s="26" t="s">
        <v>1493</v>
      </c>
      <c r="C27" s="26" t="s">
        <v>1494</v>
      </c>
      <c r="D27" s="8"/>
      <c r="L27" s="8"/>
      <c r="M27" s="8"/>
      <c r="N27" s="8"/>
      <c r="O27" s="8"/>
    </row>
    <row r="28">
      <c r="A28" s="2" t="s">
        <v>57</v>
      </c>
      <c r="B28" s="26" t="s">
        <v>1495</v>
      </c>
      <c r="C28" s="26" t="s">
        <v>1496</v>
      </c>
      <c r="D28" s="8"/>
      <c r="L28" s="8"/>
      <c r="M28" s="8"/>
      <c r="N28" s="8"/>
      <c r="O28" s="8"/>
    </row>
    <row r="29">
      <c r="A29" s="2" t="s">
        <v>58</v>
      </c>
      <c r="B29" s="26" t="s">
        <v>1497</v>
      </c>
      <c r="C29" s="26" t="s">
        <v>1498</v>
      </c>
      <c r="D29" s="8"/>
      <c r="L29" s="8"/>
      <c r="M29" s="8"/>
      <c r="N29" s="8"/>
      <c r="O29" s="8"/>
    </row>
    <row r="30">
      <c r="A30" s="2" t="s">
        <v>59</v>
      </c>
      <c r="B30" s="26" t="s">
        <v>1499</v>
      </c>
      <c r="C30" s="26" t="s">
        <v>1500</v>
      </c>
      <c r="D30" s="8"/>
      <c r="L30" s="8"/>
      <c r="M30" s="8"/>
      <c r="N30" s="8"/>
      <c r="O30" s="8"/>
    </row>
    <row r="31">
      <c r="A31" s="2" t="s">
        <v>60</v>
      </c>
      <c r="B31" s="26" t="s">
        <v>1501</v>
      </c>
      <c r="C31" s="26" t="s">
        <v>1502</v>
      </c>
      <c r="D31" s="8"/>
      <c r="L31" s="8"/>
      <c r="M31" s="8"/>
      <c r="N31" s="8"/>
      <c r="O31" s="8"/>
    </row>
    <row r="32">
      <c r="A32" s="2" t="s">
        <v>61</v>
      </c>
      <c r="B32" s="26" t="s">
        <v>1503</v>
      </c>
      <c r="C32" s="26" t="s">
        <v>1504</v>
      </c>
      <c r="D32" s="8"/>
      <c r="L32" s="8"/>
      <c r="M32" s="8"/>
      <c r="N32" s="8"/>
      <c r="O32" s="8"/>
    </row>
    <row r="33">
      <c r="A33" s="2" t="s">
        <v>62</v>
      </c>
      <c r="B33" s="26" t="s">
        <v>1505</v>
      </c>
      <c r="C33" s="26" t="s">
        <v>1506</v>
      </c>
      <c r="D33" s="8"/>
      <c r="L33" s="8"/>
      <c r="M33" s="8"/>
      <c r="N33" s="8"/>
      <c r="O33" s="8"/>
    </row>
    <row r="34">
      <c r="A34" s="2" t="s">
        <v>63</v>
      </c>
      <c r="B34" s="26" t="s">
        <v>1507</v>
      </c>
      <c r="C34" s="26" t="s">
        <v>1508</v>
      </c>
      <c r="D34" s="8"/>
      <c r="L34" s="8"/>
      <c r="M34" s="8"/>
      <c r="N34" s="8"/>
      <c r="O34" s="8"/>
    </row>
    <row r="35">
      <c r="A35" s="2" t="s">
        <v>64</v>
      </c>
      <c r="B35" s="26" t="s">
        <v>1509</v>
      </c>
      <c r="C35" s="26" t="s">
        <v>1510</v>
      </c>
      <c r="D35" s="8"/>
      <c r="L35" s="8"/>
      <c r="M35" s="8"/>
      <c r="N35" s="8"/>
      <c r="O35" s="8"/>
    </row>
    <row r="36">
      <c r="A36" s="2" t="s">
        <v>65</v>
      </c>
      <c r="B36" s="26" t="s">
        <v>1511</v>
      </c>
      <c r="C36" s="26" t="s">
        <v>1512</v>
      </c>
      <c r="D36" s="8"/>
      <c r="L36" s="8"/>
      <c r="M36" s="8"/>
      <c r="N36" s="8"/>
      <c r="O36" s="8"/>
    </row>
    <row r="37">
      <c r="A37" s="2" t="s">
        <v>66</v>
      </c>
      <c r="B37" s="26" t="s">
        <v>1513</v>
      </c>
      <c r="C37" s="26" t="s">
        <v>1514</v>
      </c>
      <c r="D37" s="8"/>
      <c r="L37" s="8"/>
      <c r="M37" s="8"/>
      <c r="N37" s="8"/>
      <c r="O37" s="8"/>
    </row>
    <row r="38">
      <c r="A38" s="2" t="s">
        <v>67</v>
      </c>
      <c r="B38" s="26" t="s">
        <v>1515</v>
      </c>
      <c r="C38" s="26" t="s">
        <v>1516</v>
      </c>
      <c r="D38" s="8"/>
      <c r="L38" s="8"/>
      <c r="M38" s="8"/>
      <c r="N38" s="8"/>
      <c r="O38" s="8"/>
    </row>
    <row r="39">
      <c r="A39" s="2" t="s">
        <v>68</v>
      </c>
      <c r="B39" s="26" t="s">
        <v>1517</v>
      </c>
      <c r="C39" s="26" t="s">
        <v>1518</v>
      </c>
      <c r="D39" s="8"/>
      <c r="L39" s="8"/>
      <c r="M39" s="8"/>
      <c r="N39" s="8"/>
      <c r="O39" s="8"/>
    </row>
    <row r="40">
      <c r="A40" s="2" t="s">
        <v>69</v>
      </c>
      <c r="B40" s="26" t="s">
        <v>1519</v>
      </c>
      <c r="C40" s="26" t="s">
        <v>1520</v>
      </c>
      <c r="D40" s="8"/>
      <c r="L40" s="8"/>
      <c r="M40" s="8"/>
      <c r="N40" s="8"/>
      <c r="O40" s="8"/>
    </row>
    <row r="41">
      <c r="A41" s="2" t="s">
        <v>70</v>
      </c>
      <c r="B41" s="26" t="s">
        <v>1521</v>
      </c>
      <c r="C41" s="26" t="s">
        <v>1522</v>
      </c>
      <c r="D41" s="8"/>
      <c r="L41" s="8"/>
      <c r="M41" s="8"/>
      <c r="N41" s="8"/>
      <c r="O41" s="8"/>
    </row>
    <row r="42">
      <c r="A42" s="2" t="s">
        <v>71</v>
      </c>
      <c r="B42" s="26" t="s">
        <v>1523</v>
      </c>
      <c r="C42" s="26" t="s">
        <v>1524</v>
      </c>
      <c r="D42" s="8"/>
      <c r="L42" s="8"/>
      <c r="M42" s="8"/>
      <c r="N42" s="8"/>
      <c r="O42" s="8"/>
    </row>
    <row r="43">
      <c r="A43" s="2" t="s">
        <v>72</v>
      </c>
      <c r="B43" s="26" t="s">
        <v>1525</v>
      </c>
      <c r="C43" s="26" t="s">
        <v>1526</v>
      </c>
      <c r="D43" s="8"/>
      <c r="L43" s="8"/>
      <c r="M43" s="8"/>
      <c r="N43" s="8"/>
      <c r="O43" s="8"/>
    </row>
    <row r="44">
      <c r="A44" s="2" t="s">
        <v>73</v>
      </c>
      <c r="B44" s="26" t="s">
        <v>1527</v>
      </c>
      <c r="C44" s="26" t="s">
        <v>1528</v>
      </c>
      <c r="D44" s="8"/>
      <c r="L44" s="8"/>
      <c r="M44" s="8"/>
      <c r="N44" s="8"/>
      <c r="O44" s="8"/>
    </row>
    <row r="45">
      <c r="A45" s="2" t="s">
        <v>74</v>
      </c>
      <c r="B45" s="26" t="s">
        <v>1529</v>
      </c>
      <c r="C45" s="26" t="s">
        <v>1530</v>
      </c>
      <c r="D45" s="8"/>
      <c r="L45" s="8"/>
      <c r="M45" s="8"/>
      <c r="N45" s="8"/>
      <c r="O45" s="8"/>
    </row>
    <row r="46">
      <c r="A46" s="2" t="s">
        <v>75</v>
      </c>
      <c r="B46" s="26" t="s">
        <v>1531</v>
      </c>
      <c r="C46" s="26" t="s">
        <v>1532</v>
      </c>
      <c r="D46" s="8"/>
      <c r="L46" s="8"/>
      <c r="M46" s="8"/>
      <c r="N46" s="8"/>
      <c r="O46" s="8"/>
    </row>
    <row r="47">
      <c r="A47" s="2" t="s">
        <v>76</v>
      </c>
      <c r="B47" s="26" t="s">
        <v>1533</v>
      </c>
      <c r="C47" s="26" t="s">
        <v>1534</v>
      </c>
      <c r="D47" s="8"/>
      <c r="L47" s="8"/>
      <c r="M47" s="8"/>
      <c r="N47" s="8"/>
      <c r="O47" s="8"/>
    </row>
    <row r="48">
      <c r="A48" s="2" t="s">
        <v>77</v>
      </c>
      <c r="B48" s="26" t="s">
        <v>1535</v>
      </c>
      <c r="C48" s="26" t="s">
        <v>1536</v>
      </c>
      <c r="D48" s="8"/>
      <c r="L48" s="8"/>
      <c r="M48" s="8"/>
      <c r="N48" s="8"/>
      <c r="O48" s="8"/>
    </row>
    <row r="49">
      <c r="A49" s="2" t="s">
        <v>78</v>
      </c>
      <c r="B49" s="26" t="s">
        <v>1537</v>
      </c>
      <c r="C49" s="26" t="s">
        <v>1538</v>
      </c>
      <c r="D49" s="8"/>
      <c r="L49" s="8"/>
      <c r="M49" s="8"/>
      <c r="N49" s="8"/>
      <c r="O49" s="8"/>
    </row>
    <row r="50">
      <c r="A50" s="2" t="s">
        <v>79</v>
      </c>
      <c r="B50" s="26" t="s">
        <v>1539</v>
      </c>
      <c r="C50" s="26" t="s">
        <v>1540</v>
      </c>
      <c r="D50" s="8"/>
      <c r="L50" s="8"/>
      <c r="M50" s="8"/>
      <c r="N50" s="8"/>
      <c r="O50" s="8"/>
    </row>
    <row r="51">
      <c r="A51" s="2" t="s">
        <v>80</v>
      </c>
      <c r="B51" s="26" t="s">
        <v>1541</v>
      </c>
      <c r="C51" s="26" t="s">
        <v>1542</v>
      </c>
      <c r="D51" s="8"/>
      <c r="L51" s="8"/>
      <c r="M51" s="8"/>
      <c r="N51" s="8"/>
      <c r="O51" s="8"/>
    </row>
    <row r="52">
      <c r="A52" s="2" t="s">
        <v>81</v>
      </c>
      <c r="B52" s="26" t="s">
        <v>1543</v>
      </c>
      <c r="C52" s="26" t="s">
        <v>1544</v>
      </c>
      <c r="D52" s="8"/>
      <c r="L52" s="8"/>
      <c r="M52" s="8"/>
      <c r="N52" s="8"/>
      <c r="O52" s="8"/>
    </row>
    <row r="53">
      <c r="A53" s="2" t="s">
        <v>82</v>
      </c>
      <c r="B53" s="26" t="s">
        <v>1545</v>
      </c>
      <c r="C53" s="26" t="s">
        <v>1546</v>
      </c>
      <c r="D53" s="8"/>
      <c r="L53" s="8"/>
      <c r="M53" s="8"/>
      <c r="N53" s="8"/>
      <c r="O53" s="8"/>
    </row>
    <row r="54">
      <c r="A54" s="2" t="s">
        <v>83</v>
      </c>
      <c r="B54" s="26" t="s">
        <v>1547</v>
      </c>
      <c r="C54" s="26" t="s">
        <v>1548</v>
      </c>
      <c r="D54" s="8"/>
      <c r="L54" s="8"/>
      <c r="M54" s="8"/>
      <c r="N54" s="8"/>
      <c r="O54" s="8"/>
    </row>
    <row r="55">
      <c r="A55" s="2" t="s">
        <v>84</v>
      </c>
      <c r="B55" s="26" t="s">
        <v>1549</v>
      </c>
      <c r="C55" s="26" t="s">
        <v>1550</v>
      </c>
      <c r="D55" s="8"/>
      <c r="L55" s="8"/>
      <c r="M55" s="8"/>
      <c r="N55" s="8"/>
      <c r="O55" s="8"/>
    </row>
    <row r="56">
      <c r="A56" s="2" t="s">
        <v>85</v>
      </c>
      <c r="B56" s="26" t="s">
        <v>1551</v>
      </c>
      <c r="C56" s="26" t="s">
        <v>1552</v>
      </c>
      <c r="D56" s="8"/>
      <c r="L56" s="8"/>
      <c r="M56" s="8"/>
      <c r="N56" s="8"/>
      <c r="O56" s="8"/>
    </row>
    <row r="57">
      <c r="A57" s="2" t="s">
        <v>86</v>
      </c>
      <c r="B57" s="26" t="s">
        <v>1553</v>
      </c>
      <c r="C57" s="26" t="s">
        <v>1554</v>
      </c>
      <c r="D57" s="8"/>
      <c r="L57" s="8"/>
      <c r="M57" s="8"/>
      <c r="N57" s="8"/>
      <c r="O57" s="8"/>
    </row>
    <row r="58">
      <c r="A58" s="2" t="s">
        <v>87</v>
      </c>
      <c r="B58" s="26" t="s">
        <v>1555</v>
      </c>
      <c r="C58" s="26" t="s">
        <v>1556</v>
      </c>
      <c r="D58" s="8"/>
      <c r="L58" s="8"/>
      <c r="M58" s="8"/>
      <c r="N58" s="8"/>
      <c r="O58" s="8"/>
    </row>
    <row r="59">
      <c r="A59" s="2" t="s">
        <v>88</v>
      </c>
      <c r="B59" s="26" t="s">
        <v>1557</v>
      </c>
      <c r="C59" s="26" t="s">
        <v>1558</v>
      </c>
      <c r="D59" s="8"/>
      <c r="L59" s="8"/>
      <c r="M59" s="8"/>
      <c r="N59" s="8"/>
      <c r="O59" s="8"/>
    </row>
    <row r="60">
      <c r="A60" s="2" t="s">
        <v>89</v>
      </c>
      <c r="B60" s="26" t="s">
        <v>1559</v>
      </c>
      <c r="C60" s="26" t="s">
        <v>1560</v>
      </c>
      <c r="D60" s="8"/>
      <c r="L60" s="8"/>
      <c r="M60" s="8"/>
      <c r="N60" s="8"/>
      <c r="O60" s="8"/>
    </row>
    <row r="61">
      <c r="A61" s="2" t="s">
        <v>90</v>
      </c>
      <c r="B61" s="26" t="s">
        <v>1561</v>
      </c>
      <c r="C61" s="26" t="s">
        <v>1562</v>
      </c>
      <c r="D61" s="8"/>
      <c r="L61" s="8"/>
      <c r="M61" s="8"/>
      <c r="N61" s="8"/>
      <c r="O61" s="8"/>
    </row>
    <row r="62">
      <c r="A62" s="2" t="s">
        <v>91</v>
      </c>
      <c r="B62" s="26" t="s">
        <v>1563</v>
      </c>
      <c r="C62" s="26" t="s">
        <v>1564</v>
      </c>
      <c r="D62" s="8"/>
      <c r="L62" s="8"/>
      <c r="M62" s="8"/>
      <c r="N62" s="8"/>
      <c r="O62" s="8"/>
    </row>
    <row r="63">
      <c r="A63" s="2" t="s">
        <v>9</v>
      </c>
      <c r="B63" s="26" t="s">
        <v>1565</v>
      </c>
      <c r="C63" s="26" t="s">
        <v>1566</v>
      </c>
      <c r="D63" s="8"/>
      <c r="L63" s="8"/>
      <c r="M63" s="8"/>
      <c r="N63" s="8"/>
      <c r="O63" s="8"/>
    </row>
    <row r="64">
      <c r="A64" s="2" t="s">
        <v>92</v>
      </c>
      <c r="B64" s="26" t="s">
        <v>1567</v>
      </c>
      <c r="C64" s="26" t="s">
        <v>1568</v>
      </c>
      <c r="D64" s="8"/>
      <c r="L64" s="8"/>
      <c r="M64" s="8"/>
      <c r="N64" s="8"/>
      <c r="O64" s="8"/>
    </row>
    <row r="65">
      <c r="A65" s="2" t="s">
        <v>93</v>
      </c>
      <c r="B65" s="26" t="s">
        <v>1569</v>
      </c>
      <c r="C65" s="26" t="s">
        <v>1570</v>
      </c>
      <c r="D65" s="8"/>
      <c r="L65" s="8"/>
      <c r="M65" s="8"/>
      <c r="N65" s="8"/>
      <c r="O65" s="8"/>
    </row>
    <row r="66">
      <c r="A66" s="2" t="s">
        <v>94</v>
      </c>
      <c r="B66" s="26" t="s">
        <v>1571</v>
      </c>
      <c r="C66" s="26" t="s">
        <v>1572</v>
      </c>
      <c r="D66" s="8"/>
      <c r="L66" s="8"/>
      <c r="M66" s="8"/>
      <c r="N66" s="8"/>
      <c r="O66" s="8"/>
    </row>
    <row r="67">
      <c r="A67" s="2" t="s">
        <v>95</v>
      </c>
      <c r="B67" s="26" t="s">
        <v>1573</v>
      </c>
      <c r="C67" s="26" t="s">
        <v>1574</v>
      </c>
      <c r="D67" s="8"/>
      <c r="L67" s="8"/>
      <c r="M67" s="8"/>
      <c r="N67" s="8"/>
      <c r="O67" s="8"/>
    </row>
    <row r="68">
      <c r="A68" s="2" t="s">
        <v>96</v>
      </c>
      <c r="B68" s="26" t="s">
        <v>1575</v>
      </c>
      <c r="C68" s="26" t="s">
        <v>1576</v>
      </c>
      <c r="D68" s="8"/>
      <c r="L68" s="8"/>
      <c r="M68" s="8"/>
      <c r="N68" s="8"/>
      <c r="O68" s="8"/>
    </row>
    <row r="69">
      <c r="A69" s="2" t="s">
        <v>97</v>
      </c>
      <c r="B69" s="26" t="s">
        <v>1577</v>
      </c>
      <c r="C69" s="26" t="s">
        <v>1578</v>
      </c>
      <c r="D69" s="8"/>
      <c r="L69" s="8"/>
      <c r="M69" s="8"/>
      <c r="N69" s="8"/>
      <c r="O69" s="8"/>
    </row>
    <row r="70">
      <c r="A70" s="2" t="s">
        <v>98</v>
      </c>
      <c r="B70" s="26" t="s">
        <v>1579</v>
      </c>
      <c r="C70" s="26" t="s">
        <v>1580</v>
      </c>
      <c r="D70" s="8"/>
      <c r="L70" s="8"/>
      <c r="M70" s="8"/>
      <c r="N70" s="8"/>
      <c r="O70" s="8"/>
    </row>
    <row r="71">
      <c r="A71" s="2" t="s">
        <v>99</v>
      </c>
      <c r="B71" s="26" t="s">
        <v>1581</v>
      </c>
      <c r="C71" s="26" t="s">
        <v>1582</v>
      </c>
      <c r="D71" s="8"/>
      <c r="L71" s="8"/>
      <c r="M71" s="8"/>
      <c r="N71" s="8"/>
      <c r="O71" s="8"/>
    </row>
    <row r="72">
      <c r="A72" s="2" t="s">
        <v>100</v>
      </c>
      <c r="B72" s="26" t="s">
        <v>1583</v>
      </c>
      <c r="C72" s="26" t="s">
        <v>1584</v>
      </c>
      <c r="D72" s="8"/>
      <c r="L72" s="8"/>
      <c r="M72" s="8"/>
      <c r="N72" s="8"/>
      <c r="O72" s="8"/>
    </row>
    <row r="73">
      <c r="A73" s="2" t="s">
        <v>101</v>
      </c>
      <c r="B73" s="26" t="s">
        <v>1585</v>
      </c>
      <c r="C73" s="26" t="s">
        <v>1586</v>
      </c>
      <c r="D73" s="8"/>
      <c r="L73" s="8"/>
      <c r="M73" s="8"/>
      <c r="N73" s="8"/>
      <c r="O73" s="8"/>
    </row>
    <row r="74">
      <c r="A74" s="2" t="s">
        <v>102</v>
      </c>
      <c r="B74" s="26" t="s">
        <v>1587</v>
      </c>
      <c r="C74" s="26" t="s">
        <v>1588</v>
      </c>
      <c r="D74" s="8"/>
      <c r="L74" s="8"/>
      <c r="M74" s="8"/>
      <c r="N74" s="8"/>
      <c r="O74" s="8"/>
    </row>
    <row r="75">
      <c r="A75" s="2" t="s">
        <v>103</v>
      </c>
      <c r="B75" s="26" t="s">
        <v>1589</v>
      </c>
      <c r="C75" s="26" t="s">
        <v>1590</v>
      </c>
      <c r="D75" s="8"/>
      <c r="L75" s="8"/>
      <c r="M75" s="8"/>
      <c r="N75" s="8"/>
      <c r="O75" s="8"/>
    </row>
    <row r="76">
      <c r="A76" s="2" t="s">
        <v>104</v>
      </c>
      <c r="B76" s="26" t="s">
        <v>1591</v>
      </c>
      <c r="C76" s="26" t="s">
        <v>1592</v>
      </c>
      <c r="D76" s="8"/>
      <c r="L76" s="8"/>
      <c r="M76" s="8"/>
      <c r="N76" s="8"/>
      <c r="O76" s="8"/>
    </row>
    <row r="77">
      <c r="A77" s="2" t="s">
        <v>105</v>
      </c>
      <c r="B77" s="26" t="s">
        <v>1593</v>
      </c>
      <c r="C77" s="26" t="s">
        <v>1594</v>
      </c>
      <c r="D77" s="8"/>
      <c r="L77" s="8"/>
      <c r="M77" s="8"/>
      <c r="N77" s="8"/>
      <c r="O77" s="8"/>
    </row>
    <row r="78">
      <c r="A78" s="2" t="s">
        <v>106</v>
      </c>
      <c r="B78" s="26" t="s">
        <v>1595</v>
      </c>
      <c r="C78" s="26" t="s">
        <v>1596</v>
      </c>
      <c r="D78" s="8"/>
      <c r="L78" s="8"/>
      <c r="M78" s="8"/>
      <c r="N78" s="8"/>
      <c r="O78" s="8"/>
    </row>
    <row r="79">
      <c r="A79" s="2" t="s">
        <v>107</v>
      </c>
      <c r="B79" s="26" t="s">
        <v>1597</v>
      </c>
      <c r="C79" s="26" t="s">
        <v>1598</v>
      </c>
      <c r="D79" s="8"/>
      <c r="L79" s="8"/>
      <c r="M79" s="8"/>
      <c r="N79" s="8"/>
      <c r="O79" s="8"/>
    </row>
    <row r="80">
      <c r="A80" s="2" t="s">
        <v>108</v>
      </c>
      <c r="B80" s="26" t="s">
        <v>1599</v>
      </c>
      <c r="C80" s="26" t="s">
        <v>1600</v>
      </c>
      <c r="D80" s="8"/>
      <c r="L80" s="8"/>
      <c r="M80" s="8"/>
      <c r="N80" s="8"/>
      <c r="O80" s="8"/>
    </row>
    <row r="81">
      <c r="A81" s="2" t="s">
        <v>109</v>
      </c>
      <c r="B81" s="26" t="s">
        <v>1601</v>
      </c>
      <c r="C81" s="26" t="s">
        <v>1602</v>
      </c>
      <c r="D81" s="8"/>
      <c r="L81" s="8"/>
      <c r="M81" s="8"/>
      <c r="N81" s="8"/>
      <c r="O81" s="8"/>
    </row>
    <row r="82">
      <c r="A82" s="2" t="s">
        <v>110</v>
      </c>
      <c r="B82" s="26" t="s">
        <v>1603</v>
      </c>
      <c r="C82" s="26" t="s">
        <v>1604</v>
      </c>
      <c r="D82" s="8"/>
      <c r="L82" s="8"/>
      <c r="M82" s="8"/>
      <c r="N82" s="8"/>
      <c r="O82" s="8"/>
    </row>
    <row r="83">
      <c r="A83" s="2" t="s">
        <v>111</v>
      </c>
      <c r="B83" s="26" t="s">
        <v>1605</v>
      </c>
      <c r="C83" s="26" t="s">
        <v>1606</v>
      </c>
      <c r="D83" s="8"/>
      <c r="L83" s="8"/>
      <c r="M83" s="8"/>
      <c r="N83" s="8"/>
      <c r="O83" s="8"/>
    </row>
    <row r="84">
      <c r="A84" s="2" t="s">
        <v>112</v>
      </c>
      <c r="B84" s="26" t="s">
        <v>1607</v>
      </c>
      <c r="C84" s="26" t="s">
        <v>1608</v>
      </c>
      <c r="D84" s="8"/>
      <c r="L84" s="8"/>
      <c r="M84" s="8"/>
      <c r="N84" s="8"/>
      <c r="O84" s="8"/>
    </row>
    <row r="85">
      <c r="A85" s="2" t="s">
        <v>113</v>
      </c>
      <c r="B85" s="26" t="s">
        <v>1609</v>
      </c>
      <c r="C85" s="26" t="s">
        <v>1610</v>
      </c>
      <c r="D85" s="8"/>
      <c r="L85" s="8"/>
      <c r="M85" s="8"/>
      <c r="N85" s="8"/>
      <c r="O85" s="8"/>
    </row>
    <row r="86">
      <c r="A86" s="2" t="s">
        <v>114</v>
      </c>
      <c r="B86" s="26" t="s">
        <v>1611</v>
      </c>
      <c r="C86" s="26" t="s">
        <v>1612</v>
      </c>
      <c r="D86" s="8"/>
      <c r="L86" s="8"/>
      <c r="M86" s="8"/>
      <c r="N86" s="8"/>
      <c r="O86" s="8"/>
    </row>
    <row r="87">
      <c r="A87" s="2" t="s">
        <v>115</v>
      </c>
      <c r="B87" s="26" t="s">
        <v>1613</v>
      </c>
      <c r="C87" s="26" t="s">
        <v>1614</v>
      </c>
      <c r="D87" s="8"/>
      <c r="L87" s="8"/>
      <c r="M87" s="8"/>
      <c r="N87" s="8"/>
      <c r="O87" s="8"/>
    </row>
    <row r="88">
      <c r="A88" s="2" t="s">
        <v>116</v>
      </c>
      <c r="B88" s="26" t="s">
        <v>1615</v>
      </c>
      <c r="C88" s="26" t="s">
        <v>1616</v>
      </c>
      <c r="D88" s="8"/>
      <c r="L88" s="8"/>
      <c r="M88" s="8"/>
      <c r="N88" s="8"/>
      <c r="O88" s="8"/>
    </row>
    <row r="89">
      <c r="A89" s="2" t="s">
        <v>117</v>
      </c>
      <c r="B89" s="26" t="s">
        <v>1617</v>
      </c>
      <c r="C89" s="26" t="s">
        <v>1618</v>
      </c>
      <c r="D89" s="8"/>
      <c r="L89" s="8"/>
      <c r="M89" s="8"/>
      <c r="N89" s="8"/>
      <c r="O89" s="8"/>
    </row>
    <row r="90">
      <c r="A90" s="2" t="s">
        <v>118</v>
      </c>
      <c r="B90" s="26" t="s">
        <v>1619</v>
      </c>
      <c r="C90" s="26" t="s">
        <v>1620</v>
      </c>
      <c r="D90" s="8"/>
      <c r="L90" s="8"/>
      <c r="M90" s="8"/>
      <c r="N90" s="8"/>
      <c r="O90" s="8"/>
    </row>
    <row r="91">
      <c r="A91" s="2" t="s">
        <v>119</v>
      </c>
      <c r="B91" s="26" t="s">
        <v>1621</v>
      </c>
      <c r="C91" s="26" t="s">
        <v>1622</v>
      </c>
      <c r="D91" s="8"/>
      <c r="L91" s="8"/>
      <c r="M91" s="8"/>
      <c r="N91" s="8"/>
      <c r="O91" s="8"/>
    </row>
    <row r="92">
      <c r="A92" s="2" t="s">
        <v>120</v>
      </c>
      <c r="B92" s="26" t="s">
        <v>1623</v>
      </c>
      <c r="C92" s="26" t="s">
        <v>1624</v>
      </c>
      <c r="D92" s="8"/>
      <c r="L92" s="8"/>
      <c r="M92" s="8"/>
      <c r="N92" s="8"/>
      <c r="O92" s="8"/>
    </row>
    <row r="93">
      <c r="A93" s="2" t="s">
        <v>121</v>
      </c>
      <c r="B93" s="26" t="s">
        <v>1625</v>
      </c>
      <c r="C93" s="26" t="s">
        <v>1626</v>
      </c>
      <c r="D93" s="8"/>
      <c r="L93" s="8"/>
      <c r="M93" s="8"/>
      <c r="N93" s="8"/>
      <c r="O93" s="8"/>
    </row>
    <row r="94">
      <c r="A94" s="2" t="s">
        <v>122</v>
      </c>
      <c r="B94" s="26" t="s">
        <v>1627</v>
      </c>
      <c r="C94" s="26" t="s">
        <v>1628</v>
      </c>
      <c r="D94" s="8"/>
      <c r="L94" s="8"/>
      <c r="M94" s="8"/>
      <c r="N94" s="8"/>
      <c r="O94" s="8"/>
    </row>
    <row r="95">
      <c r="A95" s="2" t="s">
        <v>123</v>
      </c>
      <c r="B95" s="26" t="s">
        <v>1629</v>
      </c>
      <c r="C95" s="26" t="s">
        <v>1630</v>
      </c>
      <c r="D95" s="8"/>
      <c r="L95" s="8"/>
      <c r="M95" s="8"/>
      <c r="N95" s="8"/>
      <c r="O95" s="8"/>
    </row>
    <row r="96">
      <c r="A96" s="2" t="s">
        <v>124</v>
      </c>
      <c r="B96" s="26" t="s">
        <v>1631</v>
      </c>
      <c r="C96" s="26" t="s">
        <v>1632</v>
      </c>
      <c r="D96" s="8"/>
      <c r="L96" s="8"/>
      <c r="M96" s="8"/>
      <c r="N96" s="8"/>
      <c r="O96" s="8"/>
    </row>
    <row r="97">
      <c r="A97" s="2" t="s">
        <v>125</v>
      </c>
      <c r="B97" s="26" t="s">
        <v>1633</v>
      </c>
      <c r="C97" s="26" t="s">
        <v>1634</v>
      </c>
      <c r="D97" s="8"/>
      <c r="L97" s="8"/>
      <c r="M97" s="8"/>
      <c r="N97" s="8"/>
      <c r="O97" s="8"/>
    </row>
    <row r="98">
      <c r="A98" s="2" t="s">
        <v>126</v>
      </c>
      <c r="B98" s="26" t="s">
        <v>1635</v>
      </c>
      <c r="C98" s="26" t="s">
        <v>1636</v>
      </c>
      <c r="D98" s="8"/>
      <c r="L98" s="8"/>
      <c r="M98" s="8"/>
      <c r="N98" s="8"/>
      <c r="O98" s="8"/>
    </row>
    <row r="99">
      <c r="A99" s="2" t="s">
        <v>127</v>
      </c>
      <c r="B99" s="26" t="s">
        <v>1637</v>
      </c>
      <c r="C99" s="26" t="s">
        <v>1638</v>
      </c>
      <c r="D99" s="8"/>
      <c r="L99" s="8"/>
      <c r="M99" s="8"/>
      <c r="N99" s="8"/>
      <c r="O99" s="8"/>
    </row>
    <row r="100">
      <c r="A100" s="2" t="s">
        <v>128</v>
      </c>
      <c r="B100" s="26" t="s">
        <v>1639</v>
      </c>
      <c r="C100" s="26" t="s">
        <v>1640</v>
      </c>
      <c r="D100" s="8"/>
      <c r="L100" s="8"/>
      <c r="M100" s="8"/>
      <c r="N100" s="8"/>
      <c r="O100" s="8"/>
    </row>
    <row r="101">
      <c r="A101" s="2" t="s">
        <v>129</v>
      </c>
      <c r="B101" s="26" t="s">
        <v>1641</v>
      </c>
      <c r="C101" s="26" t="s">
        <v>1642</v>
      </c>
      <c r="D101" s="8"/>
      <c r="L101" s="8"/>
      <c r="M101" s="8"/>
      <c r="N101" s="8"/>
      <c r="O101" s="8"/>
    </row>
    <row r="102">
      <c r="A102" s="2" t="s">
        <v>130</v>
      </c>
      <c r="B102" s="26" t="s">
        <v>1643</v>
      </c>
      <c r="C102" s="26" t="s">
        <v>1644</v>
      </c>
      <c r="D102" s="8"/>
      <c r="L102" s="8"/>
      <c r="M102" s="8"/>
      <c r="N102" s="8"/>
      <c r="O102" s="8"/>
    </row>
    <row r="103">
      <c r="A103" s="2" t="s">
        <v>131</v>
      </c>
      <c r="B103" s="26" t="s">
        <v>1645</v>
      </c>
      <c r="C103" s="26" t="s">
        <v>1646</v>
      </c>
      <c r="D103" s="8"/>
      <c r="L103" s="8"/>
      <c r="M103" s="8"/>
      <c r="N103" s="8"/>
      <c r="O103" s="8"/>
    </row>
    <row r="104">
      <c r="A104" s="2" t="s">
        <v>132</v>
      </c>
      <c r="B104" s="26" t="s">
        <v>1647</v>
      </c>
      <c r="C104" s="26" t="s">
        <v>1648</v>
      </c>
      <c r="D104" s="8"/>
      <c r="L104" s="8"/>
      <c r="M104" s="8"/>
      <c r="N104" s="8"/>
      <c r="O104" s="8"/>
    </row>
    <row r="105">
      <c r="A105" s="2" t="s">
        <v>133</v>
      </c>
      <c r="B105" s="26" t="s">
        <v>1649</v>
      </c>
      <c r="C105" s="26" t="s">
        <v>1650</v>
      </c>
      <c r="D105" s="8"/>
      <c r="L105" s="8"/>
      <c r="M105" s="8"/>
      <c r="N105" s="8"/>
      <c r="O105" s="8"/>
    </row>
    <row r="106">
      <c r="A106" s="2" t="s">
        <v>134</v>
      </c>
      <c r="B106" s="26" t="s">
        <v>1651</v>
      </c>
      <c r="C106" s="26" t="s">
        <v>1652</v>
      </c>
      <c r="D106" s="8"/>
      <c r="L106" s="8"/>
      <c r="M106" s="8"/>
      <c r="N106" s="8"/>
      <c r="O106" s="8"/>
    </row>
    <row r="107">
      <c r="A107" s="2" t="s">
        <v>135</v>
      </c>
      <c r="B107" s="26" t="s">
        <v>1653</v>
      </c>
      <c r="C107" s="26" t="s">
        <v>1654</v>
      </c>
      <c r="D107" s="8"/>
      <c r="L107" s="8"/>
      <c r="M107" s="8"/>
      <c r="N107" s="8"/>
      <c r="O107" s="8"/>
    </row>
    <row r="108">
      <c r="A108" s="2" t="s">
        <v>136</v>
      </c>
      <c r="B108" s="26" t="s">
        <v>1655</v>
      </c>
      <c r="C108" s="26" t="s">
        <v>1656</v>
      </c>
      <c r="D108" s="8"/>
      <c r="L108" s="8"/>
      <c r="M108" s="8"/>
      <c r="N108" s="8"/>
      <c r="O108" s="8"/>
    </row>
    <row r="109">
      <c r="A109" s="2" t="s">
        <v>137</v>
      </c>
      <c r="B109" s="26" t="s">
        <v>1657</v>
      </c>
      <c r="C109" s="26" t="s">
        <v>1658</v>
      </c>
      <c r="D109" s="8"/>
      <c r="L109" s="8"/>
      <c r="M109" s="8"/>
      <c r="N109" s="8"/>
      <c r="O109" s="8"/>
    </row>
    <row r="110">
      <c r="A110" s="2" t="s">
        <v>138</v>
      </c>
      <c r="B110" s="26" t="s">
        <v>1659</v>
      </c>
      <c r="C110" s="26" t="s">
        <v>1660</v>
      </c>
      <c r="D110" s="8"/>
      <c r="L110" s="8"/>
      <c r="M110" s="8"/>
      <c r="N110" s="8"/>
      <c r="O110" s="8"/>
    </row>
    <row r="111">
      <c r="A111" s="2" t="s">
        <v>139</v>
      </c>
      <c r="B111" s="26" t="s">
        <v>1661</v>
      </c>
      <c r="C111" s="26" t="s">
        <v>1662</v>
      </c>
      <c r="D111" s="8"/>
      <c r="L111" s="8"/>
      <c r="M111" s="8"/>
      <c r="N111" s="8"/>
      <c r="O111" s="8"/>
    </row>
    <row r="112">
      <c r="A112" s="2" t="s">
        <v>140</v>
      </c>
      <c r="B112" s="26" t="s">
        <v>1663</v>
      </c>
      <c r="C112" s="26" t="s">
        <v>1664</v>
      </c>
      <c r="D112" s="8"/>
      <c r="L112" s="8"/>
      <c r="M112" s="8"/>
      <c r="N112" s="8"/>
      <c r="O112" s="8"/>
    </row>
    <row r="113">
      <c r="A113" s="2" t="s">
        <v>141</v>
      </c>
      <c r="B113" s="26" t="s">
        <v>1665</v>
      </c>
      <c r="C113" s="26" t="s">
        <v>1666</v>
      </c>
      <c r="D113" s="8"/>
      <c r="L113" s="8"/>
      <c r="M113" s="8"/>
      <c r="N113" s="8"/>
      <c r="O113" s="8"/>
    </row>
    <row r="114">
      <c r="A114" s="2" t="s">
        <v>142</v>
      </c>
      <c r="B114" s="26" t="s">
        <v>1667</v>
      </c>
      <c r="C114" s="26" t="s">
        <v>1668</v>
      </c>
      <c r="D114" s="8"/>
      <c r="L114" s="8"/>
      <c r="M114" s="8"/>
      <c r="N114" s="8"/>
      <c r="O114" s="8"/>
    </row>
    <row r="115">
      <c r="A115" s="2" t="s">
        <v>143</v>
      </c>
      <c r="B115" s="26" t="s">
        <v>1669</v>
      </c>
      <c r="C115" s="26" t="s">
        <v>1670</v>
      </c>
      <c r="D115" s="8"/>
      <c r="L115" s="8"/>
      <c r="M115" s="8"/>
      <c r="N115" s="8"/>
      <c r="O115" s="8"/>
    </row>
    <row r="116">
      <c r="A116" s="2" t="s">
        <v>144</v>
      </c>
      <c r="B116" s="26" t="s">
        <v>1671</v>
      </c>
      <c r="C116" s="26" t="s">
        <v>1672</v>
      </c>
      <c r="D116" s="8"/>
      <c r="L116" s="8"/>
      <c r="M116" s="8"/>
      <c r="N116" s="8"/>
      <c r="O116" s="8"/>
    </row>
    <row r="117">
      <c r="A117" s="2" t="s">
        <v>145</v>
      </c>
      <c r="B117" s="26" t="s">
        <v>1673</v>
      </c>
      <c r="C117" s="26" t="s">
        <v>1674</v>
      </c>
      <c r="D117" s="8"/>
      <c r="L117" s="8"/>
      <c r="M117" s="8"/>
      <c r="N117" s="8"/>
      <c r="O117" s="8"/>
    </row>
    <row r="118">
      <c r="A118" s="2" t="s">
        <v>146</v>
      </c>
      <c r="B118" s="26" t="s">
        <v>1675</v>
      </c>
      <c r="C118" s="26" t="s">
        <v>1676</v>
      </c>
      <c r="D118" s="8"/>
      <c r="L118" s="8"/>
      <c r="M118" s="8"/>
      <c r="N118" s="8"/>
      <c r="O118" s="8"/>
    </row>
    <row r="119">
      <c r="A119" s="2" t="s">
        <v>147</v>
      </c>
      <c r="B119" s="26" t="s">
        <v>1677</v>
      </c>
      <c r="C119" s="26" t="s">
        <v>1678</v>
      </c>
      <c r="D119" s="8"/>
      <c r="L119" s="8"/>
      <c r="M119" s="8"/>
      <c r="N119" s="8"/>
      <c r="O119" s="8"/>
    </row>
    <row r="120">
      <c r="A120" s="2" t="s">
        <v>148</v>
      </c>
      <c r="B120" s="26" t="s">
        <v>1679</v>
      </c>
      <c r="C120" s="26" t="s">
        <v>1680</v>
      </c>
      <c r="D120" s="8"/>
      <c r="L120" s="8"/>
      <c r="M120" s="8"/>
      <c r="N120" s="8"/>
      <c r="O120" s="8"/>
    </row>
    <row r="121">
      <c r="A121" s="2" t="s">
        <v>149</v>
      </c>
      <c r="B121" s="26" t="s">
        <v>1681</v>
      </c>
      <c r="C121" s="26" t="s">
        <v>1682</v>
      </c>
      <c r="D121" s="8"/>
      <c r="L121" s="8"/>
      <c r="M121" s="8"/>
      <c r="N121" s="8"/>
      <c r="O121" s="8"/>
    </row>
    <row r="122">
      <c r="A122" s="2" t="s">
        <v>150</v>
      </c>
      <c r="B122" s="26" t="s">
        <v>1683</v>
      </c>
      <c r="C122" s="26" t="s">
        <v>1684</v>
      </c>
      <c r="D122" s="8"/>
      <c r="L122" s="8"/>
      <c r="M122" s="8"/>
      <c r="N122" s="8"/>
      <c r="O122" s="8"/>
    </row>
    <row r="123">
      <c r="A123" s="2" t="s">
        <v>151</v>
      </c>
      <c r="B123" s="26" t="s">
        <v>1685</v>
      </c>
      <c r="C123" s="26" t="s">
        <v>1686</v>
      </c>
      <c r="D123" s="8"/>
      <c r="L123" s="8"/>
      <c r="M123" s="8"/>
      <c r="N123" s="8"/>
      <c r="O123" s="8"/>
    </row>
    <row r="124">
      <c r="A124" s="2" t="s">
        <v>152</v>
      </c>
      <c r="B124" s="26" t="s">
        <v>1687</v>
      </c>
      <c r="C124" s="26" t="s">
        <v>1688</v>
      </c>
      <c r="D124" s="8"/>
      <c r="L124" s="8"/>
      <c r="M124" s="8"/>
      <c r="N124" s="8"/>
      <c r="O124" s="8"/>
    </row>
    <row r="125">
      <c r="A125" s="2" t="s">
        <v>153</v>
      </c>
      <c r="B125" s="26" t="s">
        <v>1689</v>
      </c>
      <c r="C125" s="26" t="s">
        <v>1690</v>
      </c>
      <c r="D125" s="8"/>
      <c r="L125" s="8"/>
      <c r="M125" s="8"/>
      <c r="N125" s="8"/>
      <c r="O125" s="8"/>
    </row>
    <row r="126">
      <c r="A126" s="2" t="s">
        <v>154</v>
      </c>
      <c r="B126" s="26" t="s">
        <v>1691</v>
      </c>
      <c r="C126" s="26" t="s">
        <v>1692</v>
      </c>
      <c r="D126" s="8"/>
      <c r="L126" s="8"/>
      <c r="M126" s="8"/>
      <c r="N126" s="8"/>
      <c r="O126" s="8"/>
    </row>
    <row r="127">
      <c r="A127" s="2" t="s">
        <v>155</v>
      </c>
      <c r="B127" s="26" t="s">
        <v>1693</v>
      </c>
      <c r="C127" s="26" t="s">
        <v>1694</v>
      </c>
      <c r="D127" s="8"/>
      <c r="L127" s="8"/>
      <c r="M127" s="8"/>
      <c r="N127" s="8"/>
      <c r="O127" s="8"/>
    </row>
    <row r="128">
      <c r="A128" s="2" t="s">
        <v>156</v>
      </c>
      <c r="B128" s="26" t="s">
        <v>1695</v>
      </c>
      <c r="C128" s="26" t="s">
        <v>1696</v>
      </c>
      <c r="D128" s="8"/>
      <c r="L128" s="8"/>
      <c r="M128" s="8"/>
      <c r="N128" s="8"/>
      <c r="O128" s="8"/>
    </row>
    <row r="129">
      <c r="A129" s="2" t="s">
        <v>157</v>
      </c>
      <c r="B129" s="26" t="s">
        <v>1697</v>
      </c>
      <c r="C129" s="26" t="s">
        <v>1698</v>
      </c>
      <c r="D129" s="8"/>
      <c r="L129" s="8"/>
      <c r="M129" s="8"/>
      <c r="N129" s="8"/>
      <c r="O129" s="8"/>
    </row>
    <row r="130">
      <c r="A130" s="2" t="s">
        <v>158</v>
      </c>
      <c r="B130" s="26" t="s">
        <v>1699</v>
      </c>
      <c r="C130" s="26" t="s">
        <v>1700</v>
      </c>
      <c r="D130" s="8"/>
      <c r="L130" s="8"/>
      <c r="M130" s="8"/>
      <c r="N130" s="8"/>
      <c r="O130" s="8"/>
    </row>
    <row r="131">
      <c r="A131" s="2" t="s">
        <v>159</v>
      </c>
      <c r="B131" s="26" t="s">
        <v>1701</v>
      </c>
      <c r="C131" s="26" t="s">
        <v>1702</v>
      </c>
      <c r="D131" s="8"/>
      <c r="L131" s="8"/>
      <c r="M131" s="8"/>
      <c r="N131" s="8"/>
      <c r="O131" s="8"/>
    </row>
    <row r="132">
      <c r="A132" s="2" t="s">
        <v>160</v>
      </c>
      <c r="B132" s="26" t="s">
        <v>1703</v>
      </c>
      <c r="C132" s="26" t="s">
        <v>1704</v>
      </c>
      <c r="D132" s="8"/>
      <c r="L132" s="8"/>
      <c r="M132" s="8"/>
      <c r="N132" s="8"/>
      <c r="O132" s="8"/>
    </row>
    <row r="133">
      <c r="A133" s="2" t="s">
        <v>161</v>
      </c>
      <c r="B133" s="26" t="s">
        <v>1705</v>
      </c>
      <c r="C133" s="26" t="s">
        <v>1706</v>
      </c>
      <c r="D133" s="8"/>
      <c r="L133" s="8"/>
      <c r="M133" s="8"/>
      <c r="N133" s="8"/>
      <c r="O133" s="8"/>
    </row>
    <row r="134">
      <c r="A134" s="2" t="s">
        <v>162</v>
      </c>
      <c r="B134" s="26" t="s">
        <v>1707</v>
      </c>
      <c r="C134" s="26" t="s">
        <v>1708</v>
      </c>
      <c r="D134" s="8"/>
      <c r="L134" s="8"/>
      <c r="M134" s="8"/>
      <c r="N134" s="8"/>
      <c r="O134" s="8"/>
    </row>
    <row r="135">
      <c r="A135" s="2" t="s">
        <v>163</v>
      </c>
      <c r="B135" s="26" t="s">
        <v>1709</v>
      </c>
      <c r="C135" s="26" t="s">
        <v>1710</v>
      </c>
      <c r="D135" s="8"/>
      <c r="L135" s="8"/>
      <c r="M135" s="8"/>
      <c r="N135" s="8"/>
      <c r="O135" s="8"/>
    </row>
    <row r="136">
      <c r="A136" s="2" t="s">
        <v>164</v>
      </c>
      <c r="B136" s="26" t="s">
        <v>1711</v>
      </c>
      <c r="C136" s="26" t="s">
        <v>1712</v>
      </c>
      <c r="D136" s="8"/>
      <c r="L136" s="8"/>
      <c r="M136" s="8"/>
      <c r="N136" s="8"/>
      <c r="O136" s="8"/>
    </row>
    <row r="137">
      <c r="A137" s="2" t="s">
        <v>165</v>
      </c>
      <c r="B137" s="26" t="s">
        <v>1713</v>
      </c>
      <c r="C137" s="26" t="s">
        <v>1714</v>
      </c>
      <c r="D137" s="8"/>
      <c r="L137" s="8"/>
      <c r="M137" s="8"/>
      <c r="N137" s="8"/>
      <c r="O137" s="8"/>
    </row>
    <row r="138">
      <c r="A138" s="2" t="s">
        <v>166</v>
      </c>
      <c r="B138" s="26" t="s">
        <v>1715</v>
      </c>
      <c r="C138" s="26" t="s">
        <v>1716</v>
      </c>
      <c r="D138" s="8"/>
      <c r="L138" s="8"/>
      <c r="M138" s="8"/>
      <c r="N138" s="8"/>
      <c r="O138" s="8"/>
    </row>
    <row r="139">
      <c r="A139" s="2" t="s">
        <v>167</v>
      </c>
      <c r="B139" s="26" t="s">
        <v>1717</v>
      </c>
      <c r="C139" s="26" t="s">
        <v>1718</v>
      </c>
      <c r="D139" s="8"/>
      <c r="L139" s="8"/>
      <c r="M139" s="8"/>
      <c r="N139" s="8"/>
      <c r="O139" s="8"/>
    </row>
    <row r="140">
      <c r="A140" s="2" t="s">
        <v>168</v>
      </c>
      <c r="B140" s="26" t="s">
        <v>1719</v>
      </c>
      <c r="C140" s="26" t="s">
        <v>1720</v>
      </c>
      <c r="D140" s="8"/>
      <c r="L140" s="8"/>
      <c r="M140" s="8"/>
      <c r="N140" s="8"/>
      <c r="O140" s="8"/>
    </row>
    <row r="141">
      <c r="A141" s="2" t="s">
        <v>169</v>
      </c>
      <c r="B141" s="26" t="s">
        <v>1721</v>
      </c>
      <c r="C141" s="26" t="s">
        <v>1722</v>
      </c>
      <c r="D141" s="8"/>
      <c r="L141" s="8"/>
      <c r="M141" s="8"/>
      <c r="N141" s="8"/>
      <c r="O141" s="8"/>
    </row>
    <row r="142">
      <c r="A142" s="2" t="s">
        <v>170</v>
      </c>
      <c r="B142" s="26" t="s">
        <v>1723</v>
      </c>
      <c r="C142" s="26" t="s">
        <v>1724</v>
      </c>
      <c r="D142" s="8"/>
      <c r="L142" s="8"/>
      <c r="M142" s="8"/>
      <c r="N142" s="8"/>
      <c r="O142" s="8"/>
    </row>
    <row r="143">
      <c r="A143" s="2" t="s">
        <v>171</v>
      </c>
      <c r="B143" s="26" t="s">
        <v>1725</v>
      </c>
      <c r="C143" s="26" t="s">
        <v>1726</v>
      </c>
      <c r="D143" s="8"/>
      <c r="L143" s="8"/>
      <c r="M143" s="8"/>
      <c r="N143" s="8"/>
      <c r="O143" s="8"/>
    </row>
    <row r="144">
      <c r="A144" s="2" t="s">
        <v>172</v>
      </c>
      <c r="B144" s="26" t="s">
        <v>1727</v>
      </c>
      <c r="C144" s="26" t="s">
        <v>1728</v>
      </c>
      <c r="D144" s="8"/>
      <c r="L144" s="8"/>
      <c r="M144" s="8"/>
      <c r="N144" s="8"/>
      <c r="O144" s="8"/>
    </row>
    <row r="145">
      <c r="A145" s="2" t="s">
        <v>173</v>
      </c>
      <c r="B145" s="26" t="s">
        <v>1729</v>
      </c>
      <c r="C145" s="26" t="s">
        <v>1730</v>
      </c>
      <c r="D145" s="8"/>
      <c r="L145" s="8"/>
      <c r="M145" s="8"/>
      <c r="N145" s="8"/>
      <c r="O145" s="8"/>
    </row>
    <row r="146">
      <c r="A146" s="2" t="s">
        <v>174</v>
      </c>
      <c r="B146" s="26" t="s">
        <v>1731</v>
      </c>
      <c r="C146" s="26" t="s">
        <v>1732</v>
      </c>
      <c r="D146" s="8"/>
      <c r="L146" s="8"/>
      <c r="M146" s="8"/>
      <c r="N146" s="8"/>
      <c r="O146" s="8"/>
    </row>
    <row r="147">
      <c r="A147" s="2" t="s">
        <v>175</v>
      </c>
      <c r="B147" s="26" t="s">
        <v>1733</v>
      </c>
      <c r="C147" s="26" t="s">
        <v>1734</v>
      </c>
      <c r="D147" s="8"/>
      <c r="L147" s="8"/>
      <c r="M147" s="8"/>
      <c r="N147" s="8"/>
      <c r="O147" s="8"/>
    </row>
    <row r="148">
      <c r="A148" s="2" t="s">
        <v>176</v>
      </c>
      <c r="B148" s="26" t="s">
        <v>1735</v>
      </c>
      <c r="C148" s="26" t="s">
        <v>1736</v>
      </c>
      <c r="D148" s="8"/>
      <c r="L148" s="8"/>
      <c r="M148" s="8"/>
      <c r="N148" s="8"/>
      <c r="O148" s="8"/>
    </row>
    <row r="149">
      <c r="A149" s="2" t="s">
        <v>177</v>
      </c>
      <c r="B149" s="26" t="s">
        <v>1737</v>
      </c>
      <c r="C149" s="26" t="s">
        <v>1738</v>
      </c>
      <c r="D149" s="8"/>
      <c r="L149" s="8"/>
      <c r="M149" s="8"/>
      <c r="N149" s="8"/>
      <c r="O149" s="8"/>
    </row>
    <row r="150">
      <c r="A150" s="2" t="s">
        <v>178</v>
      </c>
      <c r="B150" s="26" t="s">
        <v>1739</v>
      </c>
      <c r="C150" s="26" t="s">
        <v>1740</v>
      </c>
      <c r="D150" s="8"/>
      <c r="L150" s="8"/>
      <c r="M150" s="8"/>
      <c r="N150" s="8"/>
      <c r="O150" s="8"/>
    </row>
    <row r="151">
      <c r="A151" s="2" t="s">
        <v>179</v>
      </c>
      <c r="B151" s="26" t="s">
        <v>1741</v>
      </c>
      <c r="C151" s="26" t="s">
        <v>1742</v>
      </c>
      <c r="D151" s="8"/>
      <c r="L151" s="8"/>
      <c r="M151" s="8"/>
      <c r="N151" s="8"/>
      <c r="O151" s="8"/>
    </row>
    <row r="152">
      <c r="A152" s="2" t="s">
        <v>180</v>
      </c>
      <c r="B152" s="26" t="s">
        <v>1743</v>
      </c>
      <c r="C152" s="26" t="s">
        <v>1744</v>
      </c>
      <c r="D152" s="8"/>
      <c r="L152" s="8"/>
      <c r="M152" s="8"/>
      <c r="N152" s="8"/>
      <c r="O152" s="8"/>
    </row>
    <row r="153">
      <c r="A153" s="2" t="s">
        <v>181</v>
      </c>
      <c r="B153" s="26" t="s">
        <v>1745</v>
      </c>
      <c r="C153" s="26" t="s">
        <v>1746</v>
      </c>
      <c r="D153" s="8"/>
      <c r="L153" s="8"/>
      <c r="M153" s="8"/>
      <c r="N153" s="8"/>
      <c r="O153" s="8"/>
    </row>
    <row r="154">
      <c r="A154" s="2" t="s">
        <v>182</v>
      </c>
      <c r="B154" s="26" t="s">
        <v>1747</v>
      </c>
      <c r="C154" s="26" t="s">
        <v>1748</v>
      </c>
      <c r="D154" s="8"/>
      <c r="L154" s="8"/>
      <c r="M154" s="8"/>
      <c r="N154" s="8"/>
      <c r="O154" s="8"/>
    </row>
    <row r="155">
      <c r="A155" s="2" t="s">
        <v>183</v>
      </c>
      <c r="B155" s="26" t="s">
        <v>1749</v>
      </c>
      <c r="C155" s="26" t="s">
        <v>1750</v>
      </c>
      <c r="D155" s="8"/>
      <c r="L155" s="8"/>
      <c r="M155" s="8"/>
      <c r="N155" s="8"/>
      <c r="O155" s="8"/>
    </row>
    <row r="156">
      <c r="A156" s="2" t="s">
        <v>184</v>
      </c>
      <c r="B156" s="26" t="s">
        <v>1751</v>
      </c>
      <c r="C156" s="26" t="s">
        <v>1752</v>
      </c>
      <c r="D156" s="8"/>
      <c r="L156" s="8"/>
      <c r="M156" s="8"/>
      <c r="N156" s="8"/>
      <c r="O156" s="8"/>
    </row>
    <row r="157">
      <c r="A157" s="2" t="s">
        <v>185</v>
      </c>
      <c r="B157" s="26" t="s">
        <v>1753</v>
      </c>
      <c r="C157" s="26" t="s">
        <v>1754</v>
      </c>
      <c r="D157" s="8"/>
      <c r="L157" s="8"/>
      <c r="M157" s="8"/>
      <c r="N157" s="8"/>
      <c r="O157" s="8"/>
    </row>
    <row r="158">
      <c r="A158" s="2" t="s">
        <v>186</v>
      </c>
      <c r="B158" s="26" t="s">
        <v>1755</v>
      </c>
      <c r="C158" s="26" t="s">
        <v>1756</v>
      </c>
      <c r="D158" s="8"/>
      <c r="L158" s="8"/>
      <c r="M158" s="8"/>
      <c r="N158" s="8"/>
      <c r="O158" s="8"/>
    </row>
    <row r="159">
      <c r="A159" s="2" t="s">
        <v>187</v>
      </c>
      <c r="B159" s="26" t="s">
        <v>1757</v>
      </c>
      <c r="C159" s="26" t="s">
        <v>1758</v>
      </c>
      <c r="D159" s="8"/>
      <c r="L159" s="8"/>
      <c r="M159" s="8"/>
      <c r="N159" s="8"/>
      <c r="O159" s="8"/>
    </row>
    <row r="160">
      <c r="A160" s="2" t="s">
        <v>188</v>
      </c>
      <c r="B160" s="26" t="s">
        <v>1759</v>
      </c>
      <c r="C160" s="26" t="s">
        <v>1760</v>
      </c>
      <c r="D160" s="8"/>
      <c r="L160" s="8"/>
      <c r="M160" s="8"/>
      <c r="N160" s="8"/>
      <c r="O160" s="8"/>
    </row>
    <row r="161">
      <c r="A161" s="2" t="s">
        <v>189</v>
      </c>
      <c r="B161" s="26" t="s">
        <v>1761</v>
      </c>
      <c r="C161" s="26" t="s">
        <v>1762</v>
      </c>
      <c r="D161" s="8"/>
      <c r="L161" s="8"/>
      <c r="M161" s="8"/>
      <c r="N161" s="8"/>
      <c r="O161" s="8"/>
    </row>
    <row r="162">
      <c r="A162" s="2" t="s">
        <v>190</v>
      </c>
      <c r="B162" s="26" t="s">
        <v>1763</v>
      </c>
      <c r="C162" s="26" t="s">
        <v>1764</v>
      </c>
      <c r="D162" s="8"/>
      <c r="L162" s="8"/>
      <c r="M162" s="8"/>
      <c r="N162" s="8"/>
      <c r="O162" s="8"/>
    </row>
    <row r="163">
      <c r="A163" s="2" t="s">
        <v>191</v>
      </c>
      <c r="B163" s="26" t="s">
        <v>1765</v>
      </c>
      <c r="C163" s="26" t="s">
        <v>1766</v>
      </c>
      <c r="D163" s="8"/>
      <c r="L163" s="8"/>
      <c r="M163" s="8"/>
      <c r="N163" s="8"/>
      <c r="O163" s="8"/>
    </row>
    <row r="164">
      <c r="A164" s="2" t="s">
        <v>192</v>
      </c>
      <c r="B164" s="26" t="s">
        <v>1767</v>
      </c>
      <c r="C164" s="26" t="s">
        <v>1768</v>
      </c>
      <c r="D164" s="8"/>
      <c r="L164" s="8"/>
      <c r="M164" s="8"/>
      <c r="N164" s="8"/>
      <c r="O164" s="8"/>
    </row>
    <row r="165">
      <c r="A165" s="2" t="s">
        <v>193</v>
      </c>
      <c r="B165" s="26" t="s">
        <v>1769</v>
      </c>
      <c r="C165" s="26" t="s">
        <v>1770</v>
      </c>
      <c r="D165" s="8"/>
      <c r="L165" s="8"/>
      <c r="M165" s="8"/>
      <c r="N165" s="8"/>
      <c r="O165" s="8"/>
    </row>
    <row r="166">
      <c r="A166" s="2" t="s">
        <v>194</v>
      </c>
      <c r="B166" s="26" t="s">
        <v>1771</v>
      </c>
      <c r="C166" s="26" t="s">
        <v>1772</v>
      </c>
      <c r="D166" s="8"/>
      <c r="L166" s="8"/>
      <c r="M166" s="8"/>
      <c r="N166" s="8"/>
      <c r="O166" s="8"/>
    </row>
    <row r="167">
      <c r="A167" s="2" t="s">
        <v>195</v>
      </c>
      <c r="B167" s="26" t="s">
        <v>1773</v>
      </c>
      <c r="C167" s="26" t="s">
        <v>1774</v>
      </c>
      <c r="D167" s="8"/>
      <c r="L167" s="8"/>
      <c r="M167" s="8"/>
      <c r="N167" s="8"/>
      <c r="O167" s="8"/>
    </row>
    <row r="168">
      <c r="A168" s="2" t="s">
        <v>196</v>
      </c>
      <c r="B168" s="26" t="s">
        <v>1775</v>
      </c>
      <c r="C168" s="26" t="s">
        <v>1776</v>
      </c>
      <c r="D168" s="8"/>
      <c r="L168" s="8"/>
      <c r="M168" s="8"/>
      <c r="N168" s="8"/>
      <c r="O168" s="8"/>
    </row>
    <row r="169">
      <c r="A169" s="2" t="s">
        <v>197</v>
      </c>
      <c r="B169" s="26" t="s">
        <v>1777</v>
      </c>
      <c r="C169" s="26" t="s">
        <v>1778</v>
      </c>
      <c r="D169" s="8"/>
      <c r="L169" s="8"/>
      <c r="M169" s="8"/>
      <c r="N169" s="8"/>
      <c r="O169" s="8"/>
    </row>
    <row r="170">
      <c r="A170" s="2" t="s">
        <v>198</v>
      </c>
      <c r="B170" s="26" t="s">
        <v>1779</v>
      </c>
      <c r="C170" s="26" t="s">
        <v>1780</v>
      </c>
      <c r="D170" s="8"/>
      <c r="L170" s="8"/>
      <c r="M170" s="8"/>
      <c r="N170" s="8"/>
      <c r="O170" s="8"/>
    </row>
    <row r="171">
      <c r="A171" s="2" t="s">
        <v>199</v>
      </c>
      <c r="B171" s="26" t="s">
        <v>1781</v>
      </c>
      <c r="C171" s="26" t="s">
        <v>1782</v>
      </c>
      <c r="D171" s="8"/>
      <c r="L171" s="8"/>
      <c r="M171" s="8"/>
      <c r="N171" s="8"/>
      <c r="O171" s="8"/>
    </row>
    <row r="172">
      <c r="A172" s="2" t="s">
        <v>200</v>
      </c>
      <c r="B172" s="26" t="s">
        <v>1783</v>
      </c>
      <c r="C172" s="26" t="s">
        <v>1784</v>
      </c>
      <c r="D172" s="8"/>
      <c r="L172" s="8"/>
      <c r="M172" s="8"/>
      <c r="N172" s="8"/>
      <c r="O172" s="8"/>
    </row>
    <row r="173">
      <c r="A173" s="2" t="s">
        <v>201</v>
      </c>
      <c r="B173" s="26" t="s">
        <v>1785</v>
      </c>
      <c r="C173" s="26" t="s">
        <v>1786</v>
      </c>
      <c r="D173" s="8"/>
      <c r="L173" s="8"/>
      <c r="M173" s="8"/>
      <c r="N173" s="8"/>
      <c r="O173" s="8"/>
    </row>
    <row r="174">
      <c r="A174" s="2" t="s">
        <v>202</v>
      </c>
      <c r="B174" s="26" t="s">
        <v>1787</v>
      </c>
      <c r="C174" s="26" t="s">
        <v>1788</v>
      </c>
      <c r="D174" s="8"/>
      <c r="L174" s="8"/>
      <c r="M174" s="8"/>
      <c r="N174" s="8"/>
      <c r="O174" s="8"/>
    </row>
    <row r="175">
      <c r="A175" s="2" t="s">
        <v>203</v>
      </c>
      <c r="B175" s="26" t="s">
        <v>1789</v>
      </c>
      <c r="C175" s="26" t="s">
        <v>1790</v>
      </c>
      <c r="D175" s="8"/>
      <c r="L175" s="8"/>
      <c r="M175" s="8"/>
      <c r="N175" s="8"/>
      <c r="O175" s="8"/>
    </row>
    <row r="176">
      <c r="A176" s="2" t="s">
        <v>204</v>
      </c>
      <c r="B176" s="26" t="s">
        <v>1791</v>
      </c>
      <c r="C176" s="26" t="s">
        <v>1792</v>
      </c>
      <c r="D176" s="8"/>
      <c r="L176" s="8"/>
      <c r="M176" s="8"/>
      <c r="N176" s="8"/>
      <c r="O176" s="8"/>
    </row>
    <row r="177">
      <c r="A177" s="2" t="s">
        <v>205</v>
      </c>
      <c r="B177" s="26" t="s">
        <v>1793</v>
      </c>
      <c r="C177" s="26" t="s">
        <v>1794</v>
      </c>
      <c r="D177" s="8"/>
      <c r="L177" s="8"/>
      <c r="M177" s="8"/>
      <c r="N177" s="8"/>
      <c r="O177" s="8"/>
    </row>
    <row r="178">
      <c r="A178" s="2" t="s">
        <v>206</v>
      </c>
      <c r="B178" s="26" t="s">
        <v>1795</v>
      </c>
      <c r="C178" s="26" t="s">
        <v>1796</v>
      </c>
      <c r="D178" s="8"/>
      <c r="L178" s="8"/>
      <c r="M178" s="8"/>
      <c r="N178" s="8"/>
      <c r="O178" s="8"/>
    </row>
    <row r="179">
      <c r="A179" s="2" t="s">
        <v>207</v>
      </c>
      <c r="B179" s="26" t="s">
        <v>1797</v>
      </c>
      <c r="C179" s="26" t="s">
        <v>1798</v>
      </c>
      <c r="D179" s="8"/>
      <c r="L179" s="8"/>
      <c r="M179" s="8"/>
      <c r="N179" s="8"/>
      <c r="O179" s="8"/>
    </row>
    <row r="180">
      <c r="A180" s="2" t="s">
        <v>208</v>
      </c>
      <c r="B180" s="26" t="s">
        <v>1799</v>
      </c>
      <c r="C180" s="26" t="s">
        <v>1800</v>
      </c>
      <c r="D180" s="8"/>
      <c r="L180" s="8"/>
      <c r="M180" s="8"/>
      <c r="N180" s="8"/>
      <c r="O180" s="8"/>
    </row>
    <row r="181">
      <c r="A181" s="2" t="s">
        <v>209</v>
      </c>
      <c r="B181" s="26" t="s">
        <v>1801</v>
      </c>
      <c r="C181" s="26" t="s">
        <v>1802</v>
      </c>
      <c r="D181" s="8"/>
      <c r="L181" s="8"/>
      <c r="M181" s="8"/>
      <c r="N181" s="8"/>
      <c r="O181" s="8"/>
    </row>
    <row r="182">
      <c r="A182" s="2" t="s">
        <v>210</v>
      </c>
      <c r="B182" s="26" t="s">
        <v>1803</v>
      </c>
      <c r="C182" s="26" t="s">
        <v>1804</v>
      </c>
      <c r="D182" s="8"/>
      <c r="L182" s="8"/>
      <c r="M182" s="8"/>
      <c r="N182" s="8"/>
      <c r="O182" s="8"/>
    </row>
    <row r="183">
      <c r="A183" s="2" t="s">
        <v>211</v>
      </c>
      <c r="B183" s="26" t="s">
        <v>1805</v>
      </c>
      <c r="C183" s="26" t="s">
        <v>1806</v>
      </c>
      <c r="D183" s="8"/>
      <c r="L183" s="8"/>
      <c r="M183" s="8"/>
      <c r="N183" s="8"/>
      <c r="O183" s="8"/>
    </row>
    <row r="184">
      <c r="A184" s="2" t="s">
        <v>212</v>
      </c>
      <c r="B184" s="26" t="s">
        <v>1807</v>
      </c>
      <c r="C184" s="26" t="s">
        <v>1808</v>
      </c>
      <c r="D184" s="8"/>
      <c r="L184" s="8"/>
      <c r="M184" s="8"/>
      <c r="N184" s="8"/>
      <c r="O184" s="8"/>
    </row>
    <row r="185">
      <c r="A185" s="2" t="s">
        <v>213</v>
      </c>
      <c r="B185" s="26" t="s">
        <v>1809</v>
      </c>
      <c r="C185" s="26" t="s">
        <v>1810</v>
      </c>
      <c r="D185" s="8"/>
      <c r="L185" s="8"/>
      <c r="M185" s="8"/>
      <c r="N185" s="8"/>
      <c r="O185" s="8"/>
    </row>
    <row r="186">
      <c r="A186" s="2" t="s">
        <v>214</v>
      </c>
      <c r="B186" s="26" t="s">
        <v>1811</v>
      </c>
      <c r="C186" s="26" t="s">
        <v>1812</v>
      </c>
      <c r="D186" s="8"/>
      <c r="L186" s="8"/>
      <c r="M186" s="8"/>
      <c r="N186" s="8"/>
      <c r="O186" s="8"/>
    </row>
    <row r="187">
      <c r="A187" s="2" t="s">
        <v>215</v>
      </c>
      <c r="B187" s="26" t="s">
        <v>1813</v>
      </c>
      <c r="C187" s="26" t="s">
        <v>1814</v>
      </c>
      <c r="D187" s="8"/>
      <c r="L187" s="8"/>
      <c r="M187" s="8"/>
      <c r="N187" s="8"/>
      <c r="O187" s="8"/>
    </row>
    <row r="188">
      <c r="A188" s="2" t="s">
        <v>216</v>
      </c>
      <c r="B188" s="26" t="s">
        <v>1815</v>
      </c>
      <c r="C188" s="26" t="s">
        <v>1816</v>
      </c>
      <c r="D188" s="8"/>
      <c r="L188" s="8"/>
      <c r="M188" s="8"/>
      <c r="N188" s="8"/>
      <c r="O188" s="8"/>
    </row>
    <row r="189">
      <c r="A189" s="2" t="s">
        <v>217</v>
      </c>
      <c r="B189" s="26" t="s">
        <v>1817</v>
      </c>
      <c r="C189" s="26" t="s">
        <v>1818</v>
      </c>
      <c r="D189" s="8"/>
      <c r="L189" s="8"/>
      <c r="M189" s="8"/>
      <c r="N189" s="8"/>
      <c r="O189" s="8"/>
    </row>
    <row r="190">
      <c r="A190" s="2" t="s">
        <v>218</v>
      </c>
      <c r="B190" s="26" t="s">
        <v>1819</v>
      </c>
      <c r="C190" s="26" t="s">
        <v>1820</v>
      </c>
      <c r="D190" s="8"/>
      <c r="L190" s="8"/>
      <c r="M190" s="8"/>
      <c r="N190" s="8"/>
      <c r="O190" s="8"/>
    </row>
    <row r="191">
      <c r="A191" s="2" t="s">
        <v>219</v>
      </c>
      <c r="B191" s="26" t="s">
        <v>1821</v>
      </c>
      <c r="C191" s="26" t="s">
        <v>1822</v>
      </c>
      <c r="D191" s="8"/>
      <c r="L191" s="8"/>
      <c r="M191" s="8"/>
      <c r="N191" s="8"/>
      <c r="O191" s="8"/>
    </row>
    <row r="192">
      <c r="A192" s="2" t="s">
        <v>220</v>
      </c>
      <c r="B192" s="26" t="s">
        <v>1823</v>
      </c>
      <c r="C192" s="26" t="s">
        <v>1824</v>
      </c>
      <c r="D192" s="8"/>
      <c r="L192" s="8"/>
      <c r="M192" s="8"/>
      <c r="N192" s="8"/>
      <c r="O192" s="8"/>
    </row>
    <row r="193">
      <c r="A193" s="2" t="s">
        <v>221</v>
      </c>
      <c r="B193" s="26" t="s">
        <v>1825</v>
      </c>
      <c r="C193" s="26" t="s">
        <v>1826</v>
      </c>
      <c r="D193" s="8"/>
      <c r="L193" s="8"/>
      <c r="M193" s="8"/>
      <c r="N193" s="8"/>
      <c r="O193" s="8"/>
    </row>
    <row r="194">
      <c r="A194" s="2" t="s">
        <v>222</v>
      </c>
      <c r="B194" s="26" t="s">
        <v>1827</v>
      </c>
      <c r="C194" s="26" t="s">
        <v>1828</v>
      </c>
      <c r="D194" s="8"/>
      <c r="L194" s="8"/>
      <c r="M194" s="8"/>
      <c r="N194" s="8"/>
      <c r="O194" s="8"/>
    </row>
    <row r="195">
      <c r="A195" s="2" t="s">
        <v>223</v>
      </c>
      <c r="B195" s="26" t="s">
        <v>1829</v>
      </c>
      <c r="C195" s="26" t="s">
        <v>1830</v>
      </c>
      <c r="D195" s="8"/>
      <c r="L195" s="8"/>
      <c r="M195" s="8"/>
      <c r="N195" s="8"/>
      <c r="O195" s="8"/>
    </row>
    <row r="196">
      <c r="A196" s="2" t="s">
        <v>224</v>
      </c>
      <c r="B196" s="26" t="s">
        <v>1831</v>
      </c>
      <c r="C196" s="26" t="s">
        <v>1832</v>
      </c>
      <c r="D196" s="8"/>
      <c r="L196" s="8"/>
      <c r="M196" s="8"/>
      <c r="N196" s="8"/>
      <c r="O196" s="8"/>
    </row>
    <row r="197">
      <c r="A197" s="2" t="s">
        <v>225</v>
      </c>
      <c r="B197" s="26" t="s">
        <v>1833</v>
      </c>
      <c r="C197" s="26" t="s">
        <v>1834</v>
      </c>
      <c r="D197" s="8"/>
      <c r="L197" s="8"/>
      <c r="M197" s="8"/>
      <c r="N197" s="8"/>
      <c r="O197" s="8"/>
    </row>
    <row r="198">
      <c r="A198" s="2" t="s">
        <v>226</v>
      </c>
      <c r="B198" s="26" t="s">
        <v>1835</v>
      </c>
      <c r="C198" s="26" t="s">
        <v>1836</v>
      </c>
      <c r="D198" s="8"/>
      <c r="L198" s="8"/>
      <c r="M198" s="8"/>
      <c r="N198" s="8"/>
      <c r="O198" s="8"/>
    </row>
    <row r="199">
      <c r="A199" s="2" t="s">
        <v>227</v>
      </c>
      <c r="B199" s="26" t="s">
        <v>1837</v>
      </c>
      <c r="C199" s="26" t="s">
        <v>1838</v>
      </c>
      <c r="D199" s="8"/>
      <c r="L199" s="8"/>
      <c r="M199" s="8"/>
      <c r="N199" s="8"/>
      <c r="O199" s="8"/>
    </row>
    <row r="200">
      <c r="A200" s="2" t="s">
        <v>228</v>
      </c>
      <c r="B200" s="26" t="s">
        <v>1839</v>
      </c>
      <c r="C200" s="26" t="s">
        <v>1840</v>
      </c>
      <c r="D200" s="8"/>
      <c r="L200" s="8"/>
      <c r="M200" s="8"/>
      <c r="N200" s="8"/>
      <c r="O200" s="8"/>
    </row>
    <row r="201">
      <c r="A201" s="2" t="s">
        <v>229</v>
      </c>
      <c r="B201" s="26" t="s">
        <v>1841</v>
      </c>
      <c r="C201" s="26" t="s">
        <v>1842</v>
      </c>
      <c r="D201" s="8"/>
      <c r="L201" s="8"/>
      <c r="M201" s="8"/>
      <c r="N201" s="8"/>
      <c r="O201" s="8"/>
    </row>
    <row r="202">
      <c r="A202" s="2" t="s">
        <v>230</v>
      </c>
      <c r="B202" s="26" t="s">
        <v>1843</v>
      </c>
      <c r="C202" s="26" t="s">
        <v>1844</v>
      </c>
      <c r="D202" s="8"/>
      <c r="L202" s="8"/>
      <c r="M202" s="8"/>
      <c r="N202" s="8"/>
      <c r="O202" s="8"/>
    </row>
    <row r="203">
      <c r="A203" s="2" t="s">
        <v>231</v>
      </c>
      <c r="B203" s="26" t="s">
        <v>1845</v>
      </c>
      <c r="C203" s="26" t="s">
        <v>1846</v>
      </c>
      <c r="D203" s="8"/>
      <c r="L203" s="8"/>
      <c r="M203" s="8"/>
      <c r="N203" s="8"/>
      <c r="O203" s="8"/>
    </row>
    <row r="204">
      <c r="A204" s="2" t="s">
        <v>232</v>
      </c>
      <c r="B204" s="26" t="s">
        <v>1847</v>
      </c>
      <c r="C204" s="26" t="s">
        <v>1848</v>
      </c>
      <c r="D204" s="8"/>
      <c r="L204" s="8"/>
      <c r="M204" s="8"/>
      <c r="N204" s="8"/>
      <c r="O204" s="8"/>
    </row>
    <row r="205">
      <c r="A205" s="2" t="s">
        <v>233</v>
      </c>
      <c r="B205" s="26" t="s">
        <v>1849</v>
      </c>
      <c r="C205" s="26" t="s">
        <v>1850</v>
      </c>
      <c r="D205" s="8"/>
      <c r="L205" s="8"/>
      <c r="M205" s="8"/>
      <c r="N205" s="8"/>
      <c r="O205" s="8"/>
    </row>
    <row r="206">
      <c r="A206" s="2" t="s">
        <v>234</v>
      </c>
      <c r="B206" s="26" t="s">
        <v>1851</v>
      </c>
      <c r="C206" s="26" t="s">
        <v>1852</v>
      </c>
      <c r="D206" s="8"/>
      <c r="L206" s="8"/>
      <c r="M206" s="8"/>
      <c r="N206" s="8"/>
      <c r="O206" s="8"/>
    </row>
    <row r="207">
      <c r="A207" s="2" t="s">
        <v>235</v>
      </c>
      <c r="B207" s="26" t="s">
        <v>1853</v>
      </c>
      <c r="C207" s="26" t="s">
        <v>1854</v>
      </c>
      <c r="D207" s="8"/>
      <c r="L207" s="8"/>
      <c r="M207" s="8"/>
      <c r="N207" s="8"/>
      <c r="O207" s="8"/>
    </row>
    <row r="208">
      <c r="A208" s="2" t="s">
        <v>236</v>
      </c>
      <c r="B208" s="26" t="s">
        <v>1855</v>
      </c>
      <c r="C208" s="26" t="s">
        <v>1856</v>
      </c>
      <c r="D208" s="8"/>
      <c r="L208" s="8"/>
      <c r="M208" s="8"/>
      <c r="N208" s="8"/>
      <c r="O208" s="8"/>
    </row>
    <row r="209">
      <c r="A209" s="2" t="s">
        <v>237</v>
      </c>
      <c r="B209" s="26" t="s">
        <v>1857</v>
      </c>
      <c r="C209" s="26" t="s">
        <v>1858</v>
      </c>
      <c r="D209" s="8"/>
      <c r="L209" s="8"/>
      <c r="M209" s="8"/>
      <c r="N209" s="8"/>
      <c r="O209" s="8"/>
    </row>
    <row r="210">
      <c r="A210" s="2" t="s">
        <v>238</v>
      </c>
      <c r="B210" s="26" t="s">
        <v>1859</v>
      </c>
      <c r="C210" s="26" t="s">
        <v>1860</v>
      </c>
      <c r="D210" s="8"/>
      <c r="L210" s="8"/>
      <c r="M210" s="8"/>
      <c r="N210" s="8"/>
      <c r="O210" s="8"/>
    </row>
    <row r="211">
      <c r="A211" s="2" t="s">
        <v>239</v>
      </c>
      <c r="B211" s="26" t="s">
        <v>1861</v>
      </c>
      <c r="C211" s="26" t="s">
        <v>1862</v>
      </c>
      <c r="D211" s="8"/>
      <c r="L211" s="8"/>
      <c r="M211" s="8"/>
      <c r="N211" s="8"/>
      <c r="O211" s="8"/>
    </row>
    <row r="212">
      <c r="A212" s="2" t="s">
        <v>240</v>
      </c>
      <c r="B212" s="26" t="s">
        <v>1863</v>
      </c>
      <c r="C212" s="26" t="s">
        <v>1864</v>
      </c>
      <c r="D212" s="8"/>
      <c r="L212" s="8"/>
      <c r="M212" s="8"/>
      <c r="N212" s="8"/>
      <c r="O212" s="8"/>
    </row>
    <row r="213">
      <c r="A213" s="2" t="s">
        <v>241</v>
      </c>
      <c r="B213" s="26" t="s">
        <v>1865</v>
      </c>
      <c r="C213" s="26" t="s">
        <v>1866</v>
      </c>
      <c r="D213" s="8"/>
      <c r="L213" s="8"/>
      <c r="M213" s="8"/>
      <c r="N213" s="8"/>
      <c r="O213" s="8"/>
    </row>
    <row r="214">
      <c r="A214" s="2" t="s">
        <v>242</v>
      </c>
      <c r="B214" s="26" t="s">
        <v>1867</v>
      </c>
      <c r="C214" s="26" t="s">
        <v>1868</v>
      </c>
      <c r="D214" s="8"/>
      <c r="L214" s="8"/>
      <c r="M214" s="8"/>
      <c r="N214" s="8"/>
      <c r="O214" s="8"/>
    </row>
    <row r="215">
      <c r="A215" s="2" t="s">
        <v>243</v>
      </c>
      <c r="B215" s="26" t="s">
        <v>1869</v>
      </c>
      <c r="C215" s="26" t="s">
        <v>1870</v>
      </c>
      <c r="D215" s="8"/>
      <c r="L215" s="8"/>
      <c r="M215" s="8"/>
      <c r="N215" s="8"/>
      <c r="O215" s="8"/>
    </row>
    <row r="216">
      <c r="A216" s="2" t="s">
        <v>244</v>
      </c>
      <c r="B216" s="26" t="s">
        <v>1871</v>
      </c>
      <c r="C216" s="26" t="s">
        <v>1872</v>
      </c>
      <c r="D216" s="8"/>
      <c r="L216" s="8"/>
      <c r="M216" s="8"/>
      <c r="N216" s="8"/>
      <c r="O216" s="8"/>
    </row>
    <row r="217">
      <c r="A217" s="2" t="s">
        <v>245</v>
      </c>
      <c r="B217" s="26" t="s">
        <v>1873</v>
      </c>
      <c r="C217" s="26" t="s">
        <v>1874</v>
      </c>
      <c r="D217" s="8"/>
      <c r="L217" s="8"/>
      <c r="M217" s="8"/>
      <c r="N217" s="8"/>
      <c r="O217" s="8"/>
    </row>
    <row r="218">
      <c r="A218" s="2" t="s">
        <v>246</v>
      </c>
      <c r="B218" s="26" t="s">
        <v>1875</v>
      </c>
      <c r="C218" s="26" t="s">
        <v>1876</v>
      </c>
      <c r="D218" s="8"/>
      <c r="L218" s="8"/>
      <c r="M218" s="8"/>
      <c r="N218" s="8"/>
      <c r="O218" s="8"/>
    </row>
    <row r="219">
      <c r="A219" s="2" t="s">
        <v>247</v>
      </c>
      <c r="B219" s="26" t="s">
        <v>1877</v>
      </c>
      <c r="C219" s="26" t="s">
        <v>1878</v>
      </c>
      <c r="D219" s="8"/>
      <c r="L219" s="8"/>
      <c r="M219" s="8"/>
      <c r="N219" s="8"/>
      <c r="O219" s="8"/>
    </row>
    <row r="220">
      <c r="A220" s="2" t="s">
        <v>248</v>
      </c>
      <c r="B220" s="26" t="s">
        <v>1879</v>
      </c>
      <c r="C220" s="26" t="s">
        <v>1880</v>
      </c>
      <c r="D220" s="8"/>
      <c r="L220" s="8"/>
      <c r="M220" s="8"/>
      <c r="N220" s="8"/>
      <c r="O220" s="8"/>
    </row>
    <row r="221">
      <c r="A221" s="2" t="s">
        <v>249</v>
      </c>
      <c r="B221" s="26" t="s">
        <v>1881</v>
      </c>
      <c r="C221" s="26" t="s">
        <v>1882</v>
      </c>
      <c r="D221" s="8"/>
      <c r="L221" s="8"/>
      <c r="M221" s="8"/>
      <c r="N221" s="8"/>
      <c r="O221" s="8"/>
    </row>
    <row r="222">
      <c r="A222" s="2" t="s">
        <v>250</v>
      </c>
      <c r="B222" s="26" t="s">
        <v>1883</v>
      </c>
      <c r="C222" s="26" t="s">
        <v>1884</v>
      </c>
      <c r="D222" s="8"/>
      <c r="L222" s="8"/>
      <c r="M222" s="8"/>
      <c r="N222" s="8"/>
      <c r="O222" s="8"/>
    </row>
    <row r="223">
      <c r="A223" s="2" t="s">
        <v>251</v>
      </c>
      <c r="B223" s="26" t="s">
        <v>1885</v>
      </c>
      <c r="C223" s="26" t="s">
        <v>1886</v>
      </c>
      <c r="D223" s="8"/>
      <c r="L223" s="8"/>
      <c r="M223" s="8"/>
      <c r="N223" s="8"/>
      <c r="O223" s="8"/>
    </row>
    <row r="224">
      <c r="A224" s="2" t="s">
        <v>252</v>
      </c>
      <c r="B224" s="26" t="s">
        <v>1887</v>
      </c>
      <c r="C224" s="26" t="s">
        <v>1888</v>
      </c>
      <c r="D224" s="8"/>
      <c r="L224" s="8"/>
      <c r="M224" s="8"/>
      <c r="N224" s="8"/>
      <c r="O224" s="8"/>
    </row>
    <row r="225">
      <c r="A225" s="2" t="s">
        <v>253</v>
      </c>
      <c r="B225" s="26" t="s">
        <v>1889</v>
      </c>
      <c r="C225" s="26" t="s">
        <v>1890</v>
      </c>
      <c r="D225" s="8"/>
      <c r="L225" s="8"/>
      <c r="M225" s="8"/>
      <c r="N225" s="8"/>
      <c r="O225" s="8"/>
    </row>
    <row r="226">
      <c r="A226" s="2" t="s">
        <v>254</v>
      </c>
      <c r="B226" s="26" t="s">
        <v>1891</v>
      </c>
      <c r="C226" s="26" t="s">
        <v>1892</v>
      </c>
      <c r="D226" s="8"/>
      <c r="L226" s="8"/>
      <c r="M226" s="8"/>
      <c r="N226" s="8"/>
      <c r="O226" s="8"/>
    </row>
    <row r="227">
      <c r="A227" s="2" t="s">
        <v>255</v>
      </c>
      <c r="B227" s="26" t="s">
        <v>1893</v>
      </c>
      <c r="C227" s="26" t="s">
        <v>1894</v>
      </c>
      <c r="D227" s="8"/>
      <c r="L227" s="8"/>
      <c r="M227" s="8"/>
      <c r="N227" s="8"/>
      <c r="O227" s="8"/>
    </row>
    <row r="228">
      <c r="A228" s="2" t="s">
        <v>256</v>
      </c>
      <c r="B228" s="26" t="s">
        <v>1895</v>
      </c>
      <c r="C228" s="26" t="s">
        <v>1896</v>
      </c>
      <c r="D228" s="8"/>
      <c r="L228" s="8"/>
      <c r="M228" s="8"/>
      <c r="N228" s="8"/>
      <c r="O228" s="8"/>
    </row>
    <row r="229">
      <c r="A229" s="2" t="s">
        <v>257</v>
      </c>
      <c r="B229" s="26" t="s">
        <v>1897</v>
      </c>
      <c r="C229" s="26" t="s">
        <v>1898</v>
      </c>
      <c r="D229" s="8"/>
      <c r="L229" s="8"/>
      <c r="M229" s="8"/>
      <c r="N229" s="8"/>
      <c r="O229" s="8"/>
    </row>
    <row r="230">
      <c r="A230" s="2" t="s">
        <v>258</v>
      </c>
      <c r="B230" s="26" t="s">
        <v>1899</v>
      </c>
      <c r="C230" s="26" t="s">
        <v>1900</v>
      </c>
      <c r="D230" s="8"/>
      <c r="L230" s="8"/>
      <c r="M230" s="8"/>
      <c r="N230" s="8"/>
      <c r="O230" s="8"/>
    </row>
    <row r="231">
      <c r="A231" s="2" t="s">
        <v>259</v>
      </c>
      <c r="B231" s="26" t="s">
        <v>1901</v>
      </c>
      <c r="C231" s="26" t="s">
        <v>1902</v>
      </c>
      <c r="D231" s="8"/>
      <c r="L231" s="8"/>
      <c r="M231" s="8"/>
      <c r="N231" s="8"/>
      <c r="O231" s="8"/>
    </row>
    <row r="232">
      <c r="A232" s="2" t="s">
        <v>260</v>
      </c>
      <c r="B232" s="26" t="s">
        <v>1903</v>
      </c>
      <c r="C232" s="26" t="s">
        <v>1904</v>
      </c>
      <c r="D232" s="8"/>
      <c r="L232" s="8"/>
      <c r="M232" s="8"/>
      <c r="N232" s="8"/>
      <c r="O232" s="8"/>
    </row>
    <row r="233">
      <c r="A233" s="2" t="s">
        <v>261</v>
      </c>
      <c r="B233" s="26" t="s">
        <v>1905</v>
      </c>
      <c r="C233" s="26" t="s">
        <v>1906</v>
      </c>
      <c r="D233" s="8"/>
      <c r="L233" s="8"/>
      <c r="M233" s="8"/>
      <c r="N233" s="8"/>
      <c r="O233" s="8"/>
    </row>
    <row r="234">
      <c r="A234" s="2" t="s">
        <v>262</v>
      </c>
      <c r="B234" s="26" t="s">
        <v>1907</v>
      </c>
      <c r="C234" s="26" t="s">
        <v>1908</v>
      </c>
      <c r="D234" s="8"/>
      <c r="L234" s="8"/>
      <c r="M234" s="8"/>
      <c r="N234" s="8"/>
      <c r="O234" s="8"/>
    </row>
    <row r="235">
      <c r="A235" s="2" t="s">
        <v>263</v>
      </c>
      <c r="B235" s="26" t="s">
        <v>1909</v>
      </c>
      <c r="C235" s="26" t="s">
        <v>1910</v>
      </c>
      <c r="D235" s="8"/>
      <c r="L235" s="8"/>
      <c r="M235" s="8"/>
      <c r="N235" s="8"/>
      <c r="O235" s="8"/>
    </row>
    <row r="236">
      <c r="A236" s="2" t="s">
        <v>264</v>
      </c>
      <c r="B236" s="26" t="s">
        <v>1911</v>
      </c>
      <c r="C236" s="26" t="s">
        <v>1912</v>
      </c>
      <c r="D236" s="8"/>
      <c r="L236" s="8"/>
      <c r="M236" s="8"/>
      <c r="N236" s="8"/>
      <c r="O236" s="8"/>
    </row>
    <row r="237">
      <c r="A237" s="2" t="s">
        <v>265</v>
      </c>
      <c r="B237" s="26" t="s">
        <v>1913</v>
      </c>
      <c r="C237" s="26" t="s">
        <v>1914</v>
      </c>
      <c r="D237" s="8"/>
      <c r="L237" s="8"/>
      <c r="M237" s="8"/>
      <c r="N237" s="8"/>
      <c r="O237" s="8"/>
    </row>
    <row r="238">
      <c r="A238" s="2" t="s">
        <v>266</v>
      </c>
      <c r="B238" s="26" t="s">
        <v>1915</v>
      </c>
      <c r="C238" s="26" t="s">
        <v>1916</v>
      </c>
      <c r="D238" s="8"/>
      <c r="L238" s="8"/>
      <c r="M238" s="8"/>
      <c r="N238" s="8"/>
      <c r="O238" s="8"/>
    </row>
    <row r="239">
      <c r="A239" s="2" t="s">
        <v>267</v>
      </c>
      <c r="B239" s="26" t="s">
        <v>1917</v>
      </c>
      <c r="C239" s="26" t="s">
        <v>1918</v>
      </c>
      <c r="D239" s="8"/>
      <c r="L239" s="8"/>
      <c r="M239" s="8"/>
      <c r="N239" s="8"/>
      <c r="O239" s="8"/>
    </row>
    <row r="240">
      <c r="A240" s="2" t="s">
        <v>268</v>
      </c>
      <c r="B240" s="26" t="s">
        <v>1919</v>
      </c>
      <c r="C240" s="26" t="s">
        <v>1920</v>
      </c>
      <c r="D240" s="8"/>
      <c r="L240" s="8"/>
      <c r="M240" s="8"/>
      <c r="N240" s="8"/>
      <c r="O240" s="8"/>
    </row>
    <row r="241">
      <c r="A241" s="2" t="s">
        <v>269</v>
      </c>
      <c r="B241" s="26" t="s">
        <v>1921</v>
      </c>
      <c r="C241" s="26" t="s">
        <v>1922</v>
      </c>
      <c r="D241" s="8"/>
      <c r="L241" s="8"/>
      <c r="M241" s="8"/>
      <c r="N241" s="8"/>
      <c r="O241" s="8"/>
    </row>
    <row r="242">
      <c r="A242" s="2" t="s">
        <v>270</v>
      </c>
      <c r="B242" s="26" t="s">
        <v>1923</v>
      </c>
      <c r="C242" s="26" t="s">
        <v>1924</v>
      </c>
      <c r="D242" s="8"/>
      <c r="L242" s="8"/>
      <c r="M242" s="8"/>
      <c r="N242" s="8"/>
      <c r="O242" s="8"/>
    </row>
    <row r="243">
      <c r="A243" s="2" t="s">
        <v>271</v>
      </c>
      <c r="B243" s="26" t="s">
        <v>1925</v>
      </c>
      <c r="C243" s="26" t="s">
        <v>1926</v>
      </c>
      <c r="D243" s="8"/>
      <c r="L243" s="8"/>
      <c r="M243" s="8"/>
      <c r="N243" s="8"/>
      <c r="O243" s="8"/>
    </row>
    <row r="244">
      <c r="A244" s="2" t="s">
        <v>272</v>
      </c>
      <c r="B244" s="26" t="s">
        <v>1927</v>
      </c>
      <c r="C244" s="26" t="s">
        <v>1928</v>
      </c>
      <c r="D244" s="8"/>
      <c r="L244" s="8"/>
      <c r="M244" s="8"/>
      <c r="N244" s="8"/>
      <c r="O244" s="8"/>
    </row>
    <row r="245">
      <c r="A245" s="2" t="s">
        <v>273</v>
      </c>
      <c r="B245" s="26" t="s">
        <v>1929</v>
      </c>
      <c r="C245" s="26" t="s">
        <v>1930</v>
      </c>
      <c r="D245" s="8"/>
      <c r="L245" s="8"/>
      <c r="M245" s="8"/>
      <c r="N245" s="8"/>
      <c r="O245" s="8"/>
    </row>
    <row r="246">
      <c r="A246" s="2" t="s">
        <v>274</v>
      </c>
      <c r="B246" s="26" t="s">
        <v>1931</v>
      </c>
      <c r="C246" s="26" t="s">
        <v>1932</v>
      </c>
      <c r="D246" s="8"/>
      <c r="L246" s="8"/>
      <c r="M246" s="8"/>
      <c r="N246" s="8"/>
      <c r="O246" s="8"/>
    </row>
    <row r="247">
      <c r="A247" s="2" t="s">
        <v>275</v>
      </c>
      <c r="B247" s="26" t="s">
        <v>1933</v>
      </c>
      <c r="C247" s="26" t="s">
        <v>1934</v>
      </c>
      <c r="D247" s="8"/>
      <c r="L247" s="8"/>
      <c r="M247" s="8"/>
      <c r="N247" s="8"/>
      <c r="O247" s="8"/>
    </row>
    <row r="248">
      <c r="A248" s="2" t="s">
        <v>276</v>
      </c>
      <c r="B248" s="26" t="s">
        <v>1935</v>
      </c>
      <c r="C248" s="26" t="s">
        <v>1936</v>
      </c>
      <c r="D248" s="8"/>
      <c r="L248" s="8"/>
      <c r="M248" s="8"/>
      <c r="N248" s="8"/>
      <c r="O248" s="8"/>
    </row>
    <row r="249">
      <c r="A249" s="2" t="s">
        <v>277</v>
      </c>
      <c r="B249" s="26" t="s">
        <v>1937</v>
      </c>
      <c r="C249" s="26" t="s">
        <v>1938</v>
      </c>
      <c r="D249" s="8"/>
      <c r="L249" s="8"/>
      <c r="M249" s="8"/>
      <c r="N249" s="8"/>
      <c r="O249" s="8"/>
    </row>
    <row r="250">
      <c r="A250" s="2" t="s">
        <v>278</v>
      </c>
      <c r="B250" s="26" t="s">
        <v>1939</v>
      </c>
      <c r="C250" s="26" t="s">
        <v>1940</v>
      </c>
      <c r="D250" s="8"/>
      <c r="L250" s="8"/>
      <c r="M250" s="8"/>
      <c r="N250" s="8"/>
      <c r="O250" s="8"/>
    </row>
    <row r="251">
      <c r="A251" s="2" t="s">
        <v>279</v>
      </c>
      <c r="B251" s="26" t="s">
        <v>1941</v>
      </c>
      <c r="C251" s="26" t="s">
        <v>1942</v>
      </c>
      <c r="D251" s="8"/>
      <c r="L251" s="8"/>
      <c r="M251" s="8"/>
      <c r="N251" s="8"/>
      <c r="O251" s="8"/>
    </row>
    <row r="252">
      <c r="A252" s="2" t="s">
        <v>280</v>
      </c>
      <c r="B252" s="26" t="s">
        <v>1943</v>
      </c>
      <c r="C252" s="26" t="s">
        <v>1944</v>
      </c>
      <c r="D252" s="8"/>
      <c r="L252" s="8"/>
      <c r="M252" s="8"/>
      <c r="N252" s="8"/>
      <c r="O252" s="8"/>
    </row>
    <row r="253">
      <c r="A253" s="2" t="s">
        <v>281</v>
      </c>
      <c r="B253" s="26" t="s">
        <v>1945</v>
      </c>
      <c r="C253" s="26" t="s">
        <v>1946</v>
      </c>
      <c r="D253" s="8"/>
      <c r="L253" s="8"/>
      <c r="M253" s="8"/>
      <c r="N253" s="8"/>
      <c r="O253" s="8"/>
    </row>
    <row r="254">
      <c r="A254" s="2" t="s">
        <v>282</v>
      </c>
      <c r="B254" s="26" t="s">
        <v>1947</v>
      </c>
      <c r="C254" s="26" t="s">
        <v>1948</v>
      </c>
      <c r="D254" s="8"/>
      <c r="L254" s="8"/>
      <c r="M254" s="8"/>
      <c r="N254" s="8"/>
      <c r="O254" s="8"/>
    </row>
    <row r="255">
      <c r="A255" s="2" t="s">
        <v>283</v>
      </c>
      <c r="B255" s="26" t="s">
        <v>1949</v>
      </c>
      <c r="C255" s="26" t="s">
        <v>1950</v>
      </c>
      <c r="D255" s="8"/>
      <c r="L255" s="8"/>
      <c r="M255" s="8"/>
      <c r="N255" s="8"/>
      <c r="O255" s="8"/>
    </row>
    <row r="256">
      <c r="A256" s="2" t="s">
        <v>284</v>
      </c>
      <c r="B256" s="26" t="s">
        <v>1951</v>
      </c>
      <c r="C256" s="26" t="s">
        <v>1952</v>
      </c>
      <c r="D256" s="8"/>
      <c r="L256" s="8"/>
      <c r="M256" s="8"/>
      <c r="N256" s="8"/>
      <c r="O256" s="8"/>
    </row>
    <row r="257">
      <c r="A257" s="2" t="s">
        <v>285</v>
      </c>
      <c r="B257" s="26" t="s">
        <v>1953</v>
      </c>
      <c r="C257" s="26" t="s">
        <v>1954</v>
      </c>
      <c r="D257" s="8"/>
      <c r="L257" s="8"/>
      <c r="M257" s="8"/>
      <c r="N257" s="8"/>
      <c r="O257" s="8"/>
    </row>
    <row r="258">
      <c r="A258" s="2" t="s">
        <v>286</v>
      </c>
      <c r="B258" s="26" t="s">
        <v>1955</v>
      </c>
      <c r="C258" s="26" t="s">
        <v>1956</v>
      </c>
      <c r="D258" s="8"/>
      <c r="L258" s="8"/>
      <c r="M258" s="8"/>
      <c r="N258" s="8"/>
      <c r="O258" s="8"/>
    </row>
    <row r="259">
      <c r="A259" s="2" t="s">
        <v>287</v>
      </c>
      <c r="B259" s="26" t="s">
        <v>1957</v>
      </c>
      <c r="C259" s="26" t="s">
        <v>1958</v>
      </c>
      <c r="D259" s="8"/>
      <c r="L259" s="8"/>
      <c r="M259" s="8"/>
      <c r="N259" s="8"/>
      <c r="O259" s="8"/>
    </row>
    <row r="260">
      <c r="A260" s="2" t="s">
        <v>288</v>
      </c>
      <c r="B260" s="26" t="s">
        <v>1959</v>
      </c>
      <c r="C260" s="26" t="s">
        <v>1960</v>
      </c>
      <c r="D260" s="8"/>
      <c r="L260" s="8"/>
      <c r="M260" s="8"/>
      <c r="N260" s="8"/>
      <c r="O260" s="8"/>
    </row>
    <row r="261">
      <c r="A261" s="2" t="s">
        <v>289</v>
      </c>
      <c r="B261" s="26" t="s">
        <v>1961</v>
      </c>
      <c r="C261" s="26" t="s">
        <v>1962</v>
      </c>
      <c r="D261" s="8"/>
      <c r="L261" s="8"/>
      <c r="M261" s="8"/>
      <c r="N261" s="8"/>
      <c r="O261" s="8"/>
    </row>
    <row r="262">
      <c r="A262" s="2" t="s">
        <v>290</v>
      </c>
      <c r="B262" s="26" t="s">
        <v>1963</v>
      </c>
      <c r="C262" s="26" t="s">
        <v>1964</v>
      </c>
      <c r="D262" s="8"/>
      <c r="L262" s="8"/>
      <c r="M262" s="8"/>
      <c r="N262" s="8"/>
      <c r="O262" s="8"/>
    </row>
    <row r="263">
      <c r="A263" s="2" t="s">
        <v>291</v>
      </c>
      <c r="B263" s="26" t="s">
        <v>1965</v>
      </c>
      <c r="C263" s="26" t="s">
        <v>1966</v>
      </c>
      <c r="D263" s="8"/>
      <c r="L263" s="8"/>
      <c r="M263" s="8"/>
      <c r="N263" s="8"/>
      <c r="O263" s="8"/>
    </row>
    <row r="264">
      <c r="A264" s="2" t="s">
        <v>292</v>
      </c>
      <c r="B264" s="26" t="s">
        <v>1967</v>
      </c>
      <c r="C264" s="26" t="s">
        <v>1968</v>
      </c>
      <c r="D264" s="8"/>
      <c r="L264" s="8"/>
      <c r="M264" s="8"/>
      <c r="N264" s="8"/>
      <c r="O264" s="8"/>
    </row>
    <row r="265">
      <c r="A265" s="2" t="s">
        <v>293</v>
      </c>
      <c r="B265" s="26" t="s">
        <v>1969</v>
      </c>
      <c r="C265" s="26" t="s">
        <v>1970</v>
      </c>
      <c r="D265" s="8"/>
      <c r="L265" s="8"/>
      <c r="M265" s="8"/>
      <c r="N265" s="8"/>
      <c r="O265" s="8"/>
    </row>
    <row r="266">
      <c r="A266" s="2" t="s">
        <v>294</v>
      </c>
      <c r="B266" s="26" t="s">
        <v>1971</v>
      </c>
      <c r="C266" s="26" t="s">
        <v>1972</v>
      </c>
      <c r="D266" s="8"/>
      <c r="L266" s="8"/>
      <c r="M266" s="8"/>
      <c r="N266" s="8"/>
      <c r="O266" s="8"/>
    </row>
    <row r="267">
      <c r="A267" s="2" t="s">
        <v>295</v>
      </c>
      <c r="B267" s="26" t="s">
        <v>1973</v>
      </c>
      <c r="C267" s="26" t="s">
        <v>1974</v>
      </c>
      <c r="D267" s="8"/>
      <c r="L267" s="8"/>
      <c r="M267" s="8"/>
      <c r="N267" s="8"/>
      <c r="O267" s="8"/>
    </row>
    <row r="268">
      <c r="A268" s="2" t="s">
        <v>296</v>
      </c>
      <c r="B268" s="26" t="s">
        <v>1975</v>
      </c>
      <c r="C268" s="26" t="s">
        <v>1976</v>
      </c>
      <c r="D268" s="8"/>
      <c r="L268" s="8"/>
      <c r="M268" s="8"/>
      <c r="N268" s="8"/>
      <c r="O268" s="8"/>
    </row>
    <row r="269">
      <c r="A269" s="2" t="s">
        <v>297</v>
      </c>
      <c r="B269" s="26" t="s">
        <v>1977</v>
      </c>
      <c r="C269" s="26" t="s">
        <v>1978</v>
      </c>
      <c r="D269" s="8"/>
      <c r="L269" s="8"/>
      <c r="M269" s="8"/>
      <c r="N269" s="8"/>
      <c r="O269" s="8"/>
    </row>
    <row r="270">
      <c r="A270" s="2" t="s">
        <v>298</v>
      </c>
      <c r="B270" s="26" t="s">
        <v>1979</v>
      </c>
      <c r="C270" s="26" t="s">
        <v>1980</v>
      </c>
      <c r="D270" s="8"/>
      <c r="L270" s="8"/>
      <c r="M270" s="8"/>
      <c r="N270" s="8"/>
      <c r="O270" s="8"/>
    </row>
    <row r="271">
      <c r="A271" s="2" t="s">
        <v>299</v>
      </c>
      <c r="B271" s="26" t="s">
        <v>1981</v>
      </c>
      <c r="C271" s="26" t="s">
        <v>1982</v>
      </c>
      <c r="D271" s="8"/>
      <c r="L271" s="8"/>
      <c r="M271" s="8"/>
      <c r="N271" s="8"/>
      <c r="O271" s="8"/>
    </row>
    <row r="272">
      <c r="A272" s="2" t="s">
        <v>300</v>
      </c>
      <c r="B272" s="26" t="s">
        <v>1983</v>
      </c>
      <c r="C272" s="26" t="s">
        <v>1984</v>
      </c>
      <c r="D272" s="8"/>
      <c r="L272" s="8"/>
      <c r="M272" s="8"/>
      <c r="N272" s="8"/>
      <c r="O272" s="8"/>
    </row>
    <row r="273">
      <c r="A273" s="2" t="s">
        <v>301</v>
      </c>
      <c r="B273" s="26" t="s">
        <v>1985</v>
      </c>
      <c r="C273" s="26" t="s">
        <v>1986</v>
      </c>
      <c r="D273" s="8"/>
      <c r="L273" s="8"/>
      <c r="M273" s="8"/>
      <c r="N273" s="8"/>
      <c r="O273" s="8"/>
    </row>
    <row r="274">
      <c r="A274" s="2" t="s">
        <v>302</v>
      </c>
      <c r="B274" s="26" t="s">
        <v>1987</v>
      </c>
      <c r="C274" s="26" t="s">
        <v>1988</v>
      </c>
      <c r="D274" s="8"/>
      <c r="L274" s="8"/>
      <c r="M274" s="8"/>
      <c r="N274" s="8"/>
      <c r="O274" s="8"/>
    </row>
    <row r="275">
      <c r="A275" s="2" t="s">
        <v>303</v>
      </c>
      <c r="B275" s="26" t="s">
        <v>1989</v>
      </c>
      <c r="C275" s="26" t="s">
        <v>1990</v>
      </c>
      <c r="D275" s="8"/>
      <c r="L275" s="8"/>
      <c r="M275" s="8"/>
      <c r="N275" s="8"/>
      <c r="O275" s="8"/>
    </row>
    <row r="276">
      <c r="A276" s="2" t="s">
        <v>304</v>
      </c>
      <c r="B276" s="26" t="s">
        <v>1991</v>
      </c>
      <c r="C276" s="26" t="s">
        <v>1992</v>
      </c>
      <c r="D276" s="8"/>
      <c r="L276" s="8"/>
      <c r="M276" s="8"/>
      <c r="N276" s="8"/>
      <c r="O276" s="8"/>
    </row>
    <row r="277">
      <c r="A277" s="2" t="s">
        <v>305</v>
      </c>
      <c r="B277" s="26" t="s">
        <v>1993</v>
      </c>
      <c r="C277" s="26" t="s">
        <v>1994</v>
      </c>
      <c r="D277" s="8"/>
      <c r="L277" s="8"/>
      <c r="M277" s="8"/>
      <c r="N277" s="8"/>
      <c r="O277" s="8"/>
    </row>
    <row r="278">
      <c r="A278" s="2" t="s">
        <v>306</v>
      </c>
      <c r="B278" s="26" t="s">
        <v>1995</v>
      </c>
      <c r="C278" s="26" t="s">
        <v>1996</v>
      </c>
      <c r="D278" s="8"/>
      <c r="L278" s="8"/>
      <c r="M278" s="8"/>
      <c r="N278" s="8"/>
      <c r="O278" s="8"/>
    </row>
    <row r="279">
      <c r="A279" s="2" t="s">
        <v>307</v>
      </c>
      <c r="B279" s="26" t="s">
        <v>1997</v>
      </c>
      <c r="C279" s="26" t="s">
        <v>1998</v>
      </c>
      <c r="D279" s="8"/>
      <c r="L279" s="8"/>
      <c r="M279" s="8"/>
      <c r="N279" s="8"/>
      <c r="O279" s="8"/>
    </row>
    <row r="280">
      <c r="A280" s="2" t="s">
        <v>308</v>
      </c>
      <c r="B280" s="26" t="s">
        <v>1999</v>
      </c>
      <c r="C280" s="26" t="s">
        <v>2000</v>
      </c>
      <c r="D280" s="8"/>
      <c r="L280" s="8"/>
      <c r="M280" s="8"/>
      <c r="N280" s="8"/>
      <c r="O280" s="8"/>
    </row>
    <row r="281">
      <c r="A281" s="2" t="s">
        <v>309</v>
      </c>
      <c r="B281" s="26" t="s">
        <v>2001</v>
      </c>
      <c r="C281" s="26" t="s">
        <v>2002</v>
      </c>
      <c r="D281" s="8"/>
      <c r="L281" s="8"/>
      <c r="M281" s="8"/>
      <c r="N281" s="8"/>
      <c r="O281" s="8"/>
    </row>
    <row r="282">
      <c r="A282" s="2" t="s">
        <v>310</v>
      </c>
      <c r="B282" s="26" t="s">
        <v>2003</v>
      </c>
      <c r="C282" s="26" t="s">
        <v>2004</v>
      </c>
      <c r="D282" s="8"/>
      <c r="L282" s="8"/>
      <c r="M282" s="8"/>
      <c r="N282" s="8"/>
      <c r="O282" s="8"/>
    </row>
    <row r="283">
      <c r="A283" s="2" t="s">
        <v>311</v>
      </c>
      <c r="B283" s="26" t="s">
        <v>2005</v>
      </c>
      <c r="C283" s="26" t="s">
        <v>2006</v>
      </c>
      <c r="D283" s="8"/>
      <c r="L283" s="8"/>
      <c r="M283" s="8"/>
      <c r="N283" s="8"/>
      <c r="O283" s="8"/>
    </row>
    <row r="284">
      <c r="A284" s="2" t="s">
        <v>312</v>
      </c>
      <c r="B284" s="26" t="s">
        <v>2007</v>
      </c>
      <c r="C284" s="26" t="s">
        <v>2008</v>
      </c>
      <c r="D284" s="8"/>
      <c r="L284" s="8"/>
      <c r="M284" s="8"/>
      <c r="N284" s="8"/>
      <c r="O284" s="8"/>
    </row>
    <row r="285">
      <c r="A285" s="2" t="s">
        <v>313</v>
      </c>
      <c r="B285" s="26" t="s">
        <v>2009</v>
      </c>
      <c r="C285" s="26" t="s">
        <v>2010</v>
      </c>
      <c r="D285" s="8"/>
      <c r="L285" s="8"/>
      <c r="M285" s="8"/>
      <c r="N285" s="8"/>
      <c r="O285" s="8"/>
    </row>
    <row r="286">
      <c r="A286" s="2" t="s">
        <v>314</v>
      </c>
      <c r="B286" s="26" t="s">
        <v>2011</v>
      </c>
      <c r="C286" s="26" t="s">
        <v>2012</v>
      </c>
      <c r="D286" s="8"/>
      <c r="L286" s="8"/>
      <c r="M286" s="8"/>
      <c r="N286" s="8"/>
      <c r="O286" s="8"/>
    </row>
    <row r="287">
      <c r="A287" s="2" t="s">
        <v>315</v>
      </c>
      <c r="B287" s="26" t="s">
        <v>2013</v>
      </c>
      <c r="C287" s="26" t="s">
        <v>2014</v>
      </c>
      <c r="D287" s="8"/>
      <c r="L287" s="8"/>
      <c r="M287" s="8"/>
      <c r="N287" s="8"/>
      <c r="O287" s="8"/>
    </row>
    <row r="288">
      <c r="A288" s="2" t="s">
        <v>316</v>
      </c>
      <c r="B288" s="26" t="s">
        <v>2015</v>
      </c>
      <c r="C288" s="26" t="s">
        <v>2016</v>
      </c>
      <c r="D288" s="8"/>
      <c r="L288" s="8"/>
      <c r="M288" s="8"/>
      <c r="N288" s="8"/>
      <c r="O288" s="8"/>
    </row>
    <row r="289">
      <c r="A289" s="2" t="s">
        <v>317</v>
      </c>
      <c r="B289" s="26" t="s">
        <v>2017</v>
      </c>
      <c r="C289" s="26" t="s">
        <v>2018</v>
      </c>
      <c r="D289" s="8"/>
      <c r="L289" s="8"/>
      <c r="M289" s="8"/>
      <c r="N289" s="8"/>
      <c r="O289" s="8"/>
    </row>
    <row r="290">
      <c r="A290" s="2" t="s">
        <v>318</v>
      </c>
      <c r="B290" s="26" t="s">
        <v>2019</v>
      </c>
      <c r="C290" s="26" t="s">
        <v>2020</v>
      </c>
      <c r="D290" s="8"/>
      <c r="L290" s="8"/>
      <c r="M290" s="8"/>
      <c r="N290" s="8"/>
      <c r="O290" s="8"/>
    </row>
    <row r="291">
      <c r="A291" s="2" t="s">
        <v>319</v>
      </c>
      <c r="B291" s="26" t="s">
        <v>2021</v>
      </c>
      <c r="C291" s="26" t="s">
        <v>2022</v>
      </c>
      <c r="D291" s="8"/>
      <c r="L291" s="8"/>
      <c r="M291" s="8"/>
      <c r="N291" s="8"/>
      <c r="O291" s="8"/>
    </row>
    <row r="292">
      <c r="A292" s="2" t="s">
        <v>320</v>
      </c>
      <c r="B292" s="26" t="s">
        <v>2023</v>
      </c>
      <c r="C292" s="26" t="s">
        <v>2024</v>
      </c>
      <c r="D292" s="8"/>
      <c r="L292" s="8"/>
      <c r="M292" s="8"/>
      <c r="N292" s="8"/>
      <c r="O292" s="8"/>
    </row>
    <row r="293">
      <c r="A293" s="2" t="s">
        <v>321</v>
      </c>
      <c r="B293" s="26" t="s">
        <v>2025</v>
      </c>
      <c r="C293" s="26" t="s">
        <v>2026</v>
      </c>
      <c r="D293" s="8"/>
      <c r="L293" s="8"/>
      <c r="M293" s="8"/>
      <c r="N293" s="8"/>
      <c r="O293" s="8"/>
    </row>
    <row r="294">
      <c r="A294" s="2" t="s">
        <v>322</v>
      </c>
      <c r="B294" s="26" t="s">
        <v>2027</v>
      </c>
      <c r="C294" s="26" t="s">
        <v>2028</v>
      </c>
      <c r="D294" s="8"/>
      <c r="L294" s="8"/>
      <c r="M294" s="8"/>
      <c r="N294" s="8"/>
      <c r="O294" s="8"/>
    </row>
    <row r="295">
      <c r="A295" s="2" t="s">
        <v>323</v>
      </c>
      <c r="B295" s="26" t="s">
        <v>2029</v>
      </c>
      <c r="C295" s="26" t="s">
        <v>2030</v>
      </c>
      <c r="D295" s="8"/>
      <c r="L295" s="8"/>
      <c r="M295" s="8"/>
      <c r="N295" s="8"/>
      <c r="O295" s="8"/>
    </row>
    <row r="296">
      <c r="A296" s="2" t="s">
        <v>324</v>
      </c>
      <c r="B296" s="26" t="s">
        <v>2031</v>
      </c>
      <c r="C296" s="26" t="s">
        <v>2032</v>
      </c>
      <c r="D296" s="8"/>
      <c r="L296" s="8"/>
      <c r="M296" s="8"/>
      <c r="N296" s="8"/>
      <c r="O296" s="8"/>
    </row>
    <row r="297">
      <c r="A297" s="2" t="s">
        <v>325</v>
      </c>
      <c r="B297" s="26" t="s">
        <v>2033</v>
      </c>
      <c r="C297" s="26" t="s">
        <v>2034</v>
      </c>
      <c r="D297" s="8"/>
      <c r="L297" s="8"/>
      <c r="M297" s="8"/>
      <c r="N297" s="8"/>
      <c r="O297" s="8"/>
    </row>
    <row r="298">
      <c r="A298" s="2" t="s">
        <v>326</v>
      </c>
      <c r="B298" s="26" t="s">
        <v>2035</v>
      </c>
      <c r="C298" s="26" t="s">
        <v>2036</v>
      </c>
      <c r="D298" s="8"/>
      <c r="L298" s="8"/>
      <c r="M298" s="8"/>
      <c r="N298" s="8"/>
      <c r="O298" s="8"/>
    </row>
    <row r="299">
      <c r="A299" s="2" t="s">
        <v>327</v>
      </c>
      <c r="B299" s="26" t="s">
        <v>2037</v>
      </c>
      <c r="C299" s="26" t="s">
        <v>2038</v>
      </c>
      <c r="D299" s="8"/>
      <c r="L299" s="8"/>
      <c r="M299" s="8"/>
      <c r="N299" s="8"/>
      <c r="O299" s="8"/>
    </row>
    <row r="300">
      <c r="A300" s="2" t="s">
        <v>328</v>
      </c>
      <c r="B300" s="26" t="s">
        <v>2039</v>
      </c>
      <c r="C300" s="26" t="s">
        <v>2040</v>
      </c>
      <c r="D300" s="8"/>
      <c r="L300" s="8"/>
      <c r="M300" s="8"/>
      <c r="N300" s="8"/>
      <c r="O300" s="8"/>
    </row>
    <row r="301">
      <c r="A301" s="2" t="s">
        <v>329</v>
      </c>
      <c r="B301" s="26" t="s">
        <v>2041</v>
      </c>
      <c r="C301" s="26" t="s">
        <v>2042</v>
      </c>
      <c r="D301" s="8"/>
      <c r="L301" s="8"/>
      <c r="M301" s="8"/>
      <c r="N301" s="8"/>
      <c r="O301" s="8"/>
    </row>
    <row r="302">
      <c r="A302" s="2" t="s">
        <v>330</v>
      </c>
      <c r="B302" s="26" t="s">
        <v>2043</v>
      </c>
      <c r="C302" s="26" t="s">
        <v>2044</v>
      </c>
      <c r="D302" s="8"/>
      <c r="L302" s="8"/>
      <c r="M302" s="8"/>
      <c r="N302" s="8"/>
      <c r="O302" s="8"/>
    </row>
    <row r="303">
      <c r="A303" s="2" t="s">
        <v>331</v>
      </c>
      <c r="B303" s="26" t="s">
        <v>2045</v>
      </c>
      <c r="C303" s="26" t="s">
        <v>2046</v>
      </c>
      <c r="D303" s="8"/>
      <c r="L303" s="8"/>
      <c r="M303" s="8"/>
      <c r="N303" s="8"/>
      <c r="O303" s="8"/>
    </row>
    <row r="304">
      <c r="A304" s="2" t="s">
        <v>332</v>
      </c>
      <c r="B304" s="26" t="s">
        <v>2047</v>
      </c>
      <c r="C304" s="26" t="s">
        <v>2048</v>
      </c>
      <c r="D304" s="8"/>
      <c r="L304" s="8"/>
      <c r="M304" s="8"/>
      <c r="N304" s="8"/>
      <c r="O304" s="8"/>
    </row>
    <row r="305">
      <c r="A305" s="2" t="s">
        <v>333</v>
      </c>
      <c r="B305" s="26" t="s">
        <v>2049</v>
      </c>
      <c r="C305" s="26" t="s">
        <v>2050</v>
      </c>
      <c r="D305" s="8"/>
      <c r="L305" s="8"/>
      <c r="M305" s="8"/>
      <c r="N305" s="8"/>
      <c r="O305" s="8"/>
    </row>
    <row r="306">
      <c r="A306" s="2" t="s">
        <v>334</v>
      </c>
      <c r="B306" s="26" t="s">
        <v>2051</v>
      </c>
      <c r="C306" s="26" t="s">
        <v>2052</v>
      </c>
      <c r="D306" s="8"/>
      <c r="L306" s="8"/>
      <c r="M306" s="8"/>
      <c r="N306" s="8"/>
      <c r="O306" s="8"/>
    </row>
    <row r="307">
      <c r="A307" s="2" t="s">
        <v>335</v>
      </c>
      <c r="B307" s="26" t="s">
        <v>2053</v>
      </c>
      <c r="C307" s="26" t="s">
        <v>2054</v>
      </c>
      <c r="D307" s="8"/>
      <c r="L307" s="8"/>
      <c r="M307" s="8"/>
      <c r="N307" s="8"/>
      <c r="O307" s="8"/>
    </row>
    <row r="308">
      <c r="A308" s="2" t="s">
        <v>336</v>
      </c>
      <c r="B308" s="26" t="s">
        <v>2055</v>
      </c>
      <c r="C308" s="26" t="s">
        <v>2056</v>
      </c>
      <c r="D308" s="8"/>
      <c r="L308" s="8"/>
      <c r="M308" s="8"/>
      <c r="N308" s="8"/>
      <c r="O308" s="8"/>
    </row>
    <row r="309">
      <c r="A309" s="2" t="s">
        <v>337</v>
      </c>
      <c r="B309" s="26" t="s">
        <v>2057</v>
      </c>
      <c r="C309" s="26" t="s">
        <v>2058</v>
      </c>
      <c r="D309" s="8"/>
      <c r="L309" s="8"/>
      <c r="M309" s="8"/>
      <c r="N309" s="8"/>
      <c r="O309" s="8"/>
    </row>
    <row r="310">
      <c r="A310" s="2" t="s">
        <v>338</v>
      </c>
      <c r="B310" s="26" t="s">
        <v>2059</v>
      </c>
      <c r="C310" s="26" t="s">
        <v>2060</v>
      </c>
      <c r="D310" s="8"/>
      <c r="L310" s="8"/>
      <c r="M310" s="8"/>
      <c r="N310" s="8"/>
      <c r="O310" s="8"/>
    </row>
    <row r="311">
      <c r="A311" s="2" t="s">
        <v>339</v>
      </c>
      <c r="B311" s="26" t="s">
        <v>2061</v>
      </c>
      <c r="C311" s="26" t="s">
        <v>2062</v>
      </c>
      <c r="D311" s="8"/>
      <c r="L311" s="8"/>
      <c r="M311" s="8"/>
      <c r="N311" s="8"/>
      <c r="O311" s="8"/>
    </row>
    <row r="312">
      <c r="A312" s="2" t="s">
        <v>340</v>
      </c>
      <c r="B312" s="26" t="s">
        <v>2063</v>
      </c>
      <c r="C312" s="26" t="s">
        <v>2064</v>
      </c>
      <c r="D312" s="8"/>
      <c r="L312" s="8"/>
      <c r="M312" s="8"/>
      <c r="N312" s="8"/>
      <c r="O312" s="8"/>
    </row>
    <row r="313">
      <c r="A313" s="2" t="s">
        <v>341</v>
      </c>
      <c r="B313" s="26" t="s">
        <v>2065</v>
      </c>
      <c r="C313" s="26" t="s">
        <v>2066</v>
      </c>
      <c r="D313" s="8"/>
      <c r="L313" s="8"/>
      <c r="M313" s="8"/>
      <c r="N313" s="8"/>
      <c r="O313" s="8"/>
    </row>
    <row r="314">
      <c r="A314" s="2" t="s">
        <v>342</v>
      </c>
      <c r="B314" s="26" t="s">
        <v>2067</v>
      </c>
      <c r="C314" s="26" t="s">
        <v>2068</v>
      </c>
      <c r="D314" s="8"/>
      <c r="L314" s="8"/>
      <c r="M314" s="8"/>
      <c r="N314" s="8"/>
      <c r="O314" s="8"/>
    </row>
    <row r="315">
      <c r="A315" s="2" t="s">
        <v>343</v>
      </c>
      <c r="B315" s="26" t="s">
        <v>2069</v>
      </c>
      <c r="C315" s="26" t="s">
        <v>2070</v>
      </c>
      <c r="D315" s="8"/>
      <c r="L315" s="8"/>
      <c r="M315" s="8"/>
      <c r="N315" s="8"/>
      <c r="O315" s="8"/>
    </row>
    <row r="316">
      <c r="A316" s="2" t="s">
        <v>344</v>
      </c>
      <c r="B316" s="26" t="s">
        <v>2071</v>
      </c>
      <c r="C316" s="26" t="s">
        <v>2072</v>
      </c>
      <c r="D316" s="8"/>
      <c r="L316" s="8"/>
      <c r="M316" s="8"/>
      <c r="N316" s="8"/>
      <c r="O316" s="8"/>
    </row>
    <row r="317">
      <c r="A317" s="2" t="s">
        <v>345</v>
      </c>
      <c r="B317" s="26" t="s">
        <v>2073</v>
      </c>
      <c r="C317" s="26" t="s">
        <v>2074</v>
      </c>
      <c r="D317" s="8"/>
      <c r="L317" s="8"/>
      <c r="M317" s="8"/>
      <c r="N317" s="8"/>
      <c r="O317" s="8"/>
    </row>
    <row r="318">
      <c r="A318" s="2" t="s">
        <v>346</v>
      </c>
      <c r="B318" s="26" t="s">
        <v>2075</v>
      </c>
      <c r="C318" s="26" t="s">
        <v>2076</v>
      </c>
      <c r="D318" s="8"/>
      <c r="L318" s="8"/>
      <c r="M318" s="8"/>
      <c r="N318" s="8"/>
      <c r="O318" s="8"/>
    </row>
    <row r="319">
      <c r="A319" s="2" t="s">
        <v>347</v>
      </c>
      <c r="B319" s="26" t="s">
        <v>2077</v>
      </c>
      <c r="C319" s="26" t="s">
        <v>2078</v>
      </c>
      <c r="D319" s="8"/>
      <c r="L319" s="8"/>
      <c r="M319" s="8"/>
      <c r="N319" s="8"/>
      <c r="O319" s="8"/>
    </row>
    <row r="320">
      <c r="A320" s="2" t="s">
        <v>348</v>
      </c>
      <c r="B320" s="26" t="s">
        <v>2079</v>
      </c>
      <c r="C320" s="26" t="s">
        <v>2080</v>
      </c>
      <c r="D320" s="8"/>
      <c r="L320" s="8"/>
      <c r="M320" s="8"/>
      <c r="N320" s="8"/>
      <c r="O320" s="8"/>
    </row>
    <row r="321">
      <c r="A321" s="2" t="s">
        <v>349</v>
      </c>
      <c r="B321" s="26" t="s">
        <v>2081</v>
      </c>
      <c r="C321" s="26" t="s">
        <v>2082</v>
      </c>
      <c r="D321" s="8"/>
      <c r="L321" s="8"/>
      <c r="M321" s="8"/>
      <c r="N321" s="8"/>
      <c r="O321" s="8"/>
    </row>
    <row r="322">
      <c r="A322" s="2" t="s">
        <v>350</v>
      </c>
      <c r="B322" s="26" t="s">
        <v>2083</v>
      </c>
      <c r="C322" s="26" t="s">
        <v>2084</v>
      </c>
      <c r="D322" s="8"/>
      <c r="L322" s="8"/>
      <c r="M322" s="8"/>
      <c r="N322" s="8"/>
      <c r="O322" s="8"/>
    </row>
    <row r="323">
      <c r="A323" s="2" t="s">
        <v>351</v>
      </c>
      <c r="B323" s="26" t="s">
        <v>2085</v>
      </c>
      <c r="C323" s="26" t="s">
        <v>2086</v>
      </c>
      <c r="D323" s="8"/>
      <c r="L323" s="8"/>
      <c r="M323" s="8"/>
      <c r="N323" s="8"/>
      <c r="O323" s="8"/>
    </row>
    <row r="324">
      <c r="A324" s="2" t="s">
        <v>352</v>
      </c>
      <c r="B324" s="26" t="s">
        <v>2087</v>
      </c>
      <c r="C324" s="26" t="s">
        <v>2088</v>
      </c>
      <c r="D324" s="8"/>
      <c r="L324" s="8"/>
      <c r="M324" s="8"/>
      <c r="N324" s="8"/>
      <c r="O324" s="8"/>
    </row>
    <row r="325">
      <c r="A325" s="2" t="s">
        <v>353</v>
      </c>
      <c r="B325" s="26" t="s">
        <v>2089</v>
      </c>
      <c r="C325" s="26" t="s">
        <v>2090</v>
      </c>
      <c r="D325" s="8"/>
      <c r="L325" s="8"/>
      <c r="M325" s="8"/>
      <c r="N325" s="8"/>
      <c r="O325" s="8"/>
    </row>
    <row r="326">
      <c r="A326" s="2" t="s">
        <v>354</v>
      </c>
      <c r="B326" s="26" t="s">
        <v>2091</v>
      </c>
      <c r="C326" s="26" t="s">
        <v>2092</v>
      </c>
      <c r="D326" s="8"/>
      <c r="L326" s="8"/>
      <c r="M326" s="8"/>
      <c r="N326" s="8"/>
      <c r="O326" s="8"/>
    </row>
    <row r="327">
      <c r="A327" s="2" t="s">
        <v>355</v>
      </c>
      <c r="B327" s="26" t="s">
        <v>2093</v>
      </c>
      <c r="C327" s="26" t="s">
        <v>2094</v>
      </c>
      <c r="D327" s="8"/>
      <c r="L327" s="8"/>
      <c r="M327" s="8"/>
      <c r="N327" s="8"/>
      <c r="O327" s="8"/>
    </row>
    <row r="328">
      <c r="A328" s="2" t="s">
        <v>356</v>
      </c>
      <c r="B328" s="26" t="s">
        <v>2095</v>
      </c>
      <c r="C328" s="26" t="s">
        <v>2096</v>
      </c>
      <c r="D328" s="8"/>
      <c r="L328" s="8"/>
      <c r="M328" s="8"/>
      <c r="N328" s="8"/>
      <c r="O328" s="8"/>
    </row>
    <row r="329">
      <c r="A329" s="2" t="s">
        <v>357</v>
      </c>
      <c r="B329" s="26" t="s">
        <v>2097</v>
      </c>
      <c r="C329" s="26" t="s">
        <v>2098</v>
      </c>
      <c r="D329" s="8"/>
      <c r="L329" s="8"/>
      <c r="M329" s="8"/>
      <c r="N329" s="8"/>
      <c r="O329" s="8"/>
    </row>
    <row r="330">
      <c r="A330" s="2" t="s">
        <v>358</v>
      </c>
      <c r="B330" s="26" t="s">
        <v>2099</v>
      </c>
      <c r="C330" s="26" t="s">
        <v>2100</v>
      </c>
      <c r="D330" s="8"/>
      <c r="L330" s="8"/>
      <c r="M330" s="8"/>
      <c r="N330" s="8"/>
      <c r="O330" s="8"/>
    </row>
    <row r="331">
      <c r="A331" s="2" t="s">
        <v>359</v>
      </c>
      <c r="B331" s="26" t="s">
        <v>2101</v>
      </c>
      <c r="C331" s="26" t="s">
        <v>2102</v>
      </c>
      <c r="D331" s="8"/>
      <c r="L331" s="8"/>
      <c r="M331" s="8"/>
      <c r="N331" s="8"/>
      <c r="O331" s="8"/>
    </row>
    <row r="332">
      <c r="A332" s="2" t="s">
        <v>360</v>
      </c>
      <c r="B332" s="26" t="s">
        <v>2103</v>
      </c>
      <c r="C332" s="26" t="s">
        <v>2104</v>
      </c>
      <c r="D332" s="8"/>
      <c r="L332" s="8"/>
      <c r="M332" s="8"/>
      <c r="N332" s="8"/>
      <c r="O332" s="8"/>
    </row>
    <row r="333">
      <c r="A333" s="2" t="s">
        <v>361</v>
      </c>
      <c r="B333" s="26" t="s">
        <v>2105</v>
      </c>
      <c r="C333" s="26" t="s">
        <v>2106</v>
      </c>
      <c r="D333" s="8"/>
      <c r="L333" s="8"/>
      <c r="M333" s="8"/>
      <c r="N333" s="8"/>
      <c r="O333" s="8"/>
    </row>
    <row r="334">
      <c r="A334" s="2" t="s">
        <v>362</v>
      </c>
      <c r="B334" s="26" t="s">
        <v>2107</v>
      </c>
      <c r="C334" s="26" t="s">
        <v>2108</v>
      </c>
      <c r="D334" s="8"/>
      <c r="L334" s="8"/>
      <c r="M334" s="8"/>
      <c r="N334" s="8"/>
      <c r="O334" s="8"/>
    </row>
    <row r="335">
      <c r="A335" s="2" t="s">
        <v>363</v>
      </c>
      <c r="B335" s="26" t="s">
        <v>2109</v>
      </c>
      <c r="C335" s="26" t="s">
        <v>2110</v>
      </c>
      <c r="D335" s="8"/>
      <c r="L335" s="8"/>
      <c r="M335" s="8"/>
      <c r="N335" s="8"/>
      <c r="O335" s="8"/>
    </row>
    <row r="336">
      <c r="A336" s="2" t="s">
        <v>364</v>
      </c>
      <c r="B336" s="26" t="s">
        <v>2111</v>
      </c>
      <c r="C336" s="26" t="s">
        <v>2112</v>
      </c>
      <c r="D336" s="8"/>
      <c r="L336" s="8"/>
      <c r="M336" s="8"/>
      <c r="N336" s="8"/>
      <c r="O336" s="8"/>
    </row>
    <row r="337">
      <c r="A337" s="2" t="s">
        <v>365</v>
      </c>
      <c r="B337" s="26" t="s">
        <v>2113</v>
      </c>
      <c r="C337" s="26" t="s">
        <v>2114</v>
      </c>
      <c r="D337" s="8"/>
      <c r="L337" s="8"/>
      <c r="M337" s="8"/>
      <c r="N337" s="8"/>
      <c r="O337" s="8"/>
    </row>
    <row r="338">
      <c r="A338" s="2" t="s">
        <v>366</v>
      </c>
      <c r="B338" s="26" t="s">
        <v>2115</v>
      </c>
      <c r="C338" s="26" t="s">
        <v>2116</v>
      </c>
      <c r="D338" s="8"/>
      <c r="L338" s="8"/>
      <c r="M338" s="8"/>
      <c r="N338" s="8"/>
      <c r="O338" s="8"/>
    </row>
    <row r="339">
      <c r="A339" s="2" t="s">
        <v>367</v>
      </c>
      <c r="B339" s="26" t="s">
        <v>2117</v>
      </c>
      <c r="C339" s="26" t="s">
        <v>2118</v>
      </c>
      <c r="D339" s="8"/>
      <c r="L339" s="8"/>
      <c r="M339" s="8"/>
      <c r="N339" s="8"/>
      <c r="O339" s="8"/>
    </row>
    <row r="340">
      <c r="A340" s="2" t="s">
        <v>368</v>
      </c>
      <c r="B340" s="26" t="s">
        <v>2119</v>
      </c>
      <c r="C340" s="26" t="s">
        <v>2120</v>
      </c>
      <c r="D340" s="8"/>
      <c r="L340" s="8"/>
      <c r="M340" s="8"/>
      <c r="N340" s="8"/>
      <c r="O340" s="8"/>
    </row>
    <row r="341">
      <c r="A341" s="2" t="s">
        <v>369</v>
      </c>
      <c r="B341" s="26" t="s">
        <v>2121</v>
      </c>
      <c r="C341" s="26" t="s">
        <v>2122</v>
      </c>
      <c r="D341" s="8"/>
      <c r="L341" s="8"/>
      <c r="M341" s="8"/>
      <c r="N341" s="8"/>
      <c r="O341" s="8"/>
    </row>
    <row r="342">
      <c r="A342" s="2" t="s">
        <v>370</v>
      </c>
      <c r="B342" s="26" t="s">
        <v>2123</v>
      </c>
      <c r="C342" s="26" t="s">
        <v>2124</v>
      </c>
      <c r="D342" s="8"/>
      <c r="L342" s="8"/>
      <c r="M342" s="8"/>
      <c r="N342" s="8"/>
      <c r="O342" s="8"/>
    </row>
    <row r="343">
      <c r="A343" s="2" t="s">
        <v>371</v>
      </c>
      <c r="B343" s="26" t="s">
        <v>2125</v>
      </c>
      <c r="C343" s="26" t="s">
        <v>2126</v>
      </c>
      <c r="D343" s="8"/>
      <c r="L343" s="8"/>
      <c r="M343" s="8"/>
      <c r="N343" s="8"/>
      <c r="O343" s="8"/>
    </row>
    <row r="344">
      <c r="A344" s="2" t="s">
        <v>372</v>
      </c>
      <c r="B344" s="26" t="s">
        <v>2127</v>
      </c>
      <c r="C344" s="26" t="s">
        <v>2128</v>
      </c>
      <c r="D344" s="8"/>
      <c r="L344" s="8"/>
      <c r="M344" s="8"/>
      <c r="N344" s="8"/>
      <c r="O344" s="8"/>
    </row>
    <row r="345">
      <c r="A345" s="2" t="s">
        <v>373</v>
      </c>
      <c r="B345" s="26" t="s">
        <v>2129</v>
      </c>
      <c r="C345" s="26" t="s">
        <v>2130</v>
      </c>
      <c r="D345" s="8"/>
      <c r="L345" s="8"/>
      <c r="M345" s="8"/>
      <c r="N345" s="8"/>
      <c r="O345" s="8"/>
    </row>
    <row r="346">
      <c r="A346" s="2" t="s">
        <v>374</v>
      </c>
      <c r="B346" s="26" t="s">
        <v>2131</v>
      </c>
      <c r="C346" s="26" t="s">
        <v>2132</v>
      </c>
      <c r="D346" s="8"/>
      <c r="L346" s="8"/>
      <c r="M346" s="8"/>
      <c r="N346" s="8"/>
      <c r="O346" s="8"/>
    </row>
    <row r="347">
      <c r="A347" s="2" t="s">
        <v>375</v>
      </c>
      <c r="B347" s="26" t="s">
        <v>2133</v>
      </c>
      <c r="C347" s="26" t="s">
        <v>2134</v>
      </c>
      <c r="D347" s="8"/>
      <c r="L347" s="8"/>
      <c r="M347" s="8"/>
      <c r="N347" s="8"/>
      <c r="O347" s="8"/>
    </row>
    <row r="348">
      <c r="A348" s="2" t="s">
        <v>376</v>
      </c>
      <c r="B348" s="26" t="s">
        <v>2135</v>
      </c>
      <c r="C348" s="26" t="s">
        <v>2136</v>
      </c>
      <c r="D348" s="8"/>
      <c r="L348" s="8"/>
      <c r="M348" s="8"/>
      <c r="N348" s="8"/>
      <c r="O348" s="8"/>
    </row>
    <row r="349">
      <c r="A349" s="2" t="s">
        <v>377</v>
      </c>
      <c r="B349" s="26" t="s">
        <v>2137</v>
      </c>
      <c r="C349" s="26" t="s">
        <v>2138</v>
      </c>
      <c r="D349" s="8"/>
      <c r="L349" s="8"/>
      <c r="M349" s="8"/>
      <c r="N349" s="8"/>
      <c r="O349" s="8"/>
    </row>
    <row r="350">
      <c r="A350" s="2" t="s">
        <v>378</v>
      </c>
      <c r="B350" s="26" t="s">
        <v>2139</v>
      </c>
      <c r="C350" s="26" t="s">
        <v>2140</v>
      </c>
      <c r="D350" s="8"/>
      <c r="L350" s="8"/>
      <c r="M350" s="8"/>
      <c r="N350" s="8"/>
      <c r="O350" s="8"/>
    </row>
    <row r="351">
      <c r="A351" s="2" t="s">
        <v>379</v>
      </c>
      <c r="B351" s="26" t="s">
        <v>2141</v>
      </c>
      <c r="C351" s="26" t="s">
        <v>2142</v>
      </c>
      <c r="D351" s="8"/>
      <c r="L351" s="8"/>
      <c r="M351" s="8"/>
      <c r="N351" s="8"/>
      <c r="O351" s="8"/>
    </row>
    <row r="352">
      <c r="A352" s="2" t="s">
        <v>380</v>
      </c>
      <c r="B352" s="26" t="s">
        <v>2143</v>
      </c>
      <c r="C352" s="26" t="s">
        <v>2144</v>
      </c>
      <c r="D352" s="8"/>
      <c r="L352" s="8"/>
      <c r="M352" s="8"/>
      <c r="N352" s="8"/>
      <c r="O352" s="8"/>
    </row>
    <row r="353">
      <c r="A353" s="2" t="s">
        <v>381</v>
      </c>
      <c r="B353" s="26" t="s">
        <v>2145</v>
      </c>
      <c r="C353" s="26" t="s">
        <v>2146</v>
      </c>
      <c r="D353" s="8"/>
      <c r="L353" s="8"/>
      <c r="M353" s="8"/>
      <c r="N353" s="8"/>
      <c r="O353" s="8"/>
    </row>
    <row r="354">
      <c r="A354" s="2" t="s">
        <v>382</v>
      </c>
      <c r="B354" s="26" t="s">
        <v>2147</v>
      </c>
      <c r="C354" s="26" t="s">
        <v>2148</v>
      </c>
      <c r="D354" s="8"/>
      <c r="L354" s="8"/>
      <c r="M354" s="8"/>
      <c r="N354" s="8"/>
      <c r="O354" s="8"/>
    </row>
    <row r="355">
      <c r="A355" s="2" t="s">
        <v>383</v>
      </c>
      <c r="B355" s="26" t="s">
        <v>2149</v>
      </c>
      <c r="C355" s="26" t="s">
        <v>2150</v>
      </c>
      <c r="D355" s="8"/>
      <c r="L355" s="8"/>
      <c r="M355" s="8"/>
      <c r="N355" s="8"/>
      <c r="O355" s="8"/>
    </row>
    <row r="356">
      <c r="A356" s="2" t="s">
        <v>384</v>
      </c>
      <c r="B356" s="26" t="s">
        <v>2151</v>
      </c>
      <c r="C356" s="26" t="s">
        <v>2152</v>
      </c>
      <c r="D356" s="8"/>
      <c r="L356" s="8"/>
      <c r="M356" s="8"/>
      <c r="N356" s="8"/>
      <c r="O356" s="8"/>
    </row>
    <row r="357">
      <c r="A357" s="2" t="s">
        <v>385</v>
      </c>
      <c r="B357" s="26" t="s">
        <v>2153</v>
      </c>
      <c r="C357" s="26" t="s">
        <v>2154</v>
      </c>
      <c r="D357" s="8"/>
      <c r="L357" s="8"/>
      <c r="M357" s="8"/>
      <c r="N357" s="8"/>
      <c r="O357" s="8"/>
    </row>
    <row r="358">
      <c r="A358" s="2" t="s">
        <v>386</v>
      </c>
      <c r="B358" s="26" t="s">
        <v>2155</v>
      </c>
      <c r="C358" s="26" t="s">
        <v>2156</v>
      </c>
      <c r="D358" s="8"/>
      <c r="L358" s="8"/>
      <c r="M358" s="8"/>
      <c r="N358" s="8"/>
      <c r="O358" s="8"/>
    </row>
    <row r="359">
      <c r="A359" s="2" t="s">
        <v>387</v>
      </c>
      <c r="B359" s="26" t="s">
        <v>2157</v>
      </c>
      <c r="C359" s="26" t="s">
        <v>2158</v>
      </c>
      <c r="D359" s="8"/>
      <c r="L359" s="8"/>
      <c r="M359" s="8"/>
      <c r="N359" s="8"/>
      <c r="O359" s="8"/>
    </row>
    <row r="360">
      <c r="A360" s="2" t="s">
        <v>388</v>
      </c>
      <c r="B360" s="26" t="s">
        <v>2159</v>
      </c>
      <c r="C360" s="26" t="s">
        <v>2160</v>
      </c>
      <c r="D360" s="8"/>
      <c r="L360" s="8"/>
      <c r="M360" s="8"/>
      <c r="N360" s="8"/>
      <c r="O360" s="8"/>
    </row>
    <row r="361">
      <c r="A361" s="2" t="s">
        <v>389</v>
      </c>
      <c r="B361" s="26" t="s">
        <v>2161</v>
      </c>
      <c r="C361" s="26" t="s">
        <v>2162</v>
      </c>
      <c r="D361" s="8"/>
      <c r="L361" s="8"/>
      <c r="M361" s="8"/>
      <c r="N361" s="8"/>
      <c r="O361" s="8"/>
    </row>
    <row r="362">
      <c r="A362" s="2" t="s">
        <v>390</v>
      </c>
      <c r="B362" s="26" t="s">
        <v>2163</v>
      </c>
      <c r="C362" s="26" t="s">
        <v>2164</v>
      </c>
      <c r="D362" s="8"/>
      <c r="L362" s="8"/>
      <c r="M362" s="8"/>
      <c r="N362" s="8"/>
      <c r="O362" s="8"/>
    </row>
    <row r="363">
      <c r="A363" s="2" t="s">
        <v>391</v>
      </c>
      <c r="B363" s="26" t="s">
        <v>2165</v>
      </c>
      <c r="C363" s="26" t="s">
        <v>2166</v>
      </c>
      <c r="D363" s="8"/>
      <c r="L363" s="8"/>
      <c r="M363" s="8"/>
      <c r="N363" s="8"/>
      <c r="O363" s="8"/>
    </row>
    <row r="364">
      <c r="A364" s="2" t="s">
        <v>392</v>
      </c>
      <c r="B364" s="26" t="s">
        <v>2167</v>
      </c>
      <c r="C364" s="26" t="s">
        <v>2168</v>
      </c>
      <c r="D364" s="8"/>
      <c r="L364" s="8"/>
      <c r="M364" s="8"/>
      <c r="N364" s="8"/>
      <c r="O364" s="8"/>
    </row>
    <row r="365">
      <c r="A365" s="2" t="s">
        <v>393</v>
      </c>
      <c r="B365" s="26" t="s">
        <v>2169</v>
      </c>
      <c r="C365" s="26" t="s">
        <v>2170</v>
      </c>
      <c r="D365" s="8"/>
      <c r="L365" s="8"/>
      <c r="M365" s="8"/>
      <c r="N365" s="8"/>
      <c r="O365" s="8"/>
    </row>
    <row r="366">
      <c r="A366" s="2" t="s">
        <v>394</v>
      </c>
      <c r="B366" s="26" t="s">
        <v>2171</v>
      </c>
      <c r="C366" s="26" t="s">
        <v>2172</v>
      </c>
      <c r="D366" s="8"/>
      <c r="L366" s="8"/>
      <c r="M366" s="8"/>
      <c r="N366" s="8"/>
      <c r="O366" s="8"/>
    </row>
    <row r="367">
      <c r="A367" s="2" t="s">
        <v>395</v>
      </c>
      <c r="B367" s="26" t="s">
        <v>2173</v>
      </c>
      <c r="C367" s="26" t="s">
        <v>2174</v>
      </c>
      <c r="D367" s="8"/>
      <c r="L367" s="8"/>
      <c r="M367" s="8"/>
      <c r="N367" s="8"/>
      <c r="O367" s="8"/>
    </row>
    <row r="368">
      <c r="A368" s="2" t="s">
        <v>396</v>
      </c>
      <c r="B368" s="26" t="s">
        <v>2175</v>
      </c>
      <c r="C368" s="26" t="s">
        <v>2176</v>
      </c>
      <c r="D368" s="8"/>
      <c r="L368" s="8"/>
      <c r="M368" s="8"/>
      <c r="N368" s="8"/>
      <c r="O368" s="8"/>
    </row>
    <row r="369">
      <c r="A369" s="2" t="s">
        <v>397</v>
      </c>
      <c r="B369" s="26" t="s">
        <v>2177</v>
      </c>
      <c r="C369" s="26" t="s">
        <v>2178</v>
      </c>
      <c r="D369" s="8"/>
      <c r="L369" s="8"/>
      <c r="M369" s="8"/>
      <c r="N369" s="8"/>
      <c r="O369" s="8"/>
    </row>
    <row r="370">
      <c r="A370" s="2" t="s">
        <v>398</v>
      </c>
      <c r="B370" s="26" t="s">
        <v>2179</v>
      </c>
      <c r="C370" s="26" t="s">
        <v>2180</v>
      </c>
      <c r="D370" s="8"/>
      <c r="L370" s="8"/>
      <c r="M370" s="8"/>
      <c r="N370" s="8"/>
      <c r="O370" s="8"/>
    </row>
    <row r="371">
      <c r="A371" s="2" t="s">
        <v>399</v>
      </c>
      <c r="B371" s="26" t="s">
        <v>2181</v>
      </c>
      <c r="C371" s="26" t="s">
        <v>2182</v>
      </c>
      <c r="D371" s="8"/>
      <c r="L371" s="8"/>
      <c r="M371" s="8"/>
      <c r="N371" s="8"/>
      <c r="O371" s="8"/>
    </row>
    <row r="372">
      <c r="A372" s="2" t="s">
        <v>400</v>
      </c>
      <c r="B372" s="26" t="s">
        <v>2183</v>
      </c>
      <c r="C372" s="26" t="s">
        <v>2184</v>
      </c>
      <c r="D372" s="8"/>
      <c r="L372" s="8"/>
      <c r="M372" s="8"/>
      <c r="N372" s="8"/>
      <c r="O372" s="8"/>
    </row>
    <row r="373">
      <c r="A373" s="2" t="s">
        <v>401</v>
      </c>
      <c r="B373" s="26" t="s">
        <v>2185</v>
      </c>
      <c r="C373" s="26" t="s">
        <v>2186</v>
      </c>
      <c r="D373" s="8"/>
      <c r="L373" s="8"/>
      <c r="M373" s="8"/>
      <c r="N373" s="8"/>
      <c r="O373" s="8"/>
    </row>
    <row r="374">
      <c r="A374" s="2" t="s">
        <v>402</v>
      </c>
      <c r="B374" s="26" t="s">
        <v>2187</v>
      </c>
      <c r="C374" s="26" t="s">
        <v>2188</v>
      </c>
      <c r="D374" s="8"/>
      <c r="L374" s="8"/>
      <c r="M374" s="8"/>
      <c r="N374" s="8"/>
      <c r="O374" s="8"/>
    </row>
    <row r="375">
      <c r="A375" s="2" t="s">
        <v>403</v>
      </c>
      <c r="B375" s="26" t="s">
        <v>2189</v>
      </c>
      <c r="C375" s="26" t="s">
        <v>2190</v>
      </c>
      <c r="D375" s="8"/>
      <c r="L375" s="8"/>
      <c r="M375" s="8"/>
      <c r="N375" s="8"/>
      <c r="O375" s="8"/>
    </row>
    <row r="376">
      <c r="A376" s="2" t="s">
        <v>404</v>
      </c>
      <c r="B376" s="26" t="s">
        <v>2191</v>
      </c>
      <c r="C376" s="26" t="s">
        <v>2192</v>
      </c>
      <c r="D376" s="8"/>
      <c r="L376" s="8"/>
      <c r="M376" s="8"/>
      <c r="N376" s="8"/>
      <c r="O376" s="8"/>
    </row>
    <row r="377">
      <c r="A377" s="2" t="s">
        <v>405</v>
      </c>
      <c r="B377" s="26" t="s">
        <v>2193</v>
      </c>
      <c r="C377" s="26" t="s">
        <v>2194</v>
      </c>
      <c r="D377" s="8"/>
      <c r="L377" s="8"/>
      <c r="M377" s="8"/>
      <c r="N377" s="8"/>
      <c r="O377" s="8"/>
    </row>
    <row r="378">
      <c r="A378" s="2" t="s">
        <v>406</v>
      </c>
      <c r="B378" s="26" t="s">
        <v>2195</v>
      </c>
      <c r="C378" s="26" t="s">
        <v>2196</v>
      </c>
      <c r="D378" s="8"/>
      <c r="L378" s="8"/>
      <c r="M378" s="8"/>
      <c r="N378" s="8"/>
      <c r="O378" s="8"/>
    </row>
    <row r="379">
      <c r="A379" s="2" t="s">
        <v>407</v>
      </c>
      <c r="B379" s="26" t="s">
        <v>2197</v>
      </c>
      <c r="C379" s="26" t="s">
        <v>2198</v>
      </c>
      <c r="D379" s="8"/>
      <c r="L379" s="8"/>
      <c r="M379" s="8"/>
      <c r="N379" s="8"/>
      <c r="O379" s="8"/>
    </row>
    <row r="380">
      <c r="A380" s="2" t="s">
        <v>408</v>
      </c>
      <c r="B380" s="26" t="s">
        <v>2199</v>
      </c>
      <c r="C380" s="26" t="s">
        <v>2200</v>
      </c>
      <c r="D380" s="8"/>
      <c r="L380" s="8"/>
      <c r="M380" s="8"/>
      <c r="N380" s="8"/>
      <c r="O380" s="8"/>
    </row>
    <row r="381">
      <c r="A381" s="2" t="s">
        <v>409</v>
      </c>
      <c r="B381" s="26" t="s">
        <v>2201</v>
      </c>
      <c r="C381" s="26" t="s">
        <v>2202</v>
      </c>
      <c r="D381" s="8"/>
      <c r="L381" s="8"/>
      <c r="M381" s="8"/>
      <c r="N381" s="8"/>
      <c r="O381" s="8"/>
    </row>
    <row r="382">
      <c r="A382" s="2" t="s">
        <v>410</v>
      </c>
      <c r="B382" s="26" t="s">
        <v>2203</v>
      </c>
      <c r="C382" s="26" t="s">
        <v>2204</v>
      </c>
      <c r="D382" s="8"/>
      <c r="L382" s="8"/>
      <c r="M382" s="8"/>
      <c r="N382" s="8"/>
      <c r="O382" s="8"/>
    </row>
    <row r="383">
      <c r="A383" s="2" t="s">
        <v>411</v>
      </c>
      <c r="B383" s="26" t="s">
        <v>2205</v>
      </c>
      <c r="C383" s="26" t="s">
        <v>2206</v>
      </c>
      <c r="D383" s="8"/>
      <c r="L383" s="8"/>
      <c r="M383" s="8"/>
      <c r="N383" s="8"/>
      <c r="O383" s="8"/>
    </row>
    <row r="384">
      <c r="A384" s="2" t="s">
        <v>412</v>
      </c>
      <c r="B384" s="26" t="s">
        <v>2207</v>
      </c>
      <c r="C384" s="26" t="s">
        <v>2208</v>
      </c>
      <c r="D384" s="8"/>
      <c r="L384" s="8"/>
      <c r="M384" s="8"/>
      <c r="N384" s="8"/>
      <c r="O384" s="8"/>
    </row>
    <row r="385">
      <c r="A385" s="2" t="s">
        <v>413</v>
      </c>
      <c r="B385" s="26" t="s">
        <v>2209</v>
      </c>
      <c r="C385" s="26" t="s">
        <v>2210</v>
      </c>
      <c r="D385" s="8"/>
      <c r="L385" s="8"/>
      <c r="M385" s="8"/>
      <c r="N385" s="8"/>
      <c r="O385" s="8"/>
    </row>
    <row r="386">
      <c r="A386" s="2" t="s">
        <v>414</v>
      </c>
      <c r="B386" s="26" t="s">
        <v>2211</v>
      </c>
      <c r="C386" s="26" t="s">
        <v>2212</v>
      </c>
      <c r="D386" s="8"/>
      <c r="L386" s="8"/>
      <c r="M386" s="8"/>
      <c r="N386" s="8"/>
      <c r="O386" s="8"/>
    </row>
    <row r="387">
      <c r="A387" s="2" t="s">
        <v>415</v>
      </c>
      <c r="B387" s="26" t="s">
        <v>2213</v>
      </c>
      <c r="C387" s="26" t="s">
        <v>2214</v>
      </c>
      <c r="D387" s="8"/>
      <c r="L387" s="8"/>
      <c r="M387" s="8"/>
      <c r="N387" s="8"/>
      <c r="O387" s="8"/>
    </row>
    <row r="388">
      <c r="A388" s="2" t="s">
        <v>416</v>
      </c>
      <c r="B388" s="26" t="s">
        <v>2215</v>
      </c>
      <c r="C388" s="26" t="s">
        <v>2216</v>
      </c>
      <c r="D388" s="8"/>
      <c r="L388" s="8"/>
      <c r="M388" s="8"/>
      <c r="N388" s="8"/>
      <c r="O388" s="8"/>
    </row>
    <row r="389">
      <c r="A389" s="2" t="s">
        <v>417</v>
      </c>
      <c r="B389" s="26" t="s">
        <v>2217</v>
      </c>
      <c r="C389" s="26" t="s">
        <v>2218</v>
      </c>
      <c r="D389" s="8"/>
      <c r="L389" s="8"/>
      <c r="M389" s="8"/>
      <c r="N389" s="8"/>
      <c r="O389" s="8"/>
    </row>
    <row r="390">
      <c r="A390" s="2" t="s">
        <v>418</v>
      </c>
      <c r="B390" s="26" t="s">
        <v>2219</v>
      </c>
      <c r="C390" s="26" t="s">
        <v>2220</v>
      </c>
      <c r="D390" s="8"/>
      <c r="L390" s="8"/>
      <c r="M390" s="8"/>
      <c r="N390" s="8"/>
      <c r="O390" s="8"/>
    </row>
    <row r="391">
      <c r="A391" s="2" t="s">
        <v>419</v>
      </c>
      <c r="B391" s="26" t="s">
        <v>2221</v>
      </c>
      <c r="C391" s="26" t="s">
        <v>2222</v>
      </c>
      <c r="D391" s="8"/>
      <c r="L391" s="8"/>
      <c r="M391" s="8"/>
      <c r="N391" s="8"/>
      <c r="O391" s="8"/>
    </row>
    <row r="392">
      <c r="A392" s="2" t="s">
        <v>420</v>
      </c>
      <c r="B392" s="26" t="s">
        <v>2223</v>
      </c>
      <c r="C392" s="26" t="s">
        <v>2224</v>
      </c>
      <c r="D392" s="8"/>
      <c r="L392" s="8"/>
      <c r="M392" s="8"/>
      <c r="N392" s="8"/>
      <c r="O392" s="8"/>
    </row>
    <row r="393">
      <c r="A393" s="2" t="s">
        <v>421</v>
      </c>
      <c r="B393" s="26" t="s">
        <v>2225</v>
      </c>
      <c r="C393" s="26" t="s">
        <v>2226</v>
      </c>
      <c r="D393" s="8"/>
      <c r="L393" s="8"/>
      <c r="M393" s="8"/>
      <c r="N393" s="8"/>
      <c r="O393" s="8"/>
    </row>
    <row r="394">
      <c r="A394" s="2" t="s">
        <v>422</v>
      </c>
      <c r="B394" s="26" t="s">
        <v>2227</v>
      </c>
      <c r="C394" s="26" t="s">
        <v>2228</v>
      </c>
      <c r="D394" s="8"/>
      <c r="L394" s="8"/>
      <c r="M394" s="8"/>
      <c r="N394" s="8"/>
      <c r="O394" s="8"/>
    </row>
    <row r="395">
      <c r="A395" s="2" t="s">
        <v>423</v>
      </c>
      <c r="B395" s="26" t="s">
        <v>2229</v>
      </c>
      <c r="C395" s="26" t="s">
        <v>2230</v>
      </c>
      <c r="D395" s="8"/>
      <c r="L395" s="8"/>
      <c r="M395" s="8"/>
      <c r="N395" s="8"/>
      <c r="O395" s="8"/>
    </row>
    <row r="396">
      <c r="A396" s="2" t="s">
        <v>424</v>
      </c>
      <c r="B396" s="26" t="s">
        <v>2231</v>
      </c>
      <c r="C396" s="26" t="s">
        <v>2232</v>
      </c>
      <c r="D396" s="8"/>
      <c r="L396" s="8"/>
      <c r="M396" s="8"/>
      <c r="N396" s="8"/>
      <c r="O396" s="8"/>
    </row>
    <row r="397">
      <c r="A397" s="2" t="s">
        <v>425</v>
      </c>
      <c r="B397" s="26" t="s">
        <v>2233</v>
      </c>
      <c r="C397" s="26" t="s">
        <v>2234</v>
      </c>
      <c r="D397" s="8"/>
      <c r="L397" s="8"/>
      <c r="M397" s="8"/>
      <c r="N397" s="8"/>
      <c r="O397" s="8"/>
    </row>
    <row r="398">
      <c r="A398" s="2" t="s">
        <v>426</v>
      </c>
      <c r="B398" s="26" t="s">
        <v>2235</v>
      </c>
      <c r="C398" s="26" t="s">
        <v>2236</v>
      </c>
      <c r="D398" s="8"/>
      <c r="L398" s="8"/>
      <c r="M398" s="8"/>
      <c r="N398" s="8"/>
      <c r="O398" s="8"/>
    </row>
    <row r="399">
      <c r="A399" s="2" t="s">
        <v>427</v>
      </c>
      <c r="B399" s="26" t="s">
        <v>2237</v>
      </c>
      <c r="C399" s="26" t="s">
        <v>2238</v>
      </c>
      <c r="D399" s="8"/>
      <c r="L399" s="8"/>
      <c r="M399" s="8"/>
      <c r="N399" s="8"/>
      <c r="O399" s="8"/>
    </row>
    <row r="400">
      <c r="A400" s="2" t="s">
        <v>428</v>
      </c>
      <c r="B400" s="26" t="s">
        <v>2239</v>
      </c>
      <c r="C400" s="26" t="s">
        <v>2240</v>
      </c>
      <c r="D400" s="8"/>
      <c r="L400" s="8"/>
      <c r="M400" s="8"/>
      <c r="N400" s="8"/>
      <c r="O400" s="8"/>
    </row>
    <row r="401">
      <c r="A401" s="2" t="s">
        <v>429</v>
      </c>
      <c r="B401" s="26" t="s">
        <v>2241</v>
      </c>
      <c r="C401" s="26" t="s">
        <v>2242</v>
      </c>
      <c r="D401" s="8"/>
      <c r="L401" s="8"/>
      <c r="M401" s="8"/>
      <c r="N401" s="8"/>
      <c r="O401" s="8"/>
    </row>
    <row r="402">
      <c r="A402" s="2" t="s">
        <v>430</v>
      </c>
      <c r="B402" s="26" t="s">
        <v>2243</v>
      </c>
      <c r="C402" s="26" t="s">
        <v>2244</v>
      </c>
      <c r="D402" s="8"/>
      <c r="L402" s="8"/>
      <c r="M402" s="8"/>
      <c r="N402" s="8"/>
      <c r="O402" s="8"/>
    </row>
    <row r="403">
      <c r="A403" s="2" t="s">
        <v>431</v>
      </c>
      <c r="B403" s="26" t="s">
        <v>2245</v>
      </c>
      <c r="C403" s="26" t="s">
        <v>2246</v>
      </c>
      <c r="D403" s="8"/>
      <c r="L403" s="8"/>
      <c r="M403" s="8"/>
      <c r="N403" s="8"/>
      <c r="O403" s="8"/>
    </row>
    <row r="404">
      <c r="A404" s="2" t="s">
        <v>432</v>
      </c>
      <c r="B404" s="26" t="s">
        <v>2247</v>
      </c>
      <c r="C404" s="26" t="s">
        <v>2248</v>
      </c>
      <c r="D404" s="8"/>
      <c r="L404" s="8"/>
      <c r="M404" s="8"/>
      <c r="N404" s="8"/>
      <c r="O404" s="8"/>
    </row>
    <row r="405">
      <c r="A405" s="2" t="s">
        <v>433</v>
      </c>
      <c r="B405" s="26" t="s">
        <v>2249</v>
      </c>
      <c r="C405" s="26" t="s">
        <v>2250</v>
      </c>
      <c r="D405" s="8"/>
      <c r="L405" s="8"/>
      <c r="M405" s="8"/>
      <c r="N405" s="8"/>
      <c r="O405" s="8"/>
    </row>
    <row r="406">
      <c r="A406" s="2" t="s">
        <v>434</v>
      </c>
      <c r="B406" s="26" t="s">
        <v>2251</v>
      </c>
      <c r="C406" s="26" t="s">
        <v>2252</v>
      </c>
      <c r="D406" s="8"/>
      <c r="L406" s="8"/>
      <c r="M406" s="8"/>
      <c r="N406" s="8"/>
      <c r="O406" s="8"/>
    </row>
    <row r="407">
      <c r="A407" s="2" t="s">
        <v>435</v>
      </c>
      <c r="B407" s="26" t="s">
        <v>2253</v>
      </c>
      <c r="C407" s="26" t="s">
        <v>2254</v>
      </c>
      <c r="D407" s="8"/>
      <c r="L407" s="8"/>
      <c r="M407" s="8"/>
      <c r="N407" s="8"/>
      <c r="O407" s="8"/>
    </row>
    <row r="408">
      <c r="A408" s="2" t="s">
        <v>436</v>
      </c>
      <c r="B408" s="26" t="s">
        <v>2255</v>
      </c>
      <c r="C408" s="26" t="s">
        <v>2256</v>
      </c>
      <c r="D408" s="8"/>
      <c r="L408" s="8"/>
      <c r="M408" s="8"/>
      <c r="N408" s="8"/>
      <c r="O408" s="8"/>
    </row>
    <row r="409">
      <c r="A409" s="2" t="s">
        <v>437</v>
      </c>
      <c r="B409" s="26" t="s">
        <v>2257</v>
      </c>
      <c r="C409" s="26" t="s">
        <v>2258</v>
      </c>
      <c r="D409" s="8"/>
      <c r="L409" s="8"/>
      <c r="M409" s="8"/>
      <c r="N409" s="8"/>
      <c r="O409" s="8"/>
    </row>
    <row r="410">
      <c r="A410" s="2" t="s">
        <v>438</v>
      </c>
      <c r="B410" s="26" t="s">
        <v>2259</v>
      </c>
      <c r="C410" s="26" t="s">
        <v>2260</v>
      </c>
      <c r="D410" s="8"/>
      <c r="L410" s="8"/>
      <c r="M410" s="8"/>
      <c r="N410" s="8"/>
      <c r="O410" s="8"/>
    </row>
    <row r="411">
      <c r="A411" s="2" t="s">
        <v>439</v>
      </c>
      <c r="B411" s="26" t="s">
        <v>2261</v>
      </c>
      <c r="C411" s="26" t="s">
        <v>2262</v>
      </c>
      <c r="D411" s="8"/>
      <c r="L411" s="8"/>
      <c r="M411" s="8"/>
      <c r="N411" s="8"/>
      <c r="O411" s="8"/>
    </row>
    <row r="412">
      <c r="A412" s="2" t="s">
        <v>440</v>
      </c>
      <c r="B412" s="26" t="s">
        <v>2263</v>
      </c>
      <c r="C412" s="26" t="s">
        <v>2264</v>
      </c>
      <c r="D412" s="8"/>
      <c r="L412" s="8"/>
      <c r="M412" s="8"/>
      <c r="N412" s="8"/>
      <c r="O412" s="8"/>
    </row>
    <row r="413">
      <c r="A413" s="2" t="s">
        <v>441</v>
      </c>
      <c r="B413" s="26" t="s">
        <v>2265</v>
      </c>
      <c r="C413" s="26" t="s">
        <v>2266</v>
      </c>
      <c r="D413" s="8"/>
      <c r="L413" s="8"/>
      <c r="M413" s="8"/>
      <c r="N413" s="8"/>
      <c r="O413" s="8"/>
    </row>
    <row r="414">
      <c r="A414" s="2" t="s">
        <v>442</v>
      </c>
      <c r="B414" s="26" t="s">
        <v>2267</v>
      </c>
      <c r="C414" s="26" t="s">
        <v>2268</v>
      </c>
      <c r="D414" s="8"/>
      <c r="L414" s="8"/>
      <c r="M414" s="8"/>
      <c r="N414" s="8"/>
      <c r="O414" s="8"/>
    </row>
    <row r="415">
      <c r="A415" s="2" t="s">
        <v>443</v>
      </c>
      <c r="B415" s="26" t="s">
        <v>2269</v>
      </c>
      <c r="C415" s="26" t="s">
        <v>2270</v>
      </c>
      <c r="D415" s="8"/>
      <c r="L415" s="8"/>
      <c r="M415" s="8"/>
      <c r="N415" s="8"/>
      <c r="O415" s="8"/>
    </row>
    <row r="416">
      <c r="A416" s="2" t="s">
        <v>444</v>
      </c>
      <c r="B416" s="26" t="s">
        <v>2271</v>
      </c>
      <c r="C416" s="26" t="s">
        <v>2272</v>
      </c>
      <c r="D416" s="8"/>
      <c r="L416" s="8"/>
      <c r="M416" s="8"/>
      <c r="N416" s="8"/>
      <c r="O416" s="8"/>
    </row>
    <row r="417">
      <c r="A417" s="2" t="s">
        <v>445</v>
      </c>
      <c r="B417" s="26" t="s">
        <v>2273</v>
      </c>
      <c r="C417" s="26" t="s">
        <v>2274</v>
      </c>
      <c r="D417" s="8"/>
      <c r="L417" s="8"/>
      <c r="M417" s="8"/>
      <c r="N417" s="8"/>
      <c r="O417" s="8"/>
    </row>
    <row r="418">
      <c r="A418" s="2" t="s">
        <v>446</v>
      </c>
      <c r="B418" s="26" t="s">
        <v>2275</v>
      </c>
      <c r="C418" s="26" t="s">
        <v>2276</v>
      </c>
      <c r="D418" s="8"/>
      <c r="L418" s="8"/>
      <c r="M418" s="8"/>
      <c r="N418" s="8"/>
      <c r="O418" s="8"/>
    </row>
    <row r="419">
      <c r="A419" s="2" t="s">
        <v>447</v>
      </c>
      <c r="B419" s="26" t="s">
        <v>2277</v>
      </c>
      <c r="C419" s="26" t="s">
        <v>2278</v>
      </c>
      <c r="D419" s="8"/>
      <c r="L419" s="8"/>
      <c r="M419" s="8"/>
      <c r="N419" s="8"/>
      <c r="O419" s="8"/>
    </row>
    <row r="420">
      <c r="A420" s="2" t="s">
        <v>448</v>
      </c>
      <c r="B420" s="26" t="s">
        <v>2279</v>
      </c>
      <c r="C420" s="26" t="s">
        <v>2280</v>
      </c>
      <c r="D420" s="8"/>
      <c r="L420" s="8"/>
      <c r="M420" s="8"/>
      <c r="N420" s="8"/>
      <c r="O420" s="8"/>
    </row>
    <row r="421">
      <c r="A421" s="2" t="s">
        <v>449</v>
      </c>
      <c r="B421" s="26" t="s">
        <v>2281</v>
      </c>
      <c r="C421" s="26" t="s">
        <v>2282</v>
      </c>
      <c r="D421" s="8"/>
      <c r="L421" s="8"/>
      <c r="M421" s="8"/>
      <c r="N421" s="8"/>
      <c r="O421" s="8"/>
    </row>
    <row r="422">
      <c r="A422" s="2" t="s">
        <v>450</v>
      </c>
      <c r="B422" s="26" t="s">
        <v>2283</v>
      </c>
      <c r="C422" s="26" t="s">
        <v>2284</v>
      </c>
      <c r="D422" s="8"/>
      <c r="L422" s="8"/>
      <c r="M422" s="8"/>
      <c r="N422" s="8"/>
      <c r="O422" s="8"/>
    </row>
    <row r="423">
      <c r="A423" s="2" t="s">
        <v>451</v>
      </c>
      <c r="B423" s="26" t="s">
        <v>2285</v>
      </c>
      <c r="C423" s="26" t="s">
        <v>2286</v>
      </c>
      <c r="D423" s="8"/>
      <c r="L423" s="8"/>
      <c r="M423" s="8"/>
      <c r="N423" s="8"/>
      <c r="O423" s="8"/>
    </row>
    <row r="424">
      <c r="A424" s="2" t="s">
        <v>452</v>
      </c>
      <c r="B424" s="26" t="s">
        <v>2287</v>
      </c>
      <c r="C424" s="26" t="s">
        <v>2288</v>
      </c>
      <c r="D424" s="8"/>
      <c r="L424" s="8"/>
      <c r="M424" s="8"/>
      <c r="N424" s="8"/>
      <c r="O424" s="8"/>
    </row>
    <row r="425">
      <c r="A425" s="2" t="s">
        <v>453</v>
      </c>
      <c r="B425" s="26" t="s">
        <v>2289</v>
      </c>
      <c r="C425" s="26" t="s">
        <v>2290</v>
      </c>
      <c r="D425" s="8"/>
      <c r="L425" s="8"/>
      <c r="M425" s="8"/>
      <c r="N425" s="8"/>
      <c r="O425" s="8"/>
    </row>
    <row r="426">
      <c r="A426" s="2" t="s">
        <v>454</v>
      </c>
      <c r="B426" s="26" t="s">
        <v>2291</v>
      </c>
      <c r="C426" s="26" t="s">
        <v>2292</v>
      </c>
      <c r="D426" s="8"/>
      <c r="L426" s="8"/>
      <c r="M426" s="8"/>
      <c r="N426" s="8"/>
      <c r="O426" s="8"/>
    </row>
    <row r="427">
      <c r="A427" s="2" t="s">
        <v>455</v>
      </c>
      <c r="B427" s="26" t="s">
        <v>2293</v>
      </c>
      <c r="C427" s="26" t="s">
        <v>2294</v>
      </c>
      <c r="D427" s="8"/>
      <c r="L427" s="8"/>
      <c r="M427" s="8"/>
      <c r="N427" s="8"/>
      <c r="O427" s="8"/>
    </row>
    <row r="428">
      <c r="A428" s="2" t="s">
        <v>456</v>
      </c>
      <c r="B428" s="26" t="s">
        <v>2295</v>
      </c>
      <c r="C428" s="26" t="s">
        <v>2296</v>
      </c>
      <c r="D428" s="8"/>
      <c r="L428" s="8"/>
      <c r="M428" s="8"/>
      <c r="N428" s="8"/>
      <c r="O428" s="8"/>
    </row>
    <row r="429">
      <c r="A429" s="2" t="s">
        <v>457</v>
      </c>
      <c r="B429" s="26" t="s">
        <v>2297</v>
      </c>
      <c r="C429" s="26" t="s">
        <v>2298</v>
      </c>
      <c r="D429" s="8"/>
      <c r="L429" s="8"/>
      <c r="M429" s="8"/>
      <c r="N429" s="8"/>
      <c r="O429" s="8"/>
    </row>
    <row r="430">
      <c r="A430" s="2" t="s">
        <v>458</v>
      </c>
      <c r="B430" s="26" t="s">
        <v>2299</v>
      </c>
      <c r="C430" s="26" t="s">
        <v>2300</v>
      </c>
      <c r="D430" s="8"/>
      <c r="L430" s="8"/>
      <c r="M430" s="8"/>
      <c r="N430" s="8"/>
      <c r="O430" s="8"/>
    </row>
    <row r="431">
      <c r="A431" s="2" t="s">
        <v>459</v>
      </c>
      <c r="B431" s="26" t="s">
        <v>2301</v>
      </c>
      <c r="C431" s="26" t="s">
        <v>2302</v>
      </c>
      <c r="D431" s="8"/>
      <c r="L431" s="8"/>
      <c r="M431" s="8"/>
      <c r="N431" s="8"/>
      <c r="O431" s="8"/>
    </row>
    <row r="432">
      <c r="A432" s="2" t="s">
        <v>460</v>
      </c>
      <c r="B432" s="26" t="s">
        <v>2303</v>
      </c>
      <c r="C432" s="26" t="s">
        <v>2304</v>
      </c>
      <c r="D432" s="8"/>
      <c r="L432" s="8"/>
      <c r="M432" s="8"/>
      <c r="N432" s="8"/>
      <c r="O432" s="8"/>
    </row>
    <row r="433">
      <c r="A433" s="2" t="s">
        <v>461</v>
      </c>
      <c r="B433" s="26" t="s">
        <v>2305</v>
      </c>
      <c r="C433" s="26" t="s">
        <v>2306</v>
      </c>
      <c r="D433" s="8"/>
      <c r="L433" s="8"/>
      <c r="M433" s="8"/>
      <c r="N433" s="8"/>
      <c r="O433" s="8"/>
    </row>
    <row r="434">
      <c r="A434" s="2" t="s">
        <v>462</v>
      </c>
      <c r="B434" s="26" t="s">
        <v>2307</v>
      </c>
      <c r="C434" s="26" t="s">
        <v>2308</v>
      </c>
      <c r="D434" s="8"/>
      <c r="L434" s="8"/>
      <c r="M434" s="8"/>
      <c r="N434" s="8"/>
      <c r="O434" s="8"/>
    </row>
    <row r="435">
      <c r="A435" s="2" t="s">
        <v>463</v>
      </c>
      <c r="B435" s="26" t="s">
        <v>2309</v>
      </c>
      <c r="C435" s="26" t="s">
        <v>2310</v>
      </c>
      <c r="D435" s="8"/>
      <c r="L435" s="8"/>
      <c r="M435" s="8"/>
      <c r="N435" s="8"/>
      <c r="O435" s="8"/>
    </row>
    <row r="436">
      <c r="A436" s="2" t="s">
        <v>464</v>
      </c>
      <c r="B436" s="26" t="s">
        <v>2311</v>
      </c>
      <c r="C436" s="26" t="s">
        <v>2312</v>
      </c>
      <c r="D436" s="8"/>
      <c r="L436" s="8"/>
      <c r="M436" s="8"/>
      <c r="N436" s="8"/>
      <c r="O436" s="8"/>
    </row>
    <row r="437">
      <c r="A437" s="2" t="s">
        <v>465</v>
      </c>
      <c r="B437" s="26" t="s">
        <v>2313</v>
      </c>
      <c r="C437" s="26" t="s">
        <v>2314</v>
      </c>
      <c r="D437" s="8"/>
      <c r="L437" s="8"/>
      <c r="M437" s="8"/>
      <c r="N437" s="8"/>
      <c r="O437" s="8"/>
    </row>
    <row r="438">
      <c r="A438" s="2" t="s">
        <v>466</v>
      </c>
      <c r="B438" s="26" t="s">
        <v>2315</v>
      </c>
      <c r="C438" s="26" t="s">
        <v>2316</v>
      </c>
      <c r="D438" s="8"/>
      <c r="L438" s="8"/>
      <c r="M438" s="8"/>
      <c r="N438" s="8"/>
      <c r="O438" s="8"/>
    </row>
    <row r="439">
      <c r="A439" s="2" t="s">
        <v>467</v>
      </c>
      <c r="B439" s="26" t="s">
        <v>2317</v>
      </c>
      <c r="C439" s="26" t="s">
        <v>2318</v>
      </c>
      <c r="D439" s="8"/>
      <c r="L439" s="8"/>
      <c r="M439" s="8"/>
      <c r="N439" s="8"/>
      <c r="O439" s="8"/>
    </row>
    <row r="440">
      <c r="A440" s="2" t="s">
        <v>468</v>
      </c>
      <c r="B440" s="26" t="s">
        <v>2319</v>
      </c>
      <c r="C440" s="26" t="s">
        <v>2320</v>
      </c>
      <c r="D440" s="8"/>
      <c r="L440" s="8"/>
      <c r="M440" s="8"/>
      <c r="N440" s="8"/>
      <c r="O440" s="8"/>
    </row>
    <row r="441">
      <c r="A441" s="2" t="s">
        <v>469</v>
      </c>
      <c r="B441" s="26" t="s">
        <v>2321</v>
      </c>
      <c r="C441" s="26" t="s">
        <v>2322</v>
      </c>
      <c r="D441" s="8"/>
      <c r="L441" s="8"/>
      <c r="M441" s="8"/>
      <c r="N441" s="8"/>
      <c r="O441" s="8"/>
    </row>
    <row r="442">
      <c r="A442" s="2" t="s">
        <v>470</v>
      </c>
      <c r="B442" s="26" t="s">
        <v>2323</v>
      </c>
      <c r="C442" s="26" t="s">
        <v>2324</v>
      </c>
      <c r="D442" s="8"/>
      <c r="L442" s="8"/>
      <c r="M442" s="8"/>
      <c r="N442" s="8"/>
      <c r="O442" s="8"/>
    </row>
    <row r="443">
      <c r="A443" s="2" t="s">
        <v>471</v>
      </c>
      <c r="B443" s="26" t="s">
        <v>2325</v>
      </c>
      <c r="C443" s="26" t="s">
        <v>2326</v>
      </c>
      <c r="D443" s="8"/>
      <c r="L443" s="8"/>
      <c r="M443" s="8"/>
      <c r="N443" s="8"/>
      <c r="O443" s="8"/>
    </row>
    <row r="444">
      <c r="A444" s="2" t="s">
        <v>472</v>
      </c>
      <c r="B444" s="26" t="s">
        <v>2327</v>
      </c>
      <c r="C444" s="26" t="s">
        <v>2328</v>
      </c>
      <c r="D444" s="8"/>
      <c r="L444" s="8"/>
      <c r="M444" s="8"/>
      <c r="N444" s="8"/>
      <c r="O444" s="8"/>
    </row>
    <row r="445">
      <c r="A445" s="2" t="s">
        <v>473</v>
      </c>
      <c r="B445" s="26" t="s">
        <v>2329</v>
      </c>
      <c r="C445" s="26" t="s">
        <v>2330</v>
      </c>
      <c r="D445" s="8"/>
      <c r="L445" s="8"/>
      <c r="M445" s="8"/>
      <c r="N445" s="8"/>
      <c r="O445" s="8"/>
    </row>
    <row r="446">
      <c r="A446" s="2" t="s">
        <v>474</v>
      </c>
      <c r="B446" s="26" t="s">
        <v>2331</v>
      </c>
      <c r="C446" s="26" t="s">
        <v>2332</v>
      </c>
      <c r="D446" s="8"/>
      <c r="L446" s="8"/>
      <c r="M446" s="8"/>
      <c r="N446" s="8"/>
      <c r="O446" s="8"/>
    </row>
    <row r="447">
      <c r="A447" s="2" t="s">
        <v>475</v>
      </c>
      <c r="B447" s="26" t="s">
        <v>2333</v>
      </c>
      <c r="C447" s="26" t="s">
        <v>2334</v>
      </c>
      <c r="D447" s="8"/>
      <c r="L447" s="8"/>
      <c r="M447" s="8"/>
      <c r="N447" s="8"/>
      <c r="O447" s="8"/>
    </row>
    <row r="448">
      <c r="A448" s="2" t="s">
        <v>476</v>
      </c>
      <c r="B448" s="26" t="s">
        <v>2335</v>
      </c>
      <c r="C448" s="26" t="s">
        <v>2336</v>
      </c>
      <c r="D448" s="8"/>
      <c r="L448" s="8"/>
      <c r="M448" s="8"/>
      <c r="N448" s="8"/>
      <c r="O448" s="8"/>
    </row>
    <row r="449">
      <c r="A449" s="2" t="s">
        <v>477</v>
      </c>
      <c r="B449" s="26" t="s">
        <v>2337</v>
      </c>
      <c r="C449" s="26" t="s">
        <v>2338</v>
      </c>
      <c r="D449" s="8"/>
      <c r="L449" s="8"/>
      <c r="M449" s="8"/>
      <c r="N449" s="8"/>
      <c r="O449" s="8"/>
    </row>
    <row r="450">
      <c r="A450" s="2" t="s">
        <v>478</v>
      </c>
      <c r="B450" s="26" t="s">
        <v>2339</v>
      </c>
      <c r="C450" s="26" t="s">
        <v>2340</v>
      </c>
      <c r="D450" s="8"/>
      <c r="L450" s="8"/>
      <c r="M450" s="8"/>
      <c r="N450" s="8"/>
      <c r="O450" s="8"/>
    </row>
    <row r="451">
      <c r="A451" s="2" t="s">
        <v>479</v>
      </c>
      <c r="B451" s="26" t="s">
        <v>2341</v>
      </c>
      <c r="C451" s="26" t="s">
        <v>2342</v>
      </c>
      <c r="D451" s="8"/>
      <c r="L451" s="8"/>
      <c r="M451" s="8"/>
      <c r="N451" s="8"/>
      <c r="O451" s="8"/>
    </row>
    <row r="452">
      <c r="A452" s="2" t="s">
        <v>480</v>
      </c>
      <c r="B452" s="26" t="s">
        <v>2343</v>
      </c>
      <c r="C452" s="26" t="s">
        <v>2344</v>
      </c>
      <c r="D452" s="8"/>
      <c r="L452" s="8"/>
      <c r="M452" s="8"/>
      <c r="N452" s="8"/>
      <c r="O452" s="8"/>
    </row>
    <row r="453">
      <c r="A453" s="2" t="s">
        <v>481</v>
      </c>
      <c r="B453" s="26" t="s">
        <v>2345</v>
      </c>
      <c r="C453" s="26" t="s">
        <v>2346</v>
      </c>
      <c r="D453" s="8"/>
      <c r="L453" s="8"/>
      <c r="M453" s="8"/>
      <c r="N453" s="8"/>
      <c r="O453" s="8"/>
    </row>
    <row r="454">
      <c r="A454" s="2" t="s">
        <v>482</v>
      </c>
      <c r="B454" s="26" t="s">
        <v>2347</v>
      </c>
      <c r="C454" s="26" t="s">
        <v>2348</v>
      </c>
      <c r="D454" s="8"/>
      <c r="L454" s="8"/>
      <c r="M454" s="8"/>
      <c r="N454" s="8"/>
      <c r="O454" s="8"/>
    </row>
    <row r="455">
      <c r="A455" s="2" t="s">
        <v>483</v>
      </c>
      <c r="B455" s="26" t="s">
        <v>2349</v>
      </c>
      <c r="C455" s="26" t="s">
        <v>2350</v>
      </c>
      <c r="D455" s="8"/>
      <c r="L455" s="8"/>
      <c r="M455" s="8"/>
      <c r="N455" s="8"/>
      <c r="O455" s="8"/>
    </row>
    <row r="456">
      <c r="A456" s="2" t="s">
        <v>484</v>
      </c>
      <c r="B456" s="26" t="s">
        <v>2351</v>
      </c>
      <c r="C456" s="26" t="s">
        <v>2352</v>
      </c>
      <c r="D456" s="8"/>
      <c r="L456" s="8"/>
      <c r="M456" s="8"/>
      <c r="N456" s="8"/>
      <c r="O456" s="8"/>
    </row>
    <row r="457">
      <c r="A457" s="2" t="s">
        <v>485</v>
      </c>
      <c r="B457" s="26" t="s">
        <v>2353</v>
      </c>
      <c r="C457" s="26" t="s">
        <v>2354</v>
      </c>
      <c r="D457" s="8"/>
      <c r="L457" s="8"/>
      <c r="M457" s="8"/>
      <c r="N457" s="8"/>
      <c r="O457" s="8"/>
    </row>
    <row r="458">
      <c r="A458" s="2" t="s">
        <v>486</v>
      </c>
      <c r="B458" s="26" t="s">
        <v>2355</v>
      </c>
      <c r="C458" s="26" t="s">
        <v>2356</v>
      </c>
      <c r="D458" s="8"/>
      <c r="L458" s="8"/>
      <c r="M458" s="8"/>
      <c r="N458" s="8"/>
      <c r="O458" s="8"/>
    </row>
    <row r="459">
      <c r="A459" s="2" t="s">
        <v>487</v>
      </c>
      <c r="B459" s="26" t="s">
        <v>2357</v>
      </c>
      <c r="C459" s="26" t="s">
        <v>2358</v>
      </c>
      <c r="D459" s="8"/>
      <c r="L459" s="8"/>
      <c r="M459" s="8"/>
      <c r="N459" s="8"/>
      <c r="O459" s="8"/>
    </row>
    <row r="460">
      <c r="A460" s="2" t="s">
        <v>488</v>
      </c>
      <c r="B460" s="26" t="s">
        <v>2359</v>
      </c>
      <c r="C460" s="26" t="s">
        <v>2360</v>
      </c>
      <c r="D460" s="8"/>
      <c r="L460" s="8"/>
      <c r="M460" s="8"/>
      <c r="N460" s="8"/>
      <c r="O460" s="8"/>
    </row>
    <row r="461">
      <c r="A461" s="2" t="s">
        <v>489</v>
      </c>
      <c r="B461" s="26" t="s">
        <v>2361</v>
      </c>
      <c r="C461" s="26" t="s">
        <v>2362</v>
      </c>
      <c r="D461" s="8"/>
      <c r="L461" s="8"/>
      <c r="M461" s="8"/>
      <c r="N461" s="8"/>
      <c r="O461" s="8"/>
    </row>
    <row r="462">
      <c r="A462" s="2" t="s">
        <v>490</v>
      </c>
      <c r="B462" s="26" t="s">
        <v>2363</v>
      </c>
      <c r="C462" s="26" t="s">
        <v>2364</v>
      </c>
      <c r="D462" s="8"/>
      <c r="L462" s="8"/>
      <c r="M462" s="8"/>
      <c r="N462" s="8"/>
      <c r="O462" s="8"/>
    </row>
    <row r="463">
      <c r="A463" s="2" t="s">
        <v>491</v>
      </c>
      <c r="B463" s="26" t="s">
        <v>2365</v>
      </c>
      <c r="C463" s="26" t="s">
        <v>2366</v>
      </c>
      <c r="D463" s="8"/>
      <c r="L463" s="8"/>
      <c r="M463" s="8"/>
      <c r="N463" s="8"/>
      <c r="O463" s="8"/>
    </row>
    <row r="464">
      <c r="A464" s="2" t="s">
        <v>492</v>
      </c>
      <c r="B464" s="26" t="s">
        <v>2367</v>
      </c>
      <c r="C464" s="26" t="s">
        <v>2368</v>
      </c>
      <c r="D464" s="8"/>
      <c r="L464" s="8"/>
      <c r="M464" s="8"/>
      <c r="N464" s="8"/>
      <c r="O464" s="8"/>
    </row>
    <row r="465">
      <c r="A465" s="2" t="s">
        <v>493</v>
      </c>
      <c r="B465" s="26" t="s">
        <v>2369</v>
      </c>
      <c r="C465" s="26" t="s">
        <v>2370</v>
      </c>
      <c r="D465" s="8"/>
      <c r="L465" s="8"/>
      <c r="M465" s="8"/>
      <c r="N465" s="8"/>
      <c r="O465" s="8"/>
    </row>
    <row r="466">
      <c r="A466" s="2" t="s">
        <v>494</v>
      </c>
      <c r="B466" s="26" t="s">
        <v>2371</v>
      </c>
      <c r="C466" s="26" t="s">
        <v>2372</v>
      </c>
      <c r="D466" s="8"/>
      <c r="L466" s="8"/>
      <c r="M466" s="8"/>
      <c r="N466" s="8"/>
      <c r="O466" s="8"/>
    </row>
    <row r="467">
      <c r="A467" s="2" t="s">
        <v>495</v>
      </c>
      <c r="B467" s="26" t="s">
        <v>2373</v>
      </c>
      <c r="C467" s="26" t="s">
        <v>2374</v>
      </c>
      <c r="D467" s="8"/>
      <c r="L467" s="8"/>
      <c r="M467" s="8"/>
      <c r="N467" s="8"/>
      <c r="O467" s="8"/>
    </row>
    <row r="468">
      <c r="A468" s="2" t="s">
        <v>496</v>
      </c>
      <c r="B468" s="26" t="s">
        <v>2375</v>
      </c>
      <c r="C468" s="26" t="s">
        <v>2376</v>
      </c>
      <c r="D468" s="8"/>
      <c r="L468" s="8"/>
      <c r="M468" s="8"/>
      <c r="N468" s="8"/>
      <c r="O468" s="8"/>
    </row>
    <row r="469">
      <c r="A469" s="2" t="s">
        <v>497</v>
      </c>
      <c r="B469" s="26" t="s">
        <v>2377</v>
      </c>
      <c r="C469" s="26" t="s">
        <v>2378</v>
      </c>
      <c r="D469" s="8"/>
      <c r="L469" s="8"/>
      <c r="M469" s="8"/>
      <c r="N469" s="8"/>
      <c r="O469" s="8"/>
    </row>
    <row r="470">
      <c r="A470" s="2" t="s">
        <v>498</v>
      </c>
      <c r="B470" s="26" t="s">
        <v>2379</v>
      </c>
      <c r="C470" s="26" t="s">
        <v>2380</v>
      </c>
      <c r="D470" s="8"/>
      <c r="L470" s="8"/>
      <c r="M470" s="8"/>
      <c r="N470" s="8"/>
      <c r="O470" s="8"/>
    </row>
    <row r="471">
      <c r="A471" s="2" t="s">
        <v>499</v>
      </c>
      <c r="B471" s="26" t="s">
        <v>2381</v>
      </c>
      <c r="C471" s="26" t="s">
        <v>2382</v>
      </c>
      <c r="D471" s="8"/>
      <c r="L471" s="8"/>
      <c r="M471" s="8"/>
      <c r="N471" s="8"/>
      <c r="O471" s="8"/>
    </row>
    <row r="472">
      <c r="A472" s="2" t="s">
        <v>500</v>
      </c>
      <c r="B472" s="26" t="s">
        <v>2383</v>
      </c>
      <c r="C472" s="26" t="s">
        <v>2384</v>
      </c>
      <c r="D472" s="8"/>
      <c r="L472" s="8"/>
      <c r="M472" s="8"/>
      <c r="N472" s="8"/>
      <c r="O472" s="8"/>
    </row>
    <row r="473">
      <c r="A473" s="2" t="s">
        <v>501</v>
      </c>
      <c r="B473" s="26" t="s">
        <v>2385</v>
      </c>
      <c r="C473" s="26" t="s">
        <v>2386</v>
      </c>
      <c r="D473" s="8"/>
      <c r="L473" s="8"/>
      <c r="M473" s="8"/>
      <c r="N473" s="8"/>
      <c r="O473" s="8"/>
    </row>
    <row r="474">
      <c r="A474" s="2" t="s">
        <v>502</v>
      </c>
      <c r="B474" s="26" t="s">
        <v>2387</v>
      </c>
      <c r="C474" s="26" t="s">
        <v>2388</v>
      </c>
      <c r="D474" s="8"/>
      <c r="L474" s="8"/>
      <c r="M474" s="8"/>
      <c r="N474" s="8"/>
      <c r="O474" s="8"/>
    </row>
    <row r="475">
      <c r="A475" s="2" t="s">
        <v>503</v>
      </c>
      <c r="B475" s="26" t="s">
        <v>2389</v>
      </c>
      <c r="C475" s="26" t="s">
        <v>2390</v>
      </c>
      <c r="D475" s="8"/>
      <c r="L475" s="8"/>
      <c r="M475" s="8"/>
      <c r="N475" s="8"/>
      <c r="O475" s="8"/>
    </row>
    <row r="476">
      <c r="A476" s="2" t="s">
        <v>504</v>
      </c>
      <c r="B476" s="26" t="s">
        <v>2391</v>
      </c>
      <c r="C476" s="26" t="s">
        <v>2392</v>
      </c>
      <c r="D476" s="8"/>
      <c r="L476" s="8"/>
      <c r="M476" s="8"/>
      <c r="N476" s="8"/>
      <c r="O476" s="8"/>
    </row>
    <row r="477">
      <c r="A477" s="2" t="s">
        <v>505</v>
      </c>
      <c r="B477" s="26" t="s">
        <v>2393</v>
      </c>
      <c r="C477" s="26" t="s">
        <v>2394</v>
      </c>
      <c r="D477" s="8"/>
      <c r="L477" s="8"/>
      <c r="M477" s="8"/>
      <c r="N477" s="8"/>
      <c r="O477" s="8"/>
    </row>
    <row r="478">
      <c r="A478" s="2" t="s">
        <v>506</v>
      </c>
      <c r="B478" s="26" t="s">
        <v>2395</v>
      </c>
      <c r="C478" s="26" t="s">
        <v>2396</v>
      </c>
      <c r="D478" s="8"/>
      <c r="L478" s="8"/>
      <c r="M478" s="8"/>
      <c r="N478" s="8"/>
      <c r="O478" s="8"/>
    </row>
    <row r="479">
      <c r="A479" s="2" t="s">
        <v>507</v>
      </c>
      <c r="B479" s="26" t="s">
        <v>2397</v>
      </c>
      <c r="C479" s="26" t="s">
        <v>2398</v>
      </c>
      <c r="D479" s="8"/>
      <c r="L479" s="8"/>
      <c r="M479" s="8"/>
      <c r="N479" s="8"/>
      <c r="O479" s="8"/>
    </row>
    <row r="480">
      <c r="A480" s="2" t="s">
        <v>508</v>
      </c>
      <c r="B480" s="26" t="s">
        <v>2399</v>
      </c>
      <c r="C480" s="26" t="s">
        <v>2400</v>
      </c>
      <c r="D480" s="8"/>
      <c r="L480" s="8"/>
      <c r="M480" s="8"/>
      <c r="N480" s="8"/>
      <c r="O480" s="8"/>
    </row>
    <row r="481">
      <c r="A481" s="2" t="s">
        <v>509</v>
      </c>
      <c r="B481" s="26" t="s">
        <v>2401</v>
      </c>
      <c r="C481" s="26" t="s">
        <v>2402</v>
      </c>
      <c r="D481" s="8"/>
      <c r="L481" s="8"/>
      <c r="M481" s="8"/>
      <c r="N481" s="8"/>
      <c r="O481" s="8"/>
    </row>
    <row r="482">
      <c r="A482" s="2" t="s">
        <v>510</v>
      </c>
      <c r="B482" s="26" t="s">
        <v>2403</v>
      </c>
      <c r="C482" s="26" t="s">
        <v>2404</v>
      </c>
      <c r="D482" s="8"/>
      <c r="L482" s="8"/>
      <c r="M482" s="8"/>
      <c r="N482" s="8"/>
      <c r="O482" s="8"/>
    </row>
    <row r="483">
      <c r="A483" s="2" t="s">
        <v>511</v>
      </c>
      <c r="B483" s="26" t="s">
        <v>2405</v>
      </c>
      <c r="C483" s="26" t="s">
        <v>2406</v>
      </c>
      <c r="D483" s="8"/>
      <c r="L483" s="8"/>
      <c r="M483" s="8"/>
      <c r="N483" s="8"/>
      <c r="O483" s="8"/>
    </row>
    <row r="484">
      <c r="A484" s="2" t="s">
        <v>512</v>
      </c>
      <c r="B484" s="26" t="s">
        <v>2407</v>
      </c>
      <c r="C484" s="26" t="s">
        <v>2408</v>
      </c>
      <c r="D484" s="8"/>
      <c r="L484" s="8"/>
      <c r="M484" s="8"/>
      <c r="N484" s="8"/>
      <c r="O484" s="8"/>
    </row>
    <row r="485">
      <c r="A485" s="2" t="s">
        <v>513</v>
      </c>
      <c r="B485" s="26" t="s">
        <v>2409</v>
      </c>
      <c r="C485" s="26" t="s">
        <v>2410</v>
      </c>
      <c r="D485" s="8"/>
      <c r="L485" s="8"/>
      <c r="M485" s="8"/>
      <c r="N485" s="8"/>
      <c r="O485" s="8"/>
    </row>
    <row r="486">
      <c r="A486" s="2" t="s">
        <v>514</v>
      </c>
      <c r="B486" s="26" t="s">
        <v>2411</v>
      </c>
      <c r="C486" s="26" t="s">
        <v>2412</v>
      </c>
      <c r="D486" s="8"/>
      <c r="L486" s="8"/>
      <c r="M486" s="8"/>
      <c r="N486" s="8"/>
      <c r="O486" s="8"/>
    </row>
    <row r="487">
      <c r="A487" s="2" t="s">
        <v>515</v>
      </c>
      <c r="B487" s="26" t="s">
        <v>2413</v>
      </c>
      <c r="C487" s="26" t="s">
        <v>2414</v>
      </c>
      <c r="D487" s="8"/>
      <c r="L487" s="8"/>
      <c r="M487" s="8"/>
      <c r="N487" s="8"/>
      <c r="O487" s="8"/>
    </row>
    <row r="488">
      <c r="A488" s="2" t="s">
        <v>516</v>
      </c>
      <c r="B488" s="26" t="s">
        <v>2415</v>
      </c>
      <c r="C488" s="26" t="s">
        <v>2416</v>
      </c>
      <c r="D488" s="8"/>
      <c r="L488" s="8"/>
      <c r="M488" s="8"/>
      <c r="N488" s="8"/>
      <c r="O488" s="8"/>
    </row>
    <row r="489">
      <c r="A489" s="2" t="s">
        <v>517</v>
      </c>
      <c r="B489" s="26" t="s">
        <v>2417</v>
      </c>
      <c r="C489" s="26" t="s">
        <v>2418</v>
      </c>
      <c r="D489" s="8"/>
      <c r="L489" s="8"/>
      <c r="M489" s="8"/>
      <c r="N489" s="8"/>
      <c r="O489" s="8"/>
    </row>
    <row r="490">
      <c r="A490" s="2" t="s">
        <v>518</v>
      </c>
      <c r="B490" s="26" t="s">
        <v>2419</v>
      </c>
      <c r="C490" s="26" t="s">
        <v>2420</v>
      </c>
      <c r="D490" s="8"/>
      <c r="L490" s="8"/>
      <c r="M490" s="8"/>
      <c r="N490" s="8"/>
      <c r="O490" s="8"/>
    </row>
    <row r="491">
      <c r="A491" s="2" t="s">
        <v>519</v>
      </c>
      <c r="B491" s="26" t="s">
        <v>2421</v>
      </c>
      <c r="C491" s="26" t="s">
        <v>2422</v>
      </c>
      <c r="D491" s="8"/>
      <c r="L491" s="8"/>
      <c r="M491" s="8"/>
      <c r="N491" s="8"/>
      <c r="O491" s="8"/>
    </row>
    <row r="492">
      <c r="A492" s="2" t="s">
        <v>520</v>
      </c>
      <c r="B492" s="26" t="s">
        <v>2423</v>
      </c>
      <c r="C492" s="26" t="s">
        <v>2424</v>
      </c>
      <c r="D492" s="8"/>
      <c r="L492" s="8"/>
      <c r="M492" s="8"/>
      <c r="N492" s="8"/>
      <c r="O492" s="8"/>
    </row>
    <row r="493">
      <c r="A493" s="2" t="s">
        <v>521</v>
      </c>
      <c r="B493" s="26" t="s">
        <v>2425</v>
      </c>
      <c r="C493" s="26" t="s">
        <v>2426</v>
      </c>
      <c r="D493" s="8"/>
      <c r="L493" s="8"/>
      <c r="M493" s="8"/>
      <c r="N493" s="8"/>
      <c r="O493" s="8"/>
    </row>
    <row r="494">
      <c r="A494" s="2" t="s">
        <v>522</v>
      </c>
      <c r="B494" s="26" t="s">
        <v>2427</v>
      </c>
      <c r="C494" s="26" t="s">
        <v>2428</v>
      </c>
      <c r="D494" s="8"/>
      <c r="L494" s="8"/>
      <c r="M494" s="8"/>
      <c r="N494" s="8"/>
      <c r="O494" s="8"/>
    </row>
    <row r="495">
      <c r="A495" s="2" t="s">
        <v>523</v>
      </c>
      <c r="B495" s="26" t="s">
        <v>2429</v>
      </c>
      <c r="C495" s="26" t="s">
        <v>2430</v>
      </c>
      <c r="D495" s="8"/>
      <c r="L495" s="8"/>
      <c r="M495" s="8"/>
      <c r="N495" s="8"/>
      <c r="O495" s="8"/>
    </row>
    <row r="496">
      <c r="A496" s="2" t="s">
        <v>524</v>
      </c>
      <c r="B496" s="26" t="s">
        <v>2431</v>
      </c>
      <c r="C496" s="26" t="s">
        <v>2432</v>
      </c>
      <c r="D496" s="8"/>
      <c r="L496" s="8"/>
      <c r="M496" s="8"/>
      <c r="N496" s="8"/>
      <c r="O496" s="8"/>
    </row>
    <row r="497">
      <c r="A497" s="2" t="s">
        <v>525</v>
      </c>
      <c r="B497" s="26" t="s">
        <v>2433</v>
      </c>
      <c r="C497" s="26" t="s">
        <v>2434</v>
      </c>
      <c r="D497" s="8"/>
      <c r="L497" s="8"/>
      <c r="M497" s="8"/>
      <c r="N497" s="8"/>
      <c r="O497" s="8"/>
    </row>
    <row r="498">
      <c r="A498" s="2" t="s">
        <v>526</v>
      </c>
      <c r="B498" s="26" t="s">
        <v>2435</v>
      </c>
      <c r="C498" s="26" t="s">
        <v>2436</v>
      </c>
      <c r="D498" s="8"/>
      <c r="L498" s="8"/>
      <c r="M498" s="8"/>
      <c r="N498" s="8"/>
      <c r="O498" s="8"/>
    </row>
    <row r="499">
      <c r="A499" s="2" t="s">
        <v>527</v>
      </c>
      <c r="B499" s="26" t="s">
        <v>2437</v>
      </c>
      <c r="C499" s="26" t="s">
        <v>2438</v>
      </c>
      <c r="D499" s="8"/>
      <c r="L499" s="8"/>
      <c r="M499" s="8"/>
      <c r="N499" s="8"/>
      <c r="O499" s="8"/>
    </row>
    <row r="500">
      <c r="A500" s="2" t="s">
        <v>528</v>
      </c>
      <c r="B500" s="26" t="s">
        <v>2439</v>
      </c>
      <c r="C500" s="26" t="s">
        <v>2440</v>
      </c>
      <c r="D500" s="8"/>
      <c r="L500" s="8"/>
      <c r="M500" s="8"/>
      <c r="N500" s="8"/>
      <c r="O500" s="8"/>
    </row>
    <row r="501">
      <c r="A501" s="2" t="s">
        <v>529</v>
      </c>
      <c r="B501" s="26" t="s">
        <v>2441</v>
      </c>
      <c r="C501" s="26" t="s">
        <v>2442</v>
      </c>
      <c r="D501" s="8"/>
      <c r="L501" s="8"/>
      <c r="M501" s="8"/>
      <c r="N501" s="8"/>
      <c r="O501" s="8"/>
    </row>
    <row r="502">
      <c r="A502" s="2" t="s">
        <v>530</v>
      </c>
      <c r="B502" s="26" t="s">
        <v>2443</v>
      </c>
      <c r="C502" s="26" t="s">
        <v>2444</v>
      </c>
      <c r="D502" s="8"/>
      <c r="L502" s="8"/>
      <c r="M502" s="8"/>
      <c r="N502" s="8"/>
      <c r="O502" s="8"/>
    </row>
    <row r="503">
      <c r="A503" s="2" t="s">
        <v>531</v>
      </c>
      <c r="B503" s="26" t="s">
        <v>2445</v>
      </c>
      <c r="C503" s="26" t="s">
        <v>2446</v>
      </c>
      <c r="D503" s="8"/>
      <c r="L503" s="8"/>
      <c r="M503" s="8"/>
      <c r="N503" s="8"/>
      <c r="O503" s="8"/>
    </row>
    <row r="504">
      <c r="A504" s="2" t="s">
        <v>532</v>
      </c>
      <c r="B504" s="26" t="s">
        <v>2447</v>
      </c>
      <c r="C504" s="26" t="s">
        <v>2448</v>
      </c>
      <c r="D504" s="8"/>
      <c r="L504" s="8"/>
      <c r="M504" s="8"/>
      <c r="N504" s="8"/>
      <c r="O504" s="8"/>
    </row>
    <row r="505">
      <c r="A505" s="2" t="s">
        <v>533</v>
      </c>
      <c r="B505" s="26" t="s">
        <v>2449</v>
      </c>
      <c r="C505" s="26" t="s">
        <v>2450</v>
      </c>
      <c r="D505" s="8"/>
      <c r="L505" s="8"/>
      <c r="M505" s="8"/>
      <c r="N505" s="8"/>
      <c r="O505" s="8"/>
    </row>
    <row r="506">
      <c r="A506" s="2" t="s">
        <v>534</v>
      </c>
      <c r="B506" s="26" t="s">
        <v>2451</v>
      </c>
      <c r="C506" s="26" t="s">
        <v>2452</v>
      </c>
      <c r="D506" s="8"/>
      <c r="L506" s="8"/>
      <c r="M506" s="8"/>
      <c r="N506" s="8"/>
      <c r="O506" s="8"/>
    </row>
    <row r="507">
      <c r="A507" s="2" t="s">
        <v>535</v>
      </c>
      <c r="B507" s="26" t="s">
        <v>2453</v>
      </c>
      <c r="C507" s="26" t="s">
        <v>2454</v>
      </c>
      <c r="D507" s="8"/>
      <c r="L507" s="8"/>
      <c r="M507" s="8"/>
      <c r="N507" s="8"/>
      <c r="O507" s="8"/>
    </row>
    <row r="508">
      <c r="A508" s="2" t="s">
        <v>536</v>
      </c>
      <c r="B508" s="26" t="s">
        <v>2455</v>
      </c>
      <c r="C508" s="26" t="s">
        <v>2456</v>
      </c>
      <c r="D508" s="8"/>
      <c r="L508" s="8"/>
      <c r="M508" s="8"/>
      <c r="N508" s="8"/>
      <c r="O508" s="8"/>
    </row>
    <row r="509">
      <c r="A509" s="2" t="s">
        <v>537</v>
      </c>
      <c r="B509" s="26" t="s">
        <v>2457</v>
      </c>
      <c r="C509" s="26" t="s">
        <v>2458</v>
      </c>
      <c r="D509" s="8"/>
      <c r="L509" s="8"/>
      <c r="M509" s="8"/>
      <c r="N509" s="8"/>
      <c r="O509" s="8"/>
    </row>
    <row r="510">
      <c r="A510" s="2" t="s">
        <v>538</v>
      </c>
      <c r="B510" s="26" t="s">
        <v>2459</v>
      </c>
      <c r="C510" s="26" t="s">
        <v>2460</v>
      </c>
      <c r="D510" s="8"/>
      <c r="L510" s="8"/>
      <c r="M510" s="8"/>
      <c r="N510" s="8"/>
      <c r="O510" s="8"/>
    </row>
    <row r="511">
      <c r="A511" s="2" t="s">
        <v>539</v>
      </c>
      <c r="B511" s="26" t="s">
        <v>2461</v>
      </c>
      <c r="C511" s="26" t="s">
        <v>2462</v>
      </c>
      <c r="D511" s="8"/>
      <c r="L511" s="8"/>
      <c r="M511" s="8"/>
      <c r="N511" s="8"/>
      <c r="O511" s="8"/>
    </row>
    <row r="512">
      <c r="A512" s="2" t="s">
        <v>540</v>
      </c>
      <c r="B512" s="26" t="s">
        <v>2463</v>
      </c>
      <c r="C512" s="26" t="s">
        <v>2464</v>
      </c>
      <c r="D512" s="8"/>
      <c r="L512" s="8"/>
      <c r="M512" s="8"/>
      <c r="N512" s="8"/>
      <c r="O512" s="8"/>
    </row>
    <row r="513">
      <c r="A513" s="2" t="s">
        <v>541</v>
      </c>
      <c r="B513" s="26" t="s">
        <v>2465</v>
      </c>
      <c r="C513" s="26" t="s">
        <v>2466</v>
      </c>
      <c r="D513" s="8"/>
      <c r="L513" s="8"/>
      <c r="M513" s="8"/>
      <c r="N513" s="8"/>
      <c r="O513" s="8"/>
    </row>
    <row r="514">
      <c r="A514" s="2" t="s">
        <v>542</v>
      </c>
      <c r="B514" s="26" t="s">
        <v>2467</v>
      </c>
      <c r="C514" s="26" t="s">
        <v>2468</v>
      </c>
      <c r="D514" s="8"/>
      <c r="L514" s="8"/>
      <c r="M514" s="8"/>
      <c r="N514" s="8"/>
      <c r="O514" s="8"/>
    </row>
    <row r="515">
      <c r="A515" s="2" t="s">
        <v>543</v>
      </c>
      <c r="B515" s="26" t="s">
        <v>2469</v>
      </c>
      <c r="C515" s="26" t="s">
        <v>2470</v>
      </c>
      <c r="D515" s="8"/>
      <c r="L515" s="8"/>
      <c r="M515" s="8"/>
      <c r="N515" s="8"/>
      <c r="O515" s="8"/>
    </row>
    <row r="516">
      <c r="A516" s="2" t="s">
        <v>544</v>
      </c>
      <c r="B516" s="26" t="s">
        <v>2471</v>
      </c>
      <c r="C516" s="26" t="s">
        <v>2472</v>
      </c>
      <c r="D516" s="8"/>
      <c r="L516" s="8"/>
      <c r="M516" s="8"/>
      <c r="N516" s="8"/>
      <c r="O516" s="8"/>
    </row>
    <row r="517">
      <c r="A517" s="2" t="s">
        <v>545</v>
      </c>
      <c r="B517" s="26" t="s">
        <v>2473</v>
      </c>
      <c r="C517" s="26" t="s">
        <v>2474</v>
      </c>
      <c r="D517" s="8"/>
      <c r="L517" s="8"/>
      <c r="M517" s="8"/>
      <c r="N517" s="8"/>
      <c r="O517" s="8"/>
    </row>
    <row r="518">
      <c r="A518" s="2" t="s">
        <v>546</v>
      </c>
      <c r="B518" s="26" t="s">
        <v>2475</v>
      </c>
      <c r="C518" s="26" t="s">
        <v>2476</v>
      </c>
      <c r="D518" s="8"/>
      <c r="L518" s="8"/>
      <c r="M518" s="8"/>
      <c r="N518" s="8"/>
      <c r="O518" s="8"/>
    </row>
    <row r="519">
      <c r="A519" s="2" t="s">
        <v>547</v>
      </c>
      <c r="B519" s="26" t="s">
        <v>2477</v>
      </c>
      <c r="C519" s="26" t="s">
        <v>2478</v>
      </c>
      <c r="D519" s="8"/>
      <c r="L519" s="8"/>
      <c r="M519" s="8"/>
      <c r="N519" s="8"/>
      <c r="O519" s="8"/>
    </row>
    <row r="520">
      <c r="A520" s="2" t="s">
        <v>548</v>
      </c>
      <c r="B520" s="26" t="s">
        <v>2479</v>
      </c>
      <c r="C520" s="26" t="s">
        <v>2480</v>
      </c>
      <c r="D520" s="8"/>
      <c r="L520" s="8"/>
      <c r="M520" s="8"/>
      <c r="N520" s="8"/>
      <c r="O520" s="8"/>
    </row>
    <row r="521">
      <c r="A521" s="2" t="s">
        <v>549</v>
      </c>
      <c r="B521" s="26" t="s">
        <v>2481</v>
      </c>
      <c r="C521" s="26" t="s">
        <v>2482</v>
      </c>
      <c r="D521" s="8"/>
      <c r="L521" s="8"/>
      <c r="M521" s="8"/>
      <c r="N521" s="8"/>
      <c r="O521" s="8"/>
    </row>
    <row r="522">
      <c r="A522" s="2" t="s">
        <v>550</v>
      </c>
      <c r="B522" s="26" t="s">
        <v>2483</v>
      </c>
      <c r="C522" s="26" t="s">
        <v>2484</v>
      </c>
      <c r="D522" s="8"/>
      <c r="L522" s="8"/>
      <c r="M522" s="8"/>
      <c r="N522" s="8"/>
      <c r="O522" s="8"/>
    </row>
    <row r="523">
      <c r="A523" s="2" t="s">
        <v>551</v>
      </c>
      <c r="B523" s="26" t="s">
        <v>2485</v>
      </c>
      <c r="C523" s="26" t="s">
        <v>2486</v>
      </c>
      <c r="D523" s="8"/>
      <c r="L523" s="8"/>
      <c r="M523" s="8"/>
      <c r="N523" s="8"/>
      <c r="O523" s="8"/>
    </row>
    <row r="524">
      <c r="A524" s="2" t="s">
        <v>552</v>
      </c>
      <c r="B524" s="26" t="s">
        <v>2487</v>
      </c>
      <c r="C524" s="26" t="s">
        <v>2488</v>
      </c>
      <c r="D524" s="8"/>
      <c r="L524" s="8"/>
      <c r="M524" s="8"/>
      <c r="N524" s="8"/>
      <c r="O524" s="8"/>
    </row>
    <row r="525">
      <c r="A525" s="2" t="s">
        <v>553</v>
      </c>
      <c r="B525" s="26" t="s">
        <v>2489</v>
      </c>
      <c r="C525" s="26" t="s">
        <v>2490</v>
      </c>
      <c r="D525" s="8"/>
      <c r="L525" s="8"/>
      <c r="M525" s="8"/>
      <c r="N525" s="8"/>
      <c r="O525" s="8"/>
    </row>
    <row r="526">
      <c r="A526" s="2" t="s">
        <v>554</v>
      </c>
      <c r="B526" s="26" t="s">
        <v>2491</v>
      </c>
      <c r="C526" s="26" t="s">
        <v>2492</v>
      </c>
      <c r="D526" s="8"/>
      <c r="L526" s="8"/>
      <c r="M526" s="8"/>
      <c r="N526" s="8"/>
      <c r="O526" s="8"/>
    </row>
    <row r="527">
      <c r="A527" s="2" t="s">
        <v>555</v>
      </c>
      <c r="B527" s="26" t="s">
        <v>2493</v>
      </c>
      <c r="C527" s="26" t="s">
        <v>2494</v>
      </c>
      <c r="D527" s="8"/>
      <c r="L527" s="8"/>
      <c r="M527" s="8"/>
      <c r="N527" s="8"/>
      <c r="O527" s="8"/>
    </row>
    <row r="528">
      <c r="A528" s="2" t="s">
        <v>556</v>
      </c>
      <c r="B528" s="26" t="s">
        <v>2495</v>
      </c>
      <c r="C528" s="26" t="s">
        <v>2496</v>
      </c>
      <c r="D528" s="8"/>
      <c r="L528" s="8"/>
      <c r="M528" s="8"/>
      <c r="N528" s="8"/>
      <c r="O528" s="8"/>
    </row>
    <row r="529">
      <c r="A529" s="2" t="s">
        <v>557</v>
      </c>
      <c r="B529" s="26" t="s">
        <v>2497</v>
      </c>
      <c r="C529" s="26" t="s">
        <v>2498</v>
      </c>
      <c r="D529" s="8"/>
      <c r="L529" s="8"/>
      <c r="M529" s="8"/>
      <c r="N529" s="8"/>
      <c r="O529" s="8"/>
    </row>
    <row r="530">
      <c r="A530" s="2" t="s">
        <v>558</v>
      </c>
      <c r="B530" s="26" t="s">
        <v>2499</v>
      </c>
      <c r="C530" s="26" t="s">
        <v>2500</v>
      </c>
      <c r="D530" s="8"/>
      <c r="L530" s="8"/>
      <c r="M530" s="8"/>
      <c r="N530" s="8"/>
      <c r="O530" s="8"/>
    </row>
    <row r="531">
      <c r="A531" s="2" t="s">
        <v>559</v>
      </c>
      <c r="B531" s="26" t="s">
        <v>2501</v>
      </c>
      <c r="C531" s="26" t="s">
        <v>2502</v>
      </c>
      <c r="D531" s="8"/>
      <c r="L531" s="8"/>
      <c r="M531" s="8"/>
      <c r="N531" s="8"/>
      <c r="O531" s="8"/>
    </row>
    <row r="532">
      <c r="A532" s="2" t="s">
        <v>560</v>
      </c>
      <c r="B532" s="26" t="s">
        <v>2503</v>
      </c>
      <c r="C532" s="26" t="s">
        <v>2504</v>
      </c>
      <c r="D532" s="8"/>
      <c r="L532" s="8"/>
      <c r="M532" s="8"/>
      <c r="N532" s="8"/>
      <c r="O532" s="8"/>
    </row>
    <row r="533">
      <c r="A533" s="2" t="s">
        <v>561</v>
      </c>
      <c r="B533" s="26" t="s">
        <v>2505</v>
      </c>
      <c r="C533" s="26" t="s">
        <v>2506</v>
      </c>
      <c r="D533" s="8"/>
      <c r="L533" s="8"/>
      <c r="M533" s="8"/>
      <c r="N533" s="8"/>
      <c r="O533" s="8"/>
    </row>
    <row r="534">
      <c r="A534" s="2" t="s">
        <v>562</v>
      </c>
      <c r="B534" s="26" t="s">
        <v>2507</v>
      </c>
      <c r="C534" s="26" t="s">
        <v>2508</v>
      </c>
      <c r="D534" s="8"/>
      <c r="L534" s="8"/>
      <c r="M534" s="8"/>
      <c r="N534" s="8"/>
      <c r="O534" s="8"/>
    </row>
    <row r="535">
      <c r="A535" s="2" t="s">
        <v>563</v>
      </c>
      <c r="B535" s="26" t="s">
        <v>2509</v>
      </c>
      <c r="C535" s="26" t="s">
        <v>2510</v>
      </c>
      <c r="D535" s="8"/>
      <c r="L535" s="8"/>
      <c r="M535" s="8"/>
      <c r="N535" s="8"/>
      <c r="O535" s="8"/>
    </row>
    <row r="536">
      <c r="A536" s="2" t="s">
        <v>564</v>
      </c>
      <c r="B536" s="26" t="s">
        <v>2511</v>
      </c>
      <c r="C536" s="26" t="s">
        <v>2512</v>
      </c>
      <c r="D536" s="8"/>
      <c r="L536" s="8"/>
      <c r="M536" s="8"/>
      <c r="N536" s="8"/>
      <c r="O536" s="8"/>
    </row>
    <row r="537">
      <c r="A537" s="2" t="s">
        <v>565</v>
      </c>
      <c r="B537" s="26" t="s">
        <v>2513</v>
      </c>
      <c r="C537" s="26" t="s">
        <v>2514</v>
      </c>
      <c r="D537" s="8"/>
      <c r="L537" s="8"/>
      <c r="M537" s="8"/>
      <c r="N537" s="8"/>
      <c r="O537" s="8"/>
    </row>
    <row r="538">
      <c r="A538" s="2" t="s">
        <v>566</v>
      </c>
      <c r="B538" s="26" t="s">
        <v>2515</v>
      </c>
      <c r="C538" s="26" t="s">
        <v>2516</v>
      </c>
      <c r="D538" s="8"/>
      <c r="L538" s="8"/>
      <c r="M538" s="8"/>
      <c r="N538" s="8"/>
      <c r="O538" s="8"/>
    </row>
    <row r="539">
      <c r="A539" s="2" t="s">
        <v>567</v>
      </c>
      <c r="B539" s="26" t="s">
        <v>2517</v>
      </c>
      <c r="C539" s="26" t="s">
        <v>2518</v>
      </c>
      <c r="D539" s="8"/>
      <c r="L539" s="8"/>
      <c r="M539" s="8"/>
      <c r="N539" s="8"/>
      <c r="O539" s="8"/>
    </row>
    <row r="540">
      <c r="A540" s="2" t="s">
        <v>568</v>
      </c>
      <c r="B540" s="26" t="s">
        <v>2519</v>
      </c>
      <c r="C540" s="26" t="s">
        <v>2520</v>
      </c>
      <c r="D540" s="8"/>
      <c r="L540" s="8"/>
      <c r="M540" s="8"/>
      <c r="N540" s="8"/>
      <c r="O540" s="8"/>
    </row>
    <row r="541">
      <c r="A541" s="2" t="s">
        <v>569</v>
      </c>
      <c r="B541" s="26" t="s">
        <v>2521</v>
      </c>
      <c r="C541" s="26" t="s">
        <v>2522</v>
      </c>
      <c r="D541" s="8"/>
      <c r="L541" s="8"/>
      <c r="M541" s="8"/>
      <c r="N541" s="8"/>
      <c r="O541" s="8"/>
    </row>
    <row r="542">
      <c r="A542" s="2" t="s">
        <v>570</v>
      </c>
      <c r="B542" s="26" t="s">
        <v>2523</v>
      </c>
      <c r="C542" s="26" t="s">
        <v>2524</v>
      </c>
      <c r="D542" s="8"/>
      <c r="L542" s="8"/>
      <c r="M542" s="8"/>
      <c r="N542" s="8"/>
      <c r="O542" s="8"/>
    </row>
    <row r="543">
      <c r="A543" s="2" t="s">
        <v>571</v>
      </c>
      <c r="B543" s="26" t="s">
        <v>2525</v>
      </c>
      <c r="C543" s="26" t="s">
        <v>2526</v>
      </c>
      <c r="D543" s="8"/>
      <c r="L543" s="8"/>
      <c r="M543" s="8"/>
      <c r="N543" s="8"/>
      <c r="O543" s="8"/>
    </row>
    <row r="544">
      <c r="A544" s="2" t="s">
        <v>572</v>
      </c>
      <c r="B544" s="26" t="s">
        <v>2527</v>
      </c>
      <c r="C544" s="26" t="s">
        <v>2528</v>
      </c>
      <c r="D544" s="8"/>
      <c r="L544" s="8"/>
      <c r="M544" s="8"/>
      <c r="N544" s="8"/>
      <c r="O544" s="8"/>
    </row>
    <row r="545">
      <c r="A545" s="2" t="s">
        <v>573</v>
      </c>
      <c r="B545" s="26" t="s">
        <v>2529</v>
      </c>
      <c r="C545" s="26" t="s">
        <v>2530</v>
      </c>
      <c r="D545" s="8"/>
      <c r="L545" s="8"/>
      <c r="M545" s="8"/>
      <c r="N545" s="8"/>
      <c r="O545" s="8"/>
    </row>
    <row r="546">
      <c r="A546" s="2" t="s">
        <v>574</v>
      </c>
      <c r="B546" s="26" t="s">
        <v>2531</v>
      </c>
      <c r="C546" s="26" t="s">
        <v>2532</v>
      </c>
      <c r="D546" s="8"/>
      <c r="L546" s="8"/>
      <c r="M546" s="8"/>
      <c r="N546" s="8"/>
      <c r="O546" s="8"/>
    </row>
    <row r="547">
      <c r="A547" s="2" t="s">
        <v>575</v>
      </c>
      <c r="B547" s="26" t="s">
        <v>2533</v>
      </c>
      <c r="C547" s="26" t="s">
        <v>2534</v>
      </c>
      <c r="D547" s="8"/>
      <c r="L547" s="8"/>
      <c r="M547" s="8"/>
      <c r="N547" s="8"/>
      <c r="O547" s="8"/>
    </row>
    <row r="548">
      <c r="A548" s="2" t="s">
        <v>576</v>
      </c>
      <c r="B548" s="26" t="s">
        <v>2535</v>
      </c>
      <c r="C548" s="26" t="s">
        <v>2536</v>
      </c>
      <c r="D548" s="8"/>
      <c r="L548" s="8"/>
      <c r="M548" s="8"/>
      <c r="N548" s="8"/>
      <c r="O548" s="8"/>
    </row>
    <row r="549">
      <c r="A549" s="2" t="s">
        <v>577</v>
      </c>
      <c r="B549" s="26" t="s">
        <v>2537</v>
      </c>
      <c r="C549" s="26" t="s">
        <v>2538</v>
      </c>
      <c r="D549" s="8"/>
      <c r="L549" s="8"/>
      <c r="M549" s="8"/>
      <c r="N549" s="8"/>
      <c r="O549" s="8"/>
    </row>
    <row r="550">
      <c r="A550" s="2" t="s">
        <v>578</v>
      </c>
      <c r="B550" s="26" t="s">
        <v>2539</v>
      </c>
      <c r="C550" s="26" t="s">
        <v>2540</v>
      </c>
      <c r="D550" s="8"/>
      <c r="L550" s="8"/>
      <c r="M550" s="8"/>
      <c r="N550" s="8"/>
      <c r="O550" s="8"/>
    </row>
    <row r="551">
      <c r="A551" s="2" t="s">
        <v>579</v>
      </c>
      <c r="B551" s="26" t="s">
        <v>2541</v>
      </c>
      <c r="C551" s="26" t="s">
        <v>2542</v>
      </c>
      <c r="D551" s="8"/>
      <c r="L551" s="8"/>
      <c r="M551" s="8"/>
      <c r="N551" s="8"/>
      <c r="O551" s="8"/>
    </row>
    <row r="552">
      <c r="A552" s="2" t="s">
        <v>580</v>
      </c>
      <c r="B552" s="26" t="s">
        <v>2543</v>
      </c>
      <c r="C552" s="26" t="s">
        <v>2544</v>
      </c>
      <c r="D552" s="8"/>
      <c r="L552" s="8"/>
      <c r="M552" s="8"/>
      <c r="N552" s="8"/>
      <c r="O552" s="8"/>
    </row>
    <row r="553">
      <c r="A553" s="2" t="s">
        <v>581</v>
      </c>
      <c r="B553" s="26" t="s">
        <v>2545</v>
      </c>
      <c r="C553" s="26" t="s">
        <v>2546</v>
      </c>
      <c r="D553" s="8"/>
      <c r="L553" s="8"/>
      <c r="M553" s="8"/>
      <c r="N553" s="8"/>
      <c r="O553" s="8"/>
    </row>
    <row r="554">
      <c r="A554" s="2" t="s">
        <v>582</v>
      </c>
      <c r="B554" s="26" t="s">
        <v>2547</v>
      </c>
      <c r="C554" s="26" t="s">
        <v>2548</v>
      </c>
      <c r="D554" s="8"/>
      <c r="L554" s="8"/>
      <c r="M554" s="8"/>
      <c r="N554" s="8"/>
      <c r="O554" s="8"/>
    </row>
    <row r="555">
      <c r="A555" s="2" t="s">
        <v>583</v>
      </c>
      <c r="B555" s="26" t="s">
        <v>2549</v>
      </c>
      <c r="C555" s="26" t="s">
        <v>2550</v>
      </c>
      <c r="D555" s="8"/>
      <c r="L555" s="8"/>
      <c r="M555" s="8"/>
      <c r="N555" s="8"/>
      <c r="O555" s="8"/>
    </row>
    <row r="556">
      <c r="A556" s="2" t="s">
        <v>584</v>
      </c>
      <c r="B556" s="26" t="s">
        <v>2551</v>
      </c>
      <c r="C556" s="26" t="s">
        <v>2552</v>
      </c>
      <c r="D556" s="8"/>
      <c r="L556" s="8"/>
      <c r="M556" s="8"/>
      <c r="N556" s="8"/>
      <c r="O556" s="8"/>
    </row>
    <row r="557">
      <c r="A557" s="2" t="s">
        <v>585</v>
      </c>
      <c r="B557" s="26" t="s">
        <v>2553</v>
      </c>
      <c r="C557" s="26" t="s">
        <v>2554</v>
      </c>
      <c r="D557" s="8"/>
      <c r="L557" s="8"/>
      <c r="M557" s="8"/>
      <c r="N557" s="8"/>
      <c r="O557" s="8"/>
    </row>
    <row r="558">
      <c r="A558" s="2" t="s">
        <v>586</v>
      </c>
      <c r="B558" s="26" t="s">
        <v>2555</v>
      </c>
      <c r="C558" s="26" t="s">
        <v>2556</v>
      </c>
      <c r="D558" s="8"/>
      <c r="L558" s="8"/>
      <c r="M558" s="8"/>
      <c r="N558" s="8"/>
      <c r="O558" s="8"/>
    </row>
    <row r="559">
      <c r="A559" s="2" t="s">
        <v>587</v>
      </c>
      <c r="B559" s="26" t="s">
        <v>2557</v>
      </c>
      <c r="C559" s="26" t="s">
        <v>2558</v>
      </c>
      <c r="D559" s="8"/>
      <c r="L559" s="8"/>
      <c r="M559" s="8"/>
      <c r="N559" s="8"/>
      <c r="O559" s="8"/>
    </row>
    <row r="560">
      <c r="A560" s="2" t="s">
        <v>588</v>
      </c>
      <c r="B560" s="26" t="s">
        <v>2559</v>
      </c>
      <c r="C560" s="26" t="s">
        <v>2560</v>
      </c>
      <c r="D560" s="8"/>
      <c r="L560" s="8"/>
      <c r="M560" s="8"/>
      <c r="N560" s="8"/>
      <c r="O560" s="8"/>
    </row>
    <row r="561">
      <c r="A561" s="2" t="s">
        <v>589</v>
      </c>
      <c r="B561" s="26" t="s">
        <v>2561</v>
      </c>
      <c r="C561" s="26" t="s">
        <v>2562</v>
      </c>
      <c r="D561" s="8"/>
      <c r="L561" s="8"/>
      <c r="M561" s="8"/>
      <c r="N561" s="8"/>
      <c r="O561" s="8"/>
    </row>
    <row r="562">
      <c r="A562" s="2" t="s">
        <v>590</v>
      </c>
      <c r="B562" s="26" t="s">
        <v>2563</v>
      </c>
      <c r="C562" s="26" t="s">
        <v>2564</v>
      </c>
      <c r="D562" s="8"/>
      <c r="L562" s="8"/>
      <c r="M562" s="8"/>
      <c r="N562" s="8"/>
      <c r="O562" s="8"/>
    </row>
    <row r="563">
      <c r="A563" s="2" t="s">
        <v>591</v>
      </c>
      <c r="B563" s="26" t="s">
        <v>2565</v>
      </c>
      <c r="C563" s="26" t="s">
        <v>2566</v>
      </c>
      <c r="D563" s="8"/>
      <c r="L563" s="8"/>
      <c r="M563" s="8"/>
      <c r="N563" s="8"/>
      <c r="O563" s="8"/>
    </row>
    <row r="564">
      <c r="A564" s="2" t="s">
        <v>592</v>
      </c>
      <c r="B564" s="26" t="s">
        <v>2567</v>
      </c>
      <c r="C564" s="26" t="s">
        <v>2568</v>
      </c>
      <c r="D564" s="8"/>
      <c r="L564" s="8"/>
      <c r="M564" s="8"/>
      <c r="N564" s="8"/>
      <c r="O564" s="8"/>
    </row>
    <row r="565">
      <c r="A565" s="2" t="s">
        <v>593</v>
      </c>
      <c r="B565" s="26" t="s">
        <v>2569</v>
      </c>
      <c r="C565" s="26" t="s">
        <v>2570</v>
      </c>
      <c r="D565" s="8"/>
      <c r="L565" s="8"/>
      <c r="M565" s="8"/>
      <c r="N565" s="8"/>
      <c r="O565" s="8"/>
    </row>
    <row r="566">
      <c r="A566" s="2" t="s">
        <v>594</v>
      </c>
      <c r="B566" s="26" t="s">
        <v>2571</v>
      </c>
      <c r="C566" s="26" t="s">
        <v>2572</v>
      </c>
      <c r="D566" s="8"/>
      <c r="L566" s="8"/>
      <c r="M566" s="8"/>
      <c r="N566" s="8"/>
      <c r="O566" s="8"/>
    </row>
    <row r="567">
      <c r="A567" s="2" t="s">
        <v>595</v>
      </c>
      <c r="B567" s="26" t="s">
        <v>2573</v>
      </c>
      <c r="C567" s="26" t="s">
        <v>2574</v>
      </c>
      <c r="D567" s="8"/>
      <c r="L567" s="8"/>
      <c r="M567" s="8"/>
      <c r="N567" s="8"/>
      <c r="O567" s="8"/>
    </row>
    <row r="568">
      <c r="A568" s="2" t="s">
        <v>596</v>
      </c>
      <c r="B568" s="26" t="s">
        <v>2575</v>
      </c>
      <c r="C568" s="26" t="s">
        <v>2576</v>
      </c>
      <c r="D568" s="8"/>
      <c r="L568" s="8"/>
      <c r="M568" s="8"/>
      <c r="N568" s="8"/>
      <c r="O568" s="8"/>
    </row>
    <row r="569">
      <c r="A569" s="2" t="s">
        <v>597</v>
      </c>
      <c r="B569" s="26" t="s">
        <v>2577</v>
      </c>
      <c r="C569" s="26" t="s">
        <v>2578</v>
      </c>
      <c r="D569" s="8"/>
      <c r="L569" s="8"/>
      <c r="M569" s="8"/>
      <c r="N569" s="8"/>
      <c r="O569" s="8"/>
    </row>
    <row r="570">
      <c r="A570" s="2" t="s">
        <v>598</v>
      </c>
      <c r="B570" s="26" t="s">
        <v>2579</v>
      </c>
      <c r="C570" s="26" t="s">
        <v>2580</v>
      </c>
      <c r="D570" s="8"/>
      <c r="L570" s="8"/>
      <c r="M570" s="8"/>
      <c r="N570" s="8"/>
      <c r="O570" s="8"/>
    </row>
    <row r="571">
      <c r="A571" s="2" t="s">
        <v>599</v>
      </c>
      <c r="B571" s="26" t="s">
        <v>2581</v>
      </c>
      <c r="C571" s="26" t="s">
        <v>2582</v>
      </c>
      <c r="D571" s="8"/>
      <c r="L571" s="8"/>
      <c r="M571" s="8"/>
      <c r="N571" s="8"/>
      <c r="O571" s="8"/>
    </row>
    <row r="572">
      <c r="A572" s="2" t="s">
        <v>600</v>
      </c>
      <c r="B572" s="26" t="s">
        <v>2583</v>
      </c>
      <c r="C572" s="26" t="s">
        <v>2584</v>
      </c>
      <c r="D572" s="8"/>
      <c r="L572" s="8"/>
      <c r="M572" s="8"/>
      <c r="N572" s="8"/>
      <c r="O572" s="8"/>
    </row>
    <row r="573">
      <c r="A573" s="2" t="s">
        <v>601</v>
      </c>
      <c r="B573" s="26" t="s">
        <v>2585</v>
      </c>
      <c r="C573" s="26" t="s">
        <v>2586</v>
      </c>
      <c r="D573" s="8"/>
      <c r="L573" s="8"/>
      <c r="M573" s="8"/>
      <c r="N573" s="8"/>
      <c r="O573" s="8"/>
    </row>
    <row r="574">
      <c r="A574" s="2" t="s">
        <v>602</v>
      </c>
      <c r="B574" s="26" t="s">
        <v>2587</v>
      </c>
      <c r="C574" s="26" t="s">
        <v>2588</v>
      </c>
      <c r="D574" s="8"/>
      <c r="L574" s="8"/>
      <c r="M574" s="8"/>
      <c r="N574" s="8"/>
      <c r="O574" s="8"/>
    </row>
    <row r="575">
      <c r="A575" s="2" t="s">
        <v>603</v>
      </c>
      <c r="B575" s="26" t="s">
        <v>2589</v>
      </c>
      <c r="C575" s="26" t="s">
        <v>2590</v>
      </c>
      <c r="D575" s="8"/>
      <c r="L575" s="8"/>
      <c r="M575" s="8"/>
      <c r="N575" s="8"/>
      <c r="O575" s="8"/>
    </row>
    <row r="576">
      <c r="A576" s="2" t="s">
        <v>604</v>
      </c>
      <c r="B576" s="26" t="s">
        <v>2591</v>
      </c>
      <c r="C576" s="26" t="s">
        <v>2592</v>
      </c>
      <c r="D576" s="8"/>
      <c r="L576" s="8"/>
      <c r="M576" s="8"/>
      <c r="N576" s="8"/>
      <c r="O576" s="8"/>
    </row>
    <row r="577">
      <c r="A577" s="2" t="s">
        <v>605</v>
      </c>
      <c r="B577" s="26" t="s">
        <v>2593</v>
      </c>
      <c r="C577" s="26" t="s">
        <v>2594</v>
      </c>
      <c r="D577" s="8"/>
      <c r="L577" s="8"/>
      <c r="M577" s="8"/>
      <c r="N577" s="8"/>
      <c r="O577" s="8"/>
    </row>
    <row r="578">
      <c r="A578" s="2" t="s">
        <v>606</v>
      </c>
      <c r="B578" s="26" t="s">
        <v>2595</v>
      </c>
      <c r="C578" s="26" t="s">
        <v>2596</v>
      </c>
      <c r="D578" s="8"/>
      <c r="L578" s="8"/>
      <c r="M578" s="8"/>
      <c r="N578" s="8"/>
      <c r="O578" s="8"/>
    </row>
    <row r="579">
      <c r="A579" s="2" t="s">
        <v>607</v>
      </c>
      <c r="B579" s="26" t="s">
        <v>2597</v>
      </c>
      <c r="C579" s="26" t="s">
        <v>2598</v>
      </c>
      <c r="D579" s="8"/>
      <c r="L579" s="8"/>
      <c r="M579" s="8"/>
      <c r="N579" s="8"/>
      <c r="O579" s="8"/>
    </row>
    <row r="580">
      <c r="A580" s="2" t="s">
        <v>608</v>
      </c>
      <c r="B580" s="26" t="s">
        <v>2599</v>
      </c>
      <c r="C580" s="26" t="s">
        <v>2600</v>
      </c>
      <c r="D580" s="8"/>
      <c r="L580" s="8"/>
      <c r="M580" s="8"/>
      <c r="N580" s="8"/>
      <c r="O580" s="8"/>
    </row>
    <row r="581">
      <c r="A581" s="2" t="s">
        <v>609</v>
      </c>
      <c r="B581" s="26" t="s">
        <v>2601</v>
      </c>
      <c r="C581" s="26" t="s">
        <v>2602</v>
      </c>
      <c r="D581" s="8"/>
      <c r="L581" s="8"/>
      <c r="M581" s="8"/>
      <c r="N581" s="8"/>
      <c r="O581" s="8"/>
    </row>
    <row r="582">
      <c r="A582" s="2" t="s">
        <v>610</v>
      </c>
      <c r="B582" s="26" t="s">
        <v>2603</v>
      </c>
      <c r="C582" s="26" t="s">
        <v>2604</v>
      </c>
      <c r="D582" s="8"/>
      <c r="L582" s="8"/>
      <c r="M582" s="8"/>
      <c r="N582" s="8"/>
      <c r="O582" s="8"/>
    </row>
    <row r="583">
      <c r="A583" s="2" t="s">
        <v>611</v>
      </c>
      <c r="B583" s="26" t="s">
        <v>2605</v>
      </c>
      <c r="C583" s="26" t="s">
        <v>2606</v>
      </c>
      <c r="D583" s="8"/>
      <c r="L583" s="8"/>
      <c r="M583" s="8"/>
      <c r="N583" s="8"/>
      <c r="O583" s="8"/>
    </row>
    <row r="584">
      <c r="A584" s="2" t="s">
        <v>612</v>
      </c>
      <c r="B584" s="26" t="s">
        <v>2607</v>
      </c>
      <c r="C584" s="26" t="s">
        <v>2608</v>
      </c>
      <c r="D584" s="8"/>
      <c r="L584" s="8"/>
      <c r="M584" s="8"/>
      <c r="N584" s="8"/>
      <c r="O584" s="8"/>
    </row>
    <row r="585">
      <c r="A585" s="2" t="s">
        <v>613</v>
      </c>
      <c r="B585" s="26" t="s">
        <v>2609</v>
      </c>
      <c r="C585" s="26" t="s">
        <v>2610</v>
      </c>
      <c r="D585" s="8"/>
      <c r="L585" s="8"/>
      <c r="M585" s="8"/>
      <c r="N585" s="8"/>
      <c r="O585" s="8"/>
    </row>
    <row r="586">
      <c r="A586" s="2" t="s">
        <v>614</v>
      </c>
      <c r="B586" s="26" t="s">
        <v>2611</v>
      </c>
      <c r="C586" s="26" t="s">
        <v>2612</v>
      </c>
      <c r="D586" s="8"/>
      <c r="L586" s="8"/>
      <c r="M586" s="8"/>
      <c r="N586" s="8"/>
      <c r="O586" s="8"/>
    </row>
    <row r="587">
      <c r="A587" s="2" t="s">
        <v>615</v>
      </c>
      <c r="B587" s="26" t="s">
        <v>2613</v>
      </c>
      <c r="C587" s="26" t="s">
        <v>2614</v>
      </c>
      <c r="D587" s="8"/>
      <c r="L587" s="8"/>
      <c r="M587" s="8"/>
      <c r="N587" s="8"/>
      <c r="O587" s="8"/>
    </row>
    <row r="588">
      <c r="A588" s="2" t="s">
        <v>616</v>
      </c>
      <c r="B588" s="26" t="s">
        <v>2615</v>
      </c>
      <c r="C588" s="26" t="s">
        <v>2616</v>
      </c>
      <c r="D588" s="8"/>
      <c r="L588" s="8"/>
      <c r="M588" s="8"/>
      <c r="N588" s="8"/>
      <c r="O588" s="8"/>
    </row>
    <row r="589">
      <c r="A589" s="2" t="s">
        <v>617</v>
      </c>
      <c r="B589" s="26" t="s">
        <v>2617</v>
      </c>
      <c r="C589" s="26" t="s">
        <v>2618</v>
      </c>
      <c r="D589" s="8"/>
      <c r="L589" s="8"/>
      <c r="M589" s="8"/>
      <c r="N589" s="8"/>
      <c r="O589" s="8"/>
    </row>
    <row r="590">
      <c r="A590" s="2" t="s">
        <v>618</v>
      </c>
      <c r="B590" s="26" t="s">
        <v>2619</v>
      </c>
      <c r="C590" s="26" t="s">
        <v>2620</v>
      </c>
      <c r="D590" s="8"/>
      <c r="L590" s="8"/>
      <c r="M590" s="8"/>
      <c r="N590" s="8"/>
      <c r="O590" s="8"/>
    </row>
    <row r="591">
      <c r="A591" s="2" t="s">
        <v>619</v>
      </c>
      <c r="B591" s="26" t="s">
        <v>2621</v>
      </c>
      <c r="C591" s="26" t="s">
        <v>2622</v>
      </c>
      <c r="D591" s="8"/>
      <c r="L591" s="8"/>
      <c r="M591" s="8"/>
      <c r="N591" s="8"/>
      <c r="O591" s="8"/>
    </row>
    <row r="592">
      <c r="A592" s="2" t="s">
        <v>620</v>
      </c>
      <c r="B592" s="26" t="s">
        <v>2623</v>
      </c>
      <c r="C592" s="26" t="s">
        <v>2624</v>
      </c>
      <c r="D592" s="8"/>
      <c r="L592" s="8"/>
      <c r="M592" s="8"/>
      <c r="N592" s="8"/>
      <c r="O592" s="8"/>
    </row>
    <row r="593">
      <c r="A593" s="2" t="s">
        <v>621</v>
      </c>
      <c r="B593" s="26" t="s">
        <v>2625</v>
      </c>
      <c r="C593" s="26" t="s">
        <v>2626</v>
      </c>
      <c r="D593" s="8"/>
      <c r="L593" s="8"/>
      <c r="M593" s="8"/>
      <c r="N593" s="8"/>
      <c r="O593" s="8"/>
    </row>
    <row r="594">
      <c r="A594" s="2" t="s">
        <v>622</v>
      </c>
      <c r="B594" s="26" t="s">
        <v>2627</v>
      </c>
      <c r="C594" s="26" t="s">
        <v>2628</v>
      </c>
      <c r="D594" s="8"/>
      <c r="L594" s="8"/>
      <c r="M594" s="8"/>
      <c r="N594" s="8"/>
      <c r="O594" s="8"/>
    </row>
    <row r="595">
      <c r="A595" s="2" t="s">
        <v>623</v>
      </c>
      <c r="B595" s="26" t="s">
        <v>2629</v>
      </c>
      <c r="C595" s="26" t="s">
        <v>2630</v>
      </c>
      <c r="D595" s="8"/>
      <c r="L595" s="8"/>
      <c r="M595" s="8"/>
      <c r="N595" s="8"/>
      <c r="O595" s="8"/>
    </row>
    <row r="596">
      <c r="A596" s="2" t="s">
        <v>624</v>
      </c>
      <c r="B596" s="26" t="s">
        <v>2631</v>
      </c>
      <c r="C596" s="26" t="s">
        <v>2632</v>
      </c>
      <c r="D596" s="8"/>
      <c r="L596" s="8"/>
      <c r="M596" s="8"/>
      <c r="N596" s="8"/>
      <c r="O596" s="8"/>
    </row>
    <row r="597">
      <c r="A597" s="2" t="s">
        <v>625</v>
      </c>
      <c r="B597" s="26" t="s">
        <v>2633</v>
      </c>
      <c r="C597" s="26" t="s">
        <v>2634</v>
      </c>
      <c r="D597" s="8"/>
      <c r="L597" s="8"/>
      <c r="M597" s="8"/>
      <c r="N597" s="8"/>
      <c r="O597" s="8"/>
    </row>
    <row r="598">
      <c r="A598" s="2" t="s">
        <v>626</v>
      </c>
      <c r="B598" s="26" t="s">
        <v>2635</v>
      </c>
      <c r="C598" s="26" t="s">
        <v>2636</v>
      </c>
      <c r="D598" s="8"/>
      <c r="L598" s="8"/>
      <c r="M598" s="8"/>
      <c r="N598" s="8"/>
      <c r="O598" s="8"/>
    </row>
    <row r="599">
      <c r="A599" s="2" t="s">
        <v>627</v>
      </c>
      <c r="B599" s="26" t="s">
        <v>2637</v>
      </c>
      <c r="C599" s="26" t="s">
        <v>2638</v>
      </c>
      <c r="D599" s="8"/>
      <c r="L599" s="8"/>
      <c r="M599" s="8"/>
      <c r="N599" s="8"/>
      <c r="O599" s="8"/>
    </row>
    <row r="600">
      <c r="A600" s="2" t="s">
        <v>628</v>
      </c>
      <c r="B600" s="26" t="s">
        <v>2639</v>
      </c>
      <c r="C600" s="26" t="s">
        <v>2640</v>
      </c>
      <c r="D600" s="8"/>
      <c r="L600" s="8"/>
      <c r="M600" s="8"/>
      <c r="N600" s="8"/>
      <c r="O600" s="8"/>
    </row>
    <row r="601">
      <c r="A601" s="2" t="s">
        <v>629</v>
      </c>
      <c r="B601" s="26" t="s">
        <v>2641</v>
      </c>
      <c r="C601" s="26" t="s">
        <v>2642</v>
      </c>
      <c r="D601" s="8"/>
      <c r="L601" s="8"/>
      <c r="M601" s="8"/>
      <c r="N601" s="8"/>
      <c r="O601" s="8"/>
    </row>
    <row r="602">
      <c r="A602" s="2" t="s">
        <v>630</v>
      </c>
      <c r="B602" s="26" t="s">
        <v>2643</v>
      </c>
      <c r="C602" s="26" t="s">
        <v>2644</v>
      </c>
      <c r="D602" s="8"/>
      <c r="L602" s="8"/>
      <c r="M602" s="8"/>
      <c r="N602" s="8"/>
      <c r="O602" s="8"/>
    </row>
    <row r="603">
      <c r="A603" s="2" t="s">
        <v>631</v>
      </c>
      <c r="B603" s="26" t="s">
        <v>2645</v>
      </c>
      <c r="C603" s="26" t="s">
        <v>2646</v>
      </c>
      <c r="D603" s="8"/>
      <c r="L603" s="8"/>
      <c r="M603" s="8"/>
      <c r="N603" s="8"/>
      <c r="O603" s="8"/>
    </row>
    <row r="604">
      <c r="A604" s="2" t="s">
        <v>632</v>
      </c>
      <c r="B604" s="26" t="s">
        <v>2647</v>
      </c>
      <c r="C604" s="26" t="s">
        <v>2648</v>
      </c>
      <c r="D604" s="8"/>
      <c r="L604" s="8"/>
      <c r="M604" s="8"/>
      <c r="N604" s="8"/>
      <c r="O604" s="8"/>
    </row>
    <row r="605">
      <c r="A605" s="2" t="s">
        <v>633</v>
      </c>
      <c r="B605" s="26" t="s">
        <v>2649</v>
      </c>
      <c r="C605" s="26" t="s">
        <v>2650</v>
      </c>
      <c r="D605" s="8"/>
      <c r="L605" s="8"/>
      <c r="M605" s="8"/>
      <c r="N605" s="8"/>
      <c r="O605" s="8"/>
    </row>
    <row r="606">
      <c r="A606" s="2" t="s">
        <v>634</v>
      </c>
      <c r="B606" s="26" t="s">
        <v>2651</v>
      </c>
      <c r="C606" s="26" t="s">
        <v>2652</v>
      </c>
      <c r="D606" s="8"/>
      <c r="L606" s="8"/>
      <c r="M606" s="8"/>
      <c r="N606" s="8"/>
      <c r="O606" s="8"/>
    </row>
    <row r="607">
      <c r="A607" s="2" t="s">
        <v>635</v>
      </c>
      <c r="B607" s="26" t="s">
        <v>2653</v>
      </c>
      <c r="C607" s="26" t="s">
        <v>2654</v>
      </c>
      <c r="D607" s="8"/>
      <c r="L607" s="8"/>
      <c r="M607" s="8"/>
      <c r="N607" s="8"/>
      <c r="O607" s="8"/>
    </row>
    <row r="608">
      <c r="A608" s="2" t="s">
        <v>636</v>
      </c>
      <c r="B608" s="26" t="s">
        <v>2655</v>
      </c>
      <c r="C608" s="26" t="s">
        <v>2656</v>
      </c>
      <c r="D608" s="8"/>
      <c r="L608" s="8"/>
      <c r="M608" s="8"/>
      <c r="N608" s="8"/>
      <c r="O608" s="8"/>
    </row>
    <row r="609">
      <c r="A609" s="2" t="s">
        <v>637</v>
      </c>
      <c r="B609" s="26" t="s">
        <v>2657</v>
      </c>
      <c r="C609" s="26" t="s">
        <v>2658</v>
      </c>
      <c r="D609" s="8"/>
      <c r="L609" s="8"/>
      <c r="M609" s="8"/>
      <c r="N609" s="8"/>
      <c r="O609" s="8"/>
    </row>
    <row r="610">
      <c r="A610" s="2" t="s">
        <v>638</v>
      </c>
      <c r="B610" s="26" t="s">
        <v>2659</v>
      </c>
      <c r="C610" s="26" t="s">
        <v>2660</v>
      </c>
      <c r="D610" s="8"/>
      <c r="L610" s="8"/>
      <c r="M610" s="8"/>
      <c r="N610" s="8"/>
      <c r="O610" s="8"/>
    </row>
    <row r="611">
      <c r="A611" s="2" t="s">
        <v>639</v>
      </c>
      <c r="B611" s="26" t="s">
        <v>2661</v>
      </c>
      <c r="C611" s="26" t="s">
        <v>2662</v>
      </c>
      <c r="D611" s="8"/>
      <c r="L611" s="8"/>
      <c r="M611" s="8"/>
      <c r="N611" s="8"/>
      <c r="O611" s="8"/>
    </row>
    <row r="612">
      <c r="A612" s="2" t="s">
        <v>640</v>
      </c>
      <c r="B612" s="26" t="s">
        <v>2663</v>
      </c>
      <c r="C612" s="26" t="s">
        <v>2664</v>
      </c>
      <c r="D612" s="8"/>
      <c r="L612" s="8"/>
      <c r="M612" s="8"/>
      <c r="N612" s="8"/>
      <c r="O612" s="8"/>
    </row>
    <row r="613">
      <c r="A613" s="2" t="s">
        <v>641</v>
      </c>
      <c r="B613" s="26" t="s">
        <v>2665</v>
      </c>
      <c r="C613" s="26" t="s">
        <v>2666</v>
      </c>
      <c r="D613" s="8"/>
      <c r="L613" s="8"/>
      <c r="M613" s="8"/>
      <c r="N613" s="8"/>
      <c r="O613" s="8"/>
    </row>
    <row r="614">
      <c r="A614" s="2" t="s">
        <v>642</v>
      </c>
      <c r="B614" s="26" t="s">
        <v>2667</v>
      </c>
      <c r="C614" s="26" t="s">
        <v>2668</v>
      </c>
      <c r="D614" s="8"/>
      <c r="L614" s="8"/>
      <c r="M614" s="8"/>
      <c r="N614" s="8"/>
      <c r="O614" s="8"/>
    </row>
    <row r="615">
      <c r="A615" s="2" t="s">
        <v>643</v>
      </c>
      <c r="B615" s="26" t="s">
        <v>2669</v>
      </c>
      <c r="C615" s="26" t="s">
        <v>2670</v>
      </c>
      <c r="D615" s="8"/>
      <c r="L615" s="8"/>
      <c r="M615" s="8"/>
      <c r="N615" s="8"/>
      <c r="O615" s="8"/>
    </row>
    <row r="616">
      <c r="A616" s="2" t="s">
        <v>644</v>
      </c>
      <c r="B616" s="26" t="s">
        <v>2671</v>
      </c>
      <c r="C616" s="26" t="s">
        <v>2672</v>
      </c>
      <c r="D616" s="8"/>
      <c r="L616" s="8"/>
      <c r="M616" s="8"/>
      <c r="N616" s="8"/>
      <c r="O616" s="8"/>
    </row>
    <row r="617">
      <c r="A617" s="2" t="s">
        <v>645</v>
      </c>
      <c r="B617" s="26" t="s">
        <v>2673</v>
      </c>
      <c r="C617" s="26" t="s">
        <v>2674</v>
      </c>
      <c r="D617" s="8"/>
      <c r="L617" s="8"/>
      <c r="M617" s="8"/>
      <c r="N617" s="8"/>
      <c r="O617" s="8"/>
    </row>
    <row r="618">
      <c r="A618" s="2" t="s">
        <v>646</v>
      </c>
      <c r="B618" s="26" t="s">
        <v>2675</v>
      </c>
      <c r="C618" s="26" t="s">
        <v>2676</v>
      </c>
      <c r="D618" s="8"/>
      <c r="L618" s="8"/>
      <c r="M618" s="8"/>
      <c r="N618" s="8"/>
      <c r="O618" s="8"/>
    </row>
    <row r="619">
      <c r="A619" s="2" t="s">
        <v>647</v>
      </c>
      <c r="B619" s="26" t="s">
        <v>2677</v>
      </c>
      <c r="C619" s="26" t="s">
        <v>2678</v>
      </c>
      <c r="D619" s="8"/>
      <c r="L619" s="8"/>
      <c r="M619" s="8"/>
      <c r="N619" s="8"/>
      <c r="O619" s="8"/>
    </row>
    <row r="620">
      <c r="A620" s="2" t="s">
        <v>648</v>
      </c>
      <c r="B620" s="26" t="s">
        <v>2679</v>
      </c>
      <c r="C620" s="26" t="s">
        <v>2680</v>
      </c>
      <c r="D620" s="8"/>
      <c r="L620" s="8"/>
      <c r="M620" s="8"/>
      <c r="N620" s="8"/>
      <c r="O620" s="8"/>
    </row>
    <row r="621">
      <c r="A621" s="2" t="s">
        <v>649</v>
      </c>
      <c r="B621" s="26" t="s">
        <v>2681</v>
      </c>
      <c r="C621" s="26" t="s">
        <v>2682</v>
      </c>
      <c r="D621" s="8"/>
      <c r="L621" s="8"/>
      <c r="M621" s="8"/>
      <c r="N621" s="8"/>
      <c r="O621" s="8"/>
    </row>
    <row r="622">
      <c r="A622" s="2" t="s">
        <v>650</v>
      </c>
      <c r="B622" s="26" t="s">
        <v>2683</v>
      </c>
      <c r="C622" s="26" t="s">
        <v>2684</v>
      </c>
      <c r="D622" s="8"/>
      <c r="L622" s="8"/>
      <c r="M622" s="8"/>
      <c r="N622" s="8"/>
      <c r="O622" s="8"/>
    </row>
    <row r="623">
      <c r="A623" s="2" t="s">
        <v>651</v>
      </c>
      <c r="B623" s="26" t="s">
        <v>2685</v>
      </c>
      <c r="C623" s="26" t="s">
        <v>2686</v>
      </c>
      <c r="D623" s="8"/>
      <c r="L623" s="8"/>
      <c r="M623" s="8"/>
      <c r="N623" s="8"/>
      <c r="O623" s="8"/>
    </row>
    <row r="624">
      <c r="A624" s="2" t="s">
        <v>652</v>
      </c>
      <c r="B624" s="26" t="s">
        <v>2687</v>
      </c>
      <c r="C624" s="26" t="s">
        <v>2688</v>
      </c>
      <c r="D624" s="8"/>
      <c r="L624" s="8"/>
      <c r="M624" s="8"/>
      <c r="N624" s="8"/>
      <c r="O624" s="8"/>
    </row>
    <row r="625">
      <c r="A625" s="2" t="s">
        <v>653</v>
      </c>
      <c r="B625" s="26" t="s">
        <v>2689</v>
      </c>
      <c r="C625" s="26" t="s">
        <v>2690</v>
      </c>
      <c r="D625" s="8"/>
      <c r="L625" s="8"/>
      <c r="M625" s="8"/>
      <c r="N625" s="8"/>
      <c r="O625" s="8"/>
    </row>
    <row r="626">
      <c r="A626" s="2" t="s">
        <v>654</v>
      </c>
      <c r="B626" s="26" t="s">
        <v>2691</v>
      </c>
      <c r="C626" s="26" t="s">
        <v>2692</v>
      </c>
      <c r="D626" s="8"/>
      <c r="L626" s="8"/>
      <c r="M626" s="8"/>
      <c r="N626" s="8"/>
      <c r="O626" s="8"/>
    </row>
    <row r="627">
      <c r="A627" s="2" t="s">
        <v>655</v>
      </c>
      <c r="B627" s="26" t="s">
        <v>2693</v>
      </c>
      <c r="C627" s="26" t="s">
        <v>2694</v>
      </c>
      <c r="D627" s="8"/>
      <c r="L627" s="8"/>
      <c r="M627" s="8"/>
      <c r="N627" s="8"/>
      <c r="O627" s="8"/>
    </row>
    <row r="628">
      <c r="A628" s="2" t="s">
        <v>656</v>
      </c>
      <c r="B628" s="26" t="s">
        <v>2695</v>
      </c>
      <c r="C628" s="26" t="s">
        <v>2696</v>
      </c>
      <c r="D628" s="8"/>
      <c r="L628" s="8"/>
      <c r="M628" s="8"/>
      <c r="N628" s="8"/>
      <c r="O628" s="8"/>
    </row>
    <row r="629">
      <c r="A629" s="2" t="s">
        <v>657</v>
      </c>
      <c r="B629" s="26" t="s">
        <v>2697</v>
      </c>
      <c r="C629" s="26" t="s">
        <v>2698</v>
      </c>
      <c r="D629" s="8"/>
      <c r="L629" s="8"/>
      <c r="M629" s="8"/>
      <c r="N629" s="8"/>
      <c r="O629" s="8"/>
    </row>
    <row r="630">
      <c r="A630" s="2" t="s">
        <v>658</v>
      </c>
      <c r="B630" s="26" t="s">
        <v>2699</v>
      </c>
      <c r="C630" s="26" t="s">
        <v>2700</v>
      </c>
      <c r="D630" s="8"/>
      <c r="L630" s="8"/>
      <c r="M630" s="8"/>
      <c r="N630" s="8"/>
      <c r="O630" s="8"/>
    </row>
    <row r="631">
      <c r="A631" s="2" t="s">
        <v>659</v>
      </c>
      <c r="B631" s="26" t="s">
        <v>2701</v>
      </c>
      <c r="C631" s="26" t="s">
        <v>2702</v>
      </c>
      <c r="D631" s="8"/>
      <c r="L631" s="8"/>
      <c r="M631" s="8"/>
      <c r="N631" s="8"/>
      <c r="O631" s="8"/>
    </row>
    <row r="632">
      <c r="A632" s="2" t="s">
        <v>660</v>
      </c>
      <c r="B632" s="26" t="s">
        <v>2703</v>
      </c>
      <c r="C632" s="26" t="s">
        <v>2704</v>
      </c>
      <c r="D632" s="8"/>
      <c r="L632" s="8"/>
      <c r="M632" s="8"/>
      <c r="N632" s="8"/>
      <c r="O632" s="8"/>
    </row>
    <row r="633">
      <c r="A633" s="2" t="s">
        <v>661</v>
      </c>
      <c r="B633" s="26" t="s">
        <v>2705</v>
      </c>
      <c r="C633" s="26" t="s">
        <v>2706</v>
      </c>
      <c r="D633" s="8"/>
      <c r="L633" s="8"/>
      <c r="M633" s="8"/>
      <c r="N633" s="8"/>
      <c r="O633" s="8"/>
    </row>
    <row r="634">
      <c r="A634" s="2" t="s">
        <v>662</v>
      </c>
      <c r="B634" s="26" t="s">
        <v>2707</v>
      </c>
      <c r="C634" s="26" t="s">
        <v>2708</v>
      </c>
      <c r="D634" s="8"/>
      <c r="L634" s="8"/>
      <c r="M634" s="8"/>
      <c r="N634" s="8"/>
      <c r="O634" s="8"/>
    </row>
    <row r="635">
      <c r="A635" s="2" t="s">
        <v>663</v>
      </c>
      <c r="B635" s="26" t="s">
        <v>2709</v>
      </c>
      <c r="C635" s="26" t="s">
        <v>2710</v>
      </c>
      <c r="D635" s="8"/>
      <c r="L635" s="8"/>
      <c r="M635" s="8"/>
      <c r="N635" s="8"/>
      <c r="O635" s="8"/>
    </row>
    <row r="636">
      <c r="A636" s="2" t="s">
        <v>664</v>
      </c>
      <c r="B636" s="26" t="s">
        <v>2711</v>
      </c>
      <c r="C636" s="26" t="s">
        <v>2712</v>
      </c>
      <c r="D636" s="8"/>
      <c r="L636" s="8"/>
      <c r="M636" s="8"/>
      <c r="N636" s="8"/>
      <c r="O636" s="8"/>
    </row>
    <row r="637">
      <c r="A637" s="2" t="s">
        <v>665</v>
      </c>
      <c r="B637" s="26" t="s">
        <v>2713</v>
      </c>
      <c r="C637" s="26" t="s">
        <v>2714</v>
      </c>
      <c r="D637" s="8"/>
      <c r="L637" s="8"/>
      <c r="M637" s="8"/>
      <c r="N637" s="8"/>
      <c r="O637" s="8"/>
    </row>
    <row r="638">
      <c r="A638" s="2" t="s">
        <v>666</v>
      </c>
      <c r="B638" s="26" t="s">
        <v>2715</v>
      </c>
      <c r="C638" s="26" t="s">
        <v>2716</v>
      </c>
      <c r="D638" s="8"/>
      <c r="L638" s="8"/>
      <c r="M638" s="8"/>
      <c r="N638" s="8"/>
      <c r="O638" s="8"/>
    </row>
    <row r="639">
      <c r="A639" s="2" t="s">
        <v>667</v>
      </c>
      <c r="B639" s="26" t="s">
        <v>2717</v>
      </c>
      <c r="C639" s="26" t="s">
        <v>2718</v>
      </c>
      <c r="D639" s="8"/>
      <c r="L639" s="8"/>
      <c r="M639" s="8"/>
      <c r="N639" s="8"/>
      <c r="O639" s="8"/>
    </row>
    <row r="640">
      <c r="A640" s="2" t="s">
        <v>668</v>
      </c>
      <c r="B640" s="26" t="s">
        <v>2719</v>
      </c>
      <c r="C640" s="26" t="s">
        <v>2720</v>
      </c>
      <c r="D640" s="8"/>
      <c r="L640" s="8"/>
      <c r="M640" s="8"/>
      <c r="N640" s="8"/>
      <c r="O640" s="8"/>
    </row>
    <row r="641">
      <c r="A641" s="2" t="s">
        <v>669</v>
      </c>
      <c r="B641" s="26" t="s">
        <v>2721</v>
      </c>
      <c r="C641" s="26" t="s">
        <v>2722</v>
      </c>
      <c r="D641" s="8"/>
      <c r="L641" s="8"/>
      <c r="M641" s="8"/>
      <c r="N641" s="8"/>
      <c r="O641" s="8"/>
    </row>
    <row r="642">
      <c r="A642" s="2" t="s">
        <v>670</v>
      </c>
      <c r="B642" s="26" t="s">
        <v>2723</v>
      </c>
      <c r="C642" s="26" t="s">
        <v>2724</v>
      </c>
      <c r="D642" s="8"/>
      <c r="L642" s="8"/>
      <c r="M642" s="8"/>
      <c r="N642" s="8"/>
      <c r="O642" s="8"/>
    </row>
    <row r="643">
      <c r="A643" s="2" t="s">
        <v>671</v>
      </c>
      <c r="B643" s="26" t="s">
        <v>2725</v>
      </c>
      <c r="C643" s="26" t="s">
        <v>2726</v>
      </c>
      <c r="D643" s="8"/>
      <c r="L643" s="8"/>
      <c r="M643" s="8"/>
      <c r="N643" s="8"/>
      <c r="O643" s="8"/>
    </row>
    <row r="644">
      <c r="A644" s="2" t="s">
        <v>672</v>
      </c>
      <c r="B644" s="26" t="s">
        <v>2727</v>
      </c>
      <c r="C644" s="26" t="s">
        <v>2728</v>
      </c>
      <c r="D644" s="8"/>
      <c r="L644" s="8"/>
      <c r="M644" s="8"/>
      <c r="N644" s="8"/>
      <c r="O644" s="8"/>
    </row>
    <row r="645">
      <c r="A645" s="2" t="s">
        <v>673</v>
      </c>
      <c r="B645" s="26" t="s">
        <v>2729</v>
      </c>
      <c r="C645" s="26" t="s">
        <v>2730</v>
      </c>
      <c r="D645" s="8"/>
      <c r="L645" s="8"/>
      <c r="M645" s="8"/>
      <c r="N645" s="8"/>
      <c r="O645" s="8"/>
    </row>
    <row r="646">
      <c r="A646" s="2" t="s">
        <v>674</v>
      </c>
      <c r="B646" s="26" t="s">
        <v>2731</v>
      </c>
      <c r="C646" s="26" t="s">
        <v>2732</v>
      </c>
      <c r="D646" s="8"/>
      <c r="L646" s="8"/>
      <c r="M646" s="8"/>
      <c r="N646" s="8"/>
      <c r="O646" s="8"/>
    </row>
    <row r="647">
      <c r="A647" s="2" t="s">
        <v>675</v>
      </c>
      <c r="B647" s="26" t="s">
        <v>2733</v>
      </c>
      <c r="C647" s="26" t="s">
        <v>2734</v>
      </c>
      <c r="D647" s="8"/>
      <c r="L647" s="8"/>
      <c r="M647" s="8"/>
      <c r="N647" s="8"/>
      <c r="O647" s="8"/>
    </row>
    <row r="648">
      <c r="A648" s="2" t="s">
        <v>676</v>
      </c>
      <c r="B648" s="26" t="s">
        <v>2735</v>
      </c>
      <c r="C648" s="26" t="s">
        <v>2736</v>
      </c>
      <c r="D648" s="8"/>
      <c r="L648" s="8"/>
      <c r="M648" s="8"/>
      <c r="N648" s="8"/>
      <c r="O648" s="8"/>
    </row>
    <row r="649">
      <c r="A649" s="2" t="s">
        <v>677</v>
      </c>
      <c r="B649" s="26" t="s">
        <v>2737</v>
      </c>
      <c r="C649" s="26" t="s">
        <v>2738</v>
      </c>
      <c r="D649" s="8"/>
      <c r="L649" s="8"/>
      <c r="M649" s="8"/>
      <c r="N649" s="8"/>
      <c r="O649" s="8"/>
    </row>
    <row r="650">
      <c r="A650" s="2" t="s">
        <v>678</v>
      </c>
      <c r="B650" s="26" t="s">
        <v>2739</v>
      </c>
      <c r="C650" s="26" t="s">
        <v>2740</v>
      </c>
      <c r="D650" s="8"/>
      <c r="L650" s="8"/>
      <c r="M650" s="8"/>
      <c r="N650" s="8"/>
      <c r="O650" s="8"/>
    </row>
    <row r="651">
      <c r="A651" s="2" t="s">
        <v>679</v>
      </c>
      <c r="B651" s="26" t="s">
        <v>2741</v>
      </c>
      <c r="C651" s="26" t="s">
        <v>2742</v>
      </c>
      <c r="D651" s="8"/>
      <c r="L651" s="8"/>
      <c r="M651" s="8"/>
      <c r="N651" s="8"/>
      <c r="O651" s="8"/>
    </row>
    <row r="652">
      <c r="A652" s="2" t="s">
        <v>680</v>
      </c>
      <c r="B652" s="26" t="s">
        <v>2743</v>
      </c>
      <c r="C652" s="26" t="s">
        <v>2744</v>
      </c>
      <c r="D652" s="8"/>
      <c r="L652" s="8"/>
      <c r="M652" s="8"/>
      <c r="N652" s="8"/>
      <c r="O652" s="8"/>
    </row>
    <row r="653">
      <c r="A653" s="2" t="s">
        <v>681</v>
      </c>
      <c r="B653" s="26" t="s">
        <v>2745</v>
      </c>
      <c r="C653" s="26" t="s">
        <v>2746</v>
      </c>
      <c r="D653" s="8"/>
      <c r="L653" s="8"/>
      <c r="M653" s="8"/>
      <c r="N653" s="8"/>
      <c r="O653" s="8"/>
    </row>
    <row r="654">
      <c r="A654" s="2" t="s">
        <v>682</v>
      </c>
      <c r="B654" s="26" t="s">
        <v>2747</v>
      </c>
      <c r="C654" s="26" t="s">
        <v>2748</v>
      </c>
      <c r="D654" s="8"/>
      <c r="L654" s="8"/>
      <c r="M654" s="8"/>
      <c r="N654" s="8"/>
      <c r="O654" s="8"/>
    </row>
    <row r="655">
      <c r="A655" s="2" t="s">
        <v>683</v>
      </c>
      <c r="B655" s="26" t="s">
        <v>2749</v>
      </c>
      <c r="C655" s="26" t="s">
        <v>2750</v>
      </c>
      <c r="D655" s="8"/>
      <c r="L655" s="8"/>
      <c r="M655" s="8"/>
      <c r="N655" s="8"/>
      <c r="O655" s="8"/>
    </row>
    <row r="656">
      <c r="A656" s="2" t="s">
        <v>684</v>
      </c>
      <c r="B656" s="26" t="s">
        <v>2751</v>
      </c>
      <c r="C656" s="26" t="s">
        <v>2752</v>
      </c>
      <c r="D656" s="8"/>
      <c r="L656" s="8"/>
      <c r="M656" s="8"/>
      <c r="N656" s="8"/>
      <c r="O656" s="8"/>
    </row>
    <row r="657">
      <c r="A657" s="2" t="s">
        <v>685</v>
      </c>
      <c r="B657" s="26" t="s">
        <v>2753</v>
      </c>
      <c r="C657" s="26" t="s">
        <v>2754</v>
      </c>
      <c r="D657" s="8"/>
      <c r="L657" s="8"/>
      <c r="M657" s="8"/>
      <c r="N657" s="8"/>
      <c r="O657" s="8"/>
    </row>
    <row r="658">
      <c r="A658" s="2" t="s">
        <v>686</v>
      </c>
      <c r="B658" s="26" t="s">
        <v>2755</v>
      </c>
      <c r="C658" s="26" t="s">
        <v>2756</v>
      </c>
      <c r="D658" s="8"/>
      <c r="L658" s="8"/>
      <c r="M658" s="8"/>
      <c r="N658" s="8"/>
      <c r="O658" s="8"/>
    </row>
    <row r="659">
      <c r="A659" s="2" t="s">
        <v>687</v>
      </c>
      <c r="B659" s="26" t="s">
        <v>2757</v>
      </c>
      <c r="C659" s="26" t="s">
        <v>2758</v>
      </c>
      <c r="D659" s="8"/>
      <c r="L659" s="8"/>
      <c r="M659" s="8"/>
      <c r="N659" s="8"/>
      <c r="O659" s="8"/>
    </row>
    <row r="660">
      <c r="A660" s="2" t="s">
        <v>688</v>
      </c>
      <c r="B660" s="26" t="s">
        <v>2759</v>
      </c>
      <c r="C660" s="26" t="s">
        <v>2760</v>
      </c>
      <c r="D660" s="8"/>
      <c r="L660" s="8"/>
      <c r="M660" s="8"/>
      <c r="N660" s="8"/>
      <c r="O660" s="8"/>
    </row>
    <row r="661">
      <c r="A661" s="2" t="s">
        <v>689</v>
      </c>
      <c r="B661" s="26" t="s">
        <v>2761</v>
      </c>
      <c r="C661" s="26" t="s">
        <v>2762</v>
      </c>
      <c r="D661" s="8"/>
      <c r="L661" s="8"/>
      <c r="M661" s="8"/>
      <c r="N661" s="8"/>
      <c r="O661" s="8"/>
    </row>
    <row r="662">
      <c r="A662" s="2" t="s">
        <v>690</v>
      </c>
      <c r="B662" s="26" t="s">
        <v>2763</v>
      </c>
      <c r="C662" s="26" t="s">
        <v>2764</v>
      </c>
      <c r="D662" s="8"/>
      <c r="L662" s="8"/>
      <c r="M662" s="8"/>
      <c r="N662" s="8"/>
      <c r="O662" s="8"/>
    </row>
    <row r="663">
      <c r="A663" s="2" t="s">
        <v>691</v>
      </c>
      <c r="B663" s="26" t="s">
        <v>2765</v>
      </c>
      <c r="C663" s="26" t="s">
        <v>2766</v>
      </c>
      <c r="D663" s="8"/>
      <c r="L663" s="8"/>
      <c r="M663" s="8"/>
      <c r="N663" s="8"/>
      <c r="O663" s="8"/>
    </row>
    <row r="664">
      <c r="A664" s="2" t="s">
        <v>692</v>
      </c>
      <c r="B664" s="26" t="s">
        <v>2767</v>
      </c>
      <c r="C664" s="26" t="s">
        <v>2768</v>
      </c>
      <c r="D664" s="8"/>
      <c r="L664" s="8"/>
      <c r="M664" s="8"/>
      <c r="N664" s="8"/>
      <c r="O664" s="8"/>
    </row>
    <row r="665">
      <c r="A665" s="2" t="s">
        <v>693</v>
      </c>
      <c r="B665" s="26" t="s">
        <v>2769</v>
      </c>
      <c r="C665" s="26" t="s">
        <v>2770</v>
      </c>
      <c r="D665" s="8"/>
      <c r="L665" s="8"/>
      <c r="M665" s="8"/>
      <c r="N665" s="8"/>
      <c r="O665" s="8"/>
    </row>
    <row r="666">
      <c r="A666" s="2" t="s">
        <v>694</v>
      </c>
      <c r="B666" s="26" t="s">
        <v>2771</v>
      </c>
      <c r="C666" s="26" t="s">
        <v>2772</v>
      </c>
      <c r="D666" s="8"/>
      <c r="L666" s="8"/>
      <c r="M666" s="8"/>
      <c r="N666" s="8"/>
      <c r="O666" s="8"/>
    </row>
    <row r="667">
      <c r="A667" s="2" t="s">
        <v>695</v>
      </c>
      <c r="B667" s="26" t="s">
        <v>2773</v>
      </c>
      <c r="C667" s="26" t="s">
        <v>2774</v>
      </c>
      <c r="D667" s="8"/>
      <c r="L667" s="8"/>
      <c r="M667" s="8"/>
      <c r="N667" s="8"/>
      <c r="O667" s="8"/>
    </row>
    <row r="668">
      <c r="A668" s="2" t="s">
        <v>696</v>
      </c>
      <c r="B668" s="26" t="s">
        <v>2775</v>
      </c>
      <c r="C668" s="26" t="s">
        <v>2776</v>
      </c>
      <c r="D668" s="8"/>
      <c r="L668" s="8"/>
      <c r="M668" s="8"/>
      <c r="N668" s="8"/>
      <c r="O668" s="8"/>
    </row>
    <row r="669">
      <c r="A669" s="2" t="s">
        <v>697</v>
      </c>
      <c r="B669" s="26" t="s">
        <v>2777</v>
      </c>
      <c r="C669" s="26" t="s">
        <v>2778</v>
      </c>
      <c r="D669" s="8"/>
      <c r="L669" s="8"/>
      <c r="M669" s="8"/>
      <c r="N669" s="8"/>
      <c r="O669" s="8"/>
    </row>
    <row r="670">
      <c r="A670" s="2" t="s">
        <v>698</v>
      </c>
      <c r="B670" s="26" t="s">
        <v>2779</v>
      </c>
      <c r="C670" s="26" t="s">
        <v>2780</v>
      </c>
      <c r="D670" s="8"/>
      <c r="L670" s="8"/>
      <c r="M670" s="8"/>
      <c r="N670" s="8"/>
      <c r="O670" s="8"/>
    </row>
    <row r="671">
      <c r="A671" s="2" t="s">
        <v>699</v>
      </c>
      <c r="B671" s="26" t="s">
        <v>2781</v>
      </c>
      <c r="C671" s="26" t="s">
        <v>2782</v>
      </c>
      <c r="D671" s="8"/>
      <c r="L671" s="8"/>
      <c r="M671" s="8"/>
      <c r="N671" s="8"/>
      <c r="O671" s="8"/>
    </row>
    <row r="672">
      <c r="A672" s="2" t="s">
        <v>700</v>
      </c>
      <c r="B672" s="26" t="s">
        <v>2783</v>
      </c>
      <c r="C672" s="26" t="s">
        <v>2784</v>
      </c>
      <c r="D672" s="8"/>
      <c r="L672" s="8"/>
      <c r="M672" s="8"/>
      <c r="N672" s="8"/>
      <c r="O672" s="8"/>
    </row>
    <row r="673">
      <c r="A673" s="2" t="s">
        <v>701</v>
      </c>
      <c r="B673" s="26" t="s">
        <v>2785</v>
      </c>
      <c r="C673" s="26" t="s">
        <v>2786</v>
      </c>
      <c r="D673" s="8"/>
      <c r="L673" s="8"/>
      <c r="M673" s="8"/>
      <c r="N673" s="8"/>
      <c r="O673" s="8"/>
    </row>
    <row r="674">
      <c r="A674" s="2" t="s">
        <v>702</v>
      </c>
      <c r="B674" s="26" t="s">
        <v>2787</v>
      </c>
      <c r="C674" s="26" t="s">
        <v>2788</v>
      </c>
      <c r="D674" s="8"/>
      <c r="L674" s="8"/>
      <c r="M674" s="8"/>
      <c r="N674" s="8"/>
      <c r="O674" s="8"/>
    </row>
    <row r="675">
      <c r="A675" s="2" t="s">
        <v>703</v>
      </c>
      <c r="B675" s="26" t="s">
        <v>2789</v>
      </c>
      <c r="C675" s="26" t="s">
        <v>2790</v>
      </c>
      <c r="D675" s="8"/>
      <c r="L675" s="8"/>
      <c r="M675" s="8"/>
      <c r="N675" s="8"/>
      <c r="O675" s="8"/>
    </row>
    <row r="676">
      <c r="A676" s="2" t="s">
        <v>704</v>
      </c>
      <c r="B676" s="26" t="s">
        <v>2791</v>
      </c>
      <c r="C676" s="26" t="s">
        <v>2792</v>
      </c>
      <c r="D676" s="8"/>
      <c r="L676" s="8"/>
      <c r="M676" s="8"/>
      <c r="N676" s="8"/>
      <c r="O676" s="8"/>
    </row>
    <row r="677">
      <c r="A677" s="2" t="s">
        <v>705</v>
      </c>
      <c r="B677" s="26" t="s">
        <v>2793</v>
      </c>
      <c r="C677" s="26" t="s">
        <v>2794</v>
      </c>
      <c r="D677" s="8"/>
      <c r="L677" s="8"/>
      <c r="M677" s="8"/>
      <c r="N677" s="8"/>
      <c r="O677" s="8"/>
    </row>
    <row r="678">
      <c r="A678" s="2" t="s">
        <v>706</v>
      </c>
      <c r="B678" s="26" t="s">
        <v>2795</v>
      </c>
      <c r="C678" s="26" t="s">
        <v>2796</v>
      </c>
      <c r="D678" s="8"/>
      <c r="L678" s="8"/>
      <c r="M678" s="8"/>
      <c r="N678" s="8"/>
      <c r="O678" s="8"/>
    </row>
    <row r="679">
      <c r="A679" s="2" t="s">
        <v>707</v>
      </c>
      <c r="B679" s="26" t="s">
        <v>2797</v>
      </c>
      <c r="C679" s="26" t="s">
        <v>2798</v>
      </c>
      <c r="D679" s="8"/>
      <c r="L679" s="8"/>
      <c r="M679" s="8"/>
      <c r="N679" s="8"/>
      <c r="O679" s="8"/>
    </row>
    <row r="680">
      <c r="A680" s="2" t="s">
        <v>708</v>
      </c>
      <c r="B680" s="26" t="s">
        <v>2799</v>
      </c>
      <c r="C680" s="26" t="s">
        <v>2800</v>
      </c>
      <c r="D680" s="8"/>
      <c r="L680" s="8"/>
      <c r="M680" s="8"/>
      <c r="N680" s="8"/>
      <c r="O680" s="8"/>
    </row>
    <row r="681">
      <c r="A681" s="2" t="s">
        <v>709</v>
      </c>
      <c r="B681" s="26" t="s">
        <v>2801</v>
      </c>
      <c r="C681" s="26" t="s">
        <v>2802</v>
      </c>
      <c r="D681" s="8"/>
      <c r="L681" s="8"/>
      <c r="M681" s="8"/>
      <c r="N681" s="8"/>
      <c r="O681" s="8"/>
    </row>
    <row r="682">
      <c r="A682" s="2" t="s">
        <v>710</v>
      </c>
      <c r="B682" s="26" t="s">
        <v>2803</v>
      </c>
      <c r="C682" s="26" t="s">
        <v>2804</v>
      </c>
      <c r="D682" s="8"/>
      <c r="L682" s="8"/>
      <c r="M682" s="8"/>
      <c r="N682" s="8"/>
      <c r="O682" s="8"/>
    </row>
    <row r="683">
      <c r="A683" s="2" t="s">
        <v>711</v>
      </c>
      <c r="B683" s="26" t="s">
        <v>2805</v>
      </c>
      <c r="C683" s="26" t="s">
        <v>2806</v>
      </c>
      <c r="D683" s="8"/>
      <c r="L683" s="8"/>
      <c r="M683" s="8"/>
      <c r="N683" s="8"/>
      <c r="O683" s="8"/>
    </row>
    <row r="684">
      <c r="A684" s="2" t="s">
        <v>712</v>
      </c>
      <c r="B684" s="26" t="s">
        <v>2807</v>
      </c>
      <c r="C684" s="26" t="s">
        <v>2808</v>
      </c>
      <c r="D684" s="8"/>
      <c r="L684" s="8"/>
      <c r="M684" s="8"/>
      <c r="N684" s="8"/>
      <c r="O684" s="8"/>
    </row>
    <row r="685">
      <c r="A685" s="2" t="s">
        <v>713</v>
      </c>
      <c r="B685" s="26" t="s">
        <v>2809</v>
      </c>
      <c r="C685" s="26" t="s">
        <v>2810</v>
      </c>
      <c r="D685" s="8"/>
      <c r="L685" s="8"/>
      <c r="M685" s="8"/>
      <c r="N685" s="8"/>
      <c r="O685" s="8"/>
    </row>
    <row r="686">
      <c r="A686" s="2" t="s">
        <v>714</v>
      </c>
      <c r="B686" s="26" t="s">
        <v>2811</v>
      </c>
      <c r="C686" s="26" t="s">
        <v>2812</v>
      </c>
      <c r="D686" s="8"/>
      <c r="L686" s="8"/>
      <c r="M686" s="8"/>
      <c r="N686" s="8"/>
      <c r="O686" s="8"/>
    </row>
    <row r="687">
      <c r="A687" s="2" t="s">
        <v>715</v>
      </c>
      <c r="B687" s="26" t="s">
        <v>2813</v>
      </c>
      <c r="C687" s="26" t="s">
        <v>2814</v>
      </c>
      <c r="D687" s="8"/>
      <c r="L687" s="8"/>
      <c r="M687" s="8"/>
      <c r="N687" s="8"/>
      <c r="O687" s="8"/>
    </row>
    <row r="688">
      <c r="A688" s="2" t="s">
        <v>716</v>
      </c>
      <c r="B688" s="26" t="s">
        <v>2815</v>
      </c>
      <c r="C688" s="26" t="s">
        <v>2816</v>
      </c>
      <c r="D688" s="8"/>
      <c r="L688" s="8"/>
      <c r="M688" s="8"/>
      <c r="N688" s="8"/>
      <c r="O688" s="8"/>
    </row>
    <row r="689">
      <c r="A689" s="2" t="s">
        <v>717</v>
      </c>
      <c r="B689" s="26" t="s">
        <v>2817</v>
      </c>
      <c r="C689" s="26" t="s">
        <v>2818</v>
      </c>
      <c r="D689" s="8"/>
      <c r="L689" s="8"/>
      <c r="M689" s="8"/>
      <c r="N689" s="8"/>
      <c r="O689" s="8"/>
    </row>
    <row r="690">
      <c r="A690" s="2" t="s">
        <v>718</v>
      </c>
      <c r="B690" s="26" t="s">
        <v>2819</v>
      </c>
      <c r="C690" s="26" t="s">
        <v>2820</v>
      </c>
      <c r="D690" s="8"/>
      <c r="L690" s="8"/>
      <c r="M690" s="8"/>
      <c r="N690" s="8"/>
      <c r="O690" s="8"/>
    </row>
    <row r="691">
      <c r="A691" s="2" t="s">
        <v>719</v>
      </c>
      <c r="B691" s="26" t="s">
        <v>2821</v>
      </c>
      <c r="C691" s="26" t="s">
        <v>2822</v>
      </c>
      <c r="D691" s="8"/>
      <c r="L691" s="8"/>
      <c r="M691" s="8"/>
      <c r="N691" s="8"/>
      <c r="O691" s="8"/>
    </row>
    <row r="692">
      <c r="A692" s="2" t="s">
        <v>720</v>
      </c>
      <c r="B692" s="26" t="s">
        <v>2823</v>
      </c>
      <c r="C692" s="26" t="s">
        <v>2824</v>
      </c>
      <c r="D692" s="8"/>
      <c r="L692" s="8"/>
      <c r="M692" s="8"/>
      <c r="N692" s="8"/>
      <c r="O692" s="8"/>
    </row>
    <row r="693">
      <c r="A693" s="2" t="s">
        <v>721</v>
      </c>
      <c r="B693" s="26" t="s">
        <v>2825</v>
      </c>
      <c r="C693" s="26" t="s">
        <v>2826</v>
      </c>
      <c r="D693" s="8"/>
      <c r="L693" s="8"/>
      <c r="M693" s="8"/>
      <c r="N693" s="8"/>
      <c r="O693" s="8"/>
    </row>
    <row r="694">
      <c r="A694" s="2" t="s">
        <v>722</v>
      </c>
      <c r="B694" s="26" t="s">
        <v>2827</v>
      </c>
      <c r="C694" s="26" t="s">
        <v>2828</v>
      </c>
      <c r="D694" s="8"/>
      <c r="L694" s="8"/>
      <c r="M694" s="8"/>
      <c r="N694" s="8"/>
      <c r="O694" s="8"/>
    </row>
    <row r="695">
      <c r="A695" s="2" t="s">
        <v>723</v>
      </c>
      <c r="B695" s="26" t="s">
        <v>2829</v>
      </c>
      <c r="C695" s="26" t="s">
        <v>2830</v>
      </c>
      <c r="D695" s="8"/>
      <c r="L695" s="8"/>
      <c r="M695" s="8"/>
      <c r="N695" s="8"/>
      <c r="O695" s="8"/>
    </row>
    <row r="696">
      <c r="A696" s="2" t="s">
        <v>724</v>
      </c>
      <c r="B696" s="26" t="s">
        <v>2831</v>
      </c>
      <c r="C696" s="26" t="s">
        <v>2832</v>
      </c>
      <c r="D696" s="8"/>
      <c r="L696" s="8"/>
      <c r="M696" s="8"/>
      <c r="N696" s="8"/>
      <c r="O696" s="8"/>
    </row>
    <row r="697">
      <c r="A697" s="2" t="s">
        <v>725</v>
      </c>
      <c r="B697" s="26" t="s">
        <v>2833</v>
      </c>
      <c r="C697" s="26" t="s">
        <v>2834</v>
      </c>
      <c r="D697" s="8"/>
      <c r="L697" s="8"/>
      <c r="M697" s="8"/>
      <c r="N697" s="8"/>
      <c r="O697" s="8"/>
    </row>
    <row r="698">
      <c r="A698" s="2" t="s">
        <v>726</v>
      </c>
      <c r="B698" s="26" t="s">
        <v>2835</v>
      </c>
      <c r="C698" s="26" t="s">
        <v>2836</v>
      </c>
      <c r="D698" s="8"/>
      <c r="L698" s="8"/>
      <c r="M698" s="8"/>
      <c r="N698" s="8"/>
      <c r="O698" s="8"/>
    </row>
    <row r="699">
      <c r="A699" s="2" t="s">
        <v>727</v>
      </c>
      <c r="B699" s="26" t="s">
        <v>2837</v>
      </c>
      <c r="C699" s="26" t="s">
        <v>2838</v>
      </c>
      <c r="D699" s="8"/>
      <c r="L699" s="8"/>
      <c r="M699" s="8"/>
      <c r="N699" s="8"/>
      <c r="O699" s="8"/>
    </row>
    <row r="700">
      <c r="A700" s="2" t="s">
        <v>728</v>
      </c>
      <c r="B700" s="26" t="s">
        <v>2839</v>
      </c>
      <c r="C700" s="26" t="s">
        <v>2840</v>
      </c>
      <c r="D700" s="8"/>
      <c r="L700" s="8"/>
      <c r="M700" s="8"/>
      <c r="N700" s="8"/>
      <c r="O700" s="8"/>
    </row>
    <row r="701">
      <c r="A701" s="2" t="s">
        <v>729</v>
      </c>
      <c r="B701" s="26" t="s">
        <v>2841</v>
      </c>
      <c r="C701" s="26" t="s">
        <v>2842</v>
      </c>
      <c r="D701" s="8"/>
      <c r="L701" s="8"/>
      <c r="M701" s="8"/>
      <c r="N701" s="8"/>
      <c r="O701" s="8"/>
    </row>
    <row r="702">
      <c r="A702" s="8"/>
      <c r="B702" s="8"/>
      <c r="C702" s="8"/>
      <c r="D702" s="8"/>
      <c r="L702" s="8"/>
      <c r="M702" s="8"/>
      <c r="N702" s="8"/>
      <c r="O702" s="8"/>
    </row>
    <row r="703">
      <c r="A703" s="8"/>
      <c r="B703" s="8"/>
      <c r="C703" s="8"/>
      <c r="D703" s="8"/>
      <c r="L703" s="8"/>
      <c r="M703" s="8"/>
      <c r="N703" s="8"/>
      <c r="O703" s="8"/>
    </row>
    <row r="704">
      <c r="A704" s="8"/>
      <c r="B704" s="8"/>
      <c r="C704" s="8"/>
      <c r="D704" s="8"/>
      <c r="L704" s="8"/>
      <c r="M704" s="8"/>
      <c r="N704" s="8"/>
      <c r="O704" s="8"/>
    </row>
    <row r="705">
      <c r="A705" s="8"/>
      <c r="B705" s="8"/>
      <c r="C705" s="8"/>
      <c r="D705" s="8"/>
      <c r="L705" s="8"/>
      <c r="M705" s="8"/>
      <c r="N705" s="8"/>
      <c r="O705" s="8"/>
    </row>
    <row r="706">
      <c r="A706" s="8"/>
      <c r="B706" s="8"/>
      <c r="C706" s="8"/>
      <c r="D706" s="8"/>
      <c r="L706" s="8"/>
      <c r="M706" s="8"/>
      <c r="N706" s="8"/>
      <c r="O706" s="8"/>
    </row>
    <row r="707">
      <c r="A707" s="8"/>
      <c r="B707" s="8"/>
      <c r="C707" s="8"/>
      <c r="D707" s="8"/>
      <c r="L707" s="8"/>
      <c r="M707" s="8"/>
      <c r="N707" s="8"/>
      <c r="O707" s="8"/>
    </row>
    <row r="708">
      <c r="A708" s="8"/>
      <c r="B708" s="8"/>
      <c r="C708" s="8"/>
      <c r="D708" s="8"/>
      <c r="L708" s="8"/>
      <c r="M708" s="8"/>
      <c r="N708" s="8"/>
      <c r="O708" s="8"/>
    </row>
    <row r="709">
      <c r="A709" s="8"/>
      <c r="B709" s="8"/>
      <c r="C709" s="8"/>
      <c r="D709" s="8"/>
      <c r="L709" s="8"/>
      <c r="M709" s="8"/>
      <c r="N709" s="8"/>
      <c r="O709" s="8"/>
    </row>
    <row r="710">
      <c r="A710" s="8"/>
      <c r="B710" s="8"/>
      <c r="C710" s="8"/>
      <c r="D710" s="8"/>
      <c r="L710" s="8"/>
      <c r="M710" s="8"/>
      <c r="N710" s="8"/>
      <c r="O710" s="8"/>
    </row>
    <row r="711">
      <c r="A711" s="8"/>
      <c r="B711" s="8"/>
      <c r="C711" s="8"/>
      <c r="D711" s="8"/>
      <c r="L711" s="8"/>
      <c r="M711" s="8"/>
      <c r="N711" s="8"/>
      <c r="O711" s="8"/>
    </row>
    <row r="712">
      <c r="A712" s="8"/>
      <c r="B712" s="8"/>
      <c r="C712" s="8"/>
      <c r="D712" s="8"/>
      <c r="L712" s="8"/>
      <c r="M712" s="8"/>
      <c r="N712" s="8"/>
      <c r="O712" s="8"/>
    </row>
    <row r="713">
      <c r="A713" s="8"/>
      <c r="B713" s="8"/>
      <c r="C713" s="8"/>
      <c r="D713" s="8"/>
      <c r="L713" s="8"/>
      <c r="M713" s="8"/>
      <c r="N713" s="8"/>
      <c r="O713" s="8"/>
    </row>
    <row r="714">
      <c r="A714" s="8"/>
      <c r="B714" s="8"/>
      <c r="C714" s="8"/>
      <c r="D714" s="8"/>
      <c r="L714" s="8"/>
      <c r="M714" s="8"/>
      <c r="N714" s="8"/>
      <c r="O714" s="8"/>
    </row>
    <row r="715">
      <c r="A715" s="8"/>
      <c r="B715" s="8"/>
      <c r="C715" s="8"/>
      <c r="D715" s="8"/>
      <c r="L715" s="8"/>
      <c r="M715" s="8"/>
      <c r="N715" s="8"/>
      <c r="O715" s="8"/>
    </row>
    <row r="716">
      <c r="A716" s="8"/>
      <c r="B716" s="8"/>
      <c r="C716" s="8"/>
      <c r="D716" s="8"/>
      <c r="L716" s="8"/>
      <c r="M716" s="8"/>
      <c r="N716" s="8"/>
      <c r="O716" s="8"/>
    </row>
    <row r="717">
      <c r="A717" s="8"/>
      <c r="B717" s="8"/>
      <c r="C717" s="8"/>
      <c r="D717" s="8"/>
      <c r="L717" s="8"/>
      <c r="M717" s="8"/>
      <c r="N717" s="8"/>
      <c r="O717" s="8"/>
    </row>
    <row r="718">
      <c r="A718" s="8"/>
      <c r="B718" s="8"/>
      <c r="C718" s="8"/>
      <c r="D718" s="8"/>
      <c r="L718" s="8"/>
      <c r="M718" s="8"/>
      <c r="N718" s="8"/>
      <c r="O718" s="8"/>
    </row>
    <row r="719">
      <c r="A719" s="8"/>
      <c r="B719" s="8"/>
      <c r="C719" s="8"/>
      <c r="D719" s="8"/>
      <c r="L719" s="8"/>
      <c r="M719" s="8"/>
      <c r="N719" s="8"/>
      <c r="O719" s="8"/>
    </row>
    <row r="720">
      <c r="A720" s="8"/>
      <c r="B720" s="8"/>
      <c r="C720" s="8"/>
      <c r="D720" s="8"/>
      <c r="L720" s="8"/>
      <c r="M720" s="8"/>
      <c r="N720" s="8"/>
      <c r="O720" s="8"/>
    </row>
    <row r="721">
      <c r="A721" s="8"/>
      <c r="B721" s="8"/>
      <c r="C721" s="8"/>
      <c r="D721" s="8"/>
      <c r="L721" s="8"/>
      <c r="M721" s="8"/>
      <c r="N721" s="8"/>
      <c r="O721" s="8"/>
    </row>
    <row r="722">
      <c r="A722" s="8"/>
      <c r="B722" s="8"/>
      <c r="C722" s="8"/>
      <c r="D722" s="8"/>
      <c r="L722" s="8"/>
      <c r="M722" s="8"/>
      <c r="N722" s="8"/>
      <c r="O722" s="8"/>
    </row>
    <row r="723">
      <c r="A723" s="8"/>
      <c r="B723" s="8"/>
      <c r="C723" s="8"/>
      <c r="D723" s="8"/>
      <c r="L723" s="8"/>
      <c r="M723" s="8"/>
      <c r="N723" s="8"/>
      <c r="O723" s="8"/>
    </row>
    <row r="724">
      <c r="A724" s="8"/>
      <c r="B724" s="8"/>
      <c r="C724" s="8"/>
      <c r="D724" s="8"/>
      <c r="L724" s="8"/>
      <c r="M724" s="8"/>
      <c r="N724" s="8"/>
      <c r="O724" s="8"/>
    </row>
    <row r="725">
      <c r="A725" s="8"/>
      <c r="B725" s="8"/>
      <c r="C725" s="8"/>
      <c r="D725" s="8"/>
      <c r="L725" s="8"/>
      <c r="M725" s="8"/>
      <c r="N725" s="8"/>
      <c r="O725" s="8"/>
    </row>
    <row r="726">
      <c r="A726" s="8"/>
      <c r="B726" s="8"/>
      <c r="C726" s="8"/>
      <c r="D726" s="8"/>
      <c r="L726" s="8"/>
      <c r="M726" s="8"/>
      <c r="N726" s="8"/>
      <c r="O726" s="8"/>
    </row>
    <row r="727">
      <c r="A727" s="8"/>
      <c r="B727" s="8"/>
      <c r="C727" s="8"/>
      <c r="D727" s="8"/>
      <c r="L727" s="8"/>
      <c r="M727" s="8"/>
      <c r="N727" s="8"/>
      <c r="O727" s="8"/>
    </row>
    <row r="728">
      <c r="A728" s="8"/>
      <c r="B728" s="8"/>
      <c r="C728" s="8"/>
      <c r="D728" s="8"/>
      <c r="L728" s="8"/>
      <c r="M728" s="8"/>
      <c r="N728" s="8"/>
      <c r="O728" s="8"/>
    </row>
    <row r="729">
      <c r="A729" s="8"/>
      <c r="B729" s="8"/>
      <c r="C729" s="8"/>
      <c r="D729" s="8"/>
      <c r="L729" s="8"/>
      <c r="M729" s="8"/>
      <c r="N729" s="8"/>
      <c r="O729" s="8"/>
    </row>
    <row r="730">
      <c r="A730" s="8"/>
      <c r="B730" s="8"/>
      <c r="C730" s="8"/>
      <c r="D730" s="8"/>
      <c r="L730" s="8"/>
      <c r="M730" s="8"/>
      <c r="N730" s="8"/>
      <c r="O730" s="8"/>
    </row>
    <row r="731">
      <c r="A731" s="8"/>
      <c r="B731" s="8"/>
      <c r="C731" s="8"/>
      <c r="D731" s="8"/>
      <c r="L731" s="8"/>
      <c r="M731" s="8"/>
      <c r="N731" s="8"/>
      <c r="O731" s="8"/>
    </row>
    <row r="732">
      <c r="A732" s="8"/>
      <c r="B732" s="8"/>
      <c r="C732" s="8"/>
      <c r="D732" s="8"/>
      <c r="L732" s="8"/>
      <c r="M732" s="8"/>
      <c r="N732" s="8"/>
      <c r="O732" s="8"/>
    </row>
    <row r="733">
      <c r="A733" s="8"/>
      <c r="B733" s="8"/>
      <c r="C733" s="8"/>
      <c r="D733" s="8"/>
      <c r="L733" s="8"/>
      <c r="M733" s="8"/>
      <c r="N733" s="8"/>
      <c r="O733" s="8"/>
    </row>
    <row r="734">
      <c r="A734" s="8"/>
      <c r="B734" s="8"/>
      <c r="C734" s="8"/>
      <c r="D734" s="8"/>
      <c r="L734" s="8"/>
      <c r="M734" s="8"/>
      <c r="N734" s="8"/>
      <c r="O734" s="8"/>
    </row>
    <row r="735">
      <c r="A735" s="8"/>
      <c r="B735" s="8"/>
      <c r="C735" s="8"/>
      <c r="D735" s="8"/>
      <c r="L735" s="8"/>
      <c r="M735" s="8"/>
      <c r="N735" s="8"/>
      <c r="O735" s="8"/>
    </row>
    <row r="736">
      <c r="A736" s="8"/>
      <c r="B736" s="8"/>
      <c r="C736" s="8"/>
      <c r="D736" s="8"/>
      <c r="L736" s="8"/>
      <c r="M736" s="8"/>
      <c r="N736" s="8"/>
      <c r="O736" s="8"/>
    </row>
    <row r="737">
      <c r="A737" s="8"/>
      <c r="B737" s="8"/>
      <c r="C737" s="8"/>
      <c r="D737" s="8"/>
      <c r="L737" s="8"/>
      <c r="M737" s="8"/>
      <c r="N737" s="8"/>
      <c r="O737" s="8"/>
    </row>
    <row r="738">
      <c r="A738" s="8"/>
      <c r="B738" s="8"/>
      <c r="C738" s="8"/>
      <c r="D738" s="8"/>
      <c r="L738" s="8"/>
      <c r="M738" s="8"/>
      <c r="N738" s="8"/>
      <c r="O738" s="8"/>
    </row>
    <row r="739">
      <c r="A739" s="8"/>
      <c r="B739" s="8"/>
      <c r="C739" s="8"/>
      <c r="D739" s="8"/>
      <c r="L739" s="8"/>
      <c r="M739" s="8"/>
      <c r="N739" s="8"/>
      <c r="O739" s="8"/>
    </row>
    <row r="740">
      <c r="A740" s="8"/>
      <c r="B740" s="8"/>
      <c r="C740" s="8"/>
      <c r="D740" s="8"/>
      <c r="L740" s="8"/>
      <c r="M740" s="8"/>
      <c r="N740" s="8"/>
      <c r="O740" s="8"/>
    </row>
    <row r="741">
      <c r="A741" s="8"/>
      <c r="B741" s="8"/>
      <c r="C741" s="8"/>
      <c r="D741" s="8"/>
      <c r="L741" s="8"/>
      <c r="M741" s="8"/>
      <c r="N741" s="8"/>
      <c r="O741" s="8"/>
    </row>
    <row r="742">
      <c r="A742" s="8"/>
      <c r="B742" s="8"/>
      <c r="C742" s="8"/>
      <c r="D742" s="8"/>
      <c r="L742" s="8"/>
      <c r="M742" s="8"/>
      <c r="N742" s="8"/>
      <c r="O742" s="8"/>
    </row>
    <row r="743">
      <c r="A743" s="8"/>
      <c r="B743" s="8"/>
      <c r="C743" s="8"/>
      <c r="D743" s="8"/>
      <c r="L743" s="8"/>
      <c r="M743" s="8"/>
      <c r="N743" s="8"/>
      <c r="O743" s="8"/>
    </row>
    <row r="744">
      <c r="A744" s="8"/>
      <c r="B744" s="8"/>
      <c r="C744" s="8"/>
      <c r="D744" s="8"/>
      <c r="L744" s="8"/>
      <c r="M744" s="8"/>
      <c r="N744" s="8"/>
      <c r="O744" s="8"/>
    </row>
    <row r="745">
      <c r="A745" s="8"/>
      <c r="B745" s="8"/>
      <c r="C745" s="8"/>
      <c r="D745" s="8"/>
      <c r="L745" s="8"/>
      <c r="M745" s="8"/>
      <c r="N745" s="8"/>
      <c r="O745" s="8"/>
    </row>
    <row r="746">
      <c r="A746" s="8"/>
      <c r="B746" s="8"/>
      <c r="C746" s="8"/>
      <c r="D746" s="8"/>
      <c r="L746" s="8"/>
      <c r="M746" s="8"/>
      <c r="N746" s="8"/>
      <c r="O746" s="8"/>
    </row>
    <row r="747">
      <c r="A747" s="8"/>
      <c r="B747" s="8"/>
      <c r="C747" s="8"/>
      <c r="D747" s="8"/>
      <c r="L747" s="8"/>
      <c r="M747" s="8"/>
      <c r="N747" s="8"/>
      <c r="O747" s="8"/>
    </row>
    <row r="748">
      <c r="A748" s="8"/>
      <c r="B748" s="8"/>
      <c r="C748" s="8"/>
      <c r="D748" s="8"/>
      <c r="L748" s="8"/>
      <c r="M748" s="8"/>
      <c r="N748" s="8"/>
      <c r="O748" s="8"/>
    </row>
    <row r="749">
      <c r="A749" s="8"/>
      <c r="B749" s="8"/>
      <c r="C749" s="8"/>
      <c r="D749" s="8"/>
      <c r="L749" s="8"/>
      <c r="M749" s="8"/>
      <c r="N749" s="8"/>
      <c r="O749" s="8"/>
    </row>
    <row r="750">
      <c r="A750" s="8"/>
      <c r="B750" s="8"/>
      <c r="C750" s="8"/>
      <c r="D750" s="8"/>
      <c r="L750" s="8"/>
      <c r="M750" s="8"/>
      <c r="N750" s="8"/>
      <c r="O750" s="8"/>
    </row>
    <row r="751">
      <c r="A751" s="8"/>
      <c r="B751" s="8"/>
      <c r="C751" s="8"/>
      <c r="D751" s="8"/>
      <c r="L751" s="8"/>
      <c r="M751" s="8"/>
      <c r="N751" s="8"/>
      <c r="O751" s="8"/>
    </row>
    <row r="752">
      <c r="A752" s="8"/>
      <c r="B752" s="8"/>
      <c r="C752" s="8"/>
      <c r="D752" s="8"/>
      <c r="L752" s="8"/>
      <c r="M752" s="8"/>
      <c r="N752" s="8"/>
      <c r="O752" s="8"/>
    </row>
    <row r="753">
      <c r="A753" s="8"/>
      <c r="B753" s="8"/>
      <c r="C753" s="8"/>
      <c r="D753" s="8"/>
      <c r="L753" s="8"/>
      <c r="M753" s="8"/>
      <c r="N753" s="8"/>
      <c r="O753" s="8"/>
    </row>
    <row r="754">
      <c r="A754" s="8"/>
      <c r="B754" s="8"/>
      <c r="C754" s="8"/>
      <c r="D754" s="8"/>
      <c r="L754" s="8"/>
      <c r="M754" s="8"/>
      <c r="N754" s="8"/>
      <c r="O754" s="8"/>
    </row>
    <row r="755">
      <c r="A755" s="8"/>
      <c r="B755" s="8"/>
      <c r="C755" s="8"/>
      <c r="D755" s="8"/>
      <c r="L755" s="8"/>
      <c r="M755" s="8"/>
      <c r="N755" s="8"/>
      <c r="O755" s="8"/>
    </row>
    <row r="756">
      <c r="A756" s="8"/>
      <c r="B756" s="8"/>
      <c r="C756" s="8"/>
      <c r="D756" s="8"/>
      <c r="L756" s="8"/>
      <c r="M756" s="8"/>
      <c r="N756" s="8"/>
      <c r="O756" s="8"/>
    </row>
    <row r="757">
      <c r="A757" s="8"/>
      <c r="B757" s="8"/>
      <c r="C757" s="8"/>
      <c r="D757" s="8"/>
      <c r="L757" s="8"/>
      <c r="M757" s="8"/>
      <c r="N757" s="8"/>
      <c r="O757" s="8"/>
    </row>
    <row r="758">
      <c r="A758" s="8"/>
      <c r="B758" s="8"/>
      <c r="C758" s="8"/>
      <c r="D758" s="8"/>
      <c r="L758" s="8"/>
      <c r="M758" s="8"/>
      <c r="N758" s="8"/>
      <c r="O758" s="8"/>
    </row>
    <row r="759">
      <c r="A759" s="8"/>
      <c r="B759" s="8"/>
      <c r="C759" s="8"/>
      <c r="D759" s="8"/>
      <c r="L759" s="8"/>
      <c r="M759" s="8"/>
      <c r="N759" s="8"/>
      <c r="O759" s="8"/>
    </row>
    <row r="760">
      <c r="A760" s="8"/>
      <c r="B760" s="8"/>
      <c r="C760" s="8"/>
      <c r="D760" s="8"/>
      <c r="L760" s="8"/>
      <c r="M760" s="8"/>
      <c r="N760" s="8"/>
      <c r="O760" s="8"/>
    </row>
    <row r="761">
      <c r="A761" s="8"/>
      <c r="B761" s="8"/>
      <c r="C761" s="8"/>
      <c r="D761" s="8"/>
      <c r="L761" s="8"/>
      <c r="M761" s="8"/>
      <c r="N761" s="8"/>
      <c r="O761" s="8"/>
    </row>
    <row r="762">
      <c r="A762" s="8"/>
      <c r="B762" s="8"/>
      <c r="C762" s="8"/>
      <c r="D762" s="8"/>
      <c r="L762" s="8"/>
      <c r="M762" s="8"/>
      <c r="N762" s="8"/>
      <c r="O762" s="8"/>
    </row>
    <row r="763">
      <c r="A763" s="8"/>
      <c r="B763" s="8"/>
      <c r="C763" s="8"/>
      <c r="D763" s="8"/>
      <c r="L763" s="8"/>
      <c r="M763" s="8"/>
      <c r="N763" s="8"/>
      <c r="O763" s="8"/>
    </row>
    <row r="764">
      <c r="A764" s="8"/>
      <c r="B764" s="8"/>
      <c r="C764" s="8"/>
      <c r="D764" s="8"/>
      <c r="L764" s="8"/>
      <c r="M764" s="8"/>
      <c r="N764" s="8"/>
      <c r="O764" s="8"/>
    </row>
    <row r="765">
      <c r="A765" s="8"/>
      <c r="B765" s="8"/>
      <c r="C765" s="8"/>
      <c r="D765" s="8"/>
      <c r="L765" s="8"/>
      <c r="M765" s="8"/>
      <c r="N765" s="8"/>
      <c r="O765" s="8"/>
    </row>
    <row r="766">
      <c r="A766" s="8"/>
      <c r="B766" s="8"/>
      <c r="C766" s="8"/>
      <c r="D766" s="8"/>
      <c r="L766" s="8"/>
      <c r="M766" s="8"/>
      <c r="N766" s="8"/>
      <c r="O766" s="8"/>
    </row>
    <row r="767">
      <c r="A767" s="8"/>
      <c r="B767" s="8"/>
      <c r="C767" s="8"/>
      <c r="D767" s="8"/>
      <c r="L767" s="8"/>
      <c r="M767" s="8"/>
      <c r="N767" s="8"/>
      <c r="O767" s="8"/>
    </row>
    <row r="768">
      <c r="A768" s="8"/>
      <c r="B768" s="8"/>
      <c r="C768" s="8"/>
      <c r="D768" s="8"/>
      <c r="L768" s="8"/>
      <c r="M768" s="8"/>
      <c r="N768" s="8"/>
      <c r="O768" s="8"/>
    </row>
    <row r="769">
      <c r="A769" s="8"/>
      <c r="B769" s="8"/>
      <c r="C769" s="8"/>
      <c r="D769" s="8"/>
      <c r="L769" s="8"/>
      <c r="M769" s="8"/>
      <c r="N769" s="8"/>
      <c r="O769" s="8"/>
    </row>
    <row r="770">
      <c r="A770" s="8"/>
      <c r="B770" s="8"/>
      <c r="C770" s="8"/>
      <c r="D770" s="8"/>
      <c r="L770" s="8"/>
      <c r="M770" s="8"/>
      <c r="N770" s="8"/>
      <c r="O770" s="8"/>
    </row>
    <row r="771">
      <c r="A771" s="8"/>
      <c r="B771" s="8"/>
      <c r="C771" s="8"/>
      <c r="D771" s="8"/>
      <c r="L771" s="8"/>
      <c r="M771" s="8"/>
      <c r="N771" s="8"/>
      <c r="O771" s="8"/>
    </row>
    <row r="772">
      <c r="A772" s="8"/>
      <c r="B772" s="8"/>
      <c r="C772" s="8"/>
      <c r="D772" s="8"/>
      <c r="L772" s="8"/>
      <c r="M772" s="8"/>
      <c r="N772" s="8"/>
      <c r="O772" s="8"/>
    </row>
    <row r="773">
      <c r="A773" s="8"/>
      <c r="B773" s="8"/>
      <c r="C773" s="8"/>
      <c r="D773" s="8"/>
      <c r="L773" s="8"/>
      <c r="M773" s="8"/>
      <c r="N773" s="8"/>
      <c r="O773" s="8"/>
    </row>
    <row r="774">
      <c r="A774" s="8"/>
      <c r="B774" s="8"/>
      <c r="C774" s="8"/>
      <c r="D774" s="8"/>
      <c r="L774" s="8"/>
      <c r="M774" s="8"/>
      <c r="N774" s="8"/>
      <c r="O774" s="8"/>
    </row>
    <row r="775">
      <c r="A775" s="8"/>
      <c r="B775" s="8"/>
      <c r="C775" s="8"/>
      <c r="D775" s="8"/>
      <c r="L775" s="8"/>
      <c r="M775" s="8"/>
      <c r="N775" s="8"/>
      <c r="O775" s="8"/>
    </row>
    <row r="776">
      <c r="A776" s="8"/>
      <c r="B776" s="8"/>
      <c r="C776" s="8"/>
      <c r="D776" s="8"/>
      <c r="L776" s="8"/>
      <c r="M776" s="8"/>
      <c r="N776" s="8"/>
      <c r="O776" s="8"/>
    </row>
    <row r="777">
      <c r="A777" s="8"/>
      <c r="B777" s="8"/>
      <c r="C777" s="8"/>
      <c r="D777" s="8"/>
      <c r="L777" s="8"/>
      <c r="M777" s="8"/>
      <c r="N777" s="8"/>
      <c r="O777" s="8"/>
    </row>
    <row r="778">
      <c r="A778" s="8"/>
      <c r="B778" s="8"/>
      <c r="C778" s="8"/>
      <c r="D778" s="8"/>
      <c r="L778" s="8"/>
      <c r="M778" s="8"/>
      <c r="N778" s="8"/>
      <c r="O778" s="8"/>
    </row>
    <row r="779">
      <c r="A779" s="8"/>
      <c r="B779" s="8"/>
      <c r="C779" s="8"/>
      <c r="D779" s="8"/>
      <c r="L779" s="8"/>
      <c r="M779" s="8"/>
      <c r="N779" s="8"/>
      <c r="O779" s="8"/>
    </row>
    <row r="780">
      <c r="A780" s="8"/>
      <c r="B780" s="8"/>
      <c r="C780" s="8"/>
      <c r="D780" s="8"/>
      <c r="L780" s="8"/>
      <c r="M780" s="8"/>
      <c r="N780" s="8"/>
      <c r="O780" s="8"/>
    </row>
    <row r="781">
      <c r="A781" s="8"/>
      <c r="B781" s="8"/>
      <c r="C781" s="8"/>
      <c r="D781" s="8"/>
      <c r="L781" s="8"/>
      <c r="M781" s="8"/>
      <c r="N781" s="8"/>
      <c r="O781" s="8"/>
    </row>
    <row r="782">
      <c r="A782" s="8"/>
      <c r="B782" s="8"/>
      <c r="C782" s="8"/>
      <c r="D782" s="8"/>
      <c r="L782" s="8"/>
      <c r="M782" s="8"/>
      <c r="N782" s="8"/>
      <c r="O782" s="8"/>
    </row>
    <row r="783">
      <c r="A783" s="8"/>
      <c r="B783" s="8"/>
      <c r="C783" s="8"/>
      <c r="D783" s="8"/>
      <c r="L783" s="8"/>
      <c r="M783" s="8"/>
      <c r="N783" s="8"/>
      <c r="O783" s="8"/>
    </row>
    <row r="784">
      <c r="A784" s="8"/>
      <c r="B784" s="8"/>
      <c r="C784" s="8"/>
      <c r="D784" s="8"/>
      <c r="L784" s="8"/>
      <c r="M784" s="8"/>
      <c r="N784" s="8"/>
      <c r="O784" s="8"/>
    </row>
    <row r="785">
      <c r="A785" s="8"/>
      <c r="B785" s="8"/>
      <c r="C785" s="8"/>
      <c r="D785" s="8"/>
      <c r="L785" s="8"/>
      <c r="M785" s="8"/>
      <c r="N785" s="8"/>
      <c r="O785" s="8"/>
    </row>
    <row r="786">
      <c r="A786" s="8"/>
      <c r="B786" s="8"/>
      <c r="C786" s="8"/>
      <c r="D786" s="8"/>
      <c r="L786" s="8"/>
      <c r="M786" s="8"/>
      <c r="N786" s="8"/>
      <c r="O786" s="8"/>
    </row>
    <row r="787">
      <c r="A787" s="8"/>
      <c r="B787" s="8"/>
      <c r="C787" s="8"/>
      <c r="D787" s="8"/>
      <c r="L787" s="8"/>
      <c r="M787" s="8"/>
      <c r="N787" s="8"/>
      <c r="O787" s="8"/>
    </row>
    <row r="788">
      <c r="A788" s="8"/>
      <c r="B788" s="8"/>
      <c r="C788" s="8"/>
      <c r="D788" s="8"/>
      <c r="L788" s="8"/>
      <c r="M788" s="8"/>
      <c r="N788" s="8"/>
      <c r="O788" s="8"/>
    </row>
    <row r="789">
      <c r="A789" s="8"/>
      <c r="B789" s="8"/>
      <c r="C789" s="8"/>
      <c r="D789" s="8"/>
      <c r="L789" s="8"/>
      <c r="M789" s="8"/>
      <c r="N789" s="8"/>
      <c r="O789" s="8"/>
    </row>
    <row r="790">
      <c r="A790" s="8"/>
      <c r="B790" s="8"/>
      <c r="C790" s="8"/>
      <c r="D790" s="8"/>
      <c r="L790" s="8"/>
      <c r="M790" s="8"/>
      <c r="N790" s="8"/>
      <c r="O790" s="8"/>
    </row>
    <row r="791">
      <c r="A791" s="8"/>
      <c r="B791" s="8"/>
      <c r="C791" s="8"/>
      <c r="D791" s="8"/>
      <c r="L791" s="8"/>
      <c r="M791" s="8"/>
      <c r="N791" s="8"/>
      <c r="O791" s="8"/>
    </row>
    <row r="792">
      <c r="A792" s="8"/>
      <c r="B792" s="8"/>
      <c r="C792" s="8"/>
      <c r="D792" s="8"/>
      <c r="L792" s="8"/>
      <c r="M792" s="8"/>
      <c r="N792" s="8"/>
      <c r="O792" s="8"/>
    </row>
    <row r="793">
      <c r="A793" s="8"/>
      <c r="B793" s="8"/>
      <c r="C793" s="8"/>
      <c r="D793" s="8"/>
      <c r="L793" s="8"/>
      <c r="M793" s="8"/>
      <c r="N793" s="8"/>
      <c r="O793" s="8"/>
    </row>
    <row r="794">
      <c r="A794" s="8"/>
      <c r="B794" s="8"/>
      <c r="C794" s="8"/>
      <c r="D794" s="8"/>
      <c r="L794" s="8"/>
      <c r="M794" s="8"/>
      <c r="N794" s="8"/>
      <c r="O794" s="8"/>
    </row>
    <row r="795">
      <c r="A795" s="8"/>
      <c r="B795" s="8"/>
      <c r="C795" s="8"/>
      <c r="D795" s="8"/>
      <c r="L795" s="8"/>
      <c r="M795" s="8"/>
      <c r="N795" s="8"/>
      <c r="O795" s="8"/>
    </row>
    <row r="796">
      <c r="A796" s="8"/>
      <c r="B796" s="8"/>
      <c r="C796" s="8"/>
      <c r="D796" s="8"/>
      <c r="L796" s="8"/>
      <c r="M796" s="8"/>
      <c r="N796" s="8"/>
      <c r="O796" s="8"/>
    </row>
    <row r="797">
      <c r="A797" s="8"/>
      <c r="B797" s="8"/>
      <c r="C797" s="8"/>
      <c r="D797" s="8"/>
      <c r="L797" s="8"/>
      <c r="M797" s="8"/>
      <c r="N797" s="8"/>
      <c r="O797" s="8"/>
    </row>
    <row r="798">
      <c r="A798" s="8"/>
      <c r="B798" s="8"/>
      <c r="C798" s="8"/>
      <c r="D798" s="8"/>
      <c r="L798" s="8"/>
      <c r="M798" s="8"/>
      <c r="N798" s="8"/>
      <c r="O798" s="8"/>
    </row>
    <row r="799">
      <c r="A799" s="8"/>
      <c r="B799" s="8"/>
      <c r="C799" s="8"/>
      <c r="D799" s="8"/>
      <c r="L799" s="8"/>
      <c r="M799" s="8"/>
      <c r="N799" s="8"/>
      <c r="O799" s="8"/>
    </row>
    <row r="800">
      <c r="A800" s="8"/>
      <c r="B800" s="8"/>
      <c r="C800" s="8"/>
      <c r="D800" s="8"/>
      <c r="L800" s="8"/>
      <c r="M800" s="8"/>
      <c r="N800" s="8"/>
      <c r="O800" s="8"/>
    </row>
    <row r="801">
      <c r="A801" s="8"/>
      <c r="B801" s="8"/>
      <c r="C801" s="8"/>
      <c r="D801" s="8"/>
      <c r="L801" s="8"/>
      <c r="M801" s="8"/>
      <c r="N801" s="8"/>
      <c r="O801" s="8"/>
    </row>
    <row r="802">
      <c r="A802" s="8"/>
      <c r="B802" s="8"/>
      <c r="C802" s="8"/>
      <c r="D802" s="8"/>
      <c r="L802" s="8"/>
      <c r="M802" s="8"/>
      <c r="N802" s="8"/>
      <c r="O802" s="8"/>
    </row>
    <row r="803">
      <c r="A803" s="8"/>
      <c r="B803" s="8"/>
      <c r="C803" s="8"/>
      <c r="D803" s="8"/>
      <c r="L803" s="8"/>
      <c r="M803" s="8"/>
      <c r="N803" s="8"/>
      <c r="O803" s="8"/>
    </row>
    <row r="804">
      <c r="A804" s="8"/>
      <c r="B804" s="8"/>
      <c r="C804" s="8"/>
      <c r="D804" s="8"/>
      <c r="L804" s="8"/>
      <c r="M804" s="8"/>
      <c r="N804" s="8"/>
      <c r="O804" s="8"/>
    </row>
    <row r="805">
      <c r="A805" s="8"/>
      <c r="B805" s="8"/>
      <c r="C805" s="8"/>
      <c r="D805" s="8"/>
      <c r="L805" s="8"/>
      <c r="M805" s="8"/>
      <c r="N805" s="8"/>
      <c r="O805" s="8"/>
    </row>
    <row r="806">
      <c r="A806" s="8"/>
      <c r="B806" s="8"/>
      <c r="C806" s="8"/>
      <c r="D806" s="8"/>
      <c r="L806" s="8"/>
      <c r="M806" s="8"/>
      <c r="N806" s="8"/>
      <c r="O806" s="8"/>
    </row>
    <row r="807">
      <c r="A807" s="8"/>
      <c r="B807" s="8"/>
      <c r="C807" s="8"/>
      <c r="D807" s="8"/>
      <c r="L807" s="8"/>
      <c r="M807" s="8"/>
      <c r="N807" s="8"/>
      <c r="O807" s="8"/>
    </row>
    <row r="808">
      <c r="A808" s="8"/>
      <c r="B808" s="8"/>
      <c r="C808" s="8"/>
      <c r="D808" s="8"/>
      <c r="L808" s="8"/>
      <c r="M808" s="8"/>
      <c r="N808" s="8"/>
      <c r="O808" s="8"/>
    </row>
    <row r="809">
      <c r="A809" s="8"/>
      <c r="B809" s="8"/>
      <c r="C809" s="8"/>
      <c r="D809" s="8"/>
      <c r="L809" s="8"/>
      <c r="M809" s="8"/>
      <c r="N809" s="8"/>
      <c r="O809" s="8"/>
    </row>
    <row r="810">
      <c r="A810" s="8"/>
      <c r="B810" s="8"/>
      <c r="C810" s="8"/>
      <c r="D810" s="8"/>
      <c r="L810" s="8"/>
      <c r="M810" s="8"/>
      <c r="N810" s="8"/>
      <c r="O810" s="8"/>
    </row>
    <row r="811">
      <c r="A811" s="8"/>
      <c r="B811" s="8"/>
      <c r="C811" s="8"/>
      <c r="D811" s="8"/>
      <c r="L811" s="8"/>
      <c r="M811" s="8"/>
      <c r="N811" s="8"/>
      <c r="O811" s="8"/>
    </row>
    <row r="812">
      <c r="A812" s="8"/>
      <c r="B812" s="8"/>
      <c r="C812" s="8"/>
      <c r="D812" s="8"/>
      <c r="L812" s="8"/>
      <c r="M812" s="8"/>
      <c r="N812" s="8"/>
      <c r="O812" s="8"/>
    </row>
    <row r="813">
      <c r="A813" s="8"/>
      <c r="B813" s="8"/>
      <c r="C813" s="8"/>
      <c r="D813" s="8"/>
      <c r="L813" s="8"/>
      <c r="M813" s="8"/>
      <c r="N813" s="8"/>
      <c r="O813" s="8"/>
    </row>
    <row r="814">
      <c r="A814" s="8"/>
      <c r="B814" s="8"/>
      <c r="C814" s="8"/>
      <c r="D814" s="8"/>
      <c r="L814" s="8"/>
      <c r="M814" s="8"/>
      <c r="N814" s="8"/>
      <c r="O814" s="8"/>
    </row>
    <row r="815">
      <c r="A815" s="8"/>
      <c r="B815" s="8"/>
      <c r="C815" s="8"/>
      <c r="D815" s="8"/>
      <c r="L815" s="8"/>
      <c r="M815" s="8"/>
      <c r="N815" s="8"/>
      <c r="O815" s="8"/>
    </row>
    <row r="816">
      <c r="A816" s="8"/>
      <c r="B816" s="8"/>
      <c r="C816" s="8"/>
      <c r="D816" s="8"/>
      <c r="L816" s="8"/>
      <c r="M816" s="8"/>
      <c r="N816" s="8"/>
      <c r="O816" s="8"/>
    </row>
    <row r="817">
      <c r="A817" s="8"/>
      <c r="B817" s="8"/>
      <c r="C817" s="8"/>
      <c r="D817" s="8"/>
      <c r="L817" s="8"/>
      <c r="M817" s="8"/>
      <c r="N817" s="8"/>
      <c r="O817" s="8"/>
    </row>
    <row r="818">
      <c r="A818" s="8"/>
      <c r="B818" s="8"/>
      <c r="C818" s="8"/>
      <c r="D818" s="8"/>
      <c r="L818" s="8"/>
      <c r="M818" s="8"/>
      <c r="N818" s="8"/>
      <c r="O818" s="8"/>
    </row>
    <row r="819">
      <c r="A819" s="8"/>
      <c r="B819" s="8"/>
      <c r="C819" s="8"/>
      <c r="D819" s="8"/>
      <c r="L819" s="8"/>
      <c r="M819" s="8"/>
      <c r="N819" s="8"/>
      <c r="O819" s="8"/>
    </row>
    <row r="820">
      <c r="A820" s="8"/>
      <c r="B820" s="8"/>
      <c r="C820" s="8"/>
      <c r="D820" s="8"/>
      <c r="L820" s="8"/>
      <c r="M820" s="8"/>
      <c r="N820" s="8"/>
      <c r="O820" s="8"/>
    </row>
    <row r="821">
      <c r="A821" s="8"/>
      <c r="B821" s="8"/>
      <c r="C821" s="8"/>
      <c r="D821" s="8"/>
      <c r="L821" s="8"/>
      <c r="M821" s="8"/>
      <c r="N821" s="8"/>
      <c r="O821" s="8"/>
    </row>
    <row r="822">
      <c r="A822" s="8"/>
      <c r="B822" s="8"/>
      <c r="C822" s="8"/>
      <c r="D822" s="8"/>
      <c r="L822" s="8"/>
      <c r="M822" s="8"/>
      <c r="N822" s="8"/>
      <c r="O822" s="8"/>
    </row>
    <row r="823">
      <c r="A823" s="8"/>
      <c r="B823" s="8"/>
      <c r="C823" s="8"/>
      <c r="D823" s="8"/>
      <c r="L823" s="8"/>
      <c r="M823" s="8"/>
      <c r="N823" s="8"/>
      <c r="O823" s="8"/>
    </row>
    <row r="824">
      <c r="A824" s="8"/>
      <c r="B824" s="8"/>
      <c r="C824" s="8"/>
      <c r="D824" s="8"/>
      <c r="L824" s="8"/>
      <c r="M824" s="8"/>
      <c r="N824" s="8"/>
      <c r="O824" s="8"/>
    </row>
    <row r="825">
      <c r="A825" s="8"/>
      <c r="B825" s="8"/>
      <c r="C825" s="8"/>
      <c r="D825" s="8"/>
      <c r="L825" s="8"/>
      <c r="M825" s="8"/>
      <c r="N825" s="8"/>
      <c r="O825" s="8"/>
    </row>
    <row r="826">
      <c r="A826" s="8"/>
      <c r="B826" s="8"/>
      <c r="C826" s="8"/>
      <c r="D826" s="8"/>
      <c r="L826" s="8"/>
      <c r="M826" s="8"/>
      <c r="N826" s="8"/>
      <c r="O826" s="8"/>
    </row>
    <row r="827">
      <c r="A827" s="8"/>
      <c r="B827" s="8"/>
      <c r="C827" s="8"/>
      <c r="D827" s="8"/>
      <c r="L827" s="8"/>
      <c r="M827" s="8"/>
      <c r="N827" s="8"/>
      <c r="O827" s="8"/>
    </row>
    <row r="828">
      <c r="A828" s="8"/>
      <c r="B828" s="8"/>
      <c r="C828" s="8"/>
      <c r="D828" s="8"/>
      <c r="L828" s="8"/>
      <c r="M828" s="8"/>
      <c r="N828" s="8"/>
      <c r="O828" s="8"/>
    </row>
    <row r="829">
      <c r="A829" s="8"/>
      <c r="B829" s="8"/>
      <c r="C829" s="8"/>
      <c r="D829" s="8"/>
      <c r="L829" s="8"/>
      <c r="M829" s="8"/>
      <c r="N829" s="8"/>
      <c r="O829" s="8"/>
    </row>
    <row r="830">
      <c r="A830" s="8"/>
      <c r="B830" s="8"/>
      <c r="C830" s="8"/>
      <c r="D830" s="8"/>
      <c r="L830" s="8"/>
      <c r="M830" s="8"/>
      <c r="N830" s="8"/>
      <c r="O830" s="8"/>
    </row>
    <row r="831">
      <c r="A831" s="8"/>
      <c r="B831" s="8"/>
      <c r="C831" s="8"/>
      <c r="D831" s="8"/>
      <c r="L831" s="8"/>
      <c r="M831" s="8"/>
      <c r="N831" s="8"/>
      <c r="O831" s="8"/>
    </row>
    <row r="832">
      <c r="A832" s="8"/>
      <c r="B832" s="8"/>
      <c r="C832" s="8"/>
      <c r="D832" s="8"/>
      <c r="L832" s="8"/>
      <c r="M832" s="8"/>
      <c r="N832" s="8"/>
      <c r="O832" s="8"/>
    </row>
    <row r="833">
      <c r="A833" s="8"/>
      <c r="B833" s="8"/>
      <c r="C833" s="8"/>
      <c r="D833" s="8"/>
      <c r="L833" s="8"/>
      <c r="M833" s="8"/>
      <c r="N833" s="8"/>
      <c r="O833" s="8"/>
    </row>
    <row r="834">
      <c r="A834" s="8"/>
      <c r="B834" s="8"/>
      <c r="C834" s="8"/>
      <c r="D834" s="8"/>
      <c r="L834" s="8"/>
      <c r="M834" s="8"/>
      <c r="N834" s="8"/>
      <c r="O834" s="8"/>
    </row>
    <row r="835">
      <c r="A835" s="8"/>
      <c r="B835" s="8"/>
      <c r="C835" s="8"/>
      <c r="D835" s="8"/>
      <c r="L835" s="8"/>
      <c r="M835" s="8"/>
      <c r="N835" s="8"/>
      <c r="O835" s="8"/>
    </row>
    <row r="836">
      <c r="A836" s="8"/>
      <c r="B836" s="8"/>
      <c r="C836" s="8"/>
      <c r="D836" s="8"/>
      <c r="L836" s="8"/>
      <c r="M836" s="8"/>
      <c r="N836" s="8"/>
      <c r="O836" s="8"/>
    </row>
    <row r="837">
      <c r="A837" s="8"/>
      <c r="B837" s="8"/>
      <c r="C837" s="8"/>
      <c r="D837" s="8"/>
      <c r="L837" s="8"/>
      <c r="M837" s="8"/>
      <c r="N837" s="8"/>
      <c r="O837" s="8"/>
    </row>
    <row r="838">
      <c r="A838" s="8"/>
      <c r="B838" s="8"/>
      <c r="C838" s="8"/>
      <c r="D838" s="8"/>
      <c r="L838" s="8"/>
      <c r="M838" s="8"/>
      <c r="N838" s="8"/>
      <c r="O838" s="8"/>
    </row>
    <row r="839">
      <c r="A839" s="8"/>
      <c r="B839" s="8"/>
      <c r="C839" s="8"/>
      <c r="D839" s="8"/>
      <c r="L839" s="8"/>
      <c r="M839" s="8"/>
      <c r="N839" s="8"/>
      <c r="O839" s="8"/>
    </row>
    <row r="840">
      <c r="A840" s="8"/>
      <c r="B840" s="8"/>
      <c r="C840" s="8"/>
      <c r="D840" s="8"/>
      <c r="L840" s="8"/>
      <c r="M840" s="8"/>
      <c r="N840" s="8"/>
      <c r="O840" s="8"/>
    </row>
    <row r="841">
      <c r="A841" s="8"/>
      <c r="B841" s="8"/>
      <c r="C841" s="8"/>
      <c r="D841" s="8"/>
      <c r="L841" s="8"/>
      <c r="M841" s="8"/>
      <c r="N841" s="8"/>
      <c r="O841" s="8"/>
    </row>
    <row r="842">
      <c r="A842" s="8"/>
      <c r="B842" s="8"/>
      <c r="C842" s="8"/>
      <c r="D842" s="8"/>
      <c r="L842" s="8"/>
      <c r="M842" s="8"/>
      <c r="N842" s="8"/>
      <c r="O842" s="8"/>
    </row>
    <row r="843">
      <c r="A843" s="8"/>
      <c r="B843" s="8"/>
      <c r="C843" s="8"/>
      <c r="D843" s="8"/>
      <c r="L843" s="8"/>
      <c r="M843" s="8"/>
      <c r="N843" s="8"/>
      <c r="O843" s="8"/>
    </row>
    <row r="844">
      <c r="A844" s="8"/>
      <c r="B844" s="8"/>
      <c r="C844" s="8"/>
      <c r="D844" s="8"/>
      <c r="L844" s="8"/>
      <c r="M844" s="8"/>
      <c r="N844" s="8"/>
      <c r="O844" s="8"/>
    </row>
    <row r="845">
      <c r="A845" s="8"/>
      <c r="B845" s="8"/>
      <c r="C845" s="8"/>
      <c r="D845" s="8"/>
      <c r="L845" s="8"/>
      <c r="M845" s="8"/>
      <c r="N845" s="8"/>
      <c r="O845" s="8"/>
    </row>
    <row r="846">
      <c r="A846" s="8"/>
      <c r="B846" s="8"/>
      <c r="C846" s="8"/>
      <c r="D846" s="8"/>
      <c r="L846" s="8"/>
      <c r="M846" s="8"/>
      <c r="N846" s="8"/>
      <c r="O846" s="8"/>
    </row>
    <row r="847">
      <c r="A847" s="8"/>
      <c r="B847" s="8"/>
      <c r="C847" s="8"/>
      <c r="D847" s="8"/>
      <c r="L847" s="8"/>
      <c r="M847" s="8"/>
      <c r="N847" s="8"/>
      <c r="O847" s="8"/>
    </row>
    <row r="848">
      <c r="A848" s="8"/>
      <c r="B848" s="8"/>
      <c r="C848" s="8"/>
      <c r="D848" s="8"/>
      <c r="L848" s="8"/>
      <c r="M848" s="8"/>
      <c r="N848" s="8"/>
      <c r="O848" s="8"/>
    </row>
    <row r="849">
      <c r="A849" s="8"/>
      <c r="B849" s="8"/>
      <c r="C849" s="8"/>
      <c r="D849" s="8"/>
      <c r="L849" s="8"/>
      <c r="M849" s="8"/>
      <c r="N849" s="8"/>
      <c r="O849" s="8"/>
    </row>
    <row r="850">
      <c r="A850" s="8"/>
      <c r="B850" s="8"/>
      <c r="C850" s="8"/>
      <c r="D850" s="8"/>
      <c r="L850" s="8"/>
      <c r="M850" s="8"/>
      <c r="N850" s="8"/>
      <c r="O850" s="8"/>
    </row>
    <row r="851">
      <c r="A851" s="8"/>
      <c r="B851" s="8"/>
      <c r="C851" s="8"/>
      <c r="D851" s="8"/>
      <c r="L851" s="8"/>
      <c r="M851" s="8"/>
      <c r="N851" s="8"/>
      <c r="O851" s="8"/>
    </row>
    <row r="852">
      <c r="A852" s="8"/>
      <c r="B852" s="8"/>
      <c r="C852" s="8"/>
      <c r="D852" s="8"/>
      <c r="L852" s="8"/>
      <c r="M852" s="8"/>
      <c r="N852" s="8"/>
      <c r="O852" s="8"/>
    </row>
    <row r="853">
      <c r="A853" s="8"/>
      <c r="B853" s="8"/>
      <c r="C853" s="8"/>
      <c r="D853" s="8"/>
      <c r="L853" s="8"/>
      <c r="M853" s="8"/>
      <c r="N853" s="8"/>
      <c r="O853" s="8"/>
    </row>
    <row r="854">
      <c r="A854" s="8"/>
      <c r="B854" s="8"/>
      <c r="C854" s="8"/>
      <c r="D854" s="8"/>
      <c r="L854" s="8"/>
      <c r="M854" s="8"/>
      <c r="N854" s="8"/>
      <c r="O854" s="8"/>
    </row>
    <row r="855">
      <c r="A855" s="8"/>
      <c r="B855" s="8"/>
      <c r="C855" s="8"/>
      <c r="D855" s="8"/>
      <c r="L855" s="8"/>
      <c r="M855" s="8"/>
      <c r="N855" s="8"/>
      <c r="O855" s="8"/>
    </row>
    <row r="856">
      <c r="A856" s="8"/>
      <c r="B856" s="8"/>
      <c r="C856" s="8"/>
      <c r="D856" s="8"/>
      <c r="L856" s="8"/>
      <c r="M856" s="8"/>
      <c r="N856" s="8"/>
      <c r="O856" s="8"/>
    </row>
    <row r="857">
      <c r="A857" s="8"/>
      <c r="B857" s="8"/>
      <c r="C857" s="8"/>
      <c r="D857" s="8"/>
      <c r="L857" s="8"/>
      <c r="M857" s="8"/>
      <c r="N857" s="8"/>
      <c r="O857" s="8"/>
    </row>
    <row r="858">
      <c r="A858" s="8"/>
      <c r="B858" s="8"/>
      <c r="C858" s="8"/>
      <c r="D858" s="8"/>
      <c r="L858" s="8"/>
      <c r="M858" s="8"/>
      <c r="N858" s="8"/>
      <c r="O858" s="8"/>
    </row>
    <row r="859">
      <c r="A859" s="8"/>
      <c r="B859" s="8"/>
      <c r="C859" s="8"/>
      <c r="D859" s="8"/>
      <c r="L859" s="8"/>
      <c r="M859" s="8"/>
      <c r="N859" s="8"/>
      <c r="O859" s="8"/>
    </row>
    <row r="860">
      <c r="A860" s="8"/>
      <c r="B860" s="8"/>
      <c r="C860" s="8"/>
      <c r="D860" s="8"/>
      <c r="L860" s="8"/>
      <c r="M860" s="8"/>
      <c r="N860" s="8"/>
      <c r="O860" s="8"/>
    </row>
    <row r="861">
      <c r="A861" s="8"/>
      <c r="B861" s="8"/>
      <c r="C861" s="8"/>
      <c r="D861" s="8"/>
      <c r="L861" s="8"/>
      <c r="M861" s="8"/>
      <c r="N861" s="8"/>
      <c r="O861" s="8"/>
    </row>
    <row r="862">
      <c r="A862" s="8"/>
      <c r="B862" s="8"/>
      <c r="C862" s="8"/>
      <c r="D862" s="8"/>
      <c r="L862" s="8"/>
      <c r="M862" s="8"/>
      <c r="N862" s="8"/>
      <c r="O862" s="8"/>
    </row>
    <row r="863">
      <c r="A863" s="8"/>
      <c r="B863" s="8"/>
      <c r="C863" s="8"/>
      <c r="D863" s="8"/>
      <c r="L863" s="8"/>
      <c r="M863" s="8"/>
      <c r="N863" s="8"/>
      <c r="O863" s="8"/>
    </row>
    <row r="864">
      <c r="A864" s="8"/>
      <c r="B864" s="8"/>
      <c r="C864" s="8"/>
      <c r="D864" s="8"/>
      <c r="L864" s="8"/>
      <c r="M864" s="8"/>
      <c r="N864" s="8"/>
      <c r="O864" s="8"/>
    </row>
    <row r="865">
      <c r="A865" s="8"/>
      <c r="B865" s="8"/>
      <c r="C865" s="8"/>
      <c r="D865" s="8"/>
      <c r="L865" s="8"/>
      <c r="M865" s="8"/>
      <c r="N865" s="8"/>
      <c r="O865" s="8"/>
    </row>
    <row r="866">
      <c r="A866" s="8"/>
      <c r="B866" s="8"/>
      <c r="C866" s="8"/>
      <c r="D866" s="8"/>
      <c r="L866" s="8"/>
      <c r="M866" s="8"/>
      <c r="N866" s="8"/>
      <c r="O866" s="8"/>
    </row>
    <row r="867">
      <c r="A867" s="8"/>
      <c r="B867" s="8"/>
      <c r="C867" s="8"/>
      <c r="D867" s="8"/>
      <c r="L867" s="8"/>
      <c r="M867" s="8"/>
      <c r="N867" s="8"/>
      <c r="O867" s="8"/>
    </row>
    <row r="868">
      <c r="A868" s="8"/>
      <c r="B868" s="8"/>
      <c r="C868" s="8"/>
      <c r="D868" s="8"/>
      <c r="L868" s="8"/>
      <c r="M868" s="8"/>
      <c r="N868" s="8"/>
      <c r="O868" s="8"/>
    </row>
    <row r="869">
      <c r="A869" s="8"/>
      <c r="B869" s="8"/>
      <c r="C869" s="8"/>
      <c r="D869" s="8"/>
      <c r="L869" s="8"/>
      <c r="M869" s="8"/>
      <c r="N869" s="8"/>
      <c r="O869" s="8"/>
    </row>
    <row r="870">
      <c r="A870" s="8"/>
      <c r="B870" s="8"/>
      <c r="C870" s="8"/>
      <c r="D870" s="8"/>
      <c r="L870" s="8"/>
      <c r="M870" s="8"/>
      <c r="N870" s="8"/>
      <c r="O870" s="8"/>
    </row>
    <row r="871">
      <c r="A871" s="8"/>
      <c r="B871" s="8"/>
      <c r="C871" s="8"/>
      <c r="D871" s="8"/>
      <c r="L871" s="8"/>
      <c r="M871" s="8"/>
      <c r="N871" s="8"/>
      <c r="O871" s="8"/>
    </row>
    <row r="872">
      <c r="A872" s="8"/>
      <c r="B872" s="8"/>
      <c r="C872" s="8"/>
      <c r="D872" s="8"/>
      <c r="L872" s="8"/>
      <c r="M872" s="8"/>
      <c r="N872" s="8"/>
      <c r="O872" s="8"/>
    </row>
    <row r="873">
      <c r="A873" s="8"/>
      <c r="B873" s="8"/>
      <c r="C873" s="8"/>
      <c r="D873" s="8"/>
      <c r="L873" s="8"/>
      <c r="M873" s="8"/>
      <c r="N873" s="8"/>
      <c r="O873" s="8"/>
    </row>
    <row r="874">
      <c r="A874" s="8"/>
      <c r="B874" s="8"/>
      <c r="C874" s="8"/>
      <c r="D874" s="8"/>
      <c r="L874" s="8"/>
      <c r="M874" s="8"/>
      <c r="N874" s="8"/>
      <c r="O874" s="8"/>
    </row>
    <row r="875">
      <c r="A875" s="8"/>
      <c r="B875" s="8"/>
      <c r="C875" s="8"/>
      <c r="D875" s="8"/>
      <c r="L875" s="8"/>
      <c r="M875" s="8"/>
      <c r="N875" s="8"/>
      <c r="O875" s="8"/>
    </row>
    <row r="876">
      <c r="A876" s="8"/>
      <c r="B876" s="8"/>
      <c r="C876" s="8"/>
      <c r="D876" s="8"/>
      <c r="L876" s="8"/>
      <c r="M876" s="8"/>
      <c r="N876" s="8"/>
      <c r="O876" s="8"/>
    </row>
    <row r="877">
      <c r="A877" s="8"/>
      <c r="B877" s="8"/>
      <c r="C877" s="8"/>
      <c r="D877" s="8"/>
      <c r="L877" s="8"/>
      <c r="M877" s="8"/>
      <c r="N877" s="8"/>
      <c r="O877" s="8"/>
    </row>
    <row r="878">
      <c r="A878" s="8"/>
      <c r="B878" s="8"/>
      <c r="C878" s="8"/>
      <c r="D878" s="8"/>
      <c r="L878" s="8"/>
      <c r="M878" s="8"/>
      <c r="N878" s="8"/>
      <c r="O878" s="8"/>
    </row>
    <row r="879">
      <c r="A879" s="8"/>
      <c r="B879" s="8"/>
      <c r="C879" s="8"/>
      <c r="D879" s="8"/>
      <c r="L879" s="8"/>
      <c r="M879" s="8"/>
      <c r="N879" s="8"/>
      <c r="O879" s="8"/>
    </row>
    <row r="880">
      <c r="A880" s="8"/>
      <c r="B880" s="8"/>
      <c r="C880" s="8"/>
      <c r="D880" s="8"/>
      <c r="L880" s="8"/>
      <c r="M880" s="8"/>
      <c r="N880" s="8"/>
      <c r="O880" s="8"/>
    </row>
    <row r="881">
      <c r="A881" s="8"/>
      <c r="B881" s="8"/>
      <c r="C881" s="8"/>
      <c r="D881" s="8"/>
      <c r="L881" s="8"/>
      <c r="M881" s="8"/>
      <c r="N881" s="8"/>
      <c r="O881" s="8"/>
    </row>
    <row r="882">
      <c r="A882" s="8"/>
      <c r="B882" s="8"/>
      <c r="C882" s="8"/>
      <c r="D882" s="8"/>
      <c r="L882" s="8"/>
      <c r="M882" s="8"/>
      <c r="N882" s="8"/>
      <c r="O882" s="8"/>
    </row>
    <row r="883">
      <c r="A883" s="8"/>
      <c r="B883" s="8"/>
      <c r="C883" s="8"/>
      <c r="D883" s="8"/>
      <c r="L883" s="8"/>
      <c r="M883" s="8"/>
      <c r="N883" s="8"/>
      <c r="O883" s="8"/>
    </row>
    <row r="884">
      <c r="A884" s="8"/>
      <c r="B884" s="8"/>
      <c r="C884" s="8"/>
      <c r="D884" s="8"/>
      <c r="L884" s="8"/>
      <c r="M884" s="8"/>
      <c r="N884" s="8"/>
      <c r="O884" s="8"/>
    </row>
    <row r="885">
      <c r="A885" s="8"/>
      <c r="B885" s="8"/>
      <c r="C885" s="8"/>
      <c r="D885" s="8"/>
      <c r="L885" s="8"/>
      <c r="M885" s="8"/>
      <c r="N885" s="8"/>
      <c r="O885" s="8"/>
    </row>
    <row r="886">
      <c r="A886" s="8"/>
      <c r="B886" s="8"/>
      <c r="C886" s="8"/>
      <c r="D886" s="8"/>
      <c r="L886" s="8"/>
      <c r="M886" s="8"/>
      <c r="N886" s="8"/>
      <c r="O886" s="8"/>
    </row>
    <row r="887">
      <c r="A887" s="8"/>
      <c r="B887" s="8"/>
      <c r="C887" s="8"/>
      <c r="D887" s="8"/>
      <c r="L887" s="8"/>
      <c r="M887" s="8"/>
      <c r="N887" s="8"/>
      <c r="O887" s="8"/>
    </row>
    <row r="888">
      <c r="A888" s="8"/>
      <c r="B888" s="8"/>
      <c r="C888" s="8"/>
      <c r="D888" s="8"/>
      <c r="L888" s="8"/>
      <c r="M888" s="8"/>
      <c r="N888" s="8"/>
      <c r="O888" s="8"/>
    </row>
    <row r="889">
      <c r="A889" s="8"/>
      <c r="B889" s="8"/>
      <c r="C889" s="8"/>
      <c r="D889" s="8"/>
      <c r="L889" s="8"/>
      <c r="M889" s="8"/>
      <c r="N889" s="8"/>
      <c r="O889" s="8"/>
    </row>
    <row r="890">
      <c r="A890" s="8"/>
      <c r="B890" s="8"/>
      <c r="C890" s="8"/>
      <c r="D890" s="8"/>
      <c r="L890" s="8"/>
      <c r="M890" s="8"/>
      <c r="N890" s="8"/>
      <c r="O890" s="8"/>
    </row>
    <row r="891">
      <c r="A891" s="8"/>
      <c r="B891" s="8"/>
      <c r="C891" s="8"/>
      <c r="D891" s="8"/>
      <c r="L891" s="8"/>
      <c r="M891" s="8"/>
      <c r="N891" s="8"/>
      <c r="O891" s="8"/>
    </row>
    <row r="892">
      <c r="A892" s="8"/>
      <c r="B892" s="8"/>
      <c r="C892" s="8"/>
      <c r="D892" s="8"/>
      <c r="L892" s="8"/>
      <c r="M892" s="8"/>
      <c r="N892" s="8"/>
      <c r="O892" s="8"/>
    </row>
    <row r="893">
      <c r="A893" s="8"/>
      <c r="B893" s="8"/>
      <c r="C893" s="8"/>
      <c r="D893" s="8"/>
      <c r="L893" s="8"/>
      <c r="M893" s="8"/>
      <c r="N893" s="8"/>
      <c r="O893" s="8"/>
    </row>
    <row r="894">
      <c r="A894" s="8"/>
      <c r="B894" s="8"/>
      <c r="C894" s="8"/>
      <c r="D894" s="8"/>
      <c r="L894" s="8"/>
      <c r="M894" s="8"/>
      <c r="N894" s="8"/>
      <c r="O894" s="8"/>
    </row>
    <row r="895">
      <c r="A895" s="8"/>
      <c r="B895" s="8"/>
      <c r="C895" s="8"/>
      <c r="D895" s="8"/>
      <c r="L895" s="8"/>
      <c r="M895" s="8"/>
      <c r="N895" s="8"/>
      <c r="O895" s="8"/>
    </row>
    <row r="896">
      <c r="A896" s="8"/>
      <c r="B896" s="8"/>
      <c r="C896" s="8"/>
      <c r="D896" s="8"/>
      <c r="L896" s="8"/>
      <c r="M896" s="8"/>
      <c r="N896" s="8"/>
      <c r="O896" s="8"/>
    </row>
    <row r="897">
      <c r="A897" s="8"/>
      <c r="B897" s="8"/>
      <c r="C897" s="8"/>
      <c r="D897" s="8"/>
      <c r="L897" s="8"/>
      <c r="M897" s="8"/>
      <c r="N897" s="8"/>
      <c r="O897" s="8"/>
    </row>
    <row r="898">
      <c r="A898" s="8"/>
      <c r="B898" s="8"/>
      <c r="C898" s="8"/>
      <c r="D898" s="8"/>
      <c r="L898" s="8"/>
      <c r="M898" s="8"/>
      <c r="N898" s="8"/>
      <c r="O898" s="8"/>
    </row>
    <row r="899">
      <c r="A899" s="8"/>
      <c r="B899" s="8"/>
      <c r="C899" s="8"/>
      <c r="D899" s="8"/>
      <c r="L899" s="8"/>
      <c r="M899" s="8"/>
      <c r="N899" s="8"/>
      <c r="O899" s="8"/>
    </row>
    <row r="900">
      <c r="A900" s="8"/>
      <c r="B900" s="8"/>
      <c r="C900" s="8"/>
      <c r="D900" s="8"/>
      <c r="L900" s="8"/>
      <c r="M900" s="8"/>
      <c r="N900" s="8"/>
      <c r="O900" s="8"/>
    </row>
    <row r="901">
      <c r="A901" s="8"/>
      <c r="B901" s="8"/>
      <c r="C901" s="8"/>
      <c r="D901" s="8"/>
      <c r="L901" s="8"/>
      <c r="M901" s="8"/>
      <c r="N901" s="8"/>
      <c r="O901" s="8"/>
    </row>
    <row r="902">
      <c r="A902" s="8"/>
      <c r="B902" s="8"/>
      <c r="C902" s="8"/>
      <c r="D902" s="8"/>
      <c r="L902" s="8"/>
      <c r="M902" s="8"/>
      <c r="N902" s="8"/>
      <c r="O902" s="8"/>
    </row>
    <row r="903">
      <c r="A903" s="8"/>
      <c r="B903" s="8"/>
      <c r="C903" s="8"/>
      <c r="D903" s="8"/>
      <c r="L903" s="8"/>
      <c r="M903" s="8"/>
      <c r="N903" s="8"/>
      <c r="O903" s="8"/>
    </row>
    <row r="904">
      <c r="A904" s="8"/>
      <c r="B904" s="8"/>
      <c r="C904" s="8"/>
      <c r="D904" s="8"/>
      <c r="L904" s="8"/>
      <c r="M904" s="8"/>
      <c r="N904" s="8"/>
      <c r="O904" s="8"/>
    </row>
    <row r="905">
      <c r="A905" s="8"/>
      <c r="B905" s="8"/>
      <c r="C905" s="8"/>
      <c r="D905" s="8"/>
      <c r="L905" s="8"/>
      <c r="M905" s="8"/>
      <c r="N905" s="8"/>
      <c r="O905" s="8"/>
    </row>
    <row r="906">
      <c r="A906" s="8"/>
      <c r="B906" s="8"/>
      <c r="C906" s="8"/>
      <c r="D906" s="8"/>
      <c r="L906" s="8"/>
      <c r="M906" s="8"/>
      <c r="N906" s="8"/>
      <c r="O906" s="8"/>
    </row>
    <row r="907">
      <c r="A907" s="8"/>
      <c r="B907" s="8"/>
      <c r="C907" s="8"/>
      <c r="D907" s="8"/>
      <c r="L907" s="8"/>
      <c r="M907" s="8"/>
      <c r="N907" s="8"/>
      <c r="O907" s="8"/>
    </row>
    <row r="908">
      <c r="A908" s="8"/>
      <c r="B908" s="8"/>
      <c r="C908" s="8"/>
      <c r="D908" s="8"/>
      <c r="L908" s="8"/>
      <c r="M908" s="8"/>
      <c r="N908" s="8"/>
      <c r="O908" s="8"/>
    </row>
    <row r="909">
      <c r="A909" s="8"/>
      <c r="B909" s="8"/>
      <c r="C909" s="8"/>
      <c r="D909" s="8"/>
      <c r="L909" s="8"/>
      <c r="M909" s="8"/>
      <c r="N909" s="8"/>
      <c r="O909" s="8"/>
    </row>
    <row r="910">
      <c r="A910" s="8"/>
      <c r="B910" s="8"/>
      <c r="C910" s="8"/>
      <c r="D910" s="8"/>
      <c r="L910" s="8"/>
      <c r="M910" s="8"/>
      <c r="N910" s="8"/>
      <c r="O910" s="8"/>
    </row>
    <row r="911">
      <c r="A911" s="8"/>
      <c r="B911" s="8"/>
      <c r="C911" s="8"/>
      <c r="D911" s="8"/>
      <c r="L911" s="8"/>
      <c r="M911" s="8"/>
      <c r="N911" s="8"/>
      <c r="O911" s="8"/>
    </row>
    <row r="912">
      <c r="A912" s="8"/>
      <c r="B912" s="8"/>
      <c r="C912" s="8"/>
      <c r="D912" s="8"/>
      <c r="L912" s="8"/>
      <c r="M912" s="8"/>
      <c r="N912" s="8"/>
      <c r="O912" s="8"/>
    </row>
    <row r="913">
      <c r="A913" s="8"/>
      <c r="B913" s="8"/>
      <c r="C913" s="8"/>
      <c r="D913" s="8"/>
      <c r="L913" s="8"/>
      <c r="M913" s="8"/>
      <c r="N913" s="8"/>
      <c r="O913" s="8"/>
    </row>
    <row r="914">
      <c r="A914" s="8"/>
      <c r="B914" s="8"/>
      <c r="C914" s="8"/>
      <c r="D914" s="8"/>
      <c r="L914" s="8"/>
      <c r="M914" s="8"/>
      <c r="N914" s="8"/>
      <c r="O914" s="8"/>
    </row>
    <row r="915">
      <c r="A915" s="8"/>
      <c r="B915" s="8"/>
      <c r="C915" s="8"/>
      <c r="D915" s="8"/>
      <c r="L915" s="8"/>
      <c r="M915" s="8"/>
      <c r="N915" s="8"/>
      <c r="O915" s="8"/>
    </row>
    <row r="916">
      <c r="A916" s="8"/>
      <c r="B916" s="8"/>
      <c r="C916" s="8"/>
      <c r="D916" s="8"/>
      <c r="L916" s="8"/>
      <c r="M916" s="8"/>
      <c r="N916" s="8"/>
      <c r="O916" s="8"/>
    </row>
    <row r="917">
      <c r="A917" s="8"/>
      <c r="B917" s="8"/>
      <c r="C917" s="8"/>
      <c r="D917" s="8"/>
      <c r="L917" s="8"/>
      <c r="M917" s="8"/>
      <c r="N917" s="8"/>
      <c r="O917" s="8"/>
    </row>
    <row r="918">
      <c r="A918" s="8"/>
      <c r="B918" s="8"/>
      <c r="C918" s="8"/>
      <c r="D918" s="8"/>
      <c r="L918" s="8"/>
      <c r="M918" s="8"/>
      <c r="N918" s="8"/>
      <c r="O918" s="8"/>
    </row>
    <row r="919">
      <c r="A919" s="8"/>
      <c r="B919" s="8"/>
      <c r="C919" s="8"/>
      <c r="D919" s="8"/>
      <c r="L919" s="8"/>
      <c r="M919" s="8"/>
      <c r="N919" s="8"/>
      <c r="O919" s="8"/>
    </row>
    <row r="920">
      <c r="A920" s="8"/>
      <c r="B920" s="8"/>
      <c r="C920" s="8"/>
      <c r="D920" s="8"/>
      <c r="L920" s="8"/>
      <c r="M920" s="8"/>
      <c r="N920" s="8"/>
      <c r="O920" s="8"/>
    </row>
    <row r="921">
      <c r="A921" s="8"/>
      <c r="B921" s="8"/>
      <c r="C921" s="8"/>
      <c r="D921" s="8"/>
      <c r="L921" s="8"/>
      <c r="M921" s="8"/>
      <c r="N921" s="8"/>
      <c r="O921" s="8"/>
    </row>
    <row r="922">
      <c r="A922" s="8"/>
      <c r="B922" s="8"/>
      <c r="C922" s="8"/>
      <c r="D922" s="8"/>
      <c r="L922" s="8"/>
      <c r="M922" s="8"/>
      <c r="N922" s="8"/>
      <c r="O922" s="8"/>
    </row>
    <row r="923">
      <c r="A923" s="8"/>
      <c r="B923" s="8"/>
      <c r="C923" s="8"/>
      <c r="D923" s="8"/>
      <c r="L923" s="8"/>
      <c r="M923" s="8"/>
      <c r="N923" s="8"/>
      <c r="O923" s="8"/>
    </row>
    <row r="924">
      <c r="A924" s="8"/>
      <c r="B924" s="8"/>
      <c r="C924" s="8"/>
      <c r="D924" s="8"/>
      <c r="L924" s="8"/>
      <c r="M924" s="8"/>
      <c r="N924" s="8"/>
      <c r="O924" s="8"/>
    </row>
    <row r="925">
      <c r="A925" s="8"/>
      <c r="B925" s="8"/>
      <c r="C925" s="8"/>
      <c r="D925" s="8"/>
      <c r="L925" s="8"/>
      <c r="M925" s="8"/>
      <c r="N925" s="8"/>
      <c r="O925" s="8"/>
    </row>
    <row r="926">
      <c r="A926" s="8"/>
      <c r="B926" s="8"/>
      <c r="C926" s="8"/>
      <c r="D926" s="8"/>
      <c r="L926" s="8"/>
      <c r="M926" s="8"/>
      <c r="N926" s="8"/>
      <c r="O926" s="8"/>
    </row>
    <row r="927">
      <c r="A927" s="8"/>
      <c r="B927" s="8"/>
      <c r="C927" s="8"/>
      <c r="D927" s="8"/>
      <c r="L927" s="8"/>
      <c r="M927" s="8"/>
      <c r="N927" s="8"/>
      <c r="O927" s="8"/>
    </row>
    <row r="928">
      <c r="A928" s="8"/>
      <c r="B928" s="8"/>
      <c r="C928" s="8"/>
      <c r="D928" s="8"/>
      <c r="L928" s="8"/>
      <c r="M928" s="8"/>
      <c r="N928" s="8"/>
      <c r="O928" s="8"/>
    </row>
    <row r="929">
      <c r="A929" s="8"/>
      <c r="B929" s="8"/>
      <c r="C929" s="8"/>
      <c r="D929" s="8"/>
      <c r="L929" s="8"/>
      <c r="M929" s="8"/>
      <c r="N929" s="8"/>
      <c r="O929" s="8"/>
    </row>
    <row r="930">
      <c r="A930" s="8"/>
      <c r="B930" s="8"/>
      <c r="C930" s="8"/>
      <c r="D930" s="8"/>
      <c r="L930" s="8"/>
      <c r="M930" s="8"/>
      <c r="N930" s="8"/>
      <c r="O930" s="8"/>
    </row>
    <row r="931">
      <c r="A931" s="8"/>
      <c r="B931" s="8"/>
      <c r="C931" s="8"/>
      <c r="D931" s="8"/>
      <c r="L931" s="8"/>
      <c r="M931" s="8"/>
      <c r="N931" s="8"/>
      <c r="O931" s="8"/>
    </row>
    <row r="932">
      <c r="A932" s="8"/>
      <c r="B932" s="8"/>
      <c r="C932" s="8"/>
      <c r="D932" s="8"/>
      <c r="L932" s="8"/>
      <c r="M932" s="8"/>
      <c r="N932" s="8"/>
      <c r="O932" s="8"/>
    </row>
    <row r="933">
      <c r="A933" s="8"/>
      <c r="B933" s="8"/>
      <c r="C933" s="8"/>
      <c r="D933" s="8"/>
      <c r="L933" s="8"/>
      <c r="M933" s="8"/>
      <c r="N933" s="8"/>
      <c r="O933" s="8"/>
    </row>
    <row r="934">
      <c r="A934" s="8"/>
      <c r="B934" s="8"/>
      <c r="C934" s="8"/>
      <c r="D934" s="8"/>
      <c r="L934" s="8"/>
      <c r="M934" s="8"/>
      <c r="N934" s="8"/>
      <c r="O934" s="8"/>
    </row>
    <row r="935">
      <c r="A935" s="8"/>
      <c r="B935" s="8"/>
      <c r="C935" s="8"/>
      <c r="D935" s="8"/>
      <c r="L935" s="8"/>
      <c r="M935" s="8"/>
      <c r="N935" s="8"/>
      <c r="O935" s="8"/>
    </row>
    <row r="936">
      <c r="A936" s="8"/>
      <c r="B936" s="8"/>
      <c r="C936" s="8"/>
      <c r="D936" s="8"/>
      <c r="L936" s="8"/>
      <c r="M936" s="8"/>
      <c r="N936" s="8"/>
      <c r="O936" s="8"/>
    </row>
    <row r="937">
      <c r="A937" s="8"/>
      <c r="B937" s="8"/>
      <c r="C937" s="8"/>
      <c r="D937" s="8"/>
      <c r="L937" s="8"/>
      <c r="M937" s="8"/>
      <c r="N937" s="8"/>
      <c r="O937" s="8"/>
    </row>
    <row r="938">
      <c r="A938" s="8"/>
      <c r="B938" s="8"/>
      <c r="C938" s="8"/>
      <c r="D938" s="8"/>
      <c r="L938" s="8"/>
      <c r="M938" s="8"/>
      <c r="N938" s="8"/>
      <c r="O938" s="8"/>
    </row>
    <row r="939">
      <c r="A939" s="8"/>
      <c r="B939" s="8"/>
      <c r="C939" s="8"/>
      <c r="D939" s="8"/>
      <c r="L939" s="8"/>
      <c r="M939" s="8"/>
      <c r="N939" s="8"/>
      <c r="O939" s="8"/>
    </row>
    <row r="940">
      <c r="A940" s="8"/>
      <c r="B940" s="8"/>
      <c r="C940" s="8"/>
      <c r="D940" s="8"/>
      <c r="L940" s="8"/>
      <c r="M940" s="8"/>
      <c r="N940" s="8"/>
      <c r="O940" s="8"/>
    </row>
    <row r="941">
      <c r="A941" s="8"/>
      <c r="B941" s="8"/>
      <c r="C941" s="8"/>
      <c r="D941" s="8"/>
      <c r="L941" s="8"/>
      <c r="M941" s="8"/>
      <c r="N941" s="8"/>
      <c r="O941" s="8"/>
    </row>
    <row r="942">
      <c r="A942" s="8"/>
      <c r="B942" s="8"/>
      <c r="C942" s="8"/>
      <c r="D942" s="8"/>
      <c r="L942" s="8"/>
      <c r="M942" s="8"/>
      <c r="N942" s="8"/>
      <c r="O942" s="8"/>
    </row>
    <row r="943">
      <c r="A943" s="8"/>
      <c r="B943" s="8"/>
      <c r="C943" s="8"/>
      <c r="D943" s="8"/>
      <c r="L943" s="8"/>
      <c r="M943" s="8"/>
      <c r="N943" s="8"/>
      <c r="O943" s="8"/>
    </row>
    <row r="944">
      <c r="A944" s="8"/>
      <c r="B944" s="8"/>
      <c r="C944" s="8"/>
      <c r="D944" s="8"/>
      <c r="L944" s="8"/>
      <c r="M944" s="8"/>
      <c r="N944" s="8"/>
      <c r="O944" s="8"/>
    </row>
    <row r="945">
      <c r="A945" s="8"/>
      <c r="B945" s="8"/>
      <c r="C945" s="8"/>
      <c r="D945" s="8"/>
      <c r="L945" s="8"/>
      <c r="M945" s="8"/>
      <c r="N945" s="8"/>
      <c r="O945" s="8"/>
    </row>
    <row r="946">
      <c r="A946" s="8"/>
      <c r="B946" s="8"/>
      <c r="C946" s="8"/>
      <c r="D946" s="8"/>
      <c r="L946" s="8"/>
      <c r="M946" s="8"/>
      <c r="N946" s="8"/>
      <c r="O946" s="8"/>
    </row>
    <row r="947">
      <c r="A947" s="8"/>
      <c r="B947" s="8"/>
      <c r="C947" s="8"/>
      <c r="D947" s="8"/>
      <c r="L947" s="8"/>
      <c r="M947" s="8"/>
      <c r="N947" s="8"/>
      <c r="O947" s="8"/>
    </row>
    <row r="948">
      <c r="A948" s="8"/>
      <c r="B948" s="8"/>
      <c r="C948" s="8"/>
      <c r="D948" s="8"/>
      <c r="L948" s="8"/>
      <c r="M948" s="8"/>
      <c r="N948" s="8"/>
      <c r="O948" s="8"/>
    </row>
    <row r="949">
      <c r="A949" s="8"/>
      <c r="B949" s="8"/>
      <c r="C949" s="8"/>
      <c r="D949" s="8"/>
      <c r="L949" s="8"/>
      <c r="M949" s="8"/>
      <c r="N949" s="8"/>
      <c r="O949" s="8"/>
    </row>
    <row r="950">
      <c r="A950" s="8"/>
      <c r="B950" s="8"/>
      <c r="C950" s="8"/>
      <c r="D950" s="8"/>
      <c r="L950" s="8"/>
      <c r="M950" s="8"/>
      <c r="N950" s="8"/>
      <c r="O950" s="8"/>
    </row>
    <row r="951">
      <c r="A951" s="8"/>
      <c r="B951" s="8"/>
      <c r="C951" s="8"/>
      <c r="D951" s="8"/>
      <c r="L951" s="8"/>
      <c r="M951" s="8"/>
      <c r="N951" s="8"/>
      <c r="O951" s="8"/>
    </row>
    <row r="952">
      <c r="A952" s="8"/>
      <c r="B952" s="8"/>
      <c r="C952" s="8"/>
      <c r="D952" s="8"/>
      <c r="L952" s="8"/>
      <c r="M952" s="8"/>
      <c r="N952" s="8"/>
      <c r="O952" s="8"/>
    </row>
    <row r="953">
      <c r="A953" s="8"/>
      <c r="B953" s="8"/>
      <c r="C953" s="8"/>
      <c r="D953" s="8"/>
      <c r="L953" s="8"/>
      <c r="M953" s="8"/>
      <c r="N953" s="8"/>
      <c r="O953" s="8"/>
    </row>
    <row r="954">
      <c r="A954" s="8"/>
      <c r="B954" s="8"/>
      <c r="C954" s="8"/>
      <c r="D954" s="8"/>
      <c r="L954" s="8"/>
      <c r="M954" s="8"/>
      <c r="N954" s="8"/>
      <c r="O954" s="8"/>
    </row>
    <row r="955">
      <c r="A955" s="8"/>
      <c r="B955" s="8"/>
      <c r="C955" s="8"/>
      <c r="D955" s="8"/>
      <c r="L955" s="8"/>
      <c r="M955" s="8"/>
      <c r="N955" s="8"/>
      <c r="O955" s="8"/>
    </row>
    <row r="956">
      <c r="A956" s="8"/>
      <c r="B956" s="8"/>
      <c r="C956" s="8"/>
      <c r="D956" s="8"/>
      <c r="L956" s="8"/>
      <c r="M956" s="8"/>
      <c r="N956" s="8"/>
      <c r="O956" s="8"/>
    </row>
    <row r="957">
      <c r="A957" s="8"/>
      <c r="B957" s="8"/>
      <c r="C957" s="8"/>
      <c r="D957" s="8"/>
      <c r="L957" s="8"/>
      <c r="M957" s="8"/>
      <c r="N957" s="8"/>
      <c r="O957" s="8"/>
    </row>
    <row r="958">
      <c r="A958" s="8"/>
      <c r="B958" s="8"/>
      <c r="C958" s="8"/>
      <c r="D958" s="8"/>
      <c r="L958" s="8"/>
      <c r="M958" s="8"/>
      <c r="N958" s="8"/>
      <c r="O958" s="8"/>
    </row>
    <row r="959">
      <c r="A959" s="8"/>
      <c r="B959" s="8"/>
      <c r="C959" s="8"/>
      <c r="D959" s="8"/>
      <c r="L959" s="8"/>
      <c r="M959" s="8"/>
      <c r="N959" s="8"/>
      <c r="O959" s="8"/>
    </row>
    <row r="960">
      <c r="A960" s="8"/>
      <c r="B960" s="8"/>
      <c r="C960" s="8"/>
      <c r="D960" s="8"/>
      <c r="L960" s="8"/>
      <c r="M960" s="8"/>
      <c r="N960" s="8"/>
      <c r="O960" s="8"/>
    </row>
    <row r="961">
      <c r="A961" s="8"/>
      <c r="B961" s="8"/>
      <c r="C961" s="8"/>
      <c r="D961" s="8"/>
      <c r="L961" s="8"/>
      <c r="M961" s="8"/>
      <c r="N961" s="8"/>
      <c r="O961" s="8"/>
    </row>
    <row r="962">
      <c r="A962" s="8"/>
      <c r="B962" s="8"/>
      <c r="C962" s="8"/>
      <c r="D962" s="8"/>
      <c r="L962" s="8"/>
      <c r="M962" s="8"/>
      <c r="N962" s="8"/>
      <c r="O962" s="8"/>
    </row>
    <row r="963">
      <c r="A963" s="8"/>
      <c r="B963" s="8"/>
      <c r="C963" s="8"/>
      <c r="D963" s="8"/>
      <c r="L963" s="8"/>
      <c r="M963" s="8"/>
      <c r="N963" s="8"/>
      <c r="O963" s="8"/>
    </row>
    <row r="964">
      <c r="A964" s="8"/>
      <c r="B964" s="8"/>
      <c r="C964" s="8"/>
      <c r="D964" s="8"/>
      <c r="L964" s="8"/>
      <c r="M964" s="8"/>
      <c r="N964" s="8"/>
      <c r="O964" s="8"/>
    </row>
    <row r="965">
      <c r="A965" s="8"/>
      <c r="B965" s="8"/>
      <c r="C965" s="8"/>
      <c r="D965" s="8"/>
      <c r="L965" s="8"/>
      <c r="M965" s="8"/>
      <c r="N965" s="8"/>
      <c r="O965" s="8"/>
    </row>
    <row r="966">
      <c r="A966" s="8"/>
      <c r="B966" s="8"/>
      <c r="C966" s="8"/>
      <c r="D966" s="8"/>
      <c r="L966" s="8"/>
      <c r="M966" s="8"/>
      <c r="N966" s="8"/>
      <c r="O966" s="8"/>
    </row>
    <row r="967">
      <c r="A967" s="8"/>
      <c r="B967" s="8"/>
      <c r="C967" s="8"/>
      <c r="D967" s="8"/>
      <c r="L967" s="8"/>
      <c r="M967" s="8"/>
      <c r="N967" s="8"/>
      <c r="O967" s="8"/>
    </row>
    <row r="968">
      <c r="A968" s="8"/>
      <c r="B968" s="8"/>
      <c r="C968" s="8"/>
      <c r="D968" s="8"/>
      <c r="L968" s="8"/>
      <c r="M968" s="8"/>
      <c r="N968" s="8"/>
      <c r="O968" s="8"/>
    </row>
    <row r="969">
      <c r="A969" s="8"/>
      <c r="B969" s="8"/>
      <c r="C969" s="8"/>
      <c r="D969" s="8"/>
      <c r="L969" s="8"/>
      <c r="M969" s="8"/>
      <c r="N969" s="8"/>
      <c r="O969" s="8"/>
    </row>
    <row r="970">
      <c r="A970" s="8"/>
      <c r="B970" s="8"/>
      <c r="C970" s="8"/>
      <c r="D970" s="8"/>
      <c r="L970" s="8"/>
      <c r="M970" s="8"/>
      <c r="N970" s="8"/>
      <c r="O970" s="8"/>
    </row>
    <row r="971">
      <c r="A971" s="8"/>
      <c r="B971" s="8"/>
      <c r="C971" s="8"/>
      <c r="D971" s="8"/>
      <c r="L971" s="8"/>
      <c r="M971" s="8"/>
      <c r="N971" s="8"/>
      <c r="O971" s="8"/>
    </row>
    <row r="972">
      <c r="A972" s="8"/>
      <c r="B972" s="8"/>
      <c r="C972" s="8"/>
      <c r="D972" s="8"/>
      <c r="L972" s="8"/>
      <c r="M972" s="8"/>
      <c r="N972" s="8"/>
      <c r="O972" s="8"/>
    </row>
    <row r="973">
      <c r="A973" s="8"/>
      <c r="B973" s="8"/>
      <c r="C973" s="8"/>
      <c r="D973" s="8"/>
      <c r="L973" s="8"/>
      <c r="M973" s="8"/>
      <c r="N973" s="8"/>
      <c r="O973" s="8"/>
    </row>
    <row r="974">
      <c r="A974" s="8"/>
      <c r="B974" s="8"/>
      <c r="C974" s="8"/>
      <c r="D974" s="8"/>
      <c r="L974" s="8"/>
      <c r="M974" s="8"/>
      <c r="N974" s="8"/>
      <c r="O974" s="8"/>
    </row>
    <row r="975">
      <c r="A975" s="8"/>
      <c r="B975" s="8"/>
      <c r="C975" s="8"/>
      <c r="D975" s="8"/>
      <c r="L975" s="8"/>
      <c r="M975" s="8"/>
      <c r="N975" s="8"/>
      <c r="O975" s="8"/>
    </row>
    <row r="976">
      <c r="A976" s="8"/>
      <c r="B976" s="8"/>
      <c r="C976" s="8"/>
      <c r="D976" s="8"/>
      <c r="L976" s="8"/>
      <c r="M976" s="8"/>
      <c r="N976" s="8"/>
      <c r="O976" s="8"/>
    </row>
    <row r="977">
      <c r="A977" s="8"/>
      <c r="B977" s="8"/>
      <c r="C977" s="8"/>
      <c r="D977" s="8"/>
      <c r="L977" s="8"/>
      <c r="M977" s="8"/>
      <c r="N977" s="8"/>
      <c r="O977" s="8"/>
    </row>
    <row r="978">
      <c r="A978" s="8"/>
      <c r="B978" s="8"/>
      <c r="C978" s="8"/>
      <c r="D978" s="8"/>
      <c r="L978" s="8"/>
      <c r="M978" s="8"/>
      <c r="N978" s="8"/>
      <c r="O978" s="8"/>
    </row>
    <row r="979">
      <c r="A979" s="8"/>
      <c r="B979" s="8"/>
      <c r="C979" s="8"/>
      <c r="D979" s="8"/>
      <c r="L979" s="8"/>
      <c r="M979" s="8"/>
      <c r="N979" s="8"/>
      <c r="O979" s="8"/>
    </row>
    <row r="980">
      <c r="A980" s="8"/>
      <c r="B980" s="8"/>
      <c r="C980" s="8"/>
      <c r="D980" s="8"/>
      <c r="L980" s="8"/>
      <c r="M980" s="8"/>
      <c r="N980" s="8"/>
      <c r="O980" s="8"/>
    </row>
    <row r="981">
      <c r="A981" s="8"/>
      <c r="B981" s="8"/>
      <c r="C981" s="8"/>
      <c r="D981" s="8"/>
      <c r="L981" s="8"/>
      <c r="M981" s="8"/>
      <c r="N981" s="8"/>
      <c r="O981" s="8"/>
    </row>
    <row r="982">
      <c r="A982" s="8"/>
      <c r="B982" s="8"/>
      <c r="C982" s="8"/>
      <c r="D982" s="8"/>
      <c r="L982" s="8"/>
      <c r="M982" s="8"/>
      <c r="N982" s="8"/>
      <c r="O982" s="8"/>
    </row>
    <row r="983">
      <c r="A983" s="8"/>
      <c r="B983" s="8"/>
      <c r="C983" s="8"/>
      <c r="D983" s="8"/>
      <c r="L983" s="8"/>
      <c r="M983" s="8"/>
      <c r="N983" s="8"/>
      <c r="O983" s="8"/>
    </row>
    <row r="984">
      <c r="A984" s="8"/>
      <c r="B984" s="8"/>
      <c r="C984" s="8"/>
      <c r="D984" s="8"/>
      <c r="L984" s="8"/>
      <c r="M984" s="8"/>
      <c r="N984" s="8"/>
      <c r="O984" s="8"/>
    </row>
    <row r="985">
      <c r="A985" s="8"/>
      <c r="B985" s="8"/>
      <c r="C985" s="8"/>
      <c r="D985" s="8"/>
      <c r="L985" s="8"/>
      <c r="M985" s="8"/>
      <c r="N985" s="8"/>
      <c r="O985" s="8"/>
    </row>
    <row r="986">
      <c r="A986" s="8"/>
      <c r="B986" s="8"/>
      <c r="C986" s="8"/>
      <c r="D986" s="8"/>
      <c r="L986" s="8"/>
      <c r="M986" s="8"/>
      <c r="N986" s="8"/>
      <c r="O986" s="8"/>
    </row>
    <row r="987">
      <c r="A987" s="8"/>
      <c r="B987" s="8"/>
      <c r="C987" s="8"/>
      <c r="D987" s="8"/>
      <c r="L987" s="8"/>
      <c r="M987" s="8"/>
      <c r="N987" s="8"/>
      <c r="O987" s="8"/>
    </row>
    <row r="988">
      <c r="A988" s="8"/>
      <c r="B988" s="8"/>
      <c r="C988" s="8"/>
      <c r="D988" s="8"/>
      <c r="L988" s="8"/>
      <c r="M988" s="8"/>
      <c r="N988" s="8"/>
      <c r="O988" s="8"/>
    </row>
    <row r="989">
      <c r="A989" s="8"/>
      <c r="B989" s="8"/>
      <c r="C989" s="8"/>
      <c r="D989" s="8"/>
      <c r="L989" s="8"/>
      <c r="M989" s="8"/>
      <c r="N989" s="8"/>
      <c r="O989" s="8"/>
    </row>
    <row r="990">
      <c r="A990" s="8"/>
      <c r="B990" s="8"/>
      <c r="C990" s="8"/>
      <c r="D990" s="8"/>
      <c r="L990" s="8"/>
      <c r="M990" s="8"/>
      <c r="N990" s="8"/>
      <c r="O990" s="8"/>
    </row>
    <row r="991">
      <c r="A991" s="8"/>
      <c r="B991" s="8"/>
      <c r="C991" s="8"/>
      <c r="D991" s="8"/>
      <c r="L991" s="8"/>
      <c r="M991" s="8"/>
      <c r="N991" s="8"/>
      <c r="O991" s="8"/>
    </row>
    <row r="992">
      <c r="A992" s="8"/>
      <c r="B992" s="8"/>
      <c r="C992" s="8"/>
      <c r="D992" s="8"/>
      <c r="L992" s="8"/>
      <c r="M992" s="8"/>
      <c r="N992" s="8"/>
      <c r="O992" s="8"/>
    </row>
    <row r="993">
      <c r="A993" s="8"/>
      <c r="B993" s="8"/>
      <c r="C993" s="8"/>
      <c r="D993" s="8"/>
      <c r="L993" s="8"/>
      <c r="M993" s="8"/>
      <c r="N993" s="8"/>
      <c r="O993" s="8"/>
    </row>
    <row r="994">
      <c r="A994" s="8"/>
      <c r="B994" s="8"/>
      <c r="C994" s="8"/>
      <c r="D994" s="8"/>
      <c r="L994" s="8"/>
      <c r="M994" s="8"/>
      <c r="N994" s="8"/>
      <c r="O994" s="8"/>
    </row>
    <row r="995">
      <c r="A995" s="8"/>
      <c r="B995" s="8"/>
      <c r="C995" s="8"/>
      <c r="D995" s="8"/>
      <c r="L995" s="8"/>
      <c r="M995" s="8"/>
      <c r="N995" s="8"/>
      <c r="O995" s="8"/>
    </row>
    <row r="996">
      <c r="A996" s="8"/>
      <c r="B996" s="8"/>
      <c r="C996" s="8"/>
      <c r="D996" s="8"/>
      <c r="L996" s="8"/>
      <c r="M996" s="8"/>
      <c r="N996" s="8"/>
      <c r="O996" s="8"/>
    </row>
    <row r="997">
      <c r="A997" s="8"/>
      <c r="B997" s="8"/>
      <c r="C997" s="8"/>
      <c r="D997" s="8"/>
      <c r="L997" s="8"/>
      <c r="M997" s="8"/>
      <c r="N997" s="8"/>
      <c r="O997" s="8"/>
    </row>
    <row r="998">
      <c r="A998" s="8"/>
      <c r="B998" s="8"/>
      <c r="C998" s="8"/>
      <c r="D998" s="8"/>
      <c r="L998" s="8"/>
      <c r="M998" s="8"/>
      <c r="N998" s="8"/>
      <c r="O998" s="8"/>
    </row>
    <row r="999">
      <c r="A999" s="8"/>
      <c r="B999" s="8"/>
      <c r="C999" s="8"/>
      <c r="D999" s="8"/>
      <c r="L999" s="8"/>
      <c r="M999" s="8"/>
      <c r="N999" s="8"/>
      <c r="O999" s="8"/>
    </row>
    <row r="1000">
      <c r="A1000" s="8"/>
      <c r="B1000" s="8"/>
      <c r="C1000" s="8"/>
      <c r="D1000" s="8"/>
      <c r="L1000" s="8"/>
      <c r="M1000" s="8"/>
      <c r="N1000" s="8"/>
      <c r="O1000" s="8"/>
    </row>
    <row r="1001">
      <c r="A1001" s="8"/>
      <c r="B1001" s="8"/>
      <c r="C1001" s="8"/>
      <c r="D1001" s="8"/>
      <c r="L1001" s="8"/>
      <c r="M1001" s="8"/>
      <c r="N1001" s="8"/>
      <c r="O1001" s="8"/>
    </row>
    <row r="1002">
      <c r="A1002" s="8"/>
      <c r="B1002" s="8"/>
      <c r="C1002" s="8"/>
      <c r="D1002" s="8"/>
      <c r="L1002" s="8"/>
      <c r="M1002" s="8"/>
      <c r="N1002" s="8"/>
      <c r="O1002" s="8"/>
    </row>
    <row r="1003">
      <c r="A1003" s="8"/>
      <c r="B1003" s="8"/>
      <c r="C1003" s="8"/>
      <c r="D1003" s="8"/>
      <c r="L1003" s="8"/>
      <c r="M1003" s="8"/>
      <c r="N1003" s="8"/>
      <c r="O1003" s="8"/>
    </row>
    <row r="1004">
      <c r="A1004" s="8"/>
      <c r="B1004" s="8"/>
      <c r="C1004" s="8"/>
      <c r="D1004" s="8"/>
      <c r="L1004" s="8"/>
      <c r="M1004" s="8"/>
      <c r="N1004" s="8"/>
      <c r="O1004" s="8"/>
    </row>
    <row r="1005">
      <c r="A1005" s="8"/>
      <c r="B1005" s="8"/>
      <c r="C1005" s="8"/>
      <c r="D1005" s="8"/>
      <c r="L1005" s="8"/>
      <c r="M1005" s="8"/>
      <c r="N1005" s="8"/>
      <c r="O1005" s="8"/>
    </row>
    <row r="1006">
      <c r="A1006" s="8"/>
      <c r="B1006" s="8"/>
      <c r="C1006" s="8"/>
      <c r="D1006" s="8"/>
      <c r="L1006" s="8"/>
      <c r="M1006" s="8"/>
      <c r="N1006" s="8"/>
      <c r="O1006" s="8"/>
    </row>
    <row r="1007">
      <c r="A1007" s="8"/>
      <c r="B1007" s="8"/>
      <c r="C1007" s="8"/>
      <c r="D1007" s="8"/>
      <c r="L1007" s="8"/>
      <c r="M1007" s="8"/>
      <c r="N1007" s="8"/>
      <c r="O1007" s="8"/>
    </row>
    <row r="1008">
      <c r="A1008" s="8"/>
      <c r="B1008" s="8"/>
      <c r="C1008" s="8"/>
      <c r="D1008" s="8"/>
      <c r="L1008" s="8"/>
      <c r="M1008" s="8"/>
      <c r="N1008" s="8"/>
      <c r="O1008" s="8"/>
    </row>
    <row r="1009">
      <c r="A1009" s="8"/>
      <c r="B1009" s="8"/>
      <c r="C1009" s="8"/>
      <c r="D1009" s="8"/>
      <c r="L1009" s="8"/>
      <c r="M1009" s="8"/>
      <c r="N1009" s="8"/>
      <c r="O1009" s="8"/>
    </row>
    <row r="1010">
      <c r="A1010" s="8"/>
      <c r="B1010" s="8"/>
      <c r="C1010" s="8"/>
      <c r="D1010" s="8"/>
      <c r="L1010" s="8"/>
      <c r="M1010" s="8"/>
      <c r="N1010" s="8"/>
      <c r="O1010" s="8"/>
    </row>
    <row r="1011">
      <c r="A1011" s="8"/>
      <c r="B1011" s="8"/>
      <c r="C1011" s="8"/>
      <c r="D1011" s="8"/>
      <c r="L1011" s="8"/>
      <c r="M1011" s="8"/>
      <c r="N1011" s="8"/>
      <c r="O1011" s="8"/>
    </row>
    <row r="1012">
      <c r="A1012" s="8"/>
      <c r="B1012" s="8"/>
      <c r="C1012" s="8"/>
      <c r="D1012" s="8"/>
      <c r="L1012" s="8"/>
      <c r="M1012" s="8"/>
      <c r="N1012" s="8"/>
      <c r="O1012" s="8"/>
    </row>
    <row r="1013">
      <c r="A1013" s="8"/>
      <c r="B1013" s="8"/>
      <c r="C1013" s="8"/>
      <c r="D1013" s="8"/>
      <c r="L1013" s="8"/>
      <c r="M1013" s="8"/>
      <c r="N1013" s="8"/>
      <c r="O1013" s="8"/>
    </row>
    <row r="1014">
      <c r="A1014" s="8"/>
      <c r="B1014" s="8"/>
      <c r="C1014" s="8"/>
      <c r="D1014" s="8"/>
      <c r="L1014" s="8"/>
      <c r="M1014" s="8"/>
      <c r="N1014" s="8"/>
      <c r="O1014" s="8"/>
    </row>
    <row r="1015">
      <c r="A1015" s="8"/>
      <c r="B1015" s="8"/>
      <c r="C1015" s="8"/>
      <c r="D1015" s="8"/>
      <c r="L1015" s="8"/>
      <c r="M1015" s="8"/>
      <c r="N1015" s="8"/>
      <c r="O1015" s="8"/>
    </row>
    <row r="1016">
      <c r="A1016" s="8"/>
      <c r="B1016" s="8"/>
      <c r="C1016" s="8"/>
      <c r="D1016" s="8"/>
      <c r="L1016" s="8"/>
      <c r="M1016" s="8"/>
      <c r="N1016" s="8"/>
      <c r="O1016" s="8"/>
    </row>
    <row r="1017">
      <c r="A1017" s="8"/>
      <c r="B1017" s="8"/>
      <c r="C1017" s="8"/>
      <c r="D1017" s="8"/>
      <c r="L1017" s="8"/>
      <c r="M1017" s="8"/>
      <c r="N1017" s="8"/>
      <c r="O1017" s="8"/>
    </row>
    <row r="1018">
      <c r="A1018" s="8"/>
      <c r="B1018" s="8"/>
      <c r="C1018" s="8"/>
      <c r="D1018" s="8"/>
      <c r="L1018" s="8"/>
      <c r="M1018" s="8"/>
      <c r="N1018" s="8"/>
      <c r="O1018" s="8"/>
    </row>
    <row r="1019">
      <c r="A1019" s="8"/>
      <c r="B1019" s="8"/>
      <c r="C1019" s="8"/>
      <c r="D1019" s="8"/>
      <c r="L1019" s="8"/>
      <c r="M1019" s="8"/>
      <c r="N1019" s="8"/>
      <c r="O1019" s="8"/>
    </row>
    <row r="1020">
      <c r="A1020" s="8"/>
      <c r="B1020" s="8"/>
      <c r="C1020" s="8"/>
      <c r="D1020" s="8"/>
      <c r="L1020" s="8"/>
      <c r="M1020" s="8"/>
      <c r="N1020" s="8"/>
      <c r="O1020" s="8"/>
    </row>
    <row r="1021">
      <c r="A1021" s="8"/>
      <c r="B1021" s="8"/>
      <c r="C1021" s="8"/>
      <c r="D1021" s="8"/>
      <c r="L1021" s="8"/>
      <c r="M1021" s="8"/>
      <c r="N1021" s="8"/>
      <c r="O1021" s="8"/>
    </row>
    <row r="1022">
      <c r="A1022" s="8"/>
      <c r="B1022" s="8"/>
      <c r="C1022" s="8"/>
      <c r="D1022" s="8"/>
      <c r="L1022" s="8"/>
      <c r="M1022" s="8"/>
      <c r="N1022" s="8"/>
      <c r="O1022" s="8"/>
    </row>
    <row r="1023">
      <c r="A1023" s="8"/>
      <c r="B1023" s="8"/>
      <c r="C1023" s="8"/>
      <c r="D1023" s="8"/>
      <c r="L1023" s="8"/>
      <c r="M1023" s="8"/>
      <c r="N1023" s="8"/>
      <c r="O1023" s="8"/>
    </row>
    <row r="1024">
      <c r="A1024" s="8"/>
      <c r="B1024" s="8"/>
      <c r="C1024" s="8"/>
      <c r="D1024" s="8"/>
      <c r="L1024" s="8"/>
      <c r="M1024" s="8"/>
      <c r="N1024" s="8"/>
      <c r="O1024" s="8"/>
    </row>
    <row r="1025">
      <c r="A1025" s="8"/>
      <c r="B1025" s="8"/>
      <c r="C1025" s="8"/>
      <c r="D1025" s="8"/>
      <c r="L1025" s="8"/>
      <c r="M1025" s="8"/>
      <c r="N1025" s="8"/>
      <c r="O1025" s="8"/>
    </row>
    <row r="1026">
      <c r="A1026" s="8"/>
      <c r="B1026" s="8"/>
      <c r="C1026" s="8"/>
      <c r="D1026" s="8"/>
      <c r="L1026" s="8"/>
      <c r="M1026" s="8"/>
      <c r="N1026" s="8"/>
      <c r="O1026" s="8"/>
    </row>
    <row r="1027">
      <c r="A1027" s="8"/>
      <c r="B1027" s="8"/>
      <c r="C1027" s="8"/>
      <c r="D1027" s="8"/>
      <c r="L1027" s="8"/>
      <c r="M1027" s="8"/>
      <c r="N1027" s="8"/>
      <c r="O1027" s="8"/>
    </row>
    <row r="1028">
      <c r="A1028" s="8"/>
      <c r="B1028" s="8"/>
      <c r="C1028" s="8"/>
      <c r="D1028" s="8"/>
      <c r="L1028" s="8"/>
      <c r="M1028" s="8"/>
      <c r="N1028" s="8"/>
      <c r="O1028" s="8"/>
    </row>
    <row r="1029">
      <c r="A1029" s="8"/>
      <c r="B1029" s="8"/>
      <c r="C1029" s="8"/>
      <c r="D1029" s="8"/>
      <c r="L1029" s="8"/>
      <c r="M1029" s="8"/>
      <c r="N1029" s="8"/>
      <c r="O1029" s="8"/>
    </row>
    <row r="1030">
      <c r="A1030" s="8"/>
      <c r="B1030" s="8"/>
      <c r="C1030" s="8"/>
      <c r="D1030" s="8"/>
      <c r="L1030" s="8"/>
      <c r="M1030" s="8"/>
      <c r="N1030" s="8"/>
      <c r="O1030" s="8"/>
    </row>
    <row r="1031">
      <c r="A1031" s="8"/>
      <c r="B1031" s="8"/>
      <c r="C1031" s="8"/>
      <c r="D1031" s="8"/>
      <c r="L1031" s="8"/>
      <c r="M1031" s="8"/>
      <c r="N1031" s="8"/>
      <c r="O1031" s="8"/>
    </row>
    <row r="1032">
      <c r="A1032" s="8"/>
      <c r="B1032" s="8"/>
      <c r="C1032" s="8"/>
      <c r="D1032" s="8"/>
      <c r="L1032" s="8"/>
      <c r="M1032" s="8"/>
      <c r="N1032" s="8"/>
      <c r="O1032" s="8"/>
    </row>
    <row r="1033">
      <c r="A1033" s="8"/>
      <c r="B1033" s="8"/>
      <c r="C1033" s="8"/>
      <c r="D1033" s="8"/>
      <c r="L1033" s="8"/>
      <c r="M1033" s="8"/>
      <c r="N1033" s="8"/>
      <c r="O1033" s="8"/>
    </row>
    <row r="1034">
      <c r="A1034" s="8"/>
      <c r="B1034" s="8"/>
      <c r="C1034" s="8"/>
      <c r="D1034" s="8"/>
      <c r="L1034" s="8"/>
      <c r="M1034" s="8"/>
      <c r="N1034" s="8"/>
      <c r="O1034" s="8"/>
    </row>
    <row r="1035">
      <c r="A1035" s="8"/>
      <c r="B1035" s="8"/>
      <c r="C1035" s="8"/>
      <c r="D1035" s="8"/>
      <c r="L1035" s="8"/>
      <c r="M1035" s="8"/>
      <c r="N1035" s="8"/>
      <c r="O1035" s="8"/>
    </row>
    <row r="1036">
      <c r="A1036" s="8"/>
      <c r="B1036" s="8"/>
      <c r="C1036" s="8"/>
      <c r="D1036" s="8"/>
      <c r="L1036" s="8"/>
      <c r="M1036" s="8"/>
      <c r="N1036" s="8"/>
      <c r="O1036" s="8"/>
    </row>
    <row r="1037">
      <c r="A1037" s="8"/>
      <c r="B1037" s="8"/>
      <c r="C1037" s="8"/>
      <c r="D1037" s="8"/>
      <c r="L1037" s="8"/>
      <c r="M1037" s="8"/>
      <c r="N1037" s="8"/>
      <c r="O1037" s="8"/>
    </row>
    <row r="1038">
      <c r="A1038" s="8"/>
      <c r="B1038" s="8"/>
      <c r="C1038" s="8"/>
      <c r="D1038" s="8"/>
      <c r="L1038" s="8"/>
      <c r="M1038" s="8"/>
      <c r="N1038" s="8"/>
      <c r="O1038" s="8"/>
    </row>
    <row r="1039">
      <c r="A1039" s="8"/>
      <c r="B1039" s="8"/>
      <c r="C1039" s="8"/>
      <c r="D1039" s="8"/>
      <c r="L1039" s="8"/>
      <c r="M1039" s="8"/>
      <c r="N1039" s="8"/>
      <c r="O1039" s="8"/>
    </row>
    <row r="1040">
      <c r="A1040" s="8"/>
      <c r="B1040" s="8"/>
      <c r="C1040" s="8"/>
      <c r="D1040" s="8"/>
      <c r="L1040" s="8"/>
      <c r="M1040" s="8"/>
      <c r="N1040" s="8"/>
      <c r="O1040" s="8"/>
    </row>
    <row r="1041">
      <c r="A1041" s="8"/>
      <c r="B1041" s="8"/>
      <c r="C1041" s="8"/>
      <c r="D1041" s="8"/>
      <c r="L1041" s="8"/>
      <c r="M1041" s="8"/>
      <c r="N1041" s="8"/>
      <c r="O1041" s="8"/>
    </row>
    <row r="1042">
      <c r="A1042" s="8"/>
      <c r="B1042" s="8"/>
      <c r="C1042" s="8"/>
      <c r="D1042" s="8"/>
      <c r="L1042" s="8"/>
      <c r="M1042" s="8"/>
      <c r="N1042" s="8"/>
      <c r="O1042" s="8"/>
    </row>
    <row r="1043">
      <c r="A1043" s="8"/>
      <c r="B1043" s="8"/>
      <c r="C1043" s="8"/>
      <c r="D1043" s="8"/>
      <c r="L1043" s="8"/>
      <c r="M1043" s="8"/>
      <c r="N1043" s="8"/>
      <c r="O1043" s="8"/>
    </row>
    <row r="1044">
      <c r="A1044" s="8"/>
      <c r="B1044" s="8"/>
      <c r="C1044" s="8"/>
      <c r="D1044" s="8"/>
      <c r="L1044" s="8"/>
      <c r="M1044" s="8"/>
      <c r="N1044" s="8"/>
      <c r="O1044" s="8"/>
    </row>
    <row r="1045">
      <c r="A1045" s="8"/>
      <c r="B1045" s="8"/>
      <c r="C1045" s="8"/>
      <c r="D1045" s="8"/>
      <c r="L1045" s="8"/>
      <c r="M1045" s="8"/>
      <c r="N1045" s="8"/>
      <c r="O1045" s="8"/>
    </row>
    <row r="1046">
      <c r="A1046" s="8"/>
      <c r="B1046" s="8"/>
      <c r="C1046" s="8"/>
      <c r="D1046" s="8"/>
      <c r="L1046" s="8"/>
      <c r="M1046" s="8"/>
      <c r="N1046" s="8"/>
      <c r="O1046" s="8"/>
    </row>
    <row r="1047">
      <c r="A1047" s="8"/>
      <c r="B1047" s="8"/>
      <c r="C1047" s="8"/>
      <c r="D1047" s="8"/>
      <c r="L1047" s="8"/>
      <c r="M1047" s="8"/>
      <c r="N1047" s="8"/>
      <c r="O1047" s="8"/>
    </row>
    <row r="1048">
      <c r="A1048" s="8"/>
      <c r="B1048" s="8"/>
      <c r="C1048" s="8"/>
      <c r="D1048" s="8"/>
      <c r="L1048" s="8"/>
      <c r="M1048" s="8"/>
      <c r="N1048" s="8"/>
      <c r="O1048" s="8"/>
    </row>
    <row r="1049">
      <c r="A1049" s="8"/>
      <c r="B1049" s="8"/>
      <c r="C1049" s="8"/>
      <c r="D1049" s="8"/>
      <c r="L1049" s="8"/>
      <c r="M1049" s="8"/>
      <c r="N1049" s="8"/>
      <c r="O1049" s="8"/>
    </row>
    <row r="1050">
      <c r="A1050" s="8"/>
      <c r="B1050" s="8"/>
      <c r="C1050" s="8"/>
      <c r="D1050" s="8"/>
      <c r="L1050" s="8"/>
      <c r="M1050" s="8"/>
      <c r="N1050" s="8"/>
      <c r="O1050" s="8"/>
    </row>
    <row r="1051">
      <c r="A1051" s="8"/>
      <c r="B1051" s="8"/>
      <c r="C1051" s="8"/>
      <c r="D1051" s="8"/>
      <c r="L1051" s="8"/>
      <c r="M1051" s="8"/>
      <c r="N1051" s="8"/>
      <c r="O1051" s="8"/>
    </row>
    <row r="1052">
      <c r="A1052" s="8"/>
      <c r="B1052" s="8"/>
      <c r="C1052" s="8"/>
      <c r="D1052" s="8"/>
      <c r="L1052" s="8"/>
      <c r="M1052" s="8"/>
      <c r="N1052" s="8"/>
      <c r="O1052" s="8"/>
    </row>
    <row r="1053">
      <c r="A1053" s="8"/>
      <c r="B1053" s="8"/>
      <c r="C1053" s="8"/>
      <c r="D1053" s="8"/>
      <c r="L1053" s="8"/>
      <c r="M1053" s="8"/>
      <c r="N1053" s="8"/>
      <c r="O1053" s="8"/>
    </row>
    <row r="1054">
      <c r="A1054" s="8"/>
      <c r="B1054" s="8"/>
      <c r="C1054" s="8"/>
      <c r="D1054" s="8"/>
      <c r="L1054" s="8"/>
      <c r="M1054" s="8"/>
      <c r="N1054" s="8"/>
      <c r="O1054" s="8"/>
    </row>
    <row r="1055">
      <c r="A1055" s="8"/>
      <c r="B1055" s="8"/>
      <c r="C1055" s="8"/>
      <c r="D1055" s="8"/>
      <c r="L1055" s="8"/>
      <c r="M1055" s="8"/>
      <c r="N1055" s="8"/>
      <c r="O1055" s="8"/>
    </row>
    <row r="1056">
      <c r="A1056" s="8"/>
      <c r="B1056" s="8"/>
      <c r="C1056" s="8"/>
      <c r="D1056" s="8"/>
      <c r="L1056" s="8"/>
      <c r="M1056" s="8"/>
      <c r="N1056" s="8"/>
      <c r="O1056" s="8"/>
    </row>
    <row r="1057">
      <c r="A1057" s="8"/>
      <c r="B1057" s="8"/>
      <c r="C1057" s="8"/>
      <c r="D1057" s="8"/>
      <c r="L1057" s="8"/>
      <c r="M1057" s="8"/>
      <c r="N1057" s="8"/>
      <c r="O1057" s="8"/>
    </row>
    <row r="1058">
      <c r="A1058" s="8"/>
      <c r="B1058" s="8"/>
      <c r="C1058" s="8"/>
      <c r="D1058" s="8"/>
      <c r="L1058" s="8"/>
      <c r="M1058" s="8"/>
      <c r="N1058" s="8"/>
      <c r="O1058" s="8"/>
    </row>
    <row r="1059">
      <c r="A1059" s="8"/>
      <c r="B1059" s="8"/>
      <c r="C1059" s="8"/>
      <c r="D1059" s="8"/>
      <c r="L1059" s="8"/>
      <c r="M1059" s="8"/>
      <c r="N1059" s="8"/>
      <c r="O1059" s="8"/>
    </row>
    <row r="1060">
      <c r="A1060" s="8"/>
      <c r="B1060" s="8"/>
      <c r="C1060" s="8"/>
      <c r="D1060" s="8"/>
      <c r="L1060" s="8"/>
      <c r="M1060" s="8"/>
      <c r="N1060" s="8"/>
      <c r="O1060" s="8"/>
    </row>
    <row r="1061">
      <c r="A1061" s="8"/>
      <c r="B1061" s="8"/>
      <c r="C1061" s="8"/>
      <c r="D1061" s="8"/>
      <c r="L1061" s="8"/>
      <c r="M1061" s="8"/>
      <c r="N1061" s="8"/>
      <c r="O1061" s="8"/>
    </row>
    <row r="1062">
      <c r="A1062" s="8"/>
      <c r="B1062" s="8"/>
      <c r="C1062" s="8"/>
      <c r="D1062" s="8"/>
      <c r="L1062" s="8"/>
      <c r="M1062" s="8"/>
      <c r="N1062" s="8"/>
      <c r="O1062" s="8"/>
    </row>
    <row r="1063">
      <c r="A1063" s="8"/>
      <c r="B1063" s="8"/>
      <c r="C1063" s="8"/>
      <c r="D1063" s="8"/>
      <c r="L1063" s="8"/>
      <c r="M1063" s="8"/>
      <c r="N1063" s="8"/>
      <c r="O1063" s="8"/>
    </row>
    <row r="1064">
      <c r="A1064" s="8"/>
      <c r="B1064" s="8"/>
      <c r="C1064" s="8"/>
      <c r="D1064" s="8"/>
      <c r="L1064" s="8"/>
      <c r="M1064" s="8"/>
      <c r="N1064" s="8"/>
      <c r="O1064" s="8"/>
    </row>
    <row r="1065">
      <c r="A1065" s="8"/>
      <c r="B1065" s="8"/>
      <c r="C1065" s="8"/>
      <c r="D1065" s="8"/>
      <c r="L1065" s="8"/>
      <c r="M1065" s="8"/>
      <c r="N1065" s="8"/>
      <c r="O1065" s="8"/>
    </row>
    <row r="1066">
      <c r="A1066" s="8"/>
      <c r="B1066" s="8"/>
      <c r="C1066" s="8"/>
      <c r="D1066" s="8"/>
      <c r="L1066" s="8"/>
      <c r="M1066" s="8"/>
      <c r="N1066" s="8"/>
      <c r="O1066" s="8"/>
    </row>
    <row r="1067">
      <c r="A1067" s="8"/>
      <c r="B1067" s="8"/>
      <c r="C1067" s="8"/>
      <c r="D1067" s="8"/>
      <c r="L1067" s="8"/>
      <c r="M1067" s="8"/>
      <c r="N1067" s="8"/>
      <c r="O1067" s="8"/>
    </row>
    <row r="1068">
      <c r="A1068" s="8"/>
      <c r="B1068" s="8"/>
      <c r="C1068" s="8"/>
      <c r="D1068" s="8"/>
      <c r="L1068" s="8"/>
      <c r="M1068" s="8"/>
      <c r="N1068" s="8"/>
      <c r="O1068" s="8"/>
    </row>
    <row r="1069">
      <c r="A1069" s="8"/>
      <c r="B1069" s="8"/>
      <c r="C1069" s="8"/>
      <c r="D1069" s="8"/>
      <c r="L1069" s="8"/>
      <c r="M1069" s="8"/>
      <c r="N1069" s="8"/>
      <c r="O1069" s="8"/>
    </row>
    <row r="1070">
      <c r="A1070" s="8"/>
      <c r="B1070" s="8"/>
      <c r="C1070" s="8"/>
      <c r="D1070" s="8"/>
      <c r="L1070" s="8"/>
      <c r="M1070" s="8"/>
      <c r="N1070" s="8"/>
      <c r="O1070" s="8"/>
    </row>
    <row r="1071">
      <c r="A1071" s="8"/>
      <c r="B1071" s="8"/>
      <c r="C1071" s="8"/>
      <c r="D1071" s="8"/>
      <c r="L1071" s="8"/>
      <c r="M1071" s="8"/>
      <c r="N1071" s="8"/>
      <c r="O1071" s="8"/>
    </row>
    <row r="1072">
      <c r="A1072" s="8"/>
      <c r="B1072" s="8"/>
      <c r="C1072" s="8"/>
      <c r="D1072" s="8"/>
      <c r="L1072" s="8"/>
      <c r="M1072" s="8"/>
      <c r="N1072" s="8"/>
      <c r="O1072" s="8"/>
    </row>
    <row r="1073">
      <c r="A1073" s="8"/>
      <c r="B1073" s="8"/>
      <c r="C1073" s="8"/>
      <c r="D1073" s="8"/>
      <c r="L1073" s="8"/>
      <c r="M1073" s="8"/>
      <c r="N1073" s="8"/>
      <c r="O1073" s="8"/>
    </row>
    <row r="1074">
      <c r="A1074" s="8"/>
      <c r="B1074" s="8"/>
      <c r="C1074" s="8"/>
      <c r="D1074" s="8"/>
      <c r="L1074" s="8"/>
      <c r="M1074" s="8"/>
      <c r="N1074" s="8"/>
      <c r="O1074" s="8"/>
    </row>
    <row r="1075">
      <c r="A1075" s="8"/>
      <c r="B1075" s="8"/>
      <c r="C1075" s="8"/>
      <c r="D1075" s="8"/>
      <c r="L1075" s="8"/>
      <c r="M1075" s="8"/>
      <c r="N1075" s="8"/>
      <c r="O1075" s="8"/>
    </row>
    <row r="1076">
      <c r="A1076" s="8"/>
      <c r="B1076" s="8"/>
      <c r="C1076" s="8"/>
      <c r="D1076" s="8"/>
      <c r="L1076" s="8"/>
      <c r="M1076" s="8"/>
      <c r="N1076" s="8"/>
      <c r="O1076" s="8"/>
    </row>
    <row r="1077">
      <c r="A1077" s="8"/>
      <c r="B1077" s="8"/>
      <c r="C1077" s="8"/>
      <c r="D1077" s="8"/>
      <c r="L1077" s="8"/>
      <c r="M1077" s="8"/>
      <c r="N1077" s="8"/>
      <c r="O1077" s="8"/>
    </row>
    <row r="1078">
      <c r="A1078" s="8"/>
      <c r="B1078" s="8"/>
      <c r="C1078" s="8"/>
      <c r="D1078" s="8"/>
      <c r="L1078" s="8"/>
      <c r="M1078" s="8"/>
      <c r="N1078" s="8"/>
      <c r="O1078" s="8"/>
    </row>
    <row r="1079">
      <c r="A1079" s="8"/>
      <c r="B1079" s="8"/>
      <c r="C1079" s="8"/>
      <c r="D1079" s="8"/>
      <c r="L1079" s="8"/>
      <c r="M1079" s="8"/>
      <c r="N1079" s="8"/>
      <c r="O1079" s="8"/>
    </row>
    <row r="1080">
      <c r="A1080" s="8"/>
      <c r="B1080" s="8"/>
      <c r="C1080" s="8"/>
      <c r="D1080" s="8"/>
      <c r="L1080" s="8"/>
      <c r="M1080" s="8"/>
      <c r="N1080" s="8"/>
      <c r="O1080" s="8"/>
    </row>
    <row r="1081">
      <c r="A1081" s="8"/>
      <c r="B1081" s="8"/>
      <c r="C1081" s="8"/>
      <c r="D1081" s="8"/>
      <c r="L1081" s="8"/>
      <c r="M1081" s="8"/>
      <c r="N1081" s="8"/>
      <c r="O1081" s="8"/>
    </row>
    <row r="1082">
      <c r="A1082" s="8"/>
      <c r="B1082" s="8"/>
      <c r="C1082" s="8"/>
      <c r="D1082" s="8"/>
      <c r="L1082" s="8"/>
      <c r="M1082" s="8"/>
      <c r="N1082" s="8"/>
      <c r="O1082" s="8"/>
    </row>
    <row r="1083">
      <c r="A1083" s="8"/>
      <c r="B1083" s="8"/>
      <c r="C1083" s="8"/>
      <c r="D1083" s="8"/>
      <c r="L1083" s="8"/>
      <c r="M1083" s="8"/>
      <c r="N1083" s="8"/>
      <c r="O1083" s="8"/>
    </row>
    <row r="1084">
      <c r="A1084" s="8"/>
      <c r="B1084" s="8"/>
      <c r="C1084" s="8"/>
      <c r="D1084" s="8"/>
      <c r="L1084" s="8"/>
      <c r="M1084" s="8"/>
      <c r="N1084" s="8"/>
      <c r="O1084" s="8"/>
    </row>
    <row r="1085">
      <c r="A1085" s="8"/>
      <c r="B1085" s="8"/>
      <c r="C1085" s="8"/>
      <c r="D1085" s="8"/>
      <c r="L1085" s="8"/>
      <c r="M1085" s="8"/>
      <c r="N1085" s="8"/>
      <c r="O1085" s="8"/>
    </row>
    <row r="1086">
      <c r="A1086" s="8"/>
      <c r="B1086" s="8"/>
      <c r="C1086" s="8"/>
      <c r="D1086" s="8"/>
      <c r="L1086" s="8"/>
      <c r="M1086" s="8"/>
      <c r="N1086" s="8"/>
      <c r="O1086" s="8"/>
    </row>
    <row r="1087">
      <c r="A1087" s="8"/>
      <c r="B1087" s="8"/>
      <c r="C1087" s="8"/>
      <c r="D1087" s="8"/>
      <c r="L1087" s="8"/>
      <c r="M1087" s="8"/>
      <c r="N1087" s="8"/>
      <c r="O1087" s="8"/>
    </row>
    <row r="1088">
      <c r="A1088" s="8"/>
      <c r="B1088" s="8"/>
      <c r="C1088" s="8"/>
      <c r="D1088" s="8"/>
      <c r="L1088" s="8"/>
      <c r="M1088" s="8"/>
      <c r="N1088" s="8"/>
      <c r="O1088" s="8"/>
    </row>
    <row r="1089">
      <c r="A1089" s="8"/>
      <c r="B1089" s="8"/>
      <c r="C1089" s="8"/>
      <c r="D1089" s="8"/>
      <c r="L1089" s="8"/>
      <c r="M1089" s="8"/>
      <c r="N1089" s="8"/>
      <c r="O1089" s="8"/>
    </row>
    <row r="1090">
      <c r="A1090" s="8"/>
      <c r="B1090" s="8"/>
      <c r="C1090" s="8"/>
      <c r="D1090" s="8"/>
      <c r="L1090" s="8"/>
      <c r="M1090" s="8"/>
      <c r="N1090" s="8"/>
      <c r="O1090" s="8"/>
    </row>
    <row r="1091">
      <c r="A1091" s="8"/>
      <c r="B1091" s="8"/>
      <c r="C1091" s="8"/>
      <c r="D1091" s="8"/>
      <c r="L1091" s="8"/>
      <c r="M1091" s="8"/>
      <c r="N1091" s="8"/>
      <c r="O1091" s="8"/>
    </row>
    <row r="1092">
      <c r="A1092" s="8"/>
      <c r="B1092" s="8"/>
      <c r="C1092" s="8"/>
      <c r="D1092" s="8"/>
      <c r="L1092" s="8"/>
      <c r="M1092" s="8"/>
      <c r="N1092" s="8"/>
      <c r="O1092" s="8"/>
    </row>
    <row r="1093">
      <c r="A1093" s="8"/>
      <c r="B1093" s="8"/>
      <c r="C1093" s="8"/>
      <c r="D1093" s="8"/>
      <c r="L1093" s="8"/>
      <c r="M1093" s="8"/>
      <c r="N1093" s="8"/>
      <c r="O1093" s="8"/>
    </row>
    <row r="1094">
      <c r="A1094" s="8"/>
      <c r="B1094" s="8"/>
      <c r="C1094" s="8"/>
      <c r="D1094" s="8"/>
      <c r="L1094" s="8"/>
      <c r="M1094" s="8"/>
      <c r="N1094" s="8"/>
      <c r="O1094" s="8"/>
    </row>
    <row r="1095">
      <c r="A1095" s="8"/>
      <c r="B1095" s="8"/>
      <c r="C1095" s="8"/>
      <c r="D1095" s="8"/>
      <c r="L1095" s="8"/>
      <c r="M1095" s="8"/>
      <c r="N1095" s="8"/>
      <c r="O1095" s="8"/>
    </row>
    <row r="1096">
      <c r="A1096" s="8"/>
      <c r="B1096" s="8"/>
      <c r="C1096" s="8"/>
      <c r="D1096" s="8"/>
      <c r="L1096" s="8"/>
      <c r="M1096" s="8"/>
      <c r="N1096" s="8"/>
      <c r="O1096" s="8"/>
    </row>
    <row r="1097">
      <c r="A1097" s="8"/>
      <c r="B1097" s="8"/>
      <c r="C1097" s="8"/>
      <c r="D1097" s="8"/>
      <c r="L1097" s="8"/>
      <c r="M1097" s="8"/>
      <c r="N1097" s="8"/>
      <c r="O1097" s="8"/>
    </row>
    <row r="1098">
      <c r="A1098" s="8"/>
      <c r="B1098" s="8"/>
      <c r="C1098" s="8"/>
      <c r="D1098" s="8"/>
      <c r="L1098" s="8"/>
      <c r="M1098" s="8"/>
      <c r="N1098" s="8"/>
      <c r="O1098" s="8"/>
    </row>
    <row r="1099">
      <c r="A1099" s="8"/>
      <c r="B1099" s="8"/>
      <c r="C1099" s="8"/>
      <c r="D1099" s="8"/>
      <c r="L1099" s="8"/>
      <c r="M1099" s="8"/>
      <c r="N1099" s="8"/>
      <c r="O1099" s="8"/>
    </row>
    <row r="1100">
      <c r="A1100" s="8"/>
      <c r="B1100" s="8"/>
      <c r="C1100" s="8"/>
      <c r="D1100" s="8"/>
      <c r="L1100" s="8"/>
      <c r="M1100" s="8"/>
      <c r="N1100" s="8"/>
      <c r="O1100" s="8"/>
    </row>
    <row r="1101">
      <c r="A1101" s="8"/>
      <c r="B1101" s="8"/>
      <c r="C1101" s="8"/>
      <c r="D1101" s="8"/>
      <c r="L1101" s="8"/>
      <c r="M1101" s="8"/>
      <c r="N1101" s="8"/>
      <c r="O1101" s="8"/>
    </row>
    <row r="1102">
      <c r="A1102" s="8"/>
      <c r="B1102" s="8"/>
      <c r="C1102" s="8"/>
      <c r="D1102" s="8"/>
      <c r="L1102" s="8"/>
      <c r="M1102" s="8"/>
      <c r="N1102" s="8"/>
      <c r="O1102" s="8"/>
    </row>
    <row r="1103">
      <c r="A1103" s="8"/>
      <c r="B1103" s="8"/>
      <c r="C1103" s="8"/>
      <c r="D1103" s="8"/>
      <c r="L1103" s="8"/>
      <c r="M1103" s="8"/>
      <c r="N1103" s="8"/>
      <c r="O1103" s="8"/>
    </row>
    <row r="1104">
      <c r="A1104" s="8"/>
      <c r="B1104" s="8"/>
      <c r="C1104" s="8"/>
      <c r="D1104" s="8"/>
      <c r="L1104" s="8"/>
      <c r="M1104" s="8"/>
      <c r="N1104" s="8"/>
      <c r="O1104" s="8"/>
    </row>
    <row r="1105">
      <c r="A1105" s="8"/>
      <c r="B1105" s="8"/>
      <c r="C1105" s="8"/>
      <c r="D1105" s="8"/>
      <c r="L1105" s="8"/>
      <c r="M1105" s="8"/>
      <c r="N1105" s="8"/>
      <c r="O1105" s="8"/>
    </row>
    <row r="1106">
      <c r="A1106" s="8"/>
      <c r="B1106" s="8"/>
      <c r="C1106" s="8"/>
      <c r="D1106" s="8"/>
      <c r="L1106" s="8"/>
      <c r="M1106" s="8"/>
      <c r="N1106" s="8"/>
      <c r="O1106" s="8"/>
    </row>
    <row r="1107">
      <c r="A1107" s="8"/>
      <c r="B1107" s="8"/>
      <c r="C1107" s="8"/>
      <c r="D1107" s="8"/>
      <c r="L1107" s="8"/>
      <c r="M1107" s="8"/>
      <c r="N1107" s="8"/>
      <c r="O1107" s="8"/>
    </row>
    <row r="1108">
      <c r="A1108" s="8"/>
      <c r="B1108" s="8"/>
      <c r="C1108" s="8"/>
      <c r="D1108" s="8"/>
      <c r="L1108" s="8"/>
      <c r="M1108" s="8"/>
      <c r="N1108" s="8"/>
      <c r="O1108" s="8"/>
    </row>
    <row r="1109">
      <c r="A1109" s="8"/>
      <c r="B1109" s="8"/>
      <c r="C1109" s="8"/>
      <c r="D1109" s="8"/>
      <c r="L1109" s="8"/>
      <c r="M1109" s="8"/>
      <c r="N1109" s="8"/>
      <c r="O1109" s="8"/>
    </row>
    <row r="1110">
      <c r="A1110" s="8"/>
      <c r="B1110" s="8"/>
      <c r="C1110" s="8"/>
      <c r="D1110" s="8"/>
      <c r="L1110" s="8"/>
      <c r="M1110" s="8"/>
      <c r="N1110" s="8"/>
      <c r="O1110" s="8"/>
    </row>
    <row r="1111">
      <c r="A1111" s="8"/>
      <c r="B1111" s="8"/>
      <c r="C1111" s="8"/>
      <c r="D1111" s="8"/>
      <c r="L1111" s="8"/>
      <c r="M1111" s="8"/>
      <c r="N1111" s="8"/>
      <c r="O1111" s="8"/>
    </row>
    <row r="1112">
      <c r="A1112" s="8"/>
      <c r="B1112" s="8"/>
      <c r="C1112" s="8"/>
      <c r="D1112" s="8"/>
      <c r="L1112" s="8"/>
      <c r="M1112" s="8"/>
      <c r="N1112" s="8"/>
      <c r="O1112" s="8"/>
    </row>
    <row r="1113">
      <c r="A1113" s="8"/>
      <c r="B1113" s="8"/>
      <c r="C1113" s="8"/>
      <c r="D1113" s="8"/>
      <c r="L1113" s="8"/>
      <c r="M1113" s="8"/>
      <c r="N1113" s="8"/>
      <c r="O1113" s="8"/>
    </row>
    <row r="1114">
      <c r="A1114" s="8"/>
      <c r="B1114" s="8"/>
      <c r="C1114" s="8"/>
      <c r="D1114" s="8"/>
      <c r="L1114" s="8"/>
      <c r="M1114" s="8"/>
      <c r="N1114" s="8"/>
      <c r="O1114" s="8"/>
    </row>
    <row r="1115">
      <c r="A1115" s="8"/>
      <c r="B1115" s="8"/>
      <c r="C1115" s="8"/>
      <c r="D1115" s="8"/>
      <c r="L1115" s="8"/>
      <c r="M1115" s="8"/>
      <c r="N1115" s="8"/>
      <c r="O1115" s="8"/>
    </row>
    <row r="1116">
      <c r="A1116" s="8"/>
      <c r="B1116" s="8"/>
      <c r="C1116" s="8"/>
      <c r="D1116" s="8"/>
      <c r="L1116" s="8"/>
      <c r="M1116" s="8"/>
      <c r="N1116" s="8"/>
      <c r="O1116" s="8"/>
    </row>
    <row r="1117">
      <c r="A1117" s="8"/>
      <c r="B1117" s="8"/>
      <c r="C1117" s="8"/>
      <c r="D1117" s="8"/>
      <c r="L1117" s="8"/>
      <c r="M1117" s="8"/>
      <c r="N1117" s="8"/>
      <c r="O1117" s="8"/>
    </row>
    <row r="1118">
      <c r="A1118" s="8"/>
      <c r="B1118" s="8"/>
      <c r="C1118" s="8"/>
      <c r="D1118" s="8"/>
      <c r="L1118" s="8"/>
      <c r="M1118" s="8"/>
      <c r="N1118" s="8"/>
      <c r="O1118" s="8"/>
    </row>
    <row r="1119">
      <c r="A1119" s="8"/>
      <c r="B1119" s="8"/>
      <c r="C1119" s="8"/>
      <c r="D1119" s="8"/>
      <c r="L1119" s="8"/>
      <c r="M1119" s="8"/>
      <c r="N1119" s="8"/>
      <c r="O1119" s="8"/>
    </row>
    <row r="1120">
      <c r="A1120" s="8"/>
      <c r="B1120" s="8"/>
      <c r="C1120" s="8"/>
      <c r="D1120" s="8"/>
      <c r="L1120" s="8"/>
      <c r="M1120" s="8"/>
      <c r="N1120" s="8"/>
      <c r="O1120" s="8"/>
    </row>
    <row r="1121">
      <c r="A1121" s="8"/>
      <c r="B1121" s="8"/>
      <c r="C1121" s="8"/>
      <c r="D1121" s="8"/>
      <c r="L1121" s="8"/>
      <c r="M1121" s="8"/>
      <c r="N1121" s="8"/>
      <c r="O1121" s="8"/>
    </row>
    <row r="1122">
      <c r="A1122" s="8"/>
      <c r="B1122" s="8"/>
      <c r="C1122" s="8"/>
      <c r="D1122" s="8"/>
      <c r="L1122" s="8"/>
      <c r="M1122" s="8"/>
      <c r="N1122" s="8"/>
      <c r="O1122" s="8"/>
    </row>
    <row r="1123">
      <c r="A1123" s="8"/>
      <c r="B1123" s="8"/>
      <c r="C1123" s="8"/>
      <c r="D1123" s="8"/>
      <c r="L1123" s="8"/>
      <c r="M1123" s="8"/>
      <c r="N1123" s="8"/>
      <c r="O1123" s="8"/>
    </row>
    <row r="1124">
      <c r="A1124" s="8"/>
      <c r="B1124" s="8"/>
      <c r="C1124" s="8"/>
      <c r="D1124" s="8"/>
      <c r="L1124" s="8"/>
      <c r="M1124" s="8"/>
      <c r="N1124" s="8"/>
      <c r="O1124" s="8"/>
    </row>
    <row r="1125">
      <c r="A1125" s="8"/>
      <c r="B1125" s="8"/>
      <c r="C1125" s="8"/>
      <c r="D1125" s="8"/>
      <c r="L1125" s="8"/>
      <c r="M1125" s="8"/>
      <c r="N1125" s="8"/>
      <c r="O1125" s="8"/>
    </row>
    <row r="1126">
      <c r="A1126" s="8"/>
      <c r="B1126" s="8"/>
      <c r="C1126" s="8"/>
      <c r="D1126" s="8"/>
      <c r="L1126" s="8"/>
      <c r="M1126" s="8"/>
      <c r="N1126" s="8"/>
      <c r="O1126" s="8"/>
    </row>
    <row r="1127">
      <c r="A1127" s="8"/>
      <c r="B1127" s="8"/>
      <c r="C1127" s="8"/>
      <c r="D1127" s="8"/>
      <c r="L1127" s="8"/>
      <c r="M1127" s="8"/>
      <c r="N1127" s="8"/>
      <c r="O1127" s="8"/>
    </row>
    <row r="1128">
      <c r="A1128" s="8"/>
      <c r="B1128" s="8"/>
      <c r="C1128" s="8"/>
      <c r="D1128" s="8"/>
      <c r="L1128" s="8"/>
      <c r="M1128" s="8"/>
      <c r="N1128" s="8"/>
      <c r="O1128" s="8"/>
    </row>
    <row r="1129">
      <c r="A1129" s="8"/>
      <c r="B1129" s="8"/>
      <c r="C1129" s="8"/>
      <c r="D1129" s="8"/>
      <c r="L1129" s="8"/>
      <c r="M1129" s="8"/>
      <c r="N1129" s="8"/>
      <c r="O1129" s="8"/>
    </row>
    <row r="1130">
      <c r="A1130" s="8"/>
      <c r="B1130" s="8"/>
      <c r="C1130" s="8"/>
      <c r="D1130" s="8"/>
      <c r="L1130" s="8"/>
      <c r="M1130" s="8"/>
      <c r="N1130" s="8"/>
      <c r="O1130" s="8"/>
    </row>
    <row r="1131">
      <c r="A1131" s="8"/>
      <c r="B1131" s="8"/>
      <c r="C1131" s="8"/>
      <c r="D1131" s="8"/>
      <c r="L1131" s="8"/>
      <c r="M1131" s="8"/>
      <c r="N1131" s="8"/>
      <c r="O1131" s="8"/>
    </row>
    <row r="1132">
      <c r="A1132" s="8"/>
      <c r="B1132" s="8"/>
      <c r="C1132" s="8"/>
      <c r="D1132" s="8"/>
      <c r="L1132" s="8"/>
      <c r="M1132" s="8"/>
      <c r="N1132" s="8"/>
      <c r="O1132" s="8"/>
    </row>
    <row r="1133">
      <c r="A1133" s="8"/>
      <c r="B1133" s="8"/>
      <c r="C1133" s="8"/>
      <c r="D1133" s="8"/>
      <c r="L1133" s="8"/>
      <c r="M1133" s="8"/>
      <c r="N1133" s="8"/>
      <c r="O1133" s="8"/>
    </row>
    <row r="1134">
      <c r="A1134" s="8"/>
      <c r="B1134" s="8"/>
      <c r="C1134" s="8"/>
      <c r="D1134" s="8"/>
      <c r="L1134" s="8"/>
      <c r="M1134" s="8"/>
      <c r="N1134" s="8"/>
      <c r="O1134" s="8"/>
    </row>
    <row r="1135">
      <c r="A1135" s="8"/>
      <c r="B1135" s="8"/>
      <c r="C1135" s="8"/>
      <c r="D1135" s="8"/>
      <c r="L1135" s="8"/>
      <c r="M1135" s="8"/>
      <c r="N1135" s="8"/>
      <c r="O1135" s="8"/>
    </row>
    <row r="1136">
      <c r="A1136" s="8"/>
      <c r="B1136" s="8"/>
      <c r="C1136" s="8"/>
      <c r="D1136" s="8"/>
      <c r="L1136" s="8"/>
      <c r="M1136" s="8"/>
      <c r="N1136" s="8"/>
      <c r="O1136" s="8"/>
    </row>
    <row r="1137">
      <c r="A1137" s="8"/>
      <c r="B1137" s="8"/>
      <c r="C1137" s="8"/>
      <c r="D1137" s="8"/>
      <c r="L1137" s="8"/>
      <c r="M1137" s="8"/>
      <c r="N1137" s="8"/>
      <c r="O1137" s="8"/>
    </row>
    <row r="1138">
      <c r="A1138" s="8"/>
      <c r="B1138" s="8"/>
      <c r="C1138" s="8"/>
      <c r="D1138" s="8"/>
      <c r="L1138" s="8"/>
      <c r="M1138" s="8"/>
      <c r="N1138" s="8"/>
      <c r="O1138" s="8"/>
    </row>
    <row r="1139">
      <c r="A1139" s="8"/>
      <c r="B1139" s="8"/>
      <c r="C1139" s="8"/>
      <c r="D1139" s="8"/>
      <c r="L1139" s="8"/>
      <c r="M1139" s="8"/>
      <c r="N1139" s="8"/>
      <c r="O1139" s="8"/>
    </row>
    <row r="1140">
      <c r="A1140" s="8"/>
      <c r="B1140" s="8"/>
      <c r="C1140" s="8"/>
      <c r="D1140" s="8"/>
      <c r="L1140" s="8"/>
      <c r="M1140" s="8"/>
      <c r="N1140" s="8"/>
      <c r="O1140" s="8"/>
    </row>
    <row r="1141">
      <c r="A1141" s="8"/>
      <c r="B1141" s="8"/>
      <c r="C1141" s="8"/>
      <c r="D1141" s="8"/>
      <c r="L1141" s="8"/>
      <c r="M1141" s="8"/>
      <c r="N1141" s="8"/>
      <c r="O1141" s="8"/>
    </row>
    <row r="1142">
      <c r="A1142" s="8"/>
      <c r="B1142" s="8"/>
      <c r="C1142" s="8"/>
      <c r="D1142" s="8"/>
      <c r="L1142" s="8"/>
      <c r="M1142" s="8"/>
      <c r="N1142" s="8"/>
      <c r="O1142" s="8"/>
    </row>
    <row r="1143">
      <c r="A1143" s="8"/>
      <c r="B1143" s="8"/>
      <c r="C1143" s="8"/>
      <c r="D1143" s="8"/>
      <c r="L1143" s="8"/>
      <c r="M1143" s="8"/>
      <c r="N1143" s="8"/>
      <c r="O1143" s="8"/>
    </row>
    <row r="1144">
      <c r="A1144" s="8"/>
      <c r="B1144" s="8"/>
      <c r="C1144" s="8"/>
      <c r="D1144" s="8"/>
      <c r="L1144" s="8"/>
      <c r="M1144" s="8"/>
      <c r="N1144" s="8"/>
      <c r="O1144" s="8"/>
    </row>
    <row r="1145">
      <c r="A1145" s="8"/>
      <c r="B1145" s="8"/>
      <c r="C1145" s="8"/>
      <c r="D1145" s="8"/>
      <c r="L1145" s="8"/>
      <c r="M1145" s="8"/>
      <c r="N1145" s="8"/>
      <c r="O1145" s="8"/>
    </row>
    <row r="1146">
      <c r="A1146" s="8"/>
      <c r="B1146" s="8"/>
      <c r="C1146" s="8"/>
      <c r="D1146" s="8"/>
      <c r="L1146" s="8"/>
      <c r="M1146" s="8"/>
      <c r="N1146" s="8"/>
      <c r="O1146" s="8"/>
    </row>
    <row r="1147">
      <c r="A1147" s="8"/>
      <c r="B1147" s="8"/>
      <c r="C1147" s="8"/>
      <c r="D1147" s="8"/>
      <c r="L1147" s="8"/>
      <c r="M1147" s="8"/>
      <c r="N1147" s="8"/>
      <c r="O1147" s="8"/>
    </row>
    <row r="1148">
      <c r="A1148" s="8"/>
      <c r="B1148" s="8"/>
      <c r="C1148" s="8"/>
      <c r="D1148" s="8"/>
      <c r="L1148" s="8"/>
      <c r="M1148" s="8"/>
      <c r="N1148" s="8"/>
      <c r="O1148" s="8"/>
    </row>
    <row r="1149">
      <c r="A1149" s="8"/>
      <c r="B1149" s="8"/>
      <c r="C1149" s="8"/>
      <c r="D1149" s="8"/>
      <c r="L1149" s="8"/>
      <c r="M1149" s="8"/>
      <c r="N1149" s="8"/>
      <c r="O1149" s="8"/>
    </row>
    <row r="1150">
      <c r="A1150" s="8"/>
      <c r="B1150" s="8"/>
      <c r="C1150" s="8"/>
      <c r="D1150" s="8"/>
      <c r="L1150" s="8"/>
      <c r="M1150" s="8"/>
      <c r="N1150" s="8"/>
      <c r="O1150" s="8"/>
    </row>
    <row r="1151">
      <c r="A1151" s="8"/>
      <c r="B1151" s="8"/>
      <c r="C1151" s="8"/>
      <c r="D1151" s="8"/>
      <c r="L1151" s="8"/>
      <c r="M1151" s="8"/>
      <c r="N1151" s="8"/>
      <c r="O1151" s="8"/>
    </row>
    <row r="1152">
      <c r="A1152" s="8"/>
      <c r="B1152" s="8"/>
      <c r="C1152" s="8"/>
      <c r="D1152" s="8"/>
      <c r="L1152" s="8"/>
      <c r="M1152" s="8"/>
      <c r="N1152" s="8"/>
      <c r="O1152" s="8"/>
    </row>
    <row r="1153">
      <c r="A1153" s="8"/>
      <c r="B1153" s="8"/>
      <c r="C1153" s="8"/>
      <c r="D1153" s="8"/>
      <c r="L1153" s="8"/>
      <c r="M1153" s="8"/>
      <c r="N1153" s="8"/>
      <c r="O1153" s="8"/>
    </row>
    <row r="1154">
      <c r="A1154" s="8"/>
      <c r="B1154" s="8"/>
      <c r="C1154" s="8"/>
      <c r="D1154" s="8"/>
      <c r="L1154" s="8"/>
      <c r="M1154" s="8"/>
      <c r="N1154" s="8"/>
      <c r="O1154" s="8"/>
    </row>
    <row r="1155">
      <c r="A1155" s="8"/>
      <c r="B1155" s="8"/>
      <c r="C1155" s="8"/>
      <c r="D1155" s="8"/>
      <c r="L1155" s="8"/>
      <c r="M1155" s="8"/>
      <c r="N1155" s="8"/>
      <c r="O1155" s="8"/>
    </row>
    <row r="1156">
      <c r="A1156" s="8"/>
      <c r="B1156" s="8"/>
      <c r="C1156" s="8"/>
      <c r="D1156" s="8"/>
      <c r="L1156" s="8"/>
      <c r="M1156" s="8"/>
      <c r="N1156" s="8"/>
      <c r="O1156" s="8"/>
    </row>
    <row r="1157">
      <c r="A1157" s="8"/>
      <c r="B1157" s="8"/>
      <c r="C1157" s="8"/>
      <c r="D1157" s="8"/>
      <c r="L1157" s="8"/>
      <c r="M1157" s="8"/>
      <c r="N1157" s="8"/>
      <c r="O1157" s="8"/>
    </row>
    <row r="1158">
      <c r="A1158" s="8"/>
      <c r="B1158" s="8"/>
      <c r="C1158" s="8"/>
      <c r="D1158" s="8"/>
      <c r="L1158" s="8"/>
      <c r="M1158" s="8"/>
      <c r="N1158" s="8"/>
      <c r="O1158" s="8"/>
    </row>
    <row r="1159">
      <c r="A1159" s="8"/>
      <c r="B1159" s="8"/>
      <c r="C1159" s="8"/>
      <c r="D1159" s="8"/>
      <c r="L1159" s="8"/>
      <c r="M1159" s="8"/>
      <c r="N1159" s="8"/>
      <c r="O1159" s="8"/>
    </row>
    <row r="1160">
      <c r="A1160" s="8"/>
      <c r="B1160" s="8"/>
      <c r="C1160" s="8"/>
      <c r="D1160" s="8"/>
      <c r="L1160" s="8"/>
      <c r="M1160" s="8"/>
      <c r="N1160" s="8"/>
      <c r="O1160" s="8"/>
    </row>
    <row r="1161">
      <c r="A1161" s="8"/>
      <c r="B1161" s="8"/>
      <c r="C1161" s="8"/>
      <c r="D1161" s="8"/>
      <c r="L1161" s="8"/>
      <c r="M1161" s="8"/>
      <c r="N1161" s="8"/>
      <c r="O1161" s="8"/>
    </row>
    <row r="1162">
      <c r="A1162" s="8"/>
      <c r="B1162" s="8"/>
      <c r="C1162" s="8"/>
      <c r="D1162" s="8"/>
      <c r="L1162" s="8"/>
      <c r="M1162" s="8"/>
      <c r="N1162" s="8"/>
      <c r="O1162" s="8"/>
    </row>
    <row r="1163">
      <c r="A1163" s="8"/>
      <c r="B1163" s="8"/>
      <c r="C1163" s="8"/>
      <c r="D1163" s="8"/>
      <c r="L1163" s="8"/>
      <c r="M1163" s="8"/>
      <c r="N1163" s="8"/>
      <c r="O1163" s="8"/>
    </row>
    <row r="1164">
      <c r="A1164" s="8"/>
      <c r="B1164" s="8"/>
      <c r="C1164" s="8"/>
      <c r="D1164" s="8"/>
      <c r="L1164" s="8"/>
      <c r="M1164" s="8"/>
      <c r="N1164" s="8"/>
      <c r="O1164" s="8"/>
    </row>
    <row r="1165">
      <c r="A1165" s="8"/>
      <c r="B1165" s="8"/>
      <c r="C1165" s="8"/>
      <c r="D1165" s="8"/>
      <c r="L1165" s="8"/>
      <c r="M1165" s="8"/>
      <c r="N1165" s="8"/>
      <c r="O1165" s="8"/>
    </row>
    <row r="1166">
      <c r="A1166" s="8"/>
      <c r="B1166" s="8"/>
      <c r="C1166" s="8"/>
      <c r="D1166" s="8"/>
      <c r="L1166" s="8"/>
      <c r="M1166" s="8"/>
      <c r="N1166" s="8"/>
      <c r="O1166" s="8"/>
    </row>
    <row r="1167">
      <c r="A1167" s="8"/>
      <c r="B1167" s="8"/>
      <c r="C1167" s="8"/>
      <c r="D1167" s="8"/>
      <c r="L1167" s="8"/>
      <c r="M1167" s="8"/>
      <c r="N1167" s="8"/>
      <c r="O1167" s="8"/>
    </row>
    <row r="1168">
      <c r="A1168" s="8"/>
      <c r="B1168" s="8"/>
      <c r="C1168" s="8"/>
      <c r="D1168" s="8"/>
      <c r="L1168" s="8"/>
      <c r="M1168" s="8"/>
      <c r="N1168" s="8"/>
      <c r="O1168" s="8"/>
    </row>
    <row r="1169">
      <c r="A1169" s="8"/>
      <c r="B1169" s="8"/>
      <c r="C1169" s="8"/>
      <c r="D1169" s="8"/>
      <c r="L1169" s="8"/>
      <c r="M1169" s="8"/>
      <c r="N1169" s="8"/>
      <c r="O1169" s="8"/>
    </row>
    <row r="1170">
      <c r="A1170" s="8"/>
      <c r="B1170" s="8"/>
      <c r="C1170" s="8"/>
      <c r="D1170" s="8"/>
      <c r="L1170" s="8"/>
      <c r="M1170" s="8"/>
      <c r="N1170" s="8"/>
      <c r="O1170" s="8"/>
    </row>
    <row r="1171">
      <c r="A1171" s="8"/>
      <c r="B1171" s="8"/>
      <c r="C1171" s="8"/>
      <c r="D1171" s="8"/>
      <c r="L1171" s="8"/>
      <c r="M1171" s="8"/>
      <c r="N1171" s="8"/>
      <c r="O1171" s="8"/>
    </row>
    <row r="1172">
      <c r="A1172" s="8"/>
      <c r="B1172" s="8"/>
      <c r="C1172" s="8"/>
      <c r="D1172" s="8"/>
      <c r="L1172" s="8"/>
      <c r="M1172" s="8"/>
      <c r="N1172" s="8"/>
      <c r="O1172" s="8"/>
    </row>
    <row r="1173">
      <c r="A1173" s="8"/>
      <c r="B1173" s="8"/>
      <c r="C1173" s="8"/>
      <c r="D1173" s="8"/>
      <c r="L1173" s="8"/>
      <c r="M1173" s="8"/>
      <c r="N1173" s="8"/>
      <c r="O1173" s="8"/>
    </row>
    <row r="1174">
      <c r="A1174" s="8"/>
      <c r="B1174" s="8"/>
      <c r="C1174" s="8"/>
      <c r="D1174" s="8"/>
      <c r="L1174" s="8"/>
      <c r="M1174" s="8"/>
      <c r="N1174" s="8"/>
      <c r="O1174" s="8"/>
    </row>
    <row r="1175">
      <c r="A1175" s="8"/>
      <c r="B1175" s="8"/>
      <c r="C1175" s="8"/>
      <c r="D1175" s="8"/>
      <c r="L1175" s="8"/>
      <c r="M1175" s="8"/>
      <c r="N1175" s="8"/>
      <c r="O1175" s="8"/>
    </row>
    <row r="1176">
      <c r="A1176" s="8"/>
      <c r="B1176" s="8"/>
      <c r="C1176" s="8"/>
      <c r="D1176" s="8"/>
      <c r="L1176" s="8"/>
      <c r="M1176" s="8"/>
      <c r="N1176" s="8"/>
      <c r="O1176" s="8"/>
    </row>
    <row r="1177">
      <c r="A1177" s="8"/>
      <c r="B1177" s="8"/>
      <c r="C1177" s="8"/>
      <c r="D1177" s="8"/>
      <c r="L1177" s="8"/>
      <c r="M1177" s="8"/>
      <c r="N1177" s="8"/>
      <c r="O1177" s="8"/>
    </row>
    <row r="1178">
      <c r="A1178" s="8"/>
      <c r="B1178" s="8"/>
      <c r="C1178" s="8"/>
      <c r="D1178" s="8"/>
      <c r="L1178" s="8"/>
      <c r="M1178" s="8"/>
      <c r="N1178" s="8"/>
      <c r="O1178" s="8"/>
    </row>
    <row r="1179">
      <c r="A1179" s="8"/>
      <c r="B1179" s="8"/>
      <c r="C1179" s="8"/>
      <c r="D1179" s="8"/>
      <c r="L1179" s="8"/>
      <c r="M1179" s="8"/>
      <c r="N1179" s="8"/>
      <c r="O1179" s="8"/>
    </row>
    <row r="1180">
      <c r="A1180" s="8"/>
      <c r="B1180" s="8"/>
      <c r="C1180" s="8"/>
      <c r="D1180" s="8"/>
      <c r="L1180" s="8"/>
      <c r="M1180" s="8"/>
      <c r="N1180" s="8"/>
      <c r="O1180" s="8"/>
    </row>
    <row r="1181">
      <c r="A1181" s="8"/>
      <c r="B1181" s="8"/>
      <c r="C1181" s="8"/>
      <c r="D1181" s="8"/>
      <c r="L1181" s="8"/>
      <c r="M1181" s="8"/>
      <c r="N1181" s="8"/>
      <c r="O1181" s="8"/>
    </row>
    <row r="1182">
      <c r="A1182" s="8"/>
      <c r="B1182" s="8"/>
      <c r="C1182" s="8"/>
      <c r="D1182" s="8"/>
      <c r="L1182" s="8"/>
      <c r="M1182" s="8"/>
      <c r="N1182" s="8"/>
      <c r="O1182" s="8"/>
    </row>
    <row r="1183">
      <c r="A1183" s="8"/>
      <c r="B1183" s="8"/>
      <c r="C1183" s="8"/>
      <c r="D1183" s="8"/>
      <c r="L1183" s="8"/>
      <c r="M1183" s="8"/>
      <c r="N1183" s="8"/>
      <c r="O1183" s="8"/>
    </row>
    <row r="1184">
      <c r="A1184" s="8"/>
      <c r="B1184" s="8"/>
      <c r="C1184" s="8"/>
      <c r="D1184" s="8"/>
      <c r="L1184" s="8"/>
      <c r="M1184" s="8"/>
      <c r="N1184" s="8"/>
      <c r="O1184" s="8"/>
    </row>
    <row r="1185">
      <c r="A1185" s="8"/>
      <c r="B1185" s="8"/>
      <c r="C1185" s="8"/>
      <c r="D1185" s="8"/>
      <c r="L1185" s="8"/>
      <c r="M1185" s="8"/>
      <c r="N1185" s="8"/>
      <c r="O1185" s="8"/>
    </row>
    <row r="1186">
      <c r="A1186" s="8"/>
      <c r="B1186" s="8"/>
      <c r="C1186" s="8"/>
      <c r="D1186" s="8"/>
      <c r="L1186" s="8"/>
      <c r="M1186" s="8"/>
      <c r="N1186" s="8"/>
      <c r="O1186" s="8"/>
    </row>
    <row r="1187">
      <c r="A1187" s="8"/>
      <c r="B1187" s="8"/>
      <c r="C1187" s="8"/>
      <c r="D1187" s="8"/>
      <c r="L1187" s="8"/>
      <c r="M1187" s="8"/>
      <c r="N1187" s="8"/>
      <c r="O1187" s="8"/>
    </row>
    <row r="1188">
      <c r="A1188" s="8"/>
      <c r="B1188" s="8"/>
      <c r="C1188" s="8"/>
      <c r="D1188" s="8"/>
      <c r="L1188" s="8"/>
      <c r="M1188" s="8"/>
      <c r="N1188" s="8"/>
      <c r="O1188" s="8"/>
    </row>
    <row r="1189">
      <c r="A1189" s="8"/>
      <c r="B1189" s="8"/>
      <c r="C1189" s="8"/>
      <c r="D1189" s="8"/>
      <c r="L1189" s="8"/>
      <c r="M1189" s="8"/>
      <c r="N1189" s="8"/>
      <c r="O1189" s="8"/>
    </row>
    <row r="1190">
      <c r="A1190" s="8"/>
      <c r="B1190" s="8"/>
      <c r="C1190" s="8"/>
      <c r="D1190" s="8"/>
      <c r="L1190" s="8"/>
      <c r="M1190" s="8"/>
      <c r="N1190" s="8"/>
      <c r="O1190" s="8"/>
    </row>
    <row r="1191">
      <c r="A1191" s="8"/>
      <c r="B1191" s="8"/>
      <c r="C1191" s="8"/>
      <c r="D1191" s="8"/>
      <c r="L1191" s="8"/>
      <c r="M1191" s="8"/>
      <c r="N1191" s="8"/>
      <c r="O1191" s="8"/>
    </row>
    <row r="1192">
      <c r="A1192" s="8"/>
      <c r="B1192" s="8"/>
      <c r="C1192" s="8"/>
      <c r="D1192" s="8"/>
      <c r="L1192" s="8"/>
      <c r="M1192" s="8"/>
      <c r="N1192" s="8"/>
      <c r="O1192" s="8"/>
    </row>
    <row r="1193">
      <c r="A1193" s="8"/>
      <c r="B1193" s="8"/>
      <c r="C1193" s="8"/>
      <c r="D1193" s="8"/>
      <c r="L1193" s="8"/>
      <c r="M1193" s="8"/>
      <c r="N1193" s="8"/>
      <c r="O1193" s="8"/>
    </row>
    <row r="1194">
      <c r="A1194" s="8"/>
      <c r="B1194" s="8"/>
      <c r="C1194" s="8"/>
      <c r="D1194" s="8"/>
      <c r="L1194" s="8"/>
      <c r="M1194" s="8"/>
      <c r="N1194" s="8"/>
      <c r="O1194" s="8"/>
    </row>
    <row r="1195">
      <c r="A1195" s="8"/>
      <c r="B1195" s="8"/>
      <c r="C1195" s="8"/>
      <c r="D1195" s="8"/>
      <c r="L1195" s="8"/>
      <c r="M1195" s="8"/>
      <c r="N1195" s="8"/>
      <c r="O1195" s="8"/>
    </row>
    <row r="1196">
      <c r="A1196" s="8"/>
      <c r="B1196" s="8"/>
      <c r="C1196" s="8"/>
      <c r="D1196" s="8"/>
      <c r="L1196" s="8"/>
      <c r="M1196" s="8"/>
      <c r="N1196" s="8"/>
      <c r="O1196" s="8"/>
    </row>
    <row r="1197">
      <c r="A1197" s="8"/>
      <c r="B1197" s="8"/>
      <c r="C1197" s="8"/>
      <c r="D1197" s="8"/>
      <c r="L1197" s="8"/>
      <c r="M1197" s="8"/>
      <c r="N1197" s="8"/>
      <c r="O1197" s="8"/>
    </row>
    <row r="1198">
      <c r="A1198" s="8"/>
      <c r="B1198" s="8"/>
      <c r="C1198" s="8"/>
      <c r="D1198" s="8"/>
      <c r="L1198" s="8"/>
      <c r="M1198" s="8"/>
      <c r="N1198" s="8"/>
      <c r="O1198" s="8"/>
    </row>
    <row r="1199">
      <c r="A1199" s="8"/>
      <c r="B1199" s="8"/>
      <c r="C1199" s="8"/>
      <c r="D1199" s="8"/>
      <c r="L1199" s="8"/>
      <c r="M1199" s="8"/>
      <c r="N1199" s="8"/>
      <c r="O1199" s="8"/>
    </row>
    <row r="1200">
      <c r="A1200" s="8"/>
      <c r="B1200" s="8"/>
      <c r="C1200" s="8"/>
      <c r="D1200" s="8"/>
      <c r="L1200" s="8"/>
      <c r="M1200" s="8"/>
      <c r="N1200" s="8"/>
      <c r="O1200" s="8"/>
    </row>
    <row r="1201">
      <c r="A1201" s="8"/>
      <c r="B1201" s="8"/>
      <c r="C1201" s="8"/>
      <c r="D1201" s="8"/>
      <c r="L1201" s="8"/>
      <c r="M1201" s="8"/>
      <c r="N1201" s="8"/>
      <c r="O1201" s="8"/>
    </row>
    <row r="1202">
      <c r="A1202" s="8"/>
      <c r="B1202" s="8"/>
      <c r="C1202" s="8"/>
      <c r="D1202" s="8"/>
      <c r="L1202" s="8"/>
      <c r="M1202" s="8"/>
      <c r="N1202" s="8"/>
      <c r="O1202" s="8"/>
    </row>
    <row r="1203">
      <c r="A1203" s="8"/>
      <c r="B1203" s="8"/>
      <c r="C1203" s="8"/>
      <c r="D1203" s="8"/>
      <c r="L1203" s="8"/>
      <c r="M1203" s="8"/>
      <c r="N1203" s="8"/>
      <c r="O1203" s="8"/>
    </row>
    <row r="1204">
      <c r="A1204" s="8"/>
      <c r="B1204" s="8"/>
      <c r="C1204" s="8"/>
      <c r="D1204" s="8"/>
      <c r="L1204" s="8"/>
      <c r="M1204" s="8"/>
      <c r="N1204" s="8"/>
      <c r="O1204" s="8"/>
    </row>
    <row r="1205">
      <c r="A1205" s="8"/>
      <c r="B1205" s="8"/>
      <c r="C1205" s="8"/>
      <c r="D1205" s="8"/>
      <c r="L1205" s="8"/>
      <c r="M1205" s="8"/>
      <c r="N1205" s="8"/>
      <c r="O1205" s="8"/>
    </row>
    <row r="1206">
      <c r="A1206" s="8"/>
      <c r="B1206" s="8"/>
      <c r="C1206" s="8"/>
      <c r="D1206" s="8"/>
      <c r="L1206" s="8"/>
      <c r="M1206" s="8"/>
      <c r="N1206" s="8"/>
      <c r="O1206" s="8"/>
    </row>
    <row r="1207">
      <c r="A1207" s="8"/>
      <c r="B1207" s="8"/>
      <c r="C1207" s="8"/>
      <c r="D1207" s="8"/>
      <c r="L1207" s="8"/>
      <c r="M1207" s="8"/>
      <c r="N1207" s="8"/>
      <c r="O1207" s="8"/>
    </row>
    <row r="1208">
      <c r="A1208" s="8"/>
      <c r="B1208" s="8"/>
      <c r="C1208" s="8"/>
      <c r="D1208" s="8"/>
      <c r="L1208" s="8"/>
      <c r="M1208" s="8"/>
      <c r="N1208" s="8"/>
      <c r="O1208" s="8"/>
    </row>
    <row r="1209">
      <c r="A1209" s="8"/>
      <c r="B1209" s="8"/>
      <c r="C1209" s="8"/>
      <c r="D1209" s="8"/>
      <c r="L1209" s="8"/>
      <c r="M1209" s="8"/>
      <c r="N1209" s="8"/>
      <c r="O1209" s="8"/>
    </row>
    <row r="1210">
      <c r="A1210" s="8"/>
      <c r="B1210" s="8"/>
      <c r="C1210" s="8"/>
      <c r="D1210" s="8"/>
      <c r="L1210" s="8"/>
      <c r="M1210" s="8"/>
      <c r="N1210" s="8"/>
      <c r="O1210" s="8"/>
    </row>
    <row r="1211">
      <c r="A1211" s="8"/>
      <c r="B1211" s="8"/>
      <c r="C1211" s="8"/>
      <c r="D1211" s="8"/>
      <c r="L1211" s="8"/>
      <c r="M1211" s="8"/>
      <c r="N1211" s="8"/>
      <c r="O1211" s="8"/>
    </row>
    <row r="1212">
      <c r="A1212" s="8"/>
      <c r="B1212" s="8"/>
      <c r="C1212" s="8"/>
      <c r="D1212" s="8"/>
      <c r="L1212" s="8"/>
      <c r="M1212" s="8"/>
      <c r="N1212" s="8"/>
      <c r="O1212" s="8"/>
    </row>
    <row r="1213">
      <c r="A1213" s="8"/>
      <c r="B1213" s="8"/>
      <c r="C1213" s="8"/>
      <c r="D1213" s="8"/>
      <c r="L1213" s="8"/>
      <c r="M1213" s="8"/>
      <c r="N1213" s="8"/>
      <c r="O1213" s="8"/>
    </row>
    <row r="1214">
      <c r="A1214" s="8"/>
      <c r="B1214" s="8"/>
      <c r="C1214" s="8"/>
      <c r="D1214" s="8"/>
      <c r="L1214" s="8"/>
      <c r="M1214" s="8"/>
      <c r="N1214" s="8"/>
      <c r="O1214" s="8"/>
    </row>
    <row r="1215">
      <c r="A1215" s="8"/>
      <c r="B1215" s="8"/>
      <c r="C1215" s="8"/>
      <c r="D1215" s="8"/>
      <c r="L1215" s="8"/>
      <c r="M1215" s="8"/>
      <c r="N1215" s="8"/>
      <c r="O1215" s="8"/>
    </row>
    <row r="1216">
      <c r="A1216" s="8"/>
      <c r="B1216" s="8"/>
      <c r="C1216" s="8"/>
      <c r="D1216" s="8"/>
      <c r="L1216" s="8"/>
      <c r="M1216" s="8"/>
      <c r="N1216" s="8"/>
      <c r="O1216" s="8"/>
    </row>
    <row r="1217">
      <c r="A1217" s="8"/>
      <c r="B1217" s="8"/>
      <c r="C1217" s="8"/>
      <c r="D1217" s="8"/>
      <c r="L1217" s="8"/>
      <c r="M1217" s="8"/>
      <c r="N1217" s="8"/>
      <c r="O1217" s="8"/>
    </row>
    <row r="1218">
      <c r="A1218" s="8"/>
      <c r="B1218" s="8"/>
      <c r="C1218" s="8"/>
      <c r="D1218" s="8"/>
      <c r="L1218" s="8"/>
      <c r="M1218" s="8"/>
      <c r="N1218" s="8"/>
      <c r="O1218" s="8"/>
    </row>
    <row r="1219">
      <c r="A1219" s="8"/>
      <c r="B1219" s="8"/>
      <c r="C1219" s="8"/>
      <c r="D1219" s="8"/>
      <c r="L1219" s="8"/>
      <c r="M1219" s="8"/>
      <c r="N1219" s="8"/>
      <c r="O1219" s="8"/>
    </row>
    <row r="1220">
      <c r="A1220" s="8"/>
      <c r="B1220" s="8"/>
      <c r="C1220" s="8"/>
      <c r="D1220" s="8"/>
      <c r="L1220" s="8"/>
      <c r="M1220" s="8"/>
      <c r="N1220" s="8"/>
      <c r="O1220" s="8"/>
    </row>
    <row r="1221">
      <c r="A1221" s="8"/>
      <c r="B1221" s="8"/>
      <c r="C1221" s="8"/>
      <c r="D1221" s="8"/>
      <c r="L1221" s="8"/>
      <c r="M1221" s="8"/>
      <c r="N1221" s="8"/>
      <c r="O1221" s="8"/>
    </row>
    <row r="1222">
      <c r="A1222" s="8"/>
      <c r="B1222" s="8"/>
      <c r="C1222" s="8"/>
      <c r="D1222" s="8"/>
      <c r="L1222" s="8"/>
      <c r="M1222" s="8"/>
      <c r="N1222" s="8"/>
      <c r="O1222" s="8"/>
    </row>
    <row r="1223">
      <c r="A1223" s="8"/>
      <c r="B1223" s="8"/>
      <c r="C1223" s="8"/>
      <c r="D1223" s="8"/>
      <c r="L1223" s="8"/>
      <c r="M1223" s="8"/>
      <c r="N1223" s="8"/>
      <c r="O1223" s="8"/>
    </row>
    <row r="1224">
      <c r="A1224" s="8"/>
      <c r="B1224" s="8"/>
      <c r="C1224" s="8"/>
      <c r="D1224" s="8"/>
      <c r="L1224" s="8"/>
      <c r="M1224" s="8"/>
      <c r="N1224" s="8"/>
      <c r="O1224" s="8"/>
    </row>
    <row r="1225">
      <c r="A1225" s="8"/>
      <c r="B1225" s="8"/>
      <c r="C1225" s="8"/>
      <c r="D1225" s="8"/>
      <c r="L1225" s="8"/>
      <c r="M1225" s="8"/>
      <c r="N1225" s="8"/>
      <c r="O1225" s="8"/>
    </row>
    <row r="1226">
      <c r="A1226" s="8"/>
      <c r="B1226" s="8"/>
      <c r="C1226" s="8"/>
      <c r="D1226" s="8"/>
      <c r="L1226" s="8"/>
      <c r="M1226" s="8"/>
      <c r="N1226" s="8"/>
      <c r="O1226" s="8"/>
    </row>
    <row r="1227">
      <c r="A1227" s="8"/>
      <c r="B1227" s="8"/>
      <c r="C1227" s="8"/>
      <c r="D1227" s="8"/>
      <c r="L1227" s="8"/>
      <c r="M1227" s="8"/>
      <c r="N1227" s="8"/>
      <c r="O1227" s="8"/>
    </row>
    <row r="1228">
      <c r="A1228" s="8"/>
      <c r="B1228" s="8"/>
      <c r="C1228" s="8"/>
      <c r="D1228" s="8"/>
      <c r="L1228" s="8"/>
      <c r="M1228" s="8"/>
      <c r="N1228" s="8"/>
      <c r="O1228" s="8"/>
    </row>
    <row r="1229">
      <c r="A1229" s="8"/>
      <c r="B1229" s="8"/>
      <c r="C1229" s="8"/>
      <c r="D1229" s="8"/>
      <c r="L1229" s="8"/>
      <c r="M1229" s="8"/>
      <c r="N1229" s="8"/>
      <c r="O1229" s="8"/>
    </row>
    <row r="1230">
      <c r="A1230" s="8"/>
      <c r="B1230" s="8"/>
      <c r="C1230" s="8"/>
      <c r="D1230" s="8"/>
      <c r="L1230" s="8"/>
      <c r="M1230" s="8"/>
      <c r="N1230" s="8"/>
      <c r="O1230" s="8"/>
    </row>
    <row r="1231">
      <c r="A1231" s="8"/>
      <c r="B1231" s="8"/>
      <c r="C1231" s="8"/>
      <c r="D1231" s="8"/>
      <c r="L1231" s="8"/>
      <c r="M1231" s="8"/>
      <c r="N1231" s="8"/>
      <c r="O1231" s="8"/>
    </row>
    <row r="1232">
      <c r="A1232" s="8"/>
      <c r="B1232" s="8"/>
      <c r="C1232" s="8"/>
      <c r="D1232" s="8"/>
      <c r="L1232" s="8"/>
      <c r="M1232" s="8"/>
      <c r="N1232" s="8"/>
      <c r="O1232" s="8"/>
    </row>
    <row r="1233">
      <c r="A1233" s="8"/>
      <c r="B1233" s="8"/>
      <c r="C1233" s="8"/>
      <c r="D1233" s="8"/>
      <c r="L1233" s="8"/>
      <c r="M1233" s="8"/>
      <c r="N1233" s="8"/>
      <c r="O1233" s="8"/>
    </row>
    <row r="1234">
      <c r="A1234" s="8"/>
      <c r="B1234" s="8"/>
      <c r="C1234" s="8"/>
      <c r="D1234" s="8"/>
      <c r="L1234" s="8"/>
      <c r="M1234" s="8"/>
      <c r="N1234" s="8"/>
      <c r="O1234" s="8"/>
    </row>
    <row r="1235">
      <c r="A1235" s="8"/>
      <c r="B1235" s="8"/>
      <c r="C1235" s="8"/>
      <c r="D1235" s="8"/>
      <c r="L1235" s="8"/>
      <c r="M1235" s="8"/>
      <c r="N1235" s="8"/>
      <c r="O1235" s="8"/>
    </row>
    <row r="1236">
      <c r="A1236" s="8"/>
      <c r="B1236" s="8"/>
      <c r="C1236" s="8"/>
      <c r="D1236" s="8"/>
      <c r="L1236" s="8"/>
      <c r="M1236" s="8"/>
      <c r="N1236" s="8"/>
      <c r="O1236" s="8"/>
    </row>
    <row r="1237">
      <c r="A1237" s="8"/>
      <c r="B1237" s="8"/>
      <c r="C1237" s="8"/>
      <c r="D1237" s="8"/>
      <c r="L1237" s="8"/>
      <c r="M1237" s="8"/>
      <c r="N1237" s="8"/>
      <c r="O1237" s="8"/>
    </row>
    <row r="1238">
      <c r="A1238" s="8"/>
      <c r="B1238" s="8"/>
      <c r="C1238" s="8"/>
      <c r="D1238" s="8"/>
      <c r="L1238" s="8"/>
      <c r="M1238" s="8"/>
      <c r="N1238" s="8"/>
      <c r="O1238" s="8"/>
    </row>
    <row r="1239">
      <c r="A1239" s="8"/>
      <c r="B1239" s="8"/>
      <c r="C1239" s="8"/>
      <c r="D1239" s="8"/>
      <c r="L1239" s="8"/>
      <c r="M1239" s="8"/>
      <c r="N1239" s="8"/>
      <c r="O1239" s="8"/>
    </row>
    <row r="1240">
      <c r="A1240" s="8"/>
      <c r="B1240" s="8"/>
      <c r="C1240" s="8"/>
      <c r="D1240" s="8"/>
      <c r="L1240" s="8"/>
      <c r="M1240" s="8"/>
      <c r="N1240" s="8"/>
      <c r="O1240" s="8"/>
    </row>
    <row r="1241">
      <c r="A1241" s="8"/>
      <c r="B1241" s="8"/>
      <c r="C1241" s="8"/>
      <c r="D1241" s="8"/>
      <c r="L1241" s="8"/>
      <c r="M1241" s="8"/>
      <c r="N1241" s="8"/>
      <c r="O1241" s="8"/>
    </row>
    <row r="1242">
      <c r="A1242" s="8"/>
      <c r="B1242" s="8"/>
      <c r="C1242" s="8"/>
      <c r="D1242" s="8"/>
      <c r="L1242" s="8"/>
      <c r="M1242" s="8"/>
      <c r="N1242" s="8"/>
      <c r="O1242" s="8"/>
    </row>
    <row r="1243">
      <c r="A1243" s="8"/>
      <c r="B1243" s="8"/>
      <c r="C1243" s="8"/>
      <c r="D1243" s="8"/>
      <c r="L1243" s="8"/>
      <c r="M1243" s="8"/>
      <c r="N1243" s="8"/>
      <c r="O1243" s="8"/>
    </row>
    <row r="1244">
      <c r="A1244" s="8"/>
      <c r="B1244" s="8"/>
      <c r="C1244" s="8"/>
      <c r="D1244" s="8"/>
      <c r="L1244" s="8"/>
      <c r="M1244" s="8"/>
      <c r="N1244" s="8"/>
      <c r="O1244" s="8"/>
    </row>
    <row r="1245">
      <c r="A1245" s="8"/>
      <c r="B1245" s="8"/>
      <c r="C1245" s="8"/>
      <c r="D1245" s="8"/>
      <c r="L1245" s="8"/>
      <c r="M1245" s="8"/>
      <c r="N1245" s="8"/>
      <c r="O1245" s="8"/>
    </row>
    <row r="1246">
      <c r="A1246" s="8"/>
      <c r="B1246" s="8"/>
      <c r="C1246" s="8"/>
      <c r="D1246" s="8"/>
      <c r="L1246" s="8"/>
      <c r="M1246" s="8"/>
      <c r="N1246" s="8"/>
      <c r="O1246" s="8"/>
    </row>
    <row r="1247">
      <c r="A1247" s="8"/>
      <c r="B1247" s="8"/>
      <c r="C1247" s="8"/>
      <c r="D1247" s="8"/>
      <c r="L1247" s="8"/>
      <c r="M1247" s="8"/>
      <c r="N1247" s="8"/>
      <c r="O1247" s="8"/>
    </row>
    <row r="1248">
      <c r="A1248" s="8"/>
      <c r="B1248" s="8"/>
      <c r="C1248" s="8"/>
      <c r="D1248" s="8"/>
      <c r="L1248" s="8"/>
      <c r="M1248" s="8"/>
      <c r="N1248" s="8"/>
      <c r="O1248" s="8"/>
    </row>
    <row r="1249">
      <c r="A1249" s="8"/>
      <c r="B1249" s="8"/>
      <c r="C1249" s="8"/>
      <c r="D1249" s="8"/>
      <c r="L1249" s="8"/>
      <c r="M1249" s="8"/>
      <c r="N1249" s="8"/>
      <c r="O1249" s="8"/>
    </row>
    <row r="1250">
      <c r="A1250" s="8"/>
      <c r="B1250" s="8"/>
      <c r="C1250" s="8"/>
      <c r="D1250" s="8"/>
      <c r="L1250" s="8"/>
      <c r="M1250" s="8"/>
      <c r="N1250" s="8"/>
      <c r="O1250" s="8"/>
    </row>
    <row r="1251">
      <c r="A1251" s="8"/>
      <c r="B1251" s="8"/>
      <c r="C1251" s="8"/>
      <c r="D1251" s="8"/>
      <c r="L1251" s="8"/>
      <c r="M1251" s="8"/>
      <c r="N1251" s="8"/>
      <c r="O1251" s="8"/>
    </row>
    <row r="1252">
      <c r="A1252" s="8"/>
      <c r="B1252" s="8"/>
      <c r="C1252" s="8"/>
      <c r="D1252" s="8"/>
      <c r="L1252" s="8"/>
      <c r="M1252" s="8"/>
      <c r="N1252" s="8"/>
      <c r="O1252" s="8"/>
    </row>
    <row r="1253">
      <c r="A1253" s="8"/>
      <c r="B1253" s="8"/>
      <c r="C1253" s="8"/>
      <c r="D1253" s="8"/>
      <c r="L1253" s="8"/>
      <c r="M1253" s="8"/>
      <c r="N1253" s="8"/>
      <c r="O1253" s="8"/>
    </row>
    <row r="1254">
      <c r="A1254" s="8"/>
      <c r="B1254" s="8"/>
      <c r="C1254" s="8"/>
      <c r="D1254" s="8"/>
      <c r="L1254" s="8"/>
      <c r="M1254" s="8"/>
      <c r="N1254" s="8"/>
      <c r="O1254" s="8"/>
    </row>
    <row r="1255">
      <c r="A1255" s="8"/>
      <c r="B1255" s="8"/>
      <c r="C1255" s="8"/>
      <c r="D1255" s="8"/>
      <c r="L1255" s="8"/>
      <c r="M1255" s="8"/>
      <c r="N1255" s="8"/>
      <c r="O1255" s="8"/>
    </row>
    <row r="1256">
      <c r="A1256" s="8"/>
      <c r="B1256" s="8"/>
      <c r="C1256" s="8"/>
      <c r="D1256" s="8"/>
      <c r="L1256" s="8"/>
      <c r="M1256" s="8"/>
      <c r="N1256" s="8"/>
      <c r="O1256" s="8"/>
    </row>
    <row r="1257">
      <c r="A1257" s="8"/>
      <c r="B1257" s="8"/>
      <c r="C1257" s="8"/>
      <c r="D1257" s="8"/>
      <c r="L1257" s="8"/>
      <c r="M1257" s="8"/>
      <c r="N1257" s="8"/>
      <c r="O1257" s="8"/>
    </row>
    <row r="1258">
      <c r="A1258" s="8"/>
      <c r="B1258" s="8"/>
      <c r="C1258" s="8"/>
      <c r="D1258" s="8"/>
      <c r="L1258" s="8"/>
      <c r="M1258" s="8"/>
      <c r="N1258" s="8"/>
      <c r="O1258" s="8"/>
    </row>
    <row r="1259">
      <c r="A1259" s="8"/>
      <c r="B1259" s="8"/>
      <c r="C1259" s="8"/>
      <c r="D1259" s="8"/>
      <c r="L1259" s="8"/>
      <c r="M1259" s="8"/>
      <c r="N1259" s="8"/>
      <c r="O1259" s="8"/>
    </row>
    <row r="1260">
      <c r="A1260" s="8"/>
      <c r="B1260" s="8"/>
      <c r="C1260" s="8"/>
      <c r="D1260" s="8"/>
      <c r="L1260" s="8"/>
      <c r="M1260" s="8"/>
      <c r="N1260" s="8"/>
      <c r="O1260" s="8"/>
    </row>
    <row r="1261">
      <c r="A1261" s="8"/>
      <c r="B1261" s="8"/>
      <c r="C1261" s="8"/>
      <c r="D1261" s="8"/>
      <c r="L1261" s="8"/>
      <c r="M1261" s="8"/>
      <c r="N1261" s="8"/>
      <c r="O1261" s="8"/>
    </row>
    <row r="1262">
      <c r="A1262" s="8"/>
      <c r="B1262" s="8"/>
      <c r="C1262" s="8"/>
      <c r="D1262" s="8"/>
      <c r="L1262" s="8"/>
      <c r="M1262" s="8"/>
      <c r="N1262" s="8"/>
      <c r="O1262" s="8"/>
    </row>
    <row r="1263">
      <c r="A1263" s="8"/>
      <c r="B1263" s="8"/>
      <c r="C1263" s="8"/>
      <c r="D1263" s="8"/>
      <c r="L1263" s="8"/>
      <c r="M1263" s="8"/>
      <c r="N1263" s="8"/>
      <c r="O1263" s="8"/>
    </row>
    <row r="1264">
      <c r="A1264" s="8"/>
      <c r="B1264" s="8"/>
      <c r="C1264" s="8"/>
      <c r="D1264" s="8"/>
      <c r="L1264" s="8"/>
      <c r="M1264" s="8"/>
      <c r="N1264" s="8"/>
      <c r="O1264" s="8"/>
    </row>
    <row r="1265">
      <c r="A1265" s="8"/>
      <c r="B1265" s="8"/>
      <c r="C1265" s="8"/>
      <c r="D1265" s="8"/>
      <c r="L1265" s="8"/>
      <c r="M1265" s="8"/>
      <c r="N1265" s="8"/>
      <c r="O1265" s="8"/>
    </row>
    <row r="1266">
      <c r="A1266" s="8"/>
      <c r="B1266" s="8"/>
      <c r="C1266" s="8"/>
      <c r="D1266" s="8"/>
      <c r="L1266" s="8"/>
      <c r="M1266" s="8"/>
      <c r="N1266" s="8"/>
      <c r="O1266" s="8"/>
    </row>
    <row r="1267">
      <c r="A1267" s="8"/>
      <c r="B1267" s="8"/>
      <c r="C1267" s="8"/>
      <c r="D1267" s="8"/>
      <c r="L1267" s="8"/>
      <c r="M1267" s="8"/>
      <c r="N1267" s="8"/>
      <c r="O1267" s="8"/>
    </row>
    <row r="1268">
      <c r="A1268" s="8"/>
      <c r="B1268" s="8"/>
      <c r="C1268" s="8"/>
      <c r="D1268" s="8"/>
      <c r="L1268" s="8"/>
      <c r="M1268" s="8"/>
      <c r="N1268" s="8"/>
      <c r="O1268" s="8"/>
    </row>
    <row r="1269">
      <c r="A1269" s="8"/>
      <c r="B1269" s="8"/>
      <c r="C1269" s="8"/>
      <c r="D1269" s="8"/>
      <c r="L1269" s="8"/>
      <c r="M1269" s="8"/>
      <c r="N1269" s="8"/>
      <c r="O1269" s="8"/>
    </row>
    <row r="1270">
      <c r="A1270" s="8"/>
      <c r="B1270" s="8"/>
      <c r="C1270" s="8"/>
      <c r="D1270" s="8"/>
      <c r="L1270" s="8"/>
      <c r="M1270" s="8"/>
      <c r="N1270" s="8"/>
      <c r="O1270" s="8"/>
    </row>
    <row r="1271">
      <c r="A1271" s="8"/>
      <c r="B1271" s="8"/>
      <c r="C1271" s="8"/>
      <c r="D1271" s="8"/>
      <c r="L1271" s="8"/>
      <c r="M1271" s="8"/>
      <c r="N1271" s="8"/>
      <c r="O1271" s="8"/>
    </row>
    <row r="1272">
      <c r="A1272" s="8"/>
      <c r="B1272" s="8"/>
      <c r="C1272" s="8"/>
      <c r="D1272" s="8"/>
      <c r="L1272" s="8"/>
      <c r="M1272" s="8"/>
      <c r="N1272" s="8"/>
      <c r="O1272" s="8"/>
    </row>
    <row r="1273">
      <c r="A1273" s="8"/>
      <c r="B1273" s="8"/>
      <c r="C1273" s="8"/>
      <c r="D1273" s="8"/>
      <c r="L1273" s="8"/>
      <c r="M1273" s="8"/>
      <c r="N1273" s="8"/>
      <c r="O1273" s="8"/>
    </row>
    <row r="1274">
      <c r="A1274" s="8"/>
      <c r="B1274" s="8"/>
      <c r="C1274" s="8"/>
      <c r="D1274" s="8"/>
      <c r="L1274" s="8"/>
      <c r="M1274" s="8"/>
      <c r="N1274" s="8"/>
      <c r="O1274" s="8"/>
    </row>
    <row r="1275">
      <c r="A1275" s="8"/>
      <c r="B1275" s="8"/>
      <c r="C1275" s="8"/>
      <c r="D1275" s="8"/>
      <c r="L1275" s="8"/>
      <c r="M1275" s="8"/>
      <c r="N1275" s="8"/>
      <c r="O1275" s="8"/>
    </row>
    <row r="1276">
      <c r="A1276" s="8"/>
      <c r="B1276" s="8"/>
      <c r="C1276" s="8"/>
      <c r="D1276" s="8"/>
      <c r="L1276" s="8"/>
      <c r="M1276" s="8"/>
      <c r="N1276" s="8"/>
      <c r="O1276" s="8"/>
    </row>
    <row r="1277">
      <c r="A1277" s="8"/>
      <c r="B1277" s="8"/>
      <c r="C1277" s="8"/>
      <c r="D1277" s="8"/>
      <c r="L1277" s="8"/>
      <c r="M1277" s="8"/>
      <c r="N1277" s="8"/>
      <c r="O1277" s="8"/>
    </row>
    <row r="1278">
      <c r="A1278" s="8"/>
      <c r="B1278" s="8"/>
      <c r="C1278" s="8"/>
      <c r="D1278" s="8"/>
      <c r="L1278" s="8"/>
      <c r="M1278" s="8"/>
      <c r="N1278" s="8"/>
      <c r="O1278" s="8"/>
    </row>
    <row r="1279">
      <c r="A1279" s="8"/>
      <c r="B1279" s="8"/>
      <c r="C1279" s="8"/>
      <c r="D1279" s="8"/>
      <c r="L1279" s="8"/>
      <c r="M1279" s="8"/>
      <c r="N1279" s="8"/>
      <c r="O1279" s="8"/>
    </row>
    <row r="1280">
      <c r="A1280" s="8"/>
      <c r="B1280" s="8"/>
      <c r="C1280" s="8"/>
      <c r="D1280" s="8"/>
      <c r="L1280" s="8"/>
      <c r="M1280" s="8"/>
      <c r="N1280" s="8"/>
      <c r="O1280" s="8"/>
    </row>
    <row r="1281">
      <c r="A1281" s="8"/>
      <c r="B1281" s="8"/>
      <c r="C1281" s="8"/>
      <c r="D1281" s="8"/>
      <c r="L1281" s="8"/>
      <c r="M1281" s="8"/>
      <c r="N1281" s="8"/>
      <c r="O1281" s="8"/>
    </row>
    <row r="1282">
      <c r="A1282" s="8"/>
      <c r="B1282" s="8"/>
      <c r="C1282" s="8"/>
      <c r="D1282" s="8"/>
      <c r="L1282" s="8"/>
      <c r="M1282" s="8"/>
      <c r="N1282" s="8"/>
      <c r="O1282" s="8"/>
    </row>
    <row r="1283">
      <c r="A1283" s="8"/>
      <c r="B1283" s="8"/>
      <c r="C1283" s="8"/>
      <c r="D1283" s="8"/>
      <c r="L1283" s="8"/>
      <c r="M1283" s="8"/>
      <c r="N1283" s="8"/>
      <c r="O1283" s="8"/>
    </row>
    <row r="1284">
      <c r="A1284" s="8"/>
      <c r="B1284" s="8"/>
      <c r="C1284" s="8"/>
      <c r="D1284" s="8"/>
      <c r="L1284" s="8"/>
      <c r="M1284" s="8"/>
      <c r="N1284" s="8"/>
      <c r="O1284" s="8"/>
    </row>
    <row r="1285">
      <c r="A1285" s="8"/>
      <c r="B1285" s="8"/>
      <c r="C1285" s="8"/>
      <c r="D1285" s="8"/>
      <c r="L1285" s="8"/>
      <c r="M1285" s="8"/>
      <c r="N1285" s="8"/>
      <c r="O1285" s="8"/>
    </row>
    <row r="1286">
      <c r="A1286" s="8"/>
      <c r="B1286" s="8"/>
      <c r="C1286" s="8"/>
      <c r="D1286" s="8"/>
      <c r="L1286" s="8"/>
      <c r="M1286" s="8"/>
      <c r="N1286" s="8"/>
      <c r="O1286" s="8"/>
    </row>
    <row r="1287">
      <c r="A1287" s="8"/>
      <c r="B1287" s="8"/>
      <c r="C1287" s="8"/>
      <c r="D1287" s="8"/>
      <c r="L1287" s="8"/>
      <c r="M1287" s="8"/>
      <c r="N1287" s="8"/>
      <c r="O1287" s="8"/>
    </row>
    <row r="1288">
      <c r="A1288" s="8"/>
      <c r="B1288" s="8"/>
      <c r="C1288" s="8"/>
      <c r="D1288" s="8"/>
      <c r="L1288" s="8"/>
      <c r="M1288" s="8"/>
      <c r="N1288" s="8"/>
      <c r="O1288" s="8"/>
    </row>
    <row r="1289">
      <c r="A1289" s="8"/>
      <c r="B1289" s="8"/>
      <c r="C1289" s="8"/>
      <c r="D1289" s="8"/>
      <c r="L1289" s="8"/>
      <c r="M1289" s="8"/>
      <c r="N1289" s="8"/>
      <c r="O1289" s="8"/>
    </row>
    <row r="1290">
      <c r="A1290" s="8"/>
      <c r="B1290" s="8"/>
      <c r="C1290" s="8"/>
      <c r="D1290" s="8"/>
      <c r="L1290" s="8"/>
      <c r="M1290" s="8"/>
      <c r="N1290" s="8"/>
      <c r="O1290" s="8"/>
    </row>
    <row r="1291">
      <c r="A1291" s="8"/>
      <c r="B1291" s="8"/>
      <c r="C1291" s="8"/>
      <c r="D1291" s="8"/>
      <c r="L1291" s="8"/>
      <c r="M1291" s="8"/>
      <c r="N1291" s="8"/>
      <c r="O1291" s="8"/>
    </row>
    <row r="1292">
      <c r="A1292" s="8"/>
      <c r="B1292" s="8"/>
      <c r="C1292" s="8"/>
      <c r="D1292" s="8"/>
      <c r="L1292" s="8"/>
      <c r="M1292" s="8"/>
      <c r="N1292" s="8"/>
      <c r="O1292" s="8"/>
    </row>
    <row r="1293">
      <c r="A1293" s="8"/>
      <c r="B1293" s="8"/>
      <c r="C1293" s="8"/>
      <c r="D1293" s="8"/>
      <c r="L1293" s="8"/>
      <c r="M1293" s="8"/>
      <c r="N1293" s="8"/>
      <c r="O1293" s="8"/>
    </row>
    <row r="1294">
      <c r="A1294" s="8"/>
      <c r="B1294" s="8"/>
      <c r="C1294" s="8"/>
      <c r="D1294" s="8"/>
      <c r="L1294" s="8"/>
      <c r="M1294" s="8"/>
      <c r="N1294" s="8"/>
      <c r="O1294" s="8"/>
    </row>
    <row r="1295">
      <c r="A1295" s="8"/>
      <c r="B1295" s="8"/>
      <c r="C1295" s="8"/>
      <c r="D1295" s="8"/>
      <c r="L1295" s="8"/>
      <c r="M1295" s="8"/>
      <c r="N1295" s="8"/>
      <c r="O1295" s="8"/>
    </row>
    <row r="1296">
      <c r="A1296" s="8"/>
      <c r="B1296" s="8"/>
      <c r="C1296" s="8"/>
      <c r="D1296" s="8"/>
      <c r="L1296" s="8"/>
      <c r="M1296" s="8"/>
      <c r="N1296" s="8"/>
      <c r="O1296" s="8"/>
    </row>
    <row r="1297">
      <c r="A1297" s="8"/>
      <c r="B1297" s="8"/>
      <c r="C1297" s="8"/>
      <c r="D1297" s="8"/>
      <c r="L1297" s="8"/>
      <c r="M1297" s="8"/>
      <c r="N1297" s="8"/>
      <c r="O1297" s="8"/>
    </row>
    <row r="1298">
      <c r="A1298" s="8"/>
      <c r="B1298" s="8"/>
      <c r="C1298" s="8"/>
      <c r="D1298" s="8"/>
      <c r="L1298" s="8"/>
      <c r="M1298" s="8"/>
      <c r="N1298" s="8"/>
      <c r="O1298" s="8"/>
    </row>
    <row r="1299">
      <c r="A1299" s="8"/>
      <c r="B1299" s="8"/>
      <c r="C1299" s="8"/>
      <c r="D1299" s="8"/>
      <c r="L1299" s="8"/>
      <c r="M1299" s="8"/>
      <c r="N1299" s="8"/>
      <c r="O1299" s="8"/>
    </row>
    <row r="1300">
      <c r="A1300" s="8"/>
      <c r="B1300" s="8"/>
      <c r="C1300" s="8"/>
      <c r="D1300" s="8"/>
      <c r="L1300" s="8"/>
      <c r="M1300" s="8"/>
      <c r="N1300" s="8"/>
      <c r="O1300" s="8"/>
    </row>
    <row r="1301">
      <c r="A1301" s="8"/>
      <c r="B1301" s="8"/>
      <c r="C1301" s="8"/>
      <c r="D1301" s="8"/>
      <c r="L1301" s="8"/>
      <c r="M1301" s="8"/>
      <c r="N1301" s="8"/>
      <c r="O1301" s="8"/>
    </row>
    <row r="1302">
      <c r="A1302" s="8"/>
      <c r="B1302" s="8"/>
      <c r="C1302" s="8"/>
      <c r="D1302" s="8"/>
      <c r="L1302" s="8"/>
      <c r="M1302" s="8"/>
      <c r="N1302" s="8"/>
      <c r="O1302" s="8"/>
    </row>
    <row r="1303">
      <c r="A1303" s="8"/>
      <c r="B1303" s="8"/>
      <c r="C1303" s="8"/>
      <c r="D1303" s="8"/>
      <c r="L1303" s="8"/>
      <c r="M1303" s="8"/>
      <c r="N1303" s="8"/>
      <c r="O1303" s="8"/>
    </row>
    <row r="1304">
      <c r="A1304" s="8"/>
      <c r="B1304" s="8"/>
      <c r="C1304" s="8"/>
      <c r="D1304" s="8"/>
      <c r="L1304" s="8"/>
      <c r="M1304" s="8"/>
      <c r="N1304" s="8"/>
      <c r="O1304" s="8"/>
    </row>
    <row r="1305">
      <c r="A1305" s="8"/>
      <c r="B1305" s="8"/>
      <c r="C1305" s="8"/>
      <c r="D1305" s="8"/>
      <c r="L1305" s="8"/>
      <c r="M1305" s="8"/>
      <c r="N1305" s="8"/>
      <c r="O1305" s="8"/>
    </row>
    <row r="1306">
      <c r="A1306" s="8"/>
      <c r="B1306" s="8"/>
      <c r="C1306" s="8"/>
      <c r="D1306" s="8"/>
      <c r="L1306" s="8"/>
      <c r="M1306" s="8"/>
      <c r="N1306" s="8"/>
      <c r="O1306" s="8"/>
    </row>
    <row r="1307">
      <c r="A1307" s="8"/>
      <c r="B1307" s="8"/>
      <c r="C1307" s="8"/>
      <c r="D1307" s="8"/>
      <c r="L1307" s="8"/>
      <c r="M1307" s="8"/>
      <c r="N1307" s="8"/>
      <c r="O1307" s="8"/>
    </row>
    <row r="1308">
      <c r="A1308" s="8"/>
      <c r="B1308" s="8"/>
      <c r="C1308" s="8"/>
      <c r="D1308" s="8"/>
      <c r="L1308" s="8"/>
      <c r="M1308" s="8"/>
      <c r="N1308" s="8"/>
      <c r="O1308" s="8"/>
    </row>
    <row r="1309">
      <c r="A1309" s="8"/>
      <c r="B1309" s="8"/>
      <c r="C1309" s="8"/>
      <c r="D1309" s="8"/>
      <c r="L1309" s="8"/>
      <c r="M1309" s="8"/>
      <c r="N1309" s="8"/>
      <c r="O1309" s="8"/>
    </row>
    <row r="1310">
      <c r="A1310" s="8"/>
      <c r="B1310" s="8"/>
      <c r="C1310" s="8"/>
      <c r="D1310" s="8"/>
      <c r="L1310" s="8"/>
      <c r="M1310" s="8"/>
      <c r="N1310" s="8"/>
      <c r="O1310" s="8"/>
    </row>
    <row r="1311">
      <c r="A1311" s="8"/>
      <c r="B1311" s="8"/>
      <c r="C1311" s="8"/>
      <c r="D1311" s="8"/>
      <c r="L1311" s="8"/>
      <c r="M1311" s="8"/>
      <c r="N1311" s="8"/>
      <c r="O1311" s="8"/>
    </row>
    <row r="1312">
      <c r="A1312" s="8"/>
      <c r="B1312" s="8"/>
      <c r="C1312" s="8"/>
      <c r="D1312" s="8"/>
      <c r="L1312" s="8"/>
      <c r="M1312" s="8"/>
      <c r="N1312" s="8"/>
      <c r="O1312" s="8"/>
    </row>
    <row r="1313">
      <c r="A1313" s="8"/>
      <c r="B1313" s="8"/>
      <c r="C1313" s="8"/>
      <c r="D1313" s="8"/>
      <c r="L1313" s="8"/>
      <c r="M1313" s="8"/>
      <c r="N1313" s="8"/>
      <c r="O1313" s="8"/>
    </row>
    <row r="1314">
      <c r="A1314" s="8"/>
      <c r="B1314" s="8"/>
      <c r="C1314" s="8"/>
      <c r="D1314" s="8"/>
      <c r="L1314" s="8"/>
      <c r="M1314" s="8"/>
      <c r="N1314" s="8"/>
      <c r="O1314" s="8"/>
    </row>
    <row r="1315">
      <c r="A1315" s="8"/>
      <c r="B1315" s="8"/>
      <c r="C1315" s="8"/>
      <c r="D1315" s="8"/>
      <c r="L1315" s="8"/>
      <c r="M1315" s="8"/>
      <c r="N1315" s="8"/>
      <c r="O1315" s="8"/>
    </row>
    <row r="1316">
      <c r="A1316" s="8"/>
      <c r="B1316" s="8"/>
      <c r="C1316" s="8"/>
      <c r="D1316" s="8"/>
      <c r="L1316" s="8"/>
      <c r="M1316" s="8"/>
      <c r="N1316" s="8"/>
      <c r="O1316" s="8"/>
    </row>
    <row r="1317">
      <c r="A1317" s="8"/>
      <c r="B1317" s="8"/>
      <c r="C1317" s="8"/>
      <c r="D1317" s="8"/>
      <c r="L1317" s="8"/>
      <c r="M1317" s="8"/>
      <c r="N1317" s="8"/>
      <c r="O1317" s="8"/>
    </row>
    <row r="1318">
      <c r="A1318" s="8"/>
      <c r="B1318" s="8"/>
      <c r="C1318" s="8"/>
      <c r="D1318" s="8"/>
      <c r="L1318" s="8"/>
      <c r="M1318" s="8"/>
      <c r="N1318" s="8"/>
      <c r="O1318" s="8"/>
    </row>
    <row r="1319">
      <c r="A1319" s="8"/>
      <c r="B1319" s="8"/>
      <c r="C1319" s="8"/>
      <c r="D1319" s="8"/>
      <c r="L1319" s="8"/>
      <c r="M1319" s="8"/>
      <c r="N1319" s="8"/>
      <c r="O1319" s="8"/>
    </row>
    <row r="1320">
      <c r="A1320" s="8"/>
      <c r="B1320" s="8"/>
      <c r="C1320" s="8"/>
      <c r="D1320" s="8"/>
      <c r="L1320" s="8"/>
      <c r="M1320" s="8"/>
      <c r="N1320" s="8"/>
      <c r="O1320" s="8"/>
    </row>
    <row r="1321">
      <c r="A1321" s="8"/>
      <c r="B1321" s="8"/>
      <c r="C1321" s="8"/>
      <c r="D1321" s="8"/>
      <c r="L1321" s="8"/>
      <c r="M1321" s="8"/>
      <c r="N1321" s="8"/>
      <c r="O1321" s="8"/>
    </row>
    <row r="1322">
      <c r="A1322" s="8"/>
      <c r="B1322" s="8"/>
      <c r="C1322" s="8"/>
      <c r="D1322" s="8"/>
      <c r="L1322" s="8"/>
      <c r="M1322" s="8"/>
      <c r="N1322" s="8"/>
      <c r="O1322" s="8"/>
    </row>
    <row r="1323">
      <c r="A1323" s="8"/>
      <c r="B1323" s="8"/>
      <c r="C1323" s="8"/>
      <c r="D1323" s="8"/>
      <c r="L1323" s="8"/>
      <c r="M1323" s="8"/>
      <c r="N1323" s="8"/>
      <c r="O1323" s="8"/>
    </row>
    <row r="1324">
      <c r="A1324" s="8"/>
      <c r="B1324" s="8"/>
      <c r="C1324" s="8"/>
      <c r="D1324" s="8"/>
      <c r="L1324" s="8"/>
      <c r="M1324" s="8"/>
      <c r="N1324" s="8"/>
      <c r="O1324" s="8"/>
    </row>
    <row r="1325">
      <c r="A1325" s="8"/>
      <c r="B1325" s="8"/>
      <c r="C1325" s="8"/>
      <c r="D1325" s="8"/>
      <c r="L1325" s="8"/>
      <c r="M1325" s="8"/>
      <c r="N1325" s="8"/>
      <c r="O1325" s="8"/>
    </row>
    <row r="1326">
      <c r="A1326" s="8"/>
      <c r="B1326" s="8"/>
      <c r="C1326" s="8"/>
      <c r="D1326" s="8"/>
      <c r="L1326" s="8"/>
      <c r="M1326" s="8"/>
      <c r="N1326" s="8"/>
      <c r="O1326" s="8"/>
    </row>
    <row r="1327">
      <c r="A1327" s="8"/>
      <c r="B1327" s="8"/>
      <c r="C1327" s="8"/>
      <c r="D1327" s="8"/>
      <c r="L1327" s="8"/>
      <c r="M1327" s="8"/>
      <c r="N1327" s="8"/>
      <c r="O1327" s="8"/>
    </row>
    <row r="1328">
      <c r="A1328" s="8"/>
      <c r="B1328" s="8"/>
      <c r="C1328" s="8"/>
      <c r="D1328" s="8"/>
      <c r="L1328" s="8"/>
      <c r="M1328" s="8"/>
      <c r="N1328" s="8"/>
      <c r="O1328" s="8"/>
    </row>
    <row r="1329">
      <c r="A1329" s="8"/>
      <c r="B1329" s="8"/>
      <c r="C1329" s="8"/>
      <c r="D1329" s="8"/>
      <c r="L1329" s="8"/>
      <c r="M1329" s="8"/>
      <c r="N1329" s="8"/>
      <c r="O1329" s="8"/>
    </row>
    <row r="1330">
      <c r="A1330" s="8"/>
      <c r="B1330" s="8"/>
      <c r="C1330" s="8"/>
      <c r="D1330" s="8"/>
      <c r="L1330" s="8"/>
      <c r="M1330" s="8"/>
      <c r="N1330" s="8"/>
      <c r="O1330" s="8"/>
    </row>
    <row r="1331">
      <c r="A1331" s="8"/>
      <c r="B1331" s="8"/>
      <c r="C1331" s="8"/>
      <c r="D1331" s="8"/>
      <c r="L1331" s="8"/>
      <c r="M1331" s="8"/>
      <c r="N1331" s="8"/>
      <c r="O1331" s="8"/>
    </row>
    <row r="1332">
      <c r="A1332" s="8"/>
      <c r="B1332" s="8"/>
      <c r="C1332" s="8"/>
      <c r="D1332" s="8"/>
      <c r="L1332" s="8"/>
      <c r="M1332" s="8"/>
      <c r="N1332" s="8"/>
      <c r="O1332" s="8"/>
    </row>
    <row r="1333">
      <c r="A1333" s="8"/>
      <c r="B1333" s="8"/>
      <c r="C1333" s="8"/>
      <c r="D1333" s="8"/>
      <c r="L1333" s="8"/>
      <c r="M1333" s="8"/>
      <c r="N1333" s="8"/>
      <c r="O1333" s="8"/>
    </row>
    <row r="1334">
      <c r="A1334" s="8"/>
      <c r="B1334" s="8"/>
      <c r="C1334" s="8"/>
      <c r="D1334" s="8"/>
      <c r="L1334" s="8"/>
      <c r="M1334" s="8"/>
      <c r="N1334" s="8"/>
      <c r="O1334" s="8"/>
    </row>
    <row r="1335">
      <c r="A1335" s="8"/>
      <c r="B1335" s="8"/>
      <c r="C1335" s="8"/>
      <c r="D1335" s="8"/>
      <c r="L1335" s="8"/>
      <c r="M1335" s="8"/>
      <c r="N1335" s="8"/>
      <c r="O1335" s="8"/>
    </row>
    <row r="1336">
      <c r="A1336" s="8"/>
      <c r="B1336" s="8"/>
      <c r="C1336" s="8"/>
      <c r="D1336" s="8"/>
      <c r="L1336" s="8"/>
      <c r="M1336" s="8"/>
      <c r="N1336" s="8"/>
      <c r="O1336" s="8"/>
    </row>
    <row r="1337">
      <c r="A1337" s="8"/>
      <c r="B1337" s="8"/>
      <c r="C1337" s="8"/>
      <c r="D1337" s="8"/>
      <c r="L1337" s="8"/>
      <c r="M1337" s="8"/>
      <c r="N1337" s="8"/>
      <c r="O1337" s="8"/>
    </row>
    <row r="1338">
      <c r="A1338" s="8"/>
      <c r="B1338" s="8"/>
      <c r="C1338" s="8"/>
      <c r="D1338" s="8"/>
      <c r="L1338" s="8"/>
      <c r="M1338" s="8"/>
      <c r="N1338" s="8"/>
      <c r="O1338" s="8"/>
    </row>
    <row r="1339">
      <c r="A1339" s="8"/>
      <c r="B1339" s="8"/>
      <c r="C1339" s="8"/>
      <c r="D1339" s="8"/>
      <c r="L1339" s="8"/>
      <c r="M1339" s="8"/>
      <c r="N1339" s="8"/>
      <c r="O1339" s="8"/>
    </row>
    <row r="1340">
      <c r="A1340" s="8"/>
      <c r="B1340" s="8"/>
      <c r="C1340" s="8"/>
      <c r="D1340" s="8"/>
      <c r="L1340" s="8"/>
      <c r="M1340" s="8"/>
      <c r="N1340" s="8"/>
      <c r="O1340" s="8"/>
    </row>
    <row r="1341">
      <c r="A1341" s="8"/>
      <c r="B1341" s="8"/>
      <c r="C1341" s="8"/>
      <c r="D1341" s="8"/>
      <c r="L1341" s="8"/>
      <c r="M1341" s="8"/>
      <c r="N1341" s="8"/>
      <c r="O1341" s="8"/>
    </row>
    <row r="1342">
      <c r="A1342" s="8"/>
      <c r="B1342" s="8"/>
      <c r="C1342" s="8"/>
      <c r="D1342" s="8"/>
      <c r="L1342" s="8"/>
      <c r="M1342" s="8"/>
      <c r="N1342" s="8"/>
      <c r="O1342" s="8"/>
    </row>
    <row r="1343">
      <c r="A1343" s="8"/>
      <c r="B1343" s="8"/>
      <c r="C1343" s="8"/>
      <c r="D1343" s="8"/>
      <c r="L1343" s="8"/>
      <c r="M1343" s="8"/>
      <c r="N1343" s="8"/>
      <c r="O1343" s="8"/>
    </row>
    <row r="1344">
      <c r="A1344" s="8"/>
      <c r="B1344" s="8"/>
      <c r="C1344" s="8"/>
      <c r="D1344" s="8"/>
      <c r="L1344" s="8"/>
      <c r="M1344" s="8"/>
      <c r="N1344" s="8"/>
      <c r="O1344" s="8"/>
    </row>
    <row r="1345">
      <c r="A1345" s="8"/>
      <c r="B1345" s="8"/>
      <c r="C1345" s="8"/>
      <c r="D1345" s="8"/>
      <c r="L1345" s="8"/>
      <c r="M1345" s="8"/>
      <c r="N1345" s="8"/>
      <c r="O1345" s="8"/>
    </row>
    <row r="1346">
      <c r="A1346" s="8"/>
      <c r="B1346" s="8"/>
      <c r="C1346" s="8"/>
      <c r="D1346" s="8"/>
      <c r="L1346" s="8"/>
      <c r="M1346" s="8"/>
      <c r="N1346" s="8"/>
      <c r="O1346" s="8"/>
    </row>
    <row r="1347">
      <c r="A1347" s="8"/>
      <c r="B1347" s="8"/>
      <c r="C1347" s="8"/>
      <c r="D1347" s="8"/>
      <c r="L1347" s="8"/>
      <c r="M1347" s="8"/>
      <c r="N1347" s="8"/>
      <c r="O1347" s="8"/>
    </row>
    <row r="1348">
      <c r="A1348" s="8"/>
      <c r="B1348" s="8"/>
      <c r="C1348" s="8"/>
      <c r="D1348" s="8"/>
      <c r="L1348" s="8"/>
      <c r="M1348" s="8"/>
      <c r="N1348" s="8"/>
      <c r="O1348" s="8"/>
    </row>
    <row r="1349">
      <c r="A1349" s="8"/>
      <c r="B1349" s="8"/>
      <c r="C1349" s="8"/>
      <c r="D1349" s="8"/>
      <c r="L1349" s="8"/>
      <c r="M1349" s="8"/>
      <c r="N1349" s="8"/>
      <c r="O1349" s="8"/>
    </row>
    <row r="1350">
      <c r="A1350" s="8"/>
      <c r="B1350" s="8"/>
      <c r="C1350" s="8"/>
      <c r="D1350" s="8"/>
      <c r="L1350" s="8"/>
      <c r="M1350" s="8"/>
      <c r="N1350" s="8"/>
      <c r="O1350" s="8"/>
    </row>
    <row r="1351">
      <c r="A1351" s="8"/>
      <c r="B1351" s="8"/>
      <c r="C1351" s="8"/>
      <c r="D1351" s="8"/>
      <c r="L1351" s="8"/>
      <c r="M1351" s="8"/>
      <c r="N1351" s="8"/>
      <c r="O1351" s="8"/>
    </row>
    <row r="1352">
      <c r="A1352" s="8"/>
      <c r="B1352" s="8"/>
      <c r="C1352" s="8"/>
      <c r="D1352" s="8"/>
      <c r="L1352" s="8"/>
      <c r="M1352" s="8"/>
      <c r="N1352" s="8"/>
      <c r="O1352" s="8"/>
    </row>
    <row r="1353">
      <c r="A1353" s="8"/>
      <c r="B1353" s="8"/>
      <c r="C1353" s="8"/>
      <c r="D1353" s="8"/>
      <c r="L1353" s="8"/>
      <c r="M1353" s="8"/>
      <c r="N1353" s="8"/>
      <c r="O1353" s="8"/>
    </row>
    <row r="1354">
      <c r="A1354" s="8"/>
      <c r="B1354" s="8"/>
      <c r="C1354" s="8"/>
      <c r="D1354" s="8"/>
      <c r="L1354" s="8"/>
      <c r="M1354" s="8"/>
      <c r="N1354" s="8"/>
      <c r="O1354" s="8"/>
    </row>
    <row r="1355">
      <c r="A1355" s="8"/>
      <c r="B1355" s="8"/>
      <c r="C1355" s="8"/>
      <c r="D1355" s="8"/>
      <c r="L1355" s="8"/>
      <c r="M1355" s="8"/>
      <c r="N1355" s="8"/>
      <c r="O1355" s="8"/>
    </row>
    <row r="1356">
      <c r="A1356" s="8"/>
      <c r="B1356" s="8"/>
      <c r="C1356" s="8"/>
      <c r="D1356" s="8"/>
      <c r="L1356" s="8"/>
      <c r="M1356" s="8"/>
      <c r="N1356" s="8"/>
      <c r="O1356" s="8"/>
    </row>
    <row r="1357">
      <c r="A1357" s="8"/>
      <c r="B1357" s="8"/>
      <c r="C1357" s="8"/>
      <c r="D1357" s="8"/>
      <c r="L1357" s="8"/>
      <c r="M1357" s="8"/>
      <c r="N1357" s="8"/>
      <c r="O1357" s="8"/>
    </row>
    <row r="1358">
      <c r="A1358" s="8"/>
      <c r="B1358" s="8"/>
      <c r="C1358" s="8"/>
      <c r="D1358" s="8"/>
      <c r="L1358" s="8"/>
      <c r="M1358" s="8"/>
      <c r="N1358" s="8"/>
      <c r="O1358" s="8"/>
    </row>
    <row r="1359">
      <c r="A1359" s="8"/>
      <c r="B1359" s="8"/>
      <c r="C1359" s="8"/>
      <c r="D1359" s="8"/>
      <c r="L1359" s="8"/>
      <c r="M1359" s="8"/>
      <c r="N1359" s="8"/>
      <c r="O1359" s="8"/>
    </row>
    <row r="1360">
      <c r="A1360" s="8"/>
      <c r="B1360" s="8"/>
      <c r="C1360" s="8"/>
      <c r="D1360" s="8"/>
      <c r="L1360" s="8"/>
      <c r="M1360" s="8"/>
      <c r="N1360" s="8"/>
      <c r="O1360" s="8"/>
    </row>
    <row r="1361">
      <c r="A1361" s="8"/>
      <c r="B1361" s="8"/>
      <c r="C1361" s="8"/>
      <c r="D1361" s="8"/>
      <c r="L1361" s="8"/>
      <c r="M1361" s="8"/>
      <c r="N1361" s="8"/>
      <c r="O1361" s="8"/>
    </row>
    <row r="1362">
      <c r="A1362" s="8"/>
      <c r="B1362" s="8"/>
      <c r="C1362" s="8"/>
      <c r="D1362" s="8"/>
      <c r="L1362" s="8"/>
      <c r="M1362" s="8"/>
      <c r="N1362" s="8"/>
      <c r="O1362" s="8"/>
    </row>
    <row r="1363">
      <c r="A1363" s="8"/>
      <c r="B1363" s="8"/>
      <c r="C1363" s="8"/>
      <c r="D1363" s="8"/>
      <c r="L1363" s="8"/>
      <c r="M1363" s="8"/>
      <c r="N1363" s="8"/>
      <c r="O1363" s="8"/>
    </row>
    <row r="1364">
      <c r="A1364" s="8"/>
      <c r="B1364" s="8"/>
      <c r="C1364" s="8"/>
      <c r="D1364" s="8"/>
      <c r="L1364" s="8"/>
      <c r="M1364" s="8"/>
      <c r="N1364" s="8"/>
      <c r="O1364" s="8"/>
    </row>
    <row r="1365">
      <c r="A1365" s="8"/>
      <c r="B1365" s="8"/>
      <c r="C1365" s="8"/>
      <c r="D1365" s="8"/>
      <c r="L1365" s="8"/>
      <c r="M1365" s="8"/>
      <c r="N1365" s="8"/>
      <c r="O1365" s="8"/>
    </row>
    <row r="1366">
      <c r="A1366" s="8"/>
      <c r="B1366" s="8"/>
      <c r="C1366" s="8"/>
      <c r="D1366" s="8"/>
      <c r="L1366" s="8"/>
      <c r="M1366" s="8"/>
      <c r="N1366" s="8"/>
      <c r="O1366" s="8"/>
    </row>
    <row r="1367">
      <c r="A1367" s="8"/>
      <c r="B1367" s="8"/>
      <c r="C1367" s="8"/>
      <c r="D1367" s="8"/>
      <c r="L1367" s="8"/>
      <c r="M1367" s="8"/>
      <c r="N1367" s="8"/>
      <c r="O1367" s="8"/>
    </row>
    <row r="1368">
      <c r="A1368" s="8"/>
      <c r="B1368" s="8"/>
      <c r="C1368" s="8"/>
      <c r="D1368" s="8"/>
      <c r="L1368" s="8"/>
      <c r="M1368" s="8"/>
      <c r="N1368" s="8"/>
      <c r="O1368" s="8"/>
    </row>
    <row r="1369">
      <c r="A1369" s="8"/>
      <c r="B1369" s="8"/>
      <c r="C1369" s="8"/>
      <c r="D1369" s="8"/>
      <c r="L1369" s="8"/>
      <c r="M1369" s="8"/>
      <c r="N1369" s="8"/>
      <c r="O1369" s="8"/>
    </row>
    <row r="1370">
      <c r="A1370" s="8"/>
      <c r="B1370" s="8"/>
      <c r="C1370" s="8"/>
      <c r="D1370" s="8"/>
      <c r="L1370" s="8"/>
      <c r="M1370" s="8"/>
      <c r="N1370" s="8"/>
      <c r="O1370" s="8"/>
    </row>
    <row r="1371">
      <c r="A1371" s="8"/>
      <c r="B1371" s="8"/>
      <c r="C1371" s="8"/>
      <c r="D1371" s="8"/>
      <c r="L1371" s="8"/>
      <c r="M1371" s="8"/>
      <c r="N1371" s="8"/>
      <c r="O1371" s="8"/>
    </row>
    <row r="1372">
      <c r="A1372" s="8"/>
      <c r="B1372" s="8"/>
      <c r="C1372" s="8"/>
      <c r="D1372" s="8"/>
      <c r="L1372" s="8"/>
      <c r="M1372" s="8"/>
      <c r="N1372" s="8"/>
      <c r="O1372" s="8"/>
    </row>
    <row r="1373">
      <c r="A1373" s="8"/>
      <c r="B1373" s="8"/>
      <c r="C1373" s="8"/>
      <c r="D1373" s="8"/>
      <c r="L1373" s="8"/>
      <c r="M1373" s="8"/>
      <c r="N1373" s="8"/>
      <c r="O1373" s="8"/>
    </row>
    <row r="1374">
      <c r="A1374" s="8"/>
      <c r="B1374" s="8"/>
      <c r="C1374" s="8"/>
      <c r="D1374" s="8"/>
      <c r="L1374" s="8"/>
      <c r="M1374" s="8"/>
      <c r="N1374" s="8"/>
      <c r="O1374" s="8"/>
    </row>
    <row r="1375">
      <c r="A1375" s="8"/>
      <c r="B1375" s="8"/>
      <c r="C1375" s="8"/>
      <c r="D1375" s="8"/>
      <c r="L1375" s="8"/>
      <c r="M1375" s="8"/>
      <c r="N1375" s="8"/>
      <c r="O1375" s="8"/>
    </row>
    <row r="1376">
      <c r="A1376" s="8"/>
      <c r="B1376" s="8"/>
      <c r="C1376" s="8"/>
      <c r="D1376" s="8"/>
      <c r="L1376" s="8"/>
      <c r="M1376" s="8"/>
      <c r="N1376" s="8"/>
      <c r="O1376" s="8"/>
    </row>
    <row r="1377">
      <c r="A1377" s="8"/>
      <c r="B1377" s="8"/>
      <c r="C1377" s="8"/>
      <c r="D1377" s="8"/>
      <c r="L1377" s="8"/>
      <c r="M1377" s="8"/>
      <c r="N1377" s="8"/>
      <c r="O1377" s="8"/>
    </row>
    <row r="1378">
      <c r="A1378" s="8"/>
      <c r="B1378" s="8"/>
      <c r="C1378" s="8"/>
      <c r="D1378" s="8"/>
      <c r="L1378" s="8"/>
      <c r="M1378" s="8"/>
      <c r="N1378" s="8"/>
      <c r="O1378" s="8"/>
    </row>
    <row r="1379">
      <c r="A1379" s="8"/>
      <c r="B1379" s="8"/>
      <c r="C1379" s="8"/>
      <c r="D1379" s="8"/>
      <c r="L1379" s="8"/>
      <c r="M1379" s="8"/>
      <c r="N1379" s="8"/>
      <c r="O1379" s="8"/>
    </row>
    <row r="1380">
      <c r="A1380" s="8"/>
      <c r="B1380" s="8"/>
      <c r="C1380" s="8"/>
      <c r="D1380" s="8"/>
      <c r="L1380" s="8"/>
      <c r="M1380" s="8"/>
      <c r="N1380" s="8"/>
      <c r="O1380" s="8"/>
    </row>
    <row r="1381">
      <c r="A1381" s="8"/>
      <c r="B1381" s="8"/>
      <c r="C1381" s="8"/>
      <c r="D1381" s="8"/>
      <c r="L1381" s="8"/>
      <c r="M1381" s="8"/>
      <c r="N1381" s="8"/>
      <c r="O1381" s="8"/>
    </row>
    <row r="1382">
      <c r="A1382" s="8"/>
      <c r="B1382" s="8"/>
      <c r="C1382" s="8"/>
      <c r="D1382" s="8"/>
      <c r="L1382" s="8"/>
      <c r="M1382" s="8"/>
      <c r="N1382" s="8"/>
      <c r="O1382" s="8"/>
    </row>
    <row r="1383">
      <c r="A1383" s="8"/>
      <c r="B1383" s="8"/>
      <c r="C1383" s="8"/>
      <c r="D1383" s="8"/>
      <c r="L1383" s="8"/>
      <c r="M1383" s="8"/>
      <c r="N1383" s="8"/>
      <c r="O1383" s="8"/>
    </row>
    <row r="1384">
      <c r="A1384" s="8"/>
      <c r="B1384" s="8"/>
      <c r="C1384" s="8"/>
      <c r="D1384" s="8"/>
      <c r="L1384" s="8"/>
      <c r="M1384" s="8"/>
      <c r="N1384" s="8"/>
      <c r="O1384" s="8"/>
    </row>
    <row r="1385">
      <c r="A1385" s="8"/>
      <c r="B1385" s="8"/>
      <c r="C1385" s="8"/>
      <c r="D1385" s="8"/>
      <c r="L1385" s="8"/>
      <c r="M1385" s="8"/>
      <c r="N1385" s="8"/>
      <c r="O1385" s="8"/>
    </row>
    <row r="1386">
      <c r="A1386" s="8"/>
      <c r="B1386" s="8"/>
      <c r="C1386" s="8"/>
      <c r="D1386" s="8"/>
      <c r="L1386" s="8"/>
      <c r="M1386" s="8"/>
      <c r="N1386" s="8"/>
      <c r="O1386" s="8"/>
    </row>
    <row r="1387">
      <c r="A1387" s="8"/>
      <c r="B1387" s="8"/>
      <c r="C1387" s="8"/>
      <c r="D1387" s="8"/>
      <c r="L1387" s="8"/>
      <c r="M1387" s="8"/>
      <c r="N1387" s="8"/>
      <c r="O1387" s="8"/>
    </row>
    <row r="1388">
      <c r="A1388" s="8"/>
      <c r="B1388" s="8"/>
      <c r="C1388" s="8"/>
      <c r="D1388" s="8"/>
      <c r="L1388" s="8"/>
      <c r="M1388" s="8"/>
      <c r="N1388" s="8"/>
      <c r="O1388" s="8"/>
    </row>
    <row r="1389">
      <c r="A1389" s="8"/>
      <c r="B1389" s="8"/>
      <c r="C1389" s="8"/>
      <c r="D1389" s="8"/>
      <c r="L1389" s="8"/>
      <c r="M1389" s="8"/>
      <c r="N1389" s="8"/>
      <c r="O1389" s="8"/>
    </row>
    <row r="1390">
      <c r="A1390" s="8"/>
      <c r="B1390" s="8"/>
      <c r="C1390" s="8"/>
      <c r="D1390" s="8"/>
      <c r="L1390" s="8"/>
      <c r="M1390" s="8"/>
      <c r="N1390" s="8"/>
      <c r="O1390" s="8"/>
    </row>
    <row r="1391">
      <c r="A1391" s="8"/>
      <c r="B1391" s="8"/>
      <c r="C1391" s="8"/>
      <c r="D1391" s="8"/>
      <c r="L1391" s="8"/>
      <c r="M1391" s="8"/>
      <c r="N1391" s="8"/>
      <c r="O1391" s="8"/>
    </row>
    <row r="1392">
      <c r="A1392" s="8"/>
      <c r="B1392" s="8"/>
      <c r="C1392" s="8"/>
      <c r="D1392" s="8"/>
      <c r="L1392" s="8"/>
      <c r="M1392" s="8"/>
      <c r="N1392" s="8"/>
      <c r="O1392" s="8"/>
    </row>
    <row r="1393">
      <c r="A1393" s="8"/>
      <c r="B1393" s="8"/>
      <c r="C1393" s="8"/>
      <c r="D1393" s="8"/>
      <c r="L1393" s="8"/>
      <c r="M1393" s="8"/>
      <c r="N1393" s="8"/>
      <c r="O1393" s="8"/>
    </row>
    <row r="1394">
      <c r="A1394" s="8"/>
      <c r="B1394" s="8"/>
      <c r="C1394" s="8"/>
      <c r="D1394" s="8"/>
      <c r="L1394" s="8"/>
      <c r="M1394" s="8"/>
      <c r="N1394" s="8"/>
      <c r="O1394" s="8"/>
    </row>
    <row r="1395">
      <c r="A1395" s="8"/>
      <c r="B1395" s="8"/>
      <c r="C1395" s="8"/>
      <c r="D1395" s="8"/>
      <c r="L1395" s="8"/>
      <c r="M1395" s="8"/>
      <c r="N1395" s="8"/>
      <c r="O1395" s="8"/>
    </row>
    <row r="1396">
      <c r="A1396" s="8"/>
      <c r="B1396" s="8"/>
      <c r="C1396" s="8"/>
      <c r="D1396" s="8"/>
      <c r="L1396" s="8"/>
      <c r="M1396" s="8"/>
      <c r="N1396" s="8"/>
      <c r="O1396" s="8"/>
    </row>
    <row r="1397">
      <c r="A1397" s="8"/>
      <c r="B1397" s="8"/>
      <c r="C1397" s="8"/>
      <c r="D1397" s="8"/>
      <c r="L1397" s="8"/>
      <c r="M1397" s="8"/>
      <c r="N1397" s="8"/>
      <c r="O1397" s="8"/>
    </row>
    <row r="1398">
      <c r="A1398" s="8"/>
      <c r="B1398" s="8"/>
      <c r="C1398" s="8"/>
      <c r="D1398" s="8"/>
      <c r="L1398" s="8"/>
      <c r="M1398" s="8"/>
      <c r="N1398" s="8"/>
      <c r="O1398" s="8"/>
    </row>
    <row r="1399">
      <c r="A1399" s="8"/>
      <c r="B1399" s="8"/>
      <c r="C1399" s="8"/>
      <c r="D1399" s="8"/>
      <c r="L1399" s="8"/>
      <c r="M1399" s="8"/>
      <c r="N1399" s="8"/>
      <c r="O1399" s="8"/>
    </row>
    <row r="1400">
      <c r="A1400" s="8"/>
      <c r="B1400" s="8"/>
      <c r="C1400" s="8"/>
      <c r="D1400" s="8"/>
      <c r="L1400" s="8"/>
      <c r="M1400" s="8"/>
      <c r="N1400" s="8"/>
      <c r="O1400" s="8"/>
    </row>
    <row r="1401">
      <c r="A1401" s="8"/>
      <c r="B1401" s="8"/>
      <c r="C1401" s="8"/>
      <c r="D1401" s="8"/>
      <c r="L1401" s="8"/>
      <c r="M1401" s="8"/>
      <c r="N1401" s="8"/>
      <c r="O1401" s="8"/>
    </row>
    <row r="1402">
      <c r="A1402" s="8"/>
      <c r="B1402" s="8"/>
      <c r="C1402" s="8"/>
      <c r="D1402" s="8"/>
      <c r="L1402" s="8"/>
      <c r="M1402" s="8"/>
      <c r="N1402" s="8"/>
      <c r="O1402" s="8"/>
    </row>
    <row r="1403">
      <c r="A1403" s="8"/>
      <c r="B1403" s="8"/>
      <c r="C1403" s="8"/>
      <c r="D1403" s="8"/>
      <c r="L1403" s="8"/>
      <c r="M1403" s="8"/>
      <c r="N1403" s="8"/>
      <c r="O1403" s="8"/>
    </row>
    <row r="1404">
      <c r="A1404" s="8"/>
      <c r="B1404" s="8"/>
      <c r="C1404" s="8"/>
      <c r="D1404" s="8"/>
      <c r="L1404" s="8"/>
      <c r="M1404" s="8"/>
      <c r="N1404" s="8"/>
      <c r="O1404" s="8"/>
    </row>
    <row r="1405">
      <c r="A1405" s="8"/>
      <c r="B1405" s="8"/>
      <c r="C1405" s="8"/>
      <c r="D1405" s="8"/>
      <c r="L1405" s="8"/>
      <c r="M1405" s="8"/>
      <c r="N1405" s="8"/>
      <c r="O1405" s="8"/>
    </row>
    <row r="1406">
      <c r="A1406" s="8"/>
      <c r="B1406" s="8"/>
      <c r="C1406" s="8"/>
      <c r="D1406" s="8"/>
      <c r="L1406" s="8"/>
      <c r="M1406" s="8"/>
      <c r="N1406" s="8"/>
      <c r="O1406" s="8"/>
    </row>
    <row r="1407">
      <c r="A1407" s="8"/>
      <c r="B1407" s="8"/>
      <c r="C1407" s="8"/>
      <c r="D1407" s="8"/>
      <c r="L1407" s="8"/>
      <c r="M1407" s="8"/>
      <c r="N1407" s="8"/>
      <c r="O1407" s="8"/>
    </row>
    <row r="1408">
      <c r="A1408" s="8"/>
      <c r="B1408" s="8"/>
      <c r="C1408" s="8"/>
      <c r="D1408" s="8"/>
      <c r="L1408" s="8"/>
      <c r="M1408" s="8"/>
      <c r="N1408" s="8"/>
      <c r="O1408" s="8"/>
    </row>
    <row r="1409">
      <c r="A1409" s="8"/>
      <c r="B1409" s="8"/>
      <c r="C1409" s="8"/>
      <c r="D1409" s="8"/>
      <c r="L1409" s="8"/>
      <c r="M1409" s="8"/>
      <c r="N1409" s="8"/>
      <c r="O1409" s="8"/>
    </row>
    <row r="1410">
      <c r="A1410" s="8"/>
      <c r="B1410" s="8"/>
      <c r="C1410" s="8"/>
      <c r="D1410" s="8"/>
      <c r="L1410" s="8"/>
      <c r="M1410" s="8"/>
      <c r="N1410" s="8"/>
      <c r="O1410" s="8"/>
    </row>
    <row r="1411">
      <c r="A1411" s="8"/>
      <c r="B1411" s="8"/>
      <c r="C1411" s="8"/>
      <c r="D1411" s="8"/>
      <c r="L1411" s="8"/>
      <c r="M1411" s="8"/>
      <c r="N1411" s="8"/>
      <c r="O1411" s="8"/>
    </row>
    <row r="1412">
      <c r="A1412" s="8"/>
      <c r="B1412" s="8"/>
      <c r="C1412" s="8"/>
      <c r="D1412" s="8"/>
      <c r="L1412" s="8"/>
      <c r="M1412" s="8"/>
      <c r="N1412" s="8"/>
      <c r="O1412" s="8"/>
    </row>
    <row r="1413">
      <c r="A1413" s="8"/>
      <c r="B1413" s="8"/>
      <c r="C1413" s="8"/>
      <c r="D1413" s="8"/>
      <c r="L1413" s="8"/>
      <c r="M1413" s="8"/>
      <c r="N1413" s="8"/>
      <c r="O1413" s="8"/>
    </row>
    <row r="1414">
      <c r="A1414" s="8"/>
      <c r="B1414" s="8"/>
      <c r="C1414" s="8"/>
      <c r="D1414" s="8"/>
      <c r="L1414" s="8"/>
      <c r="M1414" s="8"/>
      <c r="N1414" s="8"/>
      <c r="O1414" s="8"/>
    </row>
    <row r="1415">
      <c r="A1415" s="8"/>
      <c r="B1415" s="8"/>
      <c r="C1415" s="8"/>
      <c r="D1415" s="8"/>
      <c r="L1415" s="8"/>
      <c r="M1415" s="8"/>
      <c r="N1415" s="8"/>
      <c r="O1415" s="8"/>
    </row>
    <row r="1416">
      <c r="A1416" s="8"/>
      <c r="B1416" s="8"/>
      <c r="C1416" s="8"/>
      <c r="D1416" s="8"/>
      <c r="L1416" s="8"/>
      <c r="M1416" s="8"/>
      <c r="N1416" s="8"/>
      <c r="O1416" s="8"/>
    </row>
    <row r="1417">
      <c r="A1417" s="8"/>
      <c r="B1417" s="8"/>
      <c r="C1417" s="8"/>
      <c r="D1417" s="8"/>
      <c r="L1417" s="8"/>
      <c r="M1417" s="8"/>
      <c r="N1417" s="8"/>
      <c r="O1417" s="8"/>
    </row>
    <row r="1418">
      <c r="A1418" s="8"/>
      <c r="B1418" s="8"/>
      <c r="C1418" s="8"/>
      <c r="D1418" s="8"/>
      <c r="L1418" s="8"/>
      <c r="M1418" s="8"/>
      <c r="N1418" s="8"/>
      <c r="O1418" s="8"/>
    </row>
    <row r="1419">
      <c r="A1419" s="8"/>
      <c r="B1419" s="8"/>
      <c r="C1419" s="8"/>
      <c r="D1419" s="8"/>
      <c r="L1419" s="8"/>
      <c r="M1419" s="8"/>
      <c r="N1419" s="8"/>
      <c r="O1419" s="8"/>
    </row>
    <row r="1420">
      <c r="A1420" s="8"/>
      <c r="B1420" s="8"/>
      <c r="C1420" s="8"/>
      <c r="D1420" s="8"/>
      <c r="L1420" s="8"/>
      <c r="M1420" s="8"/>
      <c r="N1420" s="8"/>
      <c r="O1420" s="8"/>
    </row>
    <row r="1421">
      <c r="A1421" s="8"/>
      <c r="B1421" s="8"/>
      <c r="C1421" s="8"/>
      <c r="D1421" s="8"/>
      <c r="L1421" s="8"/>
      <c r="M1421" s="8"/>
      <c r="N1421" s="8"/>
      <c r="O1421" s="8"/>
    </row>
    <row r="1422">
      <c r="A1422" s="8"/>
      <c r="B1422" s="8"/>
      <c r="C1422" s="8"/>
      <c r="D1422" s="8"/>
      <c r="L1422" s="8"/>
      <c r="M1422" s="8"/>
      <c r="N1422" s="8"/>
      <c r="O1422" s="8"/>
    </row>
    <row r="1423">
      <c r="A1423" s="8"/>
      <c r="B1423" s="8"/>
      <c r="C1423" s="8"/>
      <c r="D1423" s="8"/>
      <c r="L1423" s="8"/>
      <c r="M1423" s="8"/>
      <c r="N1423" s="8"/>
      <c r="O1423" s="8"/>
    </row>
    <row r="1424">
      <c r="A1424" s="8"/>
      <c r="B1424" s="8"/>
      <c r="C1424" s="8"/>
      <c r="D1424" s="8"/>
      <c r="L1424" s="8"/>
      <c r="M1424" s="8"/>
      <c r="N1424" s="8"/>
      <c r="O1424" s="8"/>
    </row>
    <row r="1425">
      <c r="A1425" s="8"/>
      <c r="B1425" s="8"/>
      <c r="C1425" s="8"/>
      <c r="D1425" s="8"/>
      <c r="L1425" s="8"/>
      <c r="M1425" s="8"/>
      <c r="N1425" s="8"/>
      <c r="O1425" s="8"/>
    </row>
    <row r="1426">
      <c r="A1426" s="8"/>
      <c r="B1426" s="8"/>
      <c r="C1426" s="8"/>
      <c r="D1426" s="8"/>
      <c r="L1426" s="8"/>
      <c r="M1426" s="8"/>
      <c r="N1426" s="8"/>
      <c r="O1426" s="8"/>
    </row>
    <row r="1427">
      <c r="A1427" s="8"/>
      <c r="B1427" s="8"/>
      <c r="C1427" s="8"/>
      <c r="D1427" s="8"/>
      <c r="L1427" s="8"/>
      <c r="M1427" s="8"/>
      <c r="N1427" s="8"/>
      <c r="O1427" s="8"/>
    </row>
    <row r="1428">
      <c r="A1428" s="8"/>
      <c r="B1428" s="8"/>
      <c r="C1428" s="8"/>
      <c r="D1428" s="8"/>
      <c r="L1428" s="8"/>
      <c r="M1428" s="8"/>
      <c r="N1428" s="8"/>
      <c r="O1428" s="8"/>
    </row>
    <row r="1429">
      <c r="A1429" s="8"/>
      <c r="B1429" s="8"/>
      <c r="C1429" s="8"/>
      <c r="D1429" s="8"/>
      <c r="L1429" s="8"/>
      <c r="M1429" s="8"/>
      <c r="N1429" s="8"/>
      <c r="O1429" s="8"/>
    </row>
    <row r="1430">
      <c r="A1430" s="8"/>
      <c r="B1430" s="8"/>
      <c r="C1430" s="8"/>
      <c r="D1430" s="8"/>
      <c r="L1430" s="8"/>
      <c r="M1430" s="8"/>
      <c r="N1430" s="8"/>
      <c r="O1430" s="8"/>
    </row>
    <row r="1431">
      <c r="A1431" s="8"/>
      <c r="B1431" s="8"/>
      <c r="C1431" s="8"/>
      <c r="D1431" s="8"/>
      <c r="L1431" s="8"/>
      <c r="M1431" s="8"/>
      <c r="N1431" s="8"/>
      <c r="O1431" s="8"/>
    </row>
    <row r="1432">
      <c r="A1432" s="8"/>
      <c r="B1432" s="8"/>
      <c r="C1432" s="8"/>
      <c r="D1432" s="8"/>
      <c r="L1432" s="8"/>
      <c r="M1432" s="8"/>
      <c r="N1432" s="8"/>
      <c r="O1432" s="8"/>
    </row>
    <row r="1433">
      <c r="A1433" s="8"/>
      <c r="B1433" s="8"/>
      <c r="C1433" s="8"/>
      <c r="D1433" s="8"/>
      <c r="L1433" s="8"/>
      <c r="M1433" s="8"/>
      <c r="N1433" s="8"/>
      <c r="O1433" s="8"/>
    </row>
    <row r="1434">
      <c r="A1434" s="8"/>
      <c r="B1434" s="8"/>
      <c r="C1434" s="8"/>
      <c r="D1434" s="8"/>
      <c r="L1434" s="8"/>
      <c r="M1434" s="8"/>
      <c r="N1434" s="8"/>
      <c r="O1434" s="8"/>
    </row>
    <row r="1435">
      <c r="A1435" s="8"/>
      <c r="B1435" s="8"/>
      <c r="C1435" s="8"/>
      <c r="D1435" s="8"/>
      <c r="L1435" s="8"/>
      <c r="M1435" s="8"/>
      <c r="N1435" s="8"/>
      <c r="O1435" s="8"/>
    </row>
    <row r="1436">
      <c r="A1436" s="8"/>
      <c r="B1436" s="8"/>
      <c r="C1436" s="8"/>
      <c r="D1436" s="8"/>
      <c r="L1436" s="8"/>
      <c r="M1436" s="8"/>
      <c r="N1436" s="8"/>
      <c r="O1436" s="8"/>
    </row>
    <row r="1437">
      <c r="A1437" s="8"/>
      <c r="B1437" s="8"/>
      <c r="C1437" s="8"/>
      <c r="D1437" s="8"/>
      <c r="L1437" s="8"/>
      <c r="M1437" s="8"/>
      <c r="N1437" s="8"/>
      <c r="O1437" s="8"/>
    </row>
    <row r="1438">
      <c r="A1438" s="8"/>
      <c r="B1438" s="8"/>
      <c r="C1438" s="8"/>
      <c r="D1438" s="8"/>
      <c r="L1438" s="8"/>
      <c r="M1438" s="8"/>
      <c r="N1438" s="8"/>
      <c r="O1438" s="8"/>
    </row>
    <row r="1439">
      <c r="A1439" s="8"/>
      <c r="B1439" s="8"/>
      <c r="C1439" s="8"/>
      <c r="D1439" s="8"/>
      <c r="L1439" s="8"/>
      <c r="M1439" s="8"/>
      <c r="N1439" s="8"/>
      <c r="O1439" s="8"/>
    </row>
    <row r="1440">
      <c r="A1440" s="8"/>
      <c r="B1440" s="8"/>
      <c r="C1440" s="8"/>
      <c r="D1440" s="8"/>
      <c r="L1440" s="8"/>
      <c r="M1440" s="8"/>
      <c r="N1440" s="8"/>
      <c r="O1440" s="8"/>
    </row>
    <row r="1441">
      <c r="A1441" s="8"/>
      <c r="B1441" s="8"/>
      <c r="C1441" s="8"/>
      <c r="D1441" s="8"/>
      <c r="L1441" s="8"/>
      <c r="M1441" s="8"/>
      <c r="N1441" s="8"/>
      <c r="O1441" s="8"/>
    </row>
    <row r="1442">
      <c r="A1442" s="8"/>
      <c r="B1442" s="8"/>
      <c r="C1442" s="8"/>
      <c r="D1442" s="8"/>
      <c r="L1442" s="8"/>
      <c r="M1442" s="8"/>
      <c r="N1442" s="8"/>
      <c r="O1442" s="8"/>
    </row>
    <row r="1443">
      <c r="A1443" s="8"/>
      <c r="B1443" s="8"/>
      <c r="C1443" s="8"/>
      <c r="D1443" s="8"/>
      <c r="L1443" s="8"/>
      <c r="M1443" s="8"/>
      <c r="N1443" s="8"/>
      <c r="O1443" s="8"/>
    </row>
    <row r="1444">
      <c r="A1444" s="8"/>
      <c r="B1444" s="8"/>
      <c r="C1444" s="8"/>
      <c r="D1444" s="8"/>
      <c r="L1444" s="8"/>
      <c r="M1444" s="8"/>
      <c r="N1444" s="8"/>
      <c r="O1444" s="8"/>
    </row>
    <row r="1445">
      <c r="A1445" s="8"/>
      <c r="B1445" s="8"/>
      <c r="C1445" s="8"/>
      <c r="D1445" s="8"/>
      <c r="L1445" s="8"/>
      <c r="M1445" s="8"/>
      <c r="N1445" s="8"/>
      <c r="O1445" s="8"/>
    </row>
    <row r="1446">
      <c r="A1446" s="8"/>
      <c r="B1446" s="8"/>
      <c r="C1446" s="8"/>
      <c r="D1446" s="8"/>
      <c r="L1446" s="8"/>
      <c r="M1446" s="8"/>
      <c r="N1446" s="8"/>
      <c r="O1446" s="8"/>
    </row>
    <row r="1447">
      <c r="A1447" s="8"/>
      <c r="B1447" s="8"/>
      <c r="C1447" s="8"/>
      <c r="D1447" s="8"/>
      <c r="L1447" s="8"/>
      <c r="M1447" s="8"/>
      <c r="N1447" s="8"/>
      <c r="O1447" s="8"/>
    </row>
    <row r="1448">
      <c r="A1448" s="8"/>
      <c r="B1448" s="8"/>
      <c r="C1448" s="8"/>
      <c r="D1448" s="8"/>
      <c r="L1448" s="8"/>
      <c r="M1448" s="8"/>
      <c r="N1448" s="8"/>
      <c r="O1448" s="8"/>
    </row>
    <row r="1449">
      <c r="A1449" s="8"/>
      <c r="B1449" s="8"/>
      <c r="C1449" s="8"/>
      <c r="D1449" s="8"/>
      <c r="L1449" s="8"/>
      <c r="M1449" s="8"/>
      <c r="N1449" s="8"/>
      <c r="O1449" s="8"/>
    </row>
    <row r="1450">
      <c r="A1450" s="8"/>
      <c r="B1450" s="8"/>
      <c r="C1450" s="8"/>
      <c r="D1450" s="8"/>
      <c r="L1450" s="8"/>
      <c r="M1450" s="8"/>
      <c r="N1450" s="8"/>
      <c r="O1450" s="8"/>
    </row>
    <row r="1451">
      <c r="A1451" s="8"/>
      <c r="B1451" s="8"/>
      <c r="C1451" s="8"/>
      <c r="D1451" s="8"/>
      <c r="L1451" s="8"/>
      <c r="M1451" s="8"/>
      <c r="N1451" s="8"/>
      <c r="O1451" s="8"/>
    </row>
    <row r="1452">
      <c r="A1452" s="8"/>
      <c r="B1452" s="8"/>
      <c r="C1452" s="8"/>
      <c r="D1452" s="8"/>
      <c r="L1452" s="8"/>
      <c r="M1452" s="8"/>
      <c r="N1452" s="8"/>
      <c r="O1452" s="8"/>
    </row>
    <row r="1453">
      <c r="A1453" s="8"/>
      <c r="B1453" s="8"/>
      <c r="C1453" s="8"/>
      <c r="D1453" s="8"/>
      <c r="L1453" s="8"/>
      <c r="M1453" s="8"/>
      <c r="N1453" s="8"/>
      <c r="O1453" s="8"/>
    </row>
    <row r="1454">
      <c r="A1454" s="8"/>
      <c r="B1454" s="8"/>
      <c r="C1454" s="8"/>
      <c r="D1454" s="8"/>
      <c r="L1454" s="8"/>
      <c r="M1454" s="8"/>
      <c r="N1454" s="8"/>
      <c r="O1454" s="8"/>
    </row>
    <row r="1455">
      <c r="A1455" s="8"/>
      <c r="B1455" s="8"/>
      <c r="C1455" s="8"/>
      <c r="D1455" s="8"/>
      <c r="L1455" s="8"/>
      <c r="M1455" s="8"/>
      <c r="N1455" s="8"/>
      <c r="O1455" s="8"/>
    </row>
    <row r="1456">
      <c r="A1456" s="8"/>
      <c r="B1456" s="8"/>
      <c r="C1456" s="8"/>
      <c r="D1456" s="8"/>
      <c r="L1456" s="8"/>
      <c r="M1456" s="8"/>
      <c r="N1456" s="8"/>
      <c r="O1456" s="8"/>
    </row>
    <row r="1457">
      <c r="A1457" s="8"/>
      <c r="B1457" s="8"/>
      <c r="C1457" s="8"/>
      <c r="D1457" s="8"/>
      <c r="L1457" s="8"/>
      <c r="M1457" s="8"/>
      <c r="N1457" s="8"/>
      <c r="O1457" s="8"/>
    </row>
    <row r="1458">
      <c r="A1458" s="8"/>
      <c r="B1458" s="8"/>
      <c r="C1458" s="8"/>
      <c r="D1458" s="8"/>
      <c r="L1458" s="8"/>
      <c r="M1458" s="8"/>
      <c r="N1458" s="8"/>
      <c r="O1458" s="8"/>
    </row>
    <row r="1459">
      <c r="A1459" s="8"/>
      <c r="B1459" s="8"/>
      <c r="C1459" s="8"/>
      <c r="D1459" s="8"/>
      <c r="L1459" s="8"/>
      <c r="M1459" s="8"/>
      <c r="N1459" s="8"/>
      <c r="O1459" s="8"/>
    </row>
    <row r="1460">
      <c r="A1460" s="8"/>
      <c r="B1460" s="8"/>
      <c r="C1460" s="8"/>
      <c r="D1460" s="8"/>
      <c r="L1460" s="8"/>
      <c r="M1460" s="8"/>
      <c r="N1460" s="8"/>
      <c r="O1460" s="8"/>
    </row>
    <row r="1461">
      <c r="A1461" s="8"/>
      <c r="B1461" s="8"/>
      <c r="C1461" s="8"/>
      <c r="D1461" s="8"/>
      <c r="L1461" s="8"/>
      <c r="M1461" s="8"/>
      <c r="N1461" s="8"/>
      <c r="O1461" s="8"/>
    </row>
    <row r="1462">
      <c r="A1462" s="8"/>
      <c r="B1462" s="8"/>
      <c r="C1462" s="8"/>
      <c r="D1462" s="8"/>
      <c r="L1462" s="8"/>
      <c r="M1462" s="8"/>
      <c r="N1462" s="8"/>
      <c r="O1462" s="8"/>
    </row>
    <row r="1463">
      <c r="A1463" s="8"/>
      <c r="B1463" s="8"/>
      <c r="C1463" s="8"/>
      <c r="D1463" s="8"/>
      <c r="L1463" s="8"/>
      <c r="M1463" s="8"/>
      <c r="N1463" s="8"/>
      <c r="O1463" s="8"/>
    </row>
    <row r="1464">
      <c r="A1464" s="8"/>
      <c r="B1464" s="8"/>
      <c r="C1464" s="8"/>
      <c r="D1464" s="8"/>
      <c r="L1464" s="8"/>
      <c r="M1464" s="8"/>
      <c r="N1464" s="8"/>
      <c r="O1464" s="8"/>
    </row>
    <row r="1465">
      <c r="A1465" s="8"/>
      <c r="B1465" s="8"/>
      <c r="C1465" s="8"/>
      <c r="D1465" s="8"/>
      <c r="L1465" s="8"/>
      <c r="M1465" s="8"/>
      <c r="N1465" s="8"/>
      <c r="O1465" s="8"/>
    </row>
    <row r="1466">
      <c r="A1466" s="8"/>
      <c r="B1466" s="8"/>
      <c r="C1466" s="8"/>
      <c r="D1466" s="8"/>
      <c r="L1466" s="8"/>
      <c r="M1466" s="8"/>
      <c r="N1466" s="8"/>
      <c r="O1466" s="8"/>
    </row>
    <row r="1467">
      <c r="A1467" s="8"/>
      <c r="B1467" s="8"/>
      <c r="C1467" s="8"/>
      <c r="D1467" s="8"/>
      <c r="L1467" s="8"/>
      <c r="M1467" s="8"/>
      <c r="N1467" s="8"/>
      <c r="O1467" s="8"/>
    </row>
    <row r="1468">
      <c r="A1468" s="8"/>
      <c r="B1468" s="8"/>
      <c r="C1468" s="8"/>
      <c r="D1468" s="8"/>
      <c r="L1468" s="8"/>
      <c r="M1468" s="8"/>
      <c r="N1468" s="8"/>
      <c r="O1468" s="8"/>
    </row>
    <row r="1469">
      <c r="A1469" s="8"/>
      <c r="B1469" s="8"/>
      <c r="C1469" s="8"/>
      <c r="D1469" s="8"/>
      <c r="L1469" s="8"/>
      <c r="M1469" s="8"/>
      <c r="N1469" s="8"/>
      <c r="O1469" s="8"/>
    </row>
    <row r="1470">
      <c r="A1470" s="8"/>
      <c r="B1470" s="8"/>
      <c r="C1470" s="8"/>
      <c r="D1470" s="8"/>
      <c r="L1470" s="8"/>
      <c r="M1470" s="8"/>
      <c r="N1470" s="8"/>
      <c r="O1470" s="8"/>
    </row>
    <row r="1471">
      <c r="A1471" s="8"/>
      <c r="B1471" s="8"/>
      <c r="C1471" s="8"/>
      <c r="D1471" s="8"/>
      <c r="L1471" s="8"/>
      <c r="M1471" s="8"/>
      <c r="N1471" s="8"/>
      <c r="O1471" s="8"/>
    </row>
    <row r="1472">
      <c r="A1472" s="8"/>
      <c r="B1472" s="8"/>
      <c r="C1472" s="8"/>
      <c r="D1472" s="8"/>
      <c r="L1472" s="8"/>
      <c r="M1472" s="8"/>
      <c r="N1472" s="8"/>
      <c r="O1472" s="8"/>
    </row>
    <row r="1473">
      <c r="A1473" s="8"/>
      <c r="B1473" s="8"/>
      <c r="C1473" s="8"/>
      <c r="D1473" s="8"/>
      <c r="L1473" s="8"/>
      <c r="M1473" s="8"/>
      <c r="N1473" s="8"/>
      <c r="O1473" s="8"/>
    </row>
    <row r="1474">
      <c r="A1474" s="8"/>
      <c r="B1474" s="8"/>
      <c r="C1474" s="8"/>
      <c r="D1474" s="8"/>
      <c r="L1474" s="8"/>
      <c r="M1474" s="8"/>
      <c r="N1474" s="8"/>
      <c r="O1474" s="8"/>
    </row>
    <row r="1475">
      <c r="A1475" s="8"/>
      <c r="B1475" s="8"/>
      <c r="C1475" s="8"/>
      <c r="D1475" s="8"/>
      <c r="L1475" s="8"/>
      <c r="M1475" s="8"/>
      <c r="N1475" s="8"/>
      <c r="O1475" s="8"/>
    </row>
    <row r="1476">
      <c r="A1476" s="8"/>
      <c r="B1476" s="8"/>
      <c r="C1476" s="8"/>
      <c r="D1476" s="8"/>
      <c r="L1476" s="8"/>
      <c r="M1476" s="8"/>
      <c r="N1476" s="8"/>
      <c r="O1476" s="8"/>
    </row>
    <row r="1477">
      <c r="A1477" s="8"/>
      <c r="B1477" s="8"/>
      <c r="C1477" s="8"/>
      <c r="D1477" s="8"/>
      <c r="L1477" s="8"/>
      <c r="M1477" s="8"/>
      <c r="N1477" s="8"/>
      <c r="O1477" s="8"/>
    </row>
    <row r="1478">
      <c r="A1478" s="8"/>
      <c r="B1478" s="8"/>
      <c r="C1478" s="8"/>
      <c r="D1478" s="8"/>
      <c r="L1478" s="8"/>
      <c r="M1478" s="8"/>
      <c r="N1478" s="8"/>
      <c r="O1478" s="8"/>
    </row>
    <row r="1479">
      <c r="A1479" s="8"/>
      <c r="B1479" s="8"/>
      <c r="C1479" s="8"/>
      <c r="D1479" s="8"/>
      <c r="L1479" s="8"/>
      <c r="M1479" s="8"/>
      <c r="N1479" s="8"/>
      <c r="O1479" s="8"/>
    </row>
    <row r="1480">
      <c r="A1480" s="8"/>
      <c r="B1480" s="8"/>
      <c r="C1480" s="8"/>
      <c r="D1480" s="8"/>
      <c r="L1480" s="8"/>
      <c r="M1480" s="8"/>
      <c r="N1480" s="8"/>
      <c r="O1480" s="8"/>
    </row>
    <row r="1481">
      <c r="A1481" s="8"/>
      <c r="B1481" s="8"/>
      <c r="C1481" s="8"/>
      <c r="D1481" s="8"/>
      <c r="L1481" s="8"/>
      <c r="M1481" s="8"/>
      <c r="N1481" s="8"/>
      <c r="O1481" s="8"/>
    </row>
    <row r="1482">
      <c r="A1482" s="8"/>
      <c r="B1482" s="8"/>
      <c r="C1482" s="8"/>
      <c r="D1482" s="8"/>
      <c r="L1482" s="8"/>
      <c r="M1482" s="8"/>
      <c r="N1482" s="8"/>
      <c r="O1482" s="8"/>
    </row>
    <row r="1483">
      <c r="A1483" s="8"/>
      <c r="B1483" s="8"/>
      <c r="C1483" s="8"/>
      <c r="D1483" s="8"/>
      <c r="L1483" s="8"/>
      <c r="M1483" s="8"/>
      <c r="N1483" s="8"/>
      <c r="O1483" s="8"/>
    </row>
    <row r="1484">
      <c r="A1484" s="8"/>
      <c r="B1484" s="8"/>
      <c r="C1484" s="8"/>
      <c r="D1484" s="8"/>
      <c r="L1484" s="8"/>
      <c r="M1484" s="8"/>
      <c r="N1484" s="8"/>
      <c r="O1484" s="8"/>
    </row>
    <row r="1485">
      <c r="A1485" s="8"/>
      <c r="B1485" s="8"/>
      <c r="C1485" s="8"/>
      <c r="D1485" s="8"/>
      <c r="L1485" s="8"/>
      <c r="M1485" s="8"/>
      <c r="N1485" s="8"/>
      <c r="O1485" s="8"/>
    </row>
    <row r="1486">
      <c r="A1486" s="8"/>
      <c r="B1486" s="8"/>
      <c r="C1486" s="8"/>
      <c r="D1486" s="8"/>
      <c r="L1486" s="8"/>
      <c r="M1486" s="8"/>
      <c r="N1486" s="8"/>
      <c r="O1486" s="8"/>
    </row>
    <row r="1487">
      <c r="A1487" s="8"/>
      <c r="B1487" s="8"/>
      <c r="C1487" s="8"/>
      <c r="D1487" s="8"/>
      <c r="L1487" s="8"/>
      <c r="M1487" s="8"/>
      <c r="N1487" s="8"/>
      <c r="O1487" s="8"/>
    </row>
    <row r="1488">
      <c r="A1488" s="8"/>
      <c r="B1488" s="8"/>
      <c r="C1488" s="8"/>
      <c r="D1488" s="8"/>
      <c r="L1488" s="8"/>
      <c r="M1488" s="8"/>
      <c r="N1488" s="8"/>
      <c r="O1488" s="8"/>
    </row>
    <row r="1489">
      <c r="A1489" s="8"/>
      <c r="B1489" s="8"/>
      <c r="C1489" s="8"/>
      <c r="D1489" s="8"/>
      <c r="L1489" s="8"/>
      <c r="M1489" s="8"/>
      <c r="N1489" s="8"/>
      <c r="O1489" s="8"/>
    </row>
    <row r="1490">
      <c r="A1490" s="8"/>
      <c r="B1490" s="8"/>
      <c r="C1490" s="8"/>
      <c r="D1490" s="8"/>
      <c r="L1490" s="8"/>
      <c r="M1490" s="8"/>
      <c r="N1490" s="8"/>
      <c r="O1490" s="8"/>
    </row>
    <row r="1491">
      <c r="A1491" s="8"/>
      <c r="B1491" s="8"/>
      <c r="C1491" s="8"/>
      <c r="D1491" s="8"/>
      <c r="L1491" s="8"/>
      <c r="M1491" s="8"/>
      <c r="N1491" s="8"/>
      <c r="O1491" s="8"/>
    </row>
    <row r="1492">
      <c r="A1492" s="8"/>
      <c r="B1492" s="8"/>
      <c r="C1492" s="8"/>
      <c r="D1492" s="8"/>
      <c r="L1492" s="8"/>
      <c r="M1492" s="8"/>
      <c r="N1492" s="8"/>
      <c r="O1492" s="8"/>
    </row>
    <row r="1493">
      <c r="A1493" s="8"/>
      <c r="B1493" s="8"/>
      <c r="C1493" s="8"/>
      <c r="D1493" s="8"/>
      <c r="L1493" s="8"/>
      <c r="M1493" s="8"/>
      <c r="N1493" s="8"/>
      <c r="O1493" s="8"/>
    </row>
    <row r="1494">
      <c r="A1494" s="8"/>
      <c r="B1494" s="8"/>
      <c r="C1494" s="8"/>
      <c r="D1494" s="8"/>
      <c r="L1494" s="8"/>
      <c r="M1494" s="8"/>
      <c r="N1494" s="8"/>
      <c r="O1494" s="8"/>
    </row>
    <row r="1495">
      <c r="A1495" s="8"/>
      <c r="B1495" s="8"/>
      <c r="C1495" s="8"/>
      <c r="D1495" s="8"/>
      <c r="L1495" s="8"/>
      <c r="M1495" s="8"/>
      <c r="N1495" s="8"/>
      <c r="O1495" s="8"/>
    </row>
    <row r="1496">
      <c r="A1496" s="8"/>
      <c r="B1496" s="8"/>
      <c r="C1496" s="8"/>
      <c r="D1496" s="8"/>
      <c r="L1496" s="8"/>
      <c r="M1496" s="8"/>
      <c r="N1496" s="8"/>
      <c r="O1496" s="8"/>
    </row>
    <row r="1497">
      <c r="A1497" s="8"/>
      <c r="B1497" s="8"/>
      <c r="C1497" s="8"/>
      <c r="D1497" s="8"/>
      <c r="L1497" s="8"/>
      <c r="M1497" s="8"/>
      <c r="N1497" s="8"/>
      <c r="O1497" s="8"/>
    </row>
    <row r="1498">
      <c r="A1498" s="8"/>
      <c r="B1498" s="8"/>
      <c r="C1498" s="8"/>
      <c r="D1498" s="8"/>
      <c r="L1498" s="8"/>
      <c r="M1498" s="8"/>
      <c r="N1498" s="8"/>
      <c r="O1498" s="8"/>
    </row>
    <row r="1499">
      <c r="A1499" s="8"/>
      <c r="B1499" s="8"/>
      <c r="C1499" s="8"/>
      <c r="D1499" s="8"/>
      <c r="L1499" s="8"/>
      <c r="M1499" s="8"/>
      <c r="N1499" s="8"/>
      <c r="O1499" s="8"/>
    </row>
    <row r="1500">
      <c r="A1500" s="8"/>
      <c r="B1500" s="8"/>
      <c r="C1500" s="8"/>
      <c r="D1500" s="8"/>
      <c r="L1500" s="8"/>
      <c r="M1500" s="8"/>
      <c r="N1500" s="8"/>
      <c r="O1500" s="8"/>
    </row>
    <row r="1501">
      <c r="A1501" s="8"/>
      <c r="B1501" s="8"/>
      <c r="C1501" s="8"/>
      <c r="D1501" s="8"/>
      <c r="L1501" s="8"/>
      <c r="M1501" s="8"/>
      <c r="N1501" s="8"/>
      <c r="O1501" s="8"/>
    </row>
    <row r="1502">
      <c r="A1502" s="8"/>
      <c r="B1502" s="8"/>
      <c r="C1502" s="8"/>
      <c r="D1502" s="8"/>
      <c r="L1502" s="8"/>
      <c r="M1502" s="8"/>
      <c r="N1502" s="8"/>
      <c r="O1502" s="8"/>
    </row>
    <row r="1503">
      <c r="A1503" s="8"/>
      <c r="B1503" s="8"/>
      <c r="C1503" s="8"/>
      <c r="D1503" s="8"/>
      <c r="L1503" s="8"/>
      <c r="M1503" s="8"/>
      <c r="N1503" s="8"/>
      <c r="O1503" s="8"/>
    </row>
    <row r="1504">
      <c r="A1504" s="8"/>
      <c r="B1504" s="8"/>
      <c r="C1504" s="8"/>
      <c r="D1504" s="8"/>
      <c r="L1504" s="8"/>
      <c r="M1504" s="8"/>
      <c r="N1504" s="8"/>
      <c r="O1504" s="8"/>
    </row>
    <row r="1505">
      <c r="A1505" s="8"/>
      <c r="B1505" s="8"/>
      <c r="C1505" s="8"/>
      <c r="D1505" s="8"/>
      <c r="L1505" s="8"/>
      <c r="M1505" s="8"/>
      <c r="N1505" s="8"/>
      <c r="O1505" s="8"/>
    </row>
    <row r="1506">
      <c r="A1506" s="8"/>
      <c r="B1506" s="8"/>
      <c r="C1506" s="8"/>
      <c r="D1506" s="8"/>
      <c r="L1506" s="8"/>
      <c r="M1506" s="8"/>
      <c r="N1506" s="8"/>
      <c r="O1506" s="8"/>
    </row>
    <row r="1507">
      <c r="A1507" s="8"/>
      <c r="B1507" s="8"/>
      <c r="C1507" s="8"/>
      <c r="D1507" s="8"/>
      <c r="L1507" s="8"/>
      <c r="M1507" s="8"/>
      <c r="N1507" s="8"/>
      <c r="O1507" s="8"/>
    </row>
    <row r="1508">
      <c r="A1508" s="8"/>
      <c r="B1508" s="8"/>
      <c r="C1508" s="8"/>
      <c r="D1508" s="8"/>
      <c r="L1508" s="8"/>
      <c r="M1508" s="8"/>
      <c r="N1508" s="8"/>
      <c r="O1508" s="8"/>
    </row>
    <row r="1509">
      <c r="A1509" s="8"/>
      <c r="B1509" s="8"/>
      <c r="C1509" s="8"/>
      <c r="D1509" s="8"/>
      <c r="L1509" s="8"/>
      <c r="M1509" s="8"/>
      <c r="N1509" s="8"/>
      <c r="O1509" s="8"/>
    </row>
    <row r="1510">
      <c r="A1510" s="8"/>
      <c r="B1510" s="8"/>
      <c r="C1510" s="8"/>
      <c r="D1510" s="8"/>
      <c r="L1510" s="8"/>
      <c r="M1510" s="8"/>
      <c r="N1510" s="8"/>
      <c r="O1510" s="8"/>
    </row>
    <row r="1511">
      <c r="A1511" s="8"/>
      <c r="B1511" s="8"/>
      <c r="C1511" s="8"/>
      <c r="D1511" s="8"/>
      <c r="L1511" s="8"/>
      <c r="M1511" s="8"/>
      <c r="N1511" s="8"/>
      <c r="O1511" s="8"/>
    </row>
    <row r="1512">
      <c r="A1512" s="8"/>
      <c r="B1512" s="8"/>
      <c r="C1512" s="8"/>
      <c r="D1512" s="8"/>
      <c r="L1512" s="8"/>
      <c r="M1512" s="8"/>
      <c r="N1512" s="8"/>
      <c r="O1512" s="8"/>
    </row>
    <row r="1513">
      <c r="A1513" s="8"/>
      <c r="B1513" s="8"/>
      <c r="C1513" s="8"/>
      <c r="D1513" s="8"/>
      <c r="L1513" s="8"/>
      <c r="M1513" s="8"/>
      <c r="N1513" s="8"/>
      <c r="O1513" s="8"/>
    </row>
    <row r="1514">
      <c r="A1514" s="8"/>
      <c r="B1514" s="8"/>
      <c r="C1514" s="8"/>
      <c r="D1514" s="8"/>
      <c r="L1514" s="8"/>
      <c r="M1514" s="8"/>
      <c r="N1514" s="8"/>
      <c r="O1514" s="8"/>
    </row>
    <row r="1515">
      <c r="A1515" s="8"/>
      <c r="B1515" s="8"/>
      <c r="C1515" s="8"/>
      <c r="D1515" s="8"/>
      <c r="L1515" s="8"/>
      <c r="M1515" s="8"/>
      <c r="N1515" s="8"/>
      <c r="O1515" s="8"/>
    </row>
    <row r="1516">
      <c r="A1516" s="8"/>
      <c r="B1516" s="8"/>
      <c r="C1516" s="8"/>
      <c r="D1516" s="8"/>
      <c r="L1516" s="8"/>
      <c r="M1516" s="8"/>
      <c r="N1516" s="8"/>
      <c r="O1516" s="8"/>
    </row>
    <row r="1517">
      <c r="A1517" s="8"/>
      <c r="B1517" s="8"/>
      <c r="C1517" s="8"/>
      <c r="D1517" s="8"/>
      <c r="L1517" s="8"/>
      <c r="M1517" s="8"/>
      <c r="N1517" s="8"/>
      <c r="O1517" s="8"/>
    </row>
    <row r="1518">
      <c r="A1518" s="8"/>
      <c r="B1518" s="8"/>
      <c r="C1518" s="8"/>
      <c r="D1518" s="8"/>
      <c r="L1518" s="8"/>
      <c r="M1518" s="8"/>
      <c r="N1518" s="8"/>
      <c r="O1518" s="8"/>
    </row>
    <row r="1519">
      <c r="A1519" s="8"/>
      <c r="B1519" s="8"/>
      <c r="C1519" s="8"/>
      <c r="D1519" s="8"/>
      <c r="L1519" s="8"/>
      <c r="M1519" s="8"/>
      <c r="N1519" s="8"/>
      <c r="O1519" s="8"/>
    </row>
    <row r="1520">
      <c r="A1520" s="8"/>
      <c r="B1520" s="8"/>
      <c r="C1520" s="8"/>
      <c r="D1520" s="8"/>
      <c r="L1520" s="8"/>
      <c r="M1520" s="8"/>
      <c r="N1520" s="8"/>
      <c r="O1520" s="8"/>
    </row>
    <row r="1521">
      <c r="A1521" s="8"/>
      <c r="B1521" s="8"/>
      <c r="C1521" s="8"/>
      <c r="D1521" s="8"/>
      <c r="L1521" s="8"/>
      <c r="M1521" s="8"/>
      <c r="N1521" s="8"/>
      <c r="O1521" s="8"/>
    </row>
    <row r="1522">
      <c r="A1522" s="8"/>
      <c r="B1522" s="8"/>
      <c r="C1522" s="8"/>
      <c r="D1522" s="8"/>
      <c r="L1522" s="8"/>
      <c r="M1522" s="8"/>
      <c r="N1522" s="8"/>
      <c r="O1522" s="8"/>
    </row>
    <row r="1523">
      <c r="A1523" s="8"/>
      <c r="B1523" s="8"/>
      <c r="C1523" s="8"/>
      <c r="D1523" s="8"/>
      <c r="L1523" s="8"/>
      <c r="M1523" s="8"/>
      <c r="N1523" s="8"/>
      <c r="O1523" s="8"/>
    </row>
    <row r="1524">
      <c r="A1524" s="8"/>
      <c r="B1524" s="8"/>
      <c r="C1524" s="8"/>
      <c r="D1524" s="8"/>
      <c r="L1524" s="8"/>
      <c r="M1524" s="8"/>
      <c r="N1524" s="8"/>
      <c r="O1524" s="8"/>
    </row>
    <row r="1525">
      <c r="A1525" s="8"/>
      <c r="B1525" s="8"/>
      <c r="C1525" s="8"/>
      <c r="D1525" s="8"/>
      <c r="L1525" s="8"/>
      <c r="M1525" s="8"/>
      <c r="N1525" s="8"/>
      <c r="O1525" s="8"/>
    </row>
    <row r="1526">
      <c r="A1526" s="8"/>
      <c r="B1526" s="8"/>
      <c r="C1526" s="8"/>
      <c r="D1526" s="8"/>
      <c r="L1526" s="8"/>
      <c r="M1526" s="8"/>
      <c r="N1526" s="8"/>
      <c r="O1526" s="8"/>
    </row>
    <row r="1527">
      <c r="A1527" s="8"/>
      <c r="B1527" s="8"/>
      <c r="C1527" s="8"/>
      <c r="D1527" s="8"/>
      <c r="L1527" s="8"/>
      <c r="M1527" s="8"/>
      <c r="N1527" s="8"/>
      <c r="O1527" s="8"/>
    </row>
    <row r="1528">
      <c r="A1528" s="8"/>
      <c r="B1528" s="8"/>
      <c r="C1528" s="8"/>
      <c r="D1528" s="8"/>
      <c r="L1528" s="8"/>
      <c r="M1528" s="8"/>
      <c r="N1528" s="8"/>
      <c r="O1528" s="8"/>
    </row>
    <row r="1529">
      <c r="A1529" s="8"/>
      <c r="B1529" s="8"/>
      <c r="C1529" s="8"/>
      <c r="D1529" s="8"/>
      <c r="L1529" s="8"/>
      <c r="M1529" s="8"/>
      <c r="N1529" s="8"/>
      <c r="O1529" s="8"/>
    </row>
    <row r="1530">
      <c r="A1530" s="8"/>
      <c r="B1530" s="8"/>
      <c r="C1530" s="8"/>
      <c r="D1530" s="8"/>
      <c r="L1530" s="8"/>
      <c r="M1530" s="8"/>
      <c r="N1530" s="8"/>
      <c r="O1530" s="8"/>
    </row>
    <row r="1531">
      <c r="A1531" s="8"/>
      <c r="B1531" s="8"/>
      <c r="C1531" s="8"/>
      <c r="D1531" s="8"/>
      <c r="L1531" s="8"/>
      <c r="M1531" s="8"/>
      <c r="N1531" s="8"/>
      <c r="O1531" s="8"/>
    </row>
    <row r="1532">
      <c r="A1532" s="8"/>
      <c r="B1532" s="8"/>
      <c r="C1532" s="8"/>
      <c r="D1532" s="8"/>
      <c r="L1532" s="8"/>
      <c r="M1532" s="8"/>
      <c r="N1532" s="8"/>
      <c r="O1532" s="8"/>
    </row>
    <row r="1533">
      <c r="A1533" s="8"/>
      <c r="B1533" s="8"/>
      <c r="C1533" s="8"/>
      <c r="D1533" s="8"/>
      <c r="L1533" s="8"/>
      <c r="M1533" s="8"/>
      <c r="N1533" s="8"/>
      <c r="O1533" s="8"/>
    </row>
    <row r="1534">
      <c r="A1534" s="8"/>
      <c r="B1534" s="8"/>
      <c r="C1534" s="8"/>
      <c r="D1534" s="8"/>
      <c r="L1534" s="8"/>
      <c r="M1534" s="8"/>
      <c r="N1534" s="8"/>
      <c r="O1534" s="8"/>
    </row>
    <row r="1535">
      <c r="A1535" s="8"/>
      <c r="B1535" s="8"/>
      <c r="C1535" s="8"/>
      <c r="D1535" s="8"/>
      <c r="L1535" s="8"/>
      <c r="M1535" s="8"/>
      <c r="N1535" s="8"/>
      <c r="O1535" s="8"/>
    </row>
    <row r="1536">
      <c r="A1536" s="8"/>
      <c r="B1536" s="8"/>
      <c r="C1536" s="8"/>
      <c r="D1536" s="8"/>
      <c r="L1536" s="8"/>
      <c r="M1536" s="8"/>
      <c r="N1536" s="8"/>
      <c r="O1536" s="8"/>
    </row>
    <row r="1537">
      <c r="A1537" s="8"/>
      <c r="B1537" s="8"/>
      <c r="C1537" s="8"/>
      <c r="D1537" s="8"/>
      <c r="L1537" s="8"/>
      <c r="M1537" s="8"/>
      <c r="N1537" s="8"/>
      <c r="O1537" s="8"/>
    </row>
    <row r="1538">
      <c r="A1538" s="8"/>
      <c r="B1538" s="8"/>
      <c r="C1538" s="8"/>
      <c r="D1538" s="8"/>
      <c r="L1538" s="8"/>
      <c r="M1538" s="8"/>
      <c r="N1538" s="8"/>
      <c r="O1538" s="8"/>
    </row>
    <row r="1539">
      <c r="A1539" s="8"/>
      <c r="B1539" s="8"/>
      <c r="C1539" s="8"/>
      <c r="D1539" s="8"/>
      <c r="L1539" s="8"/>
      <c r="M1539" s="8"/>
      <c r="N1539" s="8"/>
      <c r="O1539" s="8"/>
    </row>
    <row r="1540">
      <c r="A1540" s="8"/>
      <c r="B1540" s="8"/>
      <c r="C1540" s="8"/>
      <c r="D1540" s="8"/>
      <c r="L1540" s="8"/>
      <c r="M1540" s="8"/>
      <c r="N1540" s="8"/>
      <c r="O1540" s="8"/>
    </row>
    <row r="1541">
      <c r="A1541" s="8"/>
      <c r="B1541" s="8"/>
      <c r="C1541" s="8"/>
      <c r="D1541" s="8"/>
      <c r="L1541" s="8"/>
      <c r="M1541" s="8"/>
      <c r="N1541" s="8"/>
      <c r="O1541" s="8"/>
    </row>
    <row r="1542">
      <c r="A1542" s="8"/>
      <c r="B1542" s="8"/>
      <c r="C1542" s="8"/>
      <c r="D1542" s="8"/>
      <c r="L1542" s="8"/>
      <c r="M1542" s="8"/>
      <c r="N1542" s="8"/>
      <c r="O1542" s="8"/>
    </row>
    <row r="1543">
      <c r="A1543" s="8"/>
      <c r="B1543" s="8"/>
      <c r="C1543" s="8"/>
      <c r="D1543" s="8"/>
      <c r="L1543" s="8"/>
      <c r="M1543" s="8"/>
      <c r="N1543" s="8"/>
      <c r="O1543" s="8"/>
    </row>
    <row r="1544">
      <c r="A1544" s="8"/>
      <c r="B1544" s="8"/>
      <c r="C1544" s="8"/>
      <c r="D1544" s="8"/>
      <c r="L1544" s="8"/>
      <c r="M1544" s="8"/>
      <c r="N1544" s="8"/>
      <c r="O1544" s="8"/>
    </row>
    <row r="1545">
      <c r="A1545" s="8"/>
      <c r="B1545" s="8"/>
      <c r="C1545" s="8"/>
      <c r="D1545" s="8"/>
      <c r="L1545" s="8"/>
      <c r="M1545" s="8"/>
      <c r="N1545" s="8"/>
      <c r="O1545" s="8"/>
    </row>
    <row r="1546">
      <c r="A1546" s="8"/>
      <c r="B1546" s="8"/>
      <c r="C1546" s="8"/>
      <c r="D1546" s="8"/>
      <c r="L1546" s="8"/>
      <c r="M1546" s="8"/>
      <c r="N1546" s="8"/>
      <c r="O1546" s="8"/>
    </row>
    <row r="1547">
      <c r="A1547" s="8"/>
      <c r="B1547" s="8"/>
      <c r="C1547" s="8"/>
      <c r="D1547" s="8"/>
      <c r="L1547" s="8"/>
      <c r="M1547" s="8"/>
      <c r="N1547" s="8"/>
      <c r="O1547" s="8"/>
    </row>
    <row r="1548">
      <c r="A1548" s="8"/>
      <c r="B1548" s="8"/>
      <c r="C1548" s="8"/>
      <c r="D1548" s="8"/>
      <c r="L1548" s="8"/>
      <c r="M1548" s="8"/>
      <c r="N1548" s="8"/>
      <c r="O1548" s="8"/>
    </row>
    <row r="1549">
      <c r="A1549" s="8"/>
      <c r="B1549" s="8"/>
      <c r="C1549" s="8"/>
      <c r="D1549" s="8"/>
      <c r="L1549" s="8"/>
      <c r="M1549" s="8"/>
      <c r="N1549" s="8"/>
      <c r="O1549" s="8"/>
    </row>
    <row r="1550">
      <c r="A1550" s="8"/>
      <c r="B1550" s="8"/>
      <c r="C1550" s="8"/>
      <c r="D1550" s="8"/>
      <c r="L1550" s="8"/>
      <c r="M1550" s="8"/>
      <c r="N1550" s="8"/>
      <c r="O1550" s="8"/>
    </row>
    <row r="1551">
      <c r="A1551" s="8"/>
      <c r="B1551" s="8"/>
      <c r="C1551" s="8"/>
      <c r="D1551" s="8"/>
      <c r="L1551" s="8"/>
      <c r="M1551" s="8"/>
      <c r="N1551" s="8"/>
      <c r="O1551" s="8"/>
    </row>
    <row r="1552">
      <c r="A1552" s="8"/>
      <c r="B1552" s="8"/>
      <c r="C1552" s="8"/>
      <c r="D1552" s="8"/>
      <c r="L1552" s="8"/>
      <c r="M1552" s="8"/>
      <c r="N1552" s="8"/>
      <c r="O1552" s="8"/>
    </row>
    <row r="1553">
      <c r="A1553" s="8"/>
      <c r="B1553" s="8"/>
      <c r="C1553" s="8"/>
      <c r="D1553" s="8"/>
      <c r="L1553" s="8"/>
      <c r="M1553" s="8"/>
      <c r="N1553" s="8"/>
      <c r="O1553" s="8"/>
    </row>
    <row r="1554">
      <c r="A1554" s="8"/>
      <c r="B1554" s="8"/>
      <c r="C1554" s="8"/>
      <c r="D1554" s="8"/>
      <c r="L1554" s="8"/>
      <c r="M1554" s="8"/>
      <c r="N1554" s="8"/>
      <c r="O1554" s="8"/>
    </row>
    <row r="1555">
      <c r="A1555" s="8"/>
      <c r="B1555" s="8"/>
      <c r="C1555" s="8"/>
      <c r="D1555" s="8"/>
      <c r="L1555" s="8"/>
      <c r="M1555" s="8"/>
      <c r="N1555" s="8"/>
      <c r="O1555" s="8"/>
    </row>
    <row r="1556">
      <c r="A1556" s="8"/>
      <c r="B1556" s="8"/>
      <c r="C1556" s="8"/>
      <c r="D1556" s="8"/>
      <c r="L1556" s="8"/>
      <c r="M1556" s="8"/>
      <c r="N1556" s="8"/>
      <c r="O1556" s="8"/>
    </row>
    <row r="1557">
      <c r="A1557" s="8"/>
      <c r="B1557" s="8"/>
      <c r="C1557" s="8"/>
      <c r="D1557" s="8"/>
      <c r="L1557" s="8"/>
      <c r="M1557" s="8"/>
      <c r="N1557" s="8"/>
      <c r="O1557" s="8"/>
    </row>
    <row r="1558">
      <c r="A1558" s="8"/>
      <c r="B1558" s="8"/>
      <c r="C1558" s="8"/>
      <c r="D1558" s="8"/>
      <c r="L1558" s="8"/>
      <c r="M1558" s="8"/>
      <c r="N1558" s="8"/>
      <c r="O1558" s="8"/>
    </row>
    <row r="1559">
      <c r="A1559" s="8"/>
      <c r="B1559" s="8"/>
      <c r="C1559" s="8"/>
      <c r="D1559" s="8"/>
      <c r="L1559" s="8"/>
      <c r="M1559" s="8"/>
      <c r="N1559" s="8"/>
      <c r="O1559" s="8"/>
    </row>
    <row r="1560">
      <c r="A1560" s="8"/>
      <c r="B1560" s="8"/>
      <c r="C1560" s="8"/>
      <c r="D1560" s="8"/>
      <c r="L1560" s="8"/>
      <c r="M1560" s="8"/>
      <c r="N1560" s="8"/>
      <c r="O1560" s="8"/>
    </row>
    <row r="1561">
      <c r="A1561" s="8"/>
      <c r="B1561" s="8"/>
      <c r="C1561" s="8"/>
      <c r="D1561" s="8"/>
      <c r="L1561" s="8"/>
      <c r="M1561" s="8"/>
      <c r="N1561" s="8"/>
      <c r="O1561" s="8"/>
    </row>
    <row r="1562">
      <c r="A1562" s="8"/>
      <c r="B1562" s="8"/>
      <c r="C1562" s="8"/>
      <c r="D1562" s="8"/>
      <c r="L1562" s="8"/>
      <c r="M1562" s="8"/>
      <c r="N1562" s="8"/>
      <c r="O1562" s="8"/>
    </row>
    <row r="1563">
      <c r="A1563" s="8"/>
      <c r="B1563" s="8"/>
      <c r="C1563" s="8"/>
      <c r="D1563" s="8"/>
      <c r="L1563" s="8"/>
      <c r="M1563" s="8"/>
      <c r="N1563" s="8"/>
      <c r="O1563" s="8"/>
    </row>
    <row r="1564">
      <c r="A1564" s="8"/>
      <c r="B1564" s="8"/>
      <c r="C1564" s="8"/>
      <c r="D1564" s="8"/>
      <c r="L1564" s="8"/>
      <c r="M1564" s="8"/>
      <c r="N1564" s="8"/>
      <c r="O1564" s="8"/>
    </row>
    <row r="1565">
      <c r="A1565" s="8"/>
      <c r="B1565" s="8"/>
      <c r="C1565" s="8"/>
      <c r="D1565" s="8"/>
      <c r="L1565" s="8"/>
      <c r="M1565" s="8"/>
      <c r="N1565" s="8"/>
      <c r="O1565" s="8"/>
    </row>
    <row r="1566">
      <c r="A1566" s="8"/>
      <c r="B1566" s="8"/>
      <c r="C1566" s="8"/>
      <c r="D1566" s="8"/>
      <c r="L1566" s="8"/>
      <c r="M1566" s="8"/>
      <c r="N1566" s="8"/>
      <c r="O1566" s="8"/>
    </row>
    <row r="1567">
      <c r="A1567" s="8"/>
      <c r="B1567" s="8"/>
      <c r="C1567" s="8"/>
      <c r="D1567" s="8"/>
      <c r="L1567" s="8"/>
      <c r="M1567" s="8"/>
      <c r="N1567" s="8"/>
      <c r="O1567" s="8"/>
    </row>
    <row r="1568">
      <c r="A1568" s="8"/>
      <c r="B1568" s="8"/>
      <c r="C1568" s="8"/>
      <c r="D1568" s="8"/>
      <c r="L1568" s="8"/>
      <c r="M1568" s="8"/>
      <c r="N1568" s="8"/>
      <c r="O1568" s="8"/>
    </row>
    <row r="1569">
      <c r="A1569" s="8"/>
      <c r="B1569" s="8"/>
      <c r="C1569" s="8"/>
      <c r="D1569" s="8"/>
      <c r="L1569" s="8"/>
      <c r="M1569" s="8"/>
      <c r="N1569" s="8"/>
      <c r="O1569" s="8"/>
    </row>
    <row r="1570">
      <c r="A1570" s="8"/>
      <c r="B1570" s="8"/>
      <c r="C1570" s="8"/>
      <c r="D1570" s="8"/>
      <c r="L1570" s="8"/>
      <c r="M1570" s="8"/>
      <c r="N1570" s="8"/>
      <c r="O1570" s="8"/>
    </row>
    <row r="1571">
      <c r="A1571" s="8"/>
      <c r="B1571" s="8"/>
      <c r="C1571" s="8"/>
      <c r="D1571" s="8"/>
      <c r="L1571" s="8"/>
      <c r="M1571" s="8"/>
      <c r="N1571" s="8"/>
      <c r="O1571" s="8"/>
    </row>
    <row r="1572">
      <c r="A1572" s="8"/>
      <c r="B1572" s="8"/>
      <c r="C1572" s="8"/>
      <c r="D1572" s="8"/>
      <c r="L1572" s="8"/>
      <c r="M1572" s="8"/>
      <c r="N1572" s="8"/>
      <c r="O1572" s="8"/>
    </row>
    <row r="1573">
      <c r="A1573" s="8"/>
      <c r="B1573" s="8"/>
      <c r="C1573" s="8"/>
      <c r="D1573" s="8"/>
      <c r="L1573" s="8"/>
      <c r="M1573" s="8"/>
      <c r="N1573" s="8"/>
      <c r="O1573" s="8"/>
    </row>
    <row r="1574">
      <c r="A1574" s="8"/>
      <c r="B1574" s="8"/>
      <c r="C1574" s="8"/>
      <c r="D1574" s="8"/>
      <c r="L1574" s="8"/>
      <c r="M1574" s="8"/>
      <c r="N1574" s="8"/>
      <c r="O1574" s="8"/>
    </row>
    <row r="1575">
      <c r="A1575" s="8"/>
      <c r="B1575" s="8"/>
      <c r="C1575" s="8"/>
      <c r="D1575" s="8"/>
      <c r="L1575" s="8"/>
      <c r="M1575" s="8"/>
      <c r="N1575" s="8"/>
      <c r="O1575" s="8"/>
    </row>
    <row r="1576">
      <c r="A1576" s="8"/>
      <c r="B1576" s="8"/>
      <c r="C1576" s="8"/>
      <c r="D1576" s="8"/>
      <c r="L1576" s="8"/>
      <c r="M1576" s="8"/>
      <c r="N1576" s="8"/>
      <c r="O1576" s="8"/>
    </row>
    <row r="1577">
      <c r="A1577" s="8"/>
      <c r="B1577" s="8"/>
      <c r="C1577" s="8"/>
      <c r="D1577" s="8"/>
      <c r="L1577" s="8"/>
      <c r="M1577" s="8"/>
      <c r="N1577" s="8"/>
      <c r="O1577" s="8"/>
    </row>
    <row r="1578">
      <c r="A1578" s="8"/>
      <c r="B1578" s="8"/>
      <c r="C1578" s="8"/>
      <c r="D1578" s="8"/>
      <c r="L1578" s="8"/>
      <c r="M1578" s="8"/>
      <c r="N1578" s="8"/>
      <c r="O1578" s="8"/>
    </row>
    <row r="1579">
      <c r="A1579" s="8"/>
      <c r="B1579" s="8"/>
      <c r="C1579" s="8"/>
      <c r="D1579" s="8"/>
      <c r="L1579" s="8"/>
      <c r="M1579" s="8"/>
      <c r="N1579" s="8"/>
      <c r="O1579" s="8"/>
    </row>
    <row r="1580">
      <c r="A1580" s="8"/>
      <c r="B1580" s="8"/>
      <c r="C1580" s="8"/>
      <c r="D1580" s="8"/>
      <c r="L1580" s="8"/>
      <c r="M1580" s="8"/>
      <c r="N1580" s="8"/>
      <c r="O1580" s="8"/>
    </row>
    <row r="1581">
      <c r="A1581" s="8"/>
      <c r="B1581" s="8"/>
      <c r="C1581" s="8"/>
      <c r="D1581" s="8"/>
      <c r="L1581" s="8"/>
      <c r="M1581" s="8"/>
      <c r="N1581" s="8"/>
      <c r="O1581" s="8"/>
    </row>
    <row r="1582">
      <c r="A1582" s="8"/>
      <c r="B1582" s="8"/>
      <c r="C1582" s="8"/>
      <c r="D1582" s="8"/>
      <c r="L1582" s="8"/>
      <c r="M1582" s="8"/>
      <c r="N1582" s="8"/>
      <c r="O1582" s="8"/>
    </row>
    <row r="1583">
      <c r="A1583" s="8"/>
      <c r="B1583" s="8"/>
      <c r="C1583" s="8"/>
      <c r="D1583" s="8"/>
      <c r="L1583" s="8"/>
      <c r="M1583" s="8"/>
      <c r="N1583" s="8"/>
      <c r="O1583" s="8"/>
    </row>
    <row r="1584">
      <c r="A1584" s="8"/>
      <c r="B1584" s="8"/>
      <c r="C1584" s="8"/>
      <c r="D1584" s="8"/>
      <c r="L1584" s="8"/>
      <c r="M1584" s="8"/>
      <c r="N1584" s="8"/>
      <c r="O1584" s="8"/>
    </row>
    <row r="1585">
      <c r="A1585" s="8"/>
      <c r="B1585" s="8"/>
      <c r="C1585" s="8"/>
      <c r="D1585" s="8"/>
      <c r="L1585" s="8"/>
      <c r="M1585" s="8"/>
      <c r="N1585" s="8"/>
      <c r="O1585" s="8"/>
    </row>
    <row r="1586">
      <c r="A1586" s="8"/>
      <c r="B1586" s="8"/>
      <c r="C1586" s="8"/>
      <c r="D1586" s="8"/>
      <c r="L1586" s="8"/>
      <c r="M1586" s="8"/>
      <c r="N1586" s="8"/>
      <c r="O1586" s="8"/>
    </row>
    <row r="1587">
      <c r="A1587" s="8"/>
      <c r="B1587" s="8"/>
      <c r="C1587" s="8"/>
      <c r="D1587" s="8"/>
      <c r="L1587" s="8"/>
      <c r="M1587" s="8"/>
      <c r="N1587" s="8"/>
      <c r="O1587" s="8"/>
    </row>
    <row r="1588">
      <c r="A1588" s="8"/>
      <c r="B1588" s="8"/>
      <c r="C1588" s="8"/>
      <c r="D1588" s="8"/>
      <c r="L1588" s="8"/>
      <c r="M1588" s="8"/>
      <c r="N1588" s="8"/>
      <c r="O1588" s="8"/>
    </row>
    <row r="1589">
      <c r="A1589" s="8"/>
      <c r="B1589" s="8"/>
      <c r="C1589" s="8"/>
      <c r="D1589" s="8"/>
      <c r="L1589" s="8"/>
      <c r="M1589" s="8"/>
      <c r="N1589" s="8"/>
      <c r="O1589" s="8"/>
    </row>
    <row r="1590">
      <c r="A1590" s="8"/>
      <c r="B1590" s="8"/>
      <c r="C1590" s="8"/>
      <c r="D1590" s="8"/>
      <c r="L1590" s="8"/>
      <c r="M1590" s="8"/>
      <c r="N1590" s="8"/>
      <c r="O1590" s="8"/>
    </row>
    <row r="1591">
      <c r="A1591" s="8"/>
      <c r="B1591" s="8"/>
      <c r="C1591" s="8"/>
      <c r="D1591" s="8"/>
      <c r="L1591" s="8"/>
      <c r="M1591" s="8"/>
      <c r="N1591" s="8"/>
      <c r="O1591" s="8"/>
    </row>
    <row r="1592">
      <c r="A1592" s="8"/>
      <c r="B1592" s="8"/>
      <c r="C1592" s="8"/>
      <c r="D1592" s="8"/>
      <c r="L1592" s="8"/>
      <c r="M1592" s="8"/>
      <c r="N1592" s="8"/>
      <c r="O1592" s="8"/>
    </row>
    <row r="1593">
      <c r="A1593" s="8"/>
      <c r="B1593" s="8"/>
      <c r="C1593" s="8"/>
      <c r="D1593" s="8"/>
      <c r="L1593" s="8"/>
      <c r="M1593" s="8"/>
      <c r="N1593" s="8"/>
      <c r="O1593" s="8"/>
    </row>
    <row r="1594">
      <c r="A1594" s="8"/>
      <c r="B1594" s="8"/>
      <c r="C1594" s="8"/>
      <c r="D1594" s="8"/>
      <c r="L1594" s="8"/>
      <c r="M1594" s="8"/>
      <c r="N1594" s="8"/>
      <c r="O1594" s="8"/>
    </row>
    <row r="1595">
      <c r="A1595" s="8"/>
      <c r="B1595" s="8"/>
      <c r="C1595" s="8"/>
      <c r="D1595" s="8"/>
      <c r="L1595" s="8"/>
      <c r="M1595" s="8"/>
      <c r="N1595" s="8"/>
      <c r="O1595" s="8"/>
    </row>
    <row r="1596">
      <c r="A1596" s="8"/>
      <c r="B1596" s="8"/>
      <c r="C1596" s="8"/>
      <c r="D1596" s="8"/>
      <c r="L1596" s="8"/>
      <c r="M1596" s="8"/>
      <c r="N1596" s="8"/>
      <c r="O1596" s="8"/>
    </row>
    <row r="1597">
      <c r="A1597" s="8"/>
      <c r="B1597" s="8"/>
      <c r="C1597" s="8"/>
      <c r="D1597" s="8"/>
      <c r="L1597" s="8"/>
      <c r="M1597" s="8"/>
      <c r="N1597" s="8"/>
      <c r="O1597" s="8"/>
    </row>
    <row r="1598">
      <c r="A1598" s="8"/>
      <c r="B1598" s="8"/>
      <c r="C1598" s="8"/>
      <c r="D1598" s="8"/>
      <c r="L1598" s="8"/>
      <c r="M1598" s="8"/>
      <c r="N1598" s="8"/>
      <c r="O1598" s="8"/>
    </row>
    <row r="1599">
      <c r="A1599" s="8"/>
      <c r="B1599" s="8"/>
      <c r="C1599" s="8"/>
      <c r="D1599" s="8"/>
      <c r="L1599" s="8"/>
      <c r="M1599" s="8"/>
      <c r="N1599" s="8"/>
      <c r="O1599" s="8"/>
    </row>
    <row r="1600">
      <c r="A1600" s="8"/>
      <c r="B1600" s="8"/>
      <c r="C1600" s="8"/>
      <c r="D1600" s="8"/>
      <c r="L1600" s="8"/>
      <c r="M1600" s="8"/>
      <c r="N1600" s="8"/>
      <c r="O1600" s="8"/>
    </row>
    <row r="1601">
      <c r="A1601" s="8"/>
      <c r="B1601" s="8"/>
      <c r="C1601" s="8"/>
      <c r="D1601" s="8"/>
      <c r="L1601" s="8"/>
      <c r="M1601" s="8"/>
      <c r="N1601" s="8"/>
      <c r="O1601" s="8"/>
    </row>
    <row r="1602">
      <c r="A1602" s="8"/>
      <c r="B1602" s="8"/>
      <c r="C1602" s="8"/>
      <c r="D1602" s="8"/>
      <c r="L1602" s="8"/>
      <c r="M1602" s="8"/>
      <c r="N1602" s="8"/>
      <c r="O1602" s="8"/>
    </row>
    <row r="1603">
      <c r="A1603" s="8"/>
      <c r="B1603" s="8"/>
      <c r="C1603" s="8"/>
      <c r="D1603" s="8"/>
      <c r="L1603" s="8"/>
      <c r="M1603" s="8"/>
      <c r="N1603" s="8"/>
      <c r="O1603" s="8"/>
    </row>
    <row r="1604">
      <c r="A1604" s="8"/>
      <c r="B1604" s="8"/>
      <c r="C1604" s="8"/>
      <c r="D1604" s="8"/>
      <c r="L1604" s="8"/>
      <c r="M1604" s="8"/>
      <c r="N1604" s="8"/>
      <c r="O1604" s="8"/>
    </row>
    <row r="1605">
      <c r="A1605" s="8"/>
      <c r="B1605" s="8"/>
      <c r="C1605" s="8"/>
      <c r="D1605" s="8"/>
      <c r="L1605" s="8"/>
      <c r="M1605" s="8"/>
      <c r="N1605" s="8"/>
      <c r="O1605" s="8"/>
    </row>
    <row r="1606">
      <c r="A1606" s="8"/>
      <c r="B1606" s="8"/>
      <c r="C1606" s="8"/>
      <c r="D1606" s="8"/>
      <c r="L1606" s="8"/>
      <c r="M1606" s="8"/>
      <c r="N1606" s="8"/>
      <c r="O1606" s="8"/>
    </row>
    <row r="1607">
      <c r="A1607" s="8"/>
      <c r="B1607" s="8"/>
      <c r="C1607" s="8"/>
      <c r="D1607" s="8"/>
      <c r="L1607" s="8"/>
      <c r="M1607" s="8"/>
      <c r="N1607" s="8"/>
      <c r="O1607" s="8"/>
    </row>
    <row r="1608">
      <c r="A1608" s="8"/>
      <c r="B1608" s="8"/>
      <c r="C1608" s="8"/>
      <c r="D1608" s="8"/>
      <c r="L1608" s="8"/>
      <c r="M1608" s="8"/>
      <c r="N1608" s="8"/>
      <c r="O1608" s="8"/>
    </row>
    <row r="1609">
      <c r="A1609" s="8"/>
      <c r="B1609" s="8"/>
      <c r="C1609" s="8"/>
      <c r="D1609" s="8"/>
      <c r="L1609" s="8"/>
      <c r="M1609" s="8"/>
      <c r="N1609" s="8"/>
      <c r="O1609" s="8"/>
    </row>
    <row r="1610">
      <c r="A1610" s="8"/>
      <c r="B1610" s="8"/>
      <c r="C1610" s="8"/>
      <c r="D1610" s="8"/>
      <c r="L1610" s="8"/>
      <c r="M1610" s="8"/>
      <c r="N1610" s="8"/>
      <c r="O1610" s="8"/>
    </row>
    <row r="1611">
      <c r="A1611" s="8"/>
      <c r="B1611" s="8"/>
      <c r="C1611" s="8"/>
      <c r="D1611" s="8"/>
      <c r="L1611" s="8"/>
      <c r="M1611" s="8"/>
      <c r="N1611" s="8"/>
      <c r="O1611" s="8"/>
    </row>
    <row r="1612">
      <c r="A1612" s="8"/>
      <c r="B1612" s="8"/>
      <c r="C1612" s="8"/>
      <c r="D1612" s="8"/>
      <c r="L1612" s="8"/>
      <c r="M1612" s="8"/>
      <c r="N1612" s="8"/>
      <c r="O1612" s="8"/>
    </row>
    <row r="1613">
      <c r="A1613" s="8"/>
      <c r="B1613" s="8"/>
      <c r="C1613" s="8"/>
      <c r="D1613" s="8"/>
      <c r="L1613" s="8"/>
      <c r="M1613" s="8"/>
      <c r="N1613" s="8"/>
      <c r="O1613" s="8"/>
    </row>
    <row r="1614">
      <c r="A1614" s="8"/>
      <c r="B1614" s="8"/>
      <c r="C1614" s="8"/>
      <c r="D1614" s="8"/>
      <c r="L1614" s="8"/>
      <c r="M1614" s="8"/>
      <c r="N1614" s="8"/>
      <c r="O1614" s="8"/>
    </row>
    <row r="1615">
      <c r="A1615" s="8"/>
      <c r="B1615" s="8"/>
      <c r="C1615" s="8"/>
      <c r="D1615" s="8"/>
      <c r="L1615" s="8"/>
      <c r="M1615" s="8"/>
      <c r="N1615" s="8"/>
      <c r="O1615" s="8"/>
    </row>
    <row r="1616">
      <c r="A1616" s="8"/>
      <c r="B1616" s="8"/>
      <c r="C1616" s="8"/>
      <c r="D1616" s="8"/>
      <c r="L1616" s="8"/>
      <c r="M1616" s="8"/>
      <c r="N1616" s="8"/>
      <c r="O1616" s="8"/>
    </row>
    <row r="1617">
      <c r="A1617" s="8"/>
      <c r="B1617" s="8"/>
      <c r="C1617" s="8"/>
      <c r="D1617" s="8"/>
      <c r="L1617" s="8"/>
      <c r="M1617" s="8"/>
      <c r="N1617" s="8"/>
      <c r="O1617" s="8"/>
    </row>
    <row r="1618">
      <c r="A1618" s="8"/>
      <c r="B1618" s="8"/>
      <c r="C1618" s="8"/>
      <c r="D1618" s="8"/>
      <c r="L1618" s="8"/>
      <c r="M1618" s="8"/>
      <c r="N1618" s="8"/>
      <c r="O1618" s="8"/>
    </row>
    <row r="1619">
      <c r="A1619" s="8"/>
      <c r="B1619" s="8"/>
      <c r="C1619" s="8"/>
      <c r="D1619" s="8"/>
      <c r="L1619" s="8"/>
      <c r="M1619" s="8"/>
      <c r="N1619" s="8"/>
      <c r="O1619" s="8"/>
    </row>
    <row r="1620">
      <c r="A1620" s="8"/>
      <c r="B1620" s="8"/>
      <c r="C1620" s="8"/>
      <c r="D1620" s="8"/>
      <c r="L1620" s="8"/>
      <c r="M1620" s="8"/>
      <c r="N1620" s="8"/>
      <c r="O1620" s="8"/>
    </row>
    <row r="1621">
      <c r="A1621" s="8"/>
      <c r="B1621" s="8"/>
      <c r="C1621" s="8"/>
      <c r="D1621" s="8"/>
      <c r="L1621" s="8"/>
      <c r="M1621" s="8"/>
      <c r="N1621" s="8"/>
      <c r="O1621" s="8"/>
    </row>
    <row r="1622">
      <c r="A1622" s="8"/>
      <c r="B1622" s="8"/>
      <c r="C1622" s="8"/>
      <c r="D1622" s="8"/>
      <c r="L1622" s="8"/>
      <c r="M1622" s="8"/>
      <c r="N1622" s="8"/>
      <c r="O1622" s="8"/>
    </row>
    <row r="1623">
      <c r="A1623" s="8"/>
      <c r="B1623" s="8"/>
      <c r="C1623" s="8"/>
      <c r="D1623" s="8"/>
      <c r="L1623" s="8"/>
      <c r="M1623" s="8"/>
      <c r="N1623" s="8"/>
      <c r="O1623" s="8"/>
    </row>
    <row r="1624">
      <c r="A1624" s="8"/>
      <c r="B1624" s="8"/>
      <c r="C1624" s="8"/>
      <c r="D1624" s="8"/>
      <c r="L1624" s="8"/>
      <c r="M1624" s="8"/>
      <c r="N1624" s="8"/>
      <c r="O1624" s="8"/>
    </row>
    <row r="1625">
      <c r="A1625" s="8"/>
      <c r="B1625" s="8"/>
      <c r="C1625" s="8"/>
      <c r="D1625" s="8"/>
      <c r="L1625" s="8"/>
      <c r="M1625" s="8"/>
      <c r="N1625" s="8"/>
      <c r="O1625" s="8"/>
    </row>
    <row r="1626">
      <c r="A1626" s="8"/>
      <c r="B1626" s="8"/>
      <c r="C1626" s="8"/>
      <c r="D1626" s="8"/>
      <c r="L1626" s="8"/>
      <c r="M1626" s="8"/>
      <c r="N1626" s="8"/>
      <c r="O1626" s="8"/>
    </row>
    <row r="1627">
      <c r="A1627" s="8"/>
      <c r="B1627" s="8"/>
      <c r="C1627" s="8"/>
      <c r="D1627" s="8"/>
      <c r="L1627" s="8"/>
      <c r="M1627" s="8"/>
      <c r="N1627" s="8"/>
      <c r="O1627" s="8"/>
    </row>
    <row r="1628">
      <c r="A1628" s="8"/>
      <c r="B1628" s="8"/>
      <c r="C1628" s="8"/>
      <c r="D1628" s="8"/>
      <c r="L1628" s="8"/>
      <c r="M1628" s="8"/>
      <c r="N1628" s="8"/>
      <c r="O1628" s="8"/>
    </row>
    <row r="1629">
      <c r="A1629" s="8"/>
      <c r="B1629" s="8"/>
      <c r="C1629" s="8"/>
      <c r="D1629" s="8"/>
      <c r="L1629" s="8"/>
      <c r="M1629" s="8"/>
      <c r="N1629" s="8"/>
      <c r="O1629" s="8"/>
    </row>
    <row r="1630">
      <c r="A1630" s="8"/>
      <c r="B1630" s="8"/>
      <c r="C1630" s="8"/>
      <c r="D1630" s="8"/>
      <c r="L1630" s="8"/>
      <c r="M1630" s="8"/>
      <c r="N1630" s="8"/>
      <c r="O1630" s="8"/>
    </row>
    <row r="1631">
      <c r="A1631" s="8"/>
      <c r="B1631" s="8"/>
      <c r="C1631" s="8"/>
      <c r="D1631" s="8"/>
      <c r="L1631" s="8"/>
      <c r="M1631" s="8"/>
      <c r="N1631" s="8"/>
      <c r="O1631" s="8"/>
    </row>
    <row r="1632">
      <c r="A1632" s="8"/>
      <c r="B1632" s="8"/>
      <c r="C1632" s="8"/>
      <c r="D1632" s="8"/>
      <c r="L1632" s="8"/>
      <c r="M1632" s="8"/>
      <c r="N1632" s="8"/>
      <c r="O1632" s="8"/>
    </row>
    <row r="1633">
      <c r="A1633" s="8"/>
      <c r="B1633" s="8"/>
      <c r="C1633" s="8"/>
      <c r="D1633" s="8"/>
      <c r="L1633" s="8"/>
      <c r="M1633" s="8"/>
      <c r="N1633" s="8"/>
      <c r="O1633" s="8"/>
    </row>
    <row r="1634">
      <c r="A1634" s="8"/>
      <c r="B1634" s="8"/>
      <c r="C1634" s="8"/>
      <c r="D1634" s="8"/>
      <c r="L1634" s="8"/>
      <c r="M1634" s="8"/>
      <c r="N1634" s="8"/>
      <c r="O1634" s="8"/>
    </row>
    <row r="1635">
      <c r="A1635" s="8"/>
      <c r="B1635" s="8"/>
      <c r="C1635" s="8"/>
      <c r="D1635" s="8"/>
      <c r="L1635" s="8"/>
      <c r="M1635" s="8"/>
      <c r="N1635" s="8"/>
      <c r="O1635" s="8"/>
    </row>
    <row r="1636">
      <c r="A1636" s="8"/>
      <c r="B1636" s="8"/>
      <c r="C1636" s="8"/>
      <c r="D1636" s="8"/>
      <c r="L1636" s="8"/>
      <c r="M1636" s="8"/>
      <c r="N1636" s="8"/>
      <c r="O1636" s="8"/>
    </row>
    <row r="1637">
      <c r="A1637" s="8"/>
      <c r="B1637" s="8"/>
      <c r="C1637" s="8"/>
      <c r="D1637" s="8"/>
      <c r="L1637" s="8"/>
      <c r="M1637" s="8"/>
      <c r="N1637" s="8"/>
      <c r="O1637" s="8"/>
    </row>
    <row r="1638">
      <c r="A1638" s="8"/>
      <c r="B1638" s="8"/>
      <c r="C1638" s="8"/>
      <c r="D1638" s="8"/>
      <c r="L1638" s="8"/>
      <c r="M1638" s="8"/>
      <c r="N1638" s="8"/>
      <c r="O1638" s="8"/>
    </row>
    <row r="1639">
      <c r="A1639" s="8"/>
      <c r="B1639" s="8"/>
      <c r="C1639" s="8"/>
      <c r="D1639" s="8"/>
      <c r="L1639" s="8"/>
      <c r="M1639" s="8"/>
      <c r="N1639" s="8"/>
      <c r="O1639" s="8"/>
    </row>
    <row r="1640">
      <c r="A1640" s="8"/>
      <c r="B1640" s="8"/>
      <c r="C1640" s="8"/>
      <c r="D1640" s="8"/>
      <c r="L1640" s="8"/>
      <c r="M1640" s="8"/>
      <c r="N1640" s="8"/>
      <c r="O1640" s="8"/>
    </row>
    <row r="1641">
      <c r="A1641" s="8"/>
      <c r="B1641" s="8"/>
      <c r="C1641" s="8"/>
      <c r="D1641" s="8"/>
      <c r="L1641" s="8"/>
      <c r="M1641" s="8"/>
      <c r="N1641" s="8"/>
      <c r="O1641" s="8"/>
    </row>
    <row r="1642">
      <c r="A1642" s="8"/>
      <c r="B1642" s="8"/>
      <c r="C1642" s="8"/>
      <c r="D1642" s="8"/>
      <c r="L1642" s="8"/>
      <c r="M1642" s="8"/>
      <c r="N1642" s="8"/>
      <c r="O1642" s="8"/>
    </row>
    <row r="1643">
      <c r="A1643" s="8"/>
      <c r="B1643" s="8"/>
      <c r="C1643" s="8"/>
      <c r="D1643" s="8"/>
      <c r="L1643" s="8"/>
      <c r="M1643" s="8"/>
      <c r="N1643" s="8"/>
      <c r="O1643" s="8"/>
    </row>
    <row r="1644">
      <c r="A1644" s="8"/>
      <c r="B1644" s="8"/>
      <c r="C1644" s="8"/>
      <c r="D1644" s="8"/>
      <c r="L1644" s="8"/>
      <c r="M1644" s="8"/>
      <c r="N1644" s="8"/>
      <c r="O1644" s="8"/>
    </row>
    <row r="1645">
      <c r="A1645" s="8"/>
      <c r="B1645" s="8"/>
      <c r="C1645" s="8"/>
      <c r="D1645" s="8"/>
      <c r="L1645" s="8"/>
      <c r="M1645" s="8"/>
      <c r="N1645" s="8"/>
      <c r="O1645" s="8"/>
    </row>
    <row r="1646">
      <c r="A1646" s="8"/>
      <c r="B1646" s="8"/>
      <c r="C1646" s="8"/>
      <c r="D1646" s="8"/>
      <c r="L1646" s="8"/>
      <c r="M1646" s="8"/>
      <c r="N1646" s="8"/>
      <c r="O1646" s="8"/>
    </row>
    <row r="1647">
      <c r="A1647" s="8"/>
      <c r="B1647" s="8"/>
      <c r="C1647" s="8"/>
      <c r="D1647" s="8"/>
      <c r="L1647" s="8"/>
      <c r="M1647" s="8"/>
      <c r="N1647" s="8"/>
      <c r="O1647" s="8"/>
    </row>
    <row r="1648">
      <c r="A1648" s="8"/>
      <c r="B1648" s="8"/>
      <c r="C1648" s="8"/>
      <c r="D1648" s="8"/>
      <c r="L1648" s="8"/>
      <c r="M1648" s="8"/>
      <c r="N1648" s="8"/>
      <c r="O1648" s="8"/>
    </row>
    <row r="1649">
      <c r="A1649" s="8"/>
      <c r="B1649" s="8"/>
      <c r="C1649" s="8"/>
      <c r="D1649" s="8"/>
      <c r="L1649" s="8"/>
      <c r="M1649" s="8"/>
      <c r="N1649" s="8"/>
      <c r="O1649" s="8"/>
    </row>
    <row r="1650">
      <c r="A1650" s="8"/>
      <c r="B1650" s="8"/>
      <c r="C1650" s="8"/>
      <c r="D1650" s="8"/>
      <c r="L1650" s="8"/>
      <c r="M1650" s="8"/>
      <c r="N1650" s="8"/>
      <c r="O1650" s="8"/>
    </row>
    <row r="1651">
      <c r="A1651" s="8"/>
      <c r="B1651" s="8"/>
      <c r="C1651" s="8"/>
      <c r="D1651" s="8"/>
      <c r="L1651" s="8"/>
      <c r="M1651" s="8"/>
      <c r="N1651" s="8"/>
      <c r="O1651" s="8"/>
    </row>
    <row r="1652">
      <c r="A1652" s="8"/>
      <c r="B1652" s="8"/>
      <c r="C1652" s="8"/>
      <c r="D1652" s="8"/>
      <c r="L1652" s="8"/>
      <c r="M1652" s="8"/>
      <c r="N1652" s="8"/>
      <c r="O1652" s="8"/>
    </row>
    <row r="1653">
      <c r="A1653" s="8"/>
      <c r="B1653" s="8"/>
      <c r="C1653" s="8"/>
      <c r="D1653" s="8"/>
      <c r="L1653" s="8"/>
      <c r="M1653" s="8"/>
      <c r="N1653" s="8"/>
      <c r="O1653" s="8"/>
    </row>
    <row r="1654">
      <c r="A1654" s="8"/>
      <c r="B1654" s="8"/>
      <c r="C1654" s="8"/>
      <c r="D1654" s="8"/>
      <c r="L1654" s="8"/>
      <c r="M1654" s="8"/>
      <c r="N1654" s="8"/>
      <c r="O1654" s="8"/>
    </row>
    <row r="1655">
      <c r="A1655" s="8"/>
      <c r="B1655" s="8"/>
      <c r="C1655" s="8"/>
      <c r="D1655" s="8"/>
      <c r="L1655" s="8"/>
      <c r="M1655" s="8"/>
      <c r="N1655" s="8"/>
      <c r="O1655" s="8"/>
    </row>
    <row r="1656">
      <c r="A1656" s="8"/>
      <c r="B1656" s="8"/>
      <c r="C1656" s="8"/>
      <c r="D1656" s="8"/>
      <c r="L1656" s="8"/>
      <c r="M1656" s="8"/>
      <c r="N1656" s="8"/>
      <c r="O1656" s="8"/>
    </row>
    <row r="1657">
      <c r="A1657" s="8"/>
      <c r="B1657" s="8"/>
      <c r="C1657" s="8"/>
      <c r="D1657" s="8"/>
      <c r="L1657" s="8"/>
      <c r="M1657" s="8"/>
      <c r="N1657" s="8"/>
      <c r="O1657" s="8"/>
    </row>
    <row r="1658">
      <c r="A1658" s="8"/>
      <c r="B1658" s="8"/>
      <c r="C1658" s="8"/>
      <c r="D1658" s="8"/>
      <c r="L1658" s="8"/>
      <c r="M1658" s="8"/>
      <c r="N1658" s="8"/>
      <c r="O1658" s="8"/>
    </row>
    <row r="1659">
      <c r="A1659" s="8"/>
      <c r="B1659" s="8"/>
      <c r="C1659" s="8"/>
      <c r="D1659" s="8"/>
      <c r="L1659" s="8"/>
      <c r="M1659" s="8"/>
      <c r="N1659" s="8"/>
      <c r="O1659" s="8"/>
    </row>
    <row r="1660">
      <c r="A1660" s="8"/>
      <c r="B1660" s="8"/>
      <c r="C1660" s="8"/>
      <c r="D1660" s="8"/>
      <c r="L1660" s="8"/>
      <c r="M1660" s="8"/>
      <c r="N1660" s="8"/>
      <c r="O1660" s="8"/>
    </row>
    <row r="1661">
      <c r="A1661" s="8"/>
      <c r="B1661" s="8"/>
      <c r="C1661" s="8"/>
      <c r="D1661" s="8"/>
      <c r="L1661" s="8"/>
      <c r="M1661" s="8"/>
      <c r="N1661" s="8"/>
      <c r="O1661" s="8"/>
    </row>
    <row r="1662">
      <c r="A1662" s="8"/>
      <c r="B1662" s="8"/>
      <c r="C1662" s="8"/>
      <c r="D1662" s="8"/>
      <c r="L1662" s="8"/>
      <c r="M1662" s="8"/>
      <c r="N1662" s="8"/>
      <c r="O1662" s="8"/>
    </row>
    <row r="1663">
      <c r="A1663" s="8"/>
      <c r="B1663" s="8"/>
      <c r="C1663" s="8"/>
      <c r="D1663" s="8"/>
      <c r="L1663" s="8"/>
      <c r="M1663" s="8"/>
      <c r="N1663" s="8"/>
      <c r="O1663" s="8"/>
    </row>
    <row r="1664">
      <c r="A1664" s="8"/>
      <c r="B1664" s="8"/>
      <c r="C1664" s="8"/>
      <c r="D1664" s="8"/>
      <c r="L1664" s="8"/>
      <c r="M1664" s="8"/>
      <c r="N1664" s="8"/>
      <c r="O1664" s="8"/>
    </row>
    <row r="1665">
      <c r="A1665" s="8"/>
      <c r="B1665" s="8"/>
      <c r="C1665" s="8"/>
      <c r="D1665" s="8"/>
      <c r="L1665" s="8"/>
      <c r="M1665" s="8"/>
      <c r="N1665" s="8"/>
      <c r="O1665" s="8"/>
    </row>
    <row r="1666">
      <c r="A1666" s="8"/>
      <c r="B1666" s="8"/>
      <c r="C1666" s="8"/>
      <c r="D1666" s="8"/>
      <c r="L1666" s="8"/>
      <c r="M1666" s="8"/>
      <c r="N1666" s="8"/>
      <c r="O1666" s="8"/>
    </row>
    <row r="1667">
      <c r="A1667" s="8"/>
      <c r="B1667" s="8"/>
      <c r="C1667" s="8"/>
      <c r="D1667" s="8"/>
      <c r="L1667" s="8"/>
      <c r="M1667" s="8"/>
      <c r="N1667" s="8"/>
      <c r="O1667" s="8"/>
    </row>
    <row r="1668">
      <c r="A1668" s="8"/>
      <c r="B1668" s="8"/>
      <c r="C1668" s="8"/>
      <c r="D1668" s="8"/>
      <c r="L1668" s="8"/>
      <c r="M1668" s="8"/>
      <c r="N1668" s="8"/>
      <c r="O1668" s="8"/>
    </row>
    <row r="1669">
      <c r="A1669" s="8"/>
      <c r="B1669" s="8"/>
      <c r="C1669" s="8"/>
      <c r="D1669" s="8"/>
      <c r="L1669" s="8"/>
      <c r="M1669" s="8"/>
      <c r="N1669" s="8"/>
      <c r="O1669" s="8"/>
    </row>
    <row r="1670">
      <c r="A1670" s="8"/>
      <c r="B1670" s="8"/>
      <c r="C1670" s="8"/>
      <c r="D1670" s="8"/>
      <c r="L1670" s="8"/>
      <c r="M1670" s="8"/>
      <c r="N1670" s="8"/>
      <c r="O1670" s="8"/>
    </row>
    <row r="1671">
      <c r="A1671" s="8"/>
      <c r="B1671" s="8"/>
      <c r="C1671" s="8"/>
      <c r="D1671" s="8"/>
      <c r="L1671" s="8"/>
      <c r="M1671" s="8"/>
      <c r="N1671" s="8"/>
      <c r="O1671" s="8"/>
    </row>
    <row r="1672">
      <c r="A1672" s="8"/>
      <c r="B1672" s="8"/>
      <c r="C1672" s="8"/>
      <c r="D1672" s="8"/>
      <c r="L1672" s="8"/>
      <c r="M1672" s="8"/>
      <c r="N1672" s="8"/>
      <c r="O1672" s="8"/>
    </row>
    <row r="1673">
      <c r="A1673" s="8"/>
      <c r="B1673" s="8"/>
      <c r="C1673" s="8"/>
      <c r="D1673" s="8"/>
      <c r="L1673" s="8"/>
      <c r="M1673" s="8"/>
      <c r="N1673" s="8"/>
      <c r="O1673" s="8"/>
    </row>
    <row r="1674">
      <c r="A1674" s="8"/>
      <c r="B1674" s="8"/>
      <c r="C1674" s="8"/>
      <c r="D1674" s="8"/>
      <c r="L1674" s="8"/>
      <c r="M1674" s="8"/>
      <c r="N1674" s="8"/>
      <c r="O1674" s="8"/>
    </row>
    <row r="1675">
      <c r="A1675" s="8"/>
      <c r="B1675" s="8"/>
      <c r="C1675" s="8"/>
      <c r="D1675" s="8"/>
      <c r="L1675" s="8"/>
      <c r="M1675" s="8"/>
      <c r="N1675" s="8"/>
      <c r="O1675" s="8"/>
    </row>
    <row r="1676">
      <c r="A1676" s="8"/>
      <c r="B1676" s="8"/>
      <c r="C1676" s="8"/>
      <c r="D1676" s="8"/>
      <c r="L1676" s="8"/>
      <c r="M1676" s="8"/>
      <c r="N1676" s="8"/>
      <c r="O1676" s="8"/>
    </row>
    <row r="1677">
      <c r="A1677" s="8"/>
      <c r="B1677" s="8"/>
      <c r="C1677" s="8"/>
      <c r="D1677" s="8"/>
      <c r="L1677" s="8"/>
      <c r="M1677" s="8"/>
      <c r="N1677" s="8"/>
      <c r="O1677" s="8"/>
    </row>
    <row r="1678">
      <c r="A1678" s="8"/>
      <c r="B1678" s="8"/>
      <c r="C1678" s="8"/>
      <c r="D1678" s="8"/>
      <c r="L1678" s="8"/>
      <c r="M1678" s="8"/>
      <c r="N1678" s="8"/>
      <c r="O1678" s="8"/>
    </row>
    <row r="1679">
      <c r="A1679" s="8"/>
      <c r="B1679" s="8"/>
      <c r="C1679" s="8"/>
      <c r="D1679" s="8"/>
      <c r="L1679" s="8"/>
      <c r="M1679" s="8"/>
      <c r="N1679" s="8"/>
      <c r="O1679" s="8"/>
    </row>
    <row r="1680">
      <c r="A1680" s="8"/>
      <c r="B1680" s="8"/>
      <c r="C1680" s="8"/>
      <c r="D1680" s="8"/>
      <c r="L1680" s="8"/>
      <c r="M1680" s="8"/>
      <c r="N1680" s="8"/>
      <c r="O1680" s="8"/>
    </row>
    <row r="1681">
      <c r="A1681" s="8"/>
      <c r="B1681" s="8"/>
      <c r="C1681" s="8"/>
      <c r="D1681" s="8"/>
      <c r="L1681" s="8"/>
      <c r="M1681" s="8"/>
      <c r="N1681" s="8"/>
      <c r="O1681" s="8"/>
    </row>
    <row r="1682">
      <c r="A1682" s="8"/>
      <c r="B1682" s="8"/>
      <c r="C1682" s="8"/>
      <c r="D1682" s="8"/>
      <c r="L1682" s="8"/>
      <c r="M1682" s="8"/>
      <c r="N1682" s="8"/>
      <c r="O1682" s="8"/>
    </row>
    <row r="1683">
      <c r="A1683" s="8"/>
      <c r="B1683" s="8"/>
      <c r="C1683" s="8"/>
      <c r="D1683" s="8"/>
      <c r="L1683" s="8"/>
      <c r="M1683" s="8"/>
      <c r="N1683" s="8"/>
      <c r="O1683" s="8"/>
    </row>
    <row r="1684">
      <c r="A1684" s="8"/>
      <c r="B1684" s="8"/>
      <c r="C1684" s="8"/>
      <c r="D1684" s="8"/>
      <c r="L1684" s="8"/>
      <c r="M1684" s="8"/>
      <c r="N1684" s="8"/>
      <c r="O1684" s="8"/>
    </row>
    <row r="1685">
      <c r="A1685" s="8"/>
      <c r="B1685" s="8"/>
      <c r="C1685" s="8"/>
      <c r="D1685" s="8"/>
      <c r="L1685" s="8"/>
      <c r="M1685" s="8"/>
      <c r="N1685" s="8"/>
      <c r="O1685" s="8"/>
    </row>
    <row r="1686">
      <c r="A1686" s="8"/>
      <c r="B1686" s="8"/>
      <c r="C1686" s="8"/>
      <c r="D1686" s="8"/>
      <c r="L1686" s="8"/>
      <c r="M1686" s="8"/>
      <c r="N1686" s="8"/>
      <c r="O1686" s="8"/>
    </row>
    <row r="1687">
      <c r="A1687" s="8"/>
      <c r="B1687" s="8"/>
      <c r="C1687" s="8"/>
      <c r="D1687" s="8"/>
      <c r="L1687" s="8"/>
      <c r="M1687" s="8"/>
      <c r="N1687" s="8"/>
      <c r="O1687" s="8"/>
    </row>
    <row r="1688">
      <c r="A1688" s="8"/>
      <c r="B1688" s="8"/>
      <c r="C1688" s="8"/>
      <c r="D1688" s="8"/>
      <c r="L1688" s="8"/>
      <c r="M1688" s="8"/>
      <c r="N1688" s="8"/>
      <c r="O1688" s="8"/>
    </row>
    <row r="1689">
      <c r="A1689" s="8"/>
      <c r="B1689" s="8"/>
      <c r="C1689" s="8"/>
      <c r="D1689" s="8"/>
      <c r="L1689" s="8"/>
      <c r="M1689" s="8"/>
      <c r="N1689" s="8"/>
      <c r="O1689" s="8"/>
    </row>
    <row r="1690">
      <c r="A1690" s="8"/>
      <c r="B1690" s="8"/>
      <c r="C1690" s="8"/>
      <c r="D1690" s="8"/>
      <c r="L1690" s="8"/>
      <c r="M1690" s="8"/>
      <c r="N1690" s="8"/>
      <c r="O1690" s="8"/>
    </row>
    <row r="1691">
      <c r="A1691" s="8"/>
      <c r="B1691" s="8"/>
      <c r="C1691" s="8"/>
      <c r="D1691" s="8"/>
      <c r="L1691" s="8"/>
      <c r="M1691" s="8"/>
      <c r="N1691" s="8"/>
      <c r="O1691" s="8"/>
    </row>
    <row r="1692">
      <c r="A1692" s="8"/>
      <c r="B1692" s="8"/>
      <c r="C1692" s="8"/>
      <c r="D1692" s="8"/>
      <c r="L1692" s="8"/>
      <c r="M1692" s="8"/>
      <c r="N1692" s="8"/>
      <c r="O1692" s="8"/>
    </row>
    <row r="1693">
      <c r="A1693" s="8"/>
      <c r="B1693" s="8"/>
      <c r="C1693" s="8"/>
      <c r="D1693" s="8"/>
      <c r="L1693" s="8"/>
      <c r="M1693" s="8"/>
      <c r="N1693" s="8"/>
      <c r="O1693" s="8"/>
    </row>
    <row r="1694">
      <c r="A1694" s="8"/>
      <c r="B1694" s="8"/>
      <c r="C1694" s="8"/>
      <c r="D1694" s="8"/>
      <c r="L1694" s="8"/>
      <c r="M1694" s="8"/>
      <c r="N1694" s="8"/>
      <c r="O1694" s="8"/>
    </row>
    <row r="1695">
      <c r="A1695" s="8"/>
      <c r="B1695" s="8"/>
      <c r="C1695" s="8"/>
      <c r="D1695" s="8"/>
      <c r="L1695" s="8"/>
      <c r="M1695" s="8"/>
      <c r="N1695" s="8"/>
      <c r="O1695" s="8"/>
    </row>
    <row r="1696">
      <c r="A1696" s="8"/>
      <c r="B1696" s="8"/>
      <c r="C1696" s="8"/>
      <c r="D1696" s="8"/>
      <c r="L1696" s="8"/>
      <c r="M1696" s="8"/>
      <c r="N1696" s="8"/>
      <c r="O1696" s="8"/>
    </row>
    <row r="1697">
      <c r="A1697" s="8"/>
      <c r="B1697" s="8"/>
      <c r="C1697" s="8"/>
      <c r="D1697" s="8"/>
      <c r="L1697" s="8"/>
      <c r="M1697" s="8"/>
      <c r="N1697" s="8"/>
      <c r="O1697" s="8"/>
    </row>
    <row r="1698">
      <c r="A1698" s="8"/>
      <c r="B1698" s="8"/>
      <c r="C1698" s="8"/>
      <c r="D1698" s="8"/>
      <c r="L1698" s="8"/>
      <c r="M1698" s="8"/>
      <c r="N1698" s="8"/>
      <c r="O1698" s="8"/>
    </row>
    <row r="1699">
      <c r="A1699" s="8"/>
      <c r="B1699" s="8"/>
      <c r="C1699" s="8"/>
      <c r="D1699" s="8"/>
      <c r="L1699" s="8"/>
      <c r="M1699" s="8"/>
      <c r="N1699" s="8"/>
      <c r="O1699" s="8"/>
    </row>
    <row r="1700">
      <c r="A1700" s="8"/>
      <c r="B1700" s="8"/>
      <c r="C1700" s="8"/>
      <c r="D1700" s="8"/>
      <c r="L1700" s="8"/>
      <c r="M1700" s="8"/>
      <c r="N1700" s="8"/>
      <c r="O1700" s="8"/>
    </row>
    <row r="1701">
      <c r="A1701" s="8"/>
      <c r="B1701" s="8"/>
      <c r="C1701" s="8"/>
      <c r="D1701" s="8"/>
      <c r="L1701" s="8"/>
      <c r="M1701" s="8"/>
      <c r="N1701" s="8"/>
      <c r="O1701" s="8"/>
    </row>
    <row r="1702">
      <c r="A1702" s="8"/>
      <c r="B1702" s="8"/>
      <c r="C1702" s="8"/>
      <c r="D1702" s="8"/>
      <c r="L1702" s="8"/>
      <c r="M1702" s="8"/>
      <c r="N1702" s="8"/>
      <c r="O1702" s="8"/>
    </row>
    <row r="1703">
      <c r="A1703" s="8"/>
      <c r="B1703" s="8"/>
      <c r="C1703" s="8"/>
      <c r="D1703" s="8"/>
      <c r="L1703" s="8"/>
      <c r="M1703" s="8"/>
      <c r="N1703" s="8"/>
      <c r="O1703" s="8"/>
    </row>
    <row r="1704">
      <c r="A1704" s="8"/>
      <c r="B1704" s="8"/>
      <c r="C1704" s="8"/>
      <c r="D1704" s="8"/>
      <c r="L1704" s="8"/>
      <c r="M1704" s="8"/>
      <c r="N1704" s="8"/>
      <c r="O1704" s="8"/>
    </row>
    <row r="1705">
      <c r="A1705" s="8"/>
      <c r="B1705" s="8"/>
      <c r="C1705" s="8"/>
      <c r="D1705" s="8"/>
      <c r="L1705" s="8"/>
      <c r="M1705" s="8"/>
      <c r="N1705" s="8"/>
      <c r="O1705" s="8"/>
    </row>
    <row r="1706">
      <c r="A1706" s="8"/>
      <c r="B1706" s="8"/>
      <c r="C1706" s="8"/>
      <c r="D1706" s="8"/>
      <c r="L1706" s="8"/>
      <c r="M1706" s="8"/>
      <c r="N1706" s="8"/>
      <c r="O1706" s="8"/>
    </row>
    <row r="1707">
      <c r="A1707" s="8"/>
      <c r="B1707" s="8"/>
      <c r="C1707" s="8"/>
      <c r="D1707" s="8"/>
      <c r="L1707" s="8"/>
      <c r="M1707" s="8"/>
      <c r="N1707" s="8"/>
      <c r="O1707" s="8"/>
    </row>
    <row r="1708">
      <c r="A1708" s="8"/>
      <c r="B1708" s="8"/>
      <c r="C1708" s="8"/>
      <c r="D1708" s="8"/>
      <c r="L1708" s="8"/>
      <c r="M1708" s="8"/>
      <c r="N1708" s="8"/>
      <c r="O1708" s="8"/>
    </row>
    <row r="1709">
      <c r="A1709" s="8"/>
      <c r="B1709" s="8"/>
      <c r="C1709" s="8"/>
      <c r="D1709" s="8"/>
      <c r="L1709" s="8"/>
      <c r="M1709" s="8"/>
      <c r="N1709" s="8"/>
      <c r="O1709" s="8"/>
    </row>
    <row r="1710">
      <c r="A1710" s="8"/>
      <c r="B1710" s="8"/>
      <c r="C1710" s="8"/>
      <c r="D1710" s="8"/>
      <c r="L1710" s="8"/>
      <c r="M1710" s="8"/>
      <c r="N1710" s="8"/>
      <c r="O1710" s="8"/>
    </row>
    <row r="1711">
      <c r="A1711" s="8"/>
      <c r="B1711" s="8"/>
      <c r="C1711" s="8"/>
      <c r="D1711" s="8"/>
      <c r="L1711" s="8"/>
      <c r="M1711" s="8"/>
      <c r="N1711" s="8"/>
      <c r="O1711" s="8"/>
    </row>
    <row r="1712">
      <c r="A1712" s="8"/>
      <c r="B1712" s="8"/>
      <c r="C1712" s="8"/>
      <c r="D1712" s="8"/>
      <c r="L1712" s="8"/>
      <c r="M1712" s="8"/>
      <c r="N1712" s="8"/>
      <c r="O1712" s="8"/>
    </row>
    <row r="1713">
      <c r="A1713" s="8"/>
      <c r="B1713" s="8"/>
      <c r="C1713" s="8"/>
      <c r="D1713" s="8"/>
      <c r="L1713" s="8"/>
      <c r="M1713" s="8"/>
      <c r="N1713" s="8"/>
      <c r="O1713" s="8"/>
    </row>
    <row r="1714">
      <c r="A1714" s="8"/>
      <c r="B1714" s="8"/>
      <c r="C1714" s="8"/>
      <c r="D1714" s="8"/>
      <c r="L1714" s="8"/>
      <c r="M1714" s="8"/>
      <c r="N1714" s="8"/>
      <c r="O1714" s="8"/>
    </row>
    <row r="1715">
      <c r="A1715" s="8"/>
      <c r="B1715" s="8"/>
      <c r="C1715" s="8"/>
      <c r="D1715" s="8"/>
      <c r="L1715" s="8"/>
      <c r="M1715" s="8"/>
      <c r="N1715" s="8"/>
      <c r="O1715" s="8"/>
    </row>
    <row r="1716">
      <c r="A1716" s="8"/>
      <c r="B1716" s="8"/>
      <c r="C1716" s="8"/>
      <c r="D1716" s="8"/>
      <c r="L1716" s="8"/>
      <c r="M1716" s="8"/>
      <c r="N1716" s="8"/>
      <c r="O1716" s="8"/>
    </row>
    <row r="1717">
      <c r="A1717" s="8"/>
      <c r="B1717" s="8"/>
      <c r="C1717" s="8"/>
      <c r="D1717" s="8"/>
      <c r="L1717" s="8"/>
      <c r="M1717" s="8"/>
      <c r="N1717" s="8"/>
      <c r="O1717" s="8"/>
    </row>
    <row r="1718">
      <c r="A1718" s="8"/>
      <c r="B1718" s="8"/>
      <c r="C1718" s="8"/>
      <c r="D1718" s="8"/>
      <c r="L1718" s="8"/>
      <c r="M1718" s="8"/>
      <c r="N1718" s="8"/>
      <c r="O1718" s="8"/>
    </row>
    <row r="1719">
      <c r="A1719" s="8"/>
      <c r="B1719" s="8"/>
      <c r="C1719" s="8"/>
      <c r="D1719" s="8"/>
      <c r="L1719" s="8"/>
      <c r="M1719" s="8"/>
      <c r="N1719" s="8"/>
      <c r="O1719" s="8"/>
    </row>
    <row r="1720">
      <c r="A1720" s="8"/>
      <c r="B1720" s="8"/>
      <c r="C1720" s="8"/>
      <c r="D1720" s="8"/>
      <c r="L1720" s="8"/>
      <c r="M1720" s="8"/>
      <c r="N1720" s="8"/>
      <c r="O1720" s="8"/>
    </row>
    <row r="1721">
      <c r="A1721" s="8"/>
      <c r="B1721" s="8"/>
      <c r="C1721" s="8"/>
      <c r="D1721" s="8"/>
      <c r="L1721" s="8"/>
      <c r="M1721" s="8"/>
      <c r="N1721" s="8"/>
      <c r="O1721" s="8"/>
    </row>
    <row r="1722">
      <c r="A1722" s="8"/>
      <c r="B1722" s="8"/>
      <c r="C1722" s="8"/>
      <c r="D1722" s="8"/>
      <c r="L1722" s="8"/>
      <c r="M1722" s="8"/>
      <c r="N1722" s="8"/>
      <c r="O1722" s="8"/>
    </row>
    <row r="1723">
      <c r="A1723" s="8"/>
      <c r="B1723" s="8"/>
      <c r="C1723" s="8"/>
      <c r="D1723" s="8"/>
      <c r="L1723" s="8"/>
      <c r="M1723" s="8"/>
      <c r="N1723" s="8"/>
      <c r="O1723" s="8"/>
    </row>
    <row r="1724">
      <c r="A1724" s="8"/>
      <c r="B1724" s="8"/>
      <c r="C1724" s="8"/>
      <c r="D1724" s="8"/>
      <c r="L1724" s="8"/>
      <c r="M1724" s="8"/>
      <c r="N1724" s="8"/>
      <c r="O1724" s="8"/>
    </row>
    <row r="1725">
      <c r="A1725" s="8"/>
      <c r="B1725" s="8"/>
      <c r="C1725" s="8"/>
      <c r="D1725" s="8"/>
      <c r="L1725" s="8"/>
      <c r="M1725" s="8"/>
      <c r="N1725" s="8"/>
      <c r="O1725" s="8"/>
    </row>
    <row r="1726">
      <c r="A1726" s="8"/>
      <c r="B1726" s="8"/>
      <c r="C1726" s="8"/>
      <c r="D1726" s="8"/>
      <c r="L1726" s="8"/>
      <c r="M1726" s="8"/>
      <c r="N1726" s="8"/>
      <c r="O1726" s="8"/>
    </row>
    <row r="1727">
      <c r="A1727" s="8"/>
      <c r="B1727" s="8"/>
      <c r="C1727" s="8"/>
      <c r="D1727" s="8"/>
      <c r="L1727" s="8"/>
      <c r="M1727" s="8"/>
      <c r="N1727" s="8"/>
      <c r="O1727" s="8"/>
    </row>
    <row r="1728">
      <c r="A1728" s="8"/>
      <c r="B1728" s="8"/>
      <c r="C1728" s="8"/>
      <c r="D1728" s="8"/>
      <c r="L1728" s="8"/>
      <c r="M1728" s="8"/>
      <c r="N1728" s="8"/>
      <c r="O1728" s="8"/>
    </row>
    <row r="1729">
      <c r="A1729" s="8"/>
      <c r="B1729" s="8"/>
      <c r="C1729" s="8"/>
      <c r="D1729" s="8"/>
      <c r="L1729" s="8"/>
      <c r="M1729" s="8"/>
      <c r="N1729" s="8"/>
      <c r="O1729" s="8"/>
    </row>
    <row r="1730">
      <c r="A1730" s="8"/>
      <c r="B1730" s="8"/>
      <c r="C1730" s="8"/>
      <c r="D1730" s="8"/>
      <c r="L1730" s="8"/>
      <c r="M1730" s="8"/>
      <c r="N1730" s="8"/>
      <c r="O1730" s="8"/>
    </row>
    <row r="1731">
      <c r="A1731" s="8"/>
      <c r="B1731" s="8"/>
      <c r="C1731" s="8"/>
      <c r="D1731" s="8"/>
      <c r="L1731" s="8"/>
      <c r="M1731" s="8"/>
      <c r="N1731" s="8"/>
      <c r="O1731" s="8"/>
    </row>
    <row r="1732">
      <c r="A1732" s="8"/>
      <c r="B1732" s="8"/>
      <c r="C1732" s="8"/>
      <c r="D1732" s="8"/>
      <c r="L1732" s="8"/>
      <c r="M1732" s="8"/>
      <c r="N1732" s="8"/>
      <c r="O1732" s="8"/>
    </row>
    <row r="1733">
      <c r="A1733" s="8"/>
      <c r="B1733" s="8"/>
      <c r="C1733" s="8"/>
      <c r="D1733" s="8"/>
      <c r="L1733" s="8"/>
      <c r="M1733" s="8"/>
      <c r="N1733" s="8"/>
      <c r="O1733" s="8"/>
    </row>
    <row r="1734">
      <c r="A1734" s="8"/>
      <c r="B1734" s="8"/>
      <c r="C1734" s="8"/>
      <c r="D1734" s="8"/>
      <c r="L1734" s="8"/>
      <c r="M1734" s="8"/>
      <c r="N1734" s="8"/>
      <c r="O1734" s="8"/>
    </row>
    <row r="1735">
      <c r="A1735" s="8"/>
      <c r="B1735" s="8"/>
      <c r="C1735" s="8"/>
      <c r="D1735" s="8"/>
      <c r="L1735" s="8"/>
      <c r="M1735" s="8"/>
      <c r="N1735" s="8"/>
      <c r="O1735" s="8"/>
    </row>
    <row r="1736">
      <c r="A1736" s="8"/>
      <c r="B1736" s="8"/>
      <c r="C1736" s="8"/>
      <c r="D1736" s="8"/>
      <c r="L1736" s="8"/>
      <c r="M1736" s="8"/>
      <c r="N1736" s="8"/>
      <c r="O1736" s="8"/>
    </row>
    <row r="1737">
      <c r="A1737" s="8"/>
      <c r="B1737" s="8"/>
      <c r="C1737" s="8"/>
      <c r="D1737" s="8"/>
      <c r="L1737" s="8"/>
      <c r="M1737" s="8"/>
      <c r="N1737" s="8"/>
      <c r="O1737" s="8"/>
    </row>
    <row r="1738">
      <c r="A1738" s="8"/>
      <c r="B1738" s="8"/>
      <c r="C1738" s="8"/>
      <c r="D1738" s="8"/>
      <c r="L1738" s="8"/>
      <c r="M1738" s="8"/>
      <c r="N1738" s="8"/>
      <c r="O1738" s="8"/>
    </row>
    <row r="1739">
      <c r="A1739" s="8"/>
      <c r="B1739" s="8"/>
      <c r="C1739" s="8"/>
      <c r="D1739" s="8"/>
      <c r="L1739" s="8"/>
      <c r="M1739" s="8"/>
      <c r="N1739" s="8"/>
      <c r="O1739" s="8"/>
    </row>
    <row r="1740">
      <c r="A1740" s="8"/>
      <c r="B1740" s="8"/>
      <c r="C1740" s="8"/>
      <c r="D1740" s="8"/>
      <c r="L1740" s="8"/>
      <c r="M1740" s="8"/>
      <c r="N1740" s="8"/>
      <c r="O1740" s="8"/>
    </row>
    <row r="1741">
      <c r="A1741" s="8"/>
      <c r="B1741" s="8"/>
      <c r="C1741" s="8"/>
      <c r="D1741" s="8"/>
      <c r="L1741" s="8"/>
      <c r="M1741" s="8"/>
      <c r="N1741" s="8"/>
      <c r="O1741" s="8"/>
    </row>
    <row r="1742">
      <c r="A1742" s="8"/>
      <c r="B1742" s="8"/>
      <c r="C1742" s="8"/>
      <c r="D1742" s="8"/>
      <c r="L1742" s="8"/>
      <c r="M1742" s="8"/>
      <c r="N1742" s="8"/>
      <c r="O1742" s="8"/>
    </row>
    <row r="1743">
      <c r="A1743" s="8"/>
      <c r="B1743" s="8"/>
      <c r="C1743" s="8"/>
      <c r="D1743" s="8"/>
      <c r="L1743" s="8"/>
      <c r="M1743" s="8"/>
      <c r="N1743" s="8"/>
      <c r="O1743" s="8"/>
    </row>
    <row r="1744">
      <c r="A1744" s="8"/>
      <c r="B1744" s="8"/>
      <c r="C1744" s="8"/>
      <c r="D1744" s="8"/>
      <c r="L1744" s="8"/>
      <c r="M1744" s="8"/>
      <c r="N1744" s="8"/>
      <c r="O1744" s="8"/>
    </row>
    <row r="1745">
      <c r="A1745" s="8"/>
      <c r="B1745" s="8"/>
      <c r="C1745" s="8"/>
      <c r="D1745" s="8"/>
      <c r="L1745" s="8"/>
      <c r="M1745" s="8"/>
      <c r="N1745" s="8"/>
      <c r="O1745" s="8"/>
    </row>
    <row r="1746">
      <c r="A1746" s="8"/>
      <c r="B1746" s="8"/>
      <c r="C1746" s="8"/>
      <c r="D1746" s="8"/>
      <c r="L1746" s="8"/>
      <c r="M1746" s="8"/>
      <c r="N1746" s="8"/>
      <c r="O1746" s="8"/>
    </row>
    <row r="1747">
      <c r="A1747" s="8"/>
      <c r="B1747" s="8"/>
      <c r="C1747" s="8"/>
      <c r="D1747" s="8"/>
      <c r="L1747" s="8"/>
      <c r="M1747" s="8"/>
      <c r="N1747" s="8"/>
      <c r="O1747" s="8"/>
    </row>
    <row r="1748">
      <c r="A1748" s="8"/>
      <c r="B1748" s="8"/>
      <c r="C1748" s="8"/>
      <c r="D1748" s="8"/>
      <c r="L1748" s="8"/>
      <c r="M1748" s="8"/>
      <c r="N1748" s="8"/>
      <c r="O1748" s="8"/>
    </row>
    <row r="1749">
      <c r="A1749" s="8"/>
      <c r="B1749" s="8"/>
      <c r="C1749" s="8"/>
      <c r="D1749" s="8"/>
      <c r="L1749" s="8"/>
      <c r="M1749" s="8"/>
      <c r="N1749" s="8"/>
      <c r="O1749" s="8"/>
    </row>
    <row r="1750">
      <c r="A1750" s="8"/>
      <c r="B1750" s="8"/>
      <c r="C1750" s="8"/>
      <c r="D1750" s="8"/>
      <c r="L1750" s="8"/>
      <c r="M1750" s="8"/>
      <c r="N1750" s="8"/>
      <c r="O1750" s="8"/>
    </row>
    <row r="1751">
      <c r="A1751" s="8"/>
      <c r="B1751" s="8"/>
      <c r="C1751" s="8"/>
      <c r="D1751" s="8"/>
      <c r="L1751" s="8"/>
      <c r="M1751" s="8"/>
      <c r="N1751" s="8"/>
      <c r="O1751" s="8"/>
    </row>
    <row r="1752">
      <c r="A1752" s="8"/>
      <c r="B1752" s="8"/>
      <c r="C1752" s="8"/>
      <c r="D1752" s="8"/>
      <c r="L1752" s="8"/>
      <c r="M1752" s="8"/>
      <c r="N1752" s="8"/>
      <c r="O1752" s="8"/>
    </row>
    <row r="1753">
      <c r="A1753" s="8"/>
      <c r="B1753" s="8"/>
      <c r="C1753" s="8"/>
      <c r="D1753" s="8"/>
      <c r="L1753" s="8"/>
      <c r="M1753" s="8"/>
      <c r="N1753" s="8"/>
      <c r="O1753" s="8"/>
    </row>
    <row r="1754">
      <c r="A1754" s="8"/>
      <c r="B1754" s="8"/>
      <c r="C1754" s="8"/>
      <c r="D1754" s="8"/>
      <c r="L1754" s="8"/>
      <c r="M1754" s="8"/>
      <c r="N1754" s="8"/>
      <c r="O1754" s="8"/>
    </row>
    <row r="1755">
      <c r="A1755" s="8"/>
      <c r="B1755" s="8"/>
      <c r="C1755" s="8"/>
      <c r="D1755" s="8"/>
      <c r="L1755" s="8"/>
      <c r="M1755" s="8"/>
      <c r="N1755" s="8"/>
      <c r="O1755" s="8"/>
    </row>
    <row r="1756">
      <c r="A1756" s="8"/>
      <c r="B1756" s="8"/>
      <c r="C1756" s="8"/>
      <c r="D1756" s="8"/>
      <c r="L1756" s="8"/>
      <c r="M1756" s="8"/>
      <c r="N1756" s="8"/>
      <c r="O1756" s="8"/>
    </row>
    <row r="1757">
      <c r="A1757" s="8"/>
      <c r="B1757" s="8"/>
      <c r="C1757" s="8"/>
      <c r="D1757" s="8"/>
      <c r="L1757" s="8"/>
      <c r="M1757" s="8"/>
      <c r="N1757" s="8"/>
      <c r="O1757" s="8"/>
    </row>
    <row r="1758">
      <c r="A1758" s="8"/>
      <c r="B1758" s="8"/>
      <c r="C1758" s="8"/>
      <c r="D1758" s="8"/>
      <c r="L1758" s="8"/>
      <c r="M1758" s="8"/>
      <c r="N1758" s="8"/>
      <c r="O1758" s="8"/>
    </row>
    <row r="1759">
      <c r="A1759" s="8"/>
      <c r="B1759" s="8"/>
      <c r="C1759" s="8"/>
      <c r="D1759" s="8"/>
      <c r="L1759" s="8"/>
      <c r="M1759" s="8"/>
      <c r="N1759" s="8"/>
      <c r="O1759" s="8"/>
    </row>
    <row r="1760">
      <c r="A1760" s="8"/>
      <c r="B1760" s="8"/>
      <c r="C1760" s="8"/>
      <c r="D1760" s="8"/>
      <c r="L1760" s="8"/>
      <c r="M1760" s="8"/>
      <c r="N1760" s="8"/>
      <c r="O1760" s="8"/>
    </row>
    <row r="1761">
      <c r="A1761" s="8"/>
      <c r="B1761" s="8"/>
      <c r="C1761" s="8"/>
      <c r="D1761" s="8"/>
      <c r="L1761" s="8"/>
      <c r="M1761" s="8"/>
      <c r="N1761" s="8"/>
      <c r="O1761" s="8"/>
    </row>
    <row r="1762">
      <c r="A1762" s="8"/>
      <c r="B1762" s="8"/>
      <c r="C1762" s="8"/>
      <c r="D1762" s="8"/>
      <c r="L1762" s="8"/>
      <c r="M1762" s="8"/>
      <c r="N1762" s="8"/>
      <c r="O1762" s="8"/>
    </row>
    <row r="1763">
      <c r="A1763" s="8"/>
      <c r="B1763" s="8"/>
      <c r="C1763" s="8"/>
      <c r="D1763" s="8"/>
      <c r="L1763" s="8"/>
      <c r="M1763" s="8"/>
      <c r="N1763" s="8"/>
      <c r="O1763" s="8"/>
    </row>
    <row r="1764">
      <c r="A1764" s="8"/>
      <c r="B1764" s="8"/>
      <c r="C1764" s="8"/>
      <c r="D1764" s="8"/>
      <c r="L1764" s="8"/>
      <c r="M1764" s="8"/>
      <c r="N1764" s="8"/>
      <c r="O1764" s="8"/>
    </row>
    <row r="1765">
      <c r="A1765" s="8"/>
      <c r="B1765" s="8"/>
      <c r="C1765" s="8"/>
      <c r="D1765" s="8"/>
      <c r="L1765" s="8"/>
      <c r="M1765" s="8"/>
      <c r="N1765" s="8"/>
      <c r="O1765" s="8"/>
    </row>
    <row r="1766">
      <c r="A1766" s="8"/>
      <c r="B1766" s="8"/>
      <c r="C1766" s="8"/>
      <c r="D1766" s="8"/>
      <c r="L1766" s="8"/>
      <c r="M1766" s="8"/>
      <c r="N1766" s="8"/>
      <c r="O1766" s="8"/>
    </row>
    <row r="1767">
      <c r="A1767" s="8"/>
      <c r="B1767" s="8"/>
      <c r="C1767" s="8"/>
      <c r="D1767" s="8"/>
      <c r="L1767" s="8"/>
      <c r="M1767" s="8"/>
      <c r="N1767" s="8"/>
      <c r="O1767" s="8"/>
    </row>
    <row r="1768">
      <c r="A1768" s="8"/>
      <c r="B1768" s="8"/>
      <c r="C1768" s="8"/>
      <c r="D1768" s="8"/>
      <c r="L1768" s="8"/>
      <c r="M1768" s="8"/>
      <c r="N1768" s="8"/>
      <c r="O1768" s="8"/>
    </row>
    <row r="1769">
      <c r="A1769" s="8"/>
      <c r="B1769" s="8"/>
      <c r="C1769" s="8"/>
      <c r="D1769" s="8"/>
      <c r="L1769" s="8"/>
      <c r="M1769" s="8"/>
      <c r="N1769" s="8"/>
      <c r="O1769" s="8"/>
    </row>
    <row r="1770">
      <c r="A1770" s="8"/>
      <c r="B1770" s="8"/>
      <c r="C1770" s="8"/>
      <c r="D1770" s="8"/>
      <c r="L1770" s="8"/>
      <c r="M1770" s="8"/>
      <c r="N1770" s="8"/>
      <c r="O1770" s="8"/>
    </row>
    <row r="1771">
      <c r="A1771" s="8"/>
      <c r="B1771" s="8"/>
      <c r="C1771" s="8"/>
      <c r="D1771" s="8"/>
      <c r="L1771" s="8"/>
      <c r="M1771" s="8"/>
      <c r="N1771" s="8"/>
      <c r="O1771" s="8"/>
    </row>
    <row r="1772">
      <c r="A1772" s="8"/>
      <c r="B1772" s="8"/>
      <c r="C1772" s="8"/>
      <c r="D1772" s="8"/>
      <c r="L1772" s="8"/>
      <c r="M1772" s="8"/>
      <c r="N1772" s="8"/>
      <c r="O1772" s="8"/>
    </row>
    <row r="1773">
      <c r="A1773" s="8"/>
      <c r="B1773" s="8"/>
      <c r="C1773" s="8"/>
      <c r="D1773" s="8"/>
      <c r="L1773" s="8"/>
      <c r="M1773" s="8"/>
      <c r="N1773" s="8"/>
      <c r="O1773" s="8"/>
    </row>
    <row r="1774">
      <c r="A1774" s="8"/>
      <c r="B1774" s="8"/>
      <c r="C1774" s="8"/>
      <c r="D1774" s="8"/>
      <c r="L1774" s="8"/>
      <c r="M1774" s="8"/>
      <c r="N1774" s="8"/>
      <c r="O1774" s="8"/>
    </row>
    <row r="1775">
      <c r="A1775" s="8"/>
      <c r="B1775" s="8"/>
      <c r="C1775" s="8"/>
      <c r="D1775" s="8"/>
      <c r="L1775" s="8"/>
      <c r="M1775" s="8"/>
      <c r="N1775" s="8"/>
      <c r="O1775" s="8"/>
    </row>
    <row r="1776">
      <c r="A1776" s="8"/>
      <c r="B1776" s="8"/>
      <c r="C1776" s="8"/>
      <c r="D1776" s="8"/>
      <c r="L1776" s="8"/>
      <c r="M1776" s="8"/>
      <c r="N1776" s="8"/>
      <c r="O1776" s="8"/>
    </row>
    <row r="1777">
      <c r="A1777" s="8"/>
      <c r="B1777" s="8"/>
      <c r="C1777" s="8"/>
      <c r="D1777" s="8"/>
      <c r="L1777" s="8"/>
      <c r="M1777" s="8"/>
      <c r="N1777" s="8"/>
      <c r="O1777" s="8"/>
    </row>
    <row r="1778">
      <c r="A1778" s="8"/>
      <c r="B1778" s="8"/>
      <c r="C1778" s="8"/>
      <c r="D1778" s="8"/>
      <c r="L1778" s="8"/>
      <c r="M1778" s="8"/>
      <c r="N1778" s="8"/>
      <c r="O1778" s="8"/>
    </row>
    <row r="1779">
      <c r="A1779" s="8"/>
      <c r="B1779" s="8"/>
      <c r="C1779" s="8"/>
      <c r="D1779" s="8"/>
      <c r="L1779" s="8"/>
      <c r="M1779" s="8"/>
      <c r="N1779" s="8"/>
      <c r="O1779" s="8"/>
    </row>
    <row r="1780">
      <c r="A1780" s="8"/>
      <c r="B1780" s="8"/>
      <c r="C1780" s="8"/>
      <c r="D1780" s="8"/>
      <c r="L1780" s="8"/>
      <c r="M1780" s="8"/>
      <c r="N1780" s="8"/>
      <c r="O1780" s="8"/>
    </row>
    <row r="1781">
      <c r="A1781" s="8"/>
      <c r="B1781" s="8"/>
      <c r="C1781" s="8"/>
      <c r="D1781" s="8"/>
      <c r="L1781" s="8"/>
      <c r="M1781" s="8"/>
      <c r="N1781" s="8"/>
      <c r="O1781" s="8"/>
    </row>
    <row r="1782">
      <c r="A1782" s="8"/>
      <c r="B1782" s="8"/>
      <c r="C1782" s="8"/>
      <c r="D1782" s="8"/>
      <c r="L1782" s="8"/>
      <c r="M1782" s="8"/>
      <c r="N1782" s="8"/>
      <c r="O1782" s="8"/>
    </row>
    <row r="1783">
      <c r="A1783" s="8"/>
      <c r="B1783" s="8"/>
      <c r="C1783" s="8"/>
      <c r="D1783" s="8"/>
      <c r="L1783" s="8"/>
      <c r="M1783" s="8"/>
      <c r="N1783" s="8"/>
      <c r="O1783" s="8"/>
    </row>
    <row r="1784">
      <c r="A1784" s="8"/>
      <c r="B1784" s="8"/>
      <c r="C1784" s="8"/>
      <c r="D1784" s="8"/>
      <c r="L1784" s="8"/>
      <c r="M1784" s="8"/>
      <c r="N1784" s="8"/>
      <c r="O1784" s="8"/>
    </row>
    <row r="1785">
      <c r="A1785" s="8"/>
      <c r="B1785" s="8"/>
      <c r="C1785" s="8"/>
      <c r="D1785" s="8"/>
      <c r="L1785" s="8"/>
      <c r="M1785" s="8"/>
      <c r="N1785" s="8"/>
      <c r="O1785" s="8"/>
    </row>
    <row r="1786">
      <c r="A1786" s="8"/>
      <c r="B1786" s="8"/>
      <c r="C1786" s="8"/>
      <c r="D1786" s="8"/>
      <c r="L1786" s="8"/>
      <c r="M1786" s="8"/>
      <c r="N1786" s="8"/>
      <c r="O1786" s="8"/>
    </row>
    <row r="1787">
      <c r="A1787" s="8"/>
      <c r="B1787" s="8"/>
      <c r="C1787" s="8"/>
      <c r="D1787" s="8"/>
      <c r="L1787" s="8"/>
      <c r="M1787" s="8"/>
      <c r="N1787" s="8"/>
      <c r="O1787" s="8"/>
    </row>
    <row r="1788">
      <c r="A1788" s="8"/>
      <c r="B1788" s="8"/>
      <c r="C1788" s="8"/>
      <c r="D1788" s="8"/>
      <c r="L1788" s="8"/>
      <c r="M1788" s="8"/>
      <c r="N1788" s="8"/>
      <c r="O1788" s="8"/>
    </row>
    <row r="1789">
      <c r="A1789" s="8"/>
      <c r="B1789" s="8"/>
      <c r="C1789" s="8"/>
      <c r="D1789" s="8"/>
      <c r="L1789" s="8"/>
      <c r="M1789" s="8"/>
      <c r="N1789" s="8"/>
      <c r="O1789" s="8"/>
    </row>
    <row r="1790">
      <c r="A1790" s="8"/>
      <c r="B1790" s="8"/>
      <c r="C1790" s="8"/>
      <c r="D1790" s="8"/>
      <c r="L1790" s="8"/>
      <c r="M1790" s="8"/>
      <c r="N1790" s="8"/>
      <c r="O1790" s="8"/>
    </row>
    <row r="1791">
      <c r="A1791" s="8"/>
      <c r="B1791" s="8"/>
      <c r="C1791" s="8"/>
      <c r="D1791" s="8"/>
      <c r="L1791" s="8"/>
      <c r="M1791" s="8"/>
      <c r="N1791" s="8"/>
      <c r="O1791" s="8"/>
    </row>
    <row r="1792">
      <c r="A1792" s="8"/>
      <c r="B1792" s="8"/>
      <c r="C1792" s="8"/>
      <c r="D1792" s="8"/>
      <c r="L1792" s="8"/>
      <c r="M1792" s="8"/>
      <c r="N1792" s="8"/>
      <c r="O1792" s="8"/>
    </row>
    <row r="1793">
      <c r="A1793" s="8"/>
      <c r="B1793" s="8"/>
      <c r="C1793" s="8"/>
      <c r="D1793" s="8"/>
      <c r="L1793" s="8"/>
      <c r="M1793" s="8"/>
      <c r="N1793" s="8"/>
      <c r="O1793" s="8"/>
    </row>
    <row r="1794">
      <c r="A1794" s="8"/>
      <c r="B1794" s="8"/>
      <c r="C1794" s="8"/>
      <c r="D1794" s="8"/>
      <c r="L1794" s="8"/>
      <c r="M1794" s="8"/>
      <c r="N1794" s="8"/>
      <c r="O1794" s="8"/>
    </row>
    <row r="1795">
      <c r="A1795" s="8"/>
      <c r="B1795" s="8"/>
      <c r="C1795" s="8"/>
      <c r="D1795" s="8"/>
      <c r="L1795" s="8"/>
      <c r="M1795" s="8"/>
      <c r="N1795" s="8"/>
      <c r="O1795" s="8"/>
    </row>
    <row r="1796">
      <c r="A1796" s="8"/>
      <c r="B1796" s="8"/>
      <c r="C1796" s="8"/>
      <c r="D1796" s="8"/>
      <c r="L1796" s="8"/>
      <c r="M1796" s="8"/>
      <c r="N1796" s="8"/>
      <c r="O1796" s="8"/>
    </row>
    <row r="1797">
      <c r="A1797" s="8"/>
      <c r="B1797" s="8"/>
      <c r="C1797" s="8"/>
      <c r="D1797" s="8"/>
      <c r="L1797" s="8"/>
      <c r="M1797" s="8"/>
      <c r="N1797" s="8"/>
      <c r="O1797" s="8"/>
    </row>
    <row r="1798">
      <c r="A1798" s="8"/>
      <c r="B1798" s="8"/>
      <c r="C1798" s="8"/>
      <c r="D1798" s="8"/>
      <c r="L1798" s="8"/>
      <c r="M1798" s="8"/>
      <c r="N1798" s="8"/>
      <c r="O1798" s="8"/>
    </row>
    <row r="1799">
      <c r="A1799" s="8"/>
      <c r="B1799" s="8"/>
      <c r="C1799" s="8"/>
      <c r="D1799" s="8"/>
      <c r="L1799" s="8"/>
      <c r="M1799" s="8"/>
      <c r="N1799" s="8"/>
      <c r="O1799" s="8"/>
    </row>
    <row r="1800">
      <c r="A1800" s="8"/>
      <c r="B1800" s="8"/>
      <c r="C1800" s="8"/>
      <c r="D1800" s="8"/>
      <c r="L1800" s="8"/>
      <c r="M1800" s="8"/>
      <c r="N1800" s="8"/>
      <c r="O1800" s="8"/>
    </row>
    <row r="1801">
      <c r="A1801" s="8"/>
      <c r="B1801" s="8"/>
      <c r="C1801" s="8"/>
      <c r="D1801" s="8"/>
      <c r="L1801" s="8"/>
      <c r="M1801" s="8"/>
      <c r="N1801" s="8"/>
      <c r="O1801" s="8"/>
    </row>
    <row r="1802">
      <c r="A1802" s="8"/>
      <c r="B1802" s="8"/>
      <c r="C1802" s="8"/>
      <c r="D1802" s="8"/>
      <c r="L1802" s="8"/>
      <c r="M1802" s="8"/>
      <c r="N1802" s="8"/>
      <c r="O1802" s="8"/>
    </row>
    <row r="1803">
      <c r="A1803" s="8"/>
      <c r="B1803" s="8"/>
      <c r="C1803" s="8"/>
      <c r="D1803" s="8"/>
      <c r="L1803" s="8"/>
      <c r="M1803" s="8"/>
      <c r="N1803" s="8"/>
      <c r="O1803" s="8"/>
    </row>
    <row r="1804">
      <c r="A1804" s="8"/>
      <c r="B1804" s="8"/>
      <c r="C1804" s="8"/>
      <c r="D1804" s="8"/>
      <c r="L1804" s="8"/>
      <c r="M1804" s="8"/>
      <c r="N1804" s="8"/>
      <c r="O1804" s="8"/>
    </row>
    <row r="1805">
      <c r="A1805" s="8"/>
      <c r="B1805" s="8"/>
      <c r="C1805" s="8"/>
      <c r="D1805" s="8"/>
      <c r="L1805" s="8"/>
      <c r="M1805" s="8"/>
      <c r="N1805" s="8"/>
      <c r="O1805" s="8"/>
    </row>
    <row r="1806">
      <c r="A1806" s="8"/>
      <c r="B1806" s="8"/>
      <c r="C1806" s="8"/>
      <c r="D1806" s="8"/>
      <c r="L1806" s="8"/>
      <c r="M1806" s="8"/>
      <c r="N1806" s="8"/>
      <c r="O1806" s="8"/>
    </row>
    <row r="1807">
      <c r="A1807" s="8"/>
      <c r="B1807" s="8"/>
      <c r="C1807" s="8"/>
      <c r="D1807" s="8"/>
      <c r="L1807" s="8"/>
      <c r="M1807" s="8"/>
      <c r="N1807" s="8"/>
      <c r="O1807" s="8"/>
    </row>
    <row r="1808">
      <c r="A1808" s="8"/>
      <c r="B1808" s="8"/>
      <c r="C1808" s="8"/>
      <c r="D1808" s="8"/>
      <c r="L1808" s="8"/>
      <c r="M1808" s="8"/>
      <c r="N1808" s="8"/>
      <c r="O1808" s="8"/>
    </row>
    <row r="1809">
      <c r="A1809" s="8"/>
      <c r="B1809" s="8"/>
      <c r="C1809" s="8"/>
      <c r="D1809" s="8"/>
      <c r="L1809" s="8"/>
      <c r="M1809" s="8"/>
      <c r="N1809" s="8"/>
      <c r="O1809" s="8"/>
    </row>
    <row r="1810">
      <c r="A1810" s="8"/>
      <c r="B1810" s="8"/>
      <c r="C1810" s="8"/>
      <c r="D1810" s="8"/>
      <c r="L1810" s="8"/>
      <c r="M1810" s="8"/>
      <c r="N1810" s="8"/>
      <c r="O1810" s="8"/>
    </row>
    <row r="1811">
      <c r="A1811" s="8"/>
      <c r="B1811" s="8"/>
      <c r="C1811" s="8"/>
      <c r="D1811" s="8"/>
      <c r="L1811" s="8"/>
      <c r="M1811" s="8"/>
      <c r="N1811" s="8"/>
      <c r="O1811" s="8"/>
    </row>
    <row r="1812">
      <c r="A1812" s="8"/>
      <c r="B1812" s="8"/>
      <c r="C1812" s="8"/>
      <c r="D1812" s="8"/>
      <c r="L1812" s="8"/>
      <c r="M1812" s="8"/>
      <c r="N1812" s="8"/>
      <c r="O1812" s="8"/>
    </row>
    <row r="1813">
      <c r="A1813" s="8"/>
      <c r="B1813" s="8"/>
      <c r="C1813" s="8"/>
      <c r="D1813" s="8"/>
      <c r="L1813" s="8"/>
      <c r="M1813" s="8"/>
      <c r="N1813" s="8"/>
      <c r="O1813" s="8"/>
    </row>
    <row r="1814">
      <c r="A1814" s="8"/>
      <c r="B1814" s="8"/>
      <c r="C1814" s="8"/>
      <c r="D1814" s="8"/>
      <c r="L1814" s="8"/>
      <c r="M1814" s="8"/>
      <c r="N1814" s="8"/>
      <c r="O1814" s="8"/>
    </row>
    <row r="1815">
      <c r="A1815" s="8"/>
      <c r="B1815" s="8"/>
      <c r="C1815" s="8"/>
      <c r="D1815" s="8"/>
      <c r="L1815" s="8"/>
      <c r="M1815" s="8"/>
      <c r="N1815" s="8"/>
      <c r="O1815" s="8"/>
    </row>
    <row r="1816">
      <c r="A1816" s="8"/>
      <c r="B1816" s="8"/>
      <c r="C1816" s="8"/>
      <c r="D1816" s="8"/>
      <c r="L1816" s="8"/>
      <c r="M1816" s="8"/>
      <c r="N1816" s="8"/>
      <c r="O1816" s="8"/>
    </row>
    <row r="1817">
      <c r="A1817" s="8"/>
      <c r="B1817" s="8"/>
      <c r="C1817" s="8"/>
      <c r="D1817" s="8"/>
      <c r="L1817" s="8"/>
      <c r="M1817" s="8"/>
      <c r="N1817" s="8"/>
      <c r="O1817" s="8"/>
    </row>
    <row r="1818">
      <c r="A1818" s="8"/>
      <c r="B1818" s="8"/>
      <c r="C1818" s="8"/>
      <c r="D1818" s="8"/>
      <c r="L1818" s="8"/>
      <c r="M1818" s="8"/>
      <c r="N1818" s="8"/>
      <c r="O1818" s="8"/>
    </row>
    <row r="1819">
      <c r="A1819" s="8"/>
      <c r="B1819" s="8"/>
      <c r="C1819" s="8"/>
      <c r="D1819" s="8"/>
      <c r="L1819" s="8"/>
      <c r="M1819" s="8"/>
      <c r="N1819" s="8"/>
      <c r="O1819" s="8"/>
    </row>
    <row r="1820">
      <c r="A1820" s="8"/>
      <c r="B1820" s="8"/>
      <c r="C1820" s="8"/>
      <c r="D1820" s="8"/>
      <c r="L1820" s="8"/>
      <c r="M1820" s="8"/>
      <c r="N1820" s="8"/>
      <c r="O1820" s="8"/>
    </row>
    <row r="1821">
      <c r="A1821" s="8"/>
      <c r="B1821" s="8"/>
      <c r="C1821" s="8"/>
      <c r="D1821" s="8"/>
      <c r="L1821" s="8"/>
      <c r="M1821" s="8"/>
      <c r="N1821" s="8"/>
      <c r="O1821" s="8"/>
    </row>
    <row r="1822">
      <c r="A1822" s="8"/>
      <c r="B1822" s="8"/>
      <c r="C1822" s="8"/>
      <c r="D1822" s="8"/>
      <c r="L1822" s="8"/>
      <c r="M1822" s="8"/>
      <c r="N1822" s="8"/>
      <c r="O1822" s="8"/>
    </row>
    <row r="1823">
      <c r="A1823" s="8"/>
      <c r="B1823" s="8"/>
      <c r="C1823" s="8"/>
      <c r="D1823" s="8"/>
      <c r="L1823" s="8"/>
      <c r="M1823" s="8"/>
      <c r="N1823" s="8"/>
      <c r="O1823" s="8"/>
    </row>
    <row r="1824">
      <c r="A1824" s="8"/>
      <c r="B1824" s="8"/>
      <c r="C1824" s="8"/>
      <c r="D1824" s="8"/>
      <c r="L1824" s="8"/>
      <c r="M1824" s="8"/>
      <c r="N1824" s="8"/>
      <c r="O1824" s="8"/>
    </row>
    <row r="1825">
      <c r="A1825" s="8"/>
      <c r="B1825" s="8"/>
      <c r="C1825" s="8"/>
      <c r="D1825" s="8"/>
      <c r="L1825" s="8"/>
      <c r="M1825" s="8"/>
      <c r="N1825" s="8"/>
      <c r="O1825" s="8"/>
    </row>
    <row r="1826">
      <c r="A1826" s="8"/>
      <c r="B1826" s="8"/>
      <c r="C1826" s="8"/>
      <c r="D1826" s="8"/>
      <c r="L1826" s="8"/>
      <c r="M1826" s="8"/>
      <c r="N1826" s="8"/>
      <c r="O1826" s="8"/>
    </row>
    <row r="1827">
      <c r="A1827" s="8"/>
      <c r="B1827" s="8"/>
      <c r="C1827" s="8"/>
      <c r="D1827" s="8"/>
      <c r="L1827" s="8"/>
      <c r="M1827" s="8"/>
      <c r="N1827" s="8"/>
      <c r="O1827" s="8"/>
    </row>
    <row r="1828">
      <c r="A1828" s="8"/>
      <c r="B1828" s="8"/>
      <c r="C1828" s="8"/>
      <c r="D1828" s="8"/>
      <c r="L1828" s="8"/>
      <c r="M1828" s="8"/>
      <c r="N1828" s="8"/>
      <c r="O1828" s="8"/>
    </row>
    <row r="1829">
      <c r="A1829" s="8"/>
      <c r="B1829" s="8"/>
      <c r="C1829" s="8"/>
      <c r="D1829" s="8"/>
      <c r="L1829" s="8"/>
      <c r="M1829" s="8"/>
      <c r="N1829" s="8"/>
      <c r="O1829" s="8"/>
    </row>
    <row r="1830">
      <c r="A1830" s="8"/>
      <c r="B1830" s="8"/>
      <c r="C1830" s="8"/>
      <c r="D1830" s="8"/>
      <c r="L1830" s="8"/>
      <c r="M1830" s="8"/>
      <c r="N1830" s="8"/>
      <c r="O1830" s="8"/>
    </row>
    <row r="1831">
      <c r="A1831" s="8"/>
      <c r="B1831" s="8"/>
      <c r="C1831" s="8"/>
      <c r="D1831" s="8"/>
      <c r="L1831" s="8"/>
      <c r="M1831" s="8"/>
      <c r="N1831" s="8"/>
      <c r="O1831" s="8"/>
    </row>
    <row r="1832">
      <c r="A1832" s="8"/>
      <c r="B1832" s="8"/>
      <c r="C1832" s="8"/>
      <c r="D1832" s="8"/>
      <c r="L1832" s="8"/>
      <c r="M1832" s="8"/>
      <c r="N1832" s="8"/>
      <c r="O1832" s="8"/>
    </row>
    <row r="1833">
      <c r="A1833" s="8"/>
      <c r="B1833" s="8"/>
      <c r="C1833" s="8"/>
      <c r="D1833" s="8"/>
      <c r="L1833" s="8"/>
      <c r="M1833" s="8"/>
      <c r="N1833" s="8"/>
      <c r="O1833" s="8"/>
    </row>
    <row r="1834">
      <c r="A1834" s="8"/>
      <c r="B1834" s="8"/>
      <c r="C1834" s="8"/>
      <c r="D1834" s="8"/>
      <c r="L1834" s="8"/>
      <c r="M1834" s="8"/>
      <c r="N1834" s="8"/>
      <c r="O1834" s="8"/>
    </row>
    <row r="1835">
      <c r="A1835" s="8"/>
      <c r="B1835" s="8"/>
      <c r="C1835" s="8"/>
      <c r="D1835" s="8"/>
      <c r="L1835" s="8"/>
      <c r="M1835" s="8"/>
      <c r="N1835" s="8"/>
      <c r="O1835" s="8"/>
    </row>
    <row r="1836">
      <c r="A1836" s="8"/>
      <c r="B1836" s="8"/>
      <c r="C1836" s="8"/>
      <c r="D1836" s="8"/>
      <c r="L1836" s="8"/>
      <c r="M1836" s="8"/>
      <c r="N1836" s="8"/>
      <c r="O1836" s="8"/>
    </row>
    <row r="1837">
      <c r="A1837" s="8"/>
      <c r="B1837" s="8"/>
      <c r="C1837" s="8"/>
      <c r="D1837" s="8"/>
      <c r="L1837" s="8"/>
      <c r="M1837" s="8"/>
      <c r="N1837" s="8"/>
      <c r="O1837" s="8"/>
    </row>
    <row r="1838">
      <c r="A1838" s="8"/>
      <c r="B1838" s="8"/>
      <c r="C1838" s="8"/>
      <c r="D1838" s="8"/>
      <c r="L1838" s="8"/>
      <c r="M1838" s="8"/>
      <c r="N1838" s="8"/>
      <c r="O1838" s="8"/>
    </row>
    <row r="1839">
      <c r="A1839" s="8"/>
      <c r="B1839" s="8"/>
      <c r="C1839" s="8"/>
      <c r="D1839" s="8"/>
      <c r="L1839" s="8"/>
      <c r="M1839" s="8"/>
      <c r="N1839" s="8"/>
      <c r="O1839" s="8"/>
    </row>
    <row r="1840">
      <c r="A1840" s="8"/>
      <c r="B1840" s="8"/>
      <c r="C1840" s="8"/>
      <c r="D1840" s="8"/>
      <c r="L1840" s="8"/>
      <c r="M1840" s="8"/>
      <c r="N1840" s="8"/>
      <c r="O1840" s="8"/>
    </row>
    <row r="1841">
      <c r="A1841" s="8"/>
      <c r="B1841" s="8"/>
      <c r="C1841" s="8"/>
      <c r="D1841" s="8"/>
      <c r="L1841" s="8"/>
      <c r="M1841" s="8"/>
      <c r="N1841" s="8"/>
      <c r="O1841" s="8"/>
    </row>
    <row r="1842">
      <c r="A1842" s="8"/>
      <c r="B1842" s="8"/>
      <c r="C1842" s="8"/>
      <c r="D1842" s="8"/>
      <c r="L1842" s="8"/>
      <c r="M1842" s="8"/>
      <c r="N1842" s="8"/>
      <c r="O1842" s="8"/>
    </row>
    <row r="1843">
      <c r="A1843" s="8"/>
      <c r="B1843" s="8"/>
      <c r="C1843" s="8"/>
      <c r="D1843" s="8"/>
      <c r="L1843" s="8"/>
      <c r="M1843" s="8"/>
      <c r="N1843" s="8"/>
      <c r="O1843" s="8"/>
    </row>
    <row r="1844">
      <c r="A1844" s="8"/>
      <c r="B1844" s="8"/>
      <c r="C1844" s="8"/>
      <c r="D1844" s="8"/>
      <c r="L1844" s="8"/>
      <c r="M1844" s="8"/>
      <c r="N1844" s="8"/>
      <c r="O1844" s="8"/>
    </row>
    <row r="1845">
      <c r="A1845" s="8"/>
      <c r="B1845" s="8"/>
      <c r="C1845" s="8"/>
      <c r="D1845" s="8"/>
      <c r="L1845" s="8"/>
      <c r="M1845" s="8"/>
      <c r="N1845" s="8"/>
      <c r="O1845" s="8"/>
    </row>
    <row r="1846">
      <c r="A1846" s="8"/>
      <c r="B1846" s="8"/>
      <c r="C1846" s="8"/>
      <c r="D1846" s="8"/>
      <c r="L1846" s="8"/>
      <c r="M1846" s="8"/>
      <c r="N1846" s="8"/>
      <c r="O1846" s="8"/>
    </row>
    <row r="1847">
      <c r="A1847" s="8"/>
      <c r="B1847" s="8"/>
      <c r="C1847" s="8"/>
      <c r="D1847" s="8"/>
      <c r="L1847" s="8"/>
      <c r="M1847" s="8"/>
      <c r="N1847" s="8"/>
      <c r="O1847" s="8"/>
    </row>
    <row r="1848">
      <c r="A1848" s="8"/>
      <c r="B1848" s="8"/>
      <c r="C1848" s="8"/>
      <c r="D1848" s="8"/>
      <c r="L1848" s="8"/>
      <c r="M1848" s="8"/>
      <c r="N1848" s="8"/>
      <c r="O1848" s="8"/>
    </row>
    <row r="1849">
      <c r="A1849" s="8"/>
      <c r="B1849" s="8"/>
      <c r="C1849" s="8"/>
      <c r="D1849" s="8"/>
      <c r="L1849" s="8"/>
      <c r="M1849" s="8"/>
      <c r="N1849" s="8"/>
      <c r="O1849" s="8"/>
    </row>
    <row r="1850">
      <c r="A1850" s="8"/>
      <c r="B1850" s="8"/>
      <c r="C1850" s="8"/>
      <c r="D1850" s="8"/>
      <c r="L1850" s="8"/>
      <c r="M1850" s="8"/>
      <c r="N1850" s="8"/>
      <c r="O1850" s="8"/>
    </row>
    <row r="1851">
      <c r="A1851" s="8"/>
      <c r="B1851" s="8"/>
      <c r="C1851" s="8"/>
      <c r="D1851" s="8"/>
      <c r="L1851" s="8"/>
      <c r="M1851" s="8"/>
      <c r="N1851" s="8"/>
      <c r="O1851" s="8"/>
    </row>
    <row r="1852">
      <c r="A1852" s="8"/>
      <c r="B1852" s="8"/>
      <c r="C1852" s="8"/>
      <c r="D1852" s="8"/>
      <c r="L1852" s="8"/>
      <c r="M1852" s="8"/>
      <c r="N1852" s="8"/>
      <c r="O1852" s="8"/>
    </row>
    <row r="1853">
      <c r="A1853" s="8"/>
      <c r="B1853" s="8"/>
      <c r="C1853" s="8"/>
      <c r="D1853" s="8"/>
      <c r="L1853" s="8"/>
      <c r="M1853" s="8"/>
      <c r="N1853" s="8"/>
      <c r="O1853" s="8"/>
    </row>
    <row r="1854">
      <c r="A1854" s="8"/>
      <c r="B1854" s="8"/>
      <c r="C1854" s="8"/>
      <c r="D1854" s="8"/>
      <c r="L1854" s="8"/>
      <c r="M1854" s="8"/>
      <c r="N1854" s="8"/>
      <c r="O1854" s="8"/>
    </row>
    <row r="1855">
      <c r="A1855" s="8"/>
      <c r="B1855" s="8"/>
      <c r="C1855" s="8"/>
      <c r="D1855" s="8"/>
      <c r="L1855" s="8"/>
      <c r="M1855" s="8"/>
      <c r="N1855" s="8"/>
      <c r="O1855" s="8"/>
    </row>
    <row r="1856">
      <c r="A1856" s="8"/>
      <c r="B1856" s="8"/>
      <c r="C1856" s="8"/>
      <c r="D1856" s="8"/>
      <c r="L1856" s="8"/>
      <c r="M1856" s="8"/>
      <c r="N1856" s="8"/>
      <c r="O1856" s="8"/>
    </row>
    <row r="1857">
      <c r="A1857" s="8"/>
      <c r="B1857" s="8"/>
      <c r="C1857" s="8"/>
      <c r="D1857" s="8"/>
      <c r="L1857" s="8"/>
      <c r="M1857" s="8"/>
      <c r="N1857" s="8"/>
      <c r="O1857" s="8"/>
    </row>
    <row r="1858">
      <c r="A1858" s="8"/>
      <c r="B1858" s="8"/>
      <c r="C1858" s="8"/>
      <c r="D1858" s="8"/>
      <c r="L1858" s="8"/>
      <c r="M1858" s="8"/>
      <c r="N1858" s="8"/>
      <c r="O1858" s="8"/>
    </row>
    <row r="1859">
      <c r="A1859" s="8"/>
      <c r="B1859" s="8"/>
      <c r="C1859" s="8"/>
      <c r="D1859" s="8"/>
      <c r="L1859" s="8"/>
      <c r="M1859" s="8"/>
      <c r="N1859" s="8"/>
      <c r="O1859" s="8"/>
    </row>
    <row r="1860">
      <c r="A1860" s="8"/>
      <c r="B1860" s="8"/>
      <c r="C1860" s="8"/>
      <c r="D1860" s="8"/>
      <c r="L1860" s="8"/>
      <c r="M1860" s="8"/>
      <c r="N1860" s="8"/>
      <c r="O1860" s="8"/>
    </row>
    <row r="1861">
      <c r="A1861" s="8"/>
      <c r="B1861" s="8"/>
      <c r="C1861" s="8"/>
      <c r="D1861" s="8"/>
      <c r="L1861" s="8"/>
      <c r="M1861" s="8"/>
      <c r="N1861" s="8"/>
      <c r="O1861" s="8"/>
    </row>
    <row r="1862">
      <c r="A1862" s="8"/>
      <c r="B1862" s="8"/>
      <c r="C1862" s="8"/>
      <c r="D1862" s="8"/>
      <c r="L1862" s="8"/>
      <c r="M1862" s="8"/>
      <c r="N1862" s="8"/>
      <c r="O1862" s="8"/>
    </row>
    <row r="1863">
      <c r="A1863" s="8"/>
      <c r="B1863" s="8"/>
      <c r="C1863" s="8"/>
      <c r="D1863" s="8"/>
      <c r="L1863" s="8"/>
      <c r="M1863" s="8"/>
      <c r="N1863" s="8"/>
      <c r="O1863" s="8"/>
    </row>
    <row r="1864">
      <c r="A1864" s="8"/>
      <c r="B1864" s="8"/>
      <c r="C1864" s="8"/>
      <c r="D1864" s="8"/>
      <c r="L1864" s="8"/>
      <c r="M1864" s="8"/>
      <c r="N1864" s="8"/>
      <c r="O1864" s="8"/>
    </row>
    <row r="1865">
      <c r="A1865" s="8"/>
      <c r="B1865" s="8"/>
      <c r="C1865" s="8"/>
      <c r="D1865" s="8"/>
      <c r="L1865" s="8"/>
      <c r="M1865" s="8"/>
      <c r="N1865" s="8"/>
      <c r="O1865" s="8"/>
    </row>
    <row r="1866">
      <c r="A1866" s="8"/>
      <c r="B1866" s="8"/>
      <c r="C1866" s="8"/>
      <c r="D1866" s="8"/>
      <c r="L1866" s="8"/>
      <c r="M1866" s="8"/>
      <c r="N1866" s="8"/>
      <c r="O1866" s="8"/>
    </row>
    <row r="1867">
      <c r="A1867" s="8"/>
      <c r="B1867" s="8"/>
      <c r="C1867" s="8"/>
      <c r="D1867" s="8"/>
      <c r="L1867" s="8"/>
      <c r="M1867" s="8"/>
      <c r="N1867" s="8"/>
      <c r="O1867" s="8"/>
    </row>
    <row r="1868">
      <c r="A1868" s="8"/>
      <c r="B1868" s="8"/>
      <c r="C1868" s="8"/>
      <c r="D1868" s="8"/>
      <c r="L1868" s="8"/>
      <c r="M1868" s="8"/>
      <c r="N1868" s="8"/>
      <c r="O1868" s="8"/>
    </row>
    <row r="1869">
      <c r="A1869" s="8"/>
      <c r="B1869" s="8"/>
      <c r="C1869" s="8"/>
      <c r="D1869" s="8"/>
      <c r="L1869" s="8"/>
      <c r="M1869" s="8"/>
      <c r="N1869" s="8"/>
      <c r="O1869" s="8"/>
    </row>
    <row r="1870">
      <c r="A1870" s="8"/>
      <c r="B1870" s="8"/>
      <c r="C1870" s="8"/>
      <c r="D1870" s="8"/>
      <c r="L1870" s="8"/>
      <c r="M1870" s="8"/>
      <c r="N1870" s="8"/>
      <c r="O1870" s="8"/>
    </row>
    <row r="1871">
      <c r="A1871" s="8"/>
      <c r="B1871" s="8"/>
      <c r="C1871" s="8"/>
      <c r="D1871" s="8"/>
      <c r="L1871" s="8"/>
      <c r="M1871" s="8"/>
      <c r="N1871" s="8"/>
      <c r="O1871" s="8"/>
    </row>
    <row r="1872">
      <c r="A1872" s="8"/>
      <c r="B1872" s="8"/>
      <c r="C1872" s="8"/>
      <c r="D1872" s="8"/>
      <c r="L1872" s="8"/>
      <c r="M1872" s="8"/>
      <c r="N1872" s="8"/>
      <c r="O1872" s="8"/>
    </row>
    <row r="1873">
      <c r="A1873" s="8"/>
      <c r="B1873" s="8"/>
      <c r="C1873" s="8"/>
      <c r="D1873" s="8"/>
      <c r="L1873" s="8"/>
      <c r="M1873" s="8"/>
      <c r="N1873" s="8"/>
      <c r="O1873" s="8"/>
    </row>
    <row r="1874">
      <c r="A1874" s="8"/>
      <c r="B1874" s="8"/>
      <c r="C1874" s="8"/>
      <c r="D1874" s="8"/>
      <c r="L1874" s="8"/>
      <c r="M1874" s="8"/>
      <c r="N1874" s="8"/>
      <c r="O1874" s="8"/>
    </row>
    <row r="1875">
      <c r="A1875" s="8"/>
      <c r="B1875" s="8"/>
      <c r="C1875" s="8"/>
      <c r="D1875" s="8"/>
      <c r="L1875" s="8"/>
      <c r="M1875" s="8"/>
      <c r="N1875" s="8"/>
      <c r="O1875" s="8"/>
    </row>
    <row r="1876">
      <c r="A1876" s="8"/>
      <c r="B1876" s="8"/>
      <c r="C1876" s="8"/>
      <c r="D1876" s="8"/>
      <c r="L1876" s="8"/>
      <c r="M1876" s="8"/>
      <c r="N1876" s="8"/>
      <c r="O1876" s="8"/>
    </row>
    <row r="1877">
      <c r="A1877" s="8"/>
      <c r="B1877" s="8"/>
      <c r="C1877" s="8"/>
      <c r="D1877" s="8"/>
      <c r="L1877" s="8"/>
      <c r="M1877" s="8"/>
      <c r="N1877" s="8"/>
      <c r="O1877" s="8"/>
    </row>
    <row r="1878">
      <c r="A1878" s="8"/>
      <c r="B1878" s="8"/>
      <c r="C1878" s="8"/>
      <c r="D1878" s="8"/>
      <c r="L1878" s="8"/>
      <c r="M1878" s="8"/>
      <c r="N1878" s="8"/>
      <c r="O1878" s="8"/>
    </row>
    <row r="1879">
      <c r="A1879" s="8"/>
      <c r="B1879" s="8"/>
      <c r="C1879" s="8"/>
      <c r="D1879" s="8"/>
      <c r="L1879" s="8"/>
      <c r="M1879" s="8"/>
      <c r="N1879" s="8"/>
      <c r="O1879" s="8"/>
    </row>
    <row r="1880">
      <c r="A1880" s="8"/>
      <c r="B1880" s="8"/>
      <c r="C1880" s="8"/>
      <c r="D1880" s="8"/>
      <c r="L1880" s="8"/>
      <c r="M1880" s="8"/>
      <c r="N1880" s="8"/>
      <c r="O1880" s="8"/>
    </row>
    <row r="1881">
      <c r="A1881" s="8"/>
      <c r="B1881" s="8"/>
      <c r="C1881" s="8"/>
      <c r="D1881" s="8"/>
      <c r="L1881" s="8"/>
      <c r="M1881" s="8"/>
      <c r="N1881" s="8"/>
      <c r="O1881" s="8"/>
    </row>
    <row r="1882">
      <c r="A1882" s="8"/>
      <c r="B1882" s="8"/>
      <c r="C1882" s="8"/>
      <c r="D1882" s="8"/>
      <c r="L1882" s="8"/>
      <c r="M1882" s="8"/>
      <c r="N1882" s="8"/>
      <c r="O1882" s="8"/>
    </row>
    <row r="1883">
      <c r="A1883" s="8"/>
      <c r="B1883" s="8"/>
      <c r="C1883" s="8"/>
      <c r="D1883" s="8"/>
      <c r="L1883" s="8"/>
      <c r="M1883" s="8"/>
      <c r="N1883" s="8"/>
      <c r="O1883" s="8"/>
    </row>
    <row r="1884">
      <c r="A1884" s="8"/>
      <c r="B1884" s="8"/>
      <c r="C1884" s="8"/>
      <c r="D1884" s="8"/>
      <c r="L1884" s="8"/>
      <c r="M1884" s="8"/>
      <c r="N1884" s="8"/>
      <c r="O1884" s="8"/>
    </row>
    <row r="1885">
      <c r="A1885" s="8"/>
      <c r="B1885" s="8"/>
      <c r="C1885" s="8"/>
      <c r="D1885" s="8"/>
      <c r="L1885" s="8"/>
      <c r="M1885" s="8"/>
      <c r="N1885" s="8"/>
      <c r="O1885" s="8"/>
    </row>
    <row r="1886">
      <c r="A1886" s="8"/>
      <c r="B1886" s="8"/>
      <c r="C1886" s="8"/>
      <c r="D1886" s="8"/>
      <c r="L1886" s="8"/>
      <c r="M1886" s="8"/>
      <c r="N1886" s="8"/>
      <c r="O1886" s="8"/>
    </row>
    <row r="1887">
      <c r="A1887" s="8"/>
      <c r="B1887" s="8"/>
      <c r="C1887" s="8"/>
      <c r="D1887" s="8"/>
      <c r="L1887" s="8"/>
      <c r="M1887" s="8"/>
      <c r="N1887" s="8"/>
      <c r="O1887" s="8"/>
    </row>
    <row r="1888">
      <c r="A1888" s="8"/>
      <c r="B1888" s="8"/>
      <c r="C1888" s="8"/>
      <c r="D1888" s="8"/>
      <c r="L1888" s="8"/>
      <c r="M1888" s="8"/>
      <c r="N1888" s="8"/>
      <c r="O1888" s="8"/>
    </row>
    <row r="1889">
      <c r="A1889" s="8"/>
      <c r="B1889" s="8"/>
      <c r="C1889" s="8"/>
      <c r="D1889" s="8"/>
      <c r="L1889" s="8"/>
      <c r="M1889" s="8"/>
      <c r="N1889" s="8"/>
      <c r="O1889" s="8"/>
    </row>
    <row r="1890">
      <c r="A1890" s="8"/>
      <c r="B1890" s="8"/>
      <c r="C1890" s="8"/>
      <c r="D1890" s="8"/>
      <c r="L1890" s="8"/>
      <c r="M1890" s="8"/>
      <c r="N1890" s="8"/>
      <c r="O1890" s="8"/>
    </row>
    <row r="1891">
      <c r="A1891" s="8"/>
      <c r="B1891" s="8"/>
      <c r="C1891" s="8"/>
      <c r="D1891" s="8"/>
      <c r="L1891" s="8"/>
      <c r="M1891" s="8"/>
      <c r="N1891" s="8"/>
      <c r="O1891" s="8"/>
    </row>
    <row r="1892">
      <c r="A1892" s="8"/>
      <c r="B1892" s="8"/>
      <c r="C1892" s="8"/>
      <c r="D1892" s="8"/>
      <c r="L1892" s="8"/>
      <c r="M1892" s="8"/>
      <c r="N1892" s="8"/>
      <c r="O1892" s="8"/>
    </row>
    <row r="1893">
      <c r="A1893" s="8"/>
      <c r="B1893" s="8"/>
      <c r="C1893" s="8"/>
      <c r="D1893" s="8"/>
      <c r="L1893" s="8"/>
      <c r="M1893" s="8"/>
      <c r="N1893" s="8"/>
      <c r="O1893" s="8"/>
    </row>
    <row r="1894">
      <c r="A1894" s="8"/>
      <c r="B1894" s="8"/>
      <c r="C1894" s="8"/>
      <c r="D1894" s="8"/>
      <c r="L1894" s="8"/>
      <c r="M1894" s="8"/>
      <c r="N1894" s="8"/>
      <c r="O1894" s="8"/>
    </row>
    <row r="1895">
      <c r="A1895" s="8"/>
      <c r="B1895" s="8"/>
      <c r="C1895" s="8"/>
      <c r="D1895" s="8"/>
      <c r="L1895" s="8"/>
      <c r="M1895" s="8"/>
      <c r="N1895" s="8"/>
      <c r="O1895" s="8"/>
    </row>
    <row r="1896">
      <c r="A1896" s="8"/>
      <c r="B1896" s="8"/>
      <c r="C1896" s="8"/>
      <c r="D1896" s="8"/>
      <c r="L1896" s="8"/>
      <c r="M1896" s="8"/>
      <c r="N1896" s="8"/>
      <c r="O1896" s="8"/>
    </row>
    <row r="1897">
      <c r="A1897" s="8"/>
      <c r="B1897" s="8"/>
      <c r="C1897" s="8"/>
      <c r="D1897" s="8"/>
      <c r="L1897" s="8"/>
      <c r="M1897" s="8"/>
      <c r="N1897" s="8"/>
      <c r="O1897" s="8"/>
    </row>
    <row r="1898">
      <c r="A1898" s="8"/>
      <c r="B1898" s="8"/>
      <c r="C1898" s="8"/>
      <c r="D1898" s="8"/>
      <c r="L1898" s="8"/>
      <c r="M1898" s="8"/>
      <c r="N1898" s="8"/>
      <c r="O1898" s="8"/>
    </row>
    <row r="1899">
      <c r="A1899" s="8"/>
      <c r="B1899" s="8"/>
      <c r="C1899" s="8"/>
      <c r="D1899" s="8"/>
      <c r="L1899" s="8"/>
      <c r="M1899" s="8"/>
      <c r="N1899" s="8"/>
      <c r="O1899" s="8"/>
    </row>
    <row r="1900">
      <c r="A1900" s="8"/>
      <c r="B1900" s="8"/>
      <c r="C1900" s="8"/>
      <c r="D1900" s="8"/>
      <c r="L1900" s="8"/>
      <c r="M1900" s="8"/>
      <c r="N1900" s="8"/>
      <c r="O1900" s="8"/>
    </row>
    <row r="1901">
      <c r="A1901" s="8"/>
      <c r="B1901" s="8"/>
      <c r="C1901" s="8"/>
      <c r="D1901" s="8"/>
      <c r="L1901" s="8"/>
      <c r="M1901" s="8"/>
      <c r="N1901" s="8"/>
      <c r="O1901" s="8"/>
    </row>
    <row r="1902">
      <c r="A1902" s="8"/>
      <c r="B1902" s="8"/>
      <c r="C1902" s="8"/>
      <c r="D1902" s="8"/>
      <c r="L1902" s="8"/>
      <c r="M1902" s="8"/>
      <c r="N1902" s="8"/>
      <c r="O1902" s="8"/>
    </row>
    <row r="1903">
      <c r="A1903" s="8"/>
      <c r="B1903" s="8"/>
      <c r="C1903" s="8"/>
      <c r="D1903" s="8"/>
      <c r="L1903" s="8"/>
      <c r="M1903" s="8"/>
      <c r="N1903" s="8"/>
      <c r="O1903" s="8"/>
    </row>
    <row r="1904">
      <c r="A1904" s="8"/>
      <c r="B1904" s="8"/>
      <c r="C1904" s="8"/>
      <c r="D1904" s="8"/>
      <c r="L1904" s="8"/>
      <c r="M1904" s="8"/>
      <c r="N1904" s="8"/>
      <c r="O1904" s="8"/>
    </row>
    <row r="1905">
      <c r="A1905" s="8"/>
      <c r="B1905" s="8"/>
      <c r="C1905" s="8"/>
      <c r="D1905" s="8"/>
      <c r="L1905" s="8"/>
      <c r="M1905" s="8"/>
      <c r="N1905" s="8"/>
      <c r="O1905" s="8"/>
    </row>
    <row r="1906">
      <c r="A1906" s="8"/>
      <c r="B1906" s="8"/>
      <c r="C1906" s="8"/>
      <c r="D1906" s="8"/>
      <c r="L1906" s="8"/>
      <c r="M1906" s="8"/>
      <c r="N1906" s="8"/>
      <c r="O1906" s="8"/>
    </row>
    <row r="1907">
      <c r="A1907" s="8"/>
      <c r="B1907" s="8"/>
      <c r="C1907" s="8"/>
      <c r="D1907" s="8"/>
      <c r="L1907" s="8"/>
      <c r="M1907" s="8"/>
      <c r="N1907" s="8"/>
      <c r="O1907" s="8"/>
    </row>
    <row r="1908">
      <c r="A1908" s="8"/>
      <c r="B1908" s="8"/>
      <c r="C1908" s="8"/>
      <c r="D1908" s="8"/>
      <c r="L1908" s="8"/>
      <c r="M1908" s="8"/>
      <c r="N1908" s="8"/>
      <c r="O1908" s="8"/>
    </row>
    <row r="1909">
      <c r="A1909" s="8"/>
      <c r="B1909" s="8"/>
      <c r="C1909" s="8"/>
      <c r="D1909" s="8"/>
      <c r="L1909" s="8"/>
      <c r="M1909" s="8"/>
      <c r="N1909" s="8"/>
      <c r="O1909" s="8"/>
    </row>
    <row r="1910">
      <c r="A1910" s="8"/>
      <c r="B1910" s="8"/>
      <c r="C1910" s="8"/>
      <c r="D1910" s="8"/>
      <c r="L1910" s="8"/>
      <c r="M1910" s="8"/>
      <c r="N1910" s="8"/>
      <c r="O1910" s="8"/>
    </row>
    <row r="1911">
      <c r="A1911" s="8"/>
      <c r="B1911" s="8"/>
      <c r="C1911" s="8"/>
      <c r="D1911" s="8"/>
      <c r="L1911" s="8"/>
      <c r="M1911" s="8"/>
      <c r="N1911" s="8"/>
      <c r="O1911" s="8"/>
    </row>
    <row r="1912">
      <c r="A1912" s="8"/>
      <c r="B1912" s="8"/>
      <c r="C1912" s="8"/>
      <c r="D1912" s="8"/>
      <c r="L1912" s="8"/>
      <c r="M1912" s="8"/>
      <c r="N1912" s="8"/>
      <c r="O1912" s="8"/>
    </row>
    <row r="1913">
      <c r="A1913" s="8"/>
      <c r="B1913" s="8"/>
      <c r="C1913" s="8"/>
      <c r="D1913" s="8"/>
      <c r="L1913" s="8"/>
      <c r="M1913" s="8"/>
      <c r="N1913" s="8"/>
      <c r="O1913" s="8"/>
    </row>
    <row r="1914">
      <c r="A1914" s="8"/>
      <c r="B1914" s="8"/>
      <c r="C1914" s="8"/>
      <c r="D1914" s="8"/>
      <c r="L1914" s="8"/>
      <c r="M1914" s="8"/>
      <c r="N1914" s="8"/>
      <c r="O1914" s="8"/>
    </row>
    <row r="1915">
      <c r="A1915" s="8"/>
      <c r="B1915" s="8"/>
      <c r="C1915" s="8"/>
      <c r="D1915" s="8"/>
      <c r="L1915" s="8"/>
      <c r="M1915" s="8"/>
      <c r="N1915" s="8"/>
      <c r="O1915" s="8"/>
    </row>
    <row r="1916">
      <c r="A1916" s="8"/>
      <c r="B1916" s="8"/>
      <c r="C1916" s="8"/>
      <c r="D1916" s="8"/>
      <c r="L1916" s="8"/>
      <c r="M1916" s="8"/>
      <c r="N1916" s="8"/>
      <c r="O1916" s="8"/>
    </row>
    <row r="1917">
      <c r="A1917" s="8"/>
      <c r="B1917" s="8"/>
      <c r="C1917" s="8"/>
      <c r="D1917" s="8"/>
      <c r="L1917" s="8"/>
      <c r="M1917" s="8"/>
      <c r="N1917" s="8"/>
      <c r="O1917" s="8"/>
    </row>
    <row r="1918">
      <c r="A1918" s="8"/>
      <c r="B1918" s="8"/>
      <c r="C1918" s="8"/>
      <c r="D1918" s="8"/>
      <c r="L1918" s="8"/>
      <c r="M1918" s="8"/>
      <c r="N1918" s="8"/>
      <c r="O1918" s="8"/>
    </row>
    <row r="1919">
      <c r="A1919" s="8"/>
      <c r="B1919" s="8"/>
      <c r="C1919" s="8"/>
      <c r="D1919" s="8"/>
      <c r="L1919" s="8"/>
      <c r="M1919" s="8"/>
      <c r="N1919" s="8"/>
      <c r="O1919" s="8"/>
    </row>
    <row r="1920">
      <c r="A1920" s="8"/>
      <c r="B1920" s="8"/>
      <c r="C1920" s="8"/>
      <c r="D1920" s="8"/>
      <c r="L1920" s="8"/>
      <c r="M1920" s="8"/>
      <c r="N1920" s="8"/>
      <c r="O1920" s="8"/>
    </row>
    <row r="1921">
      <c r="A1921" s="8"/>
      <c r="B1921" s="8"/>
      <c r="C1921" s="8"/>
      <c r="D1921" s="8"/>
      <c r="L1921" s="8"/>
      <c r="M1921" s="8"/>
      <c r="N1921" s="8"/>
      <c r="O1921" s="8"/>
    </row>
    <row r="1922">
      <c r="A1922" s="8"/>
      <c r="B1922" s="8"/>
      <c r="C1922" s="8"/>
      <c r="D1922" s="8"/>
      <c r="L1922" s="8"/>
      <c r="M1922" s="8"/>
      <c r="N1922" s="8"/>
      <c r="O1922" s="8"/>
    </row>
    <row r="1923">
      <c r="A1923" s="8"/>
      <c r="B1923" s="8"/>
      <c r="C1923" s="8"/>
      <c r="D1923" s="8"/>
      <c r="L1923" s="8"/>
      <c r="M1923" s="8"/>
      <c r="N1923" s="8"/>
      <c r="O1923" s="8"/>
    </row>
    <row r="1924">
      <c r="A1924" s="8"/>
      <c r="B1924" s="8"/>
      <c r="C1924" s="8"/>
      <c r="D1924" s="8"/>
      <c r="L1924" s="8"/>
      <c r="M1924" s="8"/>
      <c r="N1924" s="8"/>
      <c r="O1924" s="8"/>
    </row>
    <row r="1925">
      <c r="A1925" s="8"/>
      <c r="B1925" s="8"/>
      <c r="C1925" s="8"/>
      <c r="D1925" s="8"/>
      <c r="L1925" s="8"/>
      <c r="M1925" s="8"/>
      <c r="N1925" s="8"/>
      <c r="O1925" s="8"/>
    </row>
    <row r="1926">
      <c r="A1926" s="8"/>
      <c r="B1926" s="8"/>
      <c r="C1926" s="8"/>
      <c r="D1926" s="8"/>
      <c r="L1926" s="8"/>
      <c r="M1926" s="8"/>
      <c r="N1926" s="8"/>
      <c r="O1926" s="8"/>
    </row>
    <row r="1927">
      <c r="A1927" s="8"/>
      <c r="B1927" s="8"/>
      <c r="C1927" s="8"/>
      <c r="D1927" s="8"/>
      <c r="L1927" s="8"/>
      <c r="M1927" s="8"/>
      <c r="N1927" s="8"/>
      <c r="O1927" s="8"/>
    </row>
    <row r="1928">
      <c r="A1928" s="8"/>
      <c r="B1928" s="8"/>
      <c r="C1928" s="8"/>
      <c r="D1928" s="8"/>
      <c r="L1928" s="8"/>
      <c r="M1928" s="8"/>
      <c r="N1928" s="8"/>
      <c r="O1928" s="8"/>
    </row>
    <row r="1929">
      <c r="A1929" s="8"/>
      <c r="B1929" s="8"/>
      <c r="C1929" s="8"/>
      <c r="D1929" s="8"/>
      <c r="L1929" s="8"/>
      <c r="M1929" s="8"/>
      <c r="N1929" s="8"/>
      <c r="O1929" s="8"/>
    </row>
    <row r="1930">
      <c r="A1930" s="8"/>
      <c r="B1930" s="8"/>
      <c r="C1930" s="8"/>
      <c r="D1930" s="8"/>
      <c r="L1930" s="8"/>
      <c r="M1930" s="8"/>
      <c r="N1930" s="8"/>
      <c r="O1930" s="8"/>
    </row>
    <row r="1931">
      <c r="A1931" s="8"/>
      <c r="B1931" s="8"/>
      <c r="C1931" s="8"/>
      <c r="D1931" s="8"/>
      <c r="L1931" s="8"/>
      <c r="M1931" s="8"/>
      <c r="N1931" s="8"/>
      <c r="O1931" s="8"/>
    </row>
    <row r="1932">
      <c r="A1932" s="8"/>
      <c r="B1932" s="8"/>
      <c r="C1932" s="8"/>
      <c r="D1932" s="8"/>
      <c r="L1932" s="8"/>
      <c r="M1932" s="8"/>
      <c r="N1932" s="8"/>
      <c r="O1932" s="8"/>
    </row>
    <row r="1933">
      <c r="A1933" s="8"/>
      <c r="B1933" s="8"/>
      <c r="C1933" s="8"/>
      <c r="D1933" s="8"/>
      <c r="L1933" s="8"/>
      <c r="M1933" s="8"/>
      <c r="N1933" s="8"/>
      <c r="O1933" s="8"/>
    </row>
    <row r="1934">
      <c r="A1934" s="8"/>
      <c r="B1934" s="8"/>
      <c r="C1934" s="8"/>
      <c r="D1934" s="8"/>
      <c r="L1934" s="8"/>
      <c r="M1934" s="8"/>
      <c r="N1934" s="8"/>
      <c r="O1934" s="8"/>
    </row>
    <row r="1935">
      <c r="A1935" s="8"/>
      <c r="B1935" s="8"/>
      <c r="C1935" s="8"/>
      <c r="D1935" s="8"/>
      <c r="L1935" s="8"/>
      <c r="M1935" s="8"/>
      <c r="N1935" s="8"/>
      <c r="O1935" s="8"/>
    </row>
    <row r="1936">
      <c r="A1936" s="8"/>
      <c r="B1936" s="8"/>
      <c r="C1936" s="8"/>
      <c r="D1936" s="8"/>
      <c r="L1936" s="8"/>
      <c r="M1936" s="8"/>
      <c r="N1936" s="8"/>
      <c r="O1936" s="8"/>
    </row>
    <row r="1937">
      <c r="A1937" s="8"/>
      <c r="B1937" s="8"/>
      <c r="C1937" s="8"/>
      <c r="D1937" s="8"/>
      <c r="L1937" s="8"/>
      <c r="M1937" s="8"/>
      <c r="N1937" s="8"/>
      <c r="O1937" s="8"/>
    </row>
    <row r="1938">
      <c r="A1938" s="8"/>
      <c r="B1938" s="8"/>
      <c r="C1938" s="8"/>
      <c r="D1938" s="8"/>
      <c r="L1938" s="8"/>
      <c r="M1938" s="8"/>
      <c r="N1938" s="8"/>
      <c r="O1938" s="8"/>
    </row>
    <row r="1939">
      <c r="A1939" s="8"/>
      <c r="B1939" s="8"/>
      <c r="C1939" s="8"/>
      <c r="D1939" s="8"/>
      <c r="L1939" s="8"/>
      <c r="M1939" s="8"/>
      <c r="N1939" s="8"/>
      <c r="O1939" s="8"/>
    </row>
    <row r="1940">
      <c r="A1940" s="8"/>
      <c r="B1940" s="8"/>
      <c r="C1940" s="8"/>
      <c r="D1940" s="8"/>
      <c r="L1940" s="8"/>
      <c r="M1940" s="8"/>
      <c r="N1940" s="8"/>
      <c r="O1940" s="8"/>
    </row>
    <row r="1941">
      <c r="A1941" s="8"/>
      <c r="B1941" s="8"/>
      <c r="C1941" s="8"/>
      <c r="D1941" s="8"/>
      <c r="L1941" s="8"/>
      <c r="M1941" s="8"/>
      <c r="N1941" s="8"/>
      <c r="O1941" s="8"/>
    </row>
    <row r="1942">
      <c r="A1942" s="8"/>
      <c r="B1942" s="8"/>
      <c r="C1942" s="8"/>
      <c r="D1942" s="8"/>
      <c r="L1942" s="8"/>
      <c r="M1942" s="8"/>
      <c r="N1942" s="8"/>
      <c r="O1942" s="8"/>
    </row>
    <row r="1943">
      <c r="A1943" s="8"/>
      <c r="B1943" s="8"/>
      <c r="C1943" s="8"/>
      <c r="D1943" s="8"/>
      <c r="L1943" s="8"/>
      <c r="M1943" s="8"/>
      <c r="N1943" s="8"/>
      <c r="O1943" s="8"/>
    </row>
    <row r="1944">
      <c r="A1944" s="8"/>
      <c r="B1944" s="8"/>
      <c r="C1944" s="8"/>
      <c r="D1944" s="8"/>
      <c r="L1944" s="8"/>
      <c r="M1944" s="8"/>
      <c r="N1944" s="8"/>
      <c r="O1944" s="8"/>
    </row>
    <row r="1945">
      <c r="A1945" s="8"/>
      <c r="B1945" s="8"/>
      <c r="C1945" s="8"/>
      <c r="D1945" s="8"/>
      <c r="L1945" s="8"/>
      <c r="M1945" s="8"/>
      <c r="N1945" s="8"/>
      <c r="O1945" s="8"/>
    </row>
    <row r="1946">
      <c r="A1946" s="8"/>
      <c r="B1946" s="8"/>
      <c r="C1946" s="8"/>
      <c r="D1946" s="8"/>
      <c r="L1946" s="8"/>
      <c r="M1946" s="8"/>
      <c r="N1946" s="8"/>
      <c r="O1946" s="8"/>
    </row>
    <row r="1947">
      <c r="A1947" s="8"/>
      <c r="B1947" s="8"/>
      <c r="C1947" s="8"/>
      <c r="D1947" s="8"/>
      <c r="L1947" s="8"/>
      <c r="M1947" s="8"/>
      <c r="N1947" s="8"/>
      <c r="O1947" s="8"/>
    </row>
    <row r="1948">
      <c r="A1948" s="8"/>
      <c r="B1948" s="8"/>
      <c r="C1948" s="8"/>
      <c r="D1948" s="8"/>
      <c r="L1948" s="8"/>
      <c r="M1948" s="8"/>
      <c r="N1948" s="8"/>
      <c r="O1948" s="8"/>
    </row>
    <row r="1949">
      <c r="A1949" s="8"/>
      <c r="B1949" s="8"/>
      <c r="C1949" s="8"/>
      <c r="D1949" s="8"/>
      <c r="L1949" s="8"/>
      <c r="M1949" s="8"/>
      <c r="N1949" s="8"/>
      <c r="O1949" s="8"/>
    </row>
    <row r="1950">
      <c r="A1950" s="8"/>
      <c r="B1950" s="8"/>
      <c r="C1950" s="8"/>
      <c r="D1950" s="8"/>
      <c r="L1950" s="8"/>
      <c r="M1950" s="8"/>
      <c r="N1950" s="8"/>
      <c r="O1950" s="8"/>
    </row>
    <row r="1951">
      <c r="A1951" s="8"/>
      <c r="B1951" s="8"/>
      <c r="C1951" s="8"/>
      <c r="D1951" s="8"/>
      <c r="L1951" s="8"/>
      <c r="M1951" s="8"/>
      <c r="N1951" s="8"/>
      <c r="O1951" s="8"/>
    </row>
    <row r="1952">
      <c r="A1952" s="8"/>
      <c r="B1952" s="8"/>
      <c r="C1952" s="8"/>
      <c r="D1952" s="8"/>
      <c r="L1952" s="8"/>
      <c r="M1952" s="8"/>
      <c r="N1952" s="8"/>
      <c r="O1952" s="8"/>
    </row>
    <row r="1953">
      <c r="A1953" s="8"/>
      <c r="B1953" s="8"/>
      <c r="C1953" s="8"/>
      <c r="D1953" s="8"/>
      <c r="L1953" s="8"/>
      <c r="M1953" s="8"/>
      <c r="N1953" s="8"/>
      <c r="O1953" s="8"/>
    </row>
    <row r="1954">
      <c r="A1954" s="8"/>
      <c r="B1954" s="8"/>
      <c r="C1954" s="8"/>
      <c r="D1954" s="8"/>
      <c r="L1954" s="8"/>
      <c r="M1954" s="8"/>
      <c r="N1954" s="8"/>
      <c r="O1954" s="8"/>
    </row>
    <row r="1955">
      <c r="A1955" s="8"/>
      <c r="B1955" s="8"/>
      <c r="C1955" s="8"/>
      <c r="D1955" s="8"/>
      <c r="L1955" s="8"/>
      <c r="M1955" s="8"/>
      <c r="N1955" s="8"/>
      <c r="O1955" s="8"/>
    </row>
    <row r="1956">
      <c r="A1956" s="8"/>
      <c r="B1956" s="8"/>
      <c r="C1956" s="8"/>
      <c r="D1956" s="8"/>
      <c r="L1956" s="8"/>
      <c r="M1956" s="8"/>
      <c r="N1956" s="8"/>
      <c r="O1956" s="8"/>
    </row>
    <row r="1957">
      <c r="A1957" s="8"/>
      <c r="B1957" s="8"/>
      <c r="C1957" s="8"/>
      <c r="D1957" s="8"/>
      <c r="L1957" s="8"/>
      <c r="M1957" s="8"/>
      <c r="N1957" s="8"/>
      <c r="O1957" s="8"/>
    </row>
    <row r="1958">
      <c r="A1958" s="8"/>
      <c r="B1958" s="8"/>
      <c r="C1958" s="8"/>
      <c r="D1958" s="8"/>
      <c r="L1958" s="8"/>
      <c r="M1958" s="8"/>
      <c r="N1958" s="8"/>
      <c r="O1958" s="8"/>
    </row>
    <row r="1959">
      <c r="A1959" s="8"/>
      <c r="B1959" s="8"/>
      <c r="C1959" s="8"/>
      <c r="D1959" s="8"/>
      <c r="L1959" s="8"/>
      <c r="M1959" s="8"/>
      <c r="N1959" s="8"/>
      <c r="O1959" s="8"/>
    </row>
    <row r="1960">
      <c r="A1960" s="8"/>
      <c r="B1960" s="8"/>
      <c r="C1960" s="8"/>
      <c r="D1960" s="8"/>
      <c r="L1960" s="8"/>
      <c r="M1960" s="8"/>
      <c r="N1960" s="8"/>
      <c r="O1960" s="8"/>
    </row>
    <row r="1961">
      <c r="A1961" s="8"/>
      <c r="B1961" s="8"/>
      <c r="C1961" s="8"/>
      <c r="D1961" s="8"/>
      <c r="L1961" s="8"/>
      <c r="M1961" s="8"/>
      <c r="N1961" s="8"/>
      <c r="O1961" s="8"/>
    </row>
    <row r="1962">
      <c r="A1962" s="8"/>
      <c r="B1962" s="8"/>
      <c r="C1962" s="8"/>
      <c r="D1962" s="8"/>
      <c r="L1962" s="8"/>
      <c r="M1962" s="8"/>
      <c r="N1962" s="8"/>
      <c r="O1962" s="8"/>
    </row>
    <row r="1963">
      <c r="A1963" s="8"/>
      <c r="B1963" s="8"/>
      <c r="C1963" s="8"/>
      <c r="D1963" s="8"/>
      <c r="L1963" s="8"/>
      <c r="M1963" s="8"/>
      <c r="N1963" s="8"/>
      <c r="O1963" s="8"/>
    </row>
    <row r="1964">
      <c r="A1964" s="8"/>
      <c r="B1964" s="8"/>
      <c r="C1964" s="8"/>
      <c r="D1964" s="8"/>
      <c r="L1964" s="8"/>
      <c r="M1964" s="8"/>
      <c r="N1964" s="8"/>
      <c r="O1964" s="8"/>
    </row>
    <row r="1965">
      <c r="A1965" s="8"/>
      <c r="B1965" s="8"/>
      <c r="C1965" s="8"/>
      <c r="D1965" s="8"/>
      <c r="L1965" s="8"/>
      <c r="M1965" s="8"/>
      <c r="N1965" s="8"/>
      <c r="O1965" s="8"/>
    </row>
    <row r="1966">
      <c r="A1966" s="8"/>
      <c r="B1966" s="8"/>
      <c r="C1966" s="8"/>
      <c r="D1966" s="8"/>
      <c r="L1966" s="8"/>
      <c r="M1966" s="8"/>
      <c r="N1966" s="8"/>
      <c r="O1966" s="8"/>
    </row>
    <row r="1967">
      <c r="A1967" s="8"/>
      <c r="B1967" s="8"/>
      <c r="C1967" s="8"/>
      <c r="D1967" s="8"/>
      <c r="L1967" s="8"/>
      <c r="M1967" s="8"/>
      <c r="N1967" s="8"/>
      <c r="O1967" s="8"/>
    </row>
    <row r="1968">
      <c r="A1968" s="8"/>
      <c r="B1968" s="8"/>
      <c r="C1968" s="8"/>
      <c r="D1968" s="8"/>
      <c r="L1968" s="8"/>
      <c r="M1968" s="8"/>
      <c r="N1968" s="8"/>
      <c r="O1968" s="8"/>
    </row>
    <row r="1969">
      <c r="A1969" s="8"/>
      <c r="B1969" s="8"/>
      <c r="C1969" s="8"/>
      <c r="D1969" s="8"/>
      <c r="L1969" s="8"/>
      <c r="M1969" s="8"/>
      <c r="N1969" s="8"/>
      <c r="O1969" s="8"/>
    </row>
    <row r="1970">
      <c r="A1970" s="8"/>
      <c r="B1970" s="8"/>
      <c r="C1970" s="8"/>
      <c r="D1970" s="8"/>
      <c r="L1970" s="8"/>
      <c r="M1970" s="8"/>
      <c r="N1970" s="8"/>
      <c r="O1970" s="8"/>
    </row>
    <row r="1971">
      <c r="A1971" s="8"/>
      <c r="B1971" s="8"/>
      <c r="C1971" s="8"/>
      <c r="D1971" s="8"/>
      <c r="L1971" s="8"/>
      <c r="M1971" s="8"/>
      <c r="N1971" s="8"/>
      <c r="O1971" s="8"/>
    </row>
    <row r="1972">
      <c r="A1972" s="8"/>
      <c r="B1972" s="8"/>
      <c r="C1972" s="8"/>
      <c r="D1972" s="8"/>
      <c r="L1972" s="8"/>
      <c r="M1972" s="8"/>
      <c r="N1972" s="8"/>
      <c r="O1972" s="8"/>
    </row>
    <row r="1973">
      <c r="A1973" s="8"/>
      <c r="B1973" s="8"/>
      <c r="C1973" s="8"/>
      <c r="D1973" s="8"/>
      <c r="L1973" s="8"/>
      <c r="M1973" s="8"/>
      <c r="N1973" s="8"/>
      <c r="O1973" s="8"/>
    </row>
    <row r="1974">
      <c r="A1974" s="8"/>
      <c r="B1974" s="8"/>
      <c r="C1974" s="8"/>
      <c r="D1974" s="8"/>
      <c r="L1974" s="8"/>
      <c r="M1974" s="8"/>
      <c r="N1974" s="8"/>
      <c r="O1974" s="8"/>
    </row>
    <row r="1975">
      <c r="A1975" s="8"/>
      <c r="B1975" s="8"/>
      <c r="C1975" s="8"/>
      <c r="D1975" s="8"/>
      <c r="L1975" s="8"/>
      <c r="M1975" s="8"/>
      <c r="N1975" s="8"/>
      <c r="O1975" s="8"/>
    </row>
  </sheetData>
  <hyperlinks>
    <hyperlink r:id="rId1" ref="B2"/>
    <hyperlink r:id="rId2" ref="C2"/>
    <hyperlink r:id="rId3" ref="B3"/>
    <hyperlink r:id="rId4" ref="C3"/>
    <hyperlink r:id="rId5" ref="B4"/>
    <hyperlink r:id="rId6" ref="C4"/>
    <hyperlink r:id="rId7" ref="B5"/>
    <hyperlink r:id="rId8" ref="C5"/>
    <hyperlink r:id="rId9" ref="B6"/>
    <hyperlink r:id="rId10" ref="C6"/>
    <hyperlink r:id="rId11" ref="B7"/>
    <hyperlink r:id="rId12" ref="C7"/>
    <hyperlink r:id="rId13" ref="B8"/>
    <hyperlink r:id="rId14" ref="C8"/>
    <hyperlink r:id="rId15" ref="B9"/>
    <hyperlink r:id="rId16" ref="C9"/>
    <hyperlink r:id="rId17" ref="B10"/>
    <hyperlink r:id="rId18" ref="C10"/>
    <hyperlink r:id="rId19" ref="B11"/>
    <hyperlink r:id="rId20" ref="C11"/>
    <hyperlink r:id="rId21" ref="B12"/>
    <hyperlink r:id="rId22" ref="C12"/>
    <hyperlink r:id="rId23" ref="B13"/>
    <hyperlink r:id="rId24" ref="C13"/>
    <hyperlink r:id="rId25" ref="B14"/>
    <hyperlink r:id="rId26" ref="C14"/>
    <hyperlink r:id="rId27" ref="B15"/>
    <hyperlink r:id="rId28" ref="C15"/>
    <hyperlink r:id="rId29" ref="B16"/>
    <hyperlink r:id="rId30" ref="C16"/>
    <hyperlink r:id="rId31" ref="B17"/>
    <hyperlink r:id="rId32" ref="C17"/>
    <hyperlink r:id="rId33" ref="B18"/>
    <hyperlink r:id="rId34" ref="C18"/>
    <hyperlink r:id="rId35" ref="B19"/>
    <hyperlink r:id="rId36" ref="C19"/>
    <hyperlink r:id="rId37" ref="B20"/>
    <hyperlink r:id="rId38" ref="C20"/>
    <hyperlink r:id="rId39" ref="B21"/>
    <hyperlink r:id="rId40" ref="C21"/>
    <hyperlink r:id="rId41" ref="B22"/>
    <hyperlink r:id="rId42" ref="C22"/>
    <hyperlink r:id="rId43" ref="B23"/>
    <hyperlink r:id="rId44" ref="C23"/>
    <hyperlink r:id="rId45" ref="B24"/>
    <hyperlink r:id="rId46" ref="C24"/>
    <hyperlink r:id="rId47" ref="B25"/>
    <hyperlink r:id="rId48" ref="C25"/>
    <hyperlink r:id="rId49" ref="B26"/>
    <hyperlink r:id="rId50" ref="C26"/>
    <hyperlink r:id="rId51" ref="B27"/>
    <hyperlink r:id="rId52" ref="C27"/>
    <hyperlink r:id="rId53" ref="B28"/>
    <hyperlink r:id="rId54" ref="C28"/>
    <hyperlink r:id="rId55" ref="B29"/>
    <hyperlink r:id="rId56" ref="C29"/>
    <hyperlink r:id="rId57" ref="B30"/>
    <hyperlink r:id="rId58" ref="C30"/>
    <hyperlink r:id="rId59" ref="B31"/>
    <hyperlink r:id="rId60" ref="C31"/>
    <hyperlink r:id="rId61" ref="B32"/>
    <hyperlink r:id="rId62" ref="C32"/>
    <hyperlink r:id="rId63" ref="B33"/>
    <hyperlink r:id="rId64" ref="C33"/>
    <hyperlink r:id="rId65" ref="B34"/>
    <hyperlink r:id="rId66" ref="C34"/>
    <hyperlink r:id="rId67" ref="B35"/>
    <hyperlink r:id="rId68" ref="C35"/>
    <hyperlink r:id="rId69" ref="B36"/>
    <hyperlink r:id="rId70" ref="C36"/>
    <hyperlink r:id="rId71" ref="B37"/>
    <hyperlink r:id="rId72" ref="C37"/>
    <hyperlink r:id="rId73" ref="B38"/>
    <hyperlink r:id="rId74" ref="C38"/>
    <hyperlink r:id="rId75" ref="B39"/>
    <hyperlink r:id="rId76" ref="C39"/>
    <hyperlink r:id="rId77" ref="B40"/>
    <hyperlink r:id="rId78" ref="C40"/>
    <hyperlink r:id="rId79" ref="B41"/>
    <hyperlink r:id="rId80" ref="C41"/>
    <hyperlink r:id="rId81" ref="B42"/>
    <hyperlink r:id="rId82" ref="C42"/>
    <hyperlink r:id="rId83" ref="B43"/>
    <hyperlink r:id="rId84" ref="C43"/>
    <hyperlink r:id="rId85" ref="B44"/>
    <hyperlink r:id="rId86" ref="C44"/>
    <hyperlink r:id="rId87" ref="B45"/>
    <hyperlink r:id="rId88" ref="C45"/>
    <hyperlink r:id="rId89" ref="B46"/>
    <hyperlink r:id="rId90" ref="C46"/>
    <hyperlink r:id="rId91" ref="B47"/>
    <hyperlink r:id="rId92" ref="C47"/>
    <hyperlink r:id="rId93" ref="B48"/>
    <hyperlink r:id="rId94" ref="C48"/>
    <hyperlink r:id="rId95" ref="B49"/>
    <hyperlink r:id="rId96" ref="C49"/>
    <hyperlink r:id="rId97" ref="B50"/>
    <hyperlink r:id="rId98" ref="C50"/>
    <hyperlink r:id="rId99" ref="B51"/>
    <hyperlink r:id="rId100" ref="C51"/>
    <hyperlink r:id="rId101" ref="B52"/>
    <hyperlink r:id="rId102" ref="C52"/>
    <hyperlink r:id="rId103" ref="B53"/>
    <hyperlink r:id="rId104" ref="C53"/>
    <hyperlink r:id="rId105" ref="B54"/>
    <hyperlink r:id="rId106" ref="C54"/>
    <hyperlink r:id="rId107" ref="B55"/>
    <hyperlink r:id="rId108" ref="C55"/>
    <hyperlink r:id="rId109" ref="B56"/>
    <hyperlink r:id="rId110" ref="C56"/>
    <hyperlink r:id="rId111" ref="B57"/>
    <hyperlink r:id="rId112" ref="C57"/>
    <hyperlink r:id="rId113" ref="B58"/>
    <hyperlink r:id="rId114" ref="C58"/>
    <hyperlink r:id="rId115" ref="B59"/>
    <hyperlink r:id="rId116" ref="C59"/>
    <hyperlink r:id="rId117" ref="B60"/>
    <hyperlink r:id="rId118" ref="C60"/>
    <hyperlink r:id="rId119" ref="B61"/>
    <hyperlink r:id="rId120" ref="C61"/>
    <hyperlink r:id="rId121" ref="B62"/>
    <hyperlink r:id="rId122" ref="C62"/>
    <hyperlink r:id="rId123" ref="B63"/>
    <hyperlink r:id="rId124" ref="C63"/>
    <hyperlink r:id="rId125" ref="B64"/>
    <hyperlink r:id="rId126" ref="C64"/>
    <hyperlink r:id="rId127" ref="B65"/>
    <hyperlink r:id="rId128" ref="C65"/>
    <hyperlink r:id="rId129" ref="B66"/>
    <hyperlink r:id="rId130" ref="C66"/>
    <hyperlink r:id="rId131" ref="B67"/>
    <hyperlink r:id="rId132" ref="C67"/>
    <hyperlink r:id="rId133" ref="B68"/>
    <hyperlink r:id="rId134" ref="C68"/>
    <hyperlink r:id="rId135" ref="B69"/>
    <hyperlink r:id="rId136" ref="C69"/>
    <hyperlink r:id="rId137" ref="B70"/>
    <hyperlink r:id="rId138" ref="C70"/>
    <hyperlink r:id="rId139" ref="B71"/>
    <hyperlink r:id="rId140" ref="C71"/>
    <hyperlink r:id="rId141" ref="B72"/>
    <hyperlink r:id="rId142" ref="C72"/>
    <hyperlink r:id="rId143" ref="B73"/>
    <hyperlink r:id="rId144" ref="C73"/>
    <hyperlink r:id="rId145" ref="B74"/>
    <hyperlink r:id="rId146" ref="C74"/>
    <hyperlink r:id="rId147" ref="B75"/>
    <hyperlink r:id="rId148" ref="C75"/>
    <hyperlink r:id="rId149" ref="B76"/>
    <hyperlink r:id="rId150" ref="C76"/>
    <hyperlink r:id="rId151" ref="B77"/>
    <hyperlink r:id="rId152" ref="C77"/>
    <hyperlink r:id="rId153" ref="B78"/>
    <hyperlink r:id="rId154" ref="C78"/>
    <hyperlink r:id="rId155" ref="B79"/>
    <hyperlink r:id="rId156" ref="C79"/>
    <hyperlink r:id="rId157" ref="B80"/>
    <hyperlink r:id="rId158" ref="C80"/>
    <hyperlink r:id="rId159" ref="B81"/>
    <hyperlink r:id="rId160" ref="C81"/>
    <hyperlink r:id="rId161" ref="B82"/>
    <hyperlink r:id="rId162" ref="C82"/>
    <hyperlink r:id="rId163" ref="B83"/>
    <hyperlink r:id="rId164" ref="C83"/>
    <hyperlink r:id="rId165" ref="B84"/>
    <hyperlink r:id="rId166" ref="C84"/>
    <hyperlink r:id="rId167" ref="B85"/>
    <hyperlink r:id="rId168" ref="C85"/>
    <hyperlink r:id="rId169" ref="B86"/>
    <hyperlink r:id="rId170" ref="C86"/>
    <hyperlink r:id="rId171" ref="B87"/>
    <hyperlink r:id="rId172" ref="C87"/>
    <hyperlink r:id="rId173" ref="B88"/>
    <hyperlink r:id="rId174" ref="C88"/>
    <hyperlink r:id="rId175" ref="B89"/>
    <hyperlink r:id="rId176" ref="C89"/>
    <hyperlink r:id="rId177" ref="B90"/>
    <hyperlink r:id="rId178" ref="C90"/>
    <hyperlink r:id="rId179" ref="B91"/>
    <hyperlink r:id="rId180" ref="C91"/>
    <hyperlink r:id="rId181" ref="B92"/>
    <hyperlink r:id="rId182" ref="C92"/>
    <hyperlink r:id="rId183" ref="B93"/>
    <hyperlink r:id="rId184" ref="C93"/>
    <hyperlink r:id="rId185" ref="B94"/>
    <hyperlink r:id="rId186" ref="C94"/>
    <hyperlink r:id="rId187" ref="B95"/>
    <hyperlink r:id="rId188" ref="C95"/>
    <hyperlink r:id="rId189" ref="B96"/>
    <hyperlink r:id="rId190" ref="C96"/>
    <hyperlink r:id="rId191" ref="B97"/>
    <hyperlink r:id="rId192" ref="C97"/>
    <hyperlink r:id="rId193" ref="B98"/>
    <hyperlink r:id="rId194" ref="C98"/>
    <hyperlink r:id="rId195" ref="B99"/>
    <hyperlink r:id="rId196" ref="C99"/>
    <hyperlink r:id="rId197" ref="B100"/>
    <hyperlink r:id="rId198" ref="C100"/>
    <hyperlink r:id="rId199" ref="B101"/>
    <hyperlink r:id="rId200" ref="C101"/>
    <hyperlink r:id="rId201" ref="B102"/>
    <hyperlink r:id="rId202" ref="C102"/>
    <hyperlink r:id="rId203" ref="B103"/>
    <hyperlink r:id="rId204" ref="C103"/>
    <hyperlink r:id="rId205" ref="B104"/>
    <hyperlink r:id="rId206" ref="C104"/>
    <hyperlink r:id="rId207" ref="B105"/>
    <hyperlink r:id="rId208" ref="C105"/>
    <hyperlink r:id="rId209" ref="B106"/>
    <hyperlink r:id="rId210" ref="C106"/>
    <hyperlink r:id="rId211" ref="B107"/>
    <hyperlink r:id="rId212" ref="C107"/>
    <hyperlink r:id="rId213" ref="B108"/>
    <hyperlink r:id="rId214" ref="C108"/>
    <hyperlink r:id="rId215" ref="B109"/>
    <hyperlink r:id="rId216" ref="C109"/>
    <hyperlink r:id="rId217" ref="B110"/>
    <hyperlink r:id="rId218" ref="C110"/>
    <hyperlink r:id="rId219" ref="B111"/>
    <hyperlink r:id="rId220" ref="C111"/>
    <hyperlink r:id="rId221" ref="B112"/>
    <hyperlink r:id="rId222" ref="C112"/>
    <hyperlink r:id="rId223" ref="B113"/>
    <hyperlink r:id="rId224" ref="C113"/>
    <hyperlink r:id="rId225" ref="B114"/>
    <hyperlink r:id="rId226" ref="C114"/>
    <hyperlink r:id="rId227" ref="B115"/>
    <hyperlink r:id="rId228" ref="C115"/>
    <hyperlink r:id="rId229" ref="B116"/>
    <hyperlink r:id="rId230" ref="C116"/>
    <hyperlink r:id="rId231" ref="B117"/>
    <hyperlink r:id="rId232" ref="C117"/>
    <hyperlink r:id="rId233" ref="B118"/>
    <hyperlink r:id="rId234" ref="C118"/>
    <hyperlink r:id="rId235" ref="B119"/>
    <hyperlink r:id="rId236" ref="C119"/>
    <hyperlink r:id="rId237" ref="B120"/>
    <hyperlink r:id="rId238" ref="C120"/>
    <hyperlink r:id="rId239" ref="B121"/>
    <hyperlink r:id="rId240" ref="C121"/>
    <hyperlink r:id="rId241" ref="B122"/>
    <hyperlink r:id="rId242" ref="C122"/>
    <hyperlink r:id="rId243" ref="B123"/>
    <hyperlink r:id="rId244" ref="C123"/>
    <hyperlink r:id="rId245" ref="B124"/>
    <hyperlink r:id="rId246" ref="C124"/>
    <hyperlink r:id="rId247" ref="B125"/>
    <hyperlink r:id="rId248" ref="C125"/>
    <hyperlink r:id="rId249" ref="B126"/>
    <hyperlink r:id="rId250" ref="C126"/>
    <hyperlink r:id="rId251" ref="B127"/>
    <hyperlink r:id="rId252" ref="C127"/>
    <hyperlink r:id="rId253" ref="B128"/>
    <hyperlink r:id="rId254" ref="C128"/>
    <hyperlink r:id="rId255" ref="B129"/>
    <hyperlink r:id="rId256" ref="C129"/>
    <hyperlink r:id="rId257" ref="B130"/>
    <hyperlink r:id="rId258" ref="C130"/>
    <hyperlink r:id="rId259" ref="B131"/>
    <hyperlink r:id="rId260" ref="C131"/>
    <hyperlink r:id="rId261" ref="B132"/>
    <hyperlink r:id="rId262" ref="C132"/>
    <hyperlink r:id="rId263" ref="B133"/>
    <hyperlink r:id="rId264" ref="C133"/>
    <hyperlink r:id="rId265" ref="B134"/>
    <hyperlink r:id="rId266" ref="C134"/>
    <hyperlink r:id="rId267" ref="B135"/>
    <hyperlink r:id="rId268" ref="C135"/>
    <hyperlink r:id="rId269" ref="B136"/>
    <hyperlink r:id="rId270" ref="C136"/>
    <hyperlink r:id="rId271" ref="B137"/>
    <hyperlink r:id="rId272" ref="C137"/>
    <hyperlink r:id="rId273" ref="B138"/>
    <hyperlink r:id="rId274" ref="C138"/>
    <hyperlink r:id="rId275" ref="B139"/>
    <hyperlink r:id="rId276" ref="C139"/>
    <hyperlink r:id="rId277" ref="B140"/>
    <hyperlink r:id="rId278" ref="C140"/>
    <hyperlink r:id="rId279" ref="B141"/>
    <hyperlink r:id="rId280" ref="C141"/>
    <hyperlink r:id="rId281" ref="B142"/>
    <hyperlink r:id="rId282" ref="C142"/>
    <hyperlink r:id="rId283" ref="B143"/>
    <hyperlink r:id="rId284" ref="C143"/>
    <hyperlink r:id="rId285" ref="B144"/>
    <hyperlink r:id="rId286" ref="C144"/>
    <hyperlink r:id="rId287" ref="B145"/>
    <hyperlink r:id="rId288" ref="C145"/>
    <hyperlink r:id="rId289" ref="B146"/>
    <hyperlink r:id="rId290" ref="C146"/>
    <hyperlink r:id="rId291" ref="B147"/>
    <hyperlink r:id="rId292" ref="C147"/>
    <hyperlink r:id="rId293" ref="B148"/>
    <hyperlink r:id="rId294" ref="C148"/>
    <hyperlink r:id="rId295" ref="B149"/>
    <hyperlink r:id="rId296" ref="C149"/>
    <hyperlink r:id="rId297" ref="B150"/>
    <hyperlink r:id="rId298" ref="C150"/>
    <hyperlink r:id="rId299" ref="B151"/>
    <hyperlink r:id="rId300" ref="C151"/>
    <hyperlink r:id="rId301" ref="B152"/>
    <hyperlink r:id="rId302" ref="C152"/>
    <hyperlink r:id="rId303" ref="B153"/>
    <hyperlink r:id="rId304" ref="C153"/>
    <hyperlink r:id="rId305" ref="B154"/>
    <hyperlink r:id="rId306" ref="C154"/>
    <hyperlink r:id="rId307" ref="B155"/>
    <hyperlink r:id="rId308" ref="C155"/>
    <hyperlink r:id="rId309" ref="B156"/>
    <hyperlink r:id="rId310" ref="C156"/>
    <hyperlink r:id="rId311" ref="B157"/>
    <hyperlink r:id="rId312" ref="C157"/>
    <hyperlink r:id="rId313" ref="B158"/>
    <hyperlink r:id="rId314" ref="C158"/>
    <hyperlink r:id="rId315" ref="B159"/>
    <hyperlink r:id="rId316" ref="C159"/>
    <hyperlink r:id="rId317" ref="B160"/>
    <hyperlink r:id="rId318" ref="C160"/>
    <hyperlink r:id="rId319" ref="B161"/>
    <hyperlink r:id="rId320" ref="C161"/>
    <hyperlink r:id="rId321" ref="B162"/>
    <hyperlink r:id="rId322" ref="C162"/>
    <hyperlink r:id="rId323" ref="B163"/>
    <hyperlink r:id="rId324" ref="C163"/>
    <hyperlink r:id="rId325" ref="B164"/>
    <hyperlink r:id="rId326" ref="C164"/>
    <hyperlink r:id="rId327" ref="B165"/>
    <hyperlink r:id="rId328" ref="C165"/>
    <hyperlink r:id="rId329" ref="B166"/>
    <hyperlink r:id="rId330" ref="C166"/>
    <hyperlink r:id="rId331" ref="B167"/>
    <hyperlink r:id="rId332" ref="C167"/>
    <hyperlink r:id="rId333" ref="B168"/>
    <hyperlink r:id="rId334" ref="C168"/>
    <hyperlink r:id="rId335" ref="B169"/>
    <hyperlink r:id="rId336" ref="C169"/>
    <hyperlink r:id="rId337" ref="B170"/>
    <hyperlink r:id="rId338" ref="C170"/>
    <hyperlink r:id="rId339" ref="B171"/>
    <hyperlink r:id="rId340" ref="C171"/>
    <hyperlink r:id="rId341" ref="B172"/>
    <hyperlink r:id="rId342" ref="C172"/>
    <hyperlink r:id="rId343" ref="B173"/>
    <hyperlink r:id="rId344" ref="C173"/>
    <hyperlink r:id="rId345" ref="B174"/>
    <hyperlink r:id="rId346" ref="C174"/>
    <hyperlink r:id="rId347" ref="B175"/>
    <hyperlink r:id="rId348" ref="C175"/>
    <hyperlink r:id="rId349" ref="B176"/>
    <hyperlink r:id="rId350" ref="C176"/>
    <hyperlink r:id="rId351" ref="B177"/>
    <hyperlink r:id="rId352" ref="C177"/>
    <hyperlink r:id="rId353" ref="B178"/>
    <hyperlink r:id="rId354" ref="C178"/>
    <hyperlink r:id="rId355" ref="B179"/>
    <hyperlink r:id="rId356" ref="C179"/>
    <hyperlink r:id="rId357" ref="B180"/>
    <hyperlink r:id="rId358" ref="C180"/>
    <hyperlink r:id="rId359" ref="B181"/>
    <hyperlink r:id="rId360" ref="C181"/>
    <hyperlink r:id="rId361" ref="B182"/>
    <hyperlink r:id="rId362" ref="C182"/>
    <hyperlink r:id="rId363" ref="B183"/>
    <hyperlink r:id="rId364" ref="C183"/>
    <hyperlink r:id="rId365" ref="B184"/>
    <hyperlink r:id="rId366" ref="C184"/>
    <hyperlink r:id="rId367" ref="B185"/>
    <hyperlink r:id="rId368" ref="C185"/>
    <hyperlink r:id="rId369" ref="B186"/>
    <hyperlink r:id="rId370" ref="C186"/>
    <hyperlink r:id="rId371" ref="B187"/>
    <hyperlink r:id="rId372" ref="C187"/>
    <hyperlink r:id="rId373" ref="B188"/>
    <hyperlink r:id="rId374" ref="C188"/>
    <hyperlink r:id="rId375" ref="B189"/>
    <hyperlink r:id="rId376" ref="C189"/>
    <hyperlink r:id="rId377" ref="B190"/>
    <hyperlink r:id="rId378" ref="C190"/>
    <hyperlink r:id="rId379" ref="B191"/>
    <hyperlink r:id="rId380" ref="C191"/>
    <hyperlink r:id="rId381" ref="B192"/>
    <hyperlink r:id="rId382" ref="C192"/>
    <hyperlink r:id="rId383" ref="B193"/>
    <hyperlink r:id="rId384" ref="C193"/>
    <hyperlink r:id="rId385" ref="B194"/>
    <hyperlink r:id="rId386" ref="C194"/>
    <hyperlink r:id="rId387" ref="B195"/>
    <hyperlink r:id="rId388" ref="C195"/>
    <hyperlink r:id="rId389" ref="B196"/>
    <hyperlink r:id="rId390" ref="C196"/>
    <hyperlink r:id="rId391" ref="B197"/>
    <hyperlink r:id="rId392" ref="C197"/>
    <hyperlink r:id="rId393" ref="B198"/>
    <hyperlink r:id="rId394" ref="C198"/>
    <hyperlink r:id="rId395" ref="B199"/>
    <hyperlink r:id="rId396" ref="C199"/>
    <hyperlink r:id="rId397" ref="B200"/>
    <hyperlink r:id="rId398" ref="C200"/>
    <hyperlink r:id="rId399" ref="B201"/>
    <hyperlink r:id="rId400" ref="C201"/>
    <hyperlink r:id="rId401" ref="B202"/>
    <hyperlink r:id="rId402" ref="C202"/>
    <hyperlink r:id="rId403" ref="B203"/>
    <hyperlink r:id="rId404" ref="C203"/>
    <hyperlink r:id="rId405" ref="B204"/>
    <hyperlink r:id="rId406" ref="C204"/>
    <hyperlink r:id="rId407" ref="B205"/>
    <hyperlink r:id="rId408" ref="C205"/>
    <hyperlink r:id="rId409" ref="B206"/>
    <hyperlink r:id="rId410" ref="C206"/>
    <hyperlink r:id="rId411" ref="B207"/>
    <hyperlink r:id="rId412" ref="C207"/>
    <hyperlink r:id="rId413" ref="B208"/>
    <hyperlink r:id="rId414" ref="C208"/>
    <hyperlink r:id="rId415" ref="B209"/>
    <hyperlink r:id="rId416" ref="C209"/>
    <hyperlink r:id="rId417" ref="B210"/>
    <hyperlink r:id="rId418" ref="C210"/>
    <hyperlink r:id="rId419" ref="B211"/>
    <hyperlink r:id="rId420" ref="C211"/>
    <hyperlink r:id="rId421" ref="B212"/>
    <hyperlink r:id="rId422" ref="C212"/>
    <hyperlink r:id="rId423" ref="B213"/>
    <hyperlink r:id="rId424" ref="C213"/>
    <hyperlink r:id="rId425" ref="B214"/>
    <hyperlink r:id="rId426" ref="C214"/>
    <hyperlink r:id="rId427" ref="B215"/>
    <hyperlink r:id="rId428" ref="C215"/>
    <hyperlink r:id="rId429" ref="B216"/>
    <hyperlink r:id="rId430" ref="C216"/>
    <hyperlink r:id="rId431" ref="B217"/>
    <hyperlink r:id="rId432" ref="C217"/>
    <hyperlink r:id="rId433" ref="B218"/>
    <hyperlink r:id="rId434" ref="C218"/>
    <hyperlink r:id="rId435" ref="B219"/>
    <hyperlink r:id="rId436" ref="C219"/>
    <hyperlink r:id="rId437" ref="B220"/>
    <hyperlink r:id="rId438" ref="C220"/>
    <hyperlink r:id="rId439" ref="B221"/>
    <hyperlink r:id="rId440" ref="C221"/>
    <hyperlink r:id="rId441" ref="B222"/>
    <hyperlink r:id="rId442" ref="C222"/>
    <hyperlink r:id="rId443" ref="B223"/>
    <hyperlink r:id="rId444" ref="C223"/>
    <hyperlink r:id="rId445" ref="B224"/>
    <hyperlink r:id="rId446" ref="C224"/>
    <hyperlink r:id="rId447" ref="B225"/>
    <hyperlink r:id="rId448" ref="C225"/>
    <hyperlink r:id="rId449" ref="B226"/>
    <hyperlink r:id="rId450" ref="C226"/>
    <hyperlink r:id="rId451" ref="B227"/>
    <hyperlink r:id="rId452" ref="C227"/>
    <hyperlink r:id="rId453" ref="B228"/>
    <hyperlink r:id="rId454" ref="C228"/>
    <hyperlink r:id="rId455" ref="B229"/>
    <hyperlink r:id="rId456" ref="C229"/>
    <hyperlink r:id="rId457" ref="B230"/>
    <hyperlink r:id="rId458" ref="C230"/>
    <hyperlink r:id="rId459" ref="B231"/>
    <hyperlink r:id="rId460" ref="C231"/>
    <hyperlink r:id="rId461" ref="B232"/>
    <hyperlink r:id="rId462" ref="C232"/>
    <hyperlink r:id="rId463" ref="B233"/>
    <hyperlink r:id="rId464" ref="C233"/>
    <hyperlink r:id="rId465" ref="B234"/>
    <hyperlink r:id="rId466" ref="C234"/>
    <hyperlink r:id="rId467" ref="B235"/>
    <hyperlink r:id="rId468" ref="C235"/>
    <hyperlink r:id="rId469" ref="B236"/>
    <hyperlink r:id="rId470" ref="C236"/>
    <hyperlink r:id="rId471" ref="B237"/>
    <hyperlink r:id="rId472" ref="C237"/>
    <hyperlink r:id="rId473" ref="B238"/>
    <hyperlink r:id="rId474" ref="C238"/>
    <hyperlink r:id="rId475" ref="B239"/>
    <hyperlink r:id="rId476" ref="C239"/>
    <hyperlink r:id="rId477" ref="B240"/>
    <hyperlink r:id="rId478" ref="C240"/>
    <hyperlink r:id="rId479" ref="B241"/>
    <hyperlink r:id="rId480" ref="C241"/>
    <hyperlink r:id="rId481" ref="B242"/>
    <hyperlink r:id="rId482" ref="C242"/>
    <hyperlink r:id="rId483" ref="B243"/>
    <hyperlink r:id="rId484" ref="C243"/>
    <hyperlink r:id="rId485" ref="B244"/>
    <hyperlink r:id="rId486" ref="C244"/>
    <hyperlink r:id="rId487" ref="B245"/>
    <hyperlink r:id="rId488" ref="C245"/>
    <hyperlink r:id="rId489" ref="B246"/>
    <hyperlink r:id="rId490" ref="C246"/>
    <hyperlink r:id="rId491" ref="B247"/>
    <hyperlink r:id="rId492" ref="C247"/>
    <hyperlink r:id="rId493" ref="B248"/>
    <hyperlink r:id="rId494" ref="C248"/>
    <hyperlink r:id="rId495" ref="B249"/>
    <hyperlink r:id="rId496" ref="C249"/>
    <hyperlink r:id="rId497" ref="B250"/>
    <hyperlink r:id="rId498" ref="C250"/>
    <hyperlink r:id="rId499" ref="B251"/>
    <hyperlink r:id="rId500" ref="C251"/>
    <hyperlink r:id="rId501" ref="B252"/>
    <hyperlink r:id="rId502" ref="C252"/>
    <hyperlink r:id="rId503" ref="B253"/>
    <hyperlink r:id="rId504" ref="C253"/>
    <hyperlink r:id="rId505" ref="B254"/>
    <hyperlink r:id="rId506" ref="C254"/>
    <hyperlink r:id="rId507" ref="B255"/>
    <hyperlink r:id="rId508" ref="C255"/>
    <hyperlink r:id="rId509" ref="B256"/>
    <hyperlink r:id="rId510" ref="C256"/>
    <hyperlink r:id="rId511" ref="B257"/>
    <hyperlink r:id="rId512" ref="C257"/>
    <hyperlink r:id="rId513" ref="B258"/>
    <hyperlink r:id="rId514" ref="C258"/>
    <hyperlink r:id="rId515" ref="B259"/>
    <hyperlink r:id="rId516" ref="C259"/>
    <hyperlink r:id="rId517" ref="B260"/>
    <hyperlink r:id="rId518" ref="C260"/>
    <hyperlink r:id="rId519" ref="B261"/>
    <hyperlink r:id="rId520" ref="C261"/>
    <hyperlink r:id="rId521" ref="B262"/>
    <hyperlink r:id="rId522" ref="C262"/>
    <hyperlink r:id="rId523" ref="B263"/>
    <hyperlink r:id="rId524" ref="C263"/>
    <hyperlink r:id="rId525" ref="B264"/>
    <hyperlink r:id="rId526" ref="C264"/>
    <hyperlink r:id="rId527" ref="B265"/>
    <hyperlink r:id="rId528" ref="C265"/>
    <hyperlink r:id="rId529" ref="B266"/>
    <hyperlink r:id="rId530" ref="C266"/>
    <hyperlink r:id="rId531" ref="B267"/>
    <hyperlink r:id="rId532" ref="C267"/>
    <hyperlink r:id="rId533" ref="B268"/>
    <hyperlink r:id="rId534" ref="C268"/>
    <hyperlink r:id="rId535" ref="B269"/>
    <hyperlink r:id="rId536" ref="C269"/>
    <hyperlink r:id="rId537" ref="B270"/>
    <hyperlink r:id="rId538" ref="C270"/>
    <hyperlink r:id="rId539" ref="B271"/>
    <hyperlink r:id="rId540" ref="C271"/>
    <hyperlink r:id="rId541" ref="B272"/>
    <hyperlink r:id="rId542" ref="C272"/>
    <hyperlink r:id="rId543" ref="B273"/>
    <hyperlink r:id="rId544" ref="C273"/>
    <hyperlink r:id="rId545" ref="B274"/>
    <hyperlink r:id="rId546" ref="C274"/>
    <hyperlink r:id="rId547" ref="B275"/>
    <hyperlink r:id="rId548" ref="C275"/>
    <hyperlink r:id="rId549" ref="B276"/>
    <hyperlink r:id="rId550" ref="C276"/>
    <hyperlink r:id="rId551" ref="B277"/>
    <hyperlink r:id="rId552" ref="C277"/>
    <hyperlink r:id="rId553" ref="B278"/>
    <hyperlink r:id="rId554" ref="C278"/>
    <hyperlink r:id="rId555" ref="B279"/>
    <hyperlink r:id="rId556" ref="C279"/>
    <hyperlink r:id="rId557" ref="B280"/>
    <hyperlink r:id="rId558" ref="C280"/>
    <hyperlink r:id="rId559" ref="B281"/>
    <hyperlink r:id="rId560" ref="C281"/>
    <hyperlink r:id="rId561" ref="B282"/>
    <hyperlink r:id="rId562" ref="C282"/>
    <hyperlink r:id="rId563" ref="B283"/>
    <hyperlink r:id="rId564" ref="C283"/>
    <hyperlink r:id="rId565" ref="B284"/>
    <hyperlink r:id="rId566" ref="C284"/>
    <hyperlink r:id="rId567" ref="B285"/>
    <hyperlink r:id="rId568" ref="C285"/>
    <hyperlink r:id="rId569" ref="B286"/>
    <hyperlink r:id="rId570" ref="C286"/>
    <hyperlink r:id="rId571" ref="B287"/>
    <hyperlink r:id="rId572" ref="C287"/>
    <hyperlink r:id="rId573" ref="B288"/>
    <hyperlink r:id="rId574" ref="C288"/>
    <hyperlink r:id="rId575" ref="B289"/>
    <hyperlink r:id="rId576" ref="C289"/>
    <hyperlink r:id="rId577" ref="B290"/>
    <hyperlink r:id="rId578" ref="C290"/>
    <hyperlink r:id="rId579" ref="B291"/>
    <hyperlink r:id="rId580" ref="C291"/>
    <hyperlink r:id="rId581" ref="B292"/>
    <hyperlink r:id="rId582" ref="C292"/>
    <hyperlink r:id="rId583" ref="B293"/>
    <hyperlink r:id="rId584" ref="C293"/>
    <hyperlink r:id="rId585" ref="B294"/>
    <hyperlink r:id="rId586" ref="C294"/>
    <hyperlink r:id="rId587" ref="B295"/>
    <hyperlink r:id="rId588" ref="C295"/>
    <hyperlink r:id="rId589" ref="B296"/>
    <hyperlink r:id="rId590" ref="C296"/>
    <hyperlink r:id="rId591" ref="B297"/>
    <hyperlink r:id="rId592" ref="C297"/>
    <hyperlink r:id="rId593" ref="B298"/>
    <hyperlink r:id="rId594" ref="C298"/>
    <hyperlink r:id="rId595" ref="B299"/>
    <hyperlink r:id="rId596" ref="C299"/>
    <hyperlink r:id="rId597" ref="B300"/>
    <hyperlink r:id="rId598" ref="C300"/>
    <hyperlink r:id="rId599" ref="B301"/>
    <hyperlink r:id="rId600" ref="C301"/>
    <hyperlink r:id="rId601" ref="B302"/>
    <hyperlink r:id="rId602" ref="C302"/>
    <hyperlink r:id="rId603" ref="B303"/>
    <hyperlink r:id="rId604" ref="C303"/>
    <hyperlink r:id="rId605" ref="B304"/>
    <hyperlink r:id="rId606" ref="C304"/>
    <hyperlink r:id="rId607" ref="B305"/>
    <hyperlink r:id="rId608" ref="C305"/>
    <hyperlink r:id="rId609" ref="B306"/>
    <hyperlink r:id="rId610" ref="C306"/>
    <hyperlink r:id="rId611" ref="B307"/>
    <hyperlink r:id="rId612" ref="C307"/>
    <hyperlink r:id="rId613" ref="B308"/>
    <hyperlink r:id="rId614" ref="C308"/>
    <hyperlink r:id="rId615" ref="B309"/>
    <hyperlink r:id="rId616" ref="C309"/>
    <hyperlink r:id="rId617" ref="B310"/>
    <hyperlink r:id="rId618" ref="C310"/>
    <hyperlink r:id="rId619" ref="B311"/>
    <hyperlink r:id="rId620" ref="C311"/>
    <hyperlink r:id="rId621" ref="B312"/>
    <hyperlink r:id="rId622" ref="C312"/>
    <hyperlink r:id="rId623" ref="B313"/>
    <hyperlink r:id="rId624" ref="C313"/>
    <hyperlink r:id="rId625" ref="B314"/>
    <hyperlink r:id="rId626" ref="C314"/>
    <hyperlink r:id="rId627" ref="B315"/>
    <hyperlink r:id="rId628" ref="C315"/>
    <hyperlink r:id="rId629" ref="B316"/>
    <hyperlink r:id="rId630" ref="C316"/>
    <hyperlink r:id="rId631" ref="B317"/>
    <hyperlink r:id="rId632" ref="C317"/>
    <hyperlink r:id="rId633" ref="B318"/>
    <hyperlink r:id="rId634" ref="C318"/>
    <hyperlink r:id="rId635" ref="B319"/>
    <hyperlink r:id="rId636" ref="C319"/>
    <hyperlink r:id="rId637" ref="B320"/>
    <hyperlink r:id="rId638" ref="C320"/>
    <hyperlink r:id="rId639" ref="B321"/>
    <hyperlink r:id="rId640" ref="C321"/>
    <hyperlink r:id="rId641" ref="B322"/>
    <hyperlink r:id="rId642" ref="C322"/>
    <hyperlink r:id="rId643" ref="B323"/>
    <hyperlink r:id="rId644" ref="C323"/>
    <hyperlink r:id="rId645" ref="B324"/>
    <hyperlink r:id="rId646" ref="C324"/>
    <hyperlink r:id="rId647" ref="B325"/>
    <hyperlink r:id="rId648" ref="C325"/>
    <hyperlink r:id="rId649" ref="B326"/>
    <hyperlink r:id="rId650" ref="C326"/>
    <hyperlink r:id="rId651" ref="B327"/>
    <hyperlink r:id="rId652" ref="C327"/>
    <hyperlink r:id="rId653" ref="B328"/>
    <hyperlink r:id="rId654" ref="C328"/>
    <hyperlink r:id="rId655" ref="B329"/>
    <hyperlink r:id="rId656" ref="C329"/>
    <hyperlink r:id="rId657" ref="B330"/>
    <hyperlink r:id="rId658" ref="C330"/>
    <hyperlink r:id="rId659" ref="B331"/>
    <hyperlink r:id="rId660" ref="C331"/>
    <hyperlink r:id="rId661" ref="B332"/>
    <hyperlink r:id="rId662" ref="C332"/>
    <hyperlink r:id="rId663" ref="B333"/>
    <hyperlink r:id="rId664" ref="C333"/>
    <hyperlink r:id="rId665" ref="B334"/>
    <hyperlink r:id="rId666" ref="C334"/>
    <hyperlink r:id="rId667" ref="B335"/>
    <hyperlink r:id="rId668" ref="C335"/>
    <hyperlink r:id="rId669" ref="B336"/>
    <hyperlink r:id="rId670" ref="C336"/>
    <hyperlink r:id="rId671" ref="B337"/>
    <hyperlink r:id="rId672" ref="C337"/>
    <hyperlink r:id="rId673" ref="B338"/>
    <hyperlink r:id="rId674" ref="C338"/>
    <hyperlink r:id="rId675" ref="B339"/>
    <hyperlink r:id="rId676" ref="C339"/>
    <hyperlink r:id="rId677" ref="B340"/>
    <hyperlink r:id="rId678" ref="C340"/>
    <hyperlink r:id="rId679" ref="B341"/>
    <hyperlink r:id="rId680" ref="C341"/>
    <hyperlink r:id="rId681" ref="B342"/>
    <hyperlink r:id="rId682" ref="C342"/>
    <hyperlink r:id="rId683" ref="B343"/>
    <hyperlink r:id="rId684" ref="C343"/>
    <hyperlink r:id="rId685" ref="B344"/>
    <hyperlink r:id="rId686" ref="C344"/>
    <hyperlink r:id="rId687" ref="B345"/>
    <hyperlink r:id="rId688" ref="C345"/>
    <hyperlink r:id="rId689" ref="B346"/>
    <hyperlink r:id="rId690" ref="C346"/>
    <hyperlink r:id="rId691" ref="B347"/>
    <hyperlink r:id="rId692" ref="C347"/>
    <hyperlink r:id="rId693" ref="B348"/>
    <hyperlink r:id="rId694" ref="C348"/>
    <hyperlink r:id="rId695" ref="B349"/>
    <hyperlink r:id="rId696" ref="C349"/>
    <hyperlink r:id="rId697" ref="B350"/>
    <hyperlink r:id="rId698" ref="C350"/>
    <hyperlink r:id="rId699" ref="B351"/>
    <hyperlink r:id="rId700" ref="C351"/>
    <hyperlink r:id="rId701" ref="B352"/>
    <hyperlink r:id="rId702" ref="C352"/>
    <hyperlink r:id="rId703" ref="B353"/>
    <hyperlink r:id="rId704" ref="C353"/>
    <hyperlink r:id="rId705" ref="B354"/>
    <hyperlink r:id="rId706" ref="C354"/>
    <hyperlink r:id="rId707" ref="B355"/>
    <hyperlink r:id="rId708" ref="C355"/>
    <hyperlink r:id="rId709" ref="B356"/>
    <hyperlink r:id="rId710" ref="C356"/>
    <hyperlink r:id="rId711" ref="B357"/>
    <hyperlink r:id="rId712" ref="C357"/>
    <hyperlink r:id="rId713" ref="B358"/>
    <hyperlink r:id="rId714" ref="C358"/>
    <hyperlink r:id="rId715" ref="B359"/>
    <hyperlink r:id="rId716" ref="C359"/>
    <hyperlink r:id="rId717" ref="B360"/>
    <hyperlink r:id="rId718" ref="C360"/>
    <hyperlink r:id="rId719" ref="B361"/>
    <hyperlink r:id="rId720" ref="C361"/>
    <hyperlink r:id="rId721" ref="B362"/>
    <hyperlink r:id="rId722" ref="C362"/>
    <hyperlink r:id="rId723" ref="B363"/>
    <hyperlink r:id="rId724" ref="C363"/>
    <hyperlink r:id="rId725" ref="B364"/>
    <hyperlink r:id="rId726" ref="C364"/>
    <hyperlink r:id="rId727" ref="B365"/>
    <hyperlink r:id="rId728" ref="C365"/>
    <hyperlink r:id="rId729" ref="B366"/>
    <hyperlink r:id="rId730" ref="C366"/>
    <hyperlink r:id="rId731" ref="B367"/>
    <hyperlink r:id="rId732" ref="C367"/>
    <hyperlink r:id="rId733" ref="B368"/>
    <hyperlink r:id="rId734" ref="C368"/>
    <hyperlink r:id="rId735" ref="B369"/>
    <hyperlink r:id="rId736" ref="C369"/>
    <hyperlink r:id="rId737" ref="B370"/>
    <hyperlink r:id="rId738" ref="C370"/>
    <hyperlink r:id="rId739" ref="B371"/>
    <hyperlink r:id="rId740" ref="C371"/>
    <hyperlink r:id="rId741" ref="B372"/>
    <hyperlink r:id="rId742" ref="C372"/>
    <hyperlink r:id="rId743" ref="B373"/>
    <hyperlink r:id="rId744" ref="C373"/>
    <hyperlink r:id="rId745" ref="B374"/>
    <hyperlink r:id="rId746" ref="C374"/>
    <hyperlink r:id="rId747" ref="B375"/>
    <hyperlink r:id="rId748" ref="C375"/>
    <hyperlink r:id="rId749" ref="B376"/>
    <hyperlink r:id="rId750" ref="C376"/>
    <hyperlink r:id="rId751" ref="B377"/>
    <hyperlink r:id="rId752" ref="C377"/>
    <hyperlink r:id="rId753" ref="B378"/>
    <hyperlink r:id="rId754" ref="C378"/>
    <hyperlink r:id="rId755" ref="B379"/>
    <hyperlink r:id="rId756" ref="C379"/>
    <hyperlink r:id="rId757" ref="B380"/>
    <hyperlink r:id="rId758" ref="C380"/>
    <hyperlink r:id="rId759" ref="B381"/>
    <hyperlink r:id="rId760" ref="C381"/>
    <hyperlink r:id="rId761" ref="B382"/>
    <hyperlink r:id="rId762" ref="C382"/>
    <hyperlink r:id="rId763" ref="B383"/>
    <hyperlink r:id="rId764" ref="C383"/>
    <hyperlink r:id="rId765" ref="B384"/>
    <hyperlink r:id="rId766" ref="C384"/>
    <hyperlink r:id="rId767" ref="B385"/>
    <hyperlink r:id="rId768" ref="C385"/>
    <hyperlink r:id="rId769" ref="B386"/>
    <hyperlink r:id="rId770" ref="C386"/>
    <hyperlink r:id="rId771" ref="B387"/>
    <hyperlink r:id="rId772" ref="C387"/>
    <hyperlink r:id="rId773" ref="B388"/>
    <hyperlink r:id="rId774" ref="C388"/>
    <hyperlink r:id="rId775" ref="B389"/>
    <hyperlink r:id="rId776" ref="C389"/>
    <hyperlink r:id="rId777" ref="B390"/>
    <hyperlink r:id="rId778" ref="C390"/>
    <hyperlink r:id="rId779" ref="B391"/>
    <hyperlink r:id="rId780" ref="C391"/>
    <hyperlink r:id="rId781" ref="B392"/>
    <hyperlink r:id="rId782" ref="C392"/>
    <hyperlink r:id="rId783" ref="B393"/>
    <hyperlink r:id="rId784" ref="C393"/>
    <hyperlink r:id="rId785" ref="B394"/>
    <hyperlink r:id="rId786" ref="C394"/>
    <hyperlink r:id="rId787" ref="B395"/>
    <hyperlink r:id="rId788" ref="C395"/>
    <hyperlink r:id="rId789" ref="B396"/>
    <hyperlink r:id="rId790" ref="C396"/>
    <hyperlink r:id="rId791" ref="B397"/>
    <hyperlink r:id="rId792" ref="C397"/>
    <hyperlink r:id="rId793" ref="B398"/>
    <hyperlink r:id="rId794" ref="C398"/>
    <hyperlink r:id="rId795" ref="B399"/>
    <hyperlink r:id="rId796" ref="C399"/>
    <hyperlink r:id="rId797" ref="B400"/>
    <hyperlink r:id="rId798" ref="C400"/>
    <hyperlink r:id="rId799" ref="B401"/>
    <hyperlink r:id="rId800" ref="C401"/>
    <hyperlink r:id="rId801" ref="B402"/>
    <hyperlink r:id="rId802" ref="C402"/>
    <hyperlink r:id="rId803" ref="B403"/>
    <hyperlink r:id="rId804" ref="C403"/>
    <hyperlink r:id="rId805" ref="B404"/>
    <hyperlink r:id="rId806" ref="C404"/>
    <hyperlink r:id="rId807" ref="B405"/>
    <hyperlink r:id="rId808" ref="C405"/>
    <hyperlink r:id="rId809" ref="B406"/>
    <hyperlink r:id="rId810" ref="C406"/>
    <hyperlink r:id="rId811" ref="B407"/>
    <hyperlink r:id="rId812" ref="C407"/>
    <hyperlink r:id="rId813" ref="B408"/>
    <hyperlink r:id="rId814" ref="C408"/>
    <hyperlink r:id="rId815" ref="B409"/>
    <hyperlink r:id="rId816" ref="C409"/>
    <hyperlink r:id="rId817" ref="B410"/>
    <hyperlink r:id="rId818" ref="C410"/>
    <hyperlink r:id="rId819" ref="B411"/>
    <hyperlink r:id="rId820" ref="C411"/>
    <hyperlink r:id="rId821" ref="B412"/>
    <hyperlink r:id="rId822" ref="C412"/>
    <hyperlink r:id="rId823" ref="B413"/>
    <hyperlink r:id="rId824" ref="C413"/>
    <hyperlink r:id="rId825" ref="B414"/>
    <hyperlink r:id="rId826" ref="C414"/>
    <hyperlink r:id="rId827" ref="B415"/>
    <hyperlink r:id="rId828" ref="C415"/>
    <hyperlink r:id="rId829" ref="B416"/>
    <hyperlink r:id="rId830" ref="C416"/>
    <hyperlink r:id="rId831" ref="B417"/>
    <hyperlink r:id="rId832" ref="C417"/>
    <hyperlink r:id="rId833" ref="B418"/>
    <hyperlink r:id="rId834" ref="C418"/>
    <hyperlink r:id="rId835" ref="B419"/>
    <hyperlink r:id="rId836" ref="C419"/>
    <hyperlink r:id="rId837" ref="B420"/>
    <hyperlink r:id="rId838" ref="C420"/>
    <hyperlink r:id="rId839" ref="B421"/>
    <hyperlink r:id="rId840" ref="C421"/>
    <hyperlink r:id="rId841" ref="B422"/>
    <hyperlink r:id="rId842" ref="C422"/>
    <hyperlink r:id="rId843" ref="B423"/>
    <hyperlink r:id="rId844" ref="C423"/>
    <hyperlink r:id="rId845" ref="B424"/>
    <hyperlink r:id="rId846" ref="C424"/>
    <hyperlink r:id="rId847" ref="B425"/>
    <hyperlink r:id="rId848" ref="C425"/>
    <hyperlink r:id="rId849" ref="B426"/>
    <hyperlink r:id="rId850" ref="C426"/>
    <hyperlink r:id="rId851" ref="B427"/>
    <hyperlink r:id="rId852" ref="C427"/>
    <hyperlink r:id="rId853" ref="B428"/>
    <hyperlink r:id="rId854" ref="C428"/>
    <hyperlink r:id="rId855" ref="B429"/>
    <hyperlink r:id="rId856" ref="C429"/>
    <hyperlink r:id="rId857" ref="B430"/>
    <hyperlink r:id="rId858" ref="C430"/>
    <hyperlink r:id="rId859" ref="B431"/>
    <hyperlink r:id="rId860" ref="C431"/>
    <hyperlink r:id="rId861" ref="B432"/>
    <hyperlink r:id="rId862" ref="C432"/>
    <hyperlink r:id="rId863" ref="B433"/>
    <hyperlink r:id="rId864" ref="C433"/>
    <hyperlink r:id="rId865" ref="B434"/>
    <hyperlink r:id="rId866" ref="C434"/>
    <hyperlink r:id="rId867" ref="B435"/>
    <hyperlink r:id="rId868" ref="C435"/>
    <hyperlink r:id="rId869" ref="B436"/>
    <hyperlink r:id="rId870" ref="C436"/>
    <hyperlink r:id="rId871" ref="B437"/>
    <hyperlink r:id="rId872" ref="C437"/>
    <hyperlink r:id="rId873" ref="B438"/>
    <hyperlink r:id="rId874" ref="C438"/>
    <hyperlink r:id="rId875" ref="B439"/>
    <hyperlink r:id="rId876" ref="C439"/>
    <hyperlink r:id="rId877" ref="B440"/>
    <hyperlink r:id="rId878" ref="C440"/>
    <hyperlink r:id="rId879" ref="B441"/>
    <hyperlink r:id="rId880" ref="C441"/>
    <hyperlink r:id="rId881" ref="B442"/>
    <hyperlink r:id="rId882" ref="C442"/>
    <hyperlink r:id="rId883" ref="B443"/>
    <hyperlink r:id="rId884" ref="C443"/>
    <hyperlink r:id="rId885" ref="B444"/>
    <hyperlink r:id="rId886" ref="C444"/>
    <hyperlink r:id="rId887" ref="B445"/>
    <hyperlink r:id="rId888" ref="C445"/>
    <hyperlink r:id="rId889" ref="B446"/>
    <hyperlink r:id="rId890" ref="C446"/>
    <hyperlink r:id="rId891" ref="B447"/>
    <hyperlink r:id="rId892" ref="C447"/>
    <hyperlink r:id="rId893" ref="B448"/>
    <hyperlink r:id="rId894" ref="C448"/>
    <hyperlink r:id="rId895" ref="B449"/>
    <hyperlink r:id="rId896" ref="C449"/>
    <hyperlink r:id="rId897" ref="B450"/>
    <hyperlink r:id="rId898" ref="C450"/>
    <hyperlink r:id="rId899" ref="B451"/>
    <hyperlink r:id="rId900" ref="C451"/>
    <hyperlink r:id="rId901" ref="B452"/>
    <hyperlink r:id="rId902" ref="C452"/>
    <hyperlink r:id="rId903" ref="B453"/>
    <hyperlink r:id="rId904" ref="C453"/>
    <hyperlink r:id="rId905" ref="B454"/>
    <hyperlink r:id="rId906" ref="C454"/>
    <hyperlink r:id="rId907" ref="B455"/>
    <hyperlink r:id="rId908" ref="C455"/>
    <hyperlink r:id="rId909" ref="B456"/>
    <hyperlink r:id="rId910" ref="C456"/>
    <hyperlink r:id="rId911" ref="B457"/>
    <hyperlink r:id="rId912" ref="C457"/>
    <hyperlink r:id="rId913" ref="B458"/>
    <hyperlink r:id="rId914" ref="C458"/>
    <hyperlink r:id="rId915" ref="B459"/>
    <hyperlink r:id="rId916" ref="C459"/>
    <hyperlink r:id="rId917" ref="B460"/>
    <hyperlink r:id="rId918" ref="C460"/>
    <hyperlink r:id="rId919" ref="B461"/>
    <hyperlink r:id="rId920" ref="C461"/>
    <hyperlink r:id="rId921" ref="B462"/>
    <hyperlink r:id="rId922" ref="C462"/>
    <hyperlink r:id="rId923" ref="B463"/>
    <hyperlink r:id="rId924" ref="C463"/>
    <hyperlink r:id="rId925" ref="B464"/>
    <hyperlink r:id="rId926" ref="C464"/>
    <hyperlink r:id="rId927" ref="B465"/>
    <hyperlink r:id="rId928" ref="C465"/>
    <hyperlink r:id="rId929" ref="B466"/>
    <hyperlink r:id="rId930" ref="C466"/>
    <hyperlink r:id="rId931" ref="B467"/>
    <hyperlink r:id="rId932" ref="C467"/>
    <hyperlink r:id="rId933" ref="B468"/>
    <hyperlink r:id="rId934" ref="C468"/>
    <hyperlink r:id="rId935" ref="B469"/>
    <hyperlink r:id="rId936" ref="C469"/>
    <hyperlink r:id="rId937" ref="B470"/>
    <hyperlink r:id="rId938" ref="C470"/>
    <hyperlink r:id="rId939" ref="B471"/>
    <hyperlink r:id="rId940" ref="C471"/>
    <hyperlink r:id="rId941" ref="B472"/>
    <hyperlink r:id="rId942" ref="C472"/>
    <hyperlink r:id="rId943" ref="B473"/>
    <hyperlink r:id="rId944" ref="C473"/>
    <hyperlink r:id="rId945" ref="B474"/>
    <hyperlink r:id="rId946" ref="C474"/>
    <hyperlink r:id="rId947" ref="B475"/>
    <hyperlink r:id="rId948" ref="C475"/>
    <hyperlink r:id="rId949" ref="B476"/>
    <hyperlink r:id="rId950" ref="C476"/>
    <hyperlink r:id="rId951" ref="B477"/>
    <hyperlink r:id="rId952" ref="C477"/>
    <hyperlink r:id="rId953" ref="B478"/>
    <hyperlink r:id="rId954" ref="C478"/>
    <hyperlink r:id="rId955" ref="B479"/>
    <hyperlink r:id="rId956" ref="C479"/>
    <hyperlink r:id="rId957" ref="B480"/>
    <hyperlink r:id="rId958" ref="C480"/>
    <hyperlink r:id="rId959" ref="B481"/>
    <hyperlink r:id="rId960" ref="C481"/>
    <hyperlink r:id="rId961" ref="B482"/>
    <hyperlink r:id="rId962" ref="C482"/>
    <hyperlink r:id="rId963" ref="B483"/>
    <hyperlink r:id="rId964" ref="C483"/>
    <hyperlink r:id="rId965" ref="B484"/>
    <hyperlink r:id="rId966" ref="C484"/>
    <hyperlink r:id="rId967" ref="B485"/>
    <hyperlink r:id="rId968" ref="C485"/>
    <hyperlink r:id="rId969" ref="B486"/>
    <hyperlink r:id="rId970" ref="C486"/>
    <hyperlink r:id="rId971" ref="B487"/>
    <hyperlink r:id="rId972" ref="C487"/>
    <hyperlink r:id="rId973" ref="B488"/>
    <hyperlink r:id="rId974" ref="C488"/>
    <hyperlink r:id="rId975" ref="B489"/>
    <hyperlink r:id="rId976" ref="C489"/>
    <hyperlink r:id="rId977" ref="B490"/>
    <hyperlink r:id="rId978" ref="C490"/>
    <hyperlink r:id="rId979" ref="B491"/>
    <hyperlink r:id="rId980" ref="C491"/>
    <hyperlink r:id="rId981" ref="B492"/>
    <hyperlink r:id="rId982" ref="C492"/>
    <hyperlink r:id="rId983" ref="B493"/>
    <hyperlink r:id="rId984" ref="C493"/>
    <hyperlink r:id="rId985" ref="B494"/>
    <hyperlink r:id="rId986" ref="C494"/>
    <hyperlink r:id="rId987" ref="B495"/>
    <hyperlink r:id="rId988" ref="C495"/>
    <hyperlink r:id="rId989" ref="B496"/>
    <hyperlink r:id="rId990" ref="C496"/>
    <hyperlink r:id="rId991" ref="B497"/>
    <hyperlink r:id="rId992" ref="C497"/>
    <hyperlink r:id="rId993" ref="B498"/>
    <hyperlink r:id="rId994" ref="C498"/>
    <hyperlink r:id="rId995" ref="B499"/>
    <hyperlink r:id="rId996" ref="C499"/>
    <hyperlink r:id="rId997" ref="B500"/>
    <hyperlink r:id="rId998" ref="C500"/>
    <hyperlink r:id="rId999" ref="B501"/>
    <hyperlink r:id="rId1000" ref="C501"/>
    <hyperlink r:id="rId1001" ref="B502"/>
    <hyperlink r:id="rId1002" ref="C502"/>
    <hyperlink r:id="rId1003" ref="B503"/>
    <hyperlink r:id="rId1004" ref="C503"/>
    <hyperlink r:id="rId1005" ref="B504"/>
    <hyperlink r:id="rId1006" ref="C504"/>
    <hyperlink r:id="rId1007" ref="B505"/>
    <hyperlink r:id="rId1008" ref="C505"/>
    <hyperlink r:id="rId1009" ref="B506"/>
    <hyperlink r:id="rId1010" ref="C506"/>
    <hyperlink r:id="rId1011" ref="B507"/>
    <hyperlink r:id="rId1012" ref="C507"/>
    <hyperlink r:id="rId1013" ref="B508"/>
    <hyperlink r:id="rId1014" ref="C508"/>
    <hyperlink r:id="rId1015" ref="B509"/>
    <hyperlink r:id="rId1016" ref="C509"/>
    <hyperlink r:id="rId1017" ref="B510"/>
    <hyperlink r:id="rId1018" ref="C510"/>
    <hyperlink r:id="rId1019" ref="B511"/>
    <hyperlink r:id="rId1020" ref="C511"/>
    <hyperlink r:id="rId1021" ref="B512"/>
    <hyperlink r:id="rId1022" ref="C512"/>
    <hyperlink r:id="rId1023" ref="B513"/>
    <hyperlink r:id="rId1024" ref="C513"/>
    <hyperlink r:id="rId1025" ref="B514"/>
    <hyperlink r:id="rId1026" ref="C514"/>
    <hyperlink r:id="rId1027" ref="B515"/>
    <hyperlink r:id="rId1028" ref="C515"/>
    <hyperlink r:id="rId1029" ref="B516"/>
    <hyperlink r:id="rId1030" ref="C516"/>
    <hyperlink r:id="rId1031" ref="B517"/>
    <hyperlink r:id="rId1032" ref="C517"/>
    <hyperlink r:id="rId1033" ref="B518"/>
    <hyperlink r:id="rId1034" ref="C518"/>
    <hyperlink r:id="rId1035" ref="B519"/>
    <hyperlink r:id="rId1036" ref="C519"/>
    <hyperlink r:id="rId1037" ref="B520"/>
    <hyperlink r:id="rId1038" ref="C520"/>
    <hyperlink r:id="rId1039" ref="B521"/>
    <hyperlink r:id="rId1040" ref="C521"/>
    <hyperlink r:id="rId1041" ref="B522"/>
    <hyperlink r:id="rId1042" ref="C522"/>
    <hyperlink r:id="rId1043" ref="B523"/>
    <hyperlink r:id="rId1044" ref="C523"/>
    <hyperlink r:id="rId1045" ref="B524"/>
    <hyperlink r:id="rId1046" ref="C524"/>
    <hyperlink r:id="rId1047" ref="B525"/>
    <hyperlink r:id="rId1048" ref="C525"/>
    <hyperlink r:id="rId1049" ref="B526"/>
    <hyperlink r:id="rId1050" ref="C526"/>
    <hyperlink r:id="rId1051" ref="B527"/>
    <hyperlink r:id="rId1052" ref="C527"/>
    <hyperlink r:id="rId1053" ref="B528"/>
    <hyperlink r:id="rId1054" ref="C528"/>
    <hyperlink r:id="rId1055" ref="B529"/>
    <hyperlink r:id="rId1056" ref="C529"/>
    <hyperlink r:id="rId1057" ref="B530"/>
    <hyperlink r:id="rId1058" ref="C530"/>
    <hyperlink r:id="rId1059" ref="B531"/>
    <hyperlink r:id="rId1060" ref="C531"/>
    <hyperlink r:id="rId1061" ref="B532"/>
    <hyperlink r:id="rId1062" ref="C532"/>
    <hyperlink r:id="rId1063" ref="B533"/>
    <hyperlink r:id="rId1064" ref="C533"/>
    <hyperlink r:id="rId1065" ref="B534"/>
    <hyperlink r:id="rId1066" ref="C534"/>
    <hyperlink r:id="rId1067" ref="B535"/>
    <hyperlink r:id="rId1068" ref="C535"/>
    <hyperlink r:id="rId1069" ref="B536"/>
    <hyperlink r:id="rId1070" ref="C536"/>
    <hyperlink r:id="rId1071" ref="B537"/>
    <hyperlink r:id="rId1072" ref="C537"/>
    <hyperlink r:id="rId1073" ref="B538"/>
    <hyperlink r:id="rId1074" ref="C538"/>
    <hyperlink r:id="rId1075" ref="B539"/>
    <hyperlink r:id="rId1076" ref="C539"/>
    <hyperlink r:id="rId1077" ref="B540"/>
    <hyperlink r:id="rId1078" ref="C540"/>
    <hyperlink r:id="rId1079" ref="B541"/>
    <hyperlink r:id="rId1080" ref="C541"/>
    <hyperlink r:id="rId1081" ref="B542"/>
    <hyperlink r:id="rId1082" ref="C542"/>
    <hyperlink r:id="rId1083" ref="B543"/>
    <hyperlink r:id="rId1084" ref="C543"/>
    <hyperlink r:id="rId1085" ref="B544"/>
    <hyperlink r:id="rId1086" ref="C544"/>
    <hyperlink r:id="rId1087" ref="B545"/>
    <hyperlink r:id="rId1088" ref="C545"/>
    <hyperlink r:id="rId1089" ref="B546"/>
    <hyperlink r:id="rId1090" ref="C546"/>
    <hyperlink r:id="rId1091" ref="B547"/>
    <hyperlink r:id="rId1092" ref="C547"/>
    <hyperlink r:id="rId1093" ref="B548"/>
    <hyperlink r:id="rId1094" ref="C548"/>
    <hyperlink r:id="rId1095" ref="B549"/>
    <hyperlink r:id="rId1096" ref="C549"/>
    <hyperlink r:id="rId1097" ref="B550"/>
    <hyperlink r:id="rId1098" ref="C550"/>
    <hyperlink r:id="rId1099" ref="B551"/>
    <hyperlink r:id="rId1100" ref="C551"/>
    <hyperlink r:id="rId1101" ref="B552"/>
    <hyperlink r:id="rId1102" ref="C552"/>
    <hyperlink r:id="rId1103" ref="B553"/>
    <hyperlink r:id="rId1104" ref="C553"/>
    <hyperlink r:id="rId1105" ref="B554"/>
    <hyperlink r:id="rId1106" ref="C554"/>
    <hyperlink r:id="rId1107" ref="B555"/>
    <hyperlink r:id="rId1108" ref="C555"/>
    <hyperlink r:id="rId1109" ref="B556"/>
    <hyperlink r:id="rId1110" ref="C556"/>
    <hyperlink r:id="rId1111" ref="B557"/>
    <hyperlink r:id="rId1112" ref="C557"/>
    <hyperlink r:id="rId1113" ref="B558"/>
    <hyperlink r:id="rId1114" ref="C558"/>
    <hyperlink r:id="rId1115" ref="B559"/>
    <hyperlink r:id="rId1116" ref="C559"/>
    <hyperlink r:id="rId1117" ref="B560"/>
    <hyperlink r:id="rId1118" ref="C560"/>
    <hyperlink r:id="rId1119" ref="B561"/>
    <hyperlink r:id="rId1120" ref="C561"/>
    <hyperlink r:id="rId1121" ref="B562"/>
    <hyperlink r:id="rId1122" ref="C562"/>
    <hyperlink r:id="rId1123" ref="B563"/>
    <hyperlink r:id="rId1124" ref="C563"/>
    <hyperlink r:id="rId1125" ref="B564"/>
    <hyperlink r:id="rId1126" ref="C564"/>
    <hyperlink r:id="rId1127" ref="B565"/>
    <hyperlink r:id="rId1128" ref="C565"/>
    <hyperlink r:id="rId1129" ref="B566"/>
    <hyperlink r:id="rId1130" ref="C566"/>
    <hyperlink r:id="rId1131" ref="B567"/>
    <hyperlink r:id="rId1132" ref="C567"/>
    <hyperlink r:id="rId1133" ref="B568"/>
    <hyperlink r:id="rId1134" ref="C568"/>
    <hyperlink r:id="rId1135" ref="B569"/>
    <hyperlink r:id="rId1136" ref="C569"/>
    <hyperlink r:id="rId1137" ref="B570"/>
    <hyperlink r:id="rId1138" ref="C570"/>
    <hyperlink r:id="rId1139" ref="B571"/>
    <hyperlink r:id="rId1140" ref="C571"/>
    <hyperlink r:id="rId1141" ref="B572"/>
    <hyperlink r:id="rId1142" ref="C572"/>
    <hyperlink r:id="rId1143" ref="B573"/>
    <hyperlink r:id="rId1144" ref="C573"/>
    <hyperlink r:id="rId1145" ref="B574"/>
    <hyperlink r:id="rId1146" ref="C574"/>
    <hyperlink r:id="rId1147" ref="B575"/>
    <hyperlink r:id="rId1148" ref="C575"/>
    <hyperlink r:id="rId1149" ref="B576"/>
    <hyperlink r:id="rId1150" ref="C576"/>
    <hyperlink r:id="rId1151" ref="B577"/>
    <hyperlink r:id="rId1152" ref="C577"/>
    <hyperlink r:id="rId1153" ref="B578"/>
    <hyperlink r:id="rId1154" ref="C578"/>
    <hyperlink r:id="rId1155" ref="B579"/>
    <hyperlink r:id="rId1156" ref="C579"/>
    <hyperlink r:id="rId1157" ref="B580"/>
    <hyperlink r:id="rId1158" ref="C580"/>
    <hyperlink r:id="rId1159" ref="B581"/>
    <hyperlink r:id="rId1160" ref="C581"/>
    <hyperlink r:id="rId1161" ref="B582"/>
    <hyperlink r:id="rId1162" ref="C582"/>
    <hyperlink r:id="rId1163" ref="B583"/>
    <hyperlink r:id="rId1164" ref="C583"/>
    <hyperlink r:id="rId1165" ref="B584"/>
    <hyperlink r:id="rId1166" ref="C584"/>
    <hyperlink r:id="rId1167" ref="B585"/>
    <hyperlink r:id="rId1168" ref="C585"/>
    <hyperlink r:id="rId1169" ref="B586"/>
    <hyperlink r:id="rId1170" ref="C586"/>
    <hyperlink r:id="rId1171" ref="B587"/>
    <hyperlink r:id="rId1172" ref="C587"/>
    <hyperlink r:id="rId1173" ref="B588"/>
    <hyperlink r:id="rId1174" ref="C588"/>
    <hyperlink r:id="rId1175" ref="B589"/>
    <hyperlink r:id="rId1176" ref="C589"/>
    <hyperlink r:id="rId1177" ref="B590"/>
    <hyperlink r:id="rId1178" ref="C590"/>
    <hyperlink r:id="rId1179" ref="B591"/>
    <hyperlink r:id="rId1180" ref="C591"/>
    <hyperlink r:id="rId1181" ref="B592"/>
    <hyperlink r:id="rId1182" ref="C592"/>
    <hyperlink r:id="rId1183" ref="B593"/>
    <hyperlink r:id="rId1184" ref="C593"/>
    <hyperlink r:id="rId1185" ref="B594"/>
    <hyperlink r:id="rId1186" ref="C594"/>
    <hyperlink r:id="rId1187" ref="B595"/>
    <hyperlink r:id="rId1188" ref="C595"/>
    <hyperlink r:id="rId1189" ref="B596"/>
    <hyperlink r:id="rId1190" ref="C596"/>
    <hyperlink r:id="rId1191" ref="B597"/>
    <hyperlink r:id="rId1192" ref="C597"/>
    <hyperlink r:id="rId1193" ref="B598"/>
    <hyperlink r:id="rId1194" ref="C598"/>
    <hyperlink r:id="rId1195" ref="B599"/>
    <hyperlink r:id="rId1196" ref="C599"/>
    <hyperlink r:id="rId1197" ref="B600"/>
    <hyperlink r:id="rId1198" ref="C600"/>
    <hyperlink r:id="rId1199" ref="B601"/>
    <hyperlink r:id="rId1200" ref="C601"/>
    <hyperlink r:id="rId1201" ref="B602"/>
    <hyperlink r:id="rId1202" ref="C602"/>
    <hyperlink r:id="rId1203" ref="B603"/>
    <hyperlink r:id="rId1204" ref="C603"/>
    <hyperlink r:id="rId1205" ref="B604"/>
    <hyperlink r:id="rId1206" ref="C604"/>
    <hyperlink r:id="rId1207" ref="B605"/>
    <hyperlink r:id="rId1208" ref="C605"/>
    <hyperlink r:id="rId1209" ref="B606"/>
    <hyperlink r:id="rId1210" ref="C606"/>
    <hyperlink r:id="rId1211" ref="B607"/>
    <hyperlink r:id="rId1212" ref="C607"/>
    <hyperlink r:id="rId1213" ref="B608"/>
    <hyperlink r:id="rId1214" ref="C608"/>
    <hyperlink r:id="rId1215" ref="B609"/>
    <hyperlink r:id="rId1216" ref="C609"/>
    <hyperlink r:id="rId1217" ref="B610"/>
    <hyperlink r:id="rId1218" ref="C610"/>
    <hyperlink r:id="rId1219" ref="B611"/>
    <hyperlink r:id="rId1220" ref="C611"/>
    <hyperlink r:id="rId1221" ref="B612"/>
    <hyperlink r:id="rId1222" ref="C612"/>
    <hyperlink r:id="rId1223" ref="B613"/>
    <hyperlink r:id="rId1224" ref="C613"/>
    <hyperlink r:id="rId1225" ref="B614"/>
    <hyperlink r:id="rId1226" ref="C614"/>
    <hyperlink r:id="rId1227" ref="B615"/>
    <hyperlink r:id="rId1228" ref="C615"/>
    <hyperlink r:id="rId1229" ref="B616"/>
    <hyperlink r:id="rId1230" ref="C616"/>
    <hyperlink r:id="rId1231" ref="B617"/>
    <hyperlink r:id="rId1232" ref="C617"/>
    <hyperlink r:id="rId1233" ref="B618"/>
    <hyperlink r:id="rId1234" ref="C618"/>
    <hyperlink r:id="rId1235" ref="B619"/>
    <hyperlink r:id="rId1236" ref="C619"/>
    <hyperlink r:id="rId1237" ref="B620"/>
    <hyperlink r:id="rId1238" ref="C620"/>
    <hyperlink r:id="rId1239" ref="B621"/>
    <hyperlink r:id="rId1240" ref="C621"/>
    <hyperlink r:id="rId1241" ref="B622"/>
    <hyperlink r:id="rId1242" ref="C622"/>
    <hyperlink r:id="rId1243" ref="B623"/>
    <hyperlink r:id="rId1244" ref="C623"/>
    <hyperlink r:id="rId1245" ref="B624"/>
    <hyperlink r:id="rId1246" ref="C624"/>
    <hyperlink r:id="rId1247" ref="B625"/>
    <hyperlink r:id="rId1248" ref="C625"/>
    <hyperlink r:id="rId1249" ref="B626"/>
    <hyperlink r:id="rId1250" ref="C626"/>
    <hyperlink r:id="rId1251" ref="B627"/>
    <hyperlink r:id="rId1252" ref="C627"/>
    <hyperlink r:id="rId1253" ref="B628"/>
    <hyperlink r:id="rId1254" ref="C628"/>
    <hyperlink r:id="rId1255" ref="B629"/>
    <hyperlink r:id="rId1256" ref="C629"/>
    <hyperlink r:id="rId1257" ref="B630"/>
    <hyperlink r:id="rId1258" ref="C630"/>
    <hyperlink r:id="rId1259" ref="B631"/>
    <hyperlink r:id="rId1260" ref="C631"/>
    <hyperlink r:id="rId1261" ref="B632"/>
    <hyperlink r:id="rId1262" ref="C632"/>
    <hyperlink r:id="rId1263" ref="B633"/>
    <hyperlink r:id="rId1264" ref="C633"/>
    <hyperlink r:id="rId1265" ref="B634"/>
    <hyperlink r:id="rId1266" ref="C634"/>
    <hyperlink r:id="rId1267" ref="B635"/>
    <hyperlink r:id="rId1268" ref="C635"/>
    <hyperlink r:id="rId1269" ref="B636"/>
    <hyperlink r:id="rId1270" ref="C636"/>
    <hyperlink r:id="rId1271" ref="B637"/>
    <hyperlink r:id="rId1272" ref="C637"/>
    <hyperlink r:id="rId1273" ref="B638"/>
    <hyperlink r:id="rId1274" ref="C638"/>
    <hyperlink r:id="rId1275" ref="B639"/>
    <hyperlink r:id="rId1276" ref="C639"/>
    <hyperlink r:id="rId1277" ref="B640"/>
    <hyperlink r:id="rId1278" ref="C640"/>
    <hyperlink r:id="rId1279" ref="B641"/>
    <hyperlink r:id="rId1280" ref="C641"/>
    <hyperlink r:id="rId1281" ref="B642"/>
    <hyperlink r:id="rId1282" ref="C642"/>
    <hyperlink r:id="rId1283" ref="B643"/>
    <hyperlink r:id="rId1284" ref="C643"/>
    <hyperlink r:id="rId1285" ref="B644"/>
    <hyperlink r:id="rId1286" ref="C644"/>
    <hyperlink r:id="rId1287" ref="B645"/>
    <hyperlink r:id="rId1288" ref="C645"/>
    <hyperlink r:id="rId1289" ref="B646"/>
    <hyperlink r:id="rId1290" ref="C646"/>
    <hyperlink r:id="rId1291" ref="B647"/>
    <hyperlink r:id="rId1292" ref="C647"/>
    <hyperlink r:id="rId1293" ref="B648"/>
    <hyperlink r:id="rId1294" ref="C648"/>
    <hyperlink r:id="rId1295" ref="B649"/>
    <hyperlink r:id="rId1296" ref="C649"/>
    <hyperlink r:id="rId1297" ref="B650"/>
    <hyperlink r:id="rId1298" ref="C650"/>
    <hyperlink r:id="rId1299" ref="B651"/>
    <hyperlink r:id="rId1300" ref="C651"/>
    <hyperlink r:id="rId1301" ref="B652"/>
    <hyperlink r:id="rId1302" ref="C652"/>
    <hyperlink r:id="rId1303" ref="B653"/>
    <hyperlink r:id="rId1304" ref="C653"/>
    <hyperlink r:id="rId1305" ref="B654"/>
    <hyperlink r:id="rId1306" ref="C654"/>
    <hyperlink r:id="rId1307" ref="B655"/>
    <hyperlink r:id="rId1308" ref="C655"/>
    <hyperlink r:id="rId1309" ref="B656"/>
    <hyperlink r:id="rId1310" ref="C656"/>
    <hyperlink r:id="rId1311" ref="B657"/>
    <hyperlink r:id="rId1312" ref="C657"/>
    <hyperlink r:id="rId1313" ref="B658"/>
    <hyperlink r:id="rId1314" ref="C658"/>
    <hyperlink r:id="rId1315" ref="B659"/>
    <hyperlink r:id="rId1316" ref="C659"/>
    <hyperlink r:id="rId1317" ref="B660"/>
    <hyperlink r:id="rId1318" ref="C660"/>
    <hyperlink r:id="rId1319" ref="B661"/>
    <hyperlink r:id="rId1320" ref="C661"/>
    <hyperlink r:id="rId1321" ref="B662"/>
    <hyperlink r:id="rId1322" ref="C662"/>
    <hyperlink r:id="rId1323" ref="B663"/>
    <hyperlink r:id="rId1324" ref="C663"/>
    <hyperlink r:id="rId1325" ref="B664"/>
    <hyperlink r:id="rId1326" ref="C664"/>
    <hyperlink r:id="rId1327" ref="B665"/>
    <hyperlink r:id="rId1328" ref="C665"/>
    <hyperlink r:id="rId1329" ref="B666"/>
    <hyperlink r:id="rId1330" ref="C666"/>
    <hyperlink r:id="rId1331" ref="B667"/>
    <hyperlink r:id="rId1332" ref="C667"/>
    <hyperlink r:id="rId1333" ref="B668"/>
    <hyperlink r:id="rId1334" ref="C668"/>
    <hyperlink r:id="rId1335" ref="B669"/>
    <hyperlink r:id="rId1336" ref="C669"/>
    <hyperlink r:id="rId1337" ref="B670"/>
    <hyperlink r:id="rId1338" ref="C670"/>
    <hyperlink r:id="rId1339" ref="B671"/>
    <hyperlink r:id="rId1340" ref="C671"/>
    <hyperlink r:id="rId1341" ref="B672"/>
    <hyperlink r:id="rId1342" ref="C672"/>
    <hyperlink r:id="rId1343" ref="B673"/>
    <hyperlink r:id="rId1344" ref="C673"/>
    <hyperlink r:id="rId1345" ref="B674"/>
    <hyperlink r:id="rId1346" ref="C674"/>
    <hyperlink r:id="rId1347" ref="B675"/>
    <hyperlink r:id="rId1348" ref="C675"/>
    <hyperlink r:id="rId1349" ref="B676"/>
    <hyperlink r:id="rId1350" ref="C676"/>
    <hyperlink r:id="rId1351" ref="B677"/>
    <hyperlink r:id="rId1352" ref="C677"/>
    <hyperlink r:id="rId1353" ref="B678"/>
    <hyperlink r:id="rId1354" ref="C678"/>
    <hyperlink r:id="rId1355" ref="B679"/>
    <hyperlink r:id="rId1356" ref="C679"/>
    <hyperlink r:id="rId1357" ref="B680"/>
    <hyperlink r:id="rId1358" ref="C680"/>
    <hyperlink r:id="rId1359" ref="B681"/>
    <hyperlink r:id="rId1360" ref="C681"/>
    <hyperlink r:id="rId1361" ref="B682"/>
    <hyperlink r:id="rId1362" ref="C682"/>
    <hyperlink r:id="rId1363" ref="B683"/>
    <hyperlink r:id="rId1364" ref="C683"/>
    <hyperlink r:id="rId1365" ref="B684"/>
    <hyperlink r:id="rId1366" ref="C684"/>
    <hyperlink r:id="rId1367" ref="B685"/>
    <hyperlink r:id="rId1368" ref="C685"/>
    <hyperlink r:id="rId1369" ref="B686"/>
    <hyperlink r:id="rId1370" ref="C686"/>
    <hyperlink r:id="rId1371" ref="B687"/>
    <hyperlink r:id="rId1372" ref="C687"/>
    <hyperlink r:id="rId1373" ref="B688"/>
    <hyperlink r:id="rId1374" ref="C688"/>
    <hyperlink r:id="rId1375" ref="B689"/>
    <hyperlink r:id="rId1376" ref="C689"/>
    <hyperlink r:id="rId1377" ref="B690"/>
    <hyperlink r:id="rId1378" ref="C690"/>
    <hyperlink r:id="rId1379" ref="B691"/>
    <hyperlink r:id="rId1380" ref="C691"/>
    <hyperlink r:id="rId1381" ref="B692"/>
    <hyperlink r:id="rId1382" ref="C692"/>
    <hyperlink r:id="rId1383" ref="B693"/>
    <hyperlink r:id="rId1384" ref="C693"/>
    <hyperlink r:id="rId1385" ref="B694"/>
    <hyperlink r:id="rId1386" ref="C694"/>
    <hyperlink r:id="rId1387" ref="B695"/>
    <hyperlink r:id="rId1388" ref="C695"/>
    <hyperlink r:id="rId1389" ref="B696"/>
    <hyperlink r:id="rId1390" ref="C696"/>
    <hyperlink r:id="rId1391" ref="B697"/>
    <hyperlink r:id="rId1392" ref="C697"/>
    <hyperlink r:id="rId1393" ref="B698"/>
    <hyperlink r:id="rId1394" ref="C698"/>
    <hyperlink r:id="rId1395" ref="B699"/>
    <hyperlink r:id="rId1396" ref="C699"/>
    <hyperlink r:id="rId1397" ref="B700"/>
    <hyperlink r:id="rId1398" ref="C700"/>
    <hyperlink r:id="rId1399" ref="B701"/>
    <hyperlink r:id="rId1400" ref="C701"/>
  </hyperlinks>
  <drawing r:id="rId140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9.14"/>
    <col customWidth="1" min="7" max="11" width="11.57"/>
  </cols>
  <sheetData>
    <row r="1">
      <c r="A1" s="27" t="s">
        <v>1</v>
      </c>
      <c r="B1" s="28" t="s">
        <v>2843</v>
      </c>
      <c r="C1" s="28" t="s">
        <v>2844</v>
      </c>
      <c r="D1" s="28" t="s">
        <v>2845</v>
      </c>
      <c r="E1" s="29" t="s">
        <v>2846</v>
      </c>
      <c r="F1" s="29" t="s">
        <v>2847</v>
      </c>
      <c r="G1" s="1" t="s">
        <v>2848</v>
      </c>
      <c r="H1" s="1" t="s">
        <v>2849</v>
      </c>
      <c r="I1" s="1" t="s">
        <v>2850</v>
      </c>
      <c r="J1" s="1" t="s">
        <v>2851</v>
      </c>
    </row>
    <row r="2">
      <c r="A2" s="30" t="str">
        <f>'6image_RS_benchmark_performance'!A2</f>
        <v>A</v>
      </c>
      <c r="B2" s="31">
        <f>IFERROR(__xludf.DUMMYFUNCTION("GOOGLEFINANCE(A2,""price"")"),149.3)</f>
        <v>149.3</v>
      </c>
      <c r="C2" s="31">
        <f>IFERROR(__xludf.DUMMYFUNCTION("GOOGLEFINANCE(A2,""high"")"),151.25)</f>
        <v>151.25</v>
      </c>
      <c r="D2" s="31">
        <f>IFERROR(__xludf.DUMMYFUNCTION("GOOGLEFINANCE(A2,""low"")"),147.83)</f>
        <v>147.83</v>
      </c>
      <c r="E2" s="31">
        <f>IFERROR(__xludf.DUMMYFUNCTION("GOOGLEFINANCE(A2,""change"")"),1.72)</f>
        <v>1.72</v>
      </c>
      <c r="F2" s="32">
        <f>IFERROR(__xludf.DUMMYFUNCTION("GOOGLEFINANCE(A2,""changepct"")/100"),0.011699999999999999)</f>
        <v>0.0117</v>
      </c>
      <c r="G2" s="33">
        <f>IFERROR(__xludf.DUMMYFUNCTION("GOOGLEFINANCE(A2,""priceopen"")"),148.45)</f>
        <v>148.45</v>
      </c>
      <c r="H2" s="34">
        <f>IFERROR(__xludf.DUMMYFUNCTION("GOOGLEFINANCE(A2,""closeyest"")"),147.58)</f>
        <v>147.58</v>
      </c>
      <c r="I2" s="34">
        <f>IFERROR(__xludf.DUMMYFUNCTION("GOOGLEFINANCE(A2,""low52"")"),93.87)</f>
        <v>93.87</v>
      </c>
      <c r="J2" s="34">
        <f>IFERROR(__xludf.DUMMYFUNCTION("GOOGLEFINANCE(A2,""high52"")"),151.25)</f>
        <v>151.25</v>
      </c>
      <c r="K2" s="31"/>
    </row>
    <row r="3">
      <c r="A3" s="30" t="str">
        <f>'6image_RS_benchmark_performance'!A3</f>
        <v>AA</v>
      </c>
      <c r="B3" s="31">
        <f>IFERROR(__xludf.DUMMYFUNCTION("GOOGLEFINANCE(A3,""price"")"),34.95)</f>
        <v>34.95</v>
      </c>
      <c r="C3" s="31">
        <f>IFERROR(__xludf.DUMMYFUNCTION("GOOGLEFINANCE(A3,""high"")"),35.26)</f>
        <v>35.26</v>
      </c>
      <c r="D3" s="31">
        <f>IFERROR(__xludf.DUMMYFUNCTION("GOOGLEFINANCE(A3,""low"")"),31.26)</f>
        <v>31.26</v>
      </c>
      <c r="E3" s="31">
        <f>IFERROR(__xludf.DUMMYFUNCTION("GOOGLEFINANCE(A3,""change"")"),3.33)</f>
        <v>3.33</v>
      </c>
      <c r="F3" s="32">
        <f>IFERROR(__xludf.DUMMYFUNCTION("GOOGLEFINANCE(A3,""changepct"")/100"),0.10529999999999999)</f>
        <v>0.1053</v>
      </c>
      <c r="G3" s="33">
        <f>IFERROR(__xludf.DUMMYFUNCTION("GOOGLEFINANCE(A3,""priceopen"")"),31.55)</f>
        <v>31.55</v>
      </c>
      <c r="H3" s="34">
        <f>IFERROR(__xludf.DUMMYFUNCTION("GOOGLEFINANCE(A3,""closeyest"")"),31.62)</f>
        <v>31.62</v>
      </c>
      <c r="I3" s="34">
        <f>IFERROR(__xludf.DUMMYFUNCTION("GOOGLEFINANCE(A3,""low52"")"),10.98)</f>
        <v>10.98</v>
      </c>
      <c r="J3" s="34">
        <f>IFERROR(__xludf.DUMMYFUNCTION("GOOGLEFINANCE(A3,""high52"")"),44.42)</f>
        <v>44.42</v>
      </c>
      <c r="K3" s="34"/>
    </row>
    <row r="4">
      <c r="A4" s="30" t="str">
        <f>'6image_RS_benchmark_performance'!A4</f>
        <v>AAL</v>
      </c>
      <c r="B4" s="31">
        <f>IFERROR(__xludf.DUMMYFUNCTION("GOOGLEFINANCE(A4,""price"")"),20.56)</f>
        <v>20.56</v>
      </c>
      <c r="C4" s="31">
        <f>IFERROR(__xludf.DUMMYFUNCTION("GOOGLEFINANCE(A4,""high"")"),20.59)</f>
        <v>20.59</v>
      </c>
      <c r="D4" s="31">
        <f>IFERROR(__xludf.DUMMYFUNCTION("GOOGLEFINANCE(A4,""low"")"),18.86)</f>
        <v>18.86</v>
      </c>
      <c r="E4" s="31">
        <f>IFERROR(__xludf.DUMMYFUNCTION("GOOGLEFINANCE(A4,""change"")"),1.59)</f>
        <v>1.59</v>
      </c>
      <c r="F4" s="32">
        <f>IFERROR(__xludf.DUMMYFUNCTION("GOOGLEFINANCE(A4,""changepct"")/100"),0.08380000000000001)</f>
        <v>0.0838</v>
      </c>
      <c r="G4" s="33">
        <f>IFERROR(__xludf.DUMMYFUNCTION("GOOGLEFINANCE(A4,""priceopen"")"),19.05)</f>
        <v>19.05</v>
      </c>
      <c r="H4" s="34">
        <f>IFERROR(__xludf.DUMMYFUNCTION("GOOGLEFINANCE(A4,""closeyest"")"),18.97)</f>
        <v>18.97</v>
      </c>
      <c r="I4" s="34">
        <f>IFERROR(__xludf.DUMMYFUNCTION("GOOGLEFINANCE(A4,""low52"")"),10.63)</f>
        <v>10.63</v>
      </c>
      <c r="J4" s="34">
        <f>IFERROR(__xludf.DUMMYFUNCTION("GOOGLEFINANCE(A4,""high52"")"),26.09)</f>
        <v>26.09</v>
      </c>
      <c r="K4" s="34"/>
    </row>
    <row r="5">
      <c r="A5" s="30" t="str">
        <f>'6image_RS_benchmark_performance'!A5</f>
        <v>AAP</v>
      </c>
      <c r="B5" s="31">
        <f>IFERROR(__xludf.DUMMYFUNCTION("GOOGLEFINANCE(A5,""price"")"),210.23)</f>
        <v>210.23</v>
      </c>
      <c r="C5" s="31">
        <f>IFERROR(__xludf.DUMMYFUNCTION("GOOGLEFINANCE(A5,""high"")"),211.55)</f>
        <v>211.55</v>
      </c>
      <c r="D5" s="31">
        <f>IFERROR(__xludf.DUMMYFUNCTION("GOOGLEFINANCE(A5,""low"")"),206.09)</f>
        <v>206.09</v>
      </c>
      <c r="E5" s="31">
        <f>IFERROR(__xludf.DUMMYFUNCTION("GOOGLEFINANCE(A5,""change"")"),4.56)</f>
        <v>4.56</v>
      </c>
      <c r="F5" s="32">
        <f>IFERROR(__xludf.DUMMYFUNCTION("GOOGLEFINANCE(A5,""changepct"")/100"),0.0222)</f>
        <v>0.0222</v>
      </c>
      <c r="G5" s="33">
        <f>IFERROR(__xludf.DUMMYFUNCTION("GOOGLEFINANCE(A5,""priceopen"")"),206.7)</f>
        <v>206.7</v>
      </c>
      <c r="H5" s="34">
        <f>IFERROR(__xludf.DUMMYFUNCTION("GOOGLEFINANCE(A5,""closeyest"")"),205.67)</f>
        <v>205.67</v>
      </c>
      <c r="I5" s="34">
        <f>IFERROR(__xludf.DUMMYFUNCTION("GOOGLEFINANCE(A5,""low52"")"),142.46)</f>
        <v>142.46</v>
      </c>
      <c r="J5" s="34">
        <f>IFERROR(__xludf.DUMMYFUNCTION("GOOGLEFINANCE(A5,""high52"")"),213.94)</f>
        <v>213.94</v>
      </c>
      <c r="K5" s="34"/>
    </row>
    <row r="6">
      <c r="A6" s="30" t="str">
        <f>'6image_RS_benchmark_performance'!A6</f>
        <v>AAPL</v>
      </c>
      <c r="B6" s="31">
        <f>IFERROR(__xludf.DUMMYFUNCTION("GOOGLEFINANCE(A6,""price"")"),146.15)</f>
        <v>146.15</v>
      </c>
      <c r="C6" s="31">
        <f>IFERROR(__xludf.DUMMYFUNCTION("GOOGLEFINANCE(A6,""high"")"),147.1)</f>
        <v>147.1</v>
      </c>
      <c r="D6" s="31">
        <f>IFERROR(__xludf.DUMMYFUNCTION("GOOGLEFINANCE(A6,""low"")"),142.96)</f>
        <v>142.96</v>
      </c>
      <c r="E6" s="31">
        <f>IFERROR(__xludf.DUMMYFUNCTION("GOOGLEFINANCE(A6,""change"")"),3.7)</f>
        <v>3.7</v>
      </c>
      <c r="F6" s="32">
        <f>IFERROR(__xludf.DUMMYFUNCTION("GOOGLEFINANCE(A6,""changepct"")/100"),0.026000000000000002)</f>
        <v>0.026</v>
      </c>
      <c r="G6" s="33">
        <f>IFERROR(__xludf.DUMMYFUNCTION("GOOGLEFINANCE(A6,""priceopen"")"),143.46)</f>
        <v>143.46</v>
      </c>
      <c r="H6" s="34">
        <f>IFERROR(__xludf.DUMMYFUNCTION("GOOGLEFINANCE(A6,""closeyest"")"),142.45)</f>
        <v>142.45</v>
      </c>
      <c r="I6" s="34">
        <f>IFERROR(__xludf.DUMMYFUNCTION("GOOGLEFINANCE(A6,""low52"")"),89.15)</f>
        <v>89.15</v>
      </c>
      <c r="J6" s="34">
        <f>IFERROR(__xludf.DUMMYFUNCTION("GOOGLEFINANCE(A6,""high52"")"),150.0)</f>
        <v>150</v>
      </c>
      <c r="K6" s="34"/>
    </row>
    <row r="7">
      <c r="A7" s="30" t="str">
        <f>'6image_RS_benchmark_performance'!A7</f>
        <v>ABBV</v>
      </c>
      <c r="B7" s="31">
        <f>IFERROR(__xludf.DUMMYFUNCTION("GOOGLEFINANCE(A7,""price"")"),116.05)</f>
        <v>116.05</v>
      </c>
      <c r="C7" s="31">
        <f>IFERROR(__xludf.DUMMYFUNCTION("GOOGLEFINANCE(A7,""high"")"),117.73)</f>
        <v>117.73</v>
      </c>
      <c r="D7" s="31">
        <f>IFERROR(__xludf.DUMMYFUNCTION("GOOGLEFINANCE(A7,""low"")"),115.46)</f>
        <v>115.46</v>
      </c>
      <c r="E7" s="31">
        <f>IFERROR(__xludf.DUMMYFUNCTION("GOOGLEFINANCE(A7,""change"")"),0.63)</f>
        <v>0.63</v>
      </c>
      <c r="F7" s="32">
        <f>IFERROR(__xludf.DUMMYFUNCTION("GOOGLEFINANCE(A7,""changepct"")/100"),0.0055000000000000005)</f>
        <v>0.0055</v>
      </c>
      <c r="G7" s="33">
        <f>IFERROR(__xludf.DUMMYFUNCTION("GOOGLEFINANCE(A7,""priceopen"")"),115.55)</f>
        <v>115.55</v>
      </c>
      <c r="H7" s="34">
        <f>IFERROR(__xludf.DUMMYFUNCTION("GOOGLEFINANCE(A7,""closeyest"")"),115.42)</f>
        <v>115.42</v>
      </c>
      <c r="I7" s="34">
        <f>IFERROR(__xludf.DUMMYFUNCTION("GOOGLEFINANCE(A7,""low52"")"),79.11)</f>
        <v>79.11</v>
      </c>
      <c r="J7" s="34">
        <f>IFERROR(__xludf.DUMMYFUNCTION("GOOGLEFINANCE(A7,""high52"")"),118.35)</f>
        <v>118.35</v>
      </c>
      <c r="K7" s="34"/>
    </row>
    <row r="8">
      <c r="A8" s="30" t="str">
        <f>'6image_RS_benchmark_performance'!A8</f>
        <v>ABC</v>
      </c>
      <c r="B8" s="31">
        <f>IFERROR(__xludf.DUMMYFUNCTION("GOOGLEFINANCE(A8,""price"")"),116.49)</f>
        <v>116.49</v>
      </c>
      <c r="C8" s="31">
        <f>IFERROR(__xludf.DUMMYFUNCTION("GOOGLEFINANCE(A8,""high"")"),119.8)</f>
        <v>119.8</v>
      </c>
      <c r="D8" s="31">
        <f>IFERROR(__xludf.DUMMYFUNCTION("GOOGLEFINANCE(A8,""low"")"),116.35)</f>
        <v>116.35</v>
      </c>
      <c r="E8" s="31">
        <f>IFERROR(__xludf.DUMMYFUNCTION("GOOGLEFINANCE(A8,""change"")"),3.89)</f>
        <v>3.89</v>
      </c>
      <c r="F8" s="32">
        <f>IFERROR(__xludf.DUMMYFUNCTION("GOOGLEFINANCE(A8,""changepct"")/100"),0.0345)</f>
        <v>0.0345</v>
      </c>
      <c r="G8" s="33">
        <f>IFERROR(__xludf.DUMMYFUNCTION("GOOGLEFINANCE(A8,""priceopen"")"),118.5)</f>
        <v>118.5</v>
      </c>
      <c r="H8" s="34">
        <f>IFERROR(__xludf.DUMMYFUNCTION("GOOGLEFINANCE(A8,""closeyest"")"),112.6)</f>
        <v>112.6</v>
      </c>
      <c r="I8" s="34">
        <f>IFERROR(__xludf.DUMMYFUNCTION("GOOGLEFINANCE(A8,""low52"")"),92.0)</f>
        <v>92</v>
      </c>
      <c r="J8" s="34">
        <f>IFERROR(__xludf.DUMMYFUNCTION("GOOGLEFINANCE(A8,""high52"")"),125.86)</f>
        <v>125.86</v>
      </c>
      <c r="K8" s="34"/>
    </row>
    <row r="9">
      <c r="A9" s="30" t="str">
        <f>'6image_RS_benchmark_performance'!A9</f>
        <v>ABMD</v>
      </c>
      <c r="B9" s="31">
        <f>IFERROR(__xludf.DUMMYFUNCTION("GOOGLEFINANCE(A9,""price"")"),323.59)</f>
        <v>323.59</v>
      </c>
      <c r="C9" s="31">
        <f>IFERROR(__xludf.DUMMYFUNCTION("GOOGLEFINANCE(A9,""high"")"),324.81)</f>
        <v>324.81</v>
      </c>
      <c r="D9" s="31">
        <f>IFERROR(__xludf.DUMMYFUNCTION("GOOGLEFINANCE(A9,""low"")"),315.47)</f>
        <v>315.47</v>
      </c>
      <c r="E9" s="31">
        <f>IFERROR(__xludf.DUMMYFUNCTION("GOOGLEFINANCE(A9,""change"")"),8.97)</f>
        <v>8.97</v>
      </c>
      <c r="F9" s="32">
        <f>IFERROR(__xludf.DUMMYFUNCTION("GOOGLEFINANCE(A9,""changepct"")/100"),0.0285)</f>
        <v>0.0285</v>
      </c>
      <c r="G9" s="33">
        <f>IFERROR(__xludf.DUMMYFUNCTION("GOOGLEFINANCE(A9,""priceopen"")"),315.47)</f>
        <v>315.47</v>
      </c>
      <c r="H9" s="34">
        <f>IFERROR(__xludf.DUMMYFUNCTION("GOOGLEFINANCE(A9,""closeyest"")"),314.62)</f>
        <v>314.62</v>
      </c>
      <c r="I9" s="34">
        <f>IFERROR(__xludf.DUMMYFUNCTION("GOOGLEFINANCE(A9,""low52"")"),242.73)</f>
        <v>242.73</v>
      </c>
      <c r="J9" s="34">
        <f>IFERROR(__xludf.DUMMYFUNCTION("GOOGLEFINANCE(A9,""high52"")"),387.4)</f>
        <v>387.4</v>
      </c>
      <c r="K9" s="34"/>
    </row>
    <row r="10">
      <c r="A10" s="30" t="str">
        <f>'6image_RS_benchmark_performance'!A10</f>
        <v>ABT</v>
      </c>
      <c r="B10" s="31">
        <f>IFERROR(__xludf.DUMMYFUNCTION("GOOGLEFINANCE(A10,""price"")"),118.73)</f>
        <v>118.73</v>
      </c>
      <c r="C10" s="31">
        <f>IFERROR(__xludf.DUMMYFUNCTION("GOOGLEFINANCE(A10,""high"")"),120.0)</f>
        <v>120</v>
      </c>
      <c r="D10" s="31">
        <f>IFERROR(__xludf.DUMMYFUNCTION("GOOGLEFINANCE(A10,""low"")"),118.1)</f>
        <v>118.1</v>
      </c>
      <c r="E10" s="31">
        <f>IFERROR(__xludf.DUMMYFUNCTION("GOOGLEFINANCE(A10,""change"")"),-0.06)</f>
        <v>-0.06</v>
      </c>
      <c r="F10" s="32">
        <f>IFERROR(__xludf.DUMMYFUNCTION("GOOGLEFINANCE(A10,""changepct"")/100"),-5.0E-4)</f>
        <v>-0.0005</v>
      </c>
      <c r="G10" s="33">
        <f>IFERROR(__xludf.DUMMYFUNCTION("GOOGLEFINANCE(A10,""priceopen"")"),118.54)</f>
        <v>118.54</v>
      </c>
      <c r="H10" s="34">
        <f>IFERROR(__xludf.DUMMYFUNCTION("GOOGLEFINANCE(A10,""closeyest"")"),118.79)</f>
        <v>118.79</v>
      </c>
      <c r="I10" s="34">
        <f>IFERROR(__xludf.DUMMYFUNCTION("GOOGLEFINANCE(A10,""low52"")"),97.76)</f>
        <v>97.76</v>
      </c>
      <c r="J10" s="34">
        <f>IFERROR(__xludf.DUMMYFUNCTION("GOOGLEFINANCE(A10,""high52"")"),128.54)</f>
        <v>128.54</v>
      </c>
      <c r="K10" s="34"/>
    </row>
    <row r="11">
      <c r="A11" s="30" t="str">
        <f>'6image_RS_benchmark_performance'!A11</f>
        <v>ACN</v>
      </c>
      <c r="B11" s="31">
        <f>IFERROR(__xludf.DUMMYFUNCTION("GOOGLEFINANCE(A11,""price"")"),312.06)</f>
        <v>312.06</v>
      </c>
      <c r="C11" s="31">
        <f>IFERROR(__xludf.DUMMYFUNCTION("GOOGLEFINANCE(A11,""high"")"),314.17)</f>
        <v>314.17</v>
      </c>
      <c r="D11" s="31">
        <f>IFERROR(__xludf.DUMMYFUNCTION("GOOGLEFINANCE(A11,""low"")"),308.99)</f>
        <v>308.99</v>
      </c>
      <c r="E11" s="31">
        <f>IFERROR(__xludf.DUMMYFUNCTION("GOOGLEFINANCE(A11,""change"")"),2.88)</f>
        <v>2.88</v>
      </c>
      <c r="F11" s="32">
        <f>IFERROR(__xludf.DUMMYFUNCTION("GOOGLEFINANCE(A11,""changepct"")/100"),0.009300000000000001)</f>
        <v>0.0093</v>
      </c>
      <c r="G11" s="33">
        <f>IFERROR(__xludf.DUMMYFUNCTION("GOOGLEFINANCE(A11,""priceopen"")"),310.0)</f>
        <v>310</v>
      </c>
      <c r="H11" s="34">
        <f>IFERROR(__xludf.DUMMYFUNCTION("GOOGLEFINANCE(A11,""closeyest"")"),309.18)</f>
        <v>309.18</v>
      </c>
      <c r="I11" s="34">
        <f>IFERROR(__xludf.DUMMYFUNCTION("GOOGLEFINANCE(A11,""low52"")"),210.42)</f>
        <v>210.42</v>
      </c>
      <c r="J11" s="34">
        <f>IFERROR(__xludf.DUMMYFUNCTION("GOOGLEFINANCE(A11,""high52"")"),317.12)</f>
        <v>317.12</v>
      </c>
      <c r="K11" s="34"/>
    </row>
    <row r="12">
      <c r="A12" s="30" t="str">
        <f>'6image_RS_benchmark_performance'!A12</f>
        <v>ADBE</v>
      </c>
      <c r="B12" s="31">
        <f>IFERROR(__xludf.DUMMYFUNCTION("GOOGLEFINANCE(A12,""price"")"),608.72)</f>
        <v>608.72</v>
      </c>
      <c r="C12" s="31">
        <f>IFERROR(__xludf.DUMMYFUNCTION("GOOGLEFINANCE(A12,""high"")"),612.75)</f>
        <v>612.75</v>
      </c>
      <c r="D12" s="31">
        <f>IFERROR(__xludf.DUMMYFUNCTION("GOOGLEFINANCE(A12,""low"")"),598.48)</f>
        <v>598.48</v>
      </c>
      <c r="E12" s="31">
        <f>IFERROR(__xludf.DUMMYFUNCTION("GOOGLEFINANCE(A12,""change"")"),6.67)</f>
        <v>6.67</v>
      </c>
      <c r="F12" s="32">
        <f>IFERROR(__xludf.DUMMYFUNCTION("GOOGLEFINANCE(A12,""changepct"")/100"),0.0111)</f>
        <v>0.0111</v>
      </c>
      <c r="G12" s="33">
        <f>IFERROR(__xludf.DUMMYFUNCTION("GOOGLEFINANCE(A12,""priceopen"")"),605.39)</f>
        <v>605.39</v>
      </c>
      <c r="H12" s="34">
        <f>IFERROR(__xludf.DUMMYFUNCTION("GOOGLEFINANCE(A12,""closeyest"")"),602.05)</f>
        <v>602.05</v>
      </c>
      <c r="I12" s="34">
        <f>IFERROR(__xludf.DUMMYFUNCTION("GOOGLEFINANCE(A12,""low52"")"),420.78)</f>
        <v>420.78</v>
      </c>
      <c r="J12" s="34">
        <f>IFERROR(__xludf.DUMMYFUNCTION("GOOGLEFINANCE(A12,""high52"")"),612.75)</f>
        <v>612.75</v>
      </c>
      <c r="K12" s="34"/>
    </row>
    <row r="13">
      <c r="A13" s="30" t="str">
        <f>'6image_RS_benchmark_performance'!A13</f>
        <v>ADI</v>
      </c>
      <c r="B13" s="31">
        <f>IFERROR(__xludf.DUMMYFUNCTION("GOOGLEFINANCE(A13,""price"")"),160.91)</f>
        <v>160.91</v>
      </c>
      <c r="C13" s="31">
        <f>IFERROR(__xludf.DUMMYFUNCTION("GOOGLEFINANCE(A13,""high"")"),161.81)</f>
        <v>161.81</v>
      </c>
      <c r="D13" s="31">
        <f>IFERROR(__xludf.DUMMYFUNCTION("GOOGLEFINANCE(A13,""low"")"),157.92)</f>
        <v>157.92</v>
      </c>
      <c r="E13" s="31">
        <f>IFERROR(__xludf.DUMMYFUNCTION("GOOGLEFINANCE(A13,""change"")"),1.93)</f>
        <v>1.93</v>
      </c>
      <c r="F13" s="32">
        <f>IFERROR(__xludf.DUMMYFUNCTION("GOOGLEFINANCE(A13,""changepct"")/100"),0.0121)</f>
        <v>0.0121</v>
      </c>
      <c r="G13" s="33">
        <f>IFERROR(__xludf.DUMMYFUNCTION("GOOGLEFINANCE(A13,""priceopen"")"),159.34)</f>
        <v>159.34</v>
      </c>
      <c r="H13" s="34">
        <f>IFERROR(__xludf.DUMMYFUNCTION("GOOGLEFINANCE(A13,""closeyest"")"),158.98)</f>
        <v>158.98</v>
      </c>
      <c r="I13" s="34">
        <f>IFERROR(__xludf.DUMMYFUNCTION("GOOGLEFINANCE(A13,""low52"")"),110.47)</f>
        <v>110.47</v>
      </c>
      <c r="J13" s="34">
        <f>IFERROR(__xludf.DUMMYFUNCTION("GOOGLEFINANCE(A13,""high52"")"),172.45)</f>
        <v>172.45</v>
      </c>
      <c r="K13" s="34"/>
    </row>
    <row r="14">
      <c r="A14" s="30" t="str">
        <f>'6image_RS_benchmark_performance'!A14</f>
        <v>ADM</v>
      </c>
      <c r="B14" s="31">
        <f>IFERROR(__xludf.DUMMYFUNCTION("GOOGLEFINANCE(A14,""price"")"),58.03)</f>
        <v>58.03</v>
      </c>
      <c r="C14" s="31">
        <f>IFERROR(__xludf.DUMMYFUNCTION("GOOGLEFINANCE(A14,""high"")"),58.7)</f>
        <v>58.7</v>
      </c>
      <c r="D14" s="31">
        <f>IFERROR(__xludf.DUMMYFUNCTION("GOOGLEFINANCE(A14,""low"")"),57.27)</f>
        <v>57.27</v>
      </c>
      <c r="E14" s="31">
        <f>IFERROR(__xludf.DUMMYFUNCTION("GOOGLEFINANCE(A14,""change"")"),0.58)</f>
        <v>0.58</v>
      </c>
      <c r="F14" s="32">
        <f>IFERROR(__xludf.DUMMYFUNCTION("GOOGLEFINANCE(A14,""changepct"")/100"),0.0101)</f>
        <v>0.0101</v>
      </c>
      <c r="G14" s="33">
        <f>IFERROR(__xludf.DUMMYFUNCTION("GOOGLEFINANCE(A14,""priceopen"")"),57.52)</f>
        <v>57.52</v>
      </c>
      <c r="H14" s="34">
        <f>IFERROR(__xludf.DUMMYFUNCTION("GOOGLEFINANCE(A14,""closeyest"")"),57.45)</f>
        <v>57.45</v>
      </c>
      <c r="I14" s="34">
        <f>IFERROR(__xludf.DUMMYFUNCTION("GOOGLEFINANCE(A14,""low52"")"),40.22)</f>
        <v>40.22</v>
      </c>
      <c r="J14" s="34">
        <f>IFERROR(__xludf.DUMMYFUNCTION("GOOGLEFINANCE(A14,""high52"")"),69.3)</f>
        <v>69.3</v>
      </c>
      <c r="K14" s="34"/>
    </row>
    <row r="15">
      <c r="A15" s="30" t="str">
        <f>'6image_RS_benchmark_performance'!A15</f>
        <v>ADP</v>
      </c>
      <c r="B15" s="31">
        <f>IFERROR(__xludf.DUMMYFUNCTION("GOOGLEFINANCE(A15,""price"")"),203.14)</f>
        <v>203.14</v>
      </c>
      <c r="C15" s="31">
        <f>IFERROR(__xludf.DUMMYFUNCTION("GOOGLEFINANCE(A15,""high"")"),205.76)</f>
        <v>205.76</v>
      </c>
      <c r="D15" s="31">
        <f>IFERROR(__xludf.DUMMYFUNCTION("GOOGLEFINANCE(A15,""low"")"),202.16)</f>
        <v>202.16</v>
      </c>
      <c r="E15" s="31">
        <f>IFERROR(__xludf.DUMMYFUNCTION("GOOGLEFINANCE(A15,""change"")"),1.46)</f>
        <v>1.46</v>
      </c>
      <c r="F15" s="32">
        <f>IFERROR(__xludf.DUMMYFUNCTION("GOOGLEFINANCE(A15,""changepct"")/100"),0.0072)</f>
        <v>0.0072</v>
      </c>
      <c r="G15" s="33">
        <f>IFERROR(__xludf.DUMMYFUNCTION("GOOGLEFINANCE(A15,""priceopen"")"),202.78)</f>
        <v>202.78</v>
      </c>
      <c r="H15" s="34">
        <f>IFERROR(__xludf.DUMMYFUNCTION("GOOGLEFINANCE(A15,""closeyest"")"),201.68)</f>
        <v>201.68</v>
      </c>
      <c r="I15" s="34">
        <f>IFERROR(__xludf.DUMMYFUNCTION("GOOGLEFINANCE(A15,""low52"")"),127.31)</f>
        <v>127.31</v>
      </c>
      <c r="J15" s="34">
        <f>IFERROR(__xludf.DUMMYFUNCTION("GOOGLEFINANCE(A15,""high52"")"),208.58)</f>
        <v>208.58</v>
      </c>
      <c r="K15" s="34"/>
    </row>
    <row r="16">
      <c r="A16" s="30" t="str">
        <f>'6image_RS_benchmark_performance'!A16</f>
        <v>ADSK</v>
      </c>
      <c r="B16" s="31">
        <f>IFERROR(__xludf.DUMMYFUNCTION("GOOGLEFINANCE(A16,""price"")"),296.12)</f>
        <v>296.12</v>
      </c>
      <c r="C16" s="31">
        <f>IFERROR(__xludf.DUMMYFUNCTION("GOOGLEFINANCE(A16,""high"")"),298.64)</f>
        <v>298.64</v>
      </c>
      <c r="D16" s="31">
        <f>IFERROR(__xludf.DUMMYFUNCTION("GOOGLEFINANCE(A16,""low"")"),285.92)</f>
        <v>285.92</v>
      </c>
      <c r="E16" s="31">
        <f>IFERROR(__xludf.DUMMYFUNCTION("GOOGLEFINANCE(A16,""change"")"),8.81)</f>
        <v>8.81</v>
      </c>
      <c r="F16" s="32">
        <f>IFERROR(__xludf.DUMMYFUNCTION("GOOGLEFINANCE(A16,""changepct"")/100"),0.030699999999999998)</f>
        <v>0.0307</v>
      </c>
      <c r="G16" s="33">
        <f>IFERROR(__xludf.DUMMYFUNCTION("GOOGLEFINANCE(A16,""priceopen"")"),287.9)</f>
        <v>287.9</v>
      </c>
      <c r="H16" s="34">
        <f>IFERROR(__xludf.DUMMYFUNCTION("GOOGLEFINANCE(A16,""closeyest"")"),287.31)</f>
        <v>287.31</v>
      </c>
      <c r="I16" s="34">
        <f>IFERROR(__xludf.DUMMYFUNCTION("GOOGLEFINANCE(A16,""low52"")"),215.83)</f>
        <v>215.83</v>
      </c>
      <c r="J16" s="34">
        <f>IFERROR(__xludf.DUMMYFUNCTION("GOOGLEFINANCE(A16,""high52"")"),321.13)</f>
        <v>321.13</v>
      </c>
      <c r="K16" s="34"/>
    </row>
    <row r="17">
      <c r="A17" s="30" t="str">
        <f>'6image_RS_benchmark_performance'!A17</f>
        <v>AEE</v>
      </c>
      <c r="B17" s="31">
        <f>IFERROR(__xludf.DUMMYFUNCTION("GOOGLEFINANCE(A17,""price"")"),83.98)</f>
        <v>83.98</v>
      </c>
      <c r="C17" s="31">
        <f>IFERROR(__xludf.DUMMYFUNCTION("GOOGLEFINANCE(A17,""high"")"),85.11)</f>
        <v>85.11</v>
      </c>
      <c r="D17" s="31">
        <f>IFERROR(__xludf.DUMMYFUNCTION("GOOGLEFINANCE(A17,""low"")"),83.73)</f>
        <v>83.73</v>
      </c>
      <c r="E17" s="31">
        <f>IFERROR(__xludf.DUMMYFUNCTION("GOOGLEFINANCE(A17,""change"")"),0.0)</f>
        <v>0</v>
      </c>
      <c r="F17" s="32">
        <f>IFERROR(__xludf.DUMMYFUNCTION("GOOGLEFINANCE(A17,""changepct"")/100"),0.0)</f>
        <v>0</v>
      </c>
      <c r="G17" s="33">
        <f>IFERROR(__xludf.DUMMYFUNCTION("GOOGLEFINANCE(A17,""priceopen"")"),84.09)</f>
        <v>84.09</v>
      </c>
      <c r="H17" s="34">
        <f>IFERROR(__xludf.DUMMYFUNCTION("GOOGLEFINANCE(A17,""closeyest"")"),83.98)</f>
        <v>83.98</v>
      </c>
      <c r="I17" s="34">
        <f>IFERROR(__xludf.DUMMYFUNCTION("GOOGLEFINANCE(A17,""low52"")"),69.79)</f>
        <v>69.79</v>
      </c>
      <c r="J17" s="34">
        <f>IFERROR(__xludf.DUMMYFUNCTION("GOOGLEFINANCE(A17,""high52"")"),86.9)</f>
        <v>86.9</v>
      </c>
      <c r="K17" s="34"/>
    </row>
    <row r="18">
      <c r="A18" s="30" t="str">
        <f>'6image_RS_benchmark_performance'!A18</f>
        <v>AEO</v>
      </c>
      <c r="B18" s="31">
        <f>IFERROR(__xludf.DUMMYFUNCTION("GOOGLEFINANCE(A18,""price"")"),34.59)</f>
        <v>34.59</v>
      </c>
      <c r="C18" s="31">
        <f>IFERROR(__xludf.DUMMYFUNCTION("GOOGLEFINANCE(A18,""high"")"),34.78)</f>
        <v>34.78</v>
      </c>
      <c r="D18" s="31">
        <f>IFERROR(__xludf.DUMMYFUNCTION("GOOGLEFINANCE(A18,""low"")"),33.16)</f>
        <v>33.16</v>
      </c>
      <c r="E18" s="31">
        <f>IFERROR(__xludf.DUMMYFUNCTION("GOOGLEFINANCE(A18,""change"")"),1.14)</f>
        <v>1.14</v>
      </c>
      <c r="F18" s="32">
        <f>IFERROR(__xludf.DUMMYFUNCTION("GOOGLEFINANCE(A18,""changepct"")/100"),0.0341)</f>
        <v>0.0341</v>
      </c>
      <c r="G18" s="33">
        <f>IFERROR(__xludf.DUMMYFUNCTION("GOOGLEFINANCE(A18,""priceopen"")"),33.43)</f>
        <v>33.43</v>
      </c>
      <c r="H18" s="34">
        <f>IFERROR(__xludf.DUMMYFUNCTION("GOOGLEFINANCE(A18,""closeyest"")"),33.45)</f>
        <v>33.45</v>
      </c>
      <c r="I18" s="34">
        <f>IFERROR(__xludf.DUMMYFUNCTION("GOOGLEFINANCE(A18,""low52"")"),9.25)</f>
        <v>9.25</v>
      </c>
      <c r="J18" s="34">
        <f>IFERROR(__xludf.DUMMYFUNCTION("GOOGLEFINANCE(A18,""high52"")"),38.99)</f>
        <v>38.99</v>
      </c>
      <c r="K18" s="34"/>
    </row>
    <row r="19">
      <c r="A19" s="30" t="str">
        <f>'6image_RS_benchmark_performance'!A19</f>
        <v>AEP</v>
      </c>
      <c r="B19" s="31">
        <f>IFERROR(__xludf.DUMMYFUNCTION("GOOGLEFINANCE(A19,""price"")"),85.74)</f>
        <v>85.74</v>
      </c>
      <c r="C19" s="31">
        <f>IFERROR(__xludf.DUMMYFUNCTION("GOOGLEFINANCE(A19,""high"")"),86.82)</f>
        <v>86.82</v>
      </c>
      <c r="D19" s="31">
        <f>IFERROR(__xludf.DUMMYFUNCTION("GOOGLEFINANCE(A19,""low"")"),85.66)</f>
        <v>85.66</v>
      </c>
      <c r="E19" s="31">
        <f>IFERROR(__xludf.DUMMYFUNCTION("GOOGLEFINANCE(A19,""change"")"),-0.03)</f>
        <v>-0.03</v>
      </c>
      <c r="F19" s="32">
        <f>IFERROR(__xludf.DUMMYFUNCTION("GOOGLEFINANCE(A19,""changepct"")/100"),-3.0E-4)</f>
        <v>-0.0003</v>
      </c>
      <c r="G19" s="33">
        <f>IFERROR(__xludf.DUMMYFUNCTION("GOOGLEFINANCE(A19,""priceopen"")"),86.28)</f>
        <v>86.28</v>
      </c>
      <c r="H19" s="34">
        <f>IFERROR(__xludf.DUMMYFUNCTION("GOOGLEFINANCE(A19,""closeyest"")"),85.77)</f>
        <v>85.77</v>
      </c>
      <c r="I19" s="34">
        <f>IFERROR(__xludf.DUMMYFUNCTION("GOOGLEFINANCE(A19,""low52"")"),74.8)</f>
        <v>74.8</v>
      </c>
      <c r="J19" s="34">
        <f>IFERROR(__xludf.DUMMYFUNCTION("GOOGLEFINANCE(A19,""high52"")"),94.21)</f>
        <v>94.21</v>
      </c>
      <c r="K19" s="34"/>
    </row>
    <row r="20">
      <c r="A20" s="30" t="str">
        <f>'6image_RS_benchmark_performance'!A20</f>
        <v>AES</v>
      </c>
      <c r="B20" s="31">
        <f>IFERROR(__xludf.DUMMYFUNCTION("GOOGLEFINANCE(A20,""price"")"),24.1)</f>
        <v>24.1</v>
      </c>
      <c r="C20" s="31">
        <f>IFERROR(__xludf.DUMMYFUNCTION("GOOGLEFINANCE(A20,""high"")"),24.28)</f>
        <v>24.28</v>
      </c>
      <c r="D20" s="31">
        <f>IFERROR(__xludf.DUMMYFUNCTION("GOOGLEFINANCE(A20,""low"")"),23.61)</f>
        <v>23.61</v>
      </c>
      <c r="E20" s="31">
        <f>IFERROR(__xludf.DUMMYFUNCTION("GOOGLEFINANCE(A20,""change"")"),0.52)</f>
        <v>0.52</v>
      </c>
      <c r="F20" s="32">
        <f>IFERROR(__xludf.DUMMYFUNCTION("GOOGLEFINANCE(A20,""changepct"")/100"),0.022099999999999998)</f>
        <v>0.0221</v>
      </c>
      <c r="G20" s="33">
        <f>IFERROR(__xludf.DUMMYFUNCTION("GOOGLEFINANCE(A20,""priceopen"")"),23.67)</f>
        <v>23.67</v>
      </c>
      <c r="H20" s="34">
        <f>IFERROR(__xludf.DUMMYFUNCTION("GOOGLEFINANCE(A20,""closeyest"")"),23.58)</f>
        <v>23.58</v>
      </c>
      <c r="I20" s="34">
        <f>IFERROR(__xludf.DUMMYFUNCTION("GOOGLEFINANCE(A20,""low52"")"),14.83)</f>
        <v>14.83</v>
      </c>
      <c r="J20" s="34">
        <f>IFERROR(__xludf.DUMMYFUNCTION("GOOGLEFINANCE(A20,""high52"")"),29.07)</f>
        <v>29.07</v>
      </c>
      <c r="K20" s="34"/>
    </row>
    <row r="21">
      <c r="A21" s="30" t="str">
        <f>'6image_RS_benchmark_performance'!A21</f>
        <v>AFL</v>
      </c>
      <c r="B21" s="31">
        <f>IFERROR(__xludf.DUMMYFUNCTION("GOOGLEFINANCE(A21,""price"")"),52.98)</f>
        <v>52.98</v>
      </c>
      <c r="C21" s="31">
        <f>IFERROR(__xludf.DUMMYFUNCTION("GOOGLEFINANCE(A21,""high"")"),53.43)</f>
        <v>53.43</v>
      </c>
      <c r="D21" s="31">
        <f>IFERROR(__xludf.DUMMYFUNCTION("GOOGLEFINANCE(A21,""low"")"),51.48)</f>
        <v>51.48</v>
      </c>
      <c r="E21" s="31">
        <f>IFERROR(__xludf.DUMMYFUNCTION("GOOGLEFINANCE(A21,""change"")"),1.27)</f>
        <v>1.27</v>
      </c>
      <c r="F21" s="32">
        <f>IFERROR(__xludf.DUMMYFUNCTION("GOOGLEFINANCE(A21,""changepct"")/100"),0.0246)</f>
        <v>0.0246</v>
      </c>
      <c r="G21" s="33">
        <f>IFERROR(__xludf.DUMMYFUNCTION("GOOGLEFINANCE(A21,""priceopen"")"),51.6)</f>
        <v>51.6</v>
      </c>
      <c r="H21" s="34">
        <f>IFERROR(__xludf.DUMMYFUNCTION("GOOGLEFINANCE(A21,""closeyest"")"),51.71)</f>
        <v>51.71</v>
      </c>
      <c r="I21" s="34">
        <f>IFERROR(__xludf.DUMMYFUNCTION("GOOGLEFINANCE(A21,""low52"")"),33.37)</f>
        <v>33.37</v>
      </c>
      <c r="J21" s="34">
        <f>IFERROR(__xludf.DUMMYFUNCTION("GOOGLEFINANCE(A21,""high52"")"),57.57)</f>
        <v>57.57</v>
      </c>
      <c r="K21" s="34"/>
    </row>
    <row r="22">
      <c r="A22" s="30" t="str">
        <f>'6image_RS_benchmark_performance'!A22</f>
        <v>AGG</v>
      </c>
      <c r="B22" s="31">
        <f>IFERROR(__xludf.DUMMYFUNCTION("GOOGLEFINANCE(A22,""price"")"),116.4)</f>
        <v>116.4</v>
      </c>
      <c r="C22" s="31">
        <f>IFERROR(__xludf.DUMMYFUNCTION("GOOGLEFINANCE(A22,""high"")"),116.81)</f>
        <v>116.81</v>
      </c>
      <c r="D22" s="31">
        <f>IFERROR(__xludf.DUMMYFUNCTION("GOOGLEFINANCE(A22,""low"")"),116.32)</f>
        <v>116.32</v>
      </c>
      <c r="E22" s="31">
        <f>IFERROR(__xludf.DUMMYFUNCTION("GOOGLEFINANCE(A22,""change"")"),-0.11)</f>
        <v>-0.11</v>
      </c>
      <c r="F22" s="32">
        <f>IFERROR(__xludf.DUMMYFUNCTION("GOOGLEFINANCE(A22,""changepct"")/100"),-9.0E-4)</f>
        <v>-0.0009</v>
      </c>
      <c r="G22" s="33">
        <f>IFERROR(__xludf.DUMMYFUNCTION("GOOGLEFINANCE(A22,""priceopen"")"),116.78)</f>
        <v>116.78</v>
      </c>
      <c r="H22" s="34">
        <f>IFERROR(__xludf.DUMMYFUNCTION("GOOGLEFINANCE(A22,""closeyest"")"),116.51)</f>
        <v>116.51</v>
      </c>
      <c r="I22" s="34">
        <f>IFERROR(__xludf.DUMMYFUNCTION("GOOGLEFINANCE(A22,""low52"")"),113.2)</f>
        <v>113.2</v>
      </c>
      <c r="J22" s="34">
        <f>IFERROR(__xludf.DUMMYFUNCTION("GOOGLEFINANCE(A22,""high52"")"),119.73)</f>
        <v>119.73</v>
      </c>
      <c r="K22" s="34"/>
    </row>
    <row r="23">
      <c r="A23" s="30" t="str">
        <f>'6image_RS_benchmark_performance'!A23</f>
        <v>AI</v>
      </c>
      <c r="B23" s="31">
        <f>IFERROR(__xludf.DUMMYFUNCTION("GOOGLEFINANCE(A23,""price"")"),53.15)</f>
        <v>53.15</v>
      </c>
      <c r="C23" s="31">
        <f>IFERROR(__xludf.DUMMYFUNCTION("GOOGLEFINANCE(A23,""high"")"),53.46)</f>
        <v>53.46</v>
      </c>
      <c r="D23" s="31">
        <f>IFERROR(__xludf.DUMMYFUNCTION("GOOGLEFINANCE(A23,""low"")"),50.96)</f>
        <v>50.96</v>
      </c>
      <c r="E23" s="31">
        <f>IFERROR(__xludf.DUMMYFUNCTION("GOOGLEFINANCE(A23,""change"")"),1.94)</f>
        <v>1.94</v>
      </c>
      <c r="F23" s="32">
        <f>IFERROR(__xludf.DUMMYFUNCTION("GOOGLEFINANCE(A23,""changepct"")/100"),0.0379)</f>
        <v>0.0379</v>
      </c>
      <c r="G23" s="33">
        <f>IFERROR(__xludf.DUMMYFUNCTION("GOOGLEFINANCE(A23,""priceopen"")"),51.85)</f>
        <v>51.85</v>
      </c>
      <c r="H23" s="34">
        <f>IFERROR(__xludf.DUMMYFUNCTION("GOOGLEFINANCE(A23,""closeyest"")"),51.21)</f>
        <v>51.21</v>
      </c>
      <c r="I23" s="34">
        <f>IFERROR(__xludf.DUMMYFUNCTION("GOOGLEFINANCE(A23,""low52"")"),47.22)</f>
        <v>47.22</v>
      </c>
      <c r="J23" s="34">
        <f>IFERROR(__xludf.DUMMYFUNCTION("GOOGLEFINANCE(A23,""high52"")"),183.9)</f>
        <v>183.9</v>
      </c>
      <c r="K23" s="34"/>
    </row>
    <row r="24">
      <c r="A24" s="30" t="str">
        <f>'6image_RS_benchmark_performance'!A24</f>
        <v>AIG</v>
      </c>
      <c r="B24" s="31">
        <f>IFERROR(__xludf.DUMMYFUNCTION("GOOGLEFINANCE(A24,""price"")"),47.23)</f>
        <v>47.23</v>
      </c>
      <c r="C24" s="31">
        <f>IFERROR(__xludf.DUMMYFUNCTION("GOOGLEFINANCE(A24,""high"")"),47.53)</f>
        <v>47.53</v>
      </c>
      <c r="D24" s="31">
        <f>IFERROR(__xludf.DUMMYFUNCTION("GOOGLEFINANCE(A24,""low"")"),44.87)</f>
        <v>44.87</v>
      </c>
      <c r="E24" s="31">
        <f>IFERROR(__xludf.DUMMYFUNCTION("GOOGLEFINANCE(A24,""change"")"),2.3)</f>
        <v>2.3</v>
      </c>
      <c r="F24" s="32">
        <f>IFERROR(__xludf.DUMMYFUNCTION("GOOGLEFINANCE(A24,""changepct"")/100"),0.0512)</f>
        <v>0.0512</v>
      </c>
      <c r="G24" s="33">
        <f>IFERROR(__xludf.DUMMYFUNCTION("GOOGLEFINANCE(A24,""priceopen"")"),44.97)</f>
        <v>44.97</v>
      </c>
      <c r="H24" s="34">
        <f>IFERROR(__xludf.DUMMYFUNCTION("GOOGLEFINANCE(A24,""closeyest"")"),44.93)</f>
        <v>44.93</v>
      </c>
      <c r="I24" s="34">
        <f>IFERROR(__xludf.DUMMYFUNCTION("GOOGLEFINANCE(A24,""low52"")"),25.57)</f>
        <v>25.57</v>
      </c>
      <c r="J24" s="34">
        <f>IFERROR(__xludf.DUMMYFUNCTION("GOOGLEFINANCE(A24,""high52"")"),54.08)</f>
        <v>54.08</v>
      </c>
      <c r="K24" s="34"/>
    </row>
    <row r="25">
      <c r="A25" s="30" t="str">
        <f>'6image_RS_benchmark_performance'!A25</f>
        <v>AIZ</v>
      </c>
      <c r="B25" s="31">
        <f>IFERROR(__xludf.DUMMYFUNCTION("GOOGLEFINANCE(A25,""price"")"),154.13)</f>
        <v>154.13</v>
      </c>
      <c r="C25" s="31">
        <f>IFERROR(__xludf.DUMMYFUNCTION("GOOGLEFINANCE(A25,""high"")"),155.9)</f>
        <v>155.9</v>
      </c>
      <c r="D25" s="31">
        <f>IFERROR(__xludf.DUMMYFUNCTION("GOOGLEFINANCE(A25,""low"")"),151.18)</f>
        <v>151.18</v>
      </c>
      <c r="E25" s="31">
        <f>IFERROR(__xludf.DUMMYFUNCTION("GOOGLEFINANCE(A25,""change"")"),2.66)</f>
        <v>2.66</v>
      </c>
      <c r="F25" s="32">
        <f>IFERROR(__xludf.DUMMYFUNCTION("GOOGLEFINANCE(A25,""changepct"")/100"),0.0176)</f>
        <v>0.0176</v>
      </c>
      <c r="G25" s="33">
        <f>IFERROR(__xludf.DUMMYFUNCTION("GOOGLEFINANCE(A25,""priceopen"")"),151.62)</f>
        <v>151.62</v>
      </c>
      <c r="H25" s="34">
        <f>IFERROR(__xludf.DUMMYFUNCTION("GOOGLEFINANCE(A25,""closeyest"")"),151.47)</f>
        <v>151.47</v>
      </c>
      <c r="I25" s="34">
        <f>IFERROR(__xludf.DUMMYFUNCTION("GOOGLEFINANCE(A25,""low52"")"),102.65)</f>
        <v>102.65</v>
      </c>
      <c r="J25" s="34">
        <f>IFERROR(__xludf.DUMMYFUNCTION("GOOGLEFINANCE(A25,""high52"")"),163.84)</f>
        <v>163.84</v>
      </c>
      <c r="K25" s="34"/>
    </row>
    <row r="26">
      <c r="A26" s="30" t="str">
        <f>'6image_RS_benchmark_performance'!A26</f>
        <v>AJG</v>
      </c>
      <c r="B26" s="31">
        <f>IFERROR(__xludf.DUMMYFUNCTION("GOOGLEFINANCE(A26,""price"")"),139.27)</f>
        <v>139.27</v>
      </c>
      <c r="C26" s="31">
        <f>IFERROR(__xludf.DUMMYFUNCTION("GOOGLEFINANCE(A26,""high"")"),139.82)</f>
        <v>139.82</v>
      </c>
      <c r="D26" s="31">
        <f>IFERROR(__xludf.DUMMYFUNCTION("GOOGLEFINANCE(A26,""low"")"),136.69)</f>
        <v>136.69</v>
      </c>
      <c r="E26" s="31">
        <f>IFERROR(__xludf.DUMMYFUNCTION("GOOGLEFINANCE(A26,""change"")"),2.63)</f>
        <v>2.63</v>
      </c>
      <c r="F26" s="32">
        <f>IFERROR(__xludf.DUMMYFUNCTION("GOOGLEFINANCE(A26,""changepct"")/100"),0.0192)</f>
        <v>0.0192</v>
      </c>
      <c r="G26" s="33">
        <f>IFERROR(__xludf.DUMMYFUNCTION("GOOGLEFINANCE(A26,""priceopen"")"),137.18)</f>
        <v>137.18</v>
      </c>
      <c r="H26" s="34">
        <f>IFERROR(__xludf.DUMMYFUNCTION("GOOGLEFINANCE(A26,""closeyest"")"),136.64)</f>
        <v>136.64</v>
      </c>
      <c r="I26" s="34">
        <f>IFERROR(__xludf.DUMMYFUNCTION("GOOGLEFINANCE(A26,""low52"")"),100.32)</f>
        <v>100.32</v>
      </c>
      <c r="J26" s="34">
        <f>IFERROR(__xludf.DUMMYFUNCTION("GOOGLEFINANCE(A26,""high52"")"),154.03)</f>
        <v>154.03</v>
      </c>
      <c r="K26" s="34"/>
    </row>
    <row r="27">
      <c r="A27" s="30" t="str">
        <f>'6image_RS_benchmark_performance'!A27</f>
        <v>AKAM</v>
      </c>
      <c r="B27" s="31">
        <f>IFERROR(__xludf.DUMMYFUNCTION("GOOGLEFINANCE(A27,""price"")"),117.54)</f>
        <v>117.54</v>
      </c>
      <c r="C27" s="31">
        <f>IFERROR(__xludf.DUMMYFUNCTION("GOOGLEFINANCE(A27,""high"")"),118.58)</f>
        <v>118.58</v>
      </c>
      <c r="D27" s="31">
        <f>IFERROR(__xludf.DUMMYFUNCTION("GOOGLEFINANCE(A27,""low"")"),117.48)</f>
        <v>117.48</v>
      </c>
      <c r="E27" s="31">
        <f>IFERROR(__xludf.DUMMYFUNCTION("GOOGLEFINANCE(A27,""change"")"),0.27)</f>
        <v>0.27</v>
      </c>
      <c r="F27" s="32">
        <f>IFERROR(__xludf.DUMMYFUNCTION("GOOGLEFINANCE(A27,""changepct"")/100"),0.0023)</f>
        <v>0.0023</v>
      </c>
      <c r="G27" s="33">
        <f>IFERROR(__xludf.DUMMYFUNCTION("GOOGLEFINANCE(A27,""priceopen"")"),117.98)</f>
        <v>117.98</v>
      </c>
      <c r="H27" s="34">
        <f>IFERROR(__xludf.DUMMYFUNCTION("GOOGLEFINANCE(A27,""closeyest"")"),117.27)</f>
        <v>117.27</v>
      </c>
      <c r="I27" s="34">
        <f>IFERROR(__xludf.DUMMYFUNCTION("GOOGLEFINANCE(A27,""low52"")"),92.64)</f>
        <v>92.64</v>
      </c>
      <c r="J27" s="34">
        <f>IFERROR(__xludf.DUMMYFUNCTION("GOOGLEFINANCE(A27,""high52"")"),124.91)</f>
        <v>124.91</v>
      </c>
    </row>
    <row r="28">
      <c r="A28" s="30" t="str">
        <f>'6image_RS_benchmark_performance'!A28</f>
        <v>ALB</v>
      </c>
      <c r="B28" s="31">
        <f>IFERROR(__xludf.DUMMYFUNCTION("GOOGLEFINANCE(A28,""price"")"),187.25)</f>
        <v>187.25</v>
      </c>
      <c r="C28" s="31">
        <f>IFERROR(__xludf.DUMMYFUNCTION("GOOGLEFINANCE(A28,""high"")"),188.71)</f>
        <v>188.71</v>
      </c>
      <c r="D28" s="31">
        <f>IFERROR(__xludf.DUMMYFUNCTION("GOOGLEFINANCE(A28,""low"")"),178.57)</f>
        <v>178.57</v>
      </c>
      <c r="E28" s="31">
        <f>IFERROR(__xludf.DUMMYFUNCTION("GOOGLEFINANCE(A28,""change"")"),9.17)</f>
        <v>9.17</v>
      </c>
      <c r="F28" s="32">
        <f>IFERROR(__xludf.DUMMYFUNCTION("GOOGLEFINANCE(A28,""changepct"")/100"),0.051500000000000004)</f>
        <v>0.0515</v>
      </c>
      <c r="G28" s="33">
        <f>IFERROR(__xludf.DUMMYFUNCTION("GOOGLEFINANCE(A28,""priceopen"")"),179.0)</f>
        <v>179</v>
      </c>
      <c r="H28" s="34">
        <f>IFERROR(__xludf.DUMMYFUNCTION("GOOGLEFINANCE(A28,""closeyest"")"),178.08)</f>
        <v>178.08</v>
      </c>
      <c r="I28" s="34">
        <f>IFERROR(__xludf.DUMMYFUNCTION("GOOGLEFINANCE(A28,""low52"")"),79.06)</f>
        <v>79.06</v>
      </c>
      <c r="J28" s="34">
        <f>IFERROR(__xludf.DUMMYFUNCTION("GOOGLEFINANCE(A28,""high52"")"),192.77)</f>
        <v>192.77</v>
      </c>
    </row>
    <row r="29">
      <c r="A29" s="30" t="str">
        <f>'6image_RS_benchmark_performance'!A29</f>
        <v>ALGN</v>
      </c>
      <c r="B29" s="31">
        <f>IFERROR(__xludf.DUMMYFUNCTION("GOOGLEFINANCE(A29,""price"")"),615.71)</f>
        <v>615.71</v>
      </c>
      <c r="C29" s="31">
        <f>IFERROR(__xludf.DUMMYFUNCTION("GOOGLEFINANCE(A29,""high"")"),620.37)</f>
        <v>620.37</v>
      </c>
      <c r="D29" s="31">
        <f>IFERROR(__xludf.DUMMYFUNCTION("GOOGLEFINANCE(A29,""low"")"),589.24)</f>
        <v>589.24</v>
      </c>
      <c r="E29" s="31">
        <f>IFERROR(__xludf.DUMMYFUNCTION("GOOGLEFINANCE(A29,""change"")"),20.15)</f>
        <v>20.15</v>
      </c>
      <c r="F29" s="32">
        <f>IFERROR(__xludf.DUMMYFUNCTION("GOOGLEFINANCE(A29,""changepct"")/100"),0.0338)</f>
        <v>0.0338</v>
      </c>
      <c r="G29" s="33">
        <f>IFERROR(__xludf.DUMMYFUNCTION("GOOGLEFINANCE(A29,""priceopen"")"),596.04)</f>
        <v>596.04</v>
      </c>
      <c r="H29" s="34">
        <f>IFERROR(__xludf.DUMMYFUNCTION("GOOGLEFINANCE(A29,""closeyest"")"),595.56)</f>
        <v>595.56</v>
      </c>
      <c r="I29" s="34">
        <f>IFERROR(__xludf.DUMMYFUNCTION("GOOGLEFINANCE(A29,""low52"")"),279.83)</f>
        <v>279.83</v>
      </c>
      <c r="J29" s="34">
        <f>IFERROR(__xludf.DUMMYFUNCTION("GOOGLEFINANCE(A29,""high52"")"),653.86)</f>
        <v>653.86</v>
      </c>
    </row>
    <row r="30">
      <c r="A30" s="30" t="str">
        <f>'6image_RS_benchmark_performance'!A30</f>
        <v>ALK</v>
      </c>
      <c r="B30" s="31">
        <f>IFERROR(__xludf.DUMMYFUNCTION("GOOGLEFINANCE(A30,""price"")"),55.48)</f>
        <v>55.48</v>
      </c>
      <c r="C30" s="31">
        <f>IFERROR(__xludf.DUMMYFUNCTION("GOOGLEFINANCE(A30,""high"")"),55.91)</f>
        <v>55.91</v>
      </c>
      <c r="D30" s="31">
        <f>IFERROR(__xludf.DUMMYFUNCTION("GOOGLEFINANCE(A30,""low"")"),52.58)</f>
        <v>52.58</v>
      </c>
      <c r="E30" s="31">
        <f>IFERROR(__xludf.DUMMYFUNCTION("GOOGLEFINANCE(A30,""change"")"),2.65)</f>
        <v>2.65</v>
      </c>
      <c r="F30" s="32">
        <f>IFERROR(__xludf.DUMMYFUNCTION("GOOGLEFINANCE(A30,""changepct"")/100"),0.050199999999999995)</f>
        <v>0.0502</v>
      </c>
      <c r="G30" s="33">
        <f>IFERROR(__xludf.DUMMYFUNCTION("GOOGLEFINANCE(A30,""priceopen"")"),52.82)</f>
        <v>52.82</v>
      </c>
      <c r="H30" s="34">
        <f>IFERROR(__xludf.DUMMYFUNCTION("GOOGLEFINANCE(A30,""closeyest"")"),52.83)</f>
        <v>52.83</v>
      </c>
      <c r="I30" s="34">
        <f>IFERROR(__xludf.DUMMYFUNCTION("GOOGLEFINANCE(A30,""low52"")"),33.22)</f>
        <v>33.22</v>
      </c>
      <c r="J30" s="34">
        <f>IFERROR(__xludf.DUMMYFUNCTION("GOOGLEFINANCE(A30,""high52"")"),74.25)</f>
        <v>74.25</v>
      </c>
    </row>
    <row r="31">
      <c r="A31" s="30" t="str">
        <f>'6image_RS_benchmark_performance'!A31</f>
        <v>ALL</v>
      </c>
      <c r="B31" s="31">
        <f>IFERROR(__xludf.DUMMYFUNCTION("GOOGLEFINANCE(A31,""price"")"),127.83)</f>
        <v>127.83</v>
      </c>
      <c r="C31" s="31">
        <f>IFERROR(__xludf.DUMMYFUNCTION("GOOGLEFINANCE(A31,""high"")"),129.89)</f>
        <v>129.89</v>
      </c>
      <c r="D31" s="31">
        <f>IFERROR(__xludf.DUMMYFUNCTION("GOOGLEFINANCE(A31,""low"")"),127.09)</f>
        <v>127.09</v>
      </c>
      <c r="E31" s="31">
        <f>IFERROR(__xludf.DUMMYFUNCTION("GOOGLEFINANCE(A31,""change"")"),0.34)</f>
        <v>0.34</v>
      </c>
      <c r="F31" s="32">
        <f>IFERROR(__xludf.DUMMYFUNCTION("GOOGLEFINANCE(A31,""changepct"")/100"),0.0027)</f>
        <v>0.0027</v>
      </c>
      <c r="G31" s="33">
        <f>IFERROR(__xludf.DUMMYFUNCTION("GOOGLEFINANCE(A31,""priceopen"")"),127.52)</f>
        <v>127.52</v>
      </c>
      <c r="H31" s="34">
        <f>IFERROR(__xludf.DUMMYFUNCTION("GOOGLEFINANCE(A31,""closeyest"")"),127.49)</f>
        <v>127.49</v>
      </c>
      <c r="I31" s="34">
        <f>IFERROR(__xludf.DUMMYFUNCTION("GOOGLEFINANCE(A31,""low52"")"),86.51)</f>
        <v>86.51</v>
      </c>
      <c r="J31" s="34">
        <f>IFERROR(__xludf.DUMMYFUNCTION("GOOGLEFINANCE(A31,""high52"")"),140.0)</f>
        <v>140</v>
      </c>
    </row>
    <row r="32">
      <c r="A32" s="30" t="str">
        <f>'6image_RS_benchmark_performance'!A32</f>
        <v>ALLE</v>
      </c>
      <c r="B32" s="31">
        <f>IFERROR(__xludf.DUMMYFUNCTION("GOOGLEFINANCE(A32,""price"")"),141.35)</f>
        <v>141.35</v>
      </c>
      <c r="C32" s="31">
        <f>IFERROR(__xludf.DUMMYFUNCTION("GOOGLEFINANCE(A32,""high"")"),142.25)</f>
        <v>142.25</v>
      </c>
      <c r="D32" s="31">
        <f>IFERROR(__xludf.DUMMYFUNCTION("GOOGLEFINANCE(A32,""low"")"),136.47)</f>
        <v>136.47</v>
      </c>
      <c r="E32" s="31">
        <f>IFERROR(__xludf.DUMMYFUNCTION("GOOGLEFINANCE(A32,""change"")"),5.44)</f>
        <v>5.44</v>
      </c>
      <c r="F32" s="32">
        <f>IFERROR(__xludf.DUMMYFUNCTION("GOOGLEFINANCE(A32,""changepct"")/100"),0.04)</f>
        <v>0.04</v>
      </c>
      <c r="G32" s="33">
        <f>IFERROR(__xludf.DUMMYFUNCTION("GOOGLEFINANCE(A32,""priceopen"")"),136.66)</f>
        <v>136.66</v>
      </c>
      <c r="H32" s="34">
        <f>IFERROR(__xludf.DUMMYFUNCTION("GOOGLEFINANCE(A32,""closeyest"")"),135.91)</f>
        <v>135.91</v>
      </c>
      <c r="I32" s="34">
        <f>IFERROR(__xludf.DUMMYFUNCTION("GOOGLEFINANCE(A32,""low52"")"),94.01)</f>
        <v>94.01</v>
      </c>
      <c r="J32" s="34">
        <f>IFERROR(__xludf.DUMMYFUNCTION("GOOGLEFINANCE(A32,""high52"")"),144.76)</f>
        <v>144.76</v>
      </c>
    </row>
    <row r="33">
      <c r="A33" s="30" t="str">
        <f>'6image_RS_benchmark_performance'!A33</f>
        <v>ALLY</v>
      </c>
      <c r="B33" s="31">
        <f>IFERROR(__xludf.DUMMYFUNCTION("GOOGLEFINANCE(A33,""price"")"),50.9)</f>
        <v>50.9</v>
      </c>
      <c r="C33" s="31">
        <f>IFERROR(__xludf.DUMMYFUNCTION("GOOGLEFINANCE(A33,""high"")"),51.11)</f>
        <v>51.11</v>
      </c>
      <c r="D33" s="31">
        <f>IFERROR(__xludf.DUMMYFUNCTION("GOOGLEFINANCE(A33,""low"")"),47.06)</f>
        <v>47.06</v>
      </c>
      <c r="E33" s="31">
        <f>IFERROR(__xludf.DUMMYFUNCTION("GOOGLEFINANCE(A33,""change"")"),2.92)</f>
        <v>2.92</v>
      </c>
      <c r="F33" s="32">
        <f>IFERROR(__xludf.DUMMYFUNCTION("GOOGLEFINANCE(A33,""changepct"")/100"),0.060899999999999996)</f>
        <v>0.0609</v>
      </c>
      <c r="G33" s="33">
        <f>IFERROR(__xludf.DUMMYFUNCTION("GOOGLEFINANCE(A33,""priceopen"")"),47.2)</f>
        <v>47.2</v>
      </c>
      <c r="H33" s="34">
        <f>IFERROR(__xludf.DUMMYFUNCTION("GOOGLEFINANCE(A33,""closeyest"")"),47.98)</f>
        <v>47.98</v>
      </c>
      <c r="I33" s="34">
        <f>IFERROR(__xludf.DUMMYFUNCTION("GOOGLEFINANCE(A33,""low52"")"),19.86)</f>
        <v>19.86</v>
      </c>
      <c r="J33" s="34">
        <f>IFERROR(__xludf.DUMMYFUNCTION("GOOGLEFINANCE(A33,""high52"")"),56.61)</f>
        <v>56.61</v>
      </c>
    </row>
    <row r="34">
      <c r="A34" s="30" t="str">
        <f>'6image_RS_benchmark_performance'!A34</f>
        <v>ALXN</v>
      </c>
      <c r="B34" s="31">
        <f>IFERROR(__xludf.DUMMYFUNCTION("GOOGLEFINANCE(A34,""price"")"),182.5)</f>
        <v>182.5</v>
      </c>
      <c r="C34" s="31">
        <f>IFERROR(__xludf.DUMMYFUNCTION("GOOGLEFINANCE(A34,""high"")"),182.67)</f>
        <v>182.67</v>
      </c>
      <c r="D34" s="31">
        <f>IFERROR(__xludf.DUMMYFUNCTION("GOOGLEFINANCE(A34,""low"")"),180.13)</f>
        <v>180.13</v>
      </c>
      <c r="E34" s="31">
        <f>IFERROR(__xludf.DUMMYFUNCTION("GOOGLEFINANCE(A34,""change"")"),3.05)</f>
        <v>3.05</v>
      </c>
      <c r="F34" s="32">
        <f>IFERROR(__xludf.DUMMYFUNCTION("GOOGLEFINANCE(A34,""changepct"")/100"),0.017)</f>
        <v>0.017</v>
      </c>
      <c r="G34" s="33">
        <f>IFERROR(__xludf.DUMMYFUNCTION("GOOGLEFINANCE(A34,""priceopen"")"),181.04)</f>
        <v>181.04</v>
      </c>
      <c r="H34" s="34">
        <f>IFERROR(__xludf.DUMMYFUNCTION("GOOGLEFINANCE(A34,""closeyest"")"),179.45)</f>
        <v>179.45</v>
      </c>
      <c r="I34" s="34">
        <f>IFERROR(__xludf.DUMMYFUNCTION("GOOGLEFINANCE(A34,""low52"")"),99.91)</f>
        <v>99.91</v>
      </c>
      <c r="J34" s="34">
        <f>IFERROR(__xludf.DUMMYFUNCTION("GOOGLEFINANCE(A34,""high52"")"),187.45)</f>
        <v>187.45</v>
      </c>
    </row>
    <row r="35">
      <c r="A35" s="30" t="str">
        <f>'6image_RS_benchmark_performance'!A35</f>
        <v>AMAT</v>
      </c>
      <c r="B35" s="31">
        <f>IFERROR(__xludf.DUMMYFUNCTION("GOOGLEFINANCE(A35,""price"")"),131.97)</f>
        <v>131.97</v>
      </c>
      <c r="C35" s="31">
        <f>IFERROR(__xludf.DUMMYFUNCTION("GOOGLEFINANCE(A35,""high"")"),133.12)</f>
        <v>133.12</v>
      </c>
      <c r="D35" s="31">
        <f>IFERROR(__xludf.DUMMYFUNCTION("GOOGLEFINANCE(A35,""low"")"),127.8)</f>
        <v>127.8</v>
      </c>
      <c r="E35" s="31">
        <f>IFERROR(__xludf.DUMMYFUNCTION("GOOGLEFINANCE(A35,""change"")"),3.35)</f>
        <v>3.35</v>
      </c>
      <c r="F35" s="32">
        <f>IFERROR(__xludf.DUMMYFUNCTION("GOOGLEFINANCE(A35,""changepct"")/100"),0.026000000000000002)</f>
        <v>0.026</v>
      </c>
      <c r="G35" s="33">
        <f>IFERROR(__xludf.DUMMYFUNCTION("GOOGLEFINANCE(A35,""priceopen"")"),129.2)</f>
        <v>129.2</v>
      </c>
      <c r="H35" s="34">
        <f>IFERROR(__xludf.DUMMYFUNCTION("GOOGLEFINANCE(A35,""closeyest"")"),128.62)</f>
        <v>128.62</v>
      </c>
      <c r="I35" s="34">
        <f>IFERROR(__xludf.DUMMYFUNCTION("GOOGLEFINANCE(A35,""low52"")"),54.15)</f>
        <v>54.15</v>
      </c>
      <c r="J35" s="34">
        <f>IFERROR(__xludf.DUMMYFUNCTION("GOOGLEFINANCE(A35,""high52"")"),146.0)</f>
        <v>146</v>
      </c>
    </row>
    <row r="36">
      <c r="A36" s="30" t="str">
        <f>'6image_RS_benchmark_performance'!A36</f>
        <v>AMC</v>
      </c>
      <c r="B36" s="31">
        <f>IFERROR(__xludf.DUMMYFUNCTION("GOOGLEFINANCE(A36,""price"")"),43.09)</f>
        <v>43.09</v>
      </c>
      <c r="C36" s="31">
        <f>IFERROR(__xludf.DUMMYFUNCTION("GOOGLEFINANCE(A36,""high"")"),44.39)</f>
        <v>44.39</v>
      </c>
      <c r="D36" s="31">
        <f>IFERROR(__xludf.DUMMYFUNCTION("GOOGLEFINANCE(A36,""low"")"),35.13)</f>
        <v>35.13</v>
      </c>
      <c r="E36" s="31">
        <f>IFERROR(__xludf.DUMMYFUNCTION("GOOGLEFINANCE(A36,""change"")"),8.47)</f>
        <v>8.47</v>
      </c>
      <c r="F36" s="32">
        <f>IFERROR(__xludf.DUMMYFUNCTION("GOOGLEFINANCE(A36,""changepct"")/100"),0.2447)</f>
        <v>0.2447</v>
      </c>
      <c r="G36" s="33">
        <f>IFERROR(__xludf.DUMMYFUNCTION("GOOGLEFINANCE(A36,""priceopen"")"),35.14)</f>
        <v>35.14</v>
      </c>
      <c r="H36" s="34">
        <f>IFERROR(__xludf.DUMMYFUNCTION("GOOGLEFINANCE(A36,""closeyest"")"),34.62)</f>
        <v>34.62</v>
      </c>
      <c r="I36" s="34">
        <f>IFERROR(__xludf.DUMMYFUNCTION("GOOGLEFINANCE(A36,""low52"")"),1.91)</f>
        <v>1.91</v>
      </c>
      <c r="J36" s="34">
        <f>IFERROR(__xludf.DUMMYFUNCTION("GOOGLEFINANCE(A36,""high52"")"),72.62)</f>
        <v>72.62</v>
      </c>
    </row>
    <row r="37">
      <c r="A37" s="30" t="str">
        <f>'6image_RS_benchmark_performance'!A37</f>
        <v>AMCR</v>
      </c>
      <c r="B37" s="31">
        <f>IFERROR(__xludf.DUMMYFUNCTION("GOOGLEFINANCE(A37,""price"")"),11.26)</f>
        <v>11.26</v>
      </c>
      <c r="C37" s="31">
        <f>IFERROR(__xludf.DUMMYFUNCTION("GOOGLEFINANCE(A37,""high"")"),11.46)</f>
        <v>11.46</v>
      </c>
      <c r="D37" s="31">
        <f>IFERROR(__xludf.DUMMYFUNCTION("GOOGLEFINANCE(A37,""low"")"),11.21)</f>
        <v>11.21</v>
      </c>
      <c r="E37" s="31">
        <f>IFERROR(__xludf.DUMMYFUNCTION("GOOGLEFINANCE(A37,""change"")"),0.01)</f>
        <v>0.01</v>
      </c>
      <c r="F37" s="32">
        <f>IFERROR(__xludf.DUMMYFUNCTION("GOOGLEFINANCE(A37,""changepct"")/100"),9.0E-4)</f>
        <v>0.0009</v>
      </c>
      <c r="G37" s="33">
        <f>IFERROR(__xludf.DUMMYFUNCTION("GOOGLEFINANCE(A37,""priceopen"")"),11.28)</f>
        <v>11.28</v>
      </c>
      <c r="H37" s="34">
        <f>IFERROR(__xludf.DUMMYFUNCTION("GOOGLEFINANCE(A37,""closeyest"")"),11.25)</f>
        <v>11.25</v>
      </c>
      <c r="I37" s="34">
        <f>IFERROR(__xludf.DUMMYFUNCTION("GOOGLEFINANCE(A37,""low52"")"),10.05)</f>
        <v>10.05</v>
      </c>
      <c r="J37" s="34">
        <f>IFERROR(__xludf.DUMMYFUNCTION("GOOGLEFINANCE(A37,""high52"")"),12.76)</f>
        <v>12.76</v>
      </c>
    </row>
    <row r="38">
      <c r="A38" s="30" t="str">
        <f>'6image_RS_benchmark_performance'!A38</f>
        <v>AMD</v>
      </c>
      <c r="B38" s="31">
        <f>IFERROR(__xludf.DUMMYFUNCTION("GOOGLEFINANCE(A38,""price"")"),87.11)</f>
        <v>87.11</v>
      </c>
      <c r="C38" s="31">
        <f>IFERROR(__xludf.DUMMYFUNCTION("GOOGLEFINANCE(A38,""high"")"),87.77)</f>
        <v>87.77</v>
      </c>
      <c r="D38" s="31">
        <f>IFERROR(__xludf.DUMMYFUNCTION("GOOGLEFINANCE(A38,""low"")"),85.17)</f>
        <v>85.17</v>
      </c>
      <c r="E38" s="31">
        <f>IFERROR(__xludf.DUMMYFUNCTION("GOOGLEFINANCE(A38,""change"")"),0.53)</f>
        <v>0.53</v>
      </c>
      <c r="F38" s="32">
        <f>IFERROR(__xludf.DUMMYFUNCTION("GOOGLEFINANCE(A38,""changepct"")/100"),0.0060999999999999995)</f>
        <v>0.0061</v>
      </c>
      <c r="G38" s="33">
        <f>IFERROR(__xludf.DUMMYFUNCTION("GOOGLEFINANCE(A38,""priceopen"")"),87.09)</f>
        <v>87.09</v>
      </c>
      <c r="H38" s="34">
        <f>IFERROR(__xludf.DUMMYFUNCTION("GOOGLEFINANCE(A38,""closeyest"")"),86.58)</f>
        <v>86.58</v>
      </c>
      <c r="I38" s="34">
        <f>IFERROR(__xludf.DUMMYFUNCTION("GOOGLEFINANCE(A38,""low52"")"),54.83)</f>
        <v>54.83</v>
      </c>
      <c r="J38" s="34">
        <f>IFERROR(__xludf.DUMMYFUNCTION("GOOGLEFINANCE(A38,""high52"")"),99.23)</f>
        <v>99.23</v>
      </c>
    </row>
    <row r="39">
      <c r="A39" s="30" t="str">
        <f>'6image_RS_benchmark_performance'!A39</f>
        <v>AME</v>
      </c>
      <c r="B39" s="31">
        <f>IFERROR(__xludf.DUMMYFUNCTION("GOOGLEFINANCE(A39,""price"")"),136.73)</f>
        <v>136.73</v>
      </c>
      <c r="C39" s="31">
        <f>IFERROR(__xludf.DUMMYFUNCTION("GOOGLEFINANCE(A39,""high"")"),137.3)</f>
        <v>137.3</v>
      </c>
      <c r="D39" s="31">
        <f>IFERROR(__xludf.DUMMYFUNCTION("GOOGLEFINANCE(A39,""low"")"),133.19)</f>
        <v>133.19</v>
      </c>
      <c r="E39" s="31">
        <f>IFERROR(__xludf.DUMMYFUNCTION("GOOGLEFINANCE(A39,""change"")"),3.67)</f>
        <v>3.67</v>
      </c>
      <c r="F39" s="32">
        <f>IFERROR(__xludf.DUMMYFUNCTION("GOOGLEFINANCE(A39,""changepct"")/100"),0.0276)</f>
        <v>0.0276</v>
      </c>
      <c r="G39" s="33">
        <f>IFERROR(__xludf.DUMMYFUNCTION("GOOGLEFINANCE(A39,""priceopen"")"),133.63)</f>
        <v>133.63</v>
      </c>
      <c r="H39" s="34">
        <f>IFERROR(__xludf.DUMMYFUNCTION("GOOGLEFINANCE(A39,""closeyest"")"),133.06)</f>
        <v>133.06</v>
      </c>
      <c r="I39" s="34">
        <f>IFERROR(__xludf.DUMMYFUNCTION("GOOGLEFINANCE(A39,""low52"")"),91.11)</f>
        <v>91.11</v>
      </c>
      <c r="J39" s="34">
        <f>IFERROR(__xludf.DUMMYFUNCTION("GOOGLEFINANCE(A39,""high52"")"),139.07)</f>
        <v>139.07</v>
      </c>
    </row>
    <row r="40">
      <c r="A40" s="30" t="str">
        <f>'6image_RS_benchmark_performance'!A40</f>
        <v>AMGN</v>
      </c>
      <c r="B40" s="31">
        <f>IFERROR(__xludf.DUMMYFUNCTION("GOOGLEFINANCE(A40,""price"")"),246.89)</f>
        <v>246.89</v>
      </c>
      <c r="C40" s="31">
        <f>IFERROR(__xludf.DUMMYFUNCTION("GOOGLEFINANCE(A40,""high"")"),250.39)</f>
        <v>250.39</v>
      </c>
      <c r="D40" s="31">
        <f>IFERROR(__xludf.DUMMYFUNCTION("GOOGLEFINANCE(A40,""low"")"),245.71)</f>
        <v>245.71</v>
      </c>
      <c r="E40" s="31">
        <f>IFERROR(__xludf.DUMMYFUNCTION("GOOGLEFINANCE(A40,""change"")"),0.16)</f>
        <v>0.16</v>
      </c>
      <c r="F40" s="32">
        <f>IFERROR(__xludf.DUMMYFUNCTION("GOOGLEFINANCE(A40,""changepct"")/100"),6.0E-4)</f>
        <v>0.0006</v>
      </c>
      <c r="G40" s="33">
        <f>IFERROR(__xludf.DUMMYFUNCTION("GOOGLEFINANCE(A40,""priceopen"")"),247.27)</f>
        <v>247.27</v>
      </c>
      <c r="H40" s="34">
        <f>IFERROR(__xludf.DUMMYFUNCTION("GOOGLEFINANCE(A40,""closeyest"")"),246.73)</f>
        <v>246.73</v>
      </c>
      <c r="I40" s="34">
        <f>IFERROR(__xludf.DUMMYFUNCTION("GOOGLEFINANCE(A40,""low52"")"),210.28)</f>
        <v>210.28</v>
      </c>
      <c r="J40" s="34">
        <f>IFERROR(__xludf.DUMMYFUNCTION("GOOGLEFINANCE(A40,""high52"")"),276.69)</f>
        <v>276.69</v>
      </c>
    </row>
    <row r="41">
      <c r="A41" s="30" t="str">
        <f>'6image_RS_benchmark_performance'!A41</f>
        <v>AMLP</v>
      </c>
      <c r="B41" s="31">
        <f>IFERROR(__xludf.DUMMYFUNCTION("GOOGLEFINANCE(A41,""price"")"),33.8)</f>
        <v>33.8</v>
      </c>
      <c r="C41" s="31">
        <f>IFERROR(__xludf.DUMMYFUNCTION("GOOGLEFINANCE(A41,""high"")"),33.84)</f>
        <v>33.84</v>
      </c>
      <c r="D41" s="31">
        <f>IFERROR(__xludf.DUMMYFUNCTION("GOOGLEFINANCE(A41,""low"")"),32.38)</f>
        <v>32.38</v>
      </c>
      <c r="E41" s="31">
        <f>IFERROR(__xludf.DUMMYFUNCTION("GOOGLEFINANCE(A41,""change"")"),1.51)</f>
        <v>1.51</v>
      </c>
      <c r="F41" s="32">
        <f>IFERROR(__xludf.DUMMYFUNCTION("GOOGLEFINANCE(A41,""changepct"")/100"),0.046799999999999994)</f>
        <v>0.0468</v>
      </c>
      <c r="G41" s="33">
        <f>IFERROR(__xludf.DUMMYFUNCTION("GOOGLEFINANCE(A41,""priceopen"")"),32.59)</f>
        <v>32.59</v>
      </c>
      <c r="H41" s="34">
        <f>IFERROR(__xludf.DUMMYFUNCTION("GOOGLEFINANCE(A41,""closeyest"")"),32.29)</f>
        <v>32.29</v>
      </c>
      <c r="I41" s="34">
        <f>IFERROR(__xludf.DUMMYFUNCTION("GOOGLEFINANCE(A41,""low52"")"),18.93)</f>
        <v>18.93</v>
      </c>
      <c r="J41" s="34">
        <f>IFERROR(__xludf.DUMMYFUNCTION("GOOGLEFINANCE(A41,""high52"")"),38.92)</f>
        <v>38.92</v>
      </c>
    </row>
    <row r="42">
      <c r="A42" s="30" t="str">
        <f>'6image_RS_benchmark_performance'!A42</f>
        <v>AMP</v>
      </c>
      <c r="B42" s="31">
        <f>IFERROR(__xludf.DUMMYFUNCTION("GOOGLEFINANCE(A42,""price"")"),245.82)</f>
        <v>245.82</v>
      </c>
      <c r="C42" s="31">
        <f>IFERROR(__xludf.DUMMYFUNCTION("GOOGLEFINANCE(A42,""high"")"),247.37)</f>
        <v>247.37</v>
      </c>
      <c r="D42" s="31">
        <f>IFERROR(__xludf.DUMMYFUNCTION("GOOGLEFINANCE(A42,""low"")"),237.89)</f>
        <v>237.89</v>
      </c>
      <c r="E42" s="31">
        <f>IFERROR(__xludf.DUMMYFUNCTION("GOOGLEFINANCE(A42,""change"")"),7.71)</f>
        <v>7.71</v>
      </c>
      <c r="F42" s="32">
        <f>IFERROR(__xludf.DUMMYFUNCTION("GOOGLEFINANCE(A42,""changepct"")/100"),0.032400000000000005)</f>
        <v>0.0324</v>
      </c>
      <c r="G42" s="33">
        <f>IFERROR(__xludf.DUMMYFUNCTION("GOOGLEFINANCE(A42,""priceopen"")"),237.89)</f>
        <v>237.89</v>
      </c>
      <c r="H42" s="34">
        <f>IFERROR(__xludf.DUMMYFUNCTION("GOOGLEFINANCE(A42,""closeyest"")"),238.11)</f>
        <v>238.11</v>
      </c>
      <c r="I42" s="34">
        <f>IFERROR(__xludf.DUMMYFUNCTION("GOOGLEFINANCE(A42,""low52"")"),141.82)</f>
        <v>141.82</v>
      </c>
      <c r="J42" s="34">
        <f>IFERROR(__xludf.DUMMYFUNCTION("GOOGLEFINANCE(A42,""high52"")"),269.29)</f>
        <v>269.29</v>
      </c>
    </row>
    <row r="43">
      <c r="A43" s="30" t="str">
        <f>'6image_RS_benchmark_performance'!A43</f>
        <v>AMT</v>
      </c>
      <c r="B43" s="31">
        <f>IFERROR(__xludf.DUMMYFUNCTION("GOOGLEFINANCE(A43,""price"")"),283.0)</f>
        <v>283</v>
      </c>
      <c r="C43" s="31">
        <f>IFERROR(__xludf.DUMMYFUNCTION("GOOGLEFINANCE(A43,""high"")"),284.44)</f>
        <v>284.44</v>
      </c>
      <c r="D43" s="31">
        <f>IFERROR(__xludf.DUMMYFUNCTION("GOOGLEFINANCE(A43,""low"")"),279.69)</f>
        <v>279.69</v>
      </c>
      <c r="E43" s="31">
        <f>IFERROR(__xludf.DUMMYFUNCTION("GOOGLEFINANCE(A43,""change"")"),2.11)</f>
        <v>2.11</v>
      </c>
      <c r="F43" s="32">
        <f>IFERROR(__xludf.DUMMYFUNCTION("GOOGLEFINANCE(A43,""changepct"")/100"),0.0075)</f>
        <v>0.0075</v>
      </c>
      <c r="G43" s="33">
        <f>IFERROR(__xludf.DUMMYFUNCTION("GOOGLEFINANCE(A43,""priceopen"")"),283.11)</f>
        <v>283.11</v>
      </c>
      <c r="H43" s="34">
        <f>IFERROR(__xludf.DUMMYFUNCTION("GOOGLEFINANCE(A43,""closeyest"")"),280.89)</f>
        <v>280.89</v>
      </c>
      <c r="I43" s="34">
        <f>IFERROR(__xludf.DUMMYFUNCTION("GOOGLEFINANCE(A43,""low52"")"),197.5)</f>
        <v>197.5</v>
      </c>
      <c r="J43" s="34">
        <f>IFERROR(__xludf.DUMMYFUNCTION("GOOGLEFINANCE(A43,""high52"")"),284.65)</f>
        <v>284.65</v>
      </c>
    </row>
    <row r="44">
      <c r="A44" s="30" t="str">
        <f>'6image_RS_benchmark_performance'!A44</f>
        <v>AMZN</v>
      </c>
      <c r="B44" s="31">
        <f>IFERROR(__xludf.DUMMYFUNCTION("GOOGLEFINANCE(A44,""price"")"),3573.19)</f>
        <v>3573.19</v>
      </c>
      <c r="C44" s="31">
        <f>IFERROR(__xludf.DUMMYFUNCTION("GOOGLEFINANCE(A44,""high"")"),3592.0)</f>
        <v>3592</v>
      </c>
      <c r="D44" s="31">
        <f>IFERROR(__xludf.DUMMYFUNCTION("GOOGLEFINANCE(A44,""low"")"),3518.0)</f>
        <v>3518</v>
      </c>
      <c r="E44" s="31">
        <f>IFERROR(__xludf.DUMMYFUNCTION("GOOGLEFINANCE(A44,""change"")"),23.6)</f>
        <v>23.6</v>
      </c>
      <c r="F44" s="32">
        <f>IFERROR(__xludf.DUMMYFUNCTION("GOOGLEFINANCE(A44,""changepct"")/100"),0.0066)</f>
        <v>0.0066</v>
      </c>
      <c r="G44" s="33">
        <f>IFERROR(__xludf.DUMMYFUNCTION("GOOGLEFINANCE(A44,""priceopen"")"),3567.32)</f>
        <v>3567.32</v>
      </c>
      <c r="H44" s="34">
        <f>IFERROR(__xludf.DUMMYFUNCTION("GOOGLEFINANCE(A44,""closeyest"")"),3549.59)</f>
        <v>3549.59</v>
      </c>
      <c r="I44" s="34">
        <f>IFERROR(__xludf.DUMMYFUNCTION("GOOGLEFINANCE(A44,""low52"")"),2871.0)</f>
        <v>2871</v>
      </c>
      <c r="J44" s="34">
        <f>IFERROR(__xludf.DUMMYFUNCTION("GOOGLEFINANCE(A44,""high52"")"),3773.08)</f>
        <v>3773.08</v>
      </c>
    </row>
    <row r="45">
      <c r="A45" s="30" t="str">
        <f>'6image_RS_benchmark_performance'!A45</f>
        <v>ANET</v>
      </c>
      <c r="B45" s="31">
        <f>IFERROR(__xludf.DUMMYFUNCTION("GOOGLEFINANCE(A45,""price"")"),363.69)</f>
        <v>363.69</v>
      </c>
      <c r="C45" s="31">
        <f>IFERROR(__xludf.DUMMYFUNCTION("GOOGLEFINANCE(A45,""high"")"),364.98)</f>
        <v>364.98</v>
      </c>
      <c r="D45" s="31">
        <f>IFERROR(__xludf.DUMMYFUNCTION("GOOGLEFINANCE(A45,""low"")"),361.76)</f>
        <v>361.76</v>
      </c>
      <c r="E45" s="31">
        <f>IFERROR(__xludf.DUMMYFUNCTION("GOOGLEFINANCE(A45,""change"")"),1.57)</f>
        <v>1.57</v>
      </c>
      <c r="F45" s="32">
        <f>IFERROR(__xludf.DUMMYFUNCTION("GOOGLEFINANCE(A45,""changepct"")/100"),0.0043)</f>
        <v>0.0043</v>
      </c>
      <c r="G45" s="33">
        <f>IFERROR(__xludf.DUMMYFUNCTION("GOOGLEFINANCE(A45,""priceopen"")"),364.98)</f>
        <v>364.98</v>
      </c>
      <c r="H45" s="34">
        <f>IFERROR(__xludf.DUMMYFUNCTION("GOOGLEFINANCE(A45,""closeyest"")"),362.12)</f>
        <v>362.12</v>
      </c>
      <c r="I45" s="34">
        <f>IFERROR(__xludf.DUMMYFUNCTION("GOOGLEFINANCE(A45,""low52"")"),192.96)</f>
        <v>192.96</v>
      </c>
      <c r="J45" s="34">
        <f>IFERROR(__xludf.DUMMYFUNCTION("GOOGLEFINANCE(A45,""high52"")"),378.7)</f>
        <v>378.7</v>
      </c>
    </row>
    <row r="46">
      <c r="A46" s="30" t="str">
        <f>'6image_RS_benchmark_performance'!A46</f>
        <v>ANSS</v>
      </c>
      <c r="B46" s="31">
        <f>IFERROR(__xludf.DUMMYFUNCTION("GOOGLEFINANCE(A46,""price"")"),350.87)</f>
        <v>350.87</v>
      </c>
      <c r="C46" s="31">
        <f>IFERROR(__xludf.DUMMYFUNCTION("GOOGLEFINANCE(A46,""high"")"),352.58)</f>
        <v>352.58</v>
      </c>
      <c r="D46" s="31">
        <f>IFERROR(__xludf.DUMMYFUNCTION("GOOGLEFINANCE(A46,""low"")"),342.17)</f>
        <v>342.17</v>
      </c>
      <c r="E46" s="31">
        <f>IFERROR(__xludf.DUMMYFUNCTION("GOOGLEFINANCE(A46,""change"")"),7.4)</f>
        <v>7.4</v>
      </c>
      <c r="F46" s="32">
        <f>IFERROR(__xludf.DUMMYFUNCTION("GOOGLEFINANCE(A46,""changepct"")/100"),0.0215)</f>
        <v>0.0215</v>
      </c>
      <c r="G46" s="33">
        <f>IFERROR(__xludf.DUMMYFUNCTION("GOOGLEFINANCE(A46,""priceopen"")"),345.0)</f>
        <v>345</v>
      </c>
      <c r="H46" s="34">
        <f>IFERROR(__xludf.DUMMYFUNCTION("GOOGLEFINANCE(A46,""closeyest"")"),343.47)</f>
        <v>343.47</v>
      </c>
      <c r="I46" s="34">
        <f>IFERROR(__xludf.DUMMYFUNCTION("GOOGLEFINANCE(A46,""low52"")"),291.55)</f>
        <v>291.55</v>
      </c>
      <c r="J46" s="34">
        <f>IFERROR(__xludf.DUMMYFUNCTION("GOOGLEFINANCE(A46,""high52"")"),413.19)</f>
        <v>413.19</v>
      </c>
    </row>
    <row r="47">
      <c r="A47" s="30" t="str">
        <f>'6image_RS_benchmark_performance'!A47</f>
        <v>ANTM</v>
      </c>
      <c r="B47" s="31">
        <f>IFERROR(__xludf.DUMMYFUNCTION("GOOGLEFINANCE(A47,""price"")"),389.94)</f>
        <v>389.94</v>
      </c>
      <c r="C47" s="31">
        <f>IFERROR(__xludf.DUMMYFUNCTION("GOOGLEFINANCE(A47,""high"")"),393.52)</f>
        <v>393.52</v>
      </c>
      <c r="D47" s="31">
        <f>IFERROR(__xludf.DUMMYFUNCTION("GOOGLEFINANCE(A47,""low"")"),385.28)</f>
        <v>385.28</v>
      </c>
      <c r="E47" s="31">
        <f>IFERROR(__xludf.DUMMYFUNCTION("GOOGLEFINANCE(A47,""change"")"),5.5)</f>
        <v>5.5</v>
      </c>
      <c r="F47" s="32">
        <f>IFERROR(__xludf.DUMMYFUNCTION("GOOGLEFINANCE(A47,""changepct"")/100"),0.0143)</f>
        <v>0.0143</v>
      </c>
      <c r="G47" s="33">
        <f>IFERROR(__xludf.DUMMYFUNCTION("GOOGLEFINANCE(A47,""priceopen"")"),385.81)</f>
        <v>385.81</v>
      </c>
      <c r="H47" s="34">
        <f>IFERROR(__xludf.DUMMYFUNCTION("GOOGLEFINANCE(A47,""closeyest"")"),384.44)</f>
        <v>384.44</v>
      </c>
      <c r="I47" s="34">
        <f>IFERROR(__xludf.DUMMYFUNCTION("GOOGLEFINANCE(A47,""low52"")"),244.1)</f>
        <v>244.1</v>
      </c>
      <c r="J47" s="34">
        <f>IFERROR(__xludf.DUMMYFUNCTION("GOOGLEFINANCE(A47,""high52"")"),406.0)</f>
        <v>406</v>
      </c>
    </row>
    <row r="48">
      <c r="A48" s="30" t="str">
        <f>'6image_RS_benchmark_performance'!A48</f>
        <v>AON</v>
      </c>
      <c r="B48" s="31">
        <f>IFERROR(__xludf.DUMMYFUNCTION("GOOGLEFINANCE(A48,""price"")"),228.79)</f>
        <v>228.79</v>
      </c>
      <c r="C48" s="31">
        <f>IFERROR(__xludf.DUMMYFUNCTION("GOOGLEFINANCE(A48,""high"")"),230.32)</f>
        <v>230.32</v>
      </c>
      <c r="D48" s="31">
        <f>IFERROR(__xludf.DUMMYFUNCTION("GOOGLEFINANCE(A48,""low"")"),226.78)</f>
        <v>226.78</v>
      </c>
      <c r="E48" s="31">
        <f>IFERROR(__xludf.DUMMYFUNCTION("GOOGLEFINANCE(A48,""change"")"),2.0)</f>
        <v>2</v>
      </c>
      <c r="F48" s="32">
        <f>IFERROR(__xludf.DUMMYFUNCTION("GOOGLEFINANCE(A48,""changepct"")/100"),0.0088)</f>
        <v>0.0088</v>
      </c>
      <c r="G48" s="33">
        <f>IFERROR(__xludf.DUMMYFUNCTION("GOOGLEFINANCE(A48,""priceopen"")"),226.95)</f>
        <v>226.95</v>
      </c>
      <c r="H48" s="34">
        <f>IFERROR(__xludf.DUMMYFUNCTION("GOOGLEFINANCE(A48,""closeyest"")"),226.79)</f>
        <v>226.79</v>
      </c>
      <c r="I48" s="34">
        <f>IFERROR(__xludf.DUMMYFUNCTION("GOOGLEFINANCE(A48,""low52"")"),179.52)</f>
        <v>179.52</v>
      </c>
      <c r="J48" s="34">
        <f>IFERROR(__xludf.DUMMYFUNCTION("GOOGLEFINANCE(A48,""high52"")"),260.97)</f>
        <v>260.97</v>
      </c>
    </row>
    <row r="49">
      <c r="A49" s="30" t="str">
        <f>'6image_RS_benchmark_performance'!A49</f>
        <v>AOS</v>
      </c>
      <c r="B49" s="31">
        <f>IFERROR(__xludf.DUMMYFUNCTION("GOOGLEFINANCE(A49,""price"")"),70.2)</f>
        <v>70.2</v>
      </c>
      <c r="C49" s="31">
        <f>IFERROR(__xludf.DUMMYFUNCTION("GOOGLEFINANCE(A49,""high"")"),70.5)</f>
        <v>70.5</v>
      </c>
      <c r="D49" s="31">
        <f>IFERROR(__xludf.DUMMYFUNCTION("GOOGLEFINANCE(A49,""low"")"),69.25)</f>
        <v>69.25</v>
      </c>
      <c r="E49" s="31">
        <f>IFERROR(__xludf.DUMMYFUNCTION("GOOGLEFINANCE(A49,""change"")"),1.26)</f>
        <v>1.26</v>
      </c>
      <c r="F49" s="32">
        <f>IFERROR(__xludf.DUMMYFUNCTION("GOOGLEFINANCE(A49,""changepct"")/100"),0.0183)</f>
        <v>0.0183</v>
      </c>
      <c r="G49" s="33">
        <f>IFERROR(__xludf.DUMMYFUNCTION("GOOGLEFINANCE(A49,""priceopen"")"),69.36)</f>
        <v>69.36</v>
      </c>
      <c r="H49" s="34">
        <f>IFERROR(__xludf.DUMMYFUNCTION("GOOGLEFINANCE(A49,""closeyest"")"),68.94)</f>
        <v>68.94</v>
      </c>
      <c r="I49" s="34">
        <f>IFERROR(__xludf.DUMMYFUNCTION("GOOGLEFINANCE(A49,""low52"")"),47.16)</f>
        <v>47.16</v>
      </c>
      <c r="J49" s="34">
        <f>IFERROR(__xludf.DUMMYFUNCTION("GOOGLEFINANCE(A49,""high52"")"),73.05)</f>
        <v>73.05</v>
      </c>
    </row>
    <row r="50">
      <c r="A50" s="30" t="str">
        <f>'6image_RS_benchmark_performance'!A50</f>
        <v>APA</v>
      </c>
      <c r="B50" s="31">
        <f>IFERROR(__xludf.DUMMYFUNCTION("GOOGLEFINANCE(A50,""price"")"),17.56)</f>
        <v>17.56</v>
      </c>
      <c r="C50" s="31">
        <f>IFERROR(__xludf.DUMMYFUNCTION("GOOGLEFINANCE(A50,""high"")"),17.66)</f>
        <v>17.66</v>
      </c>
      <c r="D50" s="31">
        <f>IFERROR(__xludf.DUMMYFUNCTION("GOOGLEFINANCE(A50,""low"")"),16.83)</f>
        <v>16.83</v>
      </c>
      <c r="E50" s="31">
        <f>IFERROR(__xludf.DUMMYFUNCTION("GOOGLEFINANCE(A50,""change"")"),0.35)</f>
        <v>0.35</v>
      </c>
      <c r="F50" s="32">
        <f>IFERROR(__xludf.DUMMYFUNCTION("GOOGLEFINANCE(A50,""changepct"")/100"),0.0203)</f>
        <v>0.0203</v>
      </c>
      <c r="G50" s="33">
        <f>IFERROR(__xludf.DUMMYFUNCTION("GOOGLEFINANCE(A50,""priceopen"")"),16.95)</f>
        <v>16.95</v>
      </c>
      <c r="H50" s="34">
        <f>IFERROR(__xludf.DUMMYFUNCTION("GOOGLEFINANCE(A50,""closeyest"")"),17.21)</f>
        <v>17.21</v>
      </c>
      <c r="I50" s="34">
        <f>IFERROR(__xludf.DUMMYFUNCTION("GOOGLEFINANCE(A50,""low52"")"),7.45)</f>
        <v>7.45</v>
      </c>
      <c r="J50" s="34">
        <f>IFERROR(__xludf.DUMMYFUNCTION("GOOGLEFINANCE(A50,""high52"")"),24.3)</f>
        <v>24.3</v>
      </c>
    </row>
    <row r="51">
      <c r="A51" s="30" t="str">
        <f>'6image_RS_benchmark_performance'!A51</f>
        <v>APD</v>
      </c>
      <c r="B51" s="31">
        <f>IFERROR(__xludf.DUMMYFUNCTION("GOOGLEFINANCE(A51,""price"")"),285.95)</f>
        <v>285.95</v>
      </c>
      <c r="C51" s="31">
        <f>IFERROR(__xludf.DUMMYFUNCTION("GOOGLEFINANCE(A51,""high"")"),289.86)</f>
        <v>289.86</v>
      </c>
      <c r="D51" s="31">
        <f>IFERROR(__xludf.DUMMYFUNCTION("GOOGLEFINANCE(A51,""low"")"),282.2)</f>
        <v>282.2</v>
      </c>
      <c r="E51" s="31">
        <f>IFERROR(__xludf.DUMMYFUNCTION("GOOGLEFINANCE(A51,""change"")"),3.85)</f>
        <v>3.85</v>
      </c>
      <c r="F51" s="32">
        <f>IFERROR(__xludf.DUMMYFUNCTION("GOOGLEFINANCE(A51,""changepct"")/100"),0.013600000000000001)</f>
        <v>0.0136</v>
      </c>
      <c r="G51" s="33">
        <f>IFERROR(__xludf.DUMMYFUNCTION("GOOGLEFINANCE(A51,""priceopen"")"),283.02)</f>
        <v>283.02</v>
      </c>
      <c r="H51" s="34">
        <f>IFERROR(__xludf.DUMMYFUNCTION("GOOGLEFINANCE(A51,""closeyest"")"),282.1)</f>
        <v>282.1</v>
      </c>
      <c r="I51" s="34">
        <f>IFERROR(__xludf.DUMMYFUNCTION("GOOGLEFINANCE(A51,""low52"")"),245.75)</f>
        <v>245.75</v>
      </c>
      <c r="J51" s="34">
        <f>IFERROR(__xludf.DUMMYFUNCTION("GOOGLEFINANCE(A51,""high52"")"),327.89)</f>
        <v>327.89</v>
      </c>
    </row>
    <row r="52">
      <c r="A52" s="30" t="str">
        <f>'6image_RS_benchmark_performance'!A52</f>
        <v>APH</v>
      </c>
      <c r="B52" s="31">
        <f>IFERROR(__xludf.DUMMYFUNCTION("GOOGLEFINANCE(A52,""price"")"),68.61)</f>
        <v>68.61</v>
      </c>
      <c r="C52" s="31">
        <f>IFERROR(__xludf.DUMMYFUNCTION("GOOGLEFINANCE(A52,""high"")"),68.93)</f>
        <v>68.93</v>
      </c>
      <c r="D52" s="31">
        <f>IFERROR(__xludf.DUMMYFUNCTION("GOOGLEFINANCE(A52,""low"")"),67.49)</f>
        <v>67.49</v>
      </c>
      <c r="E52" s="31">
        <f>IFERROR(__xludf.DUMMYFUNCTION("GOOGLEFINANCE(A52,""change"")"),1.22)</f>
        <v>1.22</v>
      </c>
      <c r="F52" s="32">
        <f>IFERROR(__xludf.DUMMYFUNCTION("GOOGLEFINANCE(A52,""changepct"")/100"),0.0181)</f>
        <v>0.0181</v>
      </c>
      <c r="G52" s="33">
        <f>IFERROR(__xludf.DUMMYFUNCTION("GOOGLEFINANCE(A52,""priceopen"")"),67.79)</f>
        <v>67.79</v>
      </c>
      <c r="H52" s="34">
        <f>IFERROR(__xludf.DUMMYFUNCTION("GOOGLEFINANCE(A52,""closeyest"")"),67.39)</f>
        <v>67.39</v>
      </c>
      <c r="I52" s="34">
        <f>IFERROR(__xludf.DUMMYFUNCTION("GOOGLEFINANCE(A52,""low52"")"),50.3)</f>
        <v>50.3</v>
      </c>
      <c r="J52" s="34">
        <f>IFERROR(__xludf.DUMMYFUNCTION("GOOGLEFINANCE(A52,""high52"")"),71.05)</f>
        <v>71.05</v>
      </c>
    </row>
    <row r="53">
      <c r="A53" s="30" t="str">
        <f>'6image_RS_benchmark_performance'!A53</f>
        <v>APO</v>
      </c>
      <c r="B53" s="31">
        <f>IFERROR(__xludf.DUMMYFUNCTION("GOOGLEFINANCE(A53,""price"")"),57.43)</f>
        <v>57.43</v>
      </c>
      <c r="C53" s="31">
        <f>IFERROR(__xludf.DUMMYFUNCTION("GOOGLEFINANCE(A53,""high"")"),58.09)</f>
        <v>58.09</v>
      </c>
      <c r="D53" s="31">
        <f>IFERROR(__xludf.DUMMYFUNCTION("GOOGLEFINANCE(A53,""low"")"),56.19)</f>
        <v>56.19</v>
      </c>
      <c r="E53" s="31">
        <f>IFERROR(__xludf.DUMMYFUNCTION("GOOGLEFINANCE(A53,""change"")"),1.22)</f>
        <v>1.22</v>
      </c>
      <c r="F53" s="32">
        <f>IFERROR(__xludf.DUMMYFUNCTION("GOOGLEFINANCE(A53,""changepct"")/100"),0.0217)</f>
        <v>0.0217</v>
      </c>
      <c r="G53" s="33">
        <f>IFERROR(__xludf.DUMMYFUNCTION("GOOGLEFINANCE(A53,""priceopen"")"),56.19)</f>
        <v>56.19</v>
      </c>
      <c r="H53" s="34">
        <f>IFERROR(__xludf.DUMMYFUNCTION("GOOGLEFINANCE(A53,""closeyest"")"),56.21)</f>
        <v>56.21</v>
      </c>
      <c r="I53" s="34">
        <f>IFERROR(__xludf.DUMMYFUNCTION("GOOGLEFINANCE(A53,""low52"")"),36.35)</f>
        <v>36.35</v>
      </c>
      <c r="J53" s="34">
        <f>IFERROR(__xludf.DUMMYFUNCTION("GOOGLEFINANCE(A53,""high52"")"),64.45)</f>
        <v>64.45</v>
      </c>
    </row>
    <row r="54">
      <c r="A54" s="30" t="str">
        <f>'6image_RS_benchmark_performance'!A54</f>
        <v>APPS</v>
      </c>
      <c r="B54" s="31">
        <f>IFERROR(__xludf.DUMMYFUNCTION("GOOGLEFINANCE(A54,""price"")"),62.05)</f>
        <v>62.05</v>
      </c>
      <c r="C54" s="31">
        <f>IFERROR(__xludf.DUMMYFUNCTION("GOOGLEFINANCE(A54,""high"")"),62.97)</f>
        <v>62.97</v>
      </c>
      <c r="D54" s="31">
        <f>IFERROR(__xludf.DUMMYFUNCTION("GOOGLEFINANCE(A54,""low"")"),59.51)</f>
        <v>59.51</v>
      </c>
      <c r="E54" s="31">
        <f>IFERROR(__xludf.DUMMYFUNCTION("GOOGLEFINANCE(A54,""change"")"),0.61)</f>
        <v>0.61</v>
      </c>
      <c r="F54" s="32">
        <f>IFERROR(__xludf.DUMMYFUNCTION("GOOGLEFINANCE(A54,""changepct"")/100"),0.009899999999999999)</f>
        <v>0.0099</v>
      </c>
      <c r="G54" s="33">
        <f>IFERROR(__xludf.DUMMYFUNCTION("GOOGLEFINANCE(A54,""priceopen"")"),61.9)</f>
        <v>61.9</v>
      </c>
      <c r="H54" s="34">
        <f>IFERROR(__xludf.DUMMYFUNCTION("GOOGLEFINANCE(A54,""closeyest"")"),61.44)</f>
        <v>61.44</v>
      </c>
      <c r="I54" s="34">
        <f>IFERROR(__xludf.DUMMYFUNCTION("GOOGLEFINANCE(A54,""low52"")"),11.79)</f>
        <v>11.79</v>
      </c>
      <c r="J54" s="34">
        <f>IFERROR(__xludf.DUMMYFUNCTION("GOOGLEFINANCE(A54,""high52"")"),102.56)</f>
        <v>102.56</v>
      </c>
    </row>
    <row r="55">
      <c r="A55" s="30" t="str">
        <f>'6image_RS_benchmark_performance'!A55</f>
        <v>APTV</v>
      </c>
      <c r="B55" s="31">
        <f>IFERROR(__xludf.DUMMYFUNCTION("GOOGLEFINANCE(A55,""price"")"),153.15)</f>
        <v>153.15</v>
      </c>
      <c r="C55" s="31">
        <f>IFERROR(__xludf.DUMMYFUNCTION("GOOGLEFINANCE(A55,""high"")"),153.83)</f>
        <v>153.83</v>
      </c>
      <c r="D55" s="31">
        <f>IFERROR(__xludf.DUMMYFUNCTION("GOOGLEFINANCE(A55,""low"")"),146.84)</f>
        <v>146.84</v>
      </c>
      <c r="E55" s="31">
        <f>IFERROR(__xludf.DUMMYFUNCTION("GOOGLEFINANCE(A55,""change"")"),5.98)</f>
        <v>5.98</v>
      </c>
      <c r="F55" s="32">
        <f>IFERROR(__xludf.DUMMYFUNCTION("GOOGLEFINANCE(A55,""changepct"")/100"),0.0406)</f>
        <v>0.0406</v>
      </c>
      <c r="G55" s="33">
        <f>IFERROR(__xludf.DUMMYFUNCTION("GOOGLEFINANCE(A55,""priceopen"")"),148.15)</f>
        <v>148.15</v>
      </c>
      <c r="H55" s="34">
        <f>IFERROR(__xludf.DUMMYFUNCTION("GOOGLEFINANCE(A55,""closeyest"")"),147.17)</f>
        <v>147.17</v>
      </c>
      <c r="I55" s="34">
        <f>IFERROR(__xludf.DUMMYFUNCTION("GOOGLEFINANCE(A55,""low52"")"),76.18)</f>
        <v>76.18</v>
      </c>
      <c r="J55" s="34">
        <f>IFERROR(__xludf.DUMMYFUNCTION("GOOGLEFINANCE(A55,""high52"")"),160.53)</f>
        <v>160.53</v>
      </c>
    </row>
    <row r="56">
      <c r="A56" s="30" t="str">
        <f>'6image_RS_benchmark_performance'!A56</f>
        <v>ARE</v>
      </c>
      <c r="B56" s="31">
        <f>IFERROR(__xludf.DUMMYFUNCTION("GOOGLEFINANCE(A56,""price"")"),195.03)</f>
        <v>195.03</v>
      </c>
      <c r="C56" s="31">
        <f>IFERROR(__xludf.DUMMYFUNCTION("GOOGLEFINANCE(A56,""high"")"),196.1)</f>
        <v>196.1</v>
      </c>
      <c r="D56" s="31">
        <f>IFERROR(__xludf.DUMMYFUNCTION("GOOGLEFINANCE(A56,""low"")"),192.54)</f>
        <v>192.54</v>
      </c>
      <c r="E56" s="31">
        <f>IFERROR(__xludf.DUMMYFUNCTION("GOOGLEFINANCE(A56,""change"")"),2.78)</f>
        <v>2.78</v>
      </c>
      <c r="F56" s="32">
        <f>IFERROR(__xludf.DUMMYFUNCTION("GOOGLEFINANCE(A56,""changepct"")/100"),0.014499999999999999)</f>
        <v>0.0145</v>
      </c>
      <c r="G56" s="33">
        <f>IFERROR(__xludf.DUMMYFUNCTION("GOOGLEFINANCE(A56,""priceopen"")"),193.23)</f>
        <v>193.23</v>
      </c>
      <c r="H56" s="34">
        <f>IFERROR(__xludf.DUMMYFUNCTION("GOOGLEFINANCE(A56,""closeyest"")"),192.25)</f>
        <v>192.25</v>
      </c>
      <c r="I56" s="34">
        <f>IFERROR(__xludf.DUMMYFUNCTION("GOOGLEFINANCE(A56,""low52"")"),150.08)</f>
        <v>150.08</v>
      </c>
      <c r="J56" s="34">
        <f>IFERROR(__xludf.DUMMYFUNCTION("GOOGLEFINANCE(A56,""high52"")"),196.1)</f>
        <v>196.1</v>
      </c>
    </row>
    <row r="57">
      <c r="A57" s="30" t="str">
        <f>'6image_RS_benchmark_performance'!A57</f>
        <v>ASAN</v>
      </c>
      <c r="B57" s="31">
        <f>IFERROR(__xludf.DUMMYFUNCTION("GOOGLEFINANCE(A57,""price"")"),68.3)</f>
        <v>68.3</v>
      </c>
      <c r="C57" s="31">
        <f>IFERROR(__xludf.DUMMYFUNCTION("GOOGLEFINANCE(A57,""high"")"),68.96)</f>
        <v>68.96</v>
      </c>
      <c r="D57" s="31">
        <f>IFERROR(__xludf.DUMMYFUNCTION("GOOGLEFINANCE(A57,""low"")"),65.43)</f>
        <v>65.43</v>
      </c>
      <c r="E57" s="31">
        <f>IFERROR(__xludf.DUMMYFUNCTION("GOOGLEFINANCE(A57,""change"")"),1.28)</f>
        <v>1.28</v>
      </c>
      <c r="F57" s="32">
        <f>IFERROR(__xludf.DUMMYFUNCTION("GOOGLEFINANCE(A57,""changepct"")/100"),0.0191)</f>
        <v>0.0191</v>
      </c>
      <c r="G57" s="33">
        <f>IFERROR(__xludf.DUMMYFUNCTION("GOOGLEFINANCE(A57,""priceopen"")"),67.01)</f>
        <v>67.01</v>
      </c>
      <c r="H57" s="34">
        <f>IFERROR(__xludf.DUMMYFUNCTION("GOOGLEFINANCE(A57,""closeyest"")"),67.02)</f>
        <v>67.02</v>
      </c>
      <c r="I57" s="34">
        <f>IFERROR(__xludf.DUMMYFUNCTION("GOOGLEFINANCE(A57,""low52"")"),20.57)</f>
        <v>20.57</v>
      </c>
      <c r="J57" s="34">
        <f>IFERROR(__xludf.DUMMYFUNCTION("GOOGLEFINANCE(A57,""high52"")"),71.0)</f>
        <v>71</v>
      </c>
    </row>
    <row r="58">
      <c r="A58" s="30" t="str">
        <f>'6image_RS_benchmark_performance'!A58</f>
        <v>ASHR</v>
      </c>
      <c r="B58" s="31">
        <f>IFERROR(__xludf.DUMMYFUNCTION("GOOGLEFINANCE(A58,""price"")"),39.92)</f>
        <v>39.92</v>
      </c>
      <c r="C58" s="31">
        <f>IFERROR(__xludf.DUMMYFUNCTION("GOOGLEFINANCE(A58,""high"")"),39.94)</f>
        <v>39.94</v>
      </c>
      <c r="D58" s="31">
        <f>IFERROR(__xludf.DUMMYFUNCTION("GOOGLEFINANCE(A58,""low"")"),39.69)</f>
        <v>39.69</v>
      </c>
      <c r="E58" s="31">
        <f>IFERROR(__xludf.DUMMYFUNCTION("GOOGLEFINANCE(A58,""change"")"),0.3)</f>
        <v>0.3</v>
      </c>
      <c r="F58" s="32">
        <f>IFERROR(__xludf.DUMMYFUNCTION("GOOGLEFINANCE(A58,""changepct"")/100"),0.0076)</f>
        <v>0.0076</v>
      </c>
      <c r="G58" s="33">
        <f>IFERROR(__xludf.DUMMYFUNCTION("GOOGLEFINANCE(A58,""priceopen"")"),39.74)</f>
        <v>39.74</v>
      </c>
      <c r="H58" s="34">
        <f>IFERROR(__xludf.DUMMYFUNCTION("GOOGLEFINANCE(A58,""closeyest"")"),39.62)</f>
        <v>39.62</v>
      </c>
      <c r="I58" s="34">
        <f>IFERROR(__xludf.DUMMYFUNCTION("GOOGLEFINANCE(A58,""low52"")"),32.51)</f>
        <v>32.51</v>
      </c>
      <c r="J58" s="34">
        <f>IFERROR(__xludf.DUMMYFUNCTION("GOOGLEFINANCE(A58,""high52"")"),46.42)</f>
        <v>46.42</v>
      </c>
    </row>
    <row r="59">
      <c r="A59" s="30" t="str">
        <f>'6image_RS_benchmark_performance'!A59</f>
        <v>ASML</v>
      </c>
      <c r="B59" s="31">
        <f>IFERROR(__xludf.DUMMYFUNCTION("GOOGLEFINANCE(A59,""price"")"),684.05)</f>
        <v>684.05</v>
      </c>
      <c r="C59" s="31">
        <f>IFERROR(__xludf.DUMMYFUNCTION("GOOGLEFINANCE(A59,""high"")"),688.66)</f>
        <v>688.66</v>
      </c>
      <c r="D59" s="31">
        <f>IFERROR(__xludf.DUMMYFUNCTION("GOOGLEFINANCE(A59,""low"")"),672.93)</f>
        <v>672.93</v>
      </c>
      <c r="E59" s="31">
        <f>IFERROR(__xludf.DUMMYFUNCTION("GOOGLEFINANCE(A59,""change"")"),0.05)</f>
        <v>0.05</v>
      </c>
      <c r="F59" s="32">
        <f>IFERROR(__xludf.DUMMYFUNCTION("GOOGLEFINANCE(A59,""changepct"")/100"),1.0E-4)</f>
        <v>0.0001</v>
      </c>
      <c r="G59" s="33">
        <f>IFERROR(__xludf.DUMMYFUNCTION("GOOGLEFINANCE(A59,""priceopen"")"),676.86)</f>
        <v>676.86</v>
      </c>
      <c r="H59" s="34">
        <f>IFERROR(__xludf.DUMMYFUNCTION("GOOGLEFINANCE(A59,""closeyest"")"),684.0)</f>
        <v>684</v>
      </c>
      <c r="I59" s="34">
        <f>IFERROR(__xludf.DUMMYFUNCTION("GOOGLEFINANCE(A59,""low52"")"),343.25)</f>
        <v>343.25</v>
      </c>
      <c r="J59" s="34">
        <f>IFERROR(__xludf.DUMMYFUNCTION("GOOGLEFINANCE(A59,""high52"")"),723.01)</f>
        <v>723.01</v>
      </c>
    </row>
    <row r="60">
      <c r="A60" s="30" t="str">
        <f>'6image_RS_benchmark_performance'!A60</f>
        <v>ATO</v>
      </c>
      <c r="B60" s="31">
        <f>IFERROR(__xludf.DUMMYFUNCTION("GOOGLEFINANCE(A60,""price"")"),99.49)</f>
        <v>99.49</v>
      </c>
      <c r="C60" s="31">
        <f>IFERROR(__xludf.DUMMYFUNCTION("GOOGLEFINANCE(A60,""high"")"),100.27)</f>
        <v>100.27</v>
      </c>
      <c r="D60" s="31">
        <f>IFERROR(__xludf.DUMMYFUNCTION("GOOGLEFINANCE(A60,""low"")"),98.67)</f>
        <v>98.67</v>
      </c>
      <c r="E60" s="31">
        <f>IFERROR(__xludf.DUMMYFUNCTION("GOOGLEFINANCE(A60,""change"")"),0.54)</f>
        <v>0.54</v>
      </c>
      <c r="F60" s="32">
        <f>IFERROR(__xludf.DUMMYFUNCTION("GOOGLEFINANCE(A60,""changepct"")/100"),0.0055000000000000005)</f>
        <v>0.0055</v>
      </c>
      <c r="G60" s="33">
        <f>IFERROR(__xludf.DUMMYFUNCTION("GOOGLEFINANCE(A60,""priceopen"")"),99.32)</f>
        <v>99.32</v>
      </c>
      <c r="H60" s="34">
        <f>IFERROR(__xludf.DUMMYFUNCTION("GOOGLEFINANCE(A60,""closeyest"")"),98.95)</f>
        <v>98.95</v>
      </c>
      <c r="I60" s="34">
        <f>IFERROR(__xludf.DUMMYFUNCTION("GOOGLEFINANCE(A60,""low52"")"),84.59)</f>
        <v>84.59</v>
      </c>
      <c r="J60" s="34">
        <f>IFERROR(__xludf.DUMMYFUNCTION("GOOGLEFINANCE(A60,""high52"")"),107.02)</f>
        <v>107.02</v>
      </c>
    </row>
    <row r="61">
      <c r="A61" s="30" t="str">
        <f>'6image_RS_benchmark_performance'!A61</f>
        <v>ATUS</v>
      </c>
      <c r="B61" s="31">
        <f>IFERROR(__xludf.DUMMYFUNCTION("GOOGLEFINANCE(A61,""price"")"),33.67)</f>
        <v>33.67</v>
      </c>
      <c r="C61" s="31">
        <f>IFERROR(__xludf.DUMMYFUNCTION("GOOGLEFINANCE(A61,""high"")"),34.13)</f>
        <v>34.13</v>
      </c>
      <c r="D61" s="31">
        <f>IFERROR(__xludf.DUMMYFUNCTION("GOOGLEFINANCE(A61,""low"")"),33.06)</f>
        <v>33.06</v>
      </c>
      <c r="E61" s="31">
        <f>IFERROR(__xludf.DUMMYFUNCTION("GOOGLEFINANCE(A61,""change"")"),0.46)</f>
        <v>0.46</v>
      </c>
      <c r="F61" s="32">
        <f>IFERROR(__xludf.DUMMYFUNCTION("GOOGLEFINANCE(A61,""changepct"")/100"),0.0139)</f>
        <v>0.0139</v>
      </c>
      <c r="G61" s="33">
        <f>IFERROR(__xludf.DUMMYFUNCTION("GOOGLEFINANCE(A61,""priceopen"")"),33.06)</f>
        <v>33.06</v>
      </c>
      <c r="H61" s="34">
        <f>IFERROR(__xludf.DUMMYFUNCTION("GOOGLEFINANCE(A61,""closeyest"")"),33.21)</f>
        <v>33.21</v>
      </c>
      <c r="I61" s="34">
        <f>IFERROR(__xludf.DUMMYFUNCTION("GOOGLEFINANCE(A61,""low52"")"),23.77)</f>
        <v>23.77</v>
      </c>
      <c r="J61" s="34">
        <f>IFERROR(__xludf.DUMMYFUNCTION("GOOGLEFINANCE(A61,""high52"")"),38.3)</f>
        <v>38.3</v>
      </c>
    </row>
    <row r="62">
      <c r="A62" s="30" t="str">
        <f>'6image_RS_benchmark_performance'!A62</f>
        <v>ATVI</v>
      </c>
      <c r="B62" s="31">
        <f>IFERROR(__xludf.DUMMYFUNCTION("GOOGLEFINANCE(A62,""price"")"),91.51)</f>
        <v>91.51</v>
      </c>
      <c r="C62" s="31">
        <f>IFERROR(__xludf.DUMMYFUNCTION("GOOGLEFINANCE(A62,""high"")"),91.71)</f>
        <v>91.71</v>
      </c>
      <c r="D62" s="31">
        <f>IFERROR(__xludf.DUMMYFUNCTION("GOOGLEFINANCE(A62,""low"")"),89.56)</f>
        <v>89.56</v>
      </c>
      <c r="E62" s="31">
        <f>IFERROR(__xludf.DUMMYFUNCTION("GOOGLEFINANCE(A62,""change"")"),1.21)</f>
        <v>1.21</v>
      </c>
      <c r="F62" s="32">
        <f>IFERROR(__xludf.DUMMYFUNCTION("GOOGLEFINANCE(A62,""changepct"")/100"),0.0134)</f>
        <v>0.0134</v>
      </c>
      <c r="G62" s="33">
        <f>IFERROR(__xludf.DUMMYFUNCTION("GOOGLEFINANCE(A62,""priceopen"")"),90.62)</f>
        <v>90.62</v>
      </c>
      <c r="H62" s="34">
        <f>IFERROR(__xludf.DUMMYFUNCTION("GOOGLEFINANCE(A62,""closeyest"")"),90.3)</f>
        <v>90.3</v>
      </c>
      <c r="I62" s="34">
        <f>IFERROR(__xludf.DUMMYFUNCTION("GOOGLEFINANCE(A62,""low52"")"),71.19)</f>
        <v>71.19</v>
      </c>
      <c r="J62" s="34">
        <f>IFERROR(__xludf.DUMMYFUNCTION("GOOGLEFINANCE(A62,""high52"")"),104.53)</f>
        <v>104.53</v>
      </c>
    </row>
    <row r="63">
      <c r="A63" s="30" t="str">
        <f>'6image_RS_benchmark_performance'!A63</f>
        <v>AVB</v>
      </c>
      <c r="B63" s="31">
        <f>IFERROR(__xludf.DUMMYFUNCTION("GOOGLEFINANCE(A63,""price"")"),228.74)</f>
        <v>228.74</v>
      </c>
      <c r="C63" s="31">
        <f>IFERROR(__xludf.DUMMYFUNCTION("GOOGLEFINANCE(A63,""high"")"),229.45)</f>
        <v>229.45</v>
      </c>
      <c r="D63" s="31">
        <f>IFERROR(__xludf.DUMMYFUNCTION("GOOGLEFINANCE(A63,""low"")"),223.97)</f>
        <v>223.97</v>
      </c>
      <c r="E63" s="31">
        <f>IFERROR(__xludf.DUMMYFUNCTION("GOOGLEFINANCE(A63,""change"")"),5.57)</f>
        <v>5.57</v>
      </c>
      <c r="F63" s="32">
        <f>IFERROR(__xludf.DUMMYFUNCTION("GOOGLEFINANCE(A63,""changepct"")/100"),0.025)</f>
        <v>0.025</v>
      </c>
      <c r="G63" s="33">
        <f>IFERROR(__xludf.DUMMYFUNCTION("GOOGLEFINANCE(A63,""priceopen"")"),224.44)</f>
        <v>224.44</v>
      </c>
      <c r="H63" s="34">
        <f>IFERROR(__xludf.DUMMYFUNCTION("GOOGLEFINANCE(A63,""closeyest"")"),223.17)</f>
        <v>223.17</v>
      </c>
      <c r="I63" s="34">
        <f>IFERROR(__xludf.DUMMYFUNCTION("GOOGLEFINANCE(A63,""low52"")"),131.38)</f>
        <v>131.38</v>
      </c>
      <c r="J63" s="34">
        <f>IFERROR(__xludf.DUMMYFUNCTION("GOOGLEFINANCE(A63,""high52"")"),229.45)</f>
        <v>229.45</v>
      </c>
    </row>
    <row r="64">
      <c r="A64" s="30" t="str">
        <f>'6image_RS_benchmark_performance'!A64</f>
        <v>AVGO</v>
      </c>
      <c r="B64" s="31">
        <f>IFERROR(__xludf.DUMMYFUNCTION("GOOGLEFINANCE(A64,""price"")"),468.59)</f>
        <v>468.59</v>
      </c>
      <c r="C64" s="31">
        <f>IFERROR(__xludf.DUMMYFUNCTION("GOOGLEFINANCE(A64,""high"")"),472.25)</f>
        <v>472.25</v>
      </c>
      <c r="D64" s="31">
        <f>IFERROR(__xludf.DUMMYFUNCTION("GOOGLEFINANCE(A64,""low"")"),463.27)</f>
        <v>463.27</v>
      </c>
      <c r="E64" s="31">
        <f>IFERROR(__xludf.DUMMYFUNCTION("GOOGLEFINANCE(A64,""change"")"),2.92)</f>
        <v>2.92</v>
      </c>
      <c r="F64" s="32">
        <f>IFERROR(__xludf.DUMMYFUNCTION("GOOGLEFINANCE(A64,""changepct"")/100"),0.0063)</f>
        <v>0.0063</v>
      </c>
      <c r="G64" s="33">
        <f>IFERROR(__xludf.DUMMYFUNCTION("GOOGLEFINANCE(A64,""priceopen"")"),467.89)</f>
        <v>467.89</v>
      </c>
      <c r="H64" s="34">
        <f>IFERROR(__xludf.DUMMYFUNCTION("GOOGLEFINANCE(A64,""closeyest"")"),465.67)</f>
        <v>465.67</v>
      </c>
      <c r="I64" s="34">
        <f>IFERROR(__xludf.DUMMYFUNCTION("GOOGLEFINANCE(A64,""low52"")"),304.18)</f>
        <v>304.18</v>
      </c>
      <c r="J64" s="34">
        <f>IFERROR(__xludf.DUMMYFUNCTION("GOOGLEFINANCE(A64,""high52"")"),495.14)</f>
        <v>495.14</v>
      </c>
    </row>
    <row r="65">
      <c r="A65" s="30" t="str">
        <f>'6image_RS_benchmark_performance'!A65</f>
        <v>AVTR</v>
      </c>
      <c r="B65" s="31">
        <f>IFERROR(__xludf.DUMMYFUNCTION("GOOGLEFINANCE(A65,""price"")"),37.15)</f>
        <v>37.15</v>
      </c>
      <c r="C65" s="31">
        <f>IFERROR(__xludf.DUMMYFUNCTION("GOOGLEFINANCE(A65,""high"")"),37.35)</f>
        <v>37.35</v>
      </c>
      <c r="D65" s="31">
        <f>IFERROR(__xludf.DUMMYFUNCTION("GOOGLEFINANCE(A65,""low"")"),36.21)</f>
        <v>36.21</v>
      </c>
      <c r="E65" s="31">
        <f>IFERROR(__xludf.DUMMYFUNCTION("GOOGLEFINANCE(A65,""change"")"),0.99)</f>
        <v>0.99</v>
      </c>
      <c r="F65" s="32">
        <f>IFERROR(__xludf.DUMMYFUNCTION("GOOGLEFINANCE(A65,""changepct"")/100"),0.0274)</f>
        <v>0.0274</v>
      </c>
      <c r="G65" s="33">
        <f>IFERROR(__xludf.DUMMYFUNCTION("GOOGLEFINANCE(A65,""priceopen"")"),36.33)</f>
        <v>36.33</v>
      </c>
      <c r="H65" s="34">
        <f>IFERROR(__xludf.DUMMYFUNCTION("GOOGLEFINANCE(A65,""closeyest"")"),36.16)</f>
        <v>36.16</v>
      </c>
      <c r="I65" s="34">
        <f>IFERROR(__xludf.DUMMYFUNCTION("GOOGLEFINANCE(A65,""low52"")"),18.27)</f>
        <v>18.27</v>
      </c>
      <c r="J65" s="34">
        <f>IFERROR(__xludf.DUMMYFUNCTION("GOOGLEFINANCE(A65,""high52"")"),37.35)</f>
        <v>37.35</v>
      </c>
    </row>
    <row r="66">
      <c r="A66" s="30" t="str">
        <f>'6image_RS_benchmark_performance'!A66</f>
        <v>AVY</v>
      </c>
      <c r="B66" s="31">
        <f>IFERROR(__xludf.DUMMYFUNCTION("GOOGLEFINANCE(A66,""price"")"),200.75)</f>
        <v>200.75</v>
      </c>
      <c r="C66" s="31">
        <f>IFERROR(__xludf.DUMMYFUNCTION("GOOGLEFINANCE(A66,""high"")"),204.03)</f>
        <v>204.03</v>
      </c>
      <c r="D66" s="31">
        <f>IFERROR(__xludf.DUMMYFUNCTION("GOOGLEFINANCE(A66,""low"")"),198.49)</f>
        <v>198.49</v>
      </c>
      <c r="E66" s="31">
        <f>IFERROR(__xludf.DUMMYFUNCTION("GOOGLEFINANCE(A66,""change"")"),1.91)</f>
        <v>1.91</v>
      </c>
      <c r="F66" s="32">
        <f>IFERROR(__xludf.DUMMYFUNCTION("GOOGLEFINANCE(A66,""changepct"")/100"),0.0096)</f>
        <v>0.0096</v>
      </c>
      <c r="G66" s="33">
        <f>IFERROR(__xludf.DUMMYFUNCTION("GOOGLEFINANCE(A66,""priceopen"")"),199.03)</f>
        <v>199.03</v>
      </c>
      <c r="H66" s="34">
        <f>IFERROR(__xludf.DUMMYFUNCTION("GOOGLEFINANCE(A66,""closeyest"")"),198.84)</f>
        <v>198.84</v>
      </c>
      <c r="I66" s="34">
        <f>IFERROR(__xludf.DUMMYFUNCTION("GOOGLEFINANCE(A66,""low52"")"),111.8)</f>
        <v>111.8</v>
      </c>
      <c r="J66" s="34">
        <f>IFERROR(__xludf.DUMMYFUNCTION("GOOGLEFINANCE(A66,""high52"")"),226.19)</f>
        <v>226.19</v>
      </c>
    </row>
    <row r="67">
      <c r="A67" s="30" t="str">
        <f>'6image_RS_benchmark_performance'!A67</f>
        <v>AWK</v>
      </c>
      <c r="B67" s="31">
        <f>IFERROR(__xludf.DUMMYFUNCTION("GOOGLEFINANCE(A67,""price"")"),166.7)</f>
        <v>166.7</v>
      </c>
      <c r="C67" s="31">
        <f>IFERROR(__xludf.DUMMYFUNCTION("GOOGLEFINANCE(A67,""high"")"),169.45)</f>
        <v>169.45</v>
      </c>
      <c r="D67" s="31">
        <f>IFERROR(__xludf.DUMMYFUNCTION("GOOGLEFINANCE(A67,""low"")"),165.71)</f>
        <v>165.71</v>
      </c>
      <c r="E67" s="31">
        <f>IFERROR(__xludf.DUMMYFUNCTION("GOOGLEFINANCE(A67,""change"")"),-0.66)</f>
        <v>-0.66</v>
      </c>
      <c r="F67" s="32">
        <f>IFERROR(__xludf.DUMMYFUNCTION("GOOGLEFINANCE(A67,""changepct"")/100"),-0.0039000000000000003)</f>
        <v>-0.0039</v>
      </c>
      <c r="G67" s="33">
        <f>IFERROR(__xludf.DUMMYFUNCTION("GOOGLEFINANCE(A67,""priceopen"")"),167.97)</f>
        <v>167.97</v>
      </c>
      <c r="H67" s="34">
        <f>IFERROR(__xludf.DUMMYFUNCTION("GOOGLEFINANCE(A67,""closeyest"")"),167.36)</f>
        <v>167.36</v>
      </c>
      <c r="I67" s="34">
        <f>IFERROR(__xludf.DUMMYFUNCTION("GOOGLEFINANCE(A67,""low52"")"),131.01)</f>
        <v>131.01</v>
      </c>
      <c r="J67" s="34">
        <f>IFERROR(__xludf.DUMMYFUNCTION("GOOGLEFINANCE(A67,""high52"")"),172.56)</f>
        <v>172.56</v>
      </c>
    </row>
    <row r="68">
      <c r="A68" s="30" t="str">
        <f>'6image_RS_benchmark_performance'!A68</f>
        <v>AXP</v>
      </c>
      <c r="B68" s="31">
        <f>IFERROR(__xludf.DUMMYFUNCTION("GOOGLEFINANCE(A68,""price"")"),168.87)</f>
        <v>168.87</v>
      </c>
      <c r="C68" s="31">
        <f>IFERROR(__xludf.DUMMYFUNCTION("GOOGLEFINANCE(A68,""high"")"),169.58)</f>
        <v>169.58</v>
      </c>
      <c r="D68" s="31">
        <f>IFERROR(__xludf.DUMMYFUNCTION("GOOGLEFINANCE(A68,""low"")"),162.57)</f>
        <v>162.57</v>
      </c>
      <c r="E68" s="31">
        <f>IFERROR(__xludf.DUMMYFUNCTION("GOOGLEFINANCE(A68,""change"")"),6.06)</f>
        <v>6.06</v>
      </c>
      <c r="F68" s="32">
        <f>IFERROR(__xludf.DUMMYFUNCTION("GOOGLEFINANCE(A68,""changepct"")/100"),0.037200000000000004)</f>
        <v>0.0372</v>
      </c>
      <c r="G68" s="33">
        <f>IFERROR(__xludf.DUMMYFUNCTION("GOOGLEFINANCE(A68,""priceopen"")"),162.94)</f>
        <v>162.94</v>
      </c>
      <c r="H68" s="34">
        <f>IFERROR(__xludf.DUMMYFUNCTION("GOOGLEFINANCE(A68,""closeyest"")"),162.81)</f>
        <v>162.81</v>
      </c>
      <c r="I68" s="34">
        <f>IFERROR(__xludf.DUMMYFUNCTION("GOOGLEFINANCE(A68,""low52"")"),89.11)</f>
        <v>89.11</v>
      </c>
      <c r="J68" s="34">
        <f>IFERROR(__xludf.DUMMYFUNCTION("GOOGLEFINANCE(A68,""high52"")"),174.76)</f>
        <v>174.76</v>
      </c>
    </row>
    <row r="69">
      <c r="A69" s="30" t="str">
        <f>'6image_RS_benchmark_performance'!A69</f>
        <v>AXTA</v>
      </c>
      <c r="B69" s="31">
        <f>IFERROR(__xludf.DUMMYFUNCTION("GOOGLEFINANCE(A69,""price"")"),27.91)</f>
        <v>27.91</v>
      </c>
      <c r="C69" s="31">
        <f>IFERROR(__xludf.DUMMYFUNCTION("GOOGLEFINANCE(A69,""high"")"),28.05)</f>
        <v>28.05</v>
      </c>
      <c r="D69" s="31">
        <f>IFERROR(__xludf.DUMMYFUNCTION("GOOGLEFINANCE(A69,""low"")"),26.42)</f>
        <v>26.42</v>
      </c>
      <c r="E69" s="31">
        <f>IFERROR(__xludf.DUMMYFUNCTION("GOOGLEFINANCE(A69,""change"")"),-0.08)</f>
        <v>-0.08</v>
      </c>
      <c r="F69" s="32">
        <f>IFERROR(__xludf.DUMMYFUNCTION("GOOGLEFINANCE(A69,""changepct"")/100"),-0.0029)</f>
        <v>-0.0029</v>
      </c>
      <c r="G69" s="33">
        <f>IFERROR(__xludf.DUMMYFUNCTION("GOOGLEFINANCE(A69,""priceopen"")"),26.96)</f>
        <v>26.96</v>
      </c>
      <c r="H69" s="34">
        <f>IFERROR(__xludf.DUMMYFUNCTION("GOOGLEFINANCE(A69,""closeyest"")"),27.99)</f>
        <v>27.99</v>
      </c>
      <c r="I69" s="34">
        <f>IFERROR(__xludf.DUMMYFUNCTION("GOOGLEFINANCE(A69,""low52"")"),20.25)</f>
        <v>20.25</v>
      </c>
      <c r="J69" s="34">
        <f>IFERROR(__xludf.DUMMYFUNCTION("GOOGLEFINANCE(A69,""high52"")"),34.2)</f>
        <v>34.2</v>
      </c>
    </row>
    <row r="70">
      <c r="A70" s="30" t="str">
        <f>'6image_RS_benchmark_performance'!A70</f>
        <v>AZO</v>
      </c>
      <c r="B70" s="31">
        <f>IFERROR(__xludf.DUMMYFUNCTION("GOOGLEFINANCE(A70,""price"")"),1601.75)</f>
        <v>1601.75</v>
      </c>
      <c r="C70" s="31">
        <f>IFERROR(__xludf.DUMMYFUNCTION("GOOGLEFINANCE(A70,""high"")"),1611.55)</f>
        <v>1611.55</v>
      </c>
      <c r="D70" s="31">
        <f>IFERROR(__xludf.DUMMYFUNCTION("GOOGLEFINANCE(A70,""low"")"),1587.76)</f>
        <v>1587.76</v>
      </c>
      <c r="E70" s="31">
        <f>IFERROR(__xludf.DUMMYFUNCTION("GOOGLEFINANCE(A70,""change"")"),17.18)</f>
        <v>17.18</v>
      </c>
      <c r="F70" s="32">
        <f>IFERROR(__xludf.DUMMYFUNCTION("GOOGLEFINANCE(A70,""changepct"")/100"),0.0108)</f>
        <v>0.0108</v>
      </c>
      <c r="G70" s="33">
        <f>IFERROR(__xludf.DUMMYFUNCTION("GOOGLEFINANCE(A70,""priceopen"")"),1587.76)</f>
        <v>1587.76</v>
      </c>
      <c r="H70" s="34">
        <f>IFERROR(__xludf.DUMMYFUNCTION("GOOGLEFINANCE(A70,""closeyest"")"),1584.57)</f>
        <v>1584.57</v>
      </c>
      <c r="I70" s="34">
        <f>IFERROR(__xludf.DUMMYFUNCTION("GOOGLEFINANCE(A70,""low52"")"),1085.85)</f>
        <v>1085.85</v>
      </c>
      <c r="J70" s="34">
        <f>IFERROR(__xludf.DUMMYFUNCTION("GOOGLEFINANCE(A70,""high52"")"),1612.33)</f>
        <v>1612.33</v>
      </c>
    </row>
    <row r="71">
      <c r="A71" s="30" t="str">
        <f>'6image_RS_benchmark_performance'!A71</f>
        <v>BA</v>
      </c>
      <c r="B71" s="31">
        <f>IFERROR(__xludf.DUMMYFUNCTION("GOOGLEFINANCE(A71,""price"")"),217.15)</f>
        <v>217.15</v>
      </c>
      <c r="C71" s="31">
        <f>IFERROR(__xludf.DUMMYFUNCTION("GOOGLEFINANCE(A71,""high"")"),217.37)</f>
        <v>217.37</v>
      </c>
      <c r="D71" s="31">
        <f>IFERROR(__xludf.DUMMYFUNCTION("GOOGLEFINANCE(A71,""low"")"),206.62)</f>
        <v>206.62</v>
      </c>
      <c r="E71" s="31">
        <f>IFERROR(__xludf.DUMMYFUNCTION("GOOGLEFINANCE(A71,""change"")"),10.16)</f>
        <v>10.16</v>
      </c>
      <c r="F71" s="32">
        <f>IFERROR(__xludf.DUMMYFUNCTION("GOOGLEFINANCE(A71,""changepct"")/100"),0.049100000000000005)</f>
        <v>0.0491</v>
      </c>
      <c r="G71" s="33">
        <f>IFERROR(__xludf.DUMMYFUNCTION("GOOGLEFINANCE(A71,""priceopen"")"),208.1)</f>
        <v>208.1</v>
      </c>
      <c r="H71" s="34">
        <f>IFERROR(__xludf.DUMMYFUNCTION("GOOGLEFINANCE(A71,""closeyest"")"),206.99)</f>
        <v>206.99</v>
      </c>
      <c r="I71" s="34">
        <f>IFERROR(__xludf.DUMMYFUNCTION("GOOGLEFINANCE(A71,""low52"")"),141.58)</f>
        <v>141.58</v>
      </c>
      <c r="J71" s="34">
        <f>IFERROR(__xludf.DUMMYFUNCTION("GOOGLEFINANCE(A71,""high52"")"),278.57)</f>
        <v>278.57</v>
      </c>
    </row>
    <row r="72">
      <c r="A72" s="30" t="str">
        <f>'6image_RS_benchmark_performance'!A72</f>
        <v>BAC</v>
      </c>
      <c r="B72" s="31">
        <f>IFERROR(__xludf.DUMMYFUNCTION("GOOGLEFINANCE(A72,""price"")"),37.69)</f>
        <v>37.69</v>
      </c>
      <c r="C72" s="31">
        <f>IFERROR(__xludf.DUMMYFUNCTION("GOOGLEFINANCE(A72,""high"")"),38.12)</f>
        <v>38.12</v>
      </c>
      <c r="D72" s="31">
        <f>IFERROR(__xludf.DUMMYFUNCTION("GOOGLEFINANCE(A72,""low"")"),36.61)</f>
        <v>36.61</v>
      </c>
      <c r="E72" s="31">
        <f>IFERROR(__xludf.DUMMYFUNCTION("GOOGLEFINANCE(A72,""change"")"),0.76)</f>
        <v>0.76</v>
      </c>
      <c r="F72" s="32">
        <f>IFERROR(__xludf.DUMMYFUNCTION("GOOGLEFINANCE(A72,""changepct"")/100"),0.0206)</f>
        <v>0.0206</v>
      </c>
      <c r="G72" s="33">
        <f>IFERROR(__xludf.DUMMYFUNCTION("GOOGLEFINANCE(A72,""priceopen"")"),36.86)</f>
        <v>36.86</v>
      </c>
      <c r="H72" s="34">
        <f>IFERROR(__xludf.DUMMYFUNCTION("GOOGLEFINANCE(A72,""closeyest"")"),36.93)</f>
        <v>36.93</v>
      </c>
      <c r="I72" s="34">
        <f>IFERROR(__xludf.DUMMYFUNCTION("GOOGLEFINANCE(A72,""low52"")"),22.95)</f>
        <v>22.95</v>
      </c>
      <c r="J72" s="34">
        <f>IFERROR(__xludf.DUMMYFUNCTION("GOOGLEFINANCE(A72,""high52"")"),43.49)</f>
        <v>43.49</v>
      </c>
    </row>
    <row r="73">
      <c r="A73" s="30" t="str">
        <f>'6image_RS_benchmark_performance'!A73</f>
        <v>BAX</v>
      </c>
      <c r="B73" s="31">
        <f>IFERROR(__xludf.DUMMYFUNCTION("GOOGLEFINANCE(A73,""price"")"),80.54)</f>
        <v>80.54</v>
      </c>
      <c r="C73" s="31">
        <f>IFERROR(__xludf.DUMMYFUNCTION("GOOGLEFINANCE(A73,""high"")"),81.66)</f>
        <v>81.66</v>
      </c>
      <c r="D73" s="31">
        <f>IFERROR(__xludf.DUMMYFUNCTION("GOOGLEFINANCE(A73,""low"")"),80.26)</f>
        <v>80.26</v>
      </c>
      <c r="E73" s="31">
        <f>IFERROR(__xludf.DUMMYFUNCTION("GOOGLEFINANCE(A73,""change"")"),0.27)</f>
        <v>0.27</v>
      </c>
      <c r="F73" s="32">
        <f>IFERROR(__xludf.DUMMYFUNCTION("GOOGLEFINANCE(A73,""changepct"")/100"),0.0034000000000000002)</f>
        <v>0.0034</v>
      </c>
      <c r="G73" s="33">
        <f>IFERROR(__xludf.DUMMYFUNCTION("GOOGLEFINANCE(A73,""priceopen"")"),80.59)</f>
        <v>80.59</v>
      </c>
      <c r="H73" s="34">
        <f>IFERROR(__xludf.DUMMYFUNCTION("GOOGLEFINANCE(A73,""closeyest"")"),80.27)</f>
        <v>80.27</v>
      </c>
      <c r="I73" s="34">
        <f>IFERROR(__xludf.DUMMYFUNCTION("GOOGLEFINANCE(A73,""low52"")"),74.79)</f>
        <v>74.79</v>
      </c>
      <c r="J73" s="34">
        <f>IFERROR(__xludf.DUMMYFUNCTION("GOOGLEFINANCE(A73,""high52"")"),91.45)</f>
        <v>91.45</v>
      </c>
    </row>
    <row r="74">
      <c r="A74" s="30" t="str">
        <f>'6image_RS_benchmark_performance'!A74</f>
        <v>BBBY</v>
      </c>
      <c r="B74" s="31">
        <f>IFERROR(__xludf.DUMMYFUNCTION("GOOGLEFINANCE(A74,""price"")"),29.05)</f>
        <v>29.05</v>
      </c>
      <c r="C74" s="31">
        <f>IFERROR(__xludf.DUMMYFUNCTION("GOOGLEFINANCE(A74,""high"")"),29.33)</f>
        <v>29.33</v>
      </c>
      <c r="D74" s="31">
        <f>IFERROR(__xludf.DUMMYFUNCTION("GOOGLEFINANCE(A74,""low"")"),27.5)</f>
        <v>27.5</v>
      </c>
      <c r="E74" s="31">
        <f>IFERROR(__xludf.DUMMYFUNCTION("GOOGLEFINANCE(A74,""change"")"),1.91)</f>
        <v>1.91</v>
      </c>
      <c r="F74" s="32">
        <f>IFERROR(__xludf.DUMMYFUNCTION("GOOGLEFINANCE(A74,""changepct"")/100"),0.0704)</f>
        <v>0.0704</v>
      </c>
      <c r="G74" s="33">
        <f>IFERROR(__xludf.DUMMYFUNCTION("GOOGLEFINANCE(A74,""priceopen"")"),28.08)</f>
        <v>28.08</v>
      </c>
      <c r="H74" s="34">
        <f>IFERROR(__xludf.DUMMYFUNCTION("GOOGLEFINANCE(A74,""closeyest"")"),27.14)</f>
        <v>27.14</v>
      </c>
      <c r="I74" s="34">
        <f>IFERROR(__xludf.DUMMYFUNCTION("GOOGLEFINANCE(A74,""low52"")"),8.59)</f>
        <v>8.59</v>
      </c>
      <c r="J74" s="34">
        <f>IFERROR(__xludf.DUMMYFUNCTION("GOOGLEFINANCE(A74,""high52"")"),53.9)</f>
        <v>53.9</v>
      </c>
    </row>
    <row r="75">
      <c r="A75" s="30" t="str">
        <f>'6image_RS_benchmark_performance'!A75</f>
        <v>BBY</v>
      </c>
      <c r="B75" s="31">
        <f>IFERROR(__xludf.DUMMYFUNCTION("GOOGLEFINANCE(A75,""price"")"),110.61)</f>
        <v>110.61</v>
      </c>
      <c r="C75" s="31">
        <f>IFERROR(__xludf.DUMMYFUNCTION("GOOGLEFINANCE(A75,""high"")"),111.52)</f>
        <v>111.52</v>
      </c>
      <c r="D75" s="31">
        <f>IFERROR(__xludf.DUMMYFUNCTION("GOOGLEFINANCE(A75,""low"")"),108.22)</f>
        <v>108.22</v>
      </c>
      <c r="E75" s="31">
        <f>IFERROR(__xludf.DUMMYFUNCTION("GOOGLEFINANCE(A75,""change"")"),2.13)</f>
        <v>2.13</v>
      </c>
      <c r="F75" s="32">
        <f>IFERROR(__xludf.DUMMYFUNCTION("GOOGLEFINANCE(A75,""changepct"")/100"),0.0196)</f>
        <v>0.0196</v>
      </c>
      <c r="G75" s="33">
        <f>IFERROR(__xludf.DUMMYFUNCTION("GOOGLEFINANCE(A75,""priceopen"")"),108.96)</f>
        <v>108.96</v>
      </c>
      <c r="H75" s="34">
        <f>IFERROR(__xludf.DUMMYFUNCTION("GOOGLEFINANCE(A75,""closeyest"")"),108.48)</f>
        <v>108.48</v>
      </c>
      <c r="I75" s="34">
        <f>IFERROR(__xludf.DUMMYFUNCTION("GOOGLEFINANCE(A75,""low52"")"),86.48)</f>
        <v>86.48</v>
      </c>
      <c r="J75" s="34">
        <f>IFERROR(__xludf.DUMMYFUNCTION("GOOGLEFINANCE(A75,""high52"")"),128.57)</f>
        <v>128.57</v>
      </c>
    </row>
    <row r="76">
      <c r="A76" s="30" t="str">
        <f>'6image_RS_benchmark_performance'!A76</f>
        <v>BDX</v>
      </c>
      <c r="B76" s="31">
        <f>IFERROR(__xludf.DUMMYFUNCTION("GOOGLEFINANCE(A76,""price"")"),247.0)</f>
        <v>247</v>
      </c>
      <c r="C76" s="31">
        <f>IFERROR(__xludf.DUMMYFUNCTION("GOOGLEFINANCE(A76,""high"")"),250.18)</f>
        <v>250.18</v>
      </c>
      <c r="D76" s="31">
        <f>IFERROR(__xludf.DUMMYFUNCTION("GOOGLEFINANCE(A76,""low"")"),246.48)</f>
        <v>246.48</v>
      </c>
      <c r="E76" s="31">
        <f>IFERROR(__xludf.DUMMYFUNCTION("GOOGLEFINANCE(A76,""change"")"),-0.25)</f>
        <v>-0.25</v>
      </c>
      <c r="F76" s="32">
        <f>IFERROR(__xludf.DUMMYFUNCTION("GOOGLEFINANCE(A76,""changepct"")/100"),-0.001)</f>
        <v>-0.001</v>
      </c>
      <c r="G76" s="33">
        <f>IFERROR(__xludf.DUMMYFUNCTION("GOOGLEFINANCE(A76,""priceopen"")"),248.59)</f>
        <v>248.59</v>
      </c>
      <c r="H76" s="34">
        <f>IFERROR(__xludf.DUMMYFUNCTION("GOOGLEFINANCE(A76,""closeyest"")"),247.25)</f>
        <v>247.25</v>
      </c>
      <c r="I76" s="34">
        <f>IFERROR(__xludf.DUMMYFUNCTION("GOOGLEFINANCE(A76,""low52"")"),219.5)</f>
        <v>219.5</v>
      </c>
      <c r="J76" s="34">
        <f>IFERROR(__xludf.DUMMYFUNCTION("GOOGLEFINANCE(A76,""high52"")"),284.97)</f>
        <v>284.97</v>
      </c>
    </row>
    <row r="77">
      <c r="A77" s="30" t="str">
        <f>'6image_RS_benchmark_performance'!A77</f>
        <v>BEN</v>
      </c>
      <c r="B77" s="31">
        <f>IFERROR(__xludf.DUMMYFUNCTION("GOOGLEFINANCE(A77,""price"")"),29.32)</f>
        <v>29.32</v>
      </c>
      <c r="C77" s="31">
        <f>IFERROR(__xludf.DUMMYFUNCTION("GOOGLEFINANCE(A77,""high"")"),29.41)</f>
        <v>29.41</v>
      </c>
      <c r="D77" s="31">
        <f>IFERROR(__xludf.DUMMYFUNCTION("GOOGLEFINANCE(A77,""low"")"),28.35)</f>
        <v>28.35</v>
      </c>
      <c r="E77" s="31">
        <f>IFERROR(__xludf.DUMMYFUNCTION("GOOGLEFINANCE(A77,""change"")"),0.74)</f>
        <v>0.74</v>
      </c>
      <c r="F77" s="32">
        <f>IFERROR(__xludf.DUMMYFUNCTION("GOOGLEFINANCE(A77,""changepct"")/100"),0.0259)</f>
        <v>0.0259</v>
      </c>
      <c r="G77" s="33">
        <f>IFERROR(__xludf.DUMMYFUNCTION("GOOGLEFINANCE(A77,""priceopen"")"),28.6)</f>
        <v>28.6</v>
      </c>
      <c r="H77" s="34">
        <f>IFERROR(__xludf.DUMMYFUNCTION("GOOGLEFINANCE(A77,""closeyest"")"),28.58)</f>
        <v>28.58</v>
      </c>
      <c r="I77" s="34">
        <f>IFERROR(__xludf.DUMMYFUNCTION("GOOGLEFINANCE(A77,""low52"")"),17.97)</f>
        <v>17.97</v>
      </c>
      <c r="J77" s="34">
        <f>IFERROR(__xludf.DUMMYFUNCTION("GOOGLEFINANCE(A77,""high52"")"),35.94)</f>
        <v>35.94</v>
      </c>
    </row>
    <row r="78">
      <c r="A78" s="30" t="str">
        <f>'6image_RS_benchmark_performance'!A78</f>
        <v>BIDU</v>
      </c>
      <c r="B78" s="31">
        <f>IFERROR(__xludf.DUMMYFUNCTION("GOOGLEFINANCE(A78,""price"")"),177.89)</f>
        <v>177.89</v>
      </c>
      <c r="C78" s="31">
        <f>IFERROR(__xludf.DUMMYFUNCTION("GOOGLEFINANCE(A78,""high"")"),178.97)</f>
        <v>178.97</v>
      </c>
      <c r="D78" s="31">
        <f>IFERROR(__xludf.DUMMYFUNCTION("GOOGLEFINANCE(A78,""low"")"),172.64)</f>
        <v>172.64</v>
      </c>
      <c r="E78" s="31">
        <f>IFERROR(__xludf.DUMMYFUNCTION("GOOGLEFINANCE(A78,""change"")"),1.44)</f>
        <v>1.44</v>
      </c>
      <c r="F78" s="32">
        <f>IFERROR(__xludf.DUMMYFUNCTION("GOOGLEFINANCE(A78,""changepct"")/100"),0.008199999999999999)</f>
        <v>0.0082</v>
      </c>
      <c r="G78" s="33">
        <f>IFERROR(__xludf.DUMMYFUNCTION("GOOGLEFINANCE(A78,""priceopen"")"),177.16)</f>
        <v>177.16</v>
      </c>
      <c r="H78" s="34">
        <f>IFERROR(__xludf.DUMMYFUNCTION("GOOGLEFINANCE(A78,""closeyest"")"),176.45)</f>
        <v>176.45</v>
      </c>
      <c r="I78" s="34">
        <f>IFERROR(__xludf.DUMMYFUNCTION("GOOGLEFINANCE(A78,""low52"")"),114.75)</f>
        <v>114.75</v>
      </c>
      <c r="J78" s="34">
        <f>IFERROR(__xludf.DUMMYFUNCTION("GOOGLEFINANCE(A78,""high52"")"),354.82)</f>
        <v>354.82</v>
      </c>
    </row>
    <row r="79">
      <c r="A79" s="30" t="str">
        <f>'6image_RS_benchmark_performance'!A79</f>
        <v>BIIB</v>
      </c>
      <c r="B79" s="31">
        <f>IFERROR(__xludf.DUMMYFUNCTION("GOOGLEFINANCE(A79,""price"")"),322.49)</f>
        <v>322.49</v>
      </c>
      <c r="C79" s="31">
        <f>IFERROR(__xludf.DUMMYFUNCTION("GOOGLEFINANCE(A79,""high"")"),327.52)</f>
        <v>327.52</v>
      </c>
      <c r="D79" s="31">
        <f>IFERROR(__xludf.DUMMYFUNCTION("GOOGLEFINANCE(A79,""low"")"),317.26)</f>
        <v>317.26</v>
      </c>
      <c r="E79" s="31">
        <f>IFERROR(__xludf.DUMMYFUNCTION("GOOGLEFINANCE(A79,""change"")"),-1.67)</f>
        <v>-1.67</v>
      </c>
      <c r="F79" s="32">
        <f>IFERROR(__xludf.DUMMYFUNCTION("GOOGLEFINANCE(A79,""changepct"")/100"),-0.0052)</f>
        <v>-0.0052</v>
      </c>
      <c r="G79" s="33">
        <f>IFERROR(__xludf.DUMMYFUNCTION("GOOGLEFINANCE(A79,""priceopen"")"),324.7)</f>
        <v>324.7</v>
      </c>
      <c r="H79" s="34">
        <f>IFERROR(__xludf.DUMMYFUNCTION("GOOGLEFINANCE(A79,""closeyest"")"),324.16)</f>
        <v>324.16</v>
      </c>
      <c r="I79" s="34">
        <f>IFERROR(__xludf.DUMMYFUNCTION("GOOGLEFINANCE(A79,""low52"")"),223.25)</f>
        <v>223.25</v>
      </c>
      <c r="J79" s="34">
        <f>IFERROR(__xludf.DUMMYFUNCTION("GOOGLEFINANCE(A79,""high52"")"),468.55)</f>
        <v>468.55</v>
      </c>
    </row>
    <row r="80">
      <c r="A80" s="30" t="str">
        <f>'6image_RS_benchmark_performance'!A80</f>
        <v>BIO</v>
      </c>
      <c r="B80" s="31">
        <f>IFERROR(__xludf.DUMMYFUNCTION("GOOGLEFINANCE(A80,""price"")"),668.42)</f>
        <v>668.42</v>
      </c>
      <c r="C80" s="31">
        <f>IFERROR(__xludf.DUMMYFUNCTION("GOOGLEFINANCE(A80,""high"")"),679.91)</f>
        <v>679.91</v>
      </c>
      <c r="D80" s="31">
        <f>IFERROR(__xludf.DUMMYFUNCTION("GOOGLEFINANCE(A80,""low"")"),667.4)</f>
        <v>667.4</v>
      </c>
      <c r="E80" s="31">
        <f>IFERROR(__xludf.DUMMYFUNCTION("GOOGLEFINANCE(A80,""change"")"),-5.42)</f>
        <v>-5.42</v>
      </c>
      <c r="F80" s="32">
        <f>IFERROR(__xludf.DUMMYFUNCTION("GOOGLEFINANCE(A80,""changepct"")/100"),-0.008)</f>
        <v>-0.008</v>
      </c>
      <c r="G80" s="33">
        <f>IFERROR(__xludf.DUMMYFUNCTION("GOOGLEFINANCE(A80,""priceopen"")"),673.83)</f>
        <v>673.83</v>
      </c>
      <c r="H80" s="34">
        <f>IFERROR(__xludf.DUMMYFUNCTION("GOOGLEFINANCE(A80,""closeyest"")"),673.84)</f>
        <v>673.84</v>
      </c>
      <c r="I80" s="34">
        <f>IFERROR(__xludf.DUMMYFUNCTION("GOOGLEFINANCE(A80,""low52"")"),472.84)</f>
        <v>472.84</v>
      </c>
      <c r="J80" s="34">
        <f>IFERROR(__xludf.DUMMYFUNCTION("GOOGLEFINANCE(A80,""high52"")"),689.0)</f>
        <v>689</v>
      </c>
    </row>
    <row r="81">
      <c r="A81" s="30" t="str">
        <f>'6image_RS_benchmark_performance'!A81</f>
        <v>BK</v>
      </c>
      <c r="B81" s="31">
        <f>IFERROR(__xludf.DUMMYFUNCTION("GOOGLEFINANCE(A81,""price"")"),49.44)</f>
        <v>49.44</v>
      </c>
      <c r="C81" s="31">
        <f>IFERROR(__xludf.DUMMYFUNCTION("GOOGLEFINANCE(A81,""high"")"),49.96)</f>
        <v>49.96</v>
      </c>
      <c r="D81" s="31">
        <f>IFERROR(__xludf.DUMMYFUNCTION("GOOGLEFINANCE(A81,""low"")"),47.33)</f>
        <v>47.33</v>
      </c>
      <c r="E81" s="31">
        <f>IFERROR(__xludf.DUMMYFUNCTION("GOOGLEFINANCE(A81,""change"")"),1.86)</f>
        <v>1.86</v>
      </c>
      <c r="F81" s="32">
        <f>IFERROR(__xludf.DUMMYFUNCTION("GOOGLEFINANCE(A81,""changepct"")/100"),0.0391)</f>
        <v>0.0391</v>
      </c>
      <c r="G81" s="33">
        <f>IFERROR(__xludf.DUMMYFUNCTION("GOOGLEFINANCE(A81,""priceopen"")"),47.58)</f>
        <v>47.58</v>
      </c>
      <c r="H81" s="34">
        <f>IFERROR(__xludf.DUMMYFUNCTION("GOOGLEFINANCE(A81,""closeyest"")"),47.58)</f>
        <v>47.58</v>
      </c>
      <c r="I81" s="34">
        <f>IFERROR(__xludf.DUMMYFUNCTION("GOOGLEFINANCE(A81,""low52"")"),32.65)</f>
        <v>32.65</v>
      </c>
      <c r="J81" s="34">
        <f>IFERROR(__xludf.DUMMYFUNCTION("GOOGLEFINANCE(A81,""high52"")"),52.9)</f>
        <v>52.9</v>
      </c>
    </row>
    <row r="82">
      <c r="A82" s="30" t="str">
        <f>'6image_RS_benchmark_performance'!A82</f>
        <v>BKNG</v>
      </c>
      <c r="B82" s="31">
        <f>IFERROR(__xludf.DUMMYFUNCTION("GOOGLEFINANCE(A82,""price"")"),2130.43)</f>
        <v>2130.43</v>
      </c>
      <c r="C82" s="31">
        <f>IFERROR(__xludf.DUMMYFUNCTION("GOOGLEFINANCE(A82,""high"")"),2141.45)</f>
        <v>2141.45</v>
      </c>
      <c r="D82" s="31">
        <f>IFERROR(__xludf.DUMMYFUNCTION("GOOGLEFINANCE(A82,""low"")"),2053.57)</f>
        <v>2053.57</v>
      </c>
      <c r="E82" s="31">
        <f>IFERROR(__xludf.DUMMYFUNCTION("GOOGLEFINANCE(A82,""change"")"),62.88)</f>
        <v>62.88</v>
      </c>
      <c r="F82" s="32">
        <f>IFERROR(__xludf.DUMMYFUNCTION("GOOGLEFINANCE(A82,""changepct"")/100"),0.0304)</f>
        <v>0.0304</v>
      </c>
      <c r="G82" s="33">
        <f>IFERROR(__xludf.DUMMYFUNCTION("GOOGLEFINANCE(A82,""priceopen"")"),2067.55)</f>
        <v>2067.55</v>
      </c>
      <c r="H82" s="34">
        <f>IFERROR(__xludf.DUMMYFUNCTION("GOOGLEFINANCE(A82,""closeyest"")"),2067.55)</f>
        <v>2067.55</v>
      </c>
      <c r="I82" s="34">
        <f>IFERROR(__xludf.DUMMYFUNCTION("GOOGLEFINANCE(A82,""low52"")"),1589.0)</f>
        <v>1589</v>
      </c>
      <c r="J82" s="34">
        <f>IFERROR(__xludf.DUMMYFUNCTION("GOOGLEFINANCE(A82,""high52"")"),2516.0)</f>
        <v>2516</v>
      </c>
    </row>
    <row r="83">
      <c r="A83" s="30" t="str">
        <f>'6image_RS_benchmark_performance'!A83</f>
        <v>BKR</v>
      </c>
      <c r="B83" s="31">
        <f>IFERROR(__xludf.DUMMYFUNCTION("GOOGLEFINANCE(A83,""price"")"),20.04)</f>
        <v>20.04</v>
      </c>
      <c r="C83" s="31">
        <f>IFERROR(__xludf.DUMMYFUNCTION("GOOGLEFINANCE(A83,""high"")"),20.23)</f>
        <v>20.23</v>
      </c>
      <c r="D83" s="31">
        <f>IFERROR(__xludf.DUMMYFUNCTION("GOOGLEFINANCE(A83,""low"")"),19.3)</f>
        <v>19.3</v>
      </c>
      <c r="E83" s="31">
        <f>IFERROR(__xludf.DUMMYFUNCTION("GOOGLEFINANCE(A83,""change"")"),0.39)</f>
        <v>0.39</v>
      </c>
      <c r="F83" s="32">
        <f>IFERROR(__xludf.DUMMYFUNCTION("GOOGLEFINANCE(A83,""changepct"")/100"),0.019799999999999998)</f>
        <v>0.0198</v>
      </c>
      <c r="G83" s="33">
        <f>IFERROR(__xludf.DUMMYFUNCTION("GOOGLEFINANCE(A83,""priceopen"")"),19.52)</f>
        <v>19.52</v>
      </c>
      <c r="H83" s="34">
        <f>IFERROR(__xludf.DUMMYFUNCTION("GOOGLEFINANCE(A83,""closeyest"")"),19.65)</f>
        <v>19.65</v>
      </c>
      <c r="I83" s="34">
        <f>IFERROR(__xludf.DUMMYFUNCTION("GOOGLEFINANCE(A83,""low52"")"),12.13)</f>
        <v>12.13</v>
      </c>
      <c r="J83" s="34">
        <f>IFERROR(__xludf.DUMMYFUNCTION("GOOGLEFINANCE(A83,""high52"")"),26.57)</f>
        <v>26.57</v>
      </c>
    </row>
    <row r="84">
      <c r="A84" s="30" t="str">
        <f>'6image_RS_benchmark_performance'!A84</f>
        <v>BLDR</v>
      </c>
      <c r="B84" s="31">
        <f>IFERROR(__xludf.DUMMYFUNCTION("GOOGLEFINANCE(A84,""price"")"),41.99)</f>
        <v>41.99</v>
      </c>
      <c r="C84" s="31">
        <f>IFERROR(__xludf.DUMMYFUNCTION("GOOGLEFINANCE(A84,""high"")"),42.27)</f>
        <v>42.27</v>
      </c>
      <c r="D84" s="31">
        <f>IFERROR(__xludf.DUMMYFUNCTION("GOOGLEFINANCE(A84,""low"")"),40.24)</f>
        <v>40.24</v>
      </c>
      <c r="E84" s="31">
        <f>IFERROR(__xludf.DUMMYFUNCTION("GOOGLEFINANCE(A84,""change"")"),1.52)</f>
        <v>1.52</v>
      </c>
      <c r="F84" s="32">
        <f>IFERROR(__xludf.DUMMYFUNCTION("GOOGLEFINANCE(A84,""changepct"")/100"),0.037599999999999995)</f>
        <v>0.0376</v>
      </c>
      <c r="G84" s="33">
        <f>IFERROR(__xludf.DUMMYFUNCTION("GOOGLEFINANCE(A84,""priceopen"")"),40.43)</f>
        <v>40.43</v>
      </c>
      <c r="H84" s="34">
        <f>IFERROR(__xludf.DUMMYFUNCTION("GOOGLEFINANCE(A84,""closeyest"")"),40.47)</f>
        <v>40.47</v>
      </c>
      <c r="I84" s="34">
        <f>IFERROR(__xludf.DUMMYFUNCTION("GOOGLEFINANCE(A84,""low52"")"),21.62)</f>
        <v>21.62</v>
      </c>
      <c r="J84" s="34">
        <f>IFERROR(__xludf.DUMMYFUNCTION("GOOGLEFINANCE(A84,""high52"")"),53.99)</f>
        <v>53.99</v>
      </c>
    </row>
    <row r="85">
      <c r="A85" s="30" t="str">
        <f>'6image_RS_benchmark_performance'!A85</f>
        <v>BLK</v>
      </c>
      <c r="B85" s="31">
        <f>IFERROR(__xludf.DUMMYFUNCTION("GOOGLEFINANCE(A85,""price"")"),878.84)</f>
        <v>878.84</v>
      </c>
      <c r="C85" s="31">
        <f>IFERROR(__xludf.DUMMYFUNCTION("GOOGLEFINANCE(A85,""high"")"),881.31)</f>
        <v>881.31</v>
      </c>
      <c r="D85" s="31">
        <f>IFERROR(__xludf.DUMMYFUNCTION("GOOGLEFINANCE(A85,""low"")"),845.0)</f>
        <v>845</v>
      </c>
      <c r="E85" s="31">
        <f>IFERROR(__xludf.DUMMYFUNCTION("GOOGLEFINANCE(A85,""change"")"),33.68)</f>
        <v>33.68</v>
      </c>
      <c r="F85" s="32">
        <f>IFERROR(__xludf.DUMMYFUNCTION("GOOGLEFINANCE(A85,""changepct"")/100"),0.039900000000000005)</f>
        <v>0.0399</v>
      </c>
      <c r="G85" s="33">
        <f>IFERROR(__xludf.DUMMYFUNCTION("GOOGLEFINANCE(A85,""priceopen"")"),847.47)</f>
        <v>847.47</v>
      </c>
      <c r="H85" s="34">
        <f>IFERROR(__xludf.DUMMYFUNCTION("GOOGLEFINANCE(A85,""closeyest"")"),845.16)</f>
        <v>845.16</v>
      </c>
      <c r="I85" s="34">
        <f>IFERROR(__xludf.DUMMYFUNCTION("GOOGLEFINANCE(A85,""low52"")"),531.39)</f>
        <v>531.39</v>
      </c>
      <c r="J85" s="34">
        <f>IFERROR(__xludf.DUMMYFUNCTION("GOOGLEFINANCE(A85,""high52"")"),920.31)</f>
        <v>920.31</v>
      </c>
    </row>
    <row r="86">
      <c r="A86" s="30" t="str">
        <f>'6image_RS_benchmark_performance'!A86</f>
        <v>BLL</v>
      </c>
      <c r="B86" s="31">
        <f>IFERROR(__xludf.DUMMYFUNCTION("GOOGLEFINANCE(A86,""price"")"),84.42)</f>
        <v>84.42</v>
      </c>
      <c r="C86" s="31">
        <f>IFERROR(__xludf.DUMMYFUNCTION("GOOGLEFINANCE(A86,""high"")"),85.54)</f>
        <v>85.54</v>
      </c>
      <c r="D86" s="31">
        <f>IFERROR(__xludf.DUMMYFUNCTION("GOOGLEFINANCE(A86,""low"")"),83.95)</f>
        <v>83.95</v>
      </c>
      <c r="E86" s="31">
        <f>IFERROR(__xludf.DUMMYFUNCTION("GOOGLEFINANCE(A86,""change"")"),0.67)</f>
        <v>0.67</v>
      </c>
      <c r="F86" s="32">
        <f>IFERROR(__xludf.DUMMYFUNCTION("GOOGLEFINANCE(A86,""changepct"")/100"),0.008)</f>
        <v>0.008</v>
      </c>
      <c r="G86" s="33">
        <f>IFERROR(__xludf.DUMMYFUNCTION("GOOGLEFINANCE(A86,""priceopen"")"),84.37)</f>
        <v>84.37</v>
      </c>
      <c r="H86" s="34">
        <f>IFERROR(__xludf.DUMMYFUNCTION("GOOGLEFINANCE(A86,""closeyest"")"),83.75)</f>
        <v>83.75</v>
      </c>
      <c r="I86" s="34">
        <f>IFERROR(__xludf.DUMMYFUNCTION("GOOGLEFINANCE(A86,""low52"")"),70.0)</f>
        <v>70</v>
      </c>
      <c r="J86" s="34">
        <f>IFERROR(__xludf.DUMMYFUNCTION("GOOGLEFINANCE(A86,""high52"")"),102.76)</f>
        <v>102.76</v>
      </c>
    </row>
    <row r="87">
      <c r="A87" s="30" t="str">
        <f>'6image_RS_benchmark_performance'!A87</f>
        <v>BMY</v>
      </c>
      <c r="B87" s="31">
        <f>IFERROR(__xludf.DUMMYFUNCTION("GOOGLEFINANCE(A87,""price"")"),66.72)</f>
        <v>66.72</v>
      </c>
      <c r="C87" s="31">
        <f>IFERROR(__xludf.DUMMYFUNCTION("GOOGLEFINANCE(A87,""high"")"),67.67)</f>
        <v>67.67</v>
      </c>
      <c r="D87" s="31">
        <f>IFERROR(__xludf.DUMMYFUNCTION("GOOGLEFINANCE(A87,""low"")"),66.44)</f>
        <v>66.44</v>
      </c>
      <c r="E87" s="31">
        <f>IFERROR(__xludf.DUMMYFUNCTION("GOOGLEFINANCE(A87,""change"")"),0.36)</f>
        <v>0.36</v>
      </c>
      <c r="F87" s="32">
        <f>IFERROR(__xludf.DUMMYFUNCTION("GOOGLEFINANCE(A87,""changepct"")/100"),0.0054)</f>
        <v>0.0054</v>
      </c>
      <c r="G87" s="33">
        <f>IFERROR(__xludf.DUMMYFUNCTION("GOOGLEFINANCE(A87,""priceopen"")"),66.5)</f>
        <v>66.5</v>
      </c>
      <c r="H87" s="34">
        <f>IFERROR(__xludf.DUMMYFUNCTION("GOOGLEFINANCE(A87,""closeyest"")"),66.36)</f>
        <v>66.36</v>
      </c>
      <c r="I87" s="34">
        <f>IFERROR(__xludf.DUMMYFUNCTION("GOOGLEFINANCE(A87,""low52"")"),56.75)</f>
        <v>56.75</v>
      </c>
      <c r="J87" s="34">
        <f>IFERROR(__xludf.DUMMYFUNCTION("GOOGLEFINANCE(A87,""high52"")"),67.99)</f>
        <v>67.99</v>
      </c>
    </row>
    <row r="88">
      <c r="A88" s="30" t="str">
        <f>'6image_RS_benchmark_performance'!A88</f>
        <v>BND</v>
      </c>
      <c r="B88" s="31">
        <f>IFERROR(__xludf.DUMMYFUNCTION("GOOGLEFINANCE(A88,""price"")"),86.72)</f>
        <v>86.72</v>
      </c>
      <c r="C88" s="31">
        <f>IFERROR(__xludf.DUMMYFUNCTION("GOOGLEFINANCE(A88,""high"")"),87.08)</f>
        <v>87.08</v>
      </c>
      <c r="D88" s="31">
        <f>IFERROR(__xludf.DUMMYFUNCTION("GOOGLEFINANCE(A88,""low"")"),86.67)</f>
        <v>86.67</v>
      </c>
      <c r="E88" s="31">
        <f>IFERROR(__xludf.DUMMYFUNCTION("GOOGLEFINANCE(A88,""change"")"),-0.09)</f>
        <v>-0.09</v>
      </c>
      <c r="F88" s="32">
        <f>IFERROR(__xludf.DUMMYFUNCTION("GOOGLEFINANCE(A88,""changepct"")/100"),-0.001)</f>
        <v>-0.001</v>
      </c>
      <c r="G88" s="33">
        <f>IFERROR(__xludf.DUMMYFUNCTION("GOOGLEFINANCE(A88,""priceopen"")"),87.05)</f>
        <v>87.05</v>
      </c>
      <c r="H88" s="34">
        <f>IFERROR(__xludf.DUMMYFUNCTION("GOOGLEFINANCE(A88,""closeyest"")"),86.81)</f>
        <v>86.81</v>
      </c>
      <c r="I88" s="34">
        <f>IFERROR(__xludf.DUMMYFUNCTION("GOOGLEFINANCE(A88,""low52"")"),84.22)</f>
        <v>84.22</v>
      </c>
      <c r="J88" s="34">
        <f>IFERROR(__xludf.DUMMYFUNCTION("GOOGLEFINANCE(A88,""high52"")"),89.59)</f>
        <v>89.59</v>
      </c>
    </row>
    <row r="89">
      <c r="A89" s="30" t="str">
        <f>'6image_RS_benchmark_performance'!A89</f>
        <v>BNDX</v>
      </c>
      <c r="B89" s="31">
        <f>IFERROR(__xludf.DUMMYFUNCTION("GOOGLEFINANCE(A89,""price"")"),57.76)</f>
        <v>57.76</v>
      </c>
      <c r="C89" s="31">
        <f>IFERROR(__xludf.DUMMYFUNCTION("GOOGLEFINANCE(A89,""high"")"),57.86)</f>
        <v>57.86</v>
      </c>
      <c r="D89" s="31">
        <f>IFERROR(__xludf.DUMMYFUNCTION("GOOGLEFINANCE(A89,""low"")"),57.72)</f>
        <v>57.72</v>
      </c>
      <c r="E89" s="31">
        <f>IFERROR(__xludf.DUMMYFUNCTION("GOOGLEFINANCE(A89,""change"")"),0.0)</f>
        <v>0</v>
      </c>
      <c r="F89" s="32">
        <f>IFERROR(__xludf.DUMMYFUNCTION("GOOGLEFINANCE(A89,""changepct"")/100"),0.0)</f>
        <v>0</v>
      </c>
      <c r="G89" s="33">
        <f>IFERROR(__xludf.DUMMYFUNCTION("GOOGLEFINANCE(A89,""priceopen"")"),57.86)</f>
        <v>57.86</v>
      </c>
      <c r="H89" s="34">
        <f>IFERROR(__xludf.DUMMYFUNCTION("GOOGLEFINANCE(A89,""closeyest"")"),57.76)</f>
        <v>57.76</v>
      </c>
      <c r="I89" s="34">
        <f>IFERROR(__xludf.DUMMYFUNCTION("GOOGLEFINANCE(A89,""low52"")"),56.53)</f>
        <v>56.53</v>
      </c>
      <c r="J89" s="34">
        <f>IFERROR(__xludf.DUMMYFUNCTION("GOOGLEFINANCE(A89,""high52"")"),58.77)</f>
        <v>58.77</v>
      </c>
    </row>
    <row r="90">
      <c r="A90" s="30" t="str">
        <f>'6image_RS_benchmark_performance'!A90</f>
        <v>BR</v>
      </c>
      <c r="B90" s="31">
        <f>IFERROR(__xludf.DUMMYFUNCTION("GOOGLEFINANCE(A90,""price"")"),169.15)</f>
        <v>169.15</v>
      </c>
      <c r="C90" s="31">
        <f>IFERROR(__xludf.DUMMYFUNCTION("GOOGLEFINANCE(A90,""high"")"),170.39)</f>
        <v>170.39</v>
      </c>
      <c r="D90" s="31">
        <f>IFERROR(__xludf.DUMMYFUNCTION("GOOGLEFINANCE(A90,""low"")"),166.88)</f>
        <v>166.88</v>
      </c>
      <c r="E90" s="31">
        <f>IFERROR(__xludf.DUMMYFUNCTION("GOOGLEFINANCE(A90,""change"")"),2.53)</f>
        <v>2.53</v>
      </c>
      <c r="F90" s="32">
        <f>IFERROR(__xludf.DUMMYFUNCTION("GOOGLEFINANCE(A90,""changepct"")/100"),0.0152)</f>
        <v>0.0152</v>
      </c>
      <c r="G90" s="33">
        <f>IFERROR(__xludf.DUMMYFUNCTION("GOOGLEFINANCE(A90,""priceopen"")"),167.36)</f>
        <v>167.36</v>
      </c>
      <c r="H90" s="34">
        <f>IFERROR(__xludf.DUMMYFUNCTION("GOOGLEFINANCE(A90,""closeyest"")"),166.62)</f>
        <v>166.62</v>
      </c>
      <c r="I90" s="34">
        <f>IFERROR(__xludf.DUMMYFUNCTION("GOOGLEFINANCE(A90,""low52"")"),126.77)</f>
        <v>126.77</v>
      </c>
      <c r="J90" s="34">
        <f>IFERROR(__xludf.DUMMYFUNCTION("GOOGLEFINANCE(A90,""high52"")"),171.27)</f>
        <v>171.27</v>
      </c>
    </row>
    <row r="91">
      <c r="A91" s="30" t="str">
        <f>'6image_RS_benchmark_performance'!A91</f>
        <v>BSV</v>
      </c>
      <c r="B91" s="31">
        <f>IFERROR(__xludf.DUMMYFUNCTION("GOOGLEFINANCE(A91,""price"")"),82.32)</f>
        <v>82.32</v>
      </c>
      <c r="C91" s="31">
        <f>IFERROR(__xludf.DUMMYFUNCTION("GOOGLEFINANCE(A91,""high"")"),82.41)</f>
        <v>82.41</v>
      </c>
      <c r="D91" s="31">
        <f>IFERROR(__xludf.DUMMYFUNCTION("GOOGLEFINANCE(A91,""low"")"),82.32)</f>
        <v>82.32</v>
      </c>
      <c r="E91" s="31">
        <f>IFERROR(__xludf.DUMMYFUNCTION("GOOGLEFINANCE(A91,""change"")"),0.02)</f>
        <v>0.02</v>
      </c>
      <c r="F91" s="32">
        <f>IFERROR(__xludf.DUMMYFUNCTION("GOOGLEFINANCE(A91,""changepct"")/100"),2.0E-4)</f>
        <v>0.0002</v>
      </c>
      <c r="G91" s="33">
        <f>IFERROR(__xludf.DUMMYFUNCTION("GOOGLEFINANCE(A91,""priceopen"")"),82.4)</f>
        <v>82.4</v>
      </c>
      <c r="H91" s="34">
        <f>IFERROR(__xludf.DUMMYFUNCTION("GOOGLEFINANCE(A91,""closeyest"")"),82.3)</f>
        <v>82.3</v>
      </c>
      <c r="I91" s="34">
        <f>IFERROR(__xludf.DUMMYFUNCTION("GOOGLEFINANCE(A91,""low52"")"),81.99)</f>
        <v>81.99</v>
      </c>
      <c r="J91" s="34">
        <f>IFERROR(__xludf.DUMMYFUNCTION("GOOGLEFINANCE(A91,""high52"")"),83.3)</f>
        <v>83.3</v>
      </c>
    </row>
    <row r="92">
      <c r="A92" s="30" t="str">
        <f>'6image_RS_benchmark_performance'!A92</f>
        <v>BSX</v>
      </c>
      <c r="B92" s="31">
        <f>IFERROR(__xludf.DUMMYFUNCTION("GOOGLEFINANCE(A92,""price"")"),42.79)</f>
        <v>42.79</v>
      </c>
      <c r="C92" s="31">
        <f>IFERROR(__xludf.DUMMYFUNCTION("GOOGLEFINANCE(A92,""high"")"),43.0)</f>
        <v>43</v>
      </c>
      <c r="D92" s="31">
        <f>IFERROR(__xludf.DUMMYFUNCTION("GOOGLEFINANCE(A92,""low"")"),41.31)</f>
        <v>41.31</v>
      </c>
      <c r="E92" s="31">
        <f>IFERROR(__xludf.DUMMYFUNCTION("GOOGLEFINANCE(A92,""change"")"),1.56)</f>
        <v>1.56</v>
      </c>
      <c r="F92" s="32">
        <f>IFERROR(__xludf.DUMMYFUNCTION("GOOGLEFINANCE(A92,""changepct"")/100"),0.0378)</f>
        <v>0.0378</v>
      </c>
      <c r="G92" s="33">
        <f>IFERROR(__xludf.DUMMYFUNCTION("GOOGLEFINANCE(A92,""priceopen"")"),41.32)</f>
        <v>41.32</v>
      </c>
      <c r="H92" s="34">
        <f>IFERROR(__xludf.DUMMYFUNCTION("GOOGLEFINANCE(A92,""closeyest"")"),41.23)</f>
        <v>41.23</v>
      </c>
      <c r="I92" s="34">
        <f>IFERROR(__xludf.DUMMYFUNCTION("GOOGLEFINANCE(A92,""low52"")"),32.99)</f>
        <v>32.99</v>
      </c>
      <c r="J92" s="34">
        <f>IFERROR(__xludf.DUMMYFUNCTION("GOOGLEFINANCE(A92,""high52"")"),44.63)</f>
        <v>44.63</v>
      </c>
    </row>
    <row r="93">
      <c r="A93" s="30" t="str">
        <f>'6image_RS_benchmark_performance'!A93</f>
        <v>BWA</v>
      </c>
      <c r="B93" s="31">
        <f>IFERROR(__xludf.DUMMYFUNCTION("GOOGLEFINANCE(A93,""price"")"),47.03)</f>
        <v>47.03</v>
      </c>
      <c r="C93" s="31">
        <f>IFERROR(__xludf.DUMMYFUNCTION("GOOGLEFINANCE(A93,""high"")"),47.15)</f>
        <v>47.15</v>
      </c>
      <c r="D93" s="31">
        <f>IFERROR(__xludf.DUMMYFUNCTION("GOOGLEFINANCE(A93,""low"")"),45.19)</f>
        <v>45.19</v>
      </c>
      <c r="E93" s="31">
        <f>IFERROR(__xludf.DUMMYFUNCTION("GOOGLEFINANCE(A93,""change"")"),1.84)</f>
        <v>1.84</v>
      </c>
      <c r="F93" s="32">
        <f>IFERROR(__xludf.DUMMYFUNCTION("GOOGLEFINANCE(A93,""changepct"")/100"),0.0407)</f>
        <v>0.0407</v>
      </c>
      <c r="G93" s="33">
        <f>IFERROR(__xludf.DUMMYFUNCTION("GOOGLEFINANCE(A93,""priceopen"")"),45.19)</f>
        <v>45.19</v>
      </c>
      <c r="H93" s="34">
        <f>IFERROR(__xludf.DUMMYFUNCTION("GOOGLEFINANCE(A93,""closeyest"")"),45.19)</f>
        <v>45.19</v>
      </c>
      <c r="I93" s="34">
        <f>IFERROR(__xludf.DUMMYFUNCTION("GOOGLEFINANCE(A93,""low52"")"),34.3)</f>
        <v>34.3</v>
      </c>
      <c r="J93" s="34">
        <f>IFERROR(__xludf.DUMMYFUNCTION("GOOGLEFINANCE(A93,""high52"")"),55.55)</f>
        <v>55.55</v>
      </c>
    </row>
    <row r="94">
      <c r="A94" s="30" t="str">
        <f>'6image_RS_benchmark_performance'!A94</f>
        <v>BX</v>
      </c>
      <c r="B94" s="31">
        <f>IFERROR(__xludf.DUMMYFUNCTION("GOOGLEFINANCE(A94,""price"")"),103.84)</f>
        <v>103.84</v>
      </c>
      <c r="C94" s="31">
        <f>IFERROR(__xludf.DUMMYFUNCTION("GOOGLEFINANCE(A94,""high"")"),104.46)</f>
        <v>104.46</v>
      </c>
      <c r="D94" s="31">
        <f>IFERROR(__xludf.DUMMYFUNCTION("GOOGLEFINANCE(A94,""low"")"),100.0)</f>
        <v>100</v>
      </c>
      <c r="E94" s="31">
        <f>IFERROR(__xludf.DUMMYFUNCTION("GOOGLEFINANCE(A94,""change"")"),4.11)</f>
        <v>4.11</v>
      </c>
      <c r="F94" s="32">
        <f>IFERROR(__xludf.DUMMYFUNCTION("GOOGLEFINANCE(A94,""changepct"")/100"),0.0412)</f>
        <v>0.0412</v>
      </c>
      <c r="G94" s="33">
        <f>IFERROR(__xludf.DUMMYFUNCTION("GOOGLEFINANCE(A94,""priceopen"")"),100.21)</f>
        <v>100.21</v>
      </c>
      <c r="H94" s="34">
        <f>IFERROR(__xludf.DUMMYFUNCTION("GOOGLEFINANCE(A94,""closeyest"")"),99.73)</f>
        <v>99.73</v>
      </c>
      <c r="I94" s="34">
        <f>IFERROR(__xludf.DUMMYFUNCTION("GOOGLEFINANCE(A94,""low52"")"),49.26)</f>
        <v>49.26</v>
      </c>
      <c r="J94" s="34">
        <f>IFERROR(__xludf.DUMMYFUNCTION("GOOGLEFINANCE(A94,""high52"")"),104.46)</f>
        <v>104.46</v>
      </c>
    </row>
    <row r="95">
      <c r="A95" s="30" t="str">
        <f>'6image_RS_benchmark_performance'!A95</f>
        <v>BXP</v>
      </c>
      <c r="B95" s="31">
        <f>IFERROR(__xludf.DUMMYFUNCTION("GOOGLEFINANCE(A95,""price"")"),116.04)</f>
        <v>116.04</v>
      </c>
      <c r="C95" s="31">
        <f>IFERROR(__xludf.DUMMYFUNCTION("GOOGLEFINANCE(A95,""high"")"),116.3)</f>
        <v>116.3</v>
      </c>
      <c r="D95" s="31">
        <f>IFERROR(__xludf.DUMMYFUNCTION("GOOGLEFINANCE(A95,""low"")"),110.99)</f>
        <v>110.99</v>
      </c>
      <c r="E95" s="31">
        <f>IFERROR(__xludf.DUMMYFUNCTION("GOOGLEFINANCE(A95,""change"")"),5.33)</f>
        <v>5.33</v>
      </c>
      <c r="F95" s="32">
        <f>IFERROR(__xludf.DUMMYFUNCTION("GOOGLEFINANCE(A95,""changepct"")/100"),0.0481)</f>
        <v>0.0481</v>
      </c>
      <c r="G95" s="33">
        <f>IFERROR(__xludf.DUMMYFUNCTION("GOOGLEFINANCE(A95,""priceopen"")"),111.38)</f>
        <v>111.38</v>
      </c>
      <c r="H95" s="34">
        <f>IFERROR(__xludf.DUMMYFUNCTION("GOOGLEFINANCE(A95,""closeyest"")"),110.71)</f>
        <v>110.71</v>
      </c>
      <c r="I95" s="34">
        <f>IFERROR(__xludf.DUMMYFUNCTION("GOOGLEFINANCE(A95,""low52"")"),69.69)</f>
        <v>69.69</v>
      </c>
      <c r="J95" s="34">
        <f>IFERROR(__xludf.DUMMYFUNCTION("GOOGLEFINANCE(A95,""high52"")"),124.24)</f>
        <v>124.24</v>
      </c>
    </row>
    <row r="96">
      <c r="A96" s="30" t="str">
        <f>'6image_RS_benchmark_performance'!A96</f>
        <v>BYND</v>
      </c>
      <c r="B96" s="31">
        <f>IFERROR(__xludf.DUMMYFUNCTION("GOOGLEFINANCE(A96,""price"")"),130.6)</f>
        <v>130.6</v>
      </c>
      <c r="C96" s="31">
        <f>IFERROR(__xludf.DUMMYFUNCTION("GOOGLEFINANCE(A96,""high"")"),131.52)</f>
        <v>131.52</v>
      </c>
      <c r="D96" s="31">
        <f>IFERROR(__xludf.DUMMYFUNCTION("GOOGLEFINANCE(A96,""low"")"),123.07)</f>
        <v>123.07</v>
      </c>
      <c r="E96" s="31">
        <f>IFERROR(__xludf.DUMMYFUNCTION("GOOGLEFINANCE(A96,""change"")"),5.08)</f>
        <v>5.08</v>
      </c>
      <c r="F96" s="32">
        <f>IFERROR(__xludf.DUMMYFUNCTION("GOOGLEFINANCE(A96,""changepct"")/100"),0.0405)</f>
        <v>0.0405</v>
      </c>
      <c r="G96" s="33">
        <f>IFERROR(__xludf.DUMMYFUNCTION("GOOGLEFINANCE(A96,""priceopen"")"),126.02)</f>
        <v>126.02</v>
      </c>
      <c r="H96" s="34">
        <f>IFERROR(__xludf.DUMMYFUNCTION("GOOGLEFINANCE(A96,""closeyest"")"),125.52)</f>
        <v>125.52</v>
      </c>
      <c r="I96" s="34">
        <f>IFERROR(__xludf.DUMMYFUNCTION("GOOGLEFINANCE(A96,""low52"")"),99.86)</f>
        <v>99.86</v>
      </c>
      <c r="J96" s="34">
        <f>IFERROR(__xludf.DUMMYFUNCTION("GOOGLEFINANCE(A96,""high52"")"),221.0)</f>
        <v>221</v>
      </c>
    </row>
    <row r="97">
      <c r="A97" s="30" t="str">
        <f>'6image_RS_benchmark_performance'!A97</f>
        <v>C</v>
      </c>
      <c r="B97" s="31">
        <f>IFERROR(__xludf.DUMMYFUNCTION("GOOGLEFINANCE(A97,""price"")"),66.29)</f>
        <v>66.29</v>
      </c>
      <c r="C97" s="31">
        <f>IFERROR(__xludf.DUMMYFUNCTION("GOOGLEFINANCE(A97,""high"")"),66.78)</f>
        <v>66.78</v>
      </c>
      <c r="D97" s="31">
        <f>IFERROR(__xludf.DUMMYFUNCTION("GOOGLEFINANCE(A97,""low"")"),64.78)</f>
        <v>64.78</v>
      </c>
      <c r="E97" s="31">
        <f>IFERROR(__xludf.DUMMYFUNCTION("GOOGLEFINANCE(A97,""change"")"),1.21)</f>
        <v>1.21</v>
      </c>
      <c r="F97" s="32">
        <f>IFERROR(__xludf.DUMMYFUNCTION("GOOGLEFINANCE(A97,""changepct"")/100"),0.018600000000000002)</f>
        <v>0.0186</v>
      </c>
      <c r="G97" s="33">
        <f>IFERROR(__xludf.DUMMYFUNCTION("GOOGLEFINANCE(A97,""priceopen"")"),65.18)</f>
        <v>65.18</v>
      </c>
      <c r="H97" s="34">
        <f>IFERROR(__xludf.DUMMYFUNCTION("GOOGLEFINANCE(A97,""closeyest"")"),65.08)</f>
        <v>65.08</v>
      </c>
      <c r="I97" s="34">
        <f>IFERROR(__xludf.DUMMYFUNCTION("GOOGLEFINANCE(A97,""low52"")"),40.49)</f>
        <v>40.49</v>
      </c>
      <c r="J97" s="34">
        <f>IFERROR(__xludf.DUMMYFUNCTION("GOOGLEFINANCE(A97,""high52"")"),80.29)</f>
        <v>80.29</v>
      </c>
    </row>
    <row r="98">
      <c r="A98" s="30" t="str">
        <f>'6image_RS_benchmark_performance'!A98</f>
        <v>CAG</v>
      </c>
      <c r="B98" s="31">
        <f>IFERROR(__xludf.DUMMYFUNCTION("GOOGLEFINANCE(A98,""price"")"),35.01)</f>
        <v>35.01</v>
      </c>
      <c r="C98" s="31">
        <f>IFERROR(__xludf.DUMMYFUNCTION("GOOGLEFINANCE(A98,""high"")"),35.74)</f>
        <v>35.74</v>
      </c>
      <c r="D98" s="31">
        <f>IFERROR(__xludf.DUMMYFUNCTION("GOOGLEFINANCE(A98,""low"")"),35.0)</f>
        <v>35</v>
      </c>
      <c r="E98" s="31">
        <f>IFERROR(__xludf.DUMMYFUNCTION("GOOGLEFINANCE(A98,""change"")"),-0.39)</f>
        <v>-0.39</v>
      </c>
      <c r="F98" s="32">
        <f>IFERROR(__xludf.DUMMYFUNCTION("GOOGLEFINANCE(A98,""changepct"")/100"),-0.011000000000000001)</f>
        <v>-0.011</v>
      </c>
      <c r="G98" s="33">
        <f>IFERROR(__xludf.DUMMYFUNCTION("GOOGLEFINANCE(A98,""priceopen"")"),35.46)</f>
        <v>35.46</v>
      </c>
      <c r="H98" s="34">
        <f>IFERROR(__xludf.DUMMYFUNCTION("GOOGLEFINANCE(A98,""closeyest"")"),35.4)</f>
        <v>35.4</v>
      </c>
      <c r="I98" s="34">
        <f>IFERROR(__xludf.DUMMYFUNCTION("GOOGLEFINANCE(A98,""low52"")"),32.55)</f>
        <v>32.55</v>
      </c>
      <c r="J98" s="34">
        <f>IFERROR(__xludf.DUMMYFUNCTION("GOOGLEFINANCE(A98,""high52"")"),39.34)</f>
        <v>39.34</v>
      </c>
    </row>
    <row r="99">
      <c r="A99" s="30" t="str">
        <f>'6image_RS_benchmark_performance'!A99</f>
        <v>CAH</v>
      </c>
      <c r="B99" s="31">
        <f>IFERROR(__xludf.DUMMYFUNCTION("GOOGLEFINANCE(A99,""price"")"),57.69)</f>
        <v>57.69</v>
      </c>
      <c r="C99" s="31">
        <f>IFERROR(__xludf.DUMMYFUNCTION("GOOGLEFINANCE(A99,""high"")"),59.87)</f>
        <v>59.87</v>
      </c>
      <c r="D99" s="31">
        <f>IFERROR(__xludf.DUMMYFUNCTION("GOOGLEFINANCE(A99,""low"")"),57.42)</f>
        <v>57.42</v>
      </c>
      <c r="E99" s="31">
        <f>IFERROR(__xludf.DUMMYFUNCTION("GOOGLEFINANCE(A99,""change"")"),1.67)</f>
        <v>1.67</v>
      </c>
      <c r="F99" s="32">
        <f>IFERROR(__xludf.DUMMYFUNCTION("GOOGLEFINANCE(A99,""changepct"")/100"),0.0298)</f>
        <v>0.0298</v>
      </c>
      <c r="G99" s="33">
        <f>IFERROR(__xludf.DUMMYFUNCTION("GOOGLEFINANCE(A99,""priceopen"")"),57.88)</f>
        <v>57.88</v>
      </c>
      <c r="H99" s="34">
        <f>IFERROR(__xludf.DUMMYFUNCTION("GOOGLEFINANCE(A99,""closeyest"")"),56.02)</f>
        <v>56.02</v>
      </c>
      <c r="I99" s="34">
        <f>IFERROR(__xludf.DUMMYFUNCTION("GOOGLEFINANCE(A99,""low52"")"),44.65)</f>
        <v>44.65</v>
      </c>
      <c r="J99" s="34">
        <f>IFERROR(__xludf.DUMMYFUNCTION("GOOGLEFINANCE(A99,""high52"")"),62.96)</f>
        <v>62.96</v>
      </c>
    </row>
    <row r="100">
      <c r="A100" s="30" t="str">
        <f>'6image_RS_benchmark_performance'!A100</f>
        <v>CAT</v>
      </c>
      <c r="B100" s="31">
        <f>IFERROR(__xludf.DUMMYFUNCTION("GOOGLEFINANCE(A100,""price"")"),207.96)</f>
        <v>207.96</v>
      </c>
      <c r="C100" s="31">
        <f>IFERROR(__xludf.DUMMYFUNCTION("GOOGLEFINANCE(A100,""high"")"),208.63)</f>
        <v>208.63</v>
      </c>
      <c r="D100" s="31">
        <f>IFERROR(__xludf.DUMMYFUNCTION("GOOGLEFINANCE(A100,""low"")"),202.31)</f>
        <v>202.31</v>
      </c>
      <c r="E100" s="31">
        <f>IFERROR(__xludf.DUMMYFUNCTION("GOOGLEFINANCE(A100,""change"")"),4.88)</f>
        <v>4.88</v>
      </c>
      <c r="F100" s="32">
        <f>IFERROR(__xludf.DUMMYFUNCTION("GOOGLEFINANCE(A100,""changepct"")/100"),0.024)</f>
        <v>0.024</v>
      </c>
      <c r="G100" s="33">
        <f>IFERROR(__xludf.DUMMYFUNCTION("GOOGLEFINANCE(A100,""priceopen"")"),203.04)</f>
        <v>203.04</v>
      </c>
      <c r="H100" s="34">
        <f>IFERROR(__xludf.DUMMYFUNCTION("GOOGLEFINANCE(A100,""closeyest"")"),203.08)</f>
        <v>203.08</v>
      </c>
      <c r="I100" s="34">
        <f>IFERROR(__xludf.DUMMYFUNCTION("GOOGLEFINANCE(A100,""low52"")"),130.21)</f>
        <v>130.21</v>
      </c>
      <c r="J100" s="34">
        <f>IFERROR(__xludf.DUMMYFUNCTION("GOOGLEFINANCE(A100,""high52"")"),246.69)</f>
        <v>246.69</v>
      </c>
    </row>
    <row r="101">
      <c r="A101" s="30" t="str">
        <f>'6image_RS_benchmark_performance'!A101</f>
        <v>CB</v>
      </c>
      <c r="B101" s="31">
        <f>IFERROR(__xludf.DUMMYFUNCTION("GOOGLEFINANCE(A101,""price"")"),167.67)</f>
        <v>167.67</v>
      </c>
      <c r="C101" s="31">
        <f>IFERROR(__xludf.DUMMYFUNCTION("GOOGLEFINANCE(A101,""high"")"),168.82)</f>
        <v>168.82</v>
      </c>
      <c r="D101" s="31">
        <f>IFERROR(__xludf.DUMMYFUNCTION("GOOGLEFINANCE(A101,""low"")"),161.7)</f>
        <v>161.7</v>
      </c>
      <c r="E101" s="31">
        <f>IFERROR(__xludf.DUMMYFUNCTION("GOOGLEFINANCE(A101,""change"")"),6.88)</f>
        <v>6.88</v>
      </c>
      <c r="F101" s="32">
        <f>IFERROR(__xludf.DUMMYFUNCTION("GOOGLEFINANCE(A101,""changepct"")/100"),0.042800000000000005)</f>
        <v>0.0428</v>
      </c>
      <c r="G101" s="33">
        <f>IFERROR(__xludf.DUMMYFUNCTION("GOOGLEFINANCE(A101,""priceopen"")"),161.7)</f>
        <v>161.7</v>
      </c>
      <c r="H101" s="34">
        <f>IFERROR(__xludf.DUMMYFUNCTION("GOOGLEFINANCE(A101,""closeyest"")"),160.79)</f>
        <v>160.79</v>
      </c>
      <c r="I101" s="34">
        <f>IFERROR(__xludf.DUMMYFUNCTION("GOOGLEFINANCE(A101,""low52"")"),111.93)</f>
        <v>111.93</v>
      </c>
      <c r="J101" s="34">
        <f>IFERROR(__xludf.DUMMYFUNCTION("GOOGLEFINANCE(A101,""high52"")"),179.01)</f>
        <v>179.01</v>
      </c>
    </row>
    <row r="102">
      <c r="A102" s="30" t="str">
        <f>'6image_RS_benchmark_performance'!A102</f>
        <v>CBOE</v>
      </c>
      <c r="B102" s="31">
        <f>IFERROR(__xludf.DUMMYFUNCTION("GOOGLEFINANCE(A102,""price"")"),115.56)</f>
        <v>115.56</v>
      </c>
      <c r="C102" s="31">
        <f>IFERROR(__xludf.DUMMYFUNCTION("GOOGLEFINANCE(A102,""high"")"),116.89)</f>
        <v>116.89</v>
      </c>
      <c r="D102" s="31">
        <f>IFERROR(__xludf.DUMMYFUNCTION("GOOGLEFINANCE(A102,""low"")"),114.8)</f>
        <v>114.8</v>
      </c>
      <c r="E102" s="31">
        <f>IFERROR(__xludf.DUMMYFUNCTION("GOOGLEFINANCE(A102,""change"")"),0.0)</f>
        <v>0</v>
      </c>
      <c r="F102" s="32">
        <f>IFERROR(__xludf.DUMMYFUNCTION("GOOGLEFINANCE(A102,""changepct"")/100"),0.0)</f>
        <v>0</v>
      </c>
      <c r="G102" s="33">
        <f>IFERROR(__xludf.DUMMYFUNCTION("GOOGLEFINANCE(A102,""priceopen"")"),114.8)</f>
        <v>114.8</v>
      </c>
      <c r="H102" s="34">
        <f>IFERROR(__xludf.DUMMYFUNCTION("GOOGLEFINANCE(A102,""closeyest"")"),115.56)</f>
        <v>115.56</v>
      </c>
      <c r="I102" s="34">
        <f>IFERROR(__xludf.DUMMYFUNCTION("GOOGLEFINANCE(A102,""low52"")"),77.63)</f>
        <v>77.63</v>
      </c>
      <c r="J102" s="34">
        <f>IFERROR(__xludf.DUMMYFUNCTION("GOOGLEFINANCE(A102,""high52"")"),122.27)</f>
        <v>122.27</v>
      </c>
    </row>
    <row r="103">
      <c r="A103" s="30" t="str">
        <f>'6image_RS_benchmark_performance'!A103</f>
        <v>CBRE</v>
      </c>
      <c r="B103" s="31">
        <f>IFERROR(__xludf.DUMMYFUNCTION("GOOGLEFINANCE(A103,""price"")"),83.86)</f>
        <v>83.86</v>
      </c>
      <c r="C103" s="31">
        <f>IFERROR(__xludf.DUMMYFUNCTION("GOOGLEFINANCE(A103,""high"")"),84.36)</f>
        <v>84.36</v>
      </c>
      <c r="D103" s="31">
        <f>IFERROR(__xludf.DUMMYFUNCTION("GOOGLEFINANCE(A103,""low"")"),80.94)</f>
        <v>80.94</v>
      </c>
      <c r="E103" s="31">
        <f>IFERROR(__xludf.DUMMYFUNCTION("GOOGLEFINANCE(A103,""change"")"),3.32)</f>
        <v>3.32</v>
      </c>
      <c r="F103" s="32">
        <f>IFERROR(__xludf.DUMMYFUNCTION("GOOGLEFINANCE(A103,""changepct"")/100"),0.0412)</f>
        <v>0.0412</v>
      </c>
      <c r="G103" s="33">
        <f>IFERROR(__xludf.DUMMYFUNCTION("GOOGLEFINANCE(A103,""priceopen"")"),81.07)</f>
        <v>81.07</v>
      </c>
      <c r="H103" s="34">
        <f>IFERROR(__xludf.DUMMYFUNCTION("GOOGLEFINANCE(A103,""closeyest"")"),80.54)</f>
        <v>80.54</v>
      </c>
      <c r="I103" s="34">
        <f>IFERROR(__xludf.DUMMYFUNCTION("GOOGLEFINANCE(A103,""low52"")"),41.03)</f>
        <v>41.03</v>
      </c>
      <c r="J103" s="34">
        <f>IFERROR(__xludf.DUMMYFUNCTION("GOOGLEFINANCE(A103,""high52"")"),90.21)</f>
        <v>90.21</v>
      </c>
    </row>
    <row r="104">
      <c r="A104" s="30" t="str">
        <f>'6image_RS_benchmark_performance'!A104</f>
        <v>CCI</v>
      </c>
      <c r="B104" s="31">
        <f>IFERROR(__xludf.DUMMYFUNCTION("GOOGLEFINANCE(A104,""price"")"),203.28)</f>
        <v>203.28</v>
      </c>
      <c r="C104" s="31">
        <f>IFERROR(__xludf.DUMMYFUNCTION("GOOGLEFINANCE(A104,""high"")"),204.62)</f>
        <v>204.62</v>
      </c>
      <c r="D104" s="31">
        <f>IFERROR(__xludf.DUMMYFUNCTION("GOOGLEFINANCE(A104,""low"")"),202.06)</f>
        <v>202.06</v>
      </c>
      <c r="E104" s="31">
        <f>IFERROR(__xludf.DUMMYFUNCTION("GOOGLEFINANCE(A104,""change"")"),1.25)</f>
        <v>1.25</v>
      </c>
      <c r="F104" s="32">
        <f>IFERROR(__xludf.DUMMYFUNCTION("GOOGLEFINANCE(A104,""changepct"")/100"),0.0062)</f>
        <v>0.0062</v>
      </c>
      <c r="G104" s="33">
        <f>IFERROR(__xludf.DUMMYFUNCTION("GOOGLEFINANCE(A104,""priceopen"")"),203.19)</f>
        <v>203.19</v>
      </c>
      <c r="H104" s="34">
        <f>IFERROR(__xludf.DUMMYFUNCTION("GOOGLEFINANCE(A104,""closeyest"")"),202.03)</f>
        <v>202.03</v>
      </c>
      <c r="I104" s="34">
        <f>IFERROR(__xludf.DUMMYFUNCTION("GOOGLEFINANCE(A104,""low52"")"),146.15)</f>
        <v>146.15</v>
      </c>
      <c r="J104" s="34">
        <f>IFERROR(__xludf.DUMMYFUNCTION("GOOGLEFINANCE(A104,""high52"")"),204.62)</f>
        <v>204.62</v>
      </c>
    </row>
    <row r="105">
      <c r="A105" s="30" t="str">
        <f>'6image_RS_benchmark_performance'!A105</f>
        <v>CCL</v>
      </c>
      <c r="B105" s="31">
        <f>IFERROR(__xludf.DUMMYFUNCTION("GOOGLEFINANCE(A105,""price"")"),21.19)</f>
        <v>21.19</v>
      </c>
      <c r="C105" s="31">
        <f>IFERROR(__xludf.DUMMYFUNCTION("GOOGLEFINANCE(A105,""high"")"),21.38)</f>
        <v>21.38</v>
      </c>
      <c r="D105" s="31">
        <f>IFERROR(__xludf.DUMMYFUNCTION("GOOGLEFINANCE(A105,""low"")"),19.62)</f>
        <v>19.62</v>
      </c>
      <c r="E105" s="31">
        <f>IFERROR(__xludf.DUMMYFUNCTION("GOOGLEFINANCE(A105,""change"")"),1.47)</f>
        <v>1.47</v>
      </c>
      <c r="F105" s="32">
        <f>IFERROR(__xludf.DUMMYFUNCTION("GOOGLEFINANCE(A105,""changepct"")/100"),0.0745)</f>
        <v>0.0745</v>
      </c>
      <c r="G105" s="33">
        <f>IFERROR(__xludf.DUMMYFUNCTION("GOOGLEFINANCE(A105,""priceopen"")"),19.92)</f>
        <v>19.92</v>
      </c>
      <c r="H105" s="34">
        <f>IFERROR(__xludf.DUMMYFUNCTION("GOOGLEFINANCE(A105,""closeyest"")"),19.72)</f>
        <v>19.72</v>
      </c>
      <c r="I105" s="34">
        <f>IFERROR(__xludf.DUMMYFUNCTION("GOOGLEFINANCE(A105,""low52"")"),12.11)</f>
        <v>12.11</v>
      </c>
      <c r="J105" s="34">
        <f>IFERROR(__xludf.DUMMYFUNCTION("GOOGLEFINANCE(A105,""high52"")"),31.52)</f>
        <v>31.52</v>
      </c>
    </row>
    <row r="106">
      <c r="A106" s="30" t="str">
        <f>'6image_RS_benchmark_performance'!A106</f>
        <v>CDNS</v>
      </c>
      <c r="B106" s="31">
        <f>IFERROR(__xludf.DUMMYFUNCTION("GOOGLEFINANCE(A106,""price"")"),139.79)</f>
        <v>139.79</v>
      </c>
      <c r="C106" s="31">
        <f>IFERROR(__xludf.DUMMYFUNCTION("GOOGLEFINANCE(A106,""high"")"),140.78)</f>
        <v>140.78</v>
      </c>
      <c r="D106" s="31">
        <f>IFERROR(__xludf.DUMMYFUNCTION("GOOGLEFINANCE(A106,""low"")"),136.33)</f>
        <v>136.33</v>
      </c>
      <c r="E106" s="31">
        <f>IFERROR(__xludf.DUMMYFUNCTION("GOOGLEFINANCE(A106,""change"")"),2.07)</f>
        <v>2.07</v>
      </c>
      <c r="F106" s="32">
        <f>IFERROR(__xludf.DUMMYFUNCTION("GOOGLEFINANCE(A106,""changepct"")/100"),0.015)</f>
        <v>0.015</v>
      </c>
      <c r="G106" s="33">
        <f>IFERROR(__xludf.DUMMYFUNCTION("GOOGLEFINANCE(A106,""priceopen"")"),137.97)</f>
        <v>137.97</v>
      </c>
      <c r="H106" s="34">
        <f>IFERROR(__xludf.DUMMYFUNCTION("GOOGLEFINANCE(A106,""closeyest"")"),137.72)</f>
        <v>137.72</v>
      </c>
      <c r="I106" s="34">
        <f>IFERROR(__xludf.DUMMYFUNCTION("GOOGLEFINANCE(A106,""low52"")"),97.45)</f>
        <v>97.45</v>
      </c>
      <c r="J106" s="34">
        <f>IFERROR(__xludf.DUMMYFUNCTION("GOOGLEFINANCE(A106,""high52"")"),149.08)</f>
        <v>149.08</v>
      </c>
    </row>
    <row r="107">
      <c r="A107" s="30" t="str">
        <f>'6image_RS_benchmark_performance'!A107</f>
        <v>CDW</v>
      </c>
      <c r="B107" s="31">
        <f>IFERROR(__xludf.DUMMYFUNCTION("GOOGLEFINANCE(A107,""price"")"),176.24)</f>
        <v>176.24</v>
      </c>
      <c r="C107" s="31">
        <f>IFERROR(__xludf.DUMMYFUNCTION("GOOGLEFINANCE(A107,""high"")"),177.76)</f>
        <v>177.76</v>
      </c>
      <c r="D107" s="31">
        <f>IFERROR(__xludf.DUMMYFUNCTION("GOOGLEFINANCE(A107,""low"")"),172.59)</f>
        <v>172.59</v>
      </c>
      <c r="E107" s="31">
        <f>IFERROR(__xludf.DUMMYFUNCTION("GOOGLEFINANCE(A107,""change"")"),3.81)</f>
        <v>3.81</v>
      </c>
      <c r="F107" s="32">
        <f>IFERROR(__xludf.DUMMYFUNCTION("GOOGLEFINANCE(A107,""changepct"")/100"),0.022099999999999998)</f>
        <v>0.0221</v>
      </c>
      <c r="G107" s="33">
        <f>IFERROR(__xludf.DUMMYFUNCTION("GOOGLEFINANCE(A107,""priceopen"")"),173.32)</f>
        <v>173.32</v>
      </c>
      <c r="H107" s="34">
        <f>IFERROR(__xludf.DUMMYFUNCTION("GOOGLEFINANCE(A107,""closeyest"")"),172.43)</f>
        <v>172.43</v>
      </c>
      <c r="I107" s="34">
        <f>IFERROR(__xludf.DUMMYFUNCTION("GOOGLEFINANCE(A107,""low52"")"),105.87)</f>
        <v>105.87</v>
      </c>
      <c r="J107" s="34">
        <f>IFERROR(__xludf.DUMMYFUNCTION("GOOGLEFINANCE(A107,""high52"")"),184.58)</f>
        <v>184.58</v>
      </c>
    </row>
    <row r="108">
      <c r="A108" s="30" t="str">
        <f>'6image_RS_benchmark_performance'!A108</f>
        <v>CE</v>
      </c>
      <c r="B108" s="31">
        <f>IFERROR(__xludf.DUMMYFUNCTION("GOOGLEFINANCE(A108,""price"")"),151.0)</f>
        <v>151</v>
      </c>
      <c r="C108" s="31">
        <f>IFERROR(__xludf.DUMMYFUNCTION("GOOGLEFINANCE(A108,""high"")"),151.06)</f>
        <v>151.06</v>
      </c>
      <c r="D108" s="31">
        <f>IFERROR(__xludf.DUMMYFUNCTION("GOOGLEFINANCE(A108,""low"")"),145.6)</f>
        <v>145.6</v>
      </c>
      <c r="E108" s="31">
        <f>IFERROR(__xludf.DUMMYFUNCTION("GOOGLEFINANCE(A108,""change"")"),3.38)</f>
        <v>3.38</v>
      </c>
      <c r="F108" s="32">
        <f>IFERROR(__xludf.DUMMYFUNCTION("GOOGLEFINANCE(A108,""changepct"")/100"),0.0229)</f>
        <v>0.0229</v>
      </c>
      <c r="G108" s="33">
        <f>IFERROR(__xludf.DUMMYFUNCTION("GOOGLEFINANCE(A108,""priceopen"")"),146.97)</f>
        <v>146.97</v>
      </c>
      <c r="H108" s="34">
        <f>IFERROR(__xludf.DUMMYFUNCTION("GOOGLEFINANCE(A108,""closeyest"")"),147.62)</f>
        <v>147.62</v>
      </c>
      <c r="I108" s="34">
        <f>IFERROR(__xludf.DUMMYFUNCTION("GOOGLEFINANCE(A108,""low52"")"),91.13)</f>
        <v>91.13</v>
      </c>
      <c r="J108" s="34">
        <f>IFERROR(__xludf.DUMMYFUNCTION("GOOGLEFINANCE(A108,""high52"")"),171.0)</f>
        <v>171</v>
      </c>
    </row>
    <row r="109">
      <c r="A109" s="30" t="str">
        <f>'6image_RS_benchmark_performance'!A109</f>
        <v>CERN</v>
      </c>
      <c r="B109" s="31">
        <f>IFERROR(__xludf.DUMMYFUNCTION("GOOGLEFINANCE(A109,""price"")"),77.81)</f>
        <v>77.81</v>
      </c>
      <c r="C109" s="31">
        <f>IFERROR(__xludf.DUMMYFUNCTION("GOOGLEFINANCE(A109,""high"")"),78.71)</f>
        <v>78.71</v>
      </c>
      <c r="D109" s="31">
        <f>IFERROR(__xludf.DUMMYFUNCTION("GOOGLEFINANCE(A109,""low"")"),76.85)</f>
        <v>76.85</v>
      </c>
      <c r="E109" s="31">
        <f>IFERROR(__xludf.DUMMYFUNCTION("GOOGLEFINANCE(A109,""change"")"),1.09)</f>
        <v>1.09</v>
      </c>
      <c r="F109" s="32">
        <f>IFERROR(__xludf.DUMMYFUNCTION("GOOGLEFINANCE(A109,""changepct"")/100"),0.014199999999999999)</f>
        <v>0.0142</v>
      </c>
      <c r="G109" s="33">
        <f>IFERROR(__xludf.DUMMYFUNCTION("GOOGLEFINANCE(A109,""priceopen"")"),76.89)</f>
        <v>76.89</v>
      </c>
      <c r="H109" s="34">
        <f>IFERROR(__xludf.DUMMYFUNCTION("GOOGLEFINANCE(A109,""closeyest"")"),76.72)</f>
        <v>76.72</v>
      </c>
      <c r="I109" s="34">
        <f>IFERROR(__xludf.DUMMYFUNCTION("GOOGLEFINANCE(A109,""low52"")"),66.75)</f>
        <v>66.75</v>
      </c>
      <c r="J109" s="34">
        <f>IFERROR(__xludf.DUMMYFUNCTION("GOOGLEFINANCE(A109,""high52"")"),84.2)</f>
        <v>84.2</v>
      </c>
    </row>
    <row r="110">
      <c r="A110" s="30" t="str">
        <f>'6image_RS_benchmark_performance'!A110</f>
        <v>CF</v>
      </c>
      <c r="B110" s="31">
        <f>IFERROR(__xludf.DUMMYFUNCTION("GOOGLEFINANCE(A110,""price"")"),46.95)</f>
        <v>46.95</v>
      </c>
      <c r="C110" s="31">
        <f>IFERROR(__xludf.DUMMYFUNCTION("GOOGLEFINANCE(A110,""high"")"),47.54)</f>
        <v>47.54</v>
      </c>
      <c r="D110" s="31">
        <f>IFERROR(__xludf.DUMMYFUNCTION("GOOGLEFINANCE(A110,""low"")"),45.75)</f>
        <v>45.75</v>
      </c>
      <c r="E110" s="31">
        <f>IFERROR(__xludf.DUMMYFUNCTION("GOOGLEFINANCE(A110,""change"")"),0.98)</f>
        <v>0.98</v>
      </c>
      <c r="F110" s="32">
        <f>IFERROR(__xludf.DUMMYFUNCTION("GOOGLEFINANCE(A110,""changepct"")/100"),0.0213)</f>
        <v>0.0213</v>
      </c>
      <c r="G110" s="33">
        <f>IFERROR(__xludf.DUMMYFUNCTION("GOOGLEFINANCE(A110,""priceopen"")"),46.18)</f>
        <v>46.18</v>
      </c>
      <c r="H110" s="34">
        <f>IFERROR(__xludf.DUMMYFUNCTION("GOOGLEFINANCE(A110,""closeyest"")"),45.97)</f>
        <v>45.97</v>
      </c>
      <c r="I110" s="34">
        <f>IFERROR(__xludf.DUMMYFUNCTION("GOOGLEFINANCE(A110,""low52"")"),25.3)</f>
        <v>25.3</v>
      </c>
      <c r="J110" s="34">
        <f>IFERROR(__xludf.DUMMYFUNCTION("GOOGLEFINANCE(A110,""high52"")"),57.19)</f>
        <v>57.19</v>
      </c>
    </row>
    <row r="111">
      <c r="A111" s="30" t="str">
        <f>'6image_RS_benchmark_performance'!A111</f>
        <v>CFG</v>
      </c>
      <c r="B111" s="31">
        <f>IFERROR(__xludf.DUMMYFUNCTION("GOOGLEFINANCE(A111,""price"")"),42.67)</f>
        <v>42.67</v>
      </c>
      <c r="C111" s="31">
        <f>IFERROR(__xludf.DUMMYFUNCTION("GOOGLEFINANCE(A111,""high"")"),43.1)</f>
        <v>43.1</v>
      </c>
      <c r="D111" s="31">
        <f>IFERROR(__xludf.DUMMYFUNCTION("GOOGLEFINANCE(A111,""low"")"),39.56)</f>
        <v>39.56</v>
      </c>
      <c r="E111" s="31">
        <f>IFERROR(__xludf.DUMMYFUNCTION("GOOGLEFINANCE(A111,""change"")"),1.47)</f>
        <v>1.47</v>
      </c>
      <c r="F111" s="32">
        <f>IFERROR(__xludf.DUMMYFUNCTION("GOOGLEFINANCE(A111,""changepct"")/100"),0.035699999999999996)</f>
        <v>0.0357</v>
      </c>
      <c r="G111" s="33">
        <f>IFERROR(__xludf.DUMMYFUNCTION("GOOGLEFINANCE(A111,""priceopen"")"),39.56)</f>
        <v>39.56</v>
      </c>
      <c r="H111" s="34">
        <f>IFERROR(__xludf.DUMMYFUNCTION("GOOGLEFINANCE(A111,""closeyest"")"),41.2)</f>
        <v>41.2</v>
      </c>
      <c r="I111" s="34">
        <f>IFERROR(__xludf.DUMMYFUNCTION("GOOGLEFINANCE(A111,""low52"")"),23.46)</f>
        <v>23.46</v>
      </c>
      <c r="J111" s="34">
        <f>IFERROR(__xludf.DUMMYFUNCTION("GOOGLEFINANCE(A111,""high52"")"),51.14)</f>
        <v>51.14</v>
      </c>
    </row>
    <row r="112">
      <c r="A112" s="30" t="str">
        <f>'6image_RS_benchmark_performance'!A112</f>
        <v>CHD</v>
      </c>
      <c r="B112" s="31">
        <f>IFERROR(__xludf.DUMMYFUNCTION("GOOGLEFINANCE(A112,""price"")"),86.99)</f>
        <v>86.99</v>
      </c>
      <c r="C112" s="31">
        <f>IFERROR(__xludf.DUMMYFUNCTION("GOOGLEFINANCE(A112,""high"")"),88.69)</f>
        <v>88.69</v>
      </c>
      <c r="D112" s="31">
        <f>IFERROR(__xludf.DUMMYFUNCTION("GOOGLEFINANCE(A112,""low"")"),86.96)</f>
        <v>86.96</v>
      </c>
      <c r="E112" s="31">
        <f>IFERROR(__xludf.DUMMYFUNCTION("GOOGLEFINANCE(A112,""change"")"),-0.52)</f>
        <v>-0.52</v>
      </c>
      <c r="F112" s="32">
        <f>IFERROR(__xludf.DUMMYFUNCTION("GOOGLEFINANCE(A112,""changepct"")/100"),-0.0059)</f>
        <v>-0.0059</v>
      </c>
      <c r="G112" s="33">
        <f>IFERROR(__xludf.DUMMYFUNCTION("GOOGLEFINANCE(A112,""priceopen"")"),87.49)</f>
        <v>87.49</v>
      </c>
      <c r="H112" s="34">
        <f>IFERROR(__xludf.DUMMYFUNCTION("GOOGLEFINANCE(A112,""closeyest"")"),87.51)</f>
        <v>87.51</v>
      </c>
      <c r="I112" s="34">
        <f>IFERROR(__xludf.DUMMYFUNCTION("GOOGLEFINANCE(A112,""low52"")"),77.62)</f>
        <v>77.62</v>
      </c>
      <c r="J112" s="34">
        <f>IFERROR(__xludf.DUMMYFUNCTION("GOOGLEFINANCE(A112,""high52"")"),98.96)</f>
        <v>98.96</v>
      </c>
    </row>
    <row r="113">
      <c r="A113" s="30" t="str">
        <f>'6image_RS_benchmark_performance'!A113</f>
        <v>CHKP</v>
      </c>
      <c r="B113" s="31">
        <f>IFERROR(__xludf.DUMMYFUNCTION("GOOGLEFINANCE(A113,""price"")"),121.82)</f>
        <v>121.82</v>
      </c>
      <c r="C113" s="31">
        <f>IFERROR(__xludf.DUMMYFUNCTION("GOOGLEFINANCE(A113,""high"")"),122.7)</f>
        <v>122.7</v>
      </c>
      <c r="D113" s="31">
        <f>IFERROR(__xludf.DUMMYFUNCTION("GOOGLEFINANCE(A113,""low"")"),120.37)</f>
        <v>120.37</v>
      </c>
      <c r="E113" s="31">
        <f>IFERROR(__xludf.DUMMYFUNCTION("GOOGLEFINANCE(A113,""change"")"),0.94)</f>
        <v>0.94</v>
      </c>
      <c r="F113" s="32">
        <f>IFERROR(__xludf.DUMMYFUNCTION("GOOGLEFINANCE(A113,""changepct"")/100"),0.0078000000000000005)</f>
        <v>0.0078</v>
      </c>
      <c r="G113" s="33">
        <f>IFERROR(__xludf.DUMMYFUNCTION("GOOGLEFINANCE(A113,""priceopen"")"),120.37)</f>
        <v>120.37</v>
      </c>
      <c r="H113" s="34">
        <f>IFERROR(__xludf.DUMMYFUNCTION("GOOGLEFINANCE(A113,""closeyest"")"),120.88)</f>
        <v>120.88</v>
      </c>
      <c r="I113" s="34">
        <f>IFERROR(__xludf.DUMMYFUNCTION("GOOGLEFINANCE(A113,""low52"")"),109.07)</f>
        <v>109.07</v>
      </c>
      <c r="J113" s="34">
        <f>IFERROR(__xludf.DUMMYFUNCTION("GOOGLEFINANCE(A113,""high52"")"),139.26)</f>
        <v>139.26</v>
      </c>
    </row>
    <row r="114">
      <c r="A114" s="30" t="str">
        <f>'6image_RS_benchmark_performance'!A114</f>
        <v>CHRW</v>
      </c>
      <c r="B114" s="31">
        <f>IFERROR(__xludf.DUMMYFUNCTION("GOOGLEFINANCE(A114,""price"")"),93.11)</f>
        <v>93.11</v>
      </c>
      <c r="C114" s="31">
        <f>IFERROR(__xludf.DUMMYFUNCTION("GOOGLEFINANCE(A114,""high"")"),94.42)</f>
        <v>94.42</v>
      </c>
      <c r="D114" s="31">
        <f>IFERROR(__xludf.DUMMYFUNCTION("GOOGLEFINANCE(A114,""low"")"),92.86)</f>
        <v>92.86</v>
      </c>
      <c r="E114" s="31">
        <f>IFERROR(__xludf.DUMMYFUNCTION("GOOGLEFINANCE(A114,""change"")"),-0.02)</f>
        <v>-0.02</v>
      </c>
      <c r="F114" s="32">
        <f>IFERROR(__xludf.DUMMYFUNCTION("GOOGLEFINANCE(A114,""changepct"")/100"),-2.0E-4)</f>
        <v>-0.0002</v>
      </c>
      <c r="G114" s="33">
        <f>IFERROR(__xludf.DUMMYFUNCTION("GOOGLEFINANCE(A114,""priceopen"")"),93.37)</f>
        <v>93.37</v>
      </c>
      <c r="H114" s="34">
        <f>IFERROR(__xludf.DUMMYFUNCTION("GOOGLEFINANCE(A114,""closeyest"")"),93.13)</f>
        <v>93.13</v>
      </c>
      <c r="I114" s="34">
        <f>IFERROR(__xludf.DUMMYFUNCTION("GOOGLEFINANCE(A114,""low52"")"),84.72)</f>
        <v>84.72</v>
      </c>
      <c r="J114" s="34">
        <f>IFERROR(__xludf.DUMMYFUNCTION("GOOGLEFINANCE(A114,""high52"")"),106.75)</f>
        <v>106.75</v>
      </c>
    </row>
    <row r="115">
      <c r="A115" s="30" t="str">
        <f>'6image_RS_benchmark_performance'!A115</f>
        <v>CHTR</v>
      </c>
      <c r="B115" s="31">
        <f>IFERROR(__xludf.DUMMYFUNCTION("GOOGLEFINANCE(A115,""price"")"),718.76)</f>
        <v>718.76</v>
      </c>
      <c r="C115" s="31">
        <f>IFERROR(__xludf.DUMMYFUNCTION("GOOGLEFINANCE(A115,""high"")"),726.63)</f>
        <v>726.63</v>
      </c>
      <c r="D115" s="31">
        <f>IFERROR(__xludf.DUMMYFUNCTION("GOOGLEFINANCE(A115,""low"")"),712.4)</f>
        <v>712.4</v>
      </c>
      <c r="E115" s="31">
        <f>IFERROR(__xludf.DUMMYFUNCTION("GOOGLEFINANCE(A115,""change"")"),7.29)</f>
        <v>7.29</v>
      </c>
      <c r="F115" s="32">
        <f>IFERROR(__xludf.DUMMYFUNCTION("GOOGLEFINANCE(A115,""changepct"")/100"),0.0102)</f>
        <v>0.0102</v>
      </c>
      <c r="G115" s="33">
        <f>IFERROR(__xludf.DUMMYFUNCTION("GOOGLEFINANCE(A115,""priceopen"")"),715.94)</f>
        <v>715.94</v>
      </c>
      <c r="H115" s="34">
        <f>IFERROR(__xludf.DUMMYFUNCTION("GOOGLEFINANCE(A115,""closeyest"")"),711.47)</f>
        <v>711.47</v>
      </c>
      <c r="I115" s="34">
        <f>IFERROR(__xludf.DUMMYFUNCTION("GOOGLEFINANCE(A115,""low52"")"),554.26)</f>
        <v>554.26</v>
      </c>
      <c r="J115" s="34">
        <f>IFERROR(__xludf.DUMMYFUNCTION("GOOGLEFINANCE(A115,""high52"")"),749.31)</f>
        <v>749.31</v>
      </c>
    </row>
    <row r="116">
      <c r="A116" s="30" t="str">
        <f>'6image_RS_benchmark_performance'!A116</f>
        <v>CHWY</v>
      </c>
      <c r="B116" s="31">
        <f>IFERROR(__xludf.DUMMYFUNCTION("GOOGLEFINANCE(A116,""price"")"),82.7)</f>
        <v>82.7</v>
      </c>
      <c r="C116" s="31">
        <f>IFERROR(__xludf.DUMMYFUNCTION("GOOGLEFINANCE(A116,""high"")"),83.16)</f>
        <v>83.16</v>
      </c>
      <c r="D116" s="31">
        <f>IFERROR(__xludf.DUMMYFUNCTION("GOOGLEFINANCE(A116,""low"")"),81.03)</f>
        <v>81.03</v>
      </c>
      <c r="E116" s="31">
        <f>IFERROR(__xludf.DUMMYFUNCTION("GOOGLEFINANCE(A116,""change"")"),0.46)</f>
        <v>0.46</v>
      </c>
      <c r="F116" s="32">
        <f>IFERROR(__xludf.DUMMYFUNCTION("GOOGLEFINANCE(A116,""changepct"")/100"),0.005600000000000001)</f>
        <v>0.0056</v>
      </c>
      <c r="G116" s="33">
        <f>IFERROR(__xludf.DUMMYFUNCTION("GOOGLEFINANCE(A116,""priceopen"")"),82.31)</f>
        <v>82.31</v>
      </c>
      <c r="H116" s="34">
        <f>IFERROR(__xludf.DUMMYFUNCTION("GOOGLEFINANCE(A116,""closeyest"")"),82.24)</f>
        <v>82.24</v>
      </c>
      <c r="I116" s="34">
        <f>IFERROR(__xludf.DUMMYFUNCTION("GOOGLEFINANCE(A116,""low52"")"),45.25)</f>
        <v>45.25</v>
      </c>
      <c r="J116" s="34">
        <f>IFERROR(__xludf.DUMMYFUNCTION("GOOGLEFINANCE(A116,""high52"")"),120.0)</f>
        <v>120</v>
      </c>
    </row>
    <row r="117">
      <c r="A117" s="30" t="str">
        <f>'6image_RS_benchmark_performance'!A117</f>
        <v>CI</v>
      </c>
      <c r="B117" s="31">
        <f>IFERROR(__xludf.DUMMYFUNCTION("GOOGLEFINANCE(A117,""price"")"),232.02)</f>
        <v>232.02</v>
      </c>
      <c r="C117" s="31">
        <f>IFERROR(__xludf.DUMMYFUNCTION("GOOGLEFINANCE(A117,""high"")"),233.2)</f>
        <v>233.2</v>
      </c>
      <c r="D117" s="31">
        <f>IFERROR(__xludf.DUMMYFUNCTION("GOOGLEFINANCE(A117,""low"")"),228.23)</f>
        <v>228.23</v>
      </c>
      <c r="E117" s="31">
        <f>IFERROR(__xludf.DUMMYFUNCTION("GOOGLEFINANCE(A117,""change"")"),4.39)</f>
        <v>4.39</v>
      </c>
      <c r="F117" s="32">
        <f>IFERROR(__xludf.DUMMYFUNCTION("GOOGLEFINANCE(A117,""changepct"")/100"),0.019299999999999998)</f>
        <v>0.0193</v>
      </c>
      <c r="G117" s="33">
        <f>IFERROR(__xludf.DUMMYFUNCTION("GOOGLEFINANCE(A117,""priceopen"")"),228.79)</f>
        <v>228.79</v>
      </c>
      <c r="H117" s="34">
        <f>IFERROR(__xludf.DUMMYFUNCTION("GOOGLEFINANCE(A117,""closeyest"")"),227.63)</f>
        <v>227.63</v>
      </c>
      <c r="I117" s="34">
        <f>IFERROR(__xludf.DUMMYFUNCTION("GOOGLEFINANCE(A117,""low52"")"),158.84)</f>
        <v>158.84</v>
      </c>
      <c r="J117" s="34">
        <f>IFERROR(__xludf.DUMMYFUNCTION("GOOGLEFINANCE(A117,""high52"")"),272.81)</f>
        <v>272.81</v>
      </c>
    </row>
    <row r="118">
      <c r="A118" s="30" t="str">
        <f>'6image_RS_benchmark_performance'!A118</f>
        <v>CINF</v>
      </c>
      <c r="B118" s="31">
        <f>IFERROR(__xludf.DUMMYFUNCTION("GOOGLEFINANCE(A118,""price"")"),117.17)</f>
        <v>117.17</v>
      </c>
      <c r="C118" s="31">
        <f>IFERROR(__xludf.DUMMYFUNCTION("GOOGLEFINANCE(A118,""high"")"),118.13)</f>
        <v>118.13</v>
      </c>
      <c r="D118" s="31">
        <f>IFERROR(__xludf.DUMMYFUNCTION("GOOGLEFINANCE(A118,""low"")"),114.52)</f>
        <v>114.52</v>
      </c>
      <c r="E118" s="31">
        <f>IFERROR(__xludf.DUMMYFUNCTION("GOOGLEFINANCE(A118,""change"")"),3.04)</f>
        <v>3.04</v>
      </c>
      <c r="F118" s="32">
        <f>IFERROR(__xludf.DUMMYFUNCTION("GOOGLEFINANCE(A118,""changepct"")/100"),0.026600000000000002)</f>
        <v>0.0266</v>
      </c>
      <c r="G118" s="33">
        <f>IFERROR(__xludf.DUMMYFUNCTION("GOOGLEFINANCE(A118,""priceopen"")"),114.52)</f>
        <v>114.52</v>
      </c>
      <c r="H118" s="34">
        <f>IFERROR(__xludf.DUMMYFUNCTION("GOOGLEFINANCE(A118,""closeyest"")"),114.13)</f>
        <v>114.13</v>
      </c>
      <c r="I118" s="34">
        <f>IFERROR(__xludf.DUMMYFUNCTION("GOOGLEFINANCE(A118,""low52"")"),69.92)</f>
        <v>69.92</v>
      </c>
      <c r="J118" s="34">
        <f>IFERROR(__xludf.DUMMYFUNCTION("GOOGLEFINANCE(A118,""high52"")"),124.37)</f>
        <v>124.37</v>
      </c>
    </row>
    <row r="119">
      <c r="A119" s="30" t="str">
        <f>'6image_RS_benchmark_performance'!A119</f>
        <v>CL</v>
      </c>
      <c r="B119" s="31">
        <f>IFERROR(__xludf.DUMMYFUNCTION("GOOGLEFINANCE(A119,""price"")"),82.69)</f>
        <v>82.69</v>
      </c>
      <c r="C119" s="31">
        <f>IFERROR(__xludf.DUMMYFUNCTION("GOOGLEFINANCE(A119,""high"")"),84.78)</f>
        <v>84.78</v>
      </c>
      <c r="D119" s="31">
        <f>IFERROR(__xludf.DUMMYFUNCTION("GOOGLEFINANCE(A119,""low"")"),82.67)</f>
        <v>82.67</v>
      </c>
      <c r="E119" s="31">
        <f>IFERROR(__xludf.DUMMYFUNCTION("GOOGLEFINANCE(A119,""change"")"),-0.83)</f>
        <v>-0.83</v>
      </c>
      <c r="F119" s="32">
        <f>IFERROR(__xludf.DUMMYFUNCTION("GOOGLEFINANCE(A119,""changepct"")/100"),-0.009899999999999999)</f>
        <v>-0.0099</v>
      </c>
      <c r="G119" s="33">
        <f>IFERROR(__xludf.DUMMYFUNCTION("GOOGLEFINANCE(A119,""priceopen"")"),83.82)</f>
        <v>83.82</v>
      </c>
      <c r="H119" s="34">
        <f>IFERROR(__xludf.DUMMYFUNCTION("GOOGLEFINANCE(A119,""closeyest"")"),83.52)</f>
        <v>83.52</v>
      </c>
      <c r="I119" s="34">
        <f>IFERROR(__xludf.DUMMYFUNCTION("GOOGLEFINANCE(A119,""low52"")"),72.61)</f>
        <v>72.61</v>
      </c>
      <c r="J119" s="34">
        <f>IFERROR(__xludf.DUMMYFUNCTION("GOOGLEFINANCE(A119,""high52"")"),86.41)</f>
        <v>86.41</v>
      </c>
    </row>
    <row r="120">
      <c r="A120" s="30" t="str">
        <f>'6image_RS_benchmark_performance'!A120</f>
        <v>CLX</v>
      </c>
      <c r="B120" s="31">
        <f>IFERROR(__xludf.DUMMYFUNCTION("GOOGLEFINANCE(A120,""price"")"),182.39)</f>
        <v>182.39</v>
      </c>
      <c r="C120" s="31">
        <f>IFERROR(__xludf.DUMMYFUNCTION("GOOGLEFINANCE(A120,""high"")"),189.81)</f>
        <v>189.81</v>
      </c>
      <c r="D120" s="31">
        <f>IFERROR(__xludf.DUMMYFUNCTION("GOOGLEFINANCE(A120,""low"")"),182.28)</f>
        <v>182.28</v>
      </c>
      <c r="E120" s="31">
        <f>IFERROR(__xludf.DUMMYFUNCTION("GOOGLEFINANCE(A120,""change"")"),-5.35)</f>
        <v>-5.35</v>
      </c>
      <c r="F120" s="32">
        <f>IFERROR(__xludf.DUMMYFUNCTION("GOOGLEFINANCE(A120,""changepct"")/100"),-0.0285)</f>
        <v>-0.0285</v>
      </c>
      <c r="G120" s="33">
        <f>IFERROR(__xludf.DUMMYFUNCTION("GOOGLEFINANCE(A120,""priceopen"")"),187.55)</f>
        <v>187.55</v>
      </c>
      <c r="H120" s="34">
        <f>IFERROR(__xludf.DUMMYFUNCTION("GOOGLEFINANCE(A120,""closeyest"")"),187.74)</f>
        <v>187.74</v>
      </c>
      <c r="I120" s="34">
        <f>IFERROR(__xludf.DUMMYFUNCTION("GOOGLEFINANCE(A120,""low52"")"),170.5)</f>
        <v>170.5</v>
      </c>
      <c r="J120" s="34">
        <f>IFERROR(__xludf.DUMMYFUNCTION("GOOGLEFINANCE(A120,""high52"")"),239.87)</f>
        <v>239.87</v>
      </c>
    </row>
    <row r="121">
      <c r="A121" s="30" t="str">
        <f>'6image_RS_benchmark_performance'!A121</f>
        <v>CMA</v>
      </c>
      <c r="B121" s="31">
        <f>IFERROR(__xludf.DUMMYFUNCTION("GOOGLEFINANCE(A121,""price"")"),65.66)</f>
        <v>65.66</v>
      </c>
      <c r="C121" s="31">
        <f>IFERROR(__xludf.DUMMYFUNCTION("GOOGLEFINANCE(A121,""high"")"),66.9)</f>
        <v>66.9</v>
      </c>
      <c r="D121" s="31">
        <f>IFERROR(__xludf.DUMMYFUNCTION("GOOGLEFINANCE(A121,""low"")"),63.22)</f>
        <v>63.22</v>
      </c>
      <c r="E121" s="31">
        <f>IFERROR(__xludf.DUMMYFUNCTION("GOOGLEFINANCE(A121,""change"")"),2.13)</f>
        <v>2.13</v>
      </c>
      <c r="F121" s="32">
        <f>IFERROR(__xludf.DUMMYFUNCTION("GOOGLEFINANCE(A121,""changepct"")/100"),0.0335)</f>
        <v>0.0335</v>
      </c>
      <c r="G121" s="33">
        <f>IFERROR(__xludf.DUMMYFUNCTION("GOOGLEFINANCE(A121,""priceopen"")"),63.22)</f>
        <v>63.22</v>
      </c>
      <c r="H121" s="34">
        <f>IFERROR(__xludf.DUMMYFUNCTION("GOOGLEFINANCE(A121,""closeyest"")"),63.53)</f>
        <v>63.53</v>
      </c>
      <c r="I121" s="34">
        <f>IFERROR(__xludf.DUMMYFUNCTION("GOOGLEFINANCE(A121,""low52"")"),34.46)</f>
        <v>34.46</v>
      </c>
      <c r="J121" s="34">
        <f>IFERROR(__xludf.DUMMYFUNCTION("GOOGLEFINANCE(A121,""high52"")"),79.86)</f>
        <v>79.86</v>
      </c>
    </row>
    <row r="122">
      <c r="A122" s="30" t="str">
        <f>'6image_RS_benchmark_performance'!A122</f>
        <v>CMCSA</v>
      </c>
      <c r="B122" s="31">
        <f>IFERROR(__xludf.DUMMYFUNCTION("GOOGLEFINANCE(A122,""price"")"),57.08)</f>
        <v>57.08</v>
      </c>
      <c r="C122" s="31">
        <f>IFERROR(__xludf.DUMMYFUNCTION("GOOGLEFINANCE(A122,""high"")"),57.44)</f>
        <v>57.44</v>
      </c>
      <c r="D122" s="31">
        <f>IFERROR(__xludf.DUMMYFUNCTION("GOOGLEFINANCE(A122,""low"")"),56.52)</f>
        <v>56.52</v>
      </c>
      <c r="E122" s="31">
        <f>IFERROR(__xludf.DUMMYFUNCTION("GOOGLEFINANCE(A122,""change"")"),0.45)</f>
        <v>0.45</v>
      </c>
      <c r="F122" s="32">
        <f>IFERROR(__xludf.DUMMYFUNCTION("GOOGLEFINANCE(A122,""changepct"")/100"),0.0079)</f>
        <v>0.0079</v>
      </c>
      <c r="G122" s="33">
        <f>IFERROR(__xludf.DUMMYFUNCTION("GOOGLEFINANCE(A122,""priceopen"")"),56.73)</f>
        <v>56.73</v>
      </c>
      <c r="H122" s="34">
        <f>IFERROR(__xludf.DUMMYFUNCTION("GOOGLEFINANCE(A122,""closeyest"")"),56.63)</f>
        <v>56.63</v>
      </c>
      <c r="I122" s="34">
        <f>IFERROR(__xludf.DUMMYFUNCTION("GOOGLEFINANCE(A122,""low52"")"),40.97)</f>
        <v>40.97</v>
      </c>
      <c r="J122" s="34">
        <f>IFERROR(__xludf.DUMMYFUNCTION("GOOGLEFINANCE(A122,""high52"")"),59.11)</f>
        <v>59.11</v>
      </c>
    </row>
    <row r="123">
      <c r="A123" s="30" t="str">
        <f>'6image_RS_benchmark_performance'!A123</f>
        <v>CME</v>
      </c>
      <c r="B123" s="31">
        <f>IFERROR(__xludf.DUMMYFUNCTION("GOOGLEFINANCE(A123,""price"")"),208.58)</f>
        <v>208.58</v>
      </c>
      <c r="C123" s="31">
        <f>IFERROR(__xludf.DUMMYFUNCTION("GOOGLEFINANCE(A123,""high"")"),209.85)</f>
        <v>209.85</v>
      </c>
      <c r="D123" s="31">
        <f>IFERROR(__xludf.DUMMYFUNCTION("GOOGLEFINANCE(A123,""low"")"),205.77)</f>
        <v>205.77</v>
      </c>
      <c r="E123" s="31">
        <f>IFERROR(__xludf.DUMMYFUNCTION("GOOGLEFINANCE(A123,""change"")"),2.36)</f>
        <v>2.36</v>
      </c>
      <c r="F123" s="32">
        <f>IFERROR(__xludf.DUMMYFUNCTION("GOOGLEFINANCE(A123,""changepct"")/100"),0.011399999999999999)</f>
        <v>0.0114</v>
      </c>
      <c r="G123" s="33">
        <f>IFERROR(__xludf.DUMMYFUNCTION("GOOGLEFINANCE(A123,""priceopen"")"),205.77)</f>
        <v>205.77</v>
      </c>
      <c r="H123" s="34">
        <f>IFERROR(__xludf.DUMMYFUNCTION("GOOGLEFINANCE(A123,""closeyest"")"),206.22)</f>
        <v>206.22</v>
      </c>
      <c r="I123" s="34">
        <f>IFERROR(__xludf.DUMMYFUNCTION("GOOGLEFINANCE(A123,""low52"")"),146.89)</f>
        <v>146.89</v>
      </c>
      <c r="J123" s="34">
        <f>IFERROR(__xludf.DUMMYFUNCTION("GOOGLEFINANCE(A123,""high52"")"),221.82)</f>
        <v>221.82</v>
      </c>
    </row>
    <row r="124">
      <c r="A124" s="30" t="str">
        <f>'6image_RS_benchmark_performance'!A124</f>
        <v>CMG</v>
      </c>
      <c r="B124" s="31">
        <f>IFERROR(__xludf.DUMMYFUNCTION("GOOGLEFINANCE(A124,""price"")"),1574.35)</f>
        <v>1574.35</v>
      </c>
      <c r="C124" s="31">
        <f>IFERROR(__xludf.DUMMYFUNCTION("GOOGLEFINANCE(A124,""high"")"),1587.12)</f>
        <v>1587.12</v>
      </c>
      <c r="D124" s="31">
        <f>IFERROR(__xludf.DUMMYFUNCTION("GOOGLEFINANCE(A124,""low"")"),1556.71)</f>
        <v>1556.71</v>
      </c>
      <c r="E124" s="31">
        <f>IFERROR(__xludf.DUMMYFUNCTION("GOOGLEFINANCE(A124,""change"")"),23.19)</f>
        <v>23.19</v>
      </c>
      <c r="F124" s="32">
        <f>IFERROR(__xludf.DUMMYFUNCTION("GOOGLEFINANCE(A124,""changepct"")/100"),0.015)</f>
        <v>0.015</v>
      </c>
      <c r="G124" s="33">
        <f>IFERROR(__xludf.DUMMYFUNCTION("GOOGLEFINANCE(A124,""priceopen"")"),1571.26)</f>
        <v>1571.26</v>
      </c>
      <c r="H124" s="34">
        <f>IFERROR(__xludf.DUMMYFUNCTION("GOOGLEFINANCE(A124,""closeyest"")"),1551.16)</f>
        <v>1551.16</v>
      </c>
      <c r="I124" s="34">
        <f>IFERROR(__xludf.DUMMYFUNCTION("GOOGLEFINANCE(A124,""low52"")"),1094.93)</f>
        <v>1094.93</v>
      </c>
      <c r="J124" s="34">
        <f>IFERROR(__xludf.DUMMYFUNCTION("GOOGLEFINANCE(A124,""high52"")"),1626.57)</f>
        <v>1626.57</v>
      </c>
    </row>
    <row r="125">
      <c r="A125" s="30" t="str">
        <f>'6image_RS_benchmark_performance'!A125</f>
        <v>CMI</v>
      </c>
      <c r="B125" s="31">
        <f>IFERROR(__xludf.DUMMYFUNCTION("GOOGLEFINANCE(A125,""price"")"),237.94)</f>
        <v>237.94</v>
      </c>
      <c r="C125" s="31">
        <f>IFERROR(__xludf.DUMMYFUNCTION("GOOGLEFINANCE(A125,""high"")"),238.72)</f>
        <v>238.72</v>
      </c>
      <c r="D125" s="31">
        <f>IFERROR(__xludf.DUMMYFUNCTION("GOOGLEFINANCE(A125,""low"")"),232.44)</f>
        <v>232.44</v>
      </c>
      <c r="E125" s="31">
        <f>IFERROR(__xludf.DUMMYFUNCTION("GOOGLEFINANCE(A125,""change"")"),4.81)</f>
        <v>4.81</v>
      </c>
      <c r="F125" s="32">
        <f>IFERROR(__xludf.DUMMYFUNCTION("GOOGLEFINANCE(A125,""changepct"")/100"),0.0206)</f>
        <v>0.0206</v>
      </c>
      <c r="G125" s="33">
        <f>IFERROR(__xludf.DUMMYFUNCTION("GOOGLEFINANCE(A125,""priceopen"")"),234.39)</f>
        <v>234.39</v>
      </c>
      <c r="H125" s="34">
        <f>IFERROR(__xludf.DUMMYFUNCTION("GOOGLEFINANCE(A125,""closeyest"")"),233.13)</f>
        <v>233.13</v>
      </c>
      <c r="I125" s="34">
        <f>IFERROR(__xludf.DUMMYFUNCTION("GOOGLEFINANCE(A125,""low52"")"),179.16)</f>
        <v>179.16</v>
      </c>
      <c r="J125" s="34">
        <f>IFERROR(__xludf.DUMMYFUNCTION("GOOGLEFINANCE(A125,""high52"")"),277.09)</f>
        <v>277.09</v>
      </c>
    </row>
    <row r="126">
      <c r="A126" s="30" t="str">
        <f>'6image_RS_benchmark_performance'!A126</f>
        <v>CMS</v>
      </c>
      <c r="B126" s="31">
        <f>IFERROR(__xludf.DUMMYFUNCTION("GOOGLEFINANCE(A126,""price"")"),61.94)</f>
        <v>61.94</v>
      </c>
      <c r="C126" s="31">
        <f>IFERROR(__xludf.DUMMYFUNCTION("GOOGLEFINANCE(A126,""high"")"),62.65)</f>
        <v>62.65</v>
      </c>
      <c r="D126" s="31">
        <f>IFERROR(__xludf.DUMMYFUNCTION("GOOGLEFINANCE(A126,""low"")"),61.65)</f>
        <v>61.65</v>
      </c>
      <c r="E126" s="31">
        <f>IFERROR(__xludf.DUMMYFUNCTION("GOOGLEFINANCE(A126,""change"")"),0.49)</f>
        <v>0.49</v>
      </c>
      <c r="F126" s="32">
        <f>IFERROR(__xludf.DUMMYFUNCTION("GOOGLEFINANCE(A126,""changepct"")/100"),0.008)</f>
        <v>0.008</v>
      </c>
      <c r="G126" s="33">
        <f>IFERROR(__xludf.DUMMYFUNCTION("GOOGLEFINANCE(A126,""priceopen"")"),61.83)</f>
        <v>61.83</v>
      </c>
      <c r="H126" s="34">
        <f>IFERROR(__xludf.DUMMYFUNCTION("GOOGLEFINANCE(A126,""closeyest"")"),61.45)</f>
        <v>61.45</v>
      </c>
      <c r="I126" s="34">
        <f>IFERROR(__xludf.DUMMYFUNCTION("GOOGLEFINANCE(A126,""low52"")"),53.19)</f>
        <v>53.19</v>
      </c>
      <c r="J126" s="34">
        <f>IFERROR(__xludf.DUMMYFUNCTION("GOOGLEFINANCE(A126,""high52"")"),67.98)</f>
        <v>67.98</v>
      </c>
    </row>
    <row r="127">
      <c r="A127" s="30" t="str">
        <f>'6image_RS_benchmark_performance'!A127</f>
        <v>CNC</v>
      </c>
      <c r="B127" s="31">
        <f>IFERROR(__xludf.DUMMYFUNCTION("GOOGLEFINANCE(A127,""price"")"),71.67)</f>
        <v>71.67</v>
      </c>
      <c r="C127" s="31">
        <f>IFERROR(__xludf.DUMMYFUNCTION("GOOGLEFINANCE(A127,""high"")"),72.97)</f>
        <v>72.97</v>
      </c>
      <c r="D127" s="31">
        <f>IFERROR(__xludf.DUMMYFUNCTION("GOOGLEFINANCE(A127,""low"")"),71.39)</f>
        <v>71.39</v>
      </c>
      <c r="E127" s="31">
        <f>IFERROR(__xludf.DUMMYFUNCTION("GOOGLEFINANCE(A127,""change"")"),0.3)</f>
        <v>0.3</v>
      </c>
      <c r="F127" s="32">
        <f>IFERROR(__xludf.DUMMYFUNCTION("GOOGLEFINANCE(A127,""changepct"")/100"),0.0042)</f>
        <v>0.0042</v>
      </c>
      <c r="G127" s="33">
        <f>IFERROR(__xludf.DUMMYFUNCTION("GOOGLEFINANCE(A127,""priceopen"")"),71.76)</f>
        <v>71.76</v>
      </c>
      <c r="H127" s="34">
        <f>IFERROR(__xludf.DUMMYFUNCTION("GOOGLEFINANCE(A127,""closeyest"")"),71.37)</f>
        <v>71.37</v>
      </c>
      <c r="I127" s="34">
        <f>IFERROR(__xludf.DUMMYFUNCTION("GOOGLEFINANCE(A127,""low52"")"),53.6)</f>
        <v>53.6</v>
      </c>
      <c r="J127" s="34">
        <f>IFERROR(__xludf.DUMMYFUNCTION("GOOGLEFINANCE(A127,""high52"")"),75.59)</f>
        <v>75.59</v>
      </c>
    </row>
    <row r="128">
      <c r="A128" s="30" t="str">
        <f>'6image_RS_benchmark_performance'!A128</f>
        <v>CNP</v>
      </c>
      <c r="B128" s="31">
        <f>IFERROR(__xludf.DUMMYFUNCTION("GOOGLEFINANCE(A128,""price"")"),25.24)</f>
        <v>25.24</v>
      </c>
      <c r="C128" s="31">
        <f>IFERROR(__xludf.DUMMYFUNCTION("GOOGLEFINANCE(A128,""high"")"),25.29)</f>
        <v>25.29</v>
      </c>
      <c r="D128" s="31">
        <f>IFERROR(__xludf.DUMMYFUNCTION("GOOGLEFINANCE(A128,""low"")"),24.85)</f>
        <v>24.85</v>
      </c>
      <c r="E128" s="31">
        <f>IFERROR(__xludf.DUMMYFUNCTION("GOOGLEFINANCE(A128,""change"")"),0.37)</f>
        <v>0.37</v>
      </c>
      <c r="F128" s="32">
        <f>IFERROR(__xludf.DUMMYFUNCTION("GOOGLEFINANCE(A128,""changepct"")/100"),0.0149)</f>
        <v>0.0149</v>
      </c>
      <c r="G128" s="33">
        <f>IFERROR(__xludf.DUMMYFUNCTION("GOOGLEFINANCE(A128,""priceopen"")"),24.92)</f>
        <v>24.92</v>
      </c>
      <c r="H128" s="34">
        <f>IFERROR(__xludf.DUMMYFUNCTION("GOOGLEFINANCE(A128,""closeyest"")"),24.87)</f>
        <v>24.87</v>
      </c>
      <c r="I128" s="34">
        <f>IFERROR(__xludf.DUMMYFUNCTION("GOOGLEFINANCE(A128,""low52"")"),18.4)</f>
        <v>18.4</v>
      </c>
      <c r="J128" s="34">
        <f>IFERROR(__xludf.DUMMYFUNCTION("GOOGLEFINANCE(A128,""high52"")"),26.18)</f>
        <v>26.18</v>
      </c>
    </row>
    <row r="129">
      <c r="A129" s="30" t="str">
        <f>'6image_RS_benchmark_performance'!A129</f>
        <v>COF</v>
      </c>
      <c r="B129" s="31">
        <f>IFERROR(__xludf.DUMMYFUNCTION("GOOGLEFINANCE(A129,""price"")"),157.98)</f>
        <v>157.98</v>
      </c>
      <c r="C129" s="31">
        <f>IFERROR(__xludf.DUMMYFUNCTION("GOOGLEFINANCE(A129,""high"")"),159.24)</f>
        <v>159.24</v>
      </c>
      <c r="D129" s="31">
        <f>IFERROR(__xludf.DUMMYFUNCTION("GOOGLEFINANCE(A129,""low"")"),152.44)</f>
        <v>152.44</v>
      </c>
      <c r="E129" s="31">
        <f>IFERROR(__xludf.DUMMYFUNCTION("GOOGLEFINANCE(A129,""change"")"),4.37)</f>
        <v>4.37</v>
      </c>
      <c r="F129" s="32">
        <f>IFERROR(__xludf.DUMMYFUNCTION("GOOGLEFINANCE(A129,""changepct"")/100"),0.028399999999999998)</f>
        <v>0.0284</v>
      </c>
      <c r="G129" s="33">
        <f>IFERROR(__xludf.DUMMYFUNCTION("GOOGLEFINANCE(A129,""priceopen"")"),152.96)</f>
        <v>152.96</v>
      </c>
      <c r="H129" s="34">
        <f>IFERROR(__xludf.DUMMYFUNCTION("GOOGLEFINANCE(A129,""closeyest"")"),153.61)</f>
        <v>153.61</v>
      </c>
      <c r="I129" s="34">
        <f>IFERROR(__xludf.DUMMYFUNCTION("GOOGLEFINANCE(A129,""low52"")"),60.3)</f>
        <v>60.3</v>
      </c>
      <c r="J129" s="34">
        <f>IFERROR(__xludf.DUMMYFUNCTION("GOOGLEFINANCE(A129,""high52"")"),168.0)</f>
        <v>168</v>
      </c>
    </row>
    <row r="130">
      <c r="A130" s="30" t="str">
        <f>'6image_RS_benchmark_performance'!A130</f>
        <v>COG</v>
      </c>
      <c r="B130" s="31">
        <f>IFERROR(__xludf.DUMMYFUNCTION("GOOGLEFINANCE(A130,""price"")"),15.54)</f>
        <v>15.54</v>
      </c>
      <c r="C130" s="31">
        <f>IFERROR(__xludf.DUMMYFUNCTION("GOOGLEFINANCE(A130,""high"")"),15.82)</f>
        <v>15.82</v>
      </c>
      <c r="D130" s="31">
        <f>IFERROR(__xludf.DUMMYFUNCTION("GOOGLEFINANCE(A130,""low"")"),15.41)</f>
        <v>15.41</v>
      </c>
      <c r="E130" s="31">
        <f>IFERROR(__xludf.DUMMYFUNCTION("GOOGLEFINANCE(A130,""change"")"),-0.1)</f>
        <v>-0.1</v>
      </c>
      <c r="F130" s="32">
        <f>IFERROR(__xludf.DUMMYFUNCTION("GOOGLEFINANCE(A130,""changepct"")/100"),-0.0064)</f>
        <v>-0.0064</v>
      </c>
      <c r="G130" s="33">
        <f>IFERROR(__xludf.DUMMYFUNCTION("GOOGLEFINANCE(A130,""priceopen"")"),15.61)</f>
        <v>15.61</v>
      </c>
      <c r="H130" s="34">
        <f>IFERROR(__xludf.DUMMYFUNCTION("GOOGLEFINANCE(A130,""closeyest"")"),15.64)</f>
        <v>15.64</v>
      </c>
      <c r="I130" s="34">
        <f>IFERROR(__xludf.DUMMYFUNCTION("GOOGLEFINANCE(A130,""low52"")"),15.28)</f>
        <v>15.28</v>
      </c>
      <c r="J130" s="34">
        <f>IFERROR(__xludf.DUMMYFUNCTION("GOOGLEFINANCE(A130,""high52"")"),21.34)</f>
        <v>21.34</v>
      </c>
    </row>
    <row r="131">
      <c r="A131" s="30" t="str">
        <f>'6image_RS_benchmark_performance'!A131</f>
        <v>COO</v>
      </c>
      <c r="B131" s="31">
        <f>IFERROR(__xludf.DUMMYFUNCTION("GOOGLEFINANCE(A131,""price"")"),402.32)</f>
        <v>402.32</v>
      </c>
      <c r="C131" s="31">
        <f>IFERROR(__xludf.DUMMYFUNCTION("GOOGLEFINANCE(A131,""high"")"),407.12)</f>
        <v>407.12</v>
      </c>
      <c r="D131" s="31">
        <f>IFERROR(__xludf.DUMMYFUNCTION("GOOGLEFINANCE(A131,""low"")"),397.46)</f>
        <v>397.46</v>
      </c>
      <c r="E131" s="31">
        <f>IFERROR(__xludf.DUMMYFUNCTION("GOOGLEFINANCE(A131,""change"")"),5.56)</f>
        <v>5.56</v>
      </c>
      <c r="F131" s="32">
        <f>IFERROR(__xludf.DUMMYFUNCTION("GOOGLEFINANCE(A131,""changepct"")/100"),0.013999999999999999)</f>
        <v>0.014</v>
      </c>
      <c r="G131" s="33">
        <f>IFERROR(__xludf.DUMMYFUNCTION("GOOGLEFINANCE(A131,""priceopen"")"),397.87)</f>
        <v>397.87</v>
      </c>
      <c r="H131" s="34">
        <f>IFERROR(__xludf.DUMMYFUNCTION("GOOGLEFINANCE(A131,""closeyest"")"),396.76)</f>
        <v>396.76</v>
      </c>
      <c r="I131" s="34">
        <f>IFERROR(__xludf.DUMMYFUNCTION("GOOGLEFINANCE(A131,""low52"")"),277.83)</f>
        <v>277.83</v>
      </c>
      <c r="J131" s="34">
        <f>IFERROR(__xludf.DUMMYFUNCTION("GOOGLEFINANCE(A131,""high52"")"),415.96)</f>
        <v>415.96</v>
      </c>
    </row>
    <row r="132">
      <c r="A132" s="30" t="str">
        <f>'6image_RS_benchmark_performance'!A132</f>
        <v>COP</v>
      </c>
      <c r="B132" s="31">
        <f>IFERROR(__xludf.DUMMYFUNCTION("GOOGLEFINANCE(A132,""price"")"),54.47)</f>
        <v>54.47</v>
      </c>
      <c r="C132" s="31">
        <f>IFERROR(__xludf.DUMMYFUNCTION("GOOGLEFINANCE(A132,""high"")"),55.25)</f>
        <v>55.25</v>
      </c>
      <c r="D132" s="31">
        <f>IFERROR(__xludf.DUMMYFUNCTION("GOOGLEFINANCE(A132,""low"")"),53.28)</f>
        <v>53.28</v>
      </c>
      <c r="E132" s="31">
        <f>IFERROR(__xludf.DUMMYFUNCTION("GOOGLEFINANCE(A132,""change"")"),0.77)</f>
        <v>0.77</v>
      </c>
      <c r="F132" s="32">
        <f>IFERROR(__xludf.DUMMYFUNCTION("GOOGLEFINANCE(A132,""changepct"")/100"),0.0143)</f>
        <v>0.0143</v>
      </c>
      <c r="G132" s="33">
        <f>IFERROR(__xludf.DUMMYFUNCTION("GOOGLEFINANCE(A132,""priceopen"")"),53.5)</f>
        <v>53.5</v>
      </c>
      <c r="H132" s="34">
        <f>IFERROR(__xludf.DUMMYFUNCTION("GOOGLEFINANCE(A132,""closeyest"")"),53.7)</f>
        <v>53.7</v>
      </c>
      <c r="I132" s="34">
        <f>IFERROR(__xludf.DUMMYFUNCTION("GOOGLEFINANCE(A132,""low52"")"),27.53)</f>
        <v>27.53</v>
      </c>
      <c r="J132" s="34">
        <f>IFERROR(__xludf.DUMMYFUNCTION("GOOGLEFINANCE(A132,""high52"")"),63.57)</f>
        <v>63.57</v>
      </c>
    </row>
    <row r="133">
      <c r="A133" s="30" t="str">
        <f>'6image_RS_benchmark_performance'!A133</f>
        <v>COST</v>
      </c>
      <c r="B133" s="31">
        <f>IFERROR(__xludf.DUMMYFUNCTION("GOOGLEFINANCE(A133,""price"")"),416.24)</f>
        <v>416.24</v>
      </c>
      <c r="C133" s="31">
        <f>IFERROR(__xludf.DUMMYFUNCTION("GOOGLEFINANCE(A133,""high"")"),418.07)</f>
        <v>418.07</v>
      </c>
      <c r="D133" s="31">
        <f>IFERROR(__xludf.DUMMYFUNCTION("GOOGLEFINANCE(A133,""low"")"),412.85)</f>
        <v>412.85</v>
      </c>
      <c r="E133" s="31">
        <f>IFERROR(__xludf.DUMMYFUNCTION("GOOGLEFINANCE(A133,""change"")"),2.09)</f>
        <v>2.09</v>
      </c>
      <c r="F133" s="32">
        <f>IFERROR(__xludf.DUMMYFUNCTION("GOOGLEFINANCE(A133,""changepct"")/100"),0.005)</f>
        <v>0.005</v>
      </c>
      <c r="G133" s="33">
        <f>IFERROR(__xludf.DUMMYFUNCTION("GOOGLEFINANCE(A133,""priceopen"")"),414.0)</f>
        <v>414</v>
      </c>
      <c r="H133" s="34">
        <f>IFERROR(__xludf.DUMMYFUNCTION("GOOGLEFINANCE(A133,""closeyest"")"),414.15)</f>
        <v>414.15</v>
      </c>
      <c r="I133" s="34">
        <f>IFERROR(__xludf.DUMMYFUNCTION("GOOGLEFINANCE(A133,""low52"")"),307.0)</f>
        <v>307</v>
      </c>
      <c r="J133" s="34">
        <f>IFERROR(__xludf.DUMMYFUNCTION("GOOGLEFINANCE(A133,""high52"")"),418.07)</f>
        <v>418.07</v>
      </c>
    </row>
    <row r="134">
      <c r="A134" s="30" t="str">
        <f>'6image_RS_benchmark_performance'!A134</f>
        <v>CPB</v>
      </c>
      <c r="B134" s="31">
        <f>IFERROR(__xludf.DUMMYFUNCTION("GOOGLEFINANCE(A134,""price"")"),45.28)</f>
        <v>45.28</v>
      </c>
      <c r="C134" s="31">
        <f>IFERROR(__xludf.DUMMYFUNCTION("GOOGLEFINANCE(A134,""high"")"),46.49)</f>
        <v>46.49</v>
      </c>
      <c r="D134" s="31">
        <f>IFERROR(__xludf.DUMMYFUNCTION("GOOGLEFINANCE(A134,""low"")"),45.21)</f>
        <v>45.21</v>
      </c>
      <c r="E134" s="31">
        <f>IFERROR(__xludf.DUMMYFUNCTION("GOOGLEFINANCE(A134,""change"")"),-0.63)</f>
        <v>-0.63</v>
      </c>
      <c r="F134" s="32">
        <f>IFERROR(__xludf.DUMMYFUNCTION("GOOGLEFINANCE(A134,""changepct"")/100"),-0.0137)</f>
        <v>-0.0137</v>
      </c>
      <c r="G134" s="33">
        <f>IFERROR(__xludf.DUMMYFUNCTION("GOOGLEFINANCE(A134,""priceopen"")"),46.11)</f>
        <v>46.11</v>
      </c>
      <c r="H134" s="34">
        <f>IFERROR(__xludf.DUMMYFUNCTION("GOOGLEFINANCE(A134,""closeyest"")"),45.91)</f>
        <v>45.91</v>
      </c>
      <c r="I134" s="34">
        <f>IFERROR(__xludf.DUMMYFUNCTION("GOOGLEFINANCE(A134,""low52"")"),43.82)</f>
        <v>43.82</v>
      </c>
      <c r="J134" s="34">
        <f>IFERROR(__xludf.DUMMYFUNCTION("GOOGLEFINANCE(A134,""high52"")"),54.08)</f>
        <v>54.08</v>
      </c>
    </row>
    <row r="135">
      <c r="A135" s="30" t="str">
        <f>'6image_RS_benchmark_performance'!A135</f>
        <v>CPRT</v>
      </c>
      <c r="B135" s="31">
        <f>IFERROR(__xludf.DUMMYFUNCTION("GOOGLEFINANCE(A135,""price"")"),143.45)</f>
        <v>143.45</v>
      </c>
      <c r="C135" s="31">
        <f>IFERROR(__xludf.DUMMYFUNCTION("GOOGLEFINANCE(A135,""high"")"),144.44)</f>
        <v>144.44</v>
      </c>
      <c r="D135" s="31">
        <f>IFERROR(__xludf.DUMMYFUNCTION("GOOGLEFINANCE(A135,""low"")"),139.9)</f>
        <v>139.9</v>
      </c>
      <c r="E135" s="31">
        <f>IFERROR(__xludf.DUMMYFUNCTION("GOOGLEFINANCE(A135,""change"")"),3.73)</f>
        <v>3.73</v>
      </c>
      <c r="F135" s="32">
        <f>IFERROR(__xludf.DUMMYFUNCTION("GOOGLEFINANCE(A135,""changepct"")/100"),0.026699999999999998)</f>
        <v>0.0267</v>
      </c>
      <c r="G135" s="33">
        <f>IFERROR(__xludf.DUMMYFUNCTION("GOOGLEFINANCE(A135,""priceopen"")"),140.26)</f>
        <v>140.26</v>
      </c>
      <c r="H135" s="34">
        <f>IFERROR(__xludf.DUMMYFUNCTION("GOOGLEFINANCE(A135,""closeyest"")"),139.72)</f>
        <v>139.72</v>
      </c>
      <c r="I135" s="34">
        <f>IFERROR(__xludf.DUMMYFUNCTION("GOOGLEFINANCE(A135,""low52"")"),84.66)</f>
        <v>84.66</v>
      </c>
      <c r="J135" s="34">
        <f>IFERROR(__xludf.DUMMYFUNCTION("GOOGLEFINANCE(A135,""high52"")"),144.44)</f>
        <v>144.44</v>
      </c>
    </row>
    <row r="136">
      <c r="A136" s="30" t="str">
        <f>'6image_RS_benchmark_performance'!A136</f>
        <v>CRL</v>
      </c>
      <c r="B136" s="31">
        <f>IFERROR(__xludf.DUMMYFUNCTION("GOOGLEFINANCE(A136,""price"")"),385.48)</f>
        <v>385.48</v>
      </c>
      <c r="C136" s="31">
        <f>IFERROR(__xludf.DUMMYFUNCTION("GOOGLEFINANCE(A136,""high"")"),386.45)</f>
        <v>386.45</v>
      </c>
      <c r="D136" s="31">
        <f>IFERROR(__xludf.DUMMYFUNCTION("GOOGLEFINANCE(A136,""low"")"),379.88)</f>
        <v>379.88</v>
      </c>
      <c r="E136" s="31">
        <f>IFERROR(__xludf.DUMMYFUNCTION("GOOGLEFINANCE(A136,""change"")"),7.18)</f>
        <v>7.18</v>
      </c>
      <c r="F136" s="32">
        <f>IFERROR(__xludf.DUMMYFUNCTION("GOOGLEFINANCE(A136,""changepct"")/100"),0.019)</f>
        <v>0.019</v>
      </c>
      <c r="G136" s="33">
        <f>IFERROR(__xludf.DUMMYFUNCTION("GOOGLEFINANCE(A136,""priceopen"")"),379.97)</f>
        <v>379.97</v>
      </c>
      <c r="H136" s="34">
        <f>IFERROR(__xludf.DUMMYFUNCTION("GOOGLEFINANCE(A136,""closeyest"")"),378.3)</f>
        <v>378.3</v>
      </c>
      <c r="I136" s="34">
        <f>IFERROR(__xludf.DUMMYFUNCTION("GOOGLEFINANCE(A136,""low52"")"),192.13)</f>
        <v>192.13</v>
      </c>
      <c r="J136" s="34">
        <f>IFERROR(__xludf.DUMMYFUNCTION("GOOGLEFINANCE(A136,""high52"")"),386.57)</f>
        <v>386.57</v>
      </c>
    </row>
    <row r="137">
      <c r="A137" s="30" t="str">
        <f>'6image_RS_benchmark_performance'!A137</f>
        <v>CRM</v>
      </c>
      <c r="B137" s="31">
        <f>IFERROR(__xludf.DUMMYFUNCTION("GOOGLEFINANCE(A137,""price"")"),240.11)</f>
        <v>240.11</v>
      </c>
      <c r="C137" s="31">
        <f>IFERROR(__xludf.DUMMYFUNCTION("GOOGLEFINANCE(A137,""high"")"),243.18)</f>
        <v>243.18</v>
      </c>
      <c r="D137" s="31">
        <f>IFERROR(__xludf.DUMMYFUNCTION("GOOGLEFINANCE(A137,""low"")"),236.27)</f>
        <v>236.27</v>
      </c>
      <c r="E137" s="31">
        <f>IFERROR(__xludf.DUMMYFUNCTION("GOOGLEFINANCE(A137,""change"")"),2.56)</f>
        <v>2.56</v>
      </c>
      <c r="F137" s="32">
        <f>IFERROR(__xludf.DUMMYFUNCTION("GOOGLEFINANCE(A137,""changepct"")/100"),0.0108)</f>
        <v>0.0108</v>
      </c>
      <c r="G137" s="33">
        <f>IFERROR(__xludf.DUMMYFUNCTION("GOOGLEFINANCE(A137,""priceopen"")"),238.7)</f>
        <v>238.7</v>
      </c>
      <c r="H137" s="34">
        <f>IFERROR(__xludf.DUMMYFUNCTION("GOOGLEFINANCE(A137,""closeyest"")"),237.55)</f>
        <v>237.55</v>
      </c>
      <c r="I137" s="34">
        <f>IFERROR(__xludf.DUMMYFUNCTION("GOOGLEFINANCE(A137,""low52"")"),184.38)</f>
        <v>184.38</v>
      </c>
      <c r="J137" s="34">
        <f>IFERROR(__xludf.DUMMYFUNCTION("GOOGLEFINANCE(A137,""high52"")"),284.5)</f>
        <v>284.5</v>
      </c>
    </row>
    <row r="138">
      <c r="A138" s="30" t="str">
        <f>'6image_RS_benchmark_performance'!A138</f>
        <v>CRSR</v>
      </c>
      <c r="B138" s="31">
        <f>IFERROR(__xludf.DUMMYFUNCTION("GOOGLEFINANCE(A138,""price"")"),29.66)</f>
        <v>29.66</v>
      </c>
      <c r="C138" s="31">
        <f>IFERROR(__xludf.DUMMYFUNCTION("GOOGLEFINANCE(A138,""high"")"),29.99)</f>
        <v>29.99</v>
      </c>
      <c r="D138" s="31">
        <f>IFERROR(__xludf.DUMMYFUNCTION("GOOGLEFINANCE(A138,""low"")"),28.48)</f>
        <v>28.48</v>
      </c>
      <c r="E138" s="31">
        <f>IFERROR(__xludf.DUMMYFUNCTION("GOOGLEFINANCE(A138,""change"")"),1.06)</f>
        <v>1.06</v>
      </c>
      <c r="F138" s="32">
        <f>IFERROR(__xludf.DUMMYFUNCTION("GOOGLEFINANCE(A138,""changepct"")/100"),0.0371)</f>
        <v>0.0371</v>
      </c>
      <c r="G138" s="33">
        <f>IFERROR(__xludf.DUMMYFUNCTION("GOOGLEFINANCE(A138,""priceopen"")"),28.93)</f>
        <v>28.93</v>
      </c>
      <c r="H138" s="34">
        <f>IFERROR(__xludf.DUMMYFUNCTION("GOOGLEFINANCE(A138,""closeyest"")"),28.6)</f>
        <v>28.6</v>
      </c>
      <c r="I138" s="34">
        <f>IFERROR(__xludf.DUMMYFUNCTION("GOOGLEFINANCE(A138,""low52"")"),14.09)</f>
        <v>14.09</v>
      </c>
      <c r="J138" s="34">
        <f>IFERROR(__xludf.DUMMYFUNCTION("GOOGLEFINANCE(A138,""high52"")"),51.37)</f>
        <v>51.37</v>
      </c>
    </row>
    <row r="139">
      <c r="A139" s="30" t="str">
        <f>'6image_RS_benchmark_performance'!A139</f>
        <v>CRWD</v>
      </c>
      <c r="B139" s="31">
        <f>IFERROR(__xludf.DUMMYFUNCTION("GOOGLEFINANCE(A139,""price"")"),252.24)</f>
        <v>252.24</v>
      </c>
      <c r="C139" s="31">
        <f>IFERROR(__xludf.DUMMYFUNCTION("GOOGLEFINANCE(A139,""high"")"),255.0)</f>
        <v>255</v>
      </c>
      <c r="D139" s="31">
        <f>IFERROR(__xludf.DUMMYFUNCTION("GOOGLEFINANCE(A139,""low"")"),245.87)</f>
        <v>245.87</v>
      </c>
      <c r="E139" s="31">
        <f>IFERROR(__xludf.DUMMYFUNCTION("GOOGLEFINANCE(A139,""change"")"),1.84)</f>
        <v>1.84</v>
      </c>
      <c r="F139" s="32">
        <f>IFERROR(__xludf.DUMMYFUNCTION("GOOGLEFINANCE(A139,""changepct"")/100"),0.0073)</f>
        <v>0.0073</v>
      </c>
      <c r="G139" s="33">
        <f>IFERROR(__xludf.DUMMYFUNCTION("GOOGLEFINANCE(A139,""priceopen"")"),254.9)</f>
        <v>254.9</v>
      </c>
      <c r="H139" s="34">
        <f>IFERROR(__xludf.DUMMYFUNCTION("GOOGLEFINANCE(A139,""closeyest"")"),250.4)</f>
        <v>250.4</v>
      </c>
      <c r="I139" s="34">
        <f>IFERROR(__xludf.DUMMYFUNCTION("GOOGLEFINANCE(A139,""low52"")"),93.37)</f>
        <v>93.37</v>
      </c>
      <c r="J139" s="34">
        <f>IFERROR(__xludf.DUMMYFUNCTION("GOOGLEFINANCE(A139,""high52"")"),269.89)</f>
        <v>269.89</v>
      </c>
    </row>
    <row r="140">
      <c r="A140" s="30" t="str">
        <f>'6image_RS_benchmark_performance'!A140</f>
        <v>CSCO</v>
      </c>
      <c r="B140" s="31">
        <f>IFERROR(__xludf.DUMMYFUNCTION("GOOGLEFINANCE(A140,""price"")"),53.58)</f>
        <v>53.58</v>
      </c>
      <c r="C140" s="31">
        <f>IFERROR(__xludf.DUMMYFUNCTION("GOOGLEFINANCE(A140,""high"")"),53.93)</f>
        <v>53.93</v>
      </c>
      <c r="D140" s="31">
        <f>IFERROR(__xludf.DUMMYFUNCTION("GOOGLEFINANCE(A140,""low"")"),53.19)</f>
        <v>53.19</v>
      </c>
      <c r="E140" s="31">
        <f>IFERROR(__xludf.DUMMYFUNCTION("GOOGLEFINANCE(A140,""change"")"),0.52)</f>
        <v>0.52</v>
      </c>
      <c r="F140" s="32">
        <f>IFERROR(__xludf.DUMMYFUNCTION("GOOGLEFINANCE(A140,""changepct"")/100"),0.0098)</f>
        <v>0.0098</v>
      </c>
      <c r="G140" s="33">
        <f>IFERROR(__xludf.DUMMYFUNCTION("GOOGLEFINANCE(A140,""priceopen"")"),53.28)</f>
        <v>53.28</v>
      </c>
      <c r="H140" s="34">
        <f>IFERROR(__xludf.DUMMYFUNCTION("GOOGLEFINANCE(A140,""closeyest"")"),53.06)</f>
        <v>53.06</v>
      </c>
      <c r="I140" s="34">
        <f>IFERROR(__xludf.DUMMYFUNCTION("GOOGLEFINANCE(A140,""low52"")"),35.28)</f>
        <v>35.28</v>
      </c>
      <c r="J140" s="34">
        <f>IFERROR(__xludf.DUMMYFUNCTION("GOOGLEFINANCE(A140,""high52"")"),55.35)</f>
        <v>55.35</v>
      </c>
    </row>
    <row r="141">
      <c r="A141" s="30" t="str">
        <f>'6image_RS_benchmark_performance'!A141</f>
        <v>CSGP</v>
      </c>
      <c r="B141" s="31">
        <f>IFERROR(__xludf.DUMMYFUNCTION("GOOGLEFINANCE(A141,""price"")"),88.1)</f>
        <v>88.1</v>
      </c>
      <c r="C141" s="31">
        <f>IFERROR(__xludf.DUMMYFUNCTION("GOOGLEFINANCE(A141,""high"")"),88.86)</f>
        <v>88.86</v>
      </c>
      <c r="D141" s="31">
        <f>IFERROR(__xludf.DUMMYFUNCTION("GOOGLEFINANCE(A141,""low"")"),86.1)</f>
        <v>86.1</v>
      </c>
      <c r="E141" s="31">
        <f>IFERROR(__xludf.DUMMYFUNCTION("GOOGLEFINANCE(A141,""change"")"),2.11)</f>
        <v>2.11</v>
      </c>
      <c r="F141" s="32">
        <f>IFERROR(__xludf.DUMMYFUNCTION("GOOGLEFINANCE(A141,""changepct"")/100"),0.0245)</f>
        <v>0.0245</v>
      </c>
      <c r="G141" s="33">
        <f>IFERROR(__xludf.DUMMYFUNCTION("GOOGLEFINANCE(A141,""priceopen"")"),86.28)</f>
        <v>86.28</v>
      </c>
      <c r="H141" s="34">
        <f>IFERROR(__xludf.DUMMYFUNCTION("GOOGLEFINANCE(A141,""closeyest"")"),85.99)</f>
        <v>85.99</v>
      </c>
      <c r="I141" s="34">
        <f>IFERROR(__xludf.DUMMYFUNCTION("GOOGLEFINANCE(A141,""low52"")"),82.07)</f>
        <v>82.07</v>
      </c>
      <c r="J141" s="34">
        <f>IFERROR(__xludf.DUMMYFUNCTION("GOOGLEFINANCE(A141,""high52"")"),952.76)</f>
        <v>952.76</v>
      </c>
    </row>
    <row r="142">
      <c r="A142" s="30" t="str">
        <f>'6image_RS_benchmark_performance'!A142</f>
        <v>CSX</v>
      </c>
      <c r="B142" s="31">
        <f>IFERROR(__xludf.DUMMYFUNCTION("GOOGLEFINANCE(A142,""price"")"),31.18)</f>
        <v>31.18</v>
      </c>
      <c r="C142" s="31">
        <f>IFERROR(__xludf.DUMMYFUNCTION("GOOGLEFINANCE(A142,""high"")"),31.43)</f>
        <v>31.43</v>
      </c>
      <c r="D142" s="31">
        <f>IFERROR(__xludf.DUMMYFUNCTION("GOOGLEFINANCE(A142,""low"")"),30.86)</f>
        <v>30.86</v>
      </c>
      <c r="E142" s="31">
        <f>IFERROR(__xludf.DUMMYFUNCTION("GOOGLEFINANCE(A142,""change"")"),0.36)</f>
        <v>0.36</v>
      </c>
      <c r="F142" s="32">
        <f>IFERROR(__xludf.DUMMYFUNCTION("GOOGLEFINANCE(A142,""changepct"")/100"),0.011699999999999999)</f>
        <v>0.0117</v>
      </c>
      <c r="G142" s="33">
        <f>IFERROR(__xludf.DUMMYFUNCTION("GOOGLEFINANCE(A142,""priceopen"")"),30.88)</f>
        <v>30.88</v>
      </c>
      <c r="H142" s="34">
        <f>IFERROR(__xludf.DUMMYFUNCTION("GOOGLEFINANCE(A142,""closeyest"")"),30.82)</f>
        <v>30.82</v>
      </c>
      <c r="I142" s="34">
        <f>IFERROR(__xludf.DUMMYFUNCTION("GOOGLEFINANCE(A142,""low52"")"),22.69)</f>
        <v>22.69</v>
      </c>
      <c r="J142" s="34">
        <f>IFERROR(__xludf.DUMMYFUNCTION("GOOGLEFINANCE(A142,""high52"")"),34.96)</f>
        <v>34.96</v>
      </c>
    </row>
    <row r="143">
      <c r="A143" s="30" t="str">
        <f>'6image_RS_benchmark_performance'!A143</f>
        <v>CTAS</v>
      </c>
      <c r="B143" s="31">
        <f>IFERROR(__xludf.DUMMYFUNCTION("GOOGLEFINANCE(A143,""price"")"),389.2)</f>
        <v>389.2</v>
      </c>
      <c r="C143" s="31">
        <f>IFERROR(__xludf.DUMMYFUNCTION("GOOGLEFINANCE(A143,""high"")"),391.1)</f>
        <v>391.1</v>
      </c>
      <c r="D143" s="31">
        <f>IFERROR(__xludf.DUMMYFUNCTION("GOOGLEFINANCE(A143,""low"")"),378.46)</f>
        <v>378.46</v>
      </c>
      <c r="E143" s="31">
        <f>IFERROR(__xludf.DUMMYFUNCTION("GOOGLEFINANCE(A143,""change"")"),10.62)</f>
        <v>10.62</v>
      </c>
      <c r="F143" s="32">
        <f>IFERROR(__xludf.DUMMYFUNCTION("GOOGLEFINANCE(A143,""changepct"")/100"),0.0281)</f>
        <v>0.0281</v>
      </c>
      <c r="G143" s="33">
        <f>IFERROR(__xludf.DUMMYFUNCTION("GOOGLEFINANCE(A143,""priceopen"")"),379.04)</f>
        <v>379.04</v>
      </c>
      <c r="H143" s="34">
        <f>IFERROR(__xludf.DUMMYFUNCTION("GOOGLEFINANCE(A143,""closeyest"")"),378.58)</f>
        <v>378.58</v>
      </c>
      <c r="I143" s="34">
        <f>IFERROR(__xludf.DUMMYFUNCTION("GOOGLEFINANCE(A143,""low52"")"),276.71)</f>
        <v>276.71</v>
      </c>
      <c r="J143" s="34">
        <f>IFERROR(__xludf.DUMMYFUNCTION("GOOGLEFINANCE(A143,""high52"")"),392.25)</f>
        <v>392.25</v>
      </c>
    </row>
    <row r="144">
      <c r="A144" s="30" t="str">
        <f>'6image_RS_benchmark_performance'!A144</f>
        <v>CTLT</v>
      </c>
      <c r="B144" s="31">
        <f>IFERROR(__xludf.DUMMYFUNCTION("GOOGLEFINANCE(A144,""price"")"),112.69)</f>
        <v>112.69</v>
      </c>
      <c r="C144" s="31">
        <f>IFERROR(__xludf.DUMMYFUNCTION("GOOGLEFINANCE(A144,""high"")"),112.94)</f>
        <v>112.94</v>
      </c>
      <c r="D144" s="31">
        <f>IFERROR(__xludf.DUMMYFUNCTION("GOOGLEFINANCE(A144,""low"")"),110.6)</f>
        <v>110.6</v>
      </c>
      <c r="E144" s="31">
        <f>IFERROR(__xludf.DUMMYFUNCTION("GOOGLEFINANCE(A144,""change"")"),1.85)</f>
        <v>1.85</v>
      </c>
      <c r="F144" s="32">
        <f>IFERROR(__xludf.DUMMYFUNCTION("GOOGLEFINANCE(A144,""changepct"")/100"),0.0167)</f>
        <v>0.0167</v>
      </c>
      <c r="G144" s="33">
        <f>IFERROR(__xludf.DUMMYFUNCTION("GOOGLEFINANCE(A144,""priceopen"")"),111.27)</f>
        <v>111.27</v>
      </c>
      <c r="H144" s="34">
        <f>IFERROR(__xludf.DUMMYFUNCTION("GOOGLEFINANCE(A144,""closeyest"")"),110.84)</f>
        <v>110.84</v>
      </c>
      <c r="I144" s="34">
        <f>IFERROR(__xludf.DUMMYFUNCTION("GOOGLEFINANCE(A144,""low52"")"),79.65)</f>
        <v>79.65</v>
      </c>
      <c r="J144" s="34">
        <f>IFERROR(__xludf.DUMMYFUNCTION("GOOGLEFINANCE(A144,""high52"")"),127.68)</f>
        <v>127.68</v>
      </c>
    </row>
    <row r="145">
      <c r="A145" s="30" t="str">
        <f>'6image_RS_benchmark_performance'!A145</f>
        <v>CTSH</v>
      </c>
      <c r="B145" s="31">
        <f>IFERROR(__xludf.DUMMYFUNCTION("GOOGLEFINANCE(A145,""price"")"),67.61)</f>
        <v>67.61</v>
      </c>
      <c r="C145" s="31">
        <f>IFERROR(__xludf.DUMMYFUNCTION("GOOGLEFINANCE(A145,""high"")"),68.02)</f>
        <v>68.02</v>
      </c>
      <c r="D145" s="31">
        <f>IFERROR(__xludf.DUMMYFUNCTION("GOOGLEFINANCE(A145,""low"")"),66.68)</f>
        <v>66.68</v>
      </c>
      <c r="E145" s="31">
        <f>IFERROR(__xludf.DUMMYFUNCTION("GOOGLEFINANCE(A145,""change"")"),1.15)</f>
        <v>1.15</v>
      </c>
      <c r="F145" s="32">
        <f>IFERROR(__xludf.DUMMYFUNCTION("GOOGLEFINANCE(A145,""changepct"")/100"),0.0173)</f>
        <v>0.0173</v>
      </c>
      <c r="G145" s="33">
        <f>IFERROR(__xludf.DUMMYFUNCTION("GOOGLEFINANCE(A145,""priceopen"")"),66.68)</f>
        <v>66.68</v>
      </c>
      <c r="H145" s="34">
        <f>IFERROR(__xludf.DUMMYFUNCTION("GOOGLEFINANCE(A145,""closeyest"")"),66.46)</f>
        <v>66.46</v>
      </c>
      <c r="I145" s="34">
        <f>IFERROR(__xludf.DUMMYFUNCTION("GOOGLEFINANCE(A145,""low52"")"),61.05)</f>
        <v>61.05</v>
      </c>
      <c r="J145" s="34">
        <f>IFERROR(__xludf.DUMMYFUNCTION("GOOGLEFINANCE(A145,""high52"")"),82.73)</f>
        <v>82.73</v>
      </c>
    </row>
    <row r="146">
      <c r="A146" s="30" t="str">
        <f>'6image_RS_benchmark_performance'!A146</f>
        <v>CTVA</v>
      </c>
      <c r="B146" s="31">
        <f>IFERROR(__xludf.DUMMYFUNCTION("GOOGLEFINANCE(A146,""price"")"),41.73)</f>
        <v>41.73</v>
      </c>
      <c r="C146" s="31">
        <f>IFERROR(__xludf.DUMMYFUNCTION("GOOGLEFINANCE(A146,""high"")"),42.02)</f>
        <v>42.02</v>
      </c>
      <c r="D146" s="31">
        <f>IFERROR(__xludf.DUMMYFUNCTION("GOOGLEFINANCE(A146,""low"")"),40.74)</f>
        <v>40.74</v>
      </c>
      <c r="E146" s="31">
        <f>IFERROR(__xludf.DUMMYFUNCTION("GOOGLEFINANCE(A146,""change"")"),0.8)</f>
        <v>0.8</v>
      </c>
      <c r="F146" s="32">
        <f>IFERROR(__xludf.DUMMYFUNCTION("GOOGLEFINANCE(A146,""changepct"")/100"),0.0195)</f>
        <v>0.0195</v>
      </c>
      <c r="G146" s="33">
        <f>IFERROR(__xludf.DUMMYFUNCTION("GOOGLEFINANCE(A146,""priceopen"")"),40.91)</f>
        <v>40.91</v>
      </c>
      <c r="H146" s="34">
        <f>IFERROR(__xludf.DUMMYFUNCTION("GOOGLEFINANCE(A146,""closeyest"")"),40.93)</f>
        <v>40.93</v>
      </c>
      <c r="I146" s="34">
        <f>IFERROR(__xludf.DUMMYFUNCTION("GOOGLEFINANCE(A146,""low52"")"),24.83)</f>
        <v>24.83</v>
      </c>
      <c r="J146" s="34">
        <f>IFERROR(__xludf.DUMMYFUNCTION("GOOGLEFINANCE(A146,""high52"")"),49.98)</f>
        <v>49.98</v>
      </c>
    </row>
    <row r="147">
      <c r="A147" s="30" t="str">
        <f>'6image_RS_benchmark_performance'!A147</f>
        <v>CTXS</v>
      </c>
      <c r="B147" s="31">
        <f>IFERROR(__xludf.DUMMYFUNCTION("GOOGLEFINANCE(A147,""price"")"),114.72)</f>
        <v>114.72</v>
      </c>
      <c r="C147" s="31">
        <f>IFERROR(__xludf.DUMMYFUNCTION("GOOGLEFINANCE(A147,""high"")"),115.72)</f>
        <v>115.72</v>
      </c>
      <c r="D147" s="31">
        <f>IFERROR(__xludf.DUMMYFUNCTION("GOOGLEFINANCE(A147,""low"")"),114.11)</f>
        <v>114.11</v>
      </c>
      <c r="E147" s="31">
        <f>IFERROR(__xludf.DUMMYFUNCTION("GOOGLEFINANCE(A147,""change"")"),0.78)</f>
        <v>0.78</v>
      </c>
      <c r="F147" s="32">
        <f>IFERROR(__xludf.DUMMYFUNCTION("GOOGLEFINANCE(A147,""changepct"")/100"),0.0068000000000000005)</f>
        <v>0.0068</v>
      </c>
      <c r="G147" s="33">
        <f>IFERROR(__xludf.DUMMYFUNCTION("GOOGLEFINANCE(A147,""priceopen"")"),114.41)</f>
        <v>114.41</v>
      </c>
      <c r="H147" s="34">
        <f>IFERROR(__xludf.DUMMYFUNCTION("GOOGLEFINANCE(A147,""closeyest"")"),113.94)</f>
        <v>113.94</v>
      </c>
      <c r="I147" s="34">
        <f>IFERROR(__xludf.DUMMYFUNCTION("GOOGLEFINANCE(A147,""low52"")"),111.26)</f>
        <v>111.26</v>
      </c>
      <c r="J147" s="34">
        <f>IFERROR(__xludf.DUMMYFUNCTION("GOOGLEFINANCE(A147,""high52"")"),173.56)</f>
        <v>173.56</v>
      </c>
    </row>
    <row r="148">
      <c r="A148" s="30" t="str">
        <f>'6image_RS_benchmark_performance'!A148</f>
        <v>CVS</v>
      </c>
      <c r="B148" s="31">
        <f>IFERROR(__xludf.DUMMYFUNCTION("GOOGLEFINANCE(A148,""price"")"),81.8)</f>
        <v>81.8</v>
      </c>
      <c r="C148" s="31">
        <f>IFERROR(__xludf.DUMMYFUNCTION("GOOGLEFINANCE(A148,""high"")"),82.89)</f>
        <v>82.89</v>
      </c>
      <c r="D148" s="31">
        <f>IFERROR(__xludf.DUMMYFUNCTION("GOOGLEFINANCE(A148,""low"")"),80.8)</f>
        <v>80.8</v>
      </c>
      <c r="E148" s="31">
        <f>IFERROR(__xludf.DUMMYFUNCTION("GOOGLEFINANCE(A148,""change"")"),1.13)</f>
        <v>1.13</v>
      </c>
      <c r="F148" s="32">
        <f>IFERROR(__xludf.DUMMYFUNCTION("GOOGLEFINANCE(A148,""changepct"")/100"),0.013999999999999999)</f>
        <v>0.014</v>
      </c>
      <c r="G148" s="33">
        <f>IFERROR(__xludf.DUMMYFUNCTION("GOOGLEFINANCE(A148,""priceopen"")"),80.89)</f>
        <v>80.89</v>
      </c>
      <c r="H148" s="34">
        <f>IFERROR(__xludf.DUMMYFUNCTION("GOOGLEFINANCE(A148,""closeyest"")"),80.67)</f>
        <v>80.67</v>
      </c>
      <c r="I148" s="34">
        <f>IFERROR(__xludf.DUMMYFUNCTION("GOOGLEFINANCE(A148,""low52"")"),55.36)</f>
        <v>55.36</v>
      </c>
      <c r="J148" s="34">
        <f>IFERROR(__xludf.DUMMYFUNCTION("GOOGLEFINANCE(A148,""high52"")"),90.61)</f>
        <v>90.61</v>
      </c>
    </row>
    <row r="149">
      <c r="A149" s="30" t="str">
        <f>'6image_RS_benchmark_performance'!A149</f>
        <v>CVX</v>
      </c>
      <c r="B149" s="31">
        <f>IFERROR(__xludf.DUMMYFUNCTION("GOOGLEFINANCE(A149,""price"")"),96.53)</f>
        <v>96.53</v>
      </c>
      <c r="C149" s="31">
        <f>IFERROR(__xludf.DUMMYFUNCTION("GOOGLEFINANCE(A149,""high"")"),98.04)</f>
        <v>98.04</v>
      </c>
      <c r="D149" s="31">
        <f>IFERROR(__xludf.DUMMYFUNCTION("GOOGLEFINANCE(A149,""low"")"),95.05)</f>
        <v>95.05</v>
      </c>
      <c r="E149" s="31">
        <f>IFERROR(__xludf.DUMMYFUNCTION("GOOGLEFINANCE(A149,""change"")"),0.57)</f>
        <v>0.57</v>
      </c>
      <c r="F149" s="32">
        <f>IFERROR(__xludf.DUMMYFUNCTION("GOOGLEFINANCE(A149,""changepct"")/100"),0.0059)</f>
        <v>0.0059</v>
      </c>
      <c r="G149" s="33">
        <f>IFERROR(__xludf.DUMMYFUNCTION("GOOGLEFINANCE(A149,""priceopen"")"),95.89)</f>
        <v>95.89</v>
      </c>
      <c r="H149" s="34">
        <f>IFERROR(__xludf.DUMMYFUNCTION("GOOGLEFINANCE(A149,""closeyest"")"),95.96)</f>
        <v>95.96</v>
      </c>
      <c r="I149" s="34">
        <f>IFERROR(__xludf.DUMMYFUNCTION("GOOGLEFINANCE(A149,""low52"")"),65.16)</f>
        <v>65.16</v>
      </c>
      <c r="J149" s="34">
        <f>IFERROR(__xludf.DUMMYFUNCTION("GOOGLEFINANCE(A149,""high52"")"),113.11)</f>
        <v>113.11</v>
      </c>
    </row>
    <row r="150">
      <c r="A150" s="30" t="str">
        <f>'6image_RS_benchmark_performance'!A150</f>
        <v>CZR</v>
      </c>
      <c r="B150" s="31">
        <f>IFERROR(__xludf.DUMMYFUNCTION("GOOGLEFINANCE(A150,""price"")"),91.3)</f>
        <v>91.3</v>
      </c>
      <c r="C150" s="31">
        <f>IFERROR(__xludf.DUMMYFUNCTION("GOOGLEFINANCE(A150,""high"")"),92.21)</f>
        <v>92.21</v>
      </c>
      <c r="D150" s="31">
        <f>IFERROR(__xludf.DUMMYFUNCTION("GOOGLEFINANCE(A150,""low"")"),86.76)</f>
        <v>86.76</v>
      </c>
      <c r="E150" s="31">
        <f>IFERROR(__xludf.DUMMYFUNCTION("GOOGLEFINANCE(A150,""change"")"),3.53)</f>
        <v>3.53</v>
      </c>
      <c r="F150" s="32">
        <f>IFERROR(__xludf.DUMMYFUNCTION("GOOGLEFINANCE(A150,""changepct"")/100"),0.04019999999999999)</f>
        <v>0.0402</v>
      </c>
      <c r="G150" s="33">
        <f>IFERROR(__xludf.DUMMYFUNCTION("GOOGLEFINANCE(A150,""priceopen"")"),88.12)</f>
        <v>88.12</v>
      </c>
      <c r="H150" s="34">
        <f>IFERROR(__xludf.DUMMYFUNCTION("GOOGLEFINANCE(A150,""closeyest"")"),87.77)</f>
        <v>87.77</v>
      </c>
      <c r="I150" s="34">
        <f>IFERROR(__xludf.DUMMYFUNCTION("GOOGLEFINANCE(A150,""low52"")"),29.06)</f>
        <v>29.06</v>
      </c>
      <c r="J150" s="34">
        <f>IFERROR(__xludf.DUMMYFUNCTION("GOOGLEFINANCE(A150,""high52"")"),113.46)</f>
        <v>113.46</v>
      </c>
    </row>
    <row r="151">
      <c r="A151" s="30" t="str">
        <f>'6image_RS_benchmark_performance'!A151</f>
        <v>D</v>
      </c>
      <c r="B151" s="31">
        <f>IFERROR(__xludf.DUMMYFUNCTION("GOOGLEFINANCE(A151,""price"")"),75.67)</f>
        <v>75.67</v>
      </c>
      <c r="C151" s="31">
        <f>IFERROR(__xludf.DUMMYFUNCTION("GOOGLEFINANCE(A151,""high"")"),76.79)</f>
        <v>76.79</v>
      </c>
      <c r="D151" s="31">
        <f>IFERROR(__xludf.DUMMYFUNCTION("GOOGLEFINANCE(A151,""low"")"),75.49)</f>
        <v>75.49</v>
      </c>
      <c r="E151" s="31">
        <f>IFERROR(__xludf.DUMMYFUNCTION("GOOGLEFINANCE(A151,""change"")"),-0.19)</f>
        <v>-0.19</v>
      </c>
      <c r="F151" s="32">
        <f>IFERROR(__xludf.DUMMYFUNCTION("GOOGLEFINANCE(A151,""changepct"")/100"),-0.0025)</f>
        <v>-0.0025</v>
      </c>
      <c r="G151" s="33">
        <f>IFERROR(__xludf.DUMMYFUNCTION("GOOGLEFINANCE(A151,""priceopen"")"),76.0)</f>
        <v>76</v>
      </c>
      <c r="H151" s="34">
        <f>IFERROR(__xludf.DUMMYFUNCTION("GOOGLEFINANCE(A151,""closeyest"")"),75.86)</f>
        <v>75.86</v>
      </c>
      <c r="I151" s="34">
        <f>IFERROR(__xludf.DUMMYFUNCTION("GOOGLEFINANCE(A151,""low52"")"),67.85)</f>
        <v>67.85</v>
      </c>
      <c r="J151" s="34">
        <f>IFERROR(__xludf.DUMMYFUNCTION("GOOGLEFINANCE(A151,""high52"")"),86.95)</f>
        <v>86.95</v>
      </c>
    </row>
    <row r="152">
      <c r="A152" s="30" t="str">
        <f>'6image_RS_benchmark_performance'!A152</f>
        <v>DAL</v>
      </c>
      <c r="B152" s="31">
        <f>IFERROR(__xludf.DUMMYFUNCTION("GOOGLEFINANCE(A152,""price"")"),40.66)</f>
        <v>40.66</v>
      </c>
      <c r="C152" s="31">
        <f>IFERROR(__xludf.DUMMYFUNCTION("GOOGLEFINANCE(A152,""high"")"),40.82)</f>
        <v>40.82</v>
      </c>
      <c r="D152" s="31">
        <f>IFERROR(__xludf.DUMMYFUNCTION("GOOGLEFINANCE(A152,""low"")"),38.43)</f>
        <v>38.43</v>
      </c>
      <c r="E152" s="31">
        <f>IFERROR(__xludf.DUMMYFUNCTION("GOOGLEFINANCE(A152,""change"")"),2.1)</f>
        <v>2.1</v>
      </c>
      <c r="F152" s="32">
        <f>IFERROR(__xludf.DUMMYFUNCTION("GOOGLEFINANCE(A152,""changepct"")/100"),0.0545)</f>
        <v>0.0545</v>
      </c>
      <c r="G152" s="33">
        <f>IFERROR(__xludf.DUMMYFUNCTION("GOOGLEFINANCE(A152,""priceopen"")"),38.63)</f>
        <v>38.63</v>
      </c>
      <c r="H152" s="34">
        <f>IFERROR(__xludf.DUMMYFUNCTION("GOOGLEFINANCE(A152,""closeyest"")"),38.56)</f>
        <v>38.56</v>
      </c>
      <c r="I152" s="34">
        <f>IFERROR(__xludf.DUMMYFUNCTION("GOOGLEFINANCE(A152,""low52"")"),24.38)</f>
        <v>24.38</v>
      </c>
      <c r="J152" s="34">
        <f>IFERROR(__xludf.DUMMYFUNCTION("GOOGLEFINANCE(A152,""high52"")"),52.28)</f>
        <v>52.28</v>
      </c>
    </row>
    <row r="153">
      <c r="A153" s="30" t="str">
        <f>'6image_RS_benchmark_performance'!A153</f>
        <v>DAR</v>
      </c>
      <c r="B153" s="31">
        <f>IFERROR(__xludf.DUMMYFUNCTION("GOOGLEFINANCE(A153,""price"")"),67.76)</f>
        <v>67.76</v>
      </c>
      <c r="C153" s="31">
        <f>IFERROR(__xludf.DUMMYFUNCTION("GOOGLEFINANCE(A153,""high"")"),68.29)</f>
        <v>68.29</v>
      </c>
      <c r="D153" s="31">
        <f>IFERROR(__xludf.DUMMYFUNCTION("GOOGLEFINANCE(A153,""low"")"),64.11)</f>
        <v>64.11</v>
      </c>
      <c r="E153" s="31">
        <f>IFERROR(__xludf.DUMMYFUNCTION("GOOGLEFINANCE(A153,""change"")"),3.75)</f>
        <v>3.75</v>
      </c>
      <c r="F153" s="32">
        <f>IFERROR(__xludf.DUMMYFUNCTION("GOOGLEFINANCE(A153,""changepct"")/100"),0.058600000000000006)</f>
        <v>0.0586</v>
      </c>
      <c r="G153" s="33">
        <f>IFERROR(__xludf.DUMMYFUNCTION("GOOGLEFINANCE(A153,""priceopen"")"),64.72)</f>
        <v>64.72</v>
      </c>
      <c r="H153" s="34">
        <f>IFERROR(__xludf.DUMMYFUNCTION("GOOGLEFINANCE(A153,""closeyest"")"),64.01)</f>
        <v>64.01</v>
      </c>
      <c r="I153" s="34">
        <f>IFERROR(__xludf.DUMMYFUNCTION("GOOGLEFINANCE(A153,""low52"")"),27.23)</f>
        <v>27.23</v>
      </c>
      <c r="J153" s="34">
        <f>IFERROR(__xludf.DUMMYFUNCTION("GOOGLEFINANCE(A153,""high52"")"),79.65)</f>
        <v>79.65</v>
      </c>
    </row>
    <row r="154">
      <c r="A154" s="30" t="str">
        <f>'6image_RS_benchmark_performance'!A154</f>
        <v>DBX</v>
      </c>
      <c r="B154" s="31">
        <f>IFERROR(__xludf.DUMMYFUNCTION("GOOGLEFINANCE(A154,""price"")"),30.5)</f>
        <v>30.5</v>
      </c>
      <c r="C154" s="31">
        <f>IFERROR(__xludf.DUMMYFUNCTION("GOOGLEFINANCE(A154,""high"")"),30.72)</f>
        <v>30.72</v>
      </c>
      <c r="D154" s="31">
        <f>IFERROR(__xludf.DUMMYFUNCTION("GOOGLEFINANCE(A154,""low"")"),29.84)</f>
        <v>29.84</v>
      </c>
      <c r="E154" s="31">
        <f>IFERROR(__xludf.DUMMYFUNCTION("GOOGLEFINANCE(A154,""change"")"),0.69)</f>
        <v>0.69</v>
      </c>
      <c r="F154" s="32">
        <f>IFERROR(__xludf.DUMMYFUNCTION("GOOGLEFINANCE(A154,""changepct"")/100"),0.0231)</f>
        <v>0.0231</v>
      </c>
      <c r="G154" s="33">
        <f>IFERROR(__xludf.DUMMYFUNCTION("GOOGLEFINANCE(A154,""priceopen"")"),29.94)</f>
        <v>29.94</v>
      </c>
      <c r="H154" s="34">
        <f>IFERROR(__xludf.DUMMYFUNCTION("GOOGLEFINANCE(A154,""closeyest"")"),29.81)</f>
        <v>29.81</v>
      </c>
      <c r="I154" s="34">
        <f>IFERROR(__xludf.DUMMYFUNCTION("GOOGLEFINANCE(A154,""low52"")"),17.66)</f>
        <v>17.66</v>
      </c>
      <c r="J154" s="34">
        <f>IFERROR(__xludf.DUMMYFUNCTION("GOOGLEFINANCE(A154,""high52"")"),31.35)</f>
        <v>31.35</v>
      </c>
    </row>
    <row r="155">
      <c r="A155" s="30" t="str">
        <f>'6image_RS_benchmark_performance'!A155</f>
        <v>DD</v>
      </c>
      <c r="B155" s="31">
        <f>IFERROR(__xludf.DUMMYFUNCTION("GOOGLEFINANCE(A155,""price"")"),73.71)</f>
        <v>73.71</v>
      </c>
      <c r="C155" s="31">
        <f>IFERROR(__xludf.DUMMYFUNCTION("GOOGLEFINANCE(A155,""high"")"),74.36)</f>
        <v>74.36</v>
      </c>
      <c r="D155" s="31">
        <f>IFERROR(__xludf.DUMMYFUNCTION("GOOGLEFINANCE(A155,""low"")"),72.56)</f>
        <v>72.56</v>
      </c>
      <c r="E155" s="31">
        <f>IFERROR(__xludf.DUMMYFUNCTION("GOOGLEFINANCE(A155,""change"")"),0.9)</f>
        <v>0.9</v>
      </c>
      <c r="F155" s="32">
        <f>IFERROR(__xludf.DUMMYFUNCTION("GOOGLEFINANCE(A155,""changepct"")/100"),0.0124)</f>
        <v>0.0124</v>
      </c>
      <c r="G155" s="33">
        <f>IFERROR(__xludf.DUMMYFUNCTION("GOOGLEFINANCE(A155,""priceopen"")"),72.77)</f>
        <v>72.77</v>
      </c>
      <c r="H155" s="34">
        <f>IFERROR(__xludf.DUMMYFUNCTION("GOOGLEFINANCE(A155,""closeyest"")"),72.81)</f>
        <v>72.81</v>
      </c>
      <c r="I155" s="34">
        <f>IFERROR(__xludf.DUMMYFUNCTION("GOOGLEFINANCE(A155,""low52"")"),52.12)</f>
        <v>52.12</v>
      </c>
      <c r="J155" s="34">
        <f>IFERROR(__xludf.DUMMYFUNCTION("GOOGLEFINANCE(A155,""high52"")"),87.27)</f>
        <v>87.27</v>
      </c>
    </row>
    <row r="156">
      <c r="A156" s="30" t="str">
        <f>'6image_RS_benchmark_performance'!A156</f>
        <v>DDD</v>
      </c>
      <c r="B156" s="31">
        <f>IFERROR(__xludf.DUMMYFUNCTION("GOOGLEFINANCE(A156,""price"")"),26.64)</f>
        <v>26.64</v>
      </c>
      <c r="C156" s="31">
        <f>IFERROR(__xludf.DUMMYFUNCTION("GOOGLEFINANCE(A156,""high"")"),26.99)</f>
        <v>26.99</v>
      </c>
      <c r="D156" s="31">
        <f>IFERROR(__xludf.DUMMYFUNCTION("GOOGLEFINANCE(A156,""low"")"),24.93)</f>
        <v>24.93</v>
      </c>
      <c r="E156" s="31">
        <f>IFERROR(__xludf.DUMMYFUNCTION("GOOGLEFINANCE(A156,""change"")"),0.74)</f>
        <v>0.74</v>
      </c>
      <c r="F156" s="32">
        <f>IFERROR(__xludf.DUMMYFUNCTION("GOOGLEFINANCE(A156,""changepct"")/100"),0.0286)</f>
        <v>0.0286</v>
      </c>
      <c r="G156" s="33">
        <f>IFERROR(__xludf.DUMMYFUNCTION("GOOGLEFINANCE(A156,""priceopen"")"),25.9)</f>
        <v>25.9</v>
      </c>
      <c r="H156" s="34">
        <f>IFERROR(__xludf.DUMMYFUNCTION("GOOGLEFINANCE(A156,""closeyest"")"),25.9)</f>
        <v>25.9</v>
      </c>
      <c r="I156" s="34">
        <f>IFERROR(__xludf.DUMMYFUNCTION("GOOGLEFINANCE(A156,""low52"")"),4.6)</f>
        <v>4.6</v>
      </c>
      <c r="J156" s="34">
        <f>IFERROR(__xludf.DUMMYFUNCTION("GOOGLEFINANCE(A156,""high52"")"),56.5)</f>
        <v>56.5</v>
      </c>
    </row>
    <row r="157">
      <c r="A157" s="30" t="str">
        <f>'6image_RS_benchmark_performance'!A157</f>
        <v>DDOG</v>
      </c>
      <c r="B157" s="31">
        <f>IFERROR(__xludf.DUMMYFUNCTION("GOOGLEFINANCE(A157,""price"")"),107.52)</f>
        <v>107.52</v>
      </c>
      <c r="C157" s="31">
        <f>IFERROR(__xludf.DUMMYFUNCTION("GOOGLEFINANCE(A157,""high"")"),108.89)</f>
        <v>108.89</v>
      </c>
      <c r="D157" s="31">
        <f>IFERROR(__xludf.DUMMYFUNCTION("GOOGLEFINANCE(A157,""low"")"),103.43)</f>
        <v>103.43</v>
      </c>
      <c r="E157" s="31">
        <f>IFERROR(__xludf.DUMMYFUNCTION("GOOGLEFINANCE(A157,""change"")"),2.69)</f>
        <v>2.69</v>
      </c>
      <c r="F157" s="32">
        <f>IFERROR(__xludf.DUMMYFUNCTION("GOOGLEFINANCE(A157,""changepct"")/100"),0.025699999999999997)</f>
        <v>0.0257</v>
      </c>
      <c r="G157" s="33">
        <f>IFERROR(__xludf.DUMMYFUNCTION("GOOGLEFINANCE(A157,""priceopen"")"),105.67)</f>
        <v>105.67</v>
      </c>
      <c r="H157" s="34">
        <f>IFERROR(__xludf.DUMMYFUNCTION("GOOGLEFINANCE(A157,""closeyest"")"),104.83)</f>
        <v>104.83</v>
      </c>
      <c r="I157" s="34">
        <f>IFERROR(__xludf.DUMMYFUNCTION("GOOGLEFINANCE(A157,""low52"")"),69.73)</f>
        <v>69.73</v>
      </c>
      <c r="J157" s="34">
        <f>IFERROR(__xludf.DUMMYFUNCTION("GOOGLEFINANCE(A157,""high52"")"),119.43)</f>
        <v>119.43</v>
      </c>
    </row>
    <row r="158">
      <c r="A158" s="30" t="str">
        <f>'6image_RS_benchmark_performance'!A158</f>
        <v>DE</v>
      </c>
      <c r="B158" s="31">
        <f>IFERROR(__xludf.DUMMYFUNCTION("GOOGLEFINANCE(A158,""price"")"),348.03)</f>
        <v>348.03</v>
      </c>
      <c r="C158" s="31">
        <f>IFERROR(__xludf.DUMMYFUNCTION("GOOGLEFINANCE(A158,""high"")"),349.29)</f>
        <v>349.29</v>
      </c>
      <c r="D158" s="31">
        <f>IFERROR(__xludf.DUMMYFUNCTION("GOOGLEFINANCE(A158,""low"")"),335.0)</f>
        <v>335</v>
      </c>
      <c r="E158" s="31">
        <f>IFERROR(__xludf.DUMMYFUNCTION("GOOGLEFINANCE(A158,""change"")"),13.08)</f>
        <v>13.08</v>
      </c>
      <c r="F158" s="32">
        <f>IFERROR(__xludf.DUMMYFUNCTION("GOOGLEFINANCE(A158,""changepct"")/100"),0.0391)</f>
        <v>0.0391</v>
      </c>
      <c r="G158" s="33">
        <f>IFERROR(__xludf.DUMMYFUNCTION("GOOGLEFINANCE(A158,""priceopen"")"),337.44)</f>
        <v>337.44</v>
      </c>
      <c r="H158" s="34">
        <f>IFERROR(__xludf.DUMMYFUNCTION("GOOGLEFINANCE(A158,""closeyest"")"),334.95)</f>
        <v>334.95</v>
      </c>
      <c r="I158" s="34">
        <f>IFERROR(__xludf.DUMMYFUNCTION("GOOGLEFINANCE(A158,""low52"")"),172.7)</f>
        <v>172.7</v>
      </c>
      <c r="J158" s="34">
        <f>IFERROR(__xludf.DUMMYFUNCTION("GOOGLEFINANCE(A158,""high52"")"),400.34)</f>
        <v>400.34</v>
      </c>
    </row>
    <row r="159">
      <c r="A159" s="30" t="str">
        <f>'6image_RS_benchmark_performance'!A159</f>
        <v>DELL</v>
      </c>
      <c r="B159" s="31">
        <f>IFERROR(__xludf.DUMMYFUNCTION("GOOGLEFINANCE(A159,""price"")"),95.37)</f>
        <v>95.37</v>
      </c>
      <c r="C159" s="31">
        <f>IFERROR(__xludf.DUMMYFUNCTION("GOOGLEFINANCE(A159,""high"")"),95.94)</f>
        <v>95.94</v>
      </c>
      <c r="D159" s="31">
        <f>IFERROR(__xludf.DUMMYFUNCTION("GOOGLEFINANCE(A159,""low"")"),93.35)</f>
        <v>93.35</v>
      </c>
      <c r="E159" s="31">
        <f>IFERROR(__xludf.DUMMYFUNCTION("GOOGLEFINANCE(A159,""change"")"),2.49)</f>
        <v>2.49</v>
      </c>
      <c r="F159" s="32">
        <f>IFERROR(__xludf.DUMMYFUNCTION("GOOGLEFINANCE(A159,""changepct"")/100"),0.0268)</f>
        <v>0.0268</v>
      </c>
      <c r="G159" s="33">
        <f>IFERROR(__xludf.DUMMYFUNCTION("GOOGLEFINANCE(A159,""priceopen"")"),93.41)</f>
        <v>93.41</v>
      </c>
      <c r="H159" s="34">
        <f>IFERROR(__xludf.DUMMYFUNCTION("GOOGLEFINANCE(A159,""closeyest"")"),92.88)</f>
        <v>92.88</v>
      </c>
      <c r="I159" s="34">
        <f>IFERROR(__xludf.DUMMYFUNCTION("GOOGLEFINANCE(A159,""low52"")"),58.11)</f>
        <v>58.11</v>
      </c>
      <c r="J159" s="34">
        <f>IFERROR(__xludf.DUMMYFUNCTION("GOOGLEFINANCE(A159,""high52"")"),104.62)</f>
        <v>104.62</v>
      </c>
    </row>
    <row r="160">
      <c r="A160" s="30" t="str">
        <f>'6image_RS_benchmark_performance'!A160</f>
        <v>DFS</v>
      </c>
      <c r="B160" s="31">
        <f>IFERROR(__xludf.DUMMYFUNCTION("GOOGLEFINANCE(A160,""price"")"),121.28)</f>
        <v>121.28</v>
      </c>
      <c r="C160" s="31">
        <f>IFERROR(__xludf.DUMMYFUNCTION("GOOGLEFINANCE(A160,""high"")"),122.05)</f>
        <v>122.05</v>
      </c>
      <c r="D160" s="31">
        <f>IFERROR(__xludf.DUMMYFUNCTION("GOOGLEFINANCE(A160,""low"")"),115.57)</f>
        <v>115.57</v>
      </c>
      <c r="E160" s="31">
        <f>IFERROR(__xludf.DUMMYFUNCTION("GOOGLEFINANCE(A160,""change"")"),4.56)</f>
        <v>4.56</v>
      </c>
      <c r="F160" s="32">
        <f>IFERROR(__xludf.DUMMYFUNCTION("GOOGLEFINANCE(A160,""changepct"")/100"),0.0391)</f>
        <v>0.0391</v>
      </c>
      <c r="G160" s="33">
        <f>IFERROR(__xludf.DUMMYFUNCTION("GOOGLEFINANCE(A160,""priceopen"")"),116.31)</f>
        <v>116.31</v>
      </c>
      <c r="H160" s="34">
        <f>IFERROR(__xludf.DUMMYFUNCTION("GOOGLEFINANCE(A160,""closeyest"")"),116.72)</f>
        <v>116.72</v>
      </c>
      <c r="I160" s="34">
        <f>IFERROR(__xludf.DUMMYFUNCTION("GOOGLEFINANCE(A160,""low52"")"),47.42)</f>
        <v>47.42</v>
      </c>
      <c r="J160" s="34">
        <f>IFERROR(__xludf.DUMMYFUNCTION("GOOGLEFINANCE(A160,""high52"")"),127.65)</f>
        <v>127.65</v>
      </c>
    </row>
    <row r="161">
      <c r="A161" s="30" t="str">
        <f>'6image_RS_benchmark_performance'!A161</f>
        <v>DG</v>
      </c>
      <c r="B161" s="31">
        <f>IFERROR(__xludf.DUMMYFUNCTION("GOOGLEFINANCE(A161,""price"")"),226.41)</f>
        <v>226.41</v>
      </c>
      <c r="C161" s="31">
        <f>IFERROR(__xludf.DUMMYFUNCTION("GOOGLEFINANCE(A161,""high"")"),227.56)</f>
        <v>227.56</v>
      </c>
      <c r="D161" s="31">
        <f>IFERROR(__xludf.DUMMYFUNCTION("GOOGLEFINANCE(A161,""low"")"),224.15)</f>
        <v>224.15</v>
      </c>
      <c r="E161" s="31">
        <f>IFERROR(__xludf.DUMMYFUNCTION("GOOGLEFINANCE(A161,""change"")"),2.14)</f>
        <v>2.14</v>
      </c>
      <c r="F161" s="32">
        <f>IFERROR(__xludf.DUMMYFUNCTION("GOOGLEFINANCE(A161,""changepct"")/100"),0.0095)</f>
        <v>0.0095</v>
      </c>
      <c r="G161" s="33">
        <f>IFERROR(__xludf.DUMMYFUNCTION("GOOGLEFINANCE(A161,""priceopen"")"),224.49)</f>
        <v>224.49</v>
      </c>
      <c r="H161" s="34">
        <f>IFERROR(__xludf.DUMMYFUNCTION("GOOGLEFINANCE(A161,""closeyest"")"),224.27)</f>
        <v>224.27</v>
      </c>
      <c r="I161" s="34">
        <f>IFERROR(__xludf.DUMMYFUNCTION("GOOGLEFINANCE(A161,""low52"")"),173.5)</f>
        <v>173.5</v>
      </c>
      <c r="J161" s="34">
        <f>IFERROR(__xludf.DUMMYFUNCTION("GOOGLEFINANCE(A161,""high52"")"),227.56)</f>
        <v>227.56</v>
      </c>
    </row>
    <row r="162">
      <c r="A162" s="30" t="str">
        <f>'6image_RS_benchmark_performance'!A162</f>
        <v>DGX</v>
      </c>
      <c r="B162" s="31">
        <f>IFERROR(__xludf.DUMMYFUNCTION("GOOGLEFINANCE(A162,""price"")"),136.27)</f>
        <v>136.27</v>
      </c>
      <c r="C162" s="31">
        <f>IFERROR(__xludf.DUMMYFUNCTION("GOOGLEFINANCE(A162,""high"")"),139.11)</f>
        <v>139.11</v>
      </c>
      <c r="D162" s="31">
        <f>IFERROR(__xludf.DUMMYFUNCTION("GOOGLEFINANCE(A162,""low"")"),135.83)</f>
        <v>135.83</v>
      </c>
      <c r="E162" s="31">
        <f>IFERROR(__xludf.DUMMYFUNCTION("GOOGLEFINANCE(A162,""change"")"),0.02)</f>
        <v>0.02</v>
      </c>
      <c r="F162" s="32">
        <f>IFERROR(__xludf.DUMMYFUNCTION("GOOGLEFINANCE(A162,""changepct"")/100"),1.0E-4)</f>
        <v>0.0001</v>
      </c>
      <c r="G162" s="33">
        <f>IFERROR(__xludf.DUMMYFUNCTION("GOOGLEFINANCE(A162,""priceopen"")"),137.07)</f>
        <v>137.07</v>
      </c>
      <c r="H162" s="34">
        <f>IFERROR(__xludf.DUMMYFUNCTION("GOOGLEFINANCE(A162,""closeyest"")"),136.25)</f>
        <v>136.25</v>
      </c>
      <c r="I162" s="34">
        <f>IFERROR(__xludf.DUMMYFUNCTION("GOOGLEFINANCE(A162,""low52"")"),104.1)</f>
        <v>104.1</v>
      </c>
      <c r="J162" s="34">
        <f>IFERROR(__xludf.DUMMYFUNCTION("GOOGLEFINANCE(A162,""high52"")"),142.8)</f>
        <v>142.8</v>
      </c>
    </row>
    <row r="163">
      <c r="A163" s="30" t="str">
        <f>'6image_RS_benchmark_performance'!A163</f>
        <v>DHI</v>
      </c>
      <c r="B163" s="31">
        <f>IFERROR(__xludf.DUMMYFUNCTION("GOOGLEFINANCE(A163,""price"")"),89.06)</f>
        <v>89.06</v>
      </c>
      <c r="C163" s="31">
        <f>IFERROR(__xludf.DUMMYFUNCTION("GOOGLEFINANCE(A163,""high"")"),89.49)</f>
        <v>89.49</v>
      </c>
      <c r="D163" s="31">
        <f>IFERROR(__xludf.DUMMYFUNCTION("GOOGLEFINANCE(A163,""low"")"),86.62)</f>
        <v>86.62</v>
      </c>
      <c r="E163" s="31">
        <f>IFERROR(__xludf.DUMMYFUNCTION("GOOGLEFINANCE(A163,""change"")"),2.27)</f>
        <v>2.27</v>
      </c>
      <c r="F163" s="32">
        <f>IFERROR(__xludf.DUMMYFUNCTION("GOOGLEFINANCE(A163,""changepct"")/100"),0.0262)</f>
        <v>0.0262</v>
      </c>
      <c r="G163" s="33">
        <f>IFERROR(__xludf.DUMMYFUNCTION("GOOGLEFINANCE(A163,""priceopen"")"),87.19)</f>
        <v>87.19</v>
      </c>
      <c r="H163" s="34">
        <f>IFERROR(__xludf.DUMMYFUNCTION("GOOGLEFINANCE(A163,""closeyest"")"),86.79)</f>
        <v>86.79</v>
      </c>
      <c r="I163" s="34">
        <f>IFERROR(__xludf.DUMMYFUNCTION("GOOGLEFINANCE(A163,""low52"")"),61.67)</f>
        <v>61.67</v>
      </c>
      <c r="J163" s="34">
        <f>IFERROR(__xludf.DUMMYFUNCTION("GOOGLEFINANCE(A163,""high52"")"),106.89)</f>
        <v>106.89</v>
      </c>
    </row>
    <row r="164">
      <c r="A164" s="30" t="str">
        <f>'6image_RS_benchmark_performance'!A164</f>
        <v>DHR</v>
      </c>
      <c r="B164" s="31">
        <f>IFERROR(__xludf.DUMMYFUNCTION("GOOGLEFINANCE(A164,""price"")"),283.6)</f>
        <v>283.6</v>
      </c>
      <c r="C164" s="31">
        <f>IFERROR(__xludf.DUMMYFUNCTION("GOOGLEFINANCE(A164,""high"")"),287.0)</f>
        <v>287</v>
      </c>
      <c r="D164" s="31">
        <f>IFERROR(__xludf.DUMMYFUNCTION("GOOGLEFINANCE(A164,""low"")"),281.78)</f>
        <v>281.78</v>
      </c>
      <c r="E164" s="31">
        <f>IFERROR(__xludf.DUMMYFUNCTION("GOOGLEFINANCE(A164,""change"")"),-0.15)</f>
        <v>-0.15</v>
      </c>
      <c r="F164" s="32">
        <f>IFERROR(__xludf.DUMMYFUNCTION("GOOGLEFINANCE(A164,""changepct"")/100"),-5.0E-4)</f>
        <v>-0.0005</v>
      </c>
      <c r="G164" s="33">
        <f>IFERROR(__xludf.DUMMYFUNCTION("GOOGLEFINANCE(A164,""priceopen"")"),283.67)</f>
        <v>283.67</v>
      </c>
      <c r="H164" s="34">
        <f>IFERROR(__xludf.DUMMYFUNCTION("GOOGLEFINANCE(A164,""closeyest"")"),283.75)</f>
        <v>283.75</v>
      </c>
      <c r="I164" s="34">
        <f>IFERROR(__xludf.DUMMYFUNCTION("GOOGLEFINANCE(A164,""low52"")"),190.34)</f>
        <v>190.34</v>
      </c>
      <c r="J164" s="34">
        <f>IFERROR(__xludf.DUMMYFUNCTION("GOOGLEFINANCE(A164,""high52"")"),287.0)</f>
        <v>287</v>
      </c>
    </row>
    <row r="165">
      <c r="A165" s="30" t="str">
        <f>'6image_RS_benchmark_performance'!A165</f>
        <v>DIA</v>
      </c>
      <c r="B165" s="31">
        <f>IFERROR(__xludf.DUMMYFUNCTION("GOOGLEFINANCE(A165,""price"")"),345.08)</f>
        <v>345.08</v>
      </c>
      <c r="C165" s="31">
        <f>IFERROR(__xludf.DUMMYFUNCTION("GOOGLEFINANCE(A165,""high"")"),346.12)</f>
        <v>346.12</v>
      </c>
      <c r="D165" s="31">
        <f>IFERROR(__xludf.DUMMYFUNCTION("GOOGLEFINANCE(A165,""low"")"),339.77)</f>
        <v>339.77</v>
      </c>
      <c r="E165" s="31">
        <f>IFERROR(__xludf.DUMMYFUNCTION("GOOGLEFINANCE(A165,""change"")"),5.2)</f>
        <v>5.2</v>
      </c>
      <c r="F165" s="32">
        <f>IFERROR(__xludf.DUMMYFUNCTION("GOOGLEFINANCE(A165,""changepct"")/100"),0.015300000000000001)</f>
        <v>0.0153</v>
      </c>
      <c r="G165" s="33">
        <f>IFERROR(__xludf.DUMMYFUNCTION("GOOGLEFINANCE(A165,""priceopen"")"),340.32)</f>
        <v>340.32</v>
      </c>
      <c r="H165" s="34">
        <f>IFERROR(__xludf.DUMMYFUNCTION("GOOGLEFINANCE(A165,""closeyest"")"),339.88)</f>
        <v>339.88</v>
      </c>
      <c r="I165" s="34">
        <f>IFERROR(__xludf.DUMMYFUNCTION("GOOGLEFINANCE(A165,""low52"")"),259.94)</f>
        <v>259.94</v>
      </c>
      <c r="J165" s="34">
        <f>IFERROR(__xludf.DUMMYFUNCTION("GOOGLEFINANCE(A165,""high52"")"),351.09)</f>
        <v>351.09</v>
      </c>
    </row>
    <row r="166">
      <c r="A166" s="30" t="str">
        <f>'6image_RS_benchmark_performance'!A166</f>
        <v>DIS</v>
      </c>
      <c r="B166" s="31">
        <f>IFERROR(__xludf.DUMMYFUNCTION("GOOGLEFINANCE(A166,""price"")"),176.75)</f>
        <v>176.75</v>
      </c>
      <c r="C166" s="31">
        <f>IFERROR(__xludf.DUMMYFUNCTION("GOOGLEFINANCE(A166,""high"")"),177.51)</f>
        <v>177.51</v>
      </c>
      <c r="D166" s="31">
        <f>IFERROR(__xludf.DUMMYFUNCTION("GOOGLEFINANCE(A166,""low"")"),172.87)</f>
        <v>172.87</v>
      </c>
      <c r="E166" s="31">
        <f>IFERROR(__xludf.DUMMYFUNCTION("GOOGLEFINANCE(A166,""change"")"),3.8)</f>
        <v>3.8</v>
      </c>
      <c r="F166" s="32">
        <f>IFERROR(__xludf.DUMMYFUNCTION("GOOGLEFINANCE(A166,""changepct"")/100"),0.022000000000000002)</f>
        <v>0.022</v>
      </c>
      <c r="G166" s="33">
        <f>IFERROR(__xludf.DUMMYFUNCTION("GOOGLEFINANCE(A166,""priceopen"")"),173.7)</f>
        <v>173.7</v>
      </c>
      <c r="H166" s="34">
        <f>IFERROR(__xludf.DUMMYFUNCTION("GOOGLEFINANCE(A166,""closeyest"")"),172.95)</f>
        <v>172.95</v>
      </c>
      <c r="I166" s="34">
        <f>IFERROR(__xludf.DUMMYFUNCTION("GOOGLEFINANCE(A166,""low52"")"),113.37)</f>
        <v>113.37</v>
      </c>
      <c r="J166" s="34">
        <f>IFERROR(__xludf.DUMMYFUNCTION("GOOGLEFINANCE(A166,""high52"")"),203.02)</f>
        <v>203.02</v>
      </c>
    </row>
    <row r="167">
      <c r="A167" s="30" t="str">
        <f>'6image_RS_benchmark_performance'!A167</f>
        <v>DISCA</v>
      </c>
      <c r="B167" s="31">
        <f>IFERROR(__xludf.DUMMYFUNCTION("GOOGLEFINANCE(A167,""price"")"),28.13)</f>
        <v>28.13</v>
      </c>
      <c r="C167" s="31">
        <f>IFERROR(__xludf.DUMMYFUNCTION("GOOGLEFINANCE(A167,""high"")"),28.22)</f>
        <v>28.22</v>
      </c>
      <c r="D167" s="31">
        <f>IFERROR(__xludf.DUMMYFUNCTION("GOOGLEFINANCE(A167,""low"")"),27.52)</f>
        <v>27.52</v>
      </c>
      <c r="E167" s="31">
        <f>IFERROR(__xludf.DUMMYFUNCTION("GOOGLEFINANCE(A167,""change"")"),0.31)</f>
        <v>0.31</v>
      </c>
      <c r="F167" s="32">
        <f>IFERROR(__xludf.DUMMYFUNCTION("GOOGLEFINANCE(A167,""changepct"")/100"),0.0111)</f>
        <v>0.0111</v>
      </c>
      <c r="G167" s="33">
        <f>IFERROR(__xludf.DUMMYFUNCTION("GOOGLEFINANCE(A167,""priceopen"")"),27.88)</f>
        <v>27.88</v>
      </c>
      <c r="H167" s="34">
        <f>IFERROR(__xludf.DUMMYFUNCTION("GOOGLEFINANCE(A167,""closeyest"")"),27.82)</f>
        <v>27.82</v>
      </c>
      <c r="I167" s="34">
        <f>IFERROR(__xludf.DUMMYFUNCTION("GOOGLEFINANCE(A167,""low52"")"),19.07)</f>
        <v>19.07</v>
      </c>
      <c r="J167" s="34">
        <f>IFERROR(__xludf.DUMMYFUNCTION("GOOGLEFINANCE(A167,""high52"")"),78.14)</f>
        <v>78.14</v>
      </c>
    </row>
    <row r="168">
      <c r="A168" s="30" t="str">
        <f>'6image_RS_benchmark_performance'!A168</f>
        <v>DISH</v>
      </c>
      <c r="B168" s="31">
        <f>IFERROR(__xludf.DUMMYFUNCTION("GOOGLEFINANCE(A168,""price"")"),40.87)</f>
        <v>40.87</v>
      </c>
      <c r="C168" s="31">
        <f>IFERROR(__xludf.DUMMYFUNCTION("GOOGLEFINANCE(A168,""high"")"),41.52)</f>
        <v>41.52</v>
      </c>
      <c r="D168" s="31">
        <f>IFERROR(__xludf.DUMMYFUNCTION("GOOGLEFINANCE(A168,""low"")"),39.04)</f>
        <v>39.04</v>
      </c>
      <c r="E168" s="31">
        <f>IFERROR(__xludf.DUMMYFUNCTION("GOOGLEFINANCE(A168,""change"")"),1.83)</f>
        <v>1.83</v>
      </c>
      <c r="F168" s="32">
        <f>IFERROR(__xludf.DUMMYFUNCTION("GOOGLEFINANCE(A168,""changepct"")/100"),0.046900000000000004)</f>
        <v>0.0469</v>
      </c>
      <c r="G168" s="33">
        <f>IFERROR(__xludf.DUMMYFUNCTION("GOOGLEFINANCE(A168,""priceopen"")"),39.1)</f>
        <v>39.1</v>
      </c>
      <c r="H168" s="34">
        <f>IFERROR(__xludf.DUMMYFUNCTION("GOOGLEFINANCE(A168,""closeyest"")"),39.04)</f>
        <v>39.04</v>
      </c>
      <c r="I168" s="34">
        <f>IFERROR(__xludf.DUMMYFUNCTION("GOOGLEFINANCE(A168,""low52"")"),24.51)</f>
        <v>24.51</v>
      </c>
      <c r="J168" s="34">
        <f>IFERROR(__xludf.DUMMYFUNCTION("GOOGLEFINANCE(A168,""high52"")"),47.05)</f>
        <v>47.05</v>
      </c>
    </row>
    <row r="169">
      <c r="A169" s="30" t="str">
        <f>'6image_RS_benchmark_performance'!A169</f>
        <v>DKNG</v>
      </c>
      <c r="B169" s="31">
        <f>IFERROR(__xludf.DUMMYFUNCTION("GOOGLEFINANCE(A169,""price"")"),45.82)</f>
        <v>45.82</v>
      </c>
      <c r="C169" s="31">
        <f>IFERROR(__xludf.DUMMYFUNCTION("GOOGLEFINANCE(A169,""high"")"),46.12)</f>
        <v>46.12</v>
      </c>
      <c r="D169" s="31">
        <f>IFERROR(__xludf.DUMMYFUNCTION("GOOGLEFINANCE(A169,""low"")"),43.84)</f>
        <v>43.84</v>
      </c>
      <c r="E169" s="31">
        <f>IFERROR(__xludf.DUMMYFUNCTION("GOOGLEFINANCE(A169,""change"")"),1.16)</f>
        <v>1.16</v>
      </c>
      <c r="F169" s="32">
        <f>IFERROR(__xludf.DUMMYFUNCTION("GOOGLEFINANCE(A169,""changepct"")/100"),0.026000000000000002)</f>
        <v>0.026</v>
      </c>
      <c r="G169" s="33">
        <f>IFERROR(__xludf.DUMMYFUNCTION("GOOGLEFINANCE(A169,""priceopen"")"),44.76)</f>
        <v>44.76</v>
      </c>
      <c r="H169" s="34">
        <f>IFERROR(__xludf.DUMMYFUNCTION("GOOGLEFINANCE(A169,""closeyest"")"),44.66)</f>
        <v>44.66</v>
      </c>
      <c r="I169" s="34">
        <f>IFERROR(__xludf.DUMMYFUNCTION("GOOGLEFINANCE(A169,""low52"")"),30.51)</f>
        <v>30.51</v>
      </c>
      <c r="J169" s="34">
        <f>IFERROR(__xludf.DUMMYFUNCTION("GOOGLEFINANCE(A169,""high52"")"),74.38)</f>
        <v>74.38</v>
      </c>
    </row>
    <row r="170">
      <c r="A170" s="30" t="str">
        <f>'6image_RS_benchmark_performance'!A170</f>
        <v>DLR</v>
      </c>
      <c r="B170" s="31">
        <f>IFERROR(__xludf.DUMMYFUNCTION("GOOGLEFINANCE(A170,""price"")"),157.0)</f>
        <v>157</v>
      </c>
      <c r="C170" s="31">
        <f>IFERROR(__xludf.DUMMYFUNCTION("GOOGLEFINANCE(A170,""high"")"),157.8)</f>
        <v>157.8</v>
      </c>
      <c r="D170" s="31">
        <f>IFERROR(__xludf.DUMMYFUNCTION("GOOGLEFINANCE(A170,""low"")"),156.25)</f>
        <v>156.25</v>
      </c>
      <c r="E170" s="31">
        <f>IFERROR(__xludf.DUMMYFUNCTION("GOOGLEFINANCE(A170,""change"")"),0.68)</f>
        <v>0.68</v>
      </c>
      <c r="F170" s="32">
        <f>IFERROR(__xludf.DUMMYFUNCTION("GOOGLEFINANCE(A170,""changepct"")/100"),0.0044)</f>
        <v>0.0044</v>
      </c>
      <c r="G170" s="33">
        <f>IFERROR(__xludf.DUMMYFUNCTION("GOOGLEFINANCE(A170,""priceopen"")"),156.62)</f>
        <v>156.62</v>
      </c>
      <c r="H170" s="34">
        <f>IFERROR(__xludf.DUMMYFUNCTION("GOOGLEFINANCE(A170,""closeyest"")"),156.32)</f>
        <v>156.32</v>
      </c>
      <c r="I170" s="34">
        <f>IFERROR(__xludf.DUMMYFUNCTION("GOOGLEFINANCE(A170,""low52"")"),124.65)</f>
        <v>124.65</v>
      </c>
      <c r="J170" s="34">
        <f>IFERROR(__xludf.DUMMYFUNCTION("GOOGLEFINANCE(A170,""high52"")"),165.49)</f>
        <v>165.49</v>
      </c>
    </row>
    <row r="171">
      <c r="A171" s="30" t="str">
        <f>'6image_RS_benchmark_performance'!A171</f>
        <v>DLTR</v>
      </c>
      <c r="B171" s="31">
        <f>IFERROR(__xludf.DUMMYFUNCTION("GOOGLEFINANCE(A171,""price"")"),99.01)</f>
        <v>99.01</v>
      </c>
      <c r="C171" s="31">
        <f>IFERROR(__xludf.DUMMYFUNCTION("GOOGLEFINANCE(A171,""high"")"),99.68)</f>
        <v>99.68</v>
      </c>
      <c r="D171" s="31">
        <f>IFERROR(__xludf.DUMMYFUNCTION("GOOGLEFINANCE(A171,""low"")"),97.81)</f>
        <v>97.81</v>
      </c>
      <c r="E171" s="31">
        <f>IFERROR(__xludf.DUMMYFUNCTION("GOOGLEFINANCE(A171,""change"")"),1.01)</f>
        <v>1.01</v>
      </c>
      <c r="F171" s="32">
        <f>IFERROR(__xludf.DUMMYFUNCTION("GOOGLEFINANCE(A171,""changepct"")/100"),0.0103)</f>
        <v>0.0103</v>
      </c>
      <c r="G171" s="33">
        <f>IFERROR(__xludf.DUMMYFUNCTION("GOOGLEFINANCE(A171,""priceopen"")"),97.81)</f>
        <v>97.81</v>
      </c>
      <c r="H171" s="34">
        <f>IFERROR(__xludf.DUMMYFUNCTION("GOOGLEFINANCE(A171,""closeyest"")"),98.0)</f>
        <v>98</v>
      </c>
      <c r="I171" s="34">
        <f>IFERROR(__xludf.DUMMYFUNCTION("GOOGLEFINANCE(A171,""low52"")"),84.41)</f>
        <v>84.41</v>
      </c>
      <c r="J171" s="34">
        <f>IFERROR(__xludf.DUMMYFUNCTION("GOOGLEFINANCE(A171,""high52"")"),120.37)</f>
        <v>120.37</v>
      </c>
    </row>
    <row r="172">
      <c r="A172" s="30" t="str">
        <f>'6image_RS_benchmark_performance'!A172</f>
        <v>DOCU</v>
      </c>
      <c r="B172" s="31">
        <f>IFERROR(__xludf.DUMMYFUNCTION("GOOGLEFINANCE(A172,""price"")"),301.27)</f>
        <v>301.27</v>
      </c>
      <c r="C172" s="31">
        <f>IFERROR(__xludf.DUMMYFUNCTION("GOOGLEFINANCE(A172,""high"")"),306.0)</f>
        <v>306</v>
      </c>
      <c r="D172" s="31">
        <f>IFERROR(__xludf.DUMMYFUNCTION("GOOGLEFINANCE(A172,""low"")"),290.5)</f>
        <v>290.5</v>
      </c>
      <c r="E172" s="31">
        <f>IFERROR(__xludf.DUMMYFUNCTION("GOOGLEFINANCE(A172,""change"")"),11.79)</f>
        <v>11.79</v>
      </c>
      <c r="F172" s="32">
        <f>IFERROR(__xludf.DUMMYFUNCTION("GOOGLEFINANCE(A172,""changepct"")/100"),0.0407)</f>
        <v>0.0407</v>
      </c>
      <c r="G172" s="33">
        <f>IFERROR(__xludf.DUMMYFUNCTION("GOOGLEFINANCE(A172,""priceopen"")"),291.6)</f>
        <v>291.6</v>
      </c>
      <c r="H172" s="34">
        <f>IFERROR(__xludf.DUMMYFUNCTION("GOOGLEFINANCE(A172,""closeyest"")"),289.48)</f>
        <v>289.48</v>
      </c>
      <c r="I172" s="34">
        <f>IFERROR(__xludf.DUMMYFUNCTION("GOOGLEFINANCE(A172,""low52"")"),179.49)</f>
        <v>179.49</v>
      </c>
      <c r="J172" s="34">
        <f>IFERROR(__xludf.DUMMYFUNCTION("GOOGLEFINANCE(A172,""high52"")"),306.0)</f>
        <v>306</v>
      </c>
    </row>
    <row r="173">
      <c r="A173" s="30" t="str">
        <f>'6image_RS_benchmark_performance'!A173</f>
        <v>DOV</v>
      </c>
      <c r="B173" s="31">
        <f>IFERROR(__xludf.DUMMYFUNCTION("GOOGLEFINANCE(A173,""price"")"),162.14)</f>
        <v>162.14</v>
      </c>
      <c r="C173" s="31">
        <f>IFERROR(__xludf.DUMMYFUNCTION("GOOGLEFINANCE(A173,""high"")"),163.74)</f>
        <v>163.74</v>
      </c>
      <c r="D173" s="31">
        <f>IFERROR(__xludf.DUMMYFUNCTION("GOOGLEFINANCE(A173,""low"")"),152.53)</f>
        <v>152.53</v>
      </c>
      <c r="E173" s="31">
        <f>IFERROR(__xludf.DUMMYFUNCTION("GOOGLEFINANCE(A173,""change"")"),10.17)</f>
        <v>10.17</v>
      </c>
      <c r="F173" s="32">
        <f>IFERROR(__xludf.DUMMYFUNCTION("GOOGLEFINANCE(A173,""changepct"")/100"),0.0669)</f>
        <v>0.0669</v>
      </c>
      <c r="G173" s="33">
        <f>IFERROR(__xludf.DUMMYFUNCTION("GOOGLEFINANCE(A173,""priceopen"")"),152.53)</f>
        <v>152.53</v>
      </c>
      <c r="H173" s="34">
        <f>IFERROR(__xludf.DUMMYFUNCTION("GOOGLEFINANCE(A173,""closeyest"")"),151.97)</f>
        <v>151.97</v>
      </c>
      <c r="I173" s="34">
        <f>IFERROR(__xludf.DUMMYFUNCTION("GOOGLEFINANCE(A173,""low52"")"),101.54)</f>
        <v>101.54</v>
      </c>
      <c r="J173" s="34">
        <f>IFERROR(__xludf.DUMMYFUNCTION("GOOGLEFINANCE(A173,""high52"")"),163.74)</f>
        <v>163.74</v>
      </c>
    </row>
    <row r="174">
      <c r="A174" s="30" t="str">
        <f>'6image_RS_benchmark_performance'!A174</f>
        <v>DOW</v>
      </c>
      <c r="B174" s="31">
        <f>IFERROR(__xludf.DUMMYFUNCTION("GOOGLEFINANCE(A174,""price"")"),58.62)</f>
        <v>58.62</v>
      </c>
      <c r="C174" s="31">
        <f>IFERROR(__xludf.DUMMYFUNCTION("GOOGLEFINANCE(A174,""high"")"),59.19)</f>
        <v>59.19</v>
      </c>
      <c r="D174" s="31">
        <f>IFERROR(__xludf.DUMMYFUNCTION("GOOGLEFINANCE(A174,""low"")"),57.63)</f>
        <v>57.63</v>
      </c>
      <c r="E174" s="31">
        <f>IFERROR(__xludf.DUMMYFUNCTION("GOOGLEFINANCE(A174,""change"")"),0.83)</f>
        <v>0.83</v>
      </c>
      <c r="F174" s="32">
        <f>IFERROR(__xludf.DUMMYFUNCTION("GOOGLEFINANCE(A174,""changepct"")/100"),0.0144)</f>
        <v>0.0144</v>
      </c>
      <c r="G174" s="33">
        <f>IFERROR(__xludf.DUMMYFUNCTION("GOOGLEFINANCE(A174,""priceopen"")"),58.14)</f>
        <v>58.14</v>
      </c>
      <c r="H174" s="34">
        <f>IFERROR(__xludf.DUMMYFUNCTION("GOOGLEFINANCE(A174,""closeyest"")"),57.79)</f>
        <v>57.79</v>
      </c>
      <c r="I174" s="34">
        <f>IFERROR(__xludf.DUMMYFUNCTION("GOOGLEFINANCE(A174,""low52"")"),39.9)</f>
        <v>39.9</v>
      </c>
      <c r="J174" s="34">
        <f>IFERROR(__xludf.DUMMYFUNCTION("GOOGLEFINANCE(A174,""high52"")"),71.38)</f>
        <v>71.38</v>
      </c>
    </row>
    <row r="175">
      <c r="A175" s="30" t="str">
        <f>'6image_RS_benchmark_performance'!A175</f>
        <v>DPZ</v>
      </c>
      <c r="B175" s="31">
        <f>IFERROR(__xludf.DUMMYFUNCTION("GOOGLEFINANCE(A175,""price"")"),474.97)</f>
        <v>474.97</v>
      </c>
      <c r="C175" s="31">
        <f>IFERROR(__xludf.DUMMYFUNCTION("GOOGLEFINANCE(A175,""high"")"),478.55)</f>
        <v>478.55</v>
      </c>
      <c r="D175" s="31">
        <f>IFERROR(__xludf.DUMMYFUNCTION("GOOGLEFINANCE(A175,""low"")"),471.28)</f>
        <v>471.28</v>
      </c>
      <c r="E175" s="31">
        <f>IFERROR(__xludf.DUMMYFUNCTION("GOOGLEFINANCE(A175,""change"")"),-3.52)</f>
        <v>-3.52</v>
      </c>
      <c r="F175" s="32">
        <f>IFERROR(__xludf.DUMMYFUNCTION("GOOGLEFINANCE(A175,""changepct"")/100"),-0.0074)</f>
        <v>-0.0074</v>
      </c>
      <c r="G175" s="33">
        <f>IFERROR(__xludf.DUMMYFUNCTION("GOOGLEFINANCE(A175,""priceopen"")"),475.83)</f>
        <v>475.83</v>
      </c>
      <c r="H175" s="34">
        <f>IFERROR(__xludf.DUMMYFUNCTION("GOOGLEFINANCE(A175,""closeyest"")"),478.49)</f>
        <v>478.49</v>
      </c>
      <c r="I175" s="34">
        <f>IFERROR(__xludf.DUMMYFUNCTION("GOOGLEFINANCE(A175,""low52"")"),319.71)</f>
        <v>319.71</v>
      </c>
      <c r="J175" s="34">
        <f>IFERROR(__xludf.DUMMYFUNCTION("GOOGLEFINANCE(A175,""high52"")"),491.42)</f>
        <v>491.42</v>
      </c>
    </row>
    <row r="176">
      <c r="A176" s="30" t="str">
        <f>'6image_RS_benchmark_performance'!A176</f>
        <v>DRE</v>
      </c>
      <c r="B176" s="31">
        <f>IFERROR(__xludf.DUMMYFUNCTION("GOOGLEFINANCE(A176,""price"")"),51.07)</f>
        <v>51.07</v>
      </c>
      <c r="C176" s="31">
        <f>IFERROR(__xludf.DUMMYFUNCTION("GOOGLEFINANCE(A176,""high"")"),51.4)</f>
        <v>51.4</v>
      </c>
      <c r="D176" s="31">
        <f>IFERROR(__xludf.DUMMYFUNCTION("GOOGLEFINANCE(A176,""low"")"),50.18)</f>
        <v>50.18</v>
      </c>
      <c r="E176" s="31">
        <f>IFERROR(__xludf.DUMMYFUNCTION("GOOGLEFINANCE(A176,""change"")"),0.89)</f>
        <v>0.89</v>
      </c>
      <c r="F176" s="32">
        <f>IFERROR(__xludf.DUMMYFUNCTION("GOOGLEFINANCE(A176,""changepct"")/100"),0.0177)</f>
        <v>0.0177</v>
      </c>
      <c r="G176" s="33">
        <f>IFERROR(__xludf.DUMMYFUNCTION("GOOGLEFINANCE(A176,""priceopen"")"),50.49)</f>
        <v>50.49</v>
      </c>
      <c r="H176" s="34">
        <f>IFERROR(__xludf.DUMMYFUNCTION("GOOGLEFINANCE(A176,""closeyest"")"),50.18)</f>
        <v>50.18</v>
      </c>
      <c r="I176" s="34">
        <f>IFERROR(__xludf.DUMMYFUNCTION("GOOGLEFINANCE(A176,""low52"")"),35.37)</f>
        <v>35.37</v>
      </c>
      <c r="J176" s="34">
        <f>IFERROR(__xludf.DUMMYFUNCTION("GOOGLEFINANCE(A176,""high52"")"),51.4)</f>
        <v>51.4</v>
      </c>
    </row>
    <row r="177">
      <c r="A177" s="30" t="str">
        <f>'6image_RS_benchmark_performance'!A177</f>
        <v>DRI</v>
      </c>
      <c r="B177" s="31">
        <f>IFERROR(__xludf.DUMMYFUNCTION("GOOGLEFINANCE(A177,""price"")"),141.87)</f>
        <v>141.87</v>
      </c>
      <c r="C177" s="31">
        <f>IFERROR(__xludf.DUMMYFUNCTION("GOOGLEFINANCE(A177,""high"")"),142.58)</f>
        <v>142.58</v>
      </c>
      <c r="D177" s="31">
        <f>IFERROR(__xludf.DUMMYFUNCTION("GOOGLEFINANCE(A177,""low"")"),135.49)</f>
        <v>135.49</v>
      </c>
      <c r="E177" s="31">
        <f>IFERROR(__xludf.DUMMYFUNCTION("GOOGLEFINANCE(A177,""change"")"),7.05)</f>
        <v>7.05</v>
      </c>
      <c r="F177" s="32">
        <f>IFERROR(__xludf.DUMMYFUNCTION("GOOGLEFINANCE(A177,""changepct"")/100"),0.052300000000000006)</f>
        <v>0.0523</v>
      </c>
      <c r="G177" s="33">
        <f>IFERROR(__xludf.DUMMYFUNCTION("GOOGLEFINANCE(A177,""priceopen"")"),135.49)</f>
        <v>135.49</v>
      </c>
      <c r="H177" s="34">
        <f>IFERROR(__xludf.DUMMYFUNCTION("GOOGLEFINANCE(A177,""closeyest"")"),134.82)</f>
        <v>134.82</v>
      </c>
      <c r="I177" s="34">
        <f>IFERROR(__xludf.DUMMYFUNCTION("GOOGLEFINANCE(A177,""low52"")"),73.04)</f>
        <v>73.04</v>
      </c>
      <c r="J177" s="34">
        <f>IFERROR(__xludf.DUMMYFUNCTION("GOOGLEFINANCE(A177,""high52"")"),150.2)</f>
        <v>150.2</v>
      </c>
    </row>
    <row r="178">
      <c r="A178" s="30" t="str">
        <f>'6image_RS_benchmark_performance'!A178</f>
        <v>DTE</v>
      </c>
      <c r="B178" s="31">
        <f>IFERROR(__xludf.DUMMYFUNCTION("GOOGLEFINANCE(A178,""price"")"),116.12)</f>
        <v>116.12</v>
      </c>
      <c r="C178" s="31">
        <f>IFERROR(__xludf.DUMMYFUNCTION("GOOGLEFINANCE(A178,""high"")"),116.37)</f>
        <v>116.37</v>
      </c>
      <c r="D178" s="31">
        <f>IFERROR(__xludf.DUMMYFUNCTION("GOOGLEFINANCE(A178,""low"")"),114.03)</f>
        <v>114.03</v>
      </c>
      <c r="E178" s="31">
        <f>IFERROR(__xludf.DUMMYFUNCTION("GOOGLEFINANCE(A178,""change"")"),2.22)</f>
        <v>2.22</v>
      </c>
      <c r="F178" s="32">
        <f>IFERROR(__xludf.DUMMYFUNCTION("GOOGLEFINANCE(A178,""changepct"")/100"),0.0195)</f>
        <v>0.0195</v>
      </c>
      <c r="G178" s="33">
        <f>IFERROR(__xludf.DUMMYFUNCTION("GOOGLEFINANCE(A178,""priceopen"")"),114.15)</f>
        <v>114.15</v>
      </c>
      <c r="H178" s="34">
        <f>IFERROR(__xludf.DUMMYFUNCTION("GOOGLEFINANCE(A178,""closeyest"")"),113.9)</f>
        <v>113.9</v>
      </c>
      <c r="I178" s="34">
        <f>IFERROR(__xludf.DUMMYFUNCTION("GOOGLEFINANCE(A178,""low52"")"),91.82)</f>
        <v>91.82</v>
      </c>
      <c r="J178" s="34">
        <f>IFERROR(__xludf.DUMMYFUNCTION("GOOGLEFINANCE(A178,""high52"")"),123.03)</f>
        <v>123.03</v>
      </c>
    </row>
    <row r="179">
      <c r="A179" s="30" t="str">
        <f>'6image_RS_benchmark_performance'!A179</f>
        <v>DUK</v>
      </c>
      <c r="B179" s="31">
        <f>IFERROR(__xludf.DUMMYFUNCTION("GOOGLEFINANCE(A179,""price"")"),103.74)</f>
        <v>103.74</v>
      </c>
      <c r="C179" s="31">
        <f>IFERROR(__xludf.DUMMYFUNCTION("GOOGLEFINANCE(A179,""high"")"),105.42)</f>
        <v>105.42</v>
      </c>
      <c r="D179" s="31">
        <f>IFERROR(__xludf.DUMMYFUNCTION("GOOGLEFINANCE(A179,""low"")"),103.43)</f>
        <v>103.43</v>
      </c>
      <c r="E179" s="31">
        <f>IFERROR(__xludf.DUMMYFUNCTION("GOOGLEFINANCE(A179,""change"")"),-0.15)</f>
        <v>-0.15</v>
      </c>
      <c r="F179" s="32">
        <f>IFERROR(__xludf.DUMMYFUNCTION("GOOGLEFINANCE(A179,""changepct"")/100"),-0.0014000000000000002)</f>
        <v>-0.0014</v>
      </c>
      <c r="G179" s="33">
        <f>IFERROR(__xludf.DUMMYFUNCTION("GOOGLEFINANCE(A179,""priceopen"")"),104.08)</f>
        <v>104.08</v>
      </c>
      <c r="H179" s="34">
        <f>IFERROR(__xludf.DUMMYFUNCTION("GOOGLEFINANCE(A179,""closeyest"")"),103.89)</f>
        <v>103.89</v>
      </c>
      <c r="I179" s="34">
        <f>IFERROR(__xludf.DUMMYFUNCTION("GOOGLEFINANCE(A179,""low52"")"),78.95)</f>
        <v>78.95</v>
      </c>
      <c r="J179" s="34">
        <f>IFERROR(__xludf.DUMMYFUNCTION("GOOGLEFINANCE(A179,""high52"")"),108.0)</f>
        <v>108</v>
      </c>
    </row>
    <row r="180">
      <c r="A180" s="30" t="str">
        <f>'6image_RS_benchmark_performance'!A180</f>
        <v>DVA</v>
      </c>
      <c r="B180" s="31">
        <f>IFERROR(__xludf.DUMMYFUNCTION("GOOGLEFINANCE(A180,""price"")"),119.41)</f>
        <v>119.41</v>
      </c>
      <c r="C180" s="31">
        <f>IFERROR(__xludf.DUMMYFUNCTION("GOOGLEFINANCE(A180,""high"")"),121.11)</f>
        <v>121.11</v>
      </c>
      <c r="D180" s="31">
        <f>IFERROR(__xludf.DUMMYFUNCTION("GOOGLEFINANCE(A180,""low"")"),118.59)</f>
        <v>118.59</v>
      </c>
      <c r="E180" s="31">
        <f>IFERROR(__xludf.DUMMYFUNCTION("GOOGLEFINANCE(A180,""change"")"),1.59)</f>
        <v>1.59</v>
      </c>
      <c r="F180" s="32">
        <f>IFERROR(__xludf.DUMMYFUNCTION("GOOGLEFINANCE(A180,""changepct"")/100"),0.013500000000000002)</f>
        <v>0.0135</v>
      </c>
      <c r="G180" s="33">
        <f>IFERROR(__xludf.DUMMYFUNCTION("GOOGLEFINANCE(A180,""priceopen"")"),118.59)</f>
        <v>118.59</v>
      </c>
      <c r="H180" s="34">
        <f>IFERROR(__xludf.DUMMYFUNCTION("GOOGLEFINANCE(A180,""closeyest"")"),117.82)</f>
        <v>117.82</v>
      </c>
      <c r="I180" s="34">
        <f>IFERROR(__xludf.DUMMYFUNCTION("GOOGLEFINANCE(A180,""low52"")"),80.85)</f>
        <v>80.85</v>
      </c>
      <c r="J180" s="34">
        <f>IFERROR(__xludf.DUMMYFUNCTION("GOOGLEFINANCE(A180,""high52"")"),129.59)</f>
        <v>129.59</v>
      </c>
    </row>
    <row r="181">
      <c r="A181" s="30" t="str">
        <f>'6image_RS_benchmark_performance'!A181</f>
        <v>DVN</v>
      </c>
      <c r="B181" s="31">
        <f>IFERROR(__xludf.DUMMYFUNCTION("GOOGLEFINANCE(A181,""price"")"),25.33)</f>
        <v>25.33</v>
      </c>
      <c r="C181" s="31">
        <f>IFERROR(__xludf.DUMMYFUNCTION("GOOGLEFINANCE(A181,""high"")"),25.83)</f>
        <v>25.83</v>
      </c>
      <c r="D181" s="31">
        <f>IFERROR(__xludf.DUMMYFUNCTION("GOOGLEFINANCE(A181,""low"")"),24.54)</f>
        <v>24.54</v>
      </c>
      <c r="E181" s="31">
        <f>IFERROR(__xludf.DUMMYFUNCTION("GOOGLEFINANCE(A181,""change"")"),0.4)</f>
        <v>0.4</v>
      </c>
      <c r="F181" s="32">
        <f>IFERROR(__xludf.DUMMYFUNCTION("GOOGLEFINANCE(A181,""changepct"")/100"),0.016)</f>
        <v>0.016</v>
      </c>
      <c r="G181" s="33">
        <f>IFERROR(__xludf.DUMMYFUNCTION("GOOGLEFINANCE(A181,""priceopen"")"),24.95)</f>
        <v>24.95</v>
      </c>
      <c r="H181" s="34">
        <f>IFERROR(__xludf.DUMMYFUNCTION("GOOGLEFINANCE(A181,""closeyest"")"),24.93)</f>
        <v>24.93</v>
      </c>
      <c r="I181" s="34">
        <f>IFERROR(__xludf.DUMMYFUNCTION("GOOGLEFINANCE(A181,""low52"")"),7.73)</f>
        <v>7.73</v>
      </c>
      <c r="J181" s="34">
        <f>IFERROR(__xludf.DUMMYFUNCTION("GOOGLEFINANCE(A181,""high52"")"),31.99)</f>
        <v>31.99</v>
      </c>
    </row>
    <row r="182">
      <c r="A182" s="30" t="str">
        <f>'6image_RS_benchmark_performance'!A182</f>
        <v>DXC</v>
      </c>
      <c r="B182" s="31">
        <f>IFERROR(__xludf.DUMMYFUNCTION("GOOGLEFINANCE(A182,""price"")"),38.63)</f>
        <v>38.63</v>
      </c>
      <c r="C182" s="31">
        <f>IFERROR(__xludf.DUMMYFUNCTION("GOOGLEFINANCE(A182,""high"")"),38.97)</f>
        <v>38.97</v>
      </c>
      <c r="D182" s="31">
        <f>IFERROR(__xludf.DUMMYFUNCTION("GOOGLEFINANCE(A182,""low"")"),37.45)</f>
        <v>37.45</v>
      </c>
      <c r="E182" s="31">
        <f>IFERROR(__xludf.DUMMYFUNCTION("GOOGLEFINANCE(A182,""change"")"),1.06)</f>
        <v>1.06</v>
      </c>
      <c r="F182" s="32">
        <f>IFERROR(__xludf.DUMMYFUNCTION("GOOGLEFINANCE(A182,""changepct"")/100"),0.0282)</f>
        <v>0.0282</v>
      </c>
      <c r="G182" s="33">
        <f>IFERROR(__xludf.DUMMYFUNCTION("GOOGLEFINANCE(A182,""priceopen"")"),37.73)</f>
        <v>37.73</v>
      </c>
      <c r="H182" s="34">
        <f>IFERROR(__xludf.DUMMYFUNCTION("GOOGLEFINANCE(A182,""closeyest"")"),37.57)</f>
        <v>37.57</v>
      </c>
      <c r="I182" s="34">
        <f>IFERROR(__xludf.DUMMYFUNCTION("GOOGLEFINANCE(A182,""low52"")"),15.64)</f>
        <v>15.64</v>
      </c>
      <c r="J182" s="34">
        <f>IFERROR(__xludf.DUMMYFUNCTION("GOOGLEFINANCE(A182,""high52"")"),41.75)</f>
        <v>41.75</v>
      </c>
    </row>
    <row r="183">
      <c r="A183" s="30" t="str">
        <f>'6image_RS_benchmark_performance'!A183</f>
        <v>DXCM</v>
      </c>
      <c r="B183" s="31">
        <f>IFERROR(__xludf.DUMMYFUNCTION("GOOGLEFINANCE(A183,""price"")"),447.7)</f>
        <v>447.7</v>
      </c>
      <c r="C183" s="31">
        <f>IFERROR(__xludf.DUMMYFUNCTION("GOOGLEFINANCE(A183,""high"")"),451.33)</f>
        <v>451.33</v>
      </c>
      <c r="D183" s="31">
        <f>IFERROR(__xludf.DUMMYFUNCTION("GOOGLEFINANCE(A183,""low"")"),431.15)</f>
        <v>431.15</v>
      </c>
      <c r="E183" s="31">
        <f>IFERROR(__xludf.DUMMYFUNCTION("GOOGLEFINANCE(A183,""change"")"),12.65)</f>
        <v>12.65</v>
      </c>
      <c r="F183" s="32">
        <f>IFERROR(__xludf.DUMMYFUNCTION("GOOGLEFINANCE(A183,""changepct"")/100"),0.0291)</f>
        <v>0.0291</v>
      </c>
      <c r="G183" s="33">
        <f>IFERROR(__xludf.DUMMYFUNCTION("GOOGLEFINANCE(A183,""priceopen"")"),434.88)</f>
        <v>434.88</v>
      </c>
      <c r="H183" s="34">
        <f>IFERROR(__xludf.DUMMYFUNCTION("GOOGLEFINANCE(A183,""closeyest"")"),435.05)</f>
        <v>435.05</v>
      </c>
      <c r="I183" s="34">
        <f>IFERROR(__xludf.DUMMYFUNCTION("GOOGLEFINANCE(A183,""low52"")"),305.63)</f>
        <v>305.63</v>
      </c>
      <c r="J183" s="34">
        <f>IFERROR(__xludf.DUMMYFUNCTION("GOOGLEFINANCE(A183,""high52"")"),456.23)</f>
        <v>456.23</v>
      </c>
    </row>
    <row r="184">
      <c r="A184" s="30" t="str">
        <f>'6image_RS_benchmark_performance'!A184</f>
        <v>EA</v>
      </c>
      <c r="B184" s="31">
        <f>IFERROR(__xludf.DUMMYFUNCTION("GOOGLEFINANCE(A184,""price"")"),141.07)</f>
        <v>141.07</v>
      </c>
      <c r="C184" s="31">
        <f>IFERROR(__xludf.DUMMYFUNCTION("GOOGLEFINANCE(A184,""high"")"),141.99)</f>
        <v>141.99</v>
      </c>
      <c r="D184" s="31">
        <f>IFERROR(__xludf.DUMMYFUNCTION("GOOGLEFINANCE(A184,""low"")"),139.88)</f>
        <v>139.88</v>
      </c>
      <c r="E184" s="31">
        <f>IFERROR(__xludf.DUMMYFUNCTION("GOOGLEFINANCE(A184,""change"")"),-0.17)</f>
        <v>-0.17</v>
      </c>
      <c r="F184" s="32">
        <f>IFERROR(__xludf.DUMMYFUNCTION("GOOGLEFINANCE(A184,""changepct"")/100"),-0.0012)</f>
        <v>-0.0012</v>
      </c>
      <c r="G184" s="33">
        <f>IFERROR(__xludf.DUMMYFUNCTION("GOOGLEFINANCE(A184,""priceopen"")"),141.35)</f>
        <v>141.35</v>
      </c>
      <c r="H184" s="34">
        <f>IFERROR(__xludf.DUMMYFUNCTION("GOOGLEFINANCE(A184,""closeyest"")"),141.24)</f>
        <v>141.24</v>
      </c>
      <c r="I184" s="34">
        <f>IFERROR(__xludf.DUMMYFUNCTION("GOOGLEFINANCE(A184,""low52"")"),110.15)</f>
        <v>110.15</v>
      </c>
      <c r="J184" s="34">
        <f>IFERROR(__xludf.DUMMYFUNCTION("GOOGLEFINANCE(A184,""high52"")"),150.3)</f>
        <v>150.3</v>
      </c>
    </row>
    <row r="185">
      <c r="A185" s="30" t="str">
        <f>'6image_RS_benchmark_performance'!A185</f>
        <v>EBAY</v>
      </c>
      <c r="B185" s="31">
        <f>IFERROR(__xludf.DUMMYFUNCTION("GOOGLEFINANCE(A185,""price"")"),69.57)</f>
        <v>69.57</v>
      </c>
      <c r="C185" s="31">
        <f>IFERROR(__xludf.DUMMYFUNCTION("GOOGLEFINANCE(A185,""high"")"),69.61)</f>
        <v>69.61</v>
      </c>
      <c r="D185" s="31">
        <f>IFERROR(__xludf.DUMMYFUNCTION("GOOGLEFINANCE(A185,""low"")"),68.58)</f>
        <v>68.58</v>
      </c>
      <c r="E185" s="31">
        <f>IFERROR(__xludf.DUMMYFUNCTION("GOOGLEFINANCE(A185,""change"")"),1.04)</f>
        <v>1.04</v>
      </c>
      <c r="F185" s="32">
        <f>IFERROR(__xludf.DUMMYFUNCTION("GOOGLEFINANCE(A185,""changepct"")/100"),0.0152)</f>
        <v>0.0152</v>
      </c>
      <c r="G185" s="33">
        <f>IFERROR(__xludf.DUMMYFUNCTION("GOOGLEFINANCE(A185,""priceopen"")"),68.7)</f>
        <v>68.7</v>
      </c>
      <c r="H185" s="34">
        <f>IFERROR(__xludf.DUMMYFUNCTION("GOOGLEFINANCE(A185,""closeyest"")"),68.53)</f>
        <v>68.53</v>
      </c>
      <c r="I185" s="34">
        <f>IFERROR(__xludf.DUMMYFUNCTION("GOOGLEFINANCE(A185,""low52"")"),45.36)</f>
        <v>45.36</v>
      </c>
      <c r="J185" s="34">
        <f>IFERROR(__xludf.DUMMYFUNCTION("GOOGLEFINANCE(A185,""high52"")"),70.77)</f>
        <v>70.77</v>
      </c>
    </row>
    <row r="186">
      <c r="A186" s="30" t="str">
        <f>'6image_RS_benchmark_performance'!A186</f>
        <v>ECL</v>
      </c>
      <c r="B186" s="31">
        <f>IFERROR(__xludf.DUMMYFUNCTION("GOOGLEFINANCE(A186,""price"")"),214.2)</f>
        <v>214.2</v>
      </c>
      <c r="C186" s="31">
        <f>IFERROR(__xludf.DUMMYFUNCTION("GOOGLEFINANCE(A186,""high"")"),215.79)</f>
        <v>215.79</v>
      </c>
      <c r="D186" s="31">
        <f>IFERROR(__xludf.DUMMYFUNCTION("GOOGLEFINANCE(A186,""low"")"),209.55)</f>
        <v>209.55</v>
      </c>
      <c r="E186" s="31">
        <f>IFERROR(__xludf.DUMMYFUNCTION("GOOGLEFINANCE(A186,""change"")"),3.86)</f>
        <v>3.86</v>
      </c>
      <c r="F186" s="32">
        <f>IFERROR(__xludf.DUMMYFUNCTION("GOOGLEFINANCE(A186,""changepct"")/100"),0.0184)</f>
        <v>0.0184</v>
      </c>
      <c r="G186" s="33">
        <f>IFERROR(__xludf.DUMMYFUNCTION("GOOGLEFINANCE(A186,""priceopen"")"),209.98)</f>
        <v>209.98</v>
      </c>
      <c r="H186" s="34">
        <f>IFERROR(__xludf.DUMMYFUNCTION("GOOGLEFINANCE(A186,""closeyest"")"),210.34)</f>
        <v>210.34</v>
      </c>
      <c r="I186" s="34">
        <f>IFERROR(__xludf.DUMMYFUNCTION("GOOGLEFINANCE(A186,""low52"")"),181.25)</f>
        <v>181.25</v>
      </c>
      <c r="J186" s="34">
        <f>IFERROR(__xludf.DUMMYFUNCTION("GOOGLEFINANCE(A186,""high52"")"),230.0)</f>
        <v>230</v>
      </c>
    </row>
    <row r="187">
      <c r="A187" s="30" t="str">
        <f>'6image_RS_benchmark_performance'!A187</f>
        <v>ED</v>
      </c>
      <c r="B187" s="31">
        <f>IFERROR(__xludf.DUMMYFUNCTION("GOOGLEFINANCE(A187,""price"")"),73.57)</f>
        <v>73.57</v>
      </c>
      <c r="C187" s="31">
        <f>IFERROR(__xludf.DUMMYFUNCTION("GOOGLEFINANCE(A187,""high"")"),74.63)</f>
        <v>74.63</v>
      </c>
      <c r="D187" s="31">
        <f>IFERROR(__xludf.DUMMYFUNCTION("GOOGLEFINANCE(A187,""low"")"),72.62)</f>
        <v>72.62</v>
      </c>
      <c r="E187" s="31">
        <f>IFERROR(__xludf.DUMMYFUNCTION("GOOGLEFINANCE(A187,""change"")"),-0.2)</f>
        <v>-0.2</v>
      </c>
      <c r="F187" s="32">
        <f>IFERROR(__xludf.DUMMYFUNCTION("GOOGLEFINANCE(A187,""changepct"")/100"),-0.0027)</f>
        <v>-0.0027</v>
      </c>
      <c r="G187" s="33">
        <f>IFERROR(__xludf.DUMMYFUNCTION("GOOGLEFINANCE(A187,""priceopen"")"),72.63)</f>
        <v>72.63</v>
      </c>
      <c r="H187" s="34">
        <f>IFERROR(__xludf.DUMMYFUNCTION("GOOGLEFINANCE(A187,""closeyest"")"),73.77)</f>
        <v>73.77</v>
      </c>
      <c r="I187" s="34">
        <f>IFERROR(__xludf.DUMMYFUNCTION("GOOGLEFINANCE(A187,""low52"")"),65.56)</f>
        <v>65.56</v>
      </c>
      <c r="J187" s="34">
        <f>IFERROR(__xludf.DUMMYFUNCTION("GOOGLEFINANCE(A187,""high52"")"),83.92)</f>
        <v>83.92</v>
      </c>
    </row>
    <row r="188">
      <c r="A188" s="30" t="str">
        <f>'6image_RS_benchmark_performance'!A188</f>
        <v>EEM</v>
      </c>
      <c r="B188" s="31">
        <f>IFERROR(__xludf.DUMMYFUNCTION("GOOGLEFINANCE(A188,""price"")"),52.86)</f>
        <v>52.86</v>
      </c>
      <c r="C188" s="31">
        <f>IFERROR(__xludf.DUMMYFUNCTION("GOOGLEFINANCE(A188,""high"")"),52.98)</f>
        <v>52.98</v>
      </c>
      <c r="D188" s="31">
        <f>IFERROR(__xludf.DUMMYFUNCTION("GOOGLEFINANCE(A188,""low"")"),52.34)</f>
        <v>52.34</v>
      </c>
      <c r="E188" s="31">
        <f>IFERROR(__xludf.DUMMYFUNCTION("GOOGLEFINANCE(A188,""change"")"),0.17)</f>
        <v>0.17</v>
      </c>
      <c r="F188" s="32">
        <f>IFERROR(__xludf.DUMMYFUNCTION("GOOGLEFINANCE(A188,""changepct"")/100"),0.0032)</f>
        <v>0.0032</v>
      </c>
      <c r="G188" s="33">
        <f>IFERROR(__xludf.DUMMYFUNCTION("GOOGLEFINANCE(A188,""priceopen"")"),52.44)</f>
        <v>52.44</v>
      </c>
      <c r="H188" s="34">
        <f>IFERROR(__xludf.DUMMYFUNCTION("GOOGLEFINANCE(A188,""closeyest"")"),52.69)</f>
        <v>52.69</v>
      </c>
      <c r="I188" s="34">
        <f>IFERROR(__xludf.DUMMYFUNCTION("GOOGLEFINANCE(A188,""low52"")"),42.29)</f>
        <v>42.29</v>
      </c>
      <c r="J188" s="34">
        <f>IFERROR(__xludf.DUMMYFUNCTION("GOOGLEFINANCE(A188,""high52"")"),58.29)</f>
        <v>58.29</v>
      </c>
    </row>
    <row r="189">
      <c r="A189" s="30" t="str">
        <f>'6image_RS_benchmark_performance'!A189</f>
        <v>EFA</v>
      </c>
      <c r="B189" s="31">
        <f>IFERROR(__xludf.DUMMYFUNCTION("GOOGLEFINANCE(A189,""price"")"),77.46)</f>
        <v>77.46</v>
      </c>
      <c r="C189" s="31">
        <f>IFERROR(__xludf.DUMMYFUNCTION("GOOGLEFINANCE(A189,""high"")"),77.61)</f>
        <v>77.61</v>
      </c>
      <c r="D189" s="31">
        <f>IFERROR(__xludf.DUMMYFUNCTION("GOOGLEFINANCE(A189,""low"")"),76.63)</f>
        <v>76.63</v>
      </c>
      <c r="E189" s="31">
        <f>IFERROR(__xludf.DUMMYFUNCTION("GOOGLEFINANCE(A189,""change"")"),0.56)</f>
        <v>0.56</v>
      </c>
      <c r="F189" s="32">
        <f>IFERROR(__xludf.DUMMYFUNCTION("GOOGLEFINANCE(A189,""changepct"")/100"),0.0073)</f>
        <v>0.0073</v>
      </c>
      <c r="G189" s="33">
        <f>IFERROR(__xludf.DUMMYFUNCTION("GOOGLEFINANCE(A189,""priceopen"")"),76.73)</f>
        <v>76.73</v>
      </c>
      <c r="H189" s="34">
        <f>IFERROR(__xludf.DUMMYFUNCTION("GOOGLEFINANCE(A189,""closeyest"")"),76.9)</f>
        <v>76.9</v>
      </c>
      <c r="I189" s="34">
        <f>IFERROR(__xludf.DUMMYFUNCTION("GOOGLEFINANCE(A189,""low52"")"),60.97)</f>
        <v>60.97</v>
      </c>
      <c r="J189" s="34">
        <f>IFERROR(__xludf.DUMMYFUNCTION("GOOGLEFINANCE(A189,""high52"")"),82.11)</f>
        <v>82.11</v>
      </c>
    </row>
    <row r="190">
      <c r="A190" s="30" t="str">
        <f>'6image_RS_benchmark_performance'!A190</f>
        <v>EFX</v>
      </c>
      <c r="B190" s="31">
        <f>IFERROR(__xludf.DUMMYFUNCTION("GOOGLEFINANCE(A190,""price"")"),256.58)</f>
        <v>256.58</v>
      </c>
      <c r="C190" s="31">
        <f>IFERROR(__xludf.DUMMYFUNCTION("GOOGLEFINANCE(A190,""high"")"),257.65)</f>
        <v>257.65</v>
      </c>
      <c r="D190" s="31">
        <f>IFERROR(__xludf.DUMMYFUNCTION("GOOGLEFINANCE(A190,""low"")"),249.55)</f>
        <v>249.55</v>
      </c>
      <c r="E190" s="31">
        <f>IFERROR(__xludf.DUMMYFUNCTION("GOOGLEFINANCE(A190,""change"")"),7.85)</f>
        <v>7.85</v>
      </c>
      <c r="F190" s="32">
        <f>IFERROR(__xludf.DUMMYFUNCTION("GOOGLEFINANCE(A190,""changepct"")/100"),0.0316)</f>
        <v>0.0316</v>
      </c>
      <c r="G190" s="33">
        <f>IFERROR(__xludf.DUMMYFUNCTION("GOOGLEFINANCE(A190,""priceopen"")"),249.94)</f>
        <v>249.94</v>
      </c>
      <c r="H190" s="34">
        <f>IFERROR(__xludf.DUMMYFUNCTION("GOOGLEFINANCE(A190,""closeyest"")"),248.73)</f>
        <v>248.73</v>
      </c>
      <c r="I190" s="34">
        <f>IFERROR(__xludf.DUMMYFUNCTION("GOOGLEFINANCE(A190,""low52"")"),135.98)</f>
        <v>135.98</v>
      </c>
      <c r="J190" s="34">
        <f>IFERROR(__xludf.DUMMYFUNCTION("GOOGLEFINANCE(A190,""high52"")"),257.65)</f>
        <v>257.65</v>
      </c>
    </row>
    <row r="191">
      <c r="A191" s="30" t="str">
        <f>'6image_RS_benchmark_performance'!A191</f>
        <v>EIX</v>
      </c>
      <c r="B191" s="31">
        <f>IFERROR(__xludf.DUMMYFUNCTION("GOOGLEFINANCE(A191,""price"")"),56.85)</f>
        <v>56.85</v>
      </c>
      <c r="C191" s="31">
        <f>IFERROR(__xludf.DUMMYFUNCTION("GOOGLEFINANCE(A191,""high"")"),57.23)</f>
        <v>57.23</v>
      </c>
      <c r="D191" s="31">
        <f>IFERROR(__xludf.DUMMYFUNCTION("GOOGLEFINANCE(A191,""low"")"),56.14)</f>
        <v>56.14</v>
      </c>
      <c r="E191" s="31">
        <f>IFERROR(__xludf.DUMMYFUNCTION("GOOGLEFINANCE(A191,""change"")"),0.66)</f>
        <v>0.66</v>
      </c>
      <c r="F191" s="32">
        <f>IFERROR(__xludf.DUMMYFUNCTION("GOOGLEFINANCE(A191,""changepct"")/100"),0.011699999999999999)</f>
        <v>0.0117</v>
      </c>
      <c r="G191" s="33">
        <f>IFERROR(__xludf.DUMMYFUNCTION("GOOGLEFINANCE(A191,""priceopen"")"),56.16)</f>
        <v>56.16</v>
      </c>
      <c r="H191" s="34">
        <f>IFERROR(__xludf.DUMMYFUNCTION("GOOGLEFINANCE(A191,""closeyest"")"),56.19)</f>
        <v>56.19</v>
      </c>
      <c r="I191" s="34">
        <f>IFERROR(__xludf.DUMMYFUNCTION("GOOGLEFINANCE(A191,""low52"")"),48.47)</f>
        <v>48.47</v>
      </c>
      <c r="J191" s="34">
        <f>IFERROR(__xludf.DUMMYFUNCTION("GOOGLEFINANCE(A191,""high52"")"),66.68)</f>
        <v>66.68</v>
      </c>
    </row>
    <row r="192">
      <c r="A192" s="30" t="str">
        <f>'6image_RS_benchmark_performance'!A192</f>
        <v>EL</v>
      </c>
      <c r="B192" s="31">
        <f>IFERROR(__xludf.DUMMYFUNCTION("GOOGLEFINANCE(A192,""price"")"),323.45)</f>
        <v>323.45</v>
      </c>
      <c r="C192" s="31">
        <f>IFERROR(__xludf.DUMMYFUNCTION("GOOGLEFINANCE(A192,""high"")"),325.02)</f>
        <v>325.02</v>
      </c>
      <c r="D192" s="31">
        <f>IFERROR(__xludf.DUMMYFUNCTION("GOOGLEFINANCE(A192,""low"")"),316.11)</f>
        <v>316.11</v>
      </c>
      <c r="E192" s="31">
        <f>IFERROR(__xludf.DUMMYFUNCTION("GOOGLEFINANCE(A192,""change"")"),7.34)</f>
        <v>7.34</v>
      </c>
      <c r="F192" s="32">
        <f>IFERROR(__xludf.DUMMYFUNCTION("GOOGLEFINANCE(A192,""changepct"")/100"),0.0232)</f>
        <v>0.0232</v>
      </c>
      <c r="G192" s="33">
        <f>IFERROR(__xludf.DUMMYFUNCTION("GOOGLEFINANCE(A192,""priceopen"")"),316.54)</f>
        <v>316.54</v>
      </c>
      <c r="H192" s="34">
        <f>IFERROR(__xludf.DUMMYFUNCTION("GOOGLEFINANCE(A192,""closeyest"")"),316.11)</f>
        <v>316.11</v>
      </c>
      <c r="I192" s="34">
        <f>IFERROR(__xludf.DUMMYFUNCTION("GOOGLEFINANCE(A192,""low52"")"),187.75)</f>
        <v>187.75</v>
      </c>
      <c r="J192" s="34">
        <f>IFERROR(__xludf.DUMMYFUNCTION("GOOGLEFINANCE(A192,""high52"")"),328.65)</f>
        <v>328.65</v>
      </c>
    </row>
    <row r="193">
      <c r="A193" s="30" t="str">
        <f>'6image_RS_benchmark_performance'!A193</f>
        <v>ELAN</v>
      </c>
      <c r="B193" s="31">
        <f>IFERROR(__xludf.DUMMYFUNCTION("GOOGLEFINANCE(A193,""price"")"),35.53)</f>
        <v>35.53</v>
      </c>
      <c r="C193" s="31">
        <f>IFERROR(__xludf.DUMMYFUNCTION("GOOGLEFINANCE(A193,""high"")"),35.95)</f>
        <v>35.95</v>
      </c>
      <c r="D193" s="31">
        <f>IFERROR(__xludf.DUMMYFUNCTION("GOOGLEFINANCE(A193,""low"")"),34.46)</f>
        <v>34.46</v>
      </c>
      <c r="E193" s="31">
        <f>IFERROR(__xludf.DUMMYFUNCTION("GOOGLEFINANCE(A193,""change"")"),1.3)</f>
        <v>1.3</v>
      </c>
      <c r="F193" s="32">
        <f>IFERROR(__xludf.DUMMYFUNCTION("GOOGLEFINANCE(A193,""changepct"")/100"),0.038)</f>
        <v>0.038</v>
      </c>
      <c r="G193" s="33">
        <f>IFERROR(__xludf.DUMMYFUNCTION("GOOGLEFINANCE(A193,""priceopen"")"),34.55)</f>
        <v>34.55</v>
      </c>
      <c r="H193" s="34">
        <f>IFERROR(__xludf.DUMMYFUNCTION("GOOGLEFINANCE(A193,""closeyest"")"),34.23)</f>
        <v>34.23</v>
      </c>
      <c r="I193" s="34">
        <f>IFERROR(__xludf.DUMMYFUNCTION("GOOGLEFINANCE(A193,""low52"")"),20.85)</f>
        <v>20.85</v>
      </c>
      <c r="J193" s="34">
        <f>IFERROR(__xludf.DUMMYFUNCTION("GOOGLEFINANCE(A193,""high52"")"),36.53)</f>
        <v>36.53</v>
      </c>
    </row>
    <row r="194">
      <c r="A194" s="30" t="str">
        <f>'6image_RS_benchmark_performance'!A194</f>
        <v>ELY</v>
      </c>
      <c r="B194" s="31">
        <f>IFERROR(__xludf.DUMMYFUNCTION("GOOGLEFINANCE(A194,""price"")"),31.4)</f>
        <v>31.4</v>
      </c>
      <c r="C194" s="31">
        <f>IFERROR(__xludf.DUMMYFUNCTION("GOOGLEFINANCE(A194,""high"")"),31.56)</f>
        <v>31.56</v>
      </c>
      <c r="D194" s="31">
        <f>IFERROR(__xludf.DUMMYFUNCTION("GOOGLEFINANCE(A194,""low"")"),29.42)</f>
        <v>29.42</v>
      </c>
      <c r="E194" s="31">
        <f>IFERROR(__xludf.DUMMYFUNCTION("GOOGLEFINANCE(A194,""change"")"),1.8)</f>
        <v>1.8</v>
      </c>
      <c r="F194" s="32">
        <f>IFERROR(__xludf.DUMMYFUNCTION("GOOGLEFINANCE(A194,""changepct"")/100"),0.0608)</f>
        <v>0.0608</v>
      </c>
      <c r="G194" s="33">
        <f>IFERROR(__xludf.DUMMYFUNCTION("GOOGLEFINANCE(A194,""priceopen"")"),29.76)</f>
        <v>29.76</v>
      </c>
      <c r="H194" s="34">
        <f>IFERROR(__xludf.DUMMYFUNCTION("GOOGLEFINANCE(A194,""closeyest"")"),29.6)</f>
        <v>29.6</v>
      </c>
      <c r="I194" s="34">
        <f>IFERROR(__xludf.DUMMYFUNCTION("GOOGLEFINANCE(A194,""low52"")"),14.62)</f>
        <v>14.62</v>
      </c>
      <c r="J194" s="34">
        <f>IFERROR(__xludf.DUMMYFUNCTION("GOOGLEFINANCE(A194,""high52"")"),37.75)</f>
        <v>37.75</v>
      </c>
    </row>
    <row r="195">
      <c r="A195" s="30" t="str">
        <f>'6image_RS_benchmark_performance'!A195</f>
        <v>EMB</v>
      </c>
      <c r="B195" s="31">
        <f>IFERROR(__xludf.DUMMYFUNCTION("GOOGLEFINANCE(A195,""price"")"),112.83)</f>
        <v>112.83</v>
      </c>
      <c r="C195" s="31">
        <f>IFERROR(__xludf.DUMMYFUNCTION("GOOGLEFINANCE(A195,""high"")"),112.92)</f>
        <v>112.92</v>
      </c>
      <c r="D195" s="31">
        <f>IFERROR(__xludf.DUMMYFUNCTION("GOOGLEFINANCE(A195,""low"")"),112.61)</f>
        <v>112.61</v>
      </c>
      <c r="E195" s="31">
        <f>IFERROR(__xludf.DUMMYFUNCTION("GOOGLEFINANCE(A195,""change"")"),0.31)</f>
        <v>0.31</v>
      </c>
      <c r="F195" s="32">
        <f>IFERROR(__xludf.DUMMYFUNCTION("GOOGLEFINANCE(A195,""changepct"")/100"),0.0028000000000000004)</f>
        <v>0.0028</v>
      </c>
      <c r="G195" s="33">
        <f>IFERROR(__xludf.DUMMYFUNCTION("GOOGLEFINANCE(A195,""priceopen"")"),112.82)</f>
        <v>112.82</v>
      </c>
      <c r="H195" s="34">
        <f>IFERROR(__xludf.DUMMYFUNCTION("GOOGLEFINANCE(A195,""closeyest"")"),112.52)</f>
        <v>112.52</v>
      </c>
      <c r="I195" s="34">
        <f>IFERROR(__xludf.DUMMYFUNCTION("GOOGLEFINANCE(A195,""low52"")"),106.7)</f>
        <v>106.7</v>
      </c>
      <c r="J195" s="34">
        <f>IFERROR(__xludf.DUMMYFUNCTION("GOOGLEFINANCE(A195,""high52"")"),116.09)</f>
        <v>116.09</v>
      </c>
    </row>
    <row r="196">
      <c r="A196" s="30" t="str">
        <f>'6image_RS_benchmark_performance'!A196</f>
        <v>EMN</v>
      </c>
      <c r="B196" s="31">
        <f>IFERROR(__xludf.DUMMYFUNCTION("GOOGLEFINANCE(A196,""price"")"),108.19)</f>
        <v>108.19</v>
      </c>
      <c r="C196" s="31">
        <f>IFERROR(__xludf.DUMMYFUNCTION("GOOGLEFINANCE(A196,""high"")"),108.71)</f>
        <v>108.71</v>
      </c>
      <c r="D196" s="31">
        <f>IFERROR(__xludf.DUMMYFUNCTION("GOOGLEFINANCE(A196,""low"")"),105.16)</f>
        <v>105.16</v>
      </c>
      <c r="E196" s="31">
        <f>IFERROR(__xludf.DUMMYFUNCTION("GOOGLEFINANCE(A196,""change"")"),2.5)</f>
        <v>2.5</v>
      </c>
      <c r="F196" s="32">
        <f>IFERROR(__xludf.DUMMYFUNCTION("GOOGLEFINANCE(A196,""changepct"")/100"),0.023700000000000002)</f>
        <v>0.0237</v>
      </c>
      <c r="G196" s="33">
        <f>IFERROR(__xludf.DUMMYFUNCTION("GOOGLEFINANCE(A196,""priceopen"")"),105.75)</f>
        <v>105.75</v>
      </c>
      <c r="H196" s="34">
        <f>IFERROR(__xludf.DUMMYFUNCTION("GOOGLEFINANCE(A196,""closeyest"")"),105.69)</f>
        <v>105.69</v>
      </c>
      <c r="I196" s="34">
        <f>IFERROR(__xludf.DUMMYFUNCTION("GOOGLEFINANCE(A196,""low52"")"),69.64)</f>
        <v>69.64</v>
      </c>
      <c r="J196" s="34">
        <f>IFERROR(__xludf.DUMMYFUNCTION("GOOGLEFINANCE(A196,""high52"")"),130.47)</f>
        <v>130.47</v>
      </c>
    </row>
    <row r="197">
      <c r="A197" s="30" t="str">
        <f>'6image_RS_benchmark_performance'!A197</f>
        <v>EMR</v>
      </c>
      <c r="B197" s="31">
        <f>IFERROR(__xludf.DUMMYFUNCTION("GOOGLEFINANCE(A197,""price"")"),97.13)</f>
        <v>97.13</v>
      </c>
      <c r="C197" s="31">
        <f>IFERROR(__xludf.DUMMYFUNCTION("GOOGLEFINANCE(A197,""high"")"),97.35)</f>
        <v>97.35</v>
      </c>
      <c r="D197" s="31">
        <f>IFERROR(__xludf.DUMMYFUNCTION("GOOGLEFINANCE(A197,""low"")"),93.88)</f>
        <v>93.88</v>
      </c>
      <c r="E197" s="31">
        <f>IFERROR(__xludf.DUMMYFUNCTION("GOOGLEFINANCE(A197,""change"")"),3.32)</f>
        <v>3.32</v>
      </c>
      <c r="F197" s="32">
        <f>IFERROR(__xludf.DUMMYFUNCTION("GOOGLEFINANCE(A197,""changepct"")/100"),0.0354)</f>
        <v>0.0354</v>
      </c>
      <c r="G197" s="33">
        <f>IFERROR(__xludf.DUMMYFUNCTION("GOOGLEFINANCE(A197,""priceopen"")"),93.94)</f>
        <v>93.94</v>
      </c>
      <c r="H197" s="34">
        <f>IFERROR(__xludf.DUMMYFUNCTION("GOOGLEFINANCE(A197,""closeyest"")"),93.81)</f>
        <v>93.81</v>
      </c>
      <c r="I197" s="34">
        <f>IFERROR(__xludf.DUMMYFUNCTION("GOOGLEFINANCE(A197,""low52"")"),60.78)</f>
        <v>60.78</v>
      </c>
      <c r="J197" s="34">
        <f>IFERROR(__xludf.DUMMYFUNCTION("GOOGLEFINANCE(A197,""high52"")"),99.09)</f>
        <v>99.09</v>
      </c>
    </row>
    <row r="198">
      <c r="A198" s="30" t="str">
        <f>'6image_RS_benchmark_performance'!A198</f>
        <v>ENPH</v>
      </c>
      <c r="B198" s="31">
        <f>IFERROR(__xludf.DUMMYFUNCTION("GOOGLEFINANCE(A198,""price"")"),172.09)</f>
        <v>172.09</v>
      </c>
      <c r="C198" s="31">
        <f>IFERROR(__xludf.DUMMYFUNCTION("GOOGLEFINANCE(A198,""high"")"),173.52)</f>
        <v>173.52</v>
      </c>
      <c r="D198" s="31">
        <f>IFERROR(__xludf.DUMMYFUNCTION("GOOGLEFINANCE(A198,""low"")"),163.93)</f>
        <v>163.93</v>
      </c>
      <c r="E198" s="31">
        <f>IFERROR(__xludf.DUMMYFUNCTION("GOOGLEFINANCE(A198,""change"")"),6.81)</f>
        <v>6.81</v>
      </c>
      <c r="F198" s="32">
        <f>IFERROR(__xludf.DUMMYFUNCTION("GOOGLEFINANCE(A198,""changepct"")/100"),0.0412)</f>
        <v>0.0412</v>
      </c>
      <c r="G198" s="33">
        <f>IFERROR(__xludf.DUMMYFUNCTION("GOOGLEFINANCE(A198,""priceopen"")"),167.53)</f>
        <v>167.53</v>
      </c>
      <c r="H198" s="34">
        <f>IFERROR(__xludf.DUMMYFUNCTION("GOOGLEFINANCE(A198,""closeyest"")"),165.28)</f>
        <v>165.28</v>
      </c>
      <c r="I198" s="34">
        <f>IFERROR(__xludf.DUMMYFUNCTION("GOOGLEFINANCE(A198,""low52"")"),56.28)</f>
        <v>56.28</v>
      </c>
      <c r="J198" s="34">
        <f>IFERROR(__xludf.DUMMYFUNCTION("GOOGLEFINANCE(A198,""high52"")"),229.04)</f>
        <v>229.04</v>
      </c>
    </row>
    <row r="199">
      <c r="A199" s="30" t="str">
        <f>'6image_RS_benchmark_performance'!A199</f>
        <v>EOG</v>
      </c>
      <c r="B199" s="31">
        <f>IFERROR(__xludf.DUMMYFUNCTION("GOOGLEFINANCE(A199,""price"")"),71.5)</f>
        <v>71.5</v>
      </c>
      <c r="C199" s="31">
        <f>IFERROR(__xludf.DUMMYFUNCTION("GOOGLEFINANCE(A199,""high"")"),72.46)</f>
        <v>72.46</v>
      </c>
      <c r="D199" s="31">
        <f>IFERROR(__xludf.DUMMYFUNCTION("GOOGLEFINANCE(A199,""low"")"),69.3)</f>
        <v>69.3</v>
      </c>
      <c r="E199" s="31">
        <f>IFERROR(__xludf.DUMMYFUNCTION("GOOGLEFINANCE(A199,""change"")"),1.16)</f>
        <v>1.16</v>
      </c>
      <c r="F199" s="32">
        <f>IFERROR(__xludf.DUMMYFUNCTION("GOOGLEFINANCE(A199,""changepct"")/100"),0.0165)</f>
        <v>0.0165</v>
      </c>
      <c r="G199" s="33">
        <f>IFERROR(__xludf.DUMMYFUNCTION("GOOGLEFINANCE(A199,""priceopen"")"),70.0)</f>
        <v>70</v>
      </c>
      <c r="H199" s="34">
        <f>IFERROR(__xludf.DUMMYFUNCTION("GOOGLEFINANCE(A199,""closeyest"")"),70.34)</f>
        <v>70.34</v>
      </c>
      <c r="I199" s="34">
        <f>IFERROR(__xludf.DUMMYFUNCTION("GOOGLEFINANCE(A199,""low52"")"),31.22)</f>
        <v>31.22</v>
      </c>
      <c r="J199" s="34">
        <f>IFERROR(__xludf.DUMMYFUNCTION("GOOGLEFINANCE(A199,""high52"")"),87.99)</f>
        <v>87.99</v>
      </c>
    </row>
    <row r="200">
      <c r="A200" s="30" t="str">
        <f>'6image_RS_benchmark_performance'!A200</f>
        <v>EQH</v>
      </c>
      <c r="B200" s="31">
        <f>IFERROR(__xludf.DUMMYFUNCTION("GOOGLEFINANCE(A200,""price"")"),29.33)</f>
        <v>29.33</v>
      </c>
      <c r="C200" s="31">
        <f>IFERROR(__xludf.DUMMYFUNCTION("GOOGLEFINANCE(A200,""high"")"),29.65)</f>
        <v>29.65</v>
      </c>
      <c r="D200" s="31">
        <f>IFERROR(__xludf.DUMMYFUNCTION("GOOGLEFINANCE(A200,""low"")"),28.01)</f>
        <v>28.01</v>
      </c>
      <c r="E200" s="31">
        <f>IFERROR(__xludf.DUMMYFUNCTION("GOOGLEFINANCE(A200,""change"")"),1.26)</f>
        <v>1.26</v>
      </c>
      <c r="F200" s="32">
        <f>IFERROR(__xludf.DUMMYFUNCTION("GOOGLEFINANCE(A200,""changepct"")/100"),0.0449)</f>
        <v>0.0449</v>
      </c>
      <c r="G200" s="33">
        <f>IFERROR(__xludf.DUMMYFUNCTION("GOOGLEFINANCE(A200,""priceopen"")"),28.02)</f>
        <v>28.02</v>
      </c>
      <c r="H200" s="34">
        <f>IFERROR(__xludf.DUMMYFUNCTION("GOOGLEFINANCE(A200,""closeyest"")"),28.07)</f>
        <v>28.07</v>
      </c>
      <c r="I200" s="34">
        <f>IFERROR(__xludf.DUMMYFUNCTION("GOOGLEFINANCE(A200,""low52"")"),17.33)</f>
        <v>17.33</v>
      </c>
      <c r="J200" s="34">
        <f>IFERROR(__xludf.DUMMYFUNCTION("GOOGLEFINANCE(A200,""high52"")"),35.46)</f>
        <v>35.46</v>
      </c>
    </row>
    <row r="201">
      <c r="A201" s="30" t="str">
        <f>'6image_RS_benchmark_performance'!A201</f>
        <v>EQIX</v>
      </c>
      <c r="B201" s="31">
        <f>IFERROR(__xludf.DUMMYFUNCTION("GOOGLEFINANCE(A201,""price"")"),832.65)</f>
        <v>832.65</v>
      </c>
      <c r="C201" s="31">
        <f>IFERROR(__xludf.DUMMYFUNCTION("GOOGLEFINANCE(A201,""high"")"),840.0)</f>
        <v>840</v>
      </c>
      <c r="D201" s="31">
        <f>IFERROR(__xludf.DUMMYFUNCTION("GOOGLEFINANCE(A201,""low"")"),828.18)</f>
        <v>828.18</v>
      </c>
      <c r="E201" s="31">
        <f>IFERROR(__xludf.DUMMYFUNCTION("GOOGLEFINANCE(A201,""change"")"),-1.65)</f>
        <v>-1.65</v>
      </c>
      <c r="F201" s="32">
        <f>IFERROR(__xludf.DUMMYFUNCTION("GOOGLEFINANCE(A201,""changepct"")/100"),-0.002)</f>
        <v>-0.002</v>
      </c>
      <c r="G201" s="33">
        <f>IFERROR(__xludf.DUMMYFUNCTION("GOOGLEFINANCE(A201,""priceopen"")"),838.5)</f>
        <v>838.5</v>
      </c>
      <c r="H201" s="34">
        <f>IFERROR(__xludf.DUMMYFUNCTION("GOOGLEFINANCE(A201,""closeyest"")"),834.3)</f>
        <v>834.3</v>
      </c>
      <c r="I201" s="34">
        <f>IFERROR(__xludf.DUMMYFUNCTION("GOOGLEFINANCE(A201,""low52"")"),586.73)</f>
        <v>586.73</v>
      </c>
      <c r="J201" s="34">
        <f>IFERROR(__xludf.DUMMYFUNCTION("GOOGLEFINANCE(A201,""high52"")"),845.62)</f>
        <v>845.62</v>
      </c>
    </row>
    <row r="202">
      <c r="A202" s="30" t="str">
        <f>'6image_RS_benchmark_performance'!A202</f>
        <v>EQR</v>
      </c>
      <c r="B202" s="31">
        <f>IFERROR(__xludf.DUMMYFUNCTION("GOOGLEFINANCE(A202,""price"")"),84.88)</f>
        <v>84.88</v>
      </c>
      <c r="C202" s="31">
        <f>IFERROR(__xludf.DUMMYFUNCTION("GOOGLEFINANCE(A202,""high"")"),85.26)</f>
        <v>85.26</v>
      </c>
      <c r="D202" s="31">
        <f>IFERROR(__xludf.DUMMYFUNCTION("GOOGLEFINANCE(A202,""low"")"),82.45)</f>
        <v>82.45</v>
      </c>
      <c r="E202" s="31">
        <f>IFERROR(__xludf.DUMMYFUNCTION("GOOGLEFINANCE(A202,""change"")"),2.48)</f>
        <v>2.48</v>
      </c>
      <c r="F202" s="32">
        <f>IFERROR(__xludf.DUMMYFUNCTION("GOOGLEFINANCE(A202,""changepct"")/100"),0.0301)</f>
        <v>0.0301</v>
      </c>
      <c r="G202" s="33">
        <f>IFERROR(__xludf.DUMMYFUNCTION("GOOGLEFINANCE(A202,""priceopen"")"),82.75)</f>
        <v>82.75</v>
      </c>
      <c r="H202" s="34">
        <f>IFERROR(__xludf.DUMMYFUNCTION("GOOGLEFINANCE(A202,""closeyest"")"),82.4)</f>
        <v>82.4</v>
      </c>
      <c r="I202" s="34">
        <f>IFERROR(__xludf.DUMMYFUNCTION("GOOGLEFINANCE(A202,""low52"")"),45.43)</f>
        <v>45.43</v>
      </c>
      <c r="J202" s="34">
        <f>IFERROR(__xludf.DUMMYFUNCTION("GOOGLEFINANCE(A202,""high52"")"),85.26)</f>
        <v>85.26</v>
      </c>
    </row>
    <row r="203">
      <c r="A203" s="30" t="str">
        <f>'6image_RS_benchmark_performance'!A203</f>
        <v>ES</v>
      </c>
      <c r="B203" s="31">
        <f>IFERROR(__xludf.DUMMYFUNCTION("GOOGLEFINANCE(A203,""price"")"),85.94)</f>
        <v>85.94</v>
      </c>
      <c r="C203" s="31">
        <f>IFERROR(__xludf.DUMMYFUNCTION("GOOGLEFINANCE(A203,""high"")"),87.79)</f>
        <v>87.79</v>
      </c>
      <c r="D203" s="31">
        <f>IFERROR(__xludf.DUMMYFUNCTION("GOOGLEFINANCE(A203,""low"")"),85.41)</f>
        <v>85.41</v>
      </c>
      <c r="E203" s="31">
        <f>IFERROR(__xludf.DUMMYFUNCTION("GOOGLEFINANCE(A203,""change"")"),-0.29)</f>
        <v>-0.29</v>
      </c>
      <c r="F203" s="32">
        <f>IFERROR(__xludf.DUMMYFUNCTION("GOOGLEFINANCE(A203,""changepct"")/100"),-0.0034000000000000002)</f>
        <v>-0.0034</v>
      </c>
      <c r="G203" s="33">
        <f>IFERROR(__xludf.DUMMYFUNCTION("GOOGLEFINANCE(A203,""priceopen"")"),86.54)</f>
        <v>86.54</v>
      </c>
      <c r="H203" s="34">
        <f>IFERROR(__xludf.DUMMYFUNCTION("GOOGLEFINANCE(A203,""closeyest"")"),86.23)</f>
        <v>86.23</v>
      </c>
      <c r="I203" s="34">
        <f>IFERROR(__xludf.DUMMYFUNCTION("GOOGLEFINANCE(A203,""low52"")"),76.64)</f>
        <v>76.64</v>
      </c>
      <c r="J203" s="34">
        <f>IFERROR(__xludf.DUMMYFUNCTION("GOOGLEFINANCE(A203,""high52"")"),96.66)</f>
        <v>96.66</v>
      </c>
    </row>
    <row r="204">
      <c r="A204" s="30" t="str">
        <f>'6image_RS_benchmark_performance'!A204</f>
        <v>ESS</v>
      </c>
      <c r="B204" s="31">
        <f>IFERROR(__xludf.DUMMYFUNCTION("GOOGLEFINANCE(A204,""price"")"),330.73)</f>
        <v>330.73</v>
      </c>
      <c r="C204" s="31">
        <f>IFERROR(__xludf.DUMMYFUNCTION("GOOGLEFINANCE(A204,""high"")"),332.55)</f>
        <v>332.55</v>
      </c>
      <c r="D204" s="31">
        <f>IFERROR(__xludf.DUMMYFUNCTION("GOOGLEFINANCE(A204,""low"")"),324.19)</f>
        <v>324.19</v>
      </c>
      <c r="E204" s="31">
        <f>IFERROR(__xludf.DUMMYFUNCTION("GOOGLEFINANCE(A204,""change"")"),8.02)</f>
        <v>8.02</v>
      </c>
      <c r="F204" s="32">
        <f>IFERROR(__xludf.DUMMYFUNCTION("GOOGLEFINANCE(A204,""changepct"")/100"),0.024900000000000002)</f>
        <v>0.0249</v>
      </c>
      <c r="G204" s="33">
        <f>IFERROR(__xludf.DUMMYFUNCTION("GOOGLEFINANCE(A204,""priceopen"")"),324.19)</f>
        <v>324.19</v>
      </c>
      <c r="H204" s="34">
        <f>IFERROR(__xludf.DUMMYFUNCTION("GOOGLEFINANCE(A204,""closeyest"")"),322.71)</f>
        <v>322.71</v>
      </c>
      <c r="I204" s="34">
        <f>IFERROR(__xludf.DUMMYFUNCTION("GOOGLEFINANCE(A204,""low52"")"),186.3)</f>
        <v>186.3</v>
      </c>
      <c r="J204" s="34">
        <f>IFERROR(__xludf.DUMMYFUNCTION("GOOGLEFINANCE(A204,""high52"")"),332.55)</f>
        <v>332.55</v>
      </c>
    </row>
    <row r="205">
      <c r="A205" s="30" t="str">
        <f>'6image_RS_benchmark_performance'!A205</f>
        <v>ETN</v>
      </c>
      <c r="B205" s="31">
        <f>IFERROR(__xludf.DUMMYFUNCTION("GOOGLEFINANCE(A205,""price"")"),154.09)</f>
        <v>154.09</v>
      </c>
      <c r="C205" s="31">
        <f>IFERROR(__xludf.DUMMYFUNCTION("GOOGLEFINANCE(A205,""high"")"),154.42)</f>
        <v>154.42</v>
      </c>
      <c r="D205" s="31">
        <f>IFERROR(__xludf.DUMMYFUNCTION("GOOGLEFINANCE(A205,""low"")"),149.11)</f>
        <v>149.11</v>
      </c>
      <c r="E205" s="31">
        <f>IFERROR(__xludf.DUMMYFUNCTION("GOOGLEFINANCE(A205,""change"")"),4.9)</f>
        <v>4.9</v>
      </c>
      <c r="F205" s="32">
        <f>IFERROR(__xludf.DUMMYFUNCTION("GOOGLEFINANCE(A205,""changepct"")/100"),0.032799999999999996)</f>
        <v>0.0328</v>
      </c>
      <c r="G205" s="33">
        <f>IFERROR(__xludf.DUMMYFUNCTION("GOOGLEFINANCE(A205,""priceopen"")"),150.33)</f>
        <v>150.33</v>
      </c>
      <c r="H205" s="34">
        <f>IFERROR(__xludf.DUMMYFUNCTION("GOOGLEFINANCE(A205,""closeyest"")"),149.19)</f>
        <v>149.19</v>
      </c>
      <c r="I205" s="34">
        <f>IFERROR(__xludf.DUMMYFUNCTION("GOOGLEFINANCE(A205,""low52"")"),91.72)</f>
        <v>91.72</v>
      </c>
      <c r="J205" s="34">
        <f>IFERROR(__xludf.DUMMYFUNCTION("GOOGLEFINANCE(A205,""high52"")"),155.67)</f>
        <v>155.67</v>
      </c>
    </row>
    <row r="206">
      <c r="A206" s="30" t="str">
        <f>'6image_RS_benchmark_performance'!A206</f>
        <v>ETR</v>
      </c>
      <c r="B206" s="31">
        <f>IFERROR(__xludf.DUMMYFUNCTION("GOOGLEFINANCE(A206,""price"")"),102.35)</f>
        <v>102.35</v>
      </c>
      <c r="C206" s="31">
        <f>IFERROR(__xludf.DUMMYFUNCTION("GOOGLEFINANCE(A206,""high"")"),103.34)</f>
        <v>103.34</v>
      </c>
      <c r="D206" s="31">
        <f>IFERROR(__xludf.DUMMYFUNCTION("GOOGLEFINANCE(A206,""low"")"),101.67)</f>
        <v>101.67</v>
      </c>
      <c r="E206" s="31">
        <f>IFERROR(__xludf.DUMMYFUNCTION("GOOGLEFINANCE(A206,""change"")"),0.74)</f>
        <v>0.74</v>
      </c>
      <c r="F206" s="32">
        <f>IFERROR(__xludf.DUMMYFUNCTION("GOOGLEFINANCE(A206,""changepct"")/100"),0.0073)</f>
        <v>0.0073</v>
      </c>
      <c r="G206" s="33">
        <f>IFERROR(__xludf.DUMMYFUNCTION("GOOGLEFINANCE(A206,""priceopen"")"),101.67)</f>
        <v>101.67</v>
      </c>
      <c r="H206" s="34">
        <f>IFERROR(__xludf.DUMMYFUNCTION("GOOGLEFINANCE(A206,""closeyest"")"),101.61)</f>
        <v>101.61</v>
      </c>
      <c r="I206" s="34">
        <f>IFERROR(__xludf.DUMMYFUNCTION("GOOGLEFINANCE(A206,""low52"")"),85.78)</f>
        <v>85.78</v>
      </c>
      <c r="J206" s="34">
        <f>IFERROR(__xludf.DUMMYFUNCTION("GOOGLEFINANCE(A206,""high52"")"),113.36)</f>
        <v>113.36</v>
      </c>
    </row>
    <row r="207">
      <c r="A207" s="30" t="str">
        <f>'6image_RS_benchmark_performance'!A207</f>
        <v>ETSY</v>
      </c>
      <c r="B207" s="31">
        <f>IFERROR(__xludf.DUMMYFUNCTION("GOOGLEFINANCE(A207,""price"")"),194.87)</f>
        <v>194.87</v>
      </c>
      <c r="C207" s="31">
        <f>IFERROR(__xludf.DUMMYFUNCTION("GOOGLEFINANCE(A207,""high"")"),195.77)</f>
        <v>195.77</v>
      </c>
      <c r="D207" s="31">
        <f>IFERROR(__xludf.DUMMYFUNCTION("GOOGLEFINANCE(A207,""low"")"),187.79)</f>
        <v>187.79</v>
      </c>
      <c r="E207" s="31">
        <f>IFERROR(__xludf.DUMMYFUNCTION("GOOGLEFINANCE(A207,""change"")"),4.54)</f>
        <v>4.54</v>
      </c>
      <c r="F207" s="32">
        <f>IFERROR(__xludf.DUMMYFUNCTION("GOOGLEFINANCE(A207,""changepct"")/100"),0.0239)</f>
        <v>0.0239</v>
      </c>
      <c r="G207" s="33">
        <f>IFERROR(__xludf.DUMMYFUNCTION("GOOGLEFINANCE(A207,""priceopen"")"),192.5)</f>
        <v>192.5</v>
      </c>
      <c r="H207" s="34">
        <f>IFERROR(__xludf.DUMMYFUNCTION("GOOGLEFINANCE(A207,""closeyest"")"),190.33)</f>
        <v>190.33</v>
      </c>
      <c r="I207" s="34">
        <f>IFERROR(__xludf.DUMMYFUNCTION("GOOGLEFINANCE(A207,""low52"")"),97.5)</f>
        <v>97.5</v>
      </c>
      <c r="J207" s="34">
        <f>IFERROR(__xludf.DUMMYFUNCTION("GOOGLEFINANCE(A207,""high52"")"),251.86)</f>
        <v>251.86</v>
      </c>
    </row>
    <row r="208">
      <c r="A208" s="30" t="str">
        <f>'6image_RS_benchmark_performance'!A208</f>
        <v>EVRG</v>
      </c>
      <c r="B208" s="31">
        <f>IFERROR(__xludf.DUMMYFUNCTION("GOOGLEFINANCE(A208,""price"")"),64.0)</f>
        <v>64</v>
      </c>
      <c r="C208" s="31">
        <f>IFERROR(__xludf.DUMMYFUNCTION("GOOGLEFINANCE(A208,""high"")"),64.74)</f>
        <v>64.74</v>
      </c>
      <c r="D208" s="31">
        <f>IFERROR(__xludf.DUMMYFUNCTION("GOOGLEFINANCE(A208,""low"")"),63.7)</f>
        <v>63.7</v>
      </c>
      <c r="E208" s="31">
        <f>IFERROR(__xludf.DUMMYFUNCTION("GOOGLEFINANCE(A208,""change"")"),-0.11)</f>
        <v>-0.11</v>
      </c>
      <c r="F208" s="32">
        <f>IFERROR(__xludf.DUMMYFUNCTION("GOOGLEFINANCE(A208,""changepct"")/100"),-0.0017000000000000001)</f>
        <v>-0.0017</v>
      </c>
      <c r="G208" s="33">
        <f>IFERROR(__xludf.DUMMYFUNCTION("GOOGLEFINANCE(A208,""priceopen"")"),64.41)</f>
        <v>64.41</v>
      </c>
      <c r="H208" s="34">
        <f>IFERROR(__xludf.DUMMYFUNCTION("GOOGLEFINANCE(A208,""closeyest"")"),64.11)</f>
        <v>64.11</v>
      </c>
      <c r="I208" s="34">
        <f>IFERROR(__xludf.DUMMYFUNCTION("GOOGLEFINANCE(A208,""low52"")"),48.61)</f>
        <v>48.61</v>
      </c>
      <c r="J208" s="34">
        <f>IFERROR(__xludf.DUMMYFUNCTION("GOOGLEFINANCE(A208,""high52"")"),65.64)</f>
        <v>65.64</v>
      </c>
    </row>
    <row r="209">
      <c r="A209" s="30" t="str">
        <f>'6image_RS_benchmark_performance'!A209</f>
        <v>EW</v>
      </c>
      <c r="B209" s="31">
        <f>IFERROR(__xludf.DUMMYFUNCTION("GOOGLEFINANCE(A209,""price"")"),106.58)</f>
        <v>106.58</v>
      </c>
      <c r="C209" s="31">
        <f>IFERROR(__xludf.DUMMYFUNCTION("GOOGLEFINANCE(A209,""high"")"),107.08)</f>
        <v>107.08</v>
      </c>
      <c r="D209" s="31">
        <f>IFERROR(__xludf.DUMMYFUNCTION("GOOGLEFINANCE(A209,""low"")"),103.21)</f>
        <v>103.21</v>
      </c>
      <c r="E209" s="31">
        <f>IFERROR(__xludf.DUMMYFUNCTION("GOOGLEFINANCE(A209,""change"")"),3.67)</f>
        <v>3.67</v>
      </c>
      <c r="F209" s="32">
        <f>IFERROR(__xludf.DUMMYFUNCTION("GOOGLEFINANCE(A209,""changepct"")/100"),0.035699999999999996)</f>
        <v>0.0357</v>
      </c>
      <c r="G209" s="33">
        <f>IFERROR(__xludf.DUMMYFUNCTION("GOOGLEFINANCE(A209,""priceopen"")"),103.36)</f>
        <v>103.36</v>
      </c>
      <c r="H209" s="34">
        <f>IFERROR(__xludf.DUMMYFUNCTION("GOOGLEFINANCE(A209,""closeyest"")"),102.91)</f>
        <v>102.91</v>
      </c>
      <c r="I209" s="34">
        <f>IFERROR(__xludf.DUMMYFUNCTION("GOOGLEFINANCE(A209,""low52"")"),70.92)</f>
        <v>70.92</v>
      </c>
      <c r="J209" s="34">
        <f>IFERROR(__xludf.DUMMYFUNCTION("GOOGLEFINANCE(A209,""high52"")"),109.01)</f>
        <v>109.01</v>
      </c>
    </row>
    <row r="210">
      <c r="A210" s="30" t="str">
        <f>'6image_RS_benchmark_performance'!A210</f>
        <v>EWC</v>
      </c>
      <c r="B210" s="31">
        <f>IFERROR(__xludf.DUMMYFUNCTION("GOOGLEFINANCE(A210,""price"")"),36.07)</f>
        <v>36.07</v>
      </c>
      <c r="C210" s="31">
        <f>IFERROR(__xludf.DUMMYFUNCTION("GOOGLEFINANCE(A210,""high"")"),36.14)</f>
        <v>36.14</v>
      </c>
      <c r="D210" s="31">
        <f>IFERROR(__xludf.DUMMYFUNCTION("GOOGLEFINANCE(A210,""low"")"),35.41)</f>
        <v>35.41</v>
      </c>
      <c r="E210" s="31">
        <f>IFERROR(__xludf.DUMMYFUNCTION("GOOGLEFINANCE(A210,""change"")"),0.57)</f>
        <v>0.57</v>
      </c>
      <c r="F210" s="32">
        <f>IFERROR(__xludf.DUMMYFUNCTION("GOOGLEFINANCE(A210,""changepct"")/100"),0.0161)</f>
        <v>0.0161</v>
      </c>
      <c r="G210" s="33">
        <f>IFERROR(__xludf.DUMMYFUNCTION("GOOGLEFINANCE(A210,""priceopen"")"),35.52)</f>
        <v>35.52</v>
      </c>
      <c r="H210" s="34">
        <f>IFERROR(__xludf.DUMMYFUNCTION("GOOGLEFINANCE(A210,""closeyest"")"),35.5)</f>
        <v>35.5</v>
      </c>
      <c r="I210" s="34">
        <f>IFERROR(__xludf.DUMMYFUNCTION("GOOGLEFINANCE(A210,""low52"")"),26.17)</f>
        <v>26.17</v>
      </c>
      <c r="J210" s="34">
        <f>IFERROR(__xludf.DUMMYFUNCTION("GOOGLEFINANCE(A210,""high52"")"),38.35)</f>
        <v>38.35</v>
      </c>
    </row>
    <row r="211">
      <c r="A211" s="30" t="str">
        <f>'6image_RS_benchmark_performance'!A211</f>
        <v>EWG</v>
      </c>
      <c r="B211" s="31">
        <f>IFERROR(__xludf.DUMMYFUNCTION("GOOGLEFINANCE(A211,""price"")"),33.73)</f>
        <v>33.73</v>
      </c>
      <c r="C211" s="31">
        <f>IFERROR(__xludf.DUMMYFUNCTION("GOOGLEFINANCE(A211,""high"")"),33.81)</f>
        <v>33.81</v>
      </c>
      <c r="D211" s="31">
        <f>IFERROR(__xludf.DUMMYFUNCTION("GOOGLEFINANCE(A211,""low"")"),33.34)</f>
        <v>33.34</v>
      </c>
      <c r="E211" s="31">
        <f>IFERROR(__xludf.DUMMYFUNCTION("GOOGLEFINANCE(A211,""change"")"),0.16)</f>
        <v>0.16</v>
      </c>
      <c r="F211" s="32">
        <f>IFERROR(__xludf.DUMMYFUNCTION("GOOGLEFINANCE(A211,""changepct"")/100"),0.0048)</f>
        <v>0.0048</v>
      </c>
      <c r="G211" s="33">
        <f>IFERROR(__xludf.DUMMYFUNCTION("GOOGLEFINANCE(A211,""priceopen"")"),33.4)</f>
        <v>33.4</v>
      </c>
      <c r="H211" s="34">
        <f>IFERROR(__xludf.DUMMYFUNCTION("GOOGLEFINANCE(A211,""closeyest"")"),33.57)</f>
        <v>33.57</v>
      </c>
      <c r="I211" s="34">
        <f>IFERROR(__xludf.DUMMYFUNCTION("GOOGLEFINANCE(A211,""low52"")"),26.06)</f>
        <v>26.06</v>
      </c>
      <c r="J211" s="34">
        <f>IFERROR(__xludf.DUMMYFUNCTION("GOOGLEFINANCE(A211,""high52"")"),36.49)</f>
        <v>36.49</v>
      </c>
    </row>
    <row r="212">
      <c r="A212" s="30" t="str">
        <f>'6image_RS_benchmark_performance'!A212</f>
        <v>EWH</v>
      </c>
      <c r="B212" s="31">
        <f>IFERROR(__xludf.DUMMYFUNCTION("GOOGLEFINANCE(A212,""price"")"),26.45)</f>
        <v>26.45</v>
      </c>
      <c r="C212" s="31">
        <f>IFERROR(__xludf.DUMMYFUNCTION("GOOGLEFINANCE(A212,""high"")"),26.5)</f>
        <v>26.5</v>
      </c>
      <c r="D212" s="31">
        <f>IFERROR(__xludf.DUMMYFUNCTION("GOOGLEFINANCE(A212,""low"")"),26.3)</f>
        <v>26.3</v>
      </c>
      <c r="E212" s="31">
        <f>IFERROR(__xludf.DUMMYFUNCTION("GOOGLEFINANCE(A212,""change"")"),0.1)</f>
        <v>0.1</v>
      </c>
      <c r="F212" s="32">
        <f>IFERROR(__xludf.DUMMYFUNCTION("GOOGLEFINANCE(A212,""changepct"")/100"),0.0038)</f>
        <v>0.0038</v>
      </c>
      <c r="G212" s="33">
        <f>IFERROR(__xludf.DUMMYFUNCTION("GOOGLEFINANCE(A212,""priceopen"")"),26.31)</f>
        <v>26.31</v>
      </c>
      <c r="H212" s="34">
        <f>IFERROR(__xludf.DUMMYFUNCTION("GOOGLEFINANCE(A212,""closeyest"")"),26.35)</f>
        <v>26.35</v>
      </c>
      <c r="I212" s="34">
        <f>IFERROR(__xludf.DUMMYFUNCTION("GOOGLEFINANCE(A212,""low52"")"),19.77)</f>
        <v>19.77</v>
      </c>
      <c r="J212" s="34">
        <f>IFERROR(__xludf.DUMMYFUNCTION("GOOGLEFINANCE(A212,""high52"")"),28.17)</f>
        <v>28.17</v>
      </c>
    </row>
    <row r="213">
      <c r="A213" s="30" t="str">
        <f>'6image_RS_benchmark_performance'!A213</f>
        <v>EWJ</v>
      </c>
      <c r="B213" s="31">
        <f>IFERROR(__xludf.DUMMYFUNCTION("GOOGLEFINANCE(A213,""price"")"),67.05)</f>
        <v>67.05</v>
      </c>
      <c r="C213" s="31">
        <f>IFERROR(__xludf.DUMMYFUNCTION("GOOGLEFINANCE(A213,""high"")"),67.2)</f>
        <v>67.2</v>
      </c>
      <c r="D213" s="31">
        <f>IFERROR(__xludf.DUMMYFUNCTION("GOOGLEFINANCE(A213,""low"")"),66.45)</f>
        <v>66.45</v>
      </c>
      <c r="E213" s="31">
        <f>IFERROR(__xludf.DUMMYFUNCTION("GOOGLEFINANCE(A213,""change"")"),0.79)</f>
        <v>0.79</v>
      </c>
      <c r="F213" s="32">
        <f>IFERROR(__xludf.DUMMYFUNCTION("GOOGLEFINANCE(A213,""changepct"")/100"),0.011899999999999999)</f>
        <v>0.0119</v>
      </c>
      <c r="G213" s="33">
        <f>IFERROR(__xludf.DUMMYFUNCTION("GOOGLEFINANCE(A213,""priceopen"")"),66.53)</f>
        <v>66.53</v>
      </c>
      <c r="H213" s="34">
        <f>IFERROR(__xludf.DUMMYFUNCTION("GOOGLEFINANCE(A213,""closeyest"")"),66.26)</f>
        <v>66.26</v>
      </c>
      <c r="I213" s="34">
        <f>IFERROR(__xludf.DUMMYFUNCTION("GOOGLEFINANCE(A213,""low52"")"),54.11)</f>
        <v>54.11</v>
      </c>
      <c r="J213" s="34">
        <f>IFERROR(__xludf.DUMMYFUNCTION("GOOGLEFINANCE(A213,""high52"")"),72.28)</f>
        <v>72.28</v>
      </c>
    </row>
    <row r="214">
      <c r="A214" s="30" t="str">
        <f>'6image_RS_benchmark_performance'!A214</f>
        <v>EWT</v>
      </c>
      <c r="B214" s="31">
        <f>IFERROR(__xludf.DUMMYFUNCTION("GOOGLEFINANCE(A214,""price"")"),63.69)</f>
        <v>63.69</v>
      </c>
      <c r="C214" s="31">
        <f>IFERROR(__xludf.DUMMYFUNCTION("GOOGLEFINANCE(A214,""high"")"),63.82)</f>
        <v>63.82</v>
      </c>
      <c r="D214" s="31">
        <f>IFERROR(__xludf.DUMMYFUNCTION("GOOGLEFINANCE(A214,""low"")"),63.01)</f>
        <v>63.01</v>
      </c>
      <c r="E214" s="31">
        <f>IFERROR(__xludf.DUMMYFUNCTION("GOOGLEFINANCE(A214,""change"")"),0.17)</f>
        <v>0.17</v>
      </c>
      <c r="F214" s="32">
        <f>IFERROR(__xludf.DUMMYFUNCTION("GOOGLEFINANCE(A214,""changepct"")/100"),0.0027)</f>
        <v>0.0027</v>
      </c>
      <c r="G214" s="33">
        <f>IFERROR(__xludf.DUMMYFUNCTION("GOOGLEFINANCE(A214,""priceopen"")"),63.26)</f>
        <v>63.26</v>
      </c>
      <c r="H214" s="34">
        <f>IFERROR(__xludf.DUMMYFUNCTION("GOOGLEFINANCE(A214,""closeyest"")"),63.52)</f>
        <v>63.52</v>
      </c>
      <c r="I214" s="34">
        <f>IFERROR(__xludf.DUMMYFUNCTION("GOOGLEFINANCE(A214,""low52"")"),42.55)</f>
        <v>42.55</v>
      </c>
      <c r="J214" s="34">
        <f>IFERROR(__xludf.DUMMYFUNCTION("GOOGLEFINANCE(A214,""high52"")"),65.58)</f>
        <v>65.58</v>
      </c>
    </row>
    <row r="215">
      <c r="A215" s="30" t="str">
        <f>'6image_RS_benchmark_performance'!A215</f>
        <v>EWU</v>
      </c>
      <c r="B215" s="31">
        <f>IFERROR(__xludf.DUMMYFUNCTION("GOOGLEFINANCE(A215,""price"")"),31.61)</f>
        <v>31.61</v>
      </c>
      <c r="C215" s="31">
        <f>IFERROR(__xludf.DUMMYFUNCTION("GOOGLEFINANCE(A215,""high"")"),31.64)</f>
        <v>31.64</v>
      </c>
      <c r="D215" s="31">
        <f>IFERROR(__xludf.DUMMYFUNCTION("GOOGLEFINANCE(A215,""low"")"),31.13)</f>
        <v>31.13</v>
      </c>
      <c r="E215" s="31">
        <f>IFERROR(__xludf.DUMMYFUNCTION("GOOGLEFINANCE(A215,""change"")"),0.17)</f>
        <v>0.17</v>
      </c>
      <c r="F215" s="32">
        <f>IFERROR(__xludf.DUMMYFUNCTION("GOOGLEFINANCE(A215,""changepct"")/100"),0.0054)</f>
        <v>0.0054</v>
      </c>
      <c r="G215" s="33">
        <f>IFERROR(__xludf.DUMMYFUNCTION("GOOGLEFINANCE(A215,""priceopen"")"),31.19)</f>
        <v>31.19</v>
      </c>
      <c r="H215" s="34">
        <f>IFERROR(__xludf.DUMMYFUNCTION("GOOGLEFINANCE(A215,""closeyest"")"),31.44)</f>
        <v>31.44</v>
      </c>
      <c r="I215" s="34">
        <f>IFERROR(__xludf.DUMMYFUNCTION("GOOGLEFINANCE(A215,""low52"")"),24.02)</f>
        <v>24.02</v>
      </c>
      <c r="J215" s="34">
        <f>IFERROR(__xludf.DUMMYFUNCTION("GOOGLEFINANCE(A215,""high52"")"),34.26)</f>
        <v>34.26</v>
      </c>
    </row>
    <row r="216">
      <c r="A216" s="30" t="str">
        <f>'6image_RS_benchmark_performance'!A216</f>
        <v>EWY</v>
      </c>
      <c r="B216" s="31">
        <f>IFERROR(__xludf.DUMMYFUNCTION("GOOGLEFINANCE(A216,""price"")"),89.94)</f>
        <v>89.94</v>
      </c>
      <c r="C216" s="31">
        <f>IFERROR(__xludf.DUMMYFUNCTION("GOOGLEFINANCE(A216,""high"")"),90.17)</f>
        <v>90.17</v>
      </c>
      <c r="D216" s="31">
        <f>IFERROR(__xludf.DUMMYFUNCTION("GOOGLEFINANCE(A216,""low"")"),88.93)</f>
        <v>88.93</v>
      </c>
      <c r="E216" s="31">
        <f>IFERROR(__xludf.DUMMYFUNCTION("GOOGLEFINANCE(A216,""change"")"),1.33)</f>
        <v>1.33</v>
      </c>
      <c r="F216" s="32">
        <f>IFERROR(__xludf.DUMMYFUNCTION("GOOGLEFINANCE(A216,""changepct"")/100"),0.015)</f>
        <v>0.015</v>
      </c>
      <c r="G216" s="33">
        <f>IFERROR(__xludf.DUMMYFUNCTION("GOOGLEFINANCE(A216,""priceopen"")"),89.11)</f>
        <v>89.11</v>
      </c>
      <c r="H216" s="34">
        <f>IFERROR(__xludf.DUMMYFUNCTION("GOOGLEFINANCE(A216,""closeyest"")"),88.61)</f>
        <v>88.61</v>
      </c>
      <c r="I216" s="34">
        <f>IFERROR(__xludf.DUMMYFUNCTION("GOOGLEFINANCE(A216,""low52"")"),58.66)</f>
        <v>58.66</v>
      </c>
      <c r="J216" s="34">
        <f>IFERROR(__xludf.DUMMYFUNCTION("GOOGLEFINANCE(A216,""high52"")"),96.3)</f>
        <v>96.3</v>
      </c>
    </row>
    <row r="217">
      <c r="A217" s="30" t="str">
        <f>'6image_RS_benchmark_performance'!A217</f>
        <v>EWZ</v>
      </c>
      <c r="B217" s="31">
        <f>IFERROR(__xludf.DUMMYFUNCTION("GOOGLEFINANCE(A217,""price"")"),38.17)</f>
        <v>38.17</v>
      </c>
      <c r="C217" s="31">
        <f>IFERROR(__xludf.DUMMYFUNCTION("GOOGLEFINANCE(A217,""high"")"),38.45)</f>
        <v>38.45</v>
      </c>
      <c r="D217" s="31">
        <f>IFERROR(__xludf.DUMMYFUNCTION("GOOGLEFINANCE(A217,""low"")"),37.26)</f>
        <v>37.26</v>
      </c>
      <c r="E217" s="31">
        <f>IFERROR(__xludf.DUMMYFUNCTION("GOOGLEFINANCE(A217,""change"")"),0.34)</f>
        <v>0.34</v>
      </c>
      <c r="F217" s="32">
        <f>IFERROR(__xludf.DUMMYFUNCTION("GOOGLEFINANCE(A217,""changepct"")/100"),0.009000000000000001)</f>
        <v>0.009</v>
      </c>
      <c r="G217" s="33">
        <f>IFERROR(__xludf.DUMMYFUNCTION("GOOGLEFINANCE(A217,""priceopen"")"),37.39)</f>
        <v>37.39</v>
      </c>
      <c r="H217" s="34">
        <f>IFERROR(__xludf.DUMMYFUNCTION("GOOGLEFINANCE(A217,""closeyest"")"),37.83)</f>
        <v>37.83</v>
      </c>
      <c r="I217" s="34">
        <f>IFERROR(__xludf.DUMMYFUNCTION("GOOGLEFINANCE(A217,""low52"")"),26.56)</f>
        <v>26.56</v>
      </c>
      <c r="J217" s="34">
        <f>IFERROR(__xludf.DUMMYFUNCTION("GOOGLEFINANCE(A217,""high52"")"),42.05)</f>
        <v>42.05</v>
      </c>
    </row>
    <row r="218">
      <c r="A218" s="30" t="str">
        <f>'6image_RS_benchmark_performance'!A218</f>
        <v>EXC</v>
      </c>
      <c r="B218" s="31">
        <f>IFERROR(__xludf.DUMMYFUNCTION("GOOGLEFINANCE(A218,""price"")"),46.06)</f>
        <v>46.06</v>
      </c>
      <c r="C218" s="31">
        <f>IFERROR(__xludf.DUMMYFUNCTION("GOOGLEFINANCE(A218,""high"")"),46.42)</f>
        <v>46.42</v>
      </c>
      <c r="D218" s="31">
        <f>IFERROR(__xludf.DUMMYFUNCTION("GOOGLEFINANCE(A218,""low"")"),45.3)</f>
        <v>45.3</v>
      </c>
      <c r="E218" s="31">
        <f>IFERROR(__xludf.DUMMYFUNCTION("GOOGLEFINANCE(A218,""change"")"),0.74)</f>
        <v>0.74</v>
      </c>
      <c r="F218" s="32">
        <f>IFERROR(__xludf.DUMMYFUNCTION("GOOGLEFINANCE(A218,""changepct"")/100"),0.0163)</f>
        <v>0.0163</v>
      </c>
      <c r="G218" s="33">
        <f>IFERROR(__xludf.DUMMYFUNCTION("GOOGLEFINANCE(A218,""priceopen"")"),45.56)</f>
        <v>45.56</v>
      </c>
      <c r="H218" s="34">
        <f>IFERROR(__xludf.DUMMYFUNCTION("GOOGLEFINANCE(A218,""closeyest"")"),45.32)</f>
        <v>45.32</v>
      </c>
      <c r="I218" s="34">
        <f>IFERROR(__xludf.DUMMYFUNCTION("GOOGLEFINANCE(A218,""low52"")"),33.97)</f>
        <v>33.97</v>
      </c>
      <c r="J218" s="34">
        <f>IFERROR(__xludf.DUMMYFUNCTION("GOOGLEFINANCE(A218,""high52"")"),47.36)</f>
        <v>47.36</v>
      </c>
    </row>
    <row r="219">
      <c r="A219" s="30" t="str">
        <f>'6image_RS_benchmark_performance'!A219</f>
        <v>EXPD</v>
      </c>
      <c r="B219" s="31">
        <f>IFERROR(__xludf.DUMMYFUNCTION("GOOGLEFINANCE(A219,""price"")"),128.62)</f>
        <v>128.62</v>
      </c>
      <c r="C219" s="31">
        <f>IFERROR(__xludf.DUMMYFUNCTION("GOOGLEFINANCE(A219,""high"")"),129.1)</f>
        <v>129.1</v>
      </c>
      <c r="D219" s="31">
        <f>IFERROR(__xludf.DUMMYFUNCTION("GOOGLEFINANCE(A219,""low"")"),126.64)</f>
        <v>126.64</v>
      </c>
      <c r="E219" s="31">
        <f>IFERROR(__xludf.DUMMYFUNCTION("GOOGLEFINANCE(A219,""change"")"),1.94)</f>
        <v>1.94</v>
      </c>
      <c r="F219" s="32">
        <f>IFERROR(__xludf.DUMMYFUNCTION("GOOGLEFINANCE(A219,""changepct"")/100"),0.015300000000000001)</f>
        <v>0.0153</v>
      </c>
      <c r="G219" s="33">
        <f>IFERROR(__xludf.DUMMYFUNCTION("GOOGLEFINANCE(A219,""priceopen"")"),126.73)</f>
        <v>126.73</v>
      </c>
      <c r="H219" s="34">
        <f>IFERROR(__xludf.DUMMYFUNCTION("GOOGLEFINANCE(A219,""closeyest"")"),126.68)</f>
        <v>126.68</v>
      </c>
      <c r="I219" s="34">
        <f>IFERROR(__xludf.DUMMYFUNCTION("GOOGLEFINANCE(A219,""low52"")"),78.93)</f>
        <v>78.93</v>
      </c>
      <c r="J219" s="34">
        <f>IFERROR(__xludf.DUMMYFUNCTION("GOOGLEFINANCE(A219,""high52"")"),129.26)</f>
        <v>129.26</v>
      </c>
    </row>
    <row r="220">
      <c r="A220" s="30" t="str">
        <f>'6image_RS_benchmark_performance'!A220</f>
        <v>EXPE</v>
      </c>
      <c r="B220" s="31">
        <f>IFERROR(__xludf.DUMMYFUNCTION("GOOGLEFINANCE(A220,""price"")"),156.12)</f>
        <v>156.12</v>
      </c>
      <c r="C220" s="31">
        <f>IFERROR(__xludf.DUMMYFUNCTION("GOOGLEFINANCE(A220,""high"")"),157.61)</f>
        <v>157.61</v>
      </c>
      <c r="D220" s="31">
        <f>IFERROR(__xludf.DUMMYFUNCTION("GOOGLEFINANCE(A220,""low"")"),150.1)</f>
        <v>150.1</v>
      </c>
      <c r="E220" s="31">
        <f>IFERROR(__xludf.DUMMYFUNCTION("GOOGLEFINANCE(A220,""change"")"),4.48)</f>
        <v>4.48</v>
      </c>
      <c r="F220" s="32">
        <f>IFERROR(__xludf.DUMMYFUNCTION("GOOGLEFINANCE(A220,""changepct"")/100"),0.029500000000000002)</f>
        <v>0.0295</v>
      </c>
      <c r="G220" s="33">
        <f>IFERROR(__xludf.DUMMYFUNCTION("GOOGLEFINANCE(A220,""priceopen"")"),152.62)</f>
        <v>152.62</v>
      </c>
      <c r="H220" s="34">
        <f>IFERROR(__xludf.DUMMYFUNCTION("GOOGLEFINANCE(A220,""closeyest"")"),151.64)</f>
        <v>151.64</v>
      </c>
      <c r="I220" s="34">
        <f>IFERROR(__xludf.DUMMYFUNCTION("GOOGLEFINANCE(A220,""low52"")"),76.75)</f>
        <v>76.75</v>
      </c>
      <c r="J220" s="34">
        <f>IFERROR(__xludf.DUMMYFUNCTION("GOOGLEFINANCE(A220,""high52"")"),187.93)</f>
        <v>187.93</v>
      </c>
    </row>
    <row r="221">
      <c r="A221" s="30" t="str">
        <f>'6image_RS_benchmark_performance'!A221</f>
        <v>EXR</v>
      </c>
      <c r="B221" s="31">
        <f>IFERROR(__xludf.DUMMYFUNCTION("GOOGLEFINANCE(A221,""price"")"),170.65)</f>
        <v>170.65</v>
      </c>
      <c r="C221" s="31">
        <f>IFERROR(__xludf.DUMMYFUNCTION("GOOGLEFINANCE(A221,""high"")"),171.74)</f>
        <v>171.74</v>
      </c>
      <c r="D221" s="31">
        <f>IFERROR(__xludf.DUMMYFUNCTION("GOOGLEFINANCE(A221,""low"")"),169.36)</f>
        <v>169.36</v>
      </c>
      <c r="E221" s="31">
        <f>IFERROR(__xludf.DUMMYFUNCTION("GOOGLEFINANCE(A221,""change"")"),2.17)</f>
        <v>2.17</v>
      </c>
      <c r="F221" s="32">
        <f>IFERROR(__xludf.DUMMYFUNCTION("GOOGLEFINANCE(A221,""changepct"")/100"),0.0129)</f>
        <v>0.0129</v>
      </c>
      <c r="G221" s="33">
        <f>IFERROR(__xludf.DUMMYFUNCTION("GOOGLEFINANCE(A221,""priceopen"")"),169.36)</f>
        <v>169.36</v>
      </c>
      <c r="H221" s="34">
        <f>IFERROR(__xludf.DUMMYFUNCTION("GOOGLEFINANCE(A221,""closeyest"")"),168.48)</f>
        <v>168.48</v>
      </c>
      <c r="I221" s="34">
        <f>IFERROR(__xludf.DUMMYFUNCTION("GOOGLEFINANCE(A221,""low52"")"),94.1)</f>
        <v>94.1</v>
      </c>
      <c r="J221" s="34">
        <f>IFERROR(__xludf.DUMMYFUNCTION("GOOGLEFINANCE(A221,""high52"")"),174.89)</f>
        <v>174.89</v>
      </c>
    </row>
    <row r="222">
      <c r="A222" s="30" t="str">
        <f>'6image_RS_benchmark_performance'!A222</f>
        <v>EZU</v>
      </c>
      <c r="B222" s="31">
        <f>IFERROR(__xludf.DUMMYFUNCTION("GOOGLEFINANCE(A222,""price"")"),48.01)</f>
        <v>48.01</v>
      </c>
      <c r="C222" s="31">
        <f>IFERROR(__xludf.DUMMYFUNCTION("GOOGLEFINANCE(A222,""high"")"),48.11)</f>
        <v>48.11</v>
      </c>
      <c r="D222" s="31">
        <f>IFERROR(__xludf.DUMMYFUNCTION("GOOGLEFINANCE(A222,""low"")"),47.35)</f>
        <v>47.35</v>
      </c>
      <c r="E222" s="31">
        <f>IFERROR(__xludf.DUMMYFUNCTION("GOOGLEFINANCE(A222,""change"")"),0.47)</f>
        <v>0.47</v>
      </c>
      <c r="F222" s="32">
        <f>IFERROR(__xludf.DUMMYFUNCTION("GOOGLEFINANCE(A222,""changepct"")/100"),0.009899999999999999)</f>
        <v>0.0099</v>
      </c>
      <c r="G222" s="33">
        <f>IFERROR(__xludf.DUMMYFUNCTION("GOOGLEFINANCE(A222,""priceopen"")"),47.45)</f>
        <v>47.45</v>
      </c>
      <c r="H222" s="34">
        <f>IFERROR(__xludf.DUMMYFUNCTION("GOOGLEFINANCE(A222,""closeyest"")"),47.54)</f>
        <v>47.54</v>
      </c>
      <c r="I222" s="34">
        <f>IFERROR(__xludf.DUMMYFUNCTION("GOOGLEFINANCE(A222,""low52"")"),35.54)</f>
        <v>35.54</v>
      </c>
      <c r="J222" s="34">
        <f>IFERROR(__xludf.DUMMYFUNCTION("GOOGLEFINANCE(A222,""high52"")"),51.48)</f>
        <v>51.48</v>
      </c>
    </row>
    <row r="223">
      <c r="A223" s="30" t="str">
        <f>'6image_RS_benchmark_performance'!A223</f>
        <v>F</v>
      </c>
      <c r="B223" s="31">
        <f>IFERROR(__xludf.DUMMYFUNCTION("GOOGLEFINANCE(A223,""price"")"),13.91)</f>
        <v>13.91</v>
      </c>
      <c r="C223" s="31">
        <f>IFERROR(__xludf.DUMMYFUNCTION("GOOGLEFINANCE(A223,""high"")"),13.96)</f>
        <v>13.96</v>
      </c>
      <c r="D223" s="31">
        <f>IFERROR(__xludf.DUMMYFUNCTION("GOOGLEFINANCE(A223,""low"")"),13.28)</f>
        <v>13.28</v>
      </c>
      <c r="E223" s="31">
        <f>IFERROR(__xludf.DUMMYFUNCTION("GOOGLEFINANCE(A223,""change"")"),0.63)</f>
        <v>0.63</v>
      </c>
      <c r="F223" s="32">
        <f>IFERROR(__xludf.DUMMYFUNCTION("GOOGLEFINANCE(A223,""changepct"")/100"),0.047400000000000005)</f>
        <v>0.0474</v>
      </c>
      <c r="G223" s="33">
        <f>IFERROR(__xludf.DUMMYFUNCTION("GOOGLEFINANCE(A223,""priceopen"")"),13.37)</f>
        <v>13.37</v>
      </c>
      <c r="H223" s="34">
        <f>IFERROR(__xludf.DUMMYFUNCTION("GOOGLEFINANCE(A223,""closeyest"")"),13.28)</f>
        <v>13.28</v>
      </c>
      <c r="I223" s="34">
        <f>IFERROR(__xludf.DUMMYFUNCTION("GOOGLEFINANCE(A223,""low52"")"),6.41)</f>
        <v>6.41</v>
      </c>
      <c r="J223" s="34">
        <f>IFERROR(__xludf.DUMMYFUNCTION("GOOGLEFINANCE(A223,""high52"")"),16.45)</f>
        <v>16.45</v>
      </c>
    </row>
    <row r="224">
      <c r="A224" s="30" t="str">
        <f>'6image_RS_benchmark_performance'!A224</f>
        <v>FANG</v>
      </c>
      <c r="B224" s="31">
        <f>IFERROR(__xludf.DUMMYFUNCTION("GOOGLEFINANCE(A224,""price"")"),74.92)</f>
        <v>74.92</v>
      </c>
      <c r="C224" s="31">
        <f>IFERROR(__xludf.DUMMYFUNCTION("GOOGLEFINANCE(A224,""high"")"),76.25)</f>
        <v>76.25</v>
      </c>
      <c r="D224" s="31">
        <f>IFERROR(__xludf.DUMMYFUNCTION("GOOGLEFINANCE(A224,""low"")"),71.88)</f>
        <v>71.88</v>
      </c>
      <c r="E224" s="31">
        <f>IFERROR(__xludf.DUMMYFUNCTION("GOOGLEFINANCE(A224,""change"")"),1.73)</f>
        <v>1.73</v>
      </c>
      <c r="F224" s="32">
        <f>IFERROR(__xludf.DUMMYFUNCTION("GOOGLEFINANCE(A224,""changepct"")/100"),0.0236)</f>
        <v>0.0236</v>
      </c>
      <c r="G224" s="33">
        <f>IFERROR(__xludf.DUMMYFUNCTION("GOOGLEFINANCE(A224,""priceopen"")"),72.66)</f>
        <v>72.66</v>
      </c>
      <c r="H224" s="34">
        <f>IFERROR(__xludf.DUMMYFUNCTION("GOOGLEFINANCE(A224,""closeyest"")"),73.19)</f>
        <v>73.19</v>
      </c>
      <c r="I224" s="34">
        <f>IFERROR(__xludf.DUMMYFUNCTION("GOOGLEFINANCE(A224,""low52"")"),23.63)</f>
        <v>23.63</v>
      </c>
      <c r="J224" s="34">
        <f>IFERROR(__xludf.DUMMYFUNCTION("GOOGLEFINANCE(A224,""high52"")"),102.53)</f>
        <v>102.53</v>
      </c>
    </row>
    <row r="225">
      <c r="A225" s="30" t="str">
        <f>'6image_RS_benchmark_performance'!A225</f>
        <v>FAST</v>
      </c>
      <c r="B225" s="31">
        <f>IFERROR(__xludf.DUMMYFUNCTION("GOOGLEFINANCE(A225,""price"")"),54.15)</f>
        <v>54.15</v>
      </c>
      <c r="C225" s="31">
        <f>IFERROR(__xludf.DUMMYFUNCTION("GOOGLEFINANCE(A225,""high"")"),54.34)</f>
        <v>54.34</v>
      </c>
      <c r="D225" s="31">
        <f>IFERROR(__xludf.DUMMYFUNCTION("GOOGLEFINANCE(A225,""low"")"),53.35)</f>
        <v>53.35</v>
      </c>
      <c r="E225" s="31">
        <f>IFERROR(__xludf.DUMMYFUNCTION("GOOGLEFINANCE(A225,""change"")"),0.65)</f>
        <v>0.65</v>
      </c>
      <c r="F225" s="32">
        <f>IFERROR(__xludf.DUMMYFUNCTION("GOOGLEFINANCE(A225,""changepct"")/100"),0.0121)</f>
        <v>0.0121</v>
      </c>
      <c r="G225" s="33">
        <f>IFERROR(__xludf.DUMMYFUNCTION("GOOGLEFINANCE(A225,""priceopen"")"),53.71)</f>
        <v>53.71</v>
      </c>
      <c r="H225" s="34">
        <f>IFERROR(__xludf.DUMMYFUNCTION("GOOGLEFINANCE(A225,""closeyest"")"),53.5)</f>
        <v>53.5</v>
      </c>
      <c r="I225" s="34">
        <f>IFERROR(__xludf.DUMMYFUNCTION("GOOGLEFINANCE(A225,""low52"")"),42.57)</f>
        <v>42.57</v>
      </c>
      <c r="J225" s="34">
        <f>IFERROR(__xludf.DUMMYFUNCTION("GOOGLEFINANCE(A225,""high52"")"),54.76)</f>
        <v>54.76</v>
      </c>
    </row>
    <row r="226">
      <c r="A226" s="30" t="str">
        <f>'6image_RS_benchmark_performance'!A226</f>
        <v>FB</v>
      </c>
      <c r="B226" s="31">
        <f>IFERROR(__xludf.DUMMYFUNCTION("GOOGLEFINANCE(A226,""price"")"),341.66)</f>
        <v>341.66</v>
      </c>
      <c r="C226" s="31">
        <f>IFERROR(__xludf.DUMMYFUNCTION("GOOGLEFINANCE(A226,""high"")"),343.45)</f>
        <v>343.45</v>
      </c>
      <c r="D226" s="31">
        <f>IFERROR(__xludf.DUMMYFUNCTION("GOOGLEFINANCE(A226,""low"")"),334.5)</f>
        <v>334.5</v>
      </c>
      <c r="E226" s="31">
        <f>IFERROR(__xludf.DUMMYFUNCTION("GOOGLEFINANCE(A226,""change"")"),4.71)</f>
        <v>4.71</v>
      </c>
      <c r="F226" s="32">
        <f>IFERROR(__xludf.DUMMYFUNCTION("GOOGLEFINANCE(A226,""changepct"")/100"),0.013999999999999999)</f>
        <v>0.014</v>
      </c>
      <c r="G226" s="33">
        <f>IFERROR(__xludf.DUMMYFUNCTION("GOOGLEFINANCE(A226,""priceopen"")"),338.8)</f>
        <v>338.8</v>
      </c>
      <c r="H226" s="34">
        <f>IFERROR(__xludf.DUMMYFUNCTION("GOOGLEFINANCE(A226,""closeyest"")"),336.95)</f>
        <v>336.95</v>
      </c>
      <c r="I226" s="34">
        <f>IFERROR(__xludf.DUMMYFUNCTION("GOOGLEFINANCE(A226,""low52"")"),226.9)</f>
        <v>226.9</v>
      </c>
      <c r="J226" s="34">
        <f>IFERROR(__xludf.DUMMYFUNCTION("GOOGLEFINANCE(A226,""high52"")"),358.79)</f>
        <v>358.79</v>
      </c>
    </row>
    <row r="227">
      <c r="A227" s="30" t="str">
        <f>'6image_RS_benchmark_performance'!A227</f>
        <v>FBHS</v>
      </c>
      <c r="B227" s="31">
        <f>IFERROR(__xludf.DUMMYFUNCTION("GOOGLEFINANCE(A227,""price"")"),95.92)</f>
        <v>95.92</v>
      </c>
      <c r="C227" s="31">
        <f>IFERROR(__xludf.DUMMYFUNCTION("GOOGLEFINANCE(A227,""high"")"),96.33)</f>
        <v>96.33</v>
      </c>
      <c r="D227" s="31">
        <f>IFERROR(__xludf.DUMMYFUNCTION("GOOGLEFINANCE(A227,""low"")"),94.0)</f>
        <v>94</v>
      </c>
      <c r="E227" s="31">
        <f>IFERROR(__xludf.DUMMYFUNCTION("GOOGLEFINANCE(A227,""change"")"),1.53)</f>
        <v>1.53</v>
      </c>
      <c r="F227" s="32">
        <f>IFERROR(__xludf.DUMMYFUNCTION("GOOGLEFINANCE(A227,""changepct"")/100"),0.016200000000000003)</f>
        <v>0.0162</v>
      </c>
      <c r="G227" s="33">
        <f>IFERROR(__xludf.DUMMYFUNCTION("GOOGLEFINANCE(A227,""priceopen"")"),94.45)</f>
        <v>94.45</v>
      </c>
      <c r="H227" s="34">
        <f>IFERROR(__xludf.DUMMYFUNCTION("GOOGLEFINANCE(A227,""closeyest"")"),94.39)</f>
        <v>94.39</v>
      </c>
      <c r="I227" s="34">
        <f>IFERROR(__xludf.DUMMYFUNCTION("GOOGLEFINANCE(A227,""low52"")"),68.7)</f>
        <v>68.7</v>
      </c>
      <c r="J227" s="34">
        <f>IFERROR(__xludf.DUMMYFUNCTION("GOOGLEFINANCE(A227,""high52"")"),114.01)</f>
        <v>114.01</v>
      </c>
    </row>
    <row r="228">
      <c r="A228" s="30" t="str">
        <f>'6image_RS_benchmark_performance'!A228</f>
        <v>FCX</v>
      </c>
      <c r="B228" s="31">
        <f>IFERROR(__xludf.DUMMYFUNCTION("GOOGLEFINANCE(A228,""price"")"),32.95)</f>
        <v>32.95</v>
      </c>
      <c r="C228" s="31">
        <f>IFERROR(__xludf.DUMMYFUNCTION("GOOGLEFINANCE(A228,""high"")"),33.43)</f>
        <v>33.43</v>
      </c>
      <c r="D228" s="31">
        <f>IFERROR(__xludf.DUMMYFUNCTION("GOOGLEFINANCE(A228,""low"")"),32.09)</f>
        <v>32.09</v>
      </c>
      <c r="E228" s="31">
        <f>IFERROR(__xludf.DUMMYFUNCTION("GOOGLEFINANCE(A228,""change"")"),0.55)</f>
        <v>0.55</v>
      </c>
      <c r="F228" s="32">
        <f>IFERROR(__xludf.DUMMYFUNCTION("GOOGLEFINANCE(A228,""changepct"")/100"),0.017)</f>
        <v>0.017</v>
      </c>
      <c r="G228" s="33">
        <f>IFERROR(__xludf.DUMMYFUNCTION("GOOGLEFINANCE(A228,""priceopen"")"),32.39)</f>
        <v>32.39</v>
      </c>
      <c r="H228" s="34">
        <f>IFERROR(__xludf.DUMMYFUNCTION("GOOGLEFINANCE(A228,""closeyest"")"),32.4)</f>
        <v>32.4</v>
      </c>
      <c r="I228" s="34">
        <f>IFERROR(__xludf.DUMMYFUNCTION("GOOGLEFINANCE(A228,""low52"")"),12.44)</f>
        <v>12.44</v>
      </c>
      <c r="J228" s="34">
        <f>IFERROR(__xludf.DUMMYFUNCTION("GOOGLEFINANCE(A228,""high52"")"),46.1)</f>
        <v>46.1</v>
      </c>
    </row>
    <row r="229">
      <c r="A229" s="30" t="str">
        <f>'6image_RS_benchmark_performance'!A229</f>
        <v>FDX</v>
      </c>
      <c r="B229" s="31">
        <f>IFERROR(__xludf.DUMMYFUNCTION("GOOGLEFINANCE(A229,""price"")"),298.02)</f>
        <v>298.02</v>
      </c>
      <c r="C229" s="31">
        <f>IFERROR(__xludf.DUMMYFUNCTION("GOOGLEFINANCE(A229,""high"")"),299.04)</f>
        <v>299.04</v>
      </c>
      <c r="D229" s="31">
        <f>IFERROR(__xludf.DUMMYFUNCTION("GOOGLEFINANCE(A229,""low"")"),294.45)</f>
        <v>294.45</v>
      </c>
      <c r="E229" s="31">
        <f>IFERROR(__xludf.DUMMYFUNCTION("GOOGLEFINANCE(A229,""change"")"),3.2)</f>
        <v>3.2</v>
      </c>
      <c r="F229" s="32">
        <f>IFERROR(__xludf.DUMMYFUNCTION("GOOGLEFINANCE(A229,""changepct"")/100"),0.0109)</f>
        <v>0.0109</v>
      </c>
      <c r="G229" s="33">
        <f>IFERROR(__xludf.DUMMYFUNCTION("GOOGLEFINANCE(A229,""priceopen"")"),295.41)</f>
        <v>295.41</v>
      </c>
      <c r="H229" s="34">
        <f>IFERROR(__xludf.DUMMYFUNCTION("GOOGLEFINANCE(A229,""closeyest"")"),294.82)</f>
        <v>294.82</v>
      </c>
      <c r="I229" s="34">
        <f>IFERROR(__xludf.DUMMYFUNCTION("GOOGLEFINANCE(A229,""low52"")"),162.81)</f>
        <v>162.81</v>
      </c>
      <c r="J229" s="34">
        <f>IFERROR(__xludf.DUMMYFUNCTION("GOOGLEFINANCE(A229,""high52"")"),319.9)</f>
        <v>319.9</v>
      </c>
    </row>
    <row r="230">
      <c r="A230" s="30" t="str">
        <f>'6image_RS_benchmark_performance'!A230</f>
        <v>FE</v>
      </c>
      <c r="B230" s="31">
        <f>IFERROR(__xludf.DUMMYFUNCTION("GOOGLEFINANCE(A230,""price"")"),37.62)</f>
        <v>37.62</v>
      </c>
      <c r="C230" s="31">
        <f>IFERROR(__xludf.DUMMYFUNCTION("GOOGLEFINANCE(A230,""high"")"),37.96)</f>
        <v>37.96</v>
      </c>
      <c r="D230" s="31">
        <f>IFERROR(__xludf.DUMMYFUNCTION("GOOGLEFINANCE(A230,""low"")"),37.47)</f>
        <v>37.47</v>
      </c>
      <c r="E230" s="31">
        <f>IFERROR(__xludf.DUMMYFUNCTION("GOOGLEFINANCE(A230,""change"")"),0.26)</f>
        <v>0.26</v>
      </c>
      <c r="F230" s="32">
        <f>IFERROR(__xludf.DUMMYFUNCTION("GOOGLEFINANCE(A230,""changepct"")/100"),0.006999999999999999)</f>
        <v>0.007</v>
      </c>
      <c r="G230" s="33">
        <f>IFERROR(__xludf.DUMMYFUNCTION("GOOGLEFINANCE(A230,""priceopen"")"),37.49)</f>
        <v>37.49</v>
      </c>
      <c r="H230" s="34">
        <f>IFERROR(__xludf.DUMMYFUNCTION("GOOGLEFINANCE(A230,""closeyest"")"),37.36)</f>
        <v>37.36</v>
      </c>
      <c r="I230" s="34">
        <f>IFERROR(__xludf.DUMMYFUNCTION("GOOGLEFINANCE(A230,""low52"")"),22.85)</f>
        <v>22.85</v>
      </c>
      <c r="J230" s="34">
        <f>IFERROR(__xludf.DUMMYFUNCTION("GOOGLEFINANCE(A230,""high52"")"),42.02)</f>
        <v>42.02</v>
      </c>
    </row>
    <row r="231">
      <c r="A231" s="30" t="str">
        <f>'6image_RS_benchmark_performance'!A231</f>
        <v>FFIV</v>
      </c>
      <c r="B231" s="31">
        <f>IFERROR(__xludf.DUMMYFUNCTION("GOOGLEFINANCE(A231,""price"")"),186.68)</f>
        <v>186.68</v>
      </c>
      <c r="C231" s="31">
        <f>IFERROR(__xludf.DUMMYFUNCTION("GOOGLEFINANCE(A231,""high"")"),187.6)</f>
        <v>187.6</v>
      </c>
      <c r="D231" s="31">
        <f>IFERROR(__xludf.DUMMYFUNCTION("GOOGLEFINANCE(A231,""low"")"),182.62)</f>
        <v>182.62</v>
      </c>
      <c r="E231" s="31">
        <f>IFERROR(__xludf.DUMMYFUNCTION("GOOGLEFINANCE(A231,""change"")"),3.73)</f>
        <v>3.73</v>
      </c>
      <c r="F231" s="32">
        <f>IFERROR(__xludf.DUMMYFUNCTION("GOOGLEFINANCE(A231,""changepct"")/100"),0.0204)</f>
        <v>0.0204</v>
      </c>
      <c r="G231" s="33">
        <f>IFERROR(__xludf.DUMMYFUNCTION("GOOGLEFINANCE(A231,""priceopen"")"),183.56)</f>
        <v>183.56</v>
      </c>
      <c r="H231" s="34">
        <f>IFERROR(__xludf.DUMMYFUNCTION("GOOGLEFINANCE(A231,""closeyest"")"),182.95)</f>
        <v>182.95</v>
      </c>
      <c r="I231" s="34">
        <f>IFERROR(__xludf.DUMMYFUNCTION("GOOGLEFINANCE(A231,""low52"")"),116.79)</f>
        <v>116.79</v>
      </c>
      <c r="J231" s="34">
        <f>IFERROR(__xludf.DUMMYFUNCTION("GOOGLEFINANCE(A231,""high52"")"),216.15)</f>
        <v>216.15</v>
      </c>
    </row>
    <row r="232">
      <c r="A232" s="30" t="str">
        <f>'6image_RS_benchmark_performance'!A232</f>
        <v>FIS</v>
      </c>
      <c r="B232" s="31">
        <f>IFERROR(__xludf.DUMMYFUNCTION("GOOGLEFINANCE(A232,""price"")"),144.83)</f>
        <v>144.83</v>
      </c>
      <c r="C232" s="31">
        <f>IFERROR(__xludf.DUMMYFUNCTION("GOOGLEFINANCE(A232,""high"")"),146.1)</f>
        <v>146.1</v>
      </c>
      <c r="D232" s="31">
        <f>IFERROR(__xludf.DUMMYFUNCTION("GOOGLEFINANCE(A232,""low"")"),142.83)</f>
        <v>142.83</v>
      </c>
      <c r="E232" s="31">
        <f>IFERROR(__xludf.DUMMYFUNCTION("GOOGLEFINANCE(A232,""change"")"),2.39)</f>
        <v>2.39</v>
      </c>
      <c r="F232" s="32">
        <f>IFERROR(__xludf.DUMMYFUNCTION("GOOGLEFINANCE(A232,""changepct"")/100"),0.0168)</f>
        <v>0.0168</v>
      </c>
      <c r="G232" s="33">
        <f>IFERROR(__xludf.DUMMYFUNCTION("GOOGLEFINANCE(A232,""priceopen"")"),142.98)</f>
        <v>142.98</v>
      </c>
      <c r="H232" s="34">
        <f>IFERROR(__xludf.DUMMYFUNCTION("GOOGLEFINANCE(A232,""closeyest"")"),142.44)</f>
        <v>142.44</v>
      </c>
      <c r="I232" s="34">
        <f>IFERROR(__xludf.DUMMYFUNCTION("GOOGLEFINANCE(A232,""low52"")"),120.17)</f>
        <v>120.17</v>
      </c>
      <c r="J232" s="34">
        <f>IFERROR(__xludf.DUMMYFUNCTION("GOOGLEFINANCE(A232,""high52"")"),156.73)</f>
        <v>156.73</v>
      </c>
    </row>
    <row r="233">
      <c r="A233" s="30" t="str">
        <f>'6image_RS_benchmark_performance'!A233</f>
        <v>FISV</v>
      </c>
      <c r="B233" s="31">
        <f>IFERROR(__xludf.DUMMYFUNCTION("GOOGLEFINANCE(A233,""price"")"),108.84)</f>
        <v>108.84</v>
      </c>
      <c r="C233" s="31">
        <f>IFERROR(__xludf.DUMMYFUNCTION("GOOGLEFINANCE(A233,""high"")"),109.73)</f>
        <v>109.73</v>
      </c>
      <c r="D233" s="31">
        <f>IFERROR(__xludf.DUMMYFUNCTION("GOOGLEFINANCE(A233,""low"")"),106.73)</f>
        <v>106.73</v>
      </c>
      <c r="E233" s="31">
        <f>IFERROR(__xludf.DUMMYFUNCTION("GOOGLEFINANCE(A233,""change"")"),2.18)</f>
        <v>2.18</v>
      </c>
      <c r="F233" s="32">
        <f>IFERROR(__xludf.DUMMYFUNCTION("GOOGLEFINANCE(A233,""changepct"")/100"),0.0204)</f>
        <v>0.0204</v>
      </c>
      <c r="G233" s="33">
        <f>IFERROR(__xludf.DUMMYFUNCTION("GOOGLEFINANCE(A233,""priceopen"")"),106.87)</f>
        <v>106.87</v>
      </c>
      <c r="H233" s="34">
        <f>IFERROR(__xludf.DUMMYFUNCTION("GOOGLEFINANCE(A233,""closeyest"")"),106.66)</f>
        <v>106.66</v>
      </c>
      <c r="I233" s="34">
        <f>IFERROR(__xludf.DUMMYFUNCTION("GOOGLEFINANCE(A233,""low52"")"),92.15)</f>
        <v>92.15</v>
      </c>
      <c r="J233" s="34">
        <f>IFERROR(__xludf.DUMMYFUNCTION("GOOGLEFINANCE(A233,""high52"")"),127.34)</f>
        <v>127.34</v>
      </c>
    </row>
    <row r="234">
      <c r="A234" s="30" t="str">
        <f>'6image_RS_benchmark_performance'!A234</f>
        <v>FITB</v>
      </c>
      <c r="B234" s="31">
        <f>IFERROR(__xludf.DUMMYFUNCTION("GOOGLEFINANCE(A234,""price"")"),35.96)</f>
        <v>35.96</v>
      </c>
      <c r="C234" s="31">
        <f>IFERROR(__xludf.DUMMYFUNCTION("GOOGLEFINANCE(A234,""high"")"),36.41)</f>
        <v>36.41</v>
      </c>
      <c r="D234" s="31">
        <f>IFERROR(__xludf.DUMMYFUNCTION("GOOGLEFINANCE(A234,""low"")"),34.37)</f>
        <v>34.37</v>
      </c>
      <c r="E234" s="31">
        <f>IFERROR(__xludf.DUMMYFUNCTION("GOOGLEFINANCE(A234,""change"")"),1.33)</f>
        <v>1.33</v>
      </c>
      <c r="F234" s="32">
        <f>IFERROR(__xludf.DUMMYFUNCTION("GOOGLEFINANCE(A234,""changepct"")/100"),0.0384)</f>
        <v>0.0384</v>
      </c>
      <c r="G234" s="33">
        <f>IFERROR(__xludf.DUMMYFUNCTION("GOOGLEFINANCE(A234,""priceopen"")"),34.53)</f>
        <v>34.53</v>
      </c>
      <c r="H234" s="34">
        <f>IFERROR(__xludf.DUMMYFUNCTION("GOOGLEFINANCE(A234,""closeyest"")"),34.63)</f>
        <v>34.63</v>
      </c>
      <c r="I234" s="34">
        <f>IFERROR(__xludf.DUMMYFUNCTION("GOOGLEFINANCE(A234,""low52"")"),18.26)</f>
        <v>18.26</v>
      </c>
      <c r="J234" s="34">
        <f>IFERROR(__xludf.DUMMYFUNCTION("GOOGLEFINANCE(A234,""high52"")"),43.06)</f>
        <v>43.06</v>
      </c>
    </row>
    <row r="235">
      <c r="A235" s="30" t="str">
        <f>'6image_RS_benchmark_performance'!A235</f>
        <v>FLT</v>
      </c>
      <c r="B235" s="31">
        <f>IFERROR(__xludf.DUMMYFUNCTION("GOOGLEFINANCE(A235,""price"")"),250.59)</f>
        <v>250.59</v>
      </c>
      <c r="C235" s="31">
        <f>IFERROR(__xludf.DUMMYFUNCTION("GOOGLEFINANCE(A235,""high"")"),252.73)</f>
        <v>252.73</v>
      </c>
      <c r="D235" s="31">
        <f>IFERROR(__xludf.DUMMYFUNCTION("GOOGLEFINANCE(A235,""low"")"),246.63)</f>
        <v>246.63</v>
      </c>
      <c r="E235" s="31">
        <f>IFERROR(__xludf.DUMMYFUNCTION("GOOGLEFINANCE(A235,""change"")"),4.99)</f>
        <v>4.99</v>
      </c>
      <c r="F235" s="32">
        <f>IFERROR(__xludf.DUMMYFUNCTION("GOOGLEFINANCE(A235,""changepct"")/100"),0.0203)</f>
        <v>0.0203</v>
      </c>
      <c r="G235" s="33">
        <f>IFERROR(__xludf.DUMMYFUNCTION("GOOGLEFINANCE(A235,""priceopen"")"),246.63)</f>
        <v>246.63</v>
      </c>
      <c r="H235" s="34">
        <f>IFERROR(__xludf.DUMMYFUNCTION("GOOGLEFINANCE(A235,""closeyest"")"),245.6)</f>
        <v>245.6</v>
      </c>
      <c r="I235" s="34">
        <f>IFERROR(__xludf.DUMMYFUNCTION("GOOGLEFINANCE(A235,""low52"")"),214.88)</f>
        <v>214.88</v>
      </c>
      <c r="J235" s="34">
        <f>IFERROR(__xludf.DUMMYFUNCTION("GOOGLEFINANCE(A235,""high52"")"),295.36)</f>
        <v>295.36</v>
      </c>
    </row>
    <row r="236">
      <c r="A236" s="30" t="str">
        <f>'6image_RS_benchmark_performance'!A236</f>
        <v>FMC</v>
      </c>
      <c r="B236" s="31">
        <f>IFERROR(__xludf.DUMMYFUNCTION("GOOGLEFINANCE(A236,""price"")"),103.34)</f>
        <v>103.34</v>
      </c>
      <c r="C236" s="31">
        <f>IFERROR(__xludf.DUMMYFUNCTION("GOOGLEFINANCE(A236,""high"")"),104.4)</f>
        <v>104.4</v>
      </c>
      <c r="D236" s="31">
        <f>IFERROR(__xludf.DUMMYFUNCTION("GOOGLEFINANCE(A236,""low"")"),102.45)</f>
        <v>102.45</v>
      </c>
      <c r="E236" s="31">
        <f>IFERROR(__xludf.DUMMYFUNCTION("GOOGLEFINANCE(A236,""change"")"),0.23)</f>
        <v>0.23</v>
      </c>
      <c r="F236" s="32">
        <f>IFERROR(__xludf.DUMMYFUNCTION("GOOGLEFINANCE(A236,""changepct"")/100"),0.0022)</f>
        <v>0.0022</v>
      </c>
      <c r="G236" s="33">
        <f>IFERROR(__xludf.DUMMYFUNCTION("GOOGLEFINANCE(A236,""priceopen"")"),102.84)</f>
        <v>102.84</v>
      </c>
      <c r="H236" s="34">
        <f>IFERROR(__xludf.DUMMYFUNCTION("GOOGLEFINANCE(A236,""closeyest"")"),103.11)</f>
        <v>103.11</v>
      </c>
      <c r="I236" s="34">
        <f>IFERROR(__xludf.DUMMYFUNCTION("GOOGLEFINANCE(A236,""low52"")"),98.16)</f>
        <v>98.16</v>
      </c>
      <c r="J236" s="34">
        <f>IFERROR(__xludf.DUMMYFUNCTION("GOOGLEFINANCE(A236,""high52"")"),123.66)</f>
        <v>123.66</v>
      </c>
    </row>
    <row r="237">
      <c r="A237" s="30" t="str">
        <f>'6image_RS_benchmark_performance'!A237</f>
        <v>FOX</v>
      </c>
      <c r="B237" s="31">
        <f>IFERROR(__xludf.DUMMYFUNCTION("GOOGLEFINANCE(A237,""price"")"),32.87)</f>
        <v>32.87</v>
      </c>
      <c r="C237" s="31">
        <f>IFERROR(__xludf.DUMMYFUNCTION("GOOGLEFINANCE(A237,""high"")"),33.0)</f>
        <v>33</v>
      </c>
      <c r="D237" s="31">
        <f>IFERROR(__xludf.DUMMYFUNCTION("GOOGLEFINANCE(A237,""low"")"),32.37)</f>
        <v>32.37</v>
      </c>
      <c r="E237" s="31">
        <f>IFERROR(__xludf.DUMMYFUNCTION("GOOGLEFINANCE(A237,""change"")"),0.27)</f>
        <v>0.27</v>
      </c>
      <c r="F237" s="32">
        <f>IFERROR(__xludf.DUMMYFUNCTION("GOOGLEFINANCE(A237,""changepct"")/100"),0.0083)</f>
        <v>0.0083</v>
      </c>
      <c r="G237" s="33">
        <f>IFERROR(__xludf.DUMMYFUNCTION("GOOGLEFINANCE(A237,""priceopen"")"),32.6)</f>
        <v>32.6</v>
      </c>
      <c r="H237" s="34">
        <f>IFERROR(__xludf.DUMMYFUNCTION("GOOGLEFINANCE(A237,""closeyest"")"),32.6)</f>
        <v>32.6</v>
      </c>
      <c r="I237" s="34">
        <f>IFERROR(__xludf.DUMMYFUNCTION("GOOGLEFINANCE(A237,""low52"")"),24.28)</f>
        <v>24.28</v>
      </c>
      <c r="J237" s="34">
        <f>IFERROR(__xludf.DUMMYFUNCTION("GOOGLEFINANCE(A237,""high52"")"),42.14)</f>
        <v>42.14</v>
      </c>
    </row>
    <row r="238">
      <c r="A238" s="30" t="str">
        <f>'6image_RS_benchmark_performance'!A238</f>
        <v>FOXA</v>
      </c>
      <c r="B238" s="31">
        <f>IFERROR(__xludf.DUMMYFUNCTION("GOOGLEFINANCE(A238,""price"")"),34.97)</f>
        <v>34.97</v>
      </c>
      <c r="C238" s="31">
        <f>IFERROR(__xludf.DUMMYFUNCTION("GOOGLEFINANCE(A238,""high"")"),35.1)</f>
        <v>35.1</v>
      </c>
      <c r="D238" s="31">
        <f>IFERROR(__xludf.DUMMYFUNCTION("GOOGLEFINANCE(A238,""low"")"),34.46)</f>
        <v>34.46</v>
      </c>
      <c r="E238" s="31">
        <f>IFERROR(__xludf.DUMMYFUNCTION("GOOGLEFINANCE(A238,""change"")"),0.25)</f>
        <v>0.25</v>
      </c>
      <c r="F238" s="32">
        <f>IFERROR(__xludf.DUMMYFUNCTION("GOOGLEFINANCE(A238,""changepct"")/100"),0.0072)</f>
        <v>0.0072</v>
      </c>
      <c r="G238" s="33">
        <f>IFERROR(__xludf.DUMMYFUNCTION("GOOGLEFINANCE(A238,""priceopen"")"),34.9)</f>
        <v>34.9</v>
      </c>
      <c r="H238" s="34">
        <f>IFERROR(__xludf.DUMMYFUNCTION("GOOGLEFINANCE(A238,""closeyest"")"),34.72)</f>
        <v>34.72</v>
      </c>
      <c r="I238" s="34">
        <f>IFERROR(__xludf.DUMMYFUNCTION("GOOGLEFINANCE(A238,""low52"")"),24.18)</f>
        <v>24.18</v>
      </c>
      <c r="J238" s="34">
        <f>IFERROR(__xludf.DUMMYFUNCTION("GOOGLEFINANCE(A238,""high52"")"),44.8)</f>
        <v>44.8</v>
      </c>
    </row>
    <row r="239">
      <c r="A239" s="30" t="str">
        <f>'6image_RS_benchmark_performance'!A239</f>
        <v>FRC</v>
      </c>
      <c r="B239" s="31">
        <f>IFERROR(__xludf.DUMMYFUNCTION("GOOGLEFINANCE(A239,""price"")"),193.47)</f>
        <v>193.47</v>
      </c>
      <c r="C239" s="31">
        <f>IFERROR(__xludf.DUMMYFUNCTION("GOOGLEFINANCE(A239,""high"")"),196.46)</f>
        <v>196.46</v>
      </c>
      <c r="D239" s="31">
        <f>IFERROR(__xludf.DUMMYFUNCTION("GOOGLEFINANCE(A239,""low"")"),187.79)</f>
        <v>187.79</v>
      </c>
      <c r="E239" s="31">
        <f>IFERROR(__xludf.DUMMYFUNCTION("GOOGLEFINANCE(A239,""change"")"),4.96)</f>
        <v>4.96</v>
      </c>
      <c r="F239" s="32">
        <f>IFERROR(__xludf.DUMMYFUNCTION("GOOGLEFINANCE(A239,""changepct"")/100"),0.0263)</f>
        <v>0.0263</v>
      </c>
      <c r="G239" s="33">
        <f>IFERROR(__xludf.DUMMYFUNCTION("GOOGLEFINANCE(A239,""priceopen"")"),187.79)</f>
        <v>187.79</v>
      </c>
      <c r="H239" s="34">
        <f>IFERROR(__xludf.DUMMYFUNCTION("GOOGLEFINANCE(A239,""closeyest"")"),188.51)</f>
        <v>188.51</v>
      </c>
      <c r="I239" s="34">
        <f>IFERROR(__xludf.DUMMYFUNCTION("GOOGLEFINANCE(A239,""low52"")"),100.38)</f>
        <v>100.38</v>
      </c>
      <c r="J239" s="34">
        <f>IFERROR(__xludf.DUMMYFUNCTION("GOOGLEFINANCE(A239,""high52"")"),202.07)</f>
        <v>202.07</v>
      </c>
    </row>
    <row r="240">
      <c r="A240" s="30" t="str">
        <f>'6image_RS_benchmark_performance'!A240</f>
        <v>FRT</v>
      </c>
      <c r="B240" s="31">
        <f>IFERROR(__xludf.DUMMYFUNCTION("GOOGLEFINANCE(A240,""price"")"),116.84)</f>
        <v>116.84</v>
      </c>
      <c r="C240" s="31">
        <f>IFERROR(__xludf.DUMMYFUNCTION("GOOGLEFINANCE(A240,""high"")"),116.98)</f>
        <v>116.98</v>
      </c>
      <c r="D240" s="31">
        <f>IFERROR(__xludf.DUMMYFUNCTION("GOOGLEFINANCE(A240,""low"")"),112.84)</f>
        <v>112.84</v>
      </c>
      <c r="E240" s="31">
        <f>IFERROR(__xludf.DUMMYFUNCTION("GOOGLEFINANCE(A240,""change"")"),4.6)</f>
        <v>4.6</v>
      </c>
      <c r="F240" s="32">
        <f>IFERROR(__xludf.DUMMYFUNCTION("GOOGLEFINANCE(A240,""changepct"")/100"),0.040999999999999995)</f>
        <v>0.041</v>
      </c>
      <c r="G240" s="33">
        <f>IFERROR(__xludf.DUMMYFUNCTION("GOOGLEFINANCE(A240,""priceopen"")"),112.86)</f>
        <v>112.86</v>
      </c>
      <c r="H240" s="34">
        <f>IFERROR(__xludf.DUMMYFUNCTION("GOOGLEFINANCE(A240,""closeyest"")"),112.24)</f>
        <v>112.24</v>
      </c>
      <c r="I240" s="34">
        <f>IFERROR(__xludf.DUMMYFUNCTION("GOOGLEFINANCE(A240,""low52"")"),67.01)</f>
        <v>67.01</v>
      </c>
      <c r="J240" s="34">
        <f>IFERROR(__xludf.DUMMYFUNCTION("GOOGLEFINANCE(A240,""high52"")"),125.0)</f>
        <v>125</v>
      </c>
    </row>
    <row r="241">
      <c r="A241" s="30" t="str">
        <f>'6image_RS_benchmark_performance'!A241</f>
        <v>FSLR</v>
      </c>
      <c r="B241" s="31">
        <f>IFERROR(__xludf.DUMMYFUNCTION("GOOGLEFINANCE(A241,""price"")"),82.68)</f>
        <v>82.68</v>
      </c>
      <c r="C241" s="31">
        <f>IFERROR(__xludf.DUMMYFUNCTION("GOOGLEFINANCE(A241,""high"")"),83.99)</f>
        <v>83.99</v>
      </c>
      <c r="D241" s="31">
        <f>IFERROR(__xludf.DUMMYFUNCTION("GOOGLEFINANCE(A241,""low"")"),81.73)</f>
        <v>81.73</v>
      </c>
      <c r="E241" s="31">
        <f>IFERROR(__xludf.DUMMYFUNCTION("GOOGLEFINANCE(A241,""change"")"),-0.37)</f>
        <v>-0.37</v>
      </c>
      <c r="F241" s="32">
        <f>IFERROR(__xludf.DUMMYFUNCTION("GOOGLEFINANCE(A241,""changepct"")/100"),-0.0045000000000000005)</f>
        <v>-0.0045</v>
      </c>
      <c r="G241" s="33">
        <f>IFERROR(__xludf.DUMMYFUNCTION("GOOGLEFINANCE(A241,""priceopen"")"),83.71)</f>
        <v>83.71</v>
      </c>
      <c r="H241" s="34">
        <f>IFERROR(__xludf.DUMMYFUNCTION("GOOGLEFINANCE(A241,""closeyest"")"),83.05)</f>
        <v>83.05</v>
      </c>
      <c r="I241" s="34">
        <f>IFERROR(__xludf.DUMMYFUNCTION("GOOGLEFINANCE(A241,""low52"")"),58.34)</f>
        <v>58.34</v>
      </c>
      <c r="J241" s="34">
        <f>IFERROR(__xludf.DUMMYFUNCTION("GOOGLEFINANCE(A241,""high52"")"),112.5)</f>
        <v>112.5</v>
      </c>
    </row>
    <row r="242">
      <c r="A242" s="30" t="str">
        <f>'6image_RS_benchmark_performance'!A242</f>
        <v>FSLY</v>
      </c>
      <c r="B242" s="31">
        <f>IFERROR(__xludf.DUMMYFUNCTION("GOOGLEFINANCE(A242,""price"")"),51.5)</f>
        <v>51.5</v>
      </c>
      <c r="C242" s="31">
        <f>IFERROR(__xludf.DUMMYFUNCTION("GOOGLEFINANCE(A242,""high"")"),52.18)</f>
        <v>52.18</v>
      </c>
      <c r="D242" s="31">
        <f>IFERROR(__xludf.DUMMYFUNCTION("GOOGLEFINANCE(A242,""low"")"),49.87)</f>
        <v>49.87</v>
      </c>
      <c r="E242" s="31">
        <f>IFERROR(__xludf.DUMMYFUNCTION("GOOGLEFINANCE(A242,""change"")"),0.29)</f>
        <v>0.29</v>
      </c>
      <c r="F242" s="32">
        <f>IFERROR(__xludf.DUMMYFUNCTION("GOOGLEFINANCE(A242,""changepct"")/100"),0.005699999999999999)</f>
        <v>0.0057</v>
      </c>
      <c r="G242" s="33">
        <f>IFERROR(__xludf.DUMMYFUNCTION("GOOGLEFINANCE(A242,""priceopen"")"),51.3)</f>
        <v>51.3</v>
      </c>
      <c r="H242" s="34">
        <f>IFERROR(__xludf.DUMMYFUNCTION("GOOGLEFINANCE(A242,""closeyest"")"),51.21)</f>
        <v>51.21</v>
      </c>
      <c r="I242" s="34">
        <f>IFERROR(__xludf.DUMMYFUNCTION("GOOGLEFINANCE(A242,""low52"")"),39.47)</f>
        <v>39.47</v>
      </c>
      <c r="J242" s="34">
        <f>IFERROR(__xludf.DUMMYFUNCTION("GOOGLEFINANCE(A242,""high52"")"),136.5)</f>
        <v>136.5</v>
      </c>
    </row>
    <row r="243">
      <c r="A243" s="30" t="str">
        <f>'6image_RS_benchmark_performance'!A243</f>
        <v>FTNT</v>
      </c>
      <c r="B243" s="31">
        <f>IFERROR(__xludf.DUMMYFUNCTION("GOOGLEFINANCE(A243,""price"")"),263.84)</f>
        <v>263.84</v>
      </c>
      <c r="C243" s="31">
        <f>IFERROR(__xludf.DUMMYFUNCTION("GOOGLEFINANCE(A243,""high"")"),265.15)</f>
        <v>265.15</v>
      </c>
      <c r="D243" s="31">
        <f>IFERROR(__xludf.DUMMYFUNCTION("GOOGLEFINANCE(A243,""low"")"),258.0)</f>
        <v>258</v>
      </c>
      <c r="E243" s="31">
        <f>IFERROR(__xludf.DUMMYFUNCTION("GOOGLEFINANCE(A243,""change"")"),7.21)</f>
        <v>7.21</v>
      </c>
      <c r="F243" s="32">
        <f>IFERROR(__xludf.DUMMYFUNCTION("GOOGLEFINANCE(A243,""changepct"")/100"),0.0281)</f>
        <v>0.0281</v>
      </c>
      <c r="G243" s="33">
        <f>IFERROR(__xludf.DUMMYFUNCTION("GOOGLEFINANCE(A243,""priceopen"")"),259.49)</f>
        <v>259.49</v>
      </c>
      <c r="H243" s="34">
        <f>IFERROR(__xludf.DUMMYFUNCTION("GOOGLEFINANCE(A243,""closeyest"")"),256.63)</f>
        <v>256.63</v>
      </c>
      <c r="I243" s="34">
        <f>IFERROR(__xludf.DUMMYFUNCTION("GOOGLEFINANCE(A243,""low52"")"),106.75)</f>
        <v>106.75</v>
      </c>
      <c r="J243" s="34">
        <f>IFERROR(__xludf.DUMMYFUNCTION("GOOGLEFINANCE(A243,""high52"")"),265.15)</f>
        <v>265.15</v>
      </c>
    </row>
    <row r="244">
      <c r="A244" s="30" t="str">
        <f>'6image_RS_benchmark_performance'!A244</f>
        <v>FTV</v>
      </c>
      <c r="B244" s="31">
        <f>IFERROR(__xludf.DUMMYFUNCTION("GOOGLEFINANCE(A244,""price"")"),69.8)</f>
        <v>69.8</v>
      </c>
      <c r="C244" s="31">
        <f>IFERROR(__xludf.DUMMYFUNCTION("GOOGLEFINANCE(A244,""high"")"),70.03)</f>
        <v>70.03</v>
      </c>
      <c r="D244" s="31">
        <f>IFERROR(__xludf.DUMMYFUNCTION("GOOGLEFINANCE(A244,""low"")"),68.55)</f>
        <v>68.55</v>
      </c>
      <c r="E244" s="31">
        <f>IFERROR(__xludf.DUMMYFUNCTION("GOOGLEFINANCE(A244,""change"")"),1.43)</f>
        <v>1.43</v>
      </c>
      <c r="F244" s="32">
        <f>IFERROR(__xludf.DUMMYFUNCTION("GOOGLEFINANCE(A244,""changepct"")/100"),0.0209)</f>
        <v>0.0209</v>
      </c>
      <c r="G244" s="33">
        <f>IFERROR(__xludf.DUMMYFUNCTION("GOOGLEFINANCE(A244,""priceopen"")"),68.69)</f>
        <v>68.69</v>
      </c>
      <c r="H244" s="34">
        <f>IFERROR(__xludf.DUMMYFUNCTION("GOOGLEFINANCE(A244,""closeyest"")"),68.37)</f>
        <v>68.37</v>
      </c>
      <c r="I244" s="34">
        <f>IFERROR(__xludf.DUMMYFUNCTION("GOOGLEFINANCE(A244,""low52"")"),58.93)</f>
        <v>58.93</v>
      </c>
      <c r="J244" s="34">
        <f>IFERROR(__xludf.DUMMYFUNCTION("GOOGLEFINANCE(A244,""high52"")"),75.0)</f>
        <v>75</v>
      </c>
    </row>
    <row r="245">
      <c r="A245" s="30" t="str">
        <f>'6image_RS_benchmark_performance'!A245</f>
        <v>FUBO</v>
      </c>
      <c r="B245" s="31">
        <f>IFERROR(__xludf.DUMMYFUNCTION("GOOGLEFINANCE(A245,""price"")"),26.51)</f>
        <v>26.51</v>
      </c>
      <c r="C245" s="31">
        <f>IFERROR(__xludf.DUMMYFUNCTION("GOOGLEFINANCE(A245,""high"")"),26.8)</f>
        <v>26.8</v>
      </c>
      <c r="D245" s="31">
        <f>IFERROR(__xludf.DUMMYFUNCTION("GOOGLEFINANCE(A245,""low"")"),24.83)</f>
        <v>24.83</v>
      </c>
      <c r="E245" s="31">
        <f>IFERROR(__xludf.DUMMYFUNCTION("GOOGLEFINANCE(A245,""change"")"),0.55)</f>
        <v>0.55</v>
      </c>
      <c r="F245" s="32">
        <f>IFERROR(__xludf.DUMMYFUNCTION("GOOGLEFINANCE(A245,""changepct"")/100"),0.0212)</f>
        <v>0.0212</v>
      </c>
      <c r="G245" s="33">
        <f>IFERROR(__xludf.DUMMYFUNCTION("GOOGLEFINANCE(A245,""priceopen"")"),25.95)</f>
        <v>25.95</v>
      </c>
      <c r="H245" s="34">
        <f>IFERROR(__xludf.DUMMYFUNCTION("GOOGLEFINANCE(A245,""closeyest"")"),25.96)</f>
        <v>25.96</v>
      </c>
      <c r="I245" s="34">
        <f>IFERROR(__xludf.DUMMYFUNCTION("GOOGLEFINANCE(A245,""low52"")"),8.26)</f>
        <v>8.26</v>
      </c>
      <c r="J245" s="34">
        <f>IFERROR(__xludf.DUMMYFUNCTION("GOOGLEFINANCE(A245,""high52"")"),62.29)</f>
        <v>62.29</v>
      </c>
    </row>
    <row r="246">
      <c r="A246" s="30" t="str">
        <f>'6image_RS_benchmark_performance'!A246</f>
        <v>FXI</v>
      </c>
      <c r="B246" s="31">
        <f>IFERROR(__xludf.DUMMYFUNCTION("GOOGLEFINANCE(A246,""price"")"),43.59)</f>
        <v>43.59</v>
      </c>
      <c r="C246" s="31">
        <f>IFERROR(__xludf.DUMMYFUNCTION("GOOGLEFINANCE(A246,""high"")"),43.72)</f>
        <v>43.72</v>
      </c>
      <c r="D246" s="31">
        <f>IFERROR(__xludf.DUMMYFUNCTION("GOOGLEFINANCE(A246,""low"")"),43.23)</f>
        <v>43.23</v>
      </c>
      <c r="E246" s="31">
        <f>IFERROR(__xludf.DUMMYFUNCTION("GOOGLEFINANCE(A246,""change"")"),-0.22)</f>
        <v>-0.22</v>
      </c>
      <c r="F246" s="32">
        <f>IFERROR(__xludf.DUMMYFUNCTION("GOOGLEFINANCE(A246,""changepct"")/100"),-0.005)</f>
        <v>-0.005</v>
      </c>
      <c r="G246" s="33">
        <f>IFERROR(__xludf.DUMMYFUNCTION("GOOGLEFINANCE(A246,""priceopen"")"),43.32)</f>
        <v>43.32</v>
      </c>
      <c r="H246" s="34">
        <f>IFERROR(__xludf.DUMMYFUNCTION("GOOGLEFINANCE(A246,""closeyest"")"),43.81)</f>
        <v>43.81</v>
      </c>
      <c r="I246" s="34">
        <f>IFERROR(__xludf.DUMMYFUNCTION("GOOGLEFINANCE(A246,""low52"")"),40.23)</f>
        <v>40.23</v>
      </c>
      <c r="J246" s="34">
        <f>IFERROR(__xludf.DUMMYFUNCTION("GOOGLEFINANCE(A246,""high52"")"),54.53)</f>
        <v>54.53</v>
      </c>
    </row>
    <row r="247">
      <c r="A247" s="30" t="str">
        <f>'6image_RS_benchmark_performance'!A247</f>
        <v>GBTC</v>
      </c>
      <c r="B247" s="31">
        <f>IFERROR(__xludf.DUMMYFUNCTION("GOOGLEFINANCE(A247,""price"")"),24.02)</f>
        <v>24.02</v>
      </c>
      <c r="C247" s="31">
        <f>IFERROR(__xludf.DUMMYFUNCTION("GOOGLEFINANCE(A247,""high"")"),24.47)</f>
        <v>24.47</v>
      </c>
      <c r="D247" s="31">
        <f>IFERROR(__xludf.DUMMYFUNCTION("GOOGLEFINANCE(A247,""low"")"),24.01)</f>
        <v>24.01</v>
      </c>
      <c r="E247" s="31">
        <f>IFERROR(__xludf.DUMMYFUNCTION("GOOGLEFINANCE(A247,""change"")"),-1.23)</f>
        <v>-1.23</v>
      </c>
      <c r="F247" s="32">
        <f>IFERROR(__xludf.DUMMYFUNCTION("GOOGLEFINANCE(A247,""changepct"")/100"),-0.0487)</f>
        <v>-0.0487</v>
      </c>
      <c r="G247" s="33">
        <f>IFERROR(__xludf.DUMMYFUNCTION("GOOGLEFINANCE(A247,""priceopen"")"),24.4)</f>
        <v>24.4</v>
      </c>
      <c r="H247" s="34">
        <f>IFERROR(__xludf.DUMMYFUNCTION("GOOGLEFINANCE(A247,""closeyest"")"),25.25)</f>
        <v>25.25</v>
      </c>
      <c r="I247" s="34">
        <f>IFERROR(__xludf.DUMMYFUNCTION("GOOGLEFINANCE(A247,""low52"")"),9.25)</f>
        <v>9.25</v>
      </c>
      <c r="J247" s="34">
        <f>IFERROR(__xludf.DUMMYFUNCTION("GOOGLEFINANCE(A247,""high52"")"),58.22)</f>
        <v>58.22</v>
      </c>
    </row>
    <row r="248">
      <c r="A248" s="30" t="str">
        <f>'6image_RS_benchmark_performance'!A248</f>
        <v>GD</v>
      </c>
      <c r="B248" s="31">
        <f>IFERROR(__xludf.DUMMYFUNCTION("GOOGLEFINANCE(A248,""price"")"),190.01)</f>
        <v>190.01</v>
      </c>
      <c r="C248" s="31">
        <f>IFERROR(__xludf.DUMMYFUNCTION("GOOGLEFINANCE(A248,""high"")"),190.63)</f>
        <v>190.63</v>
      </c>
      <c r="D248" s="31">
        <f>IFERROR(__xludf.DUMMYFUNCTION("GOOGLEFINANCE(A248,""low"")"),185.06)</f>
        <v>185.06</v>
      </c>
      <c r="E248" s="31">
        <f>IFERROR(__xludf.DUMMYFUNCTION("GOOGLEFINANCE(A248,""change"")"),5.92)</f>
        <v>5.92</v>
      </c>
      <c r="F248" s="32">
        <f>IFERROR(__xludf.DUMMYFUNCTION("GOOGLEFINANCE(A248,""changepct"")/100"),0.0322)</f>
        <v>0.0322</v>
      </c>
      <c r="G248" s="33">
        <f>IFERROR(__xludf.DUMMYFUNCTION("GOOGLEFINANCE(A248,""priceopen"")"),185.15)</f>
        <v>185.15</v>
      </c>
      <c r="H248" s="34">
        <f>IFERROR(__xludf.DUMMYFUNCTION("GOOGLEFINANCE(A248,""closeyest"")"),184.09)</f>
        <v>184.09</v>
      </c>
      <c r="I248" s="34">
        <f>IFERROR(__xludf.DUMMYFUNCTION("GOOGLEFINANCE(A248,""low52"")"),129.17)</f>
        <v>129.17</v>
      </c>
      <c r="J248" s="34">
        <f>IFERROR(__xludf.DUMMYFUNCTION("GOOGLEFINANCE(A248,""high52"")"),197.51)</f>
        <v>197.51</v>
      </c>
    </row>
    <row r="249">
      <c r="A249" s="30" t="str">
        <f>'6image_RS_benchmark_performance'!A249</f>
        <v>GDX</v>
      </c>
      <c r="B249" s="31">
        <f>IFERROR(__xludf.DUMMYFUNCTION("GOOGLEFINANCE(A249,""price"")"),33.3)</f>
        <v>33.3</v>
      </c>
      <c r="C249" s="31">
        <f>IFERROR(__xludf.DUMMYFUNCTION("GOOGLEFINANCE(A249,""high"")"),33.81)</f>
        <v>33.81</v>
      </c>
      <c r="D249" s="31">
        <f>IFERROR(__xludf.DUMMYFUNCTION("GOOGLEFINANCE(A249,""low"")"),33.06)</f>
        <v>33.06</v>
      </c>
      <c r="E249" s="31">
        <f>IFERROR(__xludf.DUMMYFUNCTION("GOOGLEFINANCE(A249,""change"")"),0.11)</f>
        <v>0.11</v>
      </c>
      <c r="F249" s="32">
        <f>IFERROR(__xludf.DUMMYFUNCTION("GOOGLEFINANCE(A249,""changepct"")/100"),0.0033)</f>
        <v>0.0033</v>
      </c>
      <c r="G249" s="33">
        <f>IFERROR(__xludf.DUMMYFUNCTION("GOOGLEFINANCE(A249,""priceopen"")"),33.39)</f>
        <v>33.39</v>
      </c>
      <c r="H249" s="34">
        <f>IFERROR(__xludf.DUMMYFUNCTION("GOOGLEFINANCE(A249,""closeyest"")"),33.19)</f>
        <v>33.19</v>
      </c>
      <c r="I249" s="34">
        <f>IFERROR(__xludf.DUMMYFUNCTION("GOOGLEFINANCE(A249,""low52"")"),30.64)</f>
        <v>30.64</v>
      </c>
      <c r="J249" s="34">
        <f>IFERROR(__xludf.DUMMYFUNCTION("GOOGLEFINANCE(A249,""high52"")"),45.78)</f>
        <v>45.78</v>
      </c>
    </row>
    <row r="250">
      <c r="A250" s="30" t="str">
        <f>'6image_RS_benchmark_performance'!A250</f>
        <v>GE</v>
      </c>
      <c r="B250" s="31">
        <f>IFERROR(__xludf.DUMMYFUNCTION("GOOGLEFINANCE(A250,""price"")"),12.7)</f>
        <v>12.7</v>
      </c>
      <c r="C250" s="31">
        <f>IFERROR(__xludf.DUMMYFUNCTION("GOOGLEFINANCE(A250,""high"")"),12.74)</f>
        <v>12.74</v>
      </c>
      <c r="D250" s="31">
        <f>IFERROR(__xludf.DUMMYFUNCTION("GOOGLEFINANCE(A250,""low"")"),11.99)</f>
        <v>11.99</v>
      </c>
      <c r="E250" s="31">
        <f>IFERROR(__xludf.DUMMYFUNCTION("GOOGLEFINANCE(A250,""change"")"),0.7)</f>
        <v>0.7</v>
      </c>
      <c r="F250" s="32">
        <f>IFERROR(__xludf.DUMMYFUNCTION("GOOGLEFINANCE(A250,""changepct"")/100"),0.0583)</f>
        <v>0.0583</v>
      </c>
      <c r="G250" s="33">
        <f>IFERROR(__xludf.DUMMYFUNCTION("GOOGLEFINANCE(A250,""priceopen"")"),12.01)</f>
        <v>12.01</v>
      </c>
      <c r="H250" s="34">
        <f>IFERROR(__xludf.DUMMYFUNCTION("GOOGLEFINANCE(A250,""closeyest"")"),12.0)</f>
        <v>12</v>
      </c>
      <c r="I250" s="34">
        <f>IFERROR(__xludf.DUMMYFUNCTION("GOOGLEFINANCE(A250,""low52"")"),5.93)</f>
        <v>5.93</v>
      </c>
      <c r="J250" s="34">
        <f>IFERROR(__xludf.DUMMYFUNCTION("GOOGLEFINANCE(A250,""high52"")"),14.42)</f>
        <v>14.42</v>
      </c>
    </row>
    <row r="251">
      <c r="A251" s="30" t="str">
        <f>'6image_RS_benchmark_performance'!A251</f>
        <v>GILD</v>
      </c>
      <c r="B251" s="31">
        <f>IFERROR(__xludf.DUMMYFUNCTION("GOOGLEFINANCE(A251,""price"")"),69.16)</f>
        <v>69.16</v>
      </c>
      <c r="C251" s="31">
        <f>IFERROR(__xludf.DUMMYFUNCTION("GOOGLEFINANCE(A251,""high"")"),69.77)</f>
        <v>69.77</v>
      </c>
      <c r="D251" s="31">
        <f>IFERROR(__xludf.DUMMYFUNCTION("GOOGLEFINANCE(A251,""low"")"),68.27)</f>
        <v>68.27</v>
      </c>
      <c r="E251" s="31">
        <f>IFERROR(__xludf.DUMMYFUNCTION("GOOGLEFINANCE(A251,""change"")"),0.93)</f>
        <v>0.93</v>
      </c>
      <c r="F251" s="32">
        <f>IFERROR(__xludf.DUMMYFUNCTION("GOOGLEFINANCE(A251,""changepct"")/100"),0.013600000000000001)</f>
        <v>0.0136</v>
      </c>
      <c r="G251" s="33">
        <f>IFERROR(__xludf.DUMMYFUNCTION("GOOGLEFINANCE(A251,""priceopen"")"),68.32)</f>
        <v>68.32</v>
      </c>
      <c r="H251" s="34">
        <f>IFERROR(__xludf.DUMMYFUNCTION("GOOGLEFINANCE(A251,""closeyest"")"),68.23)</f>
        <v>68.23</v>
      </c>
      <c r="I251" s="34">
        <f>IFERROR(__xludf.DUMMYFUNCTION("GOOGLEFINANCE(A251,""low52"")"),56.56)</f>
        <v>56.56</v>
      </c>
      <c r="J251" s="34">
        <f>IFERROR(__xludf.DUMMYFUNCTION("GOOGLEFINANCE(A251,""high52"")"),78.94)</f>
        <v>78.94</v>
      </c>
    </row>
    <row r="252">
      <c r="A252" s="30" t="str">
        <f>'6image_RS_benchmark_performance'!A252</f>
        <v>GIS</v>
      </c>
      <c r="B252" s="31">
        <f>IFERROR(__xludf.DUMMYFUNCTION("GOOGLEFINANCE(A252,""price"")"),59.92)</f>
        <v>59.92</v>
      </c>
      <c r="C252" s="31">
        <f>IFERROR(__xludf.DUMMYFUNCTION("GOOGLEFINANCE(A252,""high"")"),61.58)</f>
        <v>61.58</v>
      </c>
      <c r="D252" s="31">
        <f>IFERROR(__xludf.DUMMYFUNCTION("GOOGLEFINANCE(A252,""low"")"),59.88)</f>
        <v>59.88</v>
      </c>
      <c r="E252" s="31">
        <f>IFERROR(__xludf.DUMMYFUNCTION("GOOGLEFINANCE(A252,""change"")"),-0.81)</f>
        <v>-0.81</v>
      </c>
      <c r="F252" s="32">
        <f>IFERROR(__xludf.DUMMYFUNCTION("GOOGLEFINANCE(A252,""changepct"")/100"),-0.013300000000000001)</f>
        <v>-0.0133</v>
      </c>
      <c r="G252" s="33">
        <f>IFERROR(__xludf.DUMMYFUNCTION("GOOGLEFINANCE(A252,""priceopen"")"),60.99)</f>
        <v>60.99</v>
      </c>
      <c r="H252" s="34">
        <f>IFERROR(__xludf.DUMMYFUNCTION("GOOGLEFINANCE(A252,""closeyest"")"),60.73)</f>
        <v>60.73</v>
      </c>
      <c r="I252" s="34">
        <f>IFERROR(__xludf.DUMMYFUNCTION("GOOGLEFINANCE(A252,""low52"")"),53.96)</f>
        <v>53.96</v>
      </c>
      <c r="J252" s="34">
        <f>IFERROR(__xludf.DUMMYFUNCTION("GOOGLEFINANCE(A252,""high52"")"),66.14)</f>
        <v>66.14</v>
      </c>
    </row>
    <row r="253">
      <c r="A253" s="30" t="str">
        <f>'6image_RS_benchmark_performance'!A253</f>
        <v>GL</v>
      </c>
      <c r="B253" s="31">
        <f>IFERROR(__xludf.DUMMYFUNCTION("GOOGLEFINANCE(A253,""price"")"),93.1)</f>
        <v>93.1</v>
      </c>
      <c r="C253" s="31">
        <f>IFERROR(__xludf.DUMMYFUNCTION("GOOGLEFINANCE(A253,""high"")"),94.03)</f>
        <v>94.03</v>
      </c>
      <c r="D253" s="31">
        <f>IFERROR(__xludf.DUMMYFUNCTION("GOOGLEFINANCE(A253,""low"")"),90.89)</f>
        <v>90.89</v>
      </c>
      <c r="E253" s="31">
        <f>IFERROR(__xludf.DUMMYFUNCTION("GOOGLEFINANCE(A253,""change"")"),2.47)</f>
        <v>2.47</v>
      </c>
      <c r="F253" s="32">
        <f>IFERROR(__xludf.DUMMYFUNCTION("GOOGLEFINANCE(A253,""changepct"")/100"),0.0273)</f>
        <v>0.0273</v>
      </c>
      <c r="G253" s="33">
        <f>IFERROR(__xludf.DUMMYFUNCTION("GOOGLEFINANCE(A253,""priceopen"")"),90.89)</f>
        <v>90.89</v>
      </c>
      <c r="H253" s="34">
        <f>IFERROR(__xludf.DUMMYFUNCTION("GOOGLEFINANCE(A253,""closeyest"")"),90.63)</f>
        <v>90.63</v>
      </c>
      <c r="I253" s="34">
        <f>IFERROR(__xludf.DUMMYFUNCTION("GOOGLEFINANCE(A253,""low52"")"),73.53)</f>
        <v>73.53</v>
      </c>
      <c r="J253" s="34">
        <f>IFERROR(__xludf.DUMMYFUNCTION("GOOGLEFINANCE(A253,""high52"")"),108.22)</f>
        <v>108.22</v>
      </c>
    </row>
    <row r="254">
      <c r="A254" s="30" t="str">
        <f>'6image_RS_benchmark_performance'!A254</f>
        <v>GLD</v>
      </c>
      <c r="B254" s="31">
        <f>IFERROR(__xludf.DUMMYFUNCTION("GOOGLEFINANCE(A254,""price"")"),169.39)</f>
        <v>169.39</v>
      </c>
      <c r="C254" s="31">
        <f>IFERROR(__xludf.DUMMYFUNCTION("GOOGLEFINANCE(A254,""high"")"),170.8)</f>
        <v>170.8</v>
      </c>
      <c r="D254" s="31">
        <f>IFERROR(__xludf.DUMMYFUNCTION("GOOGLEFINANCE(A254,""low"")"),168.93)</f>
        <v>168.93</v>
      </c>
      <c r="E254" s="31">
        <f>IFERROR(__xludf.DUMMYFUNCTION("GOOGLEFINANCE(A254,""change"")"),-0.22)</f>
        <v>-0.22</v>
      </c>
      <c r="F254" s="32">
        <f>IFERROR(__xludf.DUMMYFUNCTION("GOOGLEFINANCE(A254,""changepct"")/100"),-0.0013)</f>
        <v>-0.0013</v>
      </c>
      <c r="G254" s="33">
        <f>IFERROR(__xludf.DUMMYFUNCTION("GOOGLEFINANCE(A254,""priceopen"")"),170.48)</f>
        <v>170.48</v>
      </c>
      <c r="H254" s="34">
        <f>IFERROR(__xludf.DUMMYFUNCTION("GOOGLEFINANCE(A254,""closeyest"")"),169.61)</f>
        <v>169.61</v>
      </c>
      <c r="I254" s="34">
        <f>IFERROR(__xludf.DUMMYFUNCTION("GOOGLEFINANCE(A254,""low52"")"),157.13)</f>
        <v>157.13</v>
      </c>
      <c r="J254" s="34">
        <f>IFERROR(__xludf.DUMMYFUNCTION("GOOGLEFINANCE(A254,""high52"")"),194.45)</f>
        <v>194.45</v>
      </c>
    </row>
    <row r="255">
      <c r="A255" s="30" t="str">
        <f>'6image_RS_benchmark_performance'!A255</f>
        <v>GLW</v>
      </c>
      <c r="B255" s="31">
        <f>IFERROR(__xludf.DUMMYFUNCTION("GOOGLEFINANCE(A255,""price"")"),40.11)</f>
        <v>40.11</v>
      </c>
      <c r="C255" s="31">
        <f>IFERROR(__xludf.DUMMYFUNCTION("GOOGLEFINANCE(A255,""high"")"),40.34)</f>
        <v>40.34</v>
      </c>
      <c r="D255" s="31">
        <f>IFERROR(__xludf.DUMMYFUNCTION("GOOGLEFINANCE(A255,""low"")"),39.45)</f>
        <v>39.45</v>
      </c>
      <c r="E255" s="31">
        <f>IFERROR(__xludf.DUMMYFUNCTION("GOOGLEFINANCE(A255,""change"")"),0.78)</f>
        <v>0.78</v>
      </c>
      <c r="F255" s="32">
        <f>IFERROR(__xludf.DUMMYFUNCTION("GOOGLEFINANCE(A255,""changepct"")/100"),0.019799999999999998)</f>
        <v>0.0198</v>
      </c>
      <c r="G255" s="33">
        <f>IFERROR(__xludf.DUMMYFUNCTION("GOOGLEFINANCE(A255,""priceopen"")"),39.57)</f>
        <v>39.57</v>
      </c>
      <c r="H255" s="34">
        <f>IFERROR(__xludf.DUMMYFUNCTION("GOOGLEFINANCE(A255,""closeyest"")"),39.33)</f>
        <v>39.33</v>
      </c>
      <c r="I255" s="34">
        <f>IFERROR(__xludf.DUMMYFUNCTION("GOOGLEFINANCE(A255,""low52"")"),28.78)</f>
        <v>28.78</v>
      </c>
      <c r="J255" s="34">
        <f>IFERROR(__xludf.DUMMYFUNCTION("GOOGLEFINANCE(A255,""high52"")"),46.82)</f>
        <v>46.82</v>
      </c>
    </row>
    <row r="256">
      <c r="A256" s="30" t="str">
        <f>'6image_RS_benchmark_performance'!A256</f>
        <v>GM</v>
      </c>
      <c r="B256" s="31">
        <f>IFERROR(__xludf.DUMMYFUNCTION("GOOGLEFINANCE(A256,""price"")"),56.15)</f>
        <v>56.15</v>
      </c>
      <c r="C256" s="31">
        <f>IFERROR(__xludf.DUMMYFUNCTION("GOOGLEFINANCE(A256,""high"")"),56.38)</f>
        <v>56.38</v>
      </c>
      <c r="D256" s="31">
        <f>IFERROR(__xludf.DUMMYFUNCTION("GOOGLEFINANCE(A256,""low"")"),54.12)</f>
        <v>54.12</v>
      </c>
      <c r="E256" s="31">
        <f>IFERROR(__xludf.DUMMYFUNCTION("GOOGLEFINANCE(A256,""change"")"),1.97)</f>
        <v>1.97</v>
      </c>
      <c r="F256" s="32">
        <f>IFERROR(__xludf.DUMMYFUNCTION("GOOGLEFINANCE(A256,""changepct"")/100"),0.0364)</f>
        <v>0.0364</v>
      </c>
      <c r="G256" s="33">
        <f>IFERROR(__xludf.DUMMYFUNCTION("GOOGLEFINANCE(A256,""priceopen"")"),54.26)</f>
        <v>54.26</v>
      </c>
      <c r="H256" s="34">
        <f>IFERROR(__xludf.DUMMYFUNCTION("GOOGLEFINANCE(A256,""closeyest"")"),54.18)</f>
        <v>54.18</v>
      </c>
      <c r="I256" s="34">
        <f>IFERROR(__xludf.DUMMYFUNCTION("GOOGLEFINANCE(A256,""low52"")"),24.44)</f>
        <v>24.44</v>
      </c>
      <c r="J256" s="34">
        <f>IFERROR(__xludf.DUMMYFUNCTION("GOOGLEFINANCE(A256,""high52"")"),64.3)</f>
        <v>64.3</v>
      </c>
    </row>
    <row r="257">
      <c r="A257" s="30" t="str">
        <f>'6image_RS_benchmark_performance'!A257</f>
        <v>GME</v>
      </c>
      <c r="B257" s="31">
        <f>IFERROR(__xludf.DUMMYFUNCTION("GOOGLEFINANCE(A257,""price"")"),191.18)</f>
        <v>191.18</v>
      </c>
      <c r="C257" s="31">
        <f>IFERROR(__xludf.DUMMYFUNCTION("GOOGLEFINANCE(A257,""high"")"),193.64)</f>
        <v>193.64</v>
      </c>
      <c r="D257" s="31">
        <f>IFERROR(__xludf.DUMMYFUNCTION("GOOGLEFINANCE(A257,""low"")"),172.42)</f>
        <v>172.42</v>
      </c>
      <c r="E257" s="31">
        <f>IFERROR(__xludf.DUMMYFUNCTION("GOOGLEFINANCE(A257,""change"")"),17.69)</f>
        <v>17.69</v>
      </c>
      <c r="F257" s="32">
        <f>IFERROR(__xludf.DUMMYFUNCTION("GOOGLEFINANCE(A257,""changepct"")/100"),0.102)</f>
        <v>0.102</v>
      </c>
      <c r="G257" s="33">
        <f>IFERROR(__xludf.DUMMYFUNCTION("GOOGLEFINANCE(A257,""priceopen"")"),173.9)</f>
        <v>173.9</v>
      </c>
      <c r="H257" s="34">
        <f>IFERROR(__xludf.DUMMYFUNCTION("GOOGLEFINANCE(A257,""closeyest"")"),173.49)</f>
        <v>173.49</v>
      </c>
      <c r="I257" s="34">
        <f>IFERROR(__xludf.DUMMYFUNCTION("GOOGLEFINANCE(A257,""low52"")"),3.77)</f>
        <v>3.77</v>
      </c>
      <c r="J257" s="34">
        <f>IFERROR(__xludf.DUMMYFUNCTION("GOOGLEFINANCE(A257,""high52"")"),483.0)</f>
        <v>483</v>
      </c>
    </row>
    <row r="258">
      <c r="A258" s="30" t="str">
        <f>'6image_RS_benchmark_performance'!A258</f>
        <v>GNRC</v>
      </c>
      <c r="B258" s="31">
        <f>IFERROR(__xludf.DUMMYFUNCTION("GOOGLEFINANCE(A258,""price"")"),436.42)</f>
        <v>436.42</v>
      </c>
      <c r="C258" s="31">
        <f>IFERROR(__xludf.DUMMYFUNCTION("GOOGLEFINANCE(A258,""high"")"),438.49)</f>
        <v>438.49</v>
      </c>
      <c r="D258" s="31">
        <f>IFERROR(__xludf.DUMMYFUNCTION("GOOGLEFINANCE(A258,""low"")"),431.78)</f>
        <v>431.78</v>
      </c>
      <c r="E258" s="31">
        <f>IFERROR(__xludf.DUMMYFUNCTION("GOOGLEFINANCE(A258,""change"")"),2.17)</f>
        <v>2.17</v>
      </c>
      <c r="F258" s="32">
        <f>IFERROR(__xludf.DUMMYFUNCTION("GOOGLEFINANCE(A258,""changepct"")/100"),0.005)</f>
        <v>0.005</v>
      </c>
      <c r="G258" s="33">
        <f>IFERROR(__xludf.DUMMYFUNCTION("GOOGLEFINANCE(A258,""priceopen"")"),436.81)</f>
        <v>436.81</v>
      </c>
      <c r="H258" s="34">
        <f>IFERROR(__xludf.DUMMYFUNCTION("GOOGLEFINANCE(A258,""closeyest"")"),434.25)</f>
        <v>434.25</v>
      </c>
      <c r="I258" s="34">
        <f>IFERROR(__xludf.DUMMYFUNCTION("GOOGLEFINANCE(A258,""low52"")"),134.15)</f>
        <v>134.15</v>
      </c>
      <c r="J258" s="34">
        <f>IFERROR(__xludf.DUMMYFUNCTION("GOOGLEFINANCE(A258,""high52"")"),452.92)</f>
        <v>452.92</v>
      </c>
    </row>
    <row r="259">
      <c r="A259" s="30" t="str">
        <f>'6image_RS_benchmark_performance'!A259</f>
        <v>GOOG</v>
      </c>
      <c r="B259" s="31">
        <f>IFERROR(__xludf.DUMMYFUNCTION("GOOGLEFINANCE(A259,""price"")"),2622.03)</f>
        <v>2622.03</v>
      </c>
      <c r="C259" s="31">
        <f>IFERROR(__xludf.DUMMYFUNCTION("GOOGLEFINANCE(A259,""high"")"),2640.03)</f>
        <v>2640.03</v>
      </c>
      <c r="D259" s="31">
        <f>IFERROR(__xludf.DUMMYFUNCTION("GOOGLEFINANCE(A259,""low"")"),2583.77)</f>
        <v>2583.77</v>
      </c>
      <c r="E259" s="31">
        <f>IFERROR(__xludf.DUMMYFUNCTION("GOOGLEFINANCE(A259,""change"")"),36.95)</f>
        <v>36.95</v>
      </c>
      <c r="F259" s="32">
        <f>IFERROR(__xludf.DUMMYFUNCTION("GOOGLEFINANCE(A259,""changepct"")/100"),0.0143)</f>
        <v>0.0143</v>
      </c>
      <c r="G259" s="33">
        <f>IFERROR(__xludf.DUMMYFUNCTION("GOOGLEFINANCE(A259,""priceopen"")"),2600.08)</f>
        <v>2600.08</v>
      </c>
      <c r="H259" s="34">
        <f>IFERROR(__xludf.DUMMYFUNCTION("GOOGLEFINANCE(A259,""closeyest"")"),2585.08)</f>
        <v>2585.08</v>
      </c>
      <c r="I259" s="34">
        <f>IFERROR(__xludf.DUMMYFUNCTION("GOOGLEFINANCE(A259,""low52"")"),1406.55)</f>
        <v>1406.55</v>
      </c>
      <c r="J259" s="34">
        <f>IFERROR(__xludf.DUMMYFUNCTION("GOOGLEFINANCE(A259,""high52"")"),2659.92)</f>
        <v>2659.92</v>
      </c>
    </row>
    <row r="260">
      <c r="A260" s="30" t="str">
        <f>'6image_RS_benchmark_performance'!A260</f>
        <v>GOOGL</v>
      </c>
      <c r="B260" s="31">
        <f>IFERROR(__xludf.DUMMYFUNCTION("GOOGLEFINANCE(A260,""price"")"),2524.19)</f>
        <v>2524.19</v>
      </c>
      <c r="C260" s="31">
        <f>IFERROR(__xludf.DUMMYFUNCTION("GOOGLEFINANCE(A260,""high"")"),2540.86)</f>
        <v>2540.86</v>
      </c>
      <c r="D260" s="31">
        <f>IFERROR(__xludf.DUMMYFUNCTION("GOOGLEFINANCE(A260,""low"")"),2487.01)</f>
        <v>2487.01</v>
      </c>
      <c r="E260" s="31">
        <f>IFERROR(__xludf.DUMMYFUNCTION("GOOGLEFINANCE(A260,""change"")"),32.63)</f>
        <v>32.63</v>
      </c>
      <c r="F260" s="32">
        <f>IFERROR(__xludf.DUMMYFUNCTION("GOOGLEFINANCE(A260,""changepct"")/100"),0.0131)</f>
        <v>0.0131</v>
      </c>
      <c r="G260" s="33">
        <f>IFERROR(__xludf.DUMMYFUNCTION("GOOGLEFINANCE(A260,""priceopen"")"),2510.55)</f>
        <v>2510.55</v>
      </c>
      <c r="H260" s="34">
        <f>IFERROR(__xludf.DUMMYFUNCTION("GOOGLEFINANCE(A260,""closeyest"")"),2491.56)</f>
        <v>2491.56</v>
      </c>
      <c r="I260" s="34">
        <f>IFERROR(__xludf.DUMMYFUNCTION("GOOGLEFINANCE(A260,""low52"")"),1402.15)</f>
        <v>1402.15</v>
      </c>
      <c r="J260" s="34">
        <f>IFERROR(__xludf.DUMMYFUNCTION("GOOGLEFINANCE(A260,""high52"")"),2586.53)</f>
        <v>2586.53</v>
      </c>
    </row>
    <row r="261">
      <c r="A261" s="30" t="str">
        <f>'6image_RS_benchmark_performance'!A261</f>
        <v>GOVT</v>
      </c>
      <c r="B261" s="31">
        <f>IFERROR(__xludf.DUMMYFUNCTION("GOOGLEFINANCE(A261,""price"")"),5.14)</f>
        <v>5.14</v>
      </c>
      <c r="C261" s="31">
        <f>IFERROR(__xludf.DUMMYFUNCTION("GOOGLEFINANCE(A261,""high"")"),5.14)</f>
        <v>5.14</v>
      </c>
      <c r="D261" s="31">
        <f>IFERROR(__xludf.DUMMYFUNCTION("GOOGLEFINANCE(A261,""low"")"),5.14)</f>
        <v>5.14</v>
      </c>
      <c r="E261" s="31">
        <f>IFERROR(__xludf.DUMMYFUNCTION("GOOGLEFINANCE(A261,""change"")"),0.0)</f>
        <v>0</v>
      </c>
      <c r="F261" s="32">
        <f>IFERROR(__xludf.DUMMYFUNCTION("GOOGLEFINANCE(A261,""changepct"")/100"),-3.0E-4)</f>
        <v>-0.0003</v>
      </c>
      <c r="G261" s="33">
        <f>IFERROR(__xludf.DUMMYFUNCTION("GOOGLEFINANCE(A261,""priceopen"")"),5.14)</f>
        <v>5.14</v>
      </c>
      <c r="H261" s="34">
        <f>IFERROR(__xludf.DUMMYFUNCTION("GOOGLEFINANCE(A261,""closeyest"")"),5.14)</f>
        <v>5.14</v>
      </c>
      <c r="I261" s="34">
        <f>IFERROR(__xludf.DUMMYFUNCTION("GOOGLEFINANCE(A261,""low52"")"),4.97)</f>
        <v>4.97</v>
      </c>
      <c r="J261" s="34">
        <f>IFERROR(__xludf.DUMMYFUNCTION("GOOGLEFINANCE(A261,""high52"")"),5.36)</f>
        <v>5.36</v>
      </c>
    </row>
    <row r="262">
      <c r="A262" s="30" t="str">
        <f>'6image_RS_benchmark_performance'!A262</f>
        <v>GPC</v>
      </c>
      <c r="B262" s="31">
        <f>IFERROR(__xludf.DUMMYFUNCTION("GOOGLEFINANCE(A262,""price"")"),128.33)</f>
        <v>128.33</v>
      </c>
      <c r="C262" s="31">
        <f>IFERROR(__xludf.DUMMYFUNCTION("GOOGLEFINANCE(A262,""high"")"),129.31)</f>
        <v>129.31</v>
      </c>
      <c r="D262" s="31">
        <f>IFERROR(__xludf.DUMMYFUNCTION("GOOGLEFINANCE(A262,""low"")"),125.4)</f>
        <v>125.4</v>
      </c>
      <c r="E262" s="31">
        <f>IFERROR(__xludf.DUMMYFUNCTION("GOOGLEFINANCE(A262,""change"")"),2.7)</f>
        <v>2.7</v>
      </c>
      <c r="F262" s="32">
        <f>IFERROR(__xludf.DUMMYFUNCTION("GOOGLEFINANCE(A262,""changepct"")/100"),0.0215)</f>
        <v>0.0215</v>
      </c>
      <c r="G262" s="33">
        <f>IFERROR(__xludf.DUMMYFUNCTION("GOOGLEFINANCE(A262,""priceopen"")"),126.45)</f>
        <v>126.45</v>
      </c>
      <c r="H262" s="34">
        <f>IFERROR(__xludf.DUMMYFUNCTION("GOOGLEFINANCE(A262,""closeyest"")"),125.63)</f>
        <v>125.63</v>
      </c>
      <c r="I262" s="34">
        <f>IFERROR(__xludf.DUMMYFUNCTION("GOOGLEFINANCE(A262,""low52"")"),86.1)</f>
        <v>86.1</v>
      </c>
      <c r="J262" s="34">
        <f>IFERROR(__xludf.DUMMYFUNCTION("GOOGLEFINANCE(A262,""high52"")"),135.93)</f>
        <v>135.93</v>
      </c>
    </row>
    <row r="263">
      <c r="A263" s="30" t="str">
        <f>'6image_RS_benchmark_performance'!A263</f>
        <v>GPN</v>
      </c>
      <c r="B263" s="31">
        <f>IFERROR(__xludf.DUMMYFUNCTION("GOOGLEFINANCE(A263,""price"")"),188.75)</f>
        <v>188.75</v>
      </c>
      <c r="C263" s="31">
        <f>IFERROR(__xludf.DUMMYFUNCTION("GOOGLEFINANCE(A263,""high"")"),190.43)</f>
        <v>190.43</v>
      </c>
      <c r="D263" s="31">
        <f>IFERROR(__xludf.DUMMYFUNCTION("GOOGLEFINANCE(A263,""low"")"),186.33)</f>
        <v>186.33</v>
      </c>
      <c r="E263" s="31">
        <f>IFERROR(__xludf.DUMMYFUNCTION("GOOGLEFINANCE(A263,""change"")"),2.7)</f>
        <v>2.7</v>
      </c>
      <c r="F263" s="32">
        <f>IFERROR(__xludf.DUMMYFUNCTION("GOOGLEFINANCE(A263,""changepct"")/100"),0.014499999999999999)</f>
        <v>0.0145</v>
      </c>
      <c r="G263" s="33">
        <f>IFERROR(__xludf.DUMMYFUNCTION("GOOGLEFINANCE(A263,""priceopen"")"),186.62)</f>
        <v>186.62</v>
      </c>
      <c r="H263" s="34">
        <f>IFERROR(__xludf.DUMMYFUNCTION("GOOGLEFINANCE(A263,""closeyest"")"),186.05)</f>
        <v>186.05</v>
      </c>
      <c r="I263" s="34">
        <f>IFERROR(__xludf.DUMMYFUNCTION("GOOGLEFINANCE(A263,""low52"")"),153.33)</f>
        <v>153.33</v>
      </c>
      <c r="J263" s="34">
        <f>IFERROR(__xludf.DUMMYFUNCTION("GOOGLEFINANCE(A263,""high52"")"),220.81)</f>
        <v>220.81</v>
      </c>
    </row>
    <row r="264">
      <c r="A264" s="30" t="str">
        <f>'6image_RS_benchmark_performance'!A264</f>
        <v>GPS</v>
      </c>
      <c r="B264" s="31">
        <f>IFERROR(__xludf.DUMMYFUNCTION("GOOGLEFINANCE(A264,""price"")"),28.51)</f>
        <v>28.51</v>
      </c>
      <c r="C264" s="31">
        <f>IFERROR(__xludf.DUMMYFUNCTION("GOOGLEFINANCE(A264,""high"")"),28.74)</f>
        <v>28.74</v>
      </c>
      <c r="D264" s="31">
        <f>IFERROR(__xludf.DUMMYFUNCTION("GOOGLEFINANCE(A264,""low"")"),27.38)</f>
        <v>27.38</v>
      </c>
      <c r="E264" s="31">
        <f>IFERROR(__xludf.DUMMYFUNCTION("GOOGLEFINANCE(A264,""change"")"),0.84)</f>
        <v>0.84</v>
      </c>
      <c r="F264" s="32">
        <f>IFERROR(__xludf.DUMMYFUNCTION("GOOGLEFINANCE(A264,""changepct"")/100"),0.0304)</f>
        <v>0.0304</v>
      </c>
      <c r="G264" s="33">
        <f>IFERROR(__xludf.DUMMYFUNCTION("GOOGLEFINANCE(A264,""priceopen"")"),27.74)</f>
        <v>27.74</v>
      </c>
      <c r="H264" s="34">
        <f>IFERROR(__xludf.DUMMYFUNCTION("GOOGLEFINANCE(A264,""closeyest"")"),27.67)</f>
        <v>27.67</v>
      </c>
      <c r="I264" s="34">
        <f>IFERROR(__xludf.DUMMYFUNCTION("GOOGLEFINANCE(A264,""low52"")"),11.92)</f>
        <v>11.92</v>
      </c>
      <c r="J264" s="34">
        <f>IFERROR(__xludf.DUMMYFUNCTION("GOOGLEFINANCE(A264,""high52"")"),37.63)</f>
        <v>37.63</v>
      </c>
    </row>
    <row r="265">
      <c r="A265" s="30" t="str">
        <f>'6image_RS_benchmark_performance'!A265</f>
        <v>GRMN</v>
      </c>
      <c r="B265" s="31">
        <f>IFERROR(__xludf.DUMMYFUNCTION("GOOGLEFINANCE(A265,""price"")"),149.81)</f>
        <v>149.81</v>
      </c>
      <c r="C265" s="31">
        <f>IFERROR(__xludf.DUMMYFUNCTION("GOOGLEFINANCE(A265,""high"")"),150.17)</f>
        <v>150.17</v>
      </c>
      <c r="D265" s="31">
        <f>IFERROR(__xludf.DUMMYFUNCTION("GOOGLEFINANCE(A265,""low"")"),146.91)</f>
        <v>146.91</v>
      </c>
      <c r="E265" s="31">
        <f>IFERROR(__xludf.DUMMYFUNCTION("GOOGLEFINANCE(A265,""change"")"),2.18)</f>
        <v>2.18</v>
      </c>
      <c r="F265" s="32">
        <f>IFERROR(__xludf.DUMMYFUNCTION("GOOGLEFINANCE(A265,""changepct"")/100"),0.0148)</f>
        <v>0.0148</v>
      </c>
      <c r="G265" s="33">
        <f>IFERROR(__xludf.DUMMYFUNCTION("GOOGLEFINANCE(A265,""priceopen"")"),148.1)</f>
        <v>148.1</v>
      </c>
      <c r="H265" s="34">
        <f>IFERROR(__xludf.DUMMYFUNCTION("GOOGLEFINANCE(A265,""closeyest"")"),147.63)</f>
        <v>147.63</v>
      </c>
      <c r="I265" s="34">
        <f>IFERROR(__xludf.DUMMYFUNCTION("GOOGLEFINANCE(A265,""low52"")"),91.84)</f>
        <v>91.84</v>
      </c>
      <c r="J265" s="34">
        <f>IFERROR(__xludf.DUMMYFUNCTION("GOOGLEFINANCE(A265,""high52"")"),150.17)</f>
        <v>150.17</v>
      </c>
    </row>
    <row r="266">
      <c r="A266" s="30" t="str">
        <f>'6image_RS_benchmark_performance'!A266</f>
        <v>GS</v>
      </c>
      <c r="B266" s="31">
        <f>IFERROR(__xludf.DUMMYFUNCTION("GOOGLEFINANCE(A266,""price"")"),364.76)</f>
        <v>364.76</v>
      </c>
      <c r="C266" s="31">
        <f>IFERROR(__xludf.DUMMYFUNCTION("GOOGLEFINANCE(A266,""high"")"),367.31)</f>
        <v>367.31</v>
      </c>
      <c r="D266" s="31">
        <f>IFERROR(__xludf.DUMMYFUNCTION("GOOGLEFINANCE(A266,""low"")"),351.54)</f>
        <v>351.54</v>
      </c>
      <c r="E266" s="31">
        <f>IFERROR(__xludf.DUMMYFUNCTION("GOOGLEFINANCE(A266,""change"")"),10.04)</f>
        <v>10.04</v>
      </c>
      <c r="F266" s="32">
        <f>IFERROR(__xludf.DUMMYFUNCTION("GOOGLEFINANCE(A266,""changepct"")/100"),0.028300000000000002)</f>
        <v>0.0283</v>
      </c>
      <c r="G266" s="33">
        <f>IFERROR(__xludf.DUMMYFUNCTION("GOOGLEFINANCE(A266,""priceopen"")"),352.27)</f>
        <v>352.27</v>
      </c>
      <c r="H266" s="34">
        <f>IFERROR(__xludf.DUMMYFUNCTION("GOOGLEFINANCE(A266,""closeyest"")"),354.72)</f>
        <v>354.72</v>
      </c>
      <c r="I266" s="34">
        <f>IFERROR(__xludf.DUMMYFUNCTION("GOOGLEFINANCE(A266,""low52"")"),185.52)</f>
        <v>185.52</v>
      </c>
      <c r="J266" s="34">
        <f>IFERROR(__xludf.DUMMYFUNCTION("GOOGLEFINANCE(A266,""high52"")"),393.26)</f>
        <v>393.26</v>
      </c>
    </row>
    <row r="267">
      <c r="A267" s="30" t="str">
        <f>'6image_RS_benchmark_performance'!A267</f>
        <v>GWW</v>
      </c>
      <c r="B267" s="31">
        <f>IFERROR(__xludf.DUMMYFUNCTION("GOOGLEFINANCE(A267,""price"")"),459.53)</f>
        <v>459.53</v>
      </c>
      <c r="C267" s="31">
        <f>IFERROR(__xludf.DUMMYFUNCTION("GOOGLEFINANCE(A267,""high"")"),460.24)</f>
        <v>460.24</v>
      </c>
      <c r="D267" s="31">
        <f>IFERROR(__xludf.DUMMYFUNCTION("GOOGLEFINANCE(A267,""low"")"),451.88)</f>
        <v>451.88</v>
      </c>
      <c r="E267" s="31">
        <f>IFERROR(__xludf.DUMMYFUNCTION("GOOGLEFINANCE(A267,""change"")"),10.01)</f>
        <v>10.01</v>
      </c>
      <c r="F267" s="32">
        <f>IFERROR(__xludf.DUMMYFUNCTION("GOOGLEFINANCE(A267,""changepct"")/100"),0.0223)</f>
        <v>0.0223</v>
      </c>
      <c r="G267" s="33">
        <f>IFERROR(__xludf.DUMMYFUNCTION("GOOGLEFINANCE(A267,""priceopen"")"),451.88)</f>
        <v>451.88</v>
      </c>
      <c r="H267" s="34">
        <f>IFERROR(__xludf.DUMMYFUNCTION("GOOGLEFINANCE(A267,""closeyest"")"),449.52)</f>
        <v>449.52</v>
      </c>
      <c r="I267" s="34">
        <f>IFERROR(__xludf.DUMMYFUNCTION("GOOGLEFINANCE(A267,""low52"")"),325.64)</f>
        <v>325.64</v>
      </c>
      <c r="J267" s="34">
        <f>IFERROR(__xludf.DUMMYFUNCTION("GOOGLEFINANCE(A267,""high52"")"),479.87)</f>
        <v>479.87</v>
      </c>
    </row>
    <row r="268">
      <c r="A268" s="30" t="str">
        <f>'6image_RS_benchmark_performance'!A268</f>
        <v>HAL</v>
      </c>
      <c r="B268" s="31">
        <f>IFERROR(__xludf.DUMMYFUNCTION("GOOGLEFINANCE(A268,""price"")"),20.07)</f>
        <v>20.07</v>
      </c>
      <c r="C268" s="31">
        <f>IFERROR(__xludf.DUMMYFUNCTION("GOOGLEFINANCE(A268,""high"")"),20.48)</f>
        <v>20.48</v>
      </c>
      <c r="D268" s="31">
        <f>IFERROR(__xludf.DUMMYFUNCTION("GOOGLEFINANCE(A268,""low"")"),19.25)</f>
        <v>19.25</v>
      </c>
      <c r="E268" s="31">
        <f>IFERROR(__xludf.DUMMYFUNCTION("GOOGLEFINANCE(A268,""change"")"),0.71)</f>
        <v>0.71</v>
      </c>
      <c r="F268" s="32">
        <f>IFERROR(__xludf.DUMMYFUNCTION("GOOGLEFINANCE(A268,""changepct"")/100"),0.036699999999999997)</f>
        <v>0.0367</v>
      </c>
      <c r="G268" s="33">
        <f>IFERROR(__xludf.DUMMYFUNCTION("GOOGLEFINANCE(A268,""priceopen"")"),19.6)</f>
        <v>19.6</v>
      </c>
      <c r="H268" s="34">
        <f>IFERROR(__xludf.DUMMYFUNCTION("GOOGLEFINANCE(A268,""closeyest"")"),19.36)</f>
        <v>19.36</v>
      </c>
      <c r="I268" s="34">
        <f>IFERROR(__xludf.DUMMYFUNCTION("GOOGLEFINANCE(A268,""low52"")"),10.6)</f>
        <v>10.6</v>
      </c>
      <c r="J268" s="34">
        <f>IFERROR(__xludf.DUMMYFUNCTION("GOOGLEFINANCE(A268,""high52"")"),25.0)</f>
        <v>25</v>
      </c>
    </row>
    <row r="269">
      <c r="A269" s="30" t="str">
        <f>'6image_RS_benchmark_performance'!A269</f>
        <v>HAS</v>
      </c>
      <c r="B269" s="31">
        <f>IFERROR(__xludf.DUMMYFUNCTION("GOOGLEFINANCE(A269,""price"")"),94.0)</f>
        <v>94</v>
      </c>
      <c r="C269" s="31">
        <f>IFERROR(__xludf.DUMMYFUNCTION("GOOGLEFINANCE(A269,""high"")"),94.39)</f>
        <v>94.39</v>
      </c>
      <c r="D269" s="31">
        <f>IFERROR(__xludf.DUMMYFUNCTION("GOOGLEFINANCE(A269,""low"")"),91.91)</f>
        <v>91.91</v>
      </c>
      <c r="E269" s="31">
        <f>IFERROR(__xludf.DUMMYFUNCTION("GOOGLEFINANCE(A269,""change"")"),2.2)</f>
        <v>2.2</v>
      </c>
      <c r="F269" s="32">
        <f>IFERROR(__xludf.DUMMYFUNCTION("GOOGLEFINANCE(A269,""changepct"")/100"),0.024)</f>
        <v>0.024</v>
      </c>
      <c r="G269" s="33">
        <f>IFERROR(__xludf.DUMMYFUNCTION("GOOGLEFINANCE(A269,""priceopen"")"),92.16)</f>
        <v>92.16</v>
      </c>
      <c r="H269" s="34">
        <f>IFERROR(__xludf.DUMMYFUNCTION("GOOGLEFINANCE(A269,""closeyest"")"),91.8)</f>
        <v>91.8</v>
      </c>
      <c r="I269" s="34">
        <f>IFERROR(__xludf.DUMMYFUNCTION("GOOGLEFINANCE(A269,""low52"")"),70.78)</f>
        <v>70.78</v>
      </c>
      <c r="J269" s="34">
        <f>IFERROR(__xludf.DUMMYFUNCTION("GOOGLEFINANCE(A269,""high52"")"),101.24)</f>
        <v>101.24</v>
      </c>
    </row>
    <row r="270">
      <c r="A270" s="30" t="str">
        <f>'6image_RS_benchmark_performance'!A270</f>
        <v>HBAN</v>
      </c>
      <c r="B270" s="31">
        <f>IFERROR(__xludf.DUMMYFUNCTION("GOOGLEFINANCE(A270,""price"")"),13.73)</f>
        <v>13.73</v>
      </c>
      <c r="C270" s="31">
        <f>IFERROR(__xludf.DUMMYFUNCTION("GOOGLEFINANCE(A270,""high"")"),13.89)</f>
        <v>13.89</v>
      </c>
      <c r="D270" s="31">
        <f>IFERROR(__xludf.DUMMYFUNCTION("GOOGLEFINANCE(A270,""low"")"),13.07)</f>
        <v>13.07</v>
      </c>
      <c r="E270" s="31">
        <f>IFERROR(__xludf.DUMMYFUNCTION("GOOGLEFINANCE(A270,""change"")"),0.5)</f>
        <v>0.5</v>
      </c>
      <c r="F270" s="32">
        <f>IFERROR(__xludf.DUMMYFUNCTION("GOOGLEFINANCE(A270,""changepct"")/100"),0.0378)</f>
        <v>0.0378</v>
      </c>
      <c r="G270" s="33">
        <f>IFERROR(__xludf.DUMMYFUNCTION("GOOGLEFINANCE(A270,""priceopen"")"),13.19)</f>
        <v>13.19</v>
      </c>
      <c r="H270" s="34">
        <f>IFERROR(__xludf.DUMMYFUNCTION("GOOGLEFINANCE(A270,""closeyest"")"),13.23)</f>
        <v>13.23</v>
      </c>
      <c r="I270" s="34">
        <f>IFERROR(__xludf.DUMMYFUNCTION("GOOGLEFINANCE(A270,""low52"")"),8.52)</f>
        <v>8.52</v>
      </c>
      <c r="J270" s="34">
        <f>IFERROR(__xludf.DUMMYFUNCTION("GOOGLEFINANCE(A270,""high52"")"),16.91)</f>
        <v>16.91</v>
      </c>
    </row>
    <row r="271">
      <c r="A271" s="30" t="str">
        <f>'6image_RS_benchmark_performance'!A271</f>
        <v>HBI</v>
      </c>
      <c r="B271" s="31">
        <f>IFERROR(__xludf.DUMMYFUNCTION("GOOGLEFINANCE(A271,""price"")"),17.79)</f>
        <v>17.79</v>
      </c>
      <c r="C271" s="31">
        <f>IFERROR(__xludf.DUMMYFUNCTION("GOOGLEFINANCE(A271,""high"")"),17.85)</f>
        <v>17.85</v>
      </c>
      <c r="D271" s="31">
        <f>IFERROR(__xludf.DUMMYFUNCTION("GOOGLEFINANCE(A271,""low"")"),17.2)</f>
        <v>17.2</v>
      </c>
      <c r="E271" s="31">
        <f>IFERROR(__xludf.DUMMYFUNCTION("GOOGLEFINANCE(A271,""change"")"),0.48)</f>
        <v>0.48</v>
      </c>
      <c r="F271" s="32">
        <f>IFERROR(__xludf.DUMMYFUNCTION("GOOGLEFINANCE(A271,""changepct"")/100"),0.0277)</f>
        <v>0.0277</v>
      </c>
      <c r="G271" s="33">
        <f>IFERROR(__xludf.DUMMYFUNCTION("GOOGLEFINANCE(A271,""priceopen"")"),17.27)</f>
        <v>17.27</v>
      </c>
      <c r="H271" s="34">
        <f>IFERROR(__xludf.DUMMYFUNCTION("GOOGLEFINANCE(A271,""closeyest"")"),17.31)</f>
        <v>17.31</v>
      </c>
      <c r="I271" s="34">
        <f>IFERROR(__xludf.DUMMYFUNCTION("GOOGLEFINANCE(A271,""low52"")"),12.28)</f>
        <v>12.28</v>
      </c>
      <c r="J271" s="34">
        <f>IFERROR(__xludf.DUMMYFUNCTION("GOOGLEFINANCE(A271,""high52"")"),22.82)</f>
        <v>22.82</v>
      </c>
    </row>
    <row r="272">
      <c r="A272" s="30" t="str">
        <f>'6image_RS_benchmark_performance'!A272</f>
        <v>HCA</v>
      </c>
      <c r="B272" s="31">
        <f>IFERROR(__xludf.DUMMYFUNCTION("GOOGLEFINANCE(A272,""price"")"),248.9)</f>
        <v>248.9</v>
      </c>
      <c r="C272" s="31">
        <f>IFERROR(__xludf.DUMMYFUNCTION("GOOGLEFINANCE(A272,""high"")"),252.0)</f>
        <v>252</v>
      </c>
      <c r="D272" s="31">
        <f>IFERROR(__xludf.DUMMYFUNCTION("GOOGLEFINANCE(A272,""low"")"),237.68)</f>
        <v>237.68</v>
      </c>
      <c r="E272" s="31">
        <f>IFERROR(__xludf.DUMMYFUNCTION("GOOGLEFINANCE(A272,""change"")"),31.27)</f>
        <v>31.27</v>
      </c>
      <c r="F272" s="32">
        <f>IFERROR(__xludf.DUMMYFUNCTION("GOOGLEFINANCE(A272,""changepct"")/100"),0.1437)</f>
        <v>0.1437</v>
      </c>
      <c r="G272" s="33">
        <f>IFERROR(__xludf.DUMMYFUNCTION("GOOGLEFINANCE(A272,""priceopen"")"),239.1)</f>
        <v>239.1</v>
      </c>
      <c r="H272" s="34">
        <f>IFERROR(__xludf.DUMMYFUNCTION("GOOGLEFINANCE(A272,""closeyest"")"),217.63)</f>
        <v>217.63</v>
      </c>
      <c r="I272" s="34">
        <f>IFERROR(__xludf.DUMMYFUNCTION("GOOGLEFINANCE(A272,""low52"")"),103.17)</f>
        <v>103.17</v>
      </c>
      <c r="J272" s="34">
        <f>IFERROR(__xludf.DUMMYFUNCTION("GOOGLEFINANCE(A272,""high52"")"),252.0)</f>
        <v>252</v>
      </c>
    </row>
    <row r="273">
      <c r="A273" s="30" t="str">
        <f>'6image_RS_benchmark_performance'!A273</f>
        <v>HD</v>
      </c>
      <c r="B273" s="31">
        <f>IFERROR(__xludf.DUMMYFUNCTION("GOOGLEFINANCE(A273,""price"")"),325.35)</f>
        <v>325.35</v>
      </c>
      <c r="C273" s="31">
        <f>IFERROR(__xludf.DUMMYFUNCTION("GOOGLEFINANCE(A273,""high"")"),326.13)</f>
        <v>326.13</v>
      </c>
      <c r="D273" s="31">
        <f>IFERROR(__xludf.DUMMYFUNCTION("GOOGLEFINANCE(A273,""low"")"),318.27)</f>
        <v>318.27</v>
      </c>
      <c r="E273" s="31">
        <f>IFERROR(__xludf.DUMMYFUNCTION("GOOGLEFINANCE(A273,""change"")"),6.48)</f>
        <v>6.48</v>
      </c>
      <c r="F273" s="32">
        <f>IFERROR(__xludf.DUMMYFUNCTION("GOOGLEFINANCE(A273,""changepct"")/100"),0.0203)</f>
        <v>0.0203</v>
      </c>
      <c r="G273" s="33">
        <f>IFERROR(__xludf.DUMMYFUNCTION("GOOGLEFINANCE(A273,""priceopen"")"),318.5)</f>
        <v>318.5</v>
      </c>
      <c r="H273" s="34">
        <f>IFERROR(__xludf.DUMMYFUNCTION("GOOGLEFINANCE(A273,""closeyest"")"),318.87)</f>
        <v>318.87</v>
      </c>
      <c r="I273" s="34">
        <f>IFERROR(__xludf.DUMMYFUNCTION("GOOGLEFINANCE(A273,""low52"")"),246.59)</f>
        <v>246.59</v>
      </c>
      <c r="J273" s="34">
        <f>IFERROR(__xludf.DUMMYFUNCTION("GOOGLEFINANCE(A273,""high52"")"),345.69)</f>
        <v>345.69</v>
      </c>
    </row>
    <row r="274">
      <c r="A274" s="30" t="str">
        <f>'6image_RS_benchmark_performance'!A274</f>
        <v>HES</v>
      </c>
      <c r="B274" s="31">
        <f>IFERROR(__xludf.DUMMYFUNCTION("GOOGLEFINANCE(A274,""price"")"),74.24)</f>
        <v>74.24</v>
      </c>
      <c r="C274" s="31">
        <f>IFERROR(__xludf.DUMMYFUNCTION("GOOGLEFINANCE(A274,""high"")"),75.36)</f>
        <v>75.36</v>
      </c>
      <c r="D274" s="31">
        <f>IFERROR(__xludf.DUMMYFUNCTION("GOOGLEFINANCE(A274,""low"")"),72.84)</f>
        <v>72.84</v>
      </c>
      <c r="E274" s="31">
        <f>IFERROR(__xludf.DUMMYFUNCTION("GOOGLEFINANCE(A274,""change"")"),0.59)</f>
        <v>0.59</v>
      </c>
      <c r="F274" s="32">
        <f>IFERROR(__xludf.DUMMYFUNCTION("GOOGLEFINANCE(A274,""changepct"")/100"),0.008)</f>
        <v>0.008</v>
      </c>
      <c r="G274" s="33">
        <f>IFERROR(__xludf.DUMMYFUNCTION("GOOGLEFINANCE(A274,""priceopen"")"),73.56)</f>
        <v>73.56</v>
      </c>
      <c r="H274" s="34">
        <f>IFERROR(__xludf.DUMMYFUNCTION("GOOGLEFINANCE(A274,""closeyest"")"),73.65)</f>
        <v>73.65</v>
      </c>
      <c r="I274" s="34">
        <f>IFERROR(__xludf.DUMMYFUNCTION("GOOGLEFINANCE(A274,""low52"")"),34.82)</f>
        <v>34.82</v>
      </c>
      <c r="J274" s="34">
        <f>IFERROR(__xludf.DUMMYFUNCTION("GOOGLEFINANCE(A274,""high52"")"),91.09)</f>
        <v>91.09</v>
      </c>
    </row>
    <row r="275">
      <c r="A275" s="30" t="str">
        <f>'6image_RS_benchmark_performance'!A275</f>
        <v>HFC</v>
      </c>
      <c r="B275" s="31">
        <f>IFERROR(__xludf.DUMMYFUNCTION("GOOGLEFINANCE(A275,""price"")"),27.74)</f>
        <v>27.74</v>
      </c>
      <c r="C275" s="31">
        <f>IFERROR(__xludf.DUMMYFUNCTION("GOOGLEFINANCE(A275,""high"")"),28.26)</f>
        <v>28.26</v>
      </c>
      <c r="D275" s="31">
        <f>IFERROR(__xludf.DUMMYFUNCTION("GOOGLEFINANCE(A275,""low"")"),27.28)</f>
        <v>27.28</v>
      </c>
      <c r="E275" s="31">
        <f>IFERROR(__xludf.DUMMYFUNCTION("GOOGLEFINANCE(A275,""change"")"),0.15)</f>
        <v>0.15</v>
      </c>
      <c r="F275" s="32">
        <f>IFERROR(__xludf.DUMMYFUNCTION("GOOGLEFINANCE(A275,""changepct"")/100"),0.0054)</f>
        <v>0.0054</v>
      </c>
      <c r="G275" s="33">
        <f>IFERROR(__xludf.DUMMYFUNCTION("GOOGLEFINANCE(A275,""priceopen"")"),27.59)</f>
        <v>27.59</v>
      </c>
      <c r="H275" s="34">
        <f>IFERROR(__xludf.DUMMYFUNCTION("GOOGLEFINANCE(A275,""closeyest"")"),27.59)</f>
        <v>27.59</v>
      </c>
      <c r="I275" s="34">
        <f>IFERROR(__xludf.DUMMYFUNCTION("GOOGLEFINANCE(A275,""low52"")"),16.81)</f>
        <v>16.81</v>
      </c>
      <c r="J275" s="34">
        <f>IFERROR(__xludf.DUMMYFUNCTION("GOOGLEFINANCE(A275,""high52"")"),42.39)</f>
        <v>42.39</v>
      </c>
    </row>
    <row r="276">
      <c r="A276" s="30" t="str">
        <f>'6image_RS_benchmark_performance'!A276</f>
        <v>HIG</v>
      </c>
      <c r="B276" s="31">
        <f>IFERROR(__xludf.DUMMYFUNCTION("GOOGLEFINANCE(A276,""price"")"),62.33)</f>
        <v>62.33</v>
      </c>
      <c r="C276" s="31">
        <f>IFERROR(__xludf.DUMMYFUNCTION("GOOGLEFINANCE(A276,""high"")"),63.17)</f>
        <v>63.17</v>
      </c>
      <c r="D276" s="31">
        <f>IFERROR(__xludf.DUMMYFUNCTION("GOOGLEFINANCE(A276,""low"")"),61.21)</f>
        <v>61.21</v>
      </c>
      <c r="E276" s="31">
        <f>IFERROR(__xludf.DUMMYFUNCTION("GOOGLEFINANCE(A276,""change"")"),0.95)</f>
        <v>0.95</v>
      </c>
      <c r="F276" s="32">
        <f>IFERROR(__xludf.DUMMYFUNCTION("GOOGLEFINANCE(A276,""changepct"")/100"),0.0155)</f>
        <v>0.0155</v>
      </c>
      <c r="G276" s="33">
        <f>IFERROR(__xludf.DUMMYFUNCTION("GOOGLEFINANCE(A276,""priceopen"")"),61.51)</f>
        <v>61.51</v>
      </c>
      <c r="H276" s="34">
        <f>IFERROR(__xludf.DUMMYFUNCTION("GOOGLEFINANCE(A276,""closeyest"")"),61.38)</f>
        <v>61.38</v>
      </c>
      <c r="I276" s="34">
        <f>IFERROR(__xludf.DUMMYFUNCTION("GOOGLEFINANCE(A276,""low52"")"),34.69)</f>
        <v>34.69</v>
      </c>
      <c r="J276" s="34">
        <f>IFERROR(__xludf.DUMMYFUNCTION("GOOGLEFINANCE(A276,""high52"")"),69.94)</f>
        <v>69.94</v>
      </c>
    </row>
    <row r="277">
      <c r="A277" s="30" t="str">
        <f>'6image_RS_benchmark_performance'!A277</f>
        <v>HII</v>
      </c>
      <c r="B277" s="31">
        <f>IFERROR(__xludf.DUMMYFUNCTION("GOOGLEFINANCE(A277,""price"")"),202.89)</f>
        <v>202.89</v>
      </c>
      <c r="C277" s="31">
        <f>IFERROR(__xludf.DUMMYFUNCTION("GOOGLEFINANCE(A277,""high"")"),203.51)</f>
        <v>203.51</v>
      </c>
      <c r="D277" s="31">
        <f>IFERROR(__xludf.DUMMYFUNCTION("GOOGLEFINANCE(A277,""low"")"),196.0)</f>
        <v>196</v>
      </c>
      <c r="E277" s="31">
        <f>IFERROR(__xludf.DUMMYFUNCTION("GOOGLEFINANCE(A277,""change"")"),7.58)</f>
        <v>7.58</v>
      </c>
      <c r="F277" s="32">
        <f>IFERROR(__xludf.DUMMYFUNCTION("GOOGLEFINANCE(A277,""changepct"")/100"),0.0388)</f>
        <v>0.0388</v>
      </c>
      <c r="G277" s="33">
        <f>IFERROR(__xludf.DUMMYFUNCTION("GOOGLEFINANCE(A277,""priceopen"")"),196.0)</f>
        <v>196</v>
      </c>
      <c r="H277" s="34">
        <f>IFERROR(__xludf.DUMMYFUNCTION("GOOGLEFINANCE(A277,""closeyest"")"),195.31)</f>
        <v>195.31</v>
      </c>
      <c r="I277" s="34">
        <f>IFERROR(__xludf.DUMMYFUNCTION("GOOGLEFINANCE(A277,""low52"")"),136.44)</f>
        <v>136.44</v>
      </c>
      <c r="J277" s="34">
        <f>IFERROR(__xludf.DUMMYFUNCTION("GOOGLEFINANCE(A277,""high52"")"),224.13)</f>
        <v>224.13</v>
      </c>
    </row>
    <row r="278">
      <c r="A278" s="30" t="str">
        <f>'6image_RS_benchmark_performance'!A278</f>
        <v>HLT</v>
      </c>
      <c r="B278" s="31">
        <f>IFERROR(__xludf.DUMMYFUNCTION("GOOGLEFINANCE(A278,""price"")"),120.9)</f>
        <v>120.9</v>
      </c>
      <c r="C278" s="31">
        <f>IFERROR(__xludf.DUMMYFUNCTION("GOOGLEFINANCE(A278,""high"")"),121.42)</f>
        <v>121.42</v>
      </c>
      <c r="D278" s="31">
        <f>IFERROR(__xludf.DUMMYFUNCTION("GOOGLEFINANCE(A278,""low"")"),116.7)</f>
        <v>116.7</v>
      </c>
      <c r="E278" s="31">
        <f>IFERROR(__xludf.DUMMYFUNCTION("GOOGLEFINANCE(A278,""change"")"),3.89)</f>
        <v>3.89</v>
      </c>
      <c r="F278" s="32">
        <f>IFERROR(__xludf.DUMMYFUNCTION("GOOGLEFINANCE(A278,""changepct"")/100"),0.0332)</f>
        <v>0.0332</v>
      </c>
      <c r="G278" s="33">
        <f>IFERROR(__xludf.DUMMYFUNCTION("GOOGLEFINANCE(A278,""priceopen"")"),117.34)</f>
        <v>117.34</v>
      </c>
      <c r="H278" s="34">
        <f>IFERROR(__xludf.DUMMYFUNCTION("GOOGLEFINANCE(A278,""closeyest"")"),117.01)</f>
        <v>117.01</v>
      </c>
      <c r="I278" s="34">
        <f>IFERROR(__xludf.DUMMYFUNCTION("GOOGLEFINANCE(A278,""low52"")"),73.5)</f>
        <v>73.5</v>
      </c>
      <c r="J278" s="34">
        <f>IFERROR(__xludf.DUMMYFUNCTION("GOOGLEFINANCE(A278,""high52"")"),132.69)</f>
        <v>132.69</v>
      </c>
    </row>
    <row r="279">
      <c r="A279" s="30" t="str">
        <f>'6image_RS_benchmark_performance'!A279</f>
        <v>HOG</v>
      </c>
      <c r="B279" s="31">
        <f>IFERROR(__xludf.DUMMYFUNCTION("GOOGLEFINANCE(A279,""price"")"),43.8)</f>
        <v>43.8</v>
      </c>
      <c r="C279" s="31">
        <f>IFERROR(__xludf.DUMMYFUNCTION("GOOGLEFINANCE(A279,""high"")"),44.03)</f>
        <v>44.03</v>
      </c>
      <c r="D279" s="31">
        <f>IFERROR(__xludf.DUMMYFUNCTION("GOOGLEFINANCE(A279,""low"")"),41.8)</f>
        <v>41.8</v>
      </c>
      <c r="E279" s="31">
        <f>IFERROR(__xludf.DUMMYFUNCTION("GOOGLEFINANCE(A279,""change"")"),1.88)</f>
        <v>1.88</v>
      </c>
      <c r="F279" s="32">
        <f>IFERROR(__xludf.DUMMYFUNCTION("GOOGLEFINANCE(A279,""changepct"")/100"),0.044800000000000006)</f>
        <v>0.0448</v>
      </c>
      <c r="G279" s="33">
        <f>IFERROR(__xludf.DUMMYFUNCTION("GOOGLEFINANCE(A279,""priceopen"")"),41.98)</f>
        <v>41.98</v>
      </c>
      <c r="H279" s="34">
        <f>IFERROR(__xludf.DUMMYFUNCTION("GOOGLEFINANCE(A279,""closeyest"")"),41.92)</f>
        <v>41.92</v>
      </c>
      <c r="I279" s="34">
        <f>IFERROR(__xludf.DUMMYFUNCTION("GOOGLEFINANCE(A279,""low52"")"),22.56)</f>
        <v>22.56</v>
      </c>
      <c r="J279" s="34">
        <f>IFERROR(__xludf.DUMMYFUNCTION("GOOGLEFINANCE(A279,""high52"")"),52.06)</f>
        <v>52.06</v>
      </c>
    </row>
    <row r="280">
      <c r="A280" s="30" t="str">
        <f>'6image_RS_benchmark_performance'!A280</f>
        <v>HOLX</v>
      </c>
      <c r="B280" s="31">
        <f>IFERROR(__xludf.DUMMYFUNCTION("GOOGLEFINANCE(A280,""price"")"),70.17)</f>
        <v>70.17</v>
      </c>
      <c r="C280" s="31">
        <f>IFERROR(__xludf.DUMMYFUNCTION("GOOGLEFINANCE(A280,""high"")"),71.2)</f>
        <v>71.2</v>
      </c>
      <c r="D280" s="31">
        <f>IFERROR(__xludf.DUMMYFUNCTION("GOOGLEFINANCE(A280,""low"")"),69.97)</f>
        <v>69.97</v>
      </c>
      <c r="E280" s="31">
        <f>IFERROR(__xludf.DUMMYFUNCTION("GOOGLEFINANCE(A280,""change"")"),-0.2)</f>
        <v>-0.2</v>
      </c>
      <c r="F280" s="32">
        <f>IFERROR(__xludf.DUMMYFUNCTION("GOOGLEFINANCE(A280,""changepct"")/100"),-0.0028000000000000004)</f>
        <v>-0.0028</v>
      </c>
      <c r="G280" s="33">
        <f>IFERROR(__xludf.DUMMYFUNCTION("GOOGLEFINANCE(A280,""priceopen"")"),70.64)</f>
        <v>70.64</v>
      </c>
      <c r="H280" s="34">
        <f>IFERROR(__xludf.DUMMYFUNCTION("GOOGLEFINANCE(A280,""closeyest"")"),70.37)</f>
        <v>70.37</v>
      </c>
      <c r="I280" s="34">
        <f>IFERROR(__xludf.DUMMYFUNCTION("GOOGLEFINANCE(A280,""low52"")"),56.81)</f>
        <v>56.81</v>
      </c>
      <c r="J280" s="34">
        <f>IFERROR(__xludf.DUMMYFUNCTION("GOOGLEFINANCE(A280,""high52"")"),85.0)</f>
        <v>85</v>
      </c>
    </row>
    <row r="281">
      <c r="A281" s="30" t="str">
        <f>'6image_RS_benchmark_performance'!A281</f>
        <v>HOME</v>
      </c>
      <c r="B281" s="31">
        <f>IFERROR(__xludf.DUMMYFUNCTION("GOOGLEFINANCE(A281,""price"")"),36.99)</f>
        <v>36.99</v>
      </c>
      <c r="C281" s="31">
        <f>IFERROR(__xludf.DUMMYFUNCTION("GOOGLEFINANCE(A281,""high"")"),37.0)</f>
        <v>37</v>
      </c>
      <c r="D281" s="31">
        <f>IFERROR(__xludf.DUMMYFUNCTION("GOOGLEFINANCE(A281,""low"")"),36.93)</f>
        <v>36.93</v>
      </c>
      <c r="E281" s="31">
        <f>IFERROR(__xludf.DUMMYFUNCTION("GOOGLEFINANCE(A281,""change"")"),0.03)</f>
        <v>0.03</v>
      </c>
      <c r="F281" s="32">
        <f>IFERROR(__xludf.DUMMYFUNCTION("GOOGLEFINANCE(A281,""changepct"")/100"),8.0E-4)</f>
        <v>0.0008</v>
      </c>
      <c r="G281" s="33">
        <f>IFERROR(__xludf.DUMMYFUNCTION("GOOGLEFINANCE(A281,""priceopen"")"),36.93)</f>
        <v>36.93</v>
      </c>
      <c r="H281" s="34">
        <f>IFERROR(__xludf.DUMMYFUNCTION("GOOGLEFINANCE(A281,""closeyest"")"),36.96)</f>
        <v>36.96</v>
      </c>
      <c r="I281" s="34">
        <f>IFERROR(__xludf.DUMMYFUNCTION("GOOGLEFINANCE(A281,""low52"")"),6.35)</f>
        <v>6.35</v>
      </c>
      <c r="J281" s="34">
        <f>IFERROR(__xludf.DUMMYFUNCTION("GOOGLEFINANCE(A281,""high52"")"),38.06)</f>
        <v>38.06</v>
      </c>
    </row>
    <row r="282">
      <c r="A282" s="30" t="str">
        <f>'6image_RS_benchmark_performance'!A282</f>
        <v>HON</v>
      </c>
      <c r="B282" s="31">
        <f>IFERROR(__xludf.DUMMYFUNCTION("GOOGLEFINANCE(A282,""price"")"),229.66)</f>
        <v>229.66</v>
      </c>
      <c r="C282" s="31">
        <f>IFERROR(__xludf.DUMMYFUNCTION("GOOGLEFINANCE(A282,""high"")"),231.27)</f>
        <v>231.27</v>
      </c>
      <c r="D282" s="31">
        <f>IFERROR(__xludf.DUMMYFUNCTION("GOOGLEFINANCE(A282,""low"")"),221.5)</f>
        <v>221.5</v>
      </c>
      <c r="E282" s="31">
        <f>IFERROR(__xludf.DUMMYFUNCTION("GOOGLEFINANCE(A282,""change"")"),9.0)</f>
        <v>9</v>
      </c>
      <c r="F282" s="32">
        <f>IFERROR(__xludf.DUMMYFUNCTION("GOOGLEFINANCE(A282,""changepct"")/100"),0.0408)</f>
        <v>0.0408</v>
      </c>
      <c r="G282" s="33">
        <f>IFERROR(__xludf.DUMMYFUNCTION("GOOGLEFINANCE(A282,""priceopen"")"),221.64)</f>
        <v>221.64</v>
      </c>
      <c r="H282" s="34">
        <f>IFERROR(__xludf.DUMMYFUNCTION("GOOGLEFINANCE(A282,""closeyest"")"),220.66)</f>
        <v>220.66</v>
      </c>
      <c r="I282" s="34">
        <f>IFERROR(__xludf.DUMMYFUNCTION("GOOGLEFINANCE(A282,""low52"")"),146.21)</f>
        <v>146.21</v>
      </c>
      <c r="J282" s="34">
        <f>IFERROR(__xludf.DUMMYFUNCTION("GOOGLEFINANCE(A282,""high52"")"),234.02)</f>
        <v>234.02</v>
      </c>
    </row>
    <row r="283">
      <c r="A283" s="30" t="str">
        <f>'6image_RS_benchmark_performance'!A283</f>
        <v>HPE</v>
      </c>
      <c r="B283" s="31">
        <f>IFERROR(__xludf.DUMMYFUNCTION("GOOGLEFINANCE(A283,""price"")"),13.97)</f>
        <v>13.97</v>
      </c>
      <c r="C283" s="31">
        <f>IFERROR(__xludf.DUMMYFUNCTION("GOOGLEFINANCE(A283,""high"")"),14.01)</f>
        <v>14.01</v>
      </c>
      <c r="D283" s="31">
        <f>IFERROR(__xludf.DUMMYFUNCTION("GOOGLEFINANCE(A283,""low"")"),13.67)</f>
        <v>13.67</v>
      </c>
      <c r="E283" s="31">
        <f>IFERROR(__xludf.DUMMYFUNCTION("GOOGLEFINANCE(A283,""change"")"),0.3)</f>
        <v>0.3</v>
      </c>
      <c r="F283" s="32">
        <f>IFERROR(__xludf.DUMMYFUNCTION("GOOGLEFINANCE(A283,""changepct"")/100"),0.0219)</f>
        <v>0.0219</v>
      </c>
      <c r="G283" s="33">
        <f>IFERROR(__xludf.DUMMYFUNCTION("GOOGLEFINANCE(A283,""priceopen"")"),13.69)</f>
        <v>13.69</v>
      </c>
      <c r="H283" s="34">
        <f>IFERROR(__xludf.DUMMYFUNCTION("GOOGLEFINANCE(A283,""closeyest"")"),13.67)</f>
        <v>13.67</v>
      </c>
      <c r="I283" s="34">
        <f>IFERROR(__xludf.DUMMYFUNCTION("GOOGLEFINANCE(A283,""low52"")"),8.29)</f>
        <v>8.29</v>
      </c>
      <c r="J283" s="34">
        <f>IFERROR(__xludf.DUMMYFUNCTION("GOOGLEFINANCE(A283,""high52"")"),16.74)</f>
        <v>16.74</v>
      </c>
    </row>
    <row r="284">
      <c r="A284" s="30" t="str">
        <f>'6image_RS_benchmark_performance'!A284</f>
        <v>HPQ</v>
      </c>
      <c r="B284" s="31">
        <f>IFERROR(__xludf.DUMMYFUNCTION("GOOGLEFINANCE(A284,""price"")"),28.21)</f>
        <v>28.21</v>
      </c>
      <c r="C284" s="31">
        <f>IFERROR(__xludf.DUMMYFUNCTION("GOOGLEFINANCE(A284,""high"")"),28.67)</f>
        <v>28.67</v>
      </c>
      <c r="D284" s="31">
        <f>IFERROR(__xludf.DUMMYFUNCTION("GOOGLEFINANCE(A284,""low"")"),27.74)</f>
        <v>27.74</v>
      </c>
      <c r="E284" s="31">
        <f>IFERROR(__xludf.DUMMYFUNCTION("GOOGLEFINANCE(A284,""change"")"),0.62)</f>
        <v>0.62</v>
      </c>
      <c r="F284" s="32">
        <f>IFERROR(__xludf.DUMMYFUNCTION("GOOGLEFINANCE(A284,""changepct"")/100"),0.0225)</f>
        <v>0.0225</v>
      </c>
      <c r="G284" s="33">
        <f>IFERROR(__xludf.DUMMYFUNCTION("GOOGLEFINANCE(A284,""priceopen"")"),27.74)</f>
        <v>27.74</v>
      </c>
      <c r="H284" s="34">
        <f>IFERROR(__xludf.DUMMYFUNCTION("GOOGLEFINANCE(A284,""closeyest"")"),27.59)</f>
        <v>27.59</v>
      </c>
      <c r="I284" s="34">
        <f>IFERROR(__xludf.DUMMYFUNCTION("GOOGLEFINANCE(A284,""low52"")"),16.66)</f>
        <v>16.66</v>
      </c>
      <c r="J284" s="34">
        <f>IFERROR(__xludf.DUMMYFUNCTION("GOOGLEFINANCE(A284,""high52"")"),36.0)</f>
        <v>36</v>
      </c>
    </row>
    <row r="285">
      <c r="A285" s="30" t="str">
        <f>'6image_RS_benchmark_performance'!A285</f>
        <v>HRL</v>
      </c>
      <c r="B285" s="31">
        <f>IFERROR(__xludf.DUMMYFUNCTION("GOOGLEFINANCE(A285,""price"")"),47.87)</f>
        <v>47.87</v>
      </c>
      <c r="C285" s="31">
        <f>IFERROR(__xludf.DUMMYFUNCTION("GOOGLEFINANCE(A285,""high"")"),48.88)</f>
        <v>48.88</v>
      </c>
      <c r="D285" s="31">
        <f>IFERROR(__xludf.DUMMYFUNCTION("GOOGLEFINANCE(A285,""low"")"),47.8)</f>
        <v>47.8</v>
      </c>
      <c r="E285" s="31">
        <f>IFERROR(__xludf.DUMMYFUNCTION("GOOGLEFINANCE(A285,""change"")"),-0.44)</f>
        <v>-0.44</v>
      </c>
      <c r="F285" s="32">
        <f>IFERROR(__xludf.DUMMYFUNCTION("GOOGLEFINANCE(A285,""changepct"")/100"),-0.0091)</f>
        <v>-0.0091</v>
      </c>
      <c r="G285" s="33">
        <f>IFERROR(__xludf.DUMMYFUNCTION("GOOGLEFINANCE(A285,""priceopen"")"),48.39)</f>
        <v>48.39</v>
      </c>
      <c r="H285" s="34">
        <f>IFERROR(__xludf.DUMMYFUNCTION("GOOGLEFINANCE(A285,""closeyest"")"),48.31)</f>
        <v>48.31</v>
      </c>
      <c r="I285" s="34">
        <f>IFERROR(__xludf.DUMMYFUNCTION("GOOGLEFINANCE(A285,""low52"")"),43.45)</f>
        <v>43.45</v>
      </c>
      <c r="J285" s="34">
        <f>IFERROR(__xludf.DUMMYFUNCTION("GOOGLEFINANCE(A285,""high52"")"),52.97)</f>
        <v>52.97</v>
      </c>
    </row>
    <row r="286">
      <c r="A286" s="30" t="str">
        <f>'6image_RS_benchmark_performance'!A286</f>
        <v>HSIC</v>
      </c>
      <c r="B286" s="31">
        <f>IFERROR(__xludf.DUMMYFUNCTION("GOOGLEFINANCE(A286,""price"")"),75.77)</f>
        <v>75.77</v>
      </c>
      <c r="C286" s="31">
        <f>IFERROR(__xludf.DUMMYFUNCTION("GOOGLEFINANCE(A286,""high"")"),76.11)</f>
        <v>76.11</v>
      </c>
      <c r="D286" s="31">
        <f>IFERROR(__xludf.DUMMYFUNCTION("GOOGLEFINANCE(A286,""low"")"),74.23)</f>
        <v>74.23</v>
      </c>
      <c r="E286" s="31">
        <f>IFERROR(__xludf.DUMMYFUNCTION("GOOGLEFINANCE(A286,""change"")"),1.97)</f>
        <v>1.97</v>
      </c>
      <c r="F286" s="32">
        <f>IFERROR(__xludf.DUMMYFUNCTION("GOOGLEFINANCE(A286,""changepct"")/100"),0.026699999999999998)</f>
        <v>0.0267</v>
      </c>
      <c r="G286" s="33">
        <f>IFERROR(__xludf.DUMMYFUNCTION("GOOGLEFINANCE(A286,""priceopen"")"),74.23)</f>
        <v>74.23</v>
      </c>
      <c r="H286" s="34">
        <f>IFERROR(__xludf.DUMMYFUNCTION("GOOGLEFINANCE(A286,""closeyest"")"),73.8)</f>
        <v>73.8</v>
      </c>
      <c r="I286" s="34">
        <f>IFERROR(__xludf.DUMMYFUNCTION("GOOGLEFINANCE(A286,""low52"")"),56.31)</f>
        <v>56.31</v>
      </c>
      <c r="J286" s="34">
        <f>IFERROR(__xludf.DUMMYFUNCTION("GOOGLEFINANCE(A286,""high52"")"),83.45)</f>
        <v>83.45</v>
      </c>
    </row>
    <row r="287">
      <c r="A287" s="30" t="str">
        <f>'6image_RS_benchmark_performance'!A287</f>
        <v>HST</v>
      </c>
      <c r="B287" s="31">
        <f>IFERROR(__xludf.DUMMYFUNCTION("GOOGLEFINANCE(A287,""price"")"),15.8)</f>
        <v>15.8</v>
      </c>
      <c r="C287" s="31">
        <f>IFERROR(__xludf.DUMMYFUNCTION("GOOGLEFINANCE(A287,""high"")"),16.02)</f>
        <v>16.02</v>
      </c>
      <c r="D287" s="31">
        <f>IFERROR(__xludf.DUMMYFUNCTION("GOOGLEFINANCE(A287,""low"")"),15.17)</f>
        <v>15.17</v>
      </c>
      <c r="E287" s="31">
        <f>IFERROR(__xludf.DUMMYFUNCTION("GOOGLEFINANCE(A287,""change"")"),0.41)</f>
        <v>0.41</v>
      </c>
      <c r="F287" s="32">
        <f>IFERROR(__xludf.DUMMYFUNCTION("GOOGLEFINANCE(A287,""changepct"")/100"),0.026600000000000002)</f>
        <v>0.0266</v>
      </c>
      <c r="G287" s="33">
        <f>IFERROR(__xludf.DUMMYFUNCTION("GOOGLEFINANCE(A287,""priceopen"")"),15.5)</f>
        <v>15.5</v>
      </c>
      <c r="H287" s="34">
        <f>IFERROR(__xludf.DUMMYFUNCTION("GOOGLEFINANCE(A287,""closeyest"")"),15.39)</f>
        <v>15.39</v>
      </c>
      <c r="I287" s="34">
        <f>IFERROR(__xludf.DUMMYFUNCTION("GOOGLEFINANCE(A287,""low52"")"),10.04)</f>
        <v>10.04</v>
      </c>
      <c r="J287" s="34">
        <f>IFERROR(__xludf.DUMMYFUNCTION("GOOGLEFINANCE(A287,""high52"")"),18.52)</f>
        <v>18.52</v>
      </c>
    </row>
    <row r="288">
      <c r="A288" s="30" t="str">
        <f>'6image_RS_benchmark_performance'!A288</f>
        <v>HSY</v>
      </c>
      <c r="B288" s="31">
        <f>IFERROR(__xludf.DUMMYFUNCTION("GOOGLEFINANCE(A288,""price"")"),180.28)</f>
        <v>180.28</v>
      </c>
      <c r="C288" s="31">
        <f>IFERROR(__xludf.DUMMYFUNCTION("GOOGLEFINANCE(A288,""high"")"),182.24)</f>
        <v>182.24</v>
      </c>
      <c r="D288" s="31">
        <f>IFERROR(__xludf.DUMMYFUNCTION("GOOGLEFINANCE(A288,""low"")"),179.81)</f>
        <v>179.81</v>
      </c>
      <c r="E288" s="31">
        <f>IFERROR(__xludf.DUMMYFUNCTION("GOOGLEFINANCE(A288,""change"")"),0.85)</f>
        <v>0.85</v>
      </c>
      <c r="F288" s="32">
        <f>IFERROR(__xludf.DUMMYFUNCTION("GOOGLEFINANCE(A288,""changepct"")/100"),0.004699999999999999)</f>
        <v>0.0047</v>
      </c>
      <c r="G288" s="33">
        <f>IFERROR(__xludf.DUMMYFUNCTION("GOOGLEFINANCE(A288,""priceopen"")"),180.28)</f>
        <v>180.28</v>
      </c>
      <c r="H288" s="34">
        <f>IFERROR(__xludf.DUMMYFUNCTION("GOOGLEFINANCE(A288,""closeyest"")"),179.43)</f>
        <v>179.43</v>
      </c>
      <c r="I288" s="34">
        <f>IFERROR(__xludf.DUMMYFUNCTION("GOOGLEFINANCE(A288,""low52"")"),134.0)</f>
        <v>134</v>
      </c>
      <c r="J288" s="34">
        <f>IFERROR(__xludf.DUMMYFUNCTION("GOOGLEFINANCE(A288,""high52"")"),182.24)</f>
        <v>182.24</v>
      </c>
    </row>
    <row r="289">
      <c r="A289" s="30" t="str">
        <f>'6image_RS_benchmark_performance'!A289</f>
        <v>HUM</v>
      </c>
      <c r="B289" s="31">
        <f>IFERROR(__xludf.DUMMYFUNCTION("GOOGLEFINANCE(A289,""price"")"),460.5)</f>
        <v>460.5</v>
      </c>
      <c r="C289" s="31">
        <f>IFERROR(__xludf.DUMMYFUNCTION("GOOGLEFINANCE(A289,""high"")"),467.69)</f>
        <v>467.69</v>
      </c>
      <c r="D289" s="31">
        <f>IFERROR(__xludf.DUMMYFUNCTION("GOOGLEFINANCE(A289,""low"")"),459.82)</f>
        <v>459.82</v>
      </c>
      <c r="E289" s="31">
        <f>IFERROR(__xludf.DUMMYFUNCTION("GOOGLEFINANCE(A289,""change"")"),-0.43)</f>
        <v>-0.43</v>
      </c>
      <c r="F289" s="32">
        <f>IFERROR(__xludf.DUMMYFUNCTION("GOOGLEFINANCE(A289,""changepct"")/100"),-9.0E-4)</f>
        <v>-0.0009</v>
      </c>
      <c r="G289" s="33">
        <f>IFERROR(__xludf.DUMMYFUNCTION("GOOGLEFINANCE(A289,""priceopen"")"),462.92)</f>
        <v>462.92</v>
      </c>
      <c r="H289" s="34">
        <f>IFERROR(__xludf.DUMMYFUNCTION("GOOGLEFINANCE(A289,""closeyest"")"),460.93)</f>
        <v>460.93</v>
      </c>
      <c r="I289" s="34">
        <f>IFERROR(__xludf.DUMMYFUNCTION("GOOGLEFINANCE(A289,""low52"")"),370.22)</f>
        <v>370.22</v>
      </c>
      <c r="J289" s="34">
        <f>IFERROR(__xludf.DUMMYFUNCTION("GOOGLEFINANCE(A289,""high52"")"),475.44)</f>
        <v>475.44</v>
      </c>
    </row>
    <row r="290">
      <c r="A290" s="30" t="str">
        <f>'6image_RS_benchmark_performance'!A290</f>
        <v>HUN</v>
      </c>
      <c r="B290" s="31">
        <f>IFERROR(__xludf.DUMMYFUNCTION("GOOGLEFINANCE(A290,""price"")"),25.3)</f>
        <v>25.3</v>
      </c>
      <c r="C290" s="31">
        <f>IFERROR(__xludf.DUMMYFUNCTION("GOOGLEFINANCE(A290,""high"")"),25.71)</f>
        <v>25.71</v>
      </c>
      <c r="D290" s="31">
        <f>IFERROR(__xludf.DUMMYFUNCTION("GOOGLEFINANCE(A290,""low"")"),24.98)</f>
        <v>24.98</v>
      </c>
      <c r="E290" s="31">
        <f>IFERROR(__xludf.DUMMYFUNCTION("GOOGLEFINANCE(A290,""change"")"),0.27)</f>
        <v>0.27</v>
      </c>
      <c r="F290" s="32">
        <f>IFERROR(__xludf.DUMMYFUNCTION("GOOGLEFINANCE(A290,""changepct"")/100"),0.0108)</f>
        <v>0.0108</v>
      </c>
      <c r="G290" s="33">
        <f>IFERROR(__xludf.DUMMYFUNCTION("GOOGLEFINANCE(A290,""priceopen"")"),25.06)</f>
        <v>25.06</v>
      </c>
      <c r="H290" s="34">
        <f>IFERROR(__xludf.DUMMYFUNCTION("GOOGLEFINANCE(A290,""closeyest"")"),25.03)</f>
        <v>25.03</v>
      </c>
      <c r="I290" s="34">
        <f>IFERROR(__xludf.DUMMYFUNCTION("GOOGLEFINANCE(A290,""low52"")"),18.25)</f>
        <v>18.25</v>
      </c>
      <c r="J290" s="34">
        <f>IFERROR(__xludf.DUMMYFUNCTION("GOOGLEFINANCE(A290,""high52"")"),32.35)</f>
        <v>32.35</v>
      </c>
    </row>
    <row r="291">
      <c r="A291" s="30" t="str">
        <f>'6image_RS_benchmark_performance'!A291</f>
        <v>HWM</v>
      </c>
      <c r="B291" s="31">
        <f>IFERROR(__xludf.DUMMYFUNCTION("GOOGLEFINANCE(A291,""price"")"),31.89)</f>
        <v>31.89</v>
      </c>
      <c r="C291" s="31">
        <f>IFERROR(__xludf.DUMMYFUNCTION("GOOGLEFINANCE(A291,""high"")"),32.12)</f>
        <v>32.12</v>
      </c>
      <c r="D291" s="31">
        <f>IFERROR(__xludf.DUMMYFUNCTION("GOOGLEFINANCE(A291,""low"")"),30.35)</f>
        <v>30.35</v>
      </c>
      <c r="E291" s="31">
        <f>IFERROR(__xludf.DUMMYFUNCTION("GOOGLEFINANCE(A291,""change"")"),1.4)</f>
        <v>1.4</v>
      </c>
      <c r="F291" s="32">
        <f>IFERROR(__xludf.DUMMYFUNCTION("GOOGLEFINANCE(A291,""changepct"")/100"),0.045899999999999996)</f>
        <v>0.0459</v>
      </c>
      <c r="G291" s="33">
        <f>IFERROR(__xludf.DUMMYFUNCTION("GOOGLEFINANCE(A291,""priceopen"")"),30.51)</f>
        <v>30.51</v>
      </c>
      <c r="H291" s="34">
        <f>IFERROR(__xludf.DUMMYFUNCTION("GOOGLEFINANCE(A291,""closeyest"")"),30.49)</f>
        <v>30.49</v>
      </c>
      <c r="I291" s="34">
        <f>IFERROR(__xludf.DUMMYFUNCTION("GOOGLEFINANCE(A291,""low52"")"),14.52)</f>
        <v>14.52</v>
      </c>
      <c r="J291" s="34">
        <f>IFERROR(__xludf.DUMMYFUNCTION("GOOGLEFINANCE(A291,""high52"")"),36.03)</f>
        <v>36.03</v>
      </c>
    </row>
    <row r="292">
      <c r="A292" s="30" t="str">
        <f>'6image_RS_benchmark_performance'!A292</f>
        <v>HYG</v>
      </c>
      <c r="B292" s="31">
        <f>IFERROR(__xludf.DUMMYFUNCTION("GOOGLEFINANCE(A292,""price"")"),87.52)</f>
        <v>87.52</v>
      </c>
      <c r="C292" s="31">
        <f>IFERROR(__xludf.DUMMYFUNCTION("GOOGLEFINANCE(A292,""high"")"),87.53)</f>
        <v>87.53</v>
      </c>
      <c r="D292" s="31">
        <f>IFERROR(__xludf.DUMMYFUNCTION("GOOGLEFINANCE(A292,""low"")"),87.09)</f>
        <v>87.09</v>
      </c>
      <c r="E292" s="31">
        <f>IFERROR(__xludf.DUMMYFUNCTION("GOOGLEFINANCE(A292,""change"")"),0.44)</f>
        <v>0.44</v>
      </c>
      <c r="F292" s="32">
        <f>IFERROR(__xludf.DUMMYFUNCTION("GOOGLEFINANCE(A292,""changepct"")/100"),0.0051)</f>
        <v>0.0051</v>
      </c>
      <c r="G292" s="33">
        <f>IFERROR(__xludf.DUMMYFUNCTION("GOOGLEFINANCE(A292,""priceopen"")"),87.16)</f>
        <v>87.16</v>
      </c>
      <c r="H292" s="34">
        <f>IFERROR(__xludf.DUMMYFUNCTION("GOOGLEFINANCE(A292,""closeyest"")"),87.08)</f>
        <v>87.08</v>
      </c>
      <c r="I292" s="34">
        <f>IFERROR(__xludf.DUMMYFUNCTION("GOOGLEFINANCE(A292,""low52"")"),82.56)</f>
        <v>82.56</v>
      </c>
      <c r="J292" s="34">
        <f>IFERROR(__xludf.DUMMYFUNCTION("GOOGLEFINANCE(A292,""high52"")"),88.1)</f>
        <v>88.1</v>
      </c>
    </row>
    <row r="293">
      <c r="A293" s="30" t="str">
        <f>'6image_RS_benchmark_performance'!A293</f>
        <v>HYLB</v>
      </c>
      <c r="B293" s="31">
        <f>IFERROR(__xludf.DUMMYFUNCTION("GOOGLEFINANCE(A293,""price"")"),40.09)</f>
        <v>40.09</v>
      </c>
      <c r="C293" s="31">
        <f>IFERROR(__xludf.DUMMYFUNCTION("GOOGLEFINANCE(A293,""high"")"),40.09)</f>
        <v>40.09</v>
      </c>
      <c r="D293" s="31">
        <f>IFERROR(__xludf.DUMMYFUNCTION("GOOGLEFINANCE(A293,""low"")"),39.89)</f>
        <v>39.89</v>
      </c>
      <c r="E293" s="31">
        <f>IFERROR(__xludf.DUMMYFUNCTION("GOOGLEFINANCE(A293,""change"")"),0.2)</f>
        <v>0.2</v>
      </c>
      <c r="F293" s="32">
        <f>IFERROR(__xludf.DUMMYFUNCTION("GOOGLEFINANCE(A293,""changepct"")/100"),0.005)</f>
        <v>0.005</v>
      </c>
      <c r="G293" s="33">
        <f>IFERROR(__xludf.DUMMYFUNCTION("GOOGLEFINANCE(A293,""priceopen"")"),39.89)</f>
        <v>39.89</v>
      </c>
      <c r="H293" s="34">
        <f>IFERROR(__xludf.DUMMYFUNCTION("GOOGLEFINANCE(A293,""closeyest"")"),39.89)</f>
        <v>39.89</v>
      </c>
      <c r="I293" s="34">
        <f>IFERROR(__xludf.DUMMYFUNCTION("GOOGLEFINANCE(A293,""low52"")"),37.9)</f>
        <v>37.9</v>
      </c>
      <c r="J293" s="34">
        <f>IFERROR(__xludf.DUMMYFUNCTION("GOOGLEFINANCE(A293,""high52"")"),40.36)</f>
        <v>40.36</v>
      </c>
    </row>
    <row r="294">
      <c r="A294" s="30" t="str">
        <f>'6image_RS_benchmark_performance'!A294</f>
        <v>IAU</v>
      </c>
      <c r="B294" s="31">
        <f>IFERROR(__xludf.DUMMYFUNCTION("GOOGLEFINANCE(A294,""price"")"),34.47)</f>
        <v>34.47</v>
      </c>
      <c r="C294" s="31">
        <f>IFERROR(__xludf.DUMMYFUNCTION("GOOGLEFINANCE(A294,""high"")"),34.74)</f>
        <v>34.74</v>
      </c>
      <c r="D294" s="31">
        <f>IFERROR(__xludf.DUMMYFUNCTION("GOOGLEFINANCE(A294,""low"")"),34.38)</f>
        <v>34.38</v>
      </c>
      <c r="E294" s="31">
        <f>IFERROR(__xludf.DUMMYFUNCTION("GOOGLEFINANCE(A294,""change"")"),-0.03)</f>
        <v>-0.03</v>
      </c>
      <c r="F294" s="32">
        <f>IFERROR(__xludf.DUMMYFUNCTION("GOOGLEFINANCE(A294,""changepct"")/100"),-9.0E-4)</f>
        <v>-0.0009</v>
      </c>
      <c r="G294" s="33">
        <f>IFERROR(__xludf.DUMMYFUNCTION("GOOGLEFINANCE(A294,""priceopen"")"),34.7)</f>
        <v>34.7</v>
      </c>
      <c r="H294" s="34">
        <f>IFERROR(__xludf.DUMMYFUNCTION("GOOGLEFINANCE(A294,""closeyest"")"),34.5)</f>
        <v>34.5</v>
      </c>
      <c r="I294" s="34">
        <f>IFERROR(__xludf.DUMMYFUNCTION("GOOGLEFINANCE(A294,""low52"")"),31.94)</f>
        <v>31.94</v>
      </c>
      <c r="J294" s="34">
        <f>IFERROR(__xludf.DUMMYFUNCTION("GOOGLEFINANCE(A294,""high52"")"),39.52)</f>
        <v>39.52</v>
      </c>
    </row>
    <row r="295">
      <c r="A295" s="30" t="str">
        <f>'6image_RS_benchmark_performance'!A295</f>
        <v>IBB</v>
      </c>
      <c r="B295" s="31">
        <f>IFERROR(__xludf.DUMMYFUNCTION("GOOGLEFINANCE(A295,""price"")"),164.08)</f>
        <v>164.08</v>
      </c>
      <c r="C295" s="31">
        <f>IFERROR(__xludf.DUMMYFUNCTION("GOOGLEFINANCE(A295,""high"")"),165.12)</f>
        <v>165.12</v>
      </c>
      <c r="D295" s="31">
        <f>IFERROR(__xludf.DUMMYFUNCTION("GOOGLEFINANCE(A295,""low"")"),161.92)</f>
        <v>161.92</v>
      </c>
      <c r="E295" s="31">
        <f>IFERROR(__xludf.DUMMYFUNCTION("GOOGLEFINANCE(A295,""change"")"),2.3)</f>
        <v>2.3</v>
      </c>
      <c r="F295" s="32">
        <f>IFERROR(__xludf.DUMMYFUNCTION("GOOGLEFINANCE(A295,""changepct"")/100"),0.014199999999999999)</f>
        <v>0.0142</v>
      </c>
      <c r="G295" s="33">
        <f>IFERROR(__xludf.DUMMYFUNCTION("GOOGLEFINANCE(A295,""priceopen"")"),162.12)</f>
        <v>162.12</v>
      </c>
      <c r="H295" s="34">
        <f>IFERROR(__xludf.DUMMYFUNCTION("GOOGLEFINANCE(A295,""closeyest"")"),161.78)</f>
        <v>161.78</v>
      </c>
      <c r="I295" s="34">
        <f>IFERROR(__xludf.DUMMYFUNCTION("GOOGLEFINANCE(A295,""low52"")"),126.0)</f>
        <v>126</v>
      </c>
      <c r="J295" s="34">
        <f>IFERROR(__xludf.DUMMYFUNCTION("GOOGLEFINANCE(A295,""high52"")"),174.04)</f>
        <v>174.04</v>
      </c>
    </row>
    <row r="296">
      <c r="A296" s="30" t="str">
        <f>'6image_RS_benchmark_performance'!A296</f>
        <v>IBM</v>
      </c>
      <c r="B296" s="31">
        <f>IFERROR(__xludf.DUMMYFUNCTION("GOOGLEFINANCE(A296,""price"")"),139.97)</f>
        <v>139.97</v>
      </c>
      <c r="C296" s="31">
        <f>IFERROR(__xludf.DUMMYFUNCTION("GOOGLEFINANCE(A296,""high"")"),144.92)</f>
        <v>144.92</v>
      </c>
      <c r="D296" s="31">
        <f>IFERROR(__xludf.DUMMYFUNCTION("GOOGLEFINANCE(A296,""low"")"),138.7)</f>
        <v>138.7</v>
      </c>
      <c r="E296" s="31">
        <f>IFERROR(__xludf.DUMMYFUNCTION("GOOGLEFINANCE(A296,""change"")"),2.05)</f>
        <v>2.05</v>
      </c>
      <c r="F296" s="32">
        <f>IFERROR(__xludf.DUMMYFUNCTION("GOOGLEFINANCE(A296,""changepct"")/100"),0.0149)</f>
        <v>0.0149</v>
      </c>
      <c r="G296" s="33">
        <f>IFERROR(__xludf.DUMMYFUNCTION("GOOGLEFINANCE(A296,""priceopen"")"),143.0)</f>
        <v>143</v>
      </c>
      <c r="H296" s="34">
        <f>IFERROR(__xludf.DUMMYFUNCTION("GOOGLEFINANCE(A296,""closeyest"")"),137.92)</f>
        <v>137.92</v>
      </c>
      <c r="I296" s="34">
        <f>IFERROR(__xludf.DUMMYFUNCTION("GOOGLEFINANCE(A296,""low52"")"),105.92)</f>
        <v>105.92</v>
      </c>
      <c r="J296" s="34">
        <f>IFERROR(__xludf.DUMMYFUNCTION("GOOGLEFINANCE(A296,""high52"")"),152.84)</f>
        <v>152.84</v>
      </c>
    </row>
    <row r="297">
      <c r="A297" s="30" t="str">
        <f>'6image_RS_benchmark_performance'!A297</f>
        <v>ICE</v>
      </c>
      <c r="B297" s="31">
        <f>IFERROR(__xludf.DUMMYFUNCTION("GOOGLEFINANCE(A297,""price"")"),119.14)</f>
        <v>119.14</v>
      </c>
      <c r="C297" s="31">
        <f>IFERROR(__xludf.DUMMYFUNCTION("GOOGLEFINANCE(A297,""high"")"),119.66)</f>
        <v>119.66</v>
      </c>
      <c r="D297" s="31">
        <f>IFERROR(__xludf.DUMMYFUNCTION("GOOGLEFINANCE(A297,""low"")"),117.41)</f>
        <v>117.41</v>
      </c>
      <c r="E297" s="31">
        <f>IFERROR(__xludf.DUMMYFUNCTION("GOOGLEFINANCE(A297,""change"")"),1.78)</f>
        <v>1.78</v>
      </c>
      <c r="F297" s="32">
        <f>IFERROR(__xludf.DUMMYFUNCTION("GOOGLEFINANCE(A297,""changepct"")/100"),0.0152)</f>
        <v>0.0152</v>
      </c>
      <c r="G297" s="33">
        <f>IFERROR(__xludf.DUMMYFUNCTION("GOOGLEFINANCE(A297,""priceopen"")"),117.55)</f>
        <v>117.55</v>
      </c>
      <c r="H297" s="34">
        <f>IFERROR(__xludf.DUMMYFUNCTION("GOOGLEFINANCE(A297,""closeyest"")"),117.36)</f>
        <v>117.36</v>
      </c>
      <c r="I297" s="34">
        <f>IFERROR(__xludf.DUMMYFUNCTION("GOOGLEFINANCE(A297,""low52"")"),92.41)</f>
        <v>92.41</v>
      </c>
      <c r="J297" s="34">
        <f>IFERROR(__xludf.DUMMYFUNCTION("GOOGLEFINANCE(A297,""high52"")"),121.97)</f>
        <v>121.97</v>
      </c>
    </row>
    <row r="298">
      <c r="A298" s="30" t="str">
        <f>'6image_RS_benchmark_performance'!A298</f>
        <v>IDXX</v>
      </c>
      <c r="B298" s="31">
        <f>IFERROR(__xludf.DUMMYFUNCTION("GOOGLEFINANCE(A298,""price"")"),669.39)</f>
        <v>669.39</v>
      </c>
      <c r="C298" s="31">
        <f>IFERROR(__xludf.DUMMYFUNCTION("GOOGLEFINANCE(A298,""high"")"),675.09)</f>
        <v>675.09</v>
      </c>
      <c r="D298" s="31">
        <f>IFERROR(__xludf.DUMMYFUNCTION("GOOGLEFINANCE(A298,""low"")"),663.08)</f>
        <v>663.08</v>
      </c>
      <c r="E298" s="31">
        <f>IFERROR(__xludf.DUMMYFUNCTION("GOOGLEFINANCE(A298,""change"")"),-0.01)</f>
        <v>-0.01</v>
      </c>
      <c r="F298" s="32">
        <f>IFERROR(__xludf.DUMMYFUNCTION("GOOGLEFINANCE(A298,""changepct"")/100"),0.0)</f>
        <v>0</v>
      </c>
      <c r="G298" s="33">
        <f>IFERROR(__xludf.DUMMYFUNCTION("GOOGLEFINANCE(A298,""priceopen"")"),670.92)</f>
        <v>670.92</v>
      </c>
      <c r="H298" s="34">
        <f>IFERROR(__xludf.DUMMYFUNCTION("GOOGLEFINANCE(A298,""closeyest"")"),669.4)</f>
        <v>669.4</v>
      </c>
      <c r="I298" s="34">
        <f>IFERROR(__xludf.DUMMYFUNCTION("GOOGLEFINANCE(A298,""low52"")"),347.54)</f>
        <v>347.54</v>
      </c>
      <c r="J298" s="34">
        <f>IFERROR(__xludf.DUMMYFUNCTION("GOOGLEFINANCE(A298,""high52"")"),675.09)</f>
        <v>675.09</v>
      </c>
    </row>
    <row r="299">
      <c r="A299" s="30" t="str">
        <f>'6image_RS_benchmark_performance'!A299</f>
        <v>IEF</v>
      </c>
      <c r="B299" s="31">
        <f>IFERROR(__xludf.DUMMYFUNCTION("GOOGLEFINANCE(A299,""price"")"),117.81)</f>
        <v>117.81</v>
      </c>
      <c r="C299" s="31">
        <f>IFERROR(__xludf.DUMMYFUNCTION("GOOGLEFINANCE(A299,""high"")"),118.52)</f>
        <v>118.52</v>
      </c>
      <c r="D299" s="31">
        <f>IFERROR(__xludf.DUMMYFUNCTION("GOOGLEFINANCE(A299,""low"")"),117.71)</f>
        <v>117.71</v>
      </c>
      <c r="E299" s="31">
        <f>IFERROR(__xludf.DUMMYFUNCTION("GOOGLEFINANCE(A299,""change"")"),-0.15)</f>
        <v>-0.15</v>
      </c>
      <c r="F299" s="32">
        <f>IFERROR(__xludf.DUMMYFUNCTION("GOOGLEFINANCE(A299,""changepct"")/100"),-0.0013)</f>
        <v>-0.0013</v>
      </c>
      <c r="G299" s="33">
        <f>IFERROR(__xludf.DUMMYFUNCTION("GOOGLEFINANCE(A299,""priceopen"")"),118.47)</f>
        <v>118.47</v>
      </c>
      <c r="H299" s="34">
        <f>IFERROR(__xludf.DUMMYFUNCTION("GOOGLEFINANCE(A299,""closeyest"")"),117.96)</f>
        <v>117.96</v>
      </c>
      <c r="I299" s="34">
        <f>IFERROR(__xludf.DUMMYFUNCTION("GOOGLEFINANCE(A299,""low52"")"),112.78)</f>
        <v>112.78</v>
      </c>
      <c r="J299" s="34">
        <f>IFERROR(__xludf.DUMMYFUNCTION("GOOGLEFINANCE(A299,""high52"")"),123.09)</f>
        <v>123.09</v>
      </c>
    </row>
    <row r="300">
      <c r="A300" s="30" t="str">
        <f>'6image_RS_benchmark_performance'!A300</f>
        <v>IEFA</v>
      </c>
      <c r="B300" s="31">
        <f>IFERROR(__xludf.DUMMYFUNCTION("GOOGLEFINANCE(A300,""price"")"),73.53)</f>
        <v>73.53</v>
      </c>
      <c r="C300" s="31">
        <f>IFERROR(__xludf.DUMMYFUNCTION("GOOGLEFINANCE(A300,""high"")"),73.65)</f>
        <v>73.65</v>
      </c>
      <c r="D300" s="31">
        <f>IFERROR(__xludf.DUMMYFUNCTION("GOOGLEFINANCE(A300,""low"")"),72.72)</f>
        <v>72.72</v>
      </c>
      <c r="E300" s="31">
        <f>IFERROR(__xludf.DUMMYFUNCTION("GOOGLEFINANCE(A300,""change"")"),0.55)</f>
        <v>0.55</v>
      </c>
      <c r="F300" s="32">
        <f>IFERROR(__xludf.DUMMYFUNCTION("GOOGLEFINANCE(A300,""changepct"")/100"),0.0075)</f>
        <v>0.0075</v>
      </c>
      <c r="G300" s="33">
        <f>IFERROR(__xludf.DUMMYFUNCTION("GOOGLEFINANCE(A300,""priceopen"")"),72.84)</f>
        <v>72.84</v>
      </c>
      <c r="H300" s="34">
        <f>IFERROR(__xludf.DUMMYFUNCTION("GOOGLEFINANCE(A300,""closeyest"")"),72.98)</f>
        <v>72.98</v>
      </c>
      <c r="I300" s="34">
        <f>IFERROR(__xludf.DUMMYFUNCTION("GOOGLEFINANCE(A300,""low52"")"),57.71)</f>
        <v>57.71</v>
      </c>
      <c r="J300" s="34">
        <f>IFERROR(__xludf.DUMMYFUNCTION("GOOGLEFINANCE(A300,""high52"")"),78.02)</f>
        <v>78.02</v>
      </c>
    </row>
    <row r="301">
      <c r="A301" s="30" t="str">
        <f>'6image_RS_benchmark_performance'!A301</f>
        <v>IEMG</v>
      </c>
      <c r="B301" s="31">
        <f>IFERROR(__xludf.DUMMYFUNCTION("GOOGLEFINANCE(A301,""price"")"),64.55)</f>
        <v>64.55</v>
      </c>
      <c r="C301" s="31">
        <f>IFERROR(__xludf.DUMMYFUNCTION("GOOGLEFINANCE(A301,""high"")"),64.7)</f>
        <v>64.7</v>
      </c>
      <c r="D301" s="31">
        <f>IFERROR(__xludf.DUMMYFUNCTION("GOOGLEFINANCE(A301,""low"")"),63.88)</f>
        <v>63.88</v>
      </c>
      <c r="E301" s="31">
        <f>IFERROR(__xludf.DUMMYFUNCTION("GOOGLEFINANCE(A301,""change"")"),0.2)</f>
        <v>0.2</v>
      </c>
      <c r="F301" s="32">
        <f>IFERROR(__xludf.DUMMYFUNCTION("GOOGLEFINANCE(A301,""changepct"")/100"),0.0031)</f>
        <v>0.0031</v>
      </c>
      <c r="G301" s="33">
        <f>IFERROR(__xludf.DUMMYFUNCTION("GOOGLEFINANCE(A301,""priceopen"")"),64.08)</f>
        <v>64.08</v>
      </c>
      <c r="H301" s="34">
        <f>IFERROR(__xludf.DUMMYFUNCTION("GOOGLEFINANCE(A301,""closeyest"")"),64.35)</f>
        <v>64.35</v>
      </c>
      <c r="I301" s="34">
        <f>IFERROR(__xludf.DUMMYFUNCTION("GOOGLEFINANCE(A301,""low52"")"),50.6)</f>
        <v>50.6</v>
      </c>
      <c r="J301" s="34">
        <f>IFERROR(__xludf.DUMMYFUNCTION("GOOGLEFINANCE(A301,""high52"")"),69.87)</f>
        <v>69.87</v>
      </c>
    </row>
    <row r="302">
      <c r="A302" s="30" t="str">
        <f>'6image_RS_benchmark_performance'!A302</f>
        <v>IEX</v>
      </c>
      <c r="B302" s="31">
        <f>IFERROR(__xludf.DUMMYFUNCTION("GOOGLEFINANCE(A302,""price"")"),228.29)</f>
        <v>228.29</v>
      </c>
      <c r="C302" s="31">
        <f>IFERROR(__xludf.DUMMYFUNCTION("GOOGLEFINANCE(A302,""high"")"),228.84)</f>
        <v>228.84</v>
      </c>
      <c r="D302" s="31">
        <f>IFERROR(__xludf.DUMMYFUNCTION("GOOGLEFINANCE(A302,""low"")"),223.14)</f>
        <v>223.14</v>
      </c>
      <c r="E302" s="31">
        <f>IFERROR(__xludf.DUMMYFUNCTION("GOOGLEFINANCE(A302,""change"")"),5.94)</f>
        <v>5.94</v>
      </c>
      <c r="F302" s="32">
        <f>IFERROR(__xludf.DUMMYFUNCTION("GOOGLEFINANCE(A302,""changepct"")/100"),0.026699999999999998)</f>
        <v>0.0267</v>
      </c>
      <c r="G302" s="33">
        <f>IFERROR(__xludf.DUMMYFUNCTION("GOOGLEFINANCE(A302,""priceopen"")"),223.14)</f>
        <v>223.14</v>
      </c>
      <c r="H302" s="34">
        <f>IFERROR(__xludf.DUMMYFUNCTION("GOOGLEFINANCE(A302,""closeyest"")"),222.35)</f>
        <v>222.35</v>
      </c>
      <c r="I302" s="34">
        <f>IFERROR(__xludf.DUMMYFUNCTION("GOOGLEFINANCE(A302,""low52"")"),162.6)</f>
        <v>162.6</v>
      </c>
      <c r="J302" s="34">
        <f>IFERROR(__xludf.DUMMYFUNCTION("GOOGLEFINANCE(A302,""high52"")"),235.76)</f>
        <v>235.76</v>
      </c>
    </row>
    <row r="303">
      <c r="A303" s="30" t="str">
        <f>'6image_RS_benchmark_performance'!A303</f>
        <v>IFF</v>
      </c>
      <c r="B303" s="31">
        <f>IFERROR(__xludf.DUMMYFUNCTION("GOOGLEFINANCE(A303,""price"")"),143.79)</f>
        <v>143.79</v>
      </c>
      <c r="C303" s="31">
        <f>IFERROR(__xludf.DUMMYFUNCTION("GOOGLEFINANCE(A303,""high"")"),144.4)</f>
        <v>144.4</v>
      </c>
      <c r="D303" s="31">
        <f>IFERROR(__xludf.DUMMYFUNCTION("GOOGLEFINANCE(A303,""low"")"),140.09)</f>
        <v>140.09</v>
      </c>
      <c r="E303" s="31">
        <f>IFERROR(__xludf.DUMMYFUNCTION("GOOGLEFINANCE(A303,""change"")"),3.68)</f>
        <v>3.68</v>
      </c>
      <c r="F303" s="32">
        <f>IFERROR(__xludf.DUMMYFUNCTION("GOOGLEFINANCE(A303,""changepct"")/100"),0.0263)</f>
        <v>0.0263</v>
      </c>
      <c r="G303" s="33">
        <f>IFERROR(__xludf.DUMMYFUNCTION("GOOGLEFINANCE(A303,""priceopen"")"),140.29)</f>
        <v>140.29</v>
      </c>
      <c r="H303" s="34">
        <f>IFERROR(__xludf.DUMMYFUNCTION("GOOGLEFINANCE(A303,""closeyest"")"),140.11)</f>
        <v>140.11</v>
      </c>
      <c r="I303" s="34">
        <f>IFERROR(__xludf.DUMMYFUNCTION("GOOGLEFINANCE(A303,""low52"")"),99.54)</f>
        <v>99.54</v>
      </c>
      <c r="J303" s="34">
        <f>IFERROR(__xludf.DUMMYFUNCTION("GOOGLEFINANCE(A303,""high52"")"),150.16)</f>
        <v>150.16</v>
      </c>
    </row>
    <row r="304">
      <c r="A304" s="30" t="str">
        <f>'6image_RS_benchmark_performance'!A304</f>
        <v>IJR</v>
      </c>
      <c r="B304" s="31">
        <f>IFERROR(__xludf.DUMMYFUNCTION("GOOGLEFINANCE(A304,""price"")"),107.77)</f>
        <v>107.77</v>
      </c>
      <c r="C304" s="31">
        <f>IFERROR(__xludf.DUMMYFUNCTION("GOOGLEFINANCE(A304,""high"")"),108.49)</f>
        <v>108.49</v>
      </c>
      <c r="D304" s="31">
        <f>IFERROR(__xludf.DUMMYFUNCTION("GOOGLEFINANCE(A304,""low"")"),104.76)</f>
        <v>104.76</v>
      </c>
      <c r="E304" s="31">
        <f>IFERROR(__xludf.DUMMYFUNCTION("GOOGLEFINANCE(A304,""change"")"),3.15)</f>
        <v>3.15</v>
      </c>
      <c r="F304" s="32">
        <f>IFERROR(__xludf.DUMMYFUNCTION("GOOGLEFINANCE(A304,""changepct"")/100"),0.0301)</f>
        <v>0.0301</v>
      </c>
      <c r="G304" s="33">
        <f>IFERROR(__xludf.DUMMYFUNCTION("GOOGLEFINANCE(A304,""priceopen"")"),104.93)</f>
        <v>104.93</v>
      </c>
      <c r="H304" s="34">
        <f>IFERROR(__xludf.DUMMYFUNCTION("GOOGLEFINANCE(A304,""closeyest"")"),104.62)</f>
        <v>104.62</v>
      </c>
      <c r="I304" s="34">
        <f>IFERROR(__xludf.DUMMYFUNCTION("GOOGLEFINANCE(A304,""low52"")"),66.74)</f>
        <v>66.74</v>
      </c>
      <c r="J304" s="34">
        <f>IFERROR(__xludf.DUMMYFUNCTION("GOOGLEFINANCE(A304,""high52"")"),116.74)</f>
        <v>116.74</v>
      </c>
    </row>
    <row r="305">
      <c r="A305" s="30" t="str">
        <f>'6image_RS_benchmark_performance'!A305</f>
        <v>ILMN</v>
      </c>
      <c r="B305" s="31">
        <f>IFERROR(__xludf.DUMMYFUNCTION("GOOGLEFINANCE(A305,""price"")"),487.25)</f>
        <v>487.25</v>
      </c>
      <c r="C305" s="31">
        <f>IFERROR(__xludf.DUMMYFUNCTION("GOOGLEFINANCE(A305,""high"")"),489.44)</f>
        <v>489.44</v>
      </c>
      <c r="D305" s="31">
        <f>IFERROR(__xludf.DUMMYFUNCTION("GOOGLEFINANCE(A305,""low"")"),468.5)</f>
        <v>468.5</v>
      </c>
      <c r="E305" s="31">
        <f>IFERROR(__xludf.DUMMYFUNCTION("GOOGLEFINANCE(A305,""change"")"),17.51)</f>
        <v>17.51</v>
      </c>
      <c r="F305" s="32">
        <f>IFERROR(__xludf.DUMMYFUNCTION("GOOGLEFINANCE(A305,""changepct"")/100"),0.0373)</f>
        <v>0.0373</v>
      </c>
      <c r="G305" s="33">
        <f>IFERROR(__xludf.DUMMYFUNCTION("GOOGLEFINANCE(A305,""priceopen"")"),469.98)</f>
        <v>469.98</v>
      </c>
      <c r="H305" s="34">
        <f>IFERROR(__xludf.DUMMYFUNCTION("GOOGLEFINANCE(A305,""closeyest"")"),469.74)</f>
        <v>469.74</v>
      </c>
      <c r="I305" s="34">
        <f>IFERROR(__xludf.DUMMYFUNCTION("GOOGLEFINANCE(A305,""low52"")"),260.42)</f>
        <v>260.42</v>
      </c>
      <c r="J305" s="34">
        <f>IFERROR(__xludf.DUMMYFUNCTION("GOOGLEFINANCE(A305,""high52"")"),555.77)</f>
        <v>555.77</v>
      </c>
    </row>
    <row r="306">
      <c r="A306" s="30" t="str">
        <f>'6image_RS_benchmark_performance'!A306</f>
        <v>INCY</v>
      </c>
      <c r="B306" s="31">
        <f>IFERROR(__xludf.DUMMYFUNCTION("GOOGLEFINANCE(A306,""price"")"),79.21)</f>
        <v>79.21</v>
      </c>
      <c r="C306" s="31">
        <f>IFERROR(__xludf.DUMMYFUNCTION("GOOGLEFINANCE(A306,""high"")"),79.29)</f>
        <v>79.29</v>
      </c>
      <c r="D306" s="31">
        <f>IFERROR(__xludf.DUMMYFUNCTION("GOOGLEFINANCE(A306,""low"")"),78.0)</f>
        <v>78</v>
      </c>
      <c r="E306" s="31">
        <f>IFERROR(__xludf.DUMMYFUNCTION("GOOGLEFINANCE(A306,""change"")"),1.65)</f>
        <v>1.65</v>
      </c>
      <c r="F306" s="32">
        <f>IFERROR(__xludf.DUMMYFUNCTION("GOOGLEFINANCE(A306,""changepct"")/100"),0.0213)</f>
        <v>0.0213</v>
      </c>
      <c r="G306" s="33">
        <f>IFERROR(__xludf.DUMMYFUNCTION("GOOGLEFINANCE(A306,""priceopen"")"),78.46)</f>
        <v>78.46</v>
      </c>
      <c r="H306" s="34">
        <f>IFERROR(__xludf.DUMMYFUNCTION("GOOGLEFINANCE(A306,""closeyest"")"),77.56)</f>
        <v>77.56</v>
      </c>
      <c r="I306" s="34">
        <f>IFERROR(__xludf.DUMMYFUNCTION("GOOGLEFINANCE(A306,""low52"")"),75.52)</f>
        <v>75.52</v>
      </c>
      <c r="J306" s="34">
        <f>IFERROR(__xludf.DUMMYFUNCTION("GOOGLEFINANCE(A306,""high52"")"),110.01)</f>
        <v>110.01</v>
      </c>
    </row>
    <row r="307">
      <c r="A307" s="30" t="str">
        <f>'6image_RS_benchmark_performance'!A307</f>
        <v>INDA</v>
      </c>
      <c r="B307" s="31">
        <f>IFERROR(__xludf.DUMMYFUNCTION("GOOGLEFINANCE(A307,""price"")"),44.1)</f>
        <v>44.1</v>
      </c>
      <c r="C307" s="31">
        <f>IFERROR(__xludf.DUMMYFUNCTION("GOOGLEFINANCE(A307,""high"")"),44.16)</f>
        <v>44.16</v>
      </c>
      <c r="D307" s="31">
        <f>IFERROR(__xludf.DUMMYFUNCTION("GOOGLEFINANCE(A307,""low"")"),43.67)</f>
        <v>43.67</v>
      </c>
      <c r="E307" s="31">
        <f>IFERROR(__xludf.DUMMYFUNCTION("GOOGLEFINANCE(A307,""change"")"),0.29)</f>
        <v>0.29</v>
      </c>
      <c r="F307" s="32">
        <f>IFERROR(__xludf.DUMMYFUNCTION("GOOGLEFINANCE(A307,""changepct"")/100"),0.0066)</f>
        <v>0.0066</v>
      </c>
      <c r="G307" s="33">
        <f>IFERROR(__xludf.DUMMYFUNCTION("GOOGLEFINANCE(A307,""priceopen"")"),43.73)</f>
        <v>43.73</v>
      </c>
      <c r="H307" s="34">
        <f>IFERROR(__xludf.DUMMYFUNCTION("GOOGLEFINANCE(A307,""closeyest"")"),43.81)</f>
        <v>43.81</v>
      </c>
      <c r="I307" s="34">
        <f>IFERROR(__xludf.DUMMYFUNCTION("GOOGLEFINANCE(A307,""low52"")"),31.68)</f>
        <v>31.68</v>
      </c>
      <c r="J307" s="34">
        <f>IFERROR(__xludf.DUMMYFUNCTION("GOOGLEFINANCE(A307,""high52"")"),45.44)</f>
        <v>45.44</v>
      </c>
    </row>
    <row r="308">
      <c r="A308" s="30" t="str">
        <f>'6image_RS_benchmark_performance'!A308</f>
        <v>INFO</v>
      </c>
      <c r="B308" s="31">
        <f>IFERROR(__xludf.DUMMYFUNCTION("GOOGLEFINANCE(A308,""price"")"),114.87)</f>
        <v>114.87</v>
      </c>
      <c r="C308" s="31">
        <f>IFERROR(__xludf.DUMMYFUNCTION("GOOGLEFINANCE(A308,""high"")"),115.73)</f>
        <v>115.73</v>
      </c>
      <c r="D308" s="31">
        <f>IFERROR(__xludf.DUMMYFUNCTION("GOOGLEFINANCE(A308,""low"")"),112.91)</f>
        <v>112.91</v>
      </c>
      <c r="E308" s="31">
        <f>IFERROR(__xludf.DUMMYFUNCTION("GOOGLEFINANCE(A308,""change"")"),1.98)</f>
        <v>1.98</v>
      </c>
      <c r="F308" s="32">
        <f>IFERROR(__xludf.DUMMYFUNCTION("GOOGLEFINANCE(A308,""changepct"")/100"),0.0175)</f>
        <v>0.0175</v>
      </c>
      <c r="G308" s="33">
        <f>IFERROR(__xludf.DUMMYFUNCTION("GOOGLEFINANCE(A308,""priceopen"")"),113.04)</f>
        <v>113.04</v>
      </c>
      <c r="H308" s="34">
        <f>IFERROR(__xludf.DUMMYFUNCTION("GOOGLEFINANCE(A308,""closeyest"")"),112.89)</f>
        <v>112.89</v>
      </c>
      <c r="I308" s="34">
        <f>IFERROR(__xludf.DUMMYFUNCTION("GOOGLEFINANCE(A308,""low52"")"),76.05)</f>
        <v>76.05</v>
      </c>
      <c r="J308" s="34">
        <f>IFERROR(__xludf.DUMMYFUNCTION("GOOGLEFINANCE(A308,""high52"")"),115.73)</f>
        <v>115.73</v>
      </c>
    </row>
    <row r="309">
      <c r="A309" s="30" t="str">
        <f>'6image_RS_benchmark_performance'!A309</f>
        <v>INTC</v>
      </c>
      <c r="B309" s="31">
        <f>IFERROR(__xludf.DUMMYFUNCTION("GOOGLEFINANCE(A309,""price"")"),55.24)</f>
        <v>55.24</v>
      </c>
      <c r="C309" s="31">
        <f>IFERROR(__xludf.DUMMYFUNCTION("GOOGLEFINANCE(A309,""high"")"),55.56)</f>
        <v>55.56</v>
      </c>
      <c r="D309" s="31">
        <f>IFERROR(__xludf.DUMMYFUNCTION("GOOGLEFINANCE(A309,""low"")"),54.27)</f>
        <v>54.27</v>
      </c>
      <c r="E309" s="31">
        <f>IFERROR(__xludf.DUMMYFUNCTION("GOOGLEFINANCE(A309,""change"")"),0.6)</f>
        <v>0.6</v>
      </c>
      <c r="F309" s="32">
        <f>IFERROR(__xludf.DUMMYFUNCTION("GOOGLEFINANCE(A309,""changepct"")/100"),0.011000000000000001)</f>
        <v>0.011</v>
      </c>
      <c r="G309" s="33">
        <f>IFERROR(__xludf.DUMMYFUNCTION("GOOGLEFINANCE(A309,""priceopen"")"),54.92)</f>
        <v>54.92</v>
      </c>
      <c r="H309" s="34">
        <f>IFERROR(__xludf.DUMMYFUNCTION("GOOGLEFINANCE(A309,""closeyest"")"),54.64)</f>
        <v>54.64</v>
      </c>
      <c r="I309" s="34">
        <f>IFERROR(__xludf.DUMMYFUNCTION("GOOGLEFINANCE(A309,""low52"")"),43.61)</f>
        <v>43.61</v>
      </c>
      <c r="J309" s="34">
        <f>IFERROR(__xludf.DUMMYFUNCTION("GOOGLEFINANCE(A309,""high52"")"),68.49)</f>
        <v>68.49</v>
      </c>
    </row>
    <row r="310">
      <c r="A310" s="30" t="str">
        <f>'6image_RS_benchmark_performance'!A310</f>
        <v>INTU</v>
      </c>
      <c r="B310" s="31">
        <f>IFERROR(__xludf.DUMMYFUNCTION("GOOGLEFINANCE(A310,""price"")"),508.56)</f>
        <v>508.56</v>
      </c>
      <c r="C310" s="31">
        <f>IFERROR(__xludf.DUMMYFUNCTION("GOOGLEFINANCE(A310,""high"")"),512.67)</f>
        <v>512.67</v>
      </c>
      <c r="D310" s="31">
        <f>IFERROR(__xludf.DUMMYFUNCTION("GOOGLEFINANCE(A310,""low"")"),499.01)</f>
        <v>499.01</v>
      </c>
      <c r="E310" s="31">
        <f>IFERROR(__xludf.DUMMYFUNCTION("GOOGLEFINANCE(A310,""change"")"),9.78)</f>
        <v>9.78</v>
      </c>
      <c r="F310" s="32">
        <f>IFERROR(__xludf.DUMMYFUNCTION("GOOGLEFINANCE(A310,""changepct"")/100"),0.0196)</f>
        <v>0.0196</v>
      </c>
      <c r="G310" s="33">
        <f>IFERROR(__xludf.DUMMYFUNCTION("GOOGLEFINANCE(A310,""priceopen"")"),500.06)</f>
        <v>500.06</v>
      </c>
      <c r="H310" s="34">
        <f>IFERROR(__xludf.DUMMYFUNCTION("GOOGLEFINANCE(A310,""closeyest"")"),498.78)</f>
        <v>498.78</v>
      </c>
      <c r="I310" s="34">
        <f>IFERROR(__xludf.DUMMYFUNCTION("GOOGLEFINANCE(A310,""low52"")"),286.35)</f>
        <v>286.35</v>
      </c>
      <c r="J310" s="34">
        <f>IFERROR(__xludf.DUMMYFUNCTION("GOOGLEFINANCE(A310,""high52"")"),512.67)</f>
        <v>512.67</v>
      </c>
    </row>
    <row r="311">
      <c r="A311" s="30" t="str">
        <f>'6image_RS_benchmark_performance'!A311</f>
        <v>INVH</v>
      </c>
      <c r="B311" s="31">
        <f>IFERROR(__xludf.DUMMYFUNCTION("GOOGLEFINANCE(A311,""price"")"),40.25)</f>
        <v>40.25</v>
      </c>
      <c r="C311" s="31">
        <f>IFERROR(__xludf.DUMMYFUNCTION("GOOGLEFINANCE(A311,""high"")"),40.52)</f>
        <v>40.52</v>
      </c>
      <c r="D311" s="31">
        <f>IFERROR(__xludf.DUMMYFUNCTION("GOOGLEFINANCE(A311,""low"")"),39.24)</f>
        <v>39.24</v>
      </c>
      <c r="E311" s="31">
        <f>IFERROR(__xludf.DUMMYFUNCTION("GOOGLEFINANCE(A311,""change"")"),1.02)</f>
        <v>1.02</v>
      </c>
      <c r="F311" s="32">
        <f>IFERROR(__xludf.DUMMYFUNCTION("GOOGLEFINANCE(A311,""changepct"")/100"),0.026000000000000002)</f>
        <v>0.026</v>
      </c>
      <c r="G311" s="33">
        <f>IFERROR(__xludf.DUMMYFUNCTION("GOOGLEFINANCE(A311,""priceopen"")"),39.49)</f>
        <v>39.49</v>
      </c>
      <c r="H311" s="34">
        <f>IFERROR(__xludf.DUMMYFUNCTION("GOOGLEFINANCE(A311,""closeyest"")"),39.23)</f>
        <v>39.23</v>
      </c>
      <c r="I311" s="34">
        <f>IFERROR(__xludf.DUMMYFUNCTION("GOOGLEFINANCE(A311,""low52"")"),26.35)</f>
        <v>26.35</v>
      </c>
      <c r="J311" s="34">
        <f>IFERROR(__xludf.DUMMYFUNCTION("GOOGLEFINANCE(A311,""high52"")"),40.52)</f>
        <v>40.52</v>
      </c>
    </row>
    <row r="312">
      <c r="A312" s="30" t="str">
        <f>'6image_RS_benchmark_performance'!A312</f>
        <v>IP</v>
      </c>
      <c r="B312" s="31">
        <f>IFERROR(__xludf.DUMMYFUNCTION("GOOGLEFINANCE(A312,""price"")"),58.25)</f>
        <v>58.25</v>
      </c>
      <c r="C312" s="31">
        <f>IFERROR(__xludf.DUMMYFUNCTION("GOOGLEFINANCE(A312,""high"")"),59.15)</f>
        <v>59.15</v>
      </c>
      <c r="D312" s="31">
        <f>IFERROR(__xludf.DUMMYFUNCTION("GOOGLEFINANCE(A312,""low"")"),57.77)</f>
        <v>57.77</v>
      </c>
      <c r="E312" s="31">
        <f>IFERROR(__xludf.DUMMYFUNCTION("GOOGLEFINANCE(A312,""change"")"),0.48)</f>
        <v>0.48</v>
      </c>
      <c r="F312" s="32">
        <f>IFERROR(__xludf.DUMMYFUNCTION("GOOGLEFINANCE(A312,""changepct"")/100"),0.0083)</f>
        <v>0.0083</v>
      </c>
      <c r="G312" s="33">
        <f>IFERROR(__xludf.DUMMYFUNCTION("GOOGLEFINANCE(A312,""priceopen"")"),57.9)</f>
        <v>57.9</v>
      </c>
      <c r="H312" s="34">
        <f>IFERROR(__xludf.DUMMYFUNCTION("GOOGLEFINANCE(A312,""closeyest"")"),57.77)</f>
        <v>57.77</v>
      </c>
      <c r="I312" s="34">
        <f>IFERROR(__xludf.DUMMYFUNCTION("GOOGLEFINANCE(A312,""low52"")"),33.92)</f>
        <v>33.92</v>
      </c>
      <c r="J312" s="34">
        <f>IFERROR(__xludf.DUMMYFUNCTION("GOOGLEFINANCE(A312,""high52"")"),65.27)</f>
        <v>65.27</v>
      </c>
    </row>
    <row r="313">
      <c r="A313" s="30" t="str">
        <f>'6image_RS_benchmark_performance'!A313</f>
        <v>IPG</v>
      </c>
      <c r="B313" s="31">
        <f>IFERROR(__xludf.DUMMYFUNCTION("GOOGLEFINANCE(A313,""price"")"),31.27)</f>
        <v>31.27</v>
      </c>
      <c r="C313" s="31">
        <f>IFERROR(__xludf.DUMMYFUNCTION("GOOGLEFINANCE(A313,""high"")"),31.51)</f>
        <v>31.51</v>
      </c>
      <c r="D313" s="31">
        <f>IFERROR(__xludf.DUMMYFUNCTION("GOOGLEFINANCE(A313,""low"")"),30.45)</f>
        <v>30.45</v>
      </c>
      <c r="E313" s="31">
        <f>IFERROR(__xludf.DUMMYFUNCTION("GOOGLEFINANCE(A313,""change"")"),0.37)</f>
        <v>0.37</v>
      </c>
      <c r="F313" s="32">
        <f>IFERROR(__xludf.DUMMYFUNCTION("GOOGLEFINANCE(A313,""changepct"")/100"),0.012)</f>
        <v>0.012</v>
      </c>
      <c r="G313" s="33">
        <f>IFERROR(__xludf.DUMMYFUNCTION("GOOGLEFINANCE(A313,""priceopen"")"),31.2)</f>
        <v>31.2</v>
      </c>
      <c r="H313" s="34">
        <f>IFERROR(__xludf.DUMMYFUNCTION("GOOGLEFINANCE(A313,""closeyest"")"),30.9)</f>
        <v>30.9</v>
      </c>
      <c r="I313" s="34">
        <f>IFERROR(__xludf.DUMMYFUNCTION("GOOGLEFINANCE(A313,""low52"")"),15.92)</f>
        <v>15.92</v>
      </c>
      <c r="J313" s="34">
        <f>IFERROR(__xludf.DUMMYFUNCTION("GOOGLEFINANCE(A313,""high52"")"),34.43)</f>
        <v>34.43</v>
      </c>
    </row>
    <row r="314">
      <c r="A314" s="30" t="str">
        <f>'6image_RS_benchmark_performance'!A314</f>
        <v>IPGP</v>
      </c>
      <c r="B314" s="31">
        <f>IFERROR(__xludf.DUMMYFUNCTION("GOOGLEFINANCE(A314,""price"")"),208.14)</f>
        <v>208.14</v>
      </c>
      <c r="C314" s="31">
        <f>IFERROR(__xludf.DUMMYFUNCTION("GOOGLEFINANCE(A314,""high"")"),209.38)</f>
        <v>209.38</v>
      </c>
      <c r="D314" s="31">
        <f>IFERROR(__xludf.DUMMYFUNCTION("GOOGLEFINANCE(A314,""low"")"),202.41)</f>
        <v>202.41</v>
      </c>
      <c r="E314" s="31">
        <f>IFERROR(__xludf.DUMMYFUNCTION("GOOGLEFINANCE(A314,""change"")"),6.28)</f>
        <v>6.28</v>
      </c>
      <c r="F314" s="32">
        <f>IFERROR(__xludf.DUMMYFUNCTION("GOOGLEFINANCE(A314,""changepct"")/100"),0.0311)</f>
        <v>0.0311</v>
      </c>
      <c r="G314" s="33">
        <f>IFERROR(__xludf.DUMMYFUNCTION("GOOGLEFINANCE(A314,""priceopen"")"),203.01)</f>
        <v>203.01</v>
      </c>
      <c r="H314" s="34">
        <f>IFERROR(__xludf.DUMMYFUNCTION("GOOGLEFINANCE(A314,""closeyest"")"),201.86)</f>
        <v>201.86</v>
      </c>
      <c r="I314" s="34">
        <f>IFERROR(__xludf.DUMMYFUNCTION("GOOGLEFINANCE(A314,""low52"")"),149.51)</f>
        <v>149.51</v>
      </c>
      <c r="J314" s="34">
        <f>IFERROR(__xludf.DUMMYFUNCTION("GOOGLEFINANCE(A314,""high52"")"),262.55)</f>
        <v>262.55</v>
      </c>
    </row>
    <row r="315">
      <c r="A315" s="30" t="str">
        <f>'6image_RS_benchmark_performance'!A315</f>
        <v>IQV</v>
      </c>
      <c r="B315" s="31">
        <f>IFERROR(__xludf.DUMMYFUNCTION("GOOGLEFINANCE(A315,""price"")"),247.07)</f>
        <v>247.07</v>
      </c>
      <c r="C315" s="31">
        <f>IFERROR(__xludf.DUMMYFUNCTION("GOOGLEFINANCE(A315,""high"")"),247.69)</f>
        <v>247.69</v>
      </c>
      <c r="D315" s="31">
        <f>IFERROR(__xludf.DUMMYFUNCTION("GOOGLEFINANCE(A315,""low"")"),241.48)</f>
        <v>241.48</v>
      </c>
      <c r="E315" s="31">
        <f>IFERROR(__xludf.DUMMYFUNCTION("GOOGLEFINANCE(A315,""change"")"),5.38)</f>
        <v>5.38</v>
      </c>
      <c r="F315" s="32">
        <f>IFERROR(__xludf.DUMMYFUNCTION("GOOGLEFINANCE(A315,""changepct"")/100"),0.0223)</f>
        <v>0.0223</v>
      </c>
      <c r="G315" s="33">
        <f>IFERROR(__xludf.DUMMYFUNCTION("GOOGLEFINANCE(A315,""priceopen"")"),242.92)</f>
        <v>242.92</v>
      </c>
      <c r="H315" s="34">
        <f>IFERROR(__xludf.DUMMYFUNCTION("GOOGLEFINANCE(A315,""closeyest"")"),241.69)</f>
        <v>241.69</v>
      </c>
      <c r="I315" s="34">
        <f>IFERROR(__xludf.DUMMYFUNCTION("GOOGLEFINANCE(A315,""low52"")"),146.0)</f>
        <v>146</v>
      </c>
      <c r="J315" s="34">
        <f>IFERROR(__xludf.DUMMYFUNCTION("GOOGLEFINANCE(A315,""high52"")"),254.05)</f>
        <v>254.05</v>
      </c>
    </row>
    <row r="316">
      <c r="A316" s="30" t="str">
        <f>'6image_RS_benchmark_performance'!A316</f>
        <v>IR</v>
      </c>
      <c r="B316" s="31">
        <f>IFERROR(__xludf.DUMMYFUNCTION("GOOGLEFINANCE(A316,""price"")"),48.15)</f>
        <v>48.15</v>
      </c>
      <c r="C316" s="31">
        <f>IFERROR(__xludf.DUMMYFUNCTION("GOOGLEFINANCE(A316,""high"")"),48.24)</f>
        <v>48.24</v>
      </c>
      <c r="D316" s="31">
        <f>IFERROR(__xludf.DUMMYFUNCTION("GOOGLEFINANCE(A316,""low"")"),46.33)</f>
        <v>46.33</v>
      </c>
      <c r="E316" s="31">
        <f>IFERROR(__xludf.DUMMYFUNCTION("GOOGLEFINANCE(A316,""change"")"),1.9)</f>
        <v>1.9</v>
      </c>
      <c r="F316" s="32">
        <f>IFERROR(__xludf.DUMMYFUNCTION("GOOGLEFINANCE(A316,""changepct"")/100"),0.041100000000000005)</f>
        <v>0.0411</v>
      </c>
      <c r="G316" s="33">
        <f>IFERROR(__xludf.DUMMYFUNCTION("GOOGLEFINANCE(A316,""priceopen"")"),46.5)</f>
        <v>46.5</v>
      </c>
      <c r="H316" s="34">
        <f>IFERROR(__xludf.DUMMYFUNCTION("GOOGLEFINANCE(A316,""closeyest"")"),46.25)</f>
        <v>46.25</v>
      </c>
      <c r="I316" s="34">
        <f>IFERROR(__xludf.DUMMYFUNCTION("GOOGLEFINANCE(A316,""low52"")"),30.41)</f>
        <v>30.41</v>
      </c>
      <c r="J316" s="34">
        <f>IFERROR(__xludf.DUMMYFUNCTION("GOOGLEFINANCE(A316,""high52"")"),52.12)</f>
        <v>52.12</v>
      </c>
    </row>
    <row r="317">
      <c r="A317" s="30" t="str">
        <f>'6image_RS_benchmark_performance'!A317</f>
        <v>IRM</v>
      </c>
      <c r="B317" s="31">
        <f>IFERROR(__xludf.DUMMYFUNCTION("GOOGLEFINANCE(A317,""price"")"),43.79)</f>
        <v>43.79</v>
      </c>
      <c r="C317" s="31">
        <f>IFERROR(__xludf.DUMMYFUNCTION("GOOGLEFINANCE(A317,""high"")"),44.04)</f>
        <v>44.04</v>
      </c>
      <c r="D317" s="31">
        <f>IFERROR(__xludf.DUMMYFUNCTION("GOOGLEFINANCE(A317,""low"")"),42.97)</f>
        <v>42.97</v>
      </c>
      <c r="E317" s="31">
        <f>IFERROR(__xludf.DUMMYFUNCTION("GOOGLEFINANCE(A317,""change"")"),1.05)</f>
        <v>1.05</v>
      </c>
      <c r="F317" s="32">
        <f>IFERROR(__xludf.DUMMYFUNCTION("GOOGLEFINANCE(A317,""changepct"")/100"),0.0246)</f>
        <v>0.0246</v>
      </c>
      <c r="G317" s="33">
        <f>IFERROR(__xludf.DUMMYFUNCTION("GOOGLEFINANCE(A317,""priceopen"")"),43.0)</f>
        <v>43</v>
      </c>
      <c r="H317" s="34">
        <f>IFERROR(__xludf.DUMMYFUNCTION("GOOGLEFINANCE(A317,""closeyest"")"),42.74)</f>
        <v>42.74</v>
      </c>
      <c r="I317" s="34">
        <f>IFERROR(__xludf.DUMMYFUNCTION("GOOGLEFINANCE(A317,""low52"")"),24.85)</f>
        <v>24.85</v>
      </c>
      <c r="J317" s="34">
        <f>IFERROR(__xludf.DUMMYFUNCTION("GOOGLEFINANCE(A317,""high52"")"),47.34)</f>
        <v>47.34</v>
      </c>
    </row>
    <row r="318">
      <c r="A318" s="30" t="str">
        <f>'6image_RS_benchmark_performance'!A318</f>
        <v>ISRG</v>
      </c>
      <c r="B318" s="31">
        <f>IFERROR(__xludf.DUMMYFUNCTION("GOOGLEFINANCE(A318,""price"")"),955.05)</f>
        <v>955.05</v>
      </c>
      <c r="C318" s="31">
        <f>IFERROR(__xludf.DUMMYFUNCTION("GOOGLEFINANCE(A318,""high"")"),965.98)</f>
        <v>965.98</v>
      </c>
      <c r="D318" s="31">
        <f>IFERROR(__xludf.DUMMYFUNCTION("GOOGLEFINANCE(A318,""low"")"),928.93)</f>
        <v>928.93</v>
      </c>
      <c r="E318" s="31">
        <f>IFERROR(__xludf.DUMMYFUNCTION("GOOGLEFINANCE(A318,""change"")"),22.86)</f>
        <v>22.86</v>
      </c>
      <c r="F318" s="32">
        <f>IFERROR(__xludf.DUMMYFUNCTION("GOOGLEFINANCE(A318,""changepct"")/100"),0.0245)</f>
        <v>0.0245</v>
      </c>
      <c r="G318" s="33">
        <f>IFERROR(__xludf.DUMMYFUNCTION("GOOGLEFINANCE(A318,""priceopen"")"),934.95)</f>
        <v>934.95</v>
      </c>
      <c r="H318" s="34">
        <f>IFERROR(__xludf.DUMMYFUNCTION("GOOGLEFINANCE(A318,""closeyest"")"),932.19)</f>
        <v>932.19</v>
      </c>
      <c r="I318" s="34">
        <f>IFERROR(__xludf.DUMMYFUNCTION("GOOGLEFINANCE(A318,""low52"")"),631.57)</f>
        <v>631.57</v>
      </c>
      <c r="J318" s="34">
        <f>IFERROR(__xludf.DUMMYFUNCTION("GOOGLEFINANCE(A318,""high52"")"),965.98)</f>
        <v>965.98</v>
      </c>
    </row>
    <row r="319">
      <c r="A319" s="30" t="str">
        <f>'6image_RS_benchmark_performance'!A319</f>
        <v>IT</v>
      </c>
      <c r="B319" s="31">
        <f>IFERROR(__xludf.DUMMYFUNCTION("GOOGLEFINANCE(A319,""price"")"),255.68)</f>
        <v>255.68</v>
      </c>
      <c r="C319" s="31">
        <f>IFERROR(__xludf.DUMMYFUNCTION("GOOGLEFINANCE(A319,""high"")"),256.45)</f>
        <v>256.45</v>
      </c>
      <c r="D319" s="31">
        <f>IFERROR(__xludf.DUMMYFUNCTION("GOOGLEFINANCE(A319,""low"")"),253.55)</f>
        <v>253.55</v>
      </c>
      <c r="E319" s="31">
        <f>IFERROR(__xludf.DUMMYFUNCTION("GOOGLEFINANCE(A319,""change"")"),1.81)</f>
        <v>1.81</v>
      </c>
      <c r="F319" s="32">
        <f>IFERROR(__xludf.DUMMYFUNCTION("GOOGLEFINANCE(A319,""changepct"")/100"),0.0070999999999999995)</f>
        <v>0.0071</v>
      </c>
      <c r="G319" s="33">
        <f>IFERROR(__xludf.DUMMYFUNCTION("GOOGLEFINANCE(A319,""priceopen"")"),254.77)</f>
        <v>254.77</v>
      </c>
      <c r="H319" s="34">
        <f>IFERROR(__xludf.DUMMYFUNCTION("GOOGLEFINANCE(A319,""closeyest"")"),253.87)</f>
        <v>253.87</v>
      </c>
      <c r="I319" s="34">
        <f>IFERROR(__xludf.DUMMYFUNCTION("GOOGLEFINANCE(A319,""low52"")"),115.86)</f>
        <v>115.86</v>
      </c>
      <c r="J319" s="34">
        <f>IFERROR(__xludf.DUMMYFUNCTION("GOOGLEFINANCE(A319,""high52"")"),258.31)</f>
        <v>258.31</v>
      </c>
    </row>
    <row r="320">
      <c r="A320" s="30" t="str">
        <f>'6image_RS_benchmark_performance'!A320</f>
        <v>ITW</v>
      </c>
      <c r="B320" s="31">
        <f>IFERROR(__xludf.DUMMYFUNCTION("GOOGLEFINANCE(A320,""price"")"),229.09)</f>
        <v>229.09</v>
      </c>
      <c r="C320" s="31">
        <f>IFERROR(__xludf.DUMMYFUNCTION("GOOGLEFINANCE(A320,""high"")"),229.81)</f>
        <v>229.81</v>
      </c>
      <c r="D320" s="31">
        <f>IFERROR(__xludf.DUMMYFUNCTION("GOOGLEFINANCE(A320,""low"")"),224.56)</f>
        <v>224.56</v>
      </c>
      <c r="E320" s="31">
        <f>IFERROR(__xludf.DUMMYFUNCTION("GOOGLEFINANCE(A320,""change"")"),4.07)</f>
        <v>4.07</v>
      </c>
      <c r="F320" s="32">
        <f>IFERROR(__xludf.DUMMYFUNCTION("GOOGLEFINANCE(A320,""changepct"")/100"),0.0181)</f>
        <v>0.0181</v>
      </c>
      <c r="G320" s="33">
        <f>IFERROR(__xludf.DUMMYFUNCTION("GOOGLEFINANCE(A320,""priceopen"")"),225.1)</f>
        <v>225.1</v>
      </c>
      <c r="H320" s="34">
        <f>IFERROR(__xludf.DUMMYFUNCTION("GOOGLEFINANCE(A320,""closeyest"")"),225.02)</f>
        <v>225.02</v>
      </c>
      <c r="I320" s="34">
        <f>IFERROR(__xludf.DUMMYFUNCTION("GOOGLEFINANCE(A320,""low52"")"),177.62)</f>
        <v>177.62</v>
      </c>
      <c r="J320" s="34">
        <f>IFERROR(__xludf.DUMMYFUNCTION("GOOGLEFINANCE(A320,""high52"")"),242.07)</f>
        <v>242.07</v>
      </c>
    </row>
    <row r="321">
      <c r="A321" s="30" t="str">
        <f>'6image_RS_benchmark_performance'!A321</f>
        <v>IVV</v>
      </c>
      <c r="B321" s="31">
        <f>IFERROR(__xludf.DUMMYFUNCTION("GOOGLEFINANCE(A321,""price"")"),432.99)</f>
        <v>432.99</v>
      </c>
      <c r="C321" s="31">
        <f>IFERROR(__xludf.DUMMYFUNCTION("GOOGLEFINANCE(A321,""high"")"),434.28)</f>
        <v>434.28</v>
      </c>
      <c r="D321" s="31">
        <f>IFERROR(__xludf.DUMMYFUNCTION("GOOGLEFINANCE(A321,""low"")"),426.71)</f>
        <v>426.71</v>
      </c>
      <c r="E321" s="31">
        <f>IFERROR(__xludf.DUMMYFUNCTION("GOOGLEFINANCE(A321,""change"")"),6.19)</f>
        <v>6.19</v>
      </c>
      <c r="F321" s="32">
        <f>IFERROR(__xludf.DUMMYFUNCTION("GOOGLEFINANCE(A321,""changepct"")/100"),0.014499999999999999)</f>
        <v>0.0145</v>
      </c>
      <c r="G321" s="33">
        <f>IFERROR(__xludf.DUMMYFUNCTION("GOOGLEFINANCE(A321,""priceopen"")"),427.57)</f>
        <v>427.57</v>
      </c>
      <c r="H321" s="34">
        <f>IFERROR(__xludf.DUMMYFUNCTION("GOOGLEFINANCE(A321,""closeyest"")"),426.8)</f>
        <v>426.8</v>
      </c>
      <c r="I321" s="34">
        <f>IFERROR(__xludf.DUMMYFUNCTION("GOOGLEFINANCE(A321,""low52"")"),320.55)</f>
        <v>320.55</v>
      </c>
      <c r="J321" s="34">
        <f>IFERROR(__xludf.DUMMYFUNCTION("GOOGLEFINANCE(A321,""high52"")"),439.81)</f>
        <v>439.81</v>
      </c>
    </row>
    <row r="322">
      <c r="A322" s="30" t="str">
        <f>'6image_RS_benchmark_performance'!A322</f>
        <v>IVZ</v>
      </c>
      <c r="B322" s="31">
        <f>IFERROR(__xludf.DUMMYFUNCTION("GOOGLEFINANCE(A322,""price"")"),25.13)</f>
        <v>25.13</v>
      </c>
      <c r="C322" s="31">
        <f>IFERROR(__xludf.DUMMYFUNCTION("GOOGLEFINANCE(A322,""high"")"),25.26)</f>
        <v>25.26</v>
      </c>
      <c r="D322" s="31">
        <f>IFERROR(__xludf.DUMMYFUNCTION("GOOGLEFINANCE(A322,""low"")"),24.06)</f>
        <v>24.06</v>
      </c>
      <c r="E322" s="31">
        <f>IFERROR(__xludf.DUMMYFUNCTION("GOOGLEFINANCE(A322,""change"")"),0.85)</f>
        <v>0.85</v>
      </c>
      <c r="F322" s="32">
        <f>IFERROR(__xludf.DUMMYFUNCTION("GOOGLEFINANCE(A322,""changepct"")/100"),0.035)</f>
        <v>0.035</v>
      </c>
      <c r="G322" s="33">
        <f>IFERROR(__xludf.DUMMYFUNCTION("GOOGLEFINANCE(A322,""priceopen"")"),24.29)</f>
        <v>24.29</v>
      </c>
      <c r="H322" s="34">
        <f>IFERROR(__xludf.DUMMYFUNCTION("GOOGLEFINANCE(A322,""closeyest"")"),24.28)</f>
        <v>24.28</v>
      </c>
      <c r="I322" s="34">
        <f>IFERROR(__xludf.DUMMYFUNCTION("GOOGLEFINANCE(A322,""low52"")"),9.72)</f>
        <v>9.72</v>
      </c>
      <c r="J322" s="34">
        <f>IFERROR(__xludf.DUMMYFUNCTION("GOOGLEFINANCE(A322,""high52"")"),29.71)</f>
        <v>29.71</v>
      </c>
    </row>
    <row r="323">
      <c r="A323" s="30" t="str">
        <f>'6image_RS_benchmark_performance'!A323</f>
        <v>IWD</v>
      </c>
      <c r="B323" s="31">
        <f>IFERROR(__xludf.DUMMYFUNCTION("GOOGLEFINANCE(A323,""price"")"),157.13)</f>
        <v>157.13</v>
      </c>
      <c r="C323" s="31">
        <f>IFERROR(__xludf.DUMMYFUNCTION("GOOGLEFINANCE(A323,""high"")"),157.7)</f>
        <v>157.7</v>
      </c>
      <c r="D323" s="31">
        <f>IFERROR(__xludf.DUMMYFUNCTION("GOOGLEFINANCE(A323,""low"")"),154.57)</f>
        <v>154.57</v>
      </c>
      <c r="E323" s="31">
        <f>IFERROR(__xludf.DUMMYFUNCTION("GOOGLEFINANCE(A323,""change"")"),2.51)</f>
        <v>2.51</v>
      </c>
      <c r="F323" s="32">
        <f>IFERROR(__xludf.DUMMYFUNCTION("GOOGLEFINANCE(A323,""changepct"")/100"),0.016200000000000003)</f>
        <v>0.0162</v>
      </c>
      <c r="G323" s="33">
        <f>IFERROR(__xludf.DUMMYFUNCTION("GOOGLEFINANCE(A323,""priceopen"")"),154.8)</f>
        <v>154.8</v>
      </c>
      <c r="H323" s="34">
        <f>IFERROR(__xludf.DUMMYFUNCTION("GOOGLEFINANCE(A323,""closeyest"")"),154.62)</f>
        <v>154.62</v>
      </c>
      <c r="I323" s="34">
        <f>IFERROR(__xludf.DUMMYFUNCTION("GOOGLEFINANCE(A323,""low52"")"),113.57)</f>
        <v>113.57</v>
      </c>
      <c r="J323" s="34">
        <f>IFERROR(__xludf.DUMMYFUNCTION("GOOGLEFINANCE(A323,""high52"")"),163.39)</f>
        <v>163.39</v>
      </c>
    </row>
    <row r="324">
      <c r="A324" s="30" t="str">
        <f>'6image_RS_benchmark_performance'!A324</f>
        <v>IWM</v>
      </c>
      <c r="B324" s="31">
        <f>IFERROR(__xludf.DUMMYFUNCTION("GOOGLEFINANCE(A324,""price"")"),218.3)</f>
        <v>218.3</v>
      </c>
      <c r="C324" s="31">
        <f>IFERROR(__xludf.DUMMYFUNCTION("GOOGLEFINANCE(A324,""high"")"),219.22)</f>
        <v>219.22</v>
      </c>
      <c r="D324" s="31">
        <f>IFERROR(__xludf.DUMMYFUNCTION("GOOGLEFINANCE(A324,""low"")"),211.29)</f>
        <v>211.29</v>
      </c>
      <c r="E324" s="31">
        <f>IFERROR(__xludf.DUMMYFUNCTION("GOOGLEFINANCE(A324,""change"")"),6.57)</f>
        <v>6.57</v>
      </c>
      <c r="F324" s="32">
        <f>IFERROR(__xludf.DUMMYFUNCTION("GOOGLEFINANCE(A324,""changepct"")/100"),0.031)</f>
        <v>0.031</v>
      </c>
      <c r="G324" s="33">
        <f>IFERROR(__xludf.DUMMYFUNCTION("GOOGLEFINANCE(A324,""priceopen"")"),212.13)</f>
        <v>212.13</v>
      </c>
      <c r="H324" s="34">
        <f>IFERROR(__xludf.DUMMYFUNCTION("GOOGLEFINANCE(A324,""closeyest"")"),211.73)</f>
        <v>211.73</v>
      </c>
      <c r="I324" s="34">
        <f>IFERROR(__xludf.DUMMYFUNCTION("GOOGLEFINANCE(A324,""low52"")"),142.09)</f>
        <v>142.09</v>
      </c>
      <c r="J324" s="34">
        <f>IFERROR(__xludf.DUMMYFUNCTION("GOOGLEFINANCE(A324,""high52"")"),234.53)</f>
        <v>234.53</v>
      </c>
    </row>
    <row r="325">
      <c r="A325" s="30" t="str">
        <f>'6image_RS_benchmark_performance'!A325</f>
        <v>IYR</v>
      </c>
      <c r="B325" s="31">
        <f>IFERROR(__xludf.DUMMYFUNCTION("GOOGLEFINANCE(A325,""price"")"),106.27)</f>
        <v>106.27</v>
      </c>
      <c r="C325" s="31">
        <f>IFERROR(__xludf.DUMMYFUNCTION("GOOGLEFINANCE(A325,""high"")"),106.65)</f>
        <v>106.65</v>
      </c>
      <c r="D325" s="31">
        <f>IFERROR(__xludf.DUMMYFUNCTION("GOOGLEFINANCE(A325,""low"")"),104.38)</f>
        <v>104.38</v>
      </c>
      <c r="E325" s="31">
        <f>IFERROR(__xludf.DUMMYFUNCTION("GOOGLEFINANCE(A325,""change"")"),2.34)</f>
        <v>2.34</v>
      </c>
      <c r="F325" s="32">
        <f>IFERROR(__xludf.DUMMYFUNCTION("GOOGLEFINANCE(A325,""changepct"")/100"),0.0225)</f>
        <v>0.0225</v>
      </c>
      <c r="G325" s="33">
        <f>IFERROR(__xludf.DUMMYFUNCTION("GOOGLEFINANCE(A325,""priceopen"")"),104.52)</f>
        <v>104.52</v>
      </c>
      <c r="H325" s="34">
        <f>IFERROR(__xludf.DUMMYFUNCTION("GOOGLEFINANCE(A325,""closeyest"")"),103.93)</f>
        <v>103.93</v>
      </c>
      <c r="I325" s="34">
        <f>IFERROR(__xludf.DUMMYFUNCTION("GOOGLEFINANCE(A325,""low52"")"),76.33)</f>
        <v>76.33</v>
      </c>
      <c r="J325" s="34">
        <f>IFERROR(__xludf.DUMMYFUNCTION("GOOGLEFINANCE(A325,""high52"")"),106.65)</f>
        <v>106.65</v>
      </c>
    </row>
    <row r="326">
      <c r="A326" s="30" t="str">
        <f>'6image_RS_benchmark_performance'!A326</f>
        <v>J</v>
      </c>
      <c r="B326" s="31">
        <f>IFERROR(__xludf.DUMMYFUNCTION("GOOGLEFINANCE(A326,""price"")"),132.23)</f>
        <v>132.23</v>
      </c>
      <c r="C326" s="31">
        <f>IFERROR(__xludf.DUMMYFUNCTION("GOOGLEFINANCE(A326,""high"")"),133.26)</f>
        <v>133.26</v>
      </c>
      <c r="D326" s="31">
        <f>IFERROR(__xludf.DUMMYFUNCTION("GOOGLEFINANCE(A326,""low"")"),128.61)</f>
        <v>128.61</v>
      </c>
      <c r="E326" s="31">
        <f>IFERROR(__xludf.DUMMYFUNCTION("GOOGLEFINANCE(A326,""change"")"),3.66)</f>
        <v>3.66</v>
      </c>
      <c r="F326" s="32">
        <f>IFERROR(__xludf.DUMMYFUNCTION("GOOGLEFINANCE(A326,""changepct"")/100"),0.0285)</f>
        <v>0.0285</v>
      </c>
      <c r="G326" s="33">
        <f>IFERROR(__xludf.DUMMYFUNCTION("GOOGLEFINANCE(A326,""priceopen"")"),128.8)</f>
        <v>128.8</v>
      </c>
      <c r="H326" s="34">
        <f>IFERROR(__xludf.DUMMYFUNCTION("GOOGLEFINANCE(A326,""closeyest"")"),128.57)</f>
        <v>128.57</v>
      </c>
      <c r="I326" s="34">
        <f>IFERROR(__xludf.DUMMYFUNCTION("GOOGLEFINANCE(A326,""low52"")"),82.42)</f>
        <v>82.42</v>
      </c>
      <c r="J326" s="34">
        <f>IFERROR(__xludf.DUMMYFUNCTION("GOOGLEFINANCE(A326,""high52"")"),145.97)</f>
        <v>145.97</v>
      </c>
    </row>
    <row r="327">
      <c r="A327" s="30" t="str">
        <f>'6image_RS_benchmark_performance'!A327</f>
        <v>JBHT</v>
      </c>
      <c r="B327" s="31">
        <f>IFERROR(__xludf.DUMMYFUNCTION("GOOGLEFINANCE(A327,""price"")"),164.34)</f>
        <v>164.34</v>
      </c>
      <c r="C327" s="31">
        <f>IFERROR(__xludf.DUMMYFUNCTION("GOOGLEFINANCE(A327,""high"")"),165.47)</f>
        <v>165.47</v>
      </c>
      <c r="D327" s="31">
        <f>IFERROR(__xludf.DUMMYFUNCTION("GOOGLEFINANCE(A327,""low"")"),159.12)</f>
        <v>159.12</v>
      </c>
      <c r="E327" s="31">
        <f>IFERROR(__xludf.DUMMYFUNCTION("GOOGLEFINANCE(A327,""change"")"),4.66)</f>
        <v>4.66</v>
      </c>
      <c r="F327" s="32">
        <f>IFERROR(__xludf.DUMMYFUNCTION("GOOGLEFINANCE(A327,""changepct"")/100"),0.0292)</f>
        <v>0.0292</v>
      </c>
      <c r="G327" s="33">
        <f>IFERROR(__xludf.DUMMYFUNCTION("GOOGLEFINANCE(A327,""priceopen"")"),160.15)</f>
        <v>160.15</v>
      </c>
      <c r="H327" s="34">
        <f>IFERROR(__xludf.DUMMYFUNCTION("GOOGLEFINANCE(A327,""closeyest"")"),159.68)</f>
        <v>159.68</v>
      </c>
      <c r="I327" s="34">
        <f>IFERROR(__xludf.DUMMYFUNCTION("GOOGLEFINANCE(A327,""low52"")"),119.22)</f>
        <v>119.22</v>
      </c>
      <c r="J327" s="34">
        <f>IFERROR(__xludf.DUMMYFUNCTION("GOOGLEFINANCE(A327,""high52"")"),183.8)</f>
        <v>183.8</v>
      </c>
    </row>
    <row r="328">
      <c r="A328" s="30" t="str">
        <f>'6image_RS_benchmark_performance'!A328</f>
        <v>JCI</v>
      </c>
      <c r="B328" s="31">
        <f>IFERROR(__xludf.DUMMYFUNCTION("GOOGLEFINANCE(A328,""price"")"),69.74)</f>
        <v>69.74</v>
      </c>
      <c r="C328" s="31">
        <f>IFERROR(__xludf.DUMMYFUNCTION("GOOGLEFINANCE(A328,""high"")"),69.95)</f>
        <v>69.95</v>
      </c>
      <c r="D328" s="31">
        <f>IFERROR(__xludf.DUMMYFUNCTION("GOOGLEFINANCE(A328,""low"")"),67.99)</f>
        <v>67.99</v>
      </c>
      <c r="E328" s="31">
        <f>IFERROR(__xludf.DUMMYFUNCTION("GOOGLEFINANCE(A328,""change"")"),1.71)</f>
        <v>1.71</v>
      </c>
      <c r="F328" s="32">
        <f>IFERROR(__xludf.DUMMYFUNCTION("GOOGLEFINANCE(A328,""changepct"")/100"),0.025099999999999997)</f>
        <v>0.0251</v>
      </c>
      <c r="G328" s="33">
        <f>IFERROR(__xludf.DUMMYFUNCTION("GOOGLEFINANCE(A328,""priceopen"")"),67.99)</f>
        <v>67.99</v>
      </c>
      <c r="H328" s="34">
        <f>IFERROR(__xludf.DUMMYFUNCTION("GOOGLEFINANCE(A328,""closeyest"")"),68.03)</f>
        <v>68.03</v>
      </c>
      <c r="I328" s="34">
        <f>IFERROR(__xludf.DUMMYFUNCTION("GOOGLEFINANCE(A328,""low52"")"),36.41)</f>
        <v>36.41</v>
      </c>
      <c r="J328" s="34">
        <f>IFERROR(__xludf.DUMMYFUNCTION("GOOGLEFINANCE(A328,""high52"")"),70.81)</f>
        <v>70.81</v>
      </c>
    </row>
    <row r="329">
      <c r="A329" s="30" t="str">
        <f>'6image_RS_benchmark_performance'!A329</f>
        <v>JD</v>
      </c>
      <c r="B329" s="31">
        <f>IFERROR(__xludf.DUMMYFUNCTION("GOOGLEFINANCE(A329,""price"")"),73.87)</f>
        <v>73.87</v>
      </c>
      <c r="C329" s="31">
        <f>IFERROR(__xludf.DUMMYFUNCTION("GOOGLEFINANCE(A329,""high"")"),74.25)</f>
        <v>74.25</v>
      </c>
      <c r="D329" s="31">
        <f>IFERROR(__xludf.DUMMYFUNCTION("GOOGLEFINANCE(A329,""low"")"),72.8)</f>
        <v>72.8</v>
      </c>
      <c r="E329" s="31">
        <f>IFERROR(__xludf.DUMMYFUNCTION("GOOGLEFINANCE(A329,""change"")"),-0.35)</f>
        <v>-0.35</v>
      </c>
      <c r="F329" s="32">
        <f>IFERROR(__xludf.DUMMYFUNCTION("GOOGLEFINANCE(A329,""changepct"")/100"),-0.004699999999999999)</f>
        <v>-0.0047</v>
      </c>
      <c r="G329" s="33">
        <f>IFERROR(__xludf.DUMMYFUNCTION("GOOGLEFINANCE(A329,""priceopen"")"),74.16)</f>
        <v>74.16</v>
      </c>
      <c r="H329" s="34">
        <f>IFERROR(__xludf.DUMMYFUNCTION("GOOGLEFINANCE(A329,""closeyest"")"),74.22)</f>
        <v>74.22</v>
      </c>
      <c r="I329" s="34">
        <f>IFERROR(__xludf.DUMMYFUNCTION("GOOGLEFINANCE(A329,""low52"")"),58.76)</f>
        <v>58.76</v>
      </c>
      <c r="J329" s="34">
        <f>IFERROR(__xludf.DUMMYFUNCTION("GOOGLEFINANCE(A329,""high52"")"),108.29)</f>
        <v>108.29</v>
      </c>
    </row>
    <row r="330">
      <c r="A330" s="30" t="str">
        <f>'6image_RS_benchmark_performance'!A330</f>
        <v>JEF</v>
      </c>
      <c r="B330" s="31">
        <f>IFERROR(__xludf.DUMMYFUNCTION("GOOGLEFINANCE(A330,""price"")"),32.97)</f>
        <v>32.97</v>
      </c>
      <c r="C330" s="31">
        <f>IFERROR(__xludf.DUMMYFUNCTION("GOOGLEFINANCE(A330,""high"")"),33.45)</f>
        <v>33.45</v>
      </c>
      <c r="D330" s="31">
        <f>IFERROR(__xludf.DUMMYFUNCTION("GOOGLEFINANCE(A330,""low"")"),32.44)</f>
        <v>32.44</v>
      </c>
      <c r="E330" s="31">
        <f>IFERROR(__xludf.DUMMYFUNCTION("GOOGLEFINANCE(A330,""change"")"),0.81)</f>
        <v>0.81</v>
      </c>
      <c r="F330" s="32">
        <f>IFERROR(__xludf.DUMMYFUNCTION("GOOGLEFINANCE(A330,""changepct"")/100"),0.0252)</f>
        <v>0.0252</v>
      </c>
      <c r="G330" s="33">
        <f>IFERROR(__xludf.DUMMYFUNCTION("GOOGLEFINANCE(A330,""priceopen"")"),32.82)</f>
        <v>32.82</v>
      </c>
      <c r="H330" s="34">
        <f>IFERROR(__xludf.DUMMYFUNCTION("GOOGLEFINANCE(A330,""closeyest"")"),32.16)</f>
        <v>32.16</v>
      </c>
      <c r="I330" s="34">
        <f>IFERROR(__xludf.DUMMYFUNCTION("GOOGLEFINANCE(A330,""low52"")"),16.0)</f>
        <v>16</v>
      </c>
      <c r="J330" s="34">
        <f>IFERROR(__xludf.DUMMYFUNCTION("GOOGLEFINANCE(A330,""high52"")"),35.69)</f>
        <v>35.69</v>
      </c>
    </row>
    <row r="331">
      <c r="A331" s="30" t="str">
        <f>'6image_RS_benchmark_performance'!A331</f>
        <v>JKHY</v>
      </c>
      <c r="B331" s="31">
        <f>IFERROR(__xludf.DUMMYFUNCTION("GOOGLEFINANCE(A331,""price"")"),173.63)</f>
        <v>173.63</v>
      </c>
      <c r="C331" s="31">
        <f>IFERROR(__xludf.DUMMYFUNCTION("GOOGLEFINANCE(A331,""high"")"),173.88)</f>
        <v>173.88</v>
      </c>
      <c r="D331" s="31">
        <f>IFERROR(__xludf.DUMMYFUNCTION("GOOGLEFINANCE(A331,""low"")"),171.04)</f>
        <v>171.04</v>
      </c>
      <c r="E331" s="31">
        <f>IFERROR(__xludf.DUMMYFUNCTION("GOOGLEFINANCE(A331,""change"")"),3.28)</f>
        <v>3.28</v>
      </c>
      <c r="F331" s="32">
        <f>IFERROR(__xludf.DUMMYFUNCTION("GOOGLEFINANCE(A331,""changepct"")/100"),0.019299999999999998)</f>
        <v>0.0193</v>
      </c>
      <c r="G331" s="33">
        <f>IFERROR(__xludf.DUMMYFUNCTION("GOOGLEFINANCE(A331,""priceopen"")"),171.1)</f>
        <v>171.1</v>
      </c>
      <c r="H331" s="34">
        <f>IFERROR(__xludf.DUMMYFUNCTION("GOOGLEFINANCE(A331,""closeyest"")"),170.35)</f>
        <v>170.35</v>
      </c>
      <c r="I331" s="34">
        <f>IFERROR(__xludf.DUMMYFUNCTION("GOOGLEFINANCE(A331,""low52"")"),141.65)</f>
        <v>141.65</v>
      </c>
      <c r="J331" s="34">
        <f>IFERROR(__xludf.DUMMYFUNCTION("GOOGLEFINANCE(A331,""high52"")"),200.98)</f>
        <v>200.98</v>
      </c>
    </row>
    <row r="332">
      <c r="A332" s="30" t="str">
        <f>'6image_RS_benchmark_performance'!A332</f>
        <v>JNJ</v>
      </c>
      <c r="B332" s="31">
        <f>IFERROR(__xludf.DUMMYFUNCTION("GOOGLEFINANCE(A332,""price"")"),168.45)</f>
        <v>168.45</v>
      </c>
      <c r="C332" s="31">
        <f>IFERROR(__xludf.DUMMYFUNCTION("GOOGLEFINANCE(A332,""high"")"),170.81)</f>
        <v>170.81</v>
      </c>
      <c r="D332" s="31">
        <f>IFERROR(__xludf.DUMMYFUNCTION("GOOGLEFINANCE(A332,""low"")"),166.84)</f>
        <v>166.84</v>
      </c>
      <c r="E332" s="31">
        <f>IFERROR(__xludf.DUMMYFUNCTION("GOOGLEFINANCE(A332,""change"")"),1.57)</f>
        <v>1.57</v>
      </c>
      <c r="F332" s="32">
        <f>IFERROR(__xludf.DUMMYFUNCTION("GOOGLEFINANCE(A332,""changepct"")/100"),0.009399999999999999)</f>
        <v>0.0094</v>
      </c>
      <c r="G332" s="33">
        <f>IFERROR(__xludf.DUMMYFUNCTION("GOOGLEFINANCE(A332,""priceopen"")"),166.9)</f>
        <v>166.9</v>
      </c>
      <c r="H332" s="34">
        <f>IFERROR(__xludf.DUMMYFUNCTION("GOOGLEFINANCE(A332,""closeyest"")"),166.88)</f>
        <v>166.88</v>
      </c>
      <c r="I332" s="34">
        <f>IFERROR(__xludf.DUMMYFUNCTION("GOOGLEFINANCE(A332,""low52"")"),133.65)</f>
        <v>133.65</v>
      </c>
      <c r="J332" s="34">
        <f>IFERROR(__xludf.DUMMYFUNCTION("GOOGLEFINANCE(A332,""high52"")"),173.65)</f>
        <v>173.65</v>
      </c>
    </row>
    <row r="333">
      <c r="A333" s="30" t="str">
        <f>'6image_RS_benchmark_performance'!A333</f>
        <v>JNK</v>
      </c>
      <c r="B333" s="31">
        <f>IFERROR(__xludf.DUMMYFUNCTION("GOOGLEFINANCE(A333,""price"")"),109.29)</f>
        <v>109.29</v>
      </c>
      <c r="C333" s="31">
        <f>IFERROR(__xludf.DUMMYFUNCTION("GOOGLEFINANCE(A333,""high"")"),109.34)</f>
        <v>109.34</v>
      </c>
      <c r="D333" s="31">
        <f>IFERROR(__xludf.DUMMYFUNCTION("GOOGLEFINANCE(A333,""low"")"),108.78)</f>
        <v>108.78</v>
      </c>
      <c r="E333" s="31">
        <f>IFERROR(__xludf.DUMMYFUNCTION("GOOGLEFINANCE(A333,""change"")"),0.47)</f>
        <v>0.47</v>
      </c>
      <c r="F333" s="32">
        <f>IFERROR(__xludf.DUMMYFUNCTION("GOOGLEFINANCE(A333,""changepct"")/100"),0.0043)</f>
        <v>0.0043</v>
      </c>
      <c r="G333" s="33">
        <f>IFERROR(__xludf.DUMMYFUNCTION("GOOGLEFINANCE(A333,""priceopen"")"),108.87)</f>
        <v>108.87</v>
      </c>
      <c r="H333" s="34">
        <f>IFERROR(__xludf.DUMMYFUNCTION("GOOGLEFINANCE(A333,""closeyest"")"),108.82)</f>
        <v>108.82</v>
      </c>
      <c r="I333" s="34">
        <f>IFERROR(__xludf.DUMMYFUNCTION("GOOGLEFINANCE(A333,""low52"")"),102.66)</f>
        <v>102.66</v>
      </c>
      <c r="J333" s="34">
        <f>IFERROR(__xludf.DUMMYFUNCTION("GOOGLEFINANCE(A333,""high52"")"),110.1)</f>
        <v>110.1</v>
      </c>
    </row>
    <row r="334">
      <c r="A334" s="30" t="str">
        <f>'6image_RS_benchmark_performance'!A334</f>
        <v>JNPR</v>
      </c>
      <c r="B334" s="31">
        <f>IFERROR(__xludf.DUMMYFUNCTION("GOOGLEFINANCE(A334,""price"")"),27.12)</f>
        <v>27.12</v>
      </c>
      <c r="C334" s="31">
        <f>IFERROR(__xludf.DUMMYFUNCTION("GOOGLEFINANCE(A334,""high"")"),27.34)</f>
        <v>27.34</v>
      </c>
      <c r="D334" s="31">
        <f>IFERROR(__xludf.DUMMYFUNCTION("GOOGLEFINANCE(A334,""low"")"),26.6)</f>
        <v>26.6</v>
      </c>
      <c r="E334" s="31">
        <f>IFERROR(__xludf.DUMMYFUNCTION("GOOGLEFINANCE(A334,""change"")"),0.51)</f>
        <v>0.51</v>
      </c>
      <c r="F334" s="32">
        <f>IFERROR(__xludf.DUMMYFUNCTION("GOOGLEFINANCE(A334,""changepct"")/100"),0.0192)</f>
        <v>0.0192</v>
      </c>
      <c r="G334" s="33">
        <f>IFERROR(__xludf.DUMMYFUNCTION("GOOGLEFINANCE(A334,""priceopen"")"),26.78)</f>
        <v>26.78</v>
      </c>
      <c r="H334" s="34">
        <f>IFERROR(__xludf.DUMMYFUNCTION("GOOGLEFINANCE(A334,""closeyest"")"),26.61)</f>
        <v>26.61</v>
      </c>
      <c r="I334" s="34">
        <f>IFERROR(__xludf.DUMMYFUNCTION("GOOGLEFINANCE(A334,""low52"")"),19.51)</f>
        <v>19.51</v>
      </c>
      <c r="J334" s="34">
        <f>IFERROR(__xludf.DUMMYFUNCTION("GOOGLEFINANCE(A334,""high52"")"),29.08)</f>
        <v>29.08</v>
      </c>
    </row>
    <row r="335">
      <c r="A335" s="30" t="str">
        <f>'6image_RS_benchmark_performance'!A335</f>
        <v>JPM</v>
      </c>
      <c r="B335" s="31">
        <f>IFERROR(__xludf.DUMMYFUNCTION("GOOGLEFINANCE(A335,""price"")"),149.71)</f>
        <v>149.71</v>
      </c>
      <c r="C335" s="31">
        <f>IFERROR(__xludf.DUMMYFUNCTION("GOOGLEFINANCE(A335,""high"")"),151.12)</f>
        <v>151.12</v>
      </c>
      <c r="D335" s="31">
        <f>IFERROR(__xludf.DUMMYFUNCTION("GOOGLEFINANCE(A335,""low"")"),146.33)</f>
        <v>146.33</v>
      </c>
      <c r="E335" s="31">
        <f>IFERROR(__xludf.DUMMYFUNCTION("GOOGLEFINANCE(A335,""change"")"),2.74)</f>
        <v>2.74</v>
      </c>
      <c r="F335" s="32">
        <f>IFERROR(__xludf.DUMMYFUNCTION("GOOGLEFINANCE(A335,""changepct"")/100"),0.018600000000000002)</f>
        <v>0.0186</v>
      </c>
      <c r="G335" s="33">
        <f>IFERROR(__xludf.DUMMYFUNCTION("GOOGLEFINANCE(A335,""priceopen"")"),146.52)</f>
        <v>146.52</v>
      </c>
      <c r="H335" s="34">
        <f>IFERROR(__xludf.DUMMYFUNCTION("GOOGLEFINANCE(A335,""closeyest"")"),146.97)</f>
        <v>146.97</v>
      </c>
      <c r="I335" s="34">
        <f>IFERROR(__xludf.DUMMYFUNCTION("GOOGLEFINANCE(A335,""low52"")"),91.38)</f>
        <v>91.38</v>
      </c>
      <c r="J335" s="34">
        <f>IFERROR(__xludf.DUMMYFUNCTION("GOOGLEFINANCE(A335,""high52"")"),167.44)</f>
        <v>167.44</v>
      </c>
    </row>
    <row r="336">
      <c r="A336" s="30" t="str">
        <f>'6image_RS_benchmark_performance'!A336</f>
        <v>JPST</v>
      </c>
      <c r="B336" s="31">
        <f>IFERROR(__xludf.DUMMYFUNCTION("GOOGLEFINANCE(A336,""price"")"),101.03)</f>
        <v>101.03</v>
      </c>
      <c r="C336" s="31">
        <f>IFERROR(__xludf.DUMMYFUNCTION("GOOGLEFINANCE(A336,""high"")"),101.07)</f>
        <v>101.07</v>
      </c>
      <c r="D336" s="31">
        <f>IFERROR(__xludf.DUMMYFUNCTION("GOOGLEFINANCE(A336,""low"")"),101.03)</f>
        <v>101.03</v>
      </c>
      <c r="E336" s="31">
        <f>IFERROR(__xludf.DUMMYFUNCTION("GOOGLEFINANCE(A336,""change"")"),0.03)</f>
        <v>0.03</v>
      </c>
      <c r="F336" s="32">
        <f>IFERROR(__xludf.DUMMYFUNCTION("GOOGLEFINANCE(A336,""changepct"")/100"),3.0E-4)</f>
        <v>0.0003</v>
      </c>
      <c r="G336" s="33">
        <f>IFERROR(__xludf.DUMMYFUNCTION("GOOGLEFINANCE(A336,""priceopen"")"),101.04)</f>
        <v>101.04</v>
      </c>
      <c r="H336" s="34">
        <f>IFERROR(__xludf.DUMMYFUNCTION("GOOGLEFINANCE(A336,""closeyest"")"),101.0)</f>
        <v>101</v>
      </c>
      <c r="I336" s="34">
        <f>IFERROR(__xludf.DUMMYFUNCTION("GOOGLEFINANCE(A336,""low52"")"),100.57)</f>
        <v>100.57</v>
      </c>
      <c r="J336" s="34">
        <f>IFERROR(__xludf.DUMMYFUNCTION("GOOGLEFINANCE(A336,""high52"")"),101.92)</f>
        <v>101.92</v>
      </c>
    </row>
    <row r="337">
      <c r="A337" s="30" t="str">
        <f>'6image_RS_benchmark_performance'!A337</f>
        <v>JWN</v>
      </c>
      <c r="B337" s="31">
        <f>IFERROR(__xludf.DUMMYFUNCTION("GOOGLEFINANCE(A337,""price"")"),33.07)</f>
        <v>33.07</v>
      </c>
      <c r="C337" s="31">
        <f>IFERROR(__xludf.DUMMYFUNCTION("GOOGLEFINANCE(A337,""high"")"),33.27)</f>
        <v>33.27</v>
      </c>
      <c r="D337" s="31">
        <f>IFERROR(__xludf.DUMMYFUNCTION("GOOGLEFINANCE(A337,""low"")"),31.42)</f>
        <v>31.42</v>
      </c>
      <c r="E337" s="31">
        <f>IFERROR(__xludf.DUMMYFUNCTION("GOOGLEFINANCE(A337,""change"")"),1.49)</f>
        <v>1.49</v>
      </c>
      <c r="F337" s="32">
        <f>IFERROR(__xludf.DUMMYFUNCTION("GOOGLEFINANCE(A337,""changepct"")/100"),0.0472)</f>
        <v>0.0472</v>
      </c>
      <c r="G337" s="33">
        <f>IFERROR(__xludf.DUMMYFUNCTION("GOOGLEFINANCE(A337,""priceopen"")"),31.77)</f>
        <v>31.77</v>
      </c>
      <c r="H337" s="34">
        <f>IFERROR(__xludf.DUMMYFUNCTION("GOOGLEFINANCE(A337,""closeyest"")"),31.58)</f>
        <v>31.58</v>
      </c>
      <c r="I337" s="34">
        <f>IFERROR(__xludf.DUMMYFUNCTION("GOOGLEFINANCE(A337,""low52"")"),11.72)</f>
        <v>11.72</v>
      </c>
      <c r="J337" s="34">
        <f>IFERROR(__xludf.DUMMYFUNCTION("GOOGLEFINANCE(A337,""high52"")"),46.45)</f>
        <v>46.45</v>
      </c>
    </row>
    <row r="338">
      <c r="A338" s="30" t="str">
        <f>'6image_RS_benchmark_performance'!A338</f>
        <v>K</v>
      </c>
      <c r="B338" s="31">
        <f>IFERROR(__xludf.DUMMYFUNCTION("GOOGLEFINANCE(A338,""price"")"),64.4)</f>
        <v>64.4</v>
      </c>
      <c r="C338" s="31">
        <f>IFERROR(__xludf.DUMMYFUNCTION("GOOGLEFINANCE(A338,""high"")"),65.6)</f>
        <v>65.6</v>
      </c>
      <c r="D338" s="31">
        <f>IFERROR(__xludf.DUMMYFUNCTION("GOOGLEFINANCE(A338,""low"")"),64.33)</f>
        <v>64.33</v>
      </c>
      <c r="E338" s="31">
        <f>IFERROR(__xludf.DUMMYFUNCTION("GOOGLEFINANCE(A338,""change"")"),-0.41)</f>
        <v>-0.41</v>
      </c>
      <c r="F338" s="32">
        <f>IFERROR(__xludf.DUMMYFUNCTION("GOOGLEFINANCE(A338,""changepct"")/100"),-0.0063)</f>
        <v>-0.0063</v>
      </c>
      <c r="G338" s="33">
        <f>IFERROR(__xludf.DUMMYFUNCTION("GOOGLEFINANCE(A338,""priceopen"")"),64.97)</f>
        <v>64.97</v>
      </c>
      <c r="H338" s="34">
        <f>IFERROR(__xludf.DUMMYFUNCTION("GOOGLEFINANCE(A338,""closeyest"")"),64.81)</f>
        <v>64.81</v>
      </c>
      <c r="I338" s="34">
        <f>IFERROR(__xludf.DUMMYFUNCTION("GOOGLEFINANCE(A338,""low52"")"),56.61)</f>
        <v>56.61</v>
      </c>
      <c r="J338" s="34">
        <f>IFERROR(__xludf.DUMMYFUNCTION("GOOGLEFINANCE(A338,""high52"")"),72.88)</f>
        <v>72.88</v>
      </c>
    </row>
    <row r="339">
      <c r="A339" s="30" t="str">
        <f>'6image_RS_benchmark_performance'!A339</f>
        <v>KBE</v>
      </c>
      <c r="B339" s="31">
        <f>IFERROR(__xludf.DUMMYFUNCTION("GOOGLEFINANCE(A339,""price"")"),48.53)</f>
        <v>48.53</v>
      </c>
      <c r="C339" s="31">
        <f>IFERROR(__xludf.DUMMYFUNCTION("GOOGLEFINANCE(A339,""high"")"),49.45)</f>
        <v>49.45</v>
      </c>
      <c r="D339" s="31">
        <f>IFERROR(__xludf.DUMMYFUNCTION("GOOGLEFINANCE(A339,""low"")"),47.05)</f>
        <v>47.05</v>
      </c>
      <c r="E339" s="31">
        <f>IFERROR(__xludf.DUMMYFUNCTION("GOOGLEFINANCE(A339,""change"")"),1.33)</f>
        <v>1.33</v>
      </c>
      <c r="F339" s="32">
        <f>IFERROR(__xludf.DUMMYFUNCTION("GOOGLEFINANCE(A339,""changepct"")/100"),0.0282)</f>
        <v>0.0282</v>
      </c>
      <c r="G339" s="33">
        <f>IFERROR(__xludf.DUMMYFUNCTION("GOOGLEFINANCE(A339,""priceopen"")"),47.18)</f>
        <v>47.18</v>
      </c>
      <c r="H339" s="34">
        <f>IFERROR(__xludf.DUMMYFUNCTION("GOOGLEFINANCE(A339,""closeyest"")"),47.2)</f>
        <v>47.2</v>
      </c>
      <c r="I339" s="34">
        <f>IFERROR(__xludf.DUMMYFUNCTION("GOOGLEFINANCE(A339,""low52"")"),27.79)</f>
        <v>27.79</v>
      </c>
      <c r="J339" s="34">
        <f>IFERROR(__xludf.DUMMYFUNCTION("GOOGLEFINANCE(A339,""high52"")"),56.5)</f>
        <v>56.5</v>
      </c>
    </row>
    <row r="340">
      <c r="A340" s="30" t="str">
        <f>'6image_RS_benchmark_performance'!A340</f>
        <v>KDP</v>
      </c>
      <c r="B340" s="31">
        <f>IFERROR(__xludf.DUMMYFUNCTION("GOOGLEFINANCE(A340,""price"")"),35.89)</f>
        <v>35.89</v>
      </c>
      <c r="C340" s="31">
        <f>IFERROR(__xludf.DUMMYFUNCTION("GOOGLEFINANCE(A340,""high"")"),36.16)</f>
        <v>36.16</v>
      </c>
      <c r="D340" s="31">
        <f>IFERROR(__xludf.DUMMYFUNCTION("GOOGLEFINANCE(A340,""low"")"),35.51)</f>
        <v>35.51</v>
      </c>
      <c r="E340" s="31">
        <f>IFERROR(__xludf.DUMMYFUNCTION("GOOGLEFINANCE(A340,""change"")"),0.31)</f>
        <v>0.31</v>
      </c>
      <c r="F340" s="32">
        <f>IFERROR(__xludf.DUMMYFUNCTION("GOOGLEFINANCE(A340,""changepct"")/100"),0.0087)</f>
        <v>0.0087</v>
      </c>
      <c r="G340" s="33">
        <f>IFERROR(__xludf.DUMMYFUNCTION("GOOGLEFINANCE(A340,""priceopen"")"),35.68)</f>
        <v>35.68</v>
      </c>
      <c r="H340" s="34">
        <f>IFERROR(__xludf.DUMMYFUNCTION("GOOGLEFINANCE(A340,""closeyest"")"),35.58)</f>
        <v>35.58</v>
      </c>
      <c r="I340" s="34">
        <f>IFERROR(__xludf.DUMMYFUNCTION("GOOGLEFINANCE(A340,""low52"")"),26.67)</f>
        <v>26.67</v>
      </c>
      <c r="J340" s="34">
        <f>IFERROR(__xludf.DUMMYFUNCTION("GOOGLEFINANCE(A340,""high52"")"),37.11)</f>
        <v>37.11</v>
      </c>
    </row>
    <row r="341">
      <c r="A341" s="30" t="str">
        <f>'6image_RS_benchmark_performance'!A341</f>
        <v>KEY</v>
      </c>
      <c r="B341" s="31">
        <f>IFERROR(__xludf.DUMMYFUNCTION("GOOGLEFINANCE(A341,""price"")"),19.1)</f>
        <v>19.1</v>
      </c>
      <c r="C341" s="31">
        <f>IFERROR(__xludf.DUMMYFUNCTION("GOOGLEFINANCE(A341,""high"")"),19.4)</f>
        <v>19.4</v>
      </c>
      <c r="D341" s="31">
        <f>IFERROR(__xludf.DUMMYFUNCTION("GOOGLEFINANCE(A341,""low"")"),17.9)</f>
        <v>17.9</v>
      </c>
      <c r="E341" s="31">
        <f>IFERROR(__xludf.DUMMYFUNCTION("GOOGLEFINANCE(A341,""change"")"),0.61)</f>
        <v>0.61</v>
      </c>
      <c r="F341" s="32">
        <f>IFERROR(__xludf.DUMMYFUNCTION("GOOGLEFINANCE(A341,""changepct"")/100"),0.033)</f>
        <v>0.033</v>
      </c>
      <c r="G341" s="33">
        <f>IFERROR(__xludf.DUMMYFUNCTION("GOOGLEFINANCE(A341,""priceopen"")"),17.96)</f>
        <v>17.96</v>
      </c>
      <c r="H341" s="34">
        <f>IFERROR(__xludf.DUMMYFUNCTION("GOOGLEFINANCE(A341,""closeyest"")"),18.49)</f>
        <v>18.49</v>
      </c>
      <c r="I341" s="34">
        <f>IFERROR(__xludf.DUMMYFUNCTION("GOOGLEFINANCE(A341,""low52"")"),11.33)</f>
        <v>11.33</v>
      </c>
      <c r="J341" s="34">
        <f>IFERROR(__xludf.DUMMYFUNCTION("GOOGLEFINANCE(A341,""high52"")"),23.65)</f>
        <v>23.65</v>
      </c>
    </row>
    <row r="342">
      <c r="A342" s="30" t="str">
        <f>'6image_RS_benchmark_performance'!A342</f>
        <v>KEYS</v>
      </c>
      <c r="B342" s="31">
        <f>IFERROR(__xludf.DUMMYFUNCTION("GOOGLEFINANCE(A342,""price"")"),156.59)</f>
        <v>156.59</v>
      </c>
      <c r="C342" s="31">
        <f>IFERROR(__xludf.DUMMYFUNCTION("GOOGLEFINANCE(A342,""high"")"),157.44)</f>
        <v>157.44</v>
      </c>
      <c r="D342" s="31">
        <f>IFERROR(__xludf.DUMMYFUNCTION("GOOGLEFINANCE(A342,""low"")"),155.02)</f>
        <v>155.02</v>
      </c>
      <c r="E342" s="31">
        <f>IFERROR(__xludf.DUMMYFUNCTION("GOOGLEFINANCE(A342,""change"")"),1.81)</f>
        <v>1.81</v>
      </c>
      <c r="F342" s="32">
        <f>IFERROR(__xludf.DUMMYFUNCTION("GOOGLEFINANCE(A342,""changepct"")/100"),0.011699999999999999)</f>
        <v>0.0117</v>
      </c>
      <c r="G342" s="33">
        <f>IFERROR(__xludf.DUMMYFUNCTION("GOOGLEFINANCE(A342,""priceopen"")"),155.6)</f>
        <v>155.6</v>
      </c>
      <c r="H342" s="34">
        <f>IFERROR(__xludf.DUMMYFUNCTION("GOOGLEFINANCE(A342,""closeyest"")"),154.78)</f>
        <v>154.78</v>
      </c>
      <c r="I342" s="34">
        <f>IFERROR(__xludf.DUMMYFUNCTION("GOOGLEFINANCE(A342,""low52"")"),90.62)</f>
        <v>90.62</v>
      </c>
      <c r="J342" s="34">
        <f>IFERROR(__xludf.DUMMYFUNCTION("GOOGLEFINANCE(A342,""high52"")"),158.82)</f>
        <v>158.82</v>
      </c>
    </row>
    <row r="343">
      <c r="A343" s="30" t="str">
        <f>'6image_RS_benchmark_performance'!A343</f>
        <v>KHC</v>
      </c>
      <c r="B343" s="31">
        <f>IFERROR(__xludf.DUMMYFUNCTION("GOOGLEFINANCE(A343,""price"")"),39.4)</f>
        <v>39.4</v>
      </c>
      <c r="C343" s="31">
        <f>IFERROR(__xludf.DUMMYFUNCTION("GOOGLEFINANCE(A343,""high"")"),39.91)</f>
        <v>39.91</v>
      </c>
      <c r="D343" s="31">
        <f>IFERROR(__xludf.DUMMYFUNCTION("GOOGLEFINANCE(A343,""low"")"),39.28)</f>
        <v>39.28</v>
      </c>
      <c r="E343" s="31">
        <f>IFERROR(__xludf.DUMMYFUNCTION("GOOGLEFINANCE(A343,""change"")"),0.06)</f>
        <v>0.06</v>
      </c>
      <c r="F343" s="32">
        <f>IFERROR(__xludf.DUMMYFUNCTION("GOOGLEFINANCE(A343,""changepct"")/100"),0.0015)</f>
        <v>0.0015</v>
      </c>
      <c r="G343" s="33">
        <f>IFERROR(__xludf.DUMMYFUNCTION("GOOGLEFINANCE(A343,""priceopen"")"),39.48)</f>
        <v>39.48</v>
      </c>
      <c r="H343" s="34">
        <f>IFERROR(__xludf.DUMMYFUNCTION("GOOGLEFINANCE(A343,""closeyest"")"),39.34)</f>
        <v>39.34</v>
      </c>
      <c r="I343" s="34">
        <f>IFERROR(__xludf.DUMMYFUNCTION("GOOGLEFINANCE(A343,""low52"")"),28.56)</f>
        <v>28.56</v>
      </c>
      <c r="J343" s="34">
        <f>IFERROR(__xludf.DUMMYFUNCTION("GOOGLEFINANCE(A343,""high52"")"),44.95)</f>
        <v>44.95</v>
      </c>
    </row>
    <row r="344">
      <c r="A344" s="30" t="str">
        <f>'6image_RS_benchmark_performance'!A344</f>
        <v>KIM</v>
      </c>
      <c r="B344" s="31">
        <f>IFERROR(__xludf.DUMMYFUNCTION("GOOGLEFINANCE(A344,""price"")"),20.84)</f>
        <v>20.84</v>
      </c>
      <c r="C344" s="31">
        <f>IFERROR(__xludf.DUMMYFUNCTION("GOOGLEFINANCE(A344,""high"")"),21.01)</f>
        <v>21.01</v>
      </c>
      <c r="D344" s="31">
        <f>IFERROR(__xludf.DUMMYFUNCTION("GOOGLEFINANCE(A344,""low"")"),19.61)</f>
        <v>19.61</v>
      </c>
      <c r="E344" s="31">
        <f>IFERROR(__xludf.DUMMYFUNCTION("GOOGLEFINANCE(A344,""change"")"),1.27)</f>
        <v>1.27</v>
      </c>
      <c r="F344" s="32">
        <f>IFERROR(__xludf.DUMMYFUNCTION("GOOGLEFINANCE(A344,""changepct"")/100"),0.0649)</f>
        <v>0.0649</v>
      </c>
      <c r="G344" s="33">
        <f>IFERROR(__xludf.DUMMYFUNCTION("GOOGLEFINANCE(A344,""priceopen"")"),19.68)</f>
        <v>19.68</v>
      </c>
      <c r="H344" s="34">
        <f>IFERROR(__xludf.DUMMYFUNCTION("GOOGLEFINANCE(A344,""closeyest"")"),19.57)</f>
        <v>19.57</v>
      </c>
      <c r="I344" s="34">
        <f>IFERROR(__xludf.DUMMYFUNCTION("GOOGLEFINANCE(A344,""low52"")"),10.04)</f>
        <v>10.04</v>
      </c>
      <c r="J344" s="34">
        <f>IFERROR(__xludf.DUMMYFUNCTION("GOOGLEFINANCE(A344,""high52"")"),22.31)</f>
        <v>22.31</v>
      </c>
    </row>
    <row r="345">
      <c r="A345" s="30" t="str">
        <f>'6image_RS_benchmark_performance'!A345</f>
        <v>KKR</v>
      </c>
      <c r="B345" s="31">
        <f>IFERROR(__xludf.DUMMYFUNCTION("GOOGLEFINANCE(A345,""price"")"),58.56)</f>
        <v>58.56</v>
      </c>
      <c r="C345" s="31">
        <f>IFERROR(__xludf.DUMMYFUNCTION("GOOGLEFINANCE(A345,""high"")"),58.97)</f>
        <v>58.97</v>
      </c>
      <c r="D345" s="31">
        <f>IFERROR(__xludf.DUMMYFUNCTION("GOOGLEFINANCE(A345,""low"")"),57.44)</f>
        <v>57.44</v>
      </c>
      <c r="E345" s="31">
        <f>IFERROR(__xludf.DUMMYFUNCTION("GOOGLEFINANCE(A345,""change"")"),1.19)</f>
        <v>1.19</v>
      </c>
      <c r="F345" s="32">
        <f>IFERROR(__xludf.DUMMYFUNCTION("GOOGLEFINANCE(A345,""changepct"")/100"),0.0207)</f>
        <v>0.0207</v>
      </c>
      <c r="G345" s="33">
        <f>IFERROR(__xludf.DUMMYFUNCTION("GOOGLEFINANCE(A345,""priceopen"")"),57.74)</f>
        <v>57.74</v>
      </c>
      <c r="H345" s="34">
        <f>IFERROR(__xludf.DUMMYFUNCTION("GOOGLEFINANCE(A345,""closeyest"")"),57.37)</f>
        <v>57.37</v>
      </c>
      <c r="I345" s="34">
        <f>IFERROR(__xludf.DUMMYFUNCTION("GOOGLEFINANCE(A345,""low52"")"),32.73)</f>
        <v>32.73</v>
      </c>
      <c r="J345" s="34">
        <f>IFERROR(__xludf.DUMMYFUNCTION("GOOGLEFINANCE(A345,""high52"")"),61.47)</f>
        <v>61.47</v>
      </c>
    </row>
    <row r="346">
      <c r="A346" s="30" t="str">
        <f>'6image_RS_benchmark_performance'!A346</f>
        <v>KLAC</v>
      </c>
      <c r="B346" s="31">
        <f>IFERROR(__xludf.DUMMYFUNCTION("GOOGLEFINANCE(A346,""price"")"),302.77)</f>
        <v>302.77</v>
      </c>
      <c r="C346" s="31">
        <f>IFERROR(__xludf.DUMMYFUNCTION("GOOGLEFINANCE(A346,""high"")"),304.83)</f>
        <v>304.83</v>
      </c>
      <c r="D346" s="31">
        <f>IFERROR(__xludf.DUMMYFUNCTION("GOOGLEFINANCE(A346,""low"")"),292.68)</f>
        <v>292.68</v>
      </c>
      <c r="E346" s="31">
        <f>IFERROR(__xludf.DUMMYFUNCTION("GOOGLEFINANCE(A346,""change"")"),8.44)</f>
        <v>8.44</v>
      </c>
      <c r="F346" s="32">
        <f>IFERROR(__xludf.DUMMYFUNCTION("GOOGLEFINANCE(A346,""changepct"")/100"),0.0287)</f>
        <v>0.0287</v>
      </c>
      <c r="G346" s="33">
        <f>IFERROR(__xludf.DUMMYFUNCTION("GOOGLEFINANCE(A346,""priceopen"")"),295.3)</f>
        <v>295.3</v>
      </c>
      <c r="H346" s="34">
        <f>IFERROR(__xludf.DUMMYFUNCTION("GOOGLEFINANCE(A346,""closeyest"")"),294.33)</f>
        <v>294.33</v>
      </c>
      <c r="I346" s="34">
        <f>IFERROR(__xludf.DUMMYFUNCTION("GOOGLEFINANCE(A346,""low52"")"),171.31)</f>
        <v>171.31</v>
      </c>
      <c r="J346" s="34">
        <f>IFERROR(__xludf.DUMMYFUNCTION("GOOGLEFINANCE(A346,""high52"")"),359.69)</f>
        <v>359.69</v>
      </c>
    </row>
    <row r="347">
      <c r="A347" s="30" t="str">
        <f>'6image_RS_benchmark_performance'!A347</f>
        <v>KMB</v>
      </c>
      <c r="B347" s="31">
        <f>IFERROR(__xludf.DUMMYFUNCTION("GOOGLEFINANCE(A347,""price"")"),137.73)</f>
        <v>137.73</v>
      </c>
      <c r="C347" s="31">
        <f>IFERROR(__xludf.DUMMYFUNCTION("GOOGLEFINANCE(A347,""high"")"),140.8)</f>
        <v>140.8</v>
      </c>
      <c r="D347" s="31">
        <f>IFERROR(__xludf.DUMMYFUNCTION("GOOGLEFINANCE(A347,""low"")"),137.54)</f>
        <v>137.54</v>
      </c>
      <c r="E347" s="31">
        <f>IFERROR(__xludf.DUMMYFUNCTION("GOOGLEFINANCE(A347,""change"")"),-1.31)</f>
        <v>-1.31</v>
      </c>
      <c r="F347" s="32">
        <f>IFERROR(__xludf.DUMMYFUNCTION("GOOGLEFINANCE(A347,""changepct"")/100"),-0.009399999999999999)</f>
        <v>-0.0094</v>
      </c>
      <c r="G347" s="33">
        <f>IFERROR(__xludf.DUMMYFUNCTION("GOOGLEFINANCE(A347,""priceopen"")"),139.29)</f>
        <v>139.29</v>
      </c>
      <c r="H347" s="34">
        <f>IFERROR(__xludf.DUMMYFUNCTION("GOOGLEFINANCE(A347,""closeyest"")"),139.04)</f>
        <v>139.04</v>
      </c>
      <c r="I347" s="34">
        <f>IFERROR(__xludf.DUMMYFUNCTION("GOOGLEFINANCE(A347,""low52"")"),128.02)</f>
        <v>128.02</v>
      </c>
      <c r="J347" s="34">
        <f>IFERROR(__xludf.DUMMYFUNCTION("GOOGLEFINANCE(A347,""high52"")"),160.16)</f>
        <v>160.16</v>
      </c>
    </row>
    <row r="348">
      <c r="A348" s="30" t="str">
        <f>'6image_RS_benchmark_performance'!A348</f>
        <v>KMI</v>
      </c>
      <c r="B348" s="31">
        <f>IFERROR(__xludf.DUMMYFUNCTION("GOOGLEFINANCE(A348,""price"")"),17.47)</f>
        <v>17.47</v>
      </c>
      <c r="C348" s="31">
        <f>IFERROR(__xludf.DUMMYFUNCTION("GOOGLEFINANCE(A348,""high"")"),17.57)</f>
        <v>17.57</v>
      </c>
      <c r="D348" s="31">
        <f>IFERROR(__xludf.DUMMYFUNCTION("GOOGLEFINANCE(A348,""low"")"),17.16)</f>
        <v>17.16</v>
      </c>
      <c r="E348" s="31">
        <f>IFERROR(__xludf.DUMMYFUNCTION("GOOGLEFINANCE(A348,""change"")"),0.29)</f>
        <v>0.29</v>
      </c>
      <c r="F348" s="32">
        <f>IFERROR(__xludf.DUMMYFUNCTION("GOOGLEFINANCE(A348,""changepct"")/100"),0.0169)</f>
        <v>0.0169</v>
      </c>
      <c r="G348" s="33">
        <f>IFERROR(__xludf.DUMMYFUNCTION("GOOGLEFINANCE(A348,""priceopen"")"),17.32)</f>
        <v>17.32</v>
      </c>
      <c r="H348" s="34">
        <f>IFERROR(__xludf.DUMMYFUNCTION("GOOGLEFINANCE(A348,""closeyest"")"),17.18)</f>
        <v>17.18</v>
      </c>
      <c r="I348" s="34">
        <f>IFERROR(__xludf.DUMMYFUNCTION("GOOGLEFINANCE(A348,""low52"")"),11.45)</f>
        <v>11.45</v>
      </c>
      <c r="J348" s="34">
        <f>IFERROR(__xludf.DUMMYFUNCTION("GOOGLEFINANCE(A348,""high52"")"),19.29)</f>
        <v>19.29</v>
      </c>
    </row>
    <row r="349">
      <c r="A349" s="30" t="str">
        <f>'6image_RS_benchmark_performance'!A349</f>
        <v>KMX</v>
      </c>
      <c r="B349" s="31">
        <f>IFERROR(__xludf.DUMMYFUNCTION("GOOGLEFINANCE(A349,""price"")"),134.38)</f>
        <v>134.38</v>
      </c>
      <c r="C349" s="31">
        <f>IFERROR(__xludf.DUMMYFUNCTION("GOOGLEFINANCE(A349,""high"")"),134.8)</f>
        <v>134.8</v>
      </c>
      <c r="D349" s="31">
        <f>IFERROR(__xludf.DUMMYFUNCTION("GOOGLEFINANCE(A349,""low"")"),129.12)</f>
        <v>129.12</v>
      </c>
      <c r="E349" s="31">
        <f>IFERROR(__xludf.DUMMYFUNCTION("GOOGLEFINANCE(A349,""change"")"),5.83)</f>
        <v>5.83</v>
      </c>
      <c r="F349" s="32">
        <f>IFERROR(__xludf.DUMMYFUNCTION("GOOGLEFINANCE(A349,""changepct"")/100"),0.0454)</f>
        <v>0.0454</v>
      </c>
      <c r="G349" s="33">
        <f>IFERROR(__xludf.DUMMYFUNCTION("GOOGLEFINANCE(A349,""priceopen"")"),129.12)</f>
        <v>129.12</v>
      </c>
      <c r="H349" s="34">
        <f>IFERROR(__xludf.DUMMYFUNCTION("GOOGLEFINANCE(A349,""closeyest"")"),128.55)</f>
        <v>128.55</v>
      </c>
      <c r="I349" s="34">
        <f>IFERROR(__xludf.DUMMYFUNCTION("GOOGLEFINANCE(A349,""low52"")"),84.7)</f>
        <v>84.7</v>
      </c>
      <c r="J349" s="34">
        <f>IFERROR(__xludf.DUMMYFUNCTION("GOOGLEFINANCE(A349,""high52"")"),138.77)</f>
        <v>138.77</v>
      </c>
    </row>
    <row r="350">
      <c r="A350" s="30" t="str">
        <f>'6image_RS_benchmark_performance'!A350</f>
        <v>KO</v>
      </c>
      <c r="B350" s="31">
        <f>IFERROR(__xludf.DUMMYFUNCTION("GOOGLEFINANCE(A350,""price"")"),55.83)</f>
        <v>55.83</v>
      </c>
      <c r="C350" s="31">
        <f>IFERROR(__xludf.DUMMYFUNCTION("GOOGLEFINANCE(A350,""high"")"),56.33)</f>
        <v>56.33</v>
      </c>
      <c r="D350" s="31">
        <f>IFERROR(__xludf.DUMMYFUNCTION("GOOGLEFINANCE(A350,""low"")"),55.52)</f>
        <v>55.52</v>
      </c>
      <c r="E350" s="31">
        <f>IFERROR(__xludf.DUMMYFUNCTION("GOOGLEFINANCE(A350,""change"")"),0.1)</f>
        <v>0.1</v>
      </c>
      <c r="F350" s="32">
        <f>IFERROR(__xludf.DUMMYFUNCTION("GOOGLEFINANCE(A350,""changepct"")/100"),0.0018)</f>
        <v>0.0018</v>
      </c>
      <c r="G350" s="33">
        <f>IFERROR(__xludf.DUMMYFUNCTION("GOOGLEFINANCE(A350,""priceopen"")"),55.73)</f>
        <v>55.73</v>
      </c>
      <c r="H350" s="34">
        <f>IFERROR(__xludf.DUMMYFUNCTION("GOOGLEFINANCE(A350,""closeyest"")"),55.73)</f>
        <v>55.73</v>
      </c>
      <c r="I350" s="34">
        <f>IFERROR(__xludf.DUMMYFUNCTION("GOOGLEFINANCE(A350,""low52"")"),45.85)</f>
        <v>45.85</v>
      </c>
      <c r="J350" s="34">
        <f>IFERROR(__xludf.DUMMYFUNCTION("GOOGLEFINANCE(A350,""high52"")"),56.68)</f>
        <v>56.68</v>
      </c>
    </row>
    <row r="351">
      <c r="A351" s="30" t="str">
        <f>'6image_RS_benchmark_performance'!A351</f>
        <v>KR</v>
      </c>
      <c r="B351" s="31">
        <f>IFERROR(__xludf.DUMMYFUNCTION("GOOGLEFINANCE(A351,""price"")"),40.57)</f>
        <v>40.57</v>
      </c>
      <c r="C351" s="31">
        <f>IFERROR(__xludf.DUMMYFUNCTION("GOOGLEFINANCE(A351,""high"")"),41.5)</f>
        <v>41.5</v>
      </c>
      <c r="D351" s="31">
        <f>IFERROR(__xludf.DUMMYFUNCTION("GOOGLEFINANCE(A351,""low"")"),40.22)</f>
        <v>40.22</v>
      </c>
      <c r="E351" s="31">
        <f>IFERROR(__xludf.DUMMYFUNCTION("GOOGLEFINANCE(A351,""change"")"),-0.5)</f>
        <v>-0.5</v>
      </c>
      <c r="F351" s="32">
        <f>IFERROR(__xludf.DUMMYFUNCTION("GOOGLEFINANCE(A351,""changepct"")/100"),-0.012199999999999999)</f>
        <v>-0.0122</v>
      </c>
      <c r="G351" s="33">
        <f>IFERROR(__xludf.DUMMYFUNCTION("GOOGLEFINANCE(A351,""priceopen"")"),41.01)</f>
        <v>41.01</v>
      </c>
      <c r="H351" s="34">
        <f>IFERROR(__xludf.DUMMYFUNCTION("GOOGLEFINANCE(A351,""closeyest"")"),41.07)</f>
        <v>41.07</v>
      </c>
      <c r="I351" s="34">
        <f>IFERROR(__xludf.DUMMYFUNCTION("GOOGLEFINANCE(A351,""low52"")"),30.35)</f>
        <v>30.35</v>
      </c>
      <c r="J351" s="34">
        <f>IFERROR(__xludf.DUMMYFUNCTION("GOOGLEFINANCE(A351,""high52"")"),42.99)</f>
        <v>42.99</v>
      </c>
    </row>
    <row r="352">
      <c r="A352" s="30" t="str">
        <f>'6image_RS_benchmark_performance'!A352</f>
        <v>KRE</v>
      </c>
      <c r="B352" s="31">
        <f>IFERROR(__xludf.DUMMYFUNCTION("GOOGLEFINANCE(A352,""price"")"),61.5)</f>
        <v>61.5</v>
      </c>
      <c r="C352" s="31">
        <f>IFERROR(__xludf.DUMMYFUNCTION("GOOGLEFINANCE(A352,""high"")"),62.86)</f>
        <v>62.86</v>
      </c>
      <c r="D352" s="31">
        <f>IFERROR(__xludf.DUMMYFUNCTION("GOOGLEFINANCE(A352,""low"")"),59.72)</f>
        <v>59.72</v>
      </c>
      <c r="E352" s="31">
        <f>IFERROR(__xludf.DUMMYFUNCTION("GOOGLEFINANCE(A352,""change"")"),1.63)</f>
        <v>1.63</v>
      </c>
      <c r="F352" s="32">
        <f>IFERROR(__xludf.DUMMYFUNCTION("GOOGLEFINANCE(A352,""changepct"")/100"),0.027200000000000002)</f>
        <v>0.0272</v>
      </c>
      <c r="G352" s="33">
        <f>IFERROR(__xludf.DUMMYFUNCTION("GOOGLEFINANCE(A352,""priceopen"")"),59.72)</f>
        <v>59.72</v>
      </c>
      <c r="H352" s="34">
        <f>IFERROR(__xludf.DUMMYFUNCTION("GOOGLEFINANCE(A352,""closeyest"")"),59.87)</f>
        <v>59.87</v>
      </c>
      <c r="I352" s="34">
        <f>IFERROR(__xludf.DUMMYFUNCTION("GOOGLEFINANCE(A352,""low52"")"),33.48)</f>
        <v>33.48</v>
      </c>
      <c r="J352" s="34">
        <f>IFERROR(__xludf.DUMMYFUNCTION("GOOGLEFINANCE(A352,""high52"")"),72.9)</f>
        <v>72.9</v>
      </c>
    </row>
    <row r="353">
      <c r="A353" s="30" t="str">
        <f>'6image_RS_benchmark_performance'!A353</f>
        <v>KSS</v>
      </c>
      <c r="B353" s="31">
        <f>IFERROR(__xludf.DUMMYFUNCTION("GOOGLEFINANCE(A353,""price"")"),49.65)</f>
        <v>49.65</v>
      </c>
      <c r="C353" s="31">
        <f>IFERROR(__xludf.DUMMYFUNCTION("GOOGLEFINANCE(A353,""high"")"),49.91)</f>
        <v>49.91</v>
      </c>
      <c r="D353" s="31">
        <f>IFERROR(__xludf.DUMMYFUNCTION("GOOGLEFINANCE(A353,""low"")"),47.0)</f>
        <v>47</v>
      </c>
      <c r="E353" s="31">
        <f>IFERROR(__xludf.DUMMYFUNCTION("GOOGLEFINANCE(A353,""change"")"),1.86)</f>
        <v>1.86</v>
      </c>
      <c r="F353" s="32">
        <f>IFERROR(__xludf.DUMMYFUNCTION("GOOGLEFINANCE(A353,""changepct"")/100"),0.038900000000000004)</f>
        <v>0.0389</v>
      </c>
      <c r="G353" s="33">
        <f>IFERROR(__xludf.DUMMYFUNCTION("GOOGLEFINANCE(A353,""priceopen"")"),47.86)</f>
        <v>47.86</v>
      </c>
      <c r="H353" s="34">
        <f>IFERROR(__xludf.DUMMYFUNCTION("GOOGLEFINANCE(A353,""closeyest"")"),47.79)</f>
        <v>47.79</v>
      </c>
      <c r="I353" s="34">
        <f>IFERROR(__xludf.DUMMYFUNCTION("GOOGLEFINANCE(A353,""low52"")"),18.28)</f>
        <v>18.28</v>
      </c>
      <c r="J353" s="34">
        <f>IFERROR(__xludf.DUMMYFUNCTION("GOOGLEFINANCE(A353,""high52"")"),64.8)</f>
        <v>64.8</v>
      </c>
    </row>
    <row r="354">
      <c r="A354" s="30" t="str">
        <f>'6image_RS_benchmark_performance'!A354</f>
        <v>KSU</v>
      </c>
      <c r="B354" s="31">
        <f>IFERROR(__xludf.DUMMYFUNCTION("GOOGLEFINANCE(A354,""price"")"),265.95)</f>
        <v>265.95</v>
      </c>
      <c r="C354" s="31">
        <f>IFERROR(__xludf.DUMMYFUNCTION("GOOGLEFINANCE(A354,""high"")"),268.08)</f>
        <v>268.08</v>
      </c>
      <c r="D354" s="31">
        <f>IFERROR(__xludf.DUMMYFUNCTION("GOOGLEFINANCE(A354,""low"")"),263.1)</f>
        <v>263.1</v>
      </c>
      <c r="E354" s="31">
        <f>IFERROR(__xludf.DUMMYFUNCTION("GOOGLEFINANCE(A354,""change"")"),3.08)</f>
        <v>3.08</v>
      </c>
      <c r="F354" s="32">
        <f>IFERROR(__xludf.DUMMYFUNCTION("GOOGLEFINANCE(A354,""changepct"")/100"),0.011699999999999999)</f>
        <v>0.0117</v>
      </c>
      <c r="G354" s="33">
        <f>IFERROR(__xludf.DUMMYFUNCTION("GOOGLEFINANCE(A354,""priceopen"")"),263.1)</f>
        <v>263.1</v>
      </c>
      <c r="H354" s="34">
        <f>IFERROR(__xludf.DUMMYFUNCTION("GOOGLEFINANCE(A354,""closeyest"")"),262.87)</f>
        <v>262.87</v>
      </c>
      <c r="I354" s="34">
        <f>IFERROR(__xludf.DUMMYFUNCTION("GOOGLEFINANCE(A354,""low52"")"),152.18)</f>
        <v>152.18</v>
      </c>
      <c r="J354" s="34">
        <f>IFERROR(__xludf.DUMMYFUNCTION("GOOGLEFINANCE(A354,""high52"")"),315.39)</f>
        <v>315.39</v>
      </c>
    </row>
    <row r="355">
      <c r="A355" s="30" t="str">
        <f>'6image_RS_benchmark_performance'!A355</f>
        <v>KWEB</v>
      </c>
      <c r="B355" s="31">
        <f>IFERROR(__xludf.DUMMYFUNCTION("GOOGLEFINANCE(A355,""price"")"),60.62)</f>
        <v>60.62</v>
      </c>
      <c r="C355" s="31">
        <f>IFERROR(__xludf.DUMMYFUNCTION("GOOGLEFINANCE(A355,""high"")"),60.87)</f>
        <v>60.87</v>
      </c>
      <c r="D355" s="31">
        <f>IFERROR(__xludf.DUMMYFUNCTION("GOOGLEFINANCE(A355,""low"")"),59.24)</f>
        <v>59.24</v>
      </c>
      <c r="E355" s="31">
        <f>IFERROR(__xludf.DUMMYFUNCTION("GOOGLEFINANCE(A355,""change"")"),0.06)</f>
        <v>0.06</v>
      </c>
      <c r="F355" s="32">
        <f>IFERROR(__xludf.DUMMYFUNCTION("GOOGLEFINANCE(A355,""changepct"")/100"),0.001)</f>
        <v>0.001</v>
      </c>
      <c r="G355" s="33">
        <f>IFERROR(__xludf.DUMMYFUNCTION("GOOGLEFINANCE(A355,""priceopen"")"),60.31)</f>
        <v>60.31</v>
      </c>
      <c r="H355" s="34">
        <f>IFERROR(__xludf.DUMMYFUNCTION("GOOGLEFINANCE(A355,""closeyest"")"),60.56)</f>
        <v>60.56</v>
      </c>
      <c r="I355" s="34">
        <f>IFERROR(__xludf.DUMMYFUNCTION("GOOGLEFINANCE(A355,""low52"")"),58.9)</f>
        <v>58.9</v>
      </c>
      <c r="J355" s="34">
        <f>IFERROR(__xludf.DUMMYFUNCTION("GOOGLEFINANCE(A355,""high52"")"),104.94)</f>
        <v>104.94</v>
      </c>
    </row>
    <row r="356">
      <c r="A356" s="30" t="str">
        <f>'6image_RS_benchmark_performance'!A356</f>
        <v>L</v>
      </c>
      <c r="B356" s="31">
        <f>IFERROR(__xludf.DUMMYFUNCTION("GOOGLEFINANCE(A356,""price"")"),53.33)</f>
        <v>53.33</v>
      </c>
      <c r="C356" s="31">
        <f>IFERROR(__xludf.DUMMYFUNCTION("GOOGLEFINANCE(A356,""high"")"),53.98)</f>
        <v>53.98</v>
      </c>
      <c r="D356" s="31">
        <f>IFERROR(__xludf.DUMMYFUNCTION("GOOGLEFINANCE(A356,""low"")"),51.69)</f>
        <v>51.69</v>
      </c>
      <c r="E356" s="31">
        <f>IFERROR(__xludf.DUMMYFUNCTION("GOOGLEFINANCE(A356,""change"")"),1.57)</f>
        <v>1.57</v>
      </c>
      <c r="F356" s="32">
        <f>IFERROR(__xludf.DUMMYFUNCTION("GOOGLEFINANCE(A356,""changepct"")/100"),0.030299999999999997)</f>
        <v>0.0303</v>
      </c>
      <c r="G356" s="33">
        <f>IFERROR(__xludf.DUMMYFUNCTION("GOOGLEFINANCE(A356,""priceopen"")"),51.7)</f>
        <v>51.7</v>
      </c>
      <c r="H356" s="34">
        <f>IFERROR(__xludf.DUMMYFUNCTION("GOOGLEFINANCE(A356,""closeyest"")"),51.76)</f>
        <v>51.76</v>
      </c>
      <c r="I356" s="34">
        <f>IFERROR(__xludf.DUMMYFUNCTION("GOOGLEFINANCE(A356,""low52"")"),32.75)</f>
        <v>32.75</v>
      </c>
      <c r="J356" s="34">
        <f>IFERROR(__xludf.DUMMYFUNCTION("GOOGLEFINANCE(A356,""high52"")"),59.39)</f>
        <v>59.39</v>
      </c>
    </row>
    <row r="357">
      <c r="A357" s="30" t="str">
        <f>'6image_RS_benchmark_performance'!A357</f>
        <v>LB</v>
      </c>
      <c r="B357" s="31">
        <f>IFERROR(__xludf.DUMMYFUNCTION("GOOGLEFINANCE(A357,""price"")"),74.46)</f>
        <v>74.46</v>
      </c>
      <c r="C357" s="31">
        <f>IFERROR(__xludf.DUMMYFUNCTION("GOOGLEFINANCE(A357,""high"")"),74.77)</f>
        <v>74.77</v>
      </c>
      <c r="D357" s="31">
        <f>IFERROR(__xludf.DUMMYFUNCTION("GOOGLEFINANCE(A357,""low"")"),70.39)</f>
        <v>70.39</v>
      </c>
      <c r="E357" s="31">
        <f>IFERROR(__xludf.DUMMYFUNCTION("GOOGLEFINANCE(A357,""change"")"),4.44)</f>
        <v>4.44</v>
      </c>
      <c r="F357" s="32">
        <f>IFERROR(__xludf.DUMMYFUNCTION("GOOGLEFINANCE(A357,""changepct"")/100"),0.0634)</f>
        <v>0.0634</v>
      </c>
      <c r="G357" s="33">
        <f>IFERROR(__xludf.DUMMYFUNCTION("GOOGLEFINANCE(A357,""priceopen"")"),70.65)</f>
        <v>70.65</v>
      </c>
      <c r="H357" s="34">
        <f>IFERROR(__xludf.DUMMYFUNCTION("GOOGLEFINANCE(A357,""closeyest"")"),70.02)</f>
        <v>70.02</v>
      </c>
      <c r="I357" s="34">
        <f>IFERROR(__xludf.DUMMYFUNCTION("GOOGLEFINANCE(A357,""low52"")"),17.77)</f>
        <v>17.77</v>
      </c>
      <c r="J357" s="34">
        <f>IFERROR(__xludf.DUMMYFUNCTION("GOOGLEFINANCE(A357,""high52"")"),77.87)</f>
        <v>77.87</v>
      </c>
    </row>
    <row r="358">
      <c r="A358" s="30" t="str">
        <f>'6image_RS_benchmark_performance'!A358</f>
        <v>LDOS</v>
      </c>
      <c r="B358" s="31">
        <f>IFERROR(__xludf.DUMMYFUNCTION("GOOGLEFINANCE(A358,""price"")"),104.95)</f>
        <v>104.95</v>
      </c>
      <c r="C358" s="31">
        <f>IFERROR(__xludf.DUMMYFUNCTION("GOOGLEFINANCE(A358,""high"")"),105.79)</f>
        <v>105.79</v>
      </c>
      <c r="D358" s="31">
        <f>IFERROR(__xludf.DUMMYFUNCTION("GOOGLEFINANCE(A358,""low"")"),103.41)</f>
        <v>103.41</v>
      </c>
      <c r="E358" s="31">
        <f>IFERROR(__xludf.DUMMYFUNCTION("GOOGLEFINANCE(A358,""change"")"),1.7)</f>
        <v>1.7</v>
      </c>
      <c r="F358" s="32">
        <f>IFERROR(__xludf.DUMMYFUNCTION("GOOGLEFINANCE(A358,""changepct"")/100"),0.0165)</f>
        <v>0.0165</v>
      </c>
      <c r="G358" s="33">
        <f>IFERROR(__xludf.DUMMYFUNCTION("GOOGLEFINANCE(A358,""priceopen"")"),103.89)</f>
        <v>103.89</v>
      </c>
      <c r="H358" s="34">
        <f>IFERROR(__xludf.DUMMYFUNCTION("GOOGLEFINANCE(A358,""closeyest"")"),103.25)</f>
        <v>103.25</v>
      </c>
      <c r="I358" s="34">
        <f>IFERROR(__xludf.DUMMYFUNCTION("GOOGLEFINANCE(A358,""low52"")"),79.15)</f>
        <v>79.15</v>
      </c>
      <c r="J358" s="34">
        <f>IFERROR(__xludf.DUMMYFUNCTION("GOOGLEFINANCE(A358,""high52"")"),113.75)</f>
        <v>113.75</v>
      </c>
    </row>
    <row r="359">
      <c r="A359" s="30" t="str">
        <f>'6image_RS_benchmark_performance'!A359</f>
        <v>LEG</v>
      </c>
      <c r="B359" s="31">
        <f>IFERROR(__xludf.DUMMYFUNCTION("GOOGLEFINANCE(A359,""price"")"),48.51)</f>
        <v>48.51</v>
      </c>
      <c r="C359" s="31">
        <f>IFERROR(__xludf.DUMMYFUNCTION("GOOGLEFINANCE(A359,""high"")"),48.61)</f>
        <v>48.61</v>
      </c>
      <c r="D359" s="31">
        <f>IFERROR(__xludf.DUMMYFUNCTION("GOOGLEFINANCE(A359,""low"")"),47.15)</f>
        <v>47.15</v>
      </c>
      <c r="E359" s="31">
        <f>IFERROR(__xludf.DUMMYFUNCTION("GOOGLEFINANCE(A359,""change"")"),1.52)</f>
        <v>1.52</v>
      </c>
      <c r="F359" s="32">
        <f>IFERROR(__xludf.DUMMYFUNCTION("GOOGLEFINANCE(A359,""changepct"")/100"),0.0323)</f>
        <v>0.0323</v>
      </c>
      <c r="G359" s="33">
        <f>IFERROR(__xludf.DUMMYFUNCTION("GOOGLEFINANCE(A359,""priceopen"")"),47.15)</f>
        <v>47.15</v>
      </c>
      <c r="H359" s="34">
        <f>IFERROR(__xludf.DUMMYFUNCTION("GOOGLEFINANCE(A359,""closeyest"")"),46.99)</f>
        <v>46.99</v>
      </c>
      <c r="I359" s="34">
        <f>IFERROR(__xludf.DUMMYFUNCTION("GOOGLEFINANCE(A359,""low52"")"),35.28)</f>
        <v>35.28</v>
      </c>
      <c r="J359" s="34">
        <f>IFERROR(__xludf.DUMMYFUNCTION("GOOGLEFINANCE(A359,""high52"")"),59.16)</f>
        <v>59.16</v>
      </c>
    </row>
    <row r="360">
      <c r="A360" s="30" t="str">
        <f>'6image_RS_benchmark_performance'!A360</f>
        <v>LEN</v>
      </c>
      <c r="B360" s="31">
        <f>IFERROR(__xludf.DUMMYFUNCTION("GOOGLEFINANCE(A360,""price"")"),98.5)</f>
        <v>98.5</v>
      </c>
      <c r="C360" s="31">
        <f>IFERROR(__xludf.DUMMYFUNCTION("GOOGLEFINANCE(A360,""high"")"),98.98)</f>
        <v>98.98</v>
      </c>
      <c r="D360" s="31">
        <f>IFERROR(__xludf.DUMMYFUNCTION("GOOGLEFINANCE(A360,""low"")"),95.99)</f>
        <v>95.99</v>
      </c>
      <c r="E360" s="31">
        <f>IFERROR(__xludf.DUMMYFUNCTION("GOOGLEFINANCE(A360,""change"")"),2.34)</f>
        <v>2.34</v>
      </c>
      <c r="F360" s="32">
        <f>IFERROR(__xludf.DUMMYFUNCTION("GOOGLEFINANCE(A360,""changepct"")/100"),0.024300000000000002)</f>
        <v>0.0243</v>
      </c>
      <c r="G360" s="33">
        <f>IFERROR(__xludf.DUMMYFUNCTION("GOOGLEFINANCE(A360,""priceopen"")"),96.44)</f>
        <v>96.44</v>
      </c>
      <c r="H360" s="34">
        <f>IFERROR(__xludf.DUMMYFUNCTION("GOOGLEFINANCE(A360,""closeyest"")"),96.16)</f>
        <v>96.16</v>
      </c>
      <c r="I360" s="34">
        <f>IFERROR(__xludf.DUMMYFUNCTION("GOOGLEFINANCE(A360,""low52"")"),67.37)</f>
        <v>67.37</v>
      </c>
      <c r="J360" s="34">
        <f>IFERROR(__xludf.DUMMYFUNCTION("GOOGLEFINANCE(A360,""high52"")"),110.61)</f>
        <v>110.61</v>
      </c>
    </row>
    <row r="361">
      <c r="A361" s="30" t="str">
        <f>'6image_RS_benchmark_performance'!A361</f>
        <v>LESL</v>
      </c>
      <c r="B361" s="31">
        <f>IFERROR(__xludf.DUMMYFUNCTION("GOOGLEFINANCE(A361,""price"")"),25.33)</f>
        <v>25.33</v>
      </c>
      <c r="C361" s="31">
        <f>IFERROR(__xludf.DUMMYFUNCTION("GOOGLEFINANCE(A361,""high"")"),25.42)</f>
        <v>25.42</v>
      </c>
      <c r="D361" s="31">
        <f>IFERROR(__xludf.DUMMYFUNCTION("GOOGLEFINANCE(A361,""low"")"),24.24)</f>
        <v>24.24</v>
      </c>
      <c r="E361" s="31">
        <f>IFERROR(__xludf.DUMMYFUNCTION("GOOGLEFINANCE(A361,""change"")"),0.79)</f>
        <v>0.79</v>
      </c>
      <c r="F361" s="32">
        <f>IFERROR(__xludf.DUMMYFUNCTION("GOOGLEFINANCE(A361,""changepct"")/100"),0.0322)</f>
        <v>0.0322</v>
      </c>
      <c r="G361" s="33">
        <f>IFERROR(__xludf.DUMMYFUNCTION("GOOGLEFINANCE(A361,""priceopen"")"),24.51)</f>
        <v>24.51</v>
      </c>
      <c r="H361" s="34">
        <f>IFERROR(__xludf.DUMMYFUNCTION("GOOGLEFINANCE(A361,""closeyest"")"),24.54)</f>
        <v>24.54</v>
      </c>
      <c r="I361" s="34">
        <f>IFERROR(__xludf.DUMMYFUNCTION("GOOGLEFINANCE(A361,""low52"")"),19.15)</f>
        <v>19.15</v>
      </c>
      <c r="J361" s="34">
        <f>IFERROR(__xludf.DUMMYFUNCTION("GOOGLEFINANCE(A361,""high52"")"),32.84)</f>
        <v>32.84</v>
      </c>
    </row>
    <row r="362">
      <c r="A362" s="30" t="str">
        <f>'6image_RS_benchmark_performance'!A362</f>
        <v>LH</v>
      </c>
      <c r="B362" s="31">
        <f>IFERROR(__xludf.DUMMYFUNCTION("GOOGLEFINANCE(A362,""price"")"),276.78)</f>
        <v>276.78</v>
      </c>
      <c r="C362" s="31">
        <f>IFERROR(__xludf.DUMMYFUNCTION("GOOGLEFINANCE(A362,""high"")"),279.78)</f>
        <v>279.78</v>
      </c>
      <c r="D362" s="31">
        <f>IFERROR(__xludf.DUMMYFUNCTION("GOOGLEFINANCE(A362,""low"")"),274.48)</f>
        <v>274.48</v>
      </c>
      <c r="E362" s="31">
        <f>IFERROR(__xludf.DUMMYFUNCTION("GOOGLEFINANCE(A362,""change"")"),1.96)</f>
        <v>1.96</v>
      </c>
      <c r="F362" s="32">
        <f>IFERROR(__xludf.DUMMYFUNCTION("GOOGLEFINANCE(A362,""changepct"")/100"),0.0070999999999999995)</f>
        <v>0.0071</v>
      </c>
      <c r="G362" s="33">
        <f>IFERROR(__xludf.DUMMYFUNCTION("GOOGLEFINANCE(A362,""priceopen"")"),275.0)</f>
        <v>275</v>
      </c>
      <c r="H362" s="34">
        <f>IFERROR(__xludf.DUMMYFUNCTION("GOOGLEFINANCE(A362,""closeyest"")"),274.82)</f>
        <v>274.82</v>
      </c>
      <c r="I362" s="34">
        <f>IFERROR(__xludf.DUMMYFUNCTION("GOOGLEFINANCE(A362,""low52"")"),170.05)</f>
        <v>170.05</v>
      </c>
      <c r="J362" s="34">
        <f>IFERROR(__xludf.DUMMYFUNCTION("GOOGLEFINANCE(A362,""high52"")"),284.17)</f>
        <v>284.17</v>
      </c>
    </row>
    <row r="363">
      <c r="A363" s="30" t="str">
        <f>'6image_RS_benchmark_performance'!A363</f>
        <v>LHX</v>
      </c>
      <c r="B363" s="31">
        <f>IFERROR(__xludf.DUMMYFUNCTION("GOOGLEFINANCE(A363,""price"")"),225.51)</f>
        <v>225.51</v>
      </c>
      <c r="C363" s="31">
        <f>IFERROR(__xludf.DUMMYFUNCTION("GOOGLEFINANCE(A363,""high"")"),225.64)</f>
        <v>225.64</v>
      </c>
      <c r="D363" s="31">
        <f>IFERROR(__xludf.DUMMYFUNCTION("GOOGLEFINANCE(A363,""low"")"),218.94)</f>
        <v>218.94</v>
      </c>
      <c r="E363" s="31">
        <f>IFERROR(__xludf.DUMMYFUNCTION("GOOGLEFINANCE(A363,""change"")"),7.28)</f>
        <v>7.28</v>
      </c>
      <c r="F363" s="32">
        <f>IFERROR(__xludf.DUMMYFUNCTION("GOOGLEFINANCE(A363,""changepct"")/100"),0.0334)</f>
        <v>0.0334</v>
      </c>
      <c r="G363" s="33">
        <f>IFERROR(__xludf.DUMMYFUNCTION("GOOGLEFINANCE(A363,""priceopen"")"),218.94)</f>
        <v>218.94</v>
      </c>
      <c r="H363" s="34">
        <f>IFERROR(__xludf.DUMMYFUNCTION("GOOGLEFINANCE(A363,""closeyest"")"),218.23)</f>
        <v>218.23</v>
      </c>
      <c r="I363" s="34">
        <f>IFERROR(__xludf.DUMMYFUNCTION("GOOGLEFINANCE(A363,""low52"")"),158.09)</f>
        <v>158.09</v>
      </c>
      <c r="J363" s="34">
        <f>IFERROR(__xludf.DUMMYFUNCTION("GOOGLEFINANCE(A363,""high52"")"),225.95)</f>
        <v>225.95</v>
      </c>
    </row>
    <row r="364">
      <c r="A364" s="30" t="str">
        <f>'6image_RS_benchmark_performance'!A364</f>
        <v>LIN</v>
      </c>
      <c r="B364" s="31">
        <f>IFERROR(__xludf.DUMMYFUNCTION("GOOGLEFINANCE(A364,""price"")"),290.37)</f>
        <v>290.37</v>
      </c>
      <c r="C364" s="31">
        <f>IFERROR(__xludf.DUMMYFUNCTION("GOOGLEFINANCE(A364,""high"")"),291.52)</f>
        <v>291.52</v>
      </c>
      <c r="D364" s="31">
        <f>IFERROR(__xludf.DUMMYFUNCTION("GOOGLEFINANCE(A364,""low"")"),284.63)</f>
        <v>284.63</v>
      </c>
      <c r="E364" s="31">
        <f>IFERROR(__xludf.DUMMYFUNCTION("GOOGLEFINANCE(A364,""change"")"),5.7)</f>
        <v>5.7</v>
      </c>
      <c r="F364" s="32">
        <f>IFERROR(__xludf.DUMMYFUNCTION("GOOGLEFINANCE(A364,""changepct"")/100"),0.02)</f>
        <v>0.02</v>
      </c>
      <c r="G364" s="33">
        <f>IFERROR(__xludf.DUMMYFUNCTION("GOOGLEFINANCE(A364,""priceopen"")"),285.26)</f>
        <v>285.26</v>
      </c>
      <c r="H364" s="34">
        <f>IFERROR(__xludf.DUMMYFUNCTION("GOOGLEFINANCE(A364,""closeyest"")"),284.67)</f>
        <v>284.67</v>
      </c>
      <c r="I364" s="34">
        <f>IFERROR(__xludf.DUMMYFUNCTION("GOOGLEFINANCE(A364,""low52"")"),214.14)</f>
        <v>214.14</v>
      </c>
      <c r="J364" s="34">
        <f>IFERROR(__xludf.DUMMYFUNCTION("GOOGLEFINANCE(A364,""high52"")"),305.71)</f>
        <v>305.71</v>
      </c>
    </row>
    <row r="365">
      <c r="A365" s="30" t="str">
        <f>'6image_RS_benchmark_performance'!A365</f>
        <v>LKQ</v>
      </c>
      <c r="B365" s="31">
        <f>IFERROR(__xludf.DUMMYFUNCTION("GOOGLEFINANCE(A365,""price"")"),50.05)</f>
        <v>50.05</v>
      </c>
      <c r="C365" s="31">
        <f>IFERROR(__xludf.DUMMYFUNCTION("GOOGLEFINANCE(A365,""high"")"),50.18)</f>
        <v>50.18</v>
      </c>
      <c r="D365" s="31">
        <f>IFERROR(__xludf.DUMMYFUNCTION("GOOGLEFINANCE(A365,""low"")"),48.36)</f>
        <v>48.36</v>
      </c>
      <c r="E365" s="31">
        <f>IFERROR(__xludf.DUMMYFUNCTION("GOOGLEFINANCE(A365,""change"")"),1.48)</f>
        <v>1.48</v>
      </c>
      <c r="F365" s="32">
        <f>IFERROR(__xludf.DUMMYFUNCTION("GOOGLEFINANCE(A365,""changepct"")/100"),0.0305)</f>
        <v>0.0305</v>
      </c>
      <c r="G365" s="33">
        <f>IFERROR(__xludf.DUMMYFUNCTION("GOOGLEFINANCE(A365,""priceopen"")"),48.57)</f>
        <v>48.57</v>
      </c>
      <c r="H365" s="34">
        <f>IFERROR(__xludf.DUMMYFUNCTION("GOOGLEFINANCE(A365,""closeyest"")"),48.57)</f>
        <v>48.57</v>
      </c>
      <c r="I365" s="34">
        <f>IFERROR(__xludf.DUMMYFUNCTION("GOOGLEFINANCE(A365,""low52"")"),26.73)</f>
        <v>26.73</v>
      </c>
      <c r="J365" s="34">
        <f>IFERROR(__xludf.DUMMYFUNCTION("GOOGLEFINANCE(A365,""high52"")"),51.68)</f>
        <v>51.68</v>
      </c>
    </row>
    <row r="366">
      <c r="A366" s="30" t="str">
        <f>'6image_RS_benchmark_performance'!A366</f>
        <v>LLY</v>
      </c>
      <c r="B366" s="31">
        <f>IFERROR(__xludf.DUMMYFUNCTION("GOOGLEFINANCE(A366,""price"")"),235.02)</f>
        <v>235.02</v>
      </c>
      <c r="C366" s="31">
        <f>IFERROR(__xludf.DUMMYFUNCTION("GOOGLEFINANCE(A366,""high"")"),237.75)</f>
        <v>237.75</v>
      </c>
      <c r="D366" s="31">
        <f>IFERROR(__xludf.DUMMYFUNCTION("GOOGLEFINANCE(A366,""low"")"),233.94)</f>
        <v>233.94</v>
      </c>
      <c r="E366" s="31">
        <f>IFERROR(__xludf.DUMMYFUNCTION("GOOGLEFINANCE(A366,""change"")"),0.88)</f>
        <v>0.88</v>
      </c>
      <c r="F366" s="32">
        <f>IFERROR(__xludf.DUMMYFUNCTION("GOOGLEFINANCE(A366,""changepct"")/100"),0.0038)</f>
        <v>0.0038</v>
      </c>
      <c r="G366" s="33">
        <f>IFERROR(__xludf.DUMMYFUNCTION("GOOGLEFINANCE(A366,""priceopen"")"),235.0)</f>
        <v>235</v>
      </c>
      <c r="H366" s="34">
        <f>IFERROR(__xludf.DUMMYFUNCTION("GOOGLEFINANCE(A366,""closeyest"")"),234.14)</f>
        <v>234.14</v>
      </c>
      <c r="I366" s="34">
        <f>IFERROR(__xludf.DUMMYFUNCTION("GOOGLEFINANCE(A366,""low52"")"),129.21)</f>
        <v>129.21</v>
      </c>
      <c r="J366" s="34">
        <f>IFERROR(__xludf.DUMMYFUNCTION("GOOGLEFINANCE(A366,""high52"")"),239.37)</f>
        <v>239.37</v>
      </c>
    </row>
    <row r="367">
      <c r="A367" s="30" t="str">
        <f>'6image_RS_benchmark_performance'!A367</f>
        <v>LMND</v>
      </c>
      <c r="B367" s="31">
        <f>IFERROR(__xludf.DUMMYFUNCTION("GOOGLEFINANCE(A367,""price"")"),86.59)</f>
        <v>86.59</v>
      </c>
      <c r="C367" s="31">
        <f>IFERROR(__xludf.DUMMYFUNCTION("GOOGLEFINANCE(A367,""high"")"),88.26)</f>
        <v>88.26</v>
      </c>
      <c r="D367" s="31">
        <f>IFERROR(__xludf.DUMMYFUNCTION("GOOGLEFINANCE(A367,""low"")"),83.08)</f>
        <v>83.08</v>
      </c>
      <c r="E367" s="31">
        <f>IFERROR(__xludf.DUMMYFUNCTION("GOOGLEFINANCE(A367,""change"")"),2.35)</f>
        <v>2.35</v>
      </c>
      <c r="F367" s="32">
        <f>IFERROR(__xludf.DUMMYFUNCTION("GOOGLEFINANCE(A367,""changepct"")/100"),0.0279)</f>
        <v>0.0279</v>
      </c>
      <c r="G367" s="33">
        <f>IFERROR(__xludf.DUMMYFUNCTION("GOOGLEFINANCE(A367,""priceopen"")"),85.55)</f>
        <v>85.55</v>
      </c>
      <c r="H367" s="34">
        <f>IFERROR(__xludf.DUMMYFUNCTION("GOOGLEFINANCE(A367,""closeyest"")"),84.24)</f>
        <v>84.24</v>
      </c>
      <c r="I367" s="34">
        <f>IFERROR(__xludf.DUMMYFUNCTION("GOOGLEFINANCE(A367,""low52"")"),44.11)</f>
        <v>44.11</v>
      </c>
      <c r="J367" s="34">
        <f>IFERROR(__xludf.DUMMYFUNCTION("GOOGLEFINANCE(A367,""high52"")"),188.3)</f>
        <v>188.3</v>
      </c>
    </row>
    <row r="368">
      <c r="A368" s="30" t="str">
        <f>'6image_RS_benchmark_performance'!A368</f>
        <v>LMT</v>
      </c>
      <c r="B368" s="31">
        <f>IFERROR(__xludf.DUMMYFUNCTION("GOOGLEFINANCE(A368,""price"")"),379.98)</f>
        <v>379.98</v>
      </c>
      <c r="C368" s="31">
        <f>IFERROR(__xludf.DUMMYFUNCTION("GOOGLEFINANCE(A368,""high"")"),380.64)</f>
        <v>380.64</v>
      </c>
      <c r="D368" s="31">
        <f>IFERROR(__xludf.DUMMYFUNCTION("GOOGLEFINANCE(A368,""low"")"),373.0)</f>
        <v>373</v>
      </c>
      <c r="E368" s="31">
        <f>IFERROR(__xludf.DUMMYFUNCTION("GOOGLEFINANCE(A368,""change"")"),7.96)</f>
        <v>7.96</v>
      </c>
      <c r="F368" s="32">
        <f>IFERROR(__xludf.DUMMYFUNCTION("GOOGLEFINANCE(A368,""changepct"")/100"),0.021400000000000002)</f>
        <v>0.0214</v>
      </c>
      <c r="G368" s="33">
        <f>IFERROR(__xludf.DUMMYFUNCTION("GOOGLEFINANCE(A368,""priceopen"")"),373.01)</f>
        <v>373.01</v>
      </c>
      <c r="H368" s="34">
        <f>IFERROR(__xludf.DUMMYFUNCTION("GOOGLEFINANCE(A368,""closeyest"")"),372.02)</f>
        <v>372.02</v>
      </c>
      <c r="I368" s="34">
        <f>IFERROR(__xludf.DUMMYFUNCTION("GOOGLEFINANCE(A368,""low52"")"),319.81)</f>
        <v>319.81</v>
      </c>
      <c r="J368" s="34">
        <f>IFERROR(__xludf.DUMMYFUNCTION("GOOGLEFINANCE(A368,""high52"")"),402.38)</f>
        <v>402.38</v>
      </c>
    </row>
    <row r="369">
      <c r="A369" s="30" t="str">
        <f>'6image_RS_benchmark_performance'!A369</f>
        <v>LNC</v>
      </c>
      <c r="B369" s="31">
        <f>IFERROR(__xludf.DUMMYFUNCTION("GOOGLEFINANCE(A369,""price"")"),59.39)</f>
        <v>59.39</v>
      </c>
      <c r="C369" s="31">
        <f>IFERROR(__xludf.DUMMYFUNCTION("GOOGLEFINANCE(A369,""high"")"),60.25)</f>
        <v>60.25</v>
      </c>
      <c r="D369" s="31">
        <f>IFERROR(__xludf.DUMMYFUNCTION("GOOGLEFINANCE(A369,""low"")"),56.81)</f>
        <v>56.81</v>
      </c>
      <c r="E369" s="31">
        <f>IFERROR(__xludf.DUMMYFUNCTION("GOOGLEFINANCE(A369,""change"")"),2.39)</f>
        <v>2.39</v>
      </c>
      <c r="F369" s="32">
        <f>IFERROR(__xludf.DUMMYFUNCTION("GOOGLEFINANCE(A369,""changepct"")/100"),0.04190000000000001)</f>
        <v>0.0419</v>
      </c>
      <c r="G369" s="33">
        <f>IFERROR(__xludf.DUMMYFUNCTION("GOOGLEFINANCE(A369,""priceopen"")"),57.06)</f>
        <v>57.06</v>
      </c>
      <c r="H369" s="34">
        <f>IFERROR(__xludf.DUMMYFUNCTION("GOOGLEFINANCE(A369,""closeyest"")"),57.0)</f>
        <v>57</v>
      </c>
      <c r="I369" s="34">
        <f>IFERROR(__xludf.DUMMYFUNCTION("GOOGLEFINANCE(A369,""low52"")"),29.42)</f>
        <v>29.42</v>
      </c>
      <c r="J369" s="34">
        <f>IFERROR(__xludf.DUMMYFUNCTION("GOOGLEFINANCE(A369,""high52"")"),71.68)</f>
        <v>71.68</v>
      </c>
    </row>
    <row r="370">
      <c r="A370" s="30" t="str">
        <f>'6image_RS_benchmark_performance'!A370</f>
        <v>LNT</v>
      </c>
      <c r="B370" s="31">
        <f>IFERROR(__xludf.DUMMYFUNCTION("GOOGLEFINANCE(A370,""price"")"),58.31)</f>
        <v>58.31</v>
      </c>
      <c r="C370" s="31">
        <f>IFERROR(__xludf.DUMMYFUNCTION("GOOGLEFINANCE(A370,""high"")"),59.23)</f>
        <v>59.23</v>
      </c>
      <c r="D370" s="31">
        <f>IFERROR(__xludf.DUMMYFUNCTION("GOOGLEFINANCE(A370,""low"")"),58.09)</f>
        <v>58.09</v>
      </c>
      <c r="E370" s="31">
        <f>IFERROR(__xludf.DUMMYFUNCTION("GOOGLEFINANCE(A370,""change"")"),0.26)</f>
        <v>0.26</v>
      </c>
      <c r="F370" s="32">
        <f>IFERROR(__xludf.DUMMYFUNCTION("GOOGLEFINANCE(A370,""changepct"")/100"),0.0045000000000000005)</f>
        <v>0.0045</v>
      </c>
      <c r="G370" s="33">
        <f>IFERROR(__xludf.DUMMYFUNCTION("GOOGLEFINANCE(A370,""priceopen"")"),58.16)</f>
        <v>58.16</v>
      </c>
      <c r="H370" s="34">
        <f>IFERROR(__xludf.DUMMYFUNCTION("GOOGLEFINANCE(A370,""closeyest"")"),58.05)</f>
        <v>58.05</v>
      </c>
      <c r="I370" s="34">
        <f>IFERROR(__xludf.DUMMYFUNCTION("GOOGLEFINANCE(A370,""low52"")"),45.99)</f>
        <v>45.99</v>
      </c>
      <c r="J370" s="34">
        <f>IFERROR(__xludf.DUMMYFUNCTION("GOOGLEFINANCE(A370,""high52"")"),59.23)</f>
        <v>59.23</v>
      </c>
    </row>
    <row r="371">
      <c r="A371" s="30" t="str">
        <f>'6image_RS_benchmark_performance'!A371</f>
        <v>LOW</v>
      </c>
      <c r="B371" s="31">
        <f>IFERROR(__xludf.DUMMYFUNCTION("GOOGLEFINANCE(A371,""price"")"),194.11)</f>
        <v>194.11</v>
      </c>
      <c r="C371" s="31">
        <f>IFERROR(__xludf.DUMMYFUNCTION("GOOGLEFINANCE(A371,""high"")"),195.41)</f>
        <v>195.41</v>
      </c>
      <c r="D371" s="31">
        <f>IFERROR(__xludf.DUMMYFUNCTION("GOOGLEFINANCE(A371,""low"")"),191.17)</f>
        <v>191.17</v>
      </c>
      <c r="E371" s="31">
        <f>IFERROR(__xludf.DUMMYFUNCTION("GOOGLEFINANCE(A371,""change"")"),2.01)</f>
        <v>2.01</v>
      </c>
      <c r="F371" s="32">
        <f>IFERROR(__xludf.DUMMYFUNCTION("GOOGLEFINANCE(A371,""changepct"")/100"),0.0105)</f>
        <v>0.0105</v>
      </c>
      <c r="G371" s="33">
        <f>IFERROR(__xludf.DUMMYFUNCTION("GOOGLEFINANCE(A371,""priceopen"")"),191.68)</f>
        <v>191.68</v>
      </c>
      <c r="H371" s="34">
        <f>IFERROR(__xludf.DUMMYFUNCTION("GOOGLEFINANCE(A371,""closeyest"")"),192.1)</f>
        <v>192.1</v>
      </c>
      <c r="I371" s="34">
        <f>IFERROR(__xludf.DUMMYFUNCTION("GOOGLEFINANCE(A371,""low52"")"),142.9)</f>
        <v>142.9</v>
      </c>
      <c r="J371" s="34">
        <f>IFERROR(__xludf.DUMMYFUNCTION("GOOGLEFINANCE(A371,""high52"")"),215.22)</f>
        <v>215.22</v>
      </c>
    </row>
    <row r="372">
      <c r="A372" s="30" t="str">
        <f>'6image_RS_benchmark_performance'!A372</f>
        <v>LPX</v>
      </c>
      <c r="B372" s="31">
        <f>IFERROR(__xludf.DUMMYFUNCTION("GOOGLEFINANCE(A372,""price"")"),52.44)</f>
        <v>52.44</v>
      </c>
      <c r="C372" s="31">
        <f>IFERROR(__xludf.DUMMYFUNCTION("GOOGLEFINANCE(A372,""high"")"),53.4)</f>
        <v>53.4</v>
      </c>
      <c r="D372" s="31">
        <f>IFERROR(__xludf.DUMMYFUNCTION("GOOGLEFINANCE(A372,""low"")"),50.89)</f>
        <v>50.89</v>
      </c>
      <c r="E372" s="31">
        <f>IFERROR(__xludf.DUMMYFUNCTION("GOOGLEFINANCE(A372,""change"")"),1.13)</f>
        <v>1.13</v>
      </c>
      <c r="F372" s="32">
        <f>IFERROR(__xludf.DUMMYFUNCTION("GOOGLEFINANCE(A372,""changepct"")/100"),0.022000000000000002)</f>
        <v>0.022</v>
      </c>
      <c r="G372" s="33">
        <f>IFERROR(__xludf.DUMMYFUNCTION("GOOGLEFINANCE(A372,""priceopen"")"),51.32)</f>
        <v>51.32</v>
      </c>
      <c r="H372" s="34">
        <f>IFERROR(__xludf.DUMMYFUNCTION("GOOGLEFINANCE(A372,""closeyest"")"),51.31)</f>
        <v>51.31</v>
      </c>
      <c r="I372" s="34">
        <f>IFERROR(__xludf.DUMMYFUNCTION("GOOGLEFINANCE(A372,""low52"")"),27.01)</f>
        <v>27.01</v>
      </c>
      <c r="J372" s="34">
        <f>IFERROR(__xludf.DUMMYFUNCTION("GOOGLEFINANCE(A372,""high52"")"),76.35)</f>
        <v>76.35</v>
      </c>
    </row>
    <row r="373">
      <c r="A373" s="30" t="str">
        <f>'6image_RS_benchmark_performance'!A373</f>
        <v>LQD</v>
      </c>
      <c r="B373" s="31">
        <f>IFERROR(__xludf.DUMMYFUNCTION("GOOGLEFINANCE(A373,""price"")"),135.75)</f>
        <v>135.75</v>
      </c>
      <c r="C373" s="31">
        <f>IFERROR(__xludf.DUMMYFUNCTION("GOOGLEFINANCE(A373,""high"")"),136.53)</f>
        <v>136.53</v>
      </c>
      <c r="D373" s="31">
        <f>IFERROR(__xludf.DUMMYFUNCTION("GOOGLEFINANCE(A373,""low"")"),135.57)</f>
        <v>135.57</v>
      </c>
      <c r="E373" s="31">
        <f>IFERROR(__xludf.DUMMYFUNCTION("GOOGLEFINANCE(A373,""change"")"),-0.19)</f>
        <v>-0.19</v>
      </c>
      <c r="F373" s="32">
        <f>IFERROR(__xludf.DUMMYFUNCTION("GOOGLEFINANCE(A373,""changepct"")/100"),-0.0014000000000000002)</f>
        <v>-0.0014</v>
      </c>
      <c r="G373" s="33">
        <f>IFERROR(__xludf.DUMMYFUNCTION("GOOGLEFINANCE(A373,""priceopen"")"),136.37)</f>
        <v>136.37</v>
      </c>
      <c r="H373" s="34">
        <f>IFERROR(__xludf.DUMMYFUNCTION("GOOGLEFINANCE(A373,""closeyest"")"),135.94)</f>
        <v>135.94</v>
      </c>
      <c r="I373" s="34">
        <f>IFERROR(__xludf.DUMMYFUNCTION("GOOGLEFINANCE(A373,""low52"")"),127.91)</f>
        <v>127.91</v>
      </c>
      <c r="J373" s="34">
        <f>IFERROR(__xludf.DUMMYFUNCTION("GOOGLEFINANCE(A373,""high52"")"),139.38)</f>
        <v>139.38</v>
      </c>
    </row>
    <row r="374">
      <c r="A374" s="30" t="str">
        <f>'6image_RS_benchmark_performance'!A374</f>
        <v>LRCX</v>
      </c>
      <c r="B374" s="31">
        <f>IFERROR(__xludf.DUMMYFUNCTION("GOOGLEFINANCE(A374,""price"")"),607.09)</f>
        <v>607.09</v>
      </c>
      <c r="C374" s="31">
        <f>IFERROR(__xludf.DUMMYFUNCTION("GOOGLEFINANCE(A374,""high"")"),611.78)</f>
        <v>611.78</v>
      </c>
      <c r="D374" s="31">
        <f>IFERROR(__xludf.DUMMYFUNCTION("GOOGLEFINANCE(A374,""low"")"),588.19)</f>
        <v>588.19</v>
      </c>
      <c r="E374" s="31">
        <f>IFERROR(__xludf.DUMMYFUNCTION("GOOGLEFINANCE(A374,""change"")"),15.57)</f>
        <v>15.57</v>
      </c>
      <c r="F374" s="32">
        <f>IFERROR(__xludf.DUMMYFUNCTION("GOOGLEFINANCE(A374,""changepct"")/100"),0.0263)</f>
        <v>0.0263</v>
      </c>
      <c r="G374" s="33">
        <f>IFERROR(__xludf.DUMMYFUNCTION("GOOGLEFINANCE(A374,""priceopen"")"),595.94)</f>
        <v>595.94</v>
      </c>
      <c r="H374" s="34">
        <f>IFERROR(__xludf.DUMMYFUNCTION("GOOGLEFINANCE(A374,""closeyest"")"),591.52)</f>
        <v>591.52</v>
      </c>
      <c r="I374" s="34">
        <f>IFERROR(__xludf.DUMMYFUNCTION("GOOGLEFINANCE(A374,""low52"")"),292.28)</f>
        <v>292.28</v>
      </c>
      <c r="J374" s="34">
        <f>IFERROR(__xludf.DUMMYFUNCTION("GOOGLEFINANCE(A374,""high52"")"),673.8)</f>
        <v>673.8</v>
      </c>
    </row>
    <row r="375">
      <c r="A375" s="30" t="str">
        <f>'6image_RS_benchmark_performance'!A375</f>
        <v>LULU</v>
      </c>
      <c r="B375" s="31">
        <f>IFERROR(__xludf.DUMMYFUNCTION("GOOGLEFINANCE(A375,""price"")"),383.3)</f>
        <v>383.3</v>
      </c>
      <c r="C375" s="31">
        <f>IFERROR(__xludf.DUMMYFUNCTION("GOOGLEFINANCE(A375,""high"")"),387.92)</f>
        <v>387.92</v>
      </c>
      <c r="D375" s="31">
        <f>IFERROR(__xludf.DUMMYFUNCTION("GOOGLEFINANCE(A375,""low"")"),373.56)</f>
        <v>373.56</v>
      </c>
      <c r="E375" s="31">
        <f>IFERROR(__xludf.DUMMYFUNCTION("GOOGLEFINANCE(A375,""change"")"),10.26)</f>
        <v>10.26</v>
      </c>
      <c r="F375" s="32">
        <f>IFERROR(__xludf.DUMMYFUNCTION("GOOGLEFINANCE(A375,""changepct"")/100"),0.0275)</f>
        <v>0.0275</v>
      </c>
      <c r="G375" s="33">
        <f>IFERROR(__xludf.DUMMYFUNCTION("GOOGLEFINANCE(A375,""priceopen"")"),375.27)</f>
        <v>375.27</v>
      </c>
      <c r="H375" s="34">
        <f>IFERROR(__xludf.DUMMYFUNCTION("GOOGLEFINANCE(A375,""closeyest"")"),373.04)</f>
        <v>373.04</v>
      </c>
      <c r="I375" s="34">
        <f>IFERROR(__xludf.DUMMYFUNCTION("GOOGLEFINANCE(A375,""low52"")"),269.28)</f>
        <v>269.28</v>
      </c>
      <c r="J375" s="34">
        <f>IFERROR(__xludf.DUMMYFUNCTION("GOOGLEFINANCE(A375,""high52"")"),399.9)</f>
        <v>399.9</v>
      </c>
    </row>
    <row r="376">
      <c r="A376" s="30" t="str">
        <f>'6image_RS_benchmark_performance'!A376</f>
        <v>LUMN</v>
      </c>
      <c r="B376" s="31">
        <f>IFERROR(__xludf.DUMMYFUNCTION("GOOGLEFINANCE(A376,""price"")"),12.85)</f>
        <v>12.85</v>
      </c>
      <c r="C376" s="31">
        <f>IFERROR(__xludf.DUMMYFUNCTION("GOOGLEFINANCE(A376,""high"")"),13.02)</f>
        <v>13.02</v>
      </c>
      <c r="D376" s="31">
        <f>IFERROR(__xludf.DUMMYFUNCTION("GOOGLEFINANCE(A376,""low"")"),12.64)</f>
        <v>12.64</v>
      </c>
      <c r="E376" s="31">
        <f>IFERROR(__xludf.DUMMYFUNCTION("GOOGLEFINANCE(A376,""change"")"),0.22)</f>
        <v>0.22</v>
      </c>
      <c r="F376" s="32">
        <f>IFERROR(__xludf.DUMMYFUNCTION("GOOGLEFINANCE(A376,""changepct"")/100"),0.0174)</f>
        <v>0.0174</v>
      </c>
      <c r="G376" s="33">
        <f>IFERROR(__xludf.DUMMYFUNCTION("GOOGLEFINANCE(A376,""priceopen"")"),12.73)</f>
        <v>12.73</v>
      </c>
      <c r="H376" s="34">
        <f>IFERROR(__xludf.DUMMYFUNCTION("GOOGLEFINANCE(A376,""closeyest"")"),12.63)</f>
        <v>12.63</v>
      </c>
      <c r="I376" s="34">
        <f>IFERROR(__xludf.DUMMYFUNCTION("GOOGLEFINANCE(A376,""low52"")"),8.51)</f>
        <v>8.51</v>
      </c>
      <c r="J376" s="34">
        <f>IFERROR(__xludf.DUMMYFUNCTION("GOOGLEFINANCE(A376,""high52"")"),16.6)</f>
        <v>16.6</v>
      </c>
    </row>
    <row r="377">
      <c r="A377" s="30" t="str">
        <f>'6image_RS_benchmark_performance'!A377</f>
        <v>LUV</v>
      </c>
      <c r="B377" s="31">
        <f>IFERROR(__xludf.DUMMYFUNCTION("GOOGLEFINANCE(A377,""price"")"),51.43)</f>
        <v>51.43</v>
      </c>
      <c r="C377" s="31">
        <f>IFERROR(__xludf.DUMMYFUNCTION("GOOGLEFINANCE(A377,""high"")"),51.59)</f>
        <v>51.59</v>
      </c>
      <c r="D377" s="31">
        <f>IFERROR(__xludf.DUMMYFUNCTION("GOOGLEFINANCE(A377,""low"")"),48.56)</f>
        <v>48.56</v>
      </c>
      <c r="E377" s="31">
        <f>IFERROR(__xludf.DUMMYFUNCTION("GOOGLEFINANCE(A377,""change"")"),2.93)</f>
        <v>2.93</v>
      </c>
      <c r="F377" s="32">
        <f>IFERROR(__xludf.DUMMYFUNCTION("GOOGLEFINANCE(A377,""changepct"")/100"),0.0604)</f>
        <v>0.0604</v>
      </c>
      <c r="G377" s="33">
        <f>IFERROR(__xludf.DUMMYFUNCTION("GOOGLEFINANCE(A377,""priceopen"")"),48.86)</f>
        <v>48.86</v>
      </c>
      <c r="H377" s="34">
        <f>IFERROR(__xludf.DUMMYFUNCTION("GOOGLEFINANCE(A377,""closeyest"")"),48.5)</f>
        <v>48.5</v>
      </c>
      <c r="I377" s="34">
        <f>IFERROR(__xludf.DUMMYFUNCTION("GOOGLEFINANCE(A377,""low52"")"),30.24)</f>
        <v>30.24</v>
      </c>
      <c r="J377" s="34">
        <f>IFERROR(__xludf.DUMMYFUNCTION("GOOGLEFINANCE(A377,""high52"")"),64.75)</f>
        <v>64.75</v>
      </c>
    </row>
    <row r="378">
      <c r="A378" s="30" t="str">
        <f>'6image_RS_benchmark_performance'!A378</f>
        <v>LVS</v>
      </c>
      <c r="B378" s="31">
        <f>IFERROR(__xludf.DUMMYFUNCTION("GOOGLEFINANCE(A378,""price"")"),47.78)</f>
        <v>47.78</v>
      </c>
      <c r="C378" s="31">
        <f>IFERROR(__xludf.DUMMYFUNCTION("GOOGLEFINANCE(A378,""high"")"),48.2)</f>
        <v>48.2</v>
      </c>
      <c r="D378" s="31">
        <f>IFERROR(__xludf.DUMMYFUNCTION("GOOGLEFINANCE(A378,""low"")"),46.79)</f>
        <v>46.79</v>
      </c>
      <c r="E378" s="31">
        <f>IFERROR(__xludf.DUMMYFUNCTION("GOOGLEFINANCE(A378,""change"")"),0.44)</f>
        <v>0.44</v>
      </c>
      <c r="F378" s="32">
        <f>IFERROR(__xludf.DUMMYFUNCTION("GOOGLEFINANCE(A378,""changepct"")/100"),0.009300000000000001)</f>
        <v>0.0093</v>
      </c>
      <c r="G378" s="33">
        <f>IFERROR(__xludf.DUMMYFUNCTION("GOOGLEFINANCE(A378,""priceopen"")"),47.17)</f>
        <v>47.17</v>
      </c>
      <c r="H378" s="34">
        <f>IFERROR(__xludf.DUMMYFUNCTION("GOOGLEFINANCE(A378,""closeyest"")"),47.34)</f>
        <v>47.34</v>
      </c>
      <c r="I378" s="34">
        <f>IFERROR(__xludf.DUMMYFUNCTION("GOOGLEFINANCE(A378,""low52"")"),42.58)</f>
        <v>42.58</v>
      </c>
      <c r="J378" s="34">
        <f>IFERROR(__xludf.DUMMYFUNCTION("GOOGLEFINANCE(A378,""high52"")"),66.77)</f>
        <v>66.77</v>
      </c>
    </row>
    <row r="379">
      <c r="A379" s="30" t="str">
        <f>'6image_RS_benchmark_performance'!A379</f>
        <v>LW</v>
      </c>
      <c r="B379" s="31">
        <f>IFERROR(__xludf.DUMMYFUNCTION("GOOGLEFINANCE(A379,""price"")"),75.98)</f>
        <v>75.98</v>
      </c>
      <c r="C379" s="31">
        <f>IFERROR(__xludf.DUMMYFUNCTION("GOOGLEFINANCE(A379,""high"")"),76.34)</f>
        <v>76.34</v>
      </c>
      <c r="D379" s="31">
        <f>IFERROR(__xludf.DUMMYFUNCTION("GOOGLEFINANCE(A379,""low"")"),74.09)</f>
        <v>74.09</v>
      </c>
      <c r="E379" s="31">
        <f>IFERROR(__xludf.DUMMYFUNCTION("GOOGLEFINANCE(A379,""change"")"),1.88)</f>
        <v>1.88</v>
      </c>
      <c r="F379" s="32">
        <f>IFERROR(__xludf.DUMMYFUNCTION("GOOGLEFINANCE(A379,""changepct"")/100"),0.0254)</f>
        <v>0.0254</v>
      </c>
      <c r="G379" s="33">
        <f>IFERROR(__xludf.DUMMYFUNCTION("GOOGLEFINANCE(A379,""priceopen"")"),74.09)</f>
        <v>74.09</v>
      </c>
      <c r="H379" s="34">
        <f>IFERROR(__xludf.DUMMYFUNCTION("GOOGLEFINANCE(A379,""closeyest"")"),74.1)</f>
        <v>74.1</v>
      </c>
      <c r="I379" s="34">
        <f>IFERROR(__xludf.DUMMYFUNCTION("GOOGLEFINANCE(A379,""low52"")"),58.68)</f>
        <v>58.68</v>
      </c>
      <c r="J379" s="34">
        <f>IFERROR(__xludf.DUMMYFUNCTION("GOOGLEFINANCE(A379,""high52"")"),86.41)</f>
        <v>86.41</v>
      </c>
    </row>
    <row r="380">
      <c r="A380" s="30" t="str">
        <f>'6image_RS_benchmark_performance'!A380</f>
        <v>LYB</v>
      </c>
      <c r="B380" s="31">
        <f>IFERROR(__xludf.DUMMYFUNCTION("GOOGLEFINANCE(A380,""price"")"),95.0)</f>
        <v>95</v>
      </c>
      <c r="C380" s="31">
        <f>IFERROR(__xludf.DUMMYFUNCTION("GOOGLEFINANCE(A380,""high"")"),95.94)</f>
        <v>95.94</v>
      </c>
      <c r="D380" s="31">
        <f>IFERROR(__xludf.DUMMYFUNCTION("GOOGLEFINANCE(A380,""low"")"),92.59)</f>
        <v>92.59</v>
      </c>
      <c r="E380" s="31">
        <f>IFERROR(__xludf.DUMMYFUNCTION("GOOGLEFINANCE(A380,""change"")"),2.71)</f>
        <v>2.71</v>
      </c>
      <c r="F380" s="32">
        <f>IFERROR(__xludf.DUMMYFUNCTION("GOOGLEFINANCE(A380,""changepct"")/100"),0.0294)</f>
        <v>0.0294</v>
      </c>
      <c r="G380" s="33">
        <f>IFERROR(__xludf.DUMMYFUNCTION("GOOGLEFINANCE(A380,""priceopen"")"),92.84)</f>
        <v>92.84</v>
      </c>
      <c r="H380" s="34">
        <f>IFERROR(__xludf.DUMMYFUNCTION("GOOGLEFINANCE(A380,""closeyest"")"),92.29)</f>
        <v>92.29</v>
      </c>
      <c r="I380" s="34">
        <f>IFERROR(__xludf.DUMMYFUNCTION("GOOGLEFINANCE(A380,""low52"")"),61.52)</f>
        <v>61.52</v>
      </c>
      <c r="J380" s="34">
        <f>IFERROR(__xludf.DUMMYFUNCTION("GOOGLEFINANCE(A380,""high52"")"),118.02)</f>
        <v>118.02</v>
      </c>
    </row>
    <row r="381">
      <c r="A381" s="30" t="str">
        <f>'6image_RS_benchmark_performance'!A381</f>
        <v>LYFT</v>
      </c>
      <c r="B381" s="31">
        <f>IFERROR(__xludf.DUMMYFUNCTION("GOOGLEFINANCE(A381,""price"")"),52.95)</f>
        <v>52.95</v>
      </c>
      <c r="C381" s="31">
        <f>IFERROR(__xludf.DUMMYFUNCTION("GOOGLEFINANCE(A381,""high"")"),53.06)</f>
        <v>53.06</v>
      </c>
      <c r="D381" s="31">
        <f>IFERROR(__xludf.DUMMYFUNCTION("GOOGLEFINANCE(A381,""low"")"),50.78)</f>
        <v>50.78</v>
      </c>
      <c r="E381" s="31">
        <f>IFERROR(__xludf.DUMMYFUNCTION("GOOGLEFINANCE(A381,""change"")"),1.23)</f>
        <v>1.23</v>
      </c>
      <c r="F381" s="32">
        <f>IFERROR(__xludf.DUMMYFUNCTION("GOOGLEFINANCE(A381,""changepct"")/100"),0.023799999999999998)</f>
        <v>0.0238</v>
      </c>
      <c r="G381" s="33">
        <f>IFERROR(__xludf.DUMMYFUNCTION("GOOGLEFINANCE(A381,""priceopen"")"),52.01)</f>
        <v>52.01</v>
      </c>
      <c r="H381" s="34">
        <f>IFERROR(__xludf.DUMMYFUNCTION("GOOGLEFINANCE(A381,""closeyest"")"),51.72)</f>
        <v>51.72</v>
      </c>
      <c r="I381" s="34">
        <f>IFERROR(__xludf.DUMMYFUNCTION("GOOGLEFINANCE(A381,""low52"")"),21.34)</f>
        <v>21.34</v>
      </c>
      <c r="J381" s="34">
        <f>IFERROR(__xludf.DUMMYFUNCTION("GOOGLEFINANCE(A381,""high52"")"),68.28)</f>
        <v>68.28</v>
      </c>
    </row>
    <row r="382">
      <c r="A382" s="30" t="str">
        <f>'6image_RS_benchmark_performance'!A382</f>
        <v>LYV</v>
      </c>
      <c r="B382" s="31">
        <f>IFERROR(__xludf.DUMMYFUNCTION("GOOGLEFINANCE(A382,""price"")"),76.99)</f>
        <v>76.99</v>
      </c>
      <c r="C382" s="31">
        <f>IFERROR(__xludf.DUMMYFUNCTION("GOOGLEFINANCE(A382,""high"")"),77.5)</f>
        <v>77.5</v>
      </c>
      <c r="D382" s="31">
        <f>IFERROR(__xludf.DUMMYFUNCTION("GOOGLEFINANCE(A382,""low"")"),74.5)</f>
        <v>74.5</v>
      </c>
      <c r="E382" s="31">
        <f>IFERROR(__xludf.DUMMYFUNCTION("GOOGLEFINANCE(A382,""change"")"),2.2)</f>
        <v>2.2</v>
      </c>
      <c r="F382" s="32">
        <f>IFERROR(__xludf.DUMMYFUNCTION("GOOGLEFINANCE(A382,""changepct"")/100"),0.0294)</f>
        <v>0.0294</v>
      </c>
      <c r="G382" s="33">
        <f>IFERROR(__xludf.DUMMYFUNCTION("GOOGLEFINANCE(A382,""priceopen"")"),75.41)</f>
        <v>75.41</v>
      </c>
      <c r="H382" s="34">
        <f>IFERROR(__xludf.DUMMYFUNCTION("GOOGLEFINANCE(A382,""closeyest"")"),74.79)</f>
        <v>74.79</v>
      </c>
      <c r="I382" s="34">
        <f>IFERROR(__xludf.DUMMYFUNCTION("GOOGLEFINANCE(A382,""low52"")"),44.95)</f>
        <v>44.95</v>
      </c>
      <c r="J382" s="34">
        <f>IFERROR(__xludf.DUMMYFUNCTION("GOOGLEFINANCE(A382,""high52"")"),94.63)</f>
        <v>94.63</v>
      </c>
    </row>
    <row r="383">
      <c r="A383" s="30" t="str">
        <f>'6image_RS_benchmark_performance'!A383</f>
        <v>MA</v>
      </c>
      <c r="B383" s="31">
        <f>IFERROR(__xludf.DUMMYFUNCTION("GOOGLEFINANCE(A383,""price"")"),374.39)</f>
        <v>374.39</v>
      </c>
      <c r="C383" s="31">
        <f>IFERROR(__xludf.DUMMYFUNCTION("GOOGLEFINANCE(A383,""high"")"),376.6)</f>
        <v>376.6</v>
      </c>
      <c r="D383" s="31">
        <f>IFERROR(__xludf.DUMMYFUNCTION("GOOGLEFINANCE(A383,""low"")"),365.27)</f>
        <v>365.27</v>
      </c>
      <c r="E383" s="31">
        <f>IFERROR(__xludf.DUMMYFUNCTION("GOOGLEFINANCE(A383,""change"")"),8.94)</f>
        <v>8.94</v>
      </c>
      <c r="F383" s="32">
        <f>IFERROR(__xludf.DUMMYFUNCTION("GOOGLEFINANCE(A383,""changepct"")/100"),0.0245)</f>
        <v>0.0245</v>
      </c>
      <c r="G383" s="33">
        <f>IFERROR(__xludf.DUMMYFUNCTION("GOOGLEFINANCE(A383,""priceopen"")"),367.0)</f>
        <v>367</v>
      </c>
      <c r="H383" s="34">
        <f>IFERROR(__xludf.DUMMYFUNCTION("GOOGLEFINANCE(A383,""closeyest"")"),365.45)</f>
        <v>365.45</v>
      </c>
      <c r="I383" s="34">
        <f>IFERROR(__xludf.DUMMYFUNCTION("GOOGLEFINANCE(A383,""low52"")"),281.2)</f>
        <v>281.2</v>
      </c>
      <c r="J383" s="34">
        <f>IFERROR(__xludf.DUMMYFUNCTION("GOOGLEFINANCE(A383,""high52"")"),401.5)</f>
        <v>401.5</v>
      </c>
    </row>
    <row r="384">
      <c r="A384" s="30" t="str">
        <f>'6image_RS_benchmark_performance'!A384</f>
        <v>MAA</v>
      </c>
      <c r="B384" s="31">
        <f>IFERROR(__xludf.DUMMYFUNCTION("GOOGLEFINANCE(A384,""price"")"),186.63)</f>
        <v>186.63</v>
      </c>
      <c r="C384" s="31">
        <f>IFERROR(__xludf.DUMMYFUNCTION("GOOGLEFINANCE(A384,""high"")"),187.35)</f>
        <v>187.35</v>
      </c>
      <c r="D384" s="31">
        <f>IFERROR(__xludf.DUMMYFUNCTION("GOOGLEFINANCE(A384,""low"")"),182.18)</f>
        <v>182.18</v>
      </c>
      <c r="E384" s="31">
        <f>IFERROR(__xludf.DUMMYFUNCTION("GOOGLEFINANCE(A384,""change"")"),3.64)</f>
        <v>3.64</v>
      </c>
      <c r="F384" s="32">
        <f>IFERROR(__xludf.DUMMYFUNCTION("GOOGLEFINANCE(A384,""changepct"")/100"),0.0199)</f>
        <v>0.0199</v>
      </c>
      <c r="G384" s="33">
        <f>IFERROR(__xludf.DUMMYFUNCTION("GOOGLEFINANCE(A384,""priceopen"")"),184.08)</f>
        <v>184.08</v>
      </c>
      <c r="H384" s="34">
        <f>IFERROR(__xludf.DUMMYFUNCTION("GOOGLEFINANCE(A384,""closeyest"")"),182.99)</f>
        <v>182.99</v>
      </c>
      <c r="I384" s="34">
        <f>IFERROR(__xludf.DUMMYFUNCTION("GOOGLEFINANCE(A384,""low52"")"),108.63)</f>
        <v>108.63</v>
      </c>
      <c r="J384" s="34">
        <f>IFERROR(__xludf.DUMMYFUNCTION("GOOGLEFINANCE(A384,""high52"")"),187.35)</f>
        <v>187.35</v>
      </c>
    </row>
    <row r="385">
      <c r="A385" s="30" t="str">
        <f>'6image_RS_benchmark_performance'!A385</f>
        <v>MAR</v>
      </c>
      <c r="B385" s="31">
        <f>IFERROR(__xludf.DUMMYFUNCTION("GOOGLEFINANCE(A385,""price"")"),135.03)</f>
        <v>135.03</v>
      </c>
      <c r="C385" s="31">
        <f>IFERROR(__xludf.DUMMYFUNCTION("GOOGLEFINANCE(A385,""high"")"),135.92)</f>
        <v>135.92</v>
      </c>
      <c r="D385" s="31">
        <f>IFERROR(__xludf.DUMMYFUNCTION("GOOGLEFINANCE(A385,""low"")"),130.34)</f>
        <v>130.34</v>
      </c>
      <c r="E385" s="31">
        <f>IFERROR(__xludf.DUMMYFUNCTION("GOOGLEFINANCE(A385,""change"")"),4.18)</f>
        <v>4.18</v>
      </c>
      <c r="F385" s="32">
        <f>IFERROR(__xludf.DUMMYFUNCTION("GOOGLEFINANCE(A385,""changepct"")/100"),0.0319)</f>
        <v>0.0319</v>
      </c>
      <c r="G385" s="33">
        <f>IFERROR(__xludf.DUMMYFUNCTION("GOOGLEFINANCE(A385,""priceopen"")"),131.28)</f>
        <v>131.28</v>
      </c>
      <c r="H385" s="34">
        <f>IFERROR(__xludf.DUMMYFUNCTION("GOOGLEFINANCE(A385,""closeyest"")"),130.85)</f>
        <v>130.85</v>
      </c>
      <c r="I385" s="34">
        <f>IFERROR(__xludf.DUMMYFUNCTION("GOOGLEFINANCE(A385,""low52"")"),81.3)</f>
        <v>81.3</v>
      </c>
      <c r="J385" s="34">
        <f>IFERROR(__xludf.DUMMYFUNCTION("GOOGLEFINANCE(A385,""high52"")"),159.98)</f>
        <v>159.98</v>
      </c>
    </row>
    <row r="386">
      <c r="A386" s="30" t="str">
        <f>'6image_RS_benchmark_performance'!A386</f>
        <v>MARA</v>
      </c>
      <c r="B386" s="31">
        <f>IFERROR(__xludf.DUMMYFUNCTION("GOOGLEFINANCE(A386,""price"")"),22.63)</f>
        <v>22.63</v>
      </c>
      <c r="C386" s="31">
        <f>IFERROR(__xludf.DUMMYFUNCTION("GOOGLEFINANCE(A386,""high"")"),22.9)</f>
        <v>22.9</v>
      </c>
      <c r="D386" s="31">
        <f>IFERROR(__xludf.DUMMYFUNCTION("GOOGLEFINANCE(A386,""low"")"),20.61)</f>
        <v>20.61</v>
      </c>
      <c r="E386" s="31">
        <f>IFERROR(__xludf.DUMMYFUNCTION("GOOGLEFINANCE(A386,""change"")"),0.28)</f>
        <v>0.28</v>
      </c>
      <c r="F386" s="32">
        <f>IFERROR(__xludf.DUMMYFUNCTION("GOOGLEFINANCE(A386,""changepct"")/100"),0.0125)</f>
        <v>0.0125</v>
      </c>
      <c r="G386" s="33">
        <f>IFERROR(__xludf.DUMMYFUNCTION("GOOGLEFINANCE(A386,""priceopen"")"),21.95)</f>
        <v>21.95</v>
      </c>
      <c r="H386" s="34">
        <f>IFERROR(__xludf.DUMMYFUNCTION("GOOGLEFINANCE(A386,""closeyest"")"),22.35)</f>
        <v>22.35</v>
      </c>
      <c r="I386" s="34">
        <f>IFERROR(__xludf.DUMMYFUNCTION("GOOGLEFINANCE(A386,""low52"")"),0.9)</f>
        <v>0.9</v>
      </c>
      <c r="J386" s="34">
        <f>IFERROR(__xludf.DUMMYFUNCTION("GOOGLEFINANCE(A386,""high52"")"),57.75)</f>
        <v>57.75</v>
      </c>
    </row>
    <row r="387">
      <c r="A387" s="30" t="str">
        <f>'6image_RS_benchmark_performance'!A387</f>
        <v>MAS</v>
      </c>
      <c r="B387" s="31">
        <f>IFERROR(__xludf.DUMMYFUNCTION("GOOGLEFINANCE(A387,""price"")"),59.13)</f>
        <v>59.13</v>
      </c>
      <c r="C387" s="31">
        <f>IFERROR(__xludf.DUMMYFUNCTION("GOOGLEFINANCE(A387,""high"")"),59.48)</f>
        <v>59.48</v>
      </c>
      <c r="D387" s="31">
        <f>IFERROR(__xludf.DUMMYFUNCTION("GOOGLEFINANCE(A387,""low"")"),58.63)</f>
        <v>58.63</v>
      </c>
      <c r="E387" s="31">
        <f>IFERROR(__xludf.DUMMYFUNCTION("GOOGLEFINANCE(A387,""change"")"),0.05)</f>
        <v>0.05</v>
      </c>
      <c r="F387" s="32">
        <f>IFERROR(__xludf.DUMMYFUNCTION("GOOGLEFINANCE(A387,""changepct"")/100"),8.0E-4)</f>
        <v>0.0008</v>
      </c>
      <c r="G387" s="33">
        <f>IFERROR(__xludf.DUMMYFUNCTION("GOOGLEFINANCE(A387,""priceopen"")"),59.38)</f>
        <v>59.38</v>
      </c>
      <c r="H387" s="34">
        <f>IFERROR(__xludf.DUMMYFUNCTION("GOOGLEFINANCE(A387,""closeyest"")"),59.08)</f>
        <v>59.08</v>
      </c>
      <c r="I387" s="34">
        <f>IFERROR(__xludf.DUMMYFUNCTION("GOOGLEFINANCE(A387,""low52"")"),51.53)</f>
        <v>51.53</v>
      </c>
      <c r="J387" s="34">
        <f>IFERROR(__xludf.DUMMYFUNCTION("GOOGLEFINANCE(A387,""high52"")"),68.54)</f>
        <v>68.54</v>
      </c>
    </row>
    <row r="388">
      <c r="A388" s="30" t="str">
        <f>'6image_RS_benchmark_performance'!A388</f>
        <v>MCD</v>
      </c>
      <c r="B388" s="31">
        <f>IFERROR(__xludf.DUMMYFUNCTION("GOOGLEFINANCE(A388,""price"")"),234.27)</f>
        <v>234.27</v>
      </c>
      <c r="C388" s="31">
        <f>IFERROR(__xludf.DUMMYFUNCTION("GOOGLEFINANCE(A388,""high"")"),235.52)</f>
        <v>235.52</v>
      </c>
      <c r="D388" s="31">
        <f>IFERROR(__xludf.DUMMYFUNCTION("GOOGLEFINANCE(A388,""low"")"),230.21)</f>
        <v>230.21</v>
      </c>
      <c r="E388" s="31">
        <f>IFERROR(__xludf.DUMMYFUNCTION("GOOGLEFINANCE(A388,""change"")"),5.01)</f>
        <v>5.01</v>
      </c>
      <c r="F388" s="32">
        <f>IFERROR(__xludf.DUMMYFUNCTION("GOOGLEFINANCE(A388,""changepct"")/100"),0.0219)</f>
        <v>0.0219</v>
      </c>
      <c r="G388" s="33">
        <f>IFERROR(__xludf.DUMMYFUNCTION("GOOGLEFINANCE(A388,""priceopen"")"),230.65)</f>
        <v>230.65</v>
      </c>
      <c r="H388" s="34">
        <f>IFERROR(__xludf.DUMMYFUNCTION("GOOGLEFINANCE(A388,""closeyest"")"),229.26)</f>
        <v>229.26</v>
      </c>
      <c r="I388" s="34">
        <f>IFERROR(__xludf.DUMMYFUNCTION("GOOGLEFINANCE(A388,""low52"")"),190.37)</f>
        <v>190.37</v>
      </c>
      <c r="J388" s="34">
        <f>IFERROR(__xludf.DUMMYFUNCTION("GOOGLEFINANCE(A388,""high52"")"),239.05)</f>
        <v>239.05</v>
      </c>
    </row>
    <row r="389">
      <c r="A389" s="30" t="str">
        <f>'6image_RS_benchmark_performance'!A389</f>
        <v>MCHI</v>
      </c>
      <c r="B389" s="31">
        <f>IFERROR(__xludf.DUMMYFUNCTION("GOOGLEFINANCE(A389,""price"")"),76.84)</f>
        <v>76.84</v>
      </c>
      <c r="C389" s="31">
        <f>IFERROR(__xludf.DUMMYFUNCTION("GOOGLEFINANCE(A389,""high"")"),77.09)</f>
        <v>77.09</v>
      </c>
      <c r="D389" s="31">
        <f>IFERROR(__xludf.DUMMYFUNCTION("GOOGLEFINANCE(A389,""low"")"),76.12)</f>
        <v>76.12</v>
      </c>
      <c r="E389" s="31">
        <f>IFERROR(__xludf.DUMMYFUNCTION("GOOGLEFINANCE(A389,""change"")"),-0.13)</f>
        <v>-0.13</v>
      </c>
      <c r="F389" s="32">
        <f>IFERROR(__xludf.DUMMYFUNCTION("GOOGLEFINANCE(A389,""changepct"")/100"),-0.0017000000000000001)</f>
        <v>-0.0017</v>
      </c>
      <c r="G389" s="33">
        <f>IFERROR(__xludf.DUMMYFUNCTION("GOOGLEFINANCE(A389,""priceopen"")"),76.36)</f>
        <v>76.36</v>
      </c>
      <c r="H389" s="34">
        <f>IFERROR(__xludf.DUMMYFUNCTION("GOOGLEFINANCE(A389,""closeyest"")"),76.97)</f>
        <v>76.97</v>
      </c>
      <c r="I389" s="34">
        <f>IFERROR(__xludf.DUMMYFUNCTION("GOOGLEFINANCE(A389,""low52"")"),69.78)</f>
        <v>69.78</v>
      </c>
      <c r="J389" s="34">
        <f>IFERROR(__xludf.DUMMYFUNCTION("GOOGLEFINANCE(A389,""high52"")"),97.55)</f>
        <v>97.55</v>
      </c>
    </row>
    <row r="390">
      <c r="A390" s="30" t="str">
        <f>'6image_RS_benchmark_performance'!A390</f>
        <v>MCHP</v>
      </c>
      <c r="B390" s="31">
        <f>IFERROR(__xludf.DUMMYFUNCTION("GOOGLEFINANCE(A390,""price"")"),137.03)</f>
        <v>137.03</v>
      </c>
      <c r="C390" s="31">
        <f>IFERROR(__xludf.DUMMYFUNCTION("GOOGLEFINANCE(A390,""high"")"),138.31)</f>
        <v>138.31</v>
      </c>
      <c r="D390" s="31">
        <f>IFERROR(__xludf.DUMMYFUNCTION("GOOGLEFINANCE(A390,""low"")"),131.83)</f>
        <v>131.83</v>
      </c>
      <c r="E390" s="31">
        <f>IFERROR(__xludf.DUMMYFUNCTION("GOOGLEFINANCE(A390,""change"")"),5.05)</f>
        <v>5.05</v>
      </c>
      <c r="F390" s="32">
        <f>IFERROR(__xludf.DUMMYFUNCTION("GOOGLEFINANCE(A390,""changepct"")/100"),0.0383)</f>
        <v>0.0383</v>
      </c>
      <c r="G390" s="33">
        <f>IFERROR(__xludf.DUMMYFUNCTION("GOOGLEFINANCE(A390,""priceopen"")"),132.34)</f>
        <v>132.34</v>
      </c>
      <c r="H390" s="34">
        <f>IFERROR(__xludf.DUMMYFUNCTION("GOOGLEFINANCE(A390,""closeyest"")"),131.98)</f>
        <v>131.98</v>
      </c>
      <c r="I390" s="34">
        <f>IFERROR(__xludf.DUMMYFUNCTION("GOOGLEFINANCE(A390,""low52"")"),95.53)</f>
        <v>95.53</v>
      </c>
      <c r="J390" s="34">
        <f>IFERROR(__xludf.DUMMYFUNCTION("GOOGLEFINANCE(A390,""high52"")"),166.67)</f>
        <v>166.67</v>
      </c>
    </row>
    <row r="391">
      <c r="A391" s="30" t="str">
        <f>'6image_RS_benchmark_performance'!A391</f>
        <v>MCK</v>
      </c>
      <c r="B391" s="31">
        <f>IFERROR(__xludf.DUMMYFUNCTION("GOOGLEFINANCE(A391,""price"")"),194.36)</f>
        <v>194.36</v>
      </c>
      <c r="C391" s="31">
        <f>IFERROR(__xludf.DUMMYFUNCTION("GOOGLEFINANCE(A391,""high"")"),201.63)</f>
        <v>201.63</v>
      </c>
      <c r="D391" s="31">
        <f>IFERROR(__xludf.DUMMYFUNCTION("GOOGLEFINANCE(A391,""low"")"),193.27)</f>
        <v>193.27</v>
      </c>
      <c r="E391" s="31">
        <f>IFERROR(__xludf.DUMMYFUNCTION("GOOGLEFINANCE(A391,""change"")"),5.94)</f>
        <v>5.94</v>
      </c>
      <c r="F391" s="32">
        <f>IFERROR(__xludf.DUMMYFUNCTION("GOOGLEFINANCE(A391,""changepct"")/100"),0.0315)</f>
        <v>0.0315</v>
      </c>
      <c r="G391" s="33">
        <f>IFERROR(__xludf.DUMMYFUNCTION("GOOGLEFINANCE(A391,""priceopen"")"),198.01)</f>
        <v>198.01</v>
      </c>
      <c r="H391" s="34">
        <f>IFERROR(__xludf.DUMMYFUNCTION("GOOGLEFINANCE(A391,""closeyest"")"),188.42)</f>
        <v>188.42</v>
      </c>
      <c r="I391" s="34">
        <f>IFERROR(__xludf.DUMMYFUNCTION("GOOGLEFINANCE(A391,""low52"")"),141.32)</f>
        <v>141.32</v>
      </c>
      <c r="J391" s="34">
        <f>IFERROR(__xludf.DUMMYFUNCTION("GOOGLEFINANCE(A391,""high52"")"),204.66)</f>
        <v>204.66</v>
      </c>
    </row>
    <row r="392">
      <c r="A392" s="30" t="str">
        <f>'6image_RS_benchmark_performance'!A392</f>
        <v>MCO</v>
      </c>
      <c r="B392" s="31">
        <f>IFERROR(__xludf.DUMMYFUNCTION("GOOGLEFINANCE(A392,""price"")"),377.31)</f>
        <v>377.31</v>
      </c>
      <c r="C392" s="31">
        <f>IFERROR(__xludf.DUMMYFUNCTION("GOOGLEFINANCE(A392,""high"")"),379.31)</f>
        <v>379.31</v>
      </c>
      <c r="D392" s="31">
        <f>IFERROR(__xludf.DUMMYFUNCTION("GOOGLEFINANCE(A392,""low"")"),371.03)</f>
        <v>371.03</v>
      </c>
      <c r="E392" s="31">
        <f>IFERROR(__xludf.DUMMYFUNCTION("GOOGLEFINANCE(A392,""change"")"),5.48)</f>
        <v>5.48</v>
      </c>
      <c r="F392" s="32">
        <f>IFERROR(__xludf.DUMMYFUNCTION("GOOGLEFINANCE(A392,""changepct"")/100"),0.0147)</f>
        <v>0.0147</v>
      </c>
      <c r="G392" s="33">
        <f>IFERROR(__xludf.DUMMYFUNCTION("GOOGLEFINANCE(A392,""priceopen"")"),372.41)</f>
        <v>372.41</v>
      </c>
      <c r="H392" s="34">
        <f>IFERROR(__xludf.DUMMYFUNCTION("GOOGLEFINANCE(A392,""closeyest"")"),371.83)</f>
        <v>371.83</v>
      </c>
      <c r="I392" s="34">
        <f>IFERROR(__xludf.DUMMYFUNCTION("GOOGLEFINANCE(A392,""low52"")"),253.17)</f>
        <v>253.17</v>
      </c>
      <c r="J392" s="34">
        <f>IFERROR(__xludf.DUMMYFUNCTION("GOOGLEFINANCE(A392,""high52"")"),379.88)</f>
        <v>379.88</v>
      </c>
    </row>
    <row r="393">
      <c r="A393" s="30" t="str">
        <f>'6image_RS_benchmark_performance'!A393</f>
        <v>MDLZ</v>
      </c>
      <c r="B393" s="31">
        <f>IFERROR(__xludf.DUMMYFUNCTION("GOOGLEFINANCE(A393,""price"")"),64.41)</f>
        <v>64.41</v>
      </c>
      <c r="C393" s="31">
        <f>IFERROR(__xludf.DUMMYFUNCTION("GOOGLEFINANCE(A393,""high"")"),64.91)</f>
        <v>64.91</v>
      </c>
      <c r="D393" s="31">
        <f>IFERROR(__xludf.DUMMYFUNCTION("GOOGLEFINANCE(A393,""low"")"),64.26)</f>
        <v>64.26</v>
      </c>
      <c r="E393" s="31">
        <f>IFERROR(__xludf.DUMMYFUNCTION("GOOGLEFINANCE(A393,""change"")"),0.39)</f>
        <v>0.39</v>
      </c>
      <c r="F393" s="32">
        <f>IFERROR(__xludf.DUMMYFUNCTION("GOOGLEFINANCE(A393,""changepct"")/100"),0.0060999999999999995)</f>
        <v>0.0061</v>
      </c>
      <c r="G393" s="33">
        <f>IFERROR(__xludf.DUMMYFUNCTION("GOOGLEFINANCE(A393,""priceopen"")"),64.26)</f>
        <v>64.26</v>
      </c>
      <c r="H393" s="34">
        <f>IFERROR(__xludf.DUMMYFUNCTION("GOOGLEFINANCE(A393,""closeyest"")"),64.02)</f>
        <v>64.02</v>
      </c>
      <c r="I393" s="34">
        <f>IFERROR(__xludf.DUMMYFUNCTION("GOOGLEFINANCE(A393,""low52"")"),52.51)</f>
        <v>52.51</v>
      </c>
      <c r="J393" s="34">
        <f>IFERROR(__xludf.DUMMYFUNCTION("GOOGLEFINANCE(A393,""high52"")"),64.97)</f>
        <v>64.97</v>
      </c>
    </row>
    <row r="394">
      <c r="A394" s="30" t="str">
        <f>'6image_RS_benchmark_performance'!A394</f>
        <v>MDT</v>
      </c>
      <c r="B394" s="31">
        <f>IFERROR(__xludf.DUMMYFUNCTION("GOOGLEFINANCE(A394,""price"")"),125.51)</f>
        <v>125.51</v>
      </c>
      <c r="C394" s="31">
        <f>IFERROR(__xludf.DUMMYFUNCTION("GOOGLEFINANCE(A394,""high"")"),126.12)</f>
        <v>126.12</v>
      </c>
      <c r="D394" s="31">
        <f>IFERROR(__xludf.DUMMYFUNCTION("GOOGLEFINANCE(A394,""low"")"),122.76)</f>
        <v>122.76</v>
      </c>
      <c r="E394" s="31">
        <f>IFERROR(__xludf.DUMMYFUNCTION("GOOGLEFINANCE(A394,""change"")"),2.76)</f>
        <v>2.76</v>
      </c>
      <c r="F394" s="32">
        <f>IFERROR(__xludf.DUMMYFUNCTION("GOOGLEFINANCE(A394,""changepct"")/100"),0.0225)</f>
        <v>0.0225</v>
      </c>
      <c r="G394" s="33">
        <f>IFERROR(__xludf.DUMMYFUNCTION("GOOGLEFINANCE(A394,""priceopen"")"),122.76)</f>
        <v>122.76</v>
      </c>
      <c r="H394" s="34">
        <f>IFERROR(__xludf.DUMMYFUNCTION("GOOGLEFINANCE(A394,""closeyest"")"),122.75)</f>
        <v>122.75</v>
      </c>
      <c r="I394" s="34">
        <f>IFERROR(__xludf.DUMMYFUNCTION("GOOGLEFINANCE(A394,""low52"")"),94.64)</f>
        <v>94.64</v>
      </c>
      <c r="J394" s="34">
        <f>IFERROR(__xludf.DUMMYFUNCTION("GOOGLEFINANCE(A394,""high52"")"),132.3)</f>
        <v>132.3</v>
      </c>
    </row>
    <row r="395">
      <c r="A395" s="30" t="str">
        <f>'6image_RS_benchmark_performance'!A395</f>
        <v>MELI</v>
      </c>
      <c r="B395" s="31">
        <f>IFERROR(__xludf.DUMMYFUNCTION("GOOGLEFINANCE(A395,""price"")"),1542.15)</f>
        <v>1542.15</v>
      </c>
      <c r="C395" s="31">
        <f>IFERROR(__xludf.DUMMYFUNCTION("GOOGLEFINANCE(A395,""high"")"),1553.97)</f>
        <v>1553.97</v>
      </c>
      <c r="D395" s="31">
        <f>IFERROR(__xludf.DUMMYFUNCTION("GOOGLEFINANCE(A395,""low"")"),1483.42)</f>
        <v>1483.42</v>
      </c>
      <c r="E395" s="31">
        <f>IFERROR(__xludf.DUMMYFUNCTION("GOOGLEFINANCE(A395,""change"")"),44.88)</f>
        <v>44.88</v>
      </c>
      <c r="F395" s="32">
        <f>IFERROR(__xludf.DUMMYFUNCTION("GOOGLEFINANCE(A395,""changepct"")/100"),0.03)</f>
        <v>0.03</v>
      </c>
      <c r="G395" s="33">
        <f>IFERROR(__xludf.DUMMYFUNCTION("GOOGLEFINANCE(A395,""priceopen"")"),1507.19)</f>
        <v>1507.19</v>
      </c>
      <c r="H395" s="34">
        <f>IFERROR(__xludf.DUMMYFUNCTION("GOOGLEFINANCE(A395,""closeyest"")"),1497.27)</f>
        <v>1497.27</v>
      </c>
      <c r="I395" s="34">
        <f>IFERROR(__xludf.DUMMYFUNCTION("GOOGLEFINANCE(A395,""low52"")"),952.22)</f>
        <v>952.22</v>
      </c>
      <c r="J395" s="34">
        <f>IFERROR(__xludf.DUMMYFUNCTION("GOOGLEFINANCE(A395,""high52"")"),2020.0)</f>
        <v>2020</v>
      </c>
    </row>
    <row r="396">
      <c r="A396" s="30" t="str">
        <f>'6image_RS_benchmark_performance'!A396</f>
        <v>MET</v>
      </c>
      <c r="B396" s="31">
        <f>IFERROR(__xludf.DUMMYFUNCTION("GOOGLEFINANCE(A396,""price"")"),57.7)</f>
        <v>57.7</v>
      </c>
      <c r="C396" s="31">
        <f>IFERROR(__xludf.DUMMYFUNCTION("GOOGLEFINANCE(A396,""high"")"),58.23)</f>
        <v>58.23</v>
      </c>
      <c r="D396" s="31">
        <f>IFERROR(__xludf.DUMMYFUNCTION("GOOGLEFINANCE(A396,""low"")"),55.55)</f>
        <v>55.55</v>
      </c>
      <c r="E396" s="31">
        <f>IFERROR(__xludf.DUMMYFUNCTION("GOOGLEFINANCE(A396,""change"")"),1.84)</f>
        <v>1.84</v>
      </c>
      <c r="F396" s="32">
        <f>IFERROR(__xludf.DUMMYFUNCTION("GOOGLEFINANCE(A396,""changepct"")/100"),0.0329)</f>
        <v>0.0329</v>
      </c>
      <c r="G396" s="33">
        <f>IFERROR(__xludf.DUMMYFUNCTION("GOOGLEFINANCE(A396,""priceopen"")"),55.65)</f>
        <v>55.65</v>
      </c>
      <c r="H396" s="34">
        <f>IFERROR(__xludf.DUMMYFUNCTION("GOOGLEFINANCE(A396,""closeyest"")"),55.86)</f>
        <v>55.86</v>
      </c>
      <c r="I396" s="34">
        <f>IFERROR(__xludf.DUMMYFUNCTION("GOOGLEFINANCE(A396,""low52"")"),35.19)</f>
        <v>35.19</v>
      </c>
      <c r="J396" s="34">
        <f>IFERROR(__xludf.DUMMYFUNCTION("GOOGLEFINANCE(A396,""high52"")"),67.68)</f>
        <v>67.68</v>
      </c>
    </row>
    <row r="397">
      <c r="A397" s="30" t="str">
        <f>'6image_RS_benchmark_performance'!A397</f>
        <v>MGM</v>
      </c>
      <c r="B397" s="31">
        <f>IFERROR(__xludf.DUMMYFUNCTION("GOOGLEFINANCE(A397,""price"")"),38.39)</f>
        <v>38.39</v>
      </c>
      <c r="C397" s="31">
        <f>IFERROR(__xludf.DUMMYFUNCTION("GOOGLEFINANCE(A397,""high"")"),38.78)</f>
        <v>38.78</v>
      </c>
      <c r="D397" s="31">
        <f>IFERROR(__xludf.DUMMYFUNCTION("GOOGLEFINANCE(A397,""low"")"),36.37)</f>
        <v>36.37</v>
      </c>
      <c r="E397" s="31">
        <f>IFERROR(__xludf.DUMMYFUNCTION("GOOGLEFINANCE(A397,""change"")"),1.76)</f>
        <v>1.76</v>
      </c>
      <c r="F397" s="32">
        <f>IFERROR(__xludf.DUMMYFUNCTION("GOOGLEFINANCE(A397,""changepct"")/100"),0.048)</f>
        <v>0.048</v>
      </c>
      <c r="G397" s="33">
        <f>IFERROR(__xludf.DUMMYFUNCTION("GOOGLEFINANCE(A397,""priceopen"")"),36.69)</f>
        <v>36.69</v>
      </c>
      <c r="H397" s="34">
        <f>IFERROR(__xludf.DUMMYFUNCTION("GOOGLEFINANCE(A397,""closeyest"")"),36.63)</f>
        <v>36.63</v>
      </c>
      <c r="I397" s="34">
        <f>IFERROR(__xludf.DUMMYFUNCTION("GOOGLEFINANCE(A397,""low52"")"),14.65)</f>
        <v>14.65</v>
      </c>
      <c r="J397" s="34">
        <f>IFERROR(__xludf.DUMMYFUNCTION("GOOGLEFINANCE(A397,""high52"")"),45.34)</f>
        <v>45.34</v>
      </c>
    </row>
    <row r="398">
      <c r="A398" s="30" t="str">
        <f>'6image_RS_benchmark_performance'!A398</f>
        <v>MGNI</v>
      </c>
      <c r="B398" s="31">
        <f>IFERROR(__xludf.DUMMYFUNCTION("GOOGLEFINANCE(A398,""price"")"),29.98)</f>
        <v>29.98</v>
      </c>
      <c r="C398" s="31">
        <f>IFERROR(__xludf.DUMMYFUNCTION("GOOGLEFINANCE(A398,""high"")"),30.33)</f>
        <v>30.33</v>
      </c>
      <c r="D398" s="31">
        <f>IFERROR(__xludf.DUMMYFUNCTION("GOOGLEFINANCE(A398,""low"")"),28.11)</f>
        <v>28.11</v>
      </c>
      <c r="E398" s="31">
        <f>IFERROR(__xludf.DUMMYFUNCTION("GOOGLEFINANCE(A398,""change"")"),1.5)</f>
        <v>1.5</v>
      </c>
      <c r="F398" s="32">
        <f>IFERROR(__xludf.DUMMYFUNCTION("GOOGLEFINANCE(A398,""changepct"")/100"),0.0527)</f>
        <v>0.0527</v>
      </c>
      <c r="G398" s="33">
        <f>IFERROR(__xludf.DUMMYFUNCTION("GOOGLEFINANCE(A398,""priceopen"")"),28.45)</f>
        <v>28.45</v>
      </c>
      <c r="H398" s="34">
        <f>IFERROR(__xludf.DUMMYFUNCTION("GOOGLEFINANCE(A398,""closeyest"")"),28.48)</f>
        <v>28.48</v>
      </c>
      <c r="I398" s="34">
        <f>IFERROR(__xludf.DUMMYFUNCTION("GOOGLEFINANCE(A398,""low52"")"),5.57)</f>
        <v>5.57</v>
      </c>
      <c r="J398" s="34">
        <f>IFERROR(__xludf.DUMMYFUNCTION("GOOGLEFINANCE(A398,""high52"")"),64.39)</f>
        <v>64.39</v>
      </c>
    </row>
    <row r="399">
      <c r="A399" s="30" t="str">
        <f>'6image_RS_benchmark_performance'!A399</f>
        <v>MHK</v>
      </c>
      <c r="B399" s="31">
        <f>IFERROR(__xludf.DUMMYFUNCTION("GOOGLEFINANCE(A399,""price"")"),186.52)</f>
        <v>186.52</v>
      </c>
      <c r="C399" s="31">
        <f>IFERROR(__xludf.DUMMYFUNCTION("GOOGLEFINANCE(A399,""high"")"),187.34)</f>
        <v>187.34</v>
      </c>
      <c r="D399" s="31">
        <f>IFERROR(__xludf.DUMMYFUNCTION("GOOGLEFINANCE(A399,""low"")"),178.73)</f>
        <v>178.73</v>
      </c>
      <c r="E399" s="31">
        <f>IFERROR(__xludf.DUMMYFUNCTION("GOOGLEFINANCE(A399,""change"")"),5.9)</f>
        <v>5.9</v>
      </c>
      <c r="F399" s="32">
        <f>IFERROR(__xludf.DUMMYFUNCTION("GOOGLEFINANCE(A399,""changepct"")/100"),0.0327)</f>
        <v>0.0327</v>
      </c>
      <c r="G399" s="33">
        <f>IFERROR(__xludf.DUMMYFUNCTION("GOOGLEFINANCE(A399,""priceopen"")"),180.76)</f>
        <v>180.76</v>
      </c>
      <c r="H399" s="34">
        <f>IFERROR(__xludf.DUMMYFUNCTION("GOOGLEFINANCE(A399,""closeyest"")"),180.62)</f>
        <v>180.62</v>
      </c>
      <c r="I399" s="34">
        <f>IFERROR(__xludf.DUMMYFUNCTION("GOOGLEFINANCE(A399,""low52"")"),77.19)</f>
        <v>77.19</v>
      </c>
      <c r="J399" s="34">
        <f>IFERROR(__xludf.DUMMYFUNCTION("GOOGLEFINANCE(A399,""high52"")"),231.8)</f>
        <v>231.8</v>
      </c>
    </row>
    <row r="400">
      <c r="A400" s="30" t="str">
        <f>'6image_RS_benchmark_performance'!A400</f>
        <v>MKC</v>
      </c>
      <c r="B400" s="31">
        <f>IFERROR(__xludf.DUMMYFUNCTION("GOOGLEFINANCE(A400,""price"")"),87.7)</f>
        <v>87.7</v>
      </c>
      <c r="C400" s="31">
        <f>IFERROR(__xludf.DUMMYFUNCTION("GOOGLEFINANCE(A400,""high"")"),89.53)</f>
        <v>89.53</v>
      </c>
      <c r="D400" s="31">
        <f>IFERROR(__xludf.DUMMYFUNCTION("GOOGLEFINANCE(A400,""low"")"),87.62)</f>
        <v>87.62</v>
      </c>
      <c r="E400" s="31">
        <f>IFERROR(__xludf.DUMMYFUNCTION("GOOGLEFINANCE(A400,""change"")"),-0.91)</f>
        <v>-0.91</v>
      </c>
      <c r="F400" s="32">
        <f>IFERROR(__xludf.DUMMYFUNCTION("GOOGLEFINANCE(A400,""changepct"")/100"),-0.0103)</f>
        <v>-0.0103</v>
      </c>
      <c r="G400" s="33">
        <f>IFERROR(__xludf.DUMMYFUNCTION("GOOGLEFINANCE(A400,""priceopen"")"),88.65)</f>
        <v>88.65</v>
      </c>
      <c r="H400" s="34">
        <f>IFERROR(__xludf.DUMMYFUNCTION("GOOGLEFINANCE(A400,""closeyest"")"),88.61)</f>
        <v>88.61</v>
      </c>
      <c r="I400" s="34">
        <f>IFERROR(__xludf.DUMMYFUNCTION("GOOGLEFINANCE(A400,""low52"")"),82.03)</f>
        <v>82.03</v>
      </c>
      <c r="J400" s="34">
        <f>IFERROR(__xludf.DUMMYFUNCTION("GOOGLEFINANCE(A400,""high52"")"),105.54)</f>
        <v>105.54</v>
      </c>
    </row>
    <row r="401">
      <c r="A401" s="30" t="str">
        <f>'6image_RS_benchmark_performance'!A401</f>
        <v>MKTX</v>
      </c>
      <c r="B401" s="31">
        <f>IFERROR(__xludf.DUMMYFUNCTION("GOOGLEFINANCE(A401,""price"")"),460.5)</f>
        <v>460.5</v>
      </c>
      <c r="C401" s="31">
        <f>IFERROR(__xludf.DUMMYFUNCTION("GOOGLEFINANCE(A401,""high"")"),465.53)</f>
        <v>465.53</v>
      </c>
      <c r="D401" s="31">
        <f>IFERROR(__xludf.DUMMYFUNCTION("GOOGLEFINANCE(A401,""low"")"),459.08)</f>
        <v>459.08</v>
      </c>
      <c r="E401" s="31">
        <f>IFERROR(__xludf.DUMMYFUNCTION("GOOGLEFINANCE(A401,""change"")"),-2.18)</f>
        <v>-2.18</v>
      </c>
      <c r="F401" s="32">
        <f>IFERROR(__xludf.DUMMYFUNCTION("GOOGLEFINANCE(A401,""changepct"")/100"),-0.004699999999999999)</f>
        <v>-0.0047</v>
      </c>
      <c r="G401" s="33">
        <f>IFERROR(__xludf.DUMMYFUNCTION("GOOGLEFINANCE(A401,""priceopen"")"),462.22)</f>
        <v>462.22</v>
      </c>
      <c r="H401" s="34">
        <f>IFERROR(__xludf.DUMMYFUNCTION("GOOGLEFINANCE(A401,""closeyest"")"),462.68)</f>
        <v>462.68</v>
      </c>
      <c r="I401" s="34">
        <f>IFERROR(__xludf.DUMMYFUNCTION("GOOGLEFINANCE(A401,""low52"")"),431.19)</f>
        <v>431.19</v>
      </c>
      <c r="J401" s="34">
        <f>IFERROR(__xludf.DUMMYFUNCTION("GOOGLEFINANCE(A401,""high52"")"),606.45)</f>
        <v>606.45</v>
      </c>
    </row>
    <row r="402">
      <c r="A402" s="30" t="str">
        <f>'6image_RS_benchmark_performance'!A402</f>
        <v>MLM</v>
      </c>
      <c r="B402" s="31">
        <f>IFERROR(__xludf.DUMMYFUNCTION("GOOGLEFINANCE(A402,""price"")"),346.99)</f>
        <v>346.99</v>
      </c>
      <c r="C402" s="31">
        <f>IFERROR(__xludf.DUMMYFUNCTION("GOOGLEFINANCE(A402,""high"")"),350.43)</f>
        <v>350.43</v>
      </c>
      <c r="D402" s="31">
        <f>IFERROR(__xludf.DUMMYFUNCTION("GOOGLEFINANCE(A402,""low"")"),340.1)</f>
        <v>340.1</v>
      </c>
      <c r="E402" s="31">
        <f>IFERROR(__xludf.DUMMYFUNCTION("GOOGLEFINANCE(A402,""change"")"),7.25)</f>
        <v>7.25</v>
      </c>
      <c r="F402" s="32">
        <f>IFERROR(__xludf.DUMMYFUNCTION("GOOGLEFINANCE(A402,""changepct"")/100"),0.0213)</f>
        <v>0.0213</v>
      </c>
      <c r="G402" s="33">
        <f>IFERROR(__xludf.DUMMYFUNCTION("GOOGLEFINANCE(A402,""priceopen"")"),340.5)</f>
        <v>340.5</v>
      </c>
      <c r="H402" s="34">
        <f>IFERROR(__xludf.DUMMYFUNCTION("GOOGLEFINANCE(A402,""closeyest"")"),339.74)</f>
        <v>339.74</v>
      </c>
      <c r="I402" s="34">
        <f>IFERROR(__xludf.DUMMYFUNCTION("GOOGLEFINANCE(A402,""low52"")"),201.04)</f>
        <v>201.04</v>
      </c>
      <c r="J402" s="34">
        <f>IFERROR(__xludf.DUMMYFUNCTION("GOOGLEFINANCE(A402,""high52"")"),383.71)</f>
        <v>383.71</v>
      </c>
    </row>
    <row r="403">
      <c r="A403" s="30" t="str">
        <f>'6image_RS_benchmark_performance'!A403</f>
        <v>MMC</v>
      </c>
      <c r="B403" s="31">
        <f>IFERROR(__xludf.DUMMYFUNCTION("GOOGLEFINANCE(A403,""price"")"),141.7)</f>
        <v>141.7</v>
      </c>
      <c r="C403" s="31">
        <f>IFERROR(__xludf.DUMMYFUNCTION("GOOGLEFINANCE(A403,""high"")"),142.27)</f>
        <v>142.27</v>
      </c>
      <c r="D403" s="31">
        <f>IFERROR(__xludf.DUMMYFUNCTION("GOOGLEFINANCE(A403,""low"")"),139.12)</f>
        <v>139.12</v>
      </c>
      <c r="E403" s="31">
        <f>IFERROR(__xludf.DUMMYFUNCTION("GOOGLEFINANCE(A403,""change"")"),2.66)</f>
        <v>2.66</v>
      </c>
      <c r="F403" s="32">
        <f>IFERROR(__xludf.DUMMYFUNCTION("GOOGLEFINANCE(A403,""changepct"")/100"),0.0191)</f>
        <v>0.0191</v>
      </c>
      <c r="G403" s="33">
        <f>IFERROR(__xludf.DUMMYFUNCTION("GOOGLEFINANCE(A403,""priceopen"")"),139.58)</f>
        <v>139.58</v>
      </c>
      <c r="H403" s="34">
        <f>IFERROR(__xludf.DUMMYFUNCTION("GOOGLEFINANCE(A403,""closeyest"")"),139.04)</f>
        <v>139.04</v>
      </c>
      <c r="I403" s="34">
        <f>IFERROR(__xludf.DUMMYFUNCTION("GOOGLEFINANCE(A403,""low52"")"),102.11)</f>
        <v>102.11</v>
      </c>
      <c r="J403" s="34">
        <f>IFERROR(__xludf.DUMMYFUNCTION("GOOGLEFINANCE(A403,""high52"")"),142.94)</f>
        <v>142.94</v>
      </c>
    </row>
    <row r="404">
      <c r="A404" s="30" t="str">
        <f>'6image_RS_benchmark_performance'!A404</f>
        <v>MMM</v>
      </c>
      <c r="B404" s="31">
        <f>IFERROR(__xludf.DUMMYFUNCTION("GOOGLEFINANCE(A404,""price"")"),200.82)</f>
        <v>200.82</v>
      </c>
      <c r="C404" s="31">
        <f>IFERROR(__xludf.DUMMYFUNCTION("GOOGLEFINANCE(A404,""high"")"),202.22)</f>
        <v>202.22</v>
      </c>
      <c r="D404" s="31">
        <f>IFERROR(__xludf.DUMMYFUNCTION("GOOGLEFINANCE(A404,""low"")"),198.07)</f>
        <v>198.07</v>
      </c>
      <c r="E404" s="31">
        <f>IFERROR(__xludf.DUMMYFUNCTION("GOOGLEFINANCE(A404,""change"")"),3.26)</f>
        <v>3.26</v>
      </c>
      <c r="F404" s="32">
        <f>IFERROR(__xludf.DUMMYFUNCTION("GOOGLEFINANCE(A404,""changepct"")/100"),0.0165)</f>
        <v>0.0165</v>
      </c>
      <c r="G404" s="33">
        <f>IFERROR(__xludf.DUMMYFUNCTION("GOOGLEFINANCE(A404,""priceopen"")"),198.34)</f>
        <v>198.34</v>
      </c>
      <c r="H404" s="34">
        <f>IFERROR(__xludf.DUMMYFUNCTION("GOOGLEFINANCE(A404,""closeyest"")"),197.56)</f>
        <v>197.56</v>
      </c>
      <c r="I404" s="34">
        <f>IFERROR(__xludf.DUMMYFUNCTION("GOOGLEFINANCE(A404,""low52"")"),148.8)</f>
        <v>148.8</v>
      </c>
      <c r="J404" s="34">
        <f>IFERROR(__xludf.DUMMYFUNCTION("GOOGLEFINANCE(A404,""high52"")"),208.95)</f>
        <v>208.95</v>
      </c>
    </row>
    <row r="405">
      <c r="A405" s="30" t="str">
        <f>'6image_RS_benchmark_performance'!A405</f>
        <v>MNST</v>
      </c>
      <c r="B405" s="31">
        <f>IFERROR(__xludf.DUMMYFUNCTION("GOOGLEFINANCE(A405,""price"")"),93.71)</f>
        <v>93.71</v>
      </c>
      <c r="C405" s="31">
        <f>IFERROR(__xludf.DUMMYFUNCTION("GOOGLEFINANCE(A405,""high"")"),94.16)</f>
        <v>94.16</v>
      </c>
      <c r="D405" s="31">
        <f>IFERROR(__xludf.DUMMYFUNCTION("GOOGLEFINANCE(A405,""low"")"),92.21)</f>
        <v>92.21</v>
      </c>
      <c r="E405" s="31">
        <f>IFERROR(__xludf.DUMMYFUNCTION("GOOGLEFINANCE(A405,""change"")"),1.46)</f>
        <v>1.46</v>
      </c>
      <c r="F405" s="32">
        <f>IFERROR(__xludf.DUMMYFUNCTION("GOOGLEFINANCE(A405,""changepct"")/100"),0.0158)</f>
        <v>0.0158</v>
      </c>
      <c r="G405" s="33">
        <f>IFERROR(__xludf.DUMMYFUNCTION("GOOGLEFINANCE(A405,""priceopen"")"),92.44)</f>
        <v>92.44</v>
      </c>
      <c r="H405" s="34">
        <f>IFERROR(__xludf.DUMMYFUNCTION("GOOGLEFINANCE(A405,""closeyest"")"),92.25)</f>
        <v>92.25</v>
      </c>
      <c r="I405" s="34">
        <f>IFERROR(__xludf.DUMMYFUNCTION("GOOGLEFINANCE(A405,""low52"")"),73.59)</f>
        <v>73.59</v>
      </c>
      <c r="J405" s="34">
        <f>IFERROR(__xludf.DUMMYFUNCTION("GOOGLEFINANCE(A405,""high52"")"),99.24)</f>
        <v>99.24</v>
      </c>
    </row>
    <row r="406">
      <c r="A406" s="30" t="str">
        <f>'6image_RS_benchmark_performance'!A406</f>
        <v>MO</v>
      </c>
      <c r="B406" s="31">
        <f>IFERROR(__xludf.DUMMYFUNCTION("GOOGLEFINANCE(A406,""price"")"),47.21)</f>
        <v>47.21</v>
      </c>
      <c r="C406" s="31">
        <f>IFERROR(__xludf.DUMMYFUNCTION("GOOGLEFINANCE(A406,""high"")"),47.43)</f>
        <v>47.43</v>
      </c>
      <c r="D406" s="31">
        <f>IFERROR(__xludf.DUMMYFUNCTION("GOOGLEFINANCE(A406,""low"")"),46.44)</f>
        <v>46.44</v>
      </c>
      <c r="E406" s="31">
        <f>IFERROR(__xludf.DUMMYFUNCTION("GOOGLEFINANCE(A406,""change"")"),0.42)</f>
        <v>0.42</v>
      </c>
      <c r="F406" s="32">
        <f>IFERROR(__xludf.DUMMYFUNCTION("GOOGLEFINANCE(A406,""changepct"")/100"),0.009000000000000001)</f>
        <v>0.009</v>
      </c>
      <c r="G406" s="33">
        <f>IFERROR(__xludf.DUMMYFUNCTION("GOOGLEFINANCE(A406,""priceopen"")"),46.81)</f>
        <v>46.81</v>
      </c>
      <c r="H406" s="34">
        <f>IFERROR(__xludf.DUMMYFUNCTION("GOOGLEFINANCE(A406,""closeyest"")"),46.79)</f>
        <v>46.79</v>
      </c>
      <c r="I406" s="34">
        <f>IFERROR(__xludf.DUMMYFUNCTION("GOOGLEFINANCE(A406,""low52"")"),35.83)</f>
        <v>35.83</v>
      </c>
      <c r="J406" s="34">
        <f>IFERROR(__xludf.DUMMYFUNCTION("GOOGLEFINANCE(A406,""high52"")"),52.59)</f>
        <v>52.59</v>
      </c>
    </row>
    <row r="407">
      <c r="A407" s="30" t="str">
        <f>'6image_RS_benchmark_performance'!A407</f>
        <v>MOS</v>
      </c>
      <c r="B407" s="31">
        <f>IFERROR(__xludf.DUMMYFUNCTION("GOOGLEFINANCE(A407,""price"")"),29.7)</f>
        <v>29.7</v>
      </c>
      <c r="C407" s="31">
        <f>IFERROR(__xludf.DUMMYFUNCTION("GOOGLEFINANCE(A407,""high"")"),29.94)</f>
        <v>29.94</v>
      </c>
      <c r="D407" s="31">
        <f>IFERROR(__xludf.DUMMYFUNCTION("GOOGLEFINANCE(A407,""low"")"),28.73)</f>
        <v>28.73</v>
      </c>
      <c r="E407" s="31">
        <f>IFERROR(__xludf.DUMMYFUNCTION("GOOGLEFINANCE(A407,""change"")"),0.91)</f>
        <v>0.91</v>
      </c>
      <c r="F407" s="32">
        <f>IFERROR(__xludf.DUMMYFUNCTION("GOOGLEFINANCE(A407,""changepct"")/100"),0.0316)</f>
        <v>0.0316</v>
      </c>
      <c r="G407" s="33">
        <f>IFERROR(__xludf.DUMMYFUNCTION("GOOGLEFINANCE(A407,""priceopen"")"),28.9)</f>
        <v>28.9</v>
      </c>
      <c r="H407" s="34">
        <f>IFERROR(__xludf.DUMMYFUNCTION("GOOGLEFINANCE(A407,""closeyest"")"),28.79)</f>
        <v>28.79</v>
      </c>
      <c r="I407" s="34">
        <f>IFERROR(__xludf.DUMMYFUNCTION("GOOGLEFINANCE(A407,""low52"")"),12.84)</f>
        <v>12.84</v>
      </c>
      <c r="J407" s="34">
        <f>IFERROR(__xludf.DUMMYFUNCTION("GOOGLEFINANCE(A407,""high52"")"),38.23)</f>
        <v>38.23</v>
      </c>
    </row>
    <row r="408">
      <c r="A408" s="30" t="str">
        <f>'6image_RS_benchmark_performance'!A408</f>
        <v>MP</v>
      </c>
      <c r="B408" s="31">
        <f>IFERROR(__xludf.DUMMYFUNCTION("GOOGLEFINANCE(A408,""price"")"),33.53)</f>
        <v>33.53</v>
      </c>
      <c r="C408" s="31">
        <f>IFERROR(__xludf.DUMMYFUNCTION("GOOGLEFINANCE(A408,""high"")"),33.88)</f>
        <v>33.88</v>
      </c>
      <c r="D408" s="31">
        <f>IFERROR(__xludf.DUMMYFUNCTION("GOOGLEFINANCE(A408,""low"")"),31.6)</f>
        <v>31.6</v>
      </c>
      <c r="E408" s="31">
        <f>IFERROR(__xludf.DUMMYFUNCTION("GOOGLEFINANCE(A408,""change"")"),0.91)</f>
        <v>0.91</v>
      </c>
      <c r="F408" s="32">
        <f>IFERROR(__xludf.DUMMYFUNCTION("GOOGLEFINANCE(A408,""changepct"")/100"),0.0279)</f>
        <v>0.0279</v>
      </c>
      <c r="G408" s="33">
        <f>IFERROR(__xludf.DUMMYFUNCTION("GOOGLEFINANCE(A408,""priceopen"")"),32.5)</f>
        <v>32.5</v>
      </c>
      <c r="H408" s="34">
        <f>IFERROR(__xludf.DUMMYFUNCTION("GOOGLEFINANCE(A408,""closeyest"")"),32.62)</f>
        <v>32.62</v>
      </c>
      <c r="I408" s="34">
        <f>IFERROR(__xludf.DUMMYFUNCTION("GOOGLEFINANCE(A408,""low52"")"),10.8)</f>
        <v>10.8</v>
      </c>
      <c r="J408" s="34">
        <f>IFERROR(__xludf.DUMMYFUNCTION("GOOGLEFINANCE(A408,""high52"")"),51.77)</f>
        <v>51.77</v>
      </c>
    </row>
    <row r="409">
      <c r="A409" s="30" t="str">
        <f>'6image_RS_benchmark_performance'!A409</f>
        <v>MPC</v>
      </c>
      <c r="B409" s="31">
        <f>IFERROR(__xludf.DUMMYFUNCTION("GOOGLEFINANCE(A409,""price"")"),52.12)</f>
        <v>52.12</v>
      </c>
      <c r="C409" s="31">
        <f>IFERROR(__xludf.DUMMYFUNCTION("GOOGLEFINANCE(A409,""high"")"),52.27)</f>
        <v>52.27</v>
      </c>
      <c r="D409" s="31">
        <f>IFERROR(__xludf.DUMMYFUNCTION("GOOGLEFINANCE(A409,""low"")"),50.46)</f>
        <v>50.46</v>
      </c>
      <c r="E409" s="31">
        <f>IFERROR(__xludf.DUMMYFUNCTION("GOOGLEFINANCE(A409,""change"")"),1.24)</f>
        <v>1.24</v>
      </c>
      <c r="F409" s="32">
        <f>IFERROR(__xludf.DUMMYFUNCTION("GOOGLEFINANCE(A409,""changepct"")/100"),0.024399999999999998)</f>
        <v>0.0244</v>
      </c>
      <c r="G409" s="33">
        <f>IFERROR(__xludf.DUMMYFUNCTION("GOOGLEFINANCE(A409,""priceopen"")"),51.07)</f>
        <v>51.07</v>
      </c>
      <c r="H409" s="34">
        <f>IFERROR(__xludf.DUMMYFUNCTION("GOOGLEFINANCE(A409,""closeyest"")"),50.88)</f>
        <v>50.88</v>
      </c>
      <c r="I409" s="34">
        <f>IFERROR(__xludf.DUMMYFUNCTION("GOOGLEFINANCE(A409,""low52"")"),26.56)</f>
        <v>26.56</v>
      </c>
      <c r="J409" s="34">
        <f>IFERROR(__xludf.DUMMYFUNCTION("GOOGLEFINANCE(A409,""high52"")"),64.84)</f>
        <v>64.84</v>
      </c>
    </row>
    <row r="410">
      <c r="A410" s="30" t="str">
        <f>'6image_RS_benchmark_performance'!A410</f>
        <v>MPLX</v>
      </c>
      <c r="B410" s="31">
        <f>IFERROR(__xludf.DUMMYFUNCTION("GOOGLEFINANCE(A410,""price"")"),27.61)</f>
        <v>27.61</v>
      </c>
      <c r="C410" s="31">
        <f>IFERROR(__xludf.DUMMYFUNCTION("GOOGLEFINANCE(A410,""high"")"),27.61)</f>
        <v>27.61</v>
      </c>
      <c r="D410" s="31">
        <f>IFERROR(__xludf.DUMMYFUNCTION("GOOGLEFINANCE(A410,""low"")"),26.28)</f>
        <v>26.28</v>
      </c>
      <c r="E410" s="31">
        <f>IFERROR(__xludf.DUMMYFUNCTION("GOOGLEFINANCE(A410,""change"")"),1.41)</f>
        <v>1.41</v>
      </c>
      <c r="F410" s="32">
        <f>IFERROR(__xludf.DUMMYFUNCTION("GOOGLEFINANCE(A410,""changepct"")/100"),0.0538)</f>
        <v>0.0538</v>
      </c>
      <c r="G410" s="33">
        <f>IFERROR(__xludf.DUMMYFUNCTION("GOOGLEFINANCE(A410,""priceopen"")"),26.47)</f>
        <v>26.47</v>
      </c>
      <c r="H410" s="34">
        <f>IFERROR(__xludf.DUMMYFUNCTION("GOOGLEFINANCE(A410,""closeyest"")"),26.2)</f>
        <v>26.2</v>
      </c>
      <c r="I410" s="34">
        <f>IFERROR(__xludf.DUMMYFUNCTION("GOOGLEFINANCE(A410,""low52"")"),15.05)</f>
        <v>15.05</v>
      </c>
      <c r="J410" s="34">
        <f>IFERROR(__xludf.DUMMYFUNCTION("GOOGLEFINANCE(A410,""high52"")"),31.4)</f>
        <v>31.4</v>
      </c>
    </row>
    <row r="411">
      <c r="A411" s="30" t="str">
        <f>'6image_RS_benchmark_performance'!A411</f>
        <v>MPWR</v>
      </c>
      <c r="B411" s="31">
        <f>IFERROR(__xludf.DUMMYFUNCTION("GOOGLEFINANCE(A411,""price"")"),392.36)</f>
        <v>392.36</v>
      </c>
      <c r="C411" s="31">
        <f>IFERROR(__xludf.DUMMYFUNCTION("GOOGLEFINANCE(A411,""high"")"),394.35)</f>
        <v>394.35</v>
      </c>
      <c r="D411" s="31">
        <f>IFERROR(__xludf.DUMMYFUNCTION("GOOGLEFINANCE(A411,""low"")"),379.9)</f>
        <v>379.9</v>
      </c>
      <c r="E411" s="31">
        <f>IFERROR(__xludf.DUMMYFUNCTION("GOOGLEFINANCE(A411,""change"")"),11.62)</f>
        <v>11.62</v>
      </c>
      <c r="F411" s="32">
        <f>IFERROR(__xludf.DUMMYFUNCTION("GOOGLEFINANCE(A411,""changepct"")/100"),0.0305)</f>
        <v>0.0305</v>
      </c>
      <c r="G411" s="33">
        <f>IFERROR(__xludf.DUMMYFUNCTION("GOOGLEFINANCE(A411,""priceopen"")"),382.77)</f>
        <v>382.77</v>
      </c>
      <c r="H411" s="34">
        <f>IFERROR(__xludf.DUMMYFUNCTION("GOOGLEFINANCE(A411,""closeyest"")"),380.74)</f>
        <v>380.74</v>
      </c>
      <c r="I411" s="34">
        <f>IFERROR(__xludf.DUMMYFUNCTION("GOOGLEFINANCE(A411,""low52"")"),235.62)</f>
        <v>235.62</v>
      </c>
      <c r="J411" s="34">
        <f>IFERROR(__xludf.DUMMYFUNCTION("GOOGLEFINANCE(A411,""high52"")"),406.75)</f>
        <v>406.75</v>
      </c>
    </row>
    <row r="412">
      <c r="A412" s="30" t="str">
        <f>'6image_RS_benchmark_performance'!A412</f>
        <v>MRNA</v>
      </c>
      <c r="B412" s="31">
        <f>IFERROR(__xludf.DUMMYFUNCTION("GOOGLEFINANCE(A412,""price"")"),307.33)</f>
        <v>307.33</v>
      </c>
      <c r="C412" s="31">
        <f>IFERROR(__xludf.DUMMYFUNCTION("GOOGLEFINANCE(A412,""high"")"),342.51)</f>
        <v>342.51</v>
      </c>
      <c r="D412" s="31">
        <f>IFERROR(__xludf.DUMMYFUNCTION("GOOGLEFINANCE(A412,""low"")"),292.0)</f>
        <v>292</v>
      </c>
      <c r="E412" s="31">
        <f>IFERROR(__xludf.DUMMYFUNCTION("GOOGLEFINANCE(A412,""change"")"),-6.26)</f>
        <v>-6.26</v>
      </c>
      <c r="F412" s="32">
        <f>IFERROR(__xludf.DUMMYFUNCTION("GOOGLEFINANCE(A412,""changepct"")/100"),-0.02)</f>
        <v>-0.02</v>
      </c>
      <c r="G412" s="33">
        <f>IFERROR(__xludf.DUMMYFUNCTION("GOOGLEFINANCE(A412,""priceopen"")"),318.22)</f>
        <v>318.22</v>
      </c>
      <c r="H412" s="34">
        <f>IFERROR(__xludf.DUMMYFUNCTION("GOOGLEFINANCE(A412,""closeyest"")"),313.59)</f>
        <v>313.59</v>
      </c>
      <c r="I412" s="34">
        <f>IFERROR(__xludf.DUMMYFUNCTION("GOOGLEFINANCE(A412,""low52"")"),54.21)</f>
        <v>54.21</v>
      </c>
      <c r="J412" s="34">
        <f>IFERROR(__xludf.DUMMYFUNCTION("GOOGLEFINANCE(A412,""high52"")"),342.51)</f>
        <v>342.51</v>
      </c>
    </row>
    <row r="413">
      <c r="A413" s="30" t="str">
        <f>'6image_RS_benchmark_performance'!A413</f>
        <v>MRO</v>
      </c>
      <c r="B413" s="31">
        <f>IFERROR(__xludf.DUMMYFUNCTION("GOOGLEFINANCE(A413,""price"")"),11.34)</f>
        <v>11.34</v>
      </c>
      <c r="C413" s="31">
        <f>IFERROR(__xludf.DUMMYFUNCTION("GOOGLEFINANCE(A413,""high"")"),11.51)</f>
        <v>11.51</v>
      </c>
      <c r="D413" s="31">
        <f>IFERROR(__xludf.DUMMYFUNCTION("GOOGLEFINANCE(A413,""low"")"),10.93)</f>
        <v>10.93</v>
      </c>
      <c r="E413" s="31">
        <f>IFERROR(__xludf.DUMMYFUNCTION("GOOGLEFINANCE(A413,""change"")"),0.22)</f>
        <v>0.22</v>
      </c>
      <c r="F413" s="32">
        <f>IFERROR(__xludf.DUMMYFUNCTION("GOOGLEFINANCE(A413,""changepct"")/100"),0.019799999999999998)</f>
        <v>0.0198</v>
      </c>
      <c r="G413" s="33">
        <f>IFERROR(__xludf.DUMMYFUNCTION("GOOGLEFINANCE(A413,""priceopen"")"),11.16)</f>
        <v>11.16</v>
      </c>
      <c r="H413" s="34">
        <f>IFERROR(__xludf.DUMMYFUNCTION("GOOGLEFINANCE(A413,""closeyest"")"),11.12)</f>
        <v>11.12</v>
      </c>
      <c r="I413" s="34">
        <f>IFERROR(__xludf.DUMMYFUNCTION("GOOGLEFINANCE(A413,""low52"")"),3.73)</f>
        <v>3.73</v>
      </c>
      <c r="J413" s="34">
        <f>IFERROR(__xludf.DUMMYFUNCTION("GOOGLEFINANCE(A413,""high52"")"),14.33)</f>
        <v>14.33</v>
      </c>
    </row>
    <row r="414">
      <c r="A414" s="30" t="str">
        <f>'6image_RS_benchmark_performance'!A414</f>
        <v>MRVL</v>
      </c>
      <c r="B414" s="31">
        <f>IFERROR(__xludf.DUMMYFUNCTION("GOOGLEFINANCE(A414,""price"")"),56.56)</f>
        <v>56.56</v>
      </c>
      <c r="C414" s="31">
        <f>IFERROR(__xludf.DUMMYFUNCTION("GOOGLEFINANCE(A414,""high"")"),57.03)</f>
        <v>57.03</v>
      </c>
      <c r="D414" s="31">
        <f>IFERROR(__xludf.DUMMYFUNCTION("GOOGLEFINANCE(A414,""low"")"),54.45)</f>
        <v>54.45</v>
      </c>
      <c r="E414" s="31">
        <f>IFERROR(__xludf.DUMMYFUNCTION("GOOGLEFINANCE(A414,""change"")"),1.76)</f>
        <v>1.76</v>
      </c>
      <c r="F414" s="32">
        <f>IFERROR(__xludf.DUMMYFUNCTION("GOOGLEFINANCE(A414,""changepct"")/100"),0.0321)</f>
        <v>0.0321</v>
      </c>
      <c r="G414" s="33">
        <f>IFERROR(__xludf.DUMMYFUNCTION("GOOGLEFINANCE(A414,""priceopen"")"),54.85)</f>
        <v>54.85</v>
      </c>
      <c r="H414" s="34">
        <f>IFERROR(__xludf.DUMMYFUNCTION("GOOGLEFINANCE(A414,""closeyest"")"),54.8)</f>
        <v>54.8</v>
      </c>
      <c r="I414" s="34">
        <f>IFERROR(__xludf.DUMMYFUNCTION("GOOGLEFINANCE(A414,""low52"")"),32.53)</f>
        <v>32.53</v>
      </c>
      <c r="J414" s="34">
        <f>IFERROR(__xludf.DUMMYFUNCTION("GOOGLEFINANCE(A414,""high52"")"),58.95)</f>
        <v>58.95</v>
      </c>
    </row>
    <row r="415">
      <c r="A415" s="30" t="str">
        <f>'6image_RS_benchmark_performance'!A415</f>
        <v>MS</v>
      </c>
      <c r="B415" s="31">
        <f>IFERROR(__xludf.DUMMYFUNCTION("GOOGLEFINANCE(A415,""price"")"),92.32)</f>
        <v>92.32</v>
      </c>
      <c r="C415" s="31">
        <f>IFERROR(__xludf.DUMMYFUNCTION("GOOGLEFINANCE(A415,""high"")"),93.6)</f>
        <v>93.6</v>
      </c>
      <c r="D415" s="31">
        <f>IFERROR(__xludf.DUMMYFUNCTION("GOOGLEFINANCE(A415,""low"")"),89.0)</f>
        <v>89</v>
      </c>
      <c r="E415" s="31">
        <f>IFERROR(__xludf.DUMMYFUNCTION("GOOGLEFINANCE(A415,""change"")"),2.97)</f>
        <v>2.97</v>
      </c>
      <c r="F415" s="32">
        <f>IFERROR(__xludf.DUMMYFUNCTION("GOOGLEFINANCE(A415,""changepct"")/100"),0.0332)</f>
        <v>0.0332</v>
      </c>
      <c r="G415" s="33">
        <f>IFERROR(__xludf.DUMMYFUNCTION("GOOGLEFINANCE(A415,""priceopen"")"),89.14)</f>
        <v>89.14</v>
      </c>
      <c r="H415" s="34">
        <f>IFERROR(__xludf.DUMMYFUNCTION("GOOGLEFINANCE(A415,""closeyest"")"),89.35)</f>
        <v>89.35</v>
      </c>
      <c r="I415" s="34">
        <f>IFERROR(__xludf.DUMMYFUNCTION("GOOGLEFINANCE(A415,""low52"")"),45.86)</f>
        <v>45.86</v>
      </c>
      <c r="J415" s="34">
        <f>IFERROR(__xludf.DUMMYFUNCTION("GOOGLEFINANCE(A415,""high52"")"),94.27)</f>
        <v>94.27</v>
      </c>
    </row>
    <row r="416">
      <c r="A416" s="30" t="str">
        <f>'6image_RS_benchmark_performance'!A416</f>
        <v>MSCI</v>
      </c>
      <c r="B416" s="31">
        <f>IFERROR(__xludf.DUMMYFUNCTION("GOOGLEFINANCE(A416,""price"")"),563.57)</f>
        <v>563.57</v>
      </c>
      <c r="C416" s="31">
        <f>IFERROR(__xludf.DUMMYFUNCTION("GOOGLEFINANCE(A416,""high"")"),567.25)</f>
        <v>567.25</v>
      </c>
      <c r="D416" s="31">
        <f>IFERROR(__xludf.DUMMYFUNCTION("GOOGLEFINANCE(A416,""low"")"),556.81)</f>
        <v>556.81</v>
      </c>
      <c r="E416" s="31">
        <f>IFERROR(__xludf.DUMMYFUNCTION("GOOGLEFINANCE(A416,""change"")"),6.73)</f>
        <v>6.73</v>
      </c>
      <c r="F416" s="32">
        <f>IFERROR(__xludf.DUMMYFUNCTION("GOOGLEFINANCE(A416,""changepct"")/100"),0.0121)</f>
        <v>0.0121</v>
      </c>
      <c r="G416" s="33">
        <f>IFERROR(__xludf.DUMMYFUNCTION("GOOGLEFINANCE(A416,""priceopen"")"),559.61)</f>
        <v>559.61</v>
      </c>
      <c r="H416" s="34">
        <f>IFERROR(__xludf.DUMMYFUNCTION("GOOGLEFINANCE(A416,""closeyest"")"),556.84)</f>
        <v>556.84</v>
      </c>
      <c r="I416" s="34">
        <f>IFERROR(__xludf.DUMMYFUNCTION("GOOGLEFINANCE(A416,""low52"")"),336.03)</f>
        <v>336.03</v>
      </c>
      <c r="J416" s="34">
        <f>IFERROR(__xludf.DUMMYFUNCTION("GOOGLEFINANCE(A416,""high52"")"),571.95)</f>
        <v>571.95</v>
      </c>
    </row>
    <row r="417">
      <c r="A417" s="30" t="str">
        <f>'6image_RS_benchmark_performance'!A417</f>
        <v>MSFT</v>
      </c>
      <c r="B417" s="31">
        <f>IFERROR(__xludf.DUMMYFUNCTION("GOOGLEFINANCE(A417,""price"")"),279.32)</f>
        <v>279.32</v>
      </c>
      <c r="C417" s="31">
        <f>IFERROR(__xludf.DUMMYFUNCTION("GOOGLEFINANCE(A417,""high"")"),280.97)</f>
        <v>280.97</v>
      </c>
      <c r="D417" s="31">
        <f>IFERROR(__xludf.DUMMYFUNCTION("GOOGLEFINANCE(A417,""low"")"),276.26)</f>
        <v>276.26</v>
      </c>
      <c r="E417" s="31">
        <f>IFERROR(__xludf.DUMMYFUNCTION("GOOGLEFINANCE(A417,""change"")"),2.31)</f>
        <v>2.31</v>
      </c>
      <c r="F417" s="32">
        <f>IFERROR(__xludf.DUMMYFUNCTION("GOOGLEFINANCE(A417,""changepct"")/100"),0.0083)</f>
        <v>0.0083</v>
      </c>
      <c r="G417" s="33">
        <f>IFERROR(__xludf.DUMMYFUNCTION("GOOGLEFINANCE(A417,""priceopen"")"),278.03)</f>
        <v>278.03</v>
      </c>
      <c r="H417" s="34">
        <f>IFERROR(__xludf.DUMMYFUNCTION("GOOGLEFINANCE(A417,""closeyest"")"),277.01)</f>
        <v>277.01</v>
      </c>
      <c r="I417" s="34">
        <f>IFERROR(__xludf.DUMMYFUNCTION("GOOGLEFINANCE(A417,""low52"")"),196.25)</f>
        <v>196.25</v>
      </c>
      <c r="J417" s="34">
        <f>IFERROR(__xludf.DUMMYFUNCTION("GOOGLEFINANCE(A417,""high52"")"),284.1)</f>
        <v>284.1</v>
      </c>
    </row>
    <row r="418">
      <c r="A418" s="30" t="str">
        <f>'6image_RS_benchmark_performance'!A418</f>
        <v>MSI</v>
      </c>
      <c r="B418" s="31">
        <f>IFERROR(__xludf.DUMMYFUNCTION("GOOGLEFINANCE(A418,""price"")"),218.58)</f>
        <v>218.58</v>
      </c>
      <c r="C418" s="31">
        <f>IFERROR(__xludf.DUMMYFUNCTION("GOOGLEFINANCE(A418,""high"")"),219.54)</f>
        <v>219.54</v>
      </c>
      <c r="D418" s="31">
        <f>IFERROR(__xludf.DUMMYFUNCTION("GOOGLEFINANCE(A418,""low"")"),217.08)</f>
        <v>217.08</v>
      </c>
      <c r="E418" s="31">
        <f>IFERROR(__xludf.DUMMYFUNCTION("GOOGLEFINANCE(A418,""change"")"),1.98)</f>
        <v>1.98</v>
      </c>
      <c r="F418" s="32">
        <f>IFERROR(__xludf.DUMMYFUNCTION("GOOGLEFINANCE(A418,""changepct"")/100"),0.0091)</f>
        <v>0.0091</v>
      </c>
      <c r="G418" s="33">
        <f>IFERROR(__xludf.DUMMYFUNCTION("GOOGLEFINANCE(A418,""priceopen"")"),217.82)</f>
        <v>217.82</v>
      </c>
      <c r="H418" s="34">
        <f>IFERROR(__xludf.DUMMYFUNCTION("GOOGLEFINANCE(A418,""closeyest"")"),216.6)</f>
        <v>216.6</v>
      </c>
      <c r="I418" s="34">
        <f>IFERROR(__xludf.DUMMYFUNCTION("GOOGLEFINANCE(A418,""low52"")"),134.72)</f>
        <v>134.72</v>
      </c>
      <c r="J418" s="34">
        <f>IFERROR(__xludf.DUMMYFUNCTION("GOOGLEFINANCE(A418,""high52"")"),225.01)</f>
        <v>225.01</v>
      </c>
    </row>
    <row r="419">
      <c r="A419" s="30" t="str">
        <f>'6image_RS_benchmark_performance'!A419</f>
        <v>MTB</v>
      </c>
      <c r="B419" s="31">
        <f>IFERROR(__xludf.DUMMYFUNCTION("GOOGLEFINANCE(A419,""price"")"),135.04)</f>
        <v>135.04</v>
      </c>
      <c r="C419" s="31">
        <f>IFERROR(__xludf.DUMMYFUNCTION("GOOGLEFINANCE(A419,""high"")"),137.18)</f>
        <v>137.18</v>
      </c>
      <c r="D419" s="31">
        <f>IFERROR(__xludf.DUMMYFUNCTION("GOOGLEFINANCE(A419,""low"")"),130.33)</f>
        <v>130.33</v>
      </c>
      <c r="E419" s="31">
        <f>IFERROR(__xludf.DUMMYFUNCTION("GOOGLEFINANCE(A419,""change"")"),3.84)</f>
        <v>3.84</v>
      </c>
      <c r="F419" s="32">
        <f>IFERROR(__xludf.DUMMYFUNCTION("GOOGLEFINANCE(A419,""changepct"")/100"),0.029300000000000003)</f>
        <v>0.0293</v>
      </c>
      <c r="G419" s="33">
        <f>IFERROR(__xludf.DUMMYFUNCTION("GOOGLEFINANCE(A419,""priceopen"")"),130.64)</f>
        <v>130.64</v>
      </c>
      <c r="H419" s="34">
        <f>IFERROR(__xludf.DUMMYFUNCTION("GOOGLEFINANCE(A419,""closeyest"")"),131.2)</f>
        <v>131.2</v>
      </c>
      <c r="I419" s="34">
        <f>IFERROR(__xludf.DUMMYFUNCTION("GOOGLEFINANCE(A419,""low52"")"),88.48)</f>
        <v>88.48</v>
      </c>
      <c r="J419" s="34">
        <f>IFERROR(__xludf.DUMMYFUNCTION("GOOGLEFINANCE(A419,""high52"")"),168.27)</f>
        <v>168.27</v>
      </c>
    </row>
    <row r="420">
      <c r="A420" s="30" t="str">
        <f>'6image_RS_benchmark_performance'!A420</f>
        <v>MTCH</v>
      </c>
      <c r="B420" s="31">
        <f>IFERROR(__xludf.DUMMYFUNCTION("GOOGLEFINANCE(A420,""price"")"),153.77)</f>
        <v>153.77</v>
      </c>
      <c r="C420" s="31">
        <f>IFERROR(__xludf.DUMMYFUNCTION("GOOGLEFINANCE(A420,""high"")"),155.59)</f>
        <v>155.59</v>
      </c>
      <c r="D420" s="31">
        <f>IFERROR(__xludf.DUMMYFUNCTION("GOOGLEFINANCE(A420,""low"")"),153.07)</f>
        <v>153.07</v>
      </c>
      <c r="E420" s="31">
        <f>IFERROR(__xludf.DUMMYFUNCTION("GOOGLEFINANCE(A420,""change"")"),0.44)</f>
        <v>0.44</v>
      </c>
      <c r="F420" s="32">
        <f>IFERROR(__xludf.DUMMYFUNCTION("GOOGLEFINANCE(A420,""changepct"")/100"),0.0029)</f>
        <v>0.0029</v>
      </c>
      <c r="G420" s="33">
        <f>IFERROR(__xludf.DUMMYFUNCTION("GOOGLEFINANCE(A420,""priceopen"")"),153.51)</f>
        <v>153.51</v>
      </c>
      <c r="H420" s="34">
        <f>IFERROR(__xludf.DUMMYFUNCTION("GOOGLEFINANCE(A420,""closeyest"")"),153.33)</f>
        <v>153.33</v>
      </c>
      <c r="I420" s="34">
        <f>IFERROR(__xludf.DUMMYFUNCTION("GOOGLEFINANCE(A420,""low52"")"),87.56)</f>
        <v>87.56</v>
      </c>
      <c r="J420" s="34">
        <f>IFERROR(__xludf.DUMMYFUNCTION("GOOGLEFINANCE(A420,""high52"")"),174.68)</f>
        <v>174.68</v>
      </c>
    </row>
    <row r="421">
      <c r="A421" s="30" t="str">
        <f>'6image_RS_benchmark_performance'!A421</f>
        <v>MTD</v>
      </c>
      <c r="B421" s="31">
        <f>IFERROR(__xludf.DUMMYFUNCTION("GOOGLEFINANCE(A421,""price"")"),1443.41)</f>
        <v>1443.41</v>
      </c>
      <c r="C421" s="31">
        <f>IFERROR(__xludf.DUMMYFUNCTION("GOOGLEFINANCE(A421,""high"")"),1463.08)</f>
        <v>1463.08</v>
      </c>
      <c r="D421" s="31">
        <f>IFERROR(__xludf.DUMMYFUNCTION("GOOGLEFINANCE(A421,""low"")"),1430.31)</f>
        <v>1430.31</v>
      </c>
      <c r="E421" s="31">
        <f>IFERROR(__xludf.DUMMYFUNCTION("GOOGLEFINANCE(A421,""change"")"),4.75)</f>
        <v>4.75</v>
      </c>
      <c r="F421" s="32">
        <f>IFERROR(__xludf.DUMMYFUNCTION("GOOGLEFINANCE(A421,""changepct"")/100"),0.0033)</f>
        <v>0.0033</v>
      </c>
      <c r="G421" s="33">
        <f>IFERROR(__xludf.DUMMYFUNCTION("GOOGLEFINANCE(A421,""priceopen"")"),1445.01)</f>
        <v>1445.01</v>
      </c>
      <c r="H421" s="34">
        <f>IFERROR(__xludf.DUMMYFUNCTION("GOOGLEFINANCE(A421,""closeyest"")"),1438.66)</f>
        <v>1438.66</v>
      </c>
      <c r="I421" s="34">
        <f>IFERROR(__xludf.DUMMYFUNCTION("GOOGLEFINANCE(A421,""low52"")"),853.02)</f>
        <v>853.02</v>
      </c>
      <c r="J421" s="34">
        <f>IFERROR(__xludf.DUMMYFUNCTION("GOOGLEFINANCE(A421,""high52"")"),1463.08)</f>
        <v>1463.08</v>
      </c>
    </row>
    <row r="422">
      <c r="A422" s="30" t="str">
        <f>'6image_RS_benchmark_performance'!A422</f>
        <v>MU</v>
      </c>
      <c r="B422" s="31">
        <f>IFERROR(__xludf.DUMMYFUNCTION("GOOGLEFINANCE(A422,""price"")"),75.39)</f>
        <v>75.39</v>
      </c>
      <c r="C422" s="31">
        <f>IFERROR(__xludf.DUMMYFUNCTION("GOOGLEFINANCE(A422,""high"")"),75.92)</f>
        <v>75.92</v>
      </c>
      <c r="D422" s="31">
        <f>IFERROR(__xludf.DUMMYFUNCTION("GOOGLEFINANCE(A422,""low"")"),73.77)</f>
        <v>73.77</v>
      </c>
      <c r="E422" s="31">
        <f>IFERROR(__xludf.DUMMYFUNCTION("GOOGLEFINANCE(A422,""change"")"),0.81)</f>
        <v>0.81</v>
      </c>
      <c r="F422" s="32">
        <f>IFERROR(__xludf.DUMMYFUNCTION("GOOGLEFINANCE(A422,""changepct"")/100"),0.0109)</f>
        <v>0.0109</v>
      </c>
      <c r="G422" s="33">
        <f>IFERROR(__xludf.DUMMYFUNCTION("GOOGLEFINANCE(A422,""priceopen"")"),74.66)</f>
        <v>74.66</v>
      </c>
      <c r="H422" s="34">
        <f>IFERROR(__xludf.DUMMYFUNCTION("GOOGLEFINANCE(A422,""closeyest"")"),74.58)</f>
        <v>74.58</v>
      </c>
      <c r="I422" s="34">
        <f>IFERROR(__xludf.DUMMYFUNCTION("GOOGLEFINANCE(A422,""low52"")"),42.25)</f>
        <v>42.25</v>
      </c>
      <c r="J422" s="34">
        <f>IFERROR(__xludf.DUMMYFUNCTION("GOOGLEFINANCE(A422,""high52"")"),96.96)</f>
        <v>96.96</v>
      </c>
    </row>
    <row r="423">
      <c r="A423" s="30" t="str">
        <f>'6image_RS_benchmark_performance'!A423</f>
        <v>MXIM</v>
      </c>
      <c r="B423" s="31">
        <f>IFERROR(__xludf.DUMMYFUNCTION("GOOGLEFINANCE(A423,""price"")"),97.52)</f>
        <v>97.52</v>
      </c>
      <c r="C423" s="31">
        <f>IFERROR(__xludf.DUMMYFUNCTION("GOOGLEFINANCE(A423,""high"")"),98.05)</f>
        <v>98.05</v>
      </c>
      <c r="D423" s="31">
        <f>IFERROR(__xludf.DUMMYFUNCTION("GOOGLEFINANCE(A423,""low"")"),95.58)</f>
        <v>95.58</v>
      </c>
      <c r="E423" s="31">
        <f>IFERROR(__xludf.DUMMYFUNCTION("GOOGLEFINANCE(A423,""change"")"),1.4)</f>
        <v>1.4</v>
      </c>
      <c r="F423" s="32">
        <f>IFERROR(__xludf.DUMMYFUNCTION("GOOGLEFINANCE(A423,""changepct"")/100"),0.0146)</f>
        <v>0.0146</v>
      </c>
      <c r="G423" s="33">
        <f>IFERROR(__xludf.DUMMYFUNCTION("GOOGLEFINANCE(A423,""priceopen"")"),96.04)</f>
        <v>96.04</v>
      </c>
      <c r="H423" s="34">
        <f>IFERROR(__xludf.DUMMYFUNCTION("GOOGLEFINANCE(A423,""closeyest"")"),96.12)</f>
        <v>96.12</v>
      </c>
      <c r="I423" s="34">
        <f>IFERROR(__xludf.DUMMYFUNCTION("GOOGLEFINANCE(A423,""low52"")"),63.74)</f>
        <v>63.74</v>
      </c>
      <c r="J423" s="34">
        <f>IFERROR(__xludf.DUMMYFUNCTION("GOOGLEFINANCE(A423,""high52"")"),105.49)</f>
        <v>105.49</v>
      </c>
    </row>
    <row r="424">
      <c r="A424" s="30" t="str">
        <f>'6image_RS_benchmark_performance'!A424</f>
        <v>NCLH</v>
      </c>
      <c r="B424" s="31">
        <f>IFERROR(__xludf.DUMMYFUNCTION("GOOGLEFINANCE(A424,""price"")"),23.68)</f>
        <v>23.68</v>
      </c>
      <c r="C424" s="31">
        <f>IFERROR(__xludf.DUMMYFUNCTION("GOOGLEFINANCE(A424,""high"")"),23.94)</f>
        <v>23.94</v>
      </c>
      <c r="D424" s="31">
        <f>IFERROR(__xludf.DUMMYFUNCTION("GOOGLEFINANCE(A424,""low"")"),21.81)</f>
        <v>21.81</v>
      </c>
      <c r="E424" s="31">
        <f>IFERROR(__xludf.DUMMYFUNCTION("GOOGLEFINANCE(A424,""change"")"),1.81)</f>
        <v>1.81</v>
      </c>
      <c r="F424" s="32">
        <f>IFERROR(__xludf.DUMMYFUNCTION("GOOGLEFINANCE(A424,""changepct"")/100"),0.0828)</f>
        <v>0.0828</v>
      </c>
      <c r="G424" s="33">
        <f>IFERROR(__xludf.DUMMYFUNCTION("GOOGLEFINANCE(A424,""priceopen"")"),22.01)</f>
        <v>22.01</v>
      </c>
      <c r="H424" s="34">
        <f>IFERROR(__xludf.DUMMYFUNCTION("GOOGLEFINANCE(A424,""closeyest"")"),21.87)</f>
        <v>21.87</v>
      </c>
      <c r="I424" s="34">
        <f>IFERROR(__xludf.DUMMYFUNCTION("GOOGLEFINANCE(A424,""low52"")"),12.56)</f>
        <v>12.56</v>
      </c>
      <c r="J424" s="34">
        <f>IFERROR(__xludf.DUMMYFUNCTION("GOOGLEFINANCE(A424,""high52"")"),34.49)</f>
        <v>34.49</v>
      </c>
    </row>
    <row r="425">
      <c r="A425" s="30" t="str">
        <f>'6image_RS_benchmark_performance'!A425</f>
        <v>NDAQ</v>
      </c>
      <c r="B425" s="31">
        <f>IFERROR(__xludf.DUMMYFUNCTION("GOOGLEFINANCE(A425,""price"")"),180.9)</f>
        <v>180.9</v>
      </c>
      <c r="C425" s="31">
        <f>IFERROR(__xludf.DUMMYFUNCTION("GOOGLEFINANCE(A425,""high"")"),182.72)</f>
        <v>182.72</v>
      </c>
      <c r="D425" s="31">
        <f>IFERROR(__xludf.DUMMYFUNCTION("GOOGLEFINANCE(A425,""low"")"),176.62)</f>
        <v>176.62</v>
      </c>
      <c r="E425" s="31">
        <f>IFERROR(__xludf.DUMMYFUNCTION("GOOGLEFINANCE(A425,""change"")"),3.75)</f>
        <v>3.75</v>
      </c>
      <c r="F425" s="32">
        <f>IFERROR(__xludf.DUMMYFUNCTION("GOOGLEFINANCE(A425,""changepct"")/100"),0.0212)</f>
        <v>0.0212</v>
      </c>
      <c r="G425" s="33">
        <f>IFERROR(__xludf.DUMMYFUNCTION("GOOGLEFINANCE(A425,""priceopen"")"),177.77)</f>
        <v>177.77</v>
      </c>
      <c r="H425" s="34">
        <f>IFERROR(__xludf.DUMMYFUNCTION("GOOGLEFINANCE(A425,""closeyest"")"),177.15)</f>
        <v>177.15</v>
      </c>
      <c r="I425" s="34">
        <f>IFERROR(__xludf.DUMMYFUNCTION("GOOGLEFINANCE(A425,""low52"")"),118.01)</f>
        <v>118.01</v>
      </c>
      <c r="J425" s="34">
        <f>IFERROR(__xludf.DUMMYFUNCTION("GOOGLEFINANCE(A425,""high52"")"),182.72)</f>
        <v>182.72</v>
      </c>
    </row>
    <row r="426">
      <c r="A426" s="30" t="str">
        <f>'6image_RS_benchmark_performance'!A426</f>
        <v>NEE</v>
      </c>
      <c r="B426" s="31">
        <f>IFERROR(__xludf.DUMMYFUNCTION("GOOGLEFINANCE(A426,""price"")"),77.17)</f>
        <v>77.17</v>
      </c>
      <c r="C426" s="31">
        <f>IFERROR(__xludf.DUMMYFUNCTION("GOOGLEFINANCE(A426,""high"")"),77.7)</f>
        <v>77.7</v>
      </c>
      <c r="D426" s="31">
        <f>IFERROR(__xludf.DUMMYFUNCTION("GOOGLEFINANCE(A426,""low"")"),76.86)</f>
        <v>76.86</v>
      </c>
      <c r="E426" s="31">
        <f>IFERROR(__xludf.DUMMYFUNCTION("GOOGLEFINANCE(A426,""change"")"),0.18)</f>
        <v>0.18</v>
      </c>
      <c r="F426" s="32">
        <f>IFERROR(__xludf.DUMMYFUNCTION("GOOGLEFINANCE(A426,""changepct"")/100"),0.0023)</f>
        <v>0.0023</v>
      </c>
      <c r="G426" s="33">
        <f>IFERROR(__xludf.DUMMYFUNCTION("GOOGLEFINANCE(A426,""priceopen"")"),77.02)</f>
        <v>77.02</v>
      </c>
      <c r="H426" s="34">
        <f>IFERROR(__xludf.DUMMYFUNCTION("GOOGLEFINANCE(A426,""closeyest"")"),76.99)</f>
        <v>76.99</v>
      </c>
      <c r="I426" s="34">
        <f>IFERROR(__xludf.DUMMYFUNCTION("GOOGLEFINANCE(A426,""low52"")"),66.79)</f>
        <v>66.79</v>
      </c>
      <c r="J426" s="34">
        <f>IFERROR(__xludf.DUMMYFUNCTION("GOOGLEFINANCE(A426,""high52"")"),87.69)</f>
        <v>87.69</v>
      </c>
    </row>
    <row r="427">
      <c r="A427" s="30" t="str">
        <f>'6image_RS_benchmark_performance'!A427</f>
        <v>NEM</v>
      </c>
      <c r="B427" s="31">
        <f>IFERROR(__xludf.DUMMYFUNCTION("GOOGLEFINANCE(A427,""price"")"),60.44)</f>
        <v>60.44</v>
      </c>
      <c r="C427" s="31">
        <f>IFERROR(__xludf.DUMMYFUNCTION("GOOGLEFINANCE(A427,""high"")"),61.88)</f>
        <v>61.88</v>
      </c>
      <c r="D427" s="31">
        <f>IFERROR(__xludf.DUMMYFUNCTION("GOOGLEFINANCE(A427,""low"")"),60.01)</f>
        <v>60.01</v>
      </c>
      <c r="E427" s="31">
        <f>IFERROR(__xludf.DUMMYFUNCTION("GOOGLEFINANCE(A427,""change"")"),-0.25)</f>
        <v>-0.25</v>
      </c>
      <c r="F427" s="32">
        <f>IFERROR(__xludf.DUMMYFUNCTION("GOOGLEFINANCE(A427,""changepct"")/100"),-0.0040999999999999995)</f>
        <v>-0.0041</v>
      </c>
      <c r="G427" s="33">
        <f>IFERROR(__xludf.DUMMYFUNCTION("GOOGLEFINANCE(A427,""priceopen"")"),61.0)</f>
        <v>61</v>
      </c>
      <c r="H427" s="34">
        <f>IFERROR(__xludf.DUMMYFUNCTION("GOOGLEFINANCE(A427,""closeyest"")"),60.69)</f>
        <v>60.69</v>
      </c>
      <c r="I427" s="34">
        <f>IFERROR(__xludf.DUMMYFUNCTION("GOOGLEFINANCE(A427,""low52"")"),54.18)</f>
        <v>54.18</v>
      </c>
      <c r="J427" s="34">
        <f>IFERROR(__xludf.DUMMYFUNCTION("GOOGLEFINANCE(A427,""high52"")"),75.31)</f>
        <v>75.31</v>
      </c>
    </row>
    <row r="428">
      <c r="A428" s="30" t="str">
        <f>'6image_RS_benchmark_performance'!A428</f>
        <v>NET</v>
      </c>
      <c r="B428" s="31">
        <f>IFERROR(__xludf.DUMMYFUNCTION("GOOGLEFINANCE(A428,""price"")"),107.68)</f>
        <v>107.68</v>
      </c>
      <c r="C428" s="31">
        <f>IFERROR(__xludf.DUMMYFUNCTION("GOOGLEFINANCE(A428,""high"")"),108.66)</f>
        <v>108.66</v>
      </c>
      <c r="D428" s="31">
        <f>IFERROR(__xludf.DUMMYFUNCTION("GOOGLEFINANCE(A428,""low"")"),102.3)</f>
        <v>102.3</v>
      </c>
      <c r="E428" s="31">
        <f>IFERROR(__xludf.DUMMYFUNCTION("GOOGLEFINANCE(A428,""change"")"),2.16)</f>
        <v>2.16</v>
      </c>
      <c r="F428" s="32">
        <f>IFERROR(__xludf.DUMMYFUNCTION("GOOGLEFINANCE(A428,""changepct"")/100"),0.020499999999999997)</f>
        <v>0.0205</v>
      </c>
      <c r="G428" s="33">
        <f>IFERROR(__xludf.DUMMYFUNCTION("GOOGLEFINANCE(A428,""priceopen"")"),104.49)</f>
        <v>104.49</v>
      </c>
      <c r="H428" s="34">
        <f>IFERROR(__xludf.DUMMYFUNCTION("GOOGLEFINANCE(A428,""closeyest"")"),105.52)</f>
        <v>105.52</v>
      </c>
      <c r="I428" s="34">
        <f>IFERROR(__xludf.DUMMYFUNCTION("GOOGLEFINANCE(A428,""low52"")"),32.7)</f>
        <v>32.7</v>
      </c>
      <c r="J428" s="34">
        <f>IFERROR(__xludf.DUMMYFUNCTION("GOOGLEFINANCE(A428,""high52"")"),111.97)</f>
        <v>111.97</v>
      </c>
    </row>
    <row r="429">
      <c r="A429" s="30" t="str">
        <f>'6image_RS_benchmark_performance'!A429</f>
        <v>NFLX</v>
      </c>
      <c r="B429" s="31">
        <f>IFERROR(__xludf.DUMMYFUNCTION("GOOGLEFINANCE(A429,""price"")"),531.05)</f>
        <v>531.05</v>
      </c>
      <c r="C429" s="31">
        <f>IFERROR(__xludf.DUMMYFUNCTION("GOOGLEFINANCE(A429,""high"")"),536.64)</f>
        <v>536.64</v>
      </c>
      <c r="D429" s="31">
        <f>IFERROR(__xludf.DUMMYFUNCTION("GOOGLEFINANCE(A429,""low"")"),520.3)</f>
        <v>520.3</v>
      </c>
      <c r="E429" s="31">
        <f>IFERROR(__xludf.DUMMYFUNCTION("GOOGLEFINANCE(A429,""change"")"),-1.23)</f>
        <v>-1.23</v>
      </c>
      <c r="F429" s="32">
        <f>IFERROR(__xludf.DUMMYFUNCTION("GOOGLEFINANCE(A429,""changepct"")/100"),-0.0023)</f>
        <v>-0.0023</v>
      </c>
      <c r="G429" s="33">
        <f>IFERROR(__xludf.DUMMYFUNCTION("GOOGLEFINANCE(A429,""priceopen"")"),526.07)</f>
        <v>526.07</v>
      </c>
      <c r="H429" s="34">
        <f>IFERROR(__xludf.DUMMYFUNCTION("GOOGLEFINANCE(A429,""closeyest"")"),532.28)</f>
        <v>532.28</v>
      </c>
      <c r="I429" s="34">
        <f>IFERROR(__xludf.DUMMYFUNCTION("GOOGLEFINANCE(A429,""low52"")"),458.6)</f>
        <v>458.6</v>
      </c>
      <c r="J429" s="34">
        <f>IFERROR(__xludf.DUMMYFUNCTION("GOOGLEFINANCE(A429,""high52"")"),593.29)</f>
        <v>593.29</v>
      </c>
    </row>
    <row r="430">
      <c r="A430" s="30" t="str">
        <f>'6image_RS_benchmark_performance'!A430</f>
        <v>NI</v>
      </c>
      <c r="B430" s="31">
        <f>IFERROR(__xludf.DUMMYFUNCTION("GOOGLEFINANCE(A430,""price"")"),25.17)</f>
        <v>25.17</v>
      </c>
      <c r="C430" s="31">
        <f>IFERROR(__xludf.DUMMYFUNCTION("GOOGLEFINANCE(A430,""high"")"),25.45)</f>
        <v>25.45</v>
      </c>
      <c r="D430" s="31">
        <f>IFERROR(__xludf.DUMMYFUNCTION("GOOGLEFINANCE(A430,""low"")"),24.99)</f>
        <v>24.99</v>
      </c>
      <c r="E430" s="31">
        <f>IFERROR(__xludf.DUMMYFUNCTION("GOOGLEFINANCE(A430,""change"")"),0.21)</f>
        <v>0.21</v>
      </c>
      <c r="F430" s="32">
        <f>IFERROR(__xludf.DUMMYFUNCTION("GOOGLEFINANCE(A430,""changepct"")/100"),0.0084)</f>
        <v>0.0084</v>
      </c>
      <c r="G430" s="33">
        <f>IFERROR(__xludf.DUMMYFUNCTION("GOOGLEFINANCE(A430,""priceopen"")"),25.01)</f>
        <v>25.01</v>
      </c>
      <c r="H430" s="34">
        <f>IFERROR(__xludf.DUMMYFUNCTION("GOOGLEFINANCE(A430,""closeyest"")"),24.96)</f>
        <v>24.96</v>
      </c>
      <c r="I430" s="34">
        <f>IFERROR(__xludf.DUMMYFUNCTION("GOOGLEFINANCE(A430,""low52"")"),21.09)</f>
        <v>21.09</v>
      </c>
      <c r="J430" s="34">
        <f>IFERROR(__xludf.DUMMYFUNCTION("GOOGLEFINANCE(A430,""high52"")"),26.6)</f>
        <v>26.6</v>
      </c>
    </row>
    <row r="431">
      <c r="A431" s="30" t="str">
        <f>'6image_RS_benchmark_performance'!A431</f>
        <v>NKE</v>
      </c>
      <c r="B431" s="31">
        <f>IFERROR(__xludf.DUMMYFUNCTION("GOOGLEFINANCE(A431,""price"")"),159.74)</f>
        <v>159.74</v>
      </c>
      <c r="C431" s="31">
        <f>IFERROR(__xludf.DUMMYFUNCTION("GOOGLEFINANCE(A431,""high"")"),160.43)</f>
        <v>160.43</v>
      </c>
      <c r="D431" s="31">
        <f>IFERROR(__xludf.DUMMYFUNCTION("GOOGLEFINANCE(A431,""low"")"),156.58)</f>
        <v>156.58</v>
      </c>
      <c r="E431" s="31">
        <f>IFERROR(__xludf.DUMMYFUNCTION("GOOGLEFINANCE(A431,""change"")"),1.87)</f>
        <v>1.87</v>
      </c>
      <c r="F431" s="32">
        <f>IFERROR(__xludf.DUMMYFUNCTION("GOOGLEFINANCE(A431,""changepct"")/100"),0.0118)</f>
        <v>0.0118</v>
      </c>
      <c r="G431" s="33">
        <f>IFERROR(__xludf.DUMMYFUNCTION("GOOGLEFINANCE(A431,""priceopen"")"),157.26)</f>
        <v>157.26</v>
      </c>
      <c r="H431" s="34">
        <f>IFERROR(__xludf.DUMMYFUNCTION("GOOGLEFINANCE(A431,""closeyest"")"),157.87)</f>
        <v>157.87</v>
      </c>
      <c r="I431" s="34">
        <f>IFERROR(__xludf.DUMMYFUNCTION("GOOGLEFINANCE(A431,""low52"")"),95.11)</f>
        <v>95.11</v>
      </c>
      <c r="J431" s="34">
        <f>IFERROR(__xludf.DUMMYFUNCTION("GOOGLEFINANCE(A431,""high52"")"),162.73)</f>
        <v>162.73</v>
      </c>
    </row>
    <row r="432">
      <c r="A432" s="30" t="str">
        <f>'6image_RS_benchmark_performance'!A432</f>
        <v>NLOK</v>
      </c>
      <c r="B432" s="31">
        <f>IFERROR(__xludf.DUMMYFUNCTION("GOOGLEFINANCE(A432,""price"")"),25.81)</f>
        <v>25.81</v>
      </c>
      <c r="C432" s="31">
        <f>IFERROR(__xludf.DUMMYFUNCTION("GOOGLEFINANCE(A432,""high"")"),26.18)</f>
        <v>26.18</v>
      </c>
      <c r="D432" s="31">
        <f>IFERROR(__xludf.DUMMYFUNCTION("GOOGLEFINANCE(A432,""low"")"),25.74)</f>
        <v>25.74</v>
      </c>
      <c r="E432" s="31">
        <f>IFERROR(__xludf.DUMMYFUNCTION("GOOGLEFINANCE(A432,""change"")"),-0.23)</f>
        <v>-0.23</v>
      </c>
      <c r="F432" s="32">
        <f>IFERROR(__xludf.DUMMYFUNCTION("GOOGLEFINANCE(A432,""changepct"")/100"),-0.0088)</f>
        <v>-0.0088</v>
      </c>
      <c r="G432" s="33">
        <f>IFERROR(__xludf.DUMMYFUNCTION("GOOGLEFINANCE(A432,""priceopen"")"),26.1)</f>
        <v>26.1</v>
      </c>
      <c r="H432" s="34">
        <f>IFERROR(__xludf.DUMMYFUNCTION("GOOGLEFINANCE(A432,""closeyest"")"),26.04)</f>
        <v>26.04</v>
      </c>
      <c r="I432" s="34">
        <f>IFERROR(__xludf.DUMMYFUNCTION("GOOGLEFINANCE(A432,""low52"")"),17.98)</f>
        <v>17.98</v>
      </c>
      <c r="J432" s="34">
        <f>IFERROR(__xludf.DUMMYFUNCTION("GOOGLEFINANCE(A432,""high52"")"),28.92)</f>
        <v>28.92</v>
      </c>
    </row>
    <row r="433">
      <c r="A433" s="30" t="str">
        <f>'6image_RS_benchmark_performance'!A433</f>
        <v>NLSN</v>
      </c>
      <c r="B433" s="31">
        <f>IFERROR(__xludf.DUMMYFUNCTION("GOOGLEFINANCE(A433,""price"")"),24.11)</f>
        <v>24.11</v>
      </c>
      <c r="C433" s="31">
        <f>IFERROR(__xludf.DUMMYFUNCTION("GOOGLEFINANCE(A433,""high"")"),24.15)</f>
        <v>24.15</v>
      </c>
      <c r="D433" s="31">
        <f>IFERROR(__xludf.DUMMYFUNCTION("GOOGLEFINANCE(A433,""low"")"),23.23)</f>
        <v>23.23</v>
      </c>
      <c r="E433" s="31">
        <f>IFERROR(__xludf.DUMMYFUNCTION("GOOGLEFINANCE(A433,""change"")"),0.9)</f>
        <v>0.9</v>
      </c>
      <c r="F433" s="32">
        <f>IFERROR(__xludf.DUMMYFUNCTION("GOOGLEFINANCE(A433,""changepct"")/100"),0.0388)</f>
        <v>0.0388</v>
      </c>
      <c r="G433" s="33">
        <f>IFERROR(__xludf.DUMMYFUNCTION("GOOGLEFINANCE(A433,""priceopen"")"),23.3)</f>
        <v>23.3</v>
      </c>
      <c r="H433" s="34">
        <f>IFERROR(__xludf.DUMMYFUNCTION("GOOGLEFINANCE(A433,""closeyest"")"),23.21)</f>
        <v>23.21</v>
      </c>
      <c r="I433" s="34">
        <f>IFERROR(__xludf.DUMMYFUNCTION("GOOGLEFINANCE(A433,""low52"")"),13.13)</f>
        <v>13.13</v>
      </c>
      <c r="J433" s="34">
        <f>IFERROR(__xludf.DUMMYFUNCTION("GOOGLEFINANCE(A433,""high52"")"),28.42)</f>
        <v>28.42</v>
      </c>
    </row>
    <row r="434">
      <c r="A434" s="30" t="str">
        <f>'6image_RS_benchmark_performance'!A434</f>
        <v>NOC</v>
      </c>
      <c r="B434" s="31">
        <f>IFERROR(__xludf.DUMMYFUNCTION("GOOGLEFINANCE(A434,""price"")"),359.97)</f>
        <v>359.97</v>
      </c>
      <c r="C434" s="31">
        <f>IFERROR(__xludf.DUMMYFUNCTION("GOOGLEFINANCE(A434,""high"")"),362.74)</f>
        <v>362.74</v>
      </c>
      <c r="D434" s="31">
        <f>IFERROR(__xludf.DUMMYFUNCTION("GOOGLEFINANCE(A434,""low"")"),355.64)</f>
        <v>355.64</v>
      </c>
      <c r="E434" s="31">
        <f>IFERROR(__xludf.DUMMYFUNCTION("GOOGLEFINANCE(A434,""change"")"),4.97)</f>
        <v>4.97</v>
      </c>
      <c r="F434" s="32">
        <f>IFERROR(__xludf.DUMMYFUNCTION("GOOGLEFINANCE(A434,""changepct"")/100"),0.013999999999999999)</f>
        <v>0.014</v>
      </c>
      <c r="G434" s="33">
        <f>IFERROR(__xludf.DUMMYFUNCTION("GOOGLEFINANCE(A434,""priceopen"")"),355.64)</f>
        <v>355.64</v>
      </c>
      <c r="H434" s="34">
        <f>IFERROR(__xludf.DUMMYFUNCTION("GOOGLEFINANCE(A434,""closeyest"")"),355.0)</f>
        <v>355</v>
      </c>
      <c r="I434" s="34">
        <f>IFERROR(__xludf.DUMMYFUNCTION("GOOGLEFINANCE(A434,""low52"")"),282.88)</f>
        <v>282.88</v>
      </c>
      <c r="J434" s="34">
        <f>IFERROR(__xludf.DUMMYFUNCTION("GOOGLEFINANCE(A434,""high52"")"),379.03)</f>
        <v>379.03</v>
      </c>
    </row>
    <row r="435">
      <c r="A435" s="30" t="str">
        <f>'6image_RS_benchmark_performance'!A435</f>
        <v>NOV</v>
      </c>
      <c r="B435" s="31">
        <f>IFERROR(__xludf.DUMMYFUNCTION("GOOGLEFINANCE(A435,""price"")"),13.55)</f>
        <v>13.55</v>
      </c>
      <c r="C435" s="31">
        <f>IFERROR(__xludf.DUMMYFUNCTION("GOOGLEFINANCE(A435,""high"")"),13.72)</f>
        <v>13.72</v>
      </c>
      <c r="D435" s="31">
        <f>IFERROR(__xludf.DUMMYFUNCTION("GOOGLEFINANCE(A435,""low"")"),13.09)</f>
        <v>13.09</v>
      </c>
      <c r="E435" s="31">
        <f>IFERROR(__xludf.DUMMYFUNCTION("GOOGLEFINANCE(A435,""change"")"),0.31)</f>
        <v>0.31</v>
      </c>
      <c r="F435" s="32">
        <f>IFERROR(__xludf.DUMMYFUNCTION("GOOGLEFINANCE(A435,""changepct"")/100"),0.023399999999999997)</f>
        <v>0.0234</v>
      </c>
      <c r="G435" s="33">
        <f>IFERROR(__xludf.DUMMYFUNCTION("GOOGLEFINANCE(A435,""priceopen"")"),13.2)</f>
        <v>13.2</v>
      </c>
      <c r="H435" s="34">
        <f>IFERROR(__xludf.DUMMYFUNCTION("GOOGLEFINANCE(A435,""closeyest"")"),13.24)</f>
        <v>13.24</v>
      </c>
      <c r="I435" s="34">
        <f>IFERROR(__xludf.DUMMYFUNCTION("GOOGLEFINANCE(A435,""low52"")"),7.7)</f>
        <v>7.7</v>
      </c>
      <c r="J435" s="34">
        <f>IFERROR(__xludf.DUMMYFUNCTION("GOOGLEFINANCE(A435,""high52"")"),18.02)</f>
        <v>18.02</v>
      </c>
    </row>
    <row r="436">
      <c r="A436" s="30" t="str">
        <f>'6image_RS_benchmark_performance'!A436</f>
        <v>NOVA</v>
      </c>
      <c r="B436" s="31">
        <f>IFERROR(__xludf.DUMMYFUNCTION("GOOGLEFINANCE(A436,""price"")"),35.02)</f>
        <v>35.02</v>
      </c>
      <c r="C436" s="31">
        <f>IFERROR(__xludf.DUMMYFUNCTION("GOOGLEFINANCE(A436,""high"")"),35.67)</f>
        <v>35.67</v>
      </c>
      <c r="D436" s="31">
        <f>IFERROR(__xludf.DUMMYFUNCTION("GOOGLEFINANCE(A436,""low"")"),32.9)</f>
        <v>32.9</v>
      </c>
      <c r="E436" s="31">
        <f>IFERROR(__xludf.DUMMYFUNCTION("GOOGLEFINANCE(A436,""change"")"),1.37)</f>
        <v>1.37</v>
      </c>
      <c r="F436" s="32">
        <f>IFERROR(__xludf.DUMMYFUNCTION("GOOGLEFINANCE(A436,""changepct"")/100"),0.0407)</f>
        <v>0.0407</v>
      </c>
      <c r="G436" s="33">
        <f>IFERROR(__xludf.DUMMYFUNCTION("GOOGLEFINANCE(A436,""priceopen"")"),34.39)</f>
        <v>34.39</v>
      </c>
      <c r="H436" s="34">
        <f>IFERROR(__xludf.DUMMYFUNCTION("GOOGLEFINANCE(A436,""closeyest"")"),33.65)</f>
        <v>33.65</v>
      </c>
      <c r="I436" s="34">
        <f>IFERROR(__xludf.DUMMYFUNCTION("GOOGLEFINANCE(A436,""low52"")"),18.82)</f>
        <v>18.82</v>
      </c>
      <c r="J436" s="34">
        <f>IFERROR(__xludf.DUMMYFUNCTION("GOOGLEFINANCE(A436,""high52"")"),57.7)</f>
        <v>57.7</v>
      </c>
    </row>
    <row r="437">
      <c r="A437" s="30" t="str">
        <f>'6image_RS_benchmark_performance'!A437</f>
        <v>NOW</v>
      </c>
      <c r="B437" s="31">
        <f>IFERROR(__xludf.DUMMYFUNCTION("GOOGLEFINANCE(A437,""price"")"),565.25)</f>
        <v>565.25</v>
      </c>
      <c r="C437" s="31">
        <f>IFERROR(__xludf.DUMMYFUNCTION("GOOGLEFINANCE(A437,""high"")"),569.16)</f>
        <v>569.16</v>
      </c>
      <c r="D437" s="31">
        <f>IFERROR(__xludf.DUMMYFUNCTION("GOOGLEFINANCE(A437,""low"")"),554.61)</f>
        <v>554.61</v>
      </c>
      <c r="E437" s="31">
        <f>IFERROR(__xludf.DUMMYFUNCTION("GOOGLEFINANCE(A437,""change"")"),10.16)</f>
        <v>10.16</v>
      </c>
      <c r="F437" s="32">
        <f>IFERROR(__xludf.DUMMYFUNCTION("GOOGLEFINANCE(A437,""changepct"")/100"),0.0183)</f>
        <v>0.0183</v>
      </c>
      <c r="G437" s="33">
        <f>IFERROR(__xludf.DUMMYFUNCTION("GOOGLEFINANCE(A437,""priceopen"")"),560.0)</f>
        <v>560</v>
      </c>
      <c r="H437" s="34">
        <f>IFERROR(__xludf.DUMMYFUNCTION("GOOGLEFINANCE(A437,""closeyest"")"),555.09)</f>
        <v>555.09</v>
      </c>
      <c r="I437" s="34">
        <f>IFERROR(__xludf.DUMMYFUNCTION("GOOGLEFINANCE(A437,""low52"")"),414.6)</f>
        <v>414.6</v>
      </c>
      <c r="J437" s="34">
        <f>IFERROR(__xludf.DUMMYFUNCTION("GOOGLEFINANCE(A437,""high52"")"),598.37)</f>
        <v>598.37</v>
      </c>
    </row>
    <row r="438">
      <c r="A438" s="30" t="str">
        <f>'6image_RS_benchmark_performance'!A438</f>
        <v>NRG</v>
      </c>
      <c r="B438" s="31">
        <f>IFERROR(__xludf.DUMMYFUNCTION("GOOGLEFINANCE(A438,""price"")"),39.45)</f>
        <v>39.45</v>
      </c>
      <c r="C438" s="31">
        <f>IFERROR(__xludf.DUMMYFUNCTION("GOOGLEFINANCE(A438,""high"")"),39.67)</f>
        <v>39.67</v>
      </c>
      <c r="D438" s="31">
        <f>IFERROR(__xludf.DUMMYFUNCTION("GOOGLEFINANCE(A438,""low"")"),38.93)</f>
        <v>38.93</v>
      </c>
      <c r="E438" s="31">
        <f>IFERROR(__xludf.DUMMYFUNCTION("GOOGLEFINANCE(A438,""change"")"),0.43)</f>
        <v>0.43</v>
      </c>
      <c r="F438" s="32">
        <f>IFERROR(__xludf.DUMMYFUNCTION("GOOGLEFINANCE(A438,""changepct"")/100"),0.011000000000000001)</f>
        <v>0.011</v>
      </c>
      <c r="G438" s="33">
        <f>IFERROR(__xludf.DUMMYFUNCTION("GOOGLEFINANCE(A438,""priceopen"")"),39.02)</f>
        <v>39.02</v>
      </c>
      <c r="H438" s="34">
        <f>IFERROR(__xludf.DUMMYFUNCTION("GOOGLEFINANCE(A438,""closeyest"")"),39.02)</f>
        <v>39.02</v>
      </c>
      <c r="I438" s="34">
        <f>IFERROR(__xludf.DUMMYFUNCTION("GOOGLEFINANCE(A438,""low52"")"),28.22)</f>
        <v>28.22</v>
      </c>
      <c r="J438" s="34">
        <f>IFERROR(__xludf.DUMMYFUNCTION("GOOGLEFINANCE(A438,""high52"")"),44.08)</f>
        <v>44.08</v>
      </c>
    </row>
    <row r="439">
      <c r="A439" s="30" t="str">
        <f>'6image_RS_benchmark_performance'!A439</f>
        <v>NSC</v>
      </c>
      <c r="B439" s="31">
        <f>IFERROR(__xludf.DUMMYFUNCTION("GOOGLEFINANCE(A439,""price"")"),256.83)</f>
        <v>256.83</v>
      </c>
      <c r="C439" s="31">
        <f>IFERROR(__xludf.DUMMYFUNCTION("GOOGLEFINANCE(A439,""high"")"),258.49)</f>
        <v>258.49</v>
      </c>
      <c r="D439" s="31">
        <f>IFERROR(__xludf.DUMMYFUNCTION("GOOGLEFINANCE(A439,""low"")"),254.29)</f>
        <v>254.29</v>
      </c>
      <c r="E439" s="31">
        <f>IFERROR(__xludf.DUMMYFUNCTION("GOOGLEFINANCE(A439,""change"")"),3.01)</f>
        <v>3.01</v>
      </c>
      <c r="F439" s="32">
        <f>IFERROR(__xludf.DUMMYFUNCTION("GOOGLEFINANCE(A439,""changepct"")/100"),0.011899999999999999)</f>
        <v>0.0119</v>
      </c>
      <c r="G439" s="33">
        <f>IFERROR(__xludf.DUMMYFUNCTION("GOOGLEFINANCE(A439,""priceopen"")"),254.29)</f>
        <v>254.29</v>
      </c>
      <c r="H439" s="34">
        <f>IFERROR(__xludf.DUMMYFUNCTION("GOOGLEFINANCE(A439,""closeyest"")"),253.82)</f>
        <v>253.82</v>
      </c>
      <c r="I439" s="34">
        <f>IFERROR(__xludf.DUMMYFUNCTION("GOOGLEFINANCE(A439,""low52"")"),184.21)</f>
        <v>184.21</v>
      </c>
      <c r="J439" s="34">
        <f>IFERROR(__xludf.DUMMYFUNCTION("GOOGLEFINANCE(A439,""high52"")"),295.14)</f>
        <v>295.14</v>
      </c>
    </row>
    <row r="440">
      <c r="A440" s="30" t="str">
        <f>'6image_RS_benchmark_performance'!A440</f>
        <v>NTAP</v>
      </c>
      <c r="B440" s="31">
        <f>IFERROR(__xludf.DUMMYFUNCTION("GOOGLEFINANCE(A440,""price"")"),78.24)</f>
        <v>78.24</v>
      </c>
      <c r="C440" s="31">
        <f>IFERROR(__xludf.DUMMYFUNCTION("GOOGLEFINANCE(A440,""high"")"),79.1)</f>
        <v>79.1</v>
      </c>
      <c r="D440" s="31">
        <f>IFERROR(__xludf.DUMMYFUNCTION("GOOGLEFINANCE(A440,""low"")"),77.44)</f>
        <v>77.44</v>
      </c>
      <c r="E440" s="31">
        <f>IFERROR(__xludf.DUMMYFUNCTION("GOOGLEFINANCE(A440,""change"")"),0.94)</f>
        <v>0.94</v>
      </c>
      <c r="F440" s="32">
        <f>IFERROR(__xludf.DUMMYFUNCTION("GOOGLEFINANCE(A440,""changepct"")/100"),0.012199999999999999)</f>
        <v>0.0122</v>
      </c>
      <c r="G440" s="33">
        <f>IFERROR(__xludf.DUMMYFUNCTION("GOOGLEFINANCE(A440,""priceopen"")"),77.71)</f>
        <v>77.71</v>
      </c>
      <c r="H440" s="34">
        <f>IFERROR(__xludf.DUMMYFUNCTION("GOOGLEFINANCE(A440,""closeyest"")"),77.3)</f>
        <v>77.3</v>
      </c>
      <c r="I440" s="34">
        <f>IFERROR(__xludf.DUMMYFUNCTION("GOOGLEFINANCE(A440,""low52"")"),40.08)</f>
        <v>40.08</v>
      </c>
      <c r="J440" s="34">
        <f>IFERROR(__xludf.DUMMYFUNCTION("GOOGLEFINANCE(A440,""high52"")"),84.19)</f>
        <v>84.19</v>
      </c>
    </row>
    <row r="441">
      <c r="A441" s="30" t="str">
        <f>'6image_RS_benchmark_performance'!A441</f>
        <v>NTES</v>
      </c>
      <c r="B441" s="31">
        <f>IFERROR(__xludf.DUMMYFUNCTION("GOOGLEFINANCE(A441,""price"")"),113.22)</f>
        <v>113.22</v>
      </c>
      <c r="C441" s="31">
        <f>IFERROR(__xludf.DUMMYFUNCTION("GOOGLEFINANCE(A441,""high"")"),114.04)</f>
        <v>114.04</v>
      </c>
      <c r="D441" s="31">
        <f>IFERROR(__xludf.DUMMYFUNCTION("GOOGLEFINANCE(A441,""low"")"),111.11)</f>
        <v>111.11</v>
      </c>
      <c r="E441" s="31">
        <f>IFERROR(__xludf.DUMMYFUNCTION("GOOGLEFINANCE(A441,""change"")"),0.97)</f>
        <v>0.97</v>
      </c>
      <c r="F441" s="32">
        <f>IFERROR(__xludf.DUMMYFUNCTION("GOOGLEFINANCE(A441,""changepct"")/100"),0.0086)</f>
        <v>0.0086</v>
      </c>
      <c r="G441" s="33">
        <f>IFERROR(__xludf.DUMMYFUNCTION("GOOGLEFINANCE(A441,""priceopen"")"),112.66)</f>
        <v>112.66</v>
      </c>
      <c r="H441" s="34">
        <f>IFERROR(__xludf.DUMMYFUNCTION("GOOGLEFINANCE(A441,""closeyest"")"),112.25)</f>
        <v>112.25</v>
      </c>
      <c r="I441" s="34">
        <f>IFERROR(__xludf.DUMMYFUNCTION("GOOGLEFINANCE(A441,""low52"")"),82.93)</f>
        <v>82.93</v>
      </c>
      <c r="J441" s="34">
        <f>IFERROR(__xludf.DUMMYFUNCTION("GOOGLEFINANCE(A441,""high52"")"),134.33)</f>
        <v>134.33</v>
      </c>
    </row>
    <row r="442">
      <c r="A442" s="30" t="str">
        <f>'6image_RS_benchmark_performance'!A442</f>
        <v>NTLA</v>
      </c>
      <c r="B442" s="31">
        <f>IFERROR(__xludf.DUMMYFUNCTION("GOOGLEFINANCE(A442,""price"")"),146.12)</f>
        <v>146.12</v>
      </c>
      <c r="C442" s="31">
        <f>IFERROR(__xludf.DUMMYFUNCTION("GOOGLEFINANCE(A442,""high"")"),146.56)</f>
        <v>146.56</v>
      </c>
      <c r="D442" s="31">
        <f>IFERROR(__xludf.DUMMYFUNCTION("GOOGLEFINANCE(A442,""low"")"),133.97)</f>
        <v>133.97</v>
      </c>
      <c r="E442" s="31">
        <f>IFERROR(__xludf.DUMMYFUNCTION("GOOGLEFINANCE(A442,""change"")"),7.18)</f>
        <v>7.18</v>
      </c>
      <c r="F442" s="32">
        <f>IFERROR(__xludf.DUMMYFUNCTION("GOOGLEFINANCE(A442,""changepct"")/100"),0.051699999999999996)</f>
        <v>0.0517</v>
      </c>
      <c r="G442" s="33">
        <f>IFERROR(__xludf.DUMMYFUNCTION("GOOGLEFINANCE(A442,""priceopen"")"),139.76)</f>
        <v>139.76</v>
      </c>
      <c r="H442" s="34">
        <f>IFERROR(__xludf.DUMMYFUNCTION("GOOGLEFINANCE(A442,""closeyest"")"),138.94)</f>
        <v>138.94</v>
      </c>
      <c r="I442" s="34">
        <f>IFERROR(__xludf.DUMMYFUNCTION("GOOGLEFINANCE(A442,""low52"")"),16.54)</f>
        <v>16.54</v>
      </c>
      <c r="J442" s="34">
        <f>IFERROR(__xludf.DUMMYFUNCTION("GOOGLEFINANCE(A442,""high52"")"),202.73)</f>
        <v>202.73</v>
      </c>
    </row>
    <row r="443">
      <c r="A443" s="30" t="str">
        <f>'6image_RS_benchmark_performance'!A443</f>
        <v>NTNX</v>
      </c>
      <c r="B443" s="31">
        <f>IFERROR(__xludf.DUMMYFUNCTION("GOOGLEFINANCE(A443,""price"")"),35.23)</f>
        <v>35.23</v>
      </c>
      <c r="C443" s="31">
        <f>IFERROR(__xludf.DUMMYFUNCTION("GOOGLEFINANCE(A443,""high"")"),35.64)</f>
        <v>35.64</v>
      </c>
      <c r="D443" s="31">
        <f>IFERROR(__xludf.DUMMYFUNCTION("GOOGLEFINANCE(A443,""low"")"),33.57)</f>
        <v>33.57</v>
      </c>
      <c r="E443" s="31">
        <f>IFERROR(__xludf.DUMMYFUNCTION("GOOGLEFINANCE(A443,""change"")"),1.56)</f>
        <v>1.56</v>
      </c>
      <c r="F443" s="32">
        <f>IFERROR(__xludf.DUMMYFUNCTION("GOOGLEFINANCE(A443,""changepct"")/100"),0.0463)</f>
        <v>0.0463</v>
      </c>
      <c r="G443" s="33">
        <f>IFERROR(__xludf.DUMMYFUNCTION("GOOGLEFINANCE(A443,""priceopen"")"),33.78)</f>
        <v>33.78</v>
      </c>
      <c r="H443" s="34">
        <f>IFERROR(__xludf.DUMMYFUNCTION("GOOGLEFINANCE(A443,""closeyest"")"),33.67)</f>
        <v>33.67</v>
      </c>
      <c r="I443" s="34">
        <f>IFERROR(__xludf.DUMMYFUNCTION("GOOGLEFINANCE(A443,""low52"")"),20.54)</f>
        <v>20.54</v>
      </c>
      <c r="J443" s="34">
        <f>IFERROR(__xludf.DUMMYFUNCTION("GOOGLEFINANCE(A443,""high52"")"),40.71)</f>
        <v>40.71</v>
      </c>
    </row>
    <row r="444">
      <c r="A444" s="30" t="str">
        <f>'6image_RS_benchmark_performance'!A444</f>
        <v>NTRS</v>
      </c>
      <c r="B444" s="31">
        <f>IFERROR(__xludf.DUMMYFUNCTION("GOOGLEFINANCE(A444,""price"")"),111.8)</f>
        <v>111.8</v>
      </c>
      <c r="C444" s="31">
        <f>IFERROR(__xludf.DUMMYFUNCTION("GOOGLEFINANCE(A444,""high"")"),112.88)</f>
        <v>112.88</v>
      </c>
      <c r="D444" s="31">
        <f>IFERROR(__xludf.DUMMYFUNCTION("GOOGLEFINANCE(A444,""low"")"),107.67)</f>
        <v>107.67</v>
      </c>
      <c r="E444" s="31">
        <f>IFERROR(__xludf.DUMMYFUNCTION("GOOGLEFINANCE(A444,""change"")"),3.84)</f>
        <v>3.84</v>
      </c>
      <c r="F444" s="32">
        <f>IFERROR(__xludf.DUMMYFUNCTION("GOOGLEFINANCE(A444,""changepct"")/100"),0.0356)</f>
        <v>0.0356</v>
      </c>
      <c r="G444" s="33">
        <f>IFERROR(__xludf.DUMMYFUNCTION("GOOGLEFINANCE(A444,""priceopen"")"),108.27)</f>
        <v>108.27</v>
      </c>
      <c r="H444" s="34">
        <f>IFERROR(__xludf.DUMMYFUNCTION("GOOGLEFINANCE(A444,""closeyest"")"),107.96)</f>
        <v>107.96</v>
      </c>
      <c r="I444" s="34">
        <f>IFERROR(__xludf.DUMMYFUNCTION("GOOGLEFINANCE(A444,""low52"")"),72.64)</f>
        <v>72.64</v>
      </c>
      <c r="J444" s="34">
        <f>IFERROR(__xludf.DUMMYFUNCTION("GOOGLEFINANCE(A444,""high52"")"),123.1)</f>
        <v>123.1</v>
      </c>
    </row>
    <row r="445">
      <c r="A445" s="30" t="str">
        <f>'6image_RS_benchmark_performance'!A445</f>
        <v>NUAN</v>
      </c>
      <c r="B445" s="31">
        <f>IFERROR(__xludf.DUMMYFUNCTION("GOOGLEFINANCE(A445,""price"")"),55.05)</f>
        <v>55.05</v>
      </c>
      <c r="C445" s="31">
        <f>IFERROR(__xludf.DUMMYFUNCTION("GOOGLEFINANCE(A445,""high"")"),55.12)</f>
        <v>55.12</v>
      </c>
      <c r="D445" s="31">
        <f>IFERROR(__xludf.DUMMYFUNCTION("GOOGLEFINANCE(A445,""low"")"),54.94)</f>
        <v>54.94</v>
      </c>
      <c r="E445" s="31">
        <f>IFERROR(__xludf.DUMMYFUNCTION("GOOGLEFINANCE(A445,""change"")"),0.13)</f>
        <v>0.13</v>
      </c>
      <c r="F445" s="32">
        <f>IFERROR(__xludf.DUMMYFUNCTION("GOOGLEFINANCE(A445,""changepct"")/100"),0.0024)</f>
        <v>0.0024</v>
      </c>
      <c r="G445" s="33">
        <f>IFERROR(__xludf.DUMMYFUNCTION("GOOGLEFINANCE(A445,""priceopen"")"),54.95)</f>
        <v>54.95</v>
      </c>
      <c r="H445" s="34">
        <f>IFERROR(__xludf.DUMMYFUNCTION("GOOGLEFINANCE(A445,""closeyest"")"),54.92)</f>
        <v>54.92</v>
      </c>
      <c r="I445" s="34">
        <f>IFERROR(__xludf.DUMMYFUNCTION("GOOGLEFINANCE(A445,""low52"")"),25.52)</f>
        <v>25.52</v>
      </c>
      <c r="J445" s="34">
        <f>IFERROR(__xludf.DUMMYFUNCTION("GOOGLEFINANCE(A445,""high52"")"),55.12)</f>
        <v>55.12</v>
      </c>
    </row>
    <row r="446">
      <c r="A446" s="30" t="str">
        <f>'6image_RS_benchmark_performance'!A446</f>
        <v>NUE</v>
      </c>
      <c r="B446" s="31">
        <f>IFERROR(__xludf.DUMMYFUNCTION("GOOGLEFINANCE(A446,""price"")"),91.52)</f>
        <v>91.52</v>
      </c>
      <c r="C446" s="31">
        <f>IFERROR(__xludf.DUMMYFUNCTION("GOOGLEFINANCE(A446,""high"")"),92.17)</f>
        <v>92.17</v>
      </c>
      <c r="D446" s="31">
        <f>IFERROR(__xludf.DUMMYFUNCTION("GOOGLEFINANCE(A446,""low"")"),88.67)</f>
        <v>88.67</v>
      </c>
      <c r="E446" s="31">
        <f>IFERROR(__xludf.DUMMYFUNCTION("GOOGLEFINANCE(A446,""change"")"),1.48)</f>
        <v>1.48</v>
      </c>
      <c r="F446" s="32">
        <f>IFERROR(__xludf.DUMMYFUNCTION("GOOGLEFINANCE(A446,""changepct"")/100"),0.016399999999999998)</f>
        <v>0.0164</v>
      </c>
      <c r="G446" s="33">
        <f>IFERROR(__xludf.DUMMYFUNCTION("GOOGLEFINANCE(A446,""priceopen"")"),90.0)</f>
        <v>90</v>
      </c>
      <c r="H446" s="34">
        <f>IFERROR(__xludf.DUMMYFUNCTION("GOOGLEFINANCE(A446,""closeyest"")"),90.04)</f>
        <v>90.04</v>
      </c>
      <c r="I446" s="34">
        <f>IFERROR(__xludf.DUMMYFUNCTION("GOOGLEFINANCE(A446,""low52"")"),40.42)</f>
        <v>40.42</v>
      </c>
      <c r="J446" s="34">
        <f>IFERROR(__xludf.DUMMYFUNCTION("GOOGLEFINANCE(A446,""high52"")"),110.97)</f>
        <v>110.97</v>
      </c>
    </row>
    <row r="447">
      <c r="A447" s="30" t="str">
        <f>'6image_RS_benchmark_performance'!A447</f>
        <v>NVAX</v>
      </c>
      <c r="B447" s="31">
        <f>IFERROR(__xludf.DUMMYFUNCTION("GOOGLEFINANCE(A447,""price"")"),207.19)</f>
        <v>207.19</v>
      </c>
      <c r="C447" s="31">
        <f>IFERROR(__xludf.DUMMYFUNCTION("GOOGLEFINANCE(A447,""high"")"),230.9)</f>
        <v>230.9</v>
      </c>
      <c r="D447" s="31">
        <f>IFERROR(__xludf.DUMMYFUNCTION("GOOGLEFINANCE(A447,""low"")"),197.92)</f>
        <v>197.92</v>
      </c>
      <c r="E447" s="31">
        <f>IFERROR(__xludf.DUMMYFUNCTION("GOOGLEFINANCE(A447,""change"")"),-3.32)</f>
        <v>-3.32</v>
      </c>
      <c r="F447" s="32">
        <f>IFERROR(__xludf.DUMMYFUNCTION("GOOGLEFINANCE(A447,""changepct"")/100"),-0.0158)</f>
        <v>-0.0158</v>
      </c>
      <c r="G447" s="33">
        <f>IFERROR(__xludf.DUMMYFUNCTION("GOOGLEFINANCE(A447,""priceopen"")"),214.08)</f>
        <v>214.08</v>
      </c>
      <c r="H447" s="34">
        <f>IFERROR(__xludf.DUMMYFUNCTION("GOOGLEFINANCE(A447,""closeyest"")"),210.51)</f>
        <v>210.51</v>
      </c>
      <c r="I447" s="34">
        <f>IFERROR(__xludf.DUMMYFUNCTION("GOOGLEFINANCE(A447,""low52"")"),76.59)</f>
        <v>76.59</v>
      </c>
      <c r="J447" s="34">
        <f>IFERROR(__xludf.DUMMYFUNCTION("GOOGLEFINANCE(A447,""high52"")"),331.68)</f>
        <v>331.68</v>
      </c>
    </row>
    <row r="448">
      <c r="A448" s="30" t="str">
        <f>'6image_RS_benchmark_performance'!A448</f>
        <v>NVDA</v>
      </c>
      <c r="B448" s="31">
        <f>IFERROR(__xludf.DUMMYFUNCTION("GOOGLEFINANCE(A448,""price"")"),186.12)</f>
        <v>186.12</v>
      </c>
      <c r="C448" s="31">
        <f>IFERROR(__xludf.DUMMYFUNCTION("GOOGLEFINANCE(A448,""high"")"),188.38)</f>
        <v>188.38</v>
      </c>
      <c r="D448" s="31">
        <f>IFERROR(__xludf.DUMMYFUNCTION("GOOGLEFINANCE(A448,""low"")"),181.64)</f>
        <v>181.64</v>
      </c>
      <c r="E448" s="31">
        <f>IFERROR(__xludf.DUMMYFUNCTION("GOOGLEFINANCE(A448,""change"")"),-1.68)</f>
        <v>-1.68</v>
      </c>
      <c r="F448" s="32">
        <f>IFERROR(__xludf.DUMMYFUNCTION("GOOGLEFINANCE(A448,""changepct"")/100"),-0.0089)</f>
        <v>-0.0089</v>
      </c>
      <c r="G448" s="33">
        <f>IFERROR(__xludf.DUMMYFUNCTION("GOOGLEFINANCE(A448,""priceopen"")"),187.3)</f>
        <v>187.3</v>
      </c>
      <c r="H448" s="34">
        <f>IFERROR(__xludf.DUMMYFUNCTION("GOOGLEFINANCE(A448,""closeyest"")"),187.8)</f>
        <v>187.8</v>
      </c>
      <c r="I448" s="34">
        <f>IFERROR(__xludf.DUMMYFUNCTION("GOOGLEFINANCE(A448,""low52"")"),97.77)</f>
        <v>97.77</v>
      </c>
      <c r="J448" s="34">
        <f>IFERROR(__xludf.DUMMYFUNCTION("GOOGLEFINANCE(A448,""high52"")"),208.75)</f>
        <v>208.75</v>
      </c>
    </row>
    <row r="449">
      <c r="A449" s="30" t="str">
        <f>'6image_RS_benchmark_performance'!A449</f>
        <v>NVR</v>
      </c>
      <c r="B449" s="31">
        <f>IFERROR(__xludf.DUMMYFUNCTION("GOOGLEFINANCE(A449,""price"")"),4900.27)</f>
        <v>4900.27</v>
      </c>
      <c r="C449" s="31">
        <f>IFERROR(__xludf.DUMMYFUNCTION("GOOGLEFINANCE(A449,""high"")"),4910.97)</f>
        <v>4910.97</v>
      </c>
      <c r="D449" s="31">
        <f>IFERROR(__xludf.DUMMYFUNCTION("GOOGLEFINANCE(A449,""low"")"),4790.23)</f>
        <v>4790.23</v>
      </c>
      <c r="E449" s="31">
        <f>IFERROR(__xludf.DUMMYFUNCTION("GOOGLEFINANCE(A449,""change"")"),112.26)</f>
        <v>112.26</v>
      </c>
      <c r="F449" s="32">
        <f>IFERROR(__xludf.DUMMYFUNCTION("GOOGLEFINANCE(A449,""changepct"")/100"),0.023399999999999997)</f>
        <v>0.0234</v>
      </c>
      <c r="G449" s="33">
        <f>IFERROR(__xludf.DUMMYFUNCTION("GOOGLEFINANCE(A449,""priceopen"")"),4820.16)</f>
        <v>4820.16</v>
      </c>
      <c r="H449" s="34">
        <f>IFERROR(__xludf.DUMMYFUNCTION("GOOGLEFINANCE(A449,""closeyest"")"),4788.01)</f>
        <v>4788.01</v>
      </c>
      <c r="I449" s="34">
        <f>IFERROR(__xludf.DUMMYFUNCTION("GOOGLEFINANCE(A449,""low52"")"),3277.85)</f>
        <v>3277.85</v>
      </c>
      <c r="J449" s="34">
        <f>IFERROR(__xludf.DUMMYFUNCTION("GOOGLEFINANCE(A449,""high52"")"),5308.48)</f>
        <v>5308.48</v>
      </c>
    </row>
    <row r="450">
      <c r="A450" s="30" t="str">
        <f>'6image_RS_benchmark_performance'!A450</f>
        <v>NVTA</v>
      </c>
      <c r="B450" s="31">
        <f>IFERROR(__xludf.DUMMYFUNCTION("GOOGLEFINANCE(A450,""price"")"),29.25)</f>
        <v>29.25</v>
      </c>
      <c r="C450" s="31">
        <f>IFERROR(__xludf.DUMMYFUNCTION("GOOGLEFINANCE(A450,""high"")"),29.41)</f>
        <v>29.41</v>
      </c>
      <c r="D450" s="31">
        <f>IFERROR(__xludf.DUMMYFUNCTION("GOOGLEFINANCE(A450,""low"")"),27.92)</f>
        <v>27.92</v>
      </c>
      <c r="E450" s="31">
        <f>IFERROR(__xludf.DUMMYFUNCTION("GOOGLEFINANCE(A450,""change"")"),0.5)</f>
        <v>0.5</v>
      </c>
      <c r="F450" s="32">
        <f>IFERROR(__xludf.DUMMYFUNCTION("GOOGLEFINANCE(A450,""changepct"")/100"),0.0174)</f>
        <v>0.0174</v>
      </c>
      <c r="G450" s="33">
        <f>IFERROR(__xludf.DUMMYFUNCTION("GOOGLEFINANCE(A450,""priceopen"")"),28.91)</f>
        <v>28.91</v>
      </c>
      <c r="H450" s="34">
        <f>IFERROR(__xludf.DUMMYFUNCTION("GOOGLEFINANCE(A450,""closeyest"")"),28.75)</f>
        <v>28.75</v>
      </c>
      <c r="I450" s="34">
        <f>IFERROR(__xludf.DUMMYFUNCTION("GOOGLEFINANCE(A450,""low52"")"),25.24)</f>
        <v>25.24</v>
      </c>
      <c r="J450" s="34">
        <f>IFERROR(__xludf.DUMMYFUNCTION("GOOGLEFINANCE(A450,""high52"")"),61.59)</f>
        <v>61.59</v>
      </c>
    </row>
    <row r="451">
      <c r="A451" s="30" t="str">
        <f>'6image_RS_benchmark_performance'!A451</f>
        <v>NWL</v>
      </c>
      <c r="B451" s="31">
        <f>IFERROR(__xludf.DUMMYFUNCTION("GOOGLEFINANCE(A451,""price"")"),27.04)</f>
        <v>27.04</v>
      </c>
      <c r="C451" s="31">
        <f>IFERROR(__xludf.DUMMYFUNCTION("GOOGLEFINANCE(A451,""high"")"),27.08)</f>
        <v>27.08</v>
      </c>
      <c r="D451" s="31">
        <f>IFERROR(__xludf.DUMMYFUNCTION("GOOGLEFINANCE(A451,""low"")"),26.05)</f>
        <v>26.05</v>
      </c>
      <c r="E451" s="31">
        <f>IFERROR(__xludf.DUMMYFUNCTION("GOOGLEFINANCE(A451,""change"")"),0.89)</f>
        <v>0.89</v>
      </c>
      <c r="F451" s="32">
        <f>IFERROR(__xludf.DUMMYFUNCTION("GOOGLEFINANCE(A451,""changepct"")/100"),0.034)</f>
        <v>0.034</v>
      </c>
      <c r="G451" s="33">
        <f>IFERROR(__xludf.DUMMYFUNCTION("GOOGLEFINANCE(A451,""priceopen"")"),26.3)</f>
        <v>26.3</v>
      </c>
      <c r="H451" s="34">
        <f>IFERROR(__xludf.DUMMYFUNCTION("GOOGLEFINANCE(A451,""closeyest"")"),26.15)</f>
        <v>26.15</v>
      </c>
      <c r="I451" s="34">
        <f>IFERROR(__xludf.DUMMYFUNCTION("GOOGLEFINANCE(A451,""low52"")"),15.67)</f>
        <v>15.67</v>
      </c>
      <c r="J451" s="34">
        <f>IFERROR(__xludf.DUMMYFUNCTION("GOOGLEFINANCE(A451,""high52"")"),30.1)</f>
        <v>30.1</v>
      </c>
    </row>
    <row r="452">
      <c r="A452" s="30" t="str">
        <f>'6image_RS_benchmark_performance'!A452</f>
        <v>NWS</v>
      </c>
      <c r="B452" s="31">
        <f>IFERROR(__xludf.DUMMYFUNCTION("GOOGLEFINANCE(A452,""price"")"),23.06)</f>
        <v>23.06</v>
      </c>
      <c r="C452" s="31">
        <f>IFERROR(__xludf.DUMMYFUNCTION("GOOGLEFINANCE(A452,""high"")"),23.15)</f>
        <v>23.15</v>
      </c>
      <c r="D452" s="31">
        <f>IFERROR(__xludf.DUMMYFUNCTION("GOOGLEFINANCE(A452,""low"")"),22.29)</f>
        <v>22.29</v>
      </c>
      <c r="E452" s="31">
        <f>IFERROR(__xludf.DUMMYFUNCTION("GOOGLEFINANCE(A452,""change"")"),0.41)</f>
        <v>0.41</v>
      </c>
      <c r="F452" s="32">
        <f>IFERROR(__xludf.DUMMYFUNCTION("GOOGLEFINANCE(A452,""changepct"")/100"),0.0181)</f>
        <v>0.0181</v>
      </c>
      <c r="G452" s="33">
        <f>IFERROR(__xludf.DUMMYFUNCTION("GOOGLEFINANCE(A452,""priceopen"")"),22.63)</f>
        <v>22.63</v>
      </c>
      <c r="H452" s="34">
        <f>IFERROR(__xludf.DUMMYFUNCTION("GOOGLEFINANCE(A452,""closeyest"")"),22.65)</f>
        <v>22.65</v>
      </c>
      <c r="I452" s="34">
        <f>IFERROR(__xludf.DUMMYFUNCTION("GOOGLEFINANCE(A452,""low52"")"),12.61)</f>
        <v>12.61</v>
      </c>
      <c r="J452" s="34">
        <f>IFERROR(__xludf.DUMMYFUNCTION("GOOGLEFINANCE(A452,""high52"")"),26.21)</f>
        <v>26.21</v>
      </c>
    </row>
    <row r="453">
      <c r="A453" s="30" t="str">
        <f>'6image_RS_benchmark_performance'!A453</f>
        <v>NWSA</v>
      </c>
      <c r="B453" s="31">
        <f>IFERROR(__xludf.DUMMYFUNCTION("GOOGLEFINANCE(A453,""price"")"),24.32)</f>
        <v>24.32</v>
      </c>
      <c r="C453" s="31">
        <f>IFERROR(__xludf.DUMMYFUNCTION("GOOGLEFINANCE(A453,""high"")"),24.39)</f>
        <v>24.39</v>
      </c>
      <c r="D453" s="31">
        <f>IFERROR(__xludf.DUMMYFUNCTION("GOOGLEFINANCE(A453,""low"")"),23.54)</f>
        <v>23.54</v>
      </c>
      <c r="E453" s="31">
        <f>IFERROR(__xludf.DUMMYFUNCTION("GOOGLEFINANCE(A453,""change"")"),0.44)</f>
        <v>0.44</v>
      </c>
      <c r="F453" s="32">
        <f>IFERROR(__xludf.DUMMYFUNCTION("GOOGLEFINANCE(A453,""changepct"")/100"),0.0184)</f>
        <v>0.0184</v>
      </c>
      <c r="G453" s="33">
        <f>IFERROR(__xludf.DUMMYFUNCTION("GOOGLEFINANCE(A453,""priceopen"")"),23.9)</f>
        <v>23.9</v>
      </c>
      <c r="H453" s="34">
        <f>IFERROR(__xludf.DUMMYFUNCTION("GOOGLEFINANCE(A453,""closeyest"")"),23.88)</f>
        <v>23.88</v>
      </c>
      <c r="I453" s="34">
        <f>IFERROR(__xludf.DUMMYFUNCTION("GOOGLEFINANCE(A453,""low52"")"),12.57)</f>
        <v>12.57</v>
      </c>
      <c r="J453" s="34">
        <f>IFERROR(__xludf.DUMMYFUNCTION("GOOGLEFINANCE(A453,""high52"")"),27.97)</f>
        <v>27.97</v>
      </c>
    </row>
    <row r="454">
      <c r="A454" s="30" t="str">
        <f>'6image_RS_benchmark_performance'!A454</f>
        <v>NXPI</v>
      </c>
      <c r="B454" s="31">
        <f>IFERROR(__xludf.DUMMYFUNCTION("GOOGLEFINANCE(A454,""price"")"),193.31)</f>
        <v>193.31</v>
      </c>
      <c r="C454" s="31">
        <f>IFERROR(__xludf.DUMMYFUNCTION("GOOGLEFINANCE(A454,""high"")"),195.02)</f>
        <v>195.02</v>
      </c>
      <c r="D454" s="31">
        <f>IFERROR(__xludf.DUMMYFUNCTION("GOOGLEFINANCE(A454,""low"")"),187.84)</f>
        <v>187.84</v>
      </c>
      <c r="E454" s="31">
        <f>IFERROR(__xludf.DUMMYFUNCTION("GOOGLEFINANCE(A454,""change"")"),4.69)</f>
        <v>4.69</v>
      </c>
      <c r="F454" s="32">
        <f>IFERROR(__xludf.DUMMYFUNCTION("GOOGLEFINANCE(A454,""changepct"")/100"),0.024900000000000002)</f>
        <v>0.0249</v>
      </c>
      <c r="G454" s="33">
        <f>IFERROR(__xludf.DUMMYFUNCTION("GOOGLEFINANCE(A454,""priceopen"")"),189.09)</f>
        <v>189.09</v>
      </c>
      <c r="H454" s="34">
        <f>IFERROR(__xludf.DUMMYFUNCTION("GOOGLEFINANCE(A454,""closeyest"")"),188.62)</f>
        <v>188.62</v>
      </c>
      <c r="I454" s="34">
        <f>IFERROR(__xludf.DUMMYFUNCTION("GOOGLEFINANCE(A454,""low52"")"),114.38)</f>
        <v>114.38</v>
      </c>
      <c r="J454" s="34">
        <f>IFERROR(__xludf.DUMMYFUNCTION("GOOGLEFINANCE(A454,""high52"")"),216.43)</f>
        <v>216.43</v>
      </c>
    </row>
    <row r="455">
      <c r="A455" s="30" t="str">
        <f>'6image_RS_benchmark_performance'!A455</f>
        <v>O</v>
      </c>
      <c r="B455" s="31">
        <f>IFERROR(__xludf.DUMMYFUNCTION("GOOGLEFINANCE(A455,""price"")"),70.25)</f>
        <v>70.25</v>
      </c>
      <c r="C455" s="31">
        <f>IFERROR(__xludf.DUMMYFUNCTION("GOOGLEFINANCE(A455,""high"")"),70.53)</f>
        <v>70.53</v>
      </c>
      <c r="D455" s="31">
        <f>IFERROR(__xludf.DUMMYFUNCTION("GOOGLEFINANCE(A455,""low"")"),68.92)</f>
        <v>68.92</v>
      </c>
      <c r="E455" s="31">
        <f>IFERROR(__xludf.DUMMYFUNCTION("GOOGLEFINANCE(A455,""change"")"),1.55)</f>
        <v>1.55</v>
      </c>
      <c r="F455" s="32">
        <f>IFERROR(__xludf.DUMMYFUNCTION("GOOGLEFINANCE(A455,""changepct"")/100"),0.0226)</f>
        <v>0.0226</v>
      </c>
      <c r="G455" s="33">
        <f>IFERROR(__xludf.DUMMYFUNCTION("GOOGLEFINANCE(A455,""priceopen"")"),68.95)</f>
        <v>68.95</v>
      </c>
      <c r="H455" s="34">
        <f>IFERROR(__xludf.DUMMYFUNCTION("GOOGLEFINANCE(A455,""closeyest"")"),68.7)</f>
        <v>68.7</v>
      </c>
      <c r="I455" s="34">
        <f>IFERROR(__xludf.DUMMYFUNCTION("GOOGLEFINANCE(A455,""low52"")"),56.64)</f>
        <v>56.64</v>
      </c>
      <c r="J455" s="34">
        <f>IFERROR(__xludf.DUMMYFUNCTION("GOOGLEFINANCE(A455,""high52"")"),71.84)</f>
        <v>71.84</v>
      </c>
    </row>
    <row r="456">
      <c r="A456" s="30" t="str">
        <f>'6image_RS_benchmark_performance'!A456</f>
        <v>ODFL</v>
      </c>
      <c r="B456" s="31">
        <f>IFERROR(__xludf.DUMMYFUNCTION("GOOGLEFINANCE(A456,""price"")"),253.04)</f>
        <v>253.04</v>
      </c>
      <c r="C456" s="31">
        <f>IFERROR(__xludf.DUMMYFUNCTION("GOOGLEFINANCE(A456,""high"")"),255.29)</f>
        <v>255.29</v>
      </c>
      <c r="D456" s="31">
        <f>IFERROR(__xludf.DUMMYFUNCTION("GOOGLEFINANCE(A456,""low"")"),250.05)</f>
        <v>250.05</v>
      </c>
      <c r="E456" s="31">
        <f>IFERROR(__xludf.DUMMYFUNCTION("GOOGLEFINANCE(A456,""change"")"),2.89)</f>
        <v>2.89</v>
      </c>
      <c r="F456" s="32">
        <f>IFERROR(__xludf.DUMMYFUNCTION("GOOGLEFINANCE(A456,""changepct"")/100"),0.0116)</f>
        <v>0.0116</v>
      </c>
      <c r="G456" s="33">
        <f>IFERROR(__xludf.DUMMYFUNCTION("GOOGLEFINANCE(A456,""priceopen"")"),250.8)</f>
        <v>250.8</v>
      </c>
      <c r="H456" s="34">
        <f>IFERROR(__xludf.DUMMYFUNCTION("GOOGLEFINANCE(A456,""closeyest"")"),250.15)</f>
        <v>250.15</v>
      </c>
      <c r="I456" s="34">
        <f>IFERROR(__xludf.DUMMYFUNCTION("GOOGLEFINANCE(A456,""low52"")"),176.34)</f>
        <v>176.34</v>
      </c>
      <c r="J456" s="34">
        <f>IFERROR(__xludf.DUMMYFUNCTION("GOOGLEFINANCE(A456,""high52"")"),276.09)</f>
        <v>276.09</v>
      </c>
    </row>
    <row r="457">
      <c r="A457" s="30" t="str">
        <f>'6image_RS_benchmark_performance'!A457</f>
        <v>OGE</v>
      </c>
      <c r="B457" s="31">
        <f>IFERROR(__xludf.DUMMYFUNCTION("GOOGLEFINANCE(A457,""price"")"),33.89)</f>
        <v>33.89</v>
      </c>
      <c r="C457" s="31">
        <f>IFERROR(__xludf.DUMMYFUNCTION("GOOGLEFINANCE(A457,""high"")"),34.09)</f>
        <v>34.09</v>
      </c>
      <c r="D457" s="31">
        <f>IFERROR(__xludf.DUMMYFUNCTION("GOOGLEFINANCE(A457,""low"")"),33.3)</f>
        <v>33.3</v>
      </c>
      <c r="E457" s="31">
        <f>IFERROR(__xludf.DUMMYFUNCTION("GOOGLEFINANCE(A457,""change"")"),0.57)</f>
        <v>0.57</v>
      </c>
      <c r="F457" s="32">
        <f>IFERROR(__xludf.DUMMYFUNCTION("GOOGLEFINANCE(A457,""changepct"")/100"),0.0171)</f>
        <v>0.0171</v>
      </c>
      <c r="G457" s="33">
        <f>IFERROR(__xludf.DUMMYFUNCTION("GOOGLEFINANCE(A457,""priceopen"")"),33.32)</f>
        <v>33.32</v>
      </c>
      <c r="H457" s="34">
        <f>IFERROR(__xludf.DUMMYFUNCTION("GOOGLEFINANCE(A457,""closeyest"")"),33.32)</f>
        <v>33.32</v>
      </c>
      <c r="I457" s="34">
        <f>IFERROR(__xludf.DUMMYFUNCTION("GOOGLEFINANCE(A457,""low52"")"),28.25)</f>
        <v>28.25</v>
      </c>
      <c r="J457" s="34">
        <f>IFERROR(__xludf.DUMMYFUNCTION("GOOGLEFINANCE(A457,""high52"")"),35.46)</f>
        <v>35.46</v>
      </c>
    </row>
    <row r="458">
      <c r="A458" s="30" t="str">
        <f>'6image_RS_benchmark_performance'!A458</f>
        <v>OKE</v>
      </c>
      <c r="B458" s="31">
        <f>IFERROR(__xludf.DUMMYFUNCTION("GOOGLEFINANCE(A458,""price"")"),52.38)</f>
        <v>52.38</v>
      </c>
      <c r="C458" s="31">
        <f>IFERROR(__xludf.DUMMYFUNCTION("GOOGLEFINANCE(A458,""high"")"),52.84)</f>
        <v>52.84</v>
      </c>
      <c r="D458" s="31">
        <f>IFERROR(__xludf.DUMMYFUNCTION("GOOGLEFINANCE(A458,""low"")"),50.25)</f>
        <v>50.25</v>
      </c>
      <c r="E458" s="31">
        <f>IFERROR(__xludf.DUMMYFUNCTION("GOOGLEFINANCE(A458,""change"")"),2.18)</f>
        <v>2.18</v>
      </c>
      <c r="F458" s="32">
        <f>IFERROR(__xludf.DUMMYFUNCTION("GOOGLEFINANCE(A458,""changepct"")/100"),0.0434)</f>
        <v>0.0434</v>
      </c>
      <c r="G458" s="33">
        <f>IFERROR(__xludf.DUMMYFUNCTION("GOOGLEFINANCE(A458,""priceopen"")"),50.58)</f>
        <v>50.58</v>
      </c>
      <c r="H458" s="34">
        <f>IFERROR(__xludf.DUMMYFUNCTION("GOOGLEFINANCE(A458,""closeyest"")"),50.2)</f>
        <v>50.2</v>
      </c>
      <c r="I458" s="34">
        <f>IFERROR(__xludf.DUMMYFUNCTION("GOOGLEFINANCE(A458,""low52"")"),23.28)</f>
        <v>23.28</v>
      </c>
      <c r="J458" s="34">
        <f>IFERROR(__xludf.DUMMYFUNCTION("GOOGLEFINANCE(A458,""high52"")"),57.55)</f>
        <v>57.55</v>
      </c>
    </row>
    <row r="459">
      <c r="A459" s="30" t="str">
        <f>'6image_RS_benchmark_performance'!A459</f>
        <v>OKTA</v>
      </c>
      <c r="B459" s="31">
        <f>IFERROR(__xludf.DUMMYFUNCTION("GOOGLEFINANCE(A459,""price"")"),246.34)</f>
        <v>246.34</v>
      </c>
      <c r="C459" s="31">
        <f>IFERROR(__xludf.DUMMYFUNCTION("GOOGLEFINANCE(A459,""high"")"),249.7)</f>
        <v>249.7</v>
      </c>
      <c r="D459" s="31">
        <f>IFERROR(__xludf.DUMMYFUNCTION("GOOGLEFINANCE(A459,""low"")"),240.54)</f>
        <v>240.54</v>
      </c>
      <c r="E459" s="31">
        <f>IFERROR(__xludf.DUMMYFUNCTION("GOOGLEFINANCE(A459,""change"")"),4.99)</f>
        <v>4.99</v>
      </c>
      <c r="F459" s="32">
        <f>IFERROR(__xludf.DUMMYFUNCTION("GOOGLEFINANCE(A459,""changepct"")/100"),0.0207)</f>
        <v>0.0207</v>
      </c>
      <c r="G459" s="33">
        <f>IFERROR(__xludf.DUMMYFUNCTION("GOOGLEFINANCE(A459,""priceopen"")"),244.89)</f>
        <v>244.89</v>
      </c>
      <c r="H459" s="34">
        <f>IFERROR(__xludf.DUMMYFUNCTION("GOOGLEFINANCE(A459,""closeyest"")"),241.35)</f>
        <v>241.35</v>
      </c>
      <c r="I459" s="34">
        <f>IFERROR(__xludf.DUMMYFUNCTION("GOOGLEFINANCE(A459,""low52"")"),185.05)</f>
        <v>185.05</v>
      </c>
      <c r="J459" s="34">
        <f>IFERROR(__xludf.DUMMYFUNCTION("GOOGLEFINANCE(A459,""high52"")"),294.0)</f>
        <v>294</v>
      </c>
    </row>
    <row r="460">
      <c r="A460" s="30" t="str">
        <f>'6image_RS_benchmark_performance'!A460</f>
        <v>OMC</v>
      </c>
      <c r="B460" s="31">
        <f>IFERROR(__xludf.DUMMYFUNCTION("GOOGLEFINANCE(A460,""price"")"),73.07)</f>
        <v>73.07</v>
      </c>
      <c r="C460" s="31">
        <f>IFERROR(__xludf.DUMMYFUNCTION("GOOGLEFINANCE(A460,""high"")"),77.55)</f>
        <v>77.55</v>
      </c>
      <c r="D460" s="31">
        <f>IFERROR(__xludf.DUMMYFUNCTION("GOOGLEFINANCE(A460,""low"")"),72.42)</f>
        <v>72.42</v>
      </c>
      <c r="E460" s="31">
        <f>IFERROR(__xludf.DUMMYFUNCTION("GOOGLEFINANCE(A460,""change"")"),-3.29)</f>
        <v>-3.29</v>
      </c>
      <c r="F460" s="32">
        <f>IFERROR(__xludf.DUMMYFUNCTION("GOOGLEFINANCE(A460,""changepct"")/100"),-0.0431)</f>
        <v>-0.0431</v>
      </c>
      <c r="G460" s="33">
        <f>IFERROR(__xludf.DUMMYFUNCTION("GOOGLEFINANCE(A460,""priceopen"")"),77.55)</f>
        <v>77.55</v>
      </c>
      <c r="H460" s="34">
        <f>IFERROR(__xludf.DUMMYFUNCTION("GOOGLEFINANCE(A460,""closeyest"")"),76.36)</f>
        <v>76.36</v>
      </c>
      <c r="I460" s="34">
        <f>IFERROR(__xludf.DUMMYFUNCTION("GOOGLEFINANCE(A460,""low52"")"),44.5)</f>
        <v>44.5</v>
      </c>
      <c r="J460" s="34">
        <f>IFERROR(__xludf.DUMMYFUNCTION("GOOGLEFINANCE(A460,""high52"")"),86.38)</f>
        <v>86.38</v>
      </c>
    </row>
    <row r="461">
      <c r="A461" s="30" t="str">
        <f>'6image_RS_benchmark_performance'!A461</f>
        <v>ON</v>
      </c>
      <c r="B461" s="31">
        <f>IFERROR(__xludf.DUMMYFUNCTION("GOOGLEFINANCE(A461,""price"")"),35.51)</f>
        <v>35.51</v>
      </c>
      <c r="C461" s="31">
        <f>IFERROR(__xludf.DUMMYFUNCTION("GOOGLEFINANCE(A461,""high"")"),35.94)</f>
        <v>35.94</v>
      </c>
      <c r="D461" s="31">
        <f>IFERROR(__xludf.DUMMYFUNCTION("GOOGLEFINANCE(A461,""low"")"),34.37)</f>
        <v>34.37</v>
      </c>
      <c r="E461" s="31">
        <f>IFERROR(__xludf.DUMMYFUNCTION("GOOGLEFINANCE(A461,""change"")"),0.72)</f>
        <v>0.72</v>
      </c>
      <c r="F461" s="32">
        <f>IFERROR(__xludf.DUMMYFUNCTION("GOOGLEFINANCE(A461,""changepct"")/100"),0.0207)</f>
        <v>0.0207</v>
      </c>
      <c r="G461" s="33">
        <f>IFERROR(__xludf.DUMMYFUNCTION("GOOGLEFINANCE(A461,""priceopen"")"),34.88)</f>
        <v>34.88</v>
      </c>
      <c r="H461" s="34">
        <f>IFERROR(__xludf.DUMMYFUNCTION("GOOGLEFINANCE(A461,""closeyest"")"),34.79)</f>
        <v>34.79</v>
      </c>
      <c r="I461" s="34">
        <f>IFERROR(__xludf.DUMMYFUNCTION("GOOGLEFINANCE(A461,""low52"")"),19.75)</f>
        <v>19.75</v>
      </c>
      <c r="J461" s="34">
        <f>IFERROR(__xludf.DUMMYFUNCTION("GOOGLEFINANCE(A461,""high52"")"),44.59)</f>
        <v>44.59</v>
      </c>
    </row>
    <row r="462">
      <c r="A462" s="30" t="str">
        <f>'6image_RS_benchmark_performance'!A462</f>
        <v>ORCL</v>
      </c>
      <c r="B462" s="31">
        <f>IFERROR(__xludf.DUMMYFUNCTION("GOOGLEFINANCE(A462,""price"")"),88.66)</f>
        <v>88.66</v>
      </c>
      <c r="C462" s="31">
        <f>IFERROR(__xludf.DUMMYFUNCTION("GOOGLEFINANCE(A462,""high"")"),89.05)</f>
        <v>89.05</v>
      </c>
      <c r="D462" s="31">
        <f>IFERROR(__xludf.DUMMYFUNCTION("GOOGLEFINANCE(A462,""low"")"),87.02)</f>
        <v>87.02</v>
      </c>
      <c r="E462" s="31">
        <f>IFERROR(__xludf.DUMMYFUNCTION("GOOGLEFINANCE(A462,""change"")"),1.68)</f>
        <v>1.68</v>
      </c>
      <c r="F462" s="32">
        <f>IFERROR(__xludf.DUMMYFUNCTION("GOOGLEFINANCE(A462,""changepct"")/100"),0.019299999999999998)</f>
        <v>0.0193</v>
      </c>
      <c r="G462" s="33">
        <f>IFERROR(__xludf.DUMMYFUNCTION("GOOGLEFINANCE(A462,""priceopen"")"),87.1)</f>
        <v>87.1</v>
      </c>
      <c r="H462" s="34">
        <f>IFERROR(__xludf.DUMMYFUNCTION("GOOGLEFINANCE(A462,""closeyest"")"),86.98)</f>
        <v>86.98</v>
      </c>
      <c r="I462" s="34">
        <f>IFERROR(__xludf.DUMMYFUNCTION("GOOGLEFINANCE(A462,""low52"")"),53.66)</f>
        <v>53.66</v>
      </c>
      <c r="J462" s="34">
        <f>IFERROR(__xludf.DUMMYFUNCTION("GOOGLEFINANCE(A462,""high52"")"),89.05)</f>
        <v>89.05</v>
      </c>
    </row>
    <row r="463">
      <c r="A463" s="30" t="str">
        <f>'6image_RS_benchmark_performance'!A463</f>
        <v>ORLY</v>
      </c>
      <c r="B463" s="31">
        <f>IFERROR(__xludf.DUMMYFUNCTION("GOOGLEFINANCE(A463,""price"")"),607.38)</f>
        <v>607.38</v>
      </c>
      <c r="C463" s="31">
        <f>IFERROR(__xludf.DUMMYFUNCTION("GOOGLEFINANCE(A463,""high"")"),612.6)</f>
        <v>612.6</v>
      </c>
      <c r="D463" s="31">
        <f>IFERROR(__xludf.DUMMYFUNCTION("GOOGLEFINANCE(A463,""low"")"),596.0)</f>
        <v>596</v>
      </c>
      <c r="E463" s="31">
        <f>IFERROR(__xludf.DUMMYFUNCTION("GOOGLEFINANCE(A463,""change"")"),12.93)</f>
        <v>12.93</v>
      </c>
      <c r="F463" s="32">
        <f>IFERROR(__xludf.DUMMYFUNCTION("GOOGLEFINANCE(A463,""changepct"")/100"),0.0218)</f>
        <v>0.0218</v>
      </c>
      <c r="G463" s="33">
        <f>IFERROR(__xludf.DUMMYFUNCTION("GOOGLEFINANCE(A463,""priceopen"")"),596.0)</f>
        <v>596</v>
      </c>
      <c r="H463" s="34">
        <f>IFERROR(__xludf.DUMMYFUNCTION("GOOGLEFINANCE(A463,""closeyest"")"),594.45)</f>
        <v>594.45</v>
      </c>
      <c r="I463" s="34">
        <f>IFERROR(__xludf.DUMMYFUNCTION("GOOGLEFINANCE(A463,""low52"")"),424.03)</f>
        <v>424.03</v>
      </c>
      <c r="J463" s="34">
        <f>IFERROR(__xludf.DUMMYFUNCTION("GOOGLEFINANCE(A463,""high52"")"),612.6)</f>
        <v>612.6</v>
      </c>
    </row>
    <row r="464">
      <c r="A464" s="30" t="str">
        <f>'6image_RS_benchmark_performance'!A464</f>
        <v>OVV</v>
      </c>
      <c r="B464" s="31">
        <f>IFERROR(__xludf.DUMMYFUNCTION("GOOGLEFINANCE(A464,""price"")"),25.48)</f>
        <v>25.48</v>
      </c>
      <c r="C464" s="31">
        <f>IFERROR(__xludf.DUMMYFUNCTION("GOOGLEFINANCE(A464,""high"")"),25.63)</f>
        <v>25.63</v>
      </c>
      <c r="D464" s="31">
        <f>IFERROR(__xludf.DUMMYFUNCTION("GOOGLEFINANCE(A464,""low"")"),24.38)</f>
        <v>24.38</v>
      </c>
      <c r="E464" s="31">
        <f>IFERROR(__xludf.DUMMYFUNCTION("GOOGLEFINANCE(A464,""change"")"),0.67)</f>
        <v>0.67</v>
      </c>
      <c r="F464" s="32">
        <f>IFERROR(__xludf.DUMMYFUNCTION("GOOGLEFINANCE(A464,""changepct"")/100"),0.027000000000000003)</f>
        <v>0.027</v>
      </c>
      <c r="G464" s="33">
        <f>IFERROR(__xludf.DUMMYFUNCTION("GOOGLEFINANCE(A464,""priceopen"")"),24.8)</f>
        <v>24.8</v>
      </c>
      <c r="H464" s="34">
        <f>IFERROR(__xludf.DUMMYFUNCTION("GOOGLEFINANCE(A464,""closeyest"")"),24.81)</f>
        <v>24.81</v>
      </c>
      <c r="I464" s="34">
        <f>IFERROR(__xludf.DUMMYFUNCTION("GOOGLEFINANCE(A464,""low52"")"),6.81)</f>
        <v>6.81</v>
      </c>
      <c r="J464" s="34">
        <f>IFERROR(__xludf.DUMMYFUNCTION("GOOGLEFINANCE(A464,""high52"")"),33.46)</f>
        <v>33.46</v>
      </c>
    </row>
    <row r="465">
      <c r="A465" s="30" t="str">
        <f>'6image_RS_benchmark_performance'!A465</f>
        <v>OXY</v>
      </c>
      <c r="B465" s="31">
        <f>IFERROR(__xludf.DUMMYFUNCTION("GOOGLEFINANCE(A465,""price"")"),25.37)</f>
        <v>25.37</v>
      </c>
      <c r="C465" s="31">
        <f>IFERROR(__xludf.DUMMYFUNCTION("GOOGLEFINANCE(A465,""high"")"),25.8)</f>
        <v>25.8</v>
      </c>
      <c r="D465" s="31">
        <f>IFERROR(__xludf.DUMMYFUNCTION("GOOGLEFINANCE(A465,""low"")"),24.52)</f>
        <v>24.52</v>
      </c>
      <c r="E465" s="31">
        <f>IFERROR(__xludf.DUMMYFUNCTION("GOOGLEFINANCE(A465,""change"")"),0.55)</f>
        <v>0.55</v>
      </c>
      <c r="F465" s="32">
        <f>IFERROR(__xludf.DUMMYFUNCTION("GOOGLEFINANCE(A465,""changepct"")/100"),0.0222)</f>
        <v>0.0222</v>
      </c>
      <c r="G465" s="33">
        <f>IFERROR(__xludf.DUMMYFUNCTION("GOOGLEFINANCE(A465,""priceopen"")"),24.8)</f>
        <v>24.8</v>
      </c>
      <c r="H465" s="34">
        <f>IFERROR(__xludf.DUMMYFUNCTION("GOOGLEFINANCE(A465,""closeyest"")"),24.82)</f>
        <v>24.82</v>
      </c>
      <c r="I465" s="34">
        <f>IFERROR(__xludf.DUMMYFUNCTION("GOOGLEFINANCE(A465,""low52"")"),8.52)</f>
        <v>8.52</v>
      </c>
      <c r="J465" s="34">
        <f>IFERROR(__xludf.DUMMYFUNCTION("GOOGLEFINANCE(A465,""high52"")"),33.5)</f>
        <v>33.5</v>
      </c>
    </row>
    <row r="466">
      <c r="A466" s="30" t="str">
        <f>'6image_RS_benchmark_performance'!A466</f>
        <v>PACB</v>
      </c>
      <c r="B466" s="31">
        <f>IFERROR(__xludf.DUMMYFUNCTION("GOOGLEFINANCE(A466,""price"")"),29.2)</f>
        <v>29.2</v>
      </c>
      <c r="C466" s="31">
        <f>IFERROR(__xludf.DUMMYFUNCTION("GOOGLEFINANCE(A466,""high"")"),29.59)</f>
        <v>29.59</v>
      </c>
      <c r="D466" s="31">
        <f>IFERROR(__xludf.DUMMYFUNCTION("GOOGLEFINANCE(A466,""low"")"),26.41)</f>
        <v>26.41</v>
      </c>
      <c r="E466" s="31">
        <f>IFERROR(__xludf.DUMMYFUNCTION("GOOGLEFINANCE(A466,""change"")"),1.97)</f>
        <v>1.97</v>
      </c>
      <c r="F466" s="32">
        <f>IFERROR(__xludf.DUMMYFUNCTION("GOOGLEFINANCE(A466,""changepct"")/100"),0.0723)</f>
        <v>0.0723</v>
      </c>
      <c r="G466" s="33">
        <f>IFERROR(__xludf.DUMMYFUNCTION("GOOGLEFINANCE(A466,""priceopen"")"),27.25)</f>
        <v>27.25</v>
      </c>
      <c r="H466" s="34">
        <f>IFERROR(__xludf.DUMMYFUNCTION("GOOGLEFINANCE(A466,""closeyest"")"),27.23)</f>
        <v>27.23</v>
      </c>
      <c r="I466" s="34">
        <f>IFERROR(__xludf.DUMMYFUNCTION("GOOGLEFINANCE(A466,""low52"")"),3.57)</f>
        <v>3.57</v>
      </c>
      <c r="J466" s="34">
        <f>IFERROR(__xludf.DUMMYFUNCTION("GOOGLEFINANCE(A466,""high52"")"),53.69)</f>
        <v>53.69</v>
      </c>
    </row>
    <row r="467">
      <c r="A467" s="30" t="str">
        <f>'6image_RS_benchmark_performance'!A467</f>
        <v>PAYC</v>
      </c>
      <c r="B467" s="31">
        <f>IFERROR(__xludf.DUMMYFUNCTION("GOOGLEFINANCE(A467,""price"")"),378.59)</f>
        <v>378.59</v>
      </c>
      <c r="C467" s="31">
        <f>IFERROR(__xludf.DUMMYFUNCTION("GOOGLEFINANCE(A467,""high"")"),384.4)</f>
        <v>384.4</v>
      </c>
      <c r="D467" s="31">
        <f>IFERROR(__xludf.DUMMYFUNCTION("GOOGLEFINANCE(A467,""low"")"),367.88)</f>
        <v>367.88</v>
      </c>
      <c r="E467" s="31">
        <f>IFERROR(__xludf.DUMMYFUNCTION("GOOGLEFINANCE(A467,""change"")"),11.19)</f>
        <v>11.19</v>
      </c>
      <c r="F467" s="32">
        <f>IFERROR(__xludf.DUMMYFUNCTION("GOOGLEFINANCE(A467,""changepct"")/100"),0.0305)</f>
        <v>0.0305</v>
      </c>
      <c r="G467" s="33">
        <f>IFERROR(__xludf.DUMMYFUNCTION("GOOGLEFINANCE(A467,""priceopen"")"),371.11)</f>
        <v>371.11</v>
      </c>
      <c r="H467" s="34">
        <f>IFERROR(__xludf.DUMMYFUNCTION("GOOGLEFINANCE(A467,""closeyest"")"),367.4)</f>
        <v>367.4</v>
      </c>
      <c r="I467" s="34">
        <f>IFERROR(__xludf.DUMMYFUNCTION("GOOGLEFINANCE(A467,""low52"")"),257.87)</f>
        <v>257.87</v>
      </c>
      <c r="J467" s="34">
        <f>IFERROR(__xludf.DUMMYFUNCTION("GOOGLEFINANCE(A467,""high52"")"),471.08)</f>
        <v>471.08</v>
      </c>
    </row>
    <row r="468">
      <c r="A468" s="30" t="str">
        <f>'6image_RS_benchmark_performance'!A468</f>
        <v>PAYX</v>
      </c>
      <c r="B468" s="31">
        <f>IFERROR(__xludf.DUMMYFUNCTION("GOOGLEFINANCE(A468,""price"")"),110.46)</f>
        <v>110.46</v>
      </c>
      <c r="C468" s="31">
        <f>IFERROR(__xludf.DUMMYFUNCTION("GOOGLEFINANCE(A468,""high"")"),111.39)</f>
        <v>111.39</v>
      </c>
      <c r="D468" s="31">
        <f>IFERROR(__xludf.DUMMYFUNCTION("GOOGLEFINANCE(A468,""low"")"),109.53)</f>
        <v>109.53</v>
      </c>
      <c r="E468" s="31">
        <f>IFERROR(__xludf.DUMMYFUNCTION("GOOGLEFINANCE(A468,""change"")"),1.05)</f>
        <v>1.05</v>
      </c>
      <c r="F468" s="32">
        <f>IFERROR(__xludf.DUMMYFUNCTION("GOOGLEFINANCE(A468,""changepct"")/100"),0.0096)</f>
        <v>0.0096</v>
      </c>
      <c r="G468" s="33">
        <f>IFERROR(__xludf.DUMMYFUNCTION("GOOGLEFINANCE(A468,""priceopen"")"),109.9)</f>
        <v>109.9</v>
      </c>
      <c r="H468" s="34">
        <f>IFERROR(__xludf.DUMMYFUNCTION("GOOGLEFINANCE(A468,""closeyest"")"),109.41)</f>
        <v>109.41</v>
      </c>
      <c r="I468" s="34">
        <f>IFERROR(__xludf.DUMMYFUNCTION("GOOGLEFINANCE(A468,""low52"")"),70.38)</f>
        <v>70.38</v>
      </c>
      <c r="J468" s="34">
        <f>IFERROR(__xludf.DUMMYFUNCTION("GOOGLEFINANCE(A468,""high52"")"),113.11)</f>
        <v>113.11</v>
      </c>
    </row>
    <row r="469">
      <c r="A469" s="30" t="str">
        <f>'6image_RS_benchmark_performance'!A469</f>
        <v>PBCT</v>
      </c>
      <c r="B469" s="31">
        <f>IFERROR(__xludf.DUMMYFUNCTION("GOOGLEFINANCE(A469,""price"")"),15.77)</f>
        <v>15.77</v>
      </c>
      <c r="C469" s="31">
        <f>IFERROR(__xludf.DUMMYFUNCTION("GOOGLEFINANCE(A469,""high"")"),16.07)</f>
        <v>16.07</v>
      </c>
      <c r="D469" s="31">
        <f>IFERROR(__xludf.DUMMYFUNCTION("GOOGLEFINANCE(A469,""low"")"),15.21)</f>
        <v>15.21</v>
      </c>
      <c r="E469" s="31">
        <f>IFERROR(__xludf.DUMMYFUNCTION("GOOGLEFINANCE(A469,""change"")"),0.48)</f>
        <v>0.48</v>
      </c>
      <c r="F469" s="32">
        <f>IFERROR(__xludf.DUMMYFUNCTION("GOOGLEFINANCE(A469,""changepct"")/100"),0.031400000000000004)</f>
        <v>0.0314</v>
      </c>
      <c r="G469" s="33">
        <f>IFERROR(__xludf.DUMMYFUNCTION("GOOGLEFINANCE(A469,""priceopen"")"),15.25)</f>
        <v>15.25</v>
      </c>
      <c r="H469" s="34">
        <f>IFERROR(__xludf.DUMMYFUNCTION("GOOGLEFINANCE(A469,""closeyest"")"),15.29)</f>
        <v>15.29</v>
      </c>
      <c r="I469" s="34">
        <f>IFERROR(__xludf.DUMMYFUNCTION("GOOGLEFINANCE(A469,""low52"")"),9.74)</f>
        <v>9.74</v>
      </c>
      <c r="J469" s="34">
        <f>IFERROR(__xludf.DUMMYFUNCTION("GOOGLEFINANCE(A469,""high52"")"),19.62)</f>
        <v>19.62</v>
      </c>
    </row>
    <row r="470">
      <c r="A470" s="30" t="str">
        <f>'6image_RS_benchmark_performance'!A470</f>
        <v>PCAR</v>
      </c>
      <c r="B470" s="31">
        <f>IFERROR(__xludf.DUMMYFUNCTION("GOOGLEFINANCE(A470,""price"")"),88.09)</f>
        <v>88.09</v>
      </c>
      <c r="C470" s="31">
        <f>IFERROR(__xludf.DUMMYFUNCTION("GOOGLEFINANCE(A470,""high"")"),88.87)</f>
        <v>88.87</v>
      </c>
      <c r="D470" s="31">
        <f>IFERROR(__xludf.DUMMYFUNCTION("GOOGLEFINANCE(A470,""low"")"),86.54)</f>
        <v>86.54</v>
      </c>
      <c r="E470" s="31">
        <f>IFERROR(__xludf.DUMMYFUNCTION("GOOGLEFINANCE(A470,""change"")"),1.38)</f>
        <v>1.38</v>
      </c>
      <c r="F470" s="32">
        <f>IFERROR(__xludf.DUMMYFUNCTION("GOOGLEFINANCE(A470,""changepct"")/100"),0.0159)</f>
        <v>0.0159</v>
      </c>
      <c r="G470" s="33">
        <f>IFERROR(__xludf.DUMMYFUNCTION("GOOGLEFINANCE(A470,""priceopen"")"),86.86)</f>
        <v>86.86</v>
      </c>
      <c r="H470" s="34">
        <f>IFERROR(__xludf.DUMMYFUNCTION("GOOGLEFINANCE(A470,""closeyest"")"),86.71)</f>
        <v>86.71</v>
      </c>
      <c r="I470" s="34">
        <f>IFERROR(__xludf.DUMMYFUNCTION("GOOGLEFINANCE(A470,""low52"")"),78.51)</f>
        <v>78.51</v>
      </c>
      <c r="J470" s="34">
        <f>IFERROR(__xludf.DUMMYFUNCTION("GOOGLEFINANCE(A470,""high52"")"),103.19)</f>
        <v>103.19</v>
      </c>
    </row>
    <row r="471">
      <c r="A471" s="30" t="str">
        <f>'6image_RS_benchmark_performance'!A471</f>
        <v>PDD</v>
      </c>
      <c r="B471" s="31">
        <f>IFERROR(__xludf.DUMMYFUNCTION("GOOGLEFINANCE(A471,""price"")"),102.25)</f>
        <v>102.25</v>
      </c>
      <c r="C471" s="31">
        <f>IFERROR(__xludf.DUMMYFUNCTION("GOOGLEFINANCE(A471,""high"")"),104.84)</f>
        <v>104.84</v>
      </c>
      <c r="D471" s="31">
        <f>IFERROR(__xludf.DUMMYFUNCTION("GOOGLEFINANCE(A471,""low"")"),101.1)</f>
        <v>101.1</v>
      </c>
      <c r="E471" s="31">
        <f>IFERROR(__xludf.DUMMYFUNCTION("GOOGLEFINANCE(A471,""change"")"),-2.44)</f>
        <v>-2.44</v>
      </c>
      <c r="F471" s="32">
        <f>IFERROR(__xludf.DUMMYFUNCTION("GOOGLEFINANCE(A471,""changepct"")/100"),-0.0233)</f>
        <v>-0.0233</v>
      </c>
      <c r="G471" s="33">
        <f>IFERROR(__xludf.DUMMYFUNCTION("GOOGLEFINANCE(A471,""priceopen"")"),104.46)</f>
        <v>104.46</v>
      </c>
      <c r="H471" s="34">
        <f>IFERROR(__xludf.DUMMYFUNCTION("GOOGLEFINANCE(A471,""closeyest"")"),104.69)</f>
        <v>104.69</v>
      </c>
      <c r="I471" s="34">
        <f>IFERROR(__xludf.DUMMYFUNCTION("GOOGLEFINANCE(A471,""low52"")"),69.89)</f>
        <v>69.89</v>
      </c>
      <c r="J471" s="34">
        <f>IFERROR(__xludf.DUMMYFUNCTION("GOOGLEFINANCE(A471,""high52"")"),212.6)</f>
        <v>212.6</v>
      </c>
    </row>
    <row r="472">
      <c r="A472" s="30" t="str">
        <f>'6image_RS_benchmark_performance'!A472</f>
        <v>PEAK</v>
      </c>
      <c r="B472" s="31">
        <f>IFERROR(__xludf.DUMMYFUNCTION("GOOGLEFINANCE(A472,""price"")"),36.0)</f>
        <v>36</v>
      </c>
      <c r="C472" s="31">
        <f>IFERROR(__xludf.DUMMYFUNCTION("GOOGLEFINANCE(A472,""high"")"),36.16)</f>
        <v>36.16</v>
      </c>
      <c r="D472" s="31">
        <f>IFERROR(__xludf.DUMMYFUNCTION("GOOGLEFINANCE(A472,""low"")"),34.98)</f>
        <v>34.98</v>
      </c>
      <c r="E472" s="31">
        <f>IFERROR(__xludf.DUMMYFUNCTION("GOOGLEFINANCE(A472,""change"")"),1.06)</f>
        <v>1.06</v>
      </c>
      <c r="F472" s="32">
        <f>IFERROR(__xludf.DUMMYFUNCTION("GOOGLEFINANCE(A472,""changepct"")/100"),0.030299999999999997)</f>
        <v>0.0303</v>
      </c>
      <c r="G472" s="33">
        <f>IFERROR(__xludf.DUMMYFUNCTION("GOOGLEFINANCE(A472,""priceopen"")"),35.22)</f>
        <v>35.22</v>
      </c>
      <c r="H472" s="34">
        <f>IFERROR(__xludf.DUMMYFUNCTION("GOOGLEFINANCE(A472,""closeyest"")"),34.94)</f>
        <v>34.94</v>
      </c>
      <c r="I472" s="34">
        <f>IFERROR(__xludf.DUMMYFUNCTION("GOOGLEFINANCE(A472,""low52"")"),25.52)</f>
        <v>25.52</v>
      </c>
      <c r="J472" s="34">
        <f>IFERROR(__xludf.DUMMYFUNCTION("GOOGLEFINANCE(A472,""high52"")"),36.16)</f>
        <v>36.16</v>
      </c>
    </row>
    <row r="473">
      <c r="A473" s="30" t="str">
        <f>'6image_RS_benchmark_performance'!A473</f>
        <v>PEG</v>
      </c>
      <c r="B473" s="31">
        <f>IFERROR(__xludf.DUMMYFUNCTION("GOOGLEFINANCE(A473,""price"")"),60.67)</f>
        <v>60.67</v>
      </c>
      <c r="C473" s="31">
        <f>IFERROR(__xludf.DUMMYFUNCTION("GOOGLEFINANCE(A473,""high"")"),61.14)</f>
        <v>61.14</v>
      </c>
      <c r="D473" s="31">
        <f>IFERROR(__xludf.DUMMYFUNCTION("GOOGLEFINANCE(A473,""low"")"),60.12)</f>
        <v>60.12</v>
      </c>
      <c r="E473" s="31">
        <f>IFERROR(__xludf.DUMMYFUNCTION("GOOGLEFINANCE(A473,""change"")"),0.48)</f>
        <v>0.48</v>
      </c>
      <c r="F473" s="32">
        <f>IFERROR(__xludf.DUMMYFUNCTION("GOOGLEFINANCE(A473,""changepct"")/100"),0.008)</f>
        <v>0.008</v>
      </c>
      <c r="G473" s="33">
        <f>IFERROR(__xludf.DUMMYFUNCTION("GOOGLEFINANCE(A473,""priceopen"")"),60.13)</f>
        <v>60.13</v>
      </c>
      <c r="H473" s="34">
        <f>IFERROR(__xludf.DUMMYFUNCTION("GOOGLEFINANCE(A473,""closeyest"")"),60.19)</f>
        <v>60.19</v>
      </c>
      <c r="I473" s="34">
        <f>IFERROR(__xludf.DUMMYFUNCTION("GOOGLEFINANCE(A473,""low52"")"),50.32)</f>
        <v>50.32</v>
      </c>
      <c r="J473" s="34">
        <f>IFERROR(__xludf.DUMMYFUNCTION("GOOGLEFINANCE(A473,""high52"")"),64.3)</f>
        <v>64.3</v>
      </c>
    </row>
    <row r="474">
      <c r="A474" s="30" t="str">
        <f>'6image_RS_benchmark_performance'!A474</f>
        <v>PENN</v>
      </c>
      <c r="B474" s="31">
        <f>IFERROR(__xludf.DUMMYFUNCTION("GOOGLEFINANCE(A474,""price"")"),69.35)</f>
        <v>69.35</v>
      </c>
      <c r="C474" s="31">
        <f>IFERROR(__xludf.DUMMYFUNCTION("GOOGLEFINANCE(A474,""high"")"),69.77)</f>
        <v>69.77</v>
      </c>
      <c r="D474" s="31">
        <f>IFERROR(__xludf.DUMMYFUNCTION("GOOGLEFINANCE(A474,""low"")"),65.62)</f>
        <v>65.62</v>
      </c>
      <c r="E474" s="31">
        <f>IFERROR(__xludf.DUMMYFUNCTION("GOOGLEFINANCE(A474,""change"")"),3.0)</f>
        <v>3</v>
      </c>
      <c r="F474" s="32">
        <f>IFERROR(__xludf.DUMMYFUNCTION("GOOGLEFINANCE(A474,""changepct"")/100"),0.0452)</f>
        <v>0.0452</v>
      </c>
      <c r="G474" s="33">
        <f>IFERROR(__xludf.DUMMYFUNCTION("GOOGLEFINANCE(A474,""priceopen"")"),66.6)</f>
        <v>66.6</v>
      </c>
      <c r="H474" s="34">
        <f>IFERROR(__xludf.DUMMYFUNCTION("GOOGLEFINANCE(A474,""closeyest"")"),66.35)</f>
        <v>66.35</v>
      </c>
      <c r="I474" s="34">
        <f>IFERROR(__xludf.DUMMYFUNCTION("GOOGLEFINANCE(A474,""low52"")"),31.86)</f>
        <v>31.86</v>
      </c>
      <c r="J474" s="34">
        <f>IFERROR(__xludf.DUMMYFUNCTION("GOOGLEFINANCE(A474,""high52"")"),142.0)</f>
        <v>142</v>
      </c>
    </row>
    <row r="475">
      <c r="A475" s="30" t="str">
        <f>'6image_RS_benchmark_performance'!A475</f>
        <v>PEP</v>
      </c>
      <c r="B475" s="31">
        <f>IFERROR(__xludf.DUMMYFUNCTION("GOOGLEFINANCE(A475,""price"")"),155.82)</f>
        <v>155.82</v>
      </c>
      <c r="C475" s="31">
        <f>IFERROR(__xludf.DUMMYFUNCTION("GOOGLEFINANCE(A475,""high"")"),157.33)</f>
        <v>157.33</v>
      </c>
      <c r="D475" s="31">
        <f>IFERROR(__xludf.DUMMYFUNCTION("GOOGLEFINANCE(A475,""low"")"),155.56)</f>
        <v>155.56</v>
      </c>
      <c r="E475" s="31">
        <f>IFERROR(__xludf.DUMMYFUNCTION("GOOGLEFINANCE(A475,""change"")"),0.02)</f>
        <v>0.02</v>
      </c>
      <c r="F475" s="32">
        <f>IFERROR(__xludf.DUMMYFUNCTION("GOOGLEFINANCE(A475,""changepct"")/100"),1.0E-4)</f>
        <v>0.0001</v>
      </c>
      <c r="G475" s="33">
        <f>IFERROR(__xludf.DUMMYFUNCTION("GOOGLEFINANCE(A475,""priceopen"")"),156.2)</f>
        <v>156.2</v>
      </c>
      <c r="H475" s="34">
        <f>IFERROR(__xludf.DUMMYFUNCTION("GOOGLEFINANCE(A475,""closeyest"")"),155.8)</f>
        <v>155.8</v>
      </c>
      <c r="I475" s="34">
        <f>IFERROR(__xludf.DUMMYFUNCTION("GOOGLEFINANCE(A475,""low52"")"),128.32)</f>
        <v>128.32</v>
      </c>
      <c r="J475" s="34">
        <f>IFERROR(__xludf.DUMMYFUNCTION("GOOGLEFINANCE(A475,""high52"")"),157.54)</f>
        <v>157.54</v>
      </c>
    </row>
    <row r="476">
      <c r="A476" s="30" t="str">
        <f>'6image_RS_benchmark_performance'!A476</f>
        <v>PFE</v>
      </c>
      <c r="B476" s="31">
        <f>IFERROR(__xludf.DUMMYFUNCTION("GOOGLEFINANCE(A476,""price"")"),41.05)</f>
        <v>41.05</v>
      </c>
      <c r="C476" s="31">
        <f>IFERROR(__xludf.DUMMYFUNCTION("GOOGLEFINANCE(A476,""high"")"),41.71)</f>
        <v>41.71</v>
      </c>
      <c r="D476" s="31">
        <f>IFERROR(__xludf.DUMMYFUNCTION("GOOGLEFINANCE(A476,""low"")"),40.2)</f>
        <v>40.2</v>
      </c>
      <c r="E476" s="31">
        <f>IFERROR(__xludf.DUMMYFUNCTION("GOOGLEFINANCE(A476,""change"")"),0.9)</f>
        <v>0.9</v>
      </c>
      <c r="F476" s="32">
        <f>IFERROR(__xludf.DUMMYFUNCTION("GOOGLEFINANCE(A476,""changepct"")/100"),0.022400000000000003)</f>
        <v>0.0224</v>
      </c>
      <c r="G476" s="33">
        <f>IFERROR(__xludf.DUMMYFUNCTION("GOOGLEFINANCE(A476,""priceopen"")"),40.25)</f>
        <v>40.25</v>
      </c>
      <c r="H476" s="34">
        <f>IFERROR(__xludf.DUMMYFUNCTION("GOOGLEFINANCE(A476,""closeyest"")"),40.15)</f>
        <v>40.15</v>
      </c>
      <c r="I476" s="34">
        <f>IFERROR(__xludf.DUMMYFUNCTION("GOOGLEFINANCE(A476,""low52"")"),32.8)</f>
        <v>32.8</v>
      </c>
      <c r="J476" s="34">
        <f>IFERROR(__xludf.DUMMYFUNCTION("GOOGLEFINANCE(A476,""high52"")"),43.08)</f>
        <v>43.08</v>
      </c>
    </row>
    <row r="477">
      <c r="A477" s="30" t="str">
        <f>'6image_RS_benchmark_performance'!A477</f>
        <v>PFF</v>
      </c>
      <c r="B477" s="31">
        <f>IFERROR(__xludf.DUMMYFUNCTION("GOOGLEFINANCE(A477,""price"")"),39.05)</f>
        <v>39.05</v>
      </c>
      <c r="C477" s="31">
        <f>IFERROR(__xludf.DUMMYFUNCTION("GOOGLEFINANCE(A477,""high"")"),39.1)</f>
        <v>39.1</v>
      </c>
      <c r="D477" s="31">
        <f>IFERROR(__xludf.DUMMYFUNCTION("GOOGLEFINANCE(A477,""low"")"),38.85)</f>
        <v>38.85</v>
      </c>
      <c r="E477" s="31">
        <f>IFERROR(__xludf.DUMMYFUNCTION("GOOGLEFINANCE(A477,""change"")"),0.22)</f>
        <v>0.22</v>
      </c>
      <c r="F477" s="32">
        <f>IFERROR(__xludf.DUMMYFUNCTION("GOOGLEFINANCE(A477,""changepct"")/100"),0.005699999999999999)</f>
        <v>0.0057</v>
      </c>
      <c r="G477" s="33">
        <f>IFERROR(__xludf.DUMMYFUNCTION("GOOGLEFINANCE(A477,""priceopen"")"),38.9)</f>
        <v>38.9</v>
      </c>
      <c r="H477" s="34">
        <f>IFERROR(__xludf.DUMMYFUNCTION("GOOGLEFINANCE(A477,""closeyest"")"),38.83)</f>
        <v>38.83</v>
      </c>
      <c r="I477" s="34">
        <f>IFERROR(__xludf.DUMMYFUNCTION("GOOGLEFINANCE(A477,""low52"")"),35.26)</f>
        <v>35.26</v>
      </c>
      <c r="J477" s="34">
        <f>IFERROR(__xludf.DUMMYFUNCTION("GOOGLEFINANCE(A477,""high52"")"),39.38)</f>
        <v>39.38</v>
      </c>
    </row>
    <row r="478">
      <c r="A478" s="30" t="str">
        <f>'6image_RS_benchmark_performance'!A478</f>
        <v>PFG</v>
      </c>
      <c r="B478" s="31">
        <f>IFERROR(__xludf.DUMMYFUNCTION("GOOGLEFINANCE(A478,""price"")"),61.57)</f>
        <v>61.57</v>
      </c>
      <c r="C478" s="31">
        <f>IFERROR(__xludf.DUMMYFUNCTION("GOOGLEFINANCE(A478,""high"")"),61.91)</f>
        <v>61.91</v>
      </c>
      <c r="D478" s="31">
        <f>IFERROR(__xludf.DUMMYFUNCTION("GOOGLEFINANCE(A478,""low"")"),58.87)</f>
        <v>58.87</v>
      </c>
      <c r="E478" s="31">
        <f>IFERROR(__xludf.DUMMYFUNCTION("GOOGLEFINANCE(A478,""change"")"),2.37)</f>
        <v>2.37</v>
      </c>
      <c r="F478" s="32">
        <f>IFERROR(__xludf.DUMMYFUNCTION("GOOGLEFINANCE(A478,""changepct"")/100"),0.04)</f>
        <v>0.04</v>
      </c>
      <c r="G478" s="33">
        <f>IFERROR(__xludf.DUMMYFUNCTION("GOOGLEFINANCE(A478,""priceopen"")"),58.87)</f>
        <v>58.87</v>
      </c>
      <c r="H478" s="34">
        <f>IFERROR(__xludf.DUMMYFUNCTION("GOOGLEFINANCE(A478,""closeyest"")"),59.2)</f>
        <v>59.2</v>
      </c>
      <c r="I478" s="34">
        <f>IFERROR(__xludf.DUMMYFUNCTION("GOOGLEFINANCE(A478,""low52"")"),37.03)</f>
        <v>37.03</v>
      </c>
      <c r="J478" s="34">
        <f>IFERROR(__xludf.DUMMYFUNCTION("GOOGLEFINANCE(A478,""high52"")"),67.97)</f>
        <v>67.97</v>
      </c>
    </row>
    <row r="479">
      <c r="A479" s="30" t="str">
        <f>'6image_RS_benchmark_performance'!A479</f>
        <v>PG</v>
      </c>
      <c r="B479" s="31">
        <f>IFERROR(__xludf.DUMMYFUNCTION("GOOGLEFINANCE(A479,""price"")"),139.69)</f>
        <v>139.69</v>
      </c>
      <c r="C479" s="31">
        <f>IFERROR(__xludf.DUMMYFUNCTION("GOOGLEFINANCE(A479,""high"")"),141.98)</f>
        <v>141.98</v>
      </c>
      <c r="D479" s="31">
        <f>IFERROR(__xludf.DUMMYFUNCTION("GOOGLEFINANCE(A479,""low"")"),139.64)</f>
        <v>139.64</v>
      </c>
      <c r="E479" s="31">
        <f>IFERROR(__xludf.DUMMYFUNCTION("GOOGLEFINANCE(A479,""change"")"),-0.75)</f>
        <v>-0.75</v>
      </c>
      <c r="F479" s="32">
        <f>IFERROR(__xludf.DUMMYFUNCTION("GOOGLEFINANCE(A479,""changepct"")/100"),-0.0053)</f>
        <v>-0.0053</v>
      </c>
      <c r="G479" s="33">
        <f>IFERROR(__xludf.DUMMYFUNCTION("GOOGLEFINANCE(A479,""priceopen"")"),140.44)</f>
        <v>140.44</v>
      </c>
      <c r="H479" s="34">
        <f>IFERROR(__xludf.DUMMYFUNCTION("GOOGLEFINANCE(A479,""closeyest"")"),140.44)</f>
        <v>140.44</v>
      </c>
      <c r="I479" s="34">
        <f>IFERROR(__xludf.DUMMYFUNCTION("GOOGLEFINANCE(A479,""low52"")"),121.54)</f>
        <v>121.54</v>
      </c>
      <c r="J479" s="34">
        <f>IFERROR(__xludf.DUMMYFUNCTION("GOOGLEFINANCE(A479,""high52"")"),146.92)</f>
        <v>146.92</v>
      </c>
    </row>
    <row r="480">
      <c r="A480" s="30" t="str">
        <f>'6image_RS_benchmark_performance'!A480</f>
        <v>PGR</v>
      </c>
      <c r="B480" s="31">
        <f>IFERROR(__xludf.DUMMYFUNCTION("GOOGLEFINANCE(A480,""price"")"),94.42)</f>
        <v>94.42</v>
      </c>
      <c r="C480" s="31">
        <f>IFERROR(__xludf.DUMMYFUNCTION("GOOGLEFINANCE(A480,""high"")"),96.0)</f>
        <v>96</v>
      </c>
      <c r="D480" s="31">
        <f>IFERROR(__xludf.DUMMYFUNCTION("GOOGLEFINANCE(A480,""low"")"),94.04)</f>
        <v>94.04</v>
      </c>
      <c r="E480" s="31">
        <f>IFERROR(__xludf.DUMMYFUNCTION("GOOGLEFINANCE(A480,""change"")"),-0.15)</f>
        <v>-0.15</v>
      </c>
      <c r="F480" s="32">
        <f>IFERROR(__xludf.DUMMYFUNCTION("GOOGLEFINANCE(A480,""changepct"")/100"),-0.0016)</f>
        <v>-0.0016</v>
      </c>
      <c r="G480" s="33">
        <f>IFERROR(__xludf.DUMMYFUNCTION("GOOGLEFINANCE(A480,""priceopen"")"),94.83)</f>
        <v>94.83</v>
      </c>
      <c r="H480" s="34">
        <f>IFERROR(__xludf.DUMMYFUNCTION("GOOGLEFINANCE(A480,""closeyest"")"),94.57)</f>
        <v>94.57</v>
      </c>
      <c r="I480" s="34">
        <f>IFERROR(__xludf.DUMMYFUNCTION("GOOGLEFINANCE(A480,""low52"")"),84.89)</f>
        <v>84.89</v>
      </c>
      <c r="J480" s="34">
        <f>IFERROR(__xludf.DUMMYFUNCTION("GOOGLEFINANCE(A480,""high52"")"),107.59)</f>
        <v>107.59</v>
      </c>
    </row>
    <row r="481">
      <c r="A481" s="30" t="str">
        <f>'6image_RS_benchmark_performance'!A481</f>
        <v>PH</v>
      </c>
      <c r="B481" s="31">
        <f>IFERROR(__xludf.DUMMYFUNCTION("GOOGLEFINANCE(A481,""price"")"),299.53)</f>
        <v>299.53</v>
      </c>
      <c r="C481" s="31">
        <f>IFERROR(__xludf.DUMMYFUNCTION("GOOGLEFINANCE(A481,""high"")"),300.29)</f>
        <v>300.29</v>
      </c>
      <c r="D481" s="31">
        <f>IFERROR(__xludf.DUMMYFUNCTION("GOOGLEFINANCE(A481,""low"")"),289.36)</f>
        <v>289.36</v>
      </c>
      <c r="E481" s="31">
        <f>IFERROR(__xludf.DUMMYFUNCTION("GOOGLEFINANCE(A481,""change"")"),9.6)</f>
        <v>9.6</v>
      </c>
      <c r="F481" s="32">
        <f>IFERROR(__xludf.DUMMYFUNCTION("GOOGLEFINANCE(A481,""changepct"")/100"),0.0331)</f>
        <v>0.0331</v>
      </c>
      <c r="G481" s="33">
        <f>IFERROR(__xludf.DUMMYFUNCTION("GOOGLEFINANCE(A481,""priceopen"")"),290.2)</f>
        <v>290.2</v>
      </c>
      <c r="H481" s="34">
        <f>IFERROR(__xludf.DUMMYFUNCTION("GOOGLEFINANCE(A481,""closeyest"")"),289.93)</f>
        <v>289.93</v>
      </c>
      <c r="I481" s="34">
        <f>IFERROR(__xludf.DUMMYFUNCTION("GOOGLEFINANCE(A481,""low52"")"),175.02)</f>
        <v>175.02</v>
      </c>
      <c r="J481" s="34">
        <f>IFERROR(__xludf.DUMMYFUNCTION("GOOGLEFINANCE(A481,""high52"")"),324.68)</f>
        <v>324.68</v>
      </c>
    </row>
    <row r="482">
      <c r="A482" s="30" t="str">
        <f>'6image_RS_benchmark_performance'!A482</f>
        <v>PHM</v>
      </c>
      <c r="B482" s="31">
        <f>IFERROR(__xludf.DUMMYFUNCTION("GOOGLEFINANCE(A482,""price"")"),52.21)</f>
        <v>52.21</v>
      </c>
      <c r="C482" s="31">
        <f>IFERROR(__xludf.DUMMYFUNCTION("GOOGLEFINANCE(A482,""high"")"),52.38)</f>
        <v>52.38</v>
      </c>
      <c r="D482" s="31">
        <f>IFERROR(__xludf.DUMMYFUNCTION("GOOGLEFINANCE(A482,""low"")"),50.75)</f>
        <v>50.75</v>
      </c>
      <c r="E482" s="31">
        <f>IFERROR(__xludf.DUMMYFUNCTION("GOOGLEFINANCE(A482,""change"")"),1.29)</f>
        <v>1.29</v>
      </c>
      <c r="F482" s="32">
        <f>IFERROR(__xludf.DUMMYFUNCTION("GOOGLEFINANCE(A482,""changepct"")/100"),0.0253)</f>
        <v>0.0253</v>
      </c>
      <c r="G482" s="33">
        <f>IFERROR(__xludf.DUMMYFUNCTION("GOOGLEFINANCE(A482,""priceopen"")"),50.93)</f>
        <v>50.93</v>
      </c>
      <c r="H482" s="34">
        <f>IFERROR(__xludf.DUMMYFUNCTION("GOOGLEFINANCE(A482,""closeyest"")"),50.92)</f>
        <v>50.92</v>
      </c>
      <c r="I482" s="34">
        <f>IFERROR(__xludf.DUMMYFUNCTION("GOOGLEFINANCE(A482,""low52"")"),36.73)</f>
        <v>36.73</v>
      </c>
      <c r="J482" s="34">
        <f>IFERROR(__xludf.DUMMYFUNCTION("GOOGLEFINANCE(A482,""high52"")"),63.91)</f>
        <v>63.91</v>
      </c>
    </row>
    <row r="483">
      <c r="A483" s="30" t="str">
        <f>'6image_RS_benchmark_performance'!A483</f>
        <v>PINS</v>
      </c>
      <c r="B483" s="31">
        <f>IFERROR(__xludf.DUMMYFUNCTION("GOOGLEFINANCE(A483,""price"")"),71.43)</f>
        <v>71.43</v>
      </c>
      <c r="C483" s="31">
        <f>IFERROR(__xludf.DUMMYFUNCTION("GOOGLEFINANCE(A483,""high"")"),71.89)</f>
        <v>71.89</v>
      </c>
      <c r="D483" s="31">
        <f>IFERROR(__xludf.DUMMYFUNCTION("GOOGLEFINANCE(A483,""low"")"),69.53)</f>
        <v>69.53</v>
      </c>
      <c r="E483" s="31">
        <f>IFERROR(__xludf.DUMMYFUNCTION("GOOGLEFINANCE(A483,""change"")"),0.07)</f>
        <v>0.07</v>
      </c>
      <c r="F483" s="32">
        <f>IFERROR(__xludf.DUMMYFUNCTION("GOOGLEFINANCE(A483,""changepct"")/100"),0.001)</f>
        <v>0.001</v>
      </c>
      <c r="G483" s="33">
        <f>IFERROR(__xludf.DUMMYFUNCTION("GOOGLEFINANCE(A483,""priceopen"")"),71.6)</f>
        <v>71.6</v>
      </c>
      <c r="H483" s="34">
        <f>IFERROR(__xludf.DUMMYFUNCTION("GOOGLEFINANCE(A483,""closeyest"")"),71.36)</f>
        <v>71.36</v>
      </c>
      <c r="I483" s="34">
        <f>IFERROR(__xludf.DUMMYFUNCTION("GOOGLEFINANCE(A483,""low52"")"),23.56)</f>
        <v>23.56</v>
      </c>
      <c r="J483" s="34">
        <f>IFERROR(__xludf.DUMMYFUNCTION("GOOGLEFINANCE(A483,""high52"")"),89.9)</f>
        <v>89.9</v>
      </c>
    </row>
    <row r="484">
      <c r="A484" s="30" t="str">
        <f>'6image_RS_benchmark_performance'!A484</f>
        <v>PKG</v>
      </c>
      <c r="B484" s="31">
        <f>IFERROR(__xludf.DUMMYFUNCTION("GOOGLEFINANCE(A484,""price"")"),132.58)</f>
        <v>132.58</v>
      </c>
      <c r="C484" s="31">
        <f>IFERROR(__xludf.DUMMYFUNCTION("GOOGLEFINANCE(A484,""high"")"),134.94)</f>
        <v>134.94</v>
      </c>
      <c r="D484" s="31">
        <f>IFERROR(__xludf.DUMMYFUNCTION("GOOGLEFINANCE(A484,""low"")"),132.02)</f>
        <v>132.02</v>
      </c>
      <c r="E484" s="31">
        <f>IFERROR(__xludf.DUMMYFUNCTION("GOOGLEFINANCE(A484,""change"")"),0.39)</f>
        <v>0.39</v>
      </c>
      <c r="F484" s="32">
        <f>IFERROR(__xludf.DUMMYFUNCTION("GOOGLEFINANCE(A484,""changepct"")/100"),0.003)</f>
        <v>0.003</v>
      </c>
      <c r="G484" s="33">
        <f>IFERROR(__xludf.DUMMYFUNCTION("GOOGLEFINANCE(A484,""priceopen"")"),132.52)</f>
        <v>132.52</v>
      </c>
      <c r="H484" s="34">
        <f>IFERROR(__xludf.DUMMYFUNCTION("GOOGLEFINANCE(A484,""closeyest"")"),132.19)</f>
        <v>132.19</v>
      </c>
      <c r="I484" s="34">
        <f>IFERROR(__xludf.DUMMYFUNCTION("GOOGLEFINANCE(A484,""low52"")"),92.02)</f>
        <v>92.02</v>
      </c>
      <c r="J484" s="34">
        <f>IFERROR(__xludf.DUMMYFUNCTION("GOOGLEFINANCE(A484,""high52"")"),156.54)</f>
        <v>156.54</v>
      </c>
    </row>
    <row r="485">
      <c r="A485" s="30" t="str">
        <f>'6image_RS_benchmark_performance'!A485</f>
        <v>PKI</v>
      </c>
      <c r="B485" s="31">
        <f>IFERROR(__xludf.DUMMYFUNCTION("GOOGLEFINANCE(A485,""price"")"),155.38)</f>
        <v>155.38</v>
      </c>
      <c r="C485" s="31">
        <f>IFERROR(__xludf.DUMMYFUNCTION("GOOGLEFINANCE(A485,""high"")"),156.83)</f>
        <v>156.83</v>
      </c>
      <c r="D485" s="31">
        <f>IFERROR(__xludf.DUMMYFUNCTION("GOOGLEFINANCE(A485,""low"")"),154.0)</f>
        <v>154</v>
      </c>
      <c r="E485" s="31">
        <f>IFERROR(__xludf.DUMMYFUNCTION("GOOGLEFINANCE(A485,""change"")"),0.47)</f>
        <v>0.47</v>
      </c>
      <c r="F485" s="32">
        <f>IFERROR(__xludf.DUMMYFUNCTION("GOOGLEFINANCE(A485,""changepct"")/100"),0.003)</f>
        <v>0.003</v>
      </c>
      <c r="G485" s="33">
        <f>IFERROR(__xludf.DUMMYFUNCTION("GOOGLEFINANCE(A485,""priceopen"")"),154.96)</f>
        <v>154.96</v>
      </c>
      <c r="H485" s="34">
        <f>IFERROR(__xludf.DUMMYFUNCTION("GOOGLEFINANCE(A485,""closeyest"")"),154.91)</f>
        <v>154.91</v>
      </c>
      <c r="I485" s="34">
        <f>IFERROR(__xludf.DUMMYFUNCTION("GOOGLEFINANCE(A485,""low52"")"),108.93)</f>
        <v>108.93</v>
      </c>
      <c r="J485" s="34">
        <f>IFERROR(__xludf.DUMMYFUNCTION("GOOGLEFINANCE(A485,""high52"")"),162.7)</f>
        <v>162.7</v>
      </c>
    </row>
    <row r="486">
      <c r="A486" s="30" t="str">
        <f>'6image_RS_benchmark_performance'!A486</f>
        <v>PLAN</v>
      </c>
      <c r="B486" s="31">
        <f>IFERROR(__xludf.DUMMYFUNCTION("GOOGLEFINANCE(A486,""price"")"),54.84)</f>
        <v>54.84</v>
      </c>
      <c r="C486" s="31">
        <f>IFERROR(__xludf.DUMMYFUNCTION("GOOGLEFINANCE(A486,""high"")"),55.82)</f>
        <v>55.82</v>
      </c>
      <c r="D486" s="31">
        <f>IFERROR(__xludf.DUMMYFUNCTION("GOOGLEFINANCE(A486,""low"")"),52.92)</f>
        <v>52.92</v>
      </c>
      <c r="E486" s="31">
        <f>IFERROR(__xludf.DUMMYFUNCTION("GOOGLEFINANCE(A486,""change"")"),1.87)</f>
        <v>1.87</v>
      </c>
      <c r="F486" s="32">
        <f>IFERROR(__xludf.DUMMYFUNCTION("GOOGLEFINANCE(A486,""changepct"")/100"),0.0353)</f>
        <v>0.0353</v>
      </c>
      <c r="G486" s="33">
        <f>IFERROR(__xludf.DUMMYFUNCTION("GOOGLEFINANCE(A486,""priceopen"")"),53.19)</f>
        <v>53.19</v>
      </c>
      <c r="H486" s="34">
        <f>IFERROR(__xludf.DUMMYFUNCTION("GOOGLEFINANCE(A486,""closeyest"")"),52.97)</f>
        <v>52.97</v>
      </c>
      <c r="I486" s="34">
        <f>IFERROR(__xludf.DUMMYFUNCTION("GOOGLEFINANCE(A486,""low52"")"),41.51)</f>
        <v>41.51</v>
      </c>
      <c r="J486" s="34">
        <f>IFERROR(__xludf.DUMMYFUNCTION("GOOGLEFINANCE(A486,""high52"")"),86.17)</f>
        <v>86.17</v>
      </c>
    </row>
    <row r="487">
      <c r="A487" s="30" t="str">
        <f>'6image_RS_benchmark_performance'!A487</f>
        <v>PLD</v>
      </c>
      <c r="B487" s="31">
        <f>IFERROR(__xludf.DUMMYFUNCTION("GOOGLEFINANCE(A487,""price"")"),127.99)</f>
        <v>127.99</v>
      </c>
      <c r="C487" s="31">
        <f>IFERROR(__xludf.DUMMYFUNCTION("GOOGLEFINANCE(A487,""high"")"),128.87)</f>
        <v>128.87</v>
      </c>
      <c r="D487" s="31">
        <f>IFERROR(__xludf.DUMMYFUNCTION("GOOGLEFINANCE(A487,""low"")"),126.95)</f>
        <v>126.95</v>
      </c>
      <c r="E487" s="31">
        <f>IFERROR(__xludf.DUMMYFUNCTION("GOOGLEFINANCE(A487,""change"")"),1.21)</f>
        <v>1.21</v>
      </c>
      <c r="F487" s="32">
        <f>IFERROR(__xludf.DUMMYFUNCTION("GOOGLEFINANCE(A487,""changepct"")/100"),0.0095)</f>
        <v>0.0095</v>
      </c>
      <c r="G487" s="33">
        <f>IFERROR(__xludf.DUMMYFUNCTION("GOOGLEFINANCE(A487,""priceopen"")"),127.88)</f>
        <v>127.88</v>
      </c>
      <c r="H487" s="34">
        <f>IFERROR(__xludf.DUMMYFUNCTION("GOOGLEFINANCE(A487,""closeyest"")"),126.78)</f>
        <v>126.78</v>
      </c>
      <c r="I487" s="34">
        <f>IFERROR(__xludf.DUMMYFUNCTION("GOOGLEFINANCE(A487,""low52"")"),93.08)</f>
        <v>93.08</v>
      </c>
      <c r="J487" s="34">
        <f>IFERROR(__xludf.DUMMYFUNCTION("GOOGLEFINANCE(A487,""high52"")"),128.87)</f>
        <v>128.87</v>
      </c>
    </row>
    <row r="488">
      <c r="A488" s="30" t="str">
        <f>'6image_RS_benchmark_performance'!A488</f>
        <v>PLUG</v>
      </c>
      <c r="B488" s="31">
        <f>IFERROR(__xludf.DUMMYFUNCTION("GOOGLEFINANCE(A488,""price"")"),26.86)</f>
        <v>26.86</v>
      </c>
      <c r="C488" s="31">
        <f>IFERROR(__xludf.DUMMYFUNCTION("GOOGLEFINANCE(A488,""high"")"),27.06)</f>
        <v>27.06</v>
      </c>
      <c r="D488" s="31">
        <f>IFERROR(__xludf.DUMMYFUNCTION("GOOGLEFINANCE(A488,""low"")"),25.31)</f>
        <v>25.31</v>
      </c>
      <c r="E488" s="31">
        <f>IFERROR(__xludf.DUMMYFUNCTION("GOOGLEFINANCE(A488,""change"")"),0.86)</f>
        <v>0.86</v>
      </c>
      <c r="F488" s="32">
        <f>IFERROR(__xludf.DUMMYFUNCTION("GOOGLEFINANCE(A488,""changepct"")/100"),0.0331)</f>
        <v>0.0331</v>
      </c>
      <c r="G488" s="33">
        <f>IFERROR(__xludf.DUMMYFUNCTION("GOOGLEFINANCE(A488,""priceopen"")"),26.1)</f>
        <v>26.1</v>
      </c>
      <c r="H488" s="34">
        <f>IFERROR(__xludf.DUMMYFUNCTION("GOOGLEFINANCE(A488,""closeyest"")"),26.0)</f>
        <v>26</v>
      </c>
      <c r="I488" s="34">
        <f>IFERROR(__xludf.DUMMYFUNCTION("GOOGLEFINANCE(A488,""low52"")"),7.07)</f>
        <v>7.07</v>
      </c>
      <c r="J488" s="34">
        <f>IFERROR(__xludf.DUMMYFUNCTION("GOOGLEFINANCE(A488,""high52"")"),75.49)</f>
        <v>75.49</v>
      </c>
    </row>
    <row r="489">
      <c r="A489" s="30" t="str">
        <f>'6image_RS_benchmark_performance'!A489</f>
        <v>PM</v>
      </c>
      <c r="B489" s="31">
        <f>IFERROR(__xludf.DUMMYFUNCTION("GOOGLEFINANCE(A489,""price"")"),94.93)</f>
        <v>94.93</v>
      </c>
      <c r="C489" s="31">
        <f>IFERROR(__xludf.DUMMYFUNCTION("GOOGLEFINANCE(A489,""high"")"),96.96)</f>
        <v>96.96</v>
      </c>
      <c r="D489" s="31">
        <f>IFERROR(__xludf.DUMMYFUNCTION("GOOGLEFINANCE(A489,""low"")"),93.94)</f>
        <v>93.94</v>
      </c>
      <c r="E489" s="31">
        <f>IFERROR(__xludf.DUMMYFUNCTION("GOOGLEFINANCE(A489,""change"")"),-3.0)</f>
        <v>-3</v>
      </c>
      <c r="F489" s="32">
        <f>IFERROR(__xludf.DUMMYFUNCTION("GOOGLEFINANCE(A489,""changepct"")/100"),-0.030600000000000002)</f>
        <v>-0.0306</v>
      </c>
      <c r="G489" s="33">
        <f>IFERROR(__xludf.DUMMYFUNCTION("GOOGLEFINANCE(A489,""priceopen"")"),96.01)</f>
        <v>96.01</v>
      </c>
      <c r="H489" s="34">
        <f>IFERROR(__xludf.DUMMYFUNCTION("GOOGLEFINANCE(A489,""closeyest"")"),97.93)</f>
        <v>97.93</v>
      </c>
      <c r="I489" s="34">
        <f>IFERROR(__xludf.DUMMYFUNCTION("GOOGLEFINANCE(A489,""low52"")"),68.93)</f>
        <v>68.93</v>
      </c>
      <c r="J489" s="34">
        <f>IFERROR(__xludf.DUMMYFUNCTION("GOOGLEFINANCE(A489,""high52"")"),100.95)</f>
        <v>100.95</v>
      </c>
    </row>
    <row r="490">
      <c r="A490" s="30" t="str">
        <f>'6image_RS_benchmark_performance'!A490</f>
        <v>PNC</v>
      </c>
      <c r="B490" s="31">
        <f>IFERROR(__xludf.DUMMYFUNCTION("GOOGLEFINANCE(A490,""price"")"),181.6)</f>
        <v>181.6</v>
      </c>
      <c r="C490" s="31">
        <f>IFERROR(__xludf.DUMMYFUNCTION("GOOGLEFINANCE(A490,""high"")"),183.47)</f>
        <v>183.47</v>
      </c>
      <c r="D490" s="31">
        <f>IFERROR(__xludf.DUMMYFUNCTION("GOOGLEFINANCE(A490,""low"")"),177.21)</f>
        <v>177.21</v>
      </c>
      <c r="E490" s="31">
        <f>IFERROR(__xludf.DUMMYFUNCTION("GOOGLEFINANCE(A490,""change"")"),3.8)</f>
        <v>3.8</v>
      </c>
      <c r="F490" s="32">
        <f>IFERROR(__xludf.DUMMYFUNCTION("GOOGLEFINANCE(A490,""changepct"")/100"),0.021400000000000002)</f>
        <v>0.0214</v>
      </c>
      <c r="G490" s="33">
        <f>IFERROR(__xludf.DUMMYFUNCTION("GOOGLEFINANCE(A490,""priceopen"")"),177.86)</f>
        <v>177.86</v>
      </c>
      <c r="H490" s="34">
        <f>IFERROR(__xludf.DUMMYFUNCTION("GOOGLEFINANCE(A490,""closeyest"")"),177.8)</f>
        <v>177.8</v>
      </c>
      <c r="I490" s="34">
        <f>IFERROR(__xludf.DUMMYFUNCTION("GOOGLEFINANCE(A490,""low52"")"),101.55)</f>
        <v>101.55</v>
      </c>
      <c r="J490" s="34">
        <f>IFERROR(__xludf.DUMMYFUNCTION("GOOGLEFINANCE(A490,""high52"")"),203.88)</f>
        <v>203.88</v>
      </c>
    </row>
    <row r="491">
      <c r="A491" s="30" t="str">
        <f>'6image_RS_benchmark_performance'!A491</f>
        <v>PNR</v>
      </c>
      <c r="B491" s="31">
        <f>IFERROR(__xludf.DUMMYFUNCTION("GOOGLEFINANCE(A491,""price"")"),69.53)</f>
        <v>69.53</v>
      </c>
      <c r="C491" s="31">
        <f>IFERROR(__xludf.DUMMYFUNCTION("GOOGLEFINANCE(A491,""high"")"),69.92)</f>
        <v>69.92</v>
      </c>
      <c r="D491" s="31">
        <f>IFERROR(__xludf.DUMMYFUNCTION("GOOGLEFINANCE(A491,""low"")"),67.57)</f>
        <v>67.57</v>
      </c>
      <c r="E491" s="31">
        <f>IFERROR(__xludf.DUMMYFUNCTION("GOOGLEFINANCE(A491,""change"")"),1.92)</f>
        <v>1.92</v>
      </c>
      <c r="F491" s="32">
        <f>IFERROR(__xludf.DUMMYFUNCTION("GOOGLEFINANCE(A491,""changepct"")/100"),0.028399999999999998)</f>
        <v>0.0284</v>
      </c>
      <c r="G491" s="33">
        <f>IFERROR(__xludf.DUMMYFUNCTION("GOOGLEFINANCE(A491,""priceopen"")"),67.82)</f>
        <v>67.82</v>
      </c>
      <c r="H491" s="34">
        <f>IFERROR(__xludf.DUMMYFUNCTION("GOOGLEFINANCE(A491,""closeyest"")"),67.61)</f>
        <v>67.61</v>
      </c>
      <c r="I491" s="34">
        <f>IFERROR(__xludf.DUMMYFUNCTION("GOOGLEFINANCE(A491,""low52"")"),40.98)</f>
        <v>40.98</v>
      </c>
      <c r="J491" s="34">
        <f>IFERROR(__xludf.DUMMYFUNCTION("GOOGLEFINANCE(A491,""high52"")"),71.0)</f>
        <v>71</v>
      </c>
    </row>
    <row r="492">
      <c r="A492" s="30" t="str">
        <f>'6image_RS_benchmark_performance'!A492</f>
        <v>PNW</v>
      </c>
      <c r="B492" s="31">
        <f>IFERROR(__xludf.DUMMYFUNCTION("GOOGLEFINANCE(A492,""price"")"),84.87)</f>
        <v>84.87</v>
      </c>
      <c r="C492" s="31">
        <f>IFERROR(__xludf.DUMMYFUNCTION("GOOGLEFINANCE(A492,""high"")"),86.03)</f>
        <v>86.03</v>
      </c>
      <c r="D492" s="31">
        <f>IFERROR(__xludf.DUMMYFUNCTION("GOOGLEFINANCE(A492,""low"")"),84.37)</f>
        <v>84.37</v>
      </c>
      <c r="E492" s="31">
        <f>IFERROR(__xludf.DUMMYFUNCTION("GOOGLEFINANCE(A492,""change"")"),0.56)</f>
        <v>0.56</v>
      </c>
      <c r="F492" s="32">
        <f>IFERROR(__xludf.DUMMYFUNCTION("GOOGLEFINANCE(A492,""changepct"")/100"),0.0066)</f>
        <v>0.0066</v>
      </c>
      <c r="G492" s="33">
        <f>IFERROR(__xludf.DUMMYFUNCTION("GOOGLEFINANCE(A492,""priceopen"")"),84.61)</f>
        <v>84.61</v>
      </c>
      <c r="H492" s="34">
        <f>IFERROR(__xludf.DUMMYFUNCTION("GOOGLEFINANCE(A492,""closeyest"")"),84.31)</f>
        <v>84.31</v>
      </c>
      <c r="I492" s="34">
        <f>IFERROR(__xludf.DUMMYFUNCTION("GOOGLEFINANCE(A492,""low52"")"),69.29)</f>
        <v>69.29</v>
      </c>
      <c r="J492" s="34">
        <f>IFERROR(__xludf.DUMMYFUNCTION("GOOGLEFINANCE(A492,""high52"")"),91.88)</f>
        <v>91.88</v>
      </c>
    </row>
    <row r="493">
      <c r="A493" s="30" t="str">
        <f>'6image_RS_benchmark_performance'!A493</f>
        <v>POOL</v>
      </c>
      <c r="B493" s="31">
        <f>IFERROR(__xludf.DUMMYFUNCTION("GOOGLEFINANCE(A493,""price"")"),452.51)</f>
        <v>452.51</v>
      </c>
      <c r="C493" s="31">
        <f>IFERROR(__xludf.DUMMYFUNCTION("GOOGLEFINANCE(A493,""high"")"),458.28)</f>
        <v>458.28</v>
      </c>
      <c r="D493" s="31">
        <f>IFERROR(__xludf.DUMMYFUNCTION("GOOGLEFINANCE(A493,""low"")"),450.67)</f>
        <v>450.67</v>
      </c>
      <c r="E493" s="31">
        <f>IFERROR(__xludf.DUMMYFUNCTION("GOOGLEFINANCE(A493,""change"")"),-1.01)</f>
        <v>-1.01</v>
      </c>
      <c r="F493" s="32">
        <f>IFERROR(__xludf.DUMMYFUNCTION("GOOGLEFINANCE(A493,""changepct"")/100"),-0.0022)</f>
        <v>-0.0022</v>
      </c>
      <c r="G493" s="33">
        <f>IFERROR(__xludf.DUMMYFUNCTION("GOOGLEFINANCE(A493,""priceopen"")"),454.41)</f>
        <v>454.41</v>
      </c>
      <c r="H493" s="34">
        <f>IFERROR(__xludf.DUMMYFUNCTION("GOOGLEFINANCE(A493,""closeyest"")"),453.52)</f>
        <v>453.52</v>
      </c>
      <c r="I493" s="34">
        <f>IFERROR(__xludf.DUMMYFUNCTION("GOOGLEFINANCE(A493,""low52"")"),285.93)</f>
        <v>285.93</v>
      </c>
      <c r="J493" s="34">
        <f>IFERROR(__xludf.DUMMYFUNCTION("GOOGLEFINANCE(A493,""high52"")"),478.67)</f>
        <v>478.67</v>
      </c>
    </row>
    <row r="494">
      <c r="A494" s="30" t="str">
        <f>'6image_RS_benchmark_performance'!A494</f>
        <v>PPG</v>
      </c>
      <c r="B494" s="31">
        <f>IFERROR(__xludf.DUMMYFUNCTION("GOOGLEFINANCE(A494,""price"")"),158.49)</f>
        <v>158.49</v>
      </c>
      <c r="C494" s="31">
        <f>IFERROR(__xludf.DUMMYFUNCTION("GOOGLEFINANCE(A494,""high"")"),159.13)</f>
        <v>159.13</v>
      </c>
      <c r="D494" s="31">
        <f>IFERROR(__xludf.DUMMYFUNCTION("GOOGLEFINANCE(A494,""low"")"),152.35)</f>
        <v>152.35</v>
      </c>
      <c r="E494" s="31">
        <f>IFERROR(__xludf.DUMMYFUNCTION("GOOGLEFINANCE(A494,""change"")"),-7.26)</f>
        <v>-7.26</v>
      </c>
      <c r="F494" s="32">
        <f>IFERROR(__xludf.DUMMYFUNCTION("GOOGLEFINANCE(A494,""changepct"")/100"),-0.0438)</f>
        <v>-0.0438</v>
      </c>
      <c r="G494" s="33">
        <f>IFERROR(__xludf.DUMMYFUNCTION("GOOGLEFINANCE(A494,""priceopen"")"),154.8)</f>
        <v>154.8</v>
      </c>
      <c r="H494" s="34">
        <f>IFERROR(__xludf.DUMMYFUNCTION("GOOGLEFINANCE(A494,""closeyest"")"),165.75)</f>
        <v>165.75</v>
      </c>
      <c r="I494" s="34">
        <f>IFERROR(__xludf.DUMMYFUNCTION("GOOGLEFINANCE(A494,""low52"")"),105.94)</f>
        <v>105.94</v>
      </c>
      <c r="J494" s="34">
        <f>IFERROR(__xludf.DUMMYFUNCTION("GOOGLEFINANCE(A494,""high52"")"),182.97)</f>
        <v>182.97</v>
      </c>
    </row>
    <row r="495">
      <c r="A495" s="30" t="str">
        <f>'6image_RS_benchmark_performance'!A495</f>
        <v>PPL</v>
      </c>
      <c r="B495" s="31">
        <f>IFERROR(__xludf.DUMMYFUNCTION("GOOGLEFINANCE(A495,""price"")"),28.2)</f>
        <v>28.2</v>
      </c>
      <c r="C495" s="31">
        <f>IFERROR(__xludf.DUMMYFUNCTION("GOOGLEFINANCE(A495,""high"")"),28.48)</f>
        <v>28.48</v>
      </c>
      <c r="D495" s="31">
        <f>IFERROR(__xludf.DUMMYFUNCTION("GOOGLEFINANCE(A495,""low"")"),27.99)</f>
        <v>27.99</v>
      </c>
      <c r="E495" s="31">
        <f>IFERROR(__xludf.DUMMYFUNCTION("GOOGLEFINANCE(A495,""change"")"),0.19)</f>
        <v>0.19</v>
      </c>
      <c r="F495" s="32">
        <f>IFERROR(__xludf.DUMMYFUNCTION("GOOGLEFINANCE(A495,""changepct"")/100"),0.0068000000000000005)</f>
        <v>0.0068</v>
      </c>
      <c r="G495" s="33">
        <f>IFERROR(__xludf.DUMMYFUNCTION("GOOGLEFINANCE(A495,""priceopen"")"),28.03)</f>
        <v>28.03</v>
      </c>
      <c r="H495" s="34">
        <f>IFERROR(__xludf.DUMMYFUNCTION("GOOGLEFINANCE(A495,""closeyest"")"),28.01)</f>
        <v>28.01</v>
      </c>
      <c r="I495" s="34">
        <f>IFERROR(__xludf.DUMMYFUNCTION("GOOGLEFINANCE(A495,""low52"")"),24.95)</f>
        <v>24.95</v>
      </c>
      <c r="J495" s="34">
        <f>IFERROR(__xludf.DUMMYFUNCTION("GOOGLEFINANCE(A495,""high52"")"),30.81)</f>
        <v>30.81</v>
      </c>
    </row>
    <row r="496">
      <c r="A496" s="30" t="str">
        <f>'6image_RS_benchmark_performance'!A496</f>
        <v>PRGO</v>
      </c>
      <c r="B496" s="31">
        <f>IFERROR(__xludf.DUMMYFUNCTION("GOOGLEFINANCE(A496,""price"")"),45.85)</f>
        <v>45.85</v>
      </c>
      <c r="C496" s="31">
        <f>IFERROR(__xludf.DUMMYFUNCTION("GOOGLEFINANCE(A496,""high"")"),46.12)</f>
        <v>46.12</v>
      </c>
      <c r="D496" s="31">
        <f>IFERROR(__xludf.DUMMYFUNCTION("GOOGLEFINANCE(A496,""low"")"),44.82)</f>
        <v>44.82</v>
      </c>
      <c r="E496" s="31">
        <f>IFERROR(__xludf.DUMMYFUNCTION("GOOGLEFINANCE(A496,""change"")"),0.37)</f>
        <v>0.37</v>
      </c>
      <c r="F496" s="32">
        <f>IFERROR(__xludf.DUMMYFUNCTION("GOOGLEFINANCE(A496,""changepct"")/100"),0.008100000000000001)</f>
        <v>0.0081</v>
      </c>
      <c r="G496" s="33">
        <f>IFERROR(__xludf.DUMMYFUNCTION("GOOGLEFINANCE(A496,""priceopen"")"),44.82)</f>
        <v>44.82</v>
      </c>
      <c r="H496" s="34">
        <f>IFERROR(__xludf.DUMMYFUNCTION("GOOGLEFINANCE(A496,""closeyest"")"),45.48)</f>
        <v>45.48</v>
      </c>
      <c r="I496" s="34">
        <f>IFERROR(__xludf.DUMMYFUNCTION("GOOGLEFINANCE(A496,""low52"")"),38.2)</f>
        <v>38.2</v>
      </c>
      <c r="J496" s="34">
        <f>IFERROR(__xludf.DUMMYFUNCTION("GOOGLEFINANCE(A496,""high52"")"),58.64)</f>
        <v>58.64</v>
      </c>
    </row>
    <row r="497">
      <c r="A497" s="30" t="str">
        <f>'6image_RS_benchmark_performance'!A497</f>
        <v>PRSP</v>
      </c>
      <c r="B497" s="31" t="str">
        <f>IFERROR(__xludf.DUMMYFUNCTION("GOOGLEFINANCE(A497,""price"")"),"#N/A")</f>
        <v>#N/A</v>
      </c>
      <c r="C497" s="31" t="str">
        <f>IFERROR(__xludf.DUMMYFUNCTION("GOOGLEFINANCE(A497,""high"")"),"#N/A")</f>
        <v>#N/A</v>
      </c>
      <c r="D497" s="31" t="str">
        <f>IFERROR(__xludf.DUMMYFUNCTION("GOOGLEFINANCE(A497,""low"")"),"#N/A")</f>
        <v>#N/A</v>
      </c>
      <c r="E497" s="31" t="str">
        <f>IFERROR(__xludf.DUMMYFUNCTION("GOOGLEFINANCE(A497,""change"")"),"#N/A")</f>
        <v>#N/A</v>
      </c>
      <c r="F497" s="32" t="str">
        <f>IFERROR(__xludf.DUMMYFUNCTION("GOOGLEFINANCE(A497,""changepct"")/100"),"#N/A")</f>
        <v>#N/A</v>
      </c>
      <c r="G497" s="33" t="str">
        <f>IFERROR(__xludf.DUMMYFUNCTION("GOOGLEFINANCE(A497,""priceopen"")"),"#N/A")</f>
        <v>#N/A</v>
      </c>
      <c r="H497" s="34" t="str">
        <f>IFERROR(__xludf.DUMMYFUNCTION("GOOGLEFINANCE(A497,""closeyest"")"),"#N/A")</f>
        <v>#N/A</v>
      </c>
      <c r="I497" s="34" t="str">
        <f>IFERROR(__xludf.DUMMYFUNCTION("GOOGLEFINANCE(A497,""low52"")"),"#N/A")</f>
        <v>#N/A</v>
      </c>
      <c r="J497" s="34" t="str">
        <f>IFERROR(__xludf.DUMMYFUNCTION("GOOGLEFINANCE(A497,""high52"")"),"#N/A")</f>
        <v>#N/A</v>
      </c>
    </row>
    <row r="498">
      <c r="A498" s="30" t="str">
        <f>'6image_RS_benchmark_performance'!A498</f>
        <v>PRU</v>
      </c>
      <c r="B498" s="31">
        <f>IFERROR(__xludf.DUMMYFUNCTION("GOOGLEFINANCE(A498,""price"")"),99.06)</f>
        <v>99.06</v>
      </c>
      <c r="C498" s="31">
        <f>IFERROR(__xludf.DUMMYFUNCTION("GOOGLEFINANCE(A498,""high"")"),99.94)</f>
        <v>99.94</v>
      </c>
      <c r="D498" s="31">
        <f>IFERROR(__xludf.DUMMYFUNCTION("GOOGLEFINANCE(A498,""low"")"),95.13)</f>
        <v>95.13</v>
      </c>
      <c r="E498" s="31">
        <f>IFERROR(__xludf.DUMMYFUNCTION("GOOGLEFINANCE(A498,""change"")"),3.35)</f>
        <v>3.35</v>
      </c>
      <c r="F498" s="32">
        <f>IFERROR(__xludf.DUMMYFUNCTION("GOOGLEFINANCE(A498,""changepct"")/100"),0.035)</f>
        <v>0.035</v>
      </c>
      <c r="G498" s="33">
        <f>IFERROR(__xludf.DUMMYFUNCTION("GOOGLEFINANCE(A498,""priceopen"")"),95.59)</f>
        <v>95.59</v>
      </c>
      <c r="H498" s="34">
        <f>IFERROR(__xludf.DUMMYFUNCTION("GOOGLEFINANCE(A498,""closeyest"")"),95.71)</f>
        <v>95.71</v>
      </c>
      <c r="I498" s="34">
        <f>IFERROR(__xludf.DUMMYFUNCTION("GOOGLEFINANCE(A498,""low52"")"),60.16)</f>
        <v>60.16</v>
      </c>
      <c r="J498" s="34">
        <f>IFERROR(__xludf.DUMMYFUNCTION("GOOGLEFINANCE(A498,""high52"")"),109.17)</f>
        <v>109.17</v>
      </c>
    </row>
    <row r="499">
      <c r="A499" s="30" t="str">
        <f>'6image_RS_benchmark_performance'!A499</f>
        <v>PSA</v>
      </c>
      <c r="B499" s="31">
        <f>IFERROR(__xludf.DUMMYFUNCTION("GOOGLEFINANCE(A499,""price"")"),312.19)</f>
        <v>312.19</v>
      </c>
      <c r="C499" s="31">
        <f>IFERROR(__xludf.DUMMYFUNCTION("GOOGLEFINANCE(A499,""high"")"),313.99)</f>
        <v>313.99</v>
      </c>
      <c r="D499" s="31">
        <f>IFERROR(__xludf.DUMMYFUNCTION("GOOGLEFINANCE(A499,""low"")"),310.81)</f>
        <v>310.81</v>
      </c>
      <c r="E499" s="31">
        <f>IFERROR(__xludf.DUMMYFUNCTION("GOOGLEFINANCE(A499,""change"")"),3.67)</f>
        <v>3.67</v>
      </c>
      <c r="F499" s="32">
        <f>IFERROR(__xludf.DUMMYFUNCTION("GOOGLEFINANCE(A499,""changepct"")/100"),0.011899999999999999)</f>
        <v>0.0119</v>
      </c>
      <c r="G499" s="33">
        <f>IFERROR(__xludf.DUMMYFUNCTION("GOOGLEFINANCE(A499,""priceopen"")"),310.81)</f>
        <v>310.81</v>
      </c>
      <c r="H499" s="34">
        <f>IFERROR(__xludf.DUMMYFUNCTION("GOOGLEFINANCE(A499,""closeyest"")"),308.52)</f>
        <v>308.52</v>
      </c>
      <c r="I499" s="34">
        <f>IFERROR(__xludf.DUMMYFUNCTION("GOOGLEFINANCE(A499,""low52"")"),183.22)</f>
        <v>183.22</v>
      </c>
      <c r="J499" s="34">
        <f>IFERROR(__xludf.DUMMYFUNCTION("GOOGLEFINANCE(A499,""high52"")"),315.93)</f>
        <v>315.93</v>
      </c>
    </row>
    <row r="500">
      <c r="A500" s="30" t="str">
        <f>'6image_RS_benchmark_performance'!A500</f>
        <v>PSX</v>
      </c>
      <c r="B500" s="31">
        <f>IFERROR(__xludf.DUMMYFUNCTION("GOOGLEFINANCE(A500,""price"")"),71.13)</f>
        <v>71.13</v>
      </c>
      <c r="C500" s="31">
        <f>IFERROR(__xludf.DUMMYFUNCTION("GOOGLEFINANCE(A500,""high"")"),72.51)</f>
        <v>72.51</v>
      </c>
      <c r="D500" s="31">
        <f>IFERROR(__xludf.DUMMYFUNCTION("GOOGLEFINANCE(A500,""low"")"),69.73)</f>
        <v>69.73</v>
      </c>
      <c r="E500" s="31">
        <f>IFERROR(__xludf.DUMMYFUNCTION("GOOGLEFINANCE(A500,""change"")"),0.58)</f>
        <v>0.58</v>
      </c>
      <c r="F500" s="32">
        <f>IFERROR(__xludf.DUMMYFUNCTION("GOOGLEFINANCE(A500,""changepct"")/100"),0.008199999999999999)</f>
        <v>0.0082</v>
      </c>
      <c r="G500" s="33">
        <f>IFERROR(__xludf.DUMMYFUNCTION("GOOGLEFINANCE(A500,""priceopen"")"),70.5)</f>
        <v>70.5</v>
      </c>
      <c r="H500" s="34">
        <f>IFERROR(__xludf.DUMMYFUNCTION("GOOGLEFINANCE(A500,""closeyest"")"),70.55)</f>
        <v>70.55</v>
      </c>
      <c r="I500" s="34">
        <f>IFERROR(__xludf.DUMMYFUNCTION("GOOGLEFINANCE(A500,""low52"")"),43.27)</f>
        <v>43.27</v>
      </c>
      <c r="J500" s="34">
        <f>IFERROR(__xludf.DUMMYFUNCTION("GOOGLEFINANCE(A500,""high52"")"),94.34)</f>
        <v>94.34</v>
      </c>
    </row>
    <row r="501">
      <c r="A501" s="30" t="str">
        <f>'6image_RS_benchmark_performance'!A501</f>
        <v>PTC</v>
      </c>
      <c r="B501" s="31">
        <f>IFERROR(__xludf.DUMMYFUNCTION("GOOGLEFINANCE(A501,""price"")"),142.96)</f>
        <v>142.96</v>
      </c>
      <c r="C501" s="31">
        <f>IFERROR(__xludf.DUMMYFUNCTION("GOOGLEFINANCE(A501,""high"")"),143.52)</f>
        <v>143.52</v>
      </c>
      <c r="D501" s="31">
        <f>IFERROR(__xludf.DUMMYFUNCTION("GOOGLEFINANCE(A501,""low"")"),136.72)</f>
        <v>136.72</v>
      </c>
      <c r="E501" s="31">
        <f>IFERROR(__xludf.DUMMYFUNCTION("GOOGLEFINANCE(A501,""change"")"),6.25)</f>
        <v>6.25</v>
      </c>
      <c r="F501" s="32">
        <f>IFERROR(__xludf.DUMMYFUNCTION("GOOGLEFINANCE(A501,""changepct"")/100"),0.045700000000000005)</f>
        <v>0.0457</v>
      </c>
      <c r="G501" s="33">
        <f>IFERROR(__xludf.DUMMYFUNCTION("GOOGLEFINANCE(A501,""priceopen"")"),137.31)</f>
        <v>137.31</v>
      </c>
      <c r="H501" s="34">
        <f>IFERROR(__xludf.DUMMYFUNCTION("GOOGLEFINANCE(A501,""closeyest"")"),136.71)</f>
        <v>136.71</v>
      </c>
      <c r="I501" s="34">
        <f>IFERROR(__xludf.DUMMYFUNCTION("GOOGLEFINANCE(A501,""low52"")"),79.36)</f>
        <v>79.36</v>
      </c>
      <c r="J501" s="34">
        <f>IFERROR(__xludf.DUMMYFUNCTION("GOOGLEFINANCE(A501,""high52"")"),149.5)</f>
        <v>149.5</v>
      </c>
    </row>
    <row r="502">
      <c r="A502" s="30" t="str">
        <f>'6image_RS_benchmark_performance'!A502</f>
        <v>PTON</v>
      </c>
      <c r="B502" s="31">
        <f>IFERROR(__xludf.DUMMYFUNCTION("GOOGLEFINANCE(A502,""price"")"),126.35)</f>
        <v>126.35</v>
      </c>
      <c r="C502" s="31">
        <f>IFERROR(__xludf.DUMMYFUNCTION("GOOGLEFINANCE(A502,""high"")"),127.57)</f>
        <v>127.57</v>
      </c>
      <c r="D502" s="31">
        <f>IFERROR(__xludf.DUMMYFUNCTION("GOOGLEFINANCE(A502,""low"")"),109.67)</f>
        <v>109.67</v>
      </c>
      <c r="E502" s="31">
        <f>IFERROR(__xludf.DUMMYFUNCTION("GOOGLEFINANCE(A502,""change"")"),7.92)</f>
        <v>7.92</v>
      </c>
      <c r="F502" s="32">
        <f>IFERROR(__xludf.DUMMYFUNCTION("GOOGLEFINANCE(A502,""changepct"")/100"),0.0669)</f>
        <v>0.0669</v>
      </c>
      <c r="G502" s="33">
        <f>IFERROR(__xludf.DUMMYFUNCTION("GOOGLEFINANCE(A502,""priceopen"")"),124.09)</f>
        <v>124.09</v>
      </c>
      <c r="H502" s="34">
        <f>IFERROR(__xludf.DUMMYFUNCTION("GOOGLEFINANCE(A502,""closeyest"")"),118.43)</f>
        <v>118.43</v>
      </c>
      <c r="I502" s="34">
        <f>IFERROR(__xludf.DUMMYFUNCTION("GOOGLEFINANCE(A502,""low52"")"),59.58)</f>
        <v>59.58</v>
      </c>
      <c r="J502" s="34">
        <f>IFERROR(__xludf.DUMMYFUNCTION("GOOGLEFINANCE(A502,""high52"")"),171.09)</f>
        <v>171.09</v>
      </c>
    </row>
    <row r="503">
      <c r="A503" s="30" t="str">
        <f>'6image_RS_benchmark_performance'!A503</f>
        <v>PVH</v>
      </c>
      <c r="B503" s="31">
        <f>IFERROR(__xludf.DUMMYFUNCTION("GOOGLEFINANCE(A503,""price"")"),99.8)</f>
        <v>99.8</v>
      </c>
      <c r="C503" s="31">
        <f>IFERROR(__xludf.DUMMYFUNCTION("GOOGLEFINANCE(A503,""high"")"),100.39)</f>
        <v>100.39</v>
      </c>
      <c r="D503" s="31">
        <f>IFERROR(__xludf.DUMMYFUNCTION("GOOGLEFINANCE(A503,""low"")"),92.79)</f>
        <v>92.79</v>
      </c>
      <c r="E503" s="31">
        <f>IFERROR(__xludf.DUMMYFUNCTION("GOOGLEFINANCE(A503,""change"")"),6.0)</f>
        <v>6</v>
      </c>
      <c r="F503" s="32">
        <f>IFERROR(__xludf.DUMMYFUNCTION("GOOGLEFINANCE(A503,""changepct"")/100"),0.064)</f>
        <v>0.064</v>
      </c>
      <c r="G503" s="33">
        <f>IFERROR(__xludf.DUMMYFUNCTION("GOOGLEFINANCE(A503,""priceopen"")"),93.73)</f>
        <v>93.73</v>
      </c>
      <c r="H503" s="34">
        <f>IFERROR(__xludf.DUMMYFUNCTION("GOOGLEFINANCE(A503,""closeyest"")"),93.8)</f>
        <v>93.8</v>
      </c>
      <c r="I503" s="34">
        <f>IFERROR(__xludf.DUMMYFUNCTION("GOOGLEFINANCE(A503,""low52"")"),47.21)</f>
        <v>47.21</v>
      </c>
      <c r="J503" s="34">
        <f>IFERROR(__xludf.DUMMYFUNCTION("GOOGLEFINANCE(A503,""high52"")"),121.18)</f>
        <v>121.18</v>
      </c>
    </row>
    <row r="504">
      <c r="A504" s="30" t="str">
        <f>'6image_RS_benchmark_performance'!A504</f>
        <v>PWR</v>
      </c>
      <c r="B504" s="31">
        <f>IFERROR(__xludf.DUMMYFUNCTION("GOOGLEFINANCE(A504,""price"")"),88.3)</f>
        <v>88.3</v>
      </c>
      <c r="C504" s="31">
        <f>IFERROR(__xludf.DUMMYFUNCTION("GOOGLEFINANCE(A504,""high"")"),88.84)</f>
        <v>88.84</v>
      </c>
      <c r="D504" s="31">
        <f>IFERROR(__xludf.DUMMYFUNCTION("GOOGLEFINANCE(A504,""low"")"),84.93)</f>
        <v>84.93</v>
      </c>
      <c r="E504" s="31">
        <f>IFERROR(__xludf.DUMMYFUNCTION("GOOGLEFINANCE(A504,""change"")"),2.86)</f>
        <v>2.86</v>
      </c>
      <c r="F504" s="32">
        <f>IFERROR(__xludf.DUMMYFUNCTION("GOOGLEFINANCE(A504,""changepct"")/100"),0.0335)</f>
        <v>0.0335</v>
      </c>
      <c r="G504" s="33">
        <f>IFERROR(__xludf.DUMMYFUNCTION("GOOGLEFINANCE(A504,""priceopen"")"),85.3)</f>
        <v>85.3</v>
      </c>
      <c r="H504" s="34">
        <f>IFERROR(__xludf.DUMMYFUNCTION("GOOGLEFINANCE(A504,""closeyest"")"),85.44)</f>
        <v>85.44</v>
      </c>
      <c r="I504" s="34">
        <f>IFERROR(__xludf.DUMMYFUNCTION("GOOGLEFINANCE(A504,""low52"")"),39.2)</f>
        <v>39.2</v>
      </c>
      <c r="J504" s="34">
        <f>IFERROR(__xludf.DUMMYFUNCTION("GOOGLEFINANCE(A504,""high52"")"),101.96)</f>
        <v>101.96</v>
      </c>
    </row>
    <row r="505">
      <c r="A505" s="30" t="str">
        <f>'6image_RS_benchmark_performance'!A505</f>
        <v>PXD</v>
      </c>
      <c r="B505" s="31">
        <f>IFERROR(__xludf.DUMMYFUNCTION("GOOGLEFINANCE(A505,""price"")"),138.95)</f>
        <v>138.95</v>
      </c>
      <c r="C505" s="31">
        <f>IFERROR(__xludf.DUMMYFUNCTION("GOOGLEFINANCE(A505,""high"")"),139.92)</f>
        <v>139.92</v>
      </c>
      <c r="D505" s="31">
        <f>IFERROR(__xludf.DUMMYFUNCTION("GOOGLEFINANCE(A505,""low"")"),135.0)</f>
        <v>135</v>
      </c>
      <c r="E505" s="31">
        <f>IFERROR(__xludf.DUMMYFUNCTION("GOOGLEFINANCE(A505,""change"")"),2.29)</f>
        <v>2.29</v>
      </c>
      <c r="F505" s="32">
        <f>IFERROR(__xludf.DUMMYFUNCTION("GOOGLEFINANCE(A505,""changepct"")/100"),0.0168)</f>
        <v>0.0168</v>
      </c>
      <c r="G505" s="33">
        <f>IFERROR(__xludf.DUMMYFUNCTION("GOOGLEFINANCE(A505,""priceopen"")"),136.69)</f>
        <v>136.69</v>
      </c>
      <c r="H505" s="34">
        <f>IFERROR(__xludf.DUMMYFUNCTION("GOOGLEFINANCE(A505,""closeyest"")"),136.66)</f>
        <v>136.66</v>
      </c>
      <c r="I505" s="34">
        <f>IFERROR(__xludf.DUMMYFUNCTION("GOOGLEFINANCE(A505,""low52"")"),76.58)</f>
        <v>76.58</v>
      </c>
      <c r="J505" s="34">
        <f>IFERROR(__xludf.DUMMYFUNCTION("GOOGLEFINANCE(A505,""high52"")"),175.37)</f>
        <v>175.37</v>
      </c>
    </row>
    <row r="506">
      <c r="A506" s="30" t="str">
        <f>'6image_RS_benchmark_performance'!A506</f>
        <v>PYPL</v>
      </c>
      <c r="B506" s="31">
        <f>IFERROR(__xludf.DUMMYFUNCTION("GOOGLEFINANCE(A506,""price"")"),298.07)</f>
        <v>298.07</v>
      </c>
      <c r="C506" s="31">
        <f>IFERROR(__xludf.DUMMYFUNCTION("GOOGLEFINANCE(A506,""high"")"),300.03)</f>
        <v>300.03</v>
      </c>
      <c r="D506" s="31">
        <f>IFERROR(__xludf.DUMMYFUNCTION("GOOGLEFINANCE(A506,""low"")"),291.57)</f>
        <v>291.57</v>
      </c>
      <c r="E506" s="31">
        <f>IFERROR(__xludf.DUMMYFUNCTION("GOOGLEFINANCE(A506,""change"")"),3.22)</f>
        <v>3.22</v>
      </c>
      <c r="F506" s="32">
        <f>IFERROR(__xludf.DUMMYFUNCTION("GOOGLEFINANCE(A506,""changepct"")/100"),0.0109)</f>
        <v>0.0109</v>
      </c>
      <c r="G506" s="33">
        <f>IFERROR(__xludf.DUMMYFUNCTION("GOOGLEFINANCE(A506,""priceopen"")"),295.52)</f>
        <v>295.52</v>
      </c>
      <c r="H506" s="34">
        <f>IFERROR(__xludf.DUMMYFUNCTION("GOOGLEFINANCE(A506,""closeyest"")"),294.85)</f>
        <v>294.85</v>
      </c>
      <c r="I506" s="34">
        <f>IFERROR(__xludf.DUMMYFUNCTION("GOOGLEFINANCE(A506,""low52"")"),169.08)</f>
        <v>169.08</v>
      </c>
      <c r="J506" s="34">
        <f>IFERROR(__xludf.DUMMYFUNCTION("GOOGLEFINANCE(A506,""high52"")"),309.14)</f>
        <v>309.14</v>
      </c>
    </row>
    <row r="507">
      <c r="A507" s="30" t="str">
        <f>'6image_RS_benchmark_performance'!A507</f>
        <v>QCOM</v>
      </c>
      <c r="B507" s="31">
        <f>IFERROR(__xludf.DUMMYFUNCTION("GOOGLEFINANCE(A507,""price"")"),139.55)</f>
        <v>139.55</v>
      </c>
      <c r="C507" s="31">
        <f>IFERROR(__xludf.DUMMYFUNCTION("GOOGLEFINANCE(A507,""high"")"),140.42)</f>
        <v>140.42</v>
      </c>
      <c r="D507" s="31">
        <f>IFERROR(__xludf.DUMMYFUNCTION("GOOGLEFINANCE(A507,""low"")"),137.2)</f>
        <v>137.2</v>
      </c>
      <c r="E507" s="31">
        <f>IFERROR(__xludf.DUMMYFUNCTION("GOOGLEFINANCE(A507,""change"")"),0.76)</f>
        <v>0.76</v>
      </c>
      <c r="F507" s="32">
        <f>IFERROR(__xludf.DUMMYFUNCTION("GOOGLEFINANCE(A507,""changepct"")/100"),0.0055000000000000005)</f>
        <v>0.0055</v>
      </c>
      <c r="G507" s="33">
        <f>IFERROR(__xludf.DUMMYFUNCTION("GOOGLEFINANCE(A507,""priceopen"")"),139.02)</f>
        <v>139.02</v>
      </c>
      <c r="H507" s="34">
        <f>IFERROR(__xludf.DUMMYFUNCTION("GOOGLEFINANCE(A507,""closeyest"")"),138.79)</f>
        <v>138.79</v>
      </c>
      <c r="I507" s="34">
        <f>IFERROR(__xludf.DUMMYFUNCTION("GOOGLEFINANCE(A507,""low52"")"),87.51)</f>
        <v>87.51</v>
      </c>
      <c r="J507" s="34">
        <f>IFERROR(__xludf.DUMMYFUNCTION("GOOGLEFINANCE(A507,""high52"")"),167.94)</f>
        <v>167.94</v>
      </c>
    </row>
    <row r="508">
      <c r="A508" s="30" t="str">
        <f>'6image_RS_benchmark_performance'!A508</f>
        <v>QLD</v>
      </c>
      <c r="B508" s="31">
        <f>IFERROR(__xludf.DUMMYFUNCTION("GOOGLEFINANCE(A508,""price"")"),73.47)</f>
        <v>73.47</v>
      </c>
      <c r="C508" s="31">
        <f>IFERROR(__xludf.DUMMYFUNCTION("GOOGLEFINANCE(A508,""high"")"),74.07)</f>
        <v>74.07</v>
      </c>
      <c r="D508" s="31">
        <f>IFERROR(__xludf.DUMMYFUNCTION("GOOGLEFINANCE(A508,""low"")"),71.5)</f>
        <v>71.5</v>
      </c>
      <c r="E508" s="31">
        <f>IFERROR(__xludf.DUMMYFUNCTION("GOOGLEFINANCE(A508,""change"")"),1.67)</f>
        <v>1.67</v>
      </c>
      <c r="F508" s="32">
        <f>IFERROR(__xludf.DUMMYFUNCTION("GOOGLEFINANCE(A508,""changepct"")/100"),0.0233)</f>
        <v>0.0233</v>
      </c>
      <c r="G508" s="33">
        <f>IFERROR(__xludf.DUMMYFUNCTION("GOOGLEFINANCE(A508,""priceopen"")"),72.22)</f>
        <v>72.22</v>
      </c>
      <c r="H508" s="34">
        <f>IFERROR(__xludf.DUMMYFUNCTION("GOOGLEFINANCE(A508,""closeyest"")"),71.8)</f>
        <v>71.8</v>
      </c>
      <c r="I508" s="34">
        <f>IFERROR(__xludf.DUMMYFUNCTION("GOOGLEFINANCE(A508,""low52"")"),37.95)</f>
        <v>37.95</v>
      </c>
      <c r="J508" s="34">
        <f>IFERROR(__xludf.DUMMYFUNCTION("GOOGLEFINANCE(A508,""high52"")"),76.29)</f>
        <v>76.29</v>
      </c>
    </row>
    <row r="509">
      <c r="A509" s="30" t="str">
        <f>'6image_RS_benchmark_performance'!A509</f>
        <v>QQQ</v>
      </c>
      <c r="B509" s="31">
        <f>IFERROR(__xludf.DUMMYFUNCTION("GOOGLEFINANCE(A509,""price"")"),358.79)</f>
        <v>358.79</v>
      </c>
      <c r="C509" s="31">
        <f>IFERROR(__xludf.DUMMYFUNCTION("GOOGLEFINANCE(A509,""high"")"),360.28)</f>
        <v>360.28</v>
      </c>
      <c r="D509" s="31">
        <f>IFERROR(__xludf.DUMMYFUNCTION("GOOGLEFINANCE(A509,""low"")"),353.8)</f>
        <v>353.8</v>
      </c>
      <c r="E509" s="31">
        <f>IFERROR(__xludf.DUMMYFUNCTION("GOOGLEFINANCE(A509,""change"")"),4.12)</f>
        <v>4.12</v>
      </c>
      <c r="F509" s="32">
        <f>IFERROR(__xludf.DUMMYFUNCTION("GOOGLEFINANCE(A509,""changepct"")/100"),0.0116)</f>
        <v>0.0116</v>
      </c>
      <c r="G509" s="33">
        <f>IFERROR(__xludf.DUMMYFUNCTION("GOOGLEFINANCE(A509,""priceopen"")"),355.63)</f>
        <v>355.63</v>
      </c>
      <c r="H509" s="34">
        <f>IFERROR(__xludf.DUMMYFUNCTION("GOOGLEFINANCE(A509,""closeyest"")"),354.67)</f>
        <v>354.67</v>
      </c>
      <c r="I509" s="34">
        <f>IFERROR(__xludf.DUMMYFUNCTION("GOOGLEFINANCE(A509,""low52"")"),251.32)</f>
        <v>251.32</v>
      </c>
      <c r="J509" s="34">
        <f>IFERROR(__xludf.DUMMYFUNCTION("GOOGLEFINANCE(A509,""high52"")"),365.49)</f>
        <v>365.49</v>
      </c>
    </row>
    <row r="510">
      <c r="A510" s="30" t="str">
        <f>'6image_RS_benchmark_performance'!A510</f>
        <v>QRVO</v>
      </c>
      <c r="B510" s="31">
        <f>IFERROR(__xludf.DUMMYFUNCTION("GOOGLEFINANCE(A510,""price"")"),189.7)</f>
        <v>189.7</v>
      </c>
      <c r="C510" s="31">
        <f>IFERROR(__xludf.DUMMYFUNCTION("GOOGLEFINANCE(A510,""high"")"),191.09)</f>
        <v>191.09</v>
      </c>
      <c r="D510" s="31">
        <f>IFERROR(__xludf.DUMMYFUNCTION("GOOGLEFINANCE(A510,""low"")"),185.63)</f>
        <v>185.63</v>
      </c>
      <c r="E510" s="31">
        <f>IFERROR(__xludf.DUMMYFUNCTION("GOOGLEFINANCE(A510,""change"")"),2.57)</f>
        <v>2.57</v>
      </c>
      <c r="F510" s="32">
        <f>IFERROR(__xludf.DUMMYFUNCTION("GOOGLEFINANCE(A510,""changepct"")/100"),0.0137)</f>
        <v>0.0137</v>
      </c>
      <c r="G510" s="33">
        <f>IFERROR(__xludf.DUMMYFUNCTION("GOOGLEFINANCE(A510,""priceopen"")"),187.07)</f>
        <v>187.07</v>
      </c>
      <c r="H510" s="34">
        <f>IFERROR(__xludf.DUMMYFUNCTION("GOOGLEFINANCE(A510,""closeyest"")"),187.13)</f>
        <v>187.13</v>
      </c>
      <c r="I510" s="34">
        <f>IFERROR(__xludf.DUMMYFUNCTION("GOOGLEFINANCE(A510,""low52"")"),111.31)</f>
        <v>111.31</v>
      </c>
      <c r="J510" s="34">
        <f>IFERROR(__xludf.DUMMYFUNCTION("GOOGLEFINANCE(A510,""high52"")"),201.68)</f>
        <v>201.68</v>
      </c>
    </row>
    <row r="511">
      <c r="A511" s="30" t="str">
        <f>'6image_RS_benchmark_performance'!A511</f>
        <v>RCL</v>
      </c>
      <c r="B511" s="31">
        <f>IFERROR(__xludf.DUMMYFUNCTION("GOOGLEFINANCE(A511,""price"")"),74.89)</f>
        <v>74.89</v>
      </c>
      <c r="C511" s="31">
        <f>IFERROR(__xludf.DUMMYFUNCTION("GOOGLEFINANCE(A511,""high"")"),75.31)</f>
        <v>75.31</v>
      </c>
      <c r="D511" s="31">
        <f>IFERROR(__xludf.DUMMYFUNCTION("GOOGLEFINANCE(A511,""low"")"),69.35)</f>
        <v>69.35</v>
      </c>
      <c r="E511" s="31">
        <f>IFERROR(__xludf.DUMMYFUNCTION("GOOGLEFINANCE(A511,""change"")"),5.38)</f>
        <v>5.38</v>
      </c>
      <c r="F511" s="32">
        <f>IFERROR(__xludf.DUMMYFUNCTION("GOOGLEFINANCE(A511,""changepct"")/100"),0.0774)</f>
        <v>0.0774</v>
      </c>
      <c r="G511" s="33">
        <f>IFERROR(__xludf.DUMMYFUNCTION("GOOGLEFINANCE(A511,""priceopen"")"),69.6)</f>
        <v>69.6</v>
      </c>
      <c r="H511" s="34">
        <f>IFERROR(__xludf.DUMMYFUNCTION("GOOGLEFINANCE(A511,""closeyest"")"),69.51)</f>
        <v>69.51</v>
      </c>
      <c r="I511" s="34">
        <f>IFERROR(__xludf.DUMMYFUNCTION("GOOGLEFINANCE(A511,""low52"")"),45.71)</f>
        <v>45.71</v>
      </c>
      <c r="J511" s="34">
        <f>IFERROR(__xludf.DUMMYFUNCTION("GOOGLEFINANCE(A511,""high52"")"),99.24)</f>
        <v>99.24</v>
      </c>
    </row>
    <row r="512">
      <c r="A512" s="30" t="str">
        <f>'6image_RS_benchmark_performance'!A512</f>
        <v>RE</v>
      </c>
      <c r="B512" s="31">
        <f>IFERROR(__xludf.DUMMYFUNCTION("GOOGLEFINANCE(A512,""price"")"),241.25)</f>
        <v>241.25</v>
      </c>
      <c r="C512" s="31">
        <f>IFERROR(__xludf.DUMMYFUNCTION("GOOGLEFINANCE(A512,""high"")"),243.49)</f>
        <v>243.49</v>
      </c>
      <c r="D512" s="31">
        <f>IFERROR(__xludf.DUMMYFUNCTION("GOOGLEFINANCE(A512,""low"")"),237.06)</f>
        <v>237.06</v>
      </c>
      <c r="E512" s="31">
        <f>IFERROR(__xludf.DUMMYFUNCTION("GOOGLEFINANCE(A512,""change"")"),4.57)</f>
        <v>4.57</v>
      </c>
      <c r="F512" s="32">
        <f>IFERROR(__xludf.DUMMYFUNCTION("GOOGLEFINANCE(A512,""changepct"")/100"),0.019299999999999998)</f>
        <v>0.0193</v>
      </c>
      <c r="G512" s="33">
        <f>IFERROR(__xludf.DUMMYFUNCTION("GOOGLEFINANCE(A512,""priceopen"")"),237.2)</f>
        <v>237.2</v>
      </c>
      <c r="H512" s="34">
        <f>IFERROR(__xludf.DUMMYFUNCTION("GOOGLEFINANCE(A512,""closeyest"")"),236.68)</f>
        <v>236.68</v>
      </c>
      <c r="I512" s="34">
        <f>IFERROR(__xludf.DUMMYFUNCTION("GOOGLEFINANCE(A512,""low52"")"),193.03)</f>
        <v>193.03</v>
      </c>
      <c r="J512" s="34">
        <f>IFERROR(__xludf.DUMMYFUNCTION("GOOGLEFINANCE(A512,""high52"")"),281.27)</f>
        <v>281.27</v>
      </c>
    </row>
    <row r="513">
      <c r="A513" s="30" t="str">
        <f>'6image_RS_benchmark_performance'!A513</f>
        <v>REG</v>
      </c>
      <c r="B513" s="31">
        <f>IFERROR(__xludf.DUMMYFUNCTION("GOOGLEFINANCE(A513,""price"")"),64.51)</f>
        <v>64.51</v>
      </c>
      <c r="C513" s="31">
        <f>IFERROR(__xludf.DUMMYFUNCTION("GOOGLEFINANCE(A513,""high"")"),64.92)</f>
        <v>64.92</v>
      </c>
      <c r="D513" s="31">
        <f>IFERROR(__xludf.DUMMYFUNCTION("GOOGLEFINANCE(A513,""low"")"),62.01)</f>
        <v>62.01</v>
      </c>
      <c r="E513" s="31">
        <f>IFERROR(__xludf.DUMMYFUNCTION("GOOGLEFINANCE(A513,""change"")"),2.61)</f>
        <v>2.61</v>
      </c>
      <c r="F513" s="32">
        <f>IFERROR(__xludf.DUMMYFUNCTION("GOOGLEFINANCE(A513,""changepct"")/100"),0.042199999999999994)</f>
        <v>0.0422</v>
      </c>
      <c r="G513" s="33">
        <f>IFERROR(__xludf.DUMMYFUNCTION("GOOGLEFINANCE(A513,""priceopen"")"),62.36)</f>
        <v>62.36</v>
      </c>
      <c r="H513" s="34">
        <f>IFERROR(__xludf.DUMMYFUNCTION("GOOGLEFINANCE(A513,""closeyest"")"),61.9)</f>
        <v>61.9</v>
      </c>
      <c r="I513" s="34">
        <f>IFERROR(__xludf.DUMMYFUNCTION("GOOGLEFINANCE(A513,""low52"")"),33.29)</f>
        <v>33.29</v>
      </c>
      <c r="J513" s="34">
        <f>IFERROR(__xludf.DUMMYFUNCTION("GOOGLEFINANCE(A513,""high52"")"),68.4)</f>
        <v>68.4</v>
      </c>
    </row>
    <row r="514">
      <c r="A514" s="30" t="str">
        <f>'6image_RS_benchmark_performance'!A514</f>
        <v>REGN</v>
      </c>
      <c r="B514" s="31">
        <f>IFERROR(__xludf.DUMMYFUNCTION("GOOGLEFINANCE(A514,""price"")"),587.24)</f>
        <v>587.24</v>
      </c>
      <c r="C514" s="31">
        <f>IFERROR(__xludf.DUMMYFUNCTION("GOOGLEFINANCE(A514,""high"")"),593.69)</f>
        <v>593.69</v>
      </c>
      <c r="D514" s="31">
        <f>IFERROR(__xludf.DUMMYFUNCTION("GOOGLEFINANCE(A514,""low"")"),580.66)</f>
        <v>580.66</v>
      </c>
      <c r="E514" s="31">
        <f>IFERROR(__xludf.DUMMYFUNCTION("GOOGLEFINANCE(A514,""change"")"),2.01)</f>
        <v>2.01</v>
      </c>
      <c r="F514" s="32">
        <f>IFERROR(__xludf.DUMMYFUNCTION("GOOGLEFINANCE(A514,""changepct"")/100"),0.0034000000000000002)</f>
        <v>0.0034</v>
      </c>
      <c r="G514" s="33">
        <f>IFERROR(__xludf.DUMMYFUNCTION("GOOGLEFINANCE(A514,""priceopen"")"),588.3)</f>
        <v>588.3</v>
      </c>
      <c r="H514" s="34">
        <f>IFERROR(__xludf.DUMMYFUNCTION("GOOGLEFINANCE(A514,""closeyest"")"),585.23)</f>
        <v>585.23</v>
      </c>
      <c r="I514" s="34">
        <f>IFERROR(__xludf.DUMMYFUNCTION("GOOGLEFINANCE(A514,""low52"")"),441.0)</f>
        <v>441</v>
      </c>
      <c r="J514" s="34">
        <f>IFERROR(__xludf.DUMMYFUNCTION("GOOGLEFINANCE(A514,""high52"")"),664.64)</f>
        <v>664.64</v>
      </c>
    </row>
    <row r="515">
      <c r="A515" s="30" t="str">
        <f>'6image_RS_benchmark_performance'!A515</f>
        <v>RF</v>
      </c>
      <c r="B515" s="31">
        <f>IFERROR(__xludf.DUMMYFUNCTION("GOOGLEFINANCE(A515,""price"")"),18.91)</f>
        <v>18.91</v>
      </c>
      <c r="C515" s="31">
        <f>IFERROR(__xludf.DUMMYFUNCTION("GOOGLEFINANCE(A515,""high"")"),19.14)</f>
        <v>19.14</v>
      </c>
      <c r="D515" s="31">
        <f>IFERROR(__xludf.DUMMYFUNCTION("GOOGLEFINANCE(A515,""low"")"),18.02)</f>
        <v>18.02</v>
      </c>
      <c r="E515" s="31">
        <f>IFERROR(__xludf.DUMMYFUNCTION("GOOGLEFINANCE(A515,""change"")"),0.77)</f>
        <v>0.77</v>
      </c>
      <c r="F515" s="32">
        <f>IFERROR(__xludf.DUMMYFUNCTION("GOOGLEFINANCE(A515,""changepct"")/100"),0.0424)</f>
        <v>0.0424</v>
      </c>
      <c r="G515" s="33">
        <f>IFERROR(__xludf.DUMMYFUNCTION("GOOGLEFINANCE(A515,""priceopen"")"),18.16)</f>
        <v>18.16</v>
      </c>
      <c r="H515" s="34">
        <f>IFERROR(__xludf.DUMMYFUNCTION("GOOGLEFINANCE(A515,""closeyest"")"),18.14)</f>
        <v>18.14</v>
      </c>
      <c r="I515" s="34">
        <f>IFERROR(__xludf.DUMMYFUNCTION("GOOGLEFINANCE(A515,""low52"")"),10.17)</f>
        <v>10.17</v>
      </c>
      <c r="J515" s="34">
        <f>IFERROR(__xludf.DUMMYFUNCTION("GOOGLEFINANCE(A515,""high52"")"),23.81)</f>
        <v>23.81</v>
      </c>
    </row>
    <row r="516">
      <c r="A516" s="30" t="str">
        <f>'6image_RS_benchmark_performance'!A516</f>
        <v>RHI</v>
      </c>
      <c r="B516" s="31">
        <f>IFERROR(__xludf.DUMMYFUNCTION("GOOGLEFINANCE(A516,""price"")"),86.47)</f>
        <v>86.47</v>
      </c>
      <c r="C516" s="31">
        <f>IFERROR(__xludf.DUMMYFUNCTION("GOOGLEFINANCE(A516,""high"")"),87.07)</f>
        <v>87.07</v>
      </c>
      <c r="D516" s="31">
        <f>IFERROR(__xludf.DUMMYFUNCTION("GOOGLEFINANCE(A516,""low"")"),84.43)</f>
        <v>84.43</v>
      </c>
      <c r="E516" s="31">
        <f>IFERROR(__xludf.DUMMYFUNCTION("GOOGLEFINANCE(A516,""change"")"),2.1)</f>
        <v>2.1</v>
      </c>
      <c r="F516" s="32">
        <f>IFERROR(__xludf.DUMMYFUNCTION("GOOGLEFINANCE(A516,""changepct"")/100"),0.024900000000000002)</f>
        <v>0.0249</v>
      </c>
      <c r="G516" s="33">
        <f>IFERROR(__xludf.DUMMYFUNCTION("GOOGLEFINANCE(A516,""priceopen"")"),84.75)</f>
        <v>84.75</v>
      </c>
      <c r="H516" s="34">
        <f>IFERROR(__xludf.DUMMYFUNCTION("GOOGLEFINANCE(A516,""closeyest"")"),84.37)</f>
        <v>84.37</v>
      </c>
      <c r="I516" s="34">
        <f>IFERROR(__xludf.DUMMYFUNCTION("GOOGLEFINANCE(A516,""low52"")"),48.29)</f>
        <v>48.29</v>
      </c>
      <c r="J516" s="34">
        <f>IFERROR(__xludf.DUMMYFUNCTION("GOOGLEFINANCE(A516,""high52"")"),92.32)</f>
        <v>92.32</v>
      </c>
    </row>
    <row r="517">
      <c r="A517" s="30" t="str">
        <f>'6image_RS_benchmark_performance'!A517</f>
        <v>RIOT</v>
      </c>
      <c r="B517" s="31">
        <f>IFERROR(__xludf.DUMMYFUNCTION("GOOGLEFINANCE(A517,""price"")"),25.85)</f>
        <v>25.85</v>
      </c>
      <c r="C517" s="31">
        <f>IFERROR(__xludf.DUMMYFUNCTION("GOOGLEFINANCE(A517,""high"")"),26.32)</f>
        <v>26.32</v>
      </c>
      <c r="D517" s="31">
        <f>IFERROR(__xludf.DUMMYFUNCTION("GOOGLEFINANCE(A517,""low"")"),23.93)</f>
        <v>23.93</v>
      </c>
      <c r="E517" s="31">
        <f>IFERROR(__xludf.DUMMYFUNCTION("GOOGLEFINANCE(A517,""change"")"),-0.11)</f>
        <v>-0.11</v>
      </c>
      <c r="F517" s="32">
        <f>IFERROR(__xludf.DUMMYFUNCTION("GOOGLEFINANCE(A517,""changepct"")/100"),-0.0042)</f>
        <v>-0.0042</v>
      </c>
      <c r="G517" s="33">
        <f>IFERROR(__xludf.DUMMYFUNCTION("GOOGLEFINANCE(A517,""priceopen"")"),25.37)</f>
        <v>25.37</v>
      </c>
      <c r="H517" s="34">
        <f>IFERROR(__xludf.DUMMYFUNCTION("GOOGLEFINANCE(A517,""closeyest"")"),25.96)</f>
        <v>25.96</v>
      </c>
      <c r="I517" s="34">
        <f>IFERROR(__xludf.DUMMYFUNCTION("GOOGLEFINANCE(A517,""low52"")"),2.06)</f>
        <v>2.06</v>
      </c>
      <c r="J517" s="34">
        <f>IFERROR(__xludf.DUMMYFUNCTION("GOOGLEFINANCE(A517,""high52"")"),79.5)</f>
        <v>79.5</v>
      </c>
    </row>
    <row r="518">
      <c r="A518" s="30" t="str">
        <f>'6image_RS_benchmark_performance'!A518</f>
        <v>RJF</v>
      </c>
      <c r="B518" s="31">
        <f>IFERROR(__xludf.DUMMYFUNCTION("GOOGLEFINANCE(A518,""price"")"),127.12)</f>
        <v>127.12</v>
      </c>
      <c r="C518" s="31">
        <f>IFERROR(__xludf.DUMMYFUNCTION("GOOGLEFINANCE(A518,""high"")"),128.22)</f>
        <v>128.22</v>
      </c>
      <c r="D518" s="31">
        <f>IFERROR(__xludf.DUMMYFUNCTION("GOOGLEFINANCE(A518,""low"")"),123.01)</f>
        <v>123.01</v>
      </c>
      <c r="E518" s="31">
        <f>IFERROR(__xludf.DUMMYFUNCTION("GOOGLEFINANCE(A518,""change"")"),3.09)</f>
        <v>3.09</v>
      </c>
      <c r="F518" s="32">
        <f>IFERROR(__xludf.DUMMYFUNCTION("GOOGLEFINANCE(A518,""changepct"")/100"),0.024900000000000002)</f>
        <v>0.0249</v>
      </c>
      <c r="G518" s="33">
        <f>IFERROR(__xludf.DUMMYFUNCTION("GOOGLEFINANCE(A518,""priceopen"")"),123.38)</f>
        <v>123.38</v>
      </c>
      <c r="H518" s="34">
        <f>IFERROR(__xludf.DUMMYFUNCTION("GOOGLEFINANCE(A518,""closeyest"")"),124.03)</f>
        <v>124.03</v>
      </c>
      <c r="I518" s="34">
        <f>IFERROR(__xludf.DUMMYFUNCTION("GOOGLEFINANCE(A518,""low52"")"),67.66)</f>
        <v>67.66</v>
      </c>
      <c r="J518" s="34">
        <f>IFERROR(__xludf.DUMMYFUNCTION("GOOGLEFINANCE(A518,""high52"")"),138.56)</f>
        <v>138.56</v>
      </c>
    </row>
    <row r="519">
      <c r="A519" s="30" t="str">
        <f>'6image_RS_benchmark_performance'!A519</f>
        <v>RL</v>
      </c>
      <c r="B519" s="31">
        <f>IFERROR(__xludf.DUMMYFUNCTION("GOOGLEFINANCE(A519,""price"")"),109.04)</f>
        <v>109.04</v>
      </c>
      <c r="C519" s="31">
        <f>IFERROR(__xludf.DUMMYFUNCTION("GOOGLEFINANCE(A519,""high"")"),109.95)</f>
        <v>109.95</v>
      </c>
      <c r="D519" s="31">
        <f>IFERROR(__xludf.DUMMYFUNCTION("GOOGLEFINANCE(A519,""low"")"),103.55)</f>
        <v>103.55</v>
      </c>
      <c r="E519" s="31">
        <f>IFERROR(__xludf.DUMMYFUNCTION("GOOGLEFINANCE(A519,""change"")"),5.25)</f>
        <v>5.25</v>
      </c>
      <c r="F519" s="32">
        <f>IFERROR(__xludf.DUMMYFUNCTION("GOOGLEFINANCE(A519,""changepct"")/100"),0.0506)</f>
        <v>0.0506</v>
      </c>
      <c r="G519" s="33">
        <f>IFERROR(__xludf.DUMMYFUNCTION("GOOGLEFINANCE(A519,""priceopen"")"),104.29)</f>
        <v>104.29</v>
      </c>
      <c r="H519" s="34">
        <f>IFERROR(__xludf.DUMMYFUNCTION("GOOGLEFINANCE(A519,""closeyest"")"),103.79)</f>
        <v>103.79</v>
      </c>
      <c r="I519" s="34">
        <f>IFERROR(__xludf.DUMMYFUNCTION("GOOGLEFINANCE(A519,""low52"")"),63.9)</f>
        <v>63.9</v>
      </c>
      <c r="J519" s="34">
        <f>IFERROR(__xludf.DUMMYFUNCTION("GOOGLEFINANCE(A519,""high52"")"),142.06)</f>
        <v>142.06</v>
      </c>
    </row>
    <row r="520">
      <c r="A520" s="30" t="str">
        <f>'6image_RS_benchmark_performance'!A520</f>
        <v>RMD</v>
      </c>
      <c r="B520" s="31">
        <f>IFERROR(__xludf.DUMMYFUNCTION("GOOGLEFINANCE(A520,""price"")"),255.25)</f>
        <v>255.25</v>
      </c>
      <c r="C520" s="31">
        <f>IFERROR(__xludf.DUMMYFUNCTION("GOOGLEFINANCE(A520,""high"")"),256.54)</f>
        <v>256.54</v>
      </c>
      <c r="D520" s="31">
        <f>IFERROR(__xludf.DUMMYFUNCTION("GOOGLEFINANCE(A520,""low"")"),253.55)</f>
        <v>253.55</v>
      </c>
      <c r="E520" s="31">
        <f>IFERROR(__xludf.DUMMYFUNCTION("GOOGLEFINANCE(A520,""change"")"),1.7)</f>
        <v>1.7</v>
      </c>
      <c r="F520" s="32">
        <f>IFERROR(__xludf.DUMMYFUNCTION("GOOGLEFINANCE(A520,""changepct"")/100"),0.0067)</f>
        <v>0.0067</v>
      </c>
      <c r="G520" s="33">
        <f>IFERROR(__xludf.DUMMYFUNCTION("GOOGLEFINANCE(A520,""priceopen"")"),253.77)</f>
        <v>253.77</v>
      </c>
      <c r="H520" s="34">
        <f>IFERROR(__xludf.DUMMYFUNCTION("GOOGLEFINANCE(A520,""closeyest"")"),253.55)</f>
        <v>253.55</v>
      </c>
      <c r="I520" s="34">
        <f>IFERROR(__xludf.DUMMYFUNCTION("GOOGLEFINANCE(A520,""low52"")"),165.72)</f>
        <v>165.72</v>
      </c>
      <c r="J520" s="34">
        <f>IFERROR(__xludf.DUMMYFUNCTION("GOOGLEFINANCE(A520,""high52"")"),256.54)</f>
        <v>256.54</v>
      </c>
    </row>
    <row r="521">
      <c r="A521" s="30" t="str">
        <f>'6image_RS_benchmark_performance'!A521</f>
        <v>ROK</v>
      </c>
      <c r="B521" s="31">
        <f>IFERROR(__xludf.DUMMYFUNCTION("GOOGLEFINANCE(A521,""price"")"),295.92)</f>
        <v>295.92</v>
      </c>
      <c r="C521" s="31">
        <f>IFERROR(__xludf.DUMMYFUNCTION("GOOGLEFINANCE(A521,""high"")"),297.58)</f>
        <v>297.58</v>
      </c>
      <c r="D521" s="31">
        <f>IFERROR(__xludf.DUMMYFUNCTION("GOOGLEFINANCE(A521,""low"")"),289.77)</f>
        <v>289.77</v>
      </c>
      <c r="E521" s="31">
        <f>IFERROR(__xludf.DUMMYFUNCTION("GOOGLEFINANCE(A521,""change"")"),5.67)</f>
        <v>5.67</v>
      </c>
      <c r="F521" s="32">
        <f>IFERROR(__xludf.DUMMYFUNCTION("GOOGLEFINANCE(A521,""changepct"")/100"),0.0195)</f>
        <v>0.0195</v>
      </c>
      <c r="G521" s="33">
        <f>IFERROR(__xludf.DUMMYFUNCTION("GOOGLEFINANCE(A521,""priceopen"")"),290.84)</f>
        <v>290.84</v>
      </c>
      <c r="H521" s="34">
        <f>IFERROR(__xludf.DUMMYFUNCTION("GOOGLEFINANCE(A521,""closeyest"")"),290.25)</f>
        <v>290.25</v>
      </c>
      <c r="I521" s="34">
        <f>IFERROR(__xludf.DUMMYFUNCTION("GOOGLEFINANCE(A521,""low52"")"),206.57)</f>
        <v>206.57</v>
      </c>
      <c r="J521" s="34">
        <f>IFERROR(__xludf.DUMMYFUNCTION("GOOGLEFINANCE(A521,""high52"")"),297.58)</f>
        <v>297.58</v>
      </c>
    </row>
    <row r="522">
      <c r="A522" s="30" t="str">
        <f>'6image_RS_benchmark_performance'!A522</f>
        <v>ROKU</v>
      </c>
      <c r="B522" s="31">
        <f>IFERROR(__xludf.DUMMYFUNCTION("GOOGLEFINANCE(A522,""price"")"),417.2)</f>
        <v>417.2</v>
      </c>
      <c r="C522" s="31">
        <f>IFERROR(__xludf.DUMMYFUNCTION("GOOGLEFINANCE(A522,""high"")"),420.5)</f>
        <v>420.5</v>
      </c>
      <c r="D522" s="31">
        <f>IFERROR(__xludf.DUMMYFUNCTION("GOOGLEFINANCE(A522,""low"")"),398.5)</f>
        <v>398.5</v>
      </c>
      <c r="E522" s="31">
        <f>IFERROR(__xludf.DUMMYFUNCTION("GOOGLEFINANCE(A522,""change"")"),9.5)</f>
        <v>9.5</v>
      </c>
      <c r="F522" s="32">
        <f>IFERROR(__xludf.DUMMYFUNCTION("GOOGLEFINANCE(A522,""changepct"")/100"),0.0233)</f>
        <v>0.0233</v>
      </c>
      <c r="G522" s="33">
        <f>IFERROR(__xludf.DUMMYFUNCTION("GOOGLEFINANCE(A522,""priceopen"")"),409.07)</f>
        <v>409.07</v>
      </c>
      <c r="H522" s="34">
        <f>IFERROR(__xludf.DUMMYFUNCTION("GOOGLEFINANCE(A522,""closeyest"")"),407.7)</f>
        <v>407.7</v>
      </c>
      <c r="I522" s="34">
        <f>IFERROR(__xludf.DUMMYFUNCTION("GOOGLEFINANCE(A522,""low52"")"),143.21)</f>
        <v>143.21</v>
      </c>
      <c r="J522" s="34">
        <f>IFERROR(__xludf.DUMMYFUNCTION("GOOGLEFINANCE(A522,""high52"")"),486.72)</f>
        <v>486.72</v>
      </c>
    </row>
    <row r="523">
      <c r="A523" s="30" t="str">
        <f>'6image_RS_benchmark_performance'!A523</f>
        <v>ROL</v>
      </c>
      <c r="B523" s="31">
        <f>IFERROR(__xludf.DUMMYFUNCTION("GOOGLEFINANCE(A523,""price"")"),37.32)</f>
        <v>37.32</v>
      </c>
      <c r="C523" s="31">
        <f>IFERROR(__xludf.DUMMYFUNCTION("GOOGLEFINANCE(A523,""high"")"),37.36)</f>
        <v>37.36</v>
      </c>
      <c r="D523" s="31">
        <f>IFERROR(__xludf.DUMMYFUNCTION("GOOGLEFINANCE(A523,""low"")"),36.38)</f>
        <v>36.38</v>
      </c>
      <c r="E523" s="31">
        <f>IFERROR(__xludf.DUMMYFUNCTION("GOOGLEFINANCE(A523,""change"")"),1.05)</f>
        <v>1.05</v>
      </c>
      <c r="F523" s="32">
        <f>IFERROR(__xludf.DUMMYFUNCTION("GOOGLEFINANCE(A523,""changepct"")/100"),0.028900000000000002)</f>
        <v>0.0289</v>
      </c>
      <c r="G523" s="33">
        <f>IFERROR(__xludf.DUMMYFUNCTION("GOOGLEFINANCE(A523,""priceopen"")"),36.43)</f>
        <v>36.43</v>
      </c>
      <c r="H523" s="34">
        <f>IFERROR(__xludf.DUMMYFUNCTION("GOOGLEFINANCE(A523,""closeyest"")"),36.27)</f>
        <v>36.27</v>
      </c>
      <c r="I523" s="34">
        <f>IFERROR(__xludf.DUMMYFUNCTION("GOOGLEFINANCE(A523,""low52"")"),31.44)</f>
        <v>31.44</v>
      </c>
      <c r="J523" s="34">
        <f>IFERROR(__xludf.DUMMYFUNCTION("GOOGLEFINANCE(A523,""high52"")"),43.0)</f>
        <v>43</v>
      </c>
    </row>
    <row r="524">
      <c r="A524" s="30" t="str">
        <f>'6image_RS_benchmark_performance'!A524</f>
        <v>ROP</v>
      </c>
      <c r="B524" s="31">
        <f>IFERROR(__xludf.DUMMYFUNCTION("GOOGLEFINANCE(A524,""price"")"),491.56)</f>
        <v>491.56</v>
      </c>
      <c r="C524" s="31">
        <f>IFERROR(__xludf.DUMMYFUNCTION("GOOGLEFINANCE(A524,""high"")"),493.18)</f>
        <v>493.18</v>
      </c>
      <c r="D524" s="31">
        <f>IFERROR(__xludf.DUMMYFUNCTION("GOOGLEFINANCE(A524,""low"")"),483.34)</f>
        <v>483.34</v>
      </c>
      <c r="E524" s="31">
        <f>IFERROR(__xludf.DUMMYFUNCTION("GOOGLEFINANCE(A524,""change"")"),9.84)</f>
        <v>9.84</v>
      </c>
      <c r="F524" s="32">
        <f>IFERROR(__xludf.DUMMYFUNCTION("GOOGLEFINANCE(A524,""changepct"")/100"),0.0204)</f>
        <v>0.0204</v>
      </c>
      <c r="G524" s="33">
        <f>IFERROR(__xludf.DUMMYFUNCTION("GOOGLEFINANCE(A524,""priceopen"")"),483.34)</f>
        <v>483.34</v>
      </c>
      <c r="H524" s="34">
        <f>IFERROR(__xludf.DUMMYFUNCTION("GOOGLEFINANCE(A524,""closeyest"")"),481.72)</f>
        <v>481.72</v>
      </c>
      <c r="I524" s="34">
        <f>IFERROR(__xludf.DUMMYFUNCTION("GOOGLEFINANCE(A524,""low52"")"),362.9)</f>
        <v>362.9</v>
      </c>
      <c r="J524" s="34">
        <f>IFERROR(__xludf.DUMMYFUNCTION("GOOGLEFINANCE(A524,""high52"")"),493.18)</f>
        <v>493.18</v>
      </c>
    </row>
    <row r="525">
      <c r="A525" s="30" t="str">
        <f>'6image_RS_benchmark_performance'!A525</f>
        <v>ROST</v>
      </c>
      <c r="B525" s="31">
        <f>IFERROR(__xludf.DUMMYFUNCTION("GOOGLEFINANCE(A525,""price"")"),118.59)</f>
        <v>118.59</v>
      </c>
      <c r="C525" s="31">
        <f>IFERROR(__xludf.DUMMYFUNCTION("GOOGLEFINANCE(A525,""high"")"),119.33)</f>
        <v>119.33</v>
      </c>
      <c r="D525" s="31">
        <f>IFERROR(__xludf.DUMMYFUNCTION("GOOGLEFINANCE(A525,""low"")"),114.49)</f>
        <v>114.49</v>
      </c>
      <c r="E525" s="31">
        <f>IFERROR(__xludf.DUMMYFUNCTION("GOOGLEFINANCE(A525,""change"")"),3.05)</f>
        <v>3.05</v>
      </c>
      <c r="F525" s="32">
        <f>IFERROR(__xludf.DUMMYFUNCTION("GOOGLEFINANCE(A525,""changepct"")/100"),0.0264)</f>
        <v>0.0264</v>
      </c>
      <c r="G525" s="33">
        <f>IFERROR(__xludf.DUMMYFUNCTION("GOOGLEFINANCE(A525,""priceopen"")"),115.64)</f>
        <v>115.64</v>
      </c>
      <c r="H525" s="34">
        <f>IFERROR(__xludf.DUMMYFUNCTION("GOOGLEFINANCE(A525,""closeyest"")"),115.54)</f>
        <v>115.54</v>
      </c>
      <c r="I525" s="34">
        <f>IFERROR(__xludf.DUMMYFUNCTION("GOOGLEFINANCE(A525,""low52"")"),83.51)</f>
        <v>83.51</v>
      </c>
      <c r="J525" s="34">
        <f>IFERROR(__xludf.DUMMYFUNCTION("GOOGLEFINANCE(A525,""high52"")"),134.22)</f>
        <v>134.22</v>
      </c>
    </row>
    <row r="526">
      <c r="A526" s="30" t="str">
        <f>'6image_RS_benchmark_performance'!A526</f>
        <v>RSG</v>
      </c>
      <c r="B526" s="31">
        <f>IFERROR(__xludf.DUMMYFUNCTION("GOOGLEFINANCE(A526,""price"")"),115.1)</f>
        <v>115.1</v>
      </c>
      <c r="C526" s="31">
        <f>IFERROR(__xludf.DUMMYFUNCTION("GOOGLEFINANCE(A526,""high"")"),116.19)</f>
        <v>116.19</v>
      </c>
      <c r="D526" s="31">
        <f>IFERROR(__xludf.DUMMYFUNCTION("GOOGLEFINANCE(A526,""low"")"),113.98)</f>
        <v>113.98</v>
      </c>
      <c r="E526" s="31">
        <f>IFERROR(__xludf.DUMMYFUNCTION("GOOGLEFINANCE(A526,""change"")"),1.37)</f>
        <v>1.37</v>
      </c>
      <c r="F526" s="32">
        <f>IFERROR(__xludf.DUMMYFUNCTION("GOOGLEFINANCE(A526,""changepct"")/100"),0.012)</f>
        <v>0.012</v>
      </c>
      <c r="G526" s="33">
        <f>IFERROR(__xludf.DUMMYFUNCTION("GOOGLEFINANCE(A526,""priceopen"")"),114.0)</f>
        <v>114</v>
      </c>
      <c r="H526" s="34">
        <f>IFERROR(__xludf.DUMMYFUNCTION("GOOGLEFINANCE(A526,""closeyest"")"),113.73)</f>
        <v>113.73</v>
      </c>
      <c r="I526" s="34">
        <f>IFERROR(__xludf.DUMMYFUNCTION("GOOGLEFINANCE(A526,""low52"")"),84.44)</f>
        <v>84.44</v>
      </c>
      <c r="J526" s="34">
        <f>IFERROR(__xludf.DUMMYFUNCTION("GOOGLEFINANCE(A526,""high52"")"),116.21)</f>
        <v>116.21</v>
      </c>
    </row>
    <row r="527">
      <c r="A527" s="30" t="str">
        <f>'6image_RS_benchmark_performance'!A527</f>
        <v>RSP</v>
      </c>
      <c r="B527" s="31">
        <f>IFERROR(__xludf.DUMMYFUNCTION("GOOGLEFINANCE(A527,""price"")"),149.39)</f>
        <v>149.39</v>
      </c>
      <c r="C527" s="31">
        <f>IFERROR(__xludf.DUMMYFUNCTION("GOOGLEFINANCE(A527,""high"")"),149.86)</f>
        <v>149.86</v>
      </c>
      <c r="D527" s="31">
        <f>IFERROR(__xludf.DUMMYFUNCTION("GOOGLEFINANCE(A527,""low"")"),146.78)</f>
        <v>146.78</v>
      </c>
      <c r="E527" s="31">
        <f>IFERROR(__xludf.DUMMYFUNCTION("GOOGLEFINANCE(A527,""change"")"),2.78)</f>
        <v>2.78</v>
      </c>
      <c r="F527" s="32">
        <f>IFERROR(__xludf.DUMMYFUNCTION("GOOGLEFINANCE(A527,""changepct"")/100"),0.019)</f>
        <v>0.019</v>
      </c>
      <c r="G527" s="33">
        <f>IFERROR(__xludf.DUMMYFUNCTION("GOOGLEFINANCE(A527,""priceopen"")"),146.96)</f>
        <v>146.96</v>
      </c>
      <c r="H527" s="34">
        <f>IFERROR(__xludf.DUMMYFUNCTION("GOOGLEFINANCE(A527,""closeyest"")"),146.61)</f>
        <v>146.61</v>
      </c>
      <c r="I527" s="34">
        <f>IFERROR(__xludf.DUMMYFUNCTION("GOOGLEFINANCE(A527,""low52"")"),103.48)</f>
        <v>103.48</v>
      </c>
      <c r="J527" s="34">
        <f>IFERROR(__xludf.DUMMYFUNCTION("GOOGLEFINANCE(A527,""high52"")"),152.85)</f>
        <v>152.85</v>
      </c>
    </row>
    <row r="528">
      <c r="A528" s="30" t="str">
        <f>'6image_RS_benchmark_performance'!A528</f>
        <v>RTX</v>
      </c>
      <c r="B528" s="31">
        <f>IFERROR(__xludf.DUMMYFUNCTION("GOOGLEFINANCE(A528,""price"")"),84.8)</f>
        <v>84.8</v>
      </c>
      <c r="C528" s="31">
        <f>IFERROR(__xludf.DUMMYFUNCTION("GOOGLEFINANCE(A528,""high"")"),85.13)</f>
        <v>85.13</v>
      </c>
      <c r="D528" s="31">
        <f>IFERROR(__xludf.DUMMYFUNCTION("GOOGLEFINANCE(A528,""low"")"),81.02)</f>
        <v>81.02</v>
      </c>
      <c r="E528" s="31">
        <f>IFERROR(__xludf.DUMMYFUNCTION("GOOGLEFINANCE(A528,""change"")"),3.75)</f>
        <v>3.75</v>
      </c>
      <c r="F528" s="32">
        <f>IFERROR(__xludf.DUMMYFUNCTION("GOOGLEFINANCE(A528,""changepct"")/100"),0.0463)</f>
        <v>0.0463</v>
      </c>
      <c r="G528" s="33">
        <f>IFERROR(__xludf.DUMMYFUNCTION("GOOGLEFINANCE(A528,""priceopen"")"),81.3)</f>
        <v>81.3</v>
      </c>
      <c r="H528" s="34">
        <f>IFERROR(__xludf.DUMMYFUNCTION("GOOGLEFINANCE(A528,""closeyest"")"),81.05)</f>
        <v>81.05</v>
      </c>
      <c r="I528" s="34">
        <f>IFERROR(__xludf.DUMMYFUNCTION("GOOGLEFINANCE(A528,""low52"")"),51.92)</f>
        <v>51.92</v>
      </c>
      <c r="J528" s="34">
        <f>IFERROR(__xludf.DUMMYFUNCTION("GOOGLEFINANCE(A528,""high52"")"),89.98)</f>
        <v>89.98</v>
      </c>
    </row>
    <row r="529">
      <c r="A529" s="30" t="str">
        <f>'6image_RS_benchmark_performance'!A529</f>
        <v>RUN</v>
      </c>
      <c r="B529" s="31">
        <f>IFERROR(__xludf.DUMMYFUNCTION("GOOGLEFINANCE(A529,""price"")"),50.51)</f>
        <v>50.51</v>
      </c>
      <c r="C529" s="31">
        <f>IFERROR(__xludf.DUMMYFUNCTION("GOOGLEFINANCE(A529,""high"")"),51.0)</f>
        <v>51</v>
      </c>
      <c r="D529" s="31">
        <f>IFERROR(__xludf.DUMMYFUNCTION("GOOGLEFINANCE(A529,""low"")"),46.51)</f>
        <v>46.51</v>
      </c>
      <c r="E529" s="31">
        <f>IFERROR(__xludf.DUMMYFUNCTION("GOOGLEFINANCE(A529,""change"")"),3.15)</f>
        <v>3.15</v>
      </c>
      <c r="F529" s="32">
        <f>IFERROR(__xludf.DUMMYFUNCTION("GOOGLEFINANCE(A529,""changepct"")/100"),0.0665)</f>
        <v>0.0665</v>
      </c>
      <c r="G529" s="33">
        <f>IFERROR(__xludf.DUMMYFUNCTION("GOOGLEFINANCE(A529,""priceopen"")"),47.89)</f>
        <v>47.89</v>
      </c>
      <c r="H529" s="34">
        <f>IFERROR(__xludf.DUMMYFUNCTION("GOOGLEFINANCE(A529,""closeyest"")"),47.36)</f>
        <v>47.36</v>
      </c>
      <c r="I529" s="34">
        <f>IFERROR(__xludf.DUMMYFUNCTION("GOOGLEFINANCE(A529,""low52"")"),35.79)</f>
        <v>35.79</v>
      </c>
      <c r="J529" s="34">
        <f>IFERROR(__xludf.DUMMYFUNCTION("GOOGLEFINANCE(A529,""high52"")"),100.93)</f>
        <v>100.93</v>
      </c>
    </row>
    <row r="530">
      <c r="A530" s="30" t="str">
        <f>'6image_RS_benchmark_performance'!A530</f>
        <v>SAVA</v>
      </c>
      <c r="B530" s="31">
        <f>IFERROR(__xludf.DUMMYFUNCTION("GOOGLEFINANCE(A530,""price"")"),90.83)</f>
        <v>90.83</v>
      </c>
      <c r="C530" s="31">
        <f>IFERROR(__xludf.DUMMYFUNCTION("GOOGLEFINANCE(A530,""high"")"),91.49)</f>
        <v>91.49</v>
      </c>
      <c r="D530" s="31">
        <f>IFERROR(__xludf.DUMMYFUNCTION("GOOGLEFINANCE(A530,""low"")"),80.57)</f>
        <v>80.57</v>
      </c>
      <c r="E530" s="31">
        <f>IFERROR(__xludf.DUMMYFUNCTION("GOOGLEFINANCE(A530,""change"")"),8.57)</f>
        <v>8.57</v>
      </c>
      <c r="F530" s="32">
        <f>IFERROR(__xludf.DUMMYFUNCTION("GOOGLEFINANCE(A530,""changepct"")/100"),0.1042)</f>
        <v>0.1042</v>
      </c>
      <c r="G530" s="33">
        <f>IFERROR(__xludf.DUMMYFUNCTION("GOOGLEFINANCE(A530,""priceopen"")"),86.28)</f>
        <v>86.28</v>
      </c>
      <c r="H530" s="34">
        <f>IFERROR(__xludf.DUMMYFUNCTION("GOOGLEFINANCE(A530,""closeyest"")"),82.26)</f>
        <v>82.26</v>
      </c>
      <c r="I530" s="34">
        <f>IFERROR(__xludf.DUMMYFUNCTION("GOOGLEFINANCE(A530,""low52"")"),2.78)</f>
        <v>2.78</v>
      </c>
      <c r="J530" s="34">
        <f>IFERROR(__xludf.DUMMYFUNCTION("GOOGLEFINANCE(A530,""high52"")"),117.54)</f>
        <v>117.54</v>
      </c>
    </row>
    <row r="531">
      <c r="A531" s="30" t="str">
        <f>'6image_RS_benchmark_performance'!A531</f>
        <v>SAVE</v>
      </c>
      <c r="B531" s="31">
        <f>IFERROR(__xludf.DUMMYFUNCTION("GOOGLEFINANCE(A531,""price"")"),27.0)</f>
        <v>27</v>
      </c>
      <c r="C531" s="31">
        <f>IFERROR(__xludf.DUMMYFUNCTION("GOOGLEFINANCE(A531,""high"")"),27.23)</f>
        <v>27.23</v>
      </c>
      <c r="D531" s="31">
        <f>IFERROR(__xludf.DUMMYFUNCTION("GOOGLEFINANCE(A531,""low"")"),25.46)</f>
        <v>25.46</v>
      </c>
      <c r="E531" s="31">
        <f>IFERROR(__xludf.DUMMYFUNCTION("GOOGLEFINANCE(A531,""change"")"),1.58)</f>
        <v>1.58</v>
      </c>
      <c r="F531" s="32">
        <f>IFERROR(__xludf.DUMMYFUNCTION("GOOGLEFINANCE(A531,""changepct"")/100"),0.0622)</f>
        <v>0.0622</v>
      </c>
      <c r="G531" s="33">
        <f>IFERROR(__xludf.DUMMYFUNCTION("GOOGLEFINANCE(A531,""priceopen"")"),25.81)</f>
        <v>25.81</v>
      </c>
      <c r="H531" s="34">
        <f>IFERROR(__xludf.DUMMYFUNCTION("GOOGLEFINANCE(A531,""closeyest"")"),25.42)</f>
        <v>25.42</v>
      </c>
      <c r="I531" s="34">
        <f>IFERROR(__xludf.DUMMYFUNCTION("GOOGLEFINANCE(A531,""low52"")"),14.65)</f>
        <v>14.65</v>
      </c>
      <c r="J531" s="34">
        <f>IFERROR(__xludf.DUMMYFUNCTION("GOOGLEFINANCE(A531,""high52"")"),40.77)</f>
        <v>40.77</v>
      </c>
    </row>
    <row r="532">
      <c r="A532" s="30" t="str">
        <f>'6image_RS_benchmark_performance'!A532</f>
        <v>SBAC</v>
      </c>
      <c r="B532" s="31">
        <f>IFERROR(__xludf.DUMMYFUNCTION("GOOGLEFINANCE(A532,""price"")"),335.3)</f>
        <v>335.3</v>
      </c>
      <c r="C532" s="31">
        <f>IFERROR(__xludf.DUMMYFUNCTION("GOOGLEFINANCE(A532,""high"")"),337.98)</f>
        <v>337.98</v>
      </c>
      <c r="D532" s="31">
        <f>IFERROR(__xludf.DUMMYFUNCTION("GOOGLEFINANCE(A532,""low"")"),333.34)</f>
        <v>333.34</v>
      </c>
      <c r="E532" s="31">
        <f>IFERROR(__xludf.DUMMYFUNCTION("GOOGLEFINANCE(A532,""change"")"),0.77)</f>
        <v>0.77</v>
      </c>
      <c r="F532" s="32">
        <f>IFERROR(__xludf.DUMMYFUNCTION("GOOGLEFINANCE(A532,""changepct"")/100"),0.0023)</f>
        <v>0.0023</v>
      </c>
      <c r="G532" s="33">
        <f>IFERROR(__xludf.DUMMYFUNCTION("GOOGLEFINANCE(A532,""priceopen"")"),335.53)</f>
        <v>335.53</v>
      </c>
      <c r="H532" s="34">
        <f>IFERROR(__xludf.DUMMYFUNCTION("GOOGLEFINANCE(A532,""closeyest"")"),334.53)</f>
        <v>334.53</v>
      </c>
      <c r="I532" s="34">
        <f>IFERROR(__xludf.DUMMYFUNCTION("GOOGLEFINANCE(A532,""low52"")"),232.88)</f>
        <v>232.88</v>
      </c>
      <c r="J532" s="34">
        <f>IFERROR(__xludf.DUMMYFUNCTION("GOOGLEFINANCE(A532,""high52"")"),337.98)</f>
        <v>337.98</v>
      </c>
    </row>
    <row r="533">
      <c r="A533" s="30" t="str">
        <f>'6image_RS_benchmark_performance'!A533</f>
        <v>SBUX</v>
      </c>
      <c r="B533" s="31">
        <f>IFERROR(__xludf.DUMMYFUNCTION("GOOGLEFINANCE(A533,""price"")"),117.42)</f>
        <v>117.42</v>
      </c>
      <c r="C533" s="31">
        <f>IFERROR(__xludf.DUMMYFUNCTION("GOOGLEFINANCE(A533,""high"")"),118.07)</f>
        <v>118.07</v>
      </c>
      <c r="D533" s="31">
        <f>IFERROR(__xludf.DUMMYFUNCTION("GOOGLEFINANCE(A533,""low"")"),115.33)</f>
        <v>115.33</v>
      </c>
      <c r="E533" s="31">
        <f>IFERROR(__xludf.DUMMYFUNCTION("GOOGLEFINANCE(A533,""change"")"),2.1)</f>
        <v>2.1</v>
      </c>
      <c r="F533" s="32">
        <f>IFERROR(__xludf.DUMMYFUNCTION("GOOGLEFINANCE(A533,""changepct"")/100"),0.0182)</f>
        <v>0.0182</v>
      </c>
      <c r="G533" s="33">
        <f>IFERROR(__xludf.DUMMYFUNCTION("GOOGLEFINANCE(A533,""priceopen"")"),115.63)</f>
        <v>115.63</v>
      </c>
      <c r="H533" s="34">
        <f>IFERROR(__xludf.DUMMYFUNCTION("GOOGLEFINANCE(A533,""closeyest"")"),115.32)</f>
        <v>115.32</v>
      </c>
      <c r="I533" s="34">
        <f>IFERROR(__xludf.DUMMYFUNCTION("GOOGLEFINANCE(A533,""low52"")"),73.63)</f>
        <v>73.63</v>
      </c>
      <c r="J533" s="34">
        <f>IFERROR(__xludf.DUMMYFUNCTION("GOOGLEFINANCE(A533,""high52"")"),120.83)</f>
        <v>120.83</v>
      </c>
    </row>
    <row r="534">
      <c r="A534" s="30" t="str">
        <f>'6image_RS_benchmark_performance'!A534</f>
        <v>SCHF</v>
      </c>
      <c r="B534" s="31">
        <f>IFERROR(__xludf.DUMMYFUNCTION("GOOGLEFINANCE(A534,""price"")"),38.66)</f>
        <v>38.66</v>
      </c>
      <c r="C534" s="31">
        <f>IFERROR(__xludf.DUMMYFUNCTION("GOOGLEFINANCE(A534,""high"")"),38.71)</f>
        <v>38.71</v>
      </c>
      <c r="D534" s="31">
        <f>IFERROR(__xludf.DUMMYFUNCTION("GOOGLEFINANCE(A534,""low"")"),38.21)</f>
        <v>38.21</v>
      </c>
      <c r="E534" s="31">
        <f>IFERROR(__xludf.DUMMYFUNCTION("GOOGLEFINANCE(A534,""change"")"),0.31)</f>
        <v>0.31</v>
      </c>
      <c r="F534" s="32">
        <f>IFERROR(__xludf.DUMMYFUNCTION("GOOGLEFINANCE(A534,""changepct"")/100"),0.008100000000000001)</f>
        <v>0.0081</v>
      </c>
      <c r="G534" s="33">
        <f>IFERROR(__xludf.DUMMYFUNCTION("GOOGLEFINANCE(A534,""priceopen"")"),38.28)</f>
        <v>38.28</v>
      </c>
      <c r="H534" s="34">
        <f>IFERROR(__xludf.DUMMYFUNCTION("GOOGLEFINANCE(A534,""closeyest"")"),38.35)</f>
        <v>38.35</v>
      </c>
      <c r="I534" s="34">
        <f>IFERROR(__xludf.DUMMYFUNCTION("GOOGLEFINANCE(A534,""low52"")"),30.08)</f>
        <v>30.08</v>
      </c>
      <c r="J534" s="34">
        <f>IFERROR(__xludf.DUMMYFUNCTION("GOOGLEFINANCE(A534,""high52"")"),40.92)</f>
        <v>40.92</v>
      </c>
    </row>
    <row r="535">
      <c r="A535" s="30" t="str">
        <f>'6image_RS_benchmark_performance'!A535</f>
        <v>SCHP</v>
      </c>
      <c r="B535" s="31">
        <f>IFERROR(__xludf.DUMMYFUNCTION("GOOGLEFINANCE(A535,""price"")"),63.11)</f>
        <v>63.11</v>
      </c>
      <c r="C535" s="31">
        <f>IFERROR(__xludf.DUMMYFUNCTION("GOOGLEFINANCE(A535,""high"")"),63.24)</f>
        <v>63.24</v>
      </c>
      <c r="D535" s="31">
        <f>IFERROR(__xludf.DUMMYFUNCTION("GOOGLEFINANCE(A535,""low"")"),63.06)</f>
        <v>63.06</v>
      </c>
      <c r="E535" s="31">
        <f>IFERROR(__xludf.DUMMYFUNCTION("GOOGLEFINANCE(A535,""change"")"),-0.01)</f>
        <v>-0.01</v>
      </c>
      <c r="F535" s="32">
        <f>IFERROR(__xludf.DUMMYFUNCTION("GOOGLEFINANCE(A535,""changepct"")/100"),-2.0E-4)</f>
        <v>-0.0002</v>
      </c>
      <c r="G535" s="33">
        <f>IFERROR(__xludf.DUMMYFUNCTION("GOOGLEFINANCE(A535,""priceopen"")"),63.23)</f>
        <v>63.23</v>
      </c>
      <c r="H535" s="34">
        <f>IFERROR(__xludf.DUMMYFUNCTION("GOOGLEFINANCE(A535,""closeyest"")"),63.12)</f>
        <v>63.12</v>
      </c>
      <c r="I535" s="34">
        <f>IFERROR(__xludf.DUMMYFUNCTION("GOOGLEFINANCE(A535,""low52"")"),60.31)</f>
        <v>60.31</v>
      </c>
      <c r="J535" s="34">
        <f>IFERROR(__xludf.DUMMYFUNCTION("GOOGLEFINANCE(A535,""high52"")"),63.35)</f>
        <v>63.35</v>
      </c>
    </row>
    <row r="536">
      <c r="A536" s="30" t="str">
        <f>'6image_RS_benchmark_performance'!A536</f>
        <v>SCHW</v>
      </c>
      <c r="B536" s="31">
        <f>IFERROR(__xludf.DUMMYFUNCTION("GOOGLEFINANCE(A536,""price"")"),67.94)</f>
        <v>67.94</v>
      </c>
      <c r="C536" s="31">
        <f>IFERROR(__xludf.DUMMYFUNCTION("GOOGLEFINANCE(A536,""high"")"),68.26)</f>
        <v>68.26</v>
      </c>
      <c r="D536" s="31">
        <f>IFERROR(__xludf.DUMMYFUNCTION("GOOGLEFINANCE(A536,""low"")"),65.73)</f>
        <v>65.73</v>
      </c>
      <c r="E536" s="31">
        <f>IFERROR(__xludf.DUMMYFUNCTION("GOOGLEFINANCE(A536,""change"")"),1.26)</f>
        <v>1.26</v>
      </c>
      <c r="F536" s="32">
        <f>IFERROR(__xludf.DUMMYFUNCTION("GOOGLEFINANCE(A536,""changepct"")/100"),0.0189)</f>
        <v>0.0189</v>
      </c>
      <c r="G536" s="33">
        <f>IFERROR(__xludf.DUMMYFUNCTION("GOOGLEFINANCE(A536,""priceopen"")"),66.6)</f>
        <v>66.6</v>
      </c>
      <c r="H536" s="34">
        <f>IFERROR(__xludf.DUMMYFUNCTION("GOOGLEFINANCE(A536,""closeyest"")"),66.68)</f>
        <v>66.68</v>
      </c>
      <c r="I536" s="34">
        <f>IFERROR(__xludf.DUMMYFUNCTION("GOOGLEFINANCE(A536,""low52"")"),32.66)</f>
        <v>32.66</v>
      </c>
      <c r="J536" s="34">
        <f>IFERROR(__xludf.DUMMYFUNCTION("GOOGLEFINANCE(A536,""high52"")"),76.37)</f>
        <v>76.37</v>
      </c>
    </row>
    <row r="537">
      <c r="A537" s="30" t="str">
        <f>'6image_RS_benchmark_performance'!A537</f>
        <v>SEE</v>
      </c>
      <c r="B537" s="31">
        <f>IFERROR(__xludf.DUMMYFUNCTION("GOOGLEFINANCE(A537,""price"")"),54.49)</f>
        <v>54.49</v>
      </c>
      <c r="C537" s="31">
        <f>IFERROR(__xludf.DUMMYFUNCTION("GOOGLEFINANCE(A537,""high"")"),55.79)</f>
        <v>55.79</v>
      </c>
      <c r="D537" s="31">
        <f>IFERROR(__xludf.DUMMYFUNCTION("GOOGLEFINANCE(A537,""low"")"),54.48)</f>
        <v>54.48</v>
      </c>
      <c r="E537" s="31">
        <f>IFERROR(__xludf.DUMMYFUNCTION("GOOGLEFINANCE(A537,""change"")"),-0.54)</f>
        <v>-0.54</v>
      </c>
      <c r="F537" s="32">
        <f>IFERROR(__xludf.DUMMYFUNCTION("GOOGLEFINANCE(A537,""changepct"")/100"),-0.0098)</f>
        <v>-0.0098</v>
      </c>
      <c r="G537" s="33">
        <f>IFERROR(__xludf.DUMMYFUNCTION("GOOGLEFINANCE(A537,""priceopen"")"),55.16)</f>
        <v>55.16</v>
      </c>
      <c r="H537" s="34">
        <f>IFERROR(__xludf.DUMMYFUNCTION("GOOGLEFINANCE(A537,""closeyest"")"),55.03)</f>
        <v>55.03</v>
      </c>
      <c r="I537" s="34">
        <f>IFERROR(__xludf.DUMMYFUNCTION("GOOGLEFINANCE(A537,""low52"")"),34.59)</f>
        <v>34.59</v>
      </c>
      <c r="J537" s="34">
        <f>IFERROR(__xludf.DUMMYFUNCTION("GOOGLEFINANCE(A537,""high52"")"),59.7)</f>
        <v>59.7</v>
      </c>
    </row>
    <row r="538">
      <c r="A538" s="30" t="str">
        <f>'6image_RS_benchmark_performance'!A538</f>
        <v>SFM</v>
      </c>
      <c r="B538" s="31">
        <f>IFERROR(__xludf.DUMMYFUNCTION("GOOGLEFINANCE(A538,""price"")"),25.67)</f>
        <v>25.67</v>
      </c>
      <c r="C538" s="31">
        <f>IFERROR(__xludf.DUMMYFUNCTION("GOOGLEFINANCE(A538,""high"")"),25.96)</f>
        <v>25.96</v>
      </c>
      <c r="D538" s="31">
        <f>IFERROR(__xludf.DUMMYFUNCTION("GOOGLEFINANCE(A538,""low"")"),25.46)</f>
        <v>25.46</v>
      </c>
      <c r="E538" s="31">
        <f>IFERROR(__xludf.DUMMYFUNCTION("GOOGLEFINANCE(A538,""change"")"),-0.18)</f>
        <v>-0.18</v>
      </c>
      <c r="F538" s="32">
        <f>IFERROR(__xludf.DUMMYFUNCTION("GOOGLEFINANCE(A538,""changepct"")/100"),-0.006999999999999999)</f>
        <v>-0.007</v>
      </c>
      <c r="G538" s="33">
        <f>IFERROR(__xludf.DUMMYFUNCTION("GOOGLEFINANCE(A538,""priceopen"")"),25.9)</f>
        <v>25.9</v>
      </c>
      <c r="H538" s="34">
        <f>IFERROR(__xludf.DUMMYFUNCTION("GOOGLEFINANCE(A538,""closeyest"")"),25.85)</f>
        <v>25.85</v>
      </c>
      <c r="I538" s="34">
        <f>IFERROR(__xludf.DUMMYFUNCTION("GOOGLEFINANCE(A538,""low52"")"),18.21)</f>
        <v>18.21</v>
      </c>
      <c r="J538" s="34">
        <f>IFERROR(__xludf.DUMMYFUNCTION("GOOGLEFINANCE(A538,""high52"")"),29.35)</f>
        <v>29.35</v>
      </c>
    </row>
    <row r="539">
      <c r="A539" s="30" t="str">
        <f>'6image_RS_benchmark_performance'!A539</f>
        <v>SGEN</v>
      </c>
      <c r="B539" s="31">
        <f>IFERROR(__xludf.DUMMYFUNCTION("GOOGLEFINANCE(A539,""price"")"),145.3)</f>
        <v>145.3</v>
      </c>
      <c r="C539" s="31">
        <f>IFERROR(__xludf.DUMMYFUNCTION("GOOGLEFINANCE(A539,""high"")"),147.1)</f>
        <v>147.1</v>
      </c>
      <c r="D539" s="31">
        <f>IFERROR(__xludf.DUMMYFUNCTION("GOOGLEFINANCE(A539,""low"")"),143.7)</f>
        <v>143.7</v>
      </c>
      <c r="E539" s="31">
        <f>IFERROR(__xludf.DUMMYFUNCTION("GOOGLEFINANCE(A539,""change"")"),0.89)</f>
        <v>0.89</v>
      </c>
      <c r="F539" s="32">
        <f>IFERROR(__xludf.DUMMYFUNCTION("GOOGLEFINANCE(A539,""changepct"")/100"),0.0062)</f>
        <v>0.0062</v>
      </c>
      <c r="G539" s="33">
        <f>IFERROR(__xludf.DUMMYFUNCTION("GOOGLEFINANCE(A539,""priceopen"")"),144.69)</f>
        <v>144.69</v>
      </c>
      <c r="H539" s="34">
        <f>IFERROR(__xludf.DUMMYFUNCTION("GOOGLEFINANCE(A539,""closeyest"")"),144.41)</f>
        <v>144.41</v>
      </c>
      <c r="I539" s="34">
        <f>IFERROR(__xludf.DUMMYFUNCTION("GOOGLEFINANCE(A539,""low52"")"),133.2)</f>
        <v>133.2</v>
      </c>
      <c r="J539" s="34">
        <f>IFERROR(__xludf.DUMMYFUNCTION("GOOGLEFINANCE(A539,""high52"")"),213.94)</f>
        <v>213.94</v>
      </c>
    </row>
    <row r="540">
      <c r="A540" s="30" t="str">
        <f>'6image_RS_benchmark_performance'!A540</f>
        <v>SHW</v>
      </c>
      <c r="B540" s="31">
        <f>IFERROR(__xludf.DUMMYFUNCTION("GOOGLEFINANCE(A540,""price"")"),281.24)</f>
        <v>281.24</v>
      </c>
      <c r="C540" s="31">
        <f>IFERROR(__xludf.DUMMYFUNCTION("GOOGLEFINANCE(A540,""high"")"),282.84)</f>
        <v>282.84</v>
      </c>
      <c r="D540" s="31">
        <f>IFERROR(__xludf.DUMMYFUNCTION("GOOGLEFINANCE(A540,""low"")"),275.88)</f>
        <v>275.88</v>
      </c>
      <c r="E540" s="31">
        <f>IFERROR(__xludf.DUMMYFUNCTION("GOOGLEFINANCE(A540,""change"")"),-1.69)</f>
        <v>-1.69</v>
      </c>
      <c r="F540" s="32">
        <f>IFERROR(__xludf.DUMMYFUNCTION("GOOGLEFINANCE(A540,""changepct"")/100"),-0.006)</f>
        <v>-0.006</v>
      </c>
      <c r="G540" s="33">
        <f>IFERROR(__xludf.DUMMYFUNCTION("GOOGLEFINANCE(A540,""priceopen"")"),276.48)</f>
        <v>276.48</v>
      </c>
      <c r="H540" s="34">
        <f>IFERROR(__xludf.DUMMYFUNCTION("GOOGLEFINANCE(A540,""closeyest"")"),282.93)</f>
        <v>282.93</v>
      </c>
      <c r="I540" s="34">
        <f>IFERROR(__xludf.DUMMYFUNCTION("GOOGLEFINANCE(A540,""low52"")"),202.17)</f>
        <v>202.17</v>
      </c>
      <c r="J540" s="34">
        <f>IFERROR(__xludf.DUMMYFUNCTION("GOOGLEFINANCE(A540,""high52"")"),293.05)</f>
        <v>293.05</v>
      </c>
    </row>
    <row r="541">
      <c r="A541" s="30" t="str">
        <f>'6image_RS_benchmark_performance'!A541</f>
        <v>SHY</v>
      </c>
      <c r="B541" s="31">
        <f>IFERROR(__xludf.DUMMYFUNCTION("GOOGLEFINANCE(A541,""price"")"),86.27)</f>
        <v>86.27</v>
      </c>
      <c r="C541" s="31">
        <f>IFERROR(__xludf.DUMMYFUNCTION("GOOGLEFINANCE(A541,""high"")"),86.29)</f>
        <v>86.29</v>
      </c>
      <c r="D541" s="31">
        <f>IFERROR(__xludf.DUMMYFUNCTION("GOOGLEFINANCE(A541,""low"")"),86.25)</f>
        <v>86.25</v>
      </c>
      <c r="E541" s="31">
        <f>IFERROR(__xludf.DUMMYFUNCTION("GOOGLEFINANCE(A541,""change"")"),0.04)</f>
        <v>0.04</v>
      </c>
      <c r="F541" s="32">
        <f>IFERROR(__xludf.DUMMYFUNCTION("GOOGLEFINANCE(A541,""changepct"")/100"),5.0E-4)</f>
        <v>0.0005</v>
      </c>
      <c r="G541" s="33">
        <f>IFERROR(__xludf.DUMMYFUNCTION("GOOGLEFINANCE(A541,""priceopen"")"),86.28)</f>
        <v>86.28</v>
      </c>
      <c r="H541" s="34">
        <f>IFERROR(__xludf.DUMMYFUNCTION("GOOGLEFINANCE(A541,""closeyest"")"),86.23)</f>
        <v>86.23</v>
      </c>
      <c r="I541" s="34">
        <f>IFERROR(__xludf.DUMMYFUNCTION("GOOGLEFINANCE(A541,""low52"")"),86.06)</f>
        <v>86.06</v>
      </c>
      <c r="J541" s="34">
        <f>IFERROR(__xludf.DUMMYFUNCTION("GOOGLEFINANCE(A541,""high52"")"),86.63)</f>
        <v>86.63</v>
      </c>
    </row>
    <row r="542">
      <c r="A542" s="30" t="str">
        <f>'6image_RS_benchmark_performance'!A542</f>
        <v>SIRI</v>
      </c>
      <c r="B542" s="31">
        <f>IFERROR(__xludf.DUMMYFUNCTION("GOOGLEFINANCE(A542,""price"")"),6.53)</f>
        <v>6.53</v>
      </c>
      <c r="C542" s="31">
        <f>IFERROR(__xludf.DUMMYFUNCTION("GOOGLEFINANCE(A542,""high"")"),6.59)</f>
        <v>6.59</v>
      </c>
      <c r="D542" s="31">
        <f>IFERROR(__xludf.DUMMYFUNCTION("GOOGLEFINANCE(A542,""low"")"),6.36)</f>
        <v>6.36</v>
      </c>
      <c r="E542" s="31">
        <f>IFERROR(__xludf.DUMMYFUNCTION("GOOGLEFINANCE(A542,""change"")"),0.19)</f>
        <v>0.19</v>
      </c>
      <c r="F542" s="32">
        <f>IFERROR(__xludf.DUMMYFUNCTION("GOOGLEFINANCE(A542,""changepct"")/100"),0.03)</f>
        <v>0.03</v>
      </c>
      <c r="G542" s="33">
        <f>IFERROR(__xludf.DUMMYFUNCTION("GOOGLEFINANCE(A542,""priceopen"")"),6.36)</f>
        <v>6.36</v>
      </c>
      <c r="H542" s="34">
        <f>IFERROR(__xludf.DUMMYFUNCTION("GOOGLEFINANCE(A542,""closeyest"")"),6.34)</f>
        <v>6.34</v>
      </c>
      <c r="I542" s="34">
        <f>IFERROR(__xludf.DUMMYFUNCTION("GOOGLEFINANCE(A542,""low52"")"),4.95)</f>
        <v>4.95</v>
      </c>
      <c r="J542" s="34">
        <f>IFERROR(__xludf.DUMMYFUNCTION("GOOGLEFINANCE(A542,""high52"")"),8.14)</f>
        <v>8.14</v>
      </c>
    </row>
    <row r="543">
      <c r="A543" s="30" t="str">
        <f>'6image_RS_benchmark_performance'!A543</f>
        <v>SIVB</v>
      </c>
      <c r="B543" s="31">
        <f>IFERROR(__xludf.DUMMYFUNCTION("GOOGLEFINANCE(A543,""price"")"),561.65)</f>
        <v>561.65</v>
      </c>
      <c r="C543" s="31">
        <f>IFERROR(__xludf.DUMMYFUNCTION("GOOGLEFINANCE(A543,""high"")"),565.76)</f>
        <v>565.76</v>
      </c>
      <c r="D543" s="31">
        <f>IFERROR(__xludf.DUMMYFUNCTION("GOOGLEFINANCE(A543,""low"")"),536.76)</f>
        <v>536.76</v>
      </c>
      <c r="E543" s="31">
        <f>IFERROR(__xludf.DUMMYFUNCTION("GOOGLEFINANCE(A543,""change"")"),26.7)</f>
        <v>26.7</v>
      </c>
      <c r="F543" s="32">
        <f>IFERROR(__xludf.DUMMYFUNCTION("GOOGLEFINANCE(A543,""changepct"")/100"),0.0499)</f>
        <v>0.0499</v>
      </c>
      <c r="G543" s="33">
        <f>IFERROR(__xludf.DUMMYFUNCTION("GOOGLEFINANCE(A543,""priceopen"")"),536.76)</f>
        <v>536.76</v>
      </c>
      <c r="H543" s="34">
        <f>IFERROR(__xludf.DUMMYFUNCTION("GOOGLEFINANCE(A543,""closeyest"")"),534.95)</f>
        <v>534.95</v>
      </c>
      <c r="I543" s="34">
        <f>IFERROR(__xludf.DUMMYFUNCTION("GOOGLEFINANCE(A543,""low52"")"),214.78)</f>
        <v>214.78</v>
      </c>
      <c r="J543" s="34">
        <f>IFERROR(__xludf.DUMMYFUNCTION("GOOGLEFINANCE(A543,""high52"")"),608.84)</f>
        <v>608.84</v>
      </c>
    </row>
    <row r="544">
      <c r="A544" s="30" t="str">
        <f>'6image_RS_benchmark_performance'!A544</f>
        <v>SJM</v>
      </c>
      <c r="B544" s="31">
        <f>IFERROR(__xludf.DUMMYFUNCTION("GOOGLEFINANCE(A544,""price"")"),132.51)</f>
        <v>132.51</v>
      </c>
      <c r="C544" s="31">
        <f>IFERROR(__xludf.DUMMYFUNCTION("GOOGLEFINANCE(A544,""high"")"),136.35)</f>
        <v>136.35</v>
      </c>
      <c r="D544" s="31">
        <f>IFERROR(__xludf.DUMMYFUNCTION("GOOGLEFINANCE(A544,""low"")"),132.41)</f>
        <v>132.41</v>
      </c>
      <c r="E544" s="31">
        <f>IFERROR(__xludf.DUMMYFUNCTION("GOOGLEFINANCE(A544,""change"")"),-1.48)</f>
        <v>-1.48</v>
      </c>
      <c r="F544" s="32">
        <f>IFERROR(__xludf.DUMMYFUNCTION("GOOGLEFINANCE(A544,""changepct"")/100"),-0.011000000000000001)</f>
        <v>-0.011</v>
      </c>
      <c r="G544" s="33">
        <f>IFERROR(__xludf.DUMMYFUNCTION("GOOGLEFINANCE(A544,""priceopen"")"),134.83)</f>
        <v>134.83</v>
      </c>
      <c r="H544" s="34">
        <f>IFERROR(__xludf.DUMMYFUNCTION("GOOGLEFINANCE(A544,""closeyest"")"),133.99)</f>
        <v>133.99</v>
      </c>
      <c r="I544" s="34">
        <f>IFERROR(__xludf.DUMMYFUNCTION("GOOGLEFINANCE(A544,""low52"")"),104.3)</f>
        <v>104.3</v>
      </c>
      <c r="J544" s="34">
        <f>IFERROR(__xludf.DUMMYFUNCTION("GOOGLEFINANCE(A544,""high52"")"),140.65)</f>
        <v>140.65</v>
      </c>
    </row>
    <row r="545">
      <c r="A545" s="30" t="str">
        <f>'6image_RS_benchmark_performance'!A545</f>
        <v>SJNK</v>
      </c>
      <c r="B545" s="31">
        <f>IFERROR(__xludf.DUMMYFUNCTION("GOOGLEFINANCE(A545,""price"")"),27.39)</f>
        <v>27.39</v>
      </c>
      <c r="C545" s="31">
        <f>IFERROR(__xludf.DUMMYFUNCTION("GOOGLEFINANCE(A545,""high"")"),27.39)</f>
        <v>27.39</v>
      </c>
      <c r="D545" s="31">
        <f>IFERROR(__xludf.DUMMYFUNCTION("GOOGLEFINANCE(A545,""low"")"),27.3)</f>
        <v>27.3</v>
      </c>
      <c r="E545" s="31">
        <f>IFERROR(__xludf.DUMMYFUNCTION("GOOGLEFINANCE(A545,""change"")"),0.09)</f>
        <v>0.09</v>
      </c>
      <c r="F545" s="32">
        <f>IFERROR(__xludf.DUMMYFUNCTION("GOOGLEFINANCE(A545,""changepct"")/100"),0.0033)</f>
        <v>0.0033</v>
      </c>
      <c r="G545" s="33">
        <f>IFERROR(__xludf.DUMMYFUNCTION("GOOGLEFINANCE(A545,""priceopen"")"),27.3)</f>
        <v>27.3</v>
      </c>
      <c r="H545" s="34">
        <f>IFERROR(__xludf.DUMMYFUNCTION("GOOGLEFINANCE(A545,""closeyest"")"),27.3)</f>
        <v>27.3</v>
      </c>
      <c r="I545" s="34">
        <f>IFERROR(__xludf.DUMMYFUNCTION("GOOGLEFINANCE(A545,""low52"")"),25.58)</f>
        <v>25.58</v>
      </c>
      <c r="J545" s="34">
        <f>IFERROR(__xludf.DUMMYFUNCTION("GOOGLEFINANCE(A545,""high52"")"),27.58)</f>
        <v>27.58</v>
      </c>
    </row>
    <row r="546">
      <c r="A546" s="30" t="str">
        <f>'6image_RS_benchmark_performance'!A546</f>
        <v>SLB</v>
      </c>
      <c r="B546" s="31">
        <f>IFERROR(__xludf.DUMMYFUNCTION("GOOGLEFINANCE(A546,""price"")"),27.24)</f>
        <v>27.24</v>
      </c>
      <c r="C546" s="31">
        <f>IFERROR(__xludf.DUMMYFUNCTION("GOOGLEFINANCE(A546,""high"")"),27.67)</f>
        <v>27.67</v>
      </c>
      <c r="D546" s="31">
        <f>IFERROR(__xludf.DUMMYFUNCTION("GOOGLEFINANCE(A546,""low"")"),26.44)</f>
        <v>26.44</v>
      </c>
      <c r="E546" s="31">
        <f>IFERROR(__xludf.DUMMYFUNCTION("GOOGLEFINANCE(A546,""change"")"),0.59)</f>
        <v>0.59</v>
      </c>
      <c r="F546" s="32">
        <f>IFERROR(__xludf.DUMMYFUNCTION("GOOGLEFINANCE(A546,""changepct"")/100"),0.022099999999999998)</f>
        <v>0.0221</v>
      </c>
      <c r="G546" s="33">
        <f>IFERROR(__xludf.DUMMYFUNCTION("GOOGLEFINANCE(A546,""priceopen"")"),26.7)</f>
        <v>26.7</v>
      </c>
      <c r="H546" s="34">
        <f>IFERROR(__xludf.DUMMYFUNCTION("GOOGLEFINANCE(A546,""closeyest"")"),26.65)</f>
        <v>26.65</v>
      </c>
      <c r="I546" s="34">
        <f>IFERROR(__xludf.DUMMYFUNCTION("GOOGLEFINANCE(A546,""low52"")"),13.7)</f>
        <v>13.7</v>
      </c>
      <c r="J546" s="34">
        <f>IFERROR(__xludf.DUMMYFUNCTION("GOOGLEFINANCE(A546,""high52"")"),36.87)</f>
        <v>36.87</v>
      </c>
    </row>
    <row r="547">
      <c r="A547" s="30" t="str">
        <f>'6image_RS_benchmark_performance'!A547</f>
        <v>SMH</v>
      </c>
      <c r="B547" s="31">
        <f>IFERROR(__xludf.DUMMYFUNCTION("GOOGLEFINANCE(A547,""price"")"),249.82)</f>
        <v>249.82</v>
      </c>
      <c r="C547" s="31">
        <f>IFERROR(__xludf.DUMMYFUNCTION("GOOGLEFINANCE(A547,""high"")"),251.3)</f>
        <v>251.3</v>
      </c>
      <c r="D547" s="31">
        <f>IFERROR(__xludf.DUMMYFUNCTION("GOOGLEFINANCE(A547,""low"")"),244.41)</f>
        <v>244.41</v>
      </c>
      <c r="E547" s="31">
        <f>IFERROR(__xludf.DUMMYFUNCTION("GOOGLEFINANCE(A547,""change"")"),3.02)</f>
        <v>3.02</v>
      </c>
      <c r="F547" s="32">
        <f>IFERROR(__xludf.DUMMYFUNCTION("GOOGLEFINANCE(A547,""changepct"")/100"),0.012199999999999999)</f>
        <v>0.0122</v>
      </c>
      <c r="G547" s="33">
        <f>IFERROR(__xludf.DUMMYFUNCTION("GOOGLEFINANCE(A547,""priceopen"")"),247.71)</f>
        <v>247.71</v>
      </c>
      <c r="H547" s="34">
        <f>IFERROR(__xludf.DUMMYFUNCTION("GOOGLEFINANCE(A547,""closeyest"")"),246.8)</f>
        <v>246.8</v>
      </c>
      <c r="I547" s="34">
        <f>IFERROR(__xludf.DUMMYFUNCTION("GOOGLEFINANCE(A547,""low52"")"),157.23)</f>
        <v>157.23</v>
      </c>
      <c r="J547" s="34">
        <f>IFERROR(__xludf.DUMMYFUNCTION("GOOGLEFINANCE(A547,""high52"")"),263.86)</f>
        <v>263.86</v>
      </c>
    </row>
    <row r="548">
      <c r="A548" s="30" t="str">
        <f>'6image_RS_benchmark_performance'!A548</f>
        <v>SNA</v>
      </c>
      <c r="B548" s="31">
        <f>IFERROR(__xludf.DUMMYFUNCTION("GOOGLEFINANCE(A548,""price"")"),223.26)</f>
        <v>223.26</v>
      </c>
      <c r="C548" s="31">
        <f>IFERROR(__xludf.DUMMYFUNCTION("GOOGLEFINANCE(A548,""high"")"),224.11)</f>
        <v>224.11</v>
      </c>
      <c r="D548" s="31">
        <f>IFERROR(__xludf.DUMMYFUNCTION("GOOGLEFINANCE(A548,""low"")"),216.62)</f>
        <v>216.62</v>
      </c>
      <c r="E548" s="31">
        <f>IFERROR(__xludf.DUMMYFUNCTION("GOOGLEFINANCE(A548,""change"")"),6.89)</f>
        <v>6.89</v>
      </c>
      <c r="F548" s="32">
        <f>IFERROR(__xludf.DUMMYFUNCTION("GOOGLEFINANCE(A548,""changepct"")/100"),0.0318)</f>
        <v>0.0318</v>
      </c>
      <c r="G548" s="33">
        <f>IFERROR(__xludf.DUMMYFUNCTION("GOOGLEFINANCE(A548,""priceopen"")"),216.62)</f>
        <v>216.62</v>
      </c>
      <c r="H548" s="34">
        <f>IFERROR(__xludf.DUMMYFUNCTION("GOOGLEFINANCE(A548,""closeyest"")"),216.37)</f>
        <v>216.37</v>
      </c>
      <c r="I548" s="34">
        <f>IFERROR(__xludf.DUMMYFUNCTION("GOOGLEFINANCE(A548,""low52"")"),136.22)</f>
        <v>136.22</v>
      </c>
      <c r="J548" s="34">
        <f>IFERROR(__xludf.DUMMYFUNCTION("GOOGLEFINANCE(A548,""high52"")"),259.99)</f>
        <v>259.99</v>
      </c>
    </row>
    <row r="549">
      <c r="A549" s="30" t="str">
        <f>'6image_RS_benchmark_performance'!A549</f>
        <v>SNAP</v>
      </c>
      <c r="B549" s="31">
        <f>IFERROR(__xludf.DUMMYFUNCTION("GOOGLEFINANCE(A549,""price"")"),62.33)</f>
        <v>62.33</v>
      </c>
      <c r="C549" s="31">
        <f>IFERROR(__xludf.DUMMYFUNCTION("GOOGLEFINANCE(A549,""high"")"),63.06)</f>
        <v>63.06</v>
      </c>
      <c r="D549" s="31">
        <f>IFERROR(__xludf.DUMMYFUNCTION("GOOGLEFINANCE(A549,""low"")"),59.23)</f>
        <v>59.23</v>
      </c>
      <c r="E549" s="31">
        <f>IFERROR(__xludf.DUMMYFUNCTION("GOOGLEFINANCE(A549,""change"")"),2.75)</f>
        <v>2.75</v>
      </c>
      <c r="F549" s="32">
        <f>IFERROR(__xludf.DUMMYFUNCTION("GOOGLEFINANCE(A549,""changepct"")/100"),0.0462)</f>
        <v>0.0462</v>
      </c>
      <c r="G549" s="33">
        <f>IFERROR(__xludf.DUMMYFUNCTION("GOOGLEFINANCE(A549,""priceopen"")"),60.59)</f>
        <v>60.59</v>
      </c>
      <c r="H549" s="34">
        <f>IFERROR(__xludf.DUMMYFUNCTION("GOOGLEFINANCE(A549,""closeyest"")"),59.58)</f>
        <v>59.58</v>
      </c>
      <c r="I549" s="34">
        <f>IFERROR(__xludf.DUMMYFUNCTION("GOOGLEFINANCE(A549,""low52"")"),20.61)</f>
        <v>20.61</v>
      </c>
      <c r="J549" s="34">
        <f>IFERROR(__xludf.DUMMYFUNCTION("GOOGLEFINANCE(A549,""high52"")"),73.59)</f>
        <v>73.59</v>
      </c>
    </row>
    <row r="550">
      <c r="A550" s="30" t="str">
        <f>'6image_RS_benchmark_performance'!A550</f>
        <v>SNOW</v>
      </c>
      <c r="B550" s="31">
        <f>IFERROR(__xludf.DUMMYFUNCTION("GOOGLEFINANCE(A550,""price"")"),256.27)</f>
        <v>256.27</v>
      </c>
      <c r="C550" s="31">
        <f>IFERROR(__xludf.DUMMYFUNCTION("GOOGLEFINANCE(A550,""high"")"),259.19)</f>
        <v>259.19</v>
      </c>
      <c r="D550" s="31">
        <f>IFERROR(__xludf.DUMMYFUNCTION("GOOGLEFINANCE(A550,""low"")"),248.63)</f>
        <v>248.63</v>
      </c>
      <c r="E550" s="31">
        <f>IFERROR(__xludf.DUMMYFUNCTION("GOOGLEFINANCE(A550,""change"")"),3.99)</f>
        <v>3.99</v>
      </c>
      <c r="F550" s="32">
        <f>IFERROR(__xludf.DUMMYFUNCTION("GOOGLEFINANCE(A550,""changepct"")/100"),0.0158)</f>
        <v>0.0158</v>
      </c>
      <c r="G550" s="33">
        <f>IFERROR(__xludf.DUMMYFUNCTION("GOOGLEFINANCE(A550,""priceopen"")"),253.0)</f>
        <v>253</v>
      </c>
      <c r="H550" s="34">
        <f>IFERROR(__xludf.DUMMYFUNCTION("GOOGLEFINANCE(A550,""closeyest"")"),252.28)</f>
        <v>252.28</v>
      </c>
      <c r="I550" s="34">
        <f>IFERROR(__xludf.DUMMYFUNCTION("GOOGLEFINANCE(A550,""low52"")"),184.71)</f>
        <v>184.71</v>
      </c>
      <c r="J550" s="34">
        <f>IFERROR(__xludf.DUMMYFUNCTION("GOOGLEFINANCE(A550,""high52"")"),429.0)</f>
        <v>429</v>
      </c>
    </row>
    <row r="551">
      <c r="A551" s="30" t="str">
        <f>'6image_RS_benchmark_performance'!A551</f>
        <v>SNPS</v>
      </c>
      <c r="B551" s="31">
        <f>IFERROR(__xludf.DUMMYFUNCTION("GOOGLEFINANCE(A551,""price"")"),277.89)</f>
        <v>277.89</v>
      </c>
      <c r="C551" s="31">
        <f>IFERROR(__xludf.DUMMYFUNCTION("GOOGLEFINANCE(A551,""high"")"),279.62)</f>
        <v>279.62</v>
      </c>
      <c r="D551" s="31">
        <f>IFERROR(__xludf.DUMMYFUNCTION("GOOGLEFINANCE(A551,""low"")"),273.28)</f>
        <v>273.28</v>
      </c>
      <c r="E551" s="31">
        <f>IFERROR(__xludf.DUMMYFUNCTION("GOOGLEFINANCE(A551,""change"")"),3.41)</f>
        <v>3.41</v>
      </c>
      <c r="F551" s="32">
        <f>IFERROR(__xludf.DUMMYFUNCTION("GOOGLEFINANCE(A551,""changepct"")/100"),0.0124)</f>
        <v>0.0124</v>
      </c>
      <c r="G551" s="33">
        <f>IFERROR(__xludf.DUMMYFUNCTION("GOOGLEFINANCE(A551,""priceopen"")"),275.25)</f>
        <v>275.25</v>
      </c>
      <c r="H551" s="34">
        <f>IFERROR(__xludf.DUMMYFUNCTION("GOOGLEFINANCE(A551,""closeyest"")"),274.48)</f>
        <v>274.48</v>
      </c>
      <c r="I551" s="34">
        <f>IFERROR(__xludf.DUMMYFUNCTION("GOOGLEFINANCE(A551,""low52"")"),190.5)</f>
        <v>190.5</v>
      </c>
      <c r="J551" s="34">
        <f>IFERROR(__xludf.DUMMYFUNCTION("GOOGLEFINANCE(A551,""high52"")"),300.91)</f>
        <v>300.91</v>
      </c>
    </row>
    <row r="552">
      <c r="A552" s="30" t="str">
        <f>'6image_RS_benchmark_performance'!A552</f>
        <v>SO</v>
      </c>
      <c r="B552" s="31">
        <f>IFERROR(__xludf.DUMMYFUNCTION("GOOGLEFINANCE(A552,""price"")"),62.95)</f>
        <v>62.95</v>
      </c>
      <c r="C552" s="31">
        <f>IFERROR(__xludf.DUMMYFUNCTION("GOOGLEFINANCE(A552,""high"")"),63.95)</f>
        <v>63.95</v>
      </c>
      <c r="D552" s="31">
        <f>IFERROR(__xludf.DUMMYFUNCTION("GOOGLEFINANCE(A552,""low"")"),62.8)</f>
        <v>62.8</v>
      </c>
      <c r="E552" s="31">
        <f>IFERROR(__xludf.DUMMYFUNCTION("GOOGLEFINANCE(A552,""change"")"),0.16)</f>
        <v>0.16</v>
      </c>
      <c r="F552" s="32">
        <f>IFERROR(__xludf.DUMMYFUNCTION("GOOGLEFINANCE(A552,""changepct"")/100"),0.0025)</f>
        <v>0.0025</v>
      </c>
      <c r="G552" s="33">
        <f>IFERROR(__xludf.DUMMYFUNCTION("GOOGLEFINANCE(A552,""priceopen"")"),63.0)</f>
        <v>63</v>
      </c>
      <c r="H552" s="34">
        <f>IFERROR(__xludf.DUMMYFUNCTION("GOOGLEFINANCE(A552,""closeyest"")"),62.79)</f>
        <v>62.79</v>
      </c>
      <c r="I552" s="34">
        <f>IFERROR(__xludf.DUMMYFUNCTION("GOOGLEFINANCE(A552,""low52"")"),51.22)</f>
        <v>51.22</v>
      </c>
      <c r="J552" s="34">
        <f>IFERROR(__xludf.DUMMYFUNCTION("GOOGLEFINANCE(A552,""high52"")"),66.93)</f>
        <v>66.93</v>
      </c>
    </row>
    <row r="553">
      <c r="A553" s="30" t="str">
        <f>'6image_RS_benchmark_performance'!A553</f>
        <v>SONO</v>
      </c>
      <c r="B553" s="31">
        <f>IFERROR(__xludf.DUMMYFUNCTION("GOOGLEFINANCE(A553,""price"")"),32.81)</f>
        <v>32.81</v>
      </c>
      <c r="C553" s="31">
        <f>IFERROR(__xludf.DUMMYFUNCTION("GOOGLEFINANCE(A553,""high"")"),33.08)</f>
        <v>33.08</v>
      </c>
      <c r="D553" s="31">
        <f>IFERROR(__xludf.DUMMYFUNCTION("GOOGLEFINANCE(A553,""low"")"),31.86)</f>
        <v>31.86</v>
      </c>
      <c r="E553" s="31">
        <f>IFERROR(__xludf.DUMMYFUNCTION("GOOGLEFINANCE(A553,""change"")"),0.58)</f>
        <v>0.58</v>
      </c>
      <c r="F553" s="32">
        <f>IFERROR(__xludf.DUMMYFUNCTION("GOOGLEFINANCE(A553,""changepct"")/100"),0.018000000000000002)</f>
        <v>0.018</v>
      </c>
      <c r="G553" s="33">
        <f>IFERROR(__xludf.DUMMYFUNCTION("GOOGLEFINANCE(A553,""priceopen"")"),32.23)</f>
        <v>32.23</v>
      </c>
      <c r="H553" s="34">
        <f>IFERROR(__xludf.DUMMYFUNCTION("GOOGLEFINANCE(A553,""closeyest"")"),32.23)</f>
        <v>32.23</v>
      </c>
      <c r="I553" s="34">
        <f>IFERROR(__xludf.DUMMYFUNCTION("GOOGLEFINANCE(A553,""low52"")"),12.4)</f>
        <v>12.4</v>
      </c>
      <c r="J553" s="34">
        <f>IFERROR(__xludf.DUMMYFUNCTION("GOOGLEFINANCE(A553,""high52"")"),44.72)</f>
        <v>44.72</v>
      </c>
    </row>
    <row r="554">
      <c r="A554" s="30" t="str">
        <f>'6image_RS_benchmark_performance'!A554</f>
        <v>SPCE</v>
      </c>
      <c r="B554" s="31">
        <f>IFERROR(__xludf.DUMMYFUNCTION("GOOGLEFINANCE(A554,""price"")"),32.03)</f>
        <v>32.03</v>
      </c>
      <c r="C554" s="31">
        <f>IFERROR(__xludf.DUMMYFUNCTION("GOOGLEFINANCE(A554,""high"")"),32.37)</f>
        <v>32.37</v>
      </c>
      <c r="D554" s="31">
        <f>IFERROR(__xludf.DUMMYFUNCTION("GOOGLEFINANCE(A554,""low"")"),29.54)</f>
        <v>29.54</v>
      </c>
      <c r="E554" s="31">
        <f>IFERROR(__xludf.DUMMYFUNCTION("GOOGLEFINANCE(A554,""change"")"),-0.37)</f>
        <v>-0.37</v>
      </c>
      <c r="F554" s="32">
        <f>IFERROR(__xludf.DUMMYFUNCTION("GOOGLEFINANCE(A554,""changepct"")/100"),-0.011399999999999999)</f>
        <v>-0.0114</v>
      </c>
      <c r="G554" s="33">
        <f>IFERROR(__xludf.DUMMYFUNCTION("GOOGLEFINANCE(A554,""priceopen"")"),31.09)</f>
        <v>31.09</v>
      </c>
      <c r="H554" s="34">
        <f>IFERROR(__xludf.DUMMYFUNCTION("GOOGLEFINANCE(A554,""closeyest"")"),32.4)</f>
        <v>32.4</v>
      </c>
      <c r="I554" s="34">
        <f>IFERROR(__xludf.DUMMYFUNCTION("GOOGLEFINANCE(A554,""low52"")"),14.27)</f>
        <v>14.27</v>
      </c>
      <c r="J554" s="34">
        <f>IFERROR(__xludf.DUMMYFUNCTION("GOOGLEFINANCE(A554,""high52"")"),62.8)</f>
        <v>62.8</v>
      </c>
    </row>
    <row r="555">
      <c r="A555" s="30" t="str">
        <f>'6image_RS_benchmark_performance'!A555</f>
        <v>SPG</v>
      </c>
      <c r="B555" s="31">
        <f>IFERROR(__xludf.DUMMYFUNCTION("GOOGLEFINANCE(A555,""price"")"),125.63)</f>
        <v>125.63</v>
      </c>
      <c r="C555" s="31">
        <f>IFERROR(__xludf.DUMMYFUNCTION("GOOGLEFINANCE(A555,""high"")"),126.15)</f>
        <v>126.15</v>
      </c>
      <c r="D555" s="31">
        <f>IFERROR(__xludf.DUMMYFUNCTION("GOOGLEFINANCE(A555,""low"")"),118.26)</f>
        <v>118.26</v>
      </c>
      <c r="E555" s="31">
        <f>IFERROR(__xludf.DUMMYFUNCTION("GOOGLEFINANCE(A555,""change"")"),8.44)</f>
        <v>8.44</v>
      </c>
      <c r="F555" s="32">
        <f>IFERROR(__xludf.DUMMYFUNCTION("GOOGLEFINANCE(A555,""changepct"")/100"),0.07200000000000001)</f>
        <v>0.072</v>
      </c>
      <c r="G555" s="33">
        <f>IFERROR(__xludf.DUMMYFUNCTION("GOOGLEFINANCE(A555,""priceopen"")"),119.0)</f>
        <v>119</v>
      </c>
      <c r="H555" s="34">
        <f>IFERROR(__xludf.DUMMYFUNCTION("GOOGLEFINANCE(A555,""closeyest"")"),117.19)</f>
        <v>117.19</v>
      </c>
      <c r="I555" s="34">
        <f>IFERROR(__xludf.DUMMYFUNCTION("GOOGLEFINANCE(A555,""low52"")"),59.03)</f>
        <v>59.03</v>
      </c>
      <c r="J555" s="34">
        <f>IFERROR(__xludf.DUMMYFUNCTION("GOOGLEFINANCE(A555,""high52"")"),136.7)</f>
        <v>136.7</v>
      </c>
    </row>
    <row r="556">
      <c r="A556" s="30" t="str">
        <f>'6image_RS_benchmark_performance'!A556</f>
        <v>SPGI</v>
      </c>
      <c r="B556" s="31">
        <f>IFERROR(__xludf.DUMMYFUNCTION("GOOGLEFINANCE(A556,""price"")"),416.38)</f>
        <v>416.38</v>
      </c>
      <c r="C556" s="31">
        <f>IFERROR(__xludf.DUMMYFUNCTION("GOOGLEFINANCE(A556,""high"")"),419.38)</f>
        <v>419.38</v>
      </c>
      <c r="D556" s="31">
        <f>IFERROR(__xludf.DUMMYFUNCTION("GOOGLEFINANCE(A556,""low"")"),408.76)</f>
        <v>408.76</v>
      </c>
      <c r="E556" s="31">
        <f>IFERROR(__xludf.DUMMYFUNCTION("GOOGLEFINANCE(A556,""change"")"),7.23)</f>
        <v>7.23</v>
      </c>
      <c r="F556" s="32">
        <f>IFERROR(__xludf.DUMMYFUNCTION("GOOGLEFINANCE(A556,""changepct"")/100"),0.0177)</f>
        <v>0.0177</v>
      </c>
      <c r="G556" s="33">
        <f>IFERROR(__xludf.DUMMYFUNCTION("GOOGLEFINANCE(A556,""priceopen"")"),410.5)</f>
        <v>410.5</v>
      </c>
      <c r="H556" s="34">
        <f>IFERROR(__xludf.DUMMYFUNCTION("GOOGLEFINANCE(A556,""closeyest"")"),409.15)</f>
        <v>409.15</v>
      </c>
      <c r="I556" s="34">
        <f>IFERROR(__xludf.DUMMYFUNCTION("GOOGLEFINANCE(A556,""low52"")"),303.5)</f>
        <v>303.5</v>
      </c>
      <c r="J556" s="34">
        <f>IFERROR(__xludf.DUMMYFUNCTION("GOOGLEFINANCE(A556,""high52"")"),419.96)</f>
        <v>419.96</v>
      </c>
    </row>
    <row r="557">
      <c r="A557" s="30" t="str">
        <f>'6image_RS_benchmark_performance'!A557</f>
        <v>SPIB</v>
      </c>
      <c r="B557" s="31">
        <f>IFERROR(__xludf.DUMMYFUNCTION("GOOGLEFINANCE(A557,""price"")"),36.89)</f>
        <v>36.89</v>
      </c>
      <c r="C557" s="31">
        <f>IFERROR(__xludf.DUMMYFUNCTION("GOOGLEFINANCE(A557,""high"")"),36.96)</f>
        <v>36.96</v>
      </c>
      <c r="D557" s="31">
        <f>IFERROR(__xludf.DUMMYFUNCTION("GOOGLEFINANCE(A557,""low"")"),36.86)</f>
        <v>36.86</v>
      </c>
      <c r="E557" s="31">
        <f>IFERROR(__xludf.DUMMYFUNCTION("GOOGLEFINANCE(A557,""change"")"),0.01)</f>
        <v>0.01</v>
      </c>
      <c r="F557" s="32">
        <f>IFERROR(__xludf.DUMMYFUNCTION("GOOGLEFINANCE(A557,""changepct"")/100"),3.0E-4)</f>
        <v>0.0003</v>
      </c>
      <c r="G557" s="33">
        <f>IFERROR(__xludf.DUMMYFUNCTION("GOOGLEFINANCE(A557,""priceopen"")"),36.91)</f>
        <v>36.91</v>
      </c>
      <c r="H557" s="34">
        <f>IFERROR(__xludf.DUMMYFUNCTION("GOOGLEFINANCE(A557,""closeyest"")"),36.88)</f>
        <v>36.88</v>
      </c>
      <c r="I557" s="34">
        <f>IFERROR(__xludf.DUMMYFUNCTION("GOOGLEFINANCE(A557,""low52"")"),36.1)</f>
        <v>36.1</v>
      </c>
      <c r="J557" s="34">
        <f>IFERROR(__xludf.DUMMYFUNCTION("GOOGLEFINANCE(A557,""high52"")"),37.19)</f>
        <v>37.19</v>
      </c>
    </row>
    <row r="558">
      <c r="A558" s="30" t="str">
        <f>'6image_RS_benchmark_performance'!A558</f>
        <v>SPLK</v>
      </c>
      <c r="B558" s="31">
        <f>IFERROR(__xludf.DUMMYFUNCTION("GOOGLEFINANCE(A558,""price"")"),137.87)</f>
        <v>137.87</v>
      </c>
      <c r="C558" s="31">
        <f>IFERROR(__xludf.DUMMYFUNCTION("GOOGLEFINANCE(A558,""high"")"),138.54)</f>
        <v>138.54</v>
      </c>
      <c r="D558" s="31">
        <f>IFERROR(__xludf.DUMMYFUNCTION("GOOGLEFINANCE(A558,""low"")"),133.17)</f>
        <v>133.17</v>
      </c>
      <c r="E558" s="31">
        <f>IFERROR(__xludf.DUMMYFUNCTION("GOOGLEFINANCE(A558,""change"")"),3.83)</f>
        <v>3.83</v>
      </c>
      <c r="F558" s="32">
        <f>IFERROR(__xludf.DUMMYFUNCTION("GOOGLEFINANCE(A558,""changepct"")/100"),0.0286)</f>
        <v>0.0286</v>
      </c>
      <c r="G558" s="33">
        <f>IFERROR(__xludf.DUMMYFUNCTION("GOOGLEFINANCE(A558,""priceopen"")"),134.84)</f>
        <v>134.84</v>
      </c>
      <c r="H558" s="34">
        <f>IFERROR(__xludf.DUMMYFUNCTION("GOOGLEFINANCE(A558,""closeyest"")"),134.04)</f>
        <v>134.04</v>
      </c>
      <c r="I558" s="34">
        <f>IFERROR(__xludf.DUMMYFUNCTION("GOOGLEFINANCE(A558,""low52"")"),110.28)</f>
        <v>110.28</v>
      </c>
      <c r="J558" s="34">
        <f>IFERROR(__xludf.DUMMYFUNCTION("GOOGLEFINANCE(A558,""high52"")"),225.89)</f>
        <v>225.89</v>
      </c>
    </row>
    <row r="559">
      <c r="A559" s="30" t="str">
        <f>'6image_RS_benchmark_performance'!A559</f>
        <v>SPLV</v>
      </c>
      <c r="B559" s="31">
        <f>IFERROR(__xludf.DUMMYFUNCTION("GOOGLEFINANCE(A559,""price"")"),62.51)</f>
        <v>62.51</v>
      </c>
      <c r="C559" s="31">
        <f>IFERROR(__xludf.DUMMYFUNCTION("GOOGLEFINANCE(A559,""high"")"),62.88)</f>
        <v>62.88</v>
      </c>
      <c r="D559" s="31">
        <f>IFERROR(__xludf.DUMMYFUNCTION("GOOGLEFINANCE(A559,""low"")"),62.12)</f>
        <v>62.12</v>
      </c>
      <c r="E559" s="31">
        <f>IFERROR(__xludf.DUMMYFUNCTION("GOOGLEFINANCE(A559,""change"")"),0.48)</f>
        <v>0.48</v>
      </c>
      <c r="F559" s="32">
        <f>IFERROR(__xludf.DUMMYFUNCTION("GOOGLEFINANCE(A559,""changepct"")/100"),0.0077)</f>
        <v>0.0077</v>
      </c>
      <c r="G559" s="33">
        <f>IFERROR(__xludf.DUMMYFUNCTION("GOOGLEFINANCE(A559,""priceopen"")"),62.14)</f>
        <v>62.14</v>
      </c>
      <c r="H559" s="34">
        <f>IFERROR(__xludf.DUMMYFUNCTION("GOOGLEFINANCE(A559,""closeyest"")"),62.03)</f>
        <v>62.03</v>
      </c>
      <c r="I559" s="34">
        <f>IFERROR(__xludf.DUMMYFUNCTION("GOOGLEFINANCE(A559,""low52"")"),51.51)</f>
        <v>51.51</v>
      </c>
      <c r="J559" s="34">
        <f>IFERROR(__xludf.DUMMYFUNCTION("GOOGLEFINANCE(A559,""high52"")"),62.92)</f>
        <v>62.92</v>
      </c>
    </row>
    <row r="560">
      <c r="A560" s="30" t="str">
        <f>'6image_RS_benchmark_performance'!A560</f>
        <v>SPWR</v>
      </c>
      <c r="B560" s="31">
        <f>IFERROR(__xludf.DUMMYFUNCTION("GOOGLEFINANCE(A560,""price"")"),24.14)</f>
        <v>24.14</v>
      </c>
      <c r="C560" s="31">
        <f>IFERROR(__xludf.DUMMYFUNCTION("GOOGLEFINANCE(A560,""high"")"),24.26)</f>
        <v>24.26</v>
      </c>
      <c r="D560" s="31">
        <f>IFERROR(__xludf.DUMMYFUNCTION("GOOGLEFINANCE(A560,""low"")"),23.03)</f>
        <v>23.03</v>
      </c>
      <c r="E560" s="31">
        <f>IFERROR(__xludf.DUMMYFUNCTION("GOOGLEFINANCE(A560,""change"")"),0.8)</f>
        <v>0.8</v>
      </c>
      <c r="F560" s="32">
        <f>IFERROR(__xludf.DUMMYFUNCTION("GOOGLEFINANCE(A560,""changepct"")/100"),0.034300000000000004)</f>
        <v>0.0343</v>
      </c>
      <c r="G560" s="33">
        <f>IFERROR(__xludf.DUMMYFUNCTION("GOOGLEFINANCE(A560,""priceopen"")"),23.63)</f>
        <v>23.63</v>
      </c>
      <c r="H560" s="34">
        <f>IFERROR(__xludf.DUMMYFUNCTION("GOOGLEFINANCE(A560,""closeyest"")"),23.34)</f>
        <v>23.34</v>
      </c>
      <c r="I560" s="34">
        <f>IFERROR(__xludf.DUMMYFUNCTION("GOOGLEFINANCE(A560,""low52"")"),6.16)</f>
        <v>6.16</v>
      </c>
      <c r="J560" s="34">
        <f>IFERROR(__xludf.DUMMYFUNCTION("GOOGLEFINANCE(A560,""high52"")"),57.52)</f>
        <v>57.52</v>
      </c>
    </row>
    <row r="561">
      <c r="A561" s="30" t="str">
        <f>'6image_RS_benchmark_performance'!A561</f>
        <v>SPY</v>
      </c>
      <c r="B561" s="31">
        <f>IFERROR(__xludf.DUMMYFUNCTION("GOOGLEFINANCE(A561,""price"")"),431.06)</f>
        <v>431.06</v>
      </c>
      <c r="C561" s="31">
        <f>IFERROR(__xludf.DUMMYFUNCTION("GOOGLEFINANCE(A561,""high"")"),432.41)</f>
        <v>432.41</v>
      </c>
      <c r="D561" s="31">
        <f>IFERROR(__xludf.DUMMYFUNCTION("GOOGLEFINANCE(A561,""low"")"),424.84)</f>
        <v>424.84</v>
      </c>
      <c r="E561" s="31">
        <f>IFERROR(__xludf.DUMMYFUNCTION("GOOGLEFINANCE(A561,""change"")"),6.09)</f>
        <v>6.09</v>
      </c>
      <c r="F561" s="32">
        <f>IFERROR(__xludf.DUMMYFUNCTION("GOOGLEFINANCE(A561,""changepct"")/100"),0.0143)</f>
        <v>0.0143</v>
      </c>
      <c r="G561" s="33">
        <f>IFERROR(__xludf.DUMMYFUNCTION("GOOGLEFINANCE(A561,""priceopen"")"),425.73)</f>
        <v>425.73</v>
      </c>
      <c r="H561" s="34">
        <f>IFERROR(__xludf.DUMMYFUNCTION("GOOGLEFINANCE(A561,""closeyest"")"),424.97)</f>
        <v>424.97</v>
      </c>
      <c r="I561" s="34">
        <f>IFERROR(__xludf.DUMMYFUNCTION("GOOGLEFINANCE(A561,""low52"")"),319.25)</f>
        <v>319.25</v>
      </c>
      <c r="J561" s="34">
        <f>IFERROR(__xludf.DUMMYFUNCTION("GOOGLEFINANCE(A561,""high52"")"),437.92)</f>
        <v>437.92</v>
      </c>
    </row>
    <row r="562">
      <c r="A562" s="30" t="str">
        <f>'6image_RS_benchmark_performance'!A562</f>
        <v>SPYV</v>
      </c>
      <c r="B562" s="31">
        <f>IFERROR(__xludf.DUMMYFUNCTION("GOOGLEFINANCE(A562,""price"")"),39.15)</f>
        <v>39.15</v>
      </c>
      <c r="C562" s="31">
        <f>IFERROR(__xludf.DUMMYFUNCTION("GOOGLEFINANCE(A562,""high"")"),39.31)</f>
        <v>39.31</v>
      </c>
      <c r="D562" s="31">
        <f>IFERROR(__xludf.DUMMYFUNCTION("GOOGLEFINANCE(A562,""low"")"),38.53)</f>
        <v>38.53</v>
      </c>
      <c r="E562" s="31">
        <f>IFERROR(__xludf.DUMMYFUNCTION("GOOGLEFINANCE(A562,""change"")"),0.64)</f>
        <v>0.64</v>
      </c>
      <c r="F562" s="32">
        <f>IFERROR(__xludf.DUMMYFUNCTION("GOOGLEFINANCE(A562,""changepct"")/100"),0.0166)</f>
        <v>0.0166</v>
      </c>
      <c r="G562" s="33">
        <f>IFERROR(__xludf.DUMMYFUNCTION("GOOGLEFINANCE(A562,""priceopen"")"),38.57)</f>
        <v>38.57</v>
      </c>
      <c r="H562" s="34">
        <f>IFERROR(__xludf.DUMMYFUNCTION("GOOGLEFINANCE(A562,""closeyest"")"),38.51)</f>
        <v>38.51</v>
      </c>
      <c r="I562" s="34">
        <f>IFERROR(__xludf.DUMMYFUNCTION("GOOGLEFINANCE(A562,""low52"")"),29.05)</f>
        <v>29.05</v>
      </c>
      <c r="J562" s="34">
        <f>IFERROR(__xludf.DUMMYFUNCTION("GOOGLEFINANCE(A562,""high52"")"),40.85)</f>
        <v>40.85</v>
      </c>
    </row>
    <row r="563">
      <c r="A563" s="30" t="str">
        <f>'6image_RS_benchmark_performance'!A563</f>
        <v>SQ</v>
      </c>
      <c r="B563" s="31">
        <f>IFERROR(__xludf.DUMMYFUNCTION("GOOGLEFINANCE(A563,""price"")"),246.47)</f>
        <v>246.47</v>
      </c>
      <c r="C563" s="31">
        <f>IFERROR(__xludf.DUMMYFUNCTION("GOOGLEFINANCE(A563,""high"")"),247.69)</f>
        <v>247.69</v>
      </c>
      <c r="D563" s="31">
        <f>IFERROR(__xludf.DUMMYFUNCTION("GOOGLEFINANCE(A563,""low"")"),232.2)</f>
        <v>232.2</v>
      </c>
      <c r="E563" s="31">
        <f>IFERROR(__xludf.DUMMYFUNCTION("GOOGLEFINANCE(A563,""change"")"),12.78)</f>
        <v>12.78</v>
      </c>
      <c r="F563" s="32">
        <f>IFERROR(__xludf.DUMMYFUNCTION("GOOGLEFINANCE(A563,""changepct"")/100"),0.0547)</f>
        <v>0.0547</v>
      </c>
      <c r="G563" s="33">
        <f>IFERROR(__xludf.DUMMYFUNCTION("GOOGLEFINANCE(A563,""priceopen"")"),234.61)</f>
        <v>234.61</v>
      </c>
      <c r="H563" s="34">
        <f>IFERROR(__xludf.DUMMYFUNCTION("GOOGLEFINANCE(A563,""closeyest"")"),233.69)</f>
        <v>233.69</v>
      </c>
      <c r="I563" s="34">
        <f>IFERROR(__xludf.DUMMYFUNCTION("GOOGLEFINANCE(A563,""low52"")"),117.0)</f>
        <v>117</v>
      </c>
      <c r="J563" s="34">
        <f>IFERROR(__xludf.DUMMYFUNCTION("GOOGLEFINANCE(A563,""high52"")"),283.19)</f>
        <v>283.19</v>
      </c>
    </row>
    <row r="564">
      <c r="A564" s="30" t="str">
        <f>'6image_RS_benchmark_performance'!A564</f>
        <v>SRE</v>
      </c>
      <c r="B564" s="31">
        <f>IFERROR(__xludf.DUMMYFUNCTION("GOOGLEFINANCE(A564,""price"")"),131.92)</f>
        <v>131.92</v>
      </c>
      <c r="C564" s="31">
        <f>IFERROR(__xludf.DUMMYFUNCTION("GOOGLEFINANCE(A564,""high"")"),132.21)</f>
        <v>132.21</v>
      </c>
      <c r="D564" s="31">
        <f>IFERROR(__xludf.DUMMYFUNCTION("GOOGLEFINANCE(A564,""low"")"),129.82)</f>
        <v>129.82</v>
      </c>
      <c r="E564" s="31">
        <f>IFERROR(__xludf.DUMMYFUNCTION("GOOGLEFINANCE(A564,""change"")"),2.1)</f>
        <v>2.1</v>
      </c>
      <c r="F564" s="32">
        <f>IFERROR(__xludf.DUMMYFUNCTION("GOOGLEFINANCE(A564,""changepct"")/100"),0.016200000000000003)</f>
        <v>0.0162</v>
      </c>
      <c r="G564" s="33">
        <f>IFERROR(__xludf.DUMMYFUNCTION("GOOGLEFINANCE(A564,""priceopen"")"),129.82)</f>
        <v>129.82</v>
      </c>
      <c r="H564" s="34">
        <f>IFERROR(__xludf.DUMMYFUNCTION("GOOGLEFINANCE(A564,""closeyest"")"),129.82)</f>
        <v>129.82</v>
      </c>
      <c r="I564" s="34">
        <f>IFERROR(__xludf.DUMMYFUNCTION("GOOGLEFINANCE(A564,""low52"")"),112.33)</f>
        <v>112.33</v>
      </c>
      <c r="J564" s="34">
        <f>IFERROR(__xludf.DUMMYFUNCTION("GOOGLEFINANCE(A564,""high52"")"),144.93)</f>
        <v>144.93</v>
      </c>
    </row>
    <row r="565">
      <c r="A565" s="30" t="str">
        <f>'6image_RS_benchmark_performance'!A565</f>
        <v>STE</v>
      </c>
      <c r="B565" s="31">
        <f>IFERROR(__xludf.DUMMYFUNCTION("GOOGLEFINANCE(A565,""price"")"),208.35)</f>
        <v>208.35</v>
      </c>
      <c r="C565" s="31">
        <f>IFERROR(__xludf.DUMMYFUNCTION("GOOGLEFINANCE(A565,""high"")"),210.11)</f>
        <v>210.11</v>
      </c>
      <c r="D565" s="31">
        <f>IFERROR(__xludf.DUMMYFUNCTION("GOOGLEFINANCE(A565,""low"")"),204.79)</f>
        <v>204.79</v>
      </c>
      <c r="E565" s="31">
        <f>IFERROR(__xludf.DUMMYFUNCTION("GOOGLEFINANCE(A565,""change"")"),4.05)</f>
        <v>4.05</v>
      </c>
      <c r="F565" s="32">
        <f>IFERROR(__xludf.DUMMYFUNCTION("GOOGLEFINANCE(A565,""changepct"")/100"),0.019799999999999998)</f>
        <v>0.0198</v>
      </c>
      <c r="G565" s="33">
        <f>IFERROR(__xludf.DUMMYFUNCTION("GOOGLEFINANCE(A565,""priceopen"")"),204.79)</f>
        <v>204.79</v>
      </c>
      <c r="H565" s="34">
        <f>IFERROR(__xludf.DUMMYFUNCTION("GOOGLEFINANCE(A565,""closeyest"")"),204.3)</f>
        <v>204.3</v>
      </c>
      <c r="I565" s="34">
        <f>IFERROR(__xludf.DUMMYFUNCTION("GOOGLEFINANCE(A565,""low52"")"),151.79)</f>
        <v>151.79</v>
      </c>
      <c r="J565" s="34">
        <f>IFERROR(__xludf.DUMMYFUNCTION("GOOGLEFINANCE(A565,""high52"")"),216.74)</f>
        <v>216.74</v>
      </c>
    </row>
    <row r="566">
      <c r="A566" s="30" t="str">
        <f>'6image_RS_benchmark_performance'!A566</f>
        <v>STEM</v>
      </c>
      <c r="B566" s="31">
        <f>IFERROR(__xludf.DUMMYFUNCTION("GOOGLEFINANCE(A566,""price"")"),26.47)</f>
        <v>26.47</v>
      </c>
      <c r="C566" s="31">
        <f>IFERROR(__xludf.DUMMYFUNCTION("GOOGLEFINANCE(A566,""high"")"),27.25)</f>
        <v>27.25</v>
      </c>
      <c r="D566" s="31">
        <f>IFERROR(__xludf.DUMMYFUNCTION("GOOGLEFINANCE(A566,""low"")"),25.71)</f>
        <v>25.71</v>
      </c>
      <c r="E566" s="31">
        <f>IFERROR(__xludf.DUMMYFUNCTION("GOOGLEFINANCE(A566,""change"")"),-0.37)</f>
        <v>-0.37</v>
      </c>
      <c r="F566" s="32">
        <f>IFERROR(__xludf.DUMMYFUNCTION("GOOGLEFINANCE(A566,""changepct"")/100"),-0.0138)</f>
        <v>-0.0138</v>
      </c>
      <c r="G566" s="33">
        <f>IFERROR(__xludf.DUMMYFUNCTION("GOOGLEFINANCE(A566,""priceopen"")"),27.0)</f>
        <v>27</v>
      </c>
      <c r="H566" s="34">
        <f>IFERROR(__xludf.DUMMYFUNCTION("GOOGLEFINANCE(A566,""closeyest"")"),26.84)</f>
        <v>26.84</v>
      </c>
      <c r="I566" s="34">
        <f>IFERROR(__xludf.DUMMYFUNCTION("GOOGLEFINANCE(A566,""low52"")"),9.6)</f>
        <v>9.6</v>
      </c>
      <c r="J566" s="34">
        <f>IFERROR(__xludf.DUMMYFUNCTION("GOOGLEFINANCE(A566,""high52"")"),51.49)</f>
        <v>51.49</v>
      </c>
    </row>
    <row r="567">
      <c r="A567" s="30" t="str">
        <f>'6image_RS_benchmark_performance'!A567</f>
        <v>STLD</v>
      </c>
      <c r="B567" s="31">
        <f>IFERROR(__xludf.DUMMYFUNCTION("GOOGLEFINANCE(A567,""price"")"),59.11)</f>
        <v>59.11</v>
      </c>
      <c r="C567" s="31">
        <f>IFERROR(__xludf.DUMMYFUNCTION("GOOGLEFINANCE(A567,""high"")"),59.66)</f>
        <v>59.66</v>
      </c>
      <c r="D567" s="31">
        <f>IFERROR(__xludf.DUMMYFUNCTION("GOOGLEFINANCE(A567,""low"")"),54.9)</f>
        <v>54.9</v>
      </c>
      <c r="E567" s="31">
        <f>IFERROR(__xludf.DUMMYFUNCTION("GOOGLEFINANCE(A567,""change"")"),1.22)</f>
        <v>1.22</v>
      </c>
      <c r="F567" s="32">
        <f>IFERROR(__xludf.DUMMYFUNCTION("GOOGLEFINANCE(A567,""changepct"")/100"),0.021099999999999997)</f>
        <v>0.0211</v>
      </c>
      <c r="G567" s="33">
        <f>IFERROR(__xludf.DUMMYFUNCTION("GOOGLEFINANCE(A567,""priceopen"")"),56.22)</f>
        <v>56.22</v>
      </c>
      <c r="H567" s="34">
        <f>IFERROR(__xludf.DUMMYFUNCTION("GOOGLEFINANCE(A567,""closeyest"")"),57.89)</f>
        <v>57.89</v>
      </c>
      <c r="I567" s="34">
        <f>IFERROR(__xludf.DUMMYFUNCTION("GOOGLEFINANCE(A567,""low52"")"),26.12)</f>
        <v>26.12</v>
      </c>
      <c r="J567" s="34">
        <f>IFERROR(__xludf.DUMMYFUNCTION("GOOGLEFINANCE(A567,""high52"")"),66.88)</f>
        <v>66.88</v>
      </c>
    </row>
    <row r="568">
      <c r="A568" s="30" t="str">
        <f>'6image_RS_benchmark_performance'!A568</f>
        <v>STT</v>
      </c>
      <c r="B568" s="31">
        <f>IFERROR(__xludf.DUMMYFUNCTION("GOOGLEFINANCE(A568,""price"")"),82.81)</f>
        <v>82.81</v>
      </c>
      <c r="C568" s="31">
        <f>IFERROR(__xludf.DUMMYFUNCTION("GOOGLEFINANCE(A568,""high"")"),83.26)</f>
        <v>83.26</v>
      </c>
      <c r="D568" s="31">
        <f>IFERROR(__xludf.DUMMYFUNCTION("GOOGLEFINANCE(A568,""low"")"),79.19)</f>
        <v>79.19</v>
      </c>
      <c r="E568" s="31">
        <f>IFERROR(__xludf.DUMMYFUNCTION("GOOGLEFINANCE(A568,""change"")"),3.18)</f>
        <v>3.18</v>
      </c>
      <c r="F568" s="32">
        <f>IFERROR(__xludf.DUMMYFUNCTION("GOOGLEFINANCE(A568,""changepct"")/100"),0.039900000000000005)</f>
        <v>0.0399</v>
      </c>
      <c r="G568" s="33">
        <f>IFERROR(__xludf.DUMMYFUNCTION("GOOGLEFINANCE(A568,""priceopen"")"),79.59)</f>
        <v>79.59</v>
      </c>
      <c r="H568" s="34">
        <f>IFERROR(__xludf.DUMMYFUNCTION("GOOGLEFINANCE(A568,""closeyest"")"),79.63)</f>
        <v>79.63</v>
      </c>
      <c r="I568" s="34">
        <f>IFERROR(__xludf.DUMMYFUNCTION("GOOGLEFINANCE(A568,""low52"")"),56.63)</f>
        <v>56.63</v>
      </c>
      <c r="J568" s="34">
        <f>IFERROR(__xludf.DUMMYFUNCTION("GOOGLEFINANCE(A568,""high52"")"),89.28)</f>
        <v>89.28</v>
      </c>
    </row>
    <row r="569">
      <c r="A569" s="30" t="str">
        <f>'6image_RS_benchmark_performance'!A569</f>
        <v>STX</v>
      </c>
      <c r="B569" s="31">
        <f>IFERROR(__xludf.DUMMYFUNCTION("GOOGLEFINANCE(A569,""price"")"),85.49)</f>
        <v>85.49</v>
      </c>
      <c r="C569" s="31">
        <f>IFERROR(__xludf.DUMMYFUNCTION("GOOGLEFINANCE(A569,""high"")"),86.01)</f>
        <v>86.01</v>
      </c>
      <c r="D569" s="31">
        <f>IFERROR(__xludf.DUMMYFUNCTION("GOOGLEFINANCE(A569,""low"")"),84.06)</f>
        <v>84.06</v>
      </c>
      <c r="E569" s="31">
        <f>IFERROR(__xludf.DUMMYFUNCTION("GOOGLEFINANCE(A569,""change"")"),1.2)</f>
        <v>1.2</v>
      </c>
      <c r="F569" s="32">
        <f>IFERROR(__xludf.DUMMYFUNCTION("GOOGLEFINANCE(A569,""changepct"")/100"),0.014199999999999999)</f>
        <v>0.0142</v>
      </c>
      <c r="G569" s="33">
        <f>IFERROR(__xludf.DUMMYFUNCTION("GOOGLEFINANCE(A569,""priceopen"")"),84.25)</f>
        <v>84.25</v>
      </c>
      <c r="H569" s="34">
        <f>IFERROR(__xludf.DUMMYFUNCTION("GOOGLEFINANCE(A569,""closeyest"")"),84.29)</f>
        <v>84.29</v>
      </c>
      <c r="I569" s="34">
        <f>IFERROR(__xludf.DUMMYFUNCTION("GOOGLEFINANCE(A569,""low52"")"),43.53)</f>
        <v>43.53</v>
      </c>
      <c r="J569" s="34">
        <f>IFERROR(__xludf.DUMMYFUNCTION("GOOGLEFINANCE(A569,""high52"")"),106.22)</f>
        <v>106.22</v>
      </c>
    </row>
    <row r="570">
      <c r="A570" s="30" t="str">
        <f>'6image_RS_benchmark_performance'!A570</f>
        <v>STZ</v>
      </c>
      <c r="B570" s="31">
        <f>IFERROR(__xludf.DUMMYFUNCTION("GOOGLEFINANCE(A570,""price"")"),225.17)</f>
        <v>225.17</v>
      </c>
      <c r="C570" s="31">
        <f>IFERROR(__xludf.DUMMYFUNCTION("GOOGLEFINANCE(A570,""high"")"),226.77)</f>
        <v>226.77</v>
      </c>
      <c r="D570" s="31">
        <f>IFERROR(__xludf.DUMMYFUNCTION("GOOGLEFINANCE(A570,""low"")"),222.26)</f>
        <v>222.26</v>
      </c>
      <c r="E570" s="31">
        <f>IFERROR(__xludf.DUMMYFUNCTION("GOOGLEFINANCE(A570,""change"")"),3.15)</f>
        <v>3.15</v>
      </c>
      <c r="F570" s="32">
        <f>IFERROR(__xludf.DUMMYFUNCTION("GOOGLEFINANCE(A570,""changepct"")/100"),0.014199999999999999)</f>
        <v>0.0142</v>
      </c>
      <c r="G570" s="33">
        <f>IFERROR(__xludf.DUMMYFUNCTION("GOOGLEFINANCE(A570,""priceopen"")"),222.55)</f>
        <v>222.55</v>
      </c>
      <c r="H570" s="34">
        <f>IFERROR(__xludf.DUMMYFUNCTION("GOOGLEFINANCE(A570,""closeyest"")"),222.02)</f>
        <v>222.02</v>
      </c>
      <c r="I570" s="34">
        <f>IFERROR(__xludf.DUMMYFUNCTION("GOOGLEFINANCE(A570,""low52"")"),160.63)</f>
        <v>160.63</v>
      </c>
      <c r="J570" s="34">
        <f>IFERROR(__xludf.DUMMYFUNCTION("GOOGLEFINANCE(A570,""high52"")"),244.75)</f>
        <v>244.75</v>
      </c>
    </row>
    <row r="571">
      <c r="A571" s="30" t="str">
        <f>'6image_RS_benchmark_performance'!A571</f>
        <v>SWK</v>
      </c>
      <c r="B571" s="31">
        <f>IFERROR(__xludf.DUMMYFUNCTION("GOOGLEFINANCE(A571,""price"")"),203.94)</f>
        <v>203.94</v>
      </c>
      <c r="C571" s="31">
        <f>IFERROR(__xludf.DUMMYFUNCTION("GOOGLEFINANCE(A571,""high"")"),204.62)</f>
        <v>204.62</v>
      </c>
      <c r="D571" s="31">
        <f>IFERROR(__xludf.DUMMYFUNCTION("GOOGLEFINANCE(A571,""low"")"),200.15)</f>
        <v>200.15</v>
      </c>
      <c r="E571" s="31">
        <f>IFERROR(__xludf.DUMMYFUNCTION("GOOGLEFINANCE(A571,""change"")"),3.59)</f>
        <v>3.59</v>
      </c>
      <c r="F571" s="32">
        <f>IFERROR(__xludf.DUMMYFUNCTION("GOOGLEFINANCE(A571,""changepct"")/100"),0.0179)</f>
        <v>0.0179</v>
      </c>
      <c r="G571" s="33">
        <f>IFERROR(__xludf.DUMMYFUNCTION("GOOGLEFINANCE(A571,""priceopen"")"),200.49)</f>
        <v>200.49</v>
      </c>
      <c r="H571" s="34">
        <f>IFERROR(__xludf.DUMMYFUNCTION("GOOGLEFINANCE(A571,""closeyest"")"),200.35)</f>
        <v>200.35</v>
      </c>
      <c r="I571" s="34">
        <f>IFERROR(__xludf.DUMMYFUNCTION("GOOGLEFINANCE(A571,""low52"")"),148.88)</f>
        <v>148.88</v>
      </c>
      <c r="J571" s="34">
        <f>IFERROR(__xludf.DUMMYFUNCTION("GOOGLEFINANCE(A571,""high52"")"),225.0)</f>
        <v>225</v>
      </c>
    </row>
    <row r="572">
      <c r="A572" s="30" t="str">
        <f>'6image_RS_benchmark_performance'!A572</f>
        <v>SWKS</v>
      </c>
      <c r="B572" s="31">
        <f>IFERROR(__xludf.DUMMYFUNCTION("GOOGLEFINANCE(A572,""price"")"),189.42)</f>
        <v>189.42</v>
      </c>
      <c r="C572" s="31">
        <f>IFERROR(__xludf.DUMMYFUNCTION("GOOGLEFINANCE(A572,""high"")"),190.7)</f>
        <v>190.7</v>
      </c>
      <c r="D572" s="31">
        <f>IFERROR(__xludf.DUMMYFUNCTION("GOOGLEFINANCE(A572,""low"")"),185.66)</f>
        <v>185.66</v>
      </c>
      <c r="E572" s="31">
        <f>IFERROR(__xludf.DUMMYFUNCTION("GOOGLEFINANCE(A572,""change"")"),2.27)</f>
        <v>2.27</v>
      </c>
      <c r="F572" s="32">
        <f>IFERROR(__xludf.DUMMYFUNCTION("GOOGLEFINANCE(A572,""changepct"")/100"),0.0121)</f>
        <v>0.0121</v>
      </c>
      <c r="G572" s="33">
        <f>IFERROR(__xludf.DUMMYFUNCTION("GOOGLEFINANCE(A572,""priceopen"")"),187.65)</f>
        <v>187.65</v>
      </c>
      <c r="H572" s="34">
        <f>IFERROR(__xludf.DUMMYFUNCTION("GOOGLEFINANCE(A572,""closeyest"")"),187.15)</f>
        <v>187.15</v>
      </c>
      <c r="I572" s="34">
        <f>IFERROR(__xludf.DUMMYFUNCTION("GOOGLEFINANCE(A572,""low52"")"),128.56)</f>
        <v>128.56</v>
      </c>
      <c r="J572" s="34">
        <f>IFERROR(__xludf.DUMMYFUNCTION("GOOGLEFINANCE(A572,""high52"")"),204.0)</f>
        <v>204</v>
      </c>
    </row>
    <row r="573">
      <c r="A573" s="30" t="str">
        <f>'6image_RS_benchmark_performance'!A573</f>
        <v>SYF</v>
      </c>
      <c r="B573" s="31">
        <f>IFERROR(__xludf.DUMMYFUNCTION("GOOGLEFINANCE(A573,""price"")"),46.0)</f>
        <v>46</v>
      </c>
      <c r="C573" s="31">
        <f>IFERROR(__xludf.DUMMYFUNCTION("GOOGLEFINANCE(A573,""high"")"),46.1)</f>
        <v>46.1</v>
      </c>
      <c r="D573" s="31">
        <f>IFERROR(__xludf.DUMMYFUNCTION("GOOGLEFINANCE(A573,""low"")"),43.08)</f>
        <v>43.08</v>
      </c>
      <c r="E573" s="31">
        <f>IFERROR(__xludf.DUMMYFUNCTION("GOOGLEFINANCE(A573,""change"")"),1.2)</f>
        <v>1.2</v>
      </c>
      <c r="F573" s="32">
        <f>IFERROR(__xludf.DUMMYFUNCTION("GOOGLEFINANCE(A573,""changepct"")/100"),0.0268)</f>
        <v>0.0268</v>
      </c>
      <c r="G573" s="33">
        <f>IFERROR(__xludf.DUMMYFUNCTION("GOOGLEFINANCE(A573,""priceopen"")"),43.48)</f>
        <v>43.48</v>
      </c>
      <c r="H573" s="34">
        <f>IFERROR(__xludf.DUMMYFUNCTION("GOOGLEFINANCE(A573,""closeyest"")"),44.8)</f>
        <v>44.8</v>
      </c>
      <c r="I573" s="34">
        <f>IFERROR(__xludf.DUMMYFUNCTION("GOOGLEFINANCE(A573,""low52"")"),21.67)</f>
        <v>21.67</v>
      </c>
      <c r="J573" s="34">
        <f>IFERROR(__xludf.DUMMYFUNCTION("GOOGLEFINANCE(A573,""high52"")"),50.96)</f>
        <v>50.96</v>
      </c>
    </row>
    <row r="574">
      <c r="A574" s="30" t="str">
        <f>'6image_RS_benchmark_performance'!A574</f>
        <v>SYK</v>
      </c>
      <c r="B574" s="31">
        <f>IFERROR(__xludf.DUMMYFUNCTION("GOOGLEFINANCE(A574,""price"")"),255.18)</f>
        <v>255.18</v>
      </c>
      <c r="C574" s="31">
        <f>IFERROR(__xludf.DUMMYFUNCTION("GOOGLEFINANCE(A574,""high"")"),256.96)</f>
        <v>256.96</v>
      </c>
      <c r="D574" s="31">
        <f>IFERROR(__xludf.DUMMYFUNCTION("GOOGLEFINANCE(A574,""low"")"),248.86)</f>
        <v>248.86</v>
      </c>
      <c r="E574" s="31">
        <f>IFERROR(__xludf.DUMMYFUNCTION("GOOGLEFINANCE(A574,""change"")"),6.28)</f>
        <v>6.28</v>
      </c>
      <c r="F574" s="32">
        <f>IFERROR(__xludf.DUMMYFUNCTION("GOOGLEFINANCE(A574,""changepct"")/100"),0.0252)</f>
        <v>0.0252</v>
      </c>
      <c r="G574" s="33">
        <f>IFERROR(__xludf.DUMMYFUNCTION("GOOGLEFINANCE(A574,""priceopen"")"),248.86)</f>
        <v>248.86</v>
      </c>
      <c r="H574" s="34">
        <f>IFERROR(__xludf.DUMMYFUNCTION("GOOGLEFINANCE(A574,""closeyest"")"),248.9)</f>
        <v>248.9</v>
      </c>
      <c r="I574" s="34">
        <f>IFERROR(__xludf.DUMMYFUNCTION("GOOGLEFINANCE(A574,""low52"")"),185.2)</f>
        <v>185.2</v>
      </c>
      <c r="J574" s="34">
        <f>IFERROR(__xludf.DUMMYFUNCTION("GOOGLEFINANCE(A574,""high52"")"),268.04)</f>
        <v>268.04</v>
      </c>
    </row>
    <row r="575">
      <c r="A575" s="30" t="str">
        <f>'6image_RS_benchmark_performance'!A575</f>
        <v>SYY</v>
      </c>
      <c r="B575" s="31">
        <f>IFERROR(__xludf.DUMMYFUNCTION("GOOGLEFINANCE(A575,""price"")"),72.67)</f>
        <v>72.67</v>
      </c>
      <c r="C575" s="31">
        <f>IFERROR(__xludf.DUMMYFUNCTION("GOOGLEFINANCE(A575,""high"")"),73.16)</f>
        <v>73.16</v>
      </c>
      <c r="D575" s="31">
        <f>IFERROR(__xludf.DUMMYFUNCTION("GOOGLEFINANCE(A575,""low"")"),70.61)</f>
        <v>70.61</v>
      </c>
      <c r="E575" s="31">
        <f>IFERROR(__xludf.DUMMYFUNCTION("GOOGLEFINANCE(A575,""change"")"),2.2)</f>
        <v>2.2</v>
      </c>
      <c r="F575" s="32">
        <f>IFERROR(__xludf.DUMMYFUNCTION("GOOGLEFINANCE(A575,""changepct"")/100"),0.031200000000000002)</f>
        <v>0.0312</v>
      </c>
      <c r="G575" s="33">
        <f>IFERROR(__xludf.DUMMYFUNCTION("GOOGLEFINANCE(A575,""priceopen"")"),70.71)</f>
        <v>70.71</v>
      </c>
      <c r="H575" s="34">
        <f>IFERROR(__xludf.DUMMYFUNCTION("GOOGLEFINANCE(A575,""closeyest"")"),70.47)</f>
        <v>70.47</v>
      </c>
      <c r="I575" s="34">
        <f>IFERROR(__xludf.DUMMYFUNCTION("GOOGLEFINANCE(A575,""low52"")"),50.9)</f>
        <v>50.9</v>
      </c>
      <c r="J575" s="34">
        <f>IFERROR(__xludf.DUMMYFUNCTION("GOOGLEFINANCE(A575,""high52"")"),86.73)</f>
        <v>86.73</v>
      </c>
    </row>
    <row r="576">
      <c r="A576" s="30" t="str">
        <f>'6image_RS_benchmark_performance'!A576</f>
        <v>T</v>
      </c>
      <c r="B576" s="31">
        <f>IFERROR(__xludf.DUMMYFUNCTION("GOOGLEFINANCE(A576,""price"")"),27.91)</f>
        <v>27.91</v>
      </c>
      <c r="C576" s="31">
        <f>IFERROR(__xludf.DUMMYFUNCTION("GOOGLEFINANCE(A576,""high"")"),28.18)</f>
        <v>28.18</v>
      </c>
      <c r="D576" s="31">
        <f>IFERROR(__xludf.DUMMYFUNCTION("GOOGLEFINANCE(A576,""low"")"),27.65)</f>
        <v>27.65</v>
      </c>
      <c r="E576" s="31">
        <f>IFERROR(__xludf.DUMMYFUNCTION("GOOGLEFINANCE(A576,""change"")"),0.12)</f>
        <v>0.12</v>
      </c>
      <c r="F576" s="32">
        <f>IFERROR(__xludf.DUMMYFUNCTION("GOOGLEFINANCE(A576,""changepct"")/100"),0.0043)</f>
        <v>0.0043</v>
      </c>
      <c r="G576" s="33">
        <f>IFERROR(__xludf.DUMMYFUNCTION("GOOGLEFINANCE(A576,""priceopen"")"),27.71)</f>
        <v>27.71</v>
      </c>
      <c r="H576" s="34">
        <f>IFERROR(__xludf.DUMMYFUNCTION("GOOGLEFINANCE(A576,""closeyest"")"),27.79)</f>
        <v>27.79</v>
      </c>
      <c r="I576" s="34">
        <f>IFERROR(__xludf.DUMMYFUNCTION("GOOGLEFINANCE(A576,""low52"")"),26.35)</f>
        <v>26.35</v>
      </c>
      <c r="J576" s="34">
        <f>IFERROR(__xludf.DUMMYFUNCTION("GOOGLEFINANCE(A576,""high52"")"),33.88)</f>
        <v>33.88</v>
      </c>
    </row>
    <row r="577">
      <c r="A577" s="30" t="str">
        <f>'6image_RS_benchmark_performance'!A577</f>
        <v>TAP</v>
      </c>
      <c r="B577" s="31">
        <f>IFERROR(__xludf.DUMMYFUNCTION("GOOGLEFINANCE(A577,""price"")"),50.93)</f>
        <v>50.93</v>
      </c>
      <c r="C577" s="31">
        <f>IFERROR(__xludf.DUMMYFUNCTION("GOOGLEFINANCE(A577,""high"")"),51.46)</f>
        <v>51.46</v>
      </c>
      <c r="D577" s="31">
        <f>IFERROR(__xludf.DUMMYFUNCTION("GOOGLEFINANCE(A577,""low"")"),49.94)</f>
        <v>49.94</v>
      </c>
      <c r="E577" s="31">
        <f>IFERROR(__xludf.DUMMYFUNCTION("GOOGLEFINANCE(A577,""change"")"),0.57)</f>
        <v>0.57</v>
      </c>
      <c r="F577" s="32">
        <f>IFERROR(__xludf.DUMMYFUNCTION("GOOGLEFINANCE(A577,""changepct"")/100"),0.0113)</f>
        <v>0.0113</v>
      </c>
      <c r="G577" s="33">
        <f>IFERROR(__xludf.DUMMYFUNCTION("GOOGLEFINANCE(A577,""priceopen"")"),50.36)</f>
        <v>50.36</v>
      </c>
      <c r="H577" s="34">
        <f>IFERROR(__xludf.DUMMYFUNCTION("GOOGLEFINANCE(A577,""closeyest"")"),50.36)</f>
        <v>50.36</v>
      </c>
      <c r="I577" s="34">
        <f>IFERROR(__xludf.DUMMYFUNCTION("GOOGLEFINANCE(A577,""low52"")"),32.11)</f>
        <v>32.11</v>
      </c>
      <c r="J577" s="34">
        <f>IFERROR(__xludf.DUMMYFUNCTION("GOOGLEFINANCE(A577,""high52"")"),61.48)</f>
        <v>61.48</v>
      </c>
    </row>
    <row r="578">
      <c r="A578" s="30" t="str">
        <f>'6image_RS_benchmark_performance'!A578</f>
        <v>TCOM</v>
      </c>
      <c r="B578" s="31">
        <f>IFERROR(__xludf.DUMMYFUNCTION("GOOGLEFINANCE(A578,""price"")"),28.89)</f>
        <v>28.89</v>
      </c>
      <c r="C578" s="31">
        <f>IFERROR(__xludf.DUMMYFUNCTION("GOOGLEFINANCE(A578,""high"")"),29.33)</f>
        <v>29.33</v>
      </c>
      <c r="D578" s="31">
        <f>IFERROR(__xludf.DUMMYFUNCTION("GOOGLEFINANCE(A578,""low"")"),28.13)</f>
        <v>28.13</v>
      </c>
      <c r="E578" s="31">
        <f>IFERROR(__xludf.DUMMYFUNCTION("GOOGLEFINANCE(A578,""change"")"),0.03)</f>
        <v>0.03</v>
      </c>
      <c r="F578" s="32">
        <f>IFERROR(__xludf.DUMMYFUNCTION("GOOGLEFINANCE(A578,""changepct"")/100"),0.001)</f>
        <v>0.001</v>
      </c>
      <c r="G578" s="33">
        <f>IFERROR(__xludf.DUMMYFUNCTION("GOOGLEFINANCE(A578,""priceopen"")"),29.03)</f>
        <v>29.03</v>
      </c>
      <c r="H578" s="34">
        <f>IFERROR(__xludf.DUMMYFUNCTION("GOOGLEFINANCE(A578,""closeyest"")"),28.86)</f>
        <v>28.86</v>
      </c>
      <c r="I578" s="34">
        <f>IFERROR(__xludf.DUMMYFUNCTION("GOOGLEFINANCE(A578,""low52"")"),26.35)</f>
        <v>26.35</v>
      </c>
      <c r="J578" s="34">
        <f>IFERROR(__xludf.DUMMYFUNCTION("GOOGLEFINANCE(A578,""high52"")"),45.19)</f>
        <v>45.19</v>
      </c>
    </row>
    <row r="579">
      <c r="A579" s="30" t="str">
        <f>'6image_RS_benchmark_performance'!A579</f>
        <v>TDG</v>
      </c>
      <c r="B579" s="31">
        <f>IFERROR(__xludf.DUMMYFUNCTION("GOOGLEFINANCE(A579,""price"")"),636.68)</f>
        <v>636.68</v>
      </c>
      <c r="C579" s="31">
        <f>IFERROR(__xludf.DUMMYFUNCTION("GOOGLEFINANCE(A579,""high"")"),638.63)</f>
        <v>638.63</v>
      </c>
      <c r="D579" s="31">
        <f>IFERROR(__xludf.DUMMYFUNCTION("GOOGLEFINANCE(A579,""low"")"),608.62)</f>
        <v>608.62</v>
      </c>
      <c r="E579" s="31">
        <f>IFERROR(__xludf.DUMMYFUNCTION("GOOGLEFINANCE(A579,""change"")"),29.02)</f>
        <v>29.02</v>
      </c>
      <c r="F579" s="32">
        <f>IFERROR(__xludf.DUMMYFUNCTION("GOOGLEFINANCE(A579,""changepct"")/100"),0.0478)</f>
        <v>0.0478</v>
      </c>
      <c r="G579" s="33">
        <f>IFERROR(__xludf.DUMMYFUNCTION("GOOGLEFINANCE(A579,""priceopen"")"),609.66)</f>
        <v>609.66</v>
      </c>
      <c r="H579" s="34">
        <f>IFERROR(__xludf.DUMMYFUNCTION("GOOGLEFINANCE(A579,""closeyest"")"),607.66)</f>
        <v>607.66</v>
      </c>
      <c r="I579" s="34">
        <f>IFERROR(__xludf.DUMMYFUNCTION("GOOGLEFINANCE(A579,""low52"")"),418.02)</f>
        <v>418.02</v>
      </c>
      <c r="J579" s="34">
        <f>IFERROR(__xludf.DUMMYFUNCTION("GOOGLEFINANCE(A579,""high52"")"),688.03)</f>
        <v>688.03</v>
      </c>
    </row>
    <row r="580">
      <c r="A580" s="30" t="str">
        <f>'6image_RS_benchmark_performance'!A580</f>
        <v>TDOC</v>
      </c>
      <c r="B580" s="31">
        <f>IFERROR(__xludf.DUMMYFUNCTION("GOOGLEFINANCE(A580,""price"")"),154.83)</f>
        <v>154.83</v>
      </c>
      <c r="C580" s="31">
        <f>IFERROR(__xludf.DUMMYFUNCTION("GOOGLEFINANCE(A580,""high"")"),156.55)</f>
        <v>156.55</v>
      </c>
      <c r="D580" s="31">
        <f>IFERROR(__xludf.DUMMYFUNCTION("GOOGLEFINANCE(A580,""low"")"),152.79)</f>
        <v>152.79</v>
      </c>
      <c r="E580" s="31">
        <f>IFERROR(__xludf.DUMMYFUNCTION("GOOGLEFINANCE(A580,""change"")"),3.46)</f>
        <v>3.46</v>
      </c>
      <c r="F580" s="32">
        <f>IFERROR(__xludf.DUMMYFUNCTION("GOOGLEFINANCE(A580,""changepct"")/100"),0.0229)</f>
        <v>0.0229</v>
      </c>
      <c r="G580" s="33">
        <f>IFERROR(__xludf.DUMMYFUNCTION("GOOGLEFINANCE(A580,""priceopen"")"),152.79)</f>
        <v>152.79</v>
      </c>
      <c r="H580" s="34">
        <f>IFERROR(__xludf.DUMMYFUNCTION("GOOGLEFINANCE(A580,""closeyest"")"),151.37)</f>
        <v>151.37</v>
      </c>
      <c r="I580" s="34">
        <f>IFERROR(__xludf.DUMMYFUNCTION("GOOGLEFINANCE(A580,""low52"")"),129.74)</f>
        <v>129.74</v>
      </c>
      <c r="J580" s="34">
        <f>IFERROR(__xludf.DUMMYFUNCTION("GOOGLEFINANCE(A580,""high52"")"),308.0)</f>
        <v>308</v>
      </c>
    </row>
    <row r="581">
      <c r="A581" s="30" t="str">
        <f>'6image_RS_benchmark_performance'!A581</f>
        <v>TDY</v>
      </c>
      <c r="B581" s="31">
        <f>IFERROR(__xludf.DUMMYFUNCTION("GOOGLEFINANCE(A581,""price"")"),436.47)</f>
        <v>436.47</v>
      </c>
      <c r="C581" s="31">
        <f>IFERROR(__xludf.DUMMYFUNCTION("GOOGLEFINANCE(A581,""high"")"),438.85)</f>
        <v>438.85</v>
      </c>
      <c r="D581" s="31">
        <f>IFERROR(__xludf.DUMMYFUNCTION("GOOGLEFINANCE(A581,""low"")"),421.37)</f>
        <v>421.37</v>
      </c>
      <c r="E581" s="31">
        <f>IFERROR(__xludf.DUMMYFUNCTION("GOOGLEFINANCE(A581,""change"")"),16.21)</f>
        <v>16.21</v>
      </c>
      <c r="F581" s="32">
        <f>IFERROR(__xludf.DUMMYFUNCTION("GOOGLEFINANCE(A581,""changepct"")/100"),0.038599999999999995)</f>
        <v>0.0386</v>
      </c>
      <c r="G581" s="33">
        <f>IFERROR(__xludf.DUMMYFUNCTION("GOOGLEFINANCE(A581,""priceopen"")"),421.6)</f>
        <v>421.6</v>
      </c>
      <c r="H581" s="34">
        <f>IFERROR(__xludf.DUMMYFUNCTION("GOOGLEFINANCE(A581,""closeyest"")"),420.26)</f>
        <v>420.26</v>
      </c>
      <c r="I581" s="34">
        <f>IFERROR(__xludf.DUMMYFUNCTION("GOOGLEFINANCE(A581,""low52"")"),298.78)</f>
        <v>298.78</v>
      </c>
      <c r="J581" s="34">
        <f>IFERROR(__xludf.DUMMYFUNCTION("GOOGLEFINANCE(A581,""high52"")"),457.79)</f>
        <v>457.79</v>
      </c>
    </row>
    <row r="582">
      <c r="A582" s="30" t="str">
        <f>'6image_RS_benchmark_performance'!A582</f>
        <v>TEAM</v>
      </c>
      <c r="B582" s="31">
        <f>IFERROR(__xludf.DUMMYFUNCTION("GOOGLEFINANCE(A582,""price"")"),267.62)</f>
        <v>267.62</v>
      </c>
      <c r="C582" s="31">
        <f>IFERROR(__xludf.DUMMYFUNCTION("GOOGLEFINANCE(A582,""high"")"),269.98)</f>
        <v>269.98</v>
      </c>
      <c r="D582" s="31">
        <f>IFERROR(__xludf.DUMMYFUNCTION("GOOGLEFINANCE(A582,""low"")"),260.0)</f>
        <v>260</v>
      </c>
      <c r="E582" s="31">
        <f>IFERROR(__xludf.DUMMYFUNCTION("GOOGLEFINANCE(A582,""change"")"),4.75)</f>
        <v>4.75</v>
      </c>
      <c r="F582" s="32">
        <f>IFERROR(__xludf.DUMMYFUNCTION("GOOGLEFINANCE(A582,""changepct"")/100"),0.0181)</f>
        <v>0.0181</v>
      </c>
      <c r="G582" s="33">
        <f>IFERROR(__xludf.DUMMYFUNCTION("GOOGLEFINANCE(A582,""priceopen"")"),264.5)</f>
        <v>264.5</v>
      </c>
      <c r="H582" s="34">
        <f>IFERROR(__xludf.DUMMYFUNCTION("GOOGLEFINANCE(A582,""closeyest"")"),262.87)</f>
        <v>262.87</v>
      </c>
      <c r="I582" s="34">
        <f>IFERROR(__xludf.DUMMYFUNCTION("GOOGLEFINANCE(A582,""low52"")"),160.01)</f>
        <v>160.01</v>
      </c>
      <c r="J582" s="34">
        <f>IFERROR(__xludf.DUMMYFUNCTION("GOOGLEFINANCE(A582,""high52"")"),275.67)</f>
        <v>275.67</v>
      </c>
    </row>
    <row r="583">
      <c r="A583" s="30" t="str">
        <f>'6image_RS_benchmark_performance'!A583</f>
        <v>TEL</v>
      </c>
      <c r="B583" s="31">
        <f>IFERROR(__xludf.DUMMYFUNCTION("GOOGLEFINANCE(A583,""price"")"),135.52)</f>
        <v>135.52</v>
      </c>
      <c r="C583" s="31">
        <f>IFERROR(__xludf.DUMMYFUNCTION("GOOGLEFINANCE(A583,""high"")"),135.99)</f>
        <v>135.99</v>
      </c>
      <c r="D583" s="31">
        <f>IFERROR(__xludf.DUMMYFUNCTION("GOOGLEFINANCE(A583,""low"")"),132.14)</f>
        <v>132.14</v>
      </c>
      <c r="E583" s="31">
        <f>IFERROR(__xludf.DUMMYFUNCTION("GOOGLEFINANCE(A583,""change"")"),3.14)</f>
        <v>3.14</v>
      </c>
      <c r="F583" s="32">
        <f>IFERROR(__xludf.DUMMYFUNCTION("GOOGLEFINANCE(A583,""changepct"")/100"),0.023700000000000002)</f>
        <v>0.0237</v>
      </c>
      <c r="G583" s="33">
        <f>IFERROR(__xludf.DUMMYFUNCTION("GOOGLEFINANCE(A583,""priceopen"")"),132.53)</f>
        <v>132.53</v>
      </c>
      <c r="H583" s="34">
        <f>IFERROR(__xludf.DUMMYFUNCTION("GOOGLEFINANCE(A583,""closeyest"")"),132.38)</f>
        <v>132.38</v>
      </c>
      <c r="I583" s="34">
        <f>IFERROR(__xludf.DUMMYFUNCTION("GOOGLEFINANCE(A583,""low52"")"),83.8)</f>
        <v>83.8</v>
      </c>
      <c r="J583" s="34">
        <f>IFERROR(__xludf.DUMMYFUNCTION("GOOGLEFINANCE(A583,""high52"")"),139.58)</f>
        <v>139.58</v>
      </c>
    </row>
    <row r="584">
      <c r="A584" s="30" t="str">
        <f>'6image_RS_benchmark_performance'!A584</f>
        <v>TER</v>
      </c>
      <c r="B584" s="31">
        <f>IFERROR(__xludf.DUMMYFUNCTION("GOOGLEFINANCE(A584,""price"")"),123.78)</f>
        <v>123.78</v>
      </c>
      <c r="C584" s="31">
        <f>IFERROR(__xludf.DUMMYFUNCTION("GOOGLEFINANCE(A584,""high"")"),124.64)</f>
        <v>124.64</v>
      </c>
      <c r="D584" s="31">
        <f>IFERROR(__xludf.DUMMYFUNCTION("GOOGLEFINANCE(A584,""low"")"),119.81)</f>
        <v>119.81</v>
      </c>
      <c r="E584" s="31">
        <f>IFERROR(__xludf.DUMMYFUNCTION("GOOGLEFINANCE(A584,""change"")"),3.72)</f>
        <v>3.72</v>
      </c>
      <c r="F584" s="32">
        <f>IFERROR(__xludf.DUMMYFUNCTION("GOOGLEFINANCE(A584,""changepct"")/100"),0.031)</f>
        <v>0.031</v>
      </c>
      <c r="G584" s="33">
        <f>IFERROR(__xludf.DUMMYFUNCTION("GOOGLEFINANCE(A584,""priceopen"")"),121.39)</f>
        <v>121.39</v>
      </c>
      <c r="H584" s="34">
        <f>IFERROR(__xludf.DUMMYFUNCTION("GOOGLEFINANCE(A584,""closeyest"")"),120.06)</f>
        <v>120.06</v>
      </c>
      <c r="I584" s="34">
        <f>IFERROR(__xludf.DUMMYFUNCTION("GOOGLEFINANCE(A584,""low52"")"),74.08)</f>
        <v>74.08</v>
      </c>
      <c r="J584" s="34">
        <f>IFERROR(__xludf.DUMMYFUNCTION("GOOGLEFINANCE(A584,""high52"")"),147.9)</f>
        <v>147.9</v>
      </c>
    </row>
    <row r="585">
      <c r="A585" s="30" t="str">
        <f>'6image_RS_benchmark_performance'!A585</f>
        <v>TFC</v>
      </c>
      <c r="B585" s="31">
        <f>IFERROR(__xludf.DUMMYFUNCTION("GOOGLEFINANCE(A585,""price"")"),54.07)</f>
        <v>54.07</v>
      </c>
      <c r="C585" s="31">
        <f>IFERROR(__xludf.DUMMYFUNCTION("GOOGLEFINANCE(A585,""high"")"),54.93)</f>
        <v>54.93</v>
      </c>
      <c r="D585" s="31">
        <f>IFERROR(__xludf.DUMMYFUNCTION("GOOGLEFINANCE(A585,""low"")"),51.93)</f>
        <v>51.93</v>
      </c>
      <c r="E585" s="31">
        <f>IFERROR(__xludf.DUMMYFUNCTION("GOOGLEFINANCE(A585,""change"")"),1.89)</f>
        <v>1.89</v>
      </c>
      <c r="F585" s="32">
        <f>IFERROR(__xludf.DUMMYFUNCTION("GOOGLEFINANCE(A585,""changepct"")/100"),0.0362)</f>
        <v>0.0362</v>
      </c>
      <c r="G585" s="33">
        <f>IFERROR(__xludf.DUMMYFUNCTION("GOOGLEFINANCE(A585,""priceopen"")"),52.1)</f>
        <v>52.1</v>
      </c>
      <c r="H585" s="34">
        <f>IFERROR(__xludf.DUMMYFUNCTION("GOOGLEFINANCE(A585,""closeyest"")"),52.18)</f>
        <v>52.18</v>
      </c>
      <c r="I585" s="34">
        <f>IFERROR(__xludf.DUMMYFUNCTION("GOOGLEFINANCE(A585,""low52"")"),34.86)</f>
        <v>34.86</v>
      </c>
      <c r="J585" s="34">
        <f>IFERROR(__xludf.DUMMYFUNCTION("GOOGLEFINANCE(A585,""high52"")"),62.69)</f>
        <v>62.69</v>
      </c>
    </row>
    <row r="586">
      <c r="A586" s="30" t="str">
        <f>'6image_RS_benchmark_performance'!A586</f>
        <v>TFX</v>
      </c>
      <c r="B586" s="31">
        <f>IFERROR(__xludf.DUMMYFUNCTION("GOOGLEFINANCE(A586,""price"")"),386.15)</f>
        <v>386.15</v>
      </c>
      <c r="C586" s="31">
        <f>IFERROR(__xludf.DUMMYFUNCTION("GOOGLEFINANCE(A586,""high"")"),391.12)</f>
        <v>391.12</v>
      </c>
      <c r="D586" s="31">
        <f>IFERROR(__xludf.DUMMYFUNCTION("GOOGLEFINANCE(A586,""low"")"),375.89)</f>
        <v>375.89</v>
      </c>
      <c r="E586" s="31">
        <f>IFERROR(__xludf.DUMMYFUNCTION("GOOGLEFINANCE(A586,""change"")"),11.05)</f>
        <v>11.05</v>
      </c>
      <c r="F586" s="32">
        <f>IFERROR(__xludf.DUMMYFUNCTION("GOOGLEFINANCE(A586,""changepct"")/100"),0.029500000000000002)</f>
        <v>0.0295</v>
      </c>
      <c r="G586" s="33">
        <f>IFERROR(__xludf.DUMMYFUNCTION("GOOGLEFINANCE(A586,""priceopen"")"),375.89)</f>
        <v>375.89</v>
      </c>
      <c r="H586" s="34">
        <f>IFERROR(__xludf.DUMMYFUNCTION("GOOGLEFINANCE(A586,""closeyest"")"),375.1)</f>
        <v>375.1</v>
      </c>
      <c r="I586" s="34">
        <f>IFERROR(__xludf.DUMMYFUNCTION("GOOGLEFINANCE(A586,""low52"")"),312.33)</f>
        <v>312.33</v>
      </c>
      <c r="J586" s="34">
        <f>IFERROR(__xludf.DUMMYFUNCTION("GOOGLEFINANCE(A586,""high52"")"),449.38)</f>
        <v>449.38</v>
      </c>
    </row>
    <row r="587">
      <c r="A587" s="30" t="str">
        <f>'6image_RS_benchmark_performance'!A587</f>
        <v>TGT</v>
      </c>
      <c r="B587" s="31">
        <f>IFERROR(__xludf.DUMMYFUNCTION("GOOGLEFINANCE(A587,""price"")"),254.71)</f>
        <v>254.71</v>
      </c>
      <c r="C587" s="31">
        <f>IFERROR(__xludf.DUMMYFUNCTION("GOOGLEFINANCE(A587,""high"")"),256.38)</f>
        <v>256.38</v>
      </c>
      <c r="D587" s="31">
        <f>IFERROR(__xludf.DUMMYFUNCTION("GOOGLEFINANCE(A587,""low"")"),249.69)</f>
        <v>249.69</v>
      </c>
      <c r="E587" s="31">
        <f>IFERROR(__xludf.DUMMYFUNCTION("GOOGLEFINANCE(A587,""change"")"),3.59)</f>
        <v>3.59</v>
      </c>
      <c r="F587" s="32">
        <f>IFERROR(__xludf.DUMMYFUNCTION("GOOGLEFINANCE(A587,""changepct"")/100"),0.0143)</f>
        <v>0.0143</v>
      </c>
      <c r="G587" s="33">
        <f>IFERROR(__xludf.DUMMYFUNCTION("GOOGLEFINANCE(A587,""priceopen"")"),251.1)</f>
        <v>251.1</v>
      </c>
      <c r="H587" s="34">
        <f>IFERROR(__xludf.DUMMYFUNCTION("GOOGLEFINANCE(A587,""closeyest"")"),251.12)</f>
        <v>251.12</v>
      </c>
      <c r="I587" s="34">
        <f>IFERROR(__xludf.DUMMYFUNCTION("GOOGLEFINANCE(A587,""low52"")"),119.04)</f>
        <v>119.04</v>
      </c>
      <c r="J587" s="34">
        <f>IFERROR(__xludf.DUMMYFUNCTION("GOOGLEFINANCE(A587,""high52"")"),256.38)</f>
        <v>256.38</v>
      </c>
    </row>
    <row r="588">
      <c r="A588" s="30" t="str">
        <f>'6image_RS_benchmark_performance'!A588</f>
        <v>TIP</v>
      </c>
      <c r="B588" s="31">
        <f>IFERROR(__xludf.DUMMYFUNCTION("GOOGLEFINANCE(A588,""price"")"),129.03)</f>
        <v>129.03</v>
      </c>
      <c r="C588" s="31">
        <f>IFERROR(__xludf.DUMMYFUNCTION("GOOGLEFINANCE(A588,""high"")"),129.29)</f>
        <v>129.29</v>
      </c>
      <c r="D588" s="31">
        <f>IFERROR(__xludf.DUMMYFUNCTION("GOOGLEFINANCE(A588,""low"")"),128.88)</f>
        <v>128.88</v>
      </c>
      <c r="E588" s="31">
        <f>IFERROR(__xludf.DUMMYFUNCTION("GOOGLEFINANCE(A588,""change"")"),-0.02)</f>
        <v>-0.02</v>
      </c>
      <c r="F588" s="32">
        <f>IFERROR(__xludf.DUMMYFUNCTION("GOOGLEFINANCE(A588,""changepct"")/100"),-2.0E-4)</f>
        <v>-0.0002</v>
      </c>
      <c r="G588" s="33">
        <f>IFERROR(__xludf.DUMMYFUNCTION("GOOGLEFINANCE(A588,""priceopen"")"),129.16)</f>
        <v>129.16</v>
      </c>
      <c r="H588" s="34">
        <f>IFERROR(__xludf.DUMMYFUNCTION("GOOGLEFINANCE(A588,""closeyest"")"),129.05)</f>
        <v>129.05</v>
      </c>
      <c r="I588" s="34">
        <f>IFERROR(__xludf.DUMMYFUNCTION("GOOGLEFINANCE(A588,""low52"")"),123.51)</f>
        <v>123.51</v>
      </c>
      <c r="J588" s="34">
        <f>IFERROR(__xludf.DUMMYFUNCTION("GOOGLEFINANCE(A588,""high52"")"),129.53)</f>
        <v>129.53</v>
      </c>
    </row>
    <row r="589">
      <c r="A589" s="30" t="str">
        <f>'6image_RS_benchmark_performance'!A589</f>
        <v>TJX</v>
      </c>
      <c r="B589" s="31">
        <f>IFERROR(__xludf.DUMMYFUNCTION("GOOGLEFINANCE(A589,""price"")"),66.5)</f>
        <v>66.5</v>
      </c>
      <c r="C589" s="31">
        <f>IFERROR(__xludf.DUMMYFUNCTION("GOOGLEFINANCE(A589,""high"")"),66.86)</f>
        <v>66.86</v>
      </c>
      <c r="D589" s="31">
        <f>IFERROR(__xludf.DUMMYFUNCTION("GOOGLEFINANCE(A589,""low"")"),64.43)</f>
        <v>64.43</v>
      </c>
      <c r="E589" s="31">
        <f>IFERROR(__xludf.DUMMYFUNCTION("GOOGLEFINANCE(A589,""change"")"),1.47)</f>
        <v>1.47</v>
      </c>
      <c r="F589" s="32">
        <f>IFERROR(__xludf.DUMMYFUNCTION("GOOGLEFINANCE(A589,""changepct"")/100"),0.0226)</f>
        <v>0.0226</v>
      </c>
      <c r="G589" s="33">
        <f>IFERROR(__xludf.DUMMYFUNCTION("GOOGLEFINANCE(A589,""priceopen"")"),64.8)</f>
        <v>64.8</v>
      </c>
      <c r="H589" s="34">
        <f>IFERROR(__xludf.DUMMYFUNCTION("GOOGLEFINANCE(A589,""closeyest"")"),65.03)</f>
        <v>65.03</v>
      </c>
      <c r="I589" s="34">
        <f>IFERROR(__xludf.DUMMYFUNCTION("GOOGLEFINANCE(A589,""low52"")"),50.06)</f>
        <v>50.06</v>
      </c>
      <c r="J589" s="34">
        <f>IFERROR(__xludf.DUMMYFUNCTION("GOOGLEFINANCE(A589,""high52"")"),74.65)</f>
        <v>74.65</v>
      </c>
    </row>
    <row r="590">
      <c r="A590" s="30" t="str">
        <f>'6image_RS_benchmark_performance'!A590</f>
        <v>TLT</v>
      </c>
      <c r="B590" s="31">
        <f>IFERROR(__xludf.DUMMYFUNCTION("GOOGLEFINANCE(A590,""price"")"),150.0)</f>
        <v>150</v>
      </c>
      <c r="C590" s="31">
        <f>IFERROR(__xludf.DUMMYFUNCTION("GOOGLEFINANCE(A590,""high"")"),152.71)</f>
        <v>152.71</v>
      </c>
      <c r="D590" s="31">
        <f>IFERROR(__xludf.DUMMYFUNCTION("GOOGLEFINANCE(A590,""low"")"),149.76)</f>
        <v>149.76</v>
      </c>
      <c r="E590" s="31">
        <f>IFERROR(__xludf.DUMMYFUNCTION("GOOGLEFINANCE(A590,""change"")"),-1.46)</f>
        <v>-1.46</v>
      </c>
      <c r="F590" s="32">
        <f>IFERROR(__xludf.DUMMYFUNCTION("GOOGLEFINANCE(A590,""changepct"")/100"),-0.0096)</f>
        <v>-0.0096</v>
      </c>
      <c r="G590" s="33">
        <f>IFERROR(__xludf.DUMMYFUNCTION("GOOGLEFINANCE(A590,""priceopen"")"),152.53)</f>
        <v>152.53</v>
      </c>
      <c r="H590" s="34">
        <f>IFERROR(__xludf.DUMMYFUNCTION("GOOGLEFINANCE(A590,""closeyest"")"),151.46)</f>
        <v>151.46</v>
      </c>
      <c r="I590" s="34">
        <f>IFERROR(__xludf.DUMMYFUNCTION("GOOGLEFINANCE(A590,""low52"")"),133.19)</f>
        <v>133.19</v>
      </c>
      <c r="J590" s="34">
        <f>IFERROR(__xludf.DUMMYFUNCTION("GOOGLEFINANCE(A590,""high52"")"),172.25)</f>
        <v>172.25</v>
      </c>
    </row>
    <row r="591">
      <c r="A591" s="30" t="str">
        <f>'6image_RS_benchmark_performance'!A591</f>
        <v>TMO</v>
      </c>
      <c r="B591" s="31">
        <f>IFERROR(__xludf.DUMMYFUNCTION("GOOGLEFINANCE(A591,""price"")"),522.58)</f>
        <v>522.58</v>
      </c>
      <c r="C591" s="31">
        <f>IFERROR(__xludf.DUMMYFUNCTION("GOOGLEFINANCE(A591,""high"")"),529.55)</f>
        <v>529.55</v>
      </c>
      <c r="D591" s="31">
        <f>IFERROR(__xludf.DUMMYFUNCTION("GOOGLEFINANCE(A591,""low"")"),520.05)</f>
        <v>520.05</v>
      </c>
      <c r="E591" s="31">
        <f>IFERROR(__xludf.DUMMYFUNCTION("GOOGLEFINANCE(A591,""change"")"),0.96)</f>
        <v>0.96</v>
      </c>
      <c r="F591" s="32">
        <f>IFERROR(__xludf.DUMMYFUNCTION("GOOGLEFINANCE(A591,""changepct"")/100"),0.0018)</f>
        <v>0.0018</v>
      </c>
      <c r="G591" s="33">
        <f>IFERROR(__xludf.DUMMYFUNCTION("GOOGLEFINANCE(A591,""priceopen"")"),521.86)</f>
        <v>521.86</v>
      </c>
      <c r="H591" s="34">
        <f>IFERROR(__xludf.DUMMYFUNCTION("GOOGLEFINANCE(A591,""closeyest"")"),521.62)</f>
        <v>521.62</v>
      </c>
      <c r="I591" s="34">
        <f>IFERROR(__xludf.DUMMYFUNCTION("GOOGLEFINANCE(A591,""low52"")"),397.19)</f>
        <v>397.19</v>
      </c>
      <c r="J591" s="34">
        <f>IFERROR(__xludf.DUMMYFUNCTION("GOOGLEFINANCE(A591,""high52"")"),532.57)</f>
        <v>532.57</v>
      </c>
    </row>
    <row r="592">
      <c r="A592" s="30" t="str">
        <f>'6image_RS_benchmark_performance'!A592</f>
        <v>TMUS</v>
      </c>
      <c r="B592" s="31">
        <f>IFERROR(__xludf.DUMMYFUNCTION("GOOGLEFINANCE(A592,""price"")"),144.4)</f>
        <v>144.4</v>
      </c>
      <c r="C592" s="31">
        <f>IFERROR(__xludf.DUMMYFUNCTION("GOOGLEFINANCE(A592,""high"")"),145.69)</f>
        <v>145.69</v>
      </c>
      <c r="D592" s="31">
        <f>IFERROR(__xludf.DUMMYFUNCTION("GOOGLEFINANCE(A592,""low"")"),144.11)</f>
        <v>144.11</v>
      </c>
      <c r="E592" s="31">
        <f>IFERROR(__xludf.DUMMYFUNCTION("GOOGLEFINANCE(A592,""change"")"),-0.21)</f>
        <v>-0.21</v>
      </c>
      <c r="F592" s="32">
        <f>IFERROR(__xludf.DUMMYFUNCTION("GOOGLEFINANCE(A592,""changepct"")/100"),-0.0015)</f>
        <v>-0.0015</v>
      </c>
      <c r="G592" s="33">
        <f>IFERROR(__xludf.DUMMYFUNCTION("GOOGLEFINANCE(A592,""priceopen"")"),144.79)</f>
        <v>144.79</v>
      </c>
      <c r="H592" s="34">
        <f>IFERROR(__xludf.DUMMYFUNCTION("GOOGLEFINANCE(A592,""closeyest"")"),144.61)</f>
        <v>144.61</v>
      </c>
      <c r="I592" s="34">
        <f>IFERROR(__xludf.DUMMYFUNCTION("GOOGLEFINANCE(A592,""low52"")"),104.0)</f>
        <v>104</v>
      </c>
      <c r="J592" s="34">
        <f>IFERROR(__xludf.DUMMYFUNCTION("GOOGLEFINANCE(A592,""high52"")"),150.2)</f>
        <v>150.2</v>
      </c>
    </row>
    <row r="593">
      <c r="A593" s="30" t="str">
        <f>'6image_RS_benchmark_performance'!A593</f>
        <v>TPR</v>
      </c>
      <c r="B593" s="31">
        <f>IFERROR(__xludf.DUMMYFUNCTION("GOOGLEFINANCE(A593,""price"")"),39.41)</f>
        <v>39.41</v>
      </c>
      <c r="C593" s="31">
        <f>IFERROR(__xludf.DUMMYFUNCTION("GOOGLEFINANCE(A593,""high"")"),39.77)</f>
        <v>39.77</v>
      </c>
      <c r="D593" s="31">
        <f>IFERROR(__xludf.DUMMYFUNCTION("GOOGLEFINANCE(A593,""low"")"),37.67)</f>
        <v>37.67</v>
      </c>
      <c r="E593" s="31">
        <f>IFERROR(__xludf.DUMMYFUNCTION("GOOGLEFINANCE(A593,""change"")"),1.6)</f>
        <v>1.6</v>
      </c>
      <c r="F593" s="32">
        <f>IFERROR(__xludf.DUMMYFUNCTION("GOOGLEFINANCE(A593,""changepct"")/100"),0.042300000000000004)</f>
        <v>0.0423</v>
      </c>
      <c r="G593" s="33">
        <f>IFERROR(__xludf.DUMMYFUNCTION("GOOGLEFINANCE(A593,""priceopen"")"),37.83)</f>
        <v>37.83</v>
      </c>
      <c r="H593" s="34">
        <f>IFERROR(__xludf.DUMMYFUNCTION("GOOGLEFINANCE(A593,""closeyest"")"),37.81)</f>
        <v>37.81</v>
      </c>
      <c r="I593" s="34">
        <f>IFERROR(__xludf.DUMMYFUNCTION("GOOGLEFINANCE(A593,""low52"")"),12.94)</f>
        <v>12.94</v>
      </c>
      <c r="J593" s="34">
        <f>IFERROR(__xludf.DUMMYFUNCTION("GOOGLEFINANCE(A593,""high52"")"),49.67)</f>
        <v>49.67</v>
      </c>
    </row>
    <row r="594">
      <c r="A594" s="30" t="str">
        <f>'6image_RS_benchmark_performance'!A594</f>
        <v>TQQQ</v>
      </c>
      <c r="B594" s="31">
        <f>IFERROR(__xludf.DUMMYFUNCTION("GOOGLEFINANCE(A594,""price"")"),126.56)</f>
        <v>126.56</v>
      </c>
      <c r="C594" s="31">
        <f>IFERROR(__xludf.DUMMYFUNCTION("GOOGLEFINANCE(A594,""high"")"),128.3)</f>
        <v>128.3</v>
      </c>
      <c r="D594" s="31">
        <f>IFERROR(__xludf.DUMMYFUNCTION("GOOGLEFINANCE(A594,""low"")"),121.55)</f>
        <v>121.55</v>
      </c>
      <c r="E594" s="31">
        <f>IFERROR(__xludf.DUMMYFUNCTION("GOOGLEFINANCE(A594,""change"")"),4.04)</f>
        <v>4.04</v>
      </c>
      <c r="F594" s="32">
        <f>IFERROR(__xludf.DUMMYFUNCTION("GOOGLEFINANCE(A594,""changepct"")/100"),0.033)</f>
        <v>0.033</v>
      </c>
      <c r="G594" s="33">
        <f>IFERROR(__xludf.DUMMYFUNCTION("GOOGLEFINANCE(A594,""priceopen"")"),123.44)</f>
        <v>123.44</v>
      </c>
      <c r="H594" s="34">
        <f>IFERROR(__xludf.DUMMYFUNCTION("GOOGLEFINANCE(A594,""closeyest"")"),122.52)</f>
        <v>122.52</v>
      </c>
      <c r="I594" s="34">
        <f>IFERROR(__xludf.DUMMYFUNCTION("GOOGLEFINANCE(A594,""low52"")"),50.51)</f>
        <v>50.51</v>
      </c>
      <c r="J594" s="34">
        <f>IFERROR(__xludf.DUMMYFUNCTION("GOOGLEFINANCE(A594,""high52"")"),134.08)</f>
        <v>134.08</v>
      </c>
    </row>
    <row r="595">
      <c r="A595" s="30" t="str">
        <f>'6image_RS_benchmark_performance'!A595</f>
        <v>TRGP</v>
      </c>
      <c r="B595" s="31">
        <f>IFERROR(__xludf.DUMMYFUNCTION("GOOGLEFINANCE(A595,""price"")"),41.47)</f>
        <v>41.47</v>
      </c>
      <c r="C595" s="31">
        <f>IFERROR(__xludf.DUMMYFUNCTION("GOOGLEFINANCE(A595,""high"")"),41.7)</f>
        <v>41.7</v>
      </c>
      <c r="D595" s="31">
        <f>IFERROR(__xludf.DUMMYFUNCTION("GOOGLEFINANCE(A595,""low"")"),39.75)</f>
        <v>39.75</v>
      </c>
      <c r="E595" s="31">
        <f>IFERROR(__xludf.DUMMYFUNCTION("GOOGLEFINANCE(A595,""change"")"),1.43)</f>
        <v>1.43</v>
      </c>
      <c r="F595" s="32">
        <f>IFERROR(__xludf.DUMMYFUNCTION("GOOGLEFINANCE(A595,""changepct"")/100"),0.035699999999999996)</f>
        <v>0.0357</v>
      </c>
      <c r="G595" s="33">
        <f>IFERROR(__xludf.DUMMYFUNCTION("GOOGLEFINANCE(A595,""priceopen"")"),40.51)</f>
        <v>40.51</v>
      </c>
      <c r="H595" s="34">
        <f>IFERROR(__xludf.DUMMYFUNCTION("GOOGLEFINANCE(A595,""closeyest"")"),40.04)</f>
        <v>40.04</v>
      </c>
      <c r="I595" s="34">
        <f>IFERROR(__xludf.DUMMYFUNCTION("GOOGLEFINANCE(A595,""low52"")"),13.08)</f>
        <v>13.08</v>
      </c>
      <c r="J595" s="34">
        <f>IFERROR(__xludf.DUMMYFUNCTION("GOOGLEFINANCE(A595,""high52"")"),49.2)</f>
        <v>49.2</v>
      </c>
    </row>
    <row r="596">
      <c r="A596" s="30" t="str">
        <f>'6image_RS_benchmark_performance'!A596</f>
        <v>TRIP</v>
      </c>
      <c r="B596" s="31">
        <f>IFERROR(__xludf.DUMMYFUNCTION("GOOGLEFINANCE(A596,""price"")"),35.56)</f>
        <v>35.56</v>
      </c>
      <c r="C596" s="31">
        <f>IFERROR(__xludf.DUMMYFUNCTION("GOOGLEFINANCE(A596,""high"")"),36.1)</f>
        <v>36.1</v>
      </c>
      <c r="D596" s="31">
        <f>IFERROR(__xludf.DUMMYFUNCTION("GOOGLEFINANCE(A596,""low"")"),33.23)</f>
        <v>33.23</v>
      </c>
      <c r="E596" s="31">
        <f>IFERROR(__xludf.DUMMYFUNCTION("GOOGLEFINANCE(A596,""change"")"),1.29)</f>
        <v>1.29</v>
      </c>
      <c r="F596" s="32">
        <f>IFERROR(__xludf.DUMMYFUNCTION("GOOGLEFINANCE(A596,""changepct"")/100"),0.037599999999999995)</f>
        <v>0.0376</v>
      </c>
      <c r="G596" s="33">
        <f>IFERROR(__xludf.DUMMYFUNCTION("GOOGLEFINANCE(A596,""priceopen"")"),34.22)</f>
        <v>34.22</v>
      </c>
      <c r="H596" s="34">
        <f>IFERROR(__xludf.DUMMYFUNCTION("GOOGLEFINANCE(A596,""closeyest"")"),34.27)</f>
        <v>34.27</v>
      </c>
      <c r="I596" s="34">
        <f>IFERROR(__xludf.DUMMYFUNCTION("GOOGLEFINANCE(A596,""low52"")"),18.24)</f>
        <v>18.24</v>
      </c>
      <c r="J596" s="34">
        <f>IFERROR(__xludf.DUMMYFUNCTION("GOOGLEFINANCE(A596,""high52"")"),64.95)</f>
        <v>64.95</v>
      </c>
    </row>
    <row r="597">
      <c r="A597" s="30" t="str">
        <f>'6image_RS_benchmark_performance'!A597</f>
        <v>TRMB</v>
      </c>
      <c r="B597" s="31">
        <f>IFERROR(__xludf.DUMMYFUNCTION("GOOGLEFINANCE(A597,""price"")"),80.69)</f>
        <v>80.69</v>
      </c>
      <c r="C597" s="31">
        <f>IFERROR(__xludf.DUMMYFUNCTION("GOOGLEFINANCE(A597,""high"")"),81.43)</f>
        <v>81.43</v>
      </c>
      <c r="D597" s="31">
        <f>IFERROR(__xludf.DUMMYFUNCTION("GOOGLEFINANCE(A597,""low"")"),78.69)</f>
        <v>78.69</v>
      </c>
      <c r="E597" s="31">
        <f>IFERROR(__xludf.DUMMYFUNCTION("GOOGLEFINANCE(A597,""change"")"),1.98)</f>
        <v>1.98</v>
      </c>
      <c r="F597" s="32">
        <f>IFERROR(__xludf.DUMMYFUNCTION("GOOGLEFINANCE(A597,""changepct"")/100"),0.0252)</f>
        <v>0.0252</v>
      </c>
      <c r="G597" s="33">
        <f>IFERROR(__xludf.DUMMYFUNCTION("GOOGLEFINANCE(A597,""priceopen"")"),79.06)</f>
        <v>79.06</v>
      </c>
      <c r="H597" s="34">
        <f>IFERROR(__xludf.DUMMYFUNCTION("GOOGLEFINANCE(A597,""closeyest"")"),78.71)</f>
        <v>78.71</v>
      </c>
      <c r="I597" s="34">
        <f>IFERROR(__xludf.DUMMYFUNCTION("GOOGLEFINANCE(A597,""low52"")"),43.78)</f>
        <v>43.78</v>
      </c>
      <c r="J597" s="34">
        <f>IFERROR(__xludf.DUMMYFUNCTION("GOOGLEFINANCE(A597,""high52"")"),84.87)</f>
        <v>84.87</v>
      </c>
    </row>
    <row r="598">
      <c r="A598" s="30" t="str">
        <f>'6image_RS_benchmark_performance'!A598</f>
        <v>TROW</v>
      </c>
      <c r="B598" s="31">
        <f>IFERROR(__xludf.DUMMYFUNCTION("GOOGLEFINANCE(A598,""price"")"),204.28)</f>
        <v>204.28</v>
      </c>
      <c r="C598" s="31">
        <f>IFERROR(__xludf.DUMMYFUNCTION("GOOGLEFINANCE(A598,""high"")"),204.75)</f>
        <v>204.75</v>
      </c>
      <c r="D598" s="31">
        <f>IFERROR(__xludf.DUMMYFUNCTION("GOOGLEFINANCE(A598,""low"")"),197.78)</f>
        <v>197.78</v>
      </c>
      <c r="E598" s="31">
        <f>IFERROR(__xludf.DUMMYFUNCTION("GOOGLEFINANCE(A598,""change"")"),6.84)</f>
        <v>6.84</v>
      </c>
      <c r="F598" s="32">
        <f>IFERROR(__xludf.DUMMYFUNCTION("GOOGLEFINANCE(A598,""changepct"")/100"),0.0346)</f>
        <v>0.0346</v>
      </c>
      <c r="G598" s="33">
        <f>IFERROR(__xludf.DUMMYFUNCTION("GOOGLEFINANCE(A598,""priceopen"")"),198.38)</f>
        <v>198.38</v>
      </c>
      <c r="H598" s="34">
        <f>IFERROR(__xludf.DUMMYFUNCTION("GOOGLEFINANCE(A598,""closeyest"")"),197.44)</f>
        <v>197.44</v>
      </c>
      <c r="I598" s="34">
        <f>IFERROR(__xludf.DUMMYFUNCTION("GOOGLEFINANCE(A598,""low52"")"),121.58)</f>
        <v>121.58</v>
      </c>
      <c r="J598" s="34">
        <f>IFERROR(__xludf.DUMMYFUNCTION("GOOGLEFINANCE(A598,""high52"")"),212.41)</f>
        <v>212.41</v>
      </c>
    </row>
    <row r="599">
      <c r="A599" s="30" t="str">
        <f>'6image_RS_benchmark_performance'!A599</f>
        <v>TRV</v>
      </c>
      <c r="B599" s="31">
        <f>IFERROR(__xludf.DUMMYFUNCTION("GOOGLEFINANCE(A599,""price"")"),151.09)</f>
        <v>151.09</v>
      </c>
      <c r="C599" s="31">
        <f>IFERROR(__xludf.DUMMYFUNCTION("GOOGLEFINANCE(A599,""high"")"),154.41)</f>
        <v>154.41</v>
      </c>
      <c r="D599" s="31">
        <f>IFERROR(__xludf.DUMMYFUNCTION("GOOGLEFINANCE(A599,""low"")"),148.04)</f>
        <v>148.04</v>
      </c>
      <c r="E599" s="31">
        <f>IFERROR(__xludf.DUMMYFUNCTION("GOOGLEFINANCE(A599,""change"")"),-0.17)</f>
        <v>-0.17</v>
      </c>
      <c r="F599" s="32">
        <f>IFERROR(__xludf.DUMMYFUNCTION("GOOGLEFINANCE(A599,""changepct"")/100"),-0.0011)</f>
        <v>-0.0011</v>
      </c>
      <c r="G599" s="33">
        <f>IFERROR(__xludf.DUMMYFUNCTION("GOOGLEFINANCE(A599,""priceopen"")"),151.31)</f>
        <v>151.31</v>
      </c>
      <c r="H599" s="34">
        <f>IFERROR(__xludf.DUMMYFUNCTION("GOOGLEFINANCE(A599,""closeyest"")"),151.26)</f>
        <v>151.26</v>
      </c>
      <c r="I599" s="34">
        <f>IFERROR(__xludf.DUMMYFUNCTION("GOOGLEFINANCE(A599,""low52"")"),105.67)</f>
        <v>105.67</v>
      </c>
      <c r="J599" s="34">
        <f>IFERROR(__xludf.DUMMYFUNCTION("GOOGLEFINANCE(A599,""high52"")"),162.71)</f>
        <v>162.71</v>
      </c>
    </row>
    <row r="600">
      <c r="A600" s="30" t="str">
        <f>'6image_RS_benchmark_performance'!A600</f>
        <v>TSCO</v>
      </c>
      <c r="B600" s="31">
        <f>IFERROR(__xludf.DUMMYFUNCTION("GOOGLEFINANCE(A600,""price"")"),183.64)</f>
        <v>183.64</v>
      </c>
      <c r="C600" s="31">
        <f>IFERROR(__xludf.DUMMYFUNCTION("GOOGLEFINANCE(A600,""high"")"),184.45)</f>
        <v>184.45</v>
      </c>
      <c r="D600" s="31">
        <f>IFERROR(__xludf.DUMMYFUNCTION("GOOGLEFINANCE(A600,""low"")"),178.0)</f>
        <v>178</v>
      </c>
      <c r="E600" s="31">
        <f>IFERROR(__xludf.DUMMYFUNCTION("GOOGLEFINANCE(A600,""change"")"),2.7)</f>
        <v>2.7</v>
      </c>
      <c r="F600" s="32">
        <f>IFERROR(__xludf.DUMMYFUNCTION("GOOGLEFINANCE(A600,""changepct"")/100"),0.0149)</f>
        <v>0.0149</v>
      </c>
      <c r="G600" s="33">
        <f>IFERROR(__xludf.DUMMYFUNCTION("GOOGLEFINANCE(A600,""priceopen"")"),181.96)</f>
        <v>181.96</v>
      </c>
      <c r="H600" s="34">
        <f>IFERROR(__xludf.DUMMYFUNCTION("GOOGLEFINANCE(A600,""closeyest"")"),180.94)</f>
        <v>180.94</v>
      </c>
      <c r="I600" s="34">
        <f>IFERROR(__xludf.DUMMYFUNCTION("GOOGLEFINANCE(A600,""low52"")"),127.78)</f>
        <v>127.78</v>
      </c>
      <c r="J600" s="34">
        <f>IFERROR(__xludf.DUMMYFUNCTION("GOOGLEFINANCE(A600,""high52"")"),200.75)</f>
        <v>200.75</v>
      </c>
    </row>
    <row r="601">
      <c r="A601" s="30" t="str">
        <f>'6image_RS_benchmark_performance'!A601</f>
        <v>TSLA</v>
      </c>
      <c r="B601" s="31">
        <f>IFERROR(__xludf.DUMMYFUNCTION("GOOGLEFINANCE(A601,""price"")"),660.5)</f>
        <v>660.5</v>
      </c>
      <c r="C601" s="31">
        <f>IFERROR(__xludf.DUMMYFUNCTION("GOOGLEFINANCE(A601,""high"")"),662.39)</f>
        <v>662.39</v>
      </c>
      <c r="D601" s="31">
        <f>IFERROR(__xludf.DUMMYFUNCTION("GOOGLEFINANCE(A601,""low"")"),640.5)</f>
        <v>640.5</v>
      </c>
      <c r="E601" s="31">
        <f>IFERROR(__xludf.DUMMYFUNCTION("GOOGLEFINANCE(A601,""change"")"),14.28)</f>
        <v>14.28</v>
      </c>
      <c r="F601" s="32">
        <f>IFERROR(__xludf.DUMMYFUNCTION("GOOGLEFINANCE(A601,""changepct"")/100"),0.022099999999999998)</f>
        <v>0.0221</v>
      </c>
      <c r="G601" s="33">
        <f>IFERROR(__xludf.DUMMYFUNCTION("GOOGLEFINANCE(A601,""priceopen"")"),651.99)</f>
        <v>651.99</v>
      </c>
      <c r="H601" s="34">
        <f>IFERROR(__xludf.DUMMYFUNCTION("GOOGLEFINANCE(A601,""closeyest"")"),646.22)</f>
        <v>646.22</v>
      </c>
      <c r="I601" s="34">
        <f>IFERROR(__xludf.DUMMYFUNCTION("GOOGLEFINANCE(A601,""low52"")"),273.0)</f>
        <v>273</v>
      </c>
      <c r="J601" s="34">
        <f>IFERROR(__xludf.DUMMYFUNCTION("GOOGLEFINANCE(A601,""high52"")"),900.4)</f>
        <v>900.4</v>
      </c>
    </row>
    <row r="602">
      <c r="A602" s="30" t="str">
        <f>'6image_RS_benchmark_performance'!A602</f>
        <v>TSN</v>
      </c>
      <c r="B602" s="31">
        <f>IFERROR(__xludf.DUMMYFUNCTION("GOOGLEFINANCE(A602,""price"")"),71.34)</f>
        <v>71.34</v>
      </c>
      <c r="C602" s="31">
        <f>IFERROR(__xludf.DUMMYFUNCTION("GOOGLEFINANCE(A602,""high"")"),72.18)</f>
        <v>72.18</v>
      </c>
      <c r="D602" s="31">
        <f>IFERROR(__xludf.DUMMYFUNCTION("GOOGLEFINANCE(A602,""low"")"),70.82)</f>
        <v>70.82</v>
      </c>
      <c r="E602" s="31">
        <f>IFERROR(__xludf.DUMMYFUNCTION("GOOGLEFINANCE(A602,""change"")"),0.42)</f>
        <v>0.42</v>
      </c>
      <c r="F602" s="32">
        <f>IFERROR(__xludf.DUMMYFUNCTION("GOOGLEFINANCE(A602,""changepct"")/100"),0.0059)</f>
        <v>0.0059</v>
      </c>
      <c r="G602" s="33">
        <f>IFERROR(__xludf.DUMMYFUNCTION("GOOGLEFINANCE(A602,""priceopen"")"),71.0)</f>
        <v>71</v>
      </c>
      <c r="H602" s="34">
        <f>IFERROR(__xludf.DUMMYFUNCTION("GOOGLEFINANCE(A602,""closeyest"")"),70.92)</f>
        <v>70.92</v>
      </c>
      <c r="I602" s="34">
        <f>IFERROR(__xludf.DUMMYFUNCTION("GOOGLEFINANCE(A602,""low52"")"),55.82)</f>
        <v>55.82</v>
      </c>
      <c r="J602" s="34">
        <f>IFERROR(__xludf.DUMMYFUNCTION("GOOGLEFINANCE(A602,""high52"")"),81.79)</f>
        <v>81.79</v>
      </c>
    </row>
    <row r="603">
      <c r="A603" s="30" t="str">
        <f>'6image_RS_benchmark_performance'!A603</f>
        <v>TT</v>
      </c>
      <c r="B603" s="31">
        <f>IFERROR(__xludf.DUMMYFUNCTION("GOOGLEFINANCE(A603,""price"")"),196.48)</f>
        <v>196.48</v>
      </c>
      <c r="C603" s="31">
        <f>IFERROR(__xludf.DUMMYFUNCTION("GOOGLEFINANCE(A603,""high"")"),197.43)</f>
        <v>197.43</v>
      </c>
      <c r="D603" s="31">
        <f>IFERROR(__xludf.DUMMYFUNCTION("GOOGLEFINANCE(A603,""low"")"),189.67)</f>
        <v>189.67</v>
      </c>
      <c r="E603" s="31">
        <f>IFERROR(__xludf.DUMMYFUNCTION("GOOGLEFINANCE(A603,""change"")"),6.83)</f>
        <v>6.83</v>
      </c>
      <c r="F603" s="32">
        <f>IFERROR(__xludf.DUMMYFUNCTION("GOOGLEFINANCE(A603,""changepct"")/100"),0.036000000000000004)</f>
        <v>0.036</v>
      </c>
      <c r="G603" s="33">
        <f>IFERROR(__xludf.DUMMYFUNCTION("GOOGLEFINANCE(A603,""priceopen"")"),189.93)</f>
        <v>189.93</v>
      </c>
      <c r="H603" s="34">
        <f>IFERROR(__xludf.DUMMYFUNCTION("GOOGLEFINANCE(A603,""closeyest"")"),189.65)</f>
        <v>189.65</v>
      </c>
      <c r="I603" s="34">
        <f>IFERROR(__xludf.DUMMYFUNCTION("GOOGLEFINANCE(A603,""low52"")"),101.76)</f>
        <v>101.76</v>
      </c>
      <c r="J603" s="34">
        <f>IFERROR(__xludf.DUMMYFUNCTION("GOOGLEFINANCE(A603,""high52"")"),197.43)</f>
        <v>197.43</v>
      </c>
    </row>
    <row r="604">
      <c r="A604" s="30" t="str">
        <f>'6image_RS_benchmark_performance'!A604</f>
        <v>TTD</v>
      </c>
      <c r="B604" s="31">
        <f>IFERROR(__xludf.DUMMYFUNCTION("GOOGLEFINANCE(A604,""price"")"),73.0)</f>
        <v>73</v>
      </c>
      <c r="C604" s="31">
        <f>IFERROR(__xludf.DUMMYFUNCTION("GOOGLEFINANCE(A604,""high"")"),73.83)</f>
        <v>73.83</v>
      </c>
      <c r="D604" s="31">
        <f>IFERROR(__xludf.DUMMYFUNCTION("GOOGLEFINANCE(A604,""low"")"),69.34)</f>
        <v>69.34</v>
      </c>
      <c r="E604" s="31">
        <f>IFERROR(__xludf.DUMMYFUNCTION("GOOGLEFINANCE(A604,""change"")"),2.06)</f>
        <v>2.06</v>
      </c>
      <c r="F604" s="32">
        <f>IFERROR(__xludf.DUMMYFUNCTION("GOOGLEFINANCE(A604,""changepct"")/100"),0.028999999999999998)</f>
        <v>0.029</v>
      </c>
      <c r="G604" s="33">
        <f>IFERROR(__xludf.DUMMYFUNCTION("GOOGLEFINANCE(A604,""priceopen"")"),71.69)</f>
        <v>71.69</v>
      </c>
      <c r="H604" s="34">
        <f>IFERROR(__xludf.DUMMYFUNCTION("GOOGLEFINANCE(A604,""closeyest"")"),70.94)</f>
        <v>70.94</v>
      </c>
      <c r="I604" s="34">
        <f>IFERROR(__xludf.DUMMYFUNCTION("GOOGLEFINANCE(A604,""low52"")"),40.4)</f>
        <v>40.4</v>
      </c>
      <c r="J604" s="34">
        <f>IFERROR(__xludf.DUMMYFUNCTION("GOOGLEFINANCE(A604,""high52"")"),97.28)</f>
        <v>97.28</v>
      </c>
    </row>
    <row r="605">
      <c r="A605" s="30" t="str">
        <f>'6image_RS_benchmark_performance'!A605</f>
        <v>TTWO</v>
      </c>
      <c r="B605" s="31">
        <f>IFERROR(__xludf.DUMMYFUNCTION("GOOGLEFINANCE(A605,""price"")"),170.02)</f>
        <v>170.02</v>
      </c>
      <c r="C605" s="31">
        <f>IFERROR(__xludf.DUMMYFUNCTION("GOOGLEFINANCE(A605,""high"")"),171.1)</f>
        <v>171.1</v>
      </c>
      <c r="D605" s="31">
        <f>IFERROR(__xludf.DUMMYFUNCTION("GOOGLEFINANCE(A605,""low"")"),167.97)</f>
        <v>167.97</v>
      </c>
      <c r="E605" s="31">
        <f>IFERROR(__xludf.DUMMYFUNCTION("GOOGLEFINANCE(A605,""change"")"),1.06)</f>
        <v>1.06</v>
      </c>
      <c r="F605" s="32">
        <f>IFERROR(__xludf.DUMMYFUNCTION("GOOGLEFINANCE(A605,""changepct"")/100"),0.0063)</f>
        <v>0.0063</v>
      </c>
      <c r="G605" s="33">
        <f>IFERROR(__xludf.DUMMYFUNCTION("GOOGLEFINANCE(A605,""priceopen"")"),170.91)</f>
        <v>170.91</v>
      </c>
      <c r="H605" s="34">
        <f>IFERROR(__xludf.DUMMYFUNCTION("GOOGLEFINANCE(A605,""closeyest"")"),168.96)</f>
        <v>168.96</v>
      </c>
      <c r="I605" s="34">
        <f>IFERROR(__xludf.DUMMYFUNCTION("GOOGLEFINANCE(A605,""low52"")"),148.88)</f>
        <v>148.88</v>
      </c>
      <c r="J605" s="34">
        <f>IFERROR(__xludf.DUMMYFUNCTION("GOOGLEFINANCE(A605,""high52"")"),214.91)</f>
        <v>214.91</v>
      </c>
    </row>
    <row r="606">
      <c r="A606" s="30" t="str">
        <f>'6image_RS_benchmark_performance'!A606</f>
        <v>TWLO</v>
      </c>
      <c r="B606" s="31">
        <f>IFERROR(__xludf.DUMMYFUNCTION("GOOGLEFINANCE(A606,""price"")"),390.22)</f>
        <v>390.22</v>
      </c>
      <c r="C606" s="31">
        <f>IFERROR(__xludf.DUMMYFUNCTION("GOOGLEFINANCE(A606,""high"")"),394.2)</f>
        <v>394.2</v>
      </c>
      <c r="D606" s="31">
        <f>IFERROR(__xludf.DUMMYFUNCTION("GOOGLEFINANCE(A606,""low"")"),375.14)</f>
        <v>375.14</v>
      </c>
      <c r="E606" s="31">
        <f>IFERROR(__xludf.DUMMYFUNCTION("GOOGLEFINANCE(A606,""change"")"),11.16)</f>
        <v>11.16</v>
      </c>
      <c r="F606" s="32">
        <f>IFERROR(__xludf.DUMMYFUNCTION("GOOGLEFINANCE(A606,""changepct"")/100"),0.0294)</f>
        <v>0.0294</v>
      </c>
      <c r="G606" s="33">
        <f>IFERROR(__xludf.DUMMYFUNCTION("GOOGLEFINANCE(A606,""priceopen"")"),382.95)</f>
        <v>382.95</v>
      </c>
      <c r="H606" s="34">
        <f>IFERROR(__xludf.DUMMYFUNCTION("GOOGLEFINANCE(A606,""closeyest"")"),379.06)</f>
        <v>379.06</v>
      </c>
      <c r="I606" s="34">
        <f>IFERROR(__xludf.DUMMYFUNCTION("GOOGLEFINANCE(A606,""low52"")"),216.23)</f>
        <v>216.23</v>
      </c>
      <c r="J606" s="34">
        <f>IFERROR(__xludf.DUMMYFUNCTION("GOOGLEFINANCE(A606,""high52"")"),457.3)</f>
        <v>457.3</v>
      </c>
    </row>
    <row r="607">
      <c r="A607" s="30" t="str">
        <f>'6image_RS_benchmark_performance'!A607</f>
        <v>TWTR</v>
      </c>
      <c r="B607" s="31">
        <f>IFERROR(__xludf.DUMMYFUNCTION("GOOGLEFINANCE(A607,""price"")"),67.94)</f>
        <v>67.94</v>
      </c>
      <c r="C607" s="31">
        <f>IFERROR(__xludf.DUMMYFUNCTION("GOOGLEFINANCE(A607,""high"")"),68.54)</f>
        <v>68.54</v>
      </c>
      <c r="D607" s="31">
        <f>IFERROR(__xludf.DUMMYFUNCTION("GOOGLEFINANCE(A607,""low"")"),65.82)</f>
        <v>65.82</v>
      </c>
      <c r="E607" s="31">
        <f>IFERROR(__xludf.DUMMYFUNCTION("GOOGLEFINANCE(A607,""change"")"),1.92)</f>
        <v>1.92</v>
      </c>
      <c r="F607" s="32">
        <f>IFERROR(__xludf.DUMMYFUNCTION("GOOGLEFINANCE(A607,""changepct"")/100"),0.0291)</f>
        <v>0.0291</v>
      </c>
      <c r="G607" s="33">
        <f>IFERROR(__xludf.DUMMYFUNCTION("GOOGLEFINANCE(A607,""priceopen"")"),66.25)</f>
        <v>66.25</v>
      </c>
      <c r="H607" s="34">
        <f>IFERROR(__xludf.DUMMYFUNCTION("GOOGLEFINANCE(A607,""closeyest"")"),66.02)</f>
        <v>66.02</v>
      </c>
      <c r="I607" s="34">
        <f>IFERROR(__xludf.DUMMYFUNCTION("GOOGLEFINANCE(A607,""low52"")"),35.65)</f>
        <v>35.65</v>
      </c>
      <c r="J607" s="34">
        <f>IFERROR(__xludf.DUMMYFUNCTION("GOOGLEFINANCE(A607,""high52"")"),80.75)</f>
        <v>80.75</v>
      </c>
    </row>
    <row r="608">
      <c r="A608" s="30" t="str">
        <f>'6image_RS_benchmark_performance'!A608</f>
        <v>TXN</v>
      </c>
      <c r="B608" s="31">
        <f>IFERROR(__xludf.DUMMYFUNCTION("GOOGLEFINANCE(A608,""price"")"),187.77)</f>
        <v>187.77</v>
      </c>
      <c r="C608" s="31">
        <f>IFERROR(__xludf.DUMMYFUNCTION("GOOGLEFINANCE(A608,""high"")"),189.18)</f>
        <v>189.18</v>
      </c>
      <c r="D608" s="31">
        <f>IFERROR(__xludf.DUMMYFUNCTION("GOOGLEFINANCE(A608,""low"")"),185.76)</f>
        <v>185.76</v>
      </c>
      <c r="E608" s="31">
        <f>IFERROR(__xludf.DUMMYFUNCTION("GOOGLEFINANCE(A608,""change"")"),1.53)</f>
        <v>1.53</v>
      </c>
      <c r="F608" s="32">
        <f>IFERROR(__xludf.DUMMYFUNCTION("GOOGLEFINANCE(A608,""changepct"")/100"),0.008199999999999999)</f>
        <v>0.0082</v>
      </c>
      <c r="G608" s="33">
        <f>IFERROR(__xludf.DUMMYFUNCTION("GOOGLEFINANCE(A608,""priceopen"")"),187.06)</f>
        <v>187.06</v>
      </c>
      <c r="H608" s="34">
        <f>IFERROR(__xludf.DUMMYFUNCTION("GOOGLEFINANCE(A608,""closeyest"")"),186.24)</f>
        <v>186.24</v>
      </c>
      <c r="I608" s="34">
        <f>IFERROR(__xludf.DUMMYFUNCTION("GOOGLEFINANCE(A608,""low52"")"),125.43)</f>
        <v>125.43</v>
      </c>
      <c r="J608" s="34">
        <f>IFERROR(__xludf.DUMMYFUNCTION("GOOGLEFINANCE(A608,""high52"")"),197.58)</f>
        <v>197.58</v>
      </c>
    </row>
    <row r="609">
      <c r="A609" s="30" t="str">
        <f>'6image_RS_benchmark_performance'!A609</f>
        <v>TXT</v>
      </c>
      <c r="B609" s="31">
        <f>IFERROR(__xludf.DUMMYFUNCTION("GOOGLEFINANCE(A609,""price"")"),67.07)</f>
        <v>67.07</v>
      </c>
      <c r="C609" s="31">
        <f>IFERROR(__xludf.DUMMYFUNCTION("GOOGLEFINANCE(A609,""high"")"),67.28)</f>
        <v>67.28</v>
      </c>
      <c r="D609" s="31">
        <f>IFERROR(__xludf.DUMMYFUNCTION("GOOGLEFINANCE(A609,""low"")"),63.69)</f>
        <v>63.69</v>
      </c>
      <c r="E609" s="31">
        <f>IFERROR(__xludf.DUMMYFUNCTION("GOOGLEFINANCE(A609,""change"")"),3.52)</f>
        <v>3.52</v>
      </c>
      <c r="F609" s="32">
        <f>IFERROR(__xludf.DUMMYFUNCTION("GOOGLEFINANCE(A609,""changepct"")/100"),0.0554)</f>
        <v>0.0554</v>
      </c>
      <c r="G609" s="33">
        <f>IFERROR(__xludf.DUMMYFUNCTION("GOOGLEFINANCE(A609,""priceopen"")"),64.14)</f>
        <v>64.14</v>
      </c>
      <c r="H609" s="34">
        <f>IFERROR(__xludf.DUMMYFUNCTION("GOOGLEFINANCE(A609,""closeyest"")"),63.55)</f>
        <v>63.55</v>
      </c>
      <c r="I609" s="34">
        <f>IFERROR(__xludf.DUMMYFUNCTION("GOOGLEFINANCE(A609,""low52"")"),31.82)</f>
        <v>31.82</v>
      </c>
      <c r="J609" s="34">
        <f>IFERROR(__xludf.DUMMYFUNCTION("GOOGLEFINANCE(A609,""high52"")"),70.68)</f>
        <v>70.68</v>
      </c>
    </row>
    <row r="610">
      <c r="A610" s="30" t="str">
        <f>'6image_RS_benchmark_performance'!A610</f>
        <v>TYL</v>
      </c>
      <c r="B610" s="31">
        <f>IFERROR(__xludf.DUMMYFUNCTION("GOOGLEFINANCE(A610,""price"")"),487.29)</f>
        <v>487.29</v>
      </c>
      <c r="C610" s="31">
        <f>IFERROR(__xludf.DUMMYFUNCTION("GOOGLEFINANCE(A610,""high"")"),489.79)</f>
        <v>489.79</v>
      </c>
      <c r="D610" s="31">
        <f>IFERROR(__xludf.DUMMYFUNCTION("GOOGLEFINANCE(A610,""low"")"),481.94)</f>
        <v>481.94</v>
      </c>
      <c r="E610" s="31">
        <f>IFERROR(__xludf.DUMMYFUNCTION("GOOGLEFINANCE(A610,""change"")"),5.35)</f>
        <v>5.35</v>
      </c>
      <c r="F610" s="32">
        <f>IFERROR(__xludf.DUMMYFUNCTION("GOOGLEFINANCE(A610,""changepct"")/100"),0.0111)</f>
        <v>0.0111</v>
      </c>
      <c r="G610" s="33">
        <f>IFERROR(__xludf.DUMMYFUNCTION("GOOGLEFINANCE(A610,""priceopen"")"),483.84)</f>
        <v>483.84</v>
      </c>
      <c r="H610" s="34">
        <f>IFERROR(__xludf.DUMMYFUNCTION("GOOGLEFINANCE(A610,""closeyest"")"),481.94)</f>
        <v>481.94</v>
      </c>
      <c r="I610" s="34">
        <f>IFERROR(__xludf.DUMMYFUNCTION("GOOGLEFINANCE(A610,""low52"")"),319.58)</f>
        <v>319.58</v>
      </c>
      <c r="J610" s="34">
        <f>IFERROR(__xludf.DUMMYFUNCTION("GOOGLEFINANCE(A610,""high52"")"),489.79)</f>
        <v>489.79</v>
      </c>
    </row>
    <row r="611">
      <c r="A611" s="30" t="str">
        <f>'6image_RS_benchmark_performance'!A611</f>
        <v>UA</v>
      </c>
      <c r="B611" s="31">
        <f>IFERROR(__xludf.DUMMYFUNCTION("GOOGLEFINANCE(A611,""price"")"),17.35)</f>
        <v>17.35</v>
      </c>
      <c r="C611" s="31">
        <f>IFERROR(__xludf.DUMMYFUNCTION("GOOGLEFINANCE(A611,""high"")"),17.54)</f>
        <v>17.54</v>
      </c>
      <c r="D611" s="31">
        <f>IFERROR(__xludf.DUMMYFUNCTION("GOOGLEFINANCE(A611,""low"")"),16.62)</f>
        <v>16.62</v>
      </c>
      <c r="E611" s="31">
        <f>IFERROR(__xludf.DUMMYFUNCTION("GOOGLEFINANCE(A611,""change"")"),0.62)</f>
        <v>0.62</v>
      </c>
      <c r="F611" s="32">
        <f>IFERROR(__xludf.DUMMYFUNCTION("GOOGLEFINANCE(A611,""changepct"")/100"),0.0371)</f>
        <v>0.0371</v>
      </c>
      <c r="G611" s="33">
        <f>IFERROR(__xludf.DUMMYFUNCTION("GOOGLEFINANCE(A611,""priceopen"")"),16.79)</f>
        <v>16.79</v>
      </c>
      <c r="H611" s="34">
        <f>IFERROR(__xludf.DUMMYFUNCTION("GOOGLEFINANCE(A611,""closeyest"")"),16.73)</f>
        <v>16.73</v>
      </c>
      <c r="I611" s="34">
        <f>IFERROR(__xludf.DUMMYFUNCTION("GOOGLEFINANCE(A611,""low52"")"),8.71)</f>
        <v>8.71</v>
      </c>
      <c r="J611" s="34">
        <f>IFERROR(__xludf.DUMMYFUNCTION("GOOGLEFINANCE(A611,""high52"")"),21.83)</f>
        <v>21.83</v>
      </c>
    </row>
    <row r="612">
      <c r="A612" s="30" t="str">
        <f>'6image_RS_benchmark_performance'!A612</f>
        <v>UAA</v>
      </c>
      <c r="B612" s="31">
        <f>IFERROR(__xludf.DUMMYFUNCTION("GOOGLEFINANCE(A612,""price"")"),19.67)</f>
        <v>19.67</v>
      </c>
      <c r="C612" s="31">
        <f>IFERROR(__xludf.DUMMYFUNCTION("GOOGLEFINANCE(A612,""high"")"),19.93)</f>
        <v>19.93</v>
      </c>
      <c r="D612" s="31">
        <f>IFERROR(__xludf.DUMMYFUNCTION("GOOGLEFINANCE(A612,""low"")"),18.76)</f>
        <v>18.76</v>
      </c>
      <c r="E612" s="31">
        <f>IFERROR(__xludf.DUMMYFUNCTION("GOOGLEFINANCE(A612,""change"")"),0.77)</f>
        <v>0.77</v>
      </c>
      <c r="F612" s="32">
        <f>IFERROR(__xludf.DUMMYFUNCTION("GOOGLEFINANCE(A612,""changepct"")/100"),0.0407)</f>
        <v>0.0407</v>
      </c>
      <c r="G612" s="33">
        <f>IFERROR(__xludf.DUMMYFUNCTION("GOOGLEFINANCE(A612,""priceopen"")"),18.97)</f>
        <v>18.97</v>
      </c>
      <c r="H612" s="34">
        <f>IFERROR(__xludf.DUMMYFUNCTION("GOOGLEFINANCE(A612,""closeyest"")"),18.9)</f>
        <v>18.9</v>
      </c>
      <c r="I612" s="34">
        <f>IFERROR(__xludf.DUMMYFUNCTION("GOOGLEFINANCE(A612,""low52"")"),9.63)</f>
        <v>9.63</v>
      </c>
      <c r="J612" s="34">
        <f>IFERROR(__xludf.DUMMYFUNCTION("GOOGLEFINANCE(A612,""high52"")"),26.45)</f>
        <v>26.45</v>
      </c>
    </row>
    <row r="613">
      <c r="A613" s="30" t="str">
        <f>'6image_RS_benchmark_performance'!A613</f>
        <v>UAL</v>
      </c>
      <c r="B613" s="31">
        <f>IFERROR(__xludf.DUMMYFUNCTION("GOOGLEFINANCE(A613,""price"")"),46.32)</f>
        <v>46.32</v>
      </c>
      <c r="C613" s="31">
        <f>IFERROR(__xludf.DUMMYFUNCTION("GOOGLEFINANCE(A613,""high"")"),46.46)</f>
        <v>46.46</v>
      </c>
      <c r="D613" s="31">
        <f>IFERROR(__xludf.DUMMYFUNCTION("GOOGLEFINANCE(A613,""low"")"),43.07)</f>
        <v>43.07</v>
      </c>
      <c r="E613" s="31">
        <f>IFERROR(__xludf.DUMMYFUNCTION("GOOGLEFINANCE(A613,""change"")"),2.86)</f>
        <v>2.86</v>
      </c>
      <c r="F613" s="32">
        <f>IFERROR(__xludf.DUMMYFUNCTION("GOOGLEFINANCE(A613,""changepct"")/100"),0.0658)</f>
        <v>0.0658</v>
      </c>
      <c r="G613" s="33">
        <f>IFERROR(__xludf.DUMMYFUNCTION("GOOGLEFINANCE(A613,""priceopen"")"),43.55)</f>
        <v>43.55</v>
      </c>
      <c r="H613" s="34">
        <f>IFERROR(__xludf.DUMMYFUNCTION("GOOGLEFINANCE(A613,""closeyest"")"),43.46)</f>
        <v>43.46</v>
      </c>
      <c r="I613" s="34">
        <f>IFERROR(__xludf.DUMMYFUNCTION("GOOGLEFINANCE(A613,""low52"")"),30.32)</f>
        <v>30.32</v>
      </c>
      <c r="J613" s="34">
        <f>IFERROR(__xludf.DUMMYFUNCTION("GOOGLEFINANCE(A613,""high52"")"),63.7)</f>
        <v>63.7</v>
      </c>
    </row>
    <row r="614">
      <c r="A614" s="30" t="str">
        <f>'6image_RS_benchmark_performance'!A614</f>
        <v>UBER</v>
      </c>
      <c r="B614" s="31">
        <f>IFERROR(__xludf.DUMMYFUNCTION("GOOGLEFINANCE(A614,""price"")"),46.32)</f>
        <v>46.32</v>
      </c>
      <c r="C614" s="31">
        <f>IFERROR(__xludf.DUMMYFUNCTION("GOOGLEFINANCE(A614,""high"")"),46.66)</f>
        <v>46.66</v>
      </c>
      <c r="D614" s="31">
        <f>IFERROR(__xludf.DUMMYFUNCTION("GOOGLEFINANCE(A614,""low"")"),45.07)</f>
        <v>45.07</v>
      </c>
      <c r="E614" s="31">
        <f>IFERROR(__xludf.DUMMYFUNCTION("GOOGLEFINANCE(A614,""change"")"),0.76)</f>
        <v>0.76</v>
      </c>
      <c r="F614" s="32">
        <f>IFERROR(__xludf.DUMMYFUNCTION("GOOGLEFINANCE(A614,""changepct"")/100"),0.0167)</f>
        <v>0.0167</v>
      </c>
      <c r="G614" s="33">
        <f>IFERROR(__xludf.DUMMYFUNCTION("GOOGLEFINANCE(A614,""priceopen"")"),45.46)</f>
        <v>45.46</v>
      </c>
      <c r="H614" s="34">
        <f>IFERROR(__xludf.DUMMYFUNCTION("GOOGLEFINANCE(A614,""closeyest"")"),45.56)</f>
        <v>45.56</v>
      </c>
      <c r="I614" s="34">
        <f>IFERROR(__xludf.DUMMYFUNCTION("GOOGLEFINANCE(A614,""low52"")"),28.48)</f>
        <v>28.48</v>
      </c>
      <c r="J614" s="34">
        <f>IFERROR(__xludf.DUMMYFUNCTION("GOOGLEFINANCE(A614,""high52"")"),64.05)</f>
        <v>64.05</v>
      </c>
    </row>
    <row r="615">
      <c r="A615" s="30" t="str">
        <f>'6image_RS_benchmark_performance'!A615</f>
        <v>UDR</v>
      </c>
      <c r="B615" s="31">
        <f>IFERROR(__xludf.DUMMYFUNCTION("GOOGLEFINANCE(A615,""price"")"),54.17)</f>
        <v>54.17</v>
      </c>
      <c r="C615" s="31">
        <f>IFERROR(__xludf.DUMMYFUNCTION("GOOGLEFINANCE(A615,""high"")"),54.53)</f>
        <v>54.53</v>
      </c>
      <c r="D615" s="31">
        <f>IFERROR(__xludf.DUMMYFUNCTION("GOOGLEFINANCE(A615,""low"")"),52.72)</f>
        <v>52.72</v>
      </c>
      <c r="E615" s="31">
        <f>IFERROR(__xludf.DUMMYFUNCTION("GOOGLEFINANCE(A615,""change"")"),1.46)</f>
        <v>1.46</v>
      </c>
      <c r="F615" s="32">
        <f>IFERROR(__xludf.DUMMYFUNCTION("GOOGLEFINANCE(A615,""changepct"")/100"),0.0277)</f>
        <v>0.0277</v>
      </c>
      <c r="G615" s="33">
        <f>IFERROR(__xludf.DUMMYFUNCTION("GOOGLEFINANCE(A615,""priceopen"")"),52.98)</f>
        <v>52.98</v>
      </c>
      <c r="H615" s="34">
        <f>IFERROR(__xludf.DUMMYFUNCTION("GOOGLEFINANCE(A615,""closeyest"")"),52.71)</f>
        <v>52.71</v>
      </c>
      <c r="I615" s="34">
        <f>IFERROR(__xludf.DUMMYFUNCTION("GOOGLEFINANCE(A615,""low52"")"),29.34)</f>
        <v>29.34</v>
      </c>
      <c r="J615" s="34">
        <f>IFERROR(__xludf.DUMMYFUNCTION("GOOGLEFINANCE(A615,""high52"")"),54.53)</f>
        <v>54.53</v>
      </c>
    </row>
    <row r="616">
      <c r="A616" s="30" t="str">
        <f>'6image_RS_benchmark_performance'!A616</f>
        <v>UHS</v>
      </c>
      <c r="B616" s="31">
        <f>IFERROR(__xludf.DUMMYFUNCTION("GOOGLEFINANCE(A616,""price"")"),153.17)</f>
        <v>153.17</v>
      </c>
      <c r="C616" s="31">
        <f>IFERROR(__xludf.DUMMYFUNCTION("GOOGLEFINANCE(A616,""high"")"),156.7)</f>
        <v>156.7</v>
      </c>
      <c r="D616" s="31">
        <f>IFERROR(__xludf.DUMMYFUNCTION("GOOGLEFINANCE(A616,""low"")"),149.44)</f>
        <v>149.44</v>
      </c>
      <c r="E616" s="31">
        <f>IFERROR(__xludf.DUMMYFUNCTION("GOOGLEFINANCE(A616,""change"")"),6.88)</f>
        <v>6.88</v>
      </c>
      <c r="F616" s="32">
        <f>IFERROR(__xludf.DUMMYFUNCTION("GOOGLEFINANCE(A616,""changepct"")/100"),0.047)</f>
        <v>0.047</v>
      </c>
      <c r="G616" s="33">
        <f>IFERROR(__xludf.DUMMYFUNCTION("GOOGLEFINANCE(A616,""priceopen"")"),149.94)</f>
        <v>149.94</v>
      </c>
      <c r="H616" s="34">
        <f>IFERROR(__xludf.DUMMYFUNCTION("GOOGLEFINANCE(A616,""closeyest"")"),146.29)</f>
        <v>146.29</v>
      </c>
      <c r="I616" s="34">
        <f>IFERROR(__xludf.DUMMYFUNCTION("GOOGLEFINANCE(A616,""low52"")"),95.03)</f>
        <v>95.03</v>
      </c>
      <c r="J616" s="34">
        <f>IFERROR(__xludf.DUMMYFUNCTION("GOOGLEFINANCE(A616,""high52"")"),162.51)</f>
        <v>162.51</v>
      </c>
    </row>
    <row r="617">
      <c r="A617" s="30" t="str">
        <f>'6image_RS_benchmark_performance'!A617</f>
        <v>ULTA</v>
      </c>
      <c r="B617" s="31">
        <f>IFERROR(__xludf.DUMMYFUNCTION("GOOGLEFINANCE(A617,""price"")"),334.5)</f>
        <v>334.5</v>
      </c>
      <c r="C617" s="31">
        <f>IFERROR(__xludf.DUMMYFUNCTION("GOOGLEFINANCE(A617,""high"")"),336.25)</f>
        <v>336.25</v>
      </c>
      <c r="D617" s="31">
        <f>IFERROR(__xludf.DUMMYFUNCTION("GOOGLEFINANCE(A617,""low"")"),322.28)</f>
        <v>322.28</v>
      </c>
      <c r="E617" s="31">
        <f>IFERROR(__xludf.DUMMYFUNCTION("GOOGLEFINANCE(A617,""change"")"),10.83)</f>
        <v>10.83</v>
      </c>
      <c r="F617" s="32">
        <f>IFERROR(__xludf.DUMMYFUNCTION("GOOGLEFINANCE(A617,""changepct"")/100"),0.0335)</f>
        <v>0.0335</v>
      </c>
      <c r="G617" s="33">
        <f>IFERROR(__xludf.DUMMYFUNCTION("GOOGLEFINANCE(A617,""priceopen"")"),323.68)</f>
        <v>323.68</v>
      </c>
      <c r="H617" s="34">
        <f>IFERROR(__xludf.DUMMYFUNCTION("GOOGLEFINANCE(A617,""closeyest"")"),323.67)</f>
        <v>323.67</v>
      </c>
      <c r="I617" s="34">
        <f>IFERROR(__xludf.DUMMYFUNCTION("GOOGLEFINANCE(A617,""low52"")"),188.18)</f>
        <v>188.18</v>
      </c>
      <c r="J617" s="34">
        <f>IFERROR(__xludf.DUMMYFUNCTION("GOOGLEFINANCE(A617,""high52"")"),356.31)</f>
        <v>356.31</v>
      </c>
    </row>
    <row r="618">
      <c r="A618" s="30" t="str">
        <f>'6image_RS_benchmark_performance'!A618</f>
        <v>UNH</v>
      </c>
      <c r="B618" s="31">
        <f>IFERROR(__xludf.DUMMYFUNCTION("GOOGLEFINANCE(A618,""price"")"),412.97)</f>
        <v>412.97</v>
      </c>
      <c r="C618" s="31">
        <f>IFERROR(__xludf.DUMMYFUNCTION("GOOGLEFINANCE(A618,""high"")"),417.73)</f>
        <v>417.73</v>
      </c>
      <c r="D618" s="31">
        <f>IFERROR(__xludf.DUMMYFUNCTION("GOOGLEFINANCE(A618,""low"")"),410.61)</f>
        <v>410.61</v>
      </c>
      <c r="E618" s="31">
        <f>IFERROR(__xludf.DUMMYFUNCTION("GOOGLEFINANCE(A618,""change"")"),3.91)</f>
        <v>3.91</v>
      </c>
      <c r="F618" s="32">
        <f>IFERROR(__xludf.DUMMYFUNCTION("GOOGLEFINANCE(A618,""changepct"")/100"),0.0096)</f>
        <v>0.0096</v>
      </c>
      <c r="G618" s="33">
        <f>IFERROR(__xludf.DUMMYFUNCTION("GOOGLEFINANCE(A618,""priceopen"")"),411.0)</f>
        <v>411</v>
      </c>
      <c r="H618" s="34">
        <f>IFERROR(__xludf.DUMMYFUNCTION("GOOGLEFINANCE(A618,""closeyest"")"),409.06)</f>
        <v>409.06</v>
      </c>
      <c r="I618" s="34">
        <f>IFERROR(__xludf.DUMMYFUNCTION("GOOGLEFINANCE(A618,""low52"")"),289.64)</f>
        <v>289.64</v>
      </c>
      <c r="J618" s="34">
        <f>IFERROR(__xludf.DUMMYFUNCTION("GOOGLEFINANCE(A618,""high52"")"),425.98)</f>
        <v>425.98</v>
      </c>
    </row>
    <row r="619">
      <c r="A619" s="30" t="str">
        <f>'6image_RS_benchmark_performance'!A619</f>
        <v>UNM</v>
      </c>
      <c r="B619" s="31">
        <f>IFERROR(__xludf.DUMMYFUNCTION("GOOGLEFINANCE(A619,""price"")"),27.06)</f>
        <v>27.06</v>
      </c>
      <c r="C619" s="31">
        <f>IFERROR(__xludf.DUMMYFUNCTION("GOOGLEFINANCE(A619,""high"")"),27.4)</f>
        <v>27.4</v>
      </c>
      <c r="D619" s="31">
        <f>IFERROR(__xludf.DUMMYFUNCTION("GOOGLEFINANCE(A619,""low"")"),26.0)</f>
        <v>26</v>
      </c>
      <c r="E619" s="31">
        <f>IFERROR(__xludf.DUMMYFUNCTION("GOOGLEFINANCE(A619,""change"")"),0.96)</f>
        <v>0.96</v>
      </c>
      <c r="F619" s="32">
        <f>IFERROR(__xludf.DUMMYFUNCTION("GOOGLEFINANCE(A619,""changepct"")/100"),0.0368)</f>
        <v>0.0368</v>
      </c>
      <c r="G619" s="33">
        <f>IFERROR(__xludf.DUMMYFUNCTION("GOOGLEFINANCE(A619,""priceopen"")"),26.05)</f>
        <v>26.05</v>
      </c>
      <c r="H619" s="34">
        <f>IFERROR(__xludf.DUMMYFUNCTION("GOOGLEFINANCE(A619,""closeyest"")"),26.1)</f>
        <v>26.1</v>
      </c>
      <c r="I619" s="34">
        <f>IFERROR(__xludf.DUMMYFUNCTION("GOOGLEFINANCE(A619,""low52"")"),15.79)</f>
        <v>15.79</v>
      </c>
      <c r="J619" s="34">
        <f>IFERROR(__xludf.DUMMYFUNCTION("GOOGLEFINANCE(A619,""high52"")"),31.98)</f>
        <v>31.98</v>
      </c>
    </row>
    <row r="620">
      <c r="A620" s="30" t="str">
        <f>'6image_RS_benchmark_performance'!A620</f>
        <v>UNP</v>
      </c>
      <c r="B620" s="31">
        <f>IFERROR(__xludf.DUMMYFUNCTION("GOOGLEFINANCE(A620,""price"")"),215.48)</f>
        <v>215.48</v>
      </c>
      <c r="C620" s="31">
        <f>IFERROR(__xludf.DUMMYFUNCTION("GOOGLEFINANCE(A620,""high"")"),217.64)</f>
        <v>217.64</v>
      </c>
      <c r="D620" s="31">
        <f>IFERROR(__xludf.DUMMYFUNCTION("GOOGLEFINANCE(A620,""low"")"),213.99)</f>
        <v>213.99</v>
      </c>
      <c r="E620" s="31">
        <f>IFERROR(__xludf.DUMMYFUNCTION("GOOGLEFINANCE(A620,""change"")"),1.14)</f>
        <v>1.14</v>
      </c>
      <c r="F620" s="32">
        <f>IFERROR(__xludf.DUMMYFUNCTION("GOOGLEFINANCE(A620,""changepct"")/100"),0.0053)</f>
        <v>0.0053</v>
      </c>
      <c r="G620" s="33">
        <f>IFERROR(__xludf.DUMMYFUNCTION("GOOGLEFINANCE(A620,""priceopen"")"),213.99)</f>
        <v>213.99</v>
      </c>
      <c r="H620" s="34">
        <f>IFERROR(__xludf.DUMMYFUNCTION("GOOGLEFINANCE(A620,""closeyest"")"),214.34)</f>
        <v>214.34</v>
      </c>
      <c r="I620" s="34">
        <f>IFERROR(__xludf.DUMMYFUNCTION("GOOGLEFINANCE(A620,""low52"")"),167.57)</f>
        <v>167.57</v>
      </c>
      <c r="J620" s="34">
        <f>IFERROR(__xludf.DUMMYFUNCTION("GOOGLEFINANCE(A620,""high52"")"),231.26)</f>
        <v>231.26</v>
      </c>
    </row>
    <row r="621">
      <c r="A621" s="30" t="str">
        <f>'6image_RS_benchmark_performance'!A621</f>
        <v>UPS</v>
      </c>
      <c r="B621" s="31">
        <f>IFERROR(__xludf.DUMMYFUNCTION("GOOGLEFINANCE(A621,""price"")"),212.46)</f>
        <v>212.46</v>
      </c>
      <c r="C621" s="31">
        <f>IFERROR(__xludf.DUMMYFUNCTION("GOOGLEFINANCE(A621,""high"")"),214.29)</f>
        <v>214.29</v>
      </c>
      <c r="D621" s="31">
        <f>IFERROR(__xludf.DUMMYFUNCTION("GOOGLEFINANCE(A621,""low"")"),210.71)</f>
        <v>210.71</v>
      </c>
      <c r="E621" s="31">
        <f>IFERROR(__xludf.DUMMYFUNCTION("GOOGLEFINANCE(A621,""change"")"),1.05)</f>
        <v>1.05</v>
      </c>
      <c r="F621" s="32">
        <f>IFERROR(__xludf.DUMMYFUNCTION("GOOGLEFINANCE(A621,""changepct"")/100"),0.005)</f>
        <v>0.005</v>
      </c>
      <c r="G621" s="33">
        <f>IFERROR(__xludf.DUMMYFUNCTION("GOOGLEFINANCE(A621,""priceopen"")"),212.06)</f>
        <v>212.06</v>
      </c>
      <c r="H621" s="34">
        <f>IFERROR(__xludf.DUMMYFUNCTION("GOOGLEFINANCE(A621,""closeyest"")"),211.41)</f>
        <v>211.41</v>
      </c>
      <c r="I621" s="34">
        <f>IFERROR(__xludf.DUMMYFUNCTION("GOOGLEFINANCE(A621,""low52"")"),117.06)</f>
        <v>117.06</v>
      </c>
      <c r="J621" s="34">
        <f>IFERROR(__xludf.DUMMYFUNCTION("GOOGLEFINANCE(A621,""high52"")"),219.59)</f>
        <v>219.59</v>
      </c>
    </row>
    <row r="622">
      <c r="A622" s="30" t="str">
        <f>'6image_RS_benchmark_performance'!A622</f>
        <v>UPST</v>
      </c>
      <c r="B622" s="31">
        <f>IFERROR(__xludf.DUMMYFUNCTION("GOOGLEFINANCE(A622,""price"")"),117.63)</f>
        <v>117.63</v>
      </c>
      <c r="C622" s="31">
        <f>IFERROR(__xludf.DUMMYFUNCTION("GOOGLEFINANCE(A622,""high"")"),118.3)</f>
        <v>118.3</v>
      </c>
      <c r="D622" s="31">
        <f>IFERROR(__xludf.DUMMYFUNCTION("GOOGLEFINANCE(A622,""low"")"),113.14)</f>
        <v>113.14</v>
      </c>
      <c r="E622" s="31">
        <f>IFERROR(__xludf.DUMMYFUNCTION("GOOGLEFINANCE(A622,""change"")"),2.35)</f>
        <v>2.35</v>
      </c>
      <c r="F622" s="32">
        <f>IFERROR(__xludf.DUMMYFUNCTION("GOOGLEFINANCE(A622,""changepct"")/100"),0.0204)</f>
        <v>0.0204</v>
      </c>
      <c r="G622" s="33">
        <f>IFERROR(__xludf.DUMMYFUNCTION("GOOGLEFINANCE(A622,""priceopen"")"),116.92)</f>
        <v>116.92</v>
      </c>
      <c r="H622" s="34">
        <f>IFERROR(__xludf.DUMMYFUNCTION("GOOGLEFINANCE(A622,""closeyest"")"),115.28)</f>
        <v>115.28</v>
      </c>
      <c r="I622" s="34">
        <f>IFERROR(__xludf.DUMMYFUNCTION("GOOGLEFINANCE(A622,""low52"")"),22.61)</f>
        <v>22.61</v>
      </c>
      <c r="J622" s="34">
        <f>IFERROR(__xludf.DUMMYFUNCTION("GOOGLEFINANCE(A622,""high52"")"),191.89)</f>
        <v>191.89</v>
      </c>
    </row>
    <row r="623">
      <c r="A623" s="30" t="str">
        <f>'6image_RS_benchmark_performance'!A623</f>
        <v>URI</v>
      </c>
      <c r="B623" s="31">
        <f>IFERROR(__xludf.DUMMYFUNCTION("GOOGLEFINANCE(A623,""price"")"),311.6)</f>
        <v>311.6</v>
      </c>
      <c r="C623" s="31">
        <f>IFERROR(__xludf.DUMMYFUNCTION("GOOGLEFINANCE(A623,""high"")"),313.03)</f>
        <v>313.03</v>
      </c>
      <c r="D623" s="31">
        <f>IFERROR(__xludf.DUMMYFUNCTION("GOOGLEFINANCE(A623,""low"")"),296.5)</f>
        <v>296.5</v>
      </c>
      <c r="E623" s="31">
        <f>IFERROR(__xludf.DUMMYFUNCTION("GOOGLEFINANCE(A623,""change"")"),12.75)</f>
        <v>12.75</v>
      </c>
      <c r="F623" s="32">
        <f>IFERROR(__xludf.DUMMYFUNCTION("GOOGLEFINANCE(A623,""changepct"")/100"),0.042699999999999995)</f>
        <v>0.0427</v>
      </c>
      <c r="G623" s="33">
        <f>IFERROR(__xludf.DUMMYFUNCTION("GOOGLEFINANCE(A623,""priceopen"")"),297.91)</f>
        <v>297.91</v>
      </c>
      <c r="H623" s="34">
        <f>IFERROR(__xludf.DUMMYFUNCTION("GOOGLEFINANCE(A623,""closeyest"")"),298.85)</f>
        <v>298.85</v>
      </c>
      <c r="I623" s="34">
        <f>IFERROR(__xludf.DUMMYFUNCTION("GOOGLEFINANCE(A623,""low52"")"),151.41)</f>
        <v>151.41</v>
      </c>
      <c r="J623" s="34">
        <f>IFERROR(__xludf.DUMMYFUNCTION("GOOGLEFINANCE(A623,""high52"")"),354.6)</f>
        <v>354.6</v>
      </c>
    </row>
    <row r="624">
      <c r="A624" s="30" t="str">
        <f>'6image_RS_benchmark_performance'!A624</f>
        <v>USB</v>
      </c>
      <c r="B624" s="31">
        <f>IFERROR(__xludf.DUMMYFUNCTION("GOOGLEFINANCE(A624,""price"")"),56.09)</f>
        <v>56.09</v>
      </c>
      <c r="C624" s="31">
        <f>IFERROR(__xludf.DUMMYFUNCTION("GOOGLEFINANCE(A624,""high"")"),56.79)</f>
        <v>56.79</v>
      </c>
      <c r="D624" s="31">
        <f>IFERROR(__xludf.DUMMYFUNCTION("GOOGLEFINANCE(A624,""low"")"),54.31)</f>
        <v>54.31</v>
      </c>
      <c r="E624" s="31">
        <f>IFERROR(__xludf.DUMMYFUNCTION("GOOGLEFINANCE(A624,""change"")"),1.58)</f>
        <v>1.58</v>
      </c>
      <c r="F624" s="32">
        <f>IFERROR(__xludf.DUMMYFUNCTION("GOOGLEFINANCE(A624,""changepct"")/100"),0.028999999999999998)</f>
        <v>0.029</v>
      </c>
      <c r="G624" s="33">
        <f>IFERROR(__xludf.DUMMYFUNCTION("GOOGLEFINANCE(A624,""priceopen"")"),54.6)</f>
        <v>54.6</v>
      </c>
      <c r="H624" s="34">
        <f>IFERROR(__xludf.DUMMYFUNCTION("GOOGLEFINANCE(A624,""closeyest"")"),54.51)</f>
        <v>54.51</v>
      </c>
      <c r="I624" s="34">
        <f>IFERROR(__xludf.DUMMYFUNCTION("GOOGLEFINANCE(A624,""low52"")"),34.17)</f>
        <v>34.17</v>
      </c>
      <c r="J624" s="34">
        <f>IFERROR(__xludf.DUMMYFUNCTION("GOOGLEFINANCE(A624,""high52"")"),62.47)</f>
        <v>62.47</v>
      </c>
    </row>
    <row r="625">
      <c r="A625" s="30" t="str">
        <f>'6image_RS_benchmark_performance'!A625</f>
        <v>USMV</v>
      </c>
      <c r="B625" s="31">
        <f>IFERROR(__xludf.DUMMYFUNCTION("GOOGLEFINANCE(A625,""price"")"),280.15)</f>
        <v>280.15</v>
      </c>
      <c r="C625" s="31" t="str">
        <f>IFERROR(__xludf.DUMMYFUNCTION("GOOGLEFINANCE(A625,""high"")"),"#N/A")</f>
        <v>#N/A</v>
      </c>
      <c r="D625" s="31" t="str">
        <f>IFERROR(__xludf.DUMMYFUNCTION("GOOGLEFINANCE(A625,""low"")"),"#N/A")</f>
        <v>#N/A</v>
      </c>
      <c r="E625" s="31">
        <f>IFERROR(__xludf.DUMMYFUNCTION("GOOGLEFINANCE(A625,""change"")"),1.6)</f>
        <v>1.6</v>
      </c>
      <c r="F625" s="32">
        <f>IFERROR(__xludf.DUMMYFUNCTION("GOOGLEFINANCE(A625,""changepct"")/100"),0.005699999999999999)</f>
        <v>0.0057</v>
      </c>
      <c r="G625" s="33" t="str">
        <f>IFERROR(__xludf.DUMMYFUNCTION("GOOGLEFINANCE(A625,""priceopen"")"),"#N/A")</f>
        <v>#N/A</v>
      </c>
      <c r="H625" s="34">
        <f>IFERROR(__xludf.DUMMYFUNCTION("GOOGLEFINANCE(A625,""closeyest"")"),278.55)</f>
        <v>278.55</v>
      </c>
      <c r="I625" s="34">
        <f>IFERROR(__xludf.DUMMYFUNCTION("GOOGLEFINANCE(A625,""low52"")"),233.88)</f>
        <v>233.88</v>
      </c>
      <c r="J625" s="34">
        <f>IFERROR(__xludf.DUMMYFUNCTION("GOOGLEFINANCE(A625,""high52"")"),282.63)</f>
        <v>282.63</v>
      </c>
    </row>
    <row r="626">
      <c r="A626" s="30" t="str">
        <f>'6image_RS_benchmark_performance'!A626</f>
        <v>USO</v>
      </c>
      <c r="B626" s="31">
        <f>IFERROR(__xludf.DUMMYFUNCTION("GOOGLEFINANCE(A626,""price"")"),46.51)</f>
        <v>46.51</v>
      </c>
      <c r="C626" s="31">
        <f>IFERROR(__xludf.DUMMYFUNCTION("GOOGLEFINANCE(A626,""high"")"),46.6)</f>
        <v>46.6</v>
      </c>
      <c r="D626" s="31">
        <f>IFERROR(__xludf.DUMMYFUNCTION("GOOGLEFINANCE(A626,""low"")"),45.03)</f>
        <v>45.03</v>
      </c>
      <c r="E626" s="31">
        <f>IFERROR(__xludf.DUMMYFUNCTION("GOOGLEFINANCE(A626,""change"")"),0.67)</f>
        <v>0.67</v>
      </c>
      <c r="F626" s="32">
        <f>IFERROR(__xludf.DUMMYFUNCTION("GOOGLEFINANCE(A626,""changepct"")/100"),0.0146)</f>
        <v>0.0146</v>
      </c>
      <c r="G626" s="33">
        <f>IFERROR(__xludf.DUMMYFUNCTION("GOOGLEFINANCE(A626,""priceopen"")"),45.64)</f>
        <v>45.64</v>
      </c>
      <c r="H626" s="34">
        <f>IFERROR(__xludf.DUMMYFUNCTION("GOOGLEFINANCE(A626,""closeyest"")"),45.84)</f>
        <v>45.84</v>
      </c>
      <c r="I626" s="34">
        <f>IFERROR(__xludf.DUMMYFUNCTION("GOOGLEFINANCE(A626,""low52"")"),24.75)</f>
        <v>24.75</v>
      </c>
      <c r="J626" s="34">
        <f>IFERROR(__xludf.DUMMYFUNCTION("GOOGLEFINANCE(A626,""high52"")"),51.4)</f>
        <v>51.4</v>
      </c>
    </row>
    <row r="627">
      <c r="A627" s="30" t="str">
        <f>'6image_RS_benchmark_performance'!A627</f>
        <v>V</v>
      </c>
      <c r="B627" s="31">
        <f>IFERROR(__xludf.DUMMYFUNCTION("GOOGLEFINANCE(A627,""price"")"),242.7)</f>
        <v>242.7</v>
      </c>
      <c r="C627" s="31">
        <f>IFERROR(__xludf.DUMMYFUNCTION("GOOGLEFINANCE(A627,""high"")"),244.21)</f>
        <v>244.21</v>
      </c>
      <c r="D627" s="31">
        <f>IFERROR(__xludf.DUMMYFUNCTION("GOOGLEFINANCE(A627,""low"")"),239.51)</f>
        <v>239.51</v>
      </c>
      <c r="E627" s="31">
        <f>IFERROR(__xludf.DUMMYFUNCTION("GOOGLEFINANCE(A627,""change"")"),2.29)</f>
        <v>2.29</v>
      </c>
      <c r="F627" s="32">
        <f>IFERROR(__xludf.DUMMYFUNCTION("GOOGLEFINANCE(A627,""changepct"")/100"),0.0095)</f>
        <v>0.0095</v>
      </c>
      <c r="G627" s="33">
        <f>IFERROR(__xludf.DUMMYFUNCTION("GOOGLEFINANCE(A627,""priceopen"")"),240.64)</f>
        <v>240.64</v>
      </c>
      <c r="H627" s="34">
        <f>IFERROR(__xludf.DUMMYFUNCTION("GOOGLEFINANCE(A627,""closeyest"")"),240.41)</f>
        <v>240.41</v>
      </c>
      <c r="I627" s="34">
        <f>IFERROR(__xludf.DUMMYFUNCTION("GOOGLEFINANCE(A627,""low52"")"),179.23)</f>
        <v>179.23</v>
      </c>
      <c r="J627" s="34">
        <f>IFERROR(__xludf.DUMMYFUNCTION("GOOGLEFINANCE(A627,""high52"")"),250.46)</f>
        <v>250.46</v>
      </c>
    </row>
    <row r="628">
      <c r="A628" s="30" t="str">
        <f>'6image_RS_benchmark_performance'!A628</f>
        <v>VCIT</v>
      </c>
      <c r="B628" s="31">
        <f>IFERROR(__xludf.DUMMYFUNCTION("GOOGLEFINANCE(A628,""price"")"),95.95)</f>
        <v>95.95</v>
      </c>
      <c r="C628" s="31">
        <f>IFERROR(__xludf.DUMMYFUNCTION("GOOGLEFINANCE(A628,""high"")"),96.27)</f>
        <v>96.27</v>
      </c>
      <c r="D628" s="31">
        <f>IFERROR(__xludf.DUMMYFUNCTION("GOOGLEFINANCE(A628,""low"")"),95.86)</f>
        <v>95.86</v>
      </c>
      <c r="E628" s="31">
        <f>IFERROR(__xludf.DUMMYFUNCTION("GOOGLEFINANCE(A628,""change"")"),-0.02)</f>
        <v>-0.02</v>
      </c>
      <c r="F628" s="32">
        <f>IFERROR(__xludf.DUMMYFUNCTION("GOOGLEFINANCE(A628,""changepct"")/100"),-2.0E-4)</f>
        <v>-0.0002</v>
      </c>
      <c r="G628" s="33">
        <f>IFERROR(__xludf.DUMMYFUNCTION("GOOGLEFINANCE(A628,""priceopen"")"),96.24)</f>
        <v>96.24</v>
      </c>
      <c r="H628" s="34">
        <f>IFERROR(__xludf.DUMMYFUNCTION("GOOGLEFINANCE(A628,""closeyest"")"),95.97)</f>
        <v>95.97</v>
      </c>
      <c r="I628" s="34">
        <f>IFERROR(__xludf.DUMMYFUNCTION("GOOGLEFINANCE(A628,""low52"")"),92.42)</f>
        <v>92.42</v>
      </c>
      <c r="J628" s="34">
        <f>IFERROR(__xludf.DUMMYFUNCTION("GOOGLEFINANCE(A628,""high52"")"),97.19)</f>
        <v>97.19</v>
      </c>
    </row>
    <row r="629">
      <c r="A629" s="30" t="str">
        <f>'6image_RS_benchmark_performance'!A629</f>
        <v>VCSH</v>
      </c>
      <c r="B629" s="31">
        <f>IFERROR(__xludf.DUMMYFUNCTION("GOOGLEFINANCE(A629,""price"")"),82.78)</f>
        <v>82.78</v>
      </c>
      <c r="C629" s="31">
        <f>IFERROR(__xludf.DUMMYFUNCTION("GOOGLEFINANCE(A629,""high"")"),82.87)</f>
        <v>82.87</v>
      </c>
      <c r="D629" s="31">
        <f>IFERROR(__xludf.DUMMYFUNCTION("GOOGLEFINANCE(A629,""low"")"),82.75)</f>
        <v>82.75</v>
      </c>
      <c r="E629" s="31">
        <f>IFERROR(__xludf.DUMMYFUNCTION("GOOGLEFINANCE(A629,""change"")"),0.04)</f>
        <v>0.04</v>
      </c>
      <c r="F629" s="32">
        <f>IFERROR(__xludf.DUMMYFUNCTION("GOOGLEFINANCE(A629,""changepct"")/100"),5.0E-4)</f>
        <v>0.0005</v>
      </c>
      <c r="G629" s="33">
        <f>IFERROR(__xludf.DUMMYFUNCTION("GOOGLEFINANCE(A629,""priceopen"")"),82.87)</f>
        <v>82.87</v>
      </c>
      <c r="H629" s="34">
        <f>IFERROR(__xludf.DUMMYFUNCTION("GOOGLEFINANCE(A629,""closeyest"")"),82.74)</f>
        <v>82.74</v>
      </c>
      <c r="I629" s="34">
        <f>IFERROR(__xludf.DUMMYFUNCTION("GOOGLEFINANCE(A629,""low52"")"),82.11)</f>
        <v>82.11</v>
      </c>
      <c r="J629" s="34">
        <f>IFERROR(__xludf.DUMMYFUNCTION("GOOGLEFINANCE(A629,""high52"")"),83.47)</f>
        <v>83.47</v>
      </c>
    </row>
    <row r="630">
      <c r="A630" s="30" t="str">
        <f>'6image_RS_benchmark_performance'!A630</f>
        <v>VEA</v>
      </c>
      <c r="B630" s="31">
        <f>IFERROR(__xludf.DUMMYFUNCTION("GOOGLEFINANCE(A630,""price"")"),50.52)</f>
        <v>50.52</v>
      </c>
      <c r="C630" s="31">
        <f>IFERROR(__xludf.DUMMYFUNCTION("GOOGLEFINANCE(A630,""high"")"),50.6)</f>
        <v>50.6</v>
      </c>
      <c r="D630" s="31">
        <f>IFERROR(__xludf.DUMMYFUNCTION("GOOGLEFINANCE(A630,""low"")"),49.92)</f>
        <v>49.92</v>
      </c>
      <c r="E630" s="31">
        <f>IFERROR(__xludf.DUMMYFUNCTION("GOOGLEFINANCE(A630,""change"")"),0.45)</f>
        <v>0.45</v>
      </c>
      <c r="F630" s="32">
        <f>IFERROR(__xludf.DUMMYFUNCTION("GOOGLEFINANCE(A630,""changepct"")/100"),0.009000000000000001)</f>
        <v>0.009</v>
      </c>
      <c r="G630" s="33">
        <f>IFERROR(__xludf.DUMMYFUNCTION("GOOGLEFINANCE(A630,""priceopen"")"),50.0)</f>
        <v>50</v>
      </c>
      <c r="H630" s="34">
        <f>IFERROR(__xludf.DUMMYFUNCTION("GOOGLEFINANCE(A630,""closeyest"")"),50.07)</f>
        <v>50.07</v>
      </c>
      <c r="I630" s="34">
        <f>IFERROR(__xludf.DUMMYFUNCTION("GOOGLEFINANCE(A630,""low52"")"),39.13)</f>
        <v>39.13</v>
      </c>
      <c r="J630" s="34">
        <f>IFERROR(__xludf.DUMMYFUNCTION("GOOGLEFINANCE(A630,""high52"")"),53.43)</f>
        <v>53.43</v>
      </c>
    </row>
    <row r="631">
      <c r="A631" s="30" t="str">
        <f>'6image_RS_benchmark_performance'!A631</f>
        <v>VER</v>
      </c>
      <c r="B631" s="31">
        <f>IFERROR(__xludf.DUMMYFUNCTION("GOOGLEFINANCE(A631,""price"")"),48.95)</f>
        <v>48.95</v>
      </c>
      <c r="C631" s="31">
        <f>IFERROR(__xludf.DUMMYFUNCTION("GOOGLEFINANCE(A631,""high"")"),49.24)</f>
        <v>49.24</v>
      </c>
      <c r="D631" s="31">
        <f>IFERROR(__xludf.DUMMYFUNCTION("GOOGLEFINANCE(A631,""low"")"),48.05)</f>
        <v>48.05</v>
      </c>
      <c r="E631" s="31">
        <f>IFERROR(__xludf.DUMMYFUNCTION("GOOGLEFINANCE(A631,""change"")"),1.03)</f>
        <v>1.03</v>
      </c>
      <c r="F631" s="32">
        <f>IFERROR(__xludf.DUMMYFUNCTION("GOOGLEFINANCE(A631,""changepct"")/100"),0.0215)</f>
        <v>0.0215</v>
      </c>
      <c r="G631" s="33">
        <f>IFERROR(__xludf.DUMMYFUNCTION("GOOGLEFINANCE(A631,""priceopen"")"),48.09)</f>
        <v>48.09</v>
      </c>
      <c r="H631" s="34">
        <f>IFERROR(__xludf.DUMMYFUNCTION("GOOGLEFINANCE(A631,""closeyest"")"),47.92)</f>
        <v>47.92</v>
      </c>
      <c r="I631" s="34">
        <f>IFERROR(__xludf.DUMMYFUNCTION("GOOGLEFINANCE(A631,""low52"")"),30.05)</f>
        <v>30.05</v>
      </c>
      <c r="J631" s="34">
        <f>IFERROR(__xludf.DUMMYFUNCTION("GOOGLEFINANCE(A631,""high52"")"),49.77)</f>
        <v>49.77</v>
      </c>
    </row>
    <row r="632">
      <c r="A632" s="30" t="str">
        <f>'6image_RS_benchmark_performance'!A632</f>
        <v>VEU</v>
      </c>
      <c r="B632" s="31">
        <f>IFERROR(__xludf.DUMMYFUNCTION("GOOGLEFINANCE(A632,""price"")"),61.8)</f>
        <v>61.8</v>
      </c>
      <c r="C632" s="31">
        <f>IFERROR(__xludf.DUMMYFUNCTION("GOOGLEFINANCE(A632,""high"")"),61.93)</f>
        <v>61.93</v>
      </c>
      <c r="D632" s="31">
        <f>IFERROR(__xludf.DUMMYFUNCTION("GOOGLEFINANCE(A632,""low"")"),61.12)</f>
        <v>61.12</v>
      </c>
      <c r="E632" s="31">
        <f>IFERROR(__xludf.DUMMYFUNCTION("GOOGLEFINANCE(A632,""change"")"),0.37)</f>
        <v>0.37</v>
      </c>
      <c r="F632" s="32">
        <f>IFERROR(__xludf.DUMMYFUNCTION("GOOGLEFINANCE(A632,""changepct"")/100"),0.006)</f>
        <v>0.006</v>
      </c>
      <c r="G632" s="33">
        <f>IFERROR(__xludf.DUMMYFUNCTION("GOOGLEFINANCE(A632,""priceopen"")"),61.25)</f>
        <v>61.25</v>
      </c>
      <c r="H632" s="34">
        <f>IFERROR(__xludf.DUMMYFUNCTION("GOOGLEFINANCE(A632,""closeyest"")"),61.43)</f>
        <v>61.43</v>
      </c>
      <c r="I632" s="34">
        <f>IFERROR(__xludf.DUMMYFUNCTION("GOOGLEFINANCE(A632,""low52"")"),49.03)</f>
        <v>49.03</v>
      </c>
      <c r="J632" s="34">
        <f>IFERROR(__xludf.DUMMYFUNCTION("GOOGLEFINANCE(A632,""high52"")"),65.28)</f>
        <v>65.28</v>
      </c>
    </row>
    <row r="633">
      <c r="A633" s="30" t="str">
        <f>'6image_RS_benchmark_performance'!A633</f>
        <v>VFC</v>
      </c>
      <c r="B633" s="31">
        <f>IFERROR(__xludf.DUMMYFUNCTION("GOOGLEFINANCE(A633,""price"")"),78.17)</f>
        <v>78.17</v>
      </c>
      <c r="C633" s="31">
        <f>IFERROR(__xludf.DUMMYFUNCTION("GOOGLEFINANCE(A633,""high"")"),78.63)</f>
        <v>78.63</v>
      </c>
      <c r="D633" s="31">
        <f>IFERROR(__xludf.DUMMYFUNCTION("GOOGLEFINANCE(A633,""low"")"),75.28)</f>
        <v>75.28</v>
      </c>
      <c r="E633" s="31">
        <f>IFERROR(__xludf.DUMMYFUNCTION("GOOGLEFINANCE(A633,""change"")"),2.71)</f>
        <v>2.71</v>
      </c>
      <c r="F633" s="32">
        <f>IFERROR(__xludf.DUMMYFUNCTION("GOOGLEFINANCE(A633,""changepct"")/100"),0.0359)</f>
        <v>0.0359</v>
      </c>
      <c r="G633" s="33">
        <f>IFERROR(__xludf.DUMMYFUNCTION("GOOGLEFINANCE(A633,""priceopen"")"),75.52)</f>
        <v>75.52</v>
      </c>
      <c r="H633" s="34">
        <f>IFERROR(__xludf.DUMMYFUNCTION("GOOGLEFINANCE(A633,""closeyest"")"),75.46)</f>
        <v>75.46</v>
      </c>
      <c r="I633" s="34">
        <f>IFERROR(__xludf.DUMMYFUNCTION("GOOGLEFINANCE(A633,""low52"")"),57.59)</f>
        <v>57.59</v>
      </c>
      <c r="J633" s="34">
        <f>IFERROR(__xludf.DUMMYFUNCTION("GOOGLEFINANCE(A633,""high52"")"),90.79)</f>
        <v>90.79</v>
      </c>
    </row>
    <row r="634">
      <c r="A634" s="30" t="str">
        <f>'6image_RS_benchmark_performance'!A634</f>
        <v>VGK</v>
      </c>
      <c r="B634" s="31">
        <f>IFERROR(__xludf.DUMMYFUNCTION("GOOGLEFINANCE(A634,""price"")"),65.89)</f>
        <v>65.89</v>
      </c>
      <c r="C634" s="31">
        <f>IFERROR(__xludf.DUMMYFUNCTION("GOOGLEFINANCE(A634,""high"")"),66.0)</f>
        <v>66</v>
      </c>
      <c r="D634" s="31">
        <f>IFERROR(__xludf.DUMMYFUNCTION("GOOGLEFINANCE(A634,""low"")"),65.11)</f>
        <v>65.11</v>
      </c>
      <c r="E634" s="31">
        <f>IFERROR(__xludf.DUMMYFUNCTION("GOOGLEFINANCE(A634,""change"")"),0.39)</f>
        <v>0.39</v>
      </c>
      <c r="F634" s="32">
        <f>IFERROR(__xludf.DUMMYFUNCTION("GOOGLEFINANCE(A634,""changepct"")/100"),0.006)</f>
        <v>0.006</v>
      </c>
      <c r="G634" s="33">
        <f>IFERROR(__xludf.DUMMYFUNCTION("GOOGLEFINANCE(A634,""priceopen"")"),65.2)</f>
        <v>65.2</v>
      </c>
      <c r="H634" s="34">
        <f>IFERROR(__xludf.DUMMYFUNCTION("GOOGLEFINANCE(A634,""closeyest"")"),65.5)</f>
        <v>65.5</v>
      </c>
      <c r="I634" s="34">
        <f>IFERROR(__xludf.DUMMYFUNCTION("GOOGLEFINANCE(A634,""low52"")"),49.17)</f>
        <v>49.17</v>
      </c>
      <c r="J634" s="34">
        <f>IFERROR(__xludf.DUMMYFUNCTION("GOOGLEFINANCE(A634,""high52"")"),70.41)</f>
        <v>70.41</v>
      </c>
    </row>
    <row r="635">
      <c r="A635" s="30" t="str">
        <f>'6image_RS_benchmark_performance'!A635</f>
        <v>VIAC</v>
      </c>
      <c r="B635" s="31">
        <f>IFERROR(__xludf.DUMMYFUNCTION("GOOGLEFINANCE(A635,""price"")"),40.39)</f>
        <v>40.39</v>
      </c>
      <c r="C635" s="31">
        <f>IFERROR(__xludf.DUMMYFUNCTION("GOOGLEFINANCE(A635,""high"")"),41.4)</f>
        <v>41.4</v>
      </c>
      <c r="D635" s="31">
        <f>IFERROR(__xludf.DUMMYFUNCTION("GOOGLEFINANCE(A635,""low"")"),39.44)</f>
        <v>39.44</v>
      </c>
      <c r="E635" s="31">
        <f>IFERROR(__xludf.DUMMYFUNCTION("GOOGLEFINANCE(A635,""change"")"),0.52)</f>
        <v>0.52</v>
      </c>
      <c r="F635" s="32">
        <f>IFERROR(__xludf.DUMMYFUNCTION("GOOGLEFINANCE(A635,""changepct"")/100"),0.013000000000000001)</f>
        <v>0.013</v>
      </c>
      <c r="G635" s="33">
        <f>IFERROR(__xludf.DUMMYFUNCTION("GOOGLEFINANCE(A635,""priceopen"")"),40.21)</f>
        <v>40.21</v>
      </c>
      <c r="H635" s="34">
        <f>IFERROR(__xludf.DUMMYFUNCTION("GOOGLEFINANCE(A635,""closeyest"")"),39.87)</f>
        <v>39.87</v>
      </c>
      <c r="I635" s="34">
        <f>IFERROR(__xludf.DUMMYFUNCTION("GOOGLEFINANCE(A635,""low52"")"),24.11)</f>
        <v>24.11</v>
      </c>
      <c r="J635" s="34">
        <f>IFERROR(__xludf.DUMMYFUNCTION("GOOGLEFINANCE(A635,""high52"")"),101.97)</f>
        <v>101.97</v>
      </c>
    </row>
    <row r="636">
      <c r="A636" s="30" t="str">
        <f>'6image_RS_benchmark_performance'!A636</f>
        <v>VICI</v>
      </c>
      <c r="B636" s="31">
        <f>IFERROR(__xludf.DUMMYFUNCTION("GOOGLEFINANCE(A636,""price"")"),31.67)</f>
        <v>31.67</v>
      </c>
      <c r="C636" s="31">
        <f>IFERROR(__xludf.DUMMYFUNCTION("GOOGLEFINANCE(A636,""high"")"),31.84)</f>
        <v>31.84</v>
      </c>
      <c r="D636" s="31">
        <f>IFERROR(__xludf.DUMMYFUNCTION("GOOGLEFINANCE(A636,""low"")"),30.42)</f>
        <v>30.42</v>
      </c>
      <c r="E636" s="31">
        <f>IFERROR(__xludf.DUMMYFUNCTION("GOOGLEFINANCE(A636,""change"")"),1.29)</f>
        <v>1.29</v>
      </c>
      <c r="F636" s="32">
        <f>IFERROR(__xludf.DUMMYFUNCTION("GOOGLEFINANCE(A636,""changepct"")/100"),0.0425)</f>
        <v>0.0425</v>
      </c>
      <c r="G636" s="33">
        <f>IFERROR(__xludf.DUMMYFUNCTION("GOOGLEFINANCE(A636,""priceopen"")"),30.45)</f>
        <v>30.45</v>
      </c>
      <c r="H636" s="34">
        <f>IFERROR(__xludf.DUMMYFUNCTION("GOOGLEFINANCE(A636,""closeyest"")"),30.38)</f>
        <v>30.38</v>
      </c>
      <c r="I636" s="34">
        <f>IFERROR(__xludf.DUMMYFUNCTION("GOOGLEFINANCE(A636,""low52"")"),20.35)</f>
        <v>20.35</v>
      </c>
      <c r="J636" s="34">
        <f>IFERROR(__xludf.DUMMYFUNCTION("GOOGLEFINANCE(A636,""high52"")"),33.35)</f>
        <v>33.35</v>
      </c>
    </row>
    <row r="637">
      <c r="A637" s="30" t="str">
        <f>'6image_RS_benchmark_performance'!A637</f>
        <v>VLO</v>
      </c>
      <c r="B637" s="31">
        <f>IFERROR(__xludf.DUMMYFUNCTION("GOOGLEFINANCE(A637,""price"")"),62.57)</f>
        <v>62.57</v>
      </c>
      <c r="C637" s="31">
        <f>IFERROR(__xludf.DUMMYFUNCTION("GOOGLEFINANCE(A637,""high"")"),63.54)</f>
        <v>63.54</v>
      </c>
      <c r="D637" s="31">
        <f>IFERROR(__xludf.DUMMYFUNCTION("GOOGLEFINANCE(A637,""low"")"),60.99)</f>
        <v>60.99</v>
      </c>
      <c r="E637" s="31">
        <f>IFERROR(__xludf.DUMMYFUNCTION("GOOGLEFINANCE(A637,""change"")"),0.65)</f>
        <v>0.65</v>
      </c>
      <c r="F637" s="32">
        <f>IFERROR(__xludf.DUMMYFUNCTION("GOOGLEFINANCE(A637,""changepct"")/100"),0.0105)</f>
        <v>0.0105</v>
      </c>
      <c r="G637" s="33">
        <f>IFERROR(__xludf.DUMMYFUNCTION("GOOGLEFINANCE(A637,""priceopen"")"),62.03)</f>
        <v>62.03</v>
      </c>
      <c r="H637" s="34">
        <f>IFERROR(__xludf.DUMMYFUNCTION("GOOGLEFINANCE(A637,""closeyest"")"),61.92)</f>
        <v>61.92</v>
      </c>
      <c r="I637" s="34">
        <f>IFERROR(__xludf.DUMMYFUNCTION("GOOGLEFINANCE(A637,""low52"")"),35.44)</f>
        <v>35.44</v>
      </c>
      <c r="J637" s="34">
        <f>IFERROR(__xludf.DUMMYFUNCTION("GOOGLEFINANCE(A637,""high52"")"),84.95)</f>
        <v>84.95</v>
      </c>
    </row>
    <row r="638">
      <c r="A638" s="30" t="str">
        <f>'6image_RS_benchmark_performance'!A638</f>
        <v>VMC</v>
      </c>
      <c r="B638" s="31">
        <f>IFERROR(__xludf.DUMMYFUNCTION("GOOGLEFINANCE(A638,""price"")"),174.34)</f>
        <v>174.34</v>
      </c>
      <c r="C638" s="31">
        <f>IFERROR(__xludf.DUMMYFUNCTION("GOOGLEFINANCE(A638,""high"")"),176.29)</f>
        <v>176.29</v>
      </c>
      <c r="D638" s="31">
        <f>IFERROR(__xludf.DUMMYFUNCTION("GOOGLEFINANCE(A638,""low"")"),171.16)</f>
        <v>171.16</v>
      </c>
      <c r="E638" s="31">
        <f>IFERROR(__xludf.DUMMYFUNCTION("GOOGLEFINANCE(A638,""change"")"),3.59)</f>
        <v>3.59</v>
      </c>
      <c r="F638" s="32">
        <f>IFERROR(__xludf.DUMMYFUNCTION("GOOGLEFINANCE(A638,""changepct"")/100"),0.021)</f>
        <v>0.021</v>
      </c>
      <c r="G638" s="33">
        <f>IFERROR(__xludf.DUMMYFUNCTION("GOOGLEFINANCE(A638,""priceopen"")"),171.16)</f>
        <v>171.16</v>
      </c>
      <c r="H638" s="34">
        <f>IFERROR(__xludf.DUMMYFUNCTION("GOOGLEFINANCE(A638,""closeyest"")"),170.75)</f>
        <v>170.75</v>
      </c>
      <c r="I638" s="34">
        <f>IFERROR(__xludf.DUMMYFUNCTION("GOOGLEFINANCE(A638,""low52"")"),114.84)</f>
        <v>114.84</v>
      </c>
      <c r="J638" s="34">
        <f>IFERROR(__xludf.DUMMYFUNCTION("GOOGLEFINANCE(A638,""high52"")"),194.17)</f>
        <v>194.17</v>
      </c>
    </row>
    <row r="639">
      <c r="A639" s="30" t="str">
        <f>'6image_RS_benchmark_performance'!A639</f>
        <v>VNO</v>
      </c>
      <c r="B639" s="31">
        <f>IFERROR(__xludf.DUMMYFUNCTION("GOOGLEFINANCE(A639,""price"")"),44.84)</f>
        <v>44.84</v>
      </c>
      <c r="C639" s="31">
        <f>IFERROR(__xludf.DUMMYFUNCTION("GOOGLEFINANCE(A639,""high"")"),45.03)</f>
        <v>45.03</v>
      </c>
      <c r="D639" s="31">
        <f>IFERROR(__xludf.DUMMYFUNCTION("GOOGLEFINANCE(A639,""low"")"),43.06)</f>
        <v>43.06</v>
      </c>
      <c r="E639" s="31">
        <f>IFERROR(__xludf.DUMMYFUNCTION("GOOGLEFINANCE(A639,""change"")"),1.76)</f>
        <v>1.76</v>
      </c>
      <c r="F639" s="32">
        <f>IFERROR(__xludf.DUMMYFUNCTION("GOOGLEFINANCE(A639,""changepct"")/100"),0.0409)</f>
        <v>0.0409</v>
      </c>
      <c r="G639" s="33">
        <f>IFERROR(__xludf.DUMMYFUNCTION("GOOGLEFINANCE(A639,""priceopen"")"),43.32)</f>
        <v>43.32</v>
      </c>
      <c r="H639" s="34">
        <f>IFERROR(__xludf.DUMMYFUNCTION("GOOGLEFINANCE(A639,""closeyest"")"),43.08)</f>
        <v>43.08</v>
      </c>
      <c r="I639" s="34">
        <f>IFERROR(__xludf.DUMMYFUNCTION("GOOGLEFINANCE(A639,""low52"")"),29.79)</f>
        <v>29.79</v>
      </c>
      <c r="J639" s="34">
        <f>IFERROR(__xludf.DUMMYFUNCTION("GOOGLEFINANCE(A639,""high52"")"),50.91)</f>
        <v>50.91</v>
      </c>
    </row>
    <row r="640">
      <c r="A640" s="30" t="str">
        <f>'6image_RS_benchmark_performance'!A640</f>
        <v>VNQ</v>
      </c>
      <c r="B640" s="31">
        <f>IFERROR(__xludf.DUMMYFUNCTION("GOOGLEFINANCE(A640,""price"")"),105.83)</f>
        <v>105.83</v>
      </c>
      <c r="C640" s="31">
        <f>IFERROR(__xludf.DUMMYFUNCTION("GOOGLEFINANCE(A640,""high"")"),106.23)</f>
        <v>106.23</v>
      </c>
      <c r="D640" s="31">
        <f>IFERROR(__xludf.DUMMYFUNCTION("GOOGLEFINANCE(A640,""low"")"),103.8)</f>
        <v>103.8</v>
      </c>
      <c r="E640" s="31">
        <f>IFERROR(__xludf.DUMMYFUNCTION("GOOGLEFINANCE(A640,""change"")"),2.44)</f>
        <v>2.44</v>
      </c>
      <c r="F640" s="32">
        <f>IFERROR(__xludf.DUMMYFUNCTION("GOOGLEFINANCE(A640,""changepct"")/100"),0.0236)</f>
        <v>0.0236</v>
      </c>
      <c r="G640" s="33">
        <f>IFERROR(__xludf.DUMMYFUNCTION("GOOGLEFINANCE(A640,""priceopen"")"),103.95)</f>
        <v>103.95</v>
      </c>
      <c r="H640" s="34">
        <f>IFERROR(__xludf.DUMMYFUNCTION("GOOGLEFINANCE(A640,""closeyest"")"),103.39)</f>
        <v>103.39</v>
      </c>
      <c r="I640" s="34">
        <f>IFERROR(__xludf.DUMMYFUNCTION("GOOGLEFINANCE(A640,""low52"")"),75.46)</f>
        <v>75.46</v>
      </c>
      <c r="J640" s="34">
        <f>IFERROR(__xludf.DUMMYFUNCTION("GOOGLEFINANCE(A640,""high52"")"),106.23)</f>
        <v>106.23</v>
      </c>
    </row>
    <row r="641">
      <c r="A641" s="30" t="str">
        <f>'6image_RS_benchmark_performance'!A641</f>
        <v>VOO</v>
      </c>
      <c r="B641" s="31">
        <f>IFERROR(__xludf.DUMMYFUNCTION("GOOGLEFINANCE(A641,""price"")"),396.2)</f>
        <v>396.2</v>
      </c>
      <c r="C641" s="31">
        <f>IFERROR(__xludf.DUMMYFUNCTION("GOOGLEFINANCE(A641,""high"")"),397.5)</f>
        <v>397.5</v>
      </c>
      <c r="D641" s="31">
        <f>IFERROR(__xludf.DUMMYFUNCTION("GOOGLEFINANCE(A641,""low"")"),390.25)</f>
        <v>390.25</v>
      </c>
      <c r="E641" s="31">
        <f>IFERROR(__xludf.DUMMYFUNCTION("GOOGLEFINANCE(A641,""change"")"),5.52)</f>
        <v>5.52</v>
      </c>
      <c r="F641" s="32">
        <f>IFERROR(__xludf.DUMMYFUNCTION("GOOGLEFINANCE(A641,""changepct"")/100"),0.0141)</f>
        <v>0.0141</v>
      </c>
      <c r="G641" s="33">
        <f>IFERROR(__xludf.DUMMYFUNCTION("GOOGLEFINANCE(A641,""priceopen"")"),391.33)</f>
        <v>391.33</v>
      </c>
      <c r="H641" s="34">
        <f>IFERROR(__xludf.DUMMYFUNCTION("GOOGLEFINANCE(A641,""closeyest"")"),390.68)</f>
        <v>390.68</v>
      </c>
      <c r="I641" s="34">
        <f>IFERROR(__xludf.DUMMYFUNCTION("GOOGLEFINANCE(A641,""low52"")"),293.3)</f>
        <v>293.3</v>
      </c>
      <c r="J641" s="34">
        <f>IFERROR(__xludf.DUMMYFUNCTION("GOOGLEFINANCE(A641,""high52"")"),402.57)</f>
        <v>402.57</v>
      </c>
    </row>
    <row r="642">
      <c r="A642" s="30" t="str">
        <f>'6image_RS_benchmark_performance'!A642</f>
        <v>VRM</v>
      </c>
      <c r="B642" s="31">
        <f>IFERROR(__xludf.DUMMYFUNCTION("GOOGLEFINANCE(A642,""price"")"),39.0)</f>
        <v>39</v>
      </c>
      <c r="C642" s="31">
        <f>IFERROR(__xludf.DUMMYFUNCTION("GOOGLEFINANCE(A642,""high"")"),39.28)</f>
        <v>39.28</v>
      </c>
      <c r="D642" s="31">
        <f>IFERROR(__xludf.DUMMYFUNCTION("GOOGLEFINANCE(A642,""low"")"),36.94)</f>
        <v>36.94</v>
      </c>
      <c r="E642" s="31">
        <f>IFERROR(__xludf.DUMMYFUNCTION("GOOGLEFINANCE(A642,""change"")"),1.61)</f>
        <v>1.61</v>
      </c>
      <c r="F642" s="32">
        <f>IFERROR(__xludf.DUMMYFUNCTION("GOOGLEFINANCE(A642,""changepct"")/100"),0.0431)</f>
        <v>0.0431</v>
      </c>
      <c r="G642" s="33">
        <f>IFERROR(__xludf.DUMMYFUNCTION("GOOGLEFINANCE(A642,""priceopen"")"),37.44)</f>
        <v>37.44</v>
      </c>
      <c r="H642" s="34">
        <f>IFERROR(__xludf.DUMMYFUNCTION("GOOGLEFINANCE(A642,""closeyest"")"),37.39)</f>
        <v>37.39</v>
      </c>
      <c r="I642" s="34">
        <f>IFERROR(__xludf.DUMMYFUNCTION("GOOGLEFINANCE(A642,""low52"")"),26.96)</f>
        <v>26.96</v>
      </c>
      <c r="J642" s="34">
        <f>IFERROR(__xludf.DUMMYFUNCTION("GOOGLEFINANCE(A642,""high52"")"),75.49)</f>
        <v>75.49</v>
      </c>
    </row>
    <row r="643">
      <c r="A643" s="30" t="str">
        <f>'6image_RS_benchmark_performance'!A643</f>
        <v>VRSK</v>
      </c>
      <c r="B643" s="31">
        <f>IFERROR(__xludf.DUMMYFUNCTION("GOOGLEFINANCE(A643,""price"")"),187.43)</f>
        <v>187.43</v>
      </c>
      <c r="C643" s="31">
        <f>IFERROR(__xludf.DUMMYFUNCTION("GOOGLEFINANCE(A643,""high"")"),188.74)</f>
        <v>188.74</v>
      </c>
      <c r="D643" s="31">
        <f>IFERROR(__xludf.DUMMYFUNCTION("GOOGLEFINANCE(A643,""low"")"),184.44)</f>
        <v>184.44</v>
      </c>
      <c r="E643" s="31">
        <f>IFERROR(__xludf.DUMMYFUNCTION("GOOGLEFINANCE(A643,""change"")"),3.12)</f>
        <v>3.12</v>
      </c>
      <c r="F643" s="32">
        <f>IFERROR(__xludf.DUMMYFUNCTION("GOOGLEFINANCE(A643,""changepct"")/100"),0.0169)</f>
        <v>0.0169</v>
      </c>
      <c r="G643" s="33">
        <f>IFERROR(__xludf.DUMMYFUNCTION("GOOGLEFINANCE(A643,""priceopen"")"),184.82)</f>
        <v>184.82</v>
      </c>
      <c r="H643" s="34">
        <f>IFERROR(__xludf.DUMMYFUNCTION("GOOGLEFINANCE(A643,""closeyest"")"),184.31)</f>
        <v>184.31</v>
      </c>
      <c r="I643" s="34">
        <f>IFERROR(__xludf.DUMMYFUNCTION("GOOGLEFINANCE(A643,""low52"")"),159.79)</f>
        <v>159.79</v>
      </c>
      <c r="J643" s="34">
        <f>IFERROR(__xludf.DUMMYFUNCTION("GOOGLEFINANCE(A643,""high52"")"),210.66)</f>
        <v>210.66</v>
      </c>
    </row>
    <row r="644">
      <c r="A644" s="30" t="str">
        <f>'6image_RS_benchmark_performance'!A644</f>
        <v>VRSN</v>
      </c>
      <c r="B644" s="31">
        <f>IFERROR(__xludf.DUMMYFUNCTION("GOOGLEFINANCE(A644,""price"")"),229.43)</f>
        <v>229.43</v>
      </c>
      <c r="C644" s="31">
        <f>IFERROR(__xludf.DUMMYFUNCTION("GOOGLEFINANCE(A644,""high"")"),230.56)</f>
        <v>230.56</v>
      </c>
      <c r="D644" s="31">
        <f>IFERROR(__xludf.DUMMYFUNCTION("GOOGLEFINANCE(A644,""low"")"),227.84)</f>
        <v>227.84</v>
      </c>
      <c r="E644" s="31">
        <f>IFERROR(__xludf.DUMMYFUNCTION("GOOGLEFINANCE(A644,""change"")"),0.88)</f>
        <v>0.88</v>
      </c>
      <c r="F644" s="32">
        <f>IFERROR(__xludf.DUMMYFUNCTION("GOOGLEFINANCE(A644,""changepct"")/100"),0.0039000000000000003)</f>
        <v>0.0039</v>
      </c>
      <c r="G644" s="33">
        <f>IFERROR(__xludf.DUMMYFUNCTION("GOOGLEFINANCE(A644,""priceopen"")"),228.69)</f>
        <v>228.69</v>
      </c>
      <c r="H644" s="34">
        <f>IFERROR(__xludf.DUMMYFUNCTION("GOOGLEFINANCE(A644,""closeyest"")"),228.55)</f>
        <v>228.55</v>
      </c>
      <c r="I644" s="34">
        <f>IFERROR(__xludf.DUMMYFUNCTION("GOOGLEFINANCE(A644,""low52"")"),184.6)</f>
        <v>184.6</v>
      </c>
      <c r="J644" s="34">
        <f>IFERROR(__xludf.DUMMYFUNCTION("GOOGLEFINANCE(A644,""high52"")"),234.56)</f>
        <v>234.56</v>
      </c>
    </row>
    <row r="645">
      <c r="A645" s="30" t="str">
        <f>'6image_RS_benchmark_performance'!A645</f>
        <v>VRT</v>
      </c>
      <c r="B645" s="31">
        <f>IFERROR(__xludf.DUMMYFUNCTION("GOOGLEFINANCE(A645,""price"")"),27.16)</f>
        <v>27.16</v>
      </c>
      <c r="C645" s="31">
        <f>IFERROR(__xludf.DUMMYFUNCTION("GOOGLEFINANCE(A645,""high"")"),27.38)</f>
        <v>27.38</v>
      </c>
      <c r="D645" s="31">
        <f>IFERROR(__xludf.DUMMYFUNCTION("GOOGLEFINANCE(A645,""low"")"),26.7)</f>
        <v>26.7</v>
      </c>
      <c r="E645" s="31">
        <f>IFERROR(__xludf.DUMMYFUNCTION("GOOGLEFINANCE(A645,""change"")"),0.53)</f>
        <v>0.53</v>
      </c>
      <c r="F645" s="32">
        <f>IFERROR(__xludf.DUMMYFUNCTION("GOOGLEFINANCE(A645,""changepct"")/100"),0.0199)</f>
        <v>0.0199</v>
      </c>
      <c r="G645" s="33">
        <f>IFERROR(__xludf.DUMMYFUNCTION("GOOGLEFINANCE(A645,""priceopen"")"),26.7)</f>
        <v>26.7</v>
      </c>
      <c r="H645" s="34">
        <f>IFERROR(__xludf.DUMMYFUNCTION("GOOGLEFINANCE(A645,""closeyest"")"),26.63)</f>
        <v>26.63</v>
      </c>
      <c r="I645" s="34">
        <f>IFERROR(__xludf.DUMMYFUNCTION("GOOGLEFINANCE(A645,""low52"")"),13.21)</f>
        <v>13.21</v>
      </c>
      <c r="J645" s="34">
        <f>IFERROR(__xludf.DUMMYFUNCTION("GOOGLEFINANCE(A645,""high52"")"),27.81)</f>
        <v>27.81</v>
      </c>
    </row>
    <row r="646">
      <c r="A646" s="30" t="str">
        <f>'6image_RS_benchmark_performance'!A646</f>
        <v>VRTX</v>
      </c>
      <c r="B646" s="31">
        <f>IFERROR(__xludf.DUMMYFUNCTION("GOOGLEFINANCE(A646,""price"")"),196.55)</f>
        <v>196.55</v>
      </c>
      <c r="C646" s="31">
        <f>IFERROR(__xludf.DUMMYFUNCTION("GOOGLEFINANCE(A646,""high"")"),196.99)</f>
        <v>196.99</v>
      </c>
      <c r="D646" s="31">
        <f>IFERROR(__xludf.DUMMYFUNCTION("GOOGLEFINANCE(A646,""low"")"),193.88)</f>
        <v>193.88</v>
      </c>
      <c r="E646" s="31">
        <f>IFERROR(__xludf.DUMMYFUNCTION("GOOGLEFINANCE(A646,""change"")"),-2.69)</f>
        <v>-2.69</v>
      </c>
      <c r="F646" s="32">
        <f>IFERROR(__xludf.DUMMYFUNCTION("GOOGLEFINANCE(A646,""changepct"")/100"),-0.013500000000000002)</f>
        <v>-0.0135</v>
      </c>
      <c r="G646" s="33">
        <f>IFERROR(__xludf.DUMMYFUNCTION("GOOGLEFINANCE(A646,""priceopen"")"),195.0)</f>
        <v>195</v>
      </c>
      <c r="H646" s="34">
        <f>IFERROR(__xludf.DUMMYFUNCTION("GOOGLEFINANCE(A646,""closeyest"")"),199.24)</f>
        <v>199.24</v>
      </c>
      <c r="I646" s="34">
        <f>IFERROR(__xludf.DUMMYFUNCTION("GOOGLEFINANCE(A646,""low52"")"),185.33)</f>
        <v>185.33</v>
      </c>
      <c r="J646" s="34">
        <f>IFERROR(__xludf.DUMMYFUNCTION("GOOGLEFINANCE(A646,""high52"")"),304.0)</f>
        <v>304</v>
      </c>
    </row>
    <row r="647">
      <c r="A647" s="30" t="str">
        <f>'6image_RS_benchmark_performance'!A647</f>
        <v>VT</v>
      </c>
      <c r="B647" s="31">
        <f>IFERROR(__xludf.DUMMYFUNCTION("GOOGLEFINANCE(A647,""price"")"),102.74)</f>
        <v>102.74</v>
      </c>
      <c r="C647" s="31">
        <f>IFERROR(__xludf.DUMMYFUNCTION("GOOGLEFINANCE(A647,""high"")"),102.99)</f>
        <v>102.99</v>
      </c>
      <c r="D647" s="31">
        <f>IFERROR(__xludf.DUMMYFUNCTION("GOOGLEFINANCE(A647,""low"")"),101.29)</f>
        <v>101.29</v>
      </c>
      <c r="E647" s="31">
        <f>IFERROR(__xludf.DUMMYFUNCTION("GOOGLEFINANCE(A647,""change"")"),1.22)</f>
        <v>1.22</v>
      </c>
      <c r="F647" s="32">
        <f>IFERROR(__xludf.DUMMYFUNCTION("GOOGLEFINANCE(A647,""changepct"")/100"),0.012)</f>
        <v>0.012</v>
      </c>
      <c r="G647" s="33">
        <f>IFERROR(__xludf.DUMMYFUNCTION("GOOGLEFINANCE(A647,""priceopen"")"),101.48)</f>
        <v>101.48</v>
      </c>
      <c r="H647" s="34">
        <f>IFERROR(__xludf.DUMMYFUNCTION("GOOGLEFINANCE(A647,""closeyest"")"),101.52)</f>
        <v>101.52</v>
      </c>
      <c r="I647" s="34">
        <f>IFERROR(__xludf.DUMMYFUNCTION("GOOGLEFINANCE(A647,""low52"")"),77.64)</f>
        <v>77.64</v>
      </c>
      <c r="J647" s="34">
        <f>IFERROR(__xludf.DUMMYFUNCTION("GOOGLEFINANCE(A647,""high52"")"),104.83)</f>
        <v>104.83</v>
      </c>
    </row>
    <row r="648">
      <c r="A648" s="30" t="str">
        <f>'6image_RS_benchmark_performance'!A648</f>
        <v>VTI</v>
      </c>
      <c r="B648" s="31">
        <f>IFERROR(__xludf.DUMMYFUNCTION("GOOGLEFINANCE(A648,""price"")"),223.02)</f>
        <v>223.02</v>
      </c>
      <c r="C648" s="31">
        <f>IFERROR(__xludf.DUMMYFUNCTION("GOOGLEFINANCE(A648,""high"")"),223.7)</f>
        <v>223.7</v>
      </c>
      <c r="D648" s="31">
        <f>IFERROR(__xludf.DUMMYFUNCTION("GOOGLEFINANCE(A648,""low"")"),219.39)</f>
        <v>219.39</v>
      </c>
      <c r="E648" s="31">
        <f>IFERROR(__xludf.DUMMYFUNCTION("GOOGLEFINANCE(A648,""change"")"),3.79)</f>
        <v>3.79</v>
      </c>
      <c r="F648" s="32">
        <f>IFERROR(__xludf.DUMMYFUNCTION("GOOGLEFINANCE(A648,""changepct"")/100"),0.0173)</f>
        <v>0.0173</v>
      </c>
      <c r="G648" s="33">
        <f>IFERROR(__xludf.DUMMYFUNCTION("GOOGLEFINANCE(A648,""priceopen"")"),219.95)</f>
        <v>219.95</v>
      </c>
      <c r="H648" s="34">
        <f>IFERROR(__xludf.DUMMYFUNCTION("GOOGLEFINANCE(A648,""closeyest"")"),219.23)</f>
        <v>219.23</v>
      </c>
      <c r="I648" s="34">
        <f>IFERROR(__xludf.DUMMYFUNCTION("GOOGLEFINANCE(A648,""low52"")"),161.9)</f>
        <v>161.9</v>
      </c>
      <c r="J648" s="34">
        <f>IFERROR(__xludf.DUMMYFUNCTION("GOOGLEFINANCE(A648,""high52"")"),226.61)</f>
        <v>226.61</v>
      </c>
    </row>
    <row r="649">
      <c r="A649" s="30" t="str">
        <f>'6image_RS_benchmark_performance'!A649</f>
        <v>VTIP</v>
      </c>
      <c r="B649" s="31">
        <f>IFERROR(__xludf.DUMMYFUNCTION("GOOGLEFINANCE(A649,""price"")"),52.21)</f>
        <v>52.21</v>
      </c>
      <c r="C649" s="31">
        <f>IFERROR(__xludf.DUMMYFUNCTION("GOOGLEFINANCE(A649,""high"")"),52.23)</f>
        <v>52.23</v>
      </c>
      <c r="D649" s="31">
        <f>IFERROR(__xludf.DUMMYFUNCTION("GOOGLEFINANCE(A649,""low"")"),52.18)</f>
        <v>52.18</v>
      </c>
      <c r="E649" s="31">
        <f>IFERROR(__xludf.DUMMYFUNCTION("GOOGLEFINANCE(A649,""change"")"),0.04)</f>
        <v>0.04</v>
      </c>
      <c r="F649" s="32">
        <f>IFERROR(__xludf.DUMMYFUNCTION("GOOGLEFINANCE(A649,""changepct"")/100"),8.0E-4)</f>
        <v>0.0008</v>
      </c>
      <c r="G649" s="33">
        <f>IFERROR(__xludf.DUMMYFUNCTION("GOOGLEFINANCE(A649,""priceopen"")"),52.19)</f>
        <v>52.19</v>
      </c>
      <c r="H649" s="34">
        <f>IFERROR(__xludf.DUMMYFUNCTION("GOOGLEFINANCE(A649,""closeyest"")"),52.17)</f>
        <v>52.17</v>
      </c>
      <c r="I649" s="34">
        <f>IFERROR(__xludf.DUMMYFUNCTION("GOOGLEFINANCE(A649,""low52"")"),50.38)</f>
        <v>50.38</v>
      </c>
      <c r="J649" s="34">
        <f>IFERROR(__xludf.DUMMYFUNCTION("GOOGLEFINANCE(A649,""high52"")"),52.46)</f>
        <v>52.46</v>
      </c>
    </row>
    <row r="650">
      <c r="A650" s="30" t="str">
        <f>'6image_RS_benchmark_performance'!A650</f>
        <v>VTR</v>
      </c>
      <c r="B650" s="31">
        <f>IFERROR(__xludf.DUMMYFUNCTION("GOOGLEFINANCE(A650,""price"")"),60.08)</f>
        <v>60.08</v>
      </c>
      <c r="C650" s="31">
        <f>IFERROR(__xludf.DUMMYFUNCTION("GOOGLEFINANCE(A650,""high"")"),60.38)</f>
        <v>60.38</v>
      </c>
      <c r="D650" s="31">
        <f>IFERROR(__xludf.DUMMYFUNCTION("GOOGLEFINANCE(A650,""low"")"),57.81)</f>
        <v>57.81</v>
      </c>
      <c r="E650" s="31">
        <f>IFERROR(__xludf.DUMMYFUNCTION("GOOGLEFINANCE(A650,""change"")"),2.53)</f>
        <v>2.53</v>
      </c>
      <c r="F650" s="32">
        <f>IFERROR(__xludf.DUMMYFUNCTION("GOOGLEFINANCE(A650,""changepct"")/100"),0.044000000000000004)</f>
        <v>0.044</v>
      </c>
      <c r="G650" s="33">
        <f>IFERROR(__xludf.DUMMYFUNCTION("GOOGLEFINANCE(A650,""priceopen"")"),57.87)</f>
        <v>57.87</v>
      </c>
      <c r="H650" s="34">
        <f>IFERROR(__xludf.DUMMYFUNCTION("GOOGLEFINANCE(A650,""closeyest"")"),57.55)</f>
        <v>57.55</v>
      </c>
      <c r="I650" s="34">
        <f>IFERROR(__xludf.DUMMYFUNCTION("GOOGLEFINANCE(A650,""low52"")"),33.95)</f>
        <v>33.95</v>
      </c>
      <c r="J650" s="34">
        <f>IFERROR(__xludf.DUMMYFUNCTION("GOOGLEFINANCE(A650,""high52"")"),60.38)</f>
        <v>60.38</v>
      </c>
    </row>
    <row r="651">
      <c r="A651" s="30" t="str">
        <f>'6image_RS_benchmark_performance'!A651</f>
        <v>VTRS</v>
      </c>
      <c r="B651" s="31">
        <f>IFERROR(__xludf.DUMMYFUNCTION("GOOGLEFINANCE(A651,""price"")"),13.89)</f>
        <v>13.89</v>
      </c>
      <c r="C651" s="31">
        <f>IFERROR(__xludf.DUMMYFUNCTION("GOOGLEFINANCE(A651,""high"")"),13.97)</f>
        <v>13.97</v>
      </c>
      <c r="D651" s="31">
        <f>IFERROR(__xludf.DUMMYFUNCTION("GOOGLEFINANCE(A651,""low"")"),13.6)</f>
        <v>13.6</v>
      </c>
      <c r="E651" s="31">
        <f>IFERROR(__xludf.DUMMYFUNCTION("GOOGLEFINANCE(A651,""change"")"),0.29)</f>
        <v>0.29</v>
      </c>
      <c r="F651" s="32">
        <f>IFERROR(__xludf.DUMMYFUNCTION("GOOGLEFINANCE(A651,""changepct"")/100"),0.0213)</f>
        <v>0.0213</v>
      </c>
      <c r="G651" s="33">
        <f>IFERROR(__xludf.DUMMYFUNCTION("GOOGLEFINANCE(A651,""priceopen"")"),13.62)</f>
        <v>13.62</v>
      </c>
      <c r="H651" s="34">
        <f>IFERROR(__xludf.DUMMYFUNCTION("GOOGLEFINANCE(A651,""closeyest"")"),13.6)</f>
        <v>13.6</v>
      </c>
      <c r="I651" s="34">
        <f>IFERROR(__xludf.DUMMYFUNCTION("GOOGLEFINANCE(A651,""low52"")"),12.94)</f>
        <v>12.94</v>
      </c>
      <c r="J651" s="34">
        <f>IFERROR(__xludf.DUMMYFUNCTION("GOOGLEFINANCE(A651,""high52"")"),18.86)</f>
        <v>18.86</v>
      </c>
    </row>
    <row r="652">
      <c r="A652" s="30" t="str">
        <f>'6image_RS_benchmark_performance'!A652</f>
        <v>VTV</v>
      </c>
      <c r="B652" s="31">
        <f>IFERROR(__xludf.DUMMYFUNCTION("GOOGLEFINANCE(A652,""price"")"),136.67)</f>
        <v>136.67</v>
      </c>
      <c r="C652" s="31">
        <f>IFERROR(__xludf.DUMMYFUNCTION("GOOGLEFINANCE(A652,""high"")"),137.19)</f>
        <v>137.19</v>
      </c>
      <c r="D652" s="31">
        <f>IFERROR(__xludf.DUMMYFUNCTION("GOOGLEFINANCE(A652,""low"")"),134.62)</f>
        <v>134.62</v>
      </c>
      <c r="E652" s="31">
        <f>IFERROR(__xludf.DUMMYFUNCTION("GOOGLEFINANCE(A652,""change"")"),2.17)</f>
        <v>2.17</v>
      </c>
      <c r="F652" s="32">
        <f>IFERROR(__xludf.DUMMYFUNCTION("GOOGLEFINANCE(A652,""changepct"")/100"),0.0161)</f>
        <v>0.0161</v>
      </c>
      <c r="G652" s="33">
        <f>IFERROR(__xludf.DUMMYFUNCTION("GOOGLEFINANCE(A652,""priceopen"")"),134.8)</f>
        <v>134.8</v>
      </c>
      <c r="H652" s="34">
        <f>IFERROR(__xludf.DUMMYFUNCTION("GOOGLEFINANCE(A652,""closeyest"")"),134.5)</f>
        <v>134.5</v>
      </c>
      <c r="I652" s="34">
        <f>IFERROR(__xludf.DUMMYFUNCTION("GOOGLEFINANCE(A652,""low52"")"),100.68)</f>
        <v>100.68</v>
      </c>
      <c r="J652" s="34">
        <f>IFERROR(__xludf.DUMMYFUNCTION("GOOGLEFINANCE(A652,""high52"")"),142.28)</f>
        <v>142.28</v>
      </c>
    </row>
    <row r="653">
      <c r="A653" s="30" t="str">
        <f>'6image_RS_benchmark_performance'!A653</f>
        <v>VWO</v>
      </c>
      <c r="B653" s="31">
        <f>IFERROR(__xludf.DUMMYFUNCTION("GOOGLEFINANCE(A653,""price"")"),52.25)</f>
        <v>52.25</v>
      </c>
      <c r="C653" s="31">
        <f>IFERROR(__xludf.DUMMYFUNCTION("GOOGLEFINANCE(A653,""high"")"),52.4)</f>
        <v>52.4</v>
      </c>
      <c r="D653" s="31">
        <f>IFERROR(__xludf.DUMMYFUNCTION("GOOGLEFINANCE(A653,""low"")"),51.75)</f>
        <v>51.75</v>
      </c>
      <c r="E653" s="31">
        <f>IFERROR(__xludf.DUMMYFUNCTION("GOOGLEFINANCE(A653,""change"")"),0.04)</f>
        <v>0.04</v>
      </c>
      <c r="F653" s="32">
        <f>IFERROR(__xludf.DUMMYFUNCTION("GOOGLEFINANCE(A653,""changepct"")/100"),8.0E-4)</f>
        <v>0.0008</v>
      </c>
      <c r="G653" s="33">
        <f>IFERROR(__xludf.DUMMYFUNCTION("GOOGLEFINANCE(A653,""priceopen"")"),51.91)</f>
        <v>51.91</v>
      </c>
      <c r="H653" s="34">
        <f>IFERROR(__xludf.DUMMYFUNCTION("GOOGLEFINANCE(A653,""closeyest"")"),52.21)</f>
        <v>52.21</v>
      </c>
      <c r="I653" s="34">
        <f>IFERROR(__xludf.DUMMYFUNCTION("GOOGLEFINANCE(A653,""low52"")"),41.53)</f>
        <v>41.53</v>
      </c>
      <c r="J653" s="34">
        <f>IFERROR(__xludf.DUMMYFUNCTION("GOOGLEFINANCE(A653,""high52"")"),56.66)</f>
        <v>56.66</v>
      </c>
    </row>
    <row r="654">
      <c r="A654" s="30" t="str">
        <f>'6image_RS_benchmark_performance'!A654</f>
        <v>VXUS</v>
      </c>
      <c r="B654" s="31">
        <f>IFERROR(__xludf.DUMMYFUNCTION("GOOGLEFINANCE(A654,""price"")"),64.1)</f>
        <v>64.1</v>
      </c>
      <c r="C654" s="31">
        <f>IFERROR(__xludf.DUMMYFUNCTION("GOOGLEFINANCE(A654,""high"")"),64.2)</f>
        <v>64.2</v>
      </c>
      <c r="D654" s="31">
        <f>IFERROR(__xludf.DUMMYFUNCTION("GOOGLEFINANCE(A654,""low"")"),63.37)</f>
        <v>63.37</v>
      </c>
      <c r="E654" s="31">
        <f>IFERROR(__xludf.DUMMYFUNCTION("GOOGLEFINANCE(A654,""change"")"),0.37)</f>
        <v>0.37</v>
      </c>
      <c r="F654" s="32">
        <f>IFERROR(__xludf.DUMMYFUNCTION("GOOGLEFINANCE(A654,""changepct"")/100"),0.0058)</f>
        <v>0.0058</v>
      </c>
      <c r="G654" s="33">
        <f>IFERROR(__xludf.DUMMYFUNCTION("GOOGLEFINANCE(A654,""priceopen"")"),63.49)</f>
        <v>63.49</v>
      </c>
      <c r="H654" s="34">
        <f>IFERROR(__xludf.DUMMYFUNCTION("GOOGLEFINANCE(A654,""closeyest"")"),63.73)</f>
        <v>63.73</v>
      </c>
      <c r="I654" s="34">
        <f>IFERROR(__xludf.DUMMYFUNCTION("GOOGLEFINANCE(A654,""low52"")"),50.69)</f>
        <v>50.69</v>
      </c>
      <c r="J654" s="34">
        <f>IFERROR(__xludf.DUMMYFUNCTION("GOOGLEFINANCE(A654,""high52"")"),67.51)</f>
        <v>67.51</v>
      </c>
    </row>
    <row r="655">
      <c r="A655" s="30" t="str">
        <f>'6image_RS_benchmark_performance'!A655</f>
        <v>VZ</v>
      </c>
      <c r="B655" s="31">
        <f>IFERROR(__xludf.DUMMYFUNCTION("GOOGLEFINANCE(A655,""price"")"),55.58)</f>
        <v>55.58</v>
      </c>
      <c r="C655" s="31">
        <f>IFERROR(__xludf.DUMMYFUNCTION("GOOGLEFINANCE(A655,""high"")"),56.77)</f>
        <v>56.77</v>
      </c>
      <c r="D655" s="31">
        <f>IFERROR(__xludf.DUMMYFUNCTION("GOOGLEFINANCE(A655,""low"")"),55.54)</f>
        <v>55.54</v>
      </c>
      <c r="E655" s="31">
        <f>IFERROR(__xludf.DUMMYFUNCTION("GOOGLEFINANCE(A655,""change"")"),-0.26)</f>
        <v>-0.26</v>
      </c>
      <c r="F655" s="32">
        <f>IFERROR(__xludf.DUMMYFUNCTION("GOOGLEFINANCE(A655,""changepct"")/100"),-0.004699999999999999)</f>
        <v>-0.0047</v>
      </c>
      <c r="G655" s="33">
        <f>IFERROR(__xludf.DUMMYFUNCTION("GOOGLEFINANCE(A655,""priceopen"")"),55.95)</f>
        <v>55.95</v>
      </c>
      <c r="H655" s="34">
        <f>IFERROR(__xludf.DUMMYFUNCTION("GOOGLEFINANCE(A655,""closeyest"")"),55.84)</f>
        <v>55.84</v>
      </c>
      <c r="I655" s="34">
        <f>IFERROR(__xludf.DUMMYFUNCTION("GOOGLEFINANCE(A655,""low52"")"),53.83)</f>
        <v>53.83</v>
      </c>
      <c r="J655" s="34">
        <f>IFERROR(__xludf.DUMMYFUNCTION("GOOGLEFINANCE(A655,""high52"")"),61.95)</f>
        <v>61.95</v>
      </c>
    </row>
    <row r="656">
      <c r="A656" s="30" t="str">
        <f>'6image_RS_benchmark_performance'!A656</f>
        <v>WAB</v>
      </c>
      <c r="B656" s="31">
        <f>IFERROR(__xludf.DUMMYFUNCTION("GOOGLEFINANCE(A656,""price"")"),81.74)</f>
        <v>81.74</v>
      </c>
      <c r="C656" s="31">
        <f>IFERROR(__xludf.DUMMYFUNCTION("GOOGLEFINANCE(A656,""high"")"),82.25)</f>
        <v>82.25</v>
      </c>
      <c r="D656" s="31">
        <f>IFERROR(__xludf.DUMMYFUNCTION("GOOGLEFINANCE(A656,""low"")"),78.21)</f>
        <v>78.21</v>
      </c>
      <c r="E656" s="31">
        <f>IFERROR(__xludf.DUMMYFUNCTION("GOOGLEFINANCE(A656,""change"")"),3.6)</f>
        <v>3.6</v>
      </c>
      <c r="F656" s="32">
        <f>IFERROR(__xludf.DUMMYFUNCTION("GOOGLEFINANCE(A656,""changepct"")/100"),0.0461)</f>
        <v>0.0461</v>
      </c>
      <c r="G656" s="33">
        <f>IFERROR(__xludf.DUMMYFUNCTION("GOOGLEFINANCE(A656,""priceopen"")"),78.38)</f>
        <v>78.38</v>
      </c>
      <c r="H656" s="34">
        <f>IFERROR(__xludf.DUMMYFUNCTION("GOOGLEFINANCE(A656,""closeyest"")"),78.14)</f>
        <v>78.14</v>
      </c>
      <c r="I656" s="34">
        <f>IFERROR(__xludf.DUMMYFUNCTION("GOOGLEFINANCE(A656,""low52"")"),55.83)</f>
        <v>55.83</v>
      </c>
      <c r="J656" s="34">
        <f>IFERROR(__xludf.DUMMYFUNCTION("GOOGLEFINANCE(A656,""high52"")"),86.81)</f>
        <v>86.81</v>
      </c>
    </row>
    <row r="657">
      <c r="A657" s="30" t="str">
        <f>'6image_RS_benchmark_performance'!A657</f>
        <v>WAT</v>
      </c>
      <c r="B657" s="31">
        <f>IFERROR(__xludf.DUMMYFUNCTION("GOOGLEFINANCE(A657,""price"")"),372.12)</f>
        <v>372.12</v>
      </c>
      <c r="C657" s="31">
        <f>IFERROR(__xludf.DUMMYFUNCTION("GOOGLEFINANCE(A657,""high"")"),373.04)</f>
        <v>373.04</v>
      </c>
      <c r="D657" s="31">
        <f>IFERROR(__xludf.DUMMYFUNCTION("GOOGLEFINANCE(A657,""low"")"),362.1)</f>
        <v>362.1</v>
      </c>
      <c r="E657" s="31">
        <f>IFERROR(__xludf.DUMMYFUNCTION("GOOGLEFINANCE(A657,""change"")"),9.13)</f>
        <v>9.13</v>
      </c>
      <c r="F657" s="32">
        <f>IFERROR(__xludf.DUMMYFUNCTION("GOOGLEFINANCE(A657,""changepct"")/100"),0.0252)</f>
        <v>0.0252</v>
      </c>
      <c r="G657" s="33">
        <f>IFERROR(__xludf.DUMMYFUNCTION("GOOGLEFINANCE(A657,""priceopen"")"),364.12)</f>
        <v>364.12</v>
      </c>
      <c r="H657" s="34">
        <f>IFERROR(__xludf.DUMMYFUNCTION("GOOGLEFINANCE(A657,""closeyest"")"),362.99)</f>
        <v>362.99</v>
      </c>
      <c r="I657" s="34">
        <f>IFERROR(__xludf.DUMMYFUNCTION("GOOGLEFINANCE(A657,""low52"")"),187.31)</f>
        <v>187.31</v>
      </c>
      <c r="J657" s="34">
        <f>IFERROR(__xludf.DUMMYFUNCTION("GOOGLEFINANCE(A657,""high52"")"),373.53)</f>
        <v>373.53</v>
      </c>
    </row>
    <row r="658">
      <c r="A658" s="30" t="str">
        <f>'6image_RS_benchmark_performance'!A658</f>
        <v>WBA</v>
      </c>
      <c r="B658" s="31">
        <f>IFERROR(__xludf.DUMMYFUNCTION("GOOGLEFINANCE(A658,""price"")"),46.06)</f>
        <v>46.06</v>
      </c>
      <c r="C658" s="31">
        <f>IFERROR(__xludf.DUMMYFUNCTION("GOOGLEFINANCE(A658,""high"")"),46.65)</f>
        <v>46.65</v>
      </c>
      <c r="D658" s="31">
        <f>IFERROR(__xludf.DUMMYFUNCTION("GOOGLEFINANCE(A658,""low"")"),45.44)</f>
        <v>45.44</v>
      </c>
      <c r="E658" s="31">
        <f>IFERROR(__xludf.DUMMYFUNCTION("GOOGLEFINANCE(A658,""change"")"),0.48)</f>
        <v>0.48</v>
      </c>
      <c r="F658" s="32">
        <f>IFERROR(__xludf.DUMMYFUNCTION("GOOGLEFINANCE(A658,""changepct"")/100"),0.0105)</f>
        <v>0.0105</v>
      </c>
      <c r="G658" s="33">
        <f>IFERROR(__xludf.DUMMYFUNCTION("GOOGLEFINANCE(A658,""priceopen"")"),45.73)</f>
        <v>45.73</v>
      </c>
      <c r="H658" s="34">
        <f>IFERROR(__xludf.DUMMYFUNCTION("GOOGLEFINANCE(A658,""closeyest"")"),45.58)</f>
        <v>45.58</v>
      </c>
      <c r="I658" s="34">
        <f>IFERROR(__xludf.DUMMYFUNCTION("GOOGLEFINANCE(A658,""low52"")"),33.36)</f>
        <v>33.36</v>
      </c>
      <c r="J658" s="34">
        <f>IFERROR(__xludf.DUMMYFUNCTION("GOOGLEFINANCE(A658,""high52"")"),57.05)</f>
        <v>57.05</v>
      </c>
    </row>
    <row r="659">
      <c r="A659" s="30" t="str">
        <f>'6image_RS_benchmark_performance'!A659</f>
        <v>WDAY</v>
      </c>
      <c r="B659" s="31">
        <f>IFERROR(__xludf.DUMMYFUNCTION("GOOGLEFINANCE(A659,""price"")"),230.83)</f>
        <v>230.83</v>
      </c>
      <c r="C659" s="31">
        <f>IFERROR(__xludf.DUMMYFUNCTION("GOOGLEFINANCE(A659,""high"")"),233.58)</f>
        <v>233.58</v>
      </c>
      <c r="D659" s="31">
        <f>IFERROR(__xludf.DUMMYFUNCTION("GOOGLEFINANCE(A659,""low"")"),225.55)</f>
        <v>225.55</v>
      </c>
      <c r="E659" s="31">
        <f>IFERROR(__xludf.DUMMYFUNCTION("GOOGLEFINANCE(A659,""change"")"),4.68)</f>
        <v>4.68</v>
      </c>
      <c r="F659" s="32">
        <f>IFERROR(__xludf.DUMMYFUNCTION("GOOGLEFINANCE(A659,""changepct"")/100"),0.0207)</f>
        <v>0.0207</v>
      </c>
      <c r="G659" s="33">
        <f>IFERROR(__xludf.DUMMYFUNCTION("GOOGLEFINANCE(A659,""priceopen"")"),227.2)</f>
        <v>227.2</v>
      </c>
      <c r="H659" s="34">
        <f>IFERROR(__xludf.DUMMYFUNCTION("GOOGLEFINANCE(A659,""closeyest"")"),226.15)</f>
        <v>226.15</v>
      </c>
      <c r="I659" s="34">
        <f>IFERROR(__xludf.DUMMYFUNCTION("GOOGLEFINANCE(A659,""low52"")"),174.52)</f>
        <v>174.52</v>
      </c>
      <c r="J659" s="34">
        <f>IFERROR(__xludf.DUMMYFUNCTION("GOOGLEFINANCE(A659,""high52"")"),282.77)</f>
        <v>282.77</v>
      </c>
    </row>
    <row r="660">
      <c r="A660" s="30" t="str">
        <f>'6image_RS_benchmark_performance'!A660</f>
        <v>WDC</v>
      </c>
      <c r="B660" s="31">
        <f>IFERROR(__xludf.DUMMYFUNCTION("GOOGLEFINANCE(A660,""price"")"),64.64)</f>
        <v>64.64</v>
      </c>
      <c r="C660" s="31">
        <f>IFERROR(__xludf.DUMMYFUNCTION("GOOGLEFINANCE(A660,""high"")"),64.84)</f>
        <v>64.84</v>
      </c>
      <c r="D660" s="31">
        <f>IFERROR(__xludf.DUMMYFUNCTION("GOOGLEFINANCE(A660,""low"")"),62.36)</f>
        <v>62.36</v>
      </c>
      <c r="E660" s="31">
        <f>IFERROR(__xludf.DUMMYFUNCTION("GOOGLEFINANCE(A660,""change"")"),1.65)</f>
        <v>1.65</v>
      </c>
      <c r="F660" s="32">
        <f>IFERROR(__xludf.DUMMYFUNCTION("GOOGLEFINANCE(A660,""changepct"")/100"),0.0262)</f>
        <v>0.0262</v>
      </c>
      <c r="G660" s="33">
        <f>IFERROR(__xludf.DUMMYFUNCTION("GOOGLEFINANCE(A660,""priceopen"")"),62.8)</f>
        <v>62.8</v>
      </c>
      <c r="H660" s="34">
        <f>IFERROR(__xludf.DUMMYFUNCTION("GOOGLEFINANCE(A660,""closeyest"")"),62.99)</f>
        <v>62.99</v>
      </c>
      <c r="I660" s="34">
        <f>IFERROR(__xludf.DUMMYFUNCTION("GOOGLEFINANCE(A660,""low52"")"),33.53)</f>
        <v>33.53</v>
      </c>
      <c r="J660" s="34">
        <f>IFERROR(__xludf.DUMMYFUNCTION("GOOGLEFINANCE(A660,""high52"")"),78.19)</f>
        <v>78.19</v>
      </c>
    </row>
    <row r="661">
      <c r="A661" s="30" t="str">
        <f>'6image_RS_benchmark_performance'!A661</f>
        <v>WEC</v>
      </c>
      <c r="B661" s="31">
        <f>IFERROR(__xludf.DUMMYFUNCTION("GOOGLEFINANCE(A661,""price"")"),93.82)</f>
        <v>93.82</v>
      </c>
      <c r="C661" s="31">
        <f>IFERROR(__xludf.DUMMYFUNCTION("GOOGLEFINANCE(A661,""high"")"),95.67)</f>
        <v>95.67</v>
      </c>
      <c r="D661" s="31">
        <f>IFERROR(__xludf.DUMMYFUNCTION("GOOGLEFINANCE(A661,""low"")"),93.36)</f>
        <v>93.36</v>
      </c>
      <c r="E661" s="31">
        <f>IFERROR(__xludf.DUMMYFUNCTION("GOOGLEFINANCE(A661,""change"")"),-0.41)</f>
        <v>-0.41</v>
      </c>
      <c r="F661" s="32">
        <f>IFERROR(__xludf.DUMMYFUNCTION("GOOGLEFINANCE(A661,""changepct"")/100"),-0.0044)</f>
        <v>-0.0044</v>
      </c>
      <c r="G661" s="33">
        <f>IFERROR(__xludf.DUMMYFUNCTION("GOOGLEFINANCE(A661,""priceopen"")"),94.0)</f>
        <v>94</v>
      </c>
      <c r="H661" s="34">
        <f>IFERROR(__xludf.DUMMYFUNCTION("GOOGLEFINANCE(A661,""closeyest"")"),94.23)</f>
        <v>94.23</v>
      </c>
      <c r="I661" s="34">
        <f>IFERROR(__xludf.DUMMYFUNCTION("GOOGLEFINANCE(A661,""low52"")"),80.55)</f>
        <v>80.55</v>
      </c>
      <c r="J661" s="34">
        <f>IFERROR(__xludf.DUMMYFUNCTION("GOOGLEFINANCE(A661,""high52"")"),106.85)</f>
        <v>106.85</v>
      </c>
    </row>
    <row r="662">
      <c r="A662" s="30" t="str">
        <f>'6image_RS_benchmark_performance'!A662</f>
        <v>WELL</v>
      </c>
      <c r="B662" s="31">
        <f>IFERROR(__xludf.DUMMYFUNCTION("GOOGLEFINANCE(A662,""price"")"),88.02)</f>
        <v>88.02</v>
      </c>
      <c r="C662" s="31">
        <f>IFERROR(__xludf.DUMMYFUNCTION("GOOGLEFINANCE(A662,""high"")"),88.42)</f>
        <v>88.42</v>
      </c>
      <c r="D662" s="31">
        <f>IFERROR(__xludf.DUMMYFUNCTION("GOOGLEFINANCE(A662,""low"")"),84.31)</f>
        <v>84.31</v>
      </c>
      <c r="E662" s="31">
        <f>IFERROR(__xludf.DUMMYFUNCTION("GOOGLEFINANCE(A662,""change"")"),3.59)</f>
        <v>3.59</v>
      </c>
      <c r="F662" s="32">
        <f>IFERROR(__xludf.DUMMYFUNCTION("GOOGLEFINANCE(A662,""changepct"")/100"),0.0425)</f>
        <v>0.0425</v>
      </c>
      <c r="G662" s="33">
        <f>IFERROR(__xludf.DUMMYFUNCTION("GOOGLEFINANCE(A662,""priceopen"")"),84.93)</f>
        <v>84.93</v>
      </c>
      <c r="H662" s="34">
        <f>IFERROR(__xludf.DUMMYFUNCTION("GOOGLEFINANCE(A662,""closeyest"")"),84.43)</f>
        <v>84.43</v>
      </c>
      <c r="I662" s="34">
        <f>IFERROR(__xludf.DUMMYFUNCTION("GOOGLEFINANCE(A662,""low52"")"),48.9)</f>
        <v>48.9</v>
      </c>
      <c r="J662" s="34">
        <f>IFERROR(__xludf.DUMMYFUNCTION("GOOGLEFINANCE(A662,""high52"")"),89.8)</f>
        <v>89.8</v>
      </c>
    </row>
    <row r="663">
      <c r="A663" s="30" t="str">
        <f>'6image_RS_benchmark_performance'!A663</f>
        <v>WFC</v>
      </c>
      <c r="B663" s="31">
        <f>IFERROR(__xludf.DUMMYFUNCTION("GOOGLEFINANCE(A663,""price"")"),44.84)</f>
        <v>44.84</v>
      </c>
      <c r="C663" s="31">
        <f>IFERROR(__xludf.DUMMYFUNCTION("GOOGLEFINANCE(A663,""high"")"),45.15)</f>
        <v>45.15</v>
      </c>
      <c r="D663" s="31">
        <f>IFERROR(__xludf.DUMMYFUNCTION("GOOGLEFINANCE(A663,""low"")"),42.87)</f>
        <v>42.87</v>
      </c>
      <c r="E663" s="31">
        <f>IFERROR(__xludf.DUMMYFUNCTION("GOOGLEFINANCE(A663,""change"")"),1.79)</f>
        <v>1.79</v>
      </c>
      <c r="F663" s="32">
        <f>IFERROR(__xludf.DUMMYFUNCTION("GOOGLEFINANCE(A663,""changepct"")/100"),0.0416)</f>
        <v>0.0416</v>
      </c>
      <c r="G663" s="33">
        <f>IFERROR(__xludf.DUMMYFUNCTION("GOOGLEFINANCE(A663,""priceopen"")"),43.0)</f>
        <v>43</v>
      </c>
      <c r="H663" s="34">
        <f>IFERROR(__xludf.DUMMYFUNCTION("GOOGLEFINANCE(A663,""closeyest"")"),43.05)</f>
        <v>43.05</v>
      </c>
      <c r="I663" s="34">
        <f>IFERROR(__xludf.DUMMYFUNCTION("GOOGLEFINANCE(A663,""low52"")"),20.76)</f>
        <v>20.76</v>
      </c>
      <c r="J663" s="34">
        <f>IFERROR(__xludf.DUMMYFUNCTION("GOOGLEFINANCE(A663,""high52"")"),48.13)</f>
        <v>48.13</v>
      </c>
    </row>
    <row r="664">
      <c r="A664" s="30" t="str">
        <f>'6image_RS_benchmark_performance'!A664</f>
        <v>WHR</v>
      </c>
      <c r="B664" s="31">
        <f>IFERROR(__xludf.DUMMYFUNCTION("GOOGLEFINANCE(A664,""price"")"),213.18)</f>
        <v>213.18</v>
      </c>
      <c r="C664" s="31">
        <f>IFERROR(__xludf.DUMMYFUNCTION("GOOGLEFINANCE(A664,""high"")"),213.82)</f>
        <v>213.82</v>
      </c>
      <c r="D664" s="31">
        <f>IFERROR(__xludf.DUMMYFUNCTION("GOOGLEFINANCE(A664,""low"")"),205.95)</f>
        <v>205.95</v>
      </c>
      <c r="E664" s="31">
        <f>IFERROR(__xludf.DUMMYFUNCTION("GOOGLEFINANCE(A664,""change"")"),0.79)</f>
        <v>0.79</v>
      </c>
      <c r="F664" s="32">
        <f>IFERROR(__xludf.DUMMYFUNCTION("GOOGLEFINANCE(A664,""changepct"")/100"),0.0037)</f>
        <v>0.0037</v>
      </c>
      <c r="G664" s="33">
        <f>IFERROR(__xludf.DUMMYFUNCTION("GOOGLEFINANCE(A664,""priceopen"")"),210.63)</f>
        <v>210.63</v>
      </c>
      <c r="H664" s="34">
        <f>IFERROR(__xludf.DUMMYFUNCTION("GOOGLEFINANCE(A664,""closeyest"")"),212.39)</f>
        <v>212.39</v>
      </c>
      <c r="I664" s="34">
        <f>IFERROR(__xludf.DUMMYFUNCTION("GOOGLEFINANCE(A664,""low52"")"),141.21)</f>
        <v>141.21</v>
      </c>
      <c r="J664" s="34">
        <f>IFERROR(__xludf.DUMMYFUNCTION("GOOGLEFINANCE(A664,""high52"")"),257.68)</f>
        <v>257.68</v>
      </c>
    </row>
    <row r="665">
      <c r="A665" s="30" t="str">
        <f>'6image_RS_benchmark_performance'!A665</f>
        <v>WLTW</v>
      </c>
      <c r="B665" s="31">
        <f>IFERROR(__xludf.DUMMYFUNCTION("GOOGLEFINANCE(A665,""price"")"),219.7)</f>
        <v>219.7</v>
      </c>
      <c r="C665" s="31">
        <f>IFERROR(__xludf.DUMMYFUNCTION("GOOGLEFINANCE(A665,""high"")"),221.43)</f>
        <v>221.43</v>
      </c>
      <c r="D665" s="31">
        <f>IFERROR(__xludf.DUMMYFUNCTION("GOOGLEFINANCE(A665,""low"")"),217.02)</f>
        <v>217.02</v>
      </c>
      <c r="E665" s="31">
        <f>IFERROR(__xludf.DUMMYFUNCTION("GOOGLEFINANCE(A665,""change"")"),3.61)</f>
        <v>3.61</v>
      </c>
      <c r="F665" s="32">
        <f>IFERROR(__xludf.DUMMYFUNCTION("GOOGLEFINANCE(A665,""changepct"")/100"),0.0167)</f>
        <v>0.0167</v>
      </c>
      <c r="G665" s="33">
        <f>IFERROR(__xludf.DUMMYFUNCTION("GOOGLEFINANCE(A665,""priceopen"")"),217.02)</f>
        <v>217.02</v>
      </c>
      <c r="H665" s="34">
        <f>IFERROR(__xludf.DUMMYFUNCTION("GOOGLEFINANCE(A665,""closeyest"")"),216.09)</f>
        <v>216.09</v>
      </c>
      <c r="I665" s="34">
        <f>IFERROR(__xludf.DUMMYFUNCTION("GOOGLEFINANCE(A665,""low52"")"),179.31)</f>
        <v>179.31</v>
      </c>
      <c r="J665" s="34">
        <f>IFERROR(__xludf.DUMMYFUNCTION("GOOGLEFINANCE(A665,""high52"")"),271.87)</f>
        <v>271.87</v>
      </c>
    </row>
    <row r="666">
      <c r="A666" s="30" t="str">
        <f>'6image_RS_benchmark_performance'!A666</f>
        <v>WM</v>
      </c>
      <c r="B666" s="31">
        <f>IFERROR(__xludf.DUMMYFUNCTION("GOOGLEFINANCE(A666,""price"")"),145.17)</f>
        <v>145.17</v>
      </c>
      <c r="C666" s="31">
        <f>IFERROR(__xludf.DUMMYFUNCTION("GOOGLEFINANCE(A666,""high"")"),146.39)</f>
        <v>146.39</v>
      </c>
      <c r="D666" s="31">
        <f>IFERROR(__xludf.DUMMYFUNCTION("GOOGLEFINANCE(A666,""low"")"),143.91)</f>
        <v>143.91</v>
      </c>
      <c r="E666" s="31">
        <f>IFERROR(__xludf.DUMMYFUNCTION("GOOGLEFINANCE(A666,""change"")"),1.54)</f>
        <v>1.54</v>
      </c>
      <c r="F666" s="32">
        <f>IFERROR(__xludf.DUMMYFUNCTION("GOOGLEFINANCE(A666,""changepct"")/100"),0.010700000000000001)</f>
        <v>0.0107</v>
      </c>
      <c r="G666" s="33">
        <f>IFERROR(__xludf.DUMMYFUNCTION("GOOGLEFINANCE(A666,""priceopen"")"),143.95)</f>
        <v>143.95</v>
      </c>
      <c r="H666" s="34">
        <f>IFERROR(__xludf.DUMMYFUNCTION("GOOGLEFINANCE(A666,""closeyest"")"),143.63)</f>
        <v>143.63</v>
      </c>
      <c r="I666" s="34">
        <f>IFERROR(__xludf.DUMMYFUNCTION("GOOGLEFINANCE(A666,""low52"")"),106.11)</f>
        <v>106.11</v>
      </c>
      <c r="J666" s="34">
        <f>IFERROR(__xludf.DUMMYFUNCTION("GOOGLEFINANCE(A666,""high52"")"),146.92)</f>
        <v>146.92</v>
      </c>
    </row>
    <row r="667">
      <c r="A667" s="30" t="str">
        <f>'6image_RS_benchmark_performance'!A667</f>
        <v>WMB</v>
      </c>
      <c r="B667" s="31">
        <f>IFERROR(__xludf.DUMMYFUNCTION("GOOGLEFINANCE(A667,""price"")"),25.03)</f>
        <v>25.03</v>
      </c>
      <c r="C667" s="31">
        <f>IFERROR(__xludf.DUMMYFUNCTION("GOOGLEFINANCE(A667,""high"")"),25.23)</f>
        <v>25.23</v>
      </c>
      <c r="D667" s="31">
        <f>IFERROR(__xludf.DUMMYFUNCTION("GOOGLEFINANCE(A667,""low"")"),24.67)</f>
        <v>24.67</v>
      </c>
      <c r="E667" s="31">
        <f>IFERROR(__xludf.DUMMYFUNCTION("GOOGLEFINANCE(A667,""change"")"),0.31)</f>
        <v>0.31</v>
      </c>
      <c r="F667" s="32">
        <f>IFERROR(__xludf.DUMMYFUNCTION("GOOGLEFINANCE(A667,""changepct"")/100"),0.0125)</f>
        <v>0.0125</v>
      </c>
      <c r="G667" s="33">
        <f>IFERROR(__xludf.DUMMYFUNCTION("GOOGLEFINANCE(A667,""priceopen"")"),24.84)</f>
        <v>24.84</v>
      </c>
      <c r="H667" s="34">
        <f>IFERROR(__xludf.DUMMYFUNCTION("GOOGLEFINANCE(A667,""closeyest"")"),24.72)</f>
        <v>24.72</v>
      </c>
      <c r="I667" s="34">
        <f>IFERROR(__xludf.DUMMYFUNCTION("GOOGLEFINANCE(A667,""low52"")"),18.26)</f>
        <v>18.26</v>
      </c>
      <c r="J667" s="34">
        <f>IFERROR(__xludf.DUMMYFUNCTION("GOOGLEFINANCE(A667,""high52"")"),28.35)</f>
        <v>28.35</v>
      </c>
    </row>
    <row r="668">
      <c r="A668" s="30" t="str">
        <f>'6image_RS_benchmark_performance'!A668</f>
        <v>WMT</v>
      </c>
      <c r="B668" s="31">
        <f>IFERROR(__xludf.DUMMYFUNCTION("GOOGLEFINANCE(A668,""price"")"),141.87)</f>
        <v>141.87</v>
      </c>
      <c r="C668" s="31">
        <f>IFERROR(__xludf.DUMMYFUNCTION("GOOGLEFINANCE(A668,""high"")"),142.47)</f>
        <v>142.47</v>
      </c>
      <c r="D668" s="31">
        <f>IFERROR(__xludf.DUMMYFUNCTION("GOOGLEFINANCE(A668,""low"")"),140.78)</f>
        <v>140.78</v>
      </c>
      <c r="E668" s="31">
        <f>IFERROR(__xludf.DUMMYFUNCTION("GOOGLEFINANCE(A668,""change"")"),0.64)</f>
        <v>0.64</v>
      </c>
      <c r="F668" s="32">
        <f>IFERROR(__xludf.DUMMYFUNCTION("GOOGLEFINANCE(A668,""changepct"")/100"),0.0045000000000000005)</f>
        <v>0.0045</v>
      </c>
      <c r="G668" s="33">
        <f>IFERROR(__xludf.DUMMYFUNCTION("GOOGLEFINANCE(A668,""priceopen"")"),140.97)</f>
        <v>140.97</v>
      </c>
      <c r="H668" s="34">
        <f>IFERROR(__xludf.DUMMYFUNCTION("GOOGLEFINANCE(A668,""closeyest"")"),141.23)</f>
        <v>141.23</v>
      </c>
      <c r="I668" s="34">
        <f>IFERROR(__xludf.DUMMYFUNCTION("GOOGLEFINANCE(A668,""low52"")"),126.28)</f>
        <v>126.28</v>
      </c>
      <c r="J668" s="34">
        <f>IFERROR(__xludf.DUMMYFUNCTION("GOOGLEFINANCE(A668,""high52"")"),153.66)</f>
        <v>153.66</v>
      </c>
    </row>
    <row r="669">
      <c r="A669" s="30" t="str">
        <f>'6image_RS_benchmark_performance'!A669</f>
        <v>WORK</v>
      </c>
      <c r="B669" s="31">
        <f>IFERROR(__xludf.DUMMYFUNCTION("GOOGLEFINANCE(A669,""price"")"),45.2)</f>
        <v>45.2</v>
      </c>
      <c r="C669" s="31">
        <f>IFERROR(__xludf.DUMMYFUNCTION("GOOGLEFINANCE(A669,""high"")"),45.64)</f>
        <v>45.64</v>
      </c>
      <c r="D669" s="31">
        <f>IFERROR(__xludf.DUMMYFUNCTION("GOOGLEFINANCE(A669,""low"")"),45.06)</f>
        <v>45.06</v>
      </c>
      <c r="E669" s="31">
        <f>IFERROR(__xludf.DUMMYFUNCTION("GOOGLEFINANCE(A669,""change"")"),0.04)</f>
        <v>0.04</v>
      </c>
      <c r="F669" s="32">
        <f>IFERROR(__xludf.DUMMYFUNCTION("GOOGLEFINANCE(A669,""changepct"")/100"),9.0E-4)</f>
        <v>0.0009</v>
      </c>
      <c r="G669" s="33">
        <f>IFERROR(__xludf.DUMMYFUNCTION("GOOGLEFINANCE(A669,""priceopen"")"),45.16)</f>
        <v>45.16</v>
      </c>
      <c r="H669" s="34">
        <f>IFERROR(__xludf.DUMMYFUNCTION("GOOGLEFINANCE(A669,""closeyest"")"),45.16)</f>
        <v>45.16</v>
      </c>
      <c r="I669" s="34">
        <f>IFERROR(__xludf.DUMMYFUNCTION("GOOGLEFINANCE(A669,""low52"")"),24.09)</f>
        <v>24.09</v>
      </c>
      <c r="J669" s="34">
        <f>IFERROR(__xludf.DUMMYFUNCTION("GOOGLEFINANCE(A669,""high52"")"),45.64)</f>
        <v>45.64</v>
      </c>
    </row>
    <row r="670">
      <c r="A670" s="30" t="str">
        <f>'6image_RS_benchmark_performance'!A670</f>
        <v>WRB</v>
      </c>
      <c r="B670" s="31">
        <f>IFERROR(__xludf.DUMMYFUNCTION("GOOGLEFINANCE(A670,""price"")"),75.85)</f>
        <v>75.85</v>
      </c>
      <c r="C670" s="31">
        <f>IFERROR(__xludf.DUMMYFUNCTION("GOOGLEFINANCE(A670,""high"")"),76.62)</f>
        <v>76.62</v>
      </c>
      <c r="D670" s="31">
        <f>IFERROR(__xludf.DUMMYFUNCTION("GOOGLEFINANCE(A670,""low"")"),74.42)</f>
        <v>74.42</v>
      </c>
      <c r="E670" s="31">
        <f>IFERROR(__xludf.DUMMYFUNCTION("GOOGLEFINANCE(A670,""change"")"),1.67)</f>
        <v>1.67</v>
      </c>
      <c r="F670" s="32">
        <f>IFERROR(__xludf.DUMMYFUNCTION("GOOGLEFINANCE(A670,""changepct"")/100"),0.0225)</f>
        <v>0.0225</v>
      </c>
      <c r="G670" s="33">
        <f>IFERROR(__xludf.DUMMYFUNCTION("GOOGLEFINANCE(A670,""priceopen"")"),74.46)</f>
        <v>74.46</v>
      </c>
      <c r="H670" s="34">
        <f>IFERROR(__xludf.DUMMYFUNCTION("GOOGLEFINANCE(A670,""closeyest"")"),74.18)</f>
        <v>74.18</v>
      </c>
      <c r="I670" s="34">
        <f>IFERROR(__xludf.DUMMYFUNCTION("GOOGLEFINANCE(A670,""low52"")"),58.84)</f>
        <v>58.84</v>
      </c>
      <c r="J670" s="34">
        <f>IFERROR(__xludf.DUMMYFUNCTION("GOOGLEFINANCE(A670,""high52"")"),82.43)</f>
        <v>82.43</v>
      </c>
    </row>
    <row r="671">
      <c r="A671" s="30" t="str">
        <f>'6image_RS_benchmark_performance'!A671</f>
        <v>WRK</v>
      </c>
      <c r="B671" s="31">
        <f>IFERROR(__xludf.DUMMYFUNCTION("GOOGLEFINANCE(A671,""price"")"),48.5)</f>
        <v>48.5</v>
      </c>
      <c r="C671" s="31">
        <f>IFERROR(__xludf.DUMMYFUNCTION("GOOGLEFINANCE(A671,""high"")"),49.17)</f>
        <v>49.17</v>
      </c>
      <c r="D671" s="31">
        <f>IFERROR(__xludf.DUMMYFUNCTION("GOOGLEFINANCE(A671,""low"")"),48.07)</f>
        <v>48.07</v>
      </c>
      <c r="E671" s="31">
        <f>IFERROR(__xludf.DUMMYFUNCTION("GOOGLEFINANCE(A671,""change"")"),0.51)</f>
        <v>0.51</v>
      </c>
      <c r="F671" s="32">
        <f>IFERROR(__xludf.DUMMYFUNCTION("GOOGLEFINANCE(A671,""changepct"")/100"),0.0106)</f>
        <v>0.0106</v>
      </c>
      <c r="G671" s="33">
        <f>IFERROR(__xludf.DUMMYFUNCTION("GOOGLEFINANCE(A671,""priceopen"")"),48.07)</f>
        <v>48.07</v>
      </c>
      <c r="H671" s="34">
        <f>IFERROR(__xludf.DUMMYFUNCTION("GOOGLEFINANCE(A671,""closeyest"")"),47.99)</f>
        <v>47.99</v>
      </c>
      <c r="I671" s="34">
        <f>IFERROR(__xludf.DUMMYFUNCTION("GOOGLEFINANCE(A671,""low52"")"),26.56)</f>
        <v>26.56</v>
      </c>
      <c r="J671" s="34">
        <f>IFERROR(__xludf.DUMMYFUNCTION("GOOGLEFINANCE(A671,""high52"")"),62.03)</f>
        <v>62.03</v>
      </c>
    </row>
    <row r="672">
      <c r="A672" s="30" t="str">
        <f>'6image_RS_benchmark_performance'!A672</f>
        <v>WSC</v>
      </c>
      <c r="B672" s="31">
        <f>IFERROR(__xludf.DUMMYFUNCTION("GOOGLEFINANCE(A672,""price"")"),27.4)</f>
        <v>27.4</v>
      </c>
      <c r="C672" s="31">
        <f>IFERROR(__xludf.DUMMYFUNCTION("GOOGLEFINANCE(A672,""high"")"),27.56)</f>
        <v>27.56</v>
      </c>
      <c r="D672" s="31">
        <f>IFERROR(__xludf.DUMMYFUNCTION("GOOGLEFINANCE(A672,""low"")"),26.52)</f>
        <v>26.52</v>
      </c>
      <c r="E672" s="31">
        <f>IFERROR(__xludf.DUMMYFUNCTION("GOOGLEFINANCE(A672,""change"")"),0.91)</f>
        <v>0.91</v>
      </c>
      <c r="F672" s="32">
        <f>IFERROR(__xludf.DUMMYFUNCTION("GOOGLEFINANCE(A672,""changepct"")/100"),0.0344)</f>
        <v>0.0344</v>
      </c>
      <c r="G672" s="33">
        <f>IFERROR(__xludf.DUMMYFUNCTION("GOOGLEFINANCE(A672,""priceopen"")"),26.66)</f>
        <v>26.66</v>
      </c>
      <c r="H672" s="34">
        <f>IFERROR(__xludf.DUMMYFUNCTION("GOOGLEFINANCE(A672,""closeyest"")"),26.49)</f>
        <v>26.49</v>
      </c>
      <c r="I672" s="34">
        <f>IFERROR(__xludf.DUMMYFUNCTION("GOOGLEFINANCE(A672,""low52"")"),13.73)</f>
        <v>13.73</v>
      </c>
      <c r="J672" s="34">
        <f>IFERROR(__xludf.DUMMYFUNCTION("GOOGLEFINANCE(A672,""high52"")"),30.38)</f>
        <v>30.38</v>
      </c>
    </row>
    <row r="673">
      <c r="A673" s="30" t="str">
        <f>'6image_RS_benchmark_performance'!A673</f>
        <v>WST</v>
      </c>
      <c r="B673" s="31">
        <f>IFERROR(__xludf.DUMMYFUNCTION("GOOGLEFINANCE(A673,""price"")"),372.69)</f>
        <v>372.69</v>
      </c>
      <c r="C673" s="31">
        <f>IFERROR(__xludf.DUMMYFUNCTION("GOOGLEFINANCE(A673,""high"")"),376.75)</f>
        <v>376.75</v>
      </c>
      <c r="D673" s="31">
        <f>IFERROR(__xludf.DUMMYFUNCTION("GOOGLEFINANCE(A673,""low"")"),371.52)</f>
        <v>371.52</v>
      </c>
      <c r="E673" s="31">
        <f>IFERROR(__xludf.DUMMYFUNCTION("GOOGLEFINANCE(A673,""change"")"),1.86)</f>
        <v>1.86</v>
      </c>
      <c r="F673" s="32">
        <f>IFERROR(__xludf.DUMMYFUNCTION("GOOGLEFINANCE(A673,""changepct"")/100"),0.005)</f>
        <v>0.005</v>
      </c>
      <c r="G673" s="33">
        <f>IFERROR(__xludf.DUMMYFUNCTION("GOOGLEFINANCE(A673,""priceopen"")"),371.97)</f>
        <v>371.97</v>
      </c>
      <c r="H673" s="34">
        <f>IFERROR(__xludf.DUMMYFUNCTION("GOOGLEFINANCE(A673,""closeyest"")"),370.83)</f>
        <v>370.83</v>
      </c>
      <c r="I673" s="34">
        <f>IFERROR(__xludf.DUMMYFUNCTION("GOOGLEFINANCE(A673,""low52"")"),246.69)</f>
        <v>246.69</v>
      </c>
      <c r="J673" s="34">
        <f>IFERROR(__xludf.DUMMYFUNCTION("GOOGLEFINANCE(A673,""high52"")"),377.19)</f>
        <v>377.19</v>
      </c>
    </row>
    <row r="674">
      <c r="A674" s="30" t="str">
        <f>'6image_RS_benchmark_performance'!A674</f>
        <v>WU</v>
      </c>
      <c r="B674" s="31">
        <f>IFERROR(__xludf.DUMMYFUNCTION("GOOGLEFINANCE(A674,""price"")"),23.0)</f>
        <v>23</v>
      </c>
      <c r="C674" s="31">
        <f>IFERROR(__xludf.DUMMYFUNCTION("GOOGLEFINANCE(A674,""high"")"),23.18)</f>
        <v>23.18</v>
      </c>
      <c r="D674" s="31">
        <f>IFERROR(__xludf.DUMMYFUNCTION("GOOGLEFINANCE(A674,""low"")"),22.81)</f>
        <v>22.81</v>
      </c>
      <c r="E674" s="31">
        <f>IFERROR(__xludf.DUMMYFUNCTION("GOOGLEFINANCE(A674,""change"")"),0.28)</f>
        <v>0.28</v>
      </c>
      <c r="F674" s="32">
        <f>IFERROR(__xludf.DUMMYFUNCTION("GOOGLEFINANCE(A674,""changepct"")/100"),0.0123)</f>
        <v>0.0123</v>
      </c>
      <c r="G674" s="33">
        <f>IFERROR(__xludf.DUMMYFUNCTION("GOOGLEFINANCE(A674,""priceopen"")"),22.82)</f>
        <v>22.82</v>
      </c>
      <c r="H674" s="34">
        <f>IFERROR(__xludf.DUMMYFUNCTION("GOOGLEFINANCE(A674,""closeyest"")"),22.72)</f>
        <v>22.72</v>
      </c>
      <c r="I674" s="34">
        <f>IFERROR(__xludf.DUMMYFUNCTION("GOOGLEFINANCE(A674,""low52"")"),19.07)</f>
        <v>19.07</v>
      </c>
      <c r="J674" s="34">
        <f>IFERROR(__xludf.DUMMYFUNCTION("GOOGLEFINANCE(A674,""high52"")"),26.61)</f>
        <v>26.61</v>
      </c>
    </row>
    <row r="675">
      <c r="A675" s="30" t="str">
        <f>'6image_RS_benchmark_performance'!A675</f>
        <v>WY</v>
      </c>
      <c r="B675" s="31">
        <f>IFERROR(__xludf.DUMMYFUNCTION("GOOGLEFINANCE(A675,""price"")"),33.65)</f>
        <v>33.65</v>
      </c>
      <c r="C675" s="31">
        <f>IFERROR(__xludf.DUMMYFUNCTION("GOOGLEFINANCE(A675,""high"")"),33.77)</f>
        <v>33.77</v>
      </c>
      <c r="D675" s="31">
        <f>IFERROR(__xludf.DUMMYFUNCTION("GOOGLEFINANCE(A675,""low"")"),32.66)</f>
        <v>32.66</v>
      </c>
      <c r="E675" s="31">
        <f>IFERROR(__xludf.DUMMYFUNCTION("GOOGLEFINANCE(A675,""change"")"),0.7)</f>
        <v>0.7</v>
      </c>
      <c r="F675" s="32">
        <f>IFERROR(__xludf.DUMMYFUNCTION("GOOGLEFINANCE(A675,""changepct"")/100"),0.0212)</f>
        <v>0.0212</v>
      </c>
      <c r="G675" s="33">
        <f>IFERROR(__xludf.DUMMYFUNCTION("GOOGLEFINANCE(A675,""priceopen"")"),33.07)</f>
        <v>33.07</v>
      </c>
      <c r="H675" s="34">
        <f>IFERROR(__xludf.DUMMYFUNCTION("GOOGLEFINANCE(A675,""closeyest"")"),32.95)</f>
        <v>32.95</v>
      </c>
      <c r="I675" s="34">
        <f>IFERROR(__xludf.DUMMYFUNCTION("GOOGLEFINANCE(A675,""low52"")"),25.5)</f>
        <v>25.5</v>
      </c>
      <c r="J675" s="34">
        <f>IFERROR(__xludf.DUMMYFUNCTION("GOOGLEFINANCE(A675,""high52"")"),41.68)</f>
        <v>41.68</v>
      </c>
    </row>
    <row r="676">
      <c r="A676" s="30" t="str">
        <f>'6image_RS_benchmark_performance'!A676</f>
        <v>WYNN</v>
      </c>
      <c r="B676" s="31">
        <f>IFERROR(__xludf.DUMMYFUNCTION("GOOGLEFINANCE(A676,""price"")"),106.57)</f>
        <v>106.57</v>
      </c>
      <c r="C676" s="31">
        <f>IFERROR(__xludf.DUMMYFUNCTION("GOOGLEFINANCE(A676,""high"")"),107.66)</f>
        <v>107.66</v>
      </c>
      <c r="D676" s="31">
        <f>IFERROR(__xludf.DUMMYFUNCTION("GOOGLEFINANCE(A676,""low"")"),103.39)</f>
        <v>103.39</v>
      </c>
      <c r="E676" s="31">
        <f>IFERROR(__xludf.DUMMYFUNCTION("GOOGLEFINANCE(A676,""change"")"),1.83)</f>
        <v>1.83</v>
      </c>
      <c r="F676" s="32">
        <f>IFERROR(__xludf.DUMMYFUNCTION("GOOGLEFINANCE(A676,""changepct"")/100"),0.0175)</f>
        <v>0.0175</v>
      </c>
      <c r="G676" s="33">
        <f>IFERROR(__xludf.DUMMYFUNCTION("GOOGLEFINANCE(A676,""priceopen"")"),104.7)</f>
        <v>104.7</v>
      </c>
      <c r="H676" s="34">
        <f>IFERROR(__xludf.DUMMYFUNCTION("GOOGLEFINANCE(A676,""closeyest"")"),104.74)</f>
        <v>104.74</v>
      </c>
      <c r="I676" s="34">
        <f>IFERROR(__xludf.DUMMYFUNCTION("GOOGLEFINANCE(A676,""low52"")"),67.7)</f>
        <v>67.7</v>
      </c>
      <c r="J676" s="34">
        <f>IFERROR(__xludf.DUMMYFUNCTION("GOOGLEFINANCE(A676,""high52"")"),143.88)</f>
        <v>143.88</v>
      </c>
    </row>
    <row r="677">
      <c r="A677" s="30" t="str">
        <f>'6image_RS_benchmark_performance'!A677</f>
        <v>XBI</v>
      </c>
      <c r="B677" s="31">
        <f>IFERROR(__xludf.DUMMYFUNCTION("GOOGLEFINANCE(A677,""price"")"),129.06)</f>
        <v>129.06</v>
      </c>
      <c r="C677" s="31">
        <f>IFERROR(__xludf.DUMMYFUNCTION("GOOGLEFINANCE(A677,""high"")"),129.06)</f>
        <v>129.06</v>
      </c>
      <c r="D677" s="31">
        <f>IFERROR(__xludf.DUMMYFUNCTION("GOOGLEFINANCE(A677,""low"")"),125.59)</f>
        <v>125.59</v>
      </c>
      <c r="E677" s="31">
        <f>IFERROR(__xludf.DUMMYFUNCTION("GOOGLEFINANCE(A677,""change"")"),2.92)</f>
        <v>2.92</v>
      </c>
      <c r="F677" s="32">
        <f>IFERROR(__xludf.DUMMYFUNCTION("GOOGLEFINANCE(A677,""changepct"")/100"),0.0231)</f>
        <v>0.0231</v>
      </c>
      <c r="G677" s="33">
        <f>IFERROR(__xludf.DUMMYFUNCTION("GOOGLEFINANCE(A677,""priceopen"")"),126.15)</f>
        <v>126.15</v>
      </c>
      <c r="H677" s="34">
        <f>IFERROR(__xludf.DUMMYFUNCTION("GOOGLEFINANCE(A677,""closeyest"")"),126.14)</f>
        <v>126.14</v>
      </c>
      <c r="I677" s="34">
        <f>IFERROR(__xludf.DUMMYFUNCTION("GOOGLEFINANCE(A677,""low52"")"),100.64)</f>
        <v>100.64</v>
      </c>
      <c r="J677" s="34">
        <f>IFERROR(__xludf.DUMMYFUNCTION("GOOGLEFINANCE(A677,""high52"")"),174.79)</f>
        <v>174.79</v>
      </c>
    </row>
    <row r="678">
      <c r="A678" s="30" t="str">
        <f>'6image_RS_benchmark_performance'!A678</f>
        <v>XEL</v>
      </c>
      <c r="B678" s="31">
        <f>IFERROR(__xludf.DUMMYFUNCTION("GOOGLEFINANCE(A678,""price"")"),68.16)</f>
        <v>68.16</v>
      </c>
      <c r="C678" s="31">
        <f>IFERROR(__xludf.DUMMYFUNCTION("GOOGLEFINANCE(A678,""high"")"),69.3)</f>
        <v>69.3</v>
      </c>
      <c r="D678" s="31">
        <f>IFERROR(__xludf.DUMMYFUNCTION("GOOGLEFINANCE(A678,""low"")"),67.97)</f>
        <v>67.97</v>
      </c>
      <c r="E678" s="31">
        <f>IFERROR(__xludf.DUMMYFUNCTION("GOOGLEFINANCE(A678,""change"")"),-0.11)</f>
        <v>-0.11</v>
      </c>
      <c r="F678" s="32">
        <f>IFERROR(__xludf.DUMMYFUNCTION("GOOGLEFINANCE(A678,""changepct"")/100"),-0.0016)</f>
        <v>-0.0016</v>
      </c>
      <c r="G678" s="33">
        <f>IFERROR(__xludf.DUMMYFUNCTION("GOOGLEFINANCE(A678,""priceopen"")"),68.49)</f>
        <v>68.49</v>
      </c>
      <c r="H678" s="34">
        <f>IFERROR(__xludf.DUMMYFUNCTION("GOOGLEFINANCE(A678,""closeyest"")"),68.27)</f>
        <v>68.27</v>
      </c>
      <c r="I678" s="34">
        <f>IFERROR(__xludf.DUMMYFUNCTION("GOOGLEFINANCE(A678,""low52"")"),57.23)</f>
        <v>57.23</v>
      </c>
      <c r="J678" s="34">
        <f>IFERROR(__xludf.DUMMYFUNCTION("GOOGLEFINANCE(A678,""high52"")"),76.44)</f>
        <v>76.44</v>
      </c>
    </row>
    <row r="679">
      <c r="A679" s="30" t="str">
        <f>'6image_RS_benchmark_performance'!A679</f>
        <v>XLB</v>
      </c>
      <c r="B679" s="31">
        <f>IFERROR(__xludf.DUMMYFUNCTION("GOOGLEFINANCE(A679,""price"")"),80.25)</f>
        <v>80.25</v>
      </c>
      <c r="C679" s="31">
        <f>IFERROR(__xludf.DUMMYFUNCTION("GOOGLEFINANCE(A679,""high"")"),80.82)</f>
        <v>80.82</v>
      </c>
      <c r="D679" s="31">
        <f>IFERROR(__xludf.DUMMYFUNCTION("GOOGLEFINANCE(A679,""low"")"),78.89)</f>
        <v>78.89</v>
      </c>
      <c r="E679" s="31">
        <f>IFERROR(__xludf.DUMMYFUNCTION("GOOGLEFINANCE(A679,""change"")"),0.9)</f>
        <v>0.9</v>
      </c>
      <c r="F679" s="32">
        <f>IFERROR(__xludf.DUMMYFUNCTION("GOOGLEFINANCE(A679,""changepct"")/100"),0.0113)</f>
        <v>0.0113</v>
      </c>
      <c r="G679" s="33">
        <f>IFERROR(__xludf.DUMMYFUNCTION("GOOGLEFINANCE(A679,""priceopen"")"),79.14)</f>
        <v>79.14</v>
      </c>
      <c r="H679" s="34">
        <f>IFERROR(__xludf.DUMMYFUNCTION("GOOGLEFINANCE(A679,""closeyest"")"),79.35)</f>
        <v>79.35</v>
      </c>
      <c r="I679" s="34">
        <f>IFERROR(__xludf.DUMMYFUNCTION("GOOGLEFINANCE(A679,""low52"")"),59.6)</f>
        <v>59.6</v>
      </c>
      <c r="J679" s="34">
        <f>IFERROR(__xludf.DUMMYFUNCTION("GOOGLEFINANCE(A679,""high52"")"),89.21)</f>
        <v>89.21</v>
      </c>
    </row>
    <row r="680">
      <c r="A680" s="30" t="str">
        <f>'6image_RS_benchmark_performance'!A680</f>
        <v>XLC</v>
      </c>
      <c r="B680" s="31">
        <f>IFERROR(__xludf.DUMMYFUNCTION("GOOGLEFINANCE(A680,""price"")"),80.53)</f>
        <v>80.53</v>
      </c>
      <c r="C680" s="31">
        <f>IFERROR(__xludf.DUMMYFUNCTION("GOOGLEFINANCE(A680,""high"")"),80.83)</f>
        <v>80.83</v>
      </c>
      <c r="D680" s="31">
        <f>IFERROR(__xludf.DUMMYFUNCTION("GOOGLEFINANCE(A680,""low"")"),79.48)</f>
        <v>79.48</v>
      </c>
      <c r="E680" s="31">
        <f>IFERROR(__xludf.DUMMYFUNCTION("GOOGLEFINANCE(A680,""change"")"),0.9)</f>
        <v>0.9</v>
      </c>
      <c r="F680" s="32">
        <f>IFERROR(__xludf.DUMMYFUNCTION("GOOGLEFINANCE(A680,""changepct"")/100"),0.0113)</f>
        <v>0.0113</v>
      </c>
      <c r="G680" s="33">
        <f>IFERROR(__xludf.DUMMYFUNCTION("GOOGLEFINANCE(A680,""priceopen"")"),79.9)</f>
        <v>79.9</v>
      </c>
      <c r="H680" s="34">
        <f>IFERROR(__xludf.DUMMYFUNCTION("GOOGLEFINANCE(A680,""closeyest"")"),79.63)</f>
        <v>79.63</v>
      </c>
      <c r="I680" s="34">
        <f>IFERROR(__xludf.DUMMYFUNCTION("GOOGLEFINANCE(A680,""low52"")"),56.26)</f>
        <v>56.26</v>
      </c>
      <c r="J680" s="34">
        <f>IFERROR(__xludf.DUMMYFUNCTION("GOOGLEFINANCE(A680,""high52"")"),82.65)</f>
        <v>82.65</v>
      </c>
    </row>
    <row r="681">
      <c r="A681" s="30" t="str">
        <f>'6image_RS_benchmark_performance'!A681</f>
        <v>XLE</v>
      </c>
      <c r="B681" s="31">
        <f>IFERROR(__xludf.DUMMYFUNCTION("GOOGLEFINANCE(A681,""price"")"),47.59)</f>
        <v>47.59</v>
      </c>
      <c r="C681" s="31">
        <f>IFERROR(__xludf.DUMMYFUNCTION("GOOGLEFINANCE(A681,""high"")"),48.09)</f>
        <v>48.09</v>
      </c>
      <c r="D681" s="31">
        <f>IFERROR(__xludf.DUMMYFUNCTION("GOOGLEFINANCE(A681,""low"")"),46.58)</f>
        <v>46.58</v>
      </c>
      <c r="E681" s="31">
        <f>IFERROR(__xludf.DUMMYFUNCTION("GOOGLEFINANCE(A681,""change"")"),0.63)</f>
        <v>0.63</v>
      </c>
      <c r="F681" s="32">
        <f>IFERROR(__xludf.DUMMYFUNCTION("GOOGLEFINANCE(A681,""changepct"")/100"),0.0134)</f>
        <v>0.0134</v>
      </c>
      <c r="G681" s="33">
        <f>IFERROR(__xludf.DUMMYFUNCTION("GOOGLEFINANCE(A681,""priceopen"")"),47.0)</f>
        <v>47</v>
      </c>
      <c r="H681" s="34">
        <f>IFERROR(__xludf.DUMMYFUNCTION("GOOGLEFINANCE(A681,""closeyest"")"),46.96)</f>
        <v>46.96</v>
      </c>
      <c r="I681" s="34">
        <f>IFERROR(__xludf.DUMMYFUNCTION("GOOGLEFINANCE(A681,""low52"")"),26.98)</f>
        <v>26.98</v>
      </c>
      <c r="J681" s="34">
        <f>IFERROR(__xludf.DUMMYFUNCTION("GOOGLEFINANCE(A681,""high52"")"),56.65)</f>
        <v>56.65</v>
      </c>
    </row>
    <row r="682">
      <c r="A682" s="30" t="str">
        <f>'6image_RS_benchmark_performance'!A682</f>
        <v>XLF</v>
      </c>
      <c r="B682" s="31">
        <f>IFERROR(__xludf.DUMMYFUNCTION("GOOGLEFINANCE(A682,""price"")"),35.98)</f>
        <v>35.98</v>
      </c>
      <c r="C682" s="31">
        <f>IFERROR(__xludf.DUMMYFUNCTION("GOOGLEFINANCE(A682,""high"")"),36.22)</f>
        <v>36.22</v>
      </c>
      <c r="D682" s="31">
        <f>IFERROR(__xludf.DUMMYFUNCTION("GOOGLEFINANCE(A682,""low"")"),35.01)</f>
        <v>35.01</v>
      </c>
      <c r="E682" s="31">
        <f>IFERROR(__xludf.DUMMYFUNCTION("GOOGLEFINANCE(A682,""change"")"),0.87)</f>
        <v>0.87</v>
      </c>
      <c r="F682" s="32">
        <f>IFERROR(__xludf.DUMMYFUNCTION("GOOGLEFINANCE(A682,""changepct"")/100"),0.0248)</f>
        <v>0.0248</v>
      </c>
      <c r="G682" s="33">
        <f>IFERROR(__xludf.DUMMYFUNCTION("GOOGLEFINANCE(A682,""priceopen"")"),35.06)</f>
        <v>35.06</v>
      </c>
      <c r="H682" s="34">
        <f>IFERROR(__xludf.DUMMYFUNCTION("GOOGLEFINANCE(A682,""closeyest"")"),35.11)</f>
        <v>35.11</v>
      </c>
      <c r="I682" s="34">
        <f>IFERROR(__xludf.DUMMYFUNCTION("GOOGLEFINANCE(A682,""low52"")"),22.94)</f>
        <v>22.94</v>
      </c>
      <c r="J682" s="34">
        <f>IFERROR(__xludf.DUMMYFUNCTION("GOOGLEFINANCE(A682,""high52"")"),38.6)</f>
        <v>38.6</v>
      </c>
    </row>
    <row r="683">
      <c r="A683" s="30" t="str">
        <f>'6image_RS_benchmark_performance'!A683</f>
        <v>XLI</v>
      </c>
      <c r="B683" s="31">
        <f>IFERROR(__xludf.DUMMYFUNCTION("GOOGLEFINANCE(A683,""price"")"),102.57)</f>
        <v>102.57</v>
      </c>
      <c r="C683" s="31">
        <f>IFERROR(__xludf.DUMMYFUNCTION("GOOGLEFINANCE(A683,""high"")"),102.69)</f>
        <v>102.69</v>
      </c>
      <c r="D683" s="31">
        <f>IFERROR(__xludf.DUMMYFUNCTION("GOOGLEFINANCE(A683,""low"")"),99.94)</f>
        <v>99.94</v>
      </c>
      <c r="E683" s="31">
        <f>IFERROR(__xludf.DUMMYFUNCTION("GOOGLEFINANCE(A683,""change"")"),2.79)</f>
        <v>2.79</v>
      </c>
      <c r="F683" s="32">
        <f>IFERROR(__xludf.DUMMYFUNCTION("GOOGLEFINANCE(A683,""changepct"")/100"),0.027999999999999997)</f>
        <v>0.028</v>
      </c>
      <c r="G683" s="33">
        <f>IFERROR(__xludf.DUMMYFUNCTION("GOOGLEFINANCE(A683,""priceopen"")"),100.08)</f>
        <v>100.08</v>
      </c>
      <c r="H683" s="34">
        <f>IFERROR(__xludf.DUMMYFUNCTION("GOOGLEFINANCE(A683,""closeyest"")"),99.78)</f>
        <v>99.78</v>
      </c>
      <c r="I683" s="34">
        <f>IFERROR(__xludf.DUMMYFUNCTION("GOOGLEFINANCE(A683,""low52"")"),70.53)</f>
        <v>70.53</v>
      </c>
      <c r="J683" s="34">
        <f>IFERROR(__xludf.DUMMYFUNCTION("GOOGLEFINANCE(A683,""high52"")"),106.81)</f>
        <v>106.81</v>
      </c>
    </row>
    <row r="684">
      <c r="A684" s="30" t="str">
        <f>'6image_RS_benchmark_performance'!A684</f>
        <v>XLK</v>
      </c>
      <c r="B684" s="31">
        <f>IFERROR(__xludf.DUMMYFUNCTION("GOOGLEFINANCE(A684,""price"")"),150.43)</f>
        <v>150.43</v>
      </c>
      <c r="C684" s="31">
        <f>IFERROR(__xludf.DUMMYFUNCTION("GOOGLEFINANCE(A684,""high"")"),151.26)</f>
        <v>151.26</v>
      </c>
      <c r="D684" s="31">
        <f>IFERROR(__xludf.DUMMYFUNCTION("GOOGLEFINANCE(A684,""low"")"),148.11)</f>
        <v>148.11</v>
      </c>
      <c r="E684" s="31">
        <f>IFERROR(__xludf.DUMMYFUNCTION("GOOGLEFINANCE(A684,""change"")"),2.2)</f>
        <v>2.2</v>
      </c>
      <c r="F684" s="32">
        <f>IFERROR(__xludf.DUMMYFUNCTION("GOOGLEFINANCE(A684,""changepct"")/100"),0.0148)</f>
        <v>0.0148</v>
      </c>
      <c r="G684" s="33">
        <f>IFERROR(__xludf.DUMMYFUNCTION("GOOGLEFINANCE(A684,""priceopen"")"),148.97)</f>
        <v>148.97</v>
      </c>
      <c r="H684" s="34">
        <f>IFERROR(__xludf.DUMMYFUNCTION("GOOGLEFINANCE(A684,""closeyest"")"),148.23)</f>
        <v>148.23</v>
      </c>
      <c r="I684" s="34">
        <f>IFERROR(__xludf.DUMMYFUNCTION("GOOGLEFINANCE(A684,""low52"")"),103.47)</f>
        <v>103.47</v>
      </c>
      <c r="J684" s="34">
        <f>IFERROR(__xludf.DUMMYFUNCTION("GOOGLEFINANCE(A684,""high52"")"),153.84)</f>
        <v>153.84</v>
      </c>
    </row>
    <row r="685">
      <c r="A685" s="30" t="str">
        <f>'6image_RS_benchmark_performance'!A685</f>
        <v>XLNX</v>
      </c>
      <c r="B685" s="31">
        <f>IFERROR(__xludf.DUMMYFUNCTION("GOOGLEFINANCE(A685,""price"")"),131.1)</f>
        <v>131.1</v>
      </c>
      <c r="C685" s="31">
        <f>IFERROR(__xludf.DUMMYFUNCTION("GOOGLEFINANCE(A685,""high"")"),132.17)</f>
        <v>132.17</v>
      </c>
      <c r="D685" s="31">
        <f>IFERROR(__xludf.DUMMYFUNCTION("GOOGLEFINANCE(A685,""low"")"),127.26)</f>
        <v>127.26</v>
      </c>
      <c r="E685" s="31">
        <f>IFERROR(__xludf.DUMMYFUNCTION("GOOGLEFINANCE(A685,""change"")"),1.77)</f>
        <v>1.77</v>
      </c>
      <c r="F685" s="32">
        <f>IFERROR(__xludf.DUMMYFUNCTION("GOOGLEFINANCE(A685,""changepct"")/100"),0.0137)</f>
        <v>0.0137</v>
      </c>
      <c r="G685" s="33">
        <f>IFERROR(__xludf.DUMMYFUNCTION("GOOGLEFINANCE(A685,""priceopen"")"),129.66)</f>
        <v>129.66</v>
      </c>
      <c r="H685" s="34">
        <f>IFERROR(__xludf.DUMMYFUNCTION("GOOGLEFINANCE(A685,""closeyest"")"),129.33)</f>
        <v>129.33</v>
      </c>
      <c r="I685" s="34">
        <f>IFERROR(__xludf.DUMMYFUNCTION("GOOGLEFINANCE(A685,""low52"")"),96.71)</f>
        <v>96.71</v>
      </c>
      <c r="J685" s="34">
        <f>IFERROR(__xludf.DUMMYFUNCTION("GOOGLEFINANCE(A685,""high52"")"),154.93)</f>
        <v>154.93</v>
      </c>
    </row>
    <row r="686">
      <c r="A686" s="30" t="str">
        <f>'6image_RS_benchmark_performance'!A686</f>
        <v>XLP</v>
      </c>
      <c r="B686" s="31">
        <f>IFERROR(__xludf.DUMMYFUNCTION("GOOGLEFINANCE(A686,""price"")"),70.85)</f>
        <v>70.85</v>
      </c>
      <c r="C686" s="31">
        <f>IFERROR(__xludf.DUMMYFUNCTION("GOOGLEFINANCE(A686,""high"")"),71.54)</f>
        <v>71.54</v>
      </c>
      <c r="D686" s="31">
        <f>IFERROR(__xludf.DUMMYFUNCTION("GOOGLEFINANCE(A686,""low"")"),70.66)</f>
        <v>70.66</v>
      </c>
      <c r="E686" s="31">
        <f>IFERROR(__xludf.DUMMYFUNCTION("GOOGLEFINANCE(A686,""change"")"),0.02)</f>
        <v>0.02</v>
      </c>
      <c r="F686" s="32">
        <f>IFERROR(__xludf.DUMMYFUNCTION("GOOGLEFINANCE(A686,""changepct"")/100"),3.0E-4)</f>
        <v>0.0003</v>
      </c>
      <c r="G686" s="33">
        <f>IFERROR(__xludf.DUMMYFUNCTION("GOOGLEFINANCE(A686,""priceopen"")"),70.82)</f>
        <v>70.82</v>
      </c>
      <c r="H686" s="34">
        <f>IFERROR(__xludf.DUMMYFUNCTION("GOOGLEFINANCE(A686,""closeyest"")"),70.83)</f>
        <v>70.83</v>
      </c>
      <c r="I686" s="34">
        <f>IFERROR(__xludf.DUMMYFUNCTION("GOOGLEFINANCE(A686,""low52"")"),61.06)</f>
        <v>61.06</v>
      </c>
      <c r="J686" s="34">
        <f>IFERROR(__xludf.DUMMYFUNCTION("GOOGLEFINANCE(A686,""high52"")"),71.69)</f>
        <v>71.69</v>
      </c>
    </row>
    <row r="687">
      <c r="A687" s="30" t="str">
        <f>'6image_RS_benchmark_performance'!A687</f>
        <v>XLRE</v>
      </c>
      <c r="B687" s="31">
        <f>IFERROR(__xludf.DUMMYFUNCTION("GOOGLEFINANCE(A687,""price"")"),46.33)</f>
        <v>46.33</v>
      </c>
      <c r="C687" s="31">
        <f>IFERROR(__xludf.DUMMYFUNCTION("GOOGLEFINANCE(A687,""high"")"),46.48)</f>
        <v>46.48</v>
      </c>
      <c r="D687" s="31">
        <f>IFERROR(__xludf.DUMMYFUNCTION("GOOGLEFINANCE(A687,""low"")"),45.67)</f>
        <v>45.67</v>
      </c>
      <c r="E687" s="31">
        <f>IFERROR(__xludf.DUMMYFUNCTION("GOOGLEFINANCE(A687,""change"")"),0.82)</f>
        <v>0.82</v>
      </c>
      <c r="F687" s="32">
        <f>IFERROR(__xludf.DUMMYFUNCTION("GOOGLEFINANCE(A687,""changepct"")/100"),0.018000000000000002)</f>
        <v>0.018</v>
      </c>
      <c r="G687" s="33">
        <f>IFERROR(__xludf.DUMMYFUNCTION("GOOGLEFINANCE(A687,""priceopen"")"),45.74)</f>
        <v>45.74</v>
      </c>
      <c r="H687" s="34">
        <f>IFERROR(__xludf.DUMMYFUNCTION("GOOGLEFINANCE(A687,""closeyest"")"),45.51)</f>
        <v>45.51</v>
      </c>
      <c r="I687" s="34">
        <f>IFERROR(__xludf.DUMMYFUNCTION("GOOGLEFINANCE(A687,""low52"")"),33.71)</f>
        <v>33.71</v>
      </c>
      <c r="J687" s="34">
        <f>IFERROR(__xludf.DUMMYFUNCTION("GOOGLEFINANCE(A687,""high52"")"),46.55)</f>
        <v>46.55</v>
      </c>
    </row>
    <row r="688">
      <c r="A688" s="30" t="str">
        <f>'6image_RS_benchmark_performance'!A688</f>
        <v>XLU</v>
      </c>
      <c r="B688" s="31">
        <f>IFERROR(__xludf.DUMMYFUNCTION("GOOGLEFINANCE(A688,""price"")"),65.5)</f>
        <v>65.5</v>
      </c>
      <c r="C688" s="31">
        <f>IFERROR(__xludf.DUMMYFUNCTION("GOOGLEFINANCE(A688,""high"")"),66.15)</f>
        <v>66.15</v>
      </c>
      <c r="D688" s="31">
        <f>IFERROR(__xludf.DUMMYFUNCTION("GOOGLEFINANCE(A688,""low"")"),65.28)</f>
        <v>65.28</v>
      </c>
      <c r="E688" s="31">
        <f>IFERROR(__xludf.DUMMYFUNCTION("GOOGLEFINANCE(A688,""change"")"),0.28)</f>
        <v>0.28</v>
      </c>
      <c r="F688" s="32">
        <f>IFERROR(__xludf.DUMMYFUNCTION("GOOGLEFINANCE(A688,""changepct"")/100"),0.0043)</f>
        <v>0.0043</v>
      </c>
      <c r="G688" s="33">
        <f>IFERROR(__xludf.DUMMYFUNCTION("GOOGLEFINANCE(A688,""priceopen"")"),65.28)</f>
        <v>65.28</v>
      </c>
      <c r="H688" s="34">
        <f>IFERROR(__xludf.DUMMYFUNCTION("GOOGLEFINANCE(A688,""closeyest"")"),65.22)</f>
        <v>65.22</v>
      </c>
      <c r="I688" s="34">
        <f>IFERROR(__xludf.DUMMYFUNCTION("GOOGLEFINANCE(A688,""low52"")"),56.72)</f>
        <v>56.72</v>
      </c>
      <c r="J688" s="34">
        <f>IFERROR(__xludf.DUMMYFUNCTION("GOOGLEFINANCE(A688,""high52"")"),68.05)</f>
        <v>68.05</v>
      </c>
    </row>
    <row r="689">
      <c r="A689" s="30" t="str">
        <f>'6image_RS_benchmark_performance'!A689</f>
        <v>XLV</v>
      </c>
      <c r="B689" s="31">
        <f>IFERROR(__xludf.DUMMYFUNCTION("GOOGLEFINANCE(A689,""price"")"),128.82)</f>
        <v>128.82</v>
      </c>
      <c r="C689" s="31">
        <f>IFERROR(__xludf.DUMMYFUNCTION("GOOGLEFINANCE(A689,""high"")"),129.53)</f>
        <v>129.53</v>
      </c>
      <c r="D689" s="31">
        <f>IFERROR(__xludf.DUMMYFUNCTION("GOOGLEFINANCE(A689,""low"")"),127.68)</f>
        <v>127.68</v>
      </c>
      <c r="E689" s="31">
        <f>IFERROR(__xludf.DUMMYFUNCTION("GOOGLEFINANCE(A689,""change"")"),1.55)</f>
        <v>1.55</v>
      </c>
      <c r="F689" s="32">
        <f>IFERROR(__xludf.DUMMYFUNCTION("GOOGLEFINANCE(A689,""changepct"")/100"),0.012199999999999999)</f>
        <v>0.0122</v>
      </c>
      <c r="G689" s="33">
        <f>IFERROR(__xludf.DUMMYFUNCTION("GOOGLEFINANCE(A689,""priceopen"")"),127.68)</f>
        <v>127.68</v>
      </c>
      <c r="H689" s="34">
        <f>IFERROR(__xludf.DUMMYFUNCTION("GOOGLEFINANCE(A689,""closeyest"")"),127.27)</f>
        <v>127.27</v>
      </c>
      <c r="I689" s="34">
        <f>IFERROR(__xludf.DUMMYFUNCTION("GOOGLEFINANCE(A689,""low52"")"),100.31)</f>
        <v>100.31</v>
      </c>
      <c r="J689" s="34">
        <f>IFERROR(__xludf.DUMMYFUNCTION("GOOGLEFINANCE(A689,""high52"")"),129.6)</f>
        <v>129.6</v>
      </c>
    </row>
    <row r="690">
      <c r="A690" s="30" t="str">
        <f>'6image_RS_benchmark_performance'!A690</f>
        <v>XLY</v>
      </c>
      <c r="B690" s="31">
        <f>IFERROR(__xludf.DUMMYFUNCTION("GOOGLEFINANCE(A690,""price"")"),179.22)</f>
        <v>179.22</v>
      </c>
      <c r="C690" s="31">
        <f>IFERROR(__xludf.DUMMYFUNCTION("GOOGLEFINANCE(A690,""high"")"),179.69)</f>
        <v>179.69</v>
      </c>
      <c r="D690" s="31">
        <f>IFERROR(__xludf.DUMMYFUNCTION("GOOGLEFINANCE(A690,""low"")"),175.62)</f>
        <v>175.62</v>
      </c>
      <c r="E690" s="31">
        <f>IFERROR(__xludf.DUMMYFUNCTION("GOOGLEFINANCE(A690,""change"")"),3.25)</f>
        <v>3.25</v>
      </c>
      <c r="F690" s="32">
        <f>IFERROR(__xludf.DUMMYFUNCTION("GOOGLEFINANCE(A690,""changepct"")/100"),0.018500000000000003)</f>
        <v>0.0185</v>
      </c>
      <c r="G690" s="33">
        <f>IFERROR(__xludf.DUMMYFUNCTION("GOOGLEFINANCE(A690,""priceopen"")"),176.49)</f>
        <v>176.49</v>
      </c>
      <c r="H690" s="34">
        <f>IFERROR(__xludf.DUMMYFUNCTION("GOOGLEFINANCE(A690,""closeyest"")"),175.97)</f>
        <v>175.97</v>
      </c>
      <c r="I690" s="34">
        <f>IFERROR(__xludf.DUMMYFUNCTION("GOOGLEFINANCE(A690,""low52"")"),133.87)</f>
        <v>133.87</v>
      </c>
      <c r="J690" s="34">
        <f>IFERROR(__xludf.DUMMYFUNCTION("GOOGLEFINANCE(A690,""high52"")"),183.79)</f>
        <v>183.79</v>
      </c>
    </row>
    <row r="691">
      <c r="A691" s="30" t="str">
        <f>'6image_RS_benchmark_performance'!A691</f>
        <v>XOM</v>
      </c>
      <c r="B691" s="31">
        <f>IFERROR(__xludf.DUMMYFUNCTION("GOOGLEFINANCE(A691,""price"")"),55.96)</f>
        <v>55.96</v>
      </c>
      <c r="C691" s="31">
        <f>IFERROR(__xludf.DUMMYFUNCTION("GOOGLEFINANCE(A691,""high"")"),56.6)</f>
        <v>56.6</v>
      </c>
      <c r="D691" s="31">
        <f>IFERROR(__xludf.DUMMYFUNCTION("GOOGLEFINANCE(A691,""low"")"),55.03)</f>
        <v>55.03</v>
      </c>
      <c r="E691" s="31">
        <f>IFERROR(__xludf.DUMMYFUNCTION("GOOGLEFINANCE(A691,""change"")"),0.61)</f>
        <v>0.61</v>
      </c>
      <c r="F691" s="32">
        <f>IFERROR(__xludf.DUMMYFUNCTION("GOOGLEFINANCE(A691,""changepct"")/100"),0.011000000000000001)</f>
        <v>0.011</v>
      </c>
      <c r="G691" s="33">
        <f>IFERROR(__xludf.DUMMYFUNCTION("GOOGLEFINANCE(A691,""priceopen"")"),55.5)</f>
        <v>55.5</v>
      </c>
      <c r="H691" s="34">
        <f>IFERROR(__xludf.DUMMYFUNCTION("GOOGLEFINANCE(A691,""closeyest"")"),55.35)</f>
        <v>55.35</v>
      </c>
      <c r="I691" s="34">
        <f>IFERROR(__xludf.DUMMYFUNCTION("GOOGLEFINANCE(A691,""low52"")"),31.11)</f>
        <v>31.11</v>
      </c>
      <c r="J691" s="34">
        <f>IFERROR(__xludf.DUMMYFUNCTION("GOOGLEFINANCE(A691,""high52"")"),64.93)</f>
        <v>64.93</v>
      </c>
    </row>
    <row r="692">
      <c r="A692" s="30" t="str">
        <f>'6image_RS_benchmark_performance'!A692</f>
        <v>XOP</v>
      </c>
      <c r="B692" s="31">
        <f>IFERROR(__xludf.DUMMYFUNCTION("GOOGLEFINANCE(A692,""price"")"),80.86)</f>
        <v>80.86</v>
      </c>
      <c r="C692" s="31">
        <f>IFERROR(__xludf.DUMMYFUNCTION("GOOGLEFINANCE(A692,""high"")"),81.35)</f>
        <v>81.35</v>
      </c>
      <c r="D692" s="31">
        <f>IFERROR(__xludf.DUMMYFUNCTION("GOOGLEFINANCE(A692,""low"")"),78.26)</f>
        <v>78.26</v>
      </c>
      <c r="E692" s="31">
        <f>IFERROR(__xludf.DUMMYFUNCTION("GOOGLEFINANCE(A692,""change"")"),1.9)</f>
        <v>1.9</v>
      </c>
      <c r="F692" s="32">
        <f>IFERROR(__xludf.DUMMYFUNCTION("GOOGLEFINANCE(A692,""changepct"")/100"),0.0241)</f>
        <v>0.0241</v>
      </c>
      <c r="G692" s="33">
        <f>IFERROR(__xludf.DUMMYFUNCTION("GOOGLEFINANCE(A692,""priceopen"")"),79.05)</f>
        <v>79.05</v>
      </c>
      <c r="H692" s="34">
        <f>IFERROR(__xludf.DUMMYFUNCTION("GOOGLEFINANCE(A692,""closeyest"")"),78.96)</f>
        <v>78.96</v>
      </c>
      <c r="I692" s="34">
        <f>IFERROR(__xludf.DUMMYFUNCTION("GOOGLEFINANCE(A692,""low52"")"),38.39)</f>
        <v>38.39</v>
      </c>
      <c r="J692" s="34">
        <f>IFERROR(__xludf.DUMMYFUNCTION("GOOGLEFINANCE(A692,""high52"")"),100.2)</f>
        <v>100.2</v>
      </c>
    </row>
    <row r="693">
      <c r="A693" s="30" t="str">
        <f>'6image_RS_benchmark_performance'!A693</f>
        <v>XRAY</v>
      </c>
      <c r="B693" s="31">
        <f>IFERROR(__xludf.DUMMYFUNCTION("GOOGLEFINANCE(A693,""price"")"),62.58)</f>
        <v>62.58</v>
      </c>
      <c r="C693" s="31">
        <f>IFERROR(__xludf.DUMMYFUNCTION("GOOGLEFINANCE(A693,""high"")"),63.25)</f>
        <v>63.25</v>
      </c>
      <c r="D693" s="31">
        <f>IFERROR(__xludf.DUMMYFUNCTION("GOOGLEFINANCE(A693,""low"")"),60.81)</f>
        <v>60.81</v>
      </c>
      <c r="E693" s="31">
        <f>IFERROR(__xludf.DUMMYFUNCTION("GOOGLEFINANCE(A693,""change"")"),1.89)</f>
        <v>1.89</v>
      </c>
      <c r="F693" s="32">
        <f>IFERROR(__xludf.DUMMYFUNCTION("GOOGLEFINANCE(A693,""changepct"")/100"),0.0311)</f>
        <v>0.0311</v>
      </c>
      <c r="G693" s="33">
        <f>IFERROR(__xludf.DUMMYFUNCTION("GOOGLEFINANCE(A693,""priceopen"")"),60.96)</f>
        <v>60.96</v>
      </c>
      <c r="H693" s="34">
        <f>IFERROR(__xludf.DUMMYFUNCTION("GOOGLEFINANCE(A693,""closeyest"")"),60.69)</f>
        <v>60.69</v>
      </c>
      <c r="I693" s="34">
        <f>IFERROR(__xludf.DUMMYFUNCTION("GOOGLEFINANCE(A693,""low52"")"),41.52)</f>
        <v>41.52</v>
      </c>
      <c r="J693" s="34">
        <f>IFERROR(__xludf.DUMMYFUNCTION("GOOGLEFINANCE(A693,""high52"")"),69.54)</f>
        <v>69.54</v>
      </c>
    </row>
    <row r="694">
      <c r="A694" s="30" t="str">
        <f>'6image_RS_benchmark_performance'!A694</f>
        <v>XYL</v>
      </c>
      <c r="B694" s="31">
        <f>IFERROR(__xludf.DUMMYFUNCTION("GOOGLEFINANCE(A694,""price"")"),121.53)</f>
        <v>121.53</v>
      </c>
      <c r="C694" s="31">
        <f>IFERROR(__xludf.DUMMYFUNCTION("GOOGLEFINANCE(A694,""high"")"),121.78)</f>
        <v>121.78</v>
      </c>
      <c r="D694" s="31">
        <f>IFERROR(__xludf.DUMMYFUNCTION("GOOGLEFINANCE(A694,""low"")"),117.76)</f>
        <v>117.76</v>
      </c>
      <c r="E694" s="31">
        <f>IFERROR(__xludf.DUMMYFUNCTION("GOOGLEFINANCE(A694,""change"")"),4.3)</f>
        <v>4.3</v>
      </c>
      <c r="F694" s="32">
        <f>IFERROR(__xludf.DUMMYFUNCTION("GOOGLEFINANCE(A694,""changepct"")/100"),0.036699999999999997)</f>
        <v>0.0367</v>
      </c>
      <c r="G694" s="33">
        <f>IFERROR(__xludf.DUMMYFUNCTION("GOOGLEFINANCE(A694,""priceopen"")"),117.92)</f>
        <v>117.92</v>
      </c>
      <c r="H694" s="34">
        <f>IFERROR(__xludf.DUMMYFUNCTION("GOOGLEFINANCE(A694,""closeyest"")"),117.23)</f>
        <v>117.23</v>
      </c>
      <c r="I694" s="34">
        <f>IFERROR(__xludf.DUMMYFUNCTION("GOOGLEFINANCE(A694,""low52"")"),71.87)</f>
        <v>71.87</v>
      </c>
      <c r="J694" s="34">
        <f>IFERROR(__xludf.DUMMYFUNCTION("GOOGLEFINANCE(A694,""high52"")"),121.97)</f>
        <v>121.97</v>
      </c>
    </row>
    <row r="695">
      <c r="A695" s="30" t="str">
        <f>'6image_RS_benchmark_performance'!A695</f>
        <v>YUM</v>
      </c>
      <c r="B695" s="31">
        <f>IFERROR(__xludf.DUMMYFUNCTION("GOOGLEFINANCE(A695,""price"")"),116.16)</f>
        <v>116.16</v>
      </c>
      <c r="C695" s="31">
        <f>IFERROR(__xludf.DUMMYFUNCTION("GOOGLEFINANCE(A695,""high"")"),116.43)</f>
        <v>116.43</v>
      </c>
      <c r="D695" s="31">
        <f>IFERROR(__xludf.DUMMYFUNCTION("GOOGLEFINANCE(A695,""low"")"),113.54)</f>
        <v>113.54</v>
      </c>
      <c r="E695" s="31">
        <f>IFERROR(__xludf.DUMMYFUNCTION("GOOGLEFINANCE(A695,""change"")"),2.71)</f>
        <v>2.71</v>
      </c>
      <c r="F695" s="32">
        <f>IFERROR(__xludf.DUMMYFUNCTION("GOOGLEFINANCE(A695,""changepct"")/100"),0.0239)</f>
        <v>0.0239</v>
      </c>
      <c r="G695" s="33">
        <f>IFERROR(__xludf.DUMMYFUNCTION("GOOGLEFINANCE(A695,""priceopen"")"),113.9)</f>
        <v>113.9</v>
      </c>
      <c r="H695" s="34">
        <f>IFERROR(__xludf.DUMMYFUNCTION("GOOGLEFINANCE(A695,""closeyest"")"),113.45)</f>
        <v>113.45</v>
      </c>
      <c r="I695" s="34">
        <f>IFERROR(__xludf.DUMMYFUNCTION("GOOGLEFINANCE(A695,""low52"")"),88.08)</f>
        <v>88.08</v>
      </c>
      <c r="J695" s="34">
        <f>IFERROR(__xludf.DUMMYFUNCTION("GOOGLEFINANCE(A695,""high52"")"),122.73)</f>
        <v>122.73</v>
      </c>
    </row>
    <row r="696">
      <c r="A696" s="30" t="str">
        <f>'6image_RS_benchmark_performance'!A696</f>
        <v>Z</v>
      </c>
      <c r="B696" s="31">
        <f>IFERROR(__xludf.DUMMYFUNCTION("GOOGLEFINANCE(A696,""price"")"),107.99)</f>
        <v>107.99</v>
      </c>
      <c r="C696" s="31">
        <f>IFERROR(__xludf.DUMMYFUNCTION("GOOGLEFINANCE(A696,""high"")"),109.07)</f>
        <v>109.07</v>
      </c>
      <c r="D696" s="31">
        <f>IFERROR(__xludf.DUMMYFUNCTION("GOOGLEFINANCE(A696,""low"")"),104.47)</f>
        <v>104.47</v>
      </c>
      <c r="E696" s="31">
        <f>IFERROR(__xludf.DUMMYFUNCTION("GOOGLEFINANCE(A696,""change"")"),3.22)</f>
        <v>3.22</v>
      </c>
      <c r="F696" s="32">
        <f>IFERROR(__xludf.DUMMYFUNCTION("GOOGLEFINANCE(A696,""changepct"")/100"),0.030699999999999998)</f>
        <v>0.0307</v>
      </c>
      <c r="G696" s="33">
        <f>IFERROR(__xludf.DUMMYFUNCTION("GOOGLEFINANCE(A696,""priceopen"")"),105.2)</f>
        <v>105.2</v>
      </c>
      <c r="H696" s="34">
        <f>IFERROR(__xludf.DUMMYFUNCTION("GOOGLEFINANCE(A696,""closeyest"")"),104.77)</f>
        <v>104.77</v>
      </c>
      <c r="I696" s="34">
        <f>IFERROR(__xludf.DUMMYFUNCTION("GOOGLEFINANCE(A696,""low52"")"),64.24)</f>
        <v>64.24</v>
      </c>
      <c r="J696" s="34">
        <f>IFERROR(__xludf.DUMMYFUNCTION("GOOGLEFINANCE(A696,""high52"")"),208.11)</f>
        <v>208.11</v>
      </c>
    </row>
    <row r="697">
      <c r="A697" s="30" t="str">
        <f>'6image_RS_benchmark_performance'!A697</f>
        <v>ZBH</v>
      </c>
      <c r="B697" s="31">
        <f>IFERROR(__xludf.DUMMYFUNCTION("GOOGLEFINANCE(A697,""price"")"),155.63)</f>
        <v>155.63</v>
      </c>
      <c r="C697" s="31">
        <f>IFERROR(__xludf.DUMMYFUNCTION("GOOGLEFINANCE(A697,""high"")"),156.02)</f>
        <v>156.02</v>
      </c>
      <c r="D697" s="31">
        <f>IFERROR(__xludf.DUMMYFUNCTION("GOOGLEFINANCE(A697,""low"")"),150.26)</f>
        <v>150.26</v>
      </c>
      <c r="E697" s="31">
        <f>IFERROR(__xludf.DUMMYFUNCTION("GOOGLEFINANCE(A697,""change"")"),5.46)</f>
        <v>5.46</v>
      </c>
      <c r="F697" s="32">
        <f>IFERROR(__xludf.DUMMYFUNCTION("GOOGLEFINANCE(A697,""changepct"")/100"),0.0364)</f>
        <v>0.0364</v>
      </c>
      <c r="G697" s="33">
        <f>IFERROR(__xludf.DUMMYFUNCTION("GOOGLEFINANCE(A697,""priceopen"")"),150.26)</f>
        <v>150.26</v>
      </c>
      <c r="H697" s="34">
        <f>IFERROR(__xludf.DUMMYFUNCTION("GOOGLEFINANCE(A697,""closeyest"")"),150.17)</f>
        <v>150.17</v>
      </c>
      <c r="I697" s="34">
        <f>IFERROR(__xludf.DUMMYFUNCTION("GOOGLEFINANCE(A697,""low52"")"),129.15)</f>
        <v>129.15</v>
      </c>
      <c r="J697" s="34">
        <f>IFERROR(__xludf.DUMMYFUNCTION("GOOGLEFINANCE(A697,""high52"")"),180.36)</f>
        <v>180.36</v>
      </c>
    </row>
    <row r="698">
      <c r="A698" s="30" t="str">
        <f>'6image_RS_benchmark_performance'!A698</f>
        <v>ZBRA</v>
      </c>
      <c r="B698" s="31">
        <f>IFERROR(__xludf.DUMMYFUNCTION("GOOGLEFINANCE(A698,""price"")"),519.67)</f>
        <v>519.67</v>
      </c>
      <c r="C698" s="31">
        <f>IFERROR(__xludf.DUMMYFUNCTION("GOOGLEFINANCE(A698,""high"")"),524.18)</f>
        <v>524.18</v>
      </c>
      <c r="D698" s="31">
        <f>IFERROR(__xludf.DUMMYFUNCTION("GOOGLEFINANCE(A698,""low"")"),507.27)</f>
        <v>507.27</v>
      </c>
      <c r="E698" s="31">
        <f>IFERROR(__xludf.DUMMYFUNCTION("GOOGLEFINANCE(A698,""change"")"),12.76)</f>
        <v>12.76</v>
      </c>
      <c r="F698" s="32">
        <f>IFERROR(__xludf.DUMMYFUNCTION("GOOGLEFINANCE(A698,""changepct"")/100"),0.0252)</f>
        <v>0.0252</v>
      </c>
      <c r="G698" s="33">
        <f>IFERROR(__xludf.DUMMYFUNCTION("GOOGLEFINANCE(A698,""priceopen"")"),510.98)</f>
        <v>510.98</v>
      </c>
      <c r="H698" s="34">
        <f>IFERROR(__xludf.DUMMYFUNCTION("GOOGLEFINANCE(A698,""closeyest"")"),506.91)</f>
        <v>506.91</v>
      </c>
      <c r="I698" s="34">
        <f>IFERROR(__xludf.DUMMYFUNCTION("GOOGLEFINANCE(A698,""low52"")"),246.83)</f>
        <v>246.83</v>
      </c>
      <c r="J698" s="34">
        <f>IFERROR(__xludf.DUMMYFUNCTION("GOOGLEFINANCE(A698,""high52"")"),549.98)</f>
        <v>549.98</v>
      </c>
    </row>
    <row r="699">
      <c r="A699" s="30" t="str">
        <f>'6image_RS_benchmark_performance'!A699</f>
        <v>ZION</v>
      </c>
      <c r="B699" s="31">
        <f>IFERROR(__xludf.DUMMYFUNCTION("GOOGLEFINANCE(A699,""price"")"),50.2)</f>
        <v>50.2</v>
      </c>
      <c r="C699" s="31">
        <f>IFERROR(__xludf.DUMMYFUNCTION("GOOGLEFINANCE(A699,""high"")"),51.61)</f>
        <v>51.61</v>
      </c>
      <c r="D699" s="31">
        <f>IFERROR(__xludf.DUMMYFUNCTION("GOOGLEFINANCE(A699,""low"")"),48.06)</f>
        <v>48.06</v>
      </c>
      <c r="E699" s="31">
        <f>IFERROR(__xludf.DUMMYFUNCTION("GOOGLEFINANCE(A699,""change"")"),2.5)</f>
        <v>2.5</v>
      </c>
      <c r="F699" s="32">
        <f>IFERROR(__xludf.DUMMYFUNCTION("GOOGLEFINANCE(A699,""changepct"")/100"),0.0524)</f>
        <v>0.0524</v>
      </c>
      <c r="G699" s="33">
        <f>IFERROR(__xludf.DUMMYFUNCTION("GOOGLEFINANCE(A699,""priceopen"")"),48.46)</f>
        <v>48.46</v>
      </c>
      <c r="H699" s="34">
        <f>IFERROR(__xludf.DUMMYFUNCTION("GOOGLEFINANCE(A699,""closeyest"")"),47.7)</f>
        <v>47.7</v>
      </c>
      <c r="I699" s="34">
        <f>IFERROR(__xludf.DUMMYFUNCTION("GOOGLEFINANCE(A699,""low52"")"),27.55)</f>
        <v>27.55</v>
      </c>
      <c r="J699" s="34">
        <f>IFERROR(__xludf.DUMMYFUNCTION("GOOGLEFINANCE(A699,""high52"")"),60.65)</f>
        <v>60.65</v>
      </c>
    </row>
    <row r="700">
      <c r="A700" s="30" t="str">
        <f>'6image_RS_benchmark_performance'!A700</f>
        <v>ZM</v>
      </c>
      <c r="B700" s="31">
        <f>IFERROR(__xludf.DUMMYFUNCTION("GOOGLEFINANCE(A700,""price"")"),355.81)</f>
        <v>355.81</v>
      </c>
      <c r="C700" s="31">
        <f>IFERROR(__xludf.DUMMYFUNCTION("GOOGLEFINANCE(A700,""high"")"),359.24)</f>
        <v>359.24</v>
      </c>
      <c r="D700" s="31">
        <f>IFERROR(__xludf.DUMMYFUNCTION("GOOGLEFINANCE(A700,""low"")"),347.08)</f>
        <v>347.08</v>
      </c>
      <c r="E700" s="31">
        <f>IFERROR(__xludf.DUMMYFUNCTION("GOOGLEFINANCE(A700,""change"")"),1.61)</f>
        <v>1.61</v>
      </c>
      <c r="F700" s="32">
        <f>IFERROR(__xludf.DUMMYFUNCTION("GOOGLEFINANCE(A700,""changepct"")/100"),0.0045000000000000005)</f>
        <v>0.0045</v>
      </c>
      <c r="G700" s="33">
        <f>IFERROR(__xludf.DUMMYFUNCTION("GOOGLEFINANCE(A700,""priceopen"")"),357.83)</f>
        <v>357.83</v>
      </c>
      <c r="H700" s="34">
        <f>IFERROR(__xludf.DUMMYFUNCTION("GOOGLEFINANCE(A700,""closeyest"")"),354.2)</f>
        <v>354.2</v>
      </c>
      <c r="I700" s="34">
        <f>IFERROR(__xludf.DUMMYFUNCTION("GOOGLEFINANCE(A700,""low52"")"),230.0)</f>
        <v>230</v>
      </c>
      <c r="J700" s="34">
        <f>IFERROR(__xludf.DUMMYFUNCTION("GOOGLEFINANCE(A700,""high52"")"),588.84)</f>
        <v>588.84</v>
      </c>
    </row>
    <row r="701">
      <c r="A701" s="30" t="str">
        <f>'6image_RS_benchmark_performance'!A701</f>
        <v>ZTS</v>
      </c>
      <c r="B701" s="31">
        <f>IFERROR(__xludf.DUMMYFUNCTION("GOOGLEFINANCE(A701,""price"")"),200.11)</f>
        <v>200.11</v>
      </c>
      <c r="C701" s="31">
        <f>IFERROR(__xludf.DUMMYFUNCTION("GOOGLEFINANCE(A701,""high"")"),201.45)</f>
        <v>201.45</v>
      </c>
      <c r="D701" s="31">
        <f>IFERROR(__xludf.DUMMYFUNCTION("GOOGLEFINANCE(A701,""low"")"),197.24)</f>
        <v>197.24</v>
      </c>
      <c r="E701" s="31">
        <f>IFERROR(__xludf.DUMMYFUNCTION("GOOGLEFINANCE(A701,""change"")"),2.53)</f>
        <v>2.53</v>
      </c>
      <c r="F701" s="32">
        <f>IFERROR(__xludf.DUMMYFUNCTION("GOOGLEFINANCE(A701,""changepct"")/100"),0.0128)</f>
        <v>0.0128</v>
      </c>
      <c r="G701" s="33">
        <f>IFERROR(__xludf.DUMMYFUNCTION("GOOGLEFINANCE(A701,""priceopen"")"),197.24)</f>
        <v>197.24</v>
      </c>
      <c r="H701" s="34">
        <f>IFERROR(__xludf.DUMMYFUNCTION("GOOGLEFINANCE(A701,""closeyest"")"),197.58)</f>
        <v>197.58</v>
      </c>
      <c r="I701" s="34">
        <f>IFERROR(__xludf.DUMMYFUNCTION("GOOGLEFINANCE(A701,""low52"")"),141.41)</f>
        <v>141.41</v>
      </c>
      <c r="J701" s="34">
        <f>IFERROR(__xludf.DUMMYFUNCTION("GOOGLEFINANCE(A701,""high52"")"),202.04)</f>
        <v>202.04</v>
      </c>
    </row>
    <row r="702">
      <c r="A702" s="30" t="str">
        <f>'6image_RS_benchmark_performance'!A702</f>
        <v/>
      </c>
      <c r="B702" s="8"/>
      <c r="C702" s="8"/>
      <c r="D702" s="8"/>
      <c r="E702" s="8"/>
      <c r="F702" s="8"/>
    </row>
    <row r="703">
      <c r="A703" s="30" t="str">
        <f>'6image_RS_benchmark_performance'!A703</f>
        <v/>
      </c>
      <c r="B703" s="8"/>
      <c r="C703" s="8"/>
      <c r="D703" s="8"/>
      <c r="E703" s="8"/>
      <c r="F703" s="8"/>
    </row>
    <row r="704">
      <c r="A704" s="30" t="str">
        <f>'6image_RS_benchmark_performance'!A704</f>
        <v/>
      </c>
      <c r="B704" s="8"/>
      <c r="C704" s="8"/>
      <c r="D704" s="8"/>
      <c r="E704" s="8"/>
      <c r="F704" s="8"/>
    </row>
    <row r="705">
      <c r="A705" s="30" t="str">
        <f>'6image_RS_benchmark_performance'!A705</f>
        <v/>
      </c>
      <c r="B705" s="8"/>
      <c r="C705" s="8"/>
      <c r="D705" s="8"/>
      <c r="E705" s="8"/>
      <c r="F705" s="8"/>
    </row>
    <row r="706">
      <c r="A706" s="30" t="str">
        <f>'6image_RS_benchmark_performance'!A706</f>
        <v/>
      </c>
      <c r="B706" s="8"/>
      <c r="C706" s="8"/>
      <c r="D706" s="8"/>
      <c r="E706" s="8"/>
      <c r="F706" s="8"/>
    </row>
    <row r="707">
      <c r="A707" s="30" t="str">
        <f>'6image_RS_benchmark_performance'!A707</f>
        <v/>
      </c>
      <c r="B707" s="8"/>
      <c r="C707" s="8"/>
      <c r="D707" s="8"/>
      <c r="E707" s="8"/>
      <c r="F707" s="8"/>
    </row>
    <row r="708">
      <c r="A708" s="30" t="str">
        <f>'6image_RS_benchmark_performance'!A708</f>
        <v/>
      </c>
      <c r="B708" s="8"/>
      <c r="C708" s="8"/>
      <c r="D708" s="8"/>
      <c r="E708" s="8"/>
      <c r="F708" s="8"/>
    </row>
    <row r="709">
      <c r="A709" s="30" t="str">
        <f>'6image_RS_benchmark_performance'!A709</f>
        <v/>
      </c>
      <c r="B709" s="8"/>
      <c r="C709" s="8"/>
      <c r="D709" s="8"/>
      <c r="E709" s="8"/>
      <c r="F709" s="8"/>
    </row>
    <row r="710">
      <c r="A710" s="30" t="str">
        <f>'6image_RS_benchmark_performance'!A710</f>
        <v/>
      </c>
      <c r="B710" s="8"/>
      <c r="C710" s="8"/>
      <c r="D710" s="8"/>
      <c r="E710" s="8"/>
      <c r="F710" s="8"/>
    </row>
    <row r="711">
      <c r="A711" s="30" t="str">
        <f>'6image_RS_benchmark_performance'!A711</f>
        <v/>
      </c>
      <c r="B711" s="8"/>
      <c r="C711" s="8"/>
      <c r="D711" s="8"/>
      <c r="E711" s="8"/>
      <c r="F711" s="8"/>
    </row>
    <row r="712">
      <c r="A712" s="30" t="str">
        <f>'6image_RS_benchmark_performance'!A712</f>
        <v/>
      </c>
      <c r="B712" s="8"/>
      <c r="C712" s="8"/>
      <c r="D712" s="8"/>
      <c r="E712" s="8"/>
      <c r="F712" s="8"/>
    </row>
    <row r="713">
      <c r="A713" s="30" t="str">
        <f>'6image_RS_benchmark_performance'!A713</f>
        <v/>
      </c>
      <c r="B713" s="8"/>
      <c r="C713" s="8"/>
      <c r="D713" s="8"/>
      <c r="E713" s="8"/>
      <c r="F713" s="8"/>
    </row>
    <row r="714">
      <c r="A714" s="8"/>
      <c r="B714" s="8"/>
      <c r="C714" s="8"/>
      <c r="D714" s="8"/>
      <c r="E714" s="8"/>
      <c r="F714" s="8"/>
    </row>
    <row r="715">
      <c r="A715" s="8"/>
      <c r="B715" s="8"/>
      <c r="C715" s="8"/>
      <c r="D715" s="8"/>
      <c r="E715" s="8"/>
      <c r="F715" s="8"/>
    </row>
    <row r="716">
      <c r="A716" s="8"/>
      <c r="B716" s="8"/>
      <c r="C716" s="8"/>
      <c r="D716" s="8"/>
      <c r="E716" s="8"/>
      <c r="F716" s="8"/>
    </row>
    <row r="717">
      <c r="A717" s="8"/>
      <c r="B717" s="8"/>
      <c r="C717" s="8"/>
      <c r="D717" s="8"/>
      <c r="E717" s="8"/>
      <c r="F717" s="8"/>
    </row>
    <row r="718">
      <c r="A718" s="8"/>
      <c r="B718" s="8"/>
      <c r="C718" s="8"/>
      <c r="D718" s="8"/>
      <c r="E718" s="8"/>
      <c r="F718" s="8"/>
    </row>
    <row r="719">
      <c r="A719" s="8"/>
      <c r="B719" s="8"/>
      <c r="C719" s="8"/>
      <c r="D719" s="8"/>
      <c r="E719" s="8"/>
      <c r="F719" s="8"/>
    </row>
    <row r="720">
      <c r="A720" s="8"/>
      <c r="B720" s="8"/>
      <c r="C720" s="8"/>
      <c r="D720" s="8"/>
      <c r="E720" s="8"/>
      <c r="F720" s="8"/>
    </row>
    <row r="721">
      <c r="A721" s="8"/>
      <c r="B721" s="8"/>
      <c r="C721" s="8"/>
      <c r="D721" s="8"/>
      <c r="E721" s="8"/>
      <c r="F721" s="8"/>
    </row>
    <row r="722">
      <c r="A722" s="8"/>
      <c r="B722" s="8"/>
      <c r="C722" s="8"/>
      <c r="D722" s="8"/>
      <c r="E722" s="8"/>
      <c r="F722" s="8"/>
    </row>
    <row r="723">
      <c r="A723" s="8"/>
      <c r="B723" s="8"/>
      <c r="C723" s="8"/>
      <c r="D723" s="8"/>
      <c r="E723" s="8"/>
      <c r="F723" s="8"/>
    </row>
    <row r="724">
      <c r="A724" s="8"/>
      <c r="B724" s="8"/>
      <c r="C724" s="8"/>
      <c r="D724" s="8"/>
      <c r="E724" s="8"/>
      <c r="F724" s="8"/>
    </row>
    <row r="725">
      <c r="A725" s="8"/>
      <c r="B725" s="8"/>
      <c r="C725" s="8"/>
      <c r="D725" s="8"/>
      <c r="E725" s="8"/>
      <c r="F725" s="8"/>
    </row>
    <row r="726">
      <c r="A726" s="8"/>
      <c r="B726" s="8"/>
      <c r="C726" s="8"/>
      <c r="D726" s="8"/>
      <c r="E726" s="8"/>
      <c r="F726" s="8"/>
    </row>
    <row r="727">
      <c r="A727" s="8"/>
      <c r="B727" s="8"/>
      <c r="C727" s="8"/>
      <c r="D727" s="8"/>
      <c r="E727" s="8"/>
      <c r="F727" s="8"/>
    </row>
    <row r="728">
      <c r="A728" s="8"/>
      <c r="B728" s="8"/>
      <c r="C728" s="8"/>
      <c r="D728" s="8"/>
      <c r="E728" s="8"/>
      <c r="F728" s="8"/>
    </row>
    <row r="729">
      <c r="A729" s="8"/>
      <c r="B729" s="8"/>
      <c r="C729" s="8"/>
      <c r="D729" s="8"/>
      <c r="E729" s="8"/>
      <c r="F729" s="8"/>
    </row>
    <row r="730">
      <c r="A730" s="8"/>
      <c r="B730" s="8"/>
      <c r="C730" s="8"/>
      <c r="D730" s="8"/>
      <c r="E730" s="8"/>
      <c r="F730" s="8"/>
    </row>
    <row r="731">
      <c r="A731" s="8"/>
      <c r="B731" s="8"/>
      <c r="C731" s="8"/>
      <c r="D731" s="8"/>
      <c r="E731" s="8"/>
      <c r="F731" s="8"/>
    </row>
    <row r="732">
      <c r="A732" s="8"/>
      <c r="B732" s="8"/>
      <c r="C732" s="8"/>
      <c r="D732" s="8"/>
      <c r="E732" s="8"/>
      <c r="F732" s="8"/>
    </row>
    <row r="733">
      <c r="A733" s="8"/>
      <c r="B733" s="8"/>
      <c r="C733" s="8"/>
      <c r="D733" s="8"/>
      <c r="E733" s="8"/>
      <c r="F733" s="8"/>
    </row>
    <row r="734">
      <c r="A734" s="8"/>
      <c r="B734" s="8"/>
      <c r="C734" s="8"/>
      <c r="D734" s="8"/>
      <c r="E734" s="8"/>
      <c r="F734" s="8"/>
    </row>
    <row r="735">
      <c r="A735" s="8"/>
      <c r="B735" s="8"/>
      <c r="C735" s="8"/>
      <c r="D735" s="8"/>
      <c r="E735" s="8"/>
      <c r="F735" s="8"/>
    </row>
    <row r="736">
      <c r="A736" s="8"/>
      <c r="B736" s="8"/>
      <c r="C736" s="8"/>
      <c r="D736" s="8"/>
      <c r="E736" s="8"/>
      <c r="F736" s="8"/>
    </row>
    <row r="737">
      <c r="A737" s="8"/>
      <c r="B737" s="8"/>
      <c r="C737" s="8"/>
      <c r="D737" s="8"/>
      <c r="E737" s="8"/>
      <c r="F737" s="8"/>
    </row>
    <row r="738">
      <c r="A738" s="8"/>
      <c r="B738" s="8"/>
      <c r="C738" s="8"/>
      <c r="D738" s="8"/>
      <c r="E738" s="8"/>
      <c r="F738" s="8"/>
    </row>
    <row r="739">
      <c r="A739" s="8"/>
      <c r="B739" s="8"/>
      <c r="C739" s="8"/>
      <c r="D739" s="8"/>
      <c r="E739" s="8"/>
      <c r="F739" s="8"/>
    </row>
    <row r="740">
      <c r="A740" s="8"/>
      <c r="B740" s="8"/>
      <c r="C740" s="8"/>
      <c r="D740" s="8"/>
      <c r="E740" s="8"/>
      <c r="F740" s="8"/>
    </row>
    <row r="741">
      <c r="A741" s="8"/>
      <c r="B741" s="8"/>
      <c r="C741" s="8"/>
      <c r="D741" s="8"/>
      <c r="E741" s="8"/>
      <c r="F741" s="8"/>
    </row>
    <row r="742">
      <c r="A742" s="8"/>
      <c r="B742" s="8"/>
      <c r="C742" s="8"/>
      <c r="D742" s="8"/>
      <c r="E742" s="8"/>
      <c r="F742" s="8"/>
    </row>
    <row r="743">
      <c r="A743" s="8"/>
      <c r="B743" s="8"/>
      <c r="C743" s="8"/>
      <c r="D743" s="8"/>
      <c r="E743" s="8"/>
      <c r="F743" s="8"/>
    </row>
    <row r="744">
      <c r="A744" s="8"/>
      <c r="B744" s="8"/>
      <c r="C744" s="8"/>
      <c r="D744" s="8"/>
      <c r="E744" s="8"/>
      <c r="F744" s="8"/>
    </row>
    <row r="745">
      <c r="A745" s="8"/>
      <c r="B745" s="8"/>
      <c r="C745" s="8"/>
      <c r="D745" s="8"/>
      <c r="E745" s="8"/>
      <c r="F745" s="8"/>
    </row>
    <row r="746">
      <c r="A746" s="8"/>
      <c r="B746" s="8"/>
      <c r="C746" s="8"/>
      <c r="D746" s="8"/>
      <c r="E746" s="8"/>
      <c r="F746" s="8"/>
    </row>
    <row r="747">
      <c r="A747" s="8"/>
      <c r="B747" s="8"/>
      <c r="C747" s="8"/>
      <c r="D747" s="8"/>
      <c r="E747" s="8"/>
      <c r="F747" s="8"/>
    </row>
    <row r="748">
      <c r="A748" s="8"/>
      <c r="B748" s="8"/>
      <c r="C748" s="8"/>
      <c r="D748" s="8"/>
      <c r="E748" s="8"/>
      <c r="F748" s="8"/>
    </row>
    <row r="749">
      <c r="A749" s="8"/>
      <c r="B749" s="8"/>
      <c r="C749" s="8"/>
      <c r="D749" s="8"/>
      <c r="E749" s="8"/>
      <c r="F749" s="8"/>
    </row>
    <row r="750">
      <c r="A750" s="8"/>
      <c r="B750" s="8"/>
      <c r="C750" s="8"/>
      <c r="D750" s="8"/>
      <c r="E750" s="8"/>
      <c r="F750" s="8"/>
    </row>
    <row r="751">
      <c r="A751" s="8"/>
      <c r="B751" s="8"/>
      <c r="C751" s="8"/>
      <c r="D751" s="8"/>
      <c r="E751" s="8"/>
      <c r="F751" s="8"/>
    </row>
    <row r="752">
      <c r="A752" s="8"/>
      <c r="B752" s="8"/>
      <c r="C752" s="8"/>
      <c r="D752" s="8"/>
      <c r="E752" s="8"/>
      <c r="F752" s="8"/>
    </row>
    <row r="753">
      <c r="A753" s="8"/>
      <c r="B753" s="8"/>
      <c r="C753" s="8"/>
      <c r="D753" s="8"/>
      <c r="E753" s="8"/>
      <c r="F753" s="8"/>
    </row>
    <row r="754">
      <c r="A754" s="8"/>
      <c r="B754" s="8"/>
      <c r="C754" s="8"/>
      <c r="D754" s="8"/>
      <c r="E754" s="8"/>
      <c r="F754" s="8"/>
    </row>
    <row r="755">
      <c r="A755" s="8"/>
      <c r="B755" s="8"/>
      <c r="C755" s="8"/>
      <c r="D755" s="8"/>
      <c r="E755" s="8"/>
      <c r="F755" s="8"/>
    </row>
    <row r="756">
      <c r="A756" s="8"/>
      <c r="B756" s="8"/>
      <c r="C756" s="8"/>
      <c r="D756" s="8"/>
      <c r="E756" s="8"/>
      <c r="F756" s="8"/>
    </row>
    <row r="757">
      <c r="A757" s="8"/>
      <c r="B757" s="8"/>
      <c r="C757" s="8"/>
      <c r="D757" s="8"/>
      <c r="E757" s="8"/>
      <c r="F757" s="8"/>
    </row>
    <row r="758">
      <c r="A758" s="8"/>
      <c r="B758" s="8"/>
      <c r="C758" s="8"/>
      <c r="D758" s="8"/>
      <c r="E758" s="8"/>
      <c r="F758" s="8"/>
    </row>
    <row r="759">
      <c r="A759" s="8"/>
      <c r="B759" s="8"/>
      <c r="C759" s="8"/>
      <c r="D759" s="8"/>
      <c r="E759" s="8"/>
      <c r="F759" s="8"/>
    </row>
    <row r="760">
      <c r="A760" s="8"/>
      <c r="B760" s="8"/>
      <c r="C760" s="8"/>
      <c r="D760" s="8"/>
      <c r="E760" s="8"/>
      <c r="F760" s="8"/>
    </row>
    <row r="761">
      <c r="A761" s="8"/>
      <c r="B761" s="8"/>
      <c r="C761" s="8"/>
      <c r="D761" s="8"/>
      <c r="E761" s="8"/>
      <c r="F761" s="8"/>
    </row>
    <row r="762">
      <c r="A762" s="8"/>
      <c r="B762" s="8"/>
      <c r="C762" s="8"/>
      <c r="D762" s="8"/>
      <c r="E762" s="8"/>
      <c r="F762" s="8"/>
    </row>
    <row r="763">
      <c r="A763" s="8"/>
      <c r="B763" s="8"/>
      <c r="C763" s="8"/>
      <c r="D763" s="8"/>
      <c r="E763" s="8"/>
      <c r="F763" s="8"/>
    </row>
    <row r="764">
      <c r="A764" s="8"/>
      <c r="B764" s="8"/>
      <c r="C764" s="8"/>
      <c r="D764" s="8"/>
      <c r="E764" s="8"/>
      <c r="F764" s="8"/>
    </row>
    <row r="765">
      <c r="A765" s="8"/>
      <c r="B765" s="8"/>
      <c r="C765" s="8"/>
      <c r="D765" s="8"/>
      <c r="E765" s="8"/>
      <c r="F765" s="8"/>
    </row>
    <row r="766">
      <c r="A766" s="8"/>
      <c r="B766" s="8"/>
      <c r="C766" s="8"/>
      <c r="D766" s="8"/>
      <c r="E766" s="8"/>
      <c r="F766" s="8"/>
    </row>
    <row r="767">
      <c r="A767" s="8"/>
      <c r="B767" s="8"/>
      <c r="C767" s="8"/>
      <c r="D767" s="8"/>
      <c r="E767" s="8"/>
      <c r="F767" s="8"/>
    </row>
    <row r="768">
      <c r="A768" s="8"/>
      <c r="B768" s="8"/>
      <c r="C768" s="8"/>
      <c r="D768" s="8"/>
      <c r="E768" s="8"/>
      <c r="F768" s="8"/>
    </row>
    <row r="769">
      <c r="A769" s="8"/>
      <c r="B769" s="8"/>
      <c r="C769" s="8"/>
      <c r="D769" s="8"/>
      <c r="E769" s="8"/>
      <c r="F769" s="8"/>
    </row>
    <row r="770">
      <c r="A770" s="8"/>
      <c r="B770" s="8"/>
      <c r="C770" s="8"/>
      <c r="D770" s="8"/>
      <c r="E770" s="8"/>
      <c r="F770" s="8"/>
    </row>
    <row r="771">
      <c r="A771" s="8"/>
      <c r="B771" s="8"/>
      <c r="C771" s="8"/>
      <c r="D771" s="8"/>
      <c r="E771" s="8"/>
      <c r="F771" s="8"/>
    </row>
    <row r="772">
      <c r="A772" s="8"/>
      <c r="B772" s="8"/>
      <c r="C772" s="8"/>
      <c r="D772" s="8"/>
      <c r="E772" s="8"/>
      <c r="F772" s="8"/>
    </row>
    <row r="773">
      <c r="A773" s="8"/>
      <c r="B773" s="8"/>
      <c r="C773" s="8"/>
      <c r="D773" s="8"/>
      <c r="E773" s="8"/>
      <c r="F773" s="8"/>
    </row>
    <row r="774">
      <c r="A774" s="8"/>
      <c r="B774" s="8"/>
      <c r="C774" s="8"/>
      <c r="D774" s="8"/>
      <c r="E774" s="8"/>
      <c r="F774" s="8"/>
    </row>
    <row r="775">
      <c r="A775" s="8"/>
      <c r="B775" s="8"/>
      <c r="C775" s="8"/>
      <c r="D775" s="8"/>
      <c r="E775" s="8"/>
      <c r="F775" s="8"/>
    </row>
    <row r="776">
      <c r="A776" s="8"/>
      <c r="B776" s="8"/>
      <c r="C776" s="8"/>
      <c r="D776" s="8"/>
      <c r="E776" s="8"/>
      <c r="F776" s="8"/>
    </row>
    <row r="777">
      <c r="A777" s="8"/>
      <c r="B777" s="8"/>
      <c r="C777" s="8"/>
      <c r="D777" s="8"/>
      <c r="E777" s="8"/>
      <c r="F777" s="8"/>
    </row>
    <row r="778">
      <c r="A778" s="8"/>
      <c r="B778" s="8"/>
      <c r="C778" s="8"/>
      <c r="D778" s="8"/>
      <c r="E778" s="8"/>
      <c r="F778" s="8"/>
    </row>
    <row r="779">
      <c r="A779" s="8"/>
      <c r="B779" s="8"/>
      <c r="C779" s="8"/>
      <c r="D779" s="8"/>
      <c r="E779" s="8"/>
      <c r="F779" s="8"/>
    </row>
    <row r="780">
      <c r="A780" s="8"/>
      <c r="B780" s="8"/>
      <c r="C780" s="8"/>
      <c r="D780" s="8"/>
      <c r="E780" s="8"/>
      <c r="F780" s="8"/>
    </row>
    <row r="781">
      <c r="A781" s="8"/>
      <c r="B781" s="8"/>
      <c r="C781" s="8"/>
      <c r="D781" s="8"/>
      <c r="E781" s="8"/>
      <c r="F781" s="8"/>
    </row>
    <row r="782">
      <c r="A782" s="8"/>
      <c r="B782" s="8"/>
      <c r="C782" s="8"/>
      <c r="D782" s="8"/>
      <c r="E782" s="8"/>
      <c r="F782" s="8"/>
    </row>
    <row r="783">
      <c r="A783" s="8"/>
      <c r="B783" s="8"/>
      <c r="C783" s="8"/>
      <c r="D783" s="8"/>
      <c r="E783" s="8"/>
      <c r="F783" s="8"/>
    </row>
    <row r="784">
      <c r="A784" s="8"/>
      <c r="B784" s="8"/>
      <c r="C784" s="8"/>
      <c r="D784" s="8"/>
      <c r="E784" s="8"/>
      <c r="F784" s="8"/>
    </row>
    <row r="785">
      <c r="A785" s="8"/>
      <c r="B785" s="8"/>
      <c r="C785" s="8"/>
      <c r="D785" s="8"/>
      <c r="E785" s="8"/>
      <c r="F785" s="8"/>
    </row>
    <row r="786">
      <c r="A786" s="8"/>
      <c r="B786" s="8"/>
      <c r="C786" s="8"/>
      <c r="D786" s="8"/>
      <c r="E786" s="8"/>
      <c r="F786" s="8"/>
    </row>
    <row r="787">
      <c r="A787" s="8"/>
      <c r="B787" s="8"/>
      <c r="C787" s="8"/>
      <c r="D787" s="8"/>
      <c r="E787" s="8"/>
      <c r="F787" s="8"/>
    </row>
    <row r="788">
      <c r="A788" s="8"/>
      <c r="B788" s="8"/>
      <c r="C788" s="8"/>
      <c r="D788" s="8"/>
      <c r="E788" s="8"/>
      <c r="F788" s="8"/>
    </row>
    <row r="789">
      <c r="A789" s="8"/>
      <c r="B789" s="8"/>
      <c r="C789" s="8"/>
      <c r="D789" s="8"/>
      <c r="E789" s="8"/>
      <c r="F789" s="8"/>
    </row>
    <row r="790">
      <c r="A790" s="8"/>
      <c r="B790" s="8"/>
      <c r="C790" s="8"/>
      <c r="D790" s="8"/>
      <c r="E790" s="8"/>
      <c r="F790" s="8"/>
    </row>
    <row r="791">
      <c r="A791" s="8"/>
      <c r="B791" s="8"/>
      <c r="C791" s="8"/>
      <c r="D791" s="8"/>
      <c r="E791" s="8"/>
      <c r="F791" s="8"/>
    </row>
    <row r="792">
      <c r="A792" s="8"/>
      <c r="B792" s="8"/>
      <c r="C792" s="8"/>
      <c r="D792" s="8"/>
      <c r="E792" s="8"/>
      <c r="F792" s="8"/>
    </row>
    <row r="793">
      <c r="A793" s="8"/>
      <c r="B793" s="8"/>
      <c r="C793" s="8"/>
      <c r="D793" s="8"/>
      <c r="E793" s="8"/>
      <c r="F793" s="8"/>
    </row>
    <row r="794">
      <c r="A794" s="8"/>
      <c r="B794" s="8"/>
      <c r="C794" s="8"/>
      <c r="D794" s="8"/>
      <c r="E794" s="8"/>
      <c r="F794" s="8"/>
    </row>
    <row r="795">
      <c r="A795" s="8"/>
      <c r="B795" s="8"/>
      <c r="C795" s="8"/>
      <c r="D795" s="8"/>
      <c r="E795" s="8"/>
      <c r="F795" s="8"/>
    </row>
    <row r="796">
      <c r="A796" s="8"/>
      <c r="B796" s="8"/>
      <c r="C796" s="8"/>
      <c r="D796" s="8"/>
      <c r="E796" s="8"/>
      <c r="F796" s="8"/>
    </row>
    <row r="797">
      <c r="A797" s="8"/>
      <c r="B797" s="8"/>
      <c r="C797" s="8"/>
      <c r="D797" s="8"/>
      <c r="E797" s="8"/>
      <c r="F797" s="8"/>
    </row>
    <row r="798">
      <c r="A798" s="8"/>
      <c r="B798" s="8"/>
      <c r="C798" s="8"/>
      <c r="D798" s="8"/>
      <c r="E798" s="8"/>
      <c r="F798" s="8"/>
    </row>
    <row r="799">
      <c r="A799" s="8"/>
      <c r="B799" s="8"/>
      <c r="C799" s="8"/>
      <c r="D799" s="8"/>
      <c r="E799" s="8"/>
      <c r="F799" s="8"/>
    </row>
    <row r="800">
      <c r="A800" s="8"/>
      <c r="B800" s="8"/>
      <c r="C800" s="8"/>
      <c r="D800" s="8"/>
      <c r="E800" s="8"/>
      <c r="F800" s="8"/>
    </row>
    <row r="801">
      <c r="A801" s="8"/>
      <c r="B801" s="8"/>
      <c r="C801" s="8"/>
      <c r="D801" s="8"/>
      <c r="E801" s="8"/>
      <c r="F801" s="8"/>
    </row>
    <row r="802">
      <c r="A802" s="8"/>
      <c r="B802" s="8"/>
      <c r="C802" s="8"/>
      <c r="D802" s="8"/>
      <c r="E802" s="8"/>
      <c r="F802" s="8"/>
    </row>
    <row r="803">
      <c r="A803" s="8"/>
      <c r="B803" s="8"/>
      <c r="C803" s="8"/>
      <c r="D803" s="8"/>
      <c r="E803" s="8"/>
      <c r="F803" s="8"/>
    </row>
    <row r="804">
      <c r="A804" s="8"/>
      <c r="B804" s="8"/>
      <c r="C804" s="8"/>
      <c r="D804" s="8"/>
      <c r="E804" s="8"/>
      <c r="F804" s="8"/>
    </row>
    <row r="805">
      <c r="A805" s="8"/>
      <c r="B805" s="8"/>
      <c r="C805" s="8"/>
      <c r="D805" s="8"/>
      <c r="E805" s="8"/>
      <c r="F805" s="8"/>
    </row>
    <row r="806">
      <c r="A806" s="8"/>
      <c r="B806" s="8"/>
      <c r="C806" s="8"/>
      <c r="D806" s="8"/>
      <c r="E806" s="8"/>
      <c r="F806" s="8"/>
    </row>
    <row r="807">
      <c r="A807" s="8"/>
      <c r="B807" s="8"/>
      <c r="C807" s="8"/>
      <c r="D807" s="8"/>
      <c r="E807" s="8"/>
      <c r="F807" s="8"/>
    </row>
    <row r="808">
      <c r="A808" s="8"/>
      <c r="B808" s="8"/>
      <c r="C808" s="8"/>
      <c r="D808" s="8"/>
      <c r="E808" s="8"/>
      <c r="F808" s="8"/>
    </row>
    <row r="809">
      <c r="A809" s="8"/>
      <c r="B809" s="8"/>
      <c r="C809" s="8"/>
      <c r="D809" s="8"/>
      <c r="E809" s="8"/>
      <c r="F809" s="8"/>
    </row>
    <row r="810">
      <c r="A810" s="8"/>
      <c r="B810" s="8"/>
      <c r="C810" s="8"/>
      <c r="D810" s="8"/>
      <c r="E810" s="8"/>
      <c r="F810" s="8"/>
    </row>
    <row r="811">
      <c r="A811" s="8"/>
      <c r="B811" s="8"/>
      <c r="C811" s="8"/>
      <c r="D811" s="8"/>
      <c r="E811" s="8"/>
      <c r="F811" s="8"/>
    </row>
    <row r="812">
      <c r="A812" s="8"/>
      <c r="B812" s="8"/>
      <c r="C812" s="8"/>
      <c r="D812" s="8"/>
      <c r="E812" s="8"/>
      <c r="F812" s="8"/>
    </row>
    <row r="813">
      <c r="A813" s="8"/>
      <c r="B813" s="8"/>
      <c r="C813" s="8"/>
      <c r="D813" s="8"/>
      <c r="E813" s="8"/>
      <c r="F813" s="8"/>
    </row>
    <row r="814">
      <c r="A814" s="8"/>
      <c r="B814" s="8"/>
      <c r="C814" s="8"/>
      <c r="D814" s="8"/>
      <c r="E814" s="8"/>
      <c r="F814" s="8"/>
    </row>
    <row r="815">
      <c r="A815" s="8"/>
      <c r="B815" s="8"/>
      <c r="C815" s="8"/>
      <c r="D815" s="8"/>
      <c r="E815" s="8"/>
      <c r="F815" s="8"/>
    </row>
    <row r="816">
      <c r="A816" s="8"/>
      <c r="B816" s="8"/>
      <c r="C816" s="8"/>
      <c r="D816" s="8"/>
      <c r="E816" s="8"/>
      <c r="F816" s="8"/>
    </row>
    <row r="817">
      <c r="A817" s="8"/>
      <c r="B817" s="8"/>
      <c r="C817" s="8"/>
      <c r="D817" s="8"/>
      <c r="E817" s="8"/>
      <c r="F817" s="8"/>
    </row>
    <row r="818">
      <c r="A818" s="8"/>
      <c r="B818" s="8"/>
      <c r="C818" s="8"/>
      <c r="D818" s="8"/>
      <c r="E818" s="8"/>
      <c r="F818" s="8"/>
    </row>
    <row r="819">
      <c r="A819" s="8"/>
      <c r="B819" s="8"/>
      <c r="C819" s="8"/>
      <c r="D819" s="8"/>
      <c r="E819" s="8"/>
      <c r="F819" s="8"/>
    </row>
    <row r="820">
      <c r="A820" s="8"/>
      <c r="B820" s="8"/>
      <c r="C820" s="8"/>
      <c r="D820" s="8"/>
      <c r="E820" s="8"/>
      <c r="F820" s="8"/>
    </row>
    <row r="821">
      <c r="A821" s="8"/>
      <c r="B821" s="8"/>
      <c r="C821" s="8"/>
      <c r="D821" s="8"/>
      <c r="E821" s="8"/>
      <c r="F821" s="8"/>
    </row>
    <row r="822">
      <c r="A822" s="8"/>
      <c r="B822" s="8"/>
      <c r="C822" s="8"/>
      <c r="D822" s="8"/>
      <c r="E822" s="8"/>
      <c r="F822" s="8"/>
    </row>
    <row r="823">
      <c r="A823" s="8"/>
      <c r="B823" s="8"/>
      <c r="C823" s="8"/>
      <c r="D823" s="8"/>
      <c r="E823" s="8"/>
      <c r="F823" s="8"/>
    </row>
    <row r="824">
      <c r="A824" s="8"/>
      <c r="B824" s="8"/>
      <c r="C824" s="8"/>
      <c r="D824" s="8"/>
      <c r="E824" s="8"/>
      <c r="F824" s="8"/>
    </row>
    <row r="825">
      <c r="A825" s="8"/>
      <c r="B825" s="8"/>
      <c r="C825" s="8"/>
      <c r="D825" s="8"/>
      <c r="E825" s="8"/>
      <c r="F825" s="8"/>
    </row>
    <row r="826">
      <c r="A826" s="8"/>
      <c r="B826" s="8"/>
      <c r="C826" s="8"/>
      <c r="D826" s="8"/>
      <c r="E826" s="8"/>
      <c r="F826" s="8"/>
    </row>
    <row r="827">
      <c r="A827" s="8"/>
      <c r="B827" s="8"/>
      <c r="C827" s="8"/>
      <c r="D827" s="8"/>
      <c r="E827" s="8"/>
      <c r="F827" s="8"/>
    </row>
    <row r="828">
      <c r="A828" s="8"/>
      <c r="B828" s="8"/>
      <c r="C828" s="8"/>
      <c r="D828" s="8"/>
      <c r="E828" s="8"/>
      <c r="F828" s="8"/>
    </row>
    <row r="829">
      <c r="A829" s="8"/>
      <c r="B829" s="8"/>
      <c r="C829" s="8"/>
      <c r="D829" s="8"/>
      <c r="E829" s="8"/>
      <c r="F829" s="8"/>
    </row>
    <row r="830">
      <c r="A830" s="8"/>
      <c r="B830" s="8"/>
      <c r="C830" s="8"/>
      <c r="D830" s="8"/>
      <c r="E830" s="8"/>
      <c r="F830" s="8"/>
    </row>
    <row r="831">
      <c r="A831" s="8"/>
      <c r="B831" s="8"/>
      <c r="C831" s="8"/>
      <c r="D831" s="8"/>
      <c r="E831" s="8"/>
      <c r="F831" s="8"/>
    </row>
    <row r="832">
      <c r="A832" s="8"/>
      <c r="B832" s="8"/>
      <c r="C832" s="8"/>
      <c r="D832" s="8"/>
      <c r="E832" s="8"/>
      <c r="F832" s="8"/>
    </row>
    <row r="833">
      <c r="A833" s="8"/>
      <c r="B833" s="8"/>
      <c r="C833" s="8"/>
      <c r="D833" s="8"/>
      <c r="E833" s="8"/>
      <c r="F833" s="8"/>
    </row>
    <row r="834">
      <c r="A834" s="8"/>
      <c r="B834" s="8"/>
      <c r="C834" s="8"/>
      <c r="D834" s="8"/>
      <c r="E834" s="8"/>
      <c r="F834" s="8"/>
    </row>
    <row r="835">
      <c r="A835" s="8"/>
      <c r="B835" s="8"/>
      <c r="C835" s="8"/>
      <c r="D835" s="8"/>
      <c r="E835" s="8"/>
      <c r="F835" s="8"/>
    </row>
    <row r="836">
      <c r="A836" s="8"/>
      <c r="B836" s="8"/>
      <c r="C836" s="8"/>
      <c r="D836" s="8"/>
      <c r="E836" s="8"/>
      <c r="F836" s="8"/>
    </row>
    <row r="837">
      <c r="A837" s="8"/>
      <c r="B837" s="8"/>
      <c r="C837" s="8"/>
      <c r="D837" s="8"/>
      <c r="E837" s="8"/>
      <c r="F837" s="8"/>
    </row>
    <row r="838">
      <c r="A838" s="8"/>
      <c r="B838" s="8"/>
      <c r="C838" s="8"/>
      <c r="D838" s="8"/>
      <c r="E838" s="8"/>
      <c r="F838" s="8"/>
    </row>
    <row r="839">
      <c r="A839" s="8"/>
      <c r="B839" s="8"/>
      <c r="C839" s="8"/>
      <c r="D839" s="8"/>
      <c r="E839" s="8"/>
      <c r="F839" s="8"/>
    </row>
    <row r="840">
      <c r="A840" s="8"/>
      <c r="B840" s="8"/>
      <c r="C840" s="8"/>
      <c r="D840" s="8"/>
      <c r="E840" s="8"/>
      <c r="F840" s="8"/>
    </row>
    <row r="841">
      <c r="A841" s="8"/>
      <c r="B841" s="8"/>
      <c r="C841" s="8"/>
      <c r="D841" s="8"/>
      <c r="E841" s="8"/>
      <c r="F841" s="8"/>
    </row>
    <row r="842">
      <c r="A842" s="8"/>
      <c r="B842" s="8"/>
      <c r="C842" s="8"/>
      <c r="D842" s="8"/>
      <c r="E842" s="8"/>
      <c r="F842" s="8"/>
    </row>
    <row r="843">
      <c r="A843" s="8"/>
      <c r="B843" s="8"/>
      <c r="C843" s="8"/>
      <c r="D843" s="8"/>
      <c r="E843" s="8"/>
      <c r="F843" s="8"/>
    </row>
    <row r="844">
      <c r="A844" s="8"/>
      <c r="B844" s="8"/>
      <c r="C844" s="8"/>
      <c r="D844" s="8"/>
      <c r="E844" s="8"/>
      <c r="F844" s="8"/>
    </row>
    <row r="845">
      <c r="A845" s="8"/>
      <c r="B845" s="8"/>
      <c r="C845" s="8"/>
      <c r="D845" s="8"/>
      <c r="E845" s="8"/>
      <c r="F845" s="8"/>
    </row>
    <row r="846">
      <c r="A846" s="8"/>
      <c r="B846" s="8"/>
      <c r="C846" s="8"/>
      <c r="D846" s="8"/>
      <c r="E846" s="8"/>
      <c r="F846" s="8"/>
    </row>
    <row r="847">
      <c r="A847" s="8"/>
      <c r="B847" s="8"/>
      <c r="C847" s="8"/>
      <c r="D847" s="8"/>
      <c r="E847" s="8"/>
      <c r="F847" s="8"/>
    </row>
    <row r="848">
      <c r="A848" s="8"/>
      <c r="B848" s="8"/>
      <c r="C848" s="8"/>
      <c r="D848" s="8"/>
      <c r="E848" s="8"/>
      <c r="F848" s="8"/>
    </row>
    <row r="849">
      <c r="A849" s="8"/>
      <c r="B849" s="8"/>
      <c r="C849" s="8"/>
      <c r="D849" s="8"/>
      <c r="E849" s="8"/>
      <c r="F849" s="8"/>
    </row>
    <row r="850">
      <c r="A850" s="8"/>
      <c r="B850" s="8"/>
      <c r="C850" s="8"/>
      <c r="D850" s="8"/>
      <c r="E850" s="8"/>
      <c r="F850" s="8"/>
    </row>
    <row r="851">
      <c r="A851" s="8"/>
      <c r="B851" s="8"/>
      <c r="C851" s="8"/>
      <c r="D851" s="8"/>
      <c r="E851" s="8"/>
      <c r="F851" s="8"/>
    </row>
    <row r="852">
      <c r="A852" s="8"/>
      <c r="B852" s="8"/>
      <c r="C852" s="8"/>
      <c r="D852" s="8"/>
      <c r="E852" s="8"/>
      <c r="F852" s="8"/>
    </row>
    <row r="853">
      <c r="A853" s="8"/>
      <c r="B853" s="8"/>
      <c r="C853" s="8"/>
      <c r="D853" s="8"/>
      <c r="E853" s="8"/>
      <c r="F853" s="8"/>
    </row>
    <row r="854">
      <c r="A854" s="8"/>
      <c r="B854" s="8"/>
      <c r="C854" s="8"/>
      <c r="D854" s="8"/>
      <c r="E854" s="8"/>
      <c r="F854" s="8"/>
    </row>
    <row r="855">
      <c r="A855" s="8"/>
      <c r="B855" s="8"/>
      <c r="C855" s="8"/>
      <c r="D855" s="8"/>
      <c r="E855" s="8"/>
      <c r="F855" s="8"/>
    </row>
    <row r="856">
      <c r="A856" s="8"/>
      <c r="B856" s="8"/>
      <c r="C856" s="8"/>
      <c r="D856" s="8"/>
      <c r="E856" s="8"/>
      <c r="F856" s="8"/>
    </row>
    <row r="857">
      <c r="A857" s="8"/>
      <c r="B857" s="8"/>
      <c r="C857" s="8"/>
      <c r="D857" s="8"/>
      <c r="E857" s="8"/>
      <c r="F857" s="8"/>
    </row>
    <row r="858">
      <c r="A858" s="8"/>
      <c r="B858" s="8"/>
      <c r="C858" s="8"/>
      <c r="D858" s="8"/>
      <c r="E858" s="8"/>
      <c r="F858" s="8"/>
    </row>
    <row r="859">
      <c r="A859" s="8"/>
      <c r="B859" s="8"/>
      <c r="C859" s="8"/>
      <c r="D859" s="8"/>
      <c r="E859" s="8"/>
      <c r="F859" s="8"/>
    </row>
    <row r="860">
      <c r="A860" s="8"/>
      <c r="B860" s="8"/>
      <c r="C860" s="8"/>
      <c r="D860" s="8"/>
      <c r="E860" s="8"/>
      <c r="F860" s="8"/>
    </row>
    <row r="861">
      <c r="A861" s="8"/>
      <c r="B861" s="8"/>
      <c r="C861" s="8"/>
      <c r="D861" s="8"/>
      <c r="E861" s="8"/>
      <c r="F861" s="8"/>
    </row>
    <row r="862">
      <c r="A862" s="8"/>
      <c r="B862" s="8"/>
      <c r="C862" s="8"/>
      <c r="D862" s="8"/>
      <c r="E862" s="8"/>
      <c r="F862" s="8"/>
    </row>
    <row r="863">
      <c r="A863" s="8"/>
      <c r="B863" s="8"/>
      <c r="C863" s="8"/>
      <c r="D863" s="8"/>
      <c r="E863" s="8"/>
      <c r="F863" s="8"/>
    </row>
    <row r="864">
      <c r="A864" s="8"/>
      <c r="B864" s="8"/>
      <c r="C864" s="8"/>
      <c r="D864" s="8"/>
      <c r="E864" s="8"/>
      <c r="F864" s="8"/>
    </row>
    <row r="865">
      <c r="A865" s="8"/>
      <c r="B865" s="8"/>
      <c r="C865" s="8"/>
      <c r="D865" s="8"/>
      <c r="E865" s="8"/>
      <c r="F865" s="8"/>
    </row>
    <row r="866">
      <c r="A866" s="8"/>
      <c r="B866" s="8"/>
      <c r="C866" s="8"/>
      <c r="D866" s="8"/>
      <c r="E866" s="8"/>
      <c r="F866" s="8"/>
    </row>
    <row r="867">
      <c r="A867" s="8"/>
      <c r="B867" s="8"/>
      <c r="C867" s="8"/>
      <c r="D867" s="8"/>
      <c r="E867" s="8"/>
      <c r="F867" s="8"/>
    </row>
    <row r="868">
      <c r="A868" s="8"/>
      <c r="B868" s="8"/>
      <c r="C868" s="8"/>
      <c r="D868" s="8"/>
      <c r="E868" s="8"/>
      <c r="F868" s="8"/>
    </row>
    <row r="869">
      <c r="A869" s="8"/>
      <c r="B869" s="8"/>
      <c r="C869" s="8"/>
      <c r="D869" s="8"/>
      <c r="E869" s="8"/>
      <c r="F869" s="8"/>
    </row>
    <row r="870">
      <c r="A870" s="8"/>
      <c r="B870" s="8"/>
      <c r="C870" s="8"/>
      <c r="D870" s="8"/>
      <c r="E870" s="8"/>
      <c r="F870" s="8"/>
    </row>
    <row r="871">
      <c r="A871" s="8"/>
      <c r="B871" s="8"/>
      <c r="C871" s="8"/>
      <c r="D871" s="8"/>
      <c r="E871" s="8"/>
      <c r="F871" s="8"/>
    </row>
    <row r="872">
      <c r="A872" s="8"/>
      <c r="B872" s="8"/>
      <c r="C872" s="8"/>
      <c r="D872" s="8"/>
      <c r="E872" s="8"/>
      <c r="F872" s="8"/>
    </row>
    <row r="873">
      <c r="A873" s="8"/>
      <c r="B873" s="8"/>
      <c r="C873" s="8"/>
      <c r="D873" s="8"/>
      <c r="E873" s="8"/>
      <c r="F873" s="8"/>
    </row>
    <row r="874">
      <c r="A874" s="8"/>
      <c r="B874" s="8"/>
      <c r="C874" s="8"/>
      <c r="D874" s="8"/>
      <c r="E874" s="8"/>
      <c r="F874" s="8"/>
    </row>
    <row r="875">
      <c r="A875" s="8"/>
      <c r="B875" s="8"/>
      <c r="C875" s="8"/>
      <c r="D875" s="8"/>
      <c r="E875" s="8"/>
      <c r="F875" s="8"/>
    </row>
    <row r="876">
      <c r="A876" s="8"/>
      <c r="B876" s="8"/>
      <c r="C876" s="8"/>
      <c r="D876" s="8"/>
      <c r="E876" s="8"/>
      <c r="F876" s="8"/>
    </row>
    <row r="877">
      <c r="A877" s="8"/>
      <c r="B877" s="8"/>
      <c r="C877" s="8"/>
      <c r="D877" s="8"/>
      <c r="E877" s="8"/>
      <c r="F877" s="8"/>
    </row>
    <row r="878">
      <c r="A878" s="8"/>
      <c r="B878" s="8"/>
      <c r="C878" s="8"/>
      <c r="D878" s="8"/>
      <c r="E878" s="8"/>
      <c r="F878" s="8"/>
    </row>
    <row r="879">
      <c r="A879" s="8"/>
      <c r="B879" s="8"/>
      <c r="C879" s="8"/>
      <c r="D879" s="8"/>
      <c r="E879" s="8"/>
      <c r="F879" s="8"/>
    </row>
    <row r="880">
      <c r="A880" s="8"/>
      <c r="B880" s="8"/>
      <c r="C880" s="8"/>
      <c r="D880" s="8"/>
      <c r="E880" s="8"/>
      <c r="F880" s="8"/>
    </row>
    <row r="881">
      <c r="A881" s="8"/>
      <c r="B881" s="8"/>
      <c r="C881" s="8"/>
      <c r="D881" s="8"/>
      <c r="E881" s="8"/>
      <c r="F881" s="8"/>
    </row>
    <row r="882">
      <c r="A882" s="8"/>
      <c r="B882" s="8"/>
      <c r="C882" s="8"/>
      <c r="D882" s="8"/>
      <c r="E882" s="8"/>
      <c r="F882" s="8"/>
    </row>
    <row r="883">
      <c r="A883" s="8"/>
      <c r="B883" s="8"/>
      <c r="C883" s="8"/>
      <c r="D883" s="8"/>
      <c r="E883" s="8"/>
      <c r="F883" s="8"/>
    </row>
    <row r="884">
      <c r="A884" s="8"/>
      <c r="B884" s="8"/>
      <c r="C884" s="8"/>
      <c r="D884" s="8"/>
      <c r="E884" s="8"/>
      <c r="F884" s="8"/>
    </row>
    <row r="885">
      <c r="A885" s="8"/>
      <c r="B885" s="8"/>
      <c r="C885" s="8"/>
      <c r="D885" s="8"/>
      <c r="E885" s="8"/>
      <c r="F885" s="8"/>
    </row>
    <row r="886">
      <c r="A886" s="8"/>
      <c r="B886" s="8"/>
      <c r="C886" s="8"/>
      <c r="D886" s="8"/>
      <c r="E886" s="8"/>
      <c r="F886" s="8"/>
    </row>
    <row r="887">
      <c r="A887" s="8"/>
      <c r="B887" s="8"/>
      <c r="C887" s="8"/>
      <c r="D887" s="8"/>
      <c r="E887" s="8"/>
      <c r="F887" s="8"/>
    </row>
    <row r="888">
      <c r="A888" s="8"/>
      <c r="B888" s="8"/>
      <c r="C888" s="8"/>
      <c r="D888" s="8"/>
      <c r="E888" s="8"/>
      <c r="F888" s="8"/>
    </row>
    <row r="889">
      <c r="A889" s="8"/>
      <c r="B889" s="8"/>
      <c r="C889" s="8"/>
      <c r="D889" s="8"/>
      <c r="E889" s="8"/>
      <c r="F889" s="8"/>
    </row>
    <row r="890">
      <c r="A890" s="8"/>
      <c r="B890" s="8"/>
      <c r="C890" s="8"/>
      <c r="D890" s="8"/>
      <c r="E890" s="8"/>
      <c r="F890" s="8"/>
    </row>
    <row r="891">
      <c r="A891" s="8"/>
      <c r="B891" s="8"/>
      <c r="C891" s="8"/>
      <c r="D891" s="8"/>
      <c r="E891" s="8"/>
      <c r="F891" s="8"/>
    </row>
    <row r="892">
      <c r="A892" s="8"/>
      <c r="B892" s="8"/>
      <c r="C892" s="8"/>
      <c r="D892" s="8"/>
      <c r="E892" s="8"/>
      <c r="F892" s="8"/>
    </row>
    <row r="893">
      <c r="A893" s="8"/>
      <c r="B893" s="8"/>
      <c r="C893" s="8"/>
      <c r="D893" s="8"/>
      <c r="E893" s="8"/>
      <c r="F893" s="8"/>
    </row>
    <row r="894">
      <c r="A894" s="8"/>
      <c r="B894" s="8"/>
      <c r="C894" s="8"/>
      <c r="D894" s="8"/>
      <c r="E894" s="8"/>
      <c r="F894" s="8"/>
    </row>
    <row r="895">
      <c r="A895" s="8"/>
      <c r="B895" s="8"/>
      <c r="C895" s="8"/>
      <c r="D895" s="8"/>
      <c r="E895" s="8"/>
      <c r="F895" s="8"/>
    </row>
    <row r="896">
      <c r="A896" s="8"/>
      <c r="B896" s="8"/>
      <c r="C896" s="8"/>
      <c r="D896" s="8"/>
      <c r="E896" s="8"/>
      <c r="F896" s="8"/>
    </row>
    <row r="897">
      <c r="A897" s="8"/>
      <c r="B897" s="8"/>
      <c r="C897" s="8"/>
      <c r="D897" s="8"/>
      <c r="E897" s="8"/>
      <c r="F897" s="8"/>
    </row>
    <row r="898">
      <c r="A898" s="8"/>
      <c r="B898" s="8"/>
      <c r="C898" s="8"/>
      <c r="D898" s="8"/>
      <c r="E898" s="8"/>
      <c r="F898" s="8"/>
    </row>
    <row r="899">
      <c r="A899" s="8"/>
      <c r="B899" s="8"/>
      <c r="C899" s="8"/>
      <c r="D899" s="8"/>
      <c r="E899" s="8"/>
      <c r="F899" s="8"/>
    </row>
    <row r="900">
      <c r="A900" s="8"/>
      <c r="B900" s="8"/>
      <c r="C900" s="8"/>
      <c r="D900" s="8"/>
      <c r="E900" s="8"/>
      <c r="F900" s="8"/>
    </row>
    <row r="901">
      <c r="A901" s="8"/>
      <c r="B901" s="8"/>
      <c r="C901" s="8"/>
      <c r="D901" s="8"/>
      <c r="E901" s="8"/>
      <c r="F901" s="8"/>
    </row>
    <row r="902">
      <c r="A902" s="8"/>
      <c r="B902" s="8"/>
      <c r="C902" s="8"/>
      <c r="D902" s="8"/>
      <c r="E902" s="8"/>
      <c r="F902" s="8"/>
    </row>
    <row r="903">
      <c r="A903" s="8"/>
      <c r="B903" s="8"/>
      <c r="C903" s="8"/>
      <c r="D903" s="8"/>
      <c r="E903" s="8"/>
      <c r="F903" s="8"/>
    </row>
    <row r="904">
      <c r="A904" s="8"/>
      <c r="B904" s="8"/>
      <c r="C904" s="8"/>
      <c r="D904" s="8"/>
      <c r="E904" s="8"/>
      <c r="F904" s="8"/>
    </row>
    <row r="905">
      <c r="A905" s="8"/>
      <c r="B905" s="8"/>
      <c r="C905" s="8"/>
      <c r="D905" s="8"/>
      <c r="E905" s="8"/>
      <c r="F905" s="8"/>
    </row>
    <row r="906">
      <c r="A906" s="8"/>
      <c r="B906" s="8"/>
      <c r="C906" s="8"/>
      <c r="D906" s="8"/>
      <c r="E906" s="8"/>
      <c r="F906" s="8"/>
    </row>
    <row r="907">
      <c r="A907" s="8"/>
      <c r="B907" s="8"/>
      <c r="C907" s="8"/>
      <c r="D907" s="8"/>
      <c r="E907" s="8"/>
      <c r="F907" s="8"/>
    </row>
    <row r="908">
      <c r="A908" s="8"/>
      <c r="B908" s="8"/>
      <c r="C908" s="8"/>
      <c r="D908" s="8"/>
      <c r="E908" s="8"/>
      <c r="F908" s="8"/>
    </row>
    <row r="909">
      <c r="A909" s="8"/>
      <c r="B909" s="8"/>
      <c r="C909" s="8"/>
      <c r="D909" s="8"/>
      <c r="E909" s="8"/>
      <c r="F909" s="8"/>
    </row>
    <row r="910">
      <c r="A910" s="8"/>
      <c r="B910" s="8"/>
      <c r="C910" s="8"/>
      <c r="D910" s="8"/>
      <c r="E910" s="8"/>
      <c r="F910" s="8"/>
    </row>
    <row r="911">
      <c r="A911" s="8"/>
      <c r="B911" s="8"/>
      <c r="C911" s="8"/>
      <c r="D911" s="8"/>
      <c r="E911" s="8"/>
      <c r="F911" s="8"/>
    </row>
    <row r="912">
      <c r="A912" s="8"/>
      <c r="B912" s="8"/>
      <c r="C912" s="8"/>
      <c r="D912" s="8"/>
      <c r="E912" s="8"/>
      <c r="F912" s="8"/>
    </row>
    <row r="913">
      <c r="A913" s="8"/>
      <c r="B913" s="8"/>
      <c r="C913" s="8"/>
      <c r="D913" s="8"/>
      <c r="E913" s="8"/>
      <c r="F913" s="8"/>
    </row>
    <row r="914">
      <c r="A914" s="8"/>
      <c r="B914" s="8"/>
      <c r="C914" s="8"/>
      <c r="D914" s="8"/>
      <c r="E914" s="8"/>
      <c r="F914" s="8"/>
    </row>
    <row r="915">
      <c r="A915" s="8"/>
      <c r="B915" s="8"/>
      <c r="C915" s="8"/>
      <c r="D915" s="8"/>
      <c r="E915" s="8"/>
      <c r="F915" s="8"/>
    </row>
    <row r="916">
      <c r="A916" s="8"/>
      <c r="B916" s="8"/>
      <c r="C916" s="8"/>
      <c r="D916" s="8"/>
      <c r="E916" s="8"/>
      <c r="F916" s="8"/>
    </row>
    <row r="917">
      <c r="A917" s="8"/>
      <c r="B917" s="8"/>
      <c r="C917" s="8"/>
      <c r="D917" s="8"/>
      <c r="E917" s="8"/>
      <c r="F917" s="8"/>
    </row>
    <row r="918">
      <c r="A918" s="8"/>
      <c r="B918" s="8"/>
      <c r="C918" s="8"/>
      <c r="D918" s="8"/>
      <c r="E918" s="8"/>
      <c r="F918" s="8"/>
    </row>
    <row r="919">
      <c r="A919" s="8"/>
      <c r="B919" s="8"/>
      <c r="C919" s="8"/>
      <c r="D919" s="8"/>
      <c r="E919" s="8"/>
      <c r="F919" s="8"/>
    </row>
    <row r="920">
      <c r="A920" s="8"/>
      <c r="B920" s="8"/>
      <c r="C920" s="8"/>
      <c r="D920" s="8"/>
      <c r="E920" s="8"/>
      <c r="F920" s="8"/>
    </row>
    <row r="921">
      <c r="A921" s="8"/>
      <c r="B921" s="8"/>
      <c r="C921" s="8"/>
      <c r="D921" s="8"/>
      <c r="E921" s="8"/>
      <c r="F921" s="8"/>
    </row>
    <row r="922">
      <c r="A922" s="8"/>
      <c r="B922" s="8"/>
      <c r="C922" s="8"/>
      <c r="D922" s="8"/>
      <c r="E922" s="8"/>
      <c r="F922" s="8"/>
    </row>
    <row r="923">
      <c r="A923" s="8"/>
      <c r="B923" s="8"/>
      <c r="C923" s="8"/>
      <c r="D923" s="8"/>
      <c r="E923" s="8"/>
      <c r="F923" s="8"/>
    </row>
    <row r="924">
      <c r="A924" s="8"/>
      <c r="B924" s="8"/>
      <c r="C924" s="8"/>
      <c r="D924" s="8"/>
      <c r="E924" s="8"/>
      <c r="F924" s="8"/>
    </row>
    <row r="925">
      <c r="A925" s="8"/>
      <c r="B925" s="8"/>
      <c r="C925" s="8"/>
      <c r="D925" s="8"/>
      <c r="E925" s="8"/>
      <c r="F925" s="8"/>
    </row>
    <row r="926">
      <c r="A926" s="8"/>
      <c r="B926" s="8"/>
      <c r="C926" s="8"/>
      <c r="D926" s="8"/>
      <c r="E926" s="8"/>
      <c r="F926" s="8"/>
    </row>
    <row r="927">
      <c r="A927" s="8"/>
      <c r="B927" s="8"/>
      <c r="C927" s="8"/>
      <c r="D927" s="8"/>
      <c r="E927" s="8"/>
      <c r="F927" s="8"/>
    </row>
    <row r="928">
      <c r="A928" s="8"/>
      <c r="B928" s="8"/>
      <c r="C928" s="8"/>
      <c r="D928" s="8"/>
      <c r="E928" s="8"/>
      <c r="F928" s="8"/>
    </row>
    <row r="929">
      <c r="A929" s="8"/>
      <c r="B929" s="8"/>
      <c r="C929" s="8"/>
      <c r="D929" s="8"/>
      <c r="E929" s="8"/>
      <c r="F929" s="8"/>
    </row>
    <row r="930">
      <c r="A930" s="8"/>
      <c r="B930" s="8"/>
      <c r="C930" s="8"/>
      <c r="D930" s="8"/>
      <c r="E930" s="8"/>
      <c r="F930" s="8"/>
    </row>
    <row r="931">
      <c r="A931" s="8"/>
      <c r="B931" s="8"/>
      <c r="C931" s="8"/>
      <c r="D931" s="8"/>
      <c r="E931" s="8"/>
      <c r="F931" s="8"/>
    </row>
    <row r="932">
      <c r="A932" s="8"/>
      <c r="B932" s="8"/>
      <c r="C932" s="8"/>
      <c r="D932" s="8"/>
      <c r="E932" s="8"/>
      <c r="F932" s="8"/>
    </row>
    <row r="933">
      <c r="A933" s="8"/>
      <c r="B933" s="8"/>
      <c r="C933" s="8"/>
      <c r="D933" s="8"/>
      <c r="E933" s="8"/>
      <c r="F933" s="8"/>
    </row>
    <row r="934">
      <c r="A934" s="8"/>
      <c r="B934" s="8"/>
      <c r="C934" s="8"/>
      <c r="D934" s="8"/>
      <c r="E934" s="8"/>
      <c r="F934" s="8"/>
    </row>
    <row r="935">
      <c r="A935" s="8"/>
      <c r="B935" s="8"/>
      <c r="C935" s="8"/>
      <c r="D935" s="8"/>
      <c r="E935" s="8"/>
      <c r="F935" s="8"/>
    </row>
    <row r="936">
      <c r="A936" s="8"/>
      <c r="B936" s="8"/>
      <c r="C936" s="8"/>
      <c r="D936" s="8"/>
      <c r="E936" s="8"/>
      <c r="F936" s="8"/>
    </row>
    <row r="937">
      <c r="A937" s="8"/>
      <c r="B937" s="8"/>
      <c r="C937" s="8"/>
      <c r="D937" s="8"/>
      <c r="E937" s="8"/>
      <c r="F937" s="8"/>
    </row>
    <row r="938">
      <c r="A938" s="8"/>
      <c r="B938" s="8"/>
      <c r="C938" s="8"/>
      <c r="D938" s="8"/>
      <c r="E938" s="8"/>
      <c r="F938" s="8"/>
    </row>
    <row r="939">
      <c r="A939" s="8"/>
      <c r="B939" s="8"/>
      <c r="C939" s="8"/>
      <c r="D939" s="8"/>
      <c r="E939" s="8"/>
      <c r="F939" s="8"/>
    </row>
    <row r="940">
      <c r="A940" s="8"/>
      <c r="B940" s="8"/>
      <c r="C940" s="8"/>
      <c r="D940" s="8"/>
      <c r="E940" s="8"/>
      <c r="F940" s="8"/>
    </row>
    <row r="941">
      <c r="A941" s="8"/>
      <c r="B941" s="8"/>
      <c r="C941" s="8"/>
      <c r="D941" s="8"/>
      <c r="E941" s="8"/>
      <c r="F941" s="8"/>
    </row>
    <row r="942">
      <c r="A942" s="8"/>
      <c r="B942" s="8"/>
      <c r="C942" s="8"/>
      <c r="D942" s="8"/>
      <c r="E942" s="8"/>
      <c r="F942" s="8"/>
    </row>
    <row r="943">
      <c r="A943" s="8"/>
      <c r="B943" s="8"/>
      <c r="C943" s="8"/>
      <c r="D943" s="8"/>
      <c r="E943" s="8"/>
      <c r="F943" s="8"/>
    </row>
    <row r="944">
      <c r="A944" s="8"/>
      <c r="B944" s="8"/>
      <c r="C944" s="8"/>
      <c r="D944" s="8"/>
      <c r="E944" s="8"/>
      <c r="F944" s="8"/>
    </row>
    <row r="945">
      <c r="A945" s="8"/>
      <c r="B945" s="8"/>
      <c r="C945" s="8"/>
      <c r="D945" s="8"/>
      <c r="E945" s="8"/>
      <c r="F945" s="8"/>
    </row>
    <row r="946">
      <c r="A946" s="8"/>
      <c r="B946" s="8"/>
      <c r="C946" s="8"/>
      <c r="D946" s="8"/>
      <c r="E946" s="8"/>
      <c r="F946" s="8"/>
    </row>
    <row r="947">
      <c r="A947" s="8"/>
      <c r="B947" s="8"/>
      <c r="C947" s="8"/>
      <c r="D947" s="8"/>
      <c r="E947" s="8"/>
      <c r="F947" s="8"/>
    </row>
    <row r="948">
      <c r="A948" s="8"/>
      <c r="B948" s="8"/>
      <c r="C948" s="8"/>
      <c r="D948" s="8"/>
      <c r="E948" s="8"/>
      <c r="F948" s="8"/>
    </row>
    <row r="949">
      <c r="A949" s="8"/>
      <c r="B949" s="8"/>
      <c r="C949" s="8"/>
      <c r="D949" s="8"/>
      <c r="E949" s="8"/>
      <c r="F949" s="8"/>
    </row>
    <row r="950">
      <c r="A950" s="8"/>
      <c r="B950" s="8"/>
      <c r="C950" s="8"/>
      <c r="D950" s="8"/>
      <c r="E950" s="8"/>
      <c r="F950" s="8"/>
    </row>
    <row r="951">
      <c r="A951" s="8"/>
      <c r="B951" s="8"/>
      <c r="C951" s="8"/>
      <c r="D951" s="8"/>
      <c r="E951" s="8"/>
      <c r="F951" s="8"/>
    </row>
    <row r="952">
      <c r="A952" s="8"/>
      <c r="B952" s="8"/>
      <c r="C952" s="8"/>
      <c r="D952" s="8"/>
      <c r="E952" s="8"/>
      <c r="F952" s="8"/>
    </row>
    <row r="953">
      <c r="A953" s="8"/>
      <c r="B953" s="8"/>
      <c r="C953" s="8"/>
      <c r="D953" s="8"/>
      <c r="E953" s="8"/>
      <c r="F953" s="8"/>
    </row>
    <row r="954">
      <c r="A954" s="8"/>
      <c r="B954" s="8"/>
      <c r="C954" s="8"/>
      <c r="D954" s="8"/>
      <c r="E954" s="8"/>
      <c r="F954" s="8"/>
    </row>
    <row r="955">
      <c r="A955" s="8"/>
      <c r="B955" s="8"/>
      <c r="C955" s="8"/>
      <c r="D955" s="8"/>
      <c r="E955" s="8"/>
      <c r="F955" s="8"/>
    </row>
    <row r="956">
      <c r="A956" s="8"/>
      <c r="B956" s="8"/>
      <c r="C956" s="8"/>
      <c r="D956" s="8"/>
      <c r="E956" s="8"/>
      <c r="F956" s="8"/>
    </row>
    <row r="957">
      <c r="A957" s="8"/>
      <c r="B957" s="8"/>
      <c r="C957" s="8"/>
      <c r="D957" s="8"/>
      <c r="E957" s="8"/>
      <c r="F957" s="8"/>
    </row>
    <row r="958">
      <c r="A958" s="8"/>
      <c r="B958" s="8"/>
      <c r="C958" s="8"/>
      <c r="D958" s="8"/>
      <c r="E958" s="8"/>
      <c r="F958" s="8"/>
    </row>
    <row r="959">
      <c r="A959" s="8"/>
      <c r="B959" s="8"/>
      <c r="C959" s="8"/>
      <c r="D959" s="8"/>
      <c r="E959" s="8"/>
      <c r="F959" s="8"/>
    </row>
    <row r="960">
      <c r="A960" s="8"/>
      <c r="B960" s="8"/>
      <c r="C960" s="8"/>
      <c r="D960" s="8"/>
      <c r="E960" s="8"/>
      <c r="F960" s="8"/>
    </row>
    <row r="961">
      <c r="A961" s="8"/>
      <c r="B961" s="8"/>
      <c r="C961" s="8"/>
      <c r="D961" s="8"/>
      <c r="E961" s="8"/>
      <c r="F961" s="8"/>
    </row>
    <row r="962">
      <c r="A962" s="8"/>
      <c r="B962" s="8"/>
      <c r="C962" s="8"/>
      <c r="D962" s="8"/>
      <c r="E962" s="8"/>
      <c r="F962" s="8"/>
    </row>
    <row r="963">
      <c r="A963" s="8"/>
      <c r="B963" s="8"/>
      <c r="C963" s="8"/>
      <c r="D963" s="8"/>
      <c r="E963" s="8"/>
      <c r="F963" s="8"/>
    </row>
    <row r="964">
      <c r="A964" s="8"/>
      <c r="B964" s="8"/>
      <c r="C964" s="8"/>
      <c r="D964" s="8"/>
      <c r="E964" s="8"/>
      <c r="F964" s="8"/>
    </row>
    <row r="965">
      <c r="A965" s="8"/>
      <c r="B965" s="8"/>
      <c r="C965" s="8"/>
      <c r="D965" s="8"/>
      <c r="E965" s="8"/>
      <c r="F965" s="8"/>
    </row>
    <row r="966">
      <c r="A966" s="8"/>
      <c r="B966" s="8"/>
      <c r="C966" s="8"/>
      <c r="D966" s="8"/>
      <c r="E966" s="8"/>
      <c r="F966" s="8"/>
    </row>
    <row r="967">
      <c r="A967" s="8"/>
      <c r="B967" s="8"/>
      <c r="C967" s="8"/>
      <c r="D967" s="8"/>
      <c r="E967" s="8"/>
      <c r="F967" s="8"/>
    </row>
    <row r="968">
      <c r="A968" s="8"/>
      <c r="B968" s="8"/>
      <c r="C968" s="8"/>
      <c r="D968" s="8"/>
      <c r="E968" s="8"/>
      <c r="F968" s="8"/>
    </row>
    <row r="969">
      <c r="A969" s="8"/>
      <c r="B969" s="8"/>
      <c r="C969" s="8"/>
      <c r="D969" s="8"/>
      <c r="E969" s="8"/>
      <c r="F969" s="8"/>
    </row>
    <row r="970">
      <c r="A970" s="8"/>
      <c r="B970" s="8"/>
      <c r="C970" s="8"/>
      <c r="D970" s="8"/>
      <c r="E970" s="8"/>
      <c r="F970" s="8"/>
    </row>
    <row r="971">
      <c r="A971" s="8"/>
      <c r="B971" s="8"/>
      <c r="C971" s="8"/>
      <c r="D971" s="8"/>
      <c r="E971" s="8"/>
      <c r="F971" s="8"/>
    </row>
    <row r="972">
      <c r="A972" s="8"/>
      <c r="B972" s="8"/>
      <c r="C972" s="8"/>
      <c r="D972" s="8"/>
      <c r="E972" s="8"/>
      <c r="F972" s="8"/>
    </row>
    <row r="973">
      <c r="A973" s="8"/>
      <c r="B973" s="8"/>
      <c r="C973" s="8"/>
      <c r="D973" s="8"/>
      <c r="E973" s="8"/>
      <c r="F973" s="8"/>
    </row>
    <row r="974">
      <c r="A974" s="8"/>
      <c r="B974" s="8"/>
      <c r="C974" s="8"/>
      <c r="D974" s="8"/>
      <c r="E974" s="8"/>
      <c r="F974" s="8"/>
    </row>
    <row r="975">
      <c r="A975" s="8"/>
      <c r="B975" s="8"/>
      <c r="C975" s="8"/>
      <c r="D975" s="8"/>
      <c r="E975" s="8"/>
      <c r="F975" s="8"/>
    </row>
    <row r="976">
      <c r="A976" s="8"/>
      <c r="B976" s="8"/>
      <c r="C976" s="8"/>
      <c r="D976" s="8"/>
      <c r="E976" s="8"/>
      <c r="F976" s="8"/>
    </row>
    <row r="977">
      <c r="A977" s="8"/>
      <c r="B977" s="8"/>
      <c r="C977" s="8"/>
      <c r="D977" s="8"/>
      <c r="E977" s="8"/>
      <c r="F977" s="8"/>
    </row>
    <row r="978">
      <c r="A978" s="8"/>
      <c r="B978" s="8"/>
      <c r="C978" s="8"/>
      <c r="D978" s="8"/>
      <c r="E978" s="8"/>
      <c r="F978" s="8"/>
    </row>
    <row r="979">
      <c r="A979" s="8"/>
      <c r="B979" s="8"/>
      <c r="C979" s="8"/>
      <c r="D979" s="8"/>
      <c r="E979" s="8"/>
      <c r="F979" s="8"/>
    </row>
    <row r="980">
      <c r="A980" s="8"/>
      <c r="B980" s="8"/>
      <c r="C980" s="8"/>
      <c r="D980" s="8"/>
      <c r="E980" s="8"/>
      <c r="F980" s="8"/>
    </row>
    <row r="981">
      <c r="A981" s="8"/>
      <c r="B981" s="8"/>
      <c r="C981" s="8"/>
      <c r="D981" s="8"/>
      <c r="E981" s="8"/>
      <c r="F981" s="8"/>
    </row>
    <row r="982">
      <c r="A982" s="8"/>
      <c r="B982" s="8"/>
      <c r="C982" s="8"/>
      <c r="D982" s="8"/>
      <c r="E982" s="8"/>
      <c r="F982" s="8"/>
    </row>
    <row r="983">
      <c r="A983" s="8"/>
      <c r="B983" s="8"/>
      <c r="C983" s="8"/>
      <c r="D983" s="8"/>
      <c r="E983" s="8"/>
      <c r="F983" s="8"/>
    </row>
    <row r="984">
      <c r="A984" s="8"/>
      <c r="B984" s="8"/>
      <c r="C984" s="8"/>
      <c r="D984" s="8"/>
      <c r="E984" s="8"/>
      <c r="F984" s="8"/>
    </row>
    <row r="985">
      <c r="A985" s="8"/>
      <c r="B985" s="8"/>
      <c r="C985" s="8"/>
      <c r="D985" s="8"/>
      <c r="E985" s="8"/>
      <c r="F985" s="8"/>
    </row>
    <row r="986">
      <c r="A986" s="8"/>
      <c r="B986" s="8"/>
      <c r="C986" s="8"/>
      <c r="D986" s="8"/>
      <c r="E986" s="8"/>
      <c r="F986" s="8"/>
    </row>
    <row r="987">
      <c r="A987" s="8"/>
      <c r="B987" s="8"/>
      <c r="C987" s="8"/>
      <c r="D987" s="8"/>
      <c r="E987" s="8"/>
      <c r="F987" s="8"/>
    </row>
    <row r="988">
      <c r="A988" s="8"/>
      <c r="B988" s="8"/>
      <c r="C988" s="8"/>
      <c r="D988" s="8"/>
      <c r="E988" s="8"/>
      <c r="F988" s="8"/>
    </row>
    <row r="989">
      <c r="A989" s="8"/>
      <c r="B989" s="8"/>
      <c r="C989" s="8"/>
      <c r="D989" s="8"/>
      <c r="E989" s="8"/>
      <c r="F989" s="8"/>
    </row>
    <row r="990">
      <c r="A990" s="8"/>
      <c r="B990" s="8"/>
      <c r="C990" s="8"/>
      <c r="D990" s="8"/>
      <c r="E990" s="8"/>
      <c r="F990" s="8"/>
    </row>
    <row r="991">
      <c r="A991" s="8"/>
      <c r="B991" s="8"/>
      <c r="C991" s="8"/>
      <c r="D991" s="8"/>
      <c r="E991" s="8"/>
      <c r="F991" s="8"/>
    </row>
    <row r="992">
      <c r="A992" s="8"/>
      <c r="B992" s="8"/>
      <c r="C992" s="8"/>
      <c r="D992" s="8"/>
      <c r="E992" s="8"/>
      <c r="F992" s="8"/>
    </row>
    <row r="993">
      <c r="A993" s="8"/>
      <c r="B993" s="8"/>
      <c r="C993" s="8"/>
      <c r="D993" s="8"/>
      <c r="E993" s="8"/>
      <c r="F993" s="8"/>
    </row>
    <row r="994">
      <c r="A994" s="8"/>
      <c r="B994" s="8"/>
      <c r="C994" s="8"/>
      <c r="D994" s="8"/>
      <c r="E994" s="8"/>
      <c r="F994" s="8"/>
    </row>
    <row r="995">
      <c r="A995" s="8"/>
      <c r="B995" s="8"/>
      <c r="C995" s="8"/>
      <c r="D995" s="8"/>
      <c r="E995" s="8"/>
      <c r="F995" s="8"/>
    </row>
    <row r="996">
      <c r="A996" s="8"/>
      <c r="B996" s="8"/>
      <c r="C996" s="8"/>
      <c r="D996" s="8"/>
      <c r="E996" s="8"/>
      <c r="F996" s="8"/>
    </row>
    <row r="997">
      <c r="A997" s="8"/>
      <c r="B997" s="8"/>
      <c r="C997" s="8"/>
      <c r="D997" s="8"/>
      <c r="E997" s="8"/>
      <c r="F997" s="8"/>
    </row>
    <row r="998">
      <c r="A998" s="8"/>
      <c r="B998" s="8"/>
      <c r="C998" s="8"/>
      <c r="D998" s="8"/>
      <c r="E998" s="8"/>
      <c r="F998" s="8"/>
    </row>
    <row r="999">
      <c r="A999" s="8"/>
      <c r="B999" s="8"/>
      <c r="C999" s="8"/>
      <c r="D999" s="8"/>
      <c r="E999" s="8"/>
      <c r="F999" s="8"/>
    </row>
    <row r="1000">
      <c r="A1000" s="8"/>
      <c r="B1000" s="8"/>
      <c r="C1000" s="8"/>
      <c r="D1000" s="8"/>
      <c r="E1000" s="8"/>
      <c r="F1000" s="8"/>
    </row>
    <row r="1001">
      <c r="A1001" s="8"/>
      <c r="B1001" s="8"/>
      <c r="C1001" s="8"/>
      <c r="D1001" s="8"/>
      <c r="E1001" s="8"/>
      <c r="F1001" s="8"/>
    </row>
    <row r="1002">
      <c r="A1002" s="8"/>
      <c r="B1002" s="8"/>
      <c r="C1002" s="8"/>
      <c r="D1002" s="8"/>
      <c r="E1002" s="8"/>
      <c r="F1002" s="8"/>
    </row>
    <row r="1003">
      <c r="A1003" s="8"/>
      <c r="B1003" s="8"/>
      <c r="C1003" s="8"/>
      <c r="D1003" s="8"/>
      <c r="E1003" s="8"/>
      <c r="F1003" s="8"/>
    </row>
    <row r="1004">
      <c r="A1004" s="8"/>
      <c r="B1004" s="8"/>
      <c r="C1004" s="8"/>
      <c r="D1004" s="8"/>
      <c r="E1004" s="8"/>
      <c r="F1004" s="8"/>
    </row>
    <row r="1005">
      <c r="A1005" s="8"/>
      <c r="B1005" s="8"/>
      <c r="C1005" s="8"/>
      <c r="D1005" s="8"/>
      <c r="E1005" s="8"/>
      <c r="F1005" s="8"/>
    </row>
    <row r="1006">
      <c r="A1006" s="8"/>
      <c r="B1006" s="8"/>
      <c r="C1006" s="8"/>
      <c r="D1006" s="8"/>
      <c r="E1006" s="8"/>
      <c r="F1006" s="8"/>
    </row>
    <row r="1007">
      <c r="A1007" s="8"/>
      <c r="B1007" s="8"/>
      <c r="C1007" s="8"/>
      <c r="D1007" s="8"/>
      <c r="E1007" s="8"/>
      <c r="F1007" s="8"/>
    </row>
    <row r="1008">
      <c r="A1008" s="8"/>
      <c r="B1008" s="8"/>
      <c r="C1008" s="8"/>
      <c r="D1008" s="8"/>
      <c r="E1008" s="8"/>
      <c r="F1008" s="8"/>
    </row>
    <row r="1009">
      <c r="A1009" s="8"/>
      <c r="B1009" s="8"/>
      <c r="C1009" s="8"/>
      <c r="D1009" s="8"/>
      <c r="E1009" s="8"/>
      <c r="F1009" s="8"/>
    </row>
    <row r="1010">
      <c r="A1010" s="8"/>
      <c r="B1010" s="8"/>
      <c r="C1010" s="8"/>
      <c r="D1010" s="8"/>
      <c r="E1010" s="8"/>
      <c r="F1010" s="8"/>
    </row>
    <row r="1011">
      <c r="A1011" s="8"/>
      <c r="B1011" s="8"/>
      <c r="C1011" s="8"/>
      <c r="D1011" s="8"/>
      <c r="E1011" s="8"/>
      <c r="F1011" s="8"/>
    </row>
    <row r="1012">
      <c r="A1012" s="8"/>
      <c r="B1012" s="8"/>
      <c r="C1012" s="8"/>
      <c r="D1012" s="8"/>
      <c r="E1012" s="8"/>
      <c r="F1012" s="8"/>
    </row>
    <row r="1013">
      <c r="A1013" s="8"/>
      <c r="B1013" s="8"/>
      <c r="C1013" s="8"/>
      <c r="D1013" s="8"/>
      <c r="E1013" s="8"/>
      <c r="F1013" s="8"/>
    </row>
    <row r="1014">
      <c r="A1014" s="8"/>
      <c r="B1014" s="8"/>
      <c r="C1014" s="8"/>
      <c r="D1014" s="8"/>
      <c r="E1014" s="8"/>
      <c r="F1014" s="8"/>
    </row>
    <row r="1015">
      <c r="A1015" s="8"/>
      <c r="B1015" s="8"/>
      <c r="C1015" s="8"/>
      <c r="D1015" s="8"/>
      <c r="E1015" s="8"/>
      <c r="F1015" s="8"/>
    </row>
    <row r="1016">
      <c r="A1016" s="8"/>
      <c r="B1016" s="8"/>
      <c r="C1016" s="8"/>
      <c r="D1016" s="8"/>
      <c r="E1016" s="8"/>
      <c r="F1016" s="8"/>
    </row>
    <row r="1017">
      <c r="A1017" s="8"/>
      <c r="B1017" s="8"/>
      <c r="C1017" s="8"/>
      <c r="D1017" s="8"/>
      <c r="E1017" s="8"/>
      <c r="F1017" s="8"/>
    </row>
    <row r="1018">
      <c r="A1018" s="8"/>
      <c r="B1018" s="8"/>
      <c r="C1018" s="8"/>
      <c r="D1018" s="8"/>
      <c r="E1018" s="8"/>
      <c r="F1018" s="8"/>
    </row>
    <row r="1019">
      <c r="A1019" s="8"/>
      <c r="B1019" s="8"/>
      <c r="C1019" s="8"/>
      <c r="D1019" s="8"/>
      <c r="E1019" s="8"/>
      <c r="F1019" s="8"/>
    </row>
    <row r="1020">
      <c r="A1020" s="8"/>
      <c r="B1020" s="8"/>
      <c r="C1020" s="8"/>
      <c r="D1020" s="8"/>
      <c r="E1020" s="8"/>
      <c r="F1020" s="8"/>
    </row>
    <row r="1021">
      <c r="A1021" s="8"/>
      <c r="B1021" s="8"/>
      <c r="C1021" s="8"/>
      <c r="D1021" s="8"/>
      <c r="E1021" s="8"/>
      <c r="F1021" s="8"/>
    </row>
    <row r="1022">
      <c r="A1022" s="8"/>
      <c r="B1022" s="8"/>
      <c r="C1022" s="8"/>
      <c r="D1022" s="8"/>
      <c r="E1022" s="8"/>
      <c r="F1022" s="8"/>
    </row>
    <row r="1023">
      <c r="A1023" s="8"/>
      <c r="B1023" s="8"/>
      <c r="C1023" s="8"/>
      <c r="D1023" s="8"/>
      <c r="E1023" s="8"/>
      <c r="F1023" s="8"/>
    </row>
    <row r="1024">
      <c r="A1024" s="8"/>
      <c r="B1024" s="8"/>
      <c r="C1024" s="8"/>
      <c r="D1024" s="8"/>
      <c r="E1024" s="8"/>
      <c r="F1024" s="8"/>
    </row>
    <row r="1025">
      <c r="A1025" s="8"/>
      <c r="B1025" s="8"/>
      <c r="C1025" s="8"/>
      <c r="D1025" s="8"/>
      <c r="E1025" s="8"/>
      <c r="F1025" s="8"/>
    </row>
    <row r="1026">
      <c r="A1026" s="8"/>
      <c r="B1026" s="8"/>
      <c r="C1026" s="8"/>
      <c r="D1026" s="8"/>
      <c r="E1026" s="8"/>
      <c r="F1026" s="8"/>
    </row>
    <row r="1027">
      <c r="A1027" s="8"/>
      <c r="B1027" s="8"/>
      <c r="C1027" s="8"/>
      <c r="D1027" s="8"/>
      <c r="E1027" s="8"/>
      <c r="F1027" s="8"/>
    </row>
    <row r="1028">
      <c r="A1028" s="8"/>
      <c r="B1028" s="8"/>
      <c r="C1028" s="8"/>
      <c r="D1028" s="8"/>
      <c r="E1028" s="8"/>
      <c r="F1028" s="8"/>
    </row>
    <row r="1029">
      <c r="A1029" s="8"/>
      <c r="B1029" s="8"/>
      <c r="C1029" s="8"/>
      <c r="D1029" s="8"/>
      <c r="E1029" s="8"/>
      <c r="F1029" s="8"/>
    </row>
    <row r="1030">
      <c r="A1030" s="8"/>
      <c r="B1030" s="8"/>
      <c r="C1030" s="8"/>
      <c r="D1030" s="8"/>
      <c r="E1030" s="8"/>
      <c r="F1030" s="8"/>
    </row>
    <row r="1031">
      <c r="A1031" s="8"/>
      <c r="B1031" s="8"/>
      <c r="C1031" s="8"/>
      <c r="D1031" s="8"/>
      <c r="E1031" s="8"/>
      <c r="F1031" s="8"/>
    </row>
    <row r="1032">
      <c r="A1032" s="8"/>
      <c r="B1032" s="8"/>
      <c r="C1032" s="8"/>
      <c r="D1032" s="8"/>
      <c r="E1032" s="8"/>
      <c r="F1032" s="8"/>
    </row>
    <row r="1033">
      <c r="A1033" s="8"/>
      <c r="B1033" s="8"/>
      <c r="C1033" s="8"/>
      <c r="D1033" s="8"/>
      <c r="E1033" s="8"/>
      <c r="F1033" s="8"/>
    </row>
    <row r="1034">
      <c r="A1034" s="8"/>
      <c r="B1034" s="8"/>
      <c r="C1034" s="8"/>
      <c r="D1034" s="8"/>
      <c r="E1034" s="8"/>
      <c r="F1034" s="8"/>
    </row>
    <row r="1035">
      <c r="A1035" s="8"/>
      <c r="B1035" s="8"/>
      <c r="C1035" s="8"/>
      <c r="D1035" s="8"/>
      <c r="E1035" s="8"/>
      <c r="F1035" s="8"/>
    </row>
    <row r="1036">
      <c r="A1036" s="8"/>
      <c r="B1036" s="8"/>
      <c r="C1036" s="8"/>
      <c r="D1036" s="8"/>
      <c r="E1036" s="8"/>
      <c r="F1036" s="8"/>
    </row>
    <row r="1037">
      <c r="A1037" s="8"/>
      <c r="B1037" s="8"/>
      <c r="C1037" s="8"/>
      <c r="D1037" s="8"/>
      <c r="E1037" s="8"/>
      <c r="F1037" s="8"/>
    </row>
    <row r="1038">
      <c r="A1038" s="8"/>
      <c r="B1038" s="8"/>
      <c r="C1038" s="8"/>
      <c r="D1038" s="8"/>
      <c r="E1038" s="8"/>
      <c r="F1038" s="8"/>
    </row>
    <row r="1039">
      <c r="A1039" s="8"/>
      <c r="B1039" s="8"/>
      <c r="C1039" s="8"/>
      <c r="D1039" s="8"/>
      <c r="E1039" s="8"/>
      <c r="F1039" s="8"/>
    </row>
    <row r="1040">
      <c r="A1040" s="8"/>
      <c r="B1040" s="8"/>
      <c r="C1040" s="8"/>
      <c r="D1040" s="8"/>
      <c r="E1040" s="8"/>
      <c r="F1040" s="8"/>
    </row>
    <row r="1041">
      <c r="A1041" s="8"/>
      <c r="B1041" s="8"/>
      <c r="C1041" s="8"/>
      <c r="D1041" s="8"/>
      <c r="E1041" s="8"/>
      <c r="F1041" s="8"/>
    </row>
    <row r="1042">
      <c r="A1042" s="8"/>
      <c r="B1042" s="8"/>
      <c r="C1042" s="8"/>
      <c r="D1042" s="8"/>
      <c r="E1042" s="8"/>
      <c r="F1042" s="8"/>
    </row>
    <row r="1043">
      <c r="A1043" s="8"/>
      <c r="B1043" s="8"/>
      <c r="C1043" s="8"/>
      <c r="D1043" s="8"/>
      <c r="E1043" s="8"/>
      <c r="F1043" s="8"/>
    </row>
    <row r="1044">
      <c r="A1044" s="8"/>
      <c r="B1044" s="8"/>
      <c r="C1044" s="8"/>
      <c r="D1044" s="8"/>
      <c r="E1044" s="8"/>
      <c r="F1044" s="8"/>
    </row>
    <row r="1045">
      <c r="A1045" s="8"/>
      <c r="B1045" s="8"/>
      <c r="C1045" s="8"/>
      <c r="D1045" s="8"/>
      <c r="E1045" s="8"/>
      <c r="F1045" s="8"/>
    </row>
    <row r="1046">
      <c r="A1046" s="8"/>
      <c r="B1046" s="8"/>
      <c r="C1046" s="8"/>
      <c r="D1046" s="8"/>
      <c r="E1046" s="8"/>
      <c r="F1046" s="8"/>
    </row>
    <row r="1047">
      <c r="A1047" s="8"/>
      <c r="B1047" s="8"/>
      <c r="C1047" s="8"/>
      <c r="D1047" s="8"/>
      <c r="E1047" s="8"/>
      <c r="F1047" s="8"/>
    </row>
    <row r="1048">
      <c r="A1048" s="8"/>
      <c r="B1048" s="8"/>
      <c r="C1048" s="8"/>
      <c r="D1048" s="8"/>
      <c r="E1048" s="8"/>
      <c r="F1048" s="8"/>
    </row>
    <row r="1049">
      <c r="A1049" s="8"/>
      <c r="B1049" s="8"/>
      <c r="C1049" s="8"/>
      <c r="D1049" s="8"/>
      <c r="E1049" s="8"/>
      <c r="F1049" s="8"/>
    </row>
    <row r="1050">
      <c r="A1050" s="8"/>
      <c r="B1050" s="8"/>
      <c r="C1050" s="8"/>
      <c r="D1050" s="8"/>
      <c r="E1050" s="8"/>
      <c r="F1050" s="8"/>
    </row>
    <row r="1051">
      <c r="A1051" s="8"/>
      <c r="B1051" s="8"/>
      <c r="C1051" s="8"/>
      <c r="D1051" s="8"/>
      <c r="E1051" s="8"/>
      <c r="F1051" s="8"/>
    </row>
    <row r="1052">
      <c r="A1052" s="8"/>
      <c r="B1052" s="8"/>
      <c r="C1052" s="8"/>
      <c r="D1052" s="8"/>
      <c r="E1052" s="8"/>
      <c r="F1052" s="8"/>
    </row>
    <row r="1053">
      <c r="A1053" s="8"/>
      <c r="B1053" s="8"/>
      <c r="C1053" s="8"/>
      <c r="D1053" s="8"/>
      <c r="E1053" s="8"/>
      <c r="F1053" s="8"/>
    </row>
    <row r="1054">
      <c r="A1054" s="8"/>
      <c r="B1054" s="8"/>
      <c r="C1054" s="8"/>
      <c r="D1054" s="8"/>
      <c r="E1054" s="8"/>
      <c r="F1054" s="8"/>
    </row>
    <row r="1055">
      <c r="A1055" s="8"/>
      <c r="B1055" s="8"/>
      <c r="C1055" s="8"/>
      <c r="D1055" s="8"/>
      <c r="E1055" s="8"/>
      <c r="F1055" s="8"/>
    </row>
    <row r="1056">
      <c r="A1056" s="8"/>
      <c r="B1056" s="8"/>
      <c r="C1056" s="8"/>
      <c r="D1056" s="8"/>
      <c r="E1056" s="8"/>
      <c r="F1056" s="8"/>
    </row>
    <row r="1057">
      <c r="A1057" s="8"/>
      <c r="B1057" s="8"/>
      <c r="C1057" s="8"/>
      <c r="D1057" s="8"/>
      <c r="E1057" s="8"/>
      <c r="F1057" s="8"/>
    </row>
    <row r="1058">
      <c r="A1058" s="8"/>
      <c r="B1058" s="8"/>
      <c r="C1058" s="8"/>
      <c r="D1058" s="8"/>
      <c r="E1058" s="8"/>
      <c r="F1058" s="8"/>
    </row>
    <row r="1059">
      <c r="A1059" s="8"/>
      <c r="B1059" s="8"/>
      <c r="C1059" s="8"/>
      <c r="D1059" s="8"/>
      <c r="E1059" s="8"/>
      <c r="F1059" s="8"/>
    </row>
    <row r="1060">
      <c r="A1060" s="8"/>
      <c r="B1060" s="8"/>
      <c r="C1060" s="8"/>
      <c r="D1060" s="8"/>
      <c r="E1060" s="8"/>
      <c r="F1060" s="8"/>
    </row>
    <row r="1061">
      <c r="A1061" s="8"/>
      <c r="B1061" s="8"/>
      <c r="C1061" s="8"/>
      <c r="D1061" s="8"/>
      <c r="E1061" s="8"/>
      <c r="F1061" s="8"/>
    </row>
    <row r="1062">
      <c r="A1062" s="8"/>
      <c r="B1062" s="8"/>
      <c r="C1062" s="8"/>
      <c r="D1062" s="8"/>
      <c r="E1062" s="8"/>
      <c r="F1062" s="8"/>
    </row>
    <row r="1063">
      <c r="A1063" s="8"/>
      <c r="B1063" s="8"/>
      <c r="C1063" s="8"/>
      <c r="D1063" s="8"/>
      <c r="E1063" s="8"/>
      <c r="F1063" s="8"/>
    </row>
    <row r="1064">
      <c r="A1064" s="8"/>
      <c r="B1064" s="8"/>
      <c r="C1064" s="8"/>
      <c r="D1064" s="8"/>
      <c r="E1064" s="8"/>
      <c r="F1064" s="8"/>
    </row>
    <row r="1065">
      <c r="A1065" s="8"/>
      <c r="B1065" s="8"/>
      <c r="C1065" s="8"/>
      <c r="D1065" s="8"/>
      <c r="E1065" s="8"/>
      <c r="F1065" s="8"/>
    </row>
    <row r="1066">
      <c r="A1066" s="8"/>
      <c r="B1066" s="8"/>
      <c r="C1066" s="8"/>
      <c r="D1066" s="8"/>
      <c r="E1066" s="8"/>
      <c r="F1066" s="8"/>
    </row>
    <row r="1067">
      <c r="A1067" s="8"/>
      <c r="B1067" s="8"/>
      <c r="C1067" s="8"/>
      <c r="D1067" s="8"/>
      <c r="E1067" s="8"/>
      <c r="F1067" s="8"/>
    </row>
    <row r="1068">
      <c r="A1068" s="8"/>
      <c r="B1068" s="8"/>
      <c r="C1068" s="8"/>
      <c r="D1068" s="8"/>
      <c r="E1068" s="8"/>
      <c r="F1068" s="8"/>
    </row>
    <row r="1069">
      <c r="A1069" s="8"/>
      <c r="B1069" s="8"/>
      <c r="C1069" s="8"/>
      <c r="D1069" s="8"/>
      <c r="E1069" s="8"/>
      <c r="F1069" s="8"/>
    </row>
    <row r="1070">
      <c r="A1070" s="8"/>
      <c r="B1070" s="8"/>
      <c r="C1070" s="8"/>
      <c r="D1070" s="8"/>
      <c r="E1070" s="8"/>
      <c r="F1070" s="8"/>
    </row>
    <row r="1071">
      <c r="A1071" s="8"/>
      <c r="B1071" s="8"/>
      <c r="C1071" s="8"/>
      <c r="D1071" s="8"/>
      <c r="E1071" s="8"/>
      <c r="F1071" s="8"/>
    </row>
    <row r="1072">
      <c r="A1072" s="8"/>
      <c r="B1072" s="8"/>
      <c r="C1072" s="8"/>
      <c r="D1072" s="8"/>
      <c r="E1072" s="8"/>
      <c r="F1072" s="8"/>
    </row>
    <row r="1073">
      <c r="A1073" s="8"/>
      <c r="B1073" s="8"/>
      <c r="C1073" s="8"/>
      <c r="D1073" s="8"/>
      <c r="E1073" s="8"/>
      <c r="F1073" s="8"/>
    </row>
    <row r="1074">
      <c r="A1074" s="8"/>
      <c r="B1074" s="8"/>
      <c r="C1074" s="8"/>
      <c r="D1074" s="8"/>
      <c r="E1074" s="8"/>
      <c r="F1074" s="8"/>
    </row>
    <row r="1075">
      <c r="A1075" s="8"/>
      <c r="B1075" s="8"/>
      <c r="C1075" s="8"/>
      <c r="D1075" s="8"/>
      <c r="E1075" s="8"/>
      <c r="F1075" s="8"/>
    </row>
    <row r="1076">
      <c r="A1076" s="8"/>
      <c r="B1076" s="8"/>
      <c r="C1076" s="8"/>
      <c r="D1076" s="8"/>
      <c r="E1076" s="8"/>
      <c r="F1076" s="8"/>
    </row>
    <row r="1077">
      <c r="A1077" s="8"/>
      <c r="B1077" s="8"/>
      <c r="C1077" s="8"/>
      <c r="D1077" s="8"/>
      <c r="E1077" s="8"/>
      <c r="F1077" s="8"/>
    </row>
    <row r="1078">
      <c r="A1078" s="8"/>
      <c r="B1078" s="8"/>
      <c r="C1078" s="8"/>
      <c r="D1078" s="8"/>
      <c r="E1078" s="8"/>
      <c r="F1078" s="8"/>
    </row>
    <row r="1079">
      <c r="A1079" s="8"/>
      <c r="B1079" s="8"/>
      <c r="C1079" s="8"/>
      <c r="D1079" s="8"/>
      <c r="E1079" s="8"/>
      <c r="F1079" s="8"/>
    </row>
    <row r="1080">
      <c r="A1080" s="8"/>
      <c r="B1080" s="8"/>
      <c r="C1080" s="8"/>
      <c r="D1080" s="8"/>
      <c r="E1080" s="8"/>
      <c r="F1080" s="8"/>
    </row>
    <row r="1081">
      <c r="A1081" s="8"/>
      <c r="B1081" s="8"/>
      <c r="C1081" s="8"/>
      <c r="D1081" s="8"/>
      <c r="E1081" s="8"/>
      <c r="F1081" s="8"/>
    </row>
    <row r="1082">
      <c r="A1082" s="8"/>
      <c r="B1082" s="8"/>
      <c r="C1082" s="8"/>
      <c r="D1082" s="8"/>
      <c r="E1082" s="8"/>
      <c r="F1082" s="8"/>
    </row>
    <row r="1083">
      <c r="A1083" s="8"/>
      <c r="B1083" s="8"/>
      <c r="C1083" s="8"/>
      <c r="D1083" s="8"/>
      <c r="E1083" s="8"/>
      <c r="F1083" s="8"/>
    </row>
    <row r="1084">
      <c r="A1084" s="8"/>
      <c r="B1084" s="8"/>
      <c r="C1084" s="8"/>
      <c r="D1084" s="8"/>
      <c r="E1084" s="8"/>
      <c r="F1084" s="8"/>
    </row>
    <row r="1085">
      <c r="A1085" s="8"/>
      <c r="B1085" s="8"/>
      <c r="C1085" s="8"/>
      <c r="D1085" s="8"/>
      <c r="E1085" s="8"/>
      <c r="F1085" s="8"/>
    </row>
    <row r="1086">
      <c r="A1086" s="8"/>
      <c r="B1086" s="8"/>
      <c r="C1086" s="8"/>
      <c r="D1086" s="8"/>
      <c r="E1086" s="8"/>
      <c r="F1086" s="8"/>
    </row>
    <row r="1087">
      <c r="A1087" s="8"/>
      <c r="B1087" s="8"/>
      <c r="C1087" s="8"/>
      <c r="D1087" s="8"/>
      <c r="E1087" s="8"/>
      <c r="F1087" s="8"/>
    </row>
    <row r="1088">
      <c r="A1088" s="8"/>
      <c r="B1088" s="8"/>
      <c r="C1088" s="8"/>
      <c r="D1088" s="8"/>
      <c r="E1088" s="8"/>
      <c r="F1088" s="8"/>
    </row>
    <row r="1089">
      <c r="A1089" s="8"/>
      <c r="B1089" s="8"/>
      <c r="C1089" s="8"/>
      <c r="D1089" s="8"/>
      <c r="E1089" s="8"/>
      <c r="F1089" s="8"/>
    </row>
    <row r="1090">
      <c r="A1090" s="8"/>
      <c r="B1090" s="8"/>
      <c r="C1090" s="8"/>
      <c r="D1090" s="8"/>
      <c r="E1090" s="8"/>
      <c r="F1090" s="8"/>
    </row>
    <row r="1091">
      <c r="A1091" s="8"/>
      <c r="B1091" s="8"/>
      <c r="C1091" s="8"/>
      <c r="D1091" s="8"/>
      <c r="E1091" s="8"/>
      <c r="F1091" s="8"/>
    </row>
    <row r="1092">
      <c r="A1092" s="8"/>
      <c r="B1092" s="8"/>
      <c r="C1092" s="8"/>
      <c r="D1092" s="8"/>
      <c r="E1092" s="8"/>
      <c r="F1092" s="8"/>
    </row>
    <row r="1093">
      <c r="A1093" s="8"/>
      <c r="B1093" s="8"/>
      <c r="C1093" s="8"/>
      <c r="D1093" s="8"/>
      <c r="E1093" s="8"/>
      <c r="F1093" s="8"/>
    </row>
    <row r="1094">
      <c r="A1094" s="8"/>
      <c r="B1094" s="8"/>
      <c r="C1094" s="8"/>
      <c r="D1094" s="8"/>
      <c r="E1094" s="8"/>
      <c r="F1094" s="8"/>
    </row>
    <row r="1095">
      <c r="A1095" s="8"/>
      <c r="B1095" s="8"/>
      <c r="C1095" s="8"/>
      <c r="D1095" s="8"/>
      <c r="E1095" s="8"/>
      <c r="F1095" s="8"/>
    </row>
    <row r="1096">
      <c r="A1096" s="8"/>
      <c r="B1096" s="8"/>
      <c r="C1096" s="8"/>
      <c r="D1096" s="8"/>
      <c r="E1096" s="8"/>
      <c r="F1096" s="8"/>
    </row>
    <row r="1097">
      <c r="A1097" s="8"/>
      <c r="B1097" s="8"/>
      <c r="C1097" s="8"/>
      <c r="D1097" s="8"/>
      <c r="E1097" s="8"/>
      <c r="F1097" s="8"/>
    </row>
    <row r="1098">
      <c r="A1098" s="8"/>
      <c r="B1098" s="8"/>
      <c r="C1098" s="8"/>
      <c r="D1098" s="8"/>
      <c r="E1098" s="8"/>
      <c r="F1098" s="8"/>
    </row>
    <row r="1099">
      <c r="A1099" s="8"/>
      <c r="B1099" s="8"/>
      <c r="C1099" s="8"/>
      <c r="D1099" s="8"/>
      <c r="E1099" s="8"/>
      <c r="F1099" s="8"/>
    </row>
    <row r="1100">
      <c r="A1100" s="8"/>
      <c r="B1100" s="8"/>
      <c r="C1100" s="8"/>
      <c r="D1100" s="8"/>
      <c r="E1100" s="8"/>
      <c r="F1100" s="8"/>
    </row>
    <row r="1101">
      <c r="A1101" s="8"/>
      <c r="B1101" s="8"/>
      <c r="C1101" s="8"/>
      <c r="D1101" s="8"/>
      <c r="E1101" s="8"/>
      <c r="F1101" s="8"/>
    </row>
    <row r="1102">
      <c r="A1102" s="8"/>
      <c r="B1102" s="8"/>
      <c r="C1102" s="8"/>
      <c r="D1102" s="8"/>
      <c r="E1102" s="8"/>
      <c r="F1102" s="8"/>
    </row>
    <row r="1103">
      <c r="A1103" s="8"/>
      <c r="B1103" s="8"/>
      <c r="C1103" s="8"/>
      <c r="D1103" s="8"/>
      <c r="E1103" s="8"/>
      <c r="F1103" s="8"/>
    </row>
    <row r="1104">
      <c r="A1104" s="8"/>
      <c r="B1104" s="8"/>
      <c r="C1104" s="8"/>
      <c r="D1104" s="8"/>
      <c r="E1104" s="8"/>
      <c r="F1104" s="8"/>
    </row>
    <row r="1105">
      <c r="A1105" s="8"/>
      <c r="B1105" s="8"/>
      <c r="C1105" s="8"/>
      <c r="D1105" s="8"/>
      <c r="E1105" s="8"/>
      <c r="F1105" s="8"/>
    </row>
    <row r="1106">
      <c r="A1106" s="8"/>
      <c r="B1106" s="8"/>
      <c r="C1106" s="8"/>
      <c r="D1106" s="8"/>
      <c r="E1106" s="8"/>
      <c r="F1106" s="8"/>
    </row>
    <row r="1107">
      <c r="A1107" s="8"/>
      <c r="B1107" s="8"/>
      <c r="C1107" s="8"/>
      <c r="D1107" s="8"/>
      <c r="E1107" s="8"/>
      <c r="F1107" s="8"/>
    </row>
    <row r="1108">
      <c r="A1108" s="8"/>
      <c r="B1108" s="8"/>
      <c r="C1108" s="8"/>
      <c r="D1108" s="8"/>
      <c r="E1108" s="8"/>
      <c r="F1108" s="8"/>
    </row>
    <row r="1109">
      <c r="A1109" s="8"/>
      <c r="B1109" s="8"/>
      <c r="C1109" s="8"/>
      <c r="D1109" s="8"/>
      <c r="E1109" s="8"/>
      <c r="F1109" s="8"/>
    </row>
    <row r="1110">
      <c r="A1110" s="8"/>
      <c r="B1110" s="8"/>
      <c r="C1110" s="8"/>
      <c r="D1110" s="8"/>
      <c r="E1110" s="8"/>
      <c r="F1110" s="8"/>
    </row>
    <row r="1111">
      <c r="A1111" s="8"/>
      <c r="B1111" s="8"/>
      <c r="C1111" s="8"/>
      <c r="D1111" s="8"/>
      <c r="E1111" s="8"/>
      <c r="F1111" s="8"/>
    </row>
    <row r="1112">
      <c r="A1112" s="8"/>
      <c r="B1112" s="8"/>
      <c r="C1112" s="8"/>
      <c r="D1112" s="8"/>
      <c r="E1112" s="8"/>
      <c r="F1112" s="8"/>
    </row>
    <row r="1113">
      <c r="A1113" s="8"/>
      <c r="B1113" s="8"/>
      <c r="C1113" s="8"/>
      <c r="D1113" s="8"/>
      <c r="E1113" s="8"/>
      <c r="F1113" s="8"/>
    </row>
    <row r="1114">
      <c r="A1114" s="8"/>
      <c r="B1114" s="8"/>
      <c r="C1114" s="8"/>
      <c r="D1114" s="8"/>
      <c r="E1114" s="8"/>
      <c r="F1114" s="8"/>
    </row>
    <row r="1115">
      <c r="A1115" s="8"/>
      <c r="B1115" s="8"/>
      <c r="C1115" s="8"/>
      <c r="D1115" s="8"/>
      <c r="E1115" s="8"/>
      <c r="F1115" s="8"/>
    </row>
    <row r="1116">
      <c r="A1116" s="8"/>
      <c r="B1116" s="8"/>
      <c r="C1116" s="8"/>
      <c r="D1116" s="8"/>
      <c r="E1116" s="8"/>
      <c r="F1116" s="8"/>
    </row>
    <row r="1117">
      <c r="A1117" s="8"/>
      <c r="B1117" s="8"/>
      <c r="C1117" s="8"/>
      <c r="D1117" s="8"/>
      <c r="E1117" s="8"/>
      <c r="F1117" s="8"/>
    </row>
    <row r="1118">
      <c r="A1118" s="8"/>
      <c r="B1118" s="8"/>
      <c r="C1118" s="8"/>
      <c r="D1118" s="8"/>
      <c r="E1118" s="8"/>
      <c r="F1118" s="8"/>
    </row>
    <row r="1119">
      <c r="A1119" s="8"/>
      <c r="B1119" s="8"/>
      <c r="C1119" s="8"/>
      <c r="D1119" s="8"/>
      <c r="E1119" s="8"/>
      <c r="F1119" s="8"/>
    </row>
    <row r="1120">
      <c r="A1120" s="8"/>
      <c r="B1120" s="8"/>
      <c r="C1120" s="8"/>
      <c r="D1120" s="8"/>
      <c r="E1120" s="8"/>
      <c r="F1120" s="8"/>
    </row>
    <row r="1121">
      <c r="A1121" s="8"/>
      <c r="B1121" s="8"/>
      <c r="C1121" s="8"/>
      <c r="D1121" s="8"/>
      <c r="E1121" s="8"/>
      <c r="F1121" s="8"/>
    </row>
    <row r="1122">
      <c r="A1122" s="8"/>
      <c r="B1122" s="8"/>
      <c r="C1122" s="8"/>
      <c r="D1122" s="8"/>
      <c r="E1122" s="8"/>
      <c r="F1122" s="8"/>
    </row>
    <row r="1123">
      <c r="A1123" s="8"/>
      <c r="B1123" s="8"/>
      <c r="C1123" s="8"/>
      <c r="D1123" s="8"/>
      <c r="E1123" s="8"/>
      <c r="F1123" s="8"/>
    </row>
    <row r="1124">
      <c r="A1124" s="8"/>
      <c r="B1124" s="8"/>
      <c r="C1124" s="8"/>
      <c r="D1124" s="8"/>
      <c r="E1124" s="8"/>
      <c r="F1124" s="8"/>
    </row>
    <row r="1125">
      <c r="A1125" s="8"/>
      <c r="B1125" s="8"/>
      <c r="C1125" s="8"/>
      <c r="D1125" s="8"/>
      <c r="E1125" s="8"/>
      <c r="F1125" s="8"/>
    </row>
    <row r="1126">
      <c r="A1126" s="8"/>
      <c r="B1126" s="8"/>
      <c r="C1126" s="8"/>
      <c r="D1126" s="8"/>
      <c r="E1126" s="8"/>
      <c r="F1126" s="8"/>
    </row>
    <row r="1127">
      <c r="A1127" s="8"/>
      <c r="B1127" s="8"/>
      <c r="C1127" s="8"/>
      <c r="D1127" s="8"/>
      <c r="E1127" s="8"/>
      <c r="F1127" s="8"/>
    </row>
    <row r="1128">
      <c r="A1128" s="8"/>
      <c r="B1128" s="8"/>
      <c r="C1128" s="8"/>
      <c r="D1128" s="8"/>
      <c r="E1128" s="8"/>
      <c r="F1128" s="8"/>
    </row>
    <row r="1129">
      <c r="A1129" s="8"/>
      <c r="B1129" s="8"/>
      <c r="C1129" s="8"/>
      <c r="D1129" s="8"/>
      <c r="E1129" s="8"/>
      <c r="F1129" s="8"/>
    </row>
    <row r="1130">
      <c r="A1130" s="8"/>
      <c r="B1130" s="8"/>
      <c r="C1130" s="8"/>
      <c r="D1130" s="8"/>
      <c r="E1130" s="8"/>
      <c r="F1130" s="8"/>
    </row>
    <row r="1131">
      <c r="A1131" s="8"/>
      <c r="B1131" s="8"/>
      <c r="C1131" s="8"/>
      <c r="D1131" s="8"/>
      <c r="E1131" s="8"/>
      <c r="F1131" s="8"/>
    </row>
    <row r="1132">
      <c r="A1132" s="8"/>
      <c r="B1132" s="8"/>
      <c r="C1132" s="8"/>
      <c r="D1132" s="8"/>
      <c r="E1132" s="8"/>
      <c r="F1132" s="8"/>
    </row>
    <row r="1133">
      <c r="A1133" s="8"/>
      <c r="B1133" s="8"/>
      <c r="C1133" s="8"/>
      <c r="D1133" s="8"/>
      <c r="E1133" s="8"/>
      <c r="F1133" s="8"/>
    </row>
    <row r="1134">
      <c r="A1134" s="8"/>
      <c r="B1134" s="8"/>
      <c r="C1134" s="8"/>
      <c r="D1134" s="8"/>
      <c r="E1134" s="8"/>
      <c r="F1134" s="8"/>
    </row>
    <row r="1135">
      <c r="A1135" s="8"/>
      <c r="B1135" s="8"/>
      <c r="C1135" s="8"/>
      <c r="D1135" s="8"/>
      <c r="E1135" s="8"/>
      <c r="F1135" s="8"/>
    </row>
    <row r="1136">
      <c r="A1136" s="8"/>
      <c r="B1136" s="8"/>
      <c r="C1136" s="8"/>
      <c r="D1136" s="8"/>
      <c r="E1136" s="8"/>
      <c r="F1136" s="8"/>
    </row>
    <row r="1137">
      <c r="A1137" s="8"/>
      <c r="B1137" s="8"/>
      <c r="C1137" s="8"/>
      <c r="D1137" s="8"/>
      <c r="E1137" s="8"/>
      <c r="F1137" s="8"/>
    </row>
    <row r="1138">
      <c r="A1138" s="8"/>
      <c r="B1138" s="8"/>
      <c r="C1138" s="8"/>
      <c r="D1138" s="8"/>
      <c r="E1138" s="8"/>
      <c r="F1138" s="8"/>
    </row>
    <row r="1139">
      <c r="A1139" s="8"/>
      <c r="B1139" s="8"/>
      <c r="C1139" s="8"/>
      <c r="D1139" s="8"/>
      <c r="E1139" s="8"/>
      <c r="F1139" s="8"/>
    </row>
    <row r="1140">
      <c r="A1140" s="8"/>
      <c r="B1140" s="8"/>
      <c r="C1140" s="8"/>
      <c r="D1140" s="8"/>
      <c r="E1140" s="8"/>
      <c r="F1140" s="8"/>
    </row>
    <row r="1141">
      <c r="A1141" s="8"/>
      <c r="B1141" s="8"/>
      <c r="C1141" s="8"/>
      <c r="D1141" s="8"/>
      <c r="E1141" s="8"/>
      <c r="F1141" s="8"/>
    </row>
    <row r="1142">
      <c r="A1142" s="8"/>
      <c r="B1142" s="8"/>
      <c r="C1142" s="8"/>
      <c r="D1142" s="8"/>
      <c r="E1142" s="8"/>
      <c r="F1142" s="8"/>
    </row>
    <row r="1143">
      <c r="A1143" s="8"/>
      <c r="B1143" s="8"/>
      <c r="C1143" s="8"/>
      <c r="D1143" s="8"/>
      <c r="E1143" s="8"/>
      <c r="F1143" s="8"/>
    </row>
    <row r="1144">
      <c r="A1144" s="8"/>
      <c r="B1144" s="8"/>
      <c r="C1144" s="8"/>
      <c r="D1144" s="8"/>
      <c r="E1144" s="8"/>
      <c r="F1144" s="8"/>
    </row>
    <row r="1145">
      <c r="A1145" s="8"/>
      <c r="B1145" s="8"/>
      <c r="C1145" s="8"/>
      <c r="D1145" s="8"/>
      <c r="E1145" s="8"/>
      <c r="F1145" s="8"/>
    </row>
    <row r="1146">
      <c r="A1146" s="8"/>
      <c r="B1146" s="8"/>
      <c r="C1146" s="8"/>
      <c r="D1146" s="8"/>
      <c r="E1146" s="8"/>
      <c r="F1146" s="8"/>
    </row>
    <row r="1147">
      <c r="A1147" s="8"/>
      <c r="B1147" s="8"/>
      <c r="C1147" s="8"/>
      <c r="D1147" s="8"/>
      <c r="E1147" s="8"/>
      <c r="F1147" s="8"/>
    </row>
    <row r="1148">
      <c r="A1148" s="8"/>
      <c r="B1148" s="8"/>
      <c r="C1148" s="8"/>
      <c r="D1148" s="8"/>
      <c r="E1148" s="8"/>
      <c r="F1148" s="8"/>
    </row>
    <row r="1149">
      <c r="A1149" s="8"/>
      <c r="B1149" s="8"/>
      <c r="C1149" s="8"/>
      <c r="D1149" s="8"/>
      <c r="E1149" s="8"/>
      <c r="F1149" s="8"/>
    </row>
    <row r="1150">
      <c r="A1150" s="8"/>
      <c r="B1150" s="8"/>
      <c r="C1150" s="8"/>
      <c r="D1150" s="8"/>
      <c r="E1150" s="8"/>
      <c r="F1150" s="8"/>
    </row>
    <row r="1151">
      <c r="A1151" s="8"/>
      <c r="B1151" s="8"/>
      <c r="C1151" s="8"/>
      <c r="D1151" s="8"/>
      <c r="E1151" s="8"/>
      <c r="F1151" s="8"/>
    </row>
    <row r="1152">
      <c r="A1152" s="8"/>
      <c r="B1152" s="8"/>
      <c r="C1152" s="8"/>
      <c r="D1152" s="8"/>
      <c r="E1152" s="8"/>
      <c r="F1152" s="8"/>
    </row>
    <row r="1153">
      <c r="A1153" s="8"/>
      <c r="B1153" s="8"/>
      <c r="C1153" s="8"/>
      <c r="D1153" s="8"/>
      <c r="E1153" s="8"/>
      <c r="F1153" s="8"/>
    </row>
    <row r="1154">
      <c r="A1154" s="8"/>
      <c r="B1154" s="8"/>
      <c r="C1154" s="8"/>
      <c r="D1154" s="8"/>
      <c r="E1154" s="8"/>
      <c r="F1154" s="8"/>
    </row>
    <row r="1155">
      <c r="A1155" s="8"/>
      <c r="B1155" s="8"/>
      <c r="C1155" s="8"/>
      <c r="D1155" s="8"/>
      <c r="E1155" s="8"/>
      <c r="F1155" s="8"/>
    </row>
    <row r="1156">
      <c r="A1156" s="8"/>
      <c r="B1156" s="8"/>
      <c r="C1156" s="8"/>
      <c r="D1156" s="8"/>
      <c r="E1156" s="8"/>
      <c r="F1156" s="8"/>
    </row>
    <row r="1157">
      <c r="A1157" s="8"/>
      <c r="B1157" s="8"/>
      <c r="C1157" s="8"/>
      <c r="D1157" s="8"/>
      <c r="E1157" s="8"/>
      <c r="F1157" s="8"/>
    </row>
    <row r="1158">
      <c r="A1158" s="8"/>
      <c r="B1158" s="8"/>
      <c r="C1158" s="8"/>
      <c r="D1158" s="8"/>
      <c r="E1158" s="8"/>
      <c r="F1158" s="8"/>
    </row>
    <row r="1159">
      <c r="A1159" s="8"/>
      <c r="B1159" s="8"/>
      <c r="C1159" s="8"/>
      <c r="D1159" s="8"/>
      <c r="E1159" s="8"/>
      <c r="F1159" s="8"/>
    </row>
    <row r="1160">
      <c r="A1160" s="8"/>
      <c r="B1160" s="8"/>
      <c r="C1160" s="8"/>
      <c r="D1160" s="8"/>
      <c r="E1160" s="8"/>
      <c r="F1160" s="8"/>
    </row>
    <row r="1161">
      <c r="A1161" s="8"/>
      <c r="B1161" s="8"/>
      <c r="C1161" s="8"/>
      <c r="D1161" s="8"/>
      <c r="E1161" s="8"/>
      <c r="F1161" s="8"/>
    </row>
    <row r="1162">
      <c r="A1162" s="8"/>
      <c r="B1162" s="8"/>
      <c r="C1162" s="8"/>
      <c r="D1162" s="8"/>
      <c r="E1162" s="8"/>
      <c r="F1162" s="8"/>
    </row>
    <row r="1163">
      <c r="A1163" s="8"/>
      <c r="B1163" s="8"/>
      <c r="C1163" s="8"/>
      <c r="D1163" s="8"/>
      <c r="E1163" s="8"/>
      <c r="F1163" s="8"/>
    </row>
    <row r="1164">
      <c r="A1164" s="8"/>
      <c r="B1164" s="8"/>
      <c r="C1164" s="8"/>
      <c r="D1164" s="8"/>
      <c r="E1164" s="8"/>
      <c r="F1164" s="8"/>
    </row>
    <row r="1165">
      <c r="A1165" s="8"/>
      <c r="B1165" s="8"/>
      <c r="C1165" s="8"/>
      <c r="D1165" s="8"/>
      <c r="E1165" s="8"/>
      <c r="F1165" s="8"/>
    </row>
    <row r="1166">
      <c r="A1166" s="8"/>
      <c r="B1166" s="8"/>
      <c r="C1166" s="8"/>
      <c r="D1166" s="8"/>
      <c r="E1166" s="8"/>
      <c r="F1166" s="8"/>
    </row>
    <row r="1167">
      <c r="A1167" s="8"/>
      <c r="B1167" s="8"/>
      <c r="C1167" s="8"/>
      <c r="D1167" s="8"/>
      <c r="E1167" s="8"/>
      <c r="F1167" s="8"/>
    </row>
    <row r="1168">
      <c r="A1168" s="8"/>
      <c r="B1168" s="8"/>
      <c r="C1168" s="8"/>
      <c r="D1168" s="8"/>
      <c r="E1168" s="8"/>
      <c r="F1168" s="8"/>
    </row>
    <row r="1169">
      <c r="A1169" s="8"/>
      <c r="B1169" s="8"/>
      <c r="C1169" s="8"/>
      <c r="D1169" s="8"/>
      <c r="E1169" s="8"/>
      <c r="F1169" s="8"/>
    </row>
    <row r="1170">
      <c r="A1170" s="8"/>
      <c r="B1170" s="8"/>
      <c r="C1170" s="8"/>
      <c r="D1170" s="8"/>
      <c r="E1170" s="8"/>
      <c r="F1170" s="8"/>
    </row>
    <row r="1171">
      <c r="A1171" s="8"/>
      <c r="B1171" s="8"/>
      <c r="C1171" s="8"/>
      <c r="D1171" s="8"/>
      <c r="E1171" s="8"/>
      <c r="F1171" s="8"/>
    </row>
    <row r="1172">
      <c r="A1172" s="8"/>
      <c r="B1172" s="8"/>
      <c r="C1172" s="8"/>
      <c r="D1172" s="8"/>
      <c r="E1172" s="8"/>
      <c r="F1172" s="8"/>
    </row>
    <row r="1173">
      <c r="A1173" s="8"/>
      <c r="B1173" s="8"/>
      <c r="C1173" s="8"/>
      <c r="D1173" s="8"/>
      <c r="E1173" s="8"/>
      <c r="F1173" s="8"/>
    </row>
    <row r="1174">
      <c r="A1174" s="8"/>
      <c r="B1174" s="8"/>
      <c r="C1174" s="8"/>
      <c r="D1174" s="8"/>
      <c r="E1174" s="8"/>
      <c r="F1174" s="8"/>
    </row>
    <row r="1175">
      <c r="A1175" s="8"/>
      <c r="B1175" s="8"/>
      <c r="C1175" s="8"/>
      <c r="D1175" s="8"/>
      <c r="E1175" s="8"/>
      <c r="F1175" s="8"/>
    </row>
    <row r="1176">
      <c r="A1176" s="8"/>
      <c r="B1176" s="8"/>
      <c r="C1176" s="8"/>
      <c r="D1176" s="8"/>
      <c r="E1176" s="8"/>
      <c r="F1176" s="8"/>
    </row>
    <row r="1177">
      <c r="A1177" s="8"/>
      <c r="B1177" s="8"/>
      <c r="C1177" s="8"/>
      <c r="D1177" s="8"/>
      <c r="E1177" s="8"/>
      <c r="F1177" s="8"/>
    </row>
    <row r="1178">
      <c r="A1178" s="8"/>
      <c r="B1178" s="8"/>
      <c r="C1178" s="8"/>
      <c r="D1178" s="8"/>
      <c r="E1178" s="8"/>
      <c r="F1178" s="8"/>
    </row>
    <row r="1179">
      <c r="A1179" s="8"/>
      <c r="B1179" s="8"/>
      <c r="C1179" s="8"/>
      <c r="D1179" s="8"/>
      <c r="E1179" s="8"/>
      <c r="F1179" s="8"/>
    </row>
    <row r="1180">
      <c r="A1180" s="8"/>
      <c r="B1180" s="8"/>
      <c r="C1180" s="8"/>
      <c r="D1180" s="8"/>
      <c r="E1180" s="8"/>
      <c r="F1180" s="8"/>
    </row>
    <row r="1181">
      <c r="A1181" s="8"/>
      <c r="B1181" s="8"/>
      <c r="C1181" s="8"/>
      <c r="D1181" s="8"/>
      <c r="E1181" s="8"/>
      <c r="F1181" s="8"/>
    </row>
    <row r="1182">
      <c r="A1182" s="8"/>
      <c r="B1182" s="8"/>
      <c r="C1182" s="8"/>
      <c r="D1182" s="8"/>
      <c r="E1182" s="8"/>
      <c r="F1182" s="8"/>
    </row>
    <row r="1183">
      <c r="A1183" s="8"/>
      <c r="B1183" s="8"/>
      <c r="C1183" s="8"/>
      <c r="D1183" s="8"/>
      <c r="E1183" s="8"/>
      <c r="F1183" s="8"/>
    </row>
    <row r="1184">
      <c r="A1184" s="8"/>
      <c r="B1184" s="8"/>
      <c r="C1184" s="8"/>
      <c r="D1184" s="8"/>
      <c r="E1184" s="8"/>
      <c r="F1184" s="8"/>
    </row>
    <row r="1185">
      <c r="A1185" s="8"/>
      <c r="B1185" s="8"/>
      <c r="C1185" s="8"/>
      <c r="D1185" s="8"/>
      <c r="E1185" s="8"/>
      <c r="F1185" s="8"/>
    </row>
    <row r="1186">
      <c r="A1186" s="8"/>
      <c r="B1186" s="8"/>
      <c r="C1186" s="8"/>
      <c r="D1186" s="8"/>
      <c r="E1186" s="8"/>
      <c r="F1186" s="8"/>
    </row>
    <row r="1187">
      <c r="A1187" s="8"/>
      <c r="B1187" s="8"/>
      <c r="C1187" s="8"/>
      <c r="D1187" s="8"/>
      <c r="E1187" s="8"/>
      <c r="F1187" s="8"/>
    </row>
    <row r="1188">
      <c r="A1188" s="8"/>
      <c r="B1188" s="8"/>
      <c r="C1188" s="8"/>
      <c r="D1188" s="8"/>
      <c r="E1188" s="8"/>
      <c r="F1188" s="8"/>
    </row>
    <row r="1189">
      <c r="A1189" s="8"/>
      <c r="B1189" s="8"/>
      <c r="C1189" s="8"/>
      <c r="D1189" s="8"/>
      <c r="E1189" s="8"/>
      <c r="F1189" s="8"/>
    </row>
    <row r="1190">
      <c r="A1190" s="8"/>
      <c r="B1190" s="8"/>
      <c r="C1190" s="8"/>
      <c r="D1190" s="8"/>
      <c r="E1190" s="8"/>
      <c r="F1190" s="8"/>
    </row>
    <row r="1191">
      <c r="A1191" s="8"/>
      <c r="B1191" s="8"/>
      <c r="C1191" s="8"/>
      <c r="D1191" s="8"/>
      <c r="E1191" s="8"/>
      <c r="F1191" s="8"/>
    </row>
    <row r="1192">
      <c r="A1192" s="8"/>
      <c r="B1192" s="8"/>
      <c r="C1192" s="8"/>
      <c r="D1192" s="8"/>
      <c r="E1192" s="8"/>
      <c r="F1192" s="8"/>
    </row>
    <row r="1193">
      <c r="A1193" s="8"/>
      <c r="B1193" s="8"/>
      <c r="C1193" s="8"/>
      <c r="D1193" s="8"/>
      <c r="E1193" s="8"/>
      <c r="F1193" s="8"/>
    </row>
    <row r="1194">
      <c r="A1194" s="8"/>
      <c r="B1194" s="8"/>
      <c r="C1194" s="8"/>
      <c r="D1194" s="8"/>
      <c r="E1194" s="8"/>
      <c r="F1194" s="8"/>
    </row>
    <row r="1195">
      <c r="A1195" s="8"/>
      <c r="B1195" s="8"/>
      <c r="C1195" s="8"/>
      <c r="D1195" s="8"/>
      <c r="E1195" s="8"/>
      <c r="F1195" s="8"/>
    </row>
    <row r="1196">
      <c r="A1196" s="8"/>
      <c r="B1196" s="8"/>
      <c r="C1196" s="8"/>
      <c r="D1196" s="8"/>
      <c r="E1196" s="8"/>
      <c r="F1196" s="8"/>
    </row>
    <row r="1197">
      <c r="A1197" s="8"/>
      <c r="B1197" s="8"/>
      <c r="C1197" s="8"/>
      <c r="D1197" s="8"/>
      <c r="E1197" s="8"/>
      <c r="F1197" s="8"/>
    </row>
    <row r="1198">
      <c r="A1198" s="8"/>
      <c r="B1198" s="8"/>
      <c r="C1198" s="8"/>
      <c r="D1198" s="8"/>
      <c r="E1198" s="8"/>
      <c r="F1198" s="8"/>
    </row>
    <row r="1199">
      <c r="A1199" s="8"/>
      <c r="B1199" s="8"/>
      <c r="C1199" s="8"/>
      <c r="D1199" s="8"/>
      <c r="E1199" s="8"/>
      <c r="F1199" s="8"/>
    </row>
    <row r="1200">
      <c r="A1200" s="8"/>
      <c r="B1200" s="8"/>
      <c r="C1200" s="8"/>
      <c r="D1200" s="8"/>
      <c r="E1200" s="8"/>
      <c r="F1200" s="8"/>
    </row>
    <row r="1201">
      <c r="A1201" s="8"/>
      <c r="B1201" s="8"/>
      <c r="C1201" s="8"/>
      <c r="D1201" s="8"/>
      <c r="E1201" s="8"/>
      <c r="F1201" s="8"/>
    </row>
    <row r="1202">
      <c r="A1202" s="8"/>
      <c r="B1202" s="8"/>
      <c r="C1202" s="8"/>
      <c r="D1202" s="8"/>
      <c r="E1202" s="8"/>
      <c r="F1202" s="8"/>
    </row>
    <row r="1203">
      <c r="A1203" s="8"/>
      <c r="B1203" s="8"/>
      <c r="C1203" s="8"/>
      <c r="D1203" s="8"/>
      <c r="E1203" s="8"/>
      <c r="F1203" s="8"/>
    </row>
    <row r="1204">
      <c r="A1204" s="8"/>
      <c r="B1204" s="8"/>
      <c r="C1204" s="8"/>
      <c r="D1204" s="8"/>
      <c r="E1204" s="8"/>
      <c r="F1204" s="8"/>
    </row>
    <row r="1205">
      <c r="A1205" s="8"/>
      <c r="B1205" s="8"/>
      <c r="C1205" s="8"/>
      <c r="D1205" s="8"/>
      <c r="E1205" s="8"/>
      <c r="F1205" s="8"/>
    </row>
    <row r="1206">
      <c r="A1206" s="8"/>
      <c r="B1206" s="8"/>
      <c r="C1206" s="8"/>
      <c r="D1206" s="8"/>
      <c r="E1206" s="8"/>
      <c r="F1206" s="8"/>
    </row>
    <row r="1207">
      <c r="A1207" s="8"/>
      <c r="B1207" s="8"/>
      <c r="C1207" s="8"/>
      <c r="D1207" s="8"/>
      <c r="E1207" s="8"/>
      <c r="F1207" s="8"/>
    </row>
    <row r="1208">
      <c r="A1208" s="8"/>
      <c r="B1208" s="8"/>
      <c r="C1208" s="8"/>
      <c r="D1208" s="8"/>
      <c r="E1208" s="8"/>
      <c r="F1208" s="8"/>
    </row>
    <row r="1209">
      <c r="A1209" s="8"/>
      <c r="B1209" s="8"/>
      <c r="C1209" s="8"/>
      <c r="D1209" s="8"/>
      <c r="E1209" s="8"/>
      <c r="F1209" s="8"/>
    </row>
    <row r="1210">
      <c r="A1210" s="8"/>
      <c r="B1210" s="8"/>
      <c r="C1210" s="8"/>
      <c r="D1210" s="8"/>
      <c r="E1210" s="8"/>
      <c r="F1210" s="8"/>
    </row>
    <row r="1211">
      <c r="A1211" s="8"/>
      <c r="B1211" s="8"/>
      <c r="C1211" s="8"/>
      <c r="D1211" s="8"/>
      <c r="E1211" s="8"/>
      <c r="F1211" s="8"/>
    </row>
    <row r="1212">
      <c r="A1212" s="8"/>
      <c r="B1212" s="8"/>
      <c r="C1212" s="8"/>
      <c r="D1212" s="8"/>
      <c r="E1212" s="8"/>
      <c r="F1212" s="8"/>
    </row>
    <row r="1213">
      <c r="A1213" s="8"/>
      <c r="B1213" s="8"/>
      <c r="C1213" s="8"/>
      <c r="D1213" s="8"/>
      <c r="E1213" s="8"/>
      <c r="F1213" s="8"/>
    </row>
    <row r="1214">
      <c r="A1214" s="8"/>
      <c r="B1214" s="8"/>
      <c r="C1214" s="8"/>
      <c r="D1214" s="8"/>
      <c r="E1214" s="8"/>
      <c r="F1214" s="8"/>
    </row>
    <row r="1215">
      <c r="A1215" s="8"/>
      <c r="B1215" s="8"/>
      <c r="C1215" s="8"/>
      <c r="D1215" s="8"/>
      <c r="E1215" s="8"/>
      <c r="F1215" s="8"/>
    </row>
    <row r="1216">
      <c r="A1216" s="8"/>
      <c r="B1216" s="8"/>
      <c r="C1216" s="8"/>
      <c r="D1216" s="8"/>
      <c r="E1216" s="8"/>
      <c r="F1216" s="8"/>
    </row>
    <row r="1217">
      <c r="A1217" s="8"/>
      <c r="B1217" s="8"/>
      <c r="C1217" s="8"/>
      <c r="D1217" s="8"/>
      <c r="E1217" s="8"/>
      <c r="F1217" s="8"/>
    </row>
    <row r="1218">
      <c r="A1218" s="8"/>
      <c r="B1218" s="8"/>
      <c r="C1218" s="8"/>
      <c r="D1218" s="8"/>
      <c r="E1218" s="8"/>
      <c r="F1218" s="8"/>
    </row>
    <row r="1219">
      <c r="A1219" s="8"/>
      <c r="B1219" s="8"/>
      <c r="C1219" s="8"/>
      <c r="D1219" s="8"/>
      <c r="E1219" s="8"/>
      <c r="F1219" s="8"/>
    </row>
    <row r="1220">
      <c r="A1220" s="8"/>
      <c r="B1220" s="8"/>
      <c r="C1220" s="8"/>
      <c r="D1220" s="8"/>
      <c r="E1220" s="8"/>
      <c r="F1220" s="8"/>
    </row>
    <row r="1221">
      <c r="A1221" s="8"/>
      <c r="B1221" s="8"/>
      <c r="C1221" s="8"/>
      <c r="D1221" s="8"/>
      <c r="E1221" s="8"/>
      <c r="F1221" s="8"/>
    </row>
    <row r="1222">
      <c r="A1222" s="8"/>
      <c r="B1222" s="8"/>
      <c r="C1222" s="8"/>
      <c r="D1222" s="8"/>
      <c r="E1222" s="8"/>
      <c r="F1222" s="8"/>
    </row>
    <row r="1223">
      <c r="A1223" s="8"/>
      <c r="B1223" s="8"/>
      <c r="C1223" s="8"/>
      <c r="D1223" s="8"/>
      <c r="E1223" s="8"/>
      <c r="F1223" s="8"/>
    </row>
    <row r="1224">
      <c r="A1224" s="8"/>
      <c r="B1224" s="8"/>
      <c r="C1224" s="8"/>
      <c r="D1224" s="8"/>
      <c r="E1224" s="8"/>
      <c r="F1224" s="8"/>
    </row>
    <row r="1225">
      <c r="A1225" s="8"/>
      <c r="B1225" s="8"/>
      <c r="C1225" s="8"/>
      <c r="D1225" s="8"/>
      <c r="E1225" s="8"/>
      <c r="F1225" s="8"/>
    </row>
    <row r="1226">
      <c r="A1226" s="8"/>
      <c r="B1226" s="8"/>
      <c r="C1226" s="8"/>
      <c r="D1226" s="8"/>
      <c r="E1226" s="8"/>
      <c r="F1226" s="8"/>
    </row>
    <row r="1227">
      <c r="A1227" s="8"/>
      <c r="B1227" s="8"/>
      <c r="C1227" s="8"/>
      <c r="D1227" s="8"/>
      <c r="E1227" s="8"/>
      <c r="F1227" s="8"/>
    </row>
    <row r="1228">
      <c r="A1228" s="8"/>
      <c r="B1228" s="8"/>
      <c r="C1228" s="8"/>
      <c r="D1228" s="8"/>
      <c r="E1228" s="8"/>
      <c r="F1228" s="8"/>
    </row>
    <row r="1229">
      <c r="A1229" s="8"/>
      <c r="B1229" s="8"/>
      <c r="C1229" s="8"/>
      <c r="D1229" s="8"/>
      <c r="E1229" s="8"/>
      <c r="F1229" s="8"/>
    </row>
    <row r="1230">
      <c r="A1230" s="8"/>
      <c r="B1230" s="8"/>
      <c r="C1230" s="8"/>
      <c r="D1230" s="8"/>
      <c r="E1230" s="8"/>
      <c r="F1230" s="8"/>
    </row>
    <row r="1231">
      <c r="A1231" s="8"/>
      <c r="B1231" s="8"/>
      <c r="C1231" s="8"/>
      <c r="D1231" s="8"/>
      <c r="E1231" s="8"/>
      <c r="F1231" s="8"/>
    </row>
    <row r="1232">
      <c r="A1232" s="8"/>
      <c r="B1232" s="8"/>
      <c r="C1232" s="8"/>
      <c r="D1232" s="8"/>
      <c r="E1232" s="8"/>
      <c r="F1232" s="8"/>
    </row>
    <row r="1233">
      <c r="A1233" s="8"/>
      <c r="B1233" s="8"/>
      <c r="C1233" s="8"/>
      <c r="D1233" s="8"/>
      <c r="E1233" s="8"/>
      <c r="F1233" s="8"/>
    </row>
    <row r="1234">
      <c r="A1234" s="8"/>
      <c r="B1234" s="8"/>
      <c r="C1234" s="8"/>
      <c r="D1234" s="8"/>
      <c r="E1234" s="8"/>
      <c r="F1234" s="8"/>
    </row>
    <row r="1235">
      <c r="A1235" s="8"/>
      <c r="B1235" s="8"/>
      <c r="C1235" s="8"/>
      <c r="D1235" s="8"/>
      <c r="E1235" s="8"/>
      <c r="F1235" s="8"/>
    </row>
    <row r="1236">
      <c r="A1236" s="8"/>
      <c r="B1236" s="8"/>
      <c r="C1236" s="8"/>
      <c r="D1236" s="8"/>
      <c r="E1236" s="8"/>
      <c r="F1236" s="8"/>
    </row>
    <row r="1237">
      <c r="A1237" s="8"/>
      <c r="B1237" s="8"/>
      <c r="C1237" s="8"/>
      <c r="D1237" s="8"/>
      <c r="E1237" s="8"/>
      <c r="F1237" s="8"/>
    </row>
    <row r="1238">
      <c r="A1238" s="8"/>
      <c r="B1238" s="8"/>
      <c r="C1238" s="8"/>
      <c r="D1238" s="8"/>
      <c r="E1238" s="8"/>
      <c r="F1238" s="8"/>
    </row>
    <row r="1239">
      <c r="A1239" s="8"/>
      <c r="B1239" s="8"/>
      <c r="C1239" s="8"/>
      <c r="D1239" s="8"/>
      <c r="E1239" s="8"/>
      <c r="F1239" s="8"/>
    </row>
    <row r="1240">
      <c r="A1240" s="8"/>
      <c r="B1240" s="8"/>
      <c r="C1240" s="8"/>
      <c r="D1240" s="8"/>
      <c r="E1240" s="8"/>
      <c r="F1240" s="8"/>
    </row>
    <row r="1241">
      <c r="A1241" s="8"/>
      <c r="B1241" s="8"/>
      <c r="C1241" s="8"/>
      <c r="D1241" s="8"/>
      <c r="E1241" s="8"/>
      <c r="F1241" s="8"/>
    </row>
    <row r="1242">
      <c r="A1242" s="8"/>
      <c r="B1242" s="8"/>
      <c r="C1242" s="8"/>
      <c r="D1242" s="8"/>
      <c r="E1242" s="8"/>
      <c r="F1242" s="8"/>
    </row>
    <row r="1243">
      <c r="A1243" s="8"/>
      <c r="B1243" s="8"/>
      <c r="C1243" s="8"/>
      <c r="D1243" s="8"/>
      <c r="E1243" s="8"/>
      <c r="F1243" s="8"/>
    </row>
    <row r="1244">
      <c r="A1244" s="8"/>
      <c r="B1244" s="8"/>
      <c r="C1244" s="8"/>
      <c r="D1244" s="8"/>
      <c r="E1244" s="8"/>
      <c r="F1244" s="8"/>
    </row>
    <row r="1245">
      <c r="A1245" s="8"/>
      <c r="B1245" s="8"/>
      <c r="C1245" s="8"/>
      <c r="D1245" s="8"/>
      <c r="E1245" s="8"/>
      <c r="F1245" s="8"/>
    </row>
    <row r="1246">
      <c r="A1246" s="8"/>
      <c r="B1246" s="8"/>
      <c r="C1246" s="8"/>
      <c r="D1246" s="8"/>
      <c r="E1246" s="8"/>
      <c r="F1246" s="8"/>
    </row>
    <row r="1247">
      <c r="A1247" s="8"/>
      <c r="B1247" s="8"/>
      <c r="C1247" s="8"/>
      <c r="D1247" s="8"/>
      <c r="E1247" s="8"/>
      <c r="F1247" s="8"/>
    </row>
    <row r="1248">
      <c r="A1248" s="8"/>
      <c r="B1248" s="8"/>
      <c r="C1248" s="8"/>
      <c r="D1248" s="8"/>
      <c r="E1248" s="8"/>
      <c r="F1248" s="8"/>
    </row>
    <row r="1249">
      <c r="A1249" s="8"/>
      <c r="B1249" s="8"/>
      <c r="C1249" s="8"/>
      <c r="D1249" s="8"/>
      <c r="E1249" s="8"/>
      <c r="F1249" s="8"/>
    </row>
    <row r="1250">
      <c r="A1250" s="8"/>
      <c r="B1250" s="8"/>
      <c r="C1250" s="8"/>
      <c r="D1250" s="8"/>
      <c r="E1250" s="8"/>
      <c r="F1250" s="8"/>
    </row>
    <row r="1251">
      <c r="A1251" s="8"/>
      <c r="B1251" s="8"/>
      <c r="C1251" s="8"/>
      <c r="D1251" s="8"/>
      <c r="E1251" s="8"/>
      <c r="F1251" s="8"/>
    </row>
    <row r="1252">
      <c r="A1252" s="8"/>
      <c r="B1252" s="8"/>
      <c r="C1252" s="8"/>
      <c r="D1252" s="8"/>
      <c r="E1252" s="8"/>
      <c r="F1252" s="8"/>
    </row>
    <row r="1253">
      <c r="A1253" s="8"/>
      <c r="B1253" s="8"/>
      <c r="C1253" s="8"/>
      <c r="D1253" s="8"/>
      <c r="E1253" s="8"/>
      <c r="F1253" s="8"/>
    </row>
    <row r="1254">
      <c r="A1254" s="8"/>
      <c r="B1254" s="8"/>
      <c r="C1254" s="8"/>
      <c r="D1254" s="8"/>
      <c r="E1254" s="8"/>
      <c r="F1254" s="8"/>
    </row>
    <row r="1255">
      <c r="A1255" s="8"/>
      <c r="B1255" s="8"/>
      <c r="C1255" s="8"/>
      <c r="D1255" s="8"/>
      <c r="E1255" s="8"/>
      <c r="F1255" s="8"/>
    </row>
    <row r="1256">
      <c r="A1256" s="8"/>
      <c r="B1256" s="8"/>
      <c r="C1256" s="8"/>
      <c r="D1256" s="8"/>
      <c r="E1256" s="8"/>
      <c r="F1256" s="8"/>
    </row>
    <row r="1257">
      <c r="A1257" s="8"/>
      <c r="B1257" s="8"/>
      <c r="C1257" s="8"/>
      <c r="D1257" s="8"/>
      <c r="E1257" s="8"/>
      <c r="F1257" s="8"/>
    </row>
    <row r="1258">
      <c r="A1258" s="8"/>
      <c r="B1258" s="8"/>
      <c r="C1258" s="8"/>
      <c r="D1258" s="8"/>
      <c r="E1258" s="8"/>
      <c r="F1258" s="8"/>
    </row>
    <row r="1259">
      <c r="A1259" s="8"/>
      <c r="B1259" s="8"/>
      <c r="C1259" s="8"/>
      <c r="D1259" s="8"/>
      <c r="E1259" s="8"/>
      <c r="F1259" s="8"/>
    </row>
    <row r="1260">
      <c r="A1260" s="8"/>
      <c r="B1260" s="8"/>
      <c r="C1260" s="8"/>
      <c r="D1260" s="8"/>
      <c r="E1260" s="8"/>
      <c r="F1260" s="8"/>
    </row>
    <row r="1261">
      <c r="A1261" s="8"/>
      <c r="B1261" s="8"/>
      <c r="C1261" s="8"/>
      <c r="D1261" s="8"/>
      <c r="E1261" s="8"/>
      <c r="F1261" s="8"/>
    </row>
    <row r="1262">
      <c r="A1262" s="8"/>
      <c r="B1262" s="8"/>
      <c r="C1262" s="8"/>
      <c r="D1262" s="8"/>
      <c r="E1262" s="8"/>
      <c r="F1262" s="8"/>
    </row>
    <row r="1263">
      <c r="A1263" s="8"/>
      <c r="B1263" s="8"/>
      <c r="C1263" s="8"/>
      <c r="D1263" s="8"/>
      <c r="E1263" s="8"/>
      <c r="F1263" s="8"/>
    </row>
    <row r="1264">
      <c r="A1264" s="8"/>
      <c r="B1264" s="8"/>
      <c r="C1264" s="8"/>
      <c r="D1264" s="8"/>
      <c r="E1264" s="8"/>
      <c r="F1264" s="8"/>
    </row>
    <row r="1265">
      <c r="A1265" s="8"/>
      <c r="B1265" s="8"/>
      <c r="C1265" s="8"/>
      <c r="D1265" s="8"/>
      <c r="E1265" s="8"/>
      <c r="F1265" s="8"/>
    </row>
    <row r="1266">
      <c r="A1266" s="8"/>
      <c r="B1266" s="8"/>
      <c r="C1266" s="8"/>
      <c r="D1266" s="8"/>
      <c r="E1266" s="8"/>
      <c r="F1266" s="8"/>
    </row>
    <row r="1267">
      <c r="A1267" s="8"/>
      <c r="B1267" s="8"/>
      <c r="C1267" s="8"/>
      <c r="D1267" s="8"/>
      <c r="E1267" s="8"/>
      <c r="F1267" s="8"/>
    </row>
    <row r="1268">
      <c r="A1268" s="8"/>
      <c r="B1268" s="8"/>
      <c r="C1268" s="8"/>
      <c r="D1268" s="8"/>
      <c r="E1268" s="8"/>
      <c r="F1268" s="8"/>
    </row>
    <row r="1269">
      <c r="A1269" s="8"/>
      <c r="B1269" s="8"/>
      <c r="C1269" s="8"/>
      <c r="D1269" s="8"/>
      <c r="E1269" s="8"/>
      <c r="F1269" s="8"/>
    </row>
    <row r="1270">
      <c r="A1270" s="8"/>
      <c r="B1270" s="8"/>
      <c r="C1270" s="8"/>
      <c r="D1270" s="8"/>
      <c r="E1270" s="8"/>
      <c r="F1270" s="8"/>
    </row>
    <row r="1271">
      <c r="A1271" s="8"/>
      <c r="B1271" s="8"/>
      <c r="C1271" s="8"/>
      <c r="D1271" s="8"/>
      <c r="E1271" s="8"/>
      <c r="F1271" s="8"/>
    </row>
    <row r="1272">
      <c r="A1272" s="8"/>
      <c r="B1272" s="8"/>
      <c r="C1272" s="8"/>
      <c r="D1272" s="8"/>
      <c r="E1272" s="8"/>
      <c r="F1272" s="8"/>
    </row>
    <row r="1273">
      <c r="A1273" s="8"/>
      <c r="B1273" s="8"/>
      <c r="C1273" s="8"/>
      <c r="D1273" s="8"/>
      <c r="E1273" s="8"/>
      <c r="F1273" s="8"/>
    </row>
    <row r="1274">
      <c r="A1274" s="8"/>
      <c r="B1274" s="8"/>
      <c r="C1274" s="8"/>
      <c r="D1274" s="8"/>
      <c r="E1274" s="8"/>
      <c r="F1274" s="8"/>
    </row>
    <row r="1275">
      <c r="A1275" s="8"/>
      <c r="B1275" s="8"/>
      <c r="C1275" s="8"/>
      <c r="D1275" s="8"/>
      <c r="E1275" s="8"/>
      <c r="F1275" s="8"/>
    </row>
    <row r="1276">
      <c r="A1276" s="8"/>
      <c r="B1276" s="8"/>
      <c r="C1276" s="8"/>
      <c r="D1276" s="8"/>
      <c r="E1276" s="8"/>
      <c r="F1276" s="8"/>
    </row>
    <row r="1277">
      <c r="A1277" s="8"/>
      <c r="B1277" s="8"/>
      <c r="C1277" s="8"/>
      <c r="D1277" s="8"/>
      <c r="E1277" s="8"/>
      <c r="F1277" s="8"/>
    </row>
    <row r="1278">
      <c r="A1278" s="8"/>
      <c r="B1278" s="8"/>
      <c r="C1278" s="8"/>
      <c r="D1278" s="8"/>
      <c r="E1278" s="8"/>
      <c r="F1278" s="8"/>
    </row>
    <row r="1279">
      <c r="A1279" s="8"/>
      <c r="B1279" s="8"/>
      <c r="C1279" s="8"/>
      <c r="D1279" s="8"/>
      <c r="E1279" s="8"/>
      <c r="F1279" s="8"/>
    </row>
    <row r="1280">
      <c r="A1280" s="8"/>
      <c r="B1280" s="8"/>
      <c r="C1280" s="8"/>
      <c r="D1280" s="8"/>
      <c r="E1280" s="8"/>
      <c r="F1280" s="8"/>
    </row>
    <row r="1281">
      <c r="A1281" s="8"/>
      <c r="B1281" s="8"/>
      <c r="C1281" s="8"/>
      <c r="D1281" s="8"/>
      <c r="E1281" s="8"/>
      <c r="F1281" s="8"/>
    </row>
    <row r="1282">
      <c r="A1282" s="8"/>
      <c r="B1282" s="8"/>
      <c r="C1282" s="8"/>
      <c r="D1282" s="8"/>
      <c r="E1282" s="8"/>
      <c r="F1282" s="8"/>
    </row>
    <row r="1283">
      <c r="A1283" s="8"/>
      <c r="B1283" s="8"/>
      <c r="C1283" s="8"/>
      <c r="D1283" s="8"/>
      <c r="E1283" s="8"/>
      <c r="F1283" s="8"/>
    </row>
    <row r="1284">
      <c r="A1284" s="8"/>
      <c r="B1284" s="8"/>
      <c r="C1284" s="8"/>
      <c r="D1284" s="8"/>
      <c r="E1284" s="8"/>
      <c r="F1284" s="8"/>
    </row>
    <row r="1285">
      <c r="A1285" s="8"/>
      <c r="B1285" s="8"/>
      <c r="C1285" s="8"/>
      <c r="D1285" s="8"/>
      <c r="E1285" s="8"/>
      <c r="F1285" s="8"/>
    </row>
    <row r="1286">
      <c r="A1286" s="8"/>
      <c r="B1286" s="8"/>
      <c r="C1286" s="8"/>
      <c r="D1286" s="8"/>
      <c r="E1286" s="8"/>
      <c r="F1286" s="8"/>
    </row>
    <row r="1287">
      <c r="A1287" s="8"/>
      <c r="B1287" s="8"/>
      <c r="C1287" s="8"/>
      <c r="D1287" s="8"/>
      <c r="E1287" s="8"/>
      <c r="F1287" s="8"/>
    </row>
    <row r="1288">
      <c r="A1288" s="8"/>
      <c r="B1288" s="8"/>
      <c r="C1288" s="8"/>
      <c r="D1288" s="8"/>
      <c r="E1288" s="8"/>
      <c r="F1288" s="8"/>
    </row>
    <row r="1289">
      <c r="A1289" s="8"/>
      <c r="B1289" s="8"/>
      <c r="C1289" s="8"/>
      <c r="D1289" s="8"/>
      <c r="E1289" s="8"/>
      <c r="F1289" s="8"/>
    </row>
    <row r="1290">
      <c r="A1290" s="8"/>
      <c r="B1290" s="8"/>
      <c r="C1290" s="8"/>
      <c r="D1290" s="8"/>
      <c r="E1290" s="8"/>
      <c r="F1290" s="8"/>
    </row>
    <row r="1291">
      <c r="A1291" s="8"/>
      <c r="B1291" s="8"/>
      <c r="C1291" s="8"/>
      <c r="D1291" s="8"/>
      <c r="E1291" s="8"/>
      <c r="F1291" s="8"/>
    </row>
    <row r="1292">
      <c r="A1292" s="8"/>
      <c r="B1292" s="8"/>
      <c r="C1292" s="8"/>
      <c r="D1292" s="8"/>
      <c r="E1292" s="8"/>
      <c r="F1292" s="8"/>
    </row>
    <row r="1293">
      <c r="A1293" s="8"/>
      <c r="B1293" s="8"/>
      <c r="C1293" s="8"/>
      <c r="D1293" s="8"/>
      <c r="E1293" s="8"/>
      <c r="F1293" s="8"/>
    </row>
    <row r="1294">
      <c r="A1294" s="8"/>
      <c r="B1294" s="8"/>
      <c r="C1294" s="8"/>
      <c r="D1294" s="8"/>
      <c r="E1294" s="8"/>
      <c r="F1294" s="8"/>
    </row>
    <row r="1295">
      <c r="A1295" s="8"/>
      <c r="B1295" s="8"/>
      <c r="C1295" s="8"/>
      <c r="D1295" s="8"/>
      <c r="E1295" s="8"/>
      <c r="F1295" s="8"/>
    </row>
    <row r="1296">
      <c r="A1296" s="8"/>
      <c r="B1296" s="8"/>
      <c r="C1296" s="8"/>
      <c r="D1296" s="8"/>
      <c r="E1296" s="8"/>
      <c r="F1296" s="8"/>
    </row>
    <row r="1297">
      <c r="A1297" s="8"/>
      <c r="B1297" s="8"/>
      <c r="C1297" s="8"/>
      <c r="D1297" s="8"/>
      <c r="E1297" s="8"/>
      <c r="F1297" s="8"/>
    </row>
    <row r="1298">
      <c r="A1298" s="8"/>
      <c r="B1298" s="8"/>
      <c r="C1298" s="8"/>
      <c r="D1298" s="8"/>
      <c r="E1298" s="8"/>
      <c r="F1298" s="8"/>
    </row>
    <row r="1299">
      <c r="A1299" s="8"/>
      <c r="B1299" s="8"/>
      <c r="C1299" s="8"/>
      <c r="D1299" s="8"/>
      <c r="E1299" s="8"/>
      <c r="F1299" s="8"/>
    </row>
    <row r="1300">
      <c r="A1300" s="8"/>
      <c r="B1300" s="8"/>
      <c r="C1300" s="8"/>
      <c r="D1300" s="8"/>
      <c r="E1300" s="8"/>
      <c r="F1300" s="8"/>
    </row>
    <row r="1301">
      <c r="A1301" s="8"/>
      <c r="B1301" s="8"/>
      <c r="C1301" s="8"/>
      <c r="D1301" s="8"/>
      <c r="E1301" s="8"/>
      <c r="F1301" s="8"/>
    </row>
    <row r="1302">
      <c r="A1302" s="8"/>
      <c r="B1302" s="8"/>
      <c r="C1302" s="8"/>
      <c r="D1302" s="8"/>
      <c r="E1302" s="8"/>
      <c r="F1302" s="8"/>
    </row>
    <row r="1303">
      <c r="A1303" s="8"/>
      <c r="B1303" s="8"/>
      <c r="C1303" s="8"/>
      <c r="D1303" s="8"/>
      <c r="E1303" s="8"/>
      <c r="F1303" s="8"/>
    </row>
    <row r="1304">
      <c r="A1304" s="8"/>
      <c r="B1304" s="8"/>
      <c r="C1304" s="8"/>
      <c r="D1304" s="8"/>
      <c r="E1304" s="8"/>
      <c r="F1304" s="8"/>
    </row>
    <row r="1305">
      <c r="A1305" s="8"/>
      <c r="B1305" s="8"/>
      <c r="C1305" s="8"/>
      <c r="D1305" s="8"/>
      <c r="E1305" s="8"/>
      <c r="F1305" s="8"/>
    </row>
    <row r="1306">
      <c r="A1306" s="8"/>
      <c r="B1306" s="8"/>
      <c r="C1306" s="8"/>
      <c r="D1306" s="8"/>
      <c r="E1306" s="8"/>
      <c r="F1306" s="8"/>
    </row>
    <row r="1307">
      <c r="A1307" s="8"/>
      <c r="B1307" s="8"/>
      <c r="C1307" s="8"/>
      <c r="D1307" s="8"/>
      <c r="E1307" s="8"/>
      <c r="F1307" s="8"/>
    </row>
    <row r="1308">
      <c r="A1308" s="8"/>
      <c r="B1308" s="8"/>
      <c r="C1308" s="8"/>
      <c r="D1308" s="8"/>
      <c r="E1308" s="8"/>
      <c r="F1308" s="8"/>
    </row>
    <row r="1309">
      <c r="A1309" s="8"/>
      <c r="B1309" s="8"/>
      <c r="C1309" s="8"/>
      <c r="D1309" s="8"/>
      <c r="E1309" s="8"/>
      <c r="F1309" s="8"/>
    </row>
    <row r="1310">
      <c r="A1310" s="8"/>
      <c r="B1310" s="8"/>
      <c r="C1310" s="8"/>
      <c r="D1310" s="8"/>
      <c r="E1310" s="8"/>
      <c r="F1310" s="8"/>
    </row>
    <row r="1311">
      <c r="A1311" s="8"/>
      <c r="B1311" s="8"/>
      <c r="C1311" s="8"/>
      <c r="D1311" s="8"/>
      <c r="E1311" s="8"/>
      <c r="F1311" s="8"/>
    </row>
    <row r="1312">
      <c r="A1312" s="8"/>
      <c r="B1312" s="8"/>
      <c r="C1312" s="8"/>
      <c r="D1312" s="8"/>
      <c r="E1312" s="8"/>
      <c r="F1312" s="8"/>
    </row>
    <row r="1313">
      <c r="A1313" s="8"/>
      <c r="B1313" s="8"/>
      <c r="C1313" s="8"/>
      <c r="D1313" s="8"/>
      <c r="E1313" s="8"/>
      <c r="F1313" s="8"/>
    </row>
    <row r="1314">
      <c r="A1314" s="8"/>
      <c r="B1314" s="8"/>
      <c r="C1314" s="8"/>
      <c r="D1314" s="8"/>
      <c r="E1314" s="8"/>
      <c r="F1314" s="8"/>
    </row>
    <row r="1315">
      <c r="A1315" s="8"/>
      <c r="B1315" s="8"/>
      <c r="C1315" s="8"/>
      <c r="D1315" s="8"/>
      <c r="E1315" s="8"/>
      <c r="F1315" s="8"/>
    </row>
    <row r="1316">
      <c r="A1316" s="8"/>
      <c r="B1316" s="8"/>
      <c r="C1316" s="8"/>
      <c r="D1316" s="8"/>
      <c r="E1316" s="8"/>
      <c r="F1316" s="8"/>
    </row>
    <row r="1317">
      <c r="A1317" s="8"/>
      <c r="B1317" s="8"/>
      <c r="C1317" s="8"/>
      <c r="D1317" s="8"/>
      <c r="E1317" s="8"/>
      <c r="F1317" s="8"/>
    </row>
    <row r="1318">
      <c r="A1318" s="8"/>
      <c r="B1318" s="8"/>
      <c r="C1318" s="8"/>
      <c r="D1318" s="8"/>
      <c r="E1318" s="8"/>
      <c r="F1318" s="8"/>
    </row>
    <row r="1319">
      <c r="A1319" s="8"/>
      <c r="B1319" s="8"/>
      <c r="C1319" s="8"/>
      <c r="D1319" s="8"/>
      <c r="E1319" s="8"/>
      <c r="F1319" s="8"/>
    </row>
    <row r="1320">
      <c r="A1320" s="8"/>
      <c r="B1320" s="8"/>
      <c r="C1320" s="8"/>
      <c r="D1320" s="8"/>
      <c r="E1320" s="8"/>
      <c r="F1320" s="8"/>
    </row>
    <row r="1321">
      <c r="A1321" s="8"/>
      <c r="B1321" s="8"/>
      <c r="C1321" s="8"/>
      <c r="D1321" s="8"/>
      <c r="E1321" s="8"/>
      <c r="F1321" s="8"/>
    </row>
    <row r="1322">
      <c r="A1322" s="8"/>
      <c r="B1322" s="8"/>
      <c r="C1322" s="8"/>
      <c r="D1322" s="8"/>
      <c r="E1322" s="8"/>
      <c r="F1322" s="8"/>
    </row>
    <row r="1323">
      <c r="A1323" s="8"/>
      <c r="B1323" s="8"/>
      <c r="C1323" s="8"/>
      <c r="D1323" s="8"/>
      <c r="E1323" s="8"/>
      <c r="F1323" s="8"/>
    </row>
    <row r="1324">
      <c r="A1324" s="8"/>
      <c r="B1324" s="8"/>
      <c r="C1324" s="8"/>
      <c r="D1324" s="8"/>
      <c r="E1324" s="8"/>
      <c r="F1324" s="8"/>
    </row>
    <row r="1325">
      <c r="A1325" s="8"/>
      <c r="B1325" s="8"/>
      <c r="C1325" s="8"/>
      <c r="D1325" s="8"/>
      <c r="E1325" s="8"/>
      <c r="F1325" s="8"/>
    </row>
    <row r="1326">
      <c r="A1326" s="8"/>
      <c r="B1326" s="8"/>
      <c r="C1326" s="8"/>
      <c r="D1326" s="8"/>
      <c r="E1326" s="8"/>
      <c r="F1326" s="8"/>
    </row>
    <row r="1327">
      <c r="A1327" s="8"/>
      <c r="B1327" s="8"/>
      <c r="C1327" s="8"/>
      <c r="D1327" s="8"/>
      <c r="E1327" s="8"/>
      <c r="F1327" s="8"/>
    </row>
    <row r="1328">
      <c r="A1328" s="8"/>
      <c r="B1328" s="8"/>
      <c r="C1328" s="8"/>
      <c r="D1328" s="8"/>
      <c r="E1328" s="8"/>
      <c r="F1328" s="8"/>
    </row>
    <row r="1329">
      <c r="A1329" s="8"/>
      <c r="B1329" s="8"/>
      <c r="C1329" s="8"/>
      <c r="D1329" s="8"/>
      <c r="E1329" s="8"/>
      <c r="F1329" s="8"/>
    </row>
    <row r="1330">
      <c r="A1330" s="8"/>
      <c r="B1330" s="8"/>
      <c r="C1330" s="8"/>
      <c r="D1330" s="8"/>
      <c r="E1330" s="8"/>
      <c r="F1330" s="8"/>
    </row>
    <row r="1331">
      <c r="A1331" s="8"/>
      <c r="B1331" s="8"/>
      <c r="C1331" s="8"/>
      <c r="D1331" s="8"/>
      <c r="E1331" s="8"/>
      <c r="F1331" s="8"/>
    </row>
    <row r="1332">
      <c r="A1332" s="8"/>
      <c r="B1332" s="8"/>
      <c r="C1332" s="8"/>
      <c r="D1332" s="8"/>
      <c r="E1332" s="8"/>
      <c r="F1332" s="8"/>
    </row>
    <row r="1333">
      <c r="A1333" s="8"/>
      <c r="B1333" s="8"/>
      <c r="C1333" s="8"/>
      <c r="D1333" s="8"/>
      <c r="E1333" s="8"/>
      <c r="F1333" s="8"/>
    </row>
    <row r="1334">
      <c r="A1334" s="8"/>
      <c r="B1334" s="8"/>
      <c r="C1334" s="8"/>
      <c r="D1334" s="8"/>
      <c r="E1334" s="8"/>
      <c r="F1334" s="8"/>
    </row>
    <row r="1335">
      <c r="A1335" s="8"/>
      <c r="B1335" s="8"/>
      <c r="C1335" s="8"/>
      <c r="D1335" s="8"/>
      <c r="E1335" s="8"/>
      <c r="F1335" s="8"/>
    </row>
    <row r="1336">
      <c r="A1336" s="8"/>
      <c r="B1336" s="8"/>
      <c r="C1336" s="8"/>
      <c r="D1336" s="8"/>
      <c r="E1336" s="8"/>
      <c r="F1336" s="8"/>
    </row>
    <row r="1337">
      <c r="A1337" s="8"/>
      <c r="B1337" s="8"/>
      <c r="C1337" s="8"/>
      <c r="D1337" s="8"/>
      <c r="E1337" s="8"/>
      <c r="F1337" s="8"/>
    </row>
    <row r="1338">
      <c r="A1338" s="8"/>
      <c r="B1338" s="8"/>
      <c r="C1338" s="8"/>
      <c r="D1338" s="8"/>
      <c r="E1338" s="8"/>
      <c r="F1338" s="8"/>
    </row>
    <row r="1339">
      <c r="A1339" s="8"/>
      <c r="B1339" s="8"/>
      <c r="C1339" s="8"/>
      <c r="D1339" s="8"/>
      <c r="E1339" s="8"/>
      <c r="F1339" s="8"/>
    </row>
    <row r="1340">
      <c r="A1340" s="8"/>
      <c r="B1340" s="8"/>
      <c r="C1340" s="8"/>
      <c r="D1340" s="8"/>
      <c r="E1340" s="8"/>
      <c r="F1340" s="8"/>
    </row>
    <row r="1341">
      <c r="A1341" s="8"/>
      <c r="B1341" s="8"/>
      <c r="C1341" s="8"/>
      <c r="D1341" s="8"/>
      <c r="E1341" s="8"/>
      <c r="F1341" s="8"/>
    </row>
    <row r="1342">
      <c r="A1342" s="8"/>
      <c r="B1342" s="8"/>
      <c r="C1342" s="8"/>
      <c r="D1342" s="8"/>
      <c r="E1342" s="8"/>
      <c r="F1342" s="8"/>
    </row>
    <row r="1343">
      <c r="A1343" s="8"/>
      <c r="B1343" s="8"/>
      <c r="C1343" s="8"/>
      <c r="D1343" s="8"/>
      <c r="E1343" s="8"/>
      <c r="F1343" s="8"/>
    </row>
    <row r="1344">
      <c r="A1344" s="8"/>
      <c r="B1344" s="8"/>
      <c r="C1344" s="8"/>
      <c r="D1344" s="8"/>
      <c r="E1344" s="8"/>
      <c r="F1344" s="8"/>
    </row>
    <row r="1345">
      <c r="A1345" s="8"/>
      <c r="B1345" s="8"/>
      <c r="C1345" s="8"/>
      <c r="D1345" s="8"/>
      <c r="E1345" s="8"/>
      <c r="F1345" s="8"/>
    </row>
    <row r="1346">
      <c r="A1346" s="8"/>
      <c r="B1346" s="8"/>
      <c r="C1346" s="8"/>
      <c r="D1346" s="8"/>
      <c r="E1346" s="8"/>
      <c r="F1346" s="8"/>
    </row>
    <row r="1347">
      <c r="A1347" s="8"/>
      <c r="B1347" s="8"/>
      <c r="C1347" s="8"/>
      <c r="D1347" s="8"/>
      <c r="E1347" s="8"/>
      <c r="F1347" s="8"/>
    </row>
    <row r="1348">
      <c r="A1348" s="8"/>
      <c r="B1348" s="8"/>
      <c r="C1348" s="8"/>
      <c r="D1348" s="8"/>
      <c r="E1348" s="8"/>
      <c r="F1348" s="8"/>
    </row>
    <row r="1349">
      <c r="A1349" s="8"/>
      <c r="B1349" s="8"/>
      <c r="C1349" s="8"/>
      <c r="D1349" s="8"/>
      <c r="E1349" s="8"/>
      <c r="F1349" s="8"/>
    </row>
    <row r="1350">
      <c r="A1350" s="8"/>
      <c r="B1350" s="8"/>
      <c r="C1350" s="8"/>
      <c r="D1350" s="8"/>
      <c r="E1350" s="8"/>
      <c r="F1350" s="8"/>
    </row>
    <row r="1351">
      <c r="A1351" s="8"/>
      <c r="B1351" s="8"/>
      <c r="C1351" s="8"/>
      <c r="D1351" s="8"/>
      <c r="E1351" s="8"/>
      <c r="F1351" s="8"/>
    </row>
    <row r="1352">
      <c r="A1352" s="8"/>
      <c r="B1352" s="8"/>
      <c r="C1352" s="8"/>
      <c r="D1352" s="8"/>
      <c r="E1352" s="8"/>
      <c r="F1352" s="8"/>
    </row>
    <row r="1353">
      <c r="A1353" s="8"/>
      <c r="B1353" s="8"/>
      <c r="C1353" s="8"/>
      <c r="D1353" s="8"/>
      <c r="E1353" s="8"/>
      <c r="F1353" s="8"/>
    </row>
    <row r="1354">
      <c r="A1354" s="8"/>
      <c r="B1354" s="8"/>
      <c r="C1354" s="8"/>
      <c r="D1354" s="8"/>
      <c r="E1354" s="8"/>
      <c r="F1354" s="8"/>
    </row>
    <row r="1355">
      <c r="A1355" s="8"/>
      <c r="B1355" s="8"/>
      <c r="C1355" s="8"/>
      <c r="D1355" s="8"/>
      <c r="E1355" s="8"/>
      <c r="F1355" s="8"/>
    </row>
    <row r="1356">
      <c r="A1356" s="8"/>
      <c r="B1356" s="8"/>
      <c r="C1356" s="8"/>
      <c r="D1356" s="8"/>
      <c r="E1356" s="8"/>
      <c r="F1356" s="8"/>
    </row>
    <row r="1357">
      <c r="A1357" s="8"/>
      <c r="B1357" s="8"/>
      <c r="C1357" s="8"/>
      <c r="D1357" s="8"/>
      <c r="E1357" s="8"/>
      <c r="F1357" s="8"/>
    </row>
    <row r="1358">
      <c r="A1358" s="8"/>
      <c r="B1358" s="8"/>
      <c r="C1358" s="8"/>
      <c r="D1358" s="8"/>
      <c r="E1358" s="8"/>
      <c r="F1358" s="8"/>
    </row>
    <row r="1359">
      <c r="A1359" s="8"/>
      <c r="B1359" s="8"/>
      <c r="C1359" s="8"/>
      <c r="D1359" s="8"/>
      <c r="E1359" s="8"/>
      <c r="F1359" s="8"/>
    </row>
    <row r="1360">
      <c r="A1360" s="8"/>
      <c r="B1360" s="8"/>
      <c r="C1360" s="8"/>
      <c r="D1360" s="8"/>
      <c r="E1360" s="8"/>
      <c r="F1360" s="8"/>
    </row>
    <row r="1361">
      <c r="A1361" s="8"/>
      <c r="B1361" s="8"/>
      <c r="C1361" s="8"/>
      <c r="D1361" s="8"/>
      <c r="E1361" s="8"/>
      <c r="F1361" s="8"/>
    </row>
    <row r="1362">
      <c r="A1362" s="8"/>
      <c r="B1362" s="8"/>
      <c r="C1362" s="8"/>
      <c r="D1362" s="8"/>
      <c r="E1362" s="8"/>
      <c r="F1362" s="8"/>
    </row>
    <row r="1363">
      <c r="A1363" s="8"/>
      <c r="B1363" s="8"/>
      <c r="C1363" s="8"/>
      <c r="D1363" s="8"/>
      <c r="E1363" s="8"/>
      <c r="F1363" s="8"/>
    </row>
    <row r="1364">
      <c r="A1364" s="8"/>
      <c r="B1364" s="8"/>
      <c r="C1364" s="8"/>
      <c r="D1364" s="8"/>
      <c r="E1364" s="8"/>
      <c r="F1364" s="8"/>
    </row>
    <row r="1365">
      <c r="A1365" s="8"/>
      <c r="B1365" s="8"/>
      <c r="C1365" s="8"/>
      <c r="D1365" s="8"/>
      <c r="E1365" s="8"/>
      <c r="F1365" s="8"/>
    </row>
    <row r="1366">
      <c r="A1366" s="8"/>
      <c r="B1366" s="8"/>
      <c r="C1366" s="8"/>
      <c r="D1366" s="8"/>
      <c r="E1366" s="8"/>
      <c r="F1366" s="8"/>
    </row>
    <row r="1367">
      <c r="A1367" s="8"/>
      <c r="B1367" s="8"/>
      <c r="C1367" s="8"/>
      <c r="D1367" s="8"/>
      <c r="E1367" s="8"/>
      <c r="F1367" s="8"/>
    </row>
    <row r="1368">
      <c r="A1368" s="8"/>
      <c r="B1368" s="8"/>
      <c r="C1368" s="8"/>
      <c r="D1368" s="8"/>
      <c r="E1368" s="8"/>
      <c r="F1368" s="8"/>
    </row>
    <row r="1369">
      <c r="A1369" s="8"/>
      <c r="B1369" s="8"/>
      <c r="C1369" s="8"/>
      <c r="D1369" s="8"/>
      <c r="E1369" s="8"/>
      <c r="F1369" s="8"/>
    </row>
    <row r="1370">
      <c r="A1370" s="8"/>
      <c r="B1370" s="8"/>
      <c r="C1370" s="8"/>
      <c r="D1370" s="8"/>
      <c r="E1370" s="8"/>
      <c r="F1370" s="8"/>
    </row>
    <row r="1371">
      <c r="A1371" s="8"/>
      <c r="B1371" s="8"/>
      <c r="C1371" s="8"/>
      <c r="D1371" s="8"/>
      <c r="E1371" s="8"/>
      <c r="F1371" s="8"/>
    </row>
    <row r="1372">
      <c r="A1372" s="8"/>
      <c r="B1372" s="8"/>
      <c r="C1372" s="8"/>
      <c r="D1372" s="8"/>
      <c r="E1372" s="8"/>
      <c r="F1372" s="8"/>
    </row>
    <row r="1373">
      <c r="A1373" s="8"/>
      <c r="B1373" s="8"/>
      <c r="C1373" s="8"/>
      <c r="D1373" s="8"/>
      <c r="E1373" s="8"/>
      <c r="F1373" s="8"/>
    </row>
    <row r="1374">
      <c r="A1374" s="8"/>
      <c r="B1374" s="8"/>
      <c r="C1374" s="8"/>
      <c r="D1374" s="8"/>
      <c r="E1374" s="8"/>
      <c r="F1374" s="8"/>
    </row>
    <row r="1375">
      <c r="A1375" s="8"/>
      <c r="B1375" s="8"/>
      <c r="C1375" s="8"/>
      <c r="D1375" s="8"/>
      <c r="E1375" s="8"/>
      <c r="F1375" s="8"/>
    </row>
    <row r="1376">
      <c r="A1376" s="8"/>
      <c r="B1376" s="8"/>
      <c r="C1376" s="8"/>
      <c r="D1376" s="8"/>
      <c r="E1376" s="8"/>
      <c r="F1376" s="8"/>
    </row>
    <row r="1377">
      <c r="A1377" s="8"/>
      <c r="B1377" s="8"/>
      <c r="C1377" s="8"/>
      <c r="D1377" s="8"/>
      <c r="E1377" s="8"/>
      <c r="F1377" s="8"/>
    </row>
    <row r="1378">
      <c r="A1378" s="8"/>
      <c r="B1378" s="8"/>
      <c r="C1378" s="8"/>
      <c r="D1378" s="8"/>
      <c r="E1378" s="8"/>
      <c r="F1378" s="8"/>
    </row>
    <row r="1379">
      <c r="A1379" s="8"/>
      <c r="B1379" s="8"/>
      <c r="C1379" s="8"/>
      <c r="D1379" s="8"/>
      <c r="E1379" s="8"/>
      <c r="F1379" s="8"/>
    </row>
    <row r="1380">
      <c r="A1380" s="8"/>
      <c r="B1380" s="8"/>
      <c r="C1380" s="8"/>
      <c r="D1380" s="8"/>
      <c r="E1380" s="8"/>
      <c r="F1380" s="8"/>
    </row>
    <row r="1381">
      <c r="A1381" s="8"/>
      <c r="B1381" s="8"/>
      <c r="C1381" s="8"/>
      <c r="D1381" s="8"/>
      <c r="E1381" s="8"/>
      <c r="F1381" s="8"/>
    </row>
    <row r="1382">
      <c r="A1382" s="8"/>
      <c r="B1382" s="8"/>
      <c r="C1382" s="8"/>
      <c r="D1382" s="8"/>
      <c r="E1382" s="8"/>
      <c r="F1382" s="8"/>
    </row>
    <row r="1383">
      <c r="A1383" s="8"/>
      <c r="B1383" s="8"/>
      <c r="C1383" s="8"/>
      <c r="D1383" s="8"/>
      <c r="E1383" s="8"/>
      <c r="F1383" s="8"/>
    </row>
    <row r="1384">
      <c r="A1384" s="8"/>
      <c r="B1384" s="8"/>
      <c r="C1384" s="8"/>
      <c r="D1384" s="8"/>
      <c r="E1384" s="8"/>
      <c r="F1384" s="8"/>
    </row>
    <row r="1385">
      <c r="A1385" s="8"/>
      <c r="B1385" s="8"/>
      <c r="C1385" s="8"/>
      <c r="D1385" s="8"/>
      <c r="E1385" s="8"/>
      <c r="F1385" s="8"/>
    </row>
    <row r="1386">
      <c r="A1386" s="8"/>
      <c r="B1386" s="8"/>
      <c r="C1386" s="8"/>
      <c r="D1386" s="8"/>
      <c r="E1386" s="8"/>
      <c r="F1386" s="8"/>
    </row>
    <row r="1387">
      <c r="A1387" s="8"/>
      <c r="B1387" s="8"/>
      <c r="C1387" s="8"/>
      <c r="D1387" s="8"/>
      <c r="E1387" s="8"/>
      <c r="F1387" s="8"/>
    </row>
    <row r="1388">
      <c r="A1388" s="8"/>
      <c r="B1388" s="8"/>
      <c r="C1388" s="8"/>
      <c r="D1388" s="8"/>
      <c r="E1388" s="8"/>
      <c r="F1388" s="8"/>
    </row>
    <row r="1389">
      <c r="A1389" s="8"/>
      <c r="B1389" s="8"/>
      <c r="C1389" s="8"/>
      <c r="D1389" s="8"/>
      <c r="E1389" s="8"/>
      <c r="F1389" s="8"/>
    </row>
    <row r="1390">
      <c r="A1390" s="8"/>
      <c r="B1390" s="8"/>
      <c r="C1390" s="8"/>
      <c r="D1390" s="8"/>
      <c r="E1390" s="8"/>
      <c r="F1390" s="8"/>
    </row>
    <row r="1391">
      <c r="A1391" s="8"/>
      <c r="B1391" s="8"/>
      <c r="C1391" s="8"/>
      <c r="D1391" s="8"/>
      <c r="E1391" s="8"/>
      <c r="F1391" s="8"/>
    </row>
    <row r="1392">
      <c r="A1392" s="8"/>
      <c r="B1392" s="8"/>
      <c r="C1392" s="8"/>
      <c r="D1392" s="8"/>
      <c r="E1392" s="8"/>
      <c r="F1392" s="8"/>
    </row>
    <row r="1393">
      <c r="A1393" s="8"/>
      <c r="B1393" s="8"/>
      <c r="C1393" s="8"/>
      <c r="D1393" s="8"/>
      <c r="E1393" s="8"/>
      <c r="F1393" s="8"/>
    </row>
    <row r="1394">
      <c r="A1394" s="8"/>
      <c r="B1394" s="8"/>
      <c r="C1394" s="8"/>
      <c r="D1394" s="8"/>
      <c r="E1394" s="8"/>
      <c r="F1394" s="8"/>
    </row>
    <row r="1395">
      <c r="A1395" s="8"/>
      <c r="B1395" s="8"/>
      <c r="C1395" s="8"/>
      <c r="D1395" s="8"/>
      <c r="E1395" s="8"/>
      <c r="F1395" s="8"/>
    </row>
    <row r="1396">
      <c r="A1396" s="8"/>
      <c r="B1396" s="8"/>
      <c r="C1396" s="8"/>
      <c r="D1396" s="8"/>
      <c r="E1396" s="8"/>
      <c r="F1396" s="8"/>
    </row>
    <row r="1397">
      <c r="A1397" s="8"/>
      <c r="B1397" s="8"/>
      <c r="C1397" s="8"/>
      <c r="D1397" s="8"/>
      <c r="E1397" s="8"/>
      <c r="F1397" s="8"/>
    </row>
    <row r="1398">
      <c r="A1398" s="8"/>
      <c r="B1398" s="8"/>
      <c r="C1398" s="8"/>
      <c r="D1398" s="8"/>
      <c r="E1398" s="8"/>
      <c r="F1398" s="8"/>
    </row>
    <row r="1399">
      <c r="A1399" s="8"/>
      <c r="B1399" s="8"/>
      <c r="C1399" s="8"/>
      <c r="D1399" s="8"/>
      <c r="E1399" s="8"/>
      <c r="F1399" s="8"/>
    </row>
    <row r="1400">
      <c r="A1400" s="8"/>
      <c r="B1400" s="8"/>
      <c r="C1400" s="8"/>
      <c r="D1400" s="8"/>
      <c r="E1400" s="8"/>
      <c r="F1400" s="8"/>
    </row>
    <row r="1401">
      <c r="A1401" s="8"/>
      <c r="B1401" s="8"/>
      <c r="C1401" s="8"/>
      <c r="D1401" s="8"/>
      <c r="E1401" s="8"/>
      <c r="F1401" s="8"/>
    </row>
    <row r="1402">
      <c r="A1402" s="8"/>
      <c r="B1402" s="8"/>
      <c r="C1402" s="8"/>
      <c r="D1402" s="8"/>
      <c r="E1402" s="8"/>
      <c r="F1402" s="8"/>
    </row>
    <row r="1403">
      <c r="A1403" s="8"/>
      <c r="B1403" s="8"/>
      <c r="C1403" s="8"/>
      <c r="D1403" s="8"/>
      <c r="E1403" s="8"/>
      <c r="F1403" s="8"/>
    </row>
    <row r="1404">
      <c r="A1404" s="8"/>
      <c r="B1404" s="8"/>
      <c r="C1404" s="8"/>
      <c r="D1404" s="8"/>
      <c r="E1404" s="8"/>
      <c r="F1404" s="8"/>
    </row>
    <row r="1405">
      <c r="A1405" s="8"/>
      <c r="B1405" s="8"/>
      <c r="C1405" s="8"/>
      <c r="D1405" s="8"/>
      <c r="E1405" s="8"/>
      <c r="F1405" s="8"/>
    </row>
    <row r="1406">
      <c r="A1406" s="8"/>
      <c r="B1406" s="8"/>
      <c r="C1406" s="8"/>
      <c r="D1406" s="8"/>
      <c r="E1406" s="8"/>
      <c r="F1406" s="8"/>
    </row>
    <row r="1407">
      <c r="A1407" s="8"/>
      <c r="B1407" s="8"/>
      <c r="C1407" s="8"/>
      <c r="D1407" s="8"/>
      <c r="E1407" s="8"/>
      <c r="F1407" s="8"/>
    </row>
    <row r="1408">
      <c r="A1408" s="8"/>
      <c r="B1408" s="8"/>
      <c r="C1408" s="8"/>
      <c r="D1408" s="8"/>
      <c r="E1408" s="8"/>
      <c r="F1408" s="8"/>
    </row>
    <row r="1409">
      <c r="A1409" s="8"/>
      <c r="B1409" s="8"/>
      <c r="C1409" s="8"/>
      <c r="D1409" s="8"/>
      <c r="E1409" s="8"/>
      <c r="F1409" s="8"/>
    </row>
    <row r="1410">
      <c r="A1410" s="8"/>
      <c r="B1410" s="8"/>
      <c r="C1410" s="8"/>
      <c r="D1410" s="8"/>
      <c r="E1410" s="8"/>
      <c r="F1410" s="8"/>
    </row>
    <row r="1411">
      <c r="A1411" s="8"/>
      <c r="B1411" s="8"/>
      <c r="C1411" s="8"/>
      <c r="D1411" s="8"/>
      <c r="E1411" s="8"/>
      <c r="F1411" s="8"/>
    </row>
    <row r="1412">
      <c r="A1412" s="8"/>
      <c r="B1412" s="8"/>
      <c r="C1412" s="8"/>
      <c r="D1412" s="8"/>
      <c r="E1412" s="8"/>
      <c r="F1412" s="8"/>
    </row>
    <row r="1413">
      <c r="A1413" s="8"/>
      <c r="B1413" s="8"/>
      <c r="C1413" s="8"/>
      <c r="D1413" s="8"/>
      <c r="E1413" s="8"/>
      <c r="F1413" s="8"/>
    </row>
    <row r="1414">
      <c r="A1414" s="8"/>
      <c r="B1414" s="8"/>
      <c r="C1414" s="8"/>
      <c r="D1414" s="8"/>
      <c r="E1414" s="8"/>
      <c r="F1414" s="8"/>
    </row>
    <row r="1415">
      <c r="A1415" s="8"/>
      <c r="B1415" s="8"/>
      <c r="C1415" s="8"/>
      <c r="D1415" s="8"/>
      <c r="E1415" s="8"/>
      <c r="F1415" s="8"/>
    </row>
    <row r="1416">
      <c r="A1416" s="8"/>
      <c r="B1416" s="8"/>
      <c r="C1416" s="8"/>
      <c r="D1416" s="8"/>
      <c r="E1416" s="8"/>
      <c r="F1416" s="8"/>
    </row>
    <row r="1417">
      <c r="A1417" s="8"/>
      <c r="B1417" s="8"/>
      <c r="C1417" s="8"/>
      <c r="D1417" s="8"/>
      <c r="E1417" s="8"/>
      <c r="F1417" s="8"/>
    </row>
    <row r="1418">
      <c r="A1418" s="8"/>
      <c r="B1418" s="8"/>
      <c r="C1418" s="8"/>
      <c r="D1418" s="8"/>
      <c r="E1418" s="8"/>
      <c r="F1418" s="8"/>
    </row>
    <row r="1419">
      <c r="A1419" s="8"/>
      <c r="B1419" s="8"/>
      <c r="C1419" s="8"/>
      <c r="D1419" s="8"/>
      <c r="E1419" s="8"/>
      <c r="F1419" s="8"/>
    </row>
    <row r="1420">
      <c r="A1420" s="8"/>
      <c r="B1420" s="8"/>
      <c r="C1420" s="8"/>
      <c r="D1420" s="8"/>
      <c r="E1420" s="8"/>
      <c r="F1420" s="8"/>
    </row>
    <row r="1421">
      <c r="A1421" s="8"/>
      <c r="B1421" s="8"/>
      <c r="C1421" s="8"/>
      <c r="D1421" s="8"/>
      <c r="E1421" s="8"/>
      <c r="F1421" s="8"/>
    </row>
    <row r="1422">
      <c r="A1422" s="8"/>
      <c r="B1422" s="8"/>
      <c r="C1422" s="8"/>
      <c r="D1422" s="8"/>
      <c r="E1422" s="8"/>
      <c r="F1422" s="8"/>
    </row>
    <row r="1423">
      <c r="A1423" s="8"/>
      <c r="B1423" s="8"/>
      <c r="C1423" s="8"/>
      <c r="D1423" s="8"/>
      <c r="E1423" s="8"/>
      <c r="F1423" s="8"/>
    </row>
    <row r="1424">
      <c r="A1424" s="8"/>
      <c r="B1424" s="8"/>
      <c r="C1424" s="8"/>
      <c r="D1424" s="8"/>
      <c r="E1424" s="8"/>
      <c r="F1424" s="8"/>
    </row>
    <row r="1425">
      <c r="A1425" s="8"/>
      <c r="B1425" s="8"/>
      <c r="C1425" s="8"/>
      <c r="D1425" s="8"/>
      <c r="E1425" s="8"/>
      <c r="F1425" s="8"/>
    </row>
    <row r="1426">
      <c r="A1426" s="8"/>
      <c r="B1426" s="8"/>
      <c r="C1426" s="8"/>
      <c r="D1426" s="8"/>
      <c r="E1426" s="8"/>
      <c r="F1426" s="8"/>
    </row>
    <row r="1427">
      <c r="A1427" s="8"/>
      <c r="B1427" s="8"/>
      <c r="C1427" s="8"/>
      <c r="D1427" s="8"/>
      <c r="E1427" s="8"/>
      <c r="F1427" s="8"/>
    </row>
    <row r="1428">
      <c r="A1428" s="8"/>
      <c r="B1428" s="8"/>
      <c r="C1428" s="8"/>
      <c r="D1428" s="8"/>
      <c r="E1428" s="8"/>
      <c r="F1428" s="8"/>
    </row>
    <row r="1429">
      <c r="A1429" s="8"/>
      <c r="B1429" s="8"/>
      <c r="C1429" s="8"/>
      <c r="D1429" s="8"/>
      <c r="E1429" s="8"/>
      <c r="F1429" s="8"/>
    </row>
    <row r="1430">
      <c r="A1430" s="8"/>
      <c r="B1430" s="8"/>
      <c r="C1430" s="8"/>
      <c r="D1430" s="8"/>
      <c r="E1430" s="8"/>
      <c r="F1430" s="8"/>
    </row>
    <row r="1431">
      <c r="A1431" s="8"/>
      <c r="B1431" s="8"/>
      <c r="C1431" s="8"/>
      <c r="D1431" s="8"/>
      <c r="E1431" s="8"/>
      <c r="F1431" s="8"/>
    </row>
    <row r="1432">
      <c r="A1432" s="8"/>
      <c r="B1432" s="8"/>
      <c r="C1432" s="8"/>
      <c r="D1432" s="8"/>
      <c r="E1432" s="8"/>
      <c r="F1432" s="8"/>
    </row>
    <row r="1433">
      <c r="A1433" s="8"/>
      <c r="B1433" s="8"/>
      <c r="C1433" s="8"/>
      <c r="D1433" s="8"/>
      <c r="E1433" s="8"/>
      <c r="F1433" s="8"/>
    </row>
    <row r="1434">
      <c r="A1434" s="8"/>
      <c r="B1434" s="8"/>
      <c r="C1434" s="8"/>
      <c r="D1434" s="8"/>
      <c r="E1434" s="8"/>
      <c r="F1434" s="8"/>
    </row>
    <row r="1435">
      <c r="A1435" s="8"/>
      <c r="B1435" s="8"/>
      <c r="C1435" s="8"/>
      <c r="D1435" s="8"/>
      <c r="E1435" s="8"/>
      <c r="F1435" s="8"/>
    </row>
    <row r="1436">
      <c r="A1436" s="8"/>
      <c r="B1436" s="8"/>
      <c r="C1436" s="8"/>
      <c r="D1436" s="8"/>
      <c r="E1436" s="8"/>
      <c r="F1436" s="8"/>
    </row>
    <row r="1437">
      <c r="A1437" s="8"/>
      <c r="B1437" s="8"/>
      <c r="C1437" s="8"/>
      <c r="D1437" s="8"/>
      <c r="E1437" s="8"/>
      <c r="F1437" s="8"/>
    </row>
    <row r="1438">
      <c r="A1438" s="8"/>
      <c r="B1438" s="8"/>
      <c r="C1438" s="8"/>
      <c r="D1438" s="8"/>
      <c r="E1438" s="8"/>
      <c r="F1438" s="8"/>
    </row>
    <row r="1439">
      <c r="A1439" s="8"/>
      <c r="B1439" s="8"/>
      <c r="C1439" s="8"/>
      <c r="D1439" s="8"/>
      <c r="E1439" s="8"/>
      <c r="F1439" s="8"/>
    </row>
    <row r="1440">
      <c r="A1440" s="8"/>
      <c r="B1440" s="8"/>
      <c r="C1440" s="8"/>
      <c r="D1440" s="8"/>
      <c r="E1440" s="8"/>
      <c r="F1440" s="8"/>
    </row>
    <row r="1441">
      <c r="A1441" s="8"/>
      <c r="B1441" s="8"/>
      <c r="C1441" s="8"/>
      <c r="D1441" s="8"/>
      <c r="E1441" s="8"/>
      <c r="F1441" s="8"/>
    </row>
    <row r="1442">
      <c r="A1442" s="8"/>
      <c r="B1442" s="8"/>
      <c r="C1442" s="8"/>
      <c r="D1442" s="8"/>
      <c r="E1442" s="8"/>
      <c r="F1442" s="8"/>
    </row>
    <row r="1443">
      <c r="A1443" s="8"/>
      <c r="B1443" s="8"/>
      <c r="C1443" s="8"/>
      <c r="D1443" s="8"/>
      <c r="E1443" s="8"/>
      <c r="F1443" s="8"/>
    </row>
    <row r="1444">
      <c r="A1444" s="8"/>
      <c r="B1444" s="8"/>
      <c r="C1444" s="8"/>
      <c r="D1444" s="8"/>
      <c r="E1444" s="8"/>
      <c r="F1444" s="8"/>
    </row>
    <row r="1445">
      <c r="A1445" s="8"/>
      <c r="B1445" s="8"/>
      <c r="C1445" s="8"/>
      <c r="D1445" s="8"/>
      <c r="E1445" s="8"/>
      <c r="F1445" s="8"/>
    </row>
    <row r="1446">
      <c r="A1446" s="8"/>
      <c r="B1446" s="8"/>
      <c r="C1446" s="8"/>
      <c r="D1446" s="8"/>
      <c r="E1446" s="8"/>
      <c r="F1446" s="8"/>
    </row>
    <row r="1447">
      <c r="A1447" s="8"/>
      <c r="B1447" s="8"/>
      <c r="C1447" s="8"/>
      <c r="D1447" s="8"/>
      <c r="E1447" s="8"/>
      <c r="F1447" s="8"/>
    </row>
    <row r="1448">
      <c r="A1448" s="8"/>
      <c r="B1448" s="8"/>
      <c r="C1448" s="8"/>
      <c r="D1448" s="8"/>
      <c r="E1448" s="8"/>
      <c r="F1448" s="8"/>
    </row>
    <row r="1449">
      <c r="A1449" s="8"/>
      <c r="B1449" s="8"/>
      <c r="C1449" s="8"/>
      <c r="D1449" s="8"/>
      <c r="E1449" s="8"/>
      <c r="F1449" s="8"/>
    </row>
    <row r="1450">
      <c r="A1450" s="8"/>
      <c r="B1450" s="8"/>
      <c r="C1450" s="8"/>
      <c r="D1450" s="8"/>
      <c r="E1450" s="8"/>
      <c r="F1450" s="8"/>
    </row>
    <row r="1451">
      <c r="A1451" s="8"/>
      <c r="B1451" s="8"/>
      <c r="C1451" s="8"/>
      <c r="D1451" s="8"/>
      <c r="E1451" s="8"/>
      <c r="F1451" s="8"/>
    </row>
    <row r="1452">
      <c r="A1452" s="8"/>
      <c r="B1452" s="8"/>
      <c r="C1452" s="8"/>
      <c r="D1452" s="8"/>
      <c r="E1452" s="8"/>
      <c r="F1452" s="8"/>
    </row>
    <row r="1453">
      <c r="A1453" s="8"/>
      <c r="B1453" s="8"/>
      <c r="C1453" s="8"/>
      <c r="D1453" s="8"/>
      <c r="E1453" s="8"/>
      <c r="F1453" s="8"/>
    </row>
    <row r="1454">
      <c r="A1454" s="8"/>
      <c r="B1454" s="8"/>
      <c r="C1454" s="8"/>
      <c r="D1454" s="8"/>
      <c r="E1454" s="8"/>
      <c r="F1454" s="8"/>
    </row>
    <row r="1455">
      <c r="A1455" s="8"/>
      <c r="B1455" s="8"/>
      <c r="C1455" s="8"/>
      <c r="D1455" s="8"/>
      <c r="E1455" s="8"/>
      <c r="F1455" s="8"/>
    </row>
    <row r="1456">
      <c r="A1456" s="8"/>
      <c r="B1456" s="8"/>
      <c r="C1456" s="8"/>
      <c r="D1456" s="8"/>
      <c r="E1456" s="8"/>
      <c r="F1456" s="8"/>
    </row>
    <row r="1457">
      <c r="A1457" s="8"/>
      <c r="B1457" s="8"/>
      <c r="C1457" s="8"/>
      <c r="D1457" s="8"/>
      <c r="E1457" s="8"/>
      <c r="F1457" s="8"/>
    </row>
    <row r="1458">
      <c r="A1458" s="8"/>
      <c r="B1458" s="8"/>
      <c r="C1458" s="8"/>
      <c r="D1458" s="8"/>
      <c r="E1458" s="8"/>
      <c r="F1458" s="8"/>
    </row>
    <row r="1459">
      <c r="A1459" s="8"/>
      <c r="B1459" s="8"/>
      <c r="C1459" s="8"/>
      <c r="D1459" s="8"/>
      <c r="E1459" s="8"/>
      <c r="F1459" s="8"/>
    </row>
    <row r="1460">
      <c r="A1460" s="8"/>
      <c r="B1460" s="8"/>
      <c r="C1460" s="8"/>
      <c r="D1460" s="8"/>
      <c r="E1460" s="8"/>
      <c r="F1460" s="8"/>
    </row>
    <row r="1461">
      <c r="A1461" s="8"/>
      <c r="B1461" s="8"/>
      <c r="C1461" s="8"/>
      <c r="D1461" s="8"/>
      <c r="E1461" s="8"/>
      <c r="F1461" s="8"/>
    </row>
    <row r="1462">
      <c r="A1462" s="8"/>
      <c r="B1462" s="8"/>
      <c r="C1462" s="8"/>
      <c r="D1462" s="8"/>
      <c r="E1462" s="8"/>
      <c r="F1462" s="8"/>
    </row>
    <row r="1463">
      <c r="A1463" s="8"/>
      <c r="B1463" s="8"/>
      <c r="C1463" s="8"/>
      <c r="D1463" s="8"/>
      <c r="E1463" s="8"/>
      <c r="F1463" s="8"/>
    </row>
    <row r="1464">
      <c r="A1464" s="8"/>
      <c r="B1464" s="8"/>
      <c r="C1464" s="8"/>
      <c r="D1464" s="8"/>
      <c r="E1464" s="8"/>
      <c r="F1464" s="8"/>
    </row>
    <row r="1465">
      <c r="A1465" s="8"/>
      <c r="B1465" s="8"/>
      <c r="C1465" s="8"/>
      <c r="D1465" s="8"/>
      <c r="E1465" s="8"/>
      <c r="F1465" s="8"/>
    </row>
    <row r="1466">
      <c r="A1466" s="8"/>
      <c r="B1466" s="8"/>
      <c r="C1466" s="8"/>
      <c r="D1466" s="8"/>
      <c r="E1466" s="8"/>
      <c r="F1466" s="8"/>
    </row>
    <row r="1467">
      <c r="A1467" s="8"/>
      <c r="B1467" s="8"/>
      <c r="C1467" s="8"/>
      <c r="D1467" s="8"/>
      <c r="E1467" s="8"/>
      <c r="F1467" s="8"/>
    </row>
    <row r="1468">
      <c r="A1468" s="8"/>
      <c r="B1468" s="8"/>
      <c r="C1468" s="8"/>
      <c r="D1468" s="8"/>
      <c r="E1468" s="8"/>
      <c r="F1468" s="8"/>
    </row>
    <row r="1469">
      <c r="A1469" s="8"/>
      <c r="B1469" s="8"/>
      <c r="C1469" s="8"/>
      <c r="D1469" s="8"/>
      <c r="E1469" s="8"/>
      <c r="F1469" s="8"/>
    </row>
    <row r="1470">
      <c r="A1470" s="8"/>
      <c r="B1470" s="8"/>
      <c r="C1470" s="8"/>
      <c r="D1470" s="8"/>
      <c r="E1470" s="8"/>
      <c r="F1470" s="8"/>
    </row>
    <row r="1471">
      <c r="A1471" s="8"/>
      <c r="B1471" s="8"/>
      <c r="C1471" s="8"/>
      <c r="D1471" s="8"/>
      <c r="E1471" s="8"/>
      <c r="F1471" s="8"/>
    </row>
    <row r="1472">
      <c r="A1472" s="8"/>
      <c r="B1472" s="8"/>
      <c r="C1472" s="8"/>
      <c r="D1472" s="8"/>
      <c r="E1472" s="8"/>
      <c r="F1472" s="8"/>
    </row>
    <row r="1473">
      <c r="A1473" s="8"/>
      <c r="B1473" s="8"/>
      <c r="C1473" s="8"/>
      <c r="D1473" s="8"/>
      <c r="E1473" s="8"/>
      <c r="F1473" s="8"/>
    </row>
    <row r="1474">
      <c r="A1474" s="8"/>
      <c r="B1474" s="8"/>
      <c r="C1474" s="8"/>
      <c r="D1474" s="8"/>
      <c r="E1474" s="8"/>
      <c r="F1474" s="8"/>
    </row>
    <row r="1475">
      <c r="A1475" s="8"/>
      <c r="B1475" s="8"/>
      <c r="C1475" s="8"/>
      <c r="D1475" s="8"/>
      <c r="E1475" s="8"/>
      <c r="F1475" s="8"/>
    </row>
    <row r="1476">
      <c r="A1476" s="8"/>
      <c r="B1476" s="8"/>
      <c r="C1476" s="8"/>
      <c r="D1476" s="8"/>
      <c r="E1476" s="8"/>
      <c r="F1476" s="8"/>
    </row>
    <row r="1477">
      <c r="A1477" s="8"/>
      <c r="B1477" s="8"/>
      <c r="C1477" s="8"/>
      <c r="D1477" s="8"/>
      <c r="E1477" s="8"/>
      <c r="F1477" s="8"/>
    </row>
    <row r="1478">
      <c r="A1478" s="8"/>
      <c r="B1478" s="8"/>
      <c r="C1478" s="8"/>
      <c r="D1478" s="8"/>
      <c r="E1478" s="8"/>
      <c r="F1478" s="8"/>
    </row>
    <row r="1479">
      <c r="A1479" s="8"/>
      <c r="B1479" s="8"/>
      <c r="C1479" s="8"/>
      <c r="D1479" s="8"/>
      <c r="E1479" s="8"/>
      <c r="F1479" s="8"/>
    </row>
    <row r="1480">
      <c r="A1480" s="8"/>
      <c r="B1480" s="8"/>
      <c r="C1480" s="8"/>
      <c r="D1480" s="8"/>
      <c r="E1480" s="8"/>
      <c r="F1480" s="8"/>
    </row>
    <row r="1481">
      <c r="A1481" s="8"/>
      <c r="B1481" s="8"/>
      <c r="C1481" s="8"/>
      <c r="D1481" s="8"/>
      <c r="E1481" s="8"/>
      <c r="F1481" s="8"/>
    </row>
    <row r="1482">
      <c r="A1482" s="8"/>
      <c r="B1482" s="8"/>
      <c r="C1482" s="8"/>
      <c r="D1482" s="8"/>
      <c r="E1482" s="8"/>
      <c r="F1482" s="8"/>
    </row>
    <row r="1483">
      <c r="A1483" s="8"/>
      <c r="B1483" s="8"/>
      <c r="C1483" s="8"/>
      <c r="D1483" s="8"/>
      <c r="E1483" s="8"/>
      <c r="F1483" s="8"/>
    </row>
    <row r="1484">
      <c r="A1484" s="8"/>
      <c r="B1484" s="8"/>
      <c r="C1484" s="8"/>
      <c r="D1484" s="8"/>
      <c r="E1484" s="8"/>
      <c r="F1484" s="8"/>
    </row>
    <row r="1485">
      <c r="A1485" s="8"/>
      <c r="B1485" s="8"/>
      <c r="C1485" s="8"/>
      <c r="D1485" s="8"/>
      <c r="E1485" s="8"/>
      <c r="F1485" s="8"/>
    </row>
    <row r="1486">
      <c r="A1486" s="8"/>
      <c r="B1486" s="8"/>
      <c r="C1486" s="8"/>
      <c r="D1486" s="8"/>
      <c r="E1486" s="8"/>
      <c r="F1486" s="8"/>
    </row>
    <row r="1487">
      <c r="A1487" s="8"/>
      <c r="B1487" s="8"/>
      <c r="C1487" s="8"/>
      <c r="D1487" s="8"/>
      <c r="E1487" s="8"/>
      <c r="F1487" s="8"/>
    </row>
    <row r="1488">
      <c r="A1488" s="8"/>
      <c r="B1488" s="8"/>
      <c r="C1488" s="8"/>
      <c r="D1488" s="8"/>
      <c r="E1488" s="8"/>
      <c r="F1488" s="8"/>
    </row>
    <row r="1489">
      <c r="A1489" s="8"/>
      <c r="B1489" s="8"/>
      <c r="C1489" s="8"/>
      <c r="D1489" s="8"/>
      <c r="E1489" s="8"/>
      <c r="F1489" s="8"/>
    </row>
    <row r="1490">
      <c r="A1490" s="8"/>
      <c r="B1490" s="8"/>
      <c r="C1490" s="8"/>
      <c r="D1490" s="8"/>
      <c r="E1490" s="8"/>
      <c r="F1490" s="8"/>
    </row>
    <row r="1491">
      <c r="A1491" s="8"/>
      <c r="B1491" s="8"/>
      <c r="C1491" s="8"/>
      <c r="D1491" s="8"/>
      <c r="E1491" s="8"/>
      <c r="F1491" s="8"/>
    </row>
    <row r="1492">
      <c r="A1492" s="8"/>
      <c r="B1492" s="8"/>
      <c r="C1492" s="8"/>
      <c r="D1492" s="8"/>
      <c r="E1492" s="8"/>
      <c r="F1492" s="8"/>
    </row>
    <row r="1493">
      <c r="A1493" s="8"/>
      <c r="B1493" s="8"/>
      <c r="C1493" s="8"/>
      <c r="D1493" s="8"/>
      <c r="E1493" s="8"/>
      <c r="F1493" s="8"/>
    </row>
    <row r="1494">
      <c r="A1494" s="8"/>
      <c r="B1494" s="8"/>
      <c r="C1494" s="8"/>
      <c r="D1494" s="8"/>
      <c r="E1494" s="8"/>
      <c r="F1494" s="8"/>
    </row>
    <row r="1495">
      <c r="A1495" s="8"/>
      <c r="B1495" s="8"/>
      <c r="C1495" s="8"/>
      <c r="D1495" s="8"/>
      <c r="E1495" s="8"/>
      <c r="F1495" s="8"/>
    </row>
    <row r="1496">
      <c r="A1496" s="8"/>
      <c r="B1496" s="8"/>
      <c r="C1496" s="8"/>
      <c r="D1496" s="8"/>
      <c r="E1496" s="8"/>
      <c r="F1496" s="8"/>
    </row>
    <row r="1497">
      <c r="A1497" s="8"/>
      <c r="B1497" s="8"/>
      <c r="C1497" s="8"/>
      <c r="D1497" s="8"/>
      <c r="E1497" s="8"/>
      <c r="F1497" s="8"/>
    </row>
    <row r="1498">
      <c r="A1498" s="8"/>
      <c r="B1498" s="8"/>
      <c r="C1498" s="8"/>
      <c r="D1498" s="8"/>
      <c r="E1498" s="8"/>
      <c r="F1498" s="8"/>
    </row>
    <row r="1499">
      <c r="A1499" s="8"/>
      <c r="B1499" s="8"/>
      <c r="C1499" s="8"/>
      <c r="D1499" s="8"/>
      <c r="E1499" s="8"/>
      <c r="F1499" s="8"/>
    </row>
    <row r="1500">
      <c r="A1500" s="8"/>
      <c r="B1500" s="8"/>
      <c r="C1500" s="8"/>
      <c r="D1500" s="8"/>
      <c r="E1500" s="8"/>
      <c r="F1500" s="8"/>
    </row>
    <row r="1501">
      <c r="A1501" s="8"/>
      <c r="B1501" s="8"/>
      <c r="C1501" s="8"/>
      <c r="D1501" s="8"/>
      <c r="E1501" s="8"/>
      <c r="F1501" s="8"/>
    </row>
    <row r="1502">
      <c r="A1502" s="8"/>
      <c r="B1502" s="8"/>
      <c r="C1502" s="8"/>
      <c r="D1502" s="8"/>
      <c r="E1502" s="8"/>
      <c r="F1502" s="8"/>
    </row>
    <row r="1503">
      <c r="A1503" s="8"/>
      <c r="B1503" s="8"/>
      <c r="C1503" s="8"/>
      <c r="D1503" s="8"/>
      <c r="E1503" s="8"/>
      <c r="F1503" s="8"/>
    </row>
    <row r="1504">
      <c r="A1504" s="8"/>
      <c r="B1504" s="8"/>
      <c r="C1504" s="8"/>
      <c r="D1504" s="8"/>
      <c r="E1504" s="8"/>
      <c r="F1504" s="8"/>
    </row>
    <row r="1505">
      <c r="A1505" s="8"/>
      <c r="B1505" s="8"/>
      <c r="C1505" s="8"/>
      <c r="D1505" s="8"/>
      <c r="E1505" s="8"/>
      <c r="F1505" s="8"/>
    </row>
    <row r="1506">
      <c r="A1506" s="8"/>
      <c r="B1506" s="8"/>
      <c r="C1506" s="8"/>
      <c r="D1506" s="8"/>
      <c r="E1506" s="8"/>
      <c r="F1506" s="8"/>
    </row>
    <row r="1507">
      <c r="A1507" s="8"/>
      <c r="B1507" s="8"/>
      <c r="C1507" s="8"/>
      <c r="D1507" s="8"/>
      <c r="E1507" s="8"/>
      <c r="F1507" s="8"/>
    </row>
    <row r="1508">
      <c r="A1508" s="8"/>
      <c r="B1508" s="8"/>
      <c r="C1508" s="8"/>
      <c r="D1508" s="8"/>
      <c r="E1508" s="8"/>
      <c r="F1508" s="8"/>
    </row>
    <row r="1509">
      <c r="A1509" s="8"/>
      <c r="B1509" s="8"/>
      <c r="C1509" s="8"/>
      <c r="D1509" s="8"/>
      <c r="E1509" s="8"/>
      <c r="F1509" s="8"/>
    </row>
    <row r="1510">
      <c r="A1510" s="8"/>
      <c r="B1510" s="8"/>
      <c r="C1510" s="8"/>
      <c r="D1510" s="8"/>
      <c r="E1510" s="8"/>
      <c r="F1510" s="8"/>
    </row>
    <row r="1511">
      <c r="A1511" s="8"/>
      <c r="B1511" s="8"/>
      <c r="C1511" s="8"/>
      <c r="D1511" s="8"/>
      <c r="E1511" s="8"/>
      <c r="F1511" s="8"/>
    </row>
    <row r="1512">
      <c r="A1512" s="8"/>
      <c r="B1512" s="8"/>
      <c r="C1512" s="8"/>
      <c r="D1512" s="8"/>
      <c r="E1512" s="8"/>
      <c r="F1512" s="8"/>
    </row>
    <row r="1513">
      <c r="A1513" s="8"/>
      <c r="B1513" s="8"/>
      <c r="C1513" s="8"/>
      <c r="D1513" s="8"/>
      <c r="E1513" s="8"/>
      <c r="F1513" s="8"/>
    </row>
    <row r="1514">
      <c r="A1514" s="8"/>
      <c r="B1514" s="8"/>
      <c r="C1514" s="8"/>
      <c r="D1514" s="8"/>
      <c r="E1514" s="8"/>
      <c r="F1514" s="8"/>
    </row>
    <row r="1515">
      <c r="A1515" s="8"/>
      <c r="B1515" s="8"/>
      <c r="C1515" s="8"/>
      <c r="D1515" s="8"/>
      <c r="E1515" s="8"/>
      <c r="F1515" s="8"/>
    </row>
    <row r="1516">
      <c r="A1516" s="8"/>
      <c r="B1516" s="8"/>
      <c r="C1516" s="8"/>
      <c r="D1516" s="8"/>
      <c r="E1516" s="8"/>
      <c r="F1516" s="8"/>
    </row>
    <row r="1517">
      <c r="A1517" s="8"/>
      <c r="B1517" s="8"/>
      <c r="C1517" s="8"/>
      <c r="D1517" s="8"/>
      <c r="E1517" s="8"/>
      <c r="F1517" s="8"/>
    </row>
    <row r="1518">
      <c r="A1518" s="8"/>
      <c r="B1518" s="8"/>
      <c r="C1518" s="8"/>
      <c r="D1518" s="8"/>
      <c r="E1518" s="8"/>
      <c r="F1518" s="8"/>
    </row>
    <row r="1519">
      <c r="A1519" s="8"/>
      <c r="B1519" s="8"/>
      <c r="C1519" s="8"/>
      <c r="D1519" s="8"/>
      <c r="E1519" s="8"/>
      <c r="F1519" s="8"/>
    </row>
    <row r="1520">
      <c r="A1520" s="8"/>
      <c r="B1520" s="8"/>
      <c r="C1520" s="8"/>
      <c r="D1520" s="8"/>
      <c r="E1520" s="8"/>
      <c r="F1520" s="8"/>
    </row>
    <row r="1521">
      <c r="A1521" s="8"/>
      <c r="B1521" s="8"/>
      <c r="C1521" s="8"/>
      <c r="D1521" s="8"/>
      <c r="E1521" s="8"/>
      <c r="F1521" s="8"/>
    </row>
    <row r="1522">
      <c r="A1522" s="8"/>
      <c r="B1522" s="8"/>
      <c r="C1522" s="8"/>
      <c r="D1522" s="8"/>
      <c r="E1522" s="8"/>
      <c r="F1522" s="8"/>
    </row>
    <row r="1523">
      <c r="A1523" s="8"/>
      <c r="B1523" s="8"/>
      <c r="C1523" s="8"/>
      <c r="D1523" s="8"/>
      <c r="E1523" s="8"/>
      <c r="F1523" s="8"/>
    </row>
    <row r="1524">
      <c r="A1524" s="8"/>
      <c r="B1524" s="8"/>
      <c r="C1524" s="8"/>
      <c r="D1524" s="8"/>
      <c r="E1524" s="8"/>
      <c r="F1524" s="8"/>
    </row>
    <row r="1525">
      <c r="A1525" s="8"/>
      <c r="B1525" s="8"/>
      <c r="C1525" s="8"/>
      <c r="D1525" s="8"/>
      <c r="E1525" s="8"/>
      <c r="F1525" s="8"/>
    </row>
    <row r="1526">
      <c r="A1526" s="8"/>
      <c r="B1526" s="8"/>
      <c r="C1526" s="8"/>
      <c r="D1526" s="8"/>
      <c r="E1526" s="8"/>
      <c r="F1526" s="8"/>
    </row>
    <row r="1527">
      <c r="A1527" s="8"/>
      <c r="B1527" s="8"/>
      <c r="C1527" s="8"/>
      <c r="D1527" s="8"/>
      <c r="E1527" s="8"/>
      <c r="F1527" s="8"/>
    </row>
    <row r="1528">
      <c r="A1528" s="8"/>
      <c r="B1528" s="8"/>
      <c r="C1528" s="8"/>
      <c r="D1528" s="8"/>
      <c r="E1528" s="8"/>
      <c r="F1528" s="8"/>
    </row>
    <row r="1529">
      <c r="A1529" s="8"/>
      <c r="B1529" s="8"/>
      <c r="C1529" s="8"/>
      <c r="D1529" s="8"/>
      <c r="E1529" s="8"/>
      <c r="F1529" s="8"/>
    </row>
    <row r="1530">
      <c r="A1530" s="8"/>
      <c r="B1530" s="8"/>
      <c r="C1530" s="8"/>
      <c r="D1530" s="8"/>
      <c r="E1530" s="8"/>
      <c r="F1530" s="8"/>
    </row>
    <row r="1531">
      <c r="A1531" s="8"/>
      <c r="B1531" s="8"/>
      <c r="C1531" s="8"/>
      <c r="D1531" s="8"/>
      <c r="E1531" s="8"/>
      <c r="F1531" s="8"/>
    </row>
    <row r="1532">
      <c r="A1532" s="8"/>
      <c r="B1532" s="8"/>
      <c r="C1532" s="8"/>
      <c r="D1532" s="8"/>
      <c r="E1532" s="8"/>
      <c r="F1532" s="8"/>
    </row>
    <row r="1533">
      <c r="A1533" s="8"/>
      <c r="B1533" s="8"/>
      <c r="C1533" s="8"/>
      <c r="D1533" s="8"/>
      <c r="E1533" s="8"/>
      <c r="F1533" s="8"/>
    </row>
    <row r="1534">
      <c r="A1534" s="8"/>
      <c r="B1534" s="8"/>
      <c r="C1534" s="8"/>
      <c r="D1534" s="8"/>
      <c r="E1534" s="8"/>
      <c r="F1534" s="8"/>
    </row>
    <row r="1535">
      <c r="A1535" s="8"/>
      <c r="B1535" s="8"/>
      <c r="C1535" s="8"/>
      <c r="D1535" s="8"/>
      <c r="E1535" s="8"/>
      <c r="F1535" s="8"/>
    </row>
    <row r="1536">
      <c r="A1536" s="8"/>
      <c r="B1536" s="8"/>
      <c r="C1536" s="8"/>
      <c r="D1536" s="8"/>
      <c r="E1536" s="8"/>
      <c r="F1536" s="8"/>
    </row>
    <row r="1537">
      <c r="A1537" s="8"/>
      <c r="B1537" s="8"/>
      <c r="C1537" s="8"/>
      <c r="D1537" s="8"/>
      <c r="E1537" s="8"/>
      <c r="F1537" s="8"/>
    </row>
    <row r="1538">
      <c r="A1538" s="8"/>
      <c r="B1538" s="8"/>
      <c r="C1538" s="8"/>
      <c r="D1538" s="8"/>
      <c r="E1538" s="8"/>
      <c r="F1538" s="8"/>
    </row>
    <row r="1539">
      <c r="A1539" s="8"/>
      <c r="B1539" s="8"/>
      <c r="C1539" s="8"/>
      <c r="D1539" s="8"/>
      <c r="E1539" s="8"/>
      <c r="F1539" s="8"/>
    </row>
    <row r="1540">
      <c r="A1540" s="8"/>
      <c r="B1540" s="8"/>
      <c r="C1540" s="8"/>
      <c r="D1540" s="8"/>
      <c r="E1540" s="8"/>
      <c r="F1540" s="8"/>
    </row>
    <row r="1541">
      <c r="A1541" s="8"/>
      <c r="B1541" s="8"/>
      <c r="C1541" s="8"/>
      <c r="D1541" s="8"/>
      <c r="E1541" s="8"/>
      <c r="F1541" s="8"/>
    </row>
    <row r="1542">
      <c r="A1542" s="8"/>
      <c r="B1542" s="8"/>
      <c r="C1542" s="8"/>
      <c r="D1542" s="8"/>
      <c r="E1542" s="8"/>
      <c r="F1542" s="8"/>
    </row>
    <row r="1543">
      <c r="A1543" s="8"/>
      <c r="B1543" s="8"/>
      <c r="C1543" s="8"/>
      <c r="D1543" s="8"/>
      <c r="E1543" s="8"/>
      <c r="F1543" s="8"/>
    </row>
    <row r="1544">
      <c r="A1544" s="8"/>
      <c r="B1544" s="8"/>
      <c r="C1544" s="8"/>
      <c r="D1544" s="8"/>
      <c r="E1544" s="8"/>
      <c r="F1544" s="8"/>
    </row>
    <row r="1545">
      <c r="A1545" s="8"/>
      <c r="B1545" s="8"/>
      <c r="C1545" s="8"/>
      <c r="D1545" s="8"/>
      <c r="E1545" s="8"/>
      <c r="F1545" s="8"/>
    </row>
    <row r="1546">
      <c r="A1546" s="8"/>
      <c r="B1546" s="8"/>
      <c r="C1546" s="8"/>
      <c r="D1546" s="8"/>
      <c r="E1546" s="8"/>
      <c r="F1546" s="8"/>
    </row>
    <row r="1547">
      <c r="A1547" s="8"/>
      <c r="B1547" s="8"/>
      <c r="C1547" s="8"/>
      <c r="D1547" s="8"/>
      <c r="E1547" s="8"/>
      <c r="F1547" s="8"/>
    </row>
    <row r="1548">
      <c r="A1548" s="8"/>
      <c r="B1548" s="8"/>
      <c r="C1548" s="8"/>
      <c r="D1548" s="8"/>
      <c r="E1548" s="8"/>
      <c r="F1548" s="8"/>
    </row>
    <row r="1549">
      <c r="A1549" s="8"/>
      <c r="B1549" s="8"/>
      <c r="C1549" s="8"/>
      <c r="D1549" s="8"/>
      <c r="E1549" s="8"/>
      <c r="F1549" s="8"/>
    </row>
    <row r="1550">
      <c r="A1550" s="8"/>
      <c r="B1550" s="8"/>
      <c r="C1550" s="8"/>
      <c r="D1550" s="8"/>
      <c r="E1550" s="8"/>
      <c r="F1550" s="8"/>
    </row>
    <row r="1551">
      <c r="A1551" s="8"/>
      <c r="B1551" s="8"/>
      <c r="C1551" s="8"/>
      <c r="D1551" s="8"/>
      <c r="E1551" s="8"/>
      <c r="F1551" s="8"/>
    </row>
    <row r="1552">
      <c r="A1552" s="8"/>
      <c r="B1552" s="8"/>
      <c r="C1552" s="8"/>
      <c r="D1552" s="8"/>
      <c r="E1552" s="8"/>
      <c r="F1552" s="8"/>
    </row>
    <row r="1553">
      <c r="A1553" s="8"/>
      <c r="B1553" s="8"/>
      <c r="C1553" s="8"/>
      <c r="D1553" s="8"/>
      <c r="E1553" s="8"/>
      <c r="F1553" s="8"/>
    </row>
    <row r="1554">
      <c r="A1554" s="8"/>
      <c r="B1554" s="8"/>
      <c r="C1554" s="8"/>
      <c r="D1554" s="8"/>
      <c r="E1554" s="8"/>
      <c r="F1554" s="8"/>
    </row>
    <row r="1555">
      <c r="A1555" s="8"/>
      <c r="B1555" s="8"/>
      <c r="C1555" s="8"/>
      <c r="D1555" s="8"/>
      <c r="E1555" s="8"/>
      <c r="F1555" s="8"/>
    </row>
    <row r="1556">
      <c r="A1556" s="8"/>
      <c r="B1556" s="8"/>
      <c r="C1556" s="8"/>
      <c r="D1556" s="8"/>
      <c r="E1556" s="8"/>
      <c r="F1556" s="8"/>
    </row>
    <row r="1557">
      <c r="A1557" s="8"/>
      <c r="B1557" s="8"/>
      <c r="C1557" s="8"/>
      <c r="D1557" s="8"/>
      <c r="E1557" s="8"/>
      <c r="F1557" s="8"/>
    </row>
    <row r="1558">
      <c r="A1558" s="8"/>
      <c r="B1558" s="8"/>
      <c r="C1558" s="8"/>
      <c r="D1558" s="8"/>
      <c r="E1558" s="8"/>
      <c r="F1558" s="8"/>
    </row>
    <row r="1559">
      <c r="A1559" s="8"/>
      <c r="B1559" s="8"/>
      <c r="C1559" s="8"/>
      <c r="D1559" s="8"/>
      <c r="E1559" s="8"/>
      <c r="F1559" s="8"/>
    </row>
    <row r="1560">
      <c r="A1560" s="8"/>
      <c r="B1560" s="8"/>
      <c r="C1560" s="8"/>
      <c r="D1560" s="8"/>
      <c r="E1560" s="8"/>
      <c r="F1560" s="8"/>
    </row>
    <row r="1561">
      <c r="A1561" s="8"/>
      <c r="B1561" s="8"/>
      <c r="C1561" s="8"/>
      <c r="D1561" s="8"/>
      <c r="E1561" s="8"/>
      <c r="F1561" s="8"/>
    </row>
    <row r="1562">
      <c r="A1562" s="8"/>
      <c r="B1562" s="8"/>
      <c r="C1562" s="8"/>
      <c r="D1562" s="8"/>
      <c r="E1562" s="8"/>
      <c r="F1562" s="8"/>
    </row>
    <row r="1563">
      <c r="A1563" s="8"/>
      <c r="B1563" s="8"/>
      <c r="C1563" s="8"/>
      <c r="D1563" s="8"/>
      <c r="E1563" s="8"/>
      <c r="F1563" s="8"/>
    </row>
    <row r="1564">
      <c r="A1564" s="8"/>
      <c r="B1564" s="8"/>
      <c r="C1564" s="8"/>
      <c r="D1564" s="8"/>
      <c r="E1564" s="8"/>
      <c r="F1564" s="8"/>
    </row>
    <row r="1565">
      <c r="A1565" s="8"/>
      <c r="B1565" s="8"/>
      <c r="C1565" s="8"/>
      <c r="D1565" s="8"/>
      <c r="E1565" s="8"/>
      <c r="F1565" s="8"/>
    </row>
    <row r="1566">
      <c r="A1566" s="8"/>
      <c r="B1566" s="8"/>
      <c r="C1566" s="8"/>
      <c r="D1566" s="8"/>
      <c r="E1566" s="8"/>
      <c r="F1566" s="8"/>
    </row>
    <row r="1567">
      <c r="A1567" s="8"/>
      <c r="B1567" s="8"/>
      <c r="C1567" s="8"/>
      <c r="D1567" s="8"/>
      <c r="E1567" s="8"/>
      <c r="F1567" s="8"/>
    </row>
    <row r="1568">
      <c r="A1568" s="8"/>
      <c r="B1568" s="8"/>
      <c r="C1568" s="8"/>
      <c r="D1568" s="8"/>
      <c r="E1568" s="8"/>
      <c r="F1568" s="8"/>
    </row>
    <row r="1569">
      <c r="A1569" s="8"/>
      <c r="B1569" s="8"/>
      <c r="C1569" s="8"/>
      <c r="D1569" s="8"/>
      <c r="E1569" s="8"/>
      <c r="F1569" s="8"/>
    </row>
    <row r="1570">
      <c r="A1570" s="8"/>
      <c r="B1570" s="8"/>
      <c r="C1570" s="8"/>
      <c r="D1570" s="8"/>
      <c r="E1570" s="8"/>
      <c r="F1570" s="8"/>
    </row>
    <row r="1571">
      <c r="A1571" s="8"/>
      <c r="B1571" s="8"/>
      <c r="C1571" s="8"/>
      <c r="D1571" s="8"/>
      <c r="E1571" s="8"/>
      <c r="F1571" s="8"/>
    </row>
    <row r="1572">
      <c r="A1572" s="8"/>
      <c r="B1572" s="8"/>
      <c r="C1572" s="8"/>
      <c r="D1572" s="8"/>
      <c r="E1572" s="8"/>
      <c r="F1572" s="8"/>
    </row>
    <row r="1573">
      <c r="A1573" s="8"/>
      <c r="B1573" s="8"/>
      <c r="C1573" s="8"/>
      <c r="D1573" s="8"/>
      <c r="E1573" s="8"/>
      <c r="F1573" s="8"/>
    </row>
    <row r="1574">
      <c r="A1574" s="8"/>
      <c r="B1574" s="8"/>
      <c r="C1574" s="8"/>
      <c r="D1574" s="8"/>
      <c r="E1574" s="8"/>
      <c r="F1574" s="8"/>
    </row>
    <row r="1575">
      <c r="A1575" s="8"/>
      <c r="B1575" s="8"/>
      <c r="C1575" s="8"/>
      <c r="D1575" s="8"/>
      <c r="E1575" s="8"/>
      <c r="F1575" s="8"/>
    </row>
    <row r="1576">
      <c r="A1576" s="8"/>
      <c r="B1576" s="8"/>
      <c r="C1576" s="8"/>
      <c r="D1576" s="8"/>
      <c r="E1576" s="8"/>
      <c r="F1576" s="8"/>
    </row>
    <row r="1577">
      <c r="A1577" s="8"/>
      <c r="B1577" s="8"/>
      <c r="C1577" s="8"/>
      <c r="D1577" s="8"/>
      <c r="E1577" s="8"/>
      <c r="F1577" s="8"/>
    </row>
    <row r="1578">
      <c r="A1578" s="8"/>
      <c r="B1578" s="8"/>
      <c r="C1578" s="8"/>
      <c r="D1578" s="8"/>
      <c r="E1578" s="8"/>
      <c r="F1578" s="8"/>
    </row>
    <row r="1579">
      <c r="A1579" s="8"/>
      <c r="B1579" s="8"/>
      <c r="C1579" s="8"/>
      <c r="D1579" s="8"/>
      <c r="E1579" s="8"/>
      <c r="F1579" s="8"/>
    </row>
    <row r="1580">
      <c r="A1580" s="8"/>
      <c r="B1580" s="8"/>
      <c r="C1580" s="8"/>
      <c r="D1580" s="8"/>
      <c r="E1580" s="8"/>
      <c r="F1580" s="8"/>
    </row>
    <row r="1581">
      <c r="A1581" s="8"/>
      <c r="B1581" s="8"/>
      <c r="C1581" s="8"/>
      <c r="D1581" s="8"/>
      <c r="E1581" s="8"/>
      <c r="F1581" s="8"/>
    </row>
    <row r="1582">
      <c r="A1582" s="8"/>
      <c r="B1582" s="8"/>
      <c r="C1582" s="8"/>
      <c r="D1582" s="8"/>
      <c r="E1582" s="8"/>
      <c r="F1582" s="8"/>
    </row>
    <row r="1583">
      <c r="A1583" s="8"/>
      <c r="B1583" s="8"/>
      <c r="C1583" s="8"/>
      <c r="D1583" s="8"/>
      <c r="E1583" s="8"/>
      <c r="F1583" s="8"/>
    </row>
    <row r="1584">
      <c r="A1584" s="8"/>
      <c r="B1584" s="8"/>
      <c r="C1584" s="8"/>
      <c r="D1584" s="8"/>
      <c r="E1584" s="8"/>
      <c r="F1584" s="8"/>
    </row>
    <row r="1585">
      <c r="A1585" s="8"/>
      <c r="B1585" s="8"/>
      <c r="C1585" s="8"/>
      <c r="D1585" s="8"/>
      <c r="E1585" s="8"/>
      <c r="F1585" s="8"/>
    </row>
    <row r="1586">
      <c r="A1586" s="8"/>
      <c r="B1586" s="8"/>
      <c r="C1586" s="8"/>
      <c r="D1586" s="8"/>
      <c r="E1586" s="8"/>
      <c r="F1586" s="8"/>
    </row>
    <row r="1587">
      <c r="A1587" s="8"/>
      <c r="B1587" s="8"/>
      <c r="C1587" s="8"/>
      <c r="D1587" s="8"/>
      <c r="E1587" s="8"/>
      <c r="F1587" s="8"/>
    </row>
    <row r="1588">
      <c r="A1588" s="8"/>
      <c r="B1588" s="8"/>
      <c r="C1588" s="8"/>
      <c r="D1588" s="8"/>
      <c r="E1588" s="8"/>
      <c r="F1588" s="8"/>
    </row>
    <row r="1589">
      <c r="A1589" s="8"/>
      <c r="B1589" s="8"/>
      <c r="C1589" s="8"/>
      <c r="D1589" s="8"/>
      <c r="E1589" s="8"/>
      <c r="F1589" s="8"/>
    </row>
    <row r="1590">
      <c r="A1590" s="8"/>
      <c r="B1590" s="8"/>
      <c r="C1590" s="8"/>
      <c r="D1590" s="8"/>
      <c r="E1590" s="8"/>
      <c r="F1590" s="8"/>
    </row>
    <row r="1591">
      <c r="A1591" s="8"/>
      <c r="B1591" s="8"/>
      <c r="C1591" s="8"/>
      <c r="D1591" s="8"/>
      <c r="E1591" s="8"/>
      <c r="F1591" s="8"/>
    </row>
    <row r="1592">
      <c r="A1592" s="8"/>
      <c r="B1592" s="8"/>
      <c r="C1592" s="8"/>
      <c r="D1592" s="8"/>
      <c r="E1592" s="8"/>
      <c r="F1592" s="8"/>
    </row>
    <row r="1593">
      <c r="A1593" s="8"/>
      <c r="B1593" s="8"/>
      <c r="C1593" s="8"/>
      <c r="D1593" s="8"/>
      <c r="E1593" s="8"/>
      <c r="F1593" s="8"/>
    </row>
    <row r="1594">
      <c r="A1594" s="8"/>
      <c r="B1594" s="8"/>
      <c r="C1594" s="8"/>
      <c r="D1594" s="8"/>
      <c r="E1594" s="8"/>
      <c r="F1594" s="8"/>
    </row>
    <row r="1595">
      <c r="A1595" s="8"/>
      <c r="B1595" s="8"/>
      <c r="C1595" s="8"/>
      <c r="D1595" s="8"/>
      <c r="E1595" s="8"/>
      <c r="F1595" s="8"/>
    </row>
    <row r="1596">
      <c r="A1596" s="8"/>
      <c r="B1596" s="8"/>
      <c r="C1596" s="8"/>
      <c r="D1596" s="8"/>
      <c r="E1596" s="8"/>
      <c r="F1596" s="8"/>
    </row>
    <row r="1597">
      <c r="A1597" s="8"/>
      <c r="B1597" s="8"/>
      <c r="C1597" s="8"/>
      <c r="D1597" s="8"/>
      <c r="E1597" s="8"/>
      <c r="F1597" s="8"/>
    </row>
    <row r="1598">
      <c r="A1598" s="8"/>
      <c r="B1598" s="8"/>
      <c r="C1598" s="8"/>
      <c r="D1598" s="8"/>
      <c r="E1598" s="8"/>
      <c r="F1598" s="8"/>
    </row>
    <row r="1599">
      <c r="A1599" s="8"/>
      <c r="B1599" s="8"/>
      <c r="C1599" s="8"/>
      <c r="D1599" s="8"/>
      <c r="E1599" s="8"/>
      <c r="F1599" s="8"/>
    </row>
    <row r="1600">
      <c r="A1600" s="8"/>
      <c r="B1600" s="8"/>
      <c r="C1600" s="8"/>
      <c r="D1600" s="8"/>
      <c r="E1600" s="8"/>
      <c r="F1600" s="8"/>
    </row>
    <row r="1601">
      <c r="A1601" s="8"/>
      <c r="B1601" s="8"/>
      <c r="C1601" s="8"/>
      <c r="D1601" s="8"/>
      <c r="E1601" s="8"/>
      <c r="F1601" s="8"/>
    </row>
    <row r="1602">
      <c r="A1602" s="8"/>
      <c r="B1602" s="8"/>
      <c r="C1602" s="8"/>
      <c r="D1602" s="8"/>
      <c r="E1602" s="8"/>
      <c r="F1602" s="8"/>
    </row>
    <row r="1603">
      <c r="A1603" s="8"/>
      <c r="B1603" s="8"/>
      <c r="C1603" s="8"/>
      <c r="D1603" s="8"/>
      <c r="E1603" s="8"/>
      <c r="F1603" s="8"/>
    </row>
    <row r="1604">
      <c r="A1604" s="8"/>
      <c r="B1604" s="8"/>
      <c r="C1604" s="8"/>
      <c r="D1604" s="8"/>
      <c r="E1604" s="8"/>
      <c r="F1604" s="8"/>
    </row>
    <row r="1605">
      <c r="A1605" s="8"/>
      <c r="B1605" s="8"/>
      <c r="C1605" s="8"/>
      <c r="D1605" s="8"/>
      <c r="E1605" s="8"/>
      <c r="F1605" s="8"/>
    </row>
    <row r="1606">
      <c r="A1606" s="8"/>
      <c r="B1606" s="8"/>
      <c r="C1606" s="8"/>
      <c r="D1606" s="8"/>
      <c r="E1606" s="8"/>
      <c r="F1606" s="8"/>
    </row>
    <row r="1607">
      <c r="A1607" s="8"/>
      <c r="B1607" s="8"/>
      <c r="C1607" s="8"/>
      <c r="D1607" s="8"/>
      <c r="E1607" s="8"/>
      <c r="F1607" s="8"/>
    </row>
    <row r="1608">
      <c r="A1608" s="8"/>
      <c r="B1608" s="8"/>
      <c r="C1608" s="8"/>
      <c r="D1608" s="8"/>
      <c r="E1608" s="8"/>
      <c r="F1608" s="8"/>
    </row>
    <row r="1609">
      <c r="A1609" s="8"/>
      <c r="B1609" s="8"/>
      <c r="C1609" s="8"/>
      <c r="D1609" s="8"/>
      <c r="E1609" s="8"/>
      <c r="F1609" s="8"/>
    </row>
    <row r="1610">
      <c r="A1610" s="8"/>
      <c r="B1610" s="8"/>
      <c r="C1610" s="8"/>
      <c r="D1610" s="8"/>
      <c r="E1610" s="8"/>
      <c r="F1610" s="8"/>
    </row>
    <row r="1611">
      <c r="A1611" s="8"/>
      <c r="B1611" s="8"/>
      <c r="C1611" s="8"/>
      <c r="D1611" s="8"/>
      <c r="E1611" s="8"/>
      <c r="F1611" s="8"/>
    </row>
    <row r="1612">
      <c r="A1612" s="8"/>
      <c r="B1612" s="8"/>
      <c r="C1612" s="8"/>
      <c r="D1612" s="8"/>
      <c r="E1612" s="8"/>
      <c r="F1612" s="8"/>
    </row>
    <row r="1613">
      <c r="A1613" s="8"/>
      <c r="B1613" s="8"/>
      <c r="C1613" s="8"/>
      <c r="D1613" s="8"/>
      <c r="E1613" s="8"/>
      <c r="F1613" s="8"/>
    </row>
    <row r="1614">
      <c r="A1614" s="8"/>
      <c r="B1614" s="8"/>
      <c r="C1614" s="8"/>
      <c r="D1614" s="8"/>
      <c r="E1614" s="8"/>
      <c r="F1614" s="8"/>
    </row>
    <row r="1615">
      <c r="A1615" s="8"/>
      <c r="B1615" s="8"/>
      <c r="C1615" s="8"/>
      <c r="D1615" s="8"/>
      <c r="E1615" s="8"/>
      <c r="F1615" s="8"/>
    </row>
    <row r="1616">
      <c r="A1616" s="8"/>
      <c r="B1616" s="8"/>
      <c r="C1616" s="8"/>
      <c r="D1616" s="8"/>
      <c r="E1616" s="8"/>
      <c r="F1616" s="8"/>
    </row>
    <row r="1617">
      <c r="A1617" s="8"/>
      <c r="B1617" s="8"/>
      <c r="C1617" s="8"/>
      <c r="D1617" s="8"/>
      <c r="E1617" s="8"/>
      <c r="F1617" s="8"/>
    </row>
    <row r="1618">
      <c r="A1618" s="8"/>
      <c r="B1618" s="8"/>
      <c r="C1618" s="8"/>
      <c r="D1618" s="8"/>
      <c r="E1618" s="8"/>
      <c r="F1618" s="8"/>
    </row>
    <row r="1619">
      <c r="A1619" s="8"/>
      <c r="B1619" s="8"/>
      <c r="C1619" s="8"/>
      <c r="D1619" s="8"/>
      <c r="E1619" s="8"/>
      <c r="F1619" s="8"/>
    </row>
    <row r="1620">
      <c r="A1620" s="8"/>
      <c r="B1620" s="8"/>
      <c r="C1620" s="8"/>
      <c r="D1620" s="8"/>
      <c r="E1620" s="8"/>
      <c r="F1620" s="8"/>
    </row>
    <row r="1621">
      <c r="A1621" s="8"/>
      <c r="B1621" s="8"/>
      <c r="C1621" s="8"/>
      <c r="D1621" s="8"/>
      <c r="E1621" s="8"/>
      <c r="F1621" s="8"/>
    </row>
    <row r="1622">
      <c r="A1622" s="8"/>
      <c r="B1622" s="8"/>
      <c r="C1622" s="8"/>
      <c r="D1622" s="8"/>
      <c r="E1622" s="8"/>
      <c r="F1622" s="8"/>
    </row>
    <row r="1623">
      <c r="A1623" s="8"/>
      <c r="B1623" s="8"/>
      <c r="C1623" s="8"/>
      <c r="D1623" s="8"/>
      <c r="E1623" s="8"/>
      <c r="F1623" s="8"/>
    </row>
    <row r="1624">
      <c r="A1624" s="8"/>
      <c r="B1624" s="8"/>
      <c r="C1624" s="8"/>
      <c r="D1624" s="8"/>
      <c r="E1624" s="8"/>
      <c r="F1624" s="8"/>
    </row>
    <row r="1625">
      <c r="A1625" s="8"/>
      <c r="B1625" s="8"/>
      <c r="C1625" s="8"/>
      <c r="D1625" s="8"/>
      <c r="E1625" s="8"/>
      <c r="F1625" s="8"/>
    </row>
    <row r="1626">
      <c r="A1626" s="8"/>
      <c r="B1626" s="8"/>
      <c r="C1626" s="8"/>
      <c r="D1626" s="8"/>
      <c r="E1626" s="8"/>
      <c r="F1626" s="8"/>
    </row>
    <row r="1627">
      <c r="A1627" s="8"/>
      <c r="B1627" s="8"/>
      <c r="C1627" s="8"/>
      <c r="D1627" s="8"/>
      <c r="E1627" s="8"/>
      <c r="F1627" s="8"/>
    </row>
    <row r="1628">
      <c r="A1628" s="8"/>
      <c r="B1628" s="8"/>
      <c r="C1628" s="8"/>
      <c r="D1628" s="8"/>
      <c r="E1628" s="8"/>
      <c r="F1628" s="8"/>
    </row>
    <row r="1629">
      <c r="A1629" s="8"/>
      <c r="B1629" s="8"/>
      <c r="C1629" s="8"/>
      <c r="D1629" s="8"/>
      <c r="E1629" s="8"/>
      <c r="F1629" s="8"/>
    </row>
    <row r="1630">
      <c r="A1630" s="8"/>
      <c r="B1630" s="8"/>
      <c r="C1630" s="8"/>
      <c r="D1630" s="8"/>
      <c r="E1630" s="8"/>
      <c r="F1630" s="8"/>
    </row>
    <row r="1631">
      <c r="A1631" s="8"/>
      <c r="B1631" s="8"/>
      <c r="C1631" s="8"/>
      <c r="D1631" s="8"/>
      <c r="E1631" s="8"/>
      <c r="F1631" s="8"/>
    </row>
    <row r="1632">
      <c r="A1632" s="8"/>
      <c r="B1632" s="8"/>
      <c r="C1632" s="8"/>
      <c r="D1632" s="8"/>
      <c r="E1632" s="8"/>
      <c r="F1632" s="8"/>
    </row>
    <row r="1633">
      <c r="A1633" s="8"/>
      <c r="B1633" s="8"/>
      <c r="C1633" s="8"/>
      <c r="D1633" s="8"/>
      <c r="E1633" s="8"/>
      <c r="F1633" s="8"/>
    </row>
    <row r="1634">
      <c r="A1634" s="8"/>
      <c r="B1634" s="8"/>
      <c r="C1634" s="8"/>
      <c r="D1634" s="8"/>
      <c r="E1634" s="8"/>
      <c r="F1634" s="8"/>
    </row>
    <row r="1635">
      <c r="A1635" s="8"/>
      <c r="B1635" s="8"/>
      <c r="C1635" s="8"/>
      <c r="D1635" s="8"/>
      <c r="E1635" s="8"/>
      <c r="F1635" s="8"/>
    </row>
    <row r="1636">
      <c r="A1636" s="8"/>
      <c r="B1636" s="8"/>
      <c r="C1636" s="8"/>
      <c r="D1636" s="8"/>
      <c r="E1636" s="8"/>
      <c r="F1636" s="8"/>
    </row>
    <row r="1637">
      <c r="A1637" s="8"/>
      <c r="B1637" s="8"/>
      <c r="C1637" s="8"/>
      <c r="D1637" s="8"/>
      <c r="E1637" s="8"/>
      <c r="F1637" s="8"/>
    </row>
    <row r="1638">
      <c r="A1638" s="8"/>
      <c r="B1638" s="8"/>
      <c r="C1638" s="8"/>
      <c r="D1638" s="8"/>
      <c r="E1638" s="8"/>
      <c r="F1638" s="8"/>
    </row>
    <row r="1639">
      <c r="A1639" s="8"/>
      <c r="B1639" s="8"/>
      <c r="C1639" s="8"/>
      <c r="D1639" s="8"/>
      <c r="E1639" s="8"/>
      <c r="F1639" s="8"/>
    </row>
    <row r="1640">
      <c r="A1640" s="8"/>
      <c r="B1640" s="8"/>
      <c r="C1640" s="8"/>
      <c r="D1640" s="8"/>
      <c r="E1640" s="8"/>
      <c r="F1640" s="8"/>
    </row>
    <row r="1641">
      <c r="A1641" s="8"/>
      <c r="B1641" s="8"/>
      <c r="C1641" s="8"/>
      <c r="D1641" s="8"/>
      <c r="E1641" s="8"/>
      <c r="F1641" s="8"/>
    </row>
    <row r="1642">
      <c r="A1642" s="8"/>
      <c r="B1642" s="8"/>
      <c r="C1642" s="8"/>
      <c r="D1642" s="8"/>
      <c r="E1642" s="8"/>
      <c r="F1642" s="8"/>
    </row>
    <row r="1643">
      <c r="A1643" s="8"/>
      <c r="B1643" s="8"/>
      <c r="C1643" s="8"/>
      <c r="D1643" s="8"/>
      <c r="E1643" s="8"/>
      <c r="F1643" s="8"/>
    </row>
    <row r="1644">
      <c r="A1644" s="8"/>
      <c r="B1644" s="8"/>
      <c r="C1644" s="8"/>
      <c r="D1644" s="8"/>
      <c r="E1644" s="8"/>
      <c r="F1644" s="8"/>
    </row>
    <row r="1645">
      <c r="A1645" s="8"/>
      <c r="B1645" s="8"/>
      <c r="C1645" s="8"/>
      <c r="D1645" s="8"/>
      <c r="E1645" s="8"/>
      <c r="F1645" s="8"/>
    </row>
    <row r="1646">
      <c r="A1646" s="8"/>
      <c r="B1646" s="8"/>
      <c r="C1646" s="8"/>
      <c r="D1646" s="8"/>
      <c r="E1646" s="8"/>
      <c r="F1646" s="8"/>
    </row>
    <row r="1647">
      <c r="A1647" s="8"/>
      <c r="B1647" s="8"/>
      <c r="C1647" s="8"/>
      <c r="D1647" s="8"/>
      <c r="E1647" s="8"/>
      <c r="F1647" s="8"/>
    </row>
    <row r="1648">
      <c r="A1648" s="8"/>
      <c r="B1648" s="8"/>
      <c r="C1648" s="8"/>
      <c r="D1648" s="8"/>
      <c r="E1648" s="8"/>
      <c r="F1648" s="8"/>
    </row>
    <row r="1649">
      <c r="A1649" s="8"/>
      <c r="B1649" s="8"/>
      <c r="C1649" s="8"/>
      <c r="D1649" s="8"/>
      <c r="E1649" s="8"/>
      <c r="F1649" s="8"/>
    </row>
    <row r="1650">
      <c r="A1650" s="8"/>
      <c r="B1650" s="8"/>
      <c r="C1650" s="8"/>
      <c r="D1650" s="8"/>
      <c r="E1650" s="8"/>
      <c r="F1650" s="8"/>
    </row>
    <row r="1651">
      <c r="A1651" s="8"/>
      <c r="B1651" s="8"/>
      <c r="C1651" s="8"/>
      <c r="D1651" s="8"/>
      <c r="E1651" s="8"/>
      <c r="F1651" s="8"/>
    </row>
    <row r="1652">
      <c r="A1652" s="8"/>
      <c r="B1652" s="8"/>
      <c r="C1652" s="8"/>
      <c r="D1652" s="8"/>
      <c r="E1652" s="8"/>
      <c r="F1652" s="8"/>
    </row>
    <row r="1653">
      <c r="A1653" s="8"/>
      <c r="B1653" s="8"/>
      <c r="C1653" s="8"/>
      <c r="D1653" s="8"/>
      <c r="E1653" s="8"/>
      <c r="F1653" s="8"/>
    </row>
    <row r="1654">
      <c r="A1654" s="8"/>
      <c r="B1654" s="8"/>
      <c r="C1654" s="8"/>
      <c r="D1654" s="8"/>
      <c r="E1654" s="8"/>
      <c r="F1654" s="8"/>
    </row>
    <row r="1655">
      <c r="A1655" s="8"/>
      <c r="B1655" s="8"/>
      <c r="C1655" s="8"/>
      <c r="D1655" s="8"/>
      <c r="E1655" s="8"/>
      <c r="F1655" s="8"/>
    </row>
    <row r="1656">
      <c r="A1656" s="8"/>
      <c r="B1656" s="8"/>
      <c r="C1656" s="8"/>
      <c r="D1656" s="8"/>
      <c r="E1656" s="8"/>
      <c r="F1656" s="8"/>
    </row>
    <row r="1657">
      <c r="A1657" s="8"/>
      <c r="B1657" s="8"/>
      <c r="C1657" s="8"/>
      <c r="D1657" s="8"/>
      <c r="E1657" s="8"/>
      <c r="F1657" s="8"/>
    </row>
    <row r="1658">
      <c r="A1658" s="8"/>
      <c r="B1658" s="8"/>
      <c r="C1658" s="8"/>
      <c r="D1658" s="8"/>
      <c r="E1658" s="8"/>
      <c r="F1658" s="8"/>
    </row>
    <row r="1659">
      <c r="A1659" s="8"/>
      <c r="B1659" s="8"/>
      <c r="C1659" s="8"/>
      <c r="D1659" s="8"/>
      <c r="E1659" s="8"/>
      <c r="F1659" s="8"/>
    </row>
    <row r="1660">
      <c r="A1660" s="8"/>
      <c r="B1660" s="8"/>
      <c r="C1660" s="8"/>
      <c r="D1660" s="8"/>
      <c r="E1660" s="8"/>
      <c r="F1660" s="8"/>
    </row>
    <row r="1661">
      <c r="A1661" s="8"/>
      <c r="B1661" s="8"/>
      <c r="C1661" s="8"/>
      <c r="D1661" s="8"/>
      <c r="E1661" s="8"/>
      <c r="F1661" s="8"/>
    </row>
    <row r="1662">
      <c r="A1662" s="8"/>
      <c r="B1662" s="8"/>
      <c r="C1662" s="8"/>
      <c r="D1662" s="8"/>
      <c r="E1662" s="8"/>
      <c r="F1662" s="8"/>
    </row>
    <row r="1663">
      <c r="A1663" s="8"/>
      <c r="B1663" s="8"/>
      <c r="C1663" s="8"/>
      <c r="D1663" s="8"/>
      <c r="E1663" s="8"/>
      <c r="F1663" s="8"/>
    </row>
    <row r="1664">
      <c r="A1664" s="8"/>
      <c r="B1664" s="8"/>
      <c r="C1664" s="8"/>
      <c r="D1664" s="8"/>
      <c r="E1664" s="8"/>
      <c r="F1664" s="8"/>
    </row>
    <row r="1665">
      <c r="A1665" s="8"/>
      <c r="B1665" s="8"/>
      <c r="C1665" s="8"/>
      <c r="D1665" s="8"/>
      <c r="E1665" s="8"/>
      <c r="F1665" s="8"/>
    </row>
    <row r="1666">
      <c r="A1666" s="8"/>
      <c r="B1666" s="8"/>
      <c r="C1666" s="8"/>
      <c r="D1666" s="8"/>
      <c r="E1666" s="8"/>
      <c r="F1666" s="8"/>
    </row>
    <row r="1667">
      <c r="A1667" s="8"/>
      <c r="B1667" s="8"/>
      <c r="C1667" s="8"/>
      <c r="D1667" s="8"/>
      <c r="E1667" s="8"/>
      <c r="F1667" s="8"/>
    </row>
    <row r="1668">
      <c r="A1668" s="8"/>
      <c r="B1668" s="8"/>
      <c r="C1668" s="8"/>
      <c r="D1668" s="8"/>
      <c r="E1668" s="8"/>
      <c r="F1668" s="8"/>
    </row>
    <row r="1669">
      <c r="A1669" s="8"/>
      <c r="B1669" s="8"/>
      <c r="C1669" s="8"/>
      <c r="D1669" s="8"/>
      <c r="E1669" s="8"/>
      <c r="F1669" s="8"/>
    </row>
    <row r="1670">
      <c r="A1670" s="8"/>
      <c r="B1670" s="8"/>
      <c r="C1670" s="8"/>
      <c r="D1670" s="8"/>
      <c r="E1670" s="8"/>
      <c r="F1670" s="8"/>
    </row>
    <row r="1671">
      <c r="A1671" s="8"/>
      <c r="B1671" s="8"/>
      <c r="C1671" s="8"/>
      <c r="D1671" s="8"/>
      <c r="E1671" s="8"/>
      <c r="F1671" s="8"/>
    </row>
    <row r="1672">
      <c r="A1672" s="8"/>
      <c r="B1672" s="8"/>
      <c r="C1672" s="8"/>
      <c r="D1672" s="8"/>
      <c r="E1672" s="8"/>
      <c r="F1672" s="8"/>
    </row>
    <row r="1673">
      <c r="A1673" s="8"/>
      <c r="B1673" s="8"/>
      <c r="C1673" s="8"/>
      <c r="D1673" s="8"/>
      <c r="E1673" s="8"/>
      <c r="F1673" s="8"/>
    </row>
    <row r="1674">
      <c r="A1674" s="8"/>
      <c r="B1674" s="8"/>
      <c r="C1674" s="8"/>
      <c r="D1674" s="8"/>
      <c r="E1674" s="8"/>
      <c r="F1674" s="8"/>
    </row>
    <row r="1675">
      <c r="A1675" s="8"/>
      <c r="B1675" s="8"/>
      <c r="C1675" s="8"/>
      <c r="D1675" s="8"/>
      <c r="E1675" s="8"/>
      <c r="F1675" s="8"/>
    </row>
    <row r="1676">
      <c r="A1676" s="8"/>
      <c r="B1676" s="8"/>
      <c r="C1676" s="8"/>
      <c r="D1676" s="8"/>
      <c r="E1676" s="8"/>
      <c r="F1676" s="8"/>
    </row>
    <row r="1677">
      <c r="A1677" s="8"/>
      <c r="B1677" s="8"/>
      <c r="C1677" s="8"/>
      <c r="D1677" s="8"/>
      <c r="E1677" s="8"/>
      <c r="F1677" s="8"/>
    </row>
    <row r="1678">
      <c r="A1678" s="8"/>
      <c r="B1678" s="8"/>
      <c r="C1678" s="8"/>
      <c r="D1678" s="8"/>
      <c r="E1678" s="8"/>
      <c r="F1678" s="8"/>
    </row>
    <row r="1679">
      <c r="A1679" s="8"/>
      <c r="B1679" s="8"/>
      <c r="C1679" s="8"/>
      <c r="D1679" s="8"/>
      <c r="E1679" s="8"/>
      <c r="F1679" s="8"/>
    </row>
    <row r="1680">
      <c r="A1680" s="8"/>
      <c r="B1680" s="8"/>
      <c r="C1680" s="8"/>
      <c r="D1680" s="8"/>
      <c r="E1680" s="8"/>
      <c r="F1680" s="8"/>
    </row>
    <row r="1681">
      <c r="A1681" s="8"/>
      <c r="B1681" s="8"/>
      <c r="C1681" s="8"/>
      <c r="D1681" s="8"/>
      <c r="E1681" s="8"/>
      <c r="F1681" s="8"/>
    </row>
    <row r="1682">
      <c r="A1682" s="8"/>
      <c r="B1682" s="8"/>
      <c r="C1682" s="8"/>
      <c r="D1682" s="8"/>
      <c r="E1682" s="8"/>
      <c r="F1682" s="8"/>
    </row>
    <row r="1683">
      <c r="A1683" s="8"/>
      <c r="B1683" s="8"/>
      <c r="C1683" s="8"/>
      <c r="D1683" s="8"/>
      <c r="E1683" s="8"/>
      <c r="F1683" s="8"/>
    </row>
    <row r="1684">
      <c r="A1684" s="8"/>
      <c r="B1684" s="8"/>
      <c r="C1684" s="8"/>
      <c r="D1684" s="8"/>
      <c r="E1684" s="8"/>
      <c r="F1684" s="8"/>
    </row>
    <row r="1685">
      <c r="A1685" s="8"/>
      <c r="B1685" s="8"/>
      <c r="C1685" s="8"/>
      <c r="D1685" s="8"/>
      <c r="E1685" s="8"/>
      <c r="F1685" s="8"/>
    </row>
    <row r="1686">
      <c r="A1686" s="8"/>
      <c r="B1686" s="8"/>
      <c r="C1686" s="8"/>
      <c r="D1686" s="8"/>
      <c r="E1686" s="8"/>
      <c r="F1686" s="8"/>
    </row>
    <row r="1687">
      <c r="A1687" s="8"/>
      <c r="B1687" s="8"/>
      <c r="C1687" s="8"/>
      <c r="D1687" s="8"/>
      <c r="E1687" s="8"/>
      <c r="F1687" s="8"/>
    </row>
    <row r="1688">
      <c r="A1688" s="8"/>
      <c r="B1688" s="8"/>
      <c r="C1688" s="8"/>
      <c r="D1688" s="8"/>
      <c r="E1688" s="8"/>
      <c r="F1688" s="8"/>
    </row>
    <row r="1689">
      <c r="A1689" s="8"/>
      <c r="B1689" s="8"/>
      <c r="C1689" s="8"/>
      <c r="D1689" s="8"/>
      <c r="E1689" s="8"/>
      <c r="F1689" s="8"/>
    </row>
    <row r="1690">
      <c r="A1690" s="8"/>
      <c r="B1690" s="8"/>
      <c r="C1690" s="8"/>
      <c r="D1690" s="8"/>
      <c r="E1690" s="8"/>
      <c r="F1690" s="8"/>
    </row>
    <row r="1691">
      <c r="A1691" s="8"/>
      <c r="B1691" s="8"/>
      <c r="C1691" s="8"/>
      <c r="D1691" s="8"/>
      <c r="E1691" s="8"/>
      <c r="F1691" s="8"/>
    </row>
    <row r="1692">
      <c r="A1692" s="8"/>
      <c r="B1692" s="8"/>
      <c r="C1692" s="8"/>
      <c r="D1692" s="8"/>
      <c r="E1692" s="8"/>
      <c r="F1692" s="8"/>
    </row>
    <row r="1693">
      <c r="A1693" s="8"/>
      <c r="B1693" s="8"/>
      <c r="C1693" s="8"/>
      <c r="D1693" s="8"/>
      <c r="E1693" s="8"/>
      <c r="F1693" s="8"/>
    </row>
    <row r="1694">
      <c r="A1694" s="8"/>
      <c r="B1694" s="8"/>
      <c r="C1694" s="8"/>
      <c r="D1694" s="8"/>
      <c r="E1694" s="8"/>
      <c r="F1694" s="8"/>
    </row>
    <row r="1695">
      <c r="A1695" s="8"/>
      <c r="B1695" s="8"/>
      <c r="C1695" s="8"/>
      <c r="D1695" s="8"/>
      <c r="E1695" s="8"/>
      <c r="F1695" s="8"/>
    </row>
    <row r="1696">
      <c r="A1696" s="8"/>
      <c r="B1696" s="8"/>
      <c r="C1696" s="8"/>
      <c r="D1696" s="8"/>
      <c r="E1696" s="8"/>
      <c r="F1696" s="8"/>
    </row>
    <row r="1697">
      <c r="A1697" s="8"/>
      <c r="B1697" s="8"/>
      <c r="C1697" s="8"/>
      <c r="D1697" s="8"/>
      <c r="E1697" s="8"/>
      <c r="F1697" s="8"/>
    </row>
    <row r="1698">
      <c r="A1698" s="8"/>
      <c r="B1698" s="8"/>
      <c r="C1698" s="8"/>
      <c r="D1698" s="8"/>
      <c r="E1698" s="8"/>
      <c r="F1698" s="8"/>
    </row>
    <row r="1699">
      <c r="A1699" s="8"/>
      <c r="B1699" s="8"/>
      <c r="C1699" s="8"/>
      <c r="D1699" s="8"/>
      <c r="E1699" s="8"/>
      <c r="F1699" s="8"/>
    </row>
    <row r="1700">
      <c r="A1700" s="8"/>
      <c r="B1700" s="8"/>
      <c r="C1700" s="8"/>
      <c r="D1700" s="8"/>
      <c r="E1700" s="8"/>
      <c r="F1700" s="8"/>
    </row>
    <row r="1701">
      <c r="A1701" s="8"/>
      <c r="B1701" s="8"/>
      <c r="C1701" s="8"/>
      <c r="D1701" s="8"/>
      <c r="E1701" s="8"/>
      <c r="F1701" s="8"/>
    </row>
    <row r="1702">
      <c r="A1702" s="8"/>
      <c r="B1702" s="8"/>
      <c r="C1702" s="8"/>
      <c r="D1702" s="8"/>
      <c r="E1702" s="8"/>
      <c r="F1702" s="8"/>
    </row>
    <row r="1703">
      <c r="A1703" s="8"/>
      <c r="B1703" s="8"/>
      <c r="C1703" s="8"/>
      <c r="D1703" s="8"/>
      <c r="E1703" s="8"/>
      <c r="F1703" s="8"/>
    </row>
    <row r="1704">
      <c r="A1704" s="8"/>
      <c r="B1704" s="8"/>
      <c r="C1704" s="8"/>
      <c r="D1704" s="8"/>
      <c r="E1704" s="8"/>
      <c r="F1704" s="8"/>
    </row>
    <row r="1705">
      <c r="A1705" s="8"/>
      <c r="B1705" s="8"/>
      <c r="C1705" s="8"/>
      <c r="D1705" s="8"/>
      <c r="E1705" s="8"/>
      <c r="F1705" s="8"/>
    </row>
    <row r="1706">
      <c r="A1706" s="8"/>
      <c r="B1706" s="8"/>
      <c r="C1706" s="8"/>
      <c r="D1706" s="8"/>
      <c r="E1706" s="8"/>
      <c r="F1706" s="8"/>
    </row>
    <row r="1707">
      <c r="A1707" s="8"/>
      <c r="B1707" s="8"/>
      <c r="C1707" s="8"/>
      <c r="D1707" s="8"/>
      <c r="E1707" s="8"/>
      <c r="F1707" s="8"/>
    </row>
    <row r="1708">
      <c r="A1708" s="8"/>
      <c r="B1708" s="8"/>
      <c r="C1708" s="8"/>
      <c r="D1708" s="8"/>
      <c r="E1708" s="8"/>
      <c r="F1708" s="8"/>
    </row>
    <row r="1709">
      <c r="A1709" s="8"/>
      <c r="B1709" s="8"/>
      <c r="C1709" s="8"/>
      <c r="D1709" s="8"/>
      <c r="E1709" s="8"/>
      <c r="F1709" s="8"/>
    </row>
    <row r="1710">
      <c r="A1710" s="8"/>
      <c r="B1710" s="8"/>
      <c r="C1710" s="8"/>
      <c r="D1710" s="8"/>
      <c r="E1710" s="8"/>
      <c r="F1710" s="8"/>
    </row>
    <row r="1711">
      <c r="A1711" s="8"/>
      <c r="B1711" s="8"/>
      <c r="C1711" s="8"/>
      <c r="D1711" s="8"/>
      <c r="E1711" s="8"/>
      <c r="F1711" s="8"/>
    </row>
    <row r="1712">
      <c r="A1712" s="8"/>
      <c r="B1712" s="8"/>
      <c r="C1712" s="8"/>
      <c r="D1712" s="8"/>
      <c r="E1712" s="8"/>
      <c r="F1712" s="8"/>
    </row>
    <row r="1713">
      <c r="A1713" s="8"/>
      <c r="B1713" s="8"/>
      <c r="C1713" s="8"/>
      <c r="D1713" s="8"/>
      <c r="E1713" s="8"/>
      <c r="F1713" s="8"/>
    </row>
    <row r="1714">
      <c r="A1714" s="8"/>
      <c r="B1714" s="8"/>
      <c r="C1714" s="8"/>
      <c r="D1714" s="8"/>
      <c r="E1714" s="8"/>
      <c r="F1714" s="8"/>
    </row>
    <row r="1715">
      <c r="A1715" s="8"/>
      <c r="B1715" s="8"/>
      <c r="C1715" s="8"/>
      <c r="D1715" s="8"/>
      <c r="E1715" s="8"/>
      <c r="F1715" s="8"/>
    </row>
    <row r="1716">
      <c r="A1716" s="8"/>
      <c r="B1716" s="8"/>
      <c r="C1716" s="8"/>
      <c r="D1716" s="8"/>
      <c r="E1716" s="8"/>
      <c r="F1716" s="8"/>
    </row>
    <row r="1717">
      <c r="A1717" s="8"/>
      <c r="B1717" s="8"/>
      <c r="C1717" s="8"/>
      <c r="D1717" s="8"/>
      <c r="E1717" s="8"/>
      <c r="F1717" s="8"/>
    </row>
    <row r="1718">
      <c r="A1718" s="8"/>
      <c r="B1718" s="8"/>
      <c r="C1718" s="8"/>
      <c r="D1718" s="8"/>
      <c r="E1718" s="8"/>
      <c r="F1718" s="8"/>
    </row>
    <row r="1719">
      <c r="A1719" s="8"/>
      <c r="B1719" s="8"/>
      <c r="C1719" s="8"/>
      <c r="D1719" s="8"/>
      <c r="E1719" s="8"/>
      <c r="F1719" s="8"/>
    </row>
    <row r="1720">
      <c r="A1720" s="8"/>
      <c r="B1720" s="8"/>
      <c r="C1720" s="8"/>
      <c r="D1720" s="8"/>
      <c r="E1720" s="8"/>
      <c r="F1720" s="8"/>
    </row>
    <row r="1721">
      <c r="A1721" s="8"/>
      <c r="B1721" s="8"/>
      <c r="C1721" s="8"/>
      <c r="D1721" s="8"/>
      <c r="E1721" s="8"/>
      <c r="F1721" s="8"/>
    </row>
    <row r="1722">
      <c r="A1722" s="8"/>
      <c r="B1722" s="8"/>
      <c r="C1722" s="8"/>
      <c r="D1722" s="8"/>
      <c r="E1722" s="8"/>
      <c r="F1722" s="8"/>
    </row>
    <row r="1723">
      <c r="A1723" s="8"/>
      <c r="B1723" s="8"/>
      <c r="C1723" s="8"/>
      <c r="D1723" s="8"/>
      <c r="E1723" s="8"/>
      <c r="F1723" s="8"/>
    </row>
    <row r="1724">
      <c r="A1724" s="8"/>
      <c r="B1724" s="8"/>
      <c r="C1724" s="8"/>
      <c r="D1724" s="8"/>
      <c r="E1724" s="8"/>
      <c r="F1724" s="8"/>
    </row>
    <row r="1725">
      <c r="A1725" s="8"/>
      <c r="B1725" s="8"/>
      <c r="C1725" s="8"/>
      <c r="D1725" s="8"/>
      <c r="E1725" s="8"/>
      <c r="F1725" s="8"/>
    </row>
    <row r="1726">
      <c r="A1726" s="8"/>
      <c r="B1726" s="8"/>
      <c r="C1726" s="8"/>
      <c r="D1726" s="8"/>
      <c r="E1726" s="8"/>
      <c r="F1726" s="8"/>
    </row>
    <row r="1727">
      <c r="A1727" s="8"/>
      <c r="B1727" s="8"/>
      <c r="C1727" s="8"/>
      <c r="D1727" s="8"/>
      <c r="E1727" s="8"/>
      <c r="F1727" s="8"/>
    </row>
    <row r="1728">
      <c r="A1728" s="8"/>
      <c r="B1728" s="8"/>
      <c r="C1728" s="8"/>
      <c r="D1728" s="8"/>
      <c r="E1728" s="8"/>
      <c r="F1728" s="8"/>
    </row>
    <row r="1729">
      <c r="A1729" s="8"/>
      <c r="B1729" s="8"/>
      <c r="C1729" s="8"/>
      <c r="D1729" s="8"/>
      <c r="E1729" s="8"/>
      <c r="F1729" s="8"/>
    </row>
    <row r="1730">
      <c r="A1730" s="8"/>
      <c r="B1730" s="8"/>
      <c r="C1730" s="8"/>
      <c r="D1730" s="8"/>
      <c r="E1730" s="8"/>
      <c r="F1730" s="8"/>
    </row>
    <row r="1731">
      <c r="A1731" s="8"/>
      <c r="B1731" s="8"/>
      <c r="C1731" s="8"/>
      <c r="D1731" s="8"/>
      <c r="E1731" s="8"/>
      <c r="F1731" s="8"/>
    </row>
    <row r="1732">
      <c r="A1732" s="8"/>
      <c r="B1732" s="8"/>
      <c r="C1732" s="8"/>
      <c r="D1732" s="8"/>
      <c r="E1732" s="8"/>
      <c r="F1732" s="8"/>
    </row>
    <row r="1733">
      <c r="A1733" s="8"/>
      <c r="B1733" s="8"/>
      <c r="C1733" s="8"/>
      <c r="D1733" s="8"/>
      <c r="E1733" s="8"/>
      <c r="F1733" s="8"/>
    </row>
    <row r="1734">
      <c r="A1734" s="8"/>
      <c r="B1734" s="8"/>
      <c r="C1734" s="8"/>
      <c r="D1734" s="8"/>
      <c r="E1734" s="8"/>
      <c r="F1734" s="8"/>
    </row>
    <row r="1735">
      <c r="A1735" s="8"/>
      <c r="B1735" s="8"/>
      <c r="C1735" s="8"/>
      <c r="D1735" s="8"/>
      <c r="E1735" s="8"/>
      <c r="F1735" s="8"/>
    </row>
    <row r="1736">
      <c r="A1736" s="8"/>
      <c r="B1736" s="8"/>
      <c r="C1736" s="8"/>
      <c r="D1736" s="8"/>
      <c r="E1736" s="8"/>
      <c r="F1736" s="8"/>
    </row>
    <row r="1737">
      <c r="A1737" s="8"/>
      <c r="B1737" s="8"/>
      <c r="C1737" s="8"/>
      <c r="D1737" s="8"/>
      <c r="E1737" s="8"/>
      <c r="F1737" s="8"/>
    </row>
    <row r="1738">
      <c r="A1738" s="8"/>
      <c r="B1738" s="8"/>
      <c r="C1738" s="8"/>
      <c r="D1738" s="8"/>
      <c r="E1738" s="8"/>
      <c r="F1738" s="8"/>
    </row>
    <row r="1739">
      <c r="A1739" s="8"/>
      <c r="B1739" s="8"/>
      <c r="C1739" s="8"/>
      <c r="D1739" s="8"/>
      <c r="E1739" s="8"/>
      <c r="F1739" s="8"/>
    </row>
    <row r="1740">
      <c r="A1740" s="8"/>
      <c r="B1740" s="8"/>
      <c r="C1740" s="8"/>
      <c r="D1740" s="8"/>
      <c r="E1740" s="8"/>
      <c r="F1740" s="8"/>
    </row>
    <row r="1741">
      <c r="A1741" s="8"/>
      <c r="B1741" s="8"/>
      <c r="C1741" s="8"/>
      <c r="D1741" s="8"/>
      <c r="E1741" s="8"/>
      <c r="F1741" s="8"/>
    </row>
    <row r="1742">
      <c r="A1742" s="8"/>
      <c r="B1742" s="8"/>
      <c r="C1742" s="8"/>
      <c r="D1742" s="8"/>
      <c r="E1742" s="8"/>
      <c r="F1742" s="8"/>
    </row>
    <row r="1743">
      <c r="A1743" s="8"/>
      <c r="B1743" s="8"/>
      <c r="C1743" s="8"/>
      <c r="D1743" s="8"/>
      <c r="E1743" s="8"/>
      <c r="F1743" s="8"/>
    </row>
    <row r="1744">
      <c r="A1744" s="8"/>
      <c r="B1744" s="8"/>
      <c r="C1744" s="8"/>
      <c r="D1744" s="8"/>
      <c r="E1744" s="8"/>
      <c r="F1744" s="8"/>
    </row>
    <row r="1745">
      <c r="A1745" s="8"/>
      <c r="B1745" s="8"/>
      <c r="C1745" s="8"/>
      <c r="D1745" s="8"/>
      <c r="E1745" s="8"/>
      <c r="F1745" s="8"/>
    </row>
    <row r="1746">
      <c r="A1746" s="8"/>
      <c r="B1746" s="8"/>
      <c r="C1746" s="8"/>
      <c r="D1746" s="8"/>
      <c r="E1746" s="8"/>
      <c r="F1746" s="8"/>
    </row>
    <row r="1747">
      <c r="A1747" s="8"/>
      <c r="B1747" s="8"/>
      <c r="C1747" s="8"/>
      <c r="D1747" s="8"/>
      <c r="E1747" s="8"/>
      <c r="F1747" s="8"/>
    </row>
    <row r="1748">
      <c r="A1748" s="8"/>
      <c r="B1748" s="8"/>
      <c r="C1748" s="8"/>
      <c r="D1748" s="8"/>
      <c r="E1748" s="8"/>
      <c r="F1748" s="8"/>
    </row>
    <row r="1749">
      <c r="A1749" s="8"/>
      <c r="B1749" s="8"/>
      <c r="C1749" s="8"/>
      <c r="D1749" s="8"/>
      <c r="E1749" s="8"/>
      <c r="F1749" s="8"/>
    </row>
    <row r="1750">
      <c r="A1750" s="8"/>
      <c r="B1750" s="8"/>
      <c r="C1750" s="8"/>
      <c r="D1750" s="8"/>
      <c r="E1750" s="8"/>
      <c r="F1750" s="8"/>
    </row>
    <row r="1751">
      <c r="A1751" s="8"/>
      <c r="B1751" s="8"/>
      <c r="C1751" s="8"/>
      <c r="D1751" s="8"/>
      <c r="E1751" s="8"/>
      <c r="F1751" s="8"/>
    </row>
    <row r="1752">
      <c r="A1752" s="8"/>
      <c r="B1752" s="8"/>
      <c r="C1752" s="8"/>
      <c r="D1752" s="8"/>
      <c r="E1752" s="8"/>
      <c r="F1752" s="8"/>
    </row>
    <row r="1753">
      <c r="A1753" s="8"/>
      <c r="B1753" s="8"/>
      <c r="C1753" s="8"/>
      <c r="D1753" s="8"/>
      <c r="E1753" s="8"/>
      <c r="F1753" s="8"/>
    </row>
    <row r="1754">
      <c r="A1754" s="8"/>
      <c r="B1754" s="8"/>
      <c r="C1754" s="8"/>
      <c r="D1754" s="8"/>
      <c r="E1754" s="8"/>
      <c r="F1754" s="8"/>
    </row>
    <row r="1755">
      <c r="A1755" s="8"/>
      <c r="B1755" s="8"/>
      <c r="C1755" s="8"/>
      <c r="D1755" s="8"/>
      <c r="E1755" s="8"/>
      <c r="F1755" s="8"/>
    </row>
    <row r="1756">
      <c r="A1756" s="8"/>
      <c r="B1756" s="8"/>
      <c r="C1756" s="8"/>
      <c r="D1756" s="8"/>
      <c r="E1756" s="8"/>
      <c r="F1756" s="8"/>
    </row>
    <row r="1757">
      <c r="A1757" s="8"/>
      <c r="B1757" s="8"/>
      <c r="C1757" s="8"/>
      <c r="D1757" s="8"/>
      <c r="E1757" s="8"/>
      <c r="F1757" s="8"/>
    </row>
    <row r="1758">
      <c r="A1758" s="8"/>
      <c r="B1758" s="8"/>
      <c r="C1758" s="8"/>
      <c r="D1758" s="8"/>
      <c r="E1758" s="8"/>
      <c r="F1758" s="8"/>
    </row>
    <row r="1759">
      <c r="A1759" s="8"/>
      <c r="B1759" s="8"/>
      <c r="C1759" s="8"/>
      <c r="D1759" s="8"/>
      <c r="E1759" s="8"/>
      <c r="F1759" s="8"/>
    </row>
    <row r="1760">
      <c r="A1760" s="8"/>
      <c r="B1760" s="8"/>
      <c r="C1760" s="8"/>
      <c r="D1760" s="8"/>
      <c r="E1760" s="8"/>
      <c r="F1760" s="8"/>
    </row>
    <row r="1761">
      <c r="A1761" s="8"/>
      <c r="B1761" s="8"/>
      <c r="C1761" s="8"/>
      <c r="D1761" s="8"/>
      <c r="E1761" s="8"/>
      <c r="F1761" s="8"/>
    </row>
    <row r="1762">
      <c r="A1762" s="8"/>
      <c r="B1762" s="8"/>
      <c r="C1762" s="8"/>
      <c r="D1762" s="8"/>
      <c r="E1762" s="8"/>
      <c r="F1762" s="8"/>
    </row>
    <row r="1763">
      <c r="A1763" s="8"/>
      <c r="B1763" s="8"/>
      <c r="C1763" s="8"/>
      <c r="D1763" s="8"/>
      <c r="E1763" s="8"/>
      <c r="F1763" s="8"/>
    </row>
    <row r="1764">
      <c r="A1764" s="8"/>
      <c r="B1764" s="8"/>
      <c r="C1764" s="8"/>
      <c r="D1764" s="8"/>
      <c r="E1764" s="8"/>
      <c r="F1764" s="8"/>
    </row>
    <row r="1765">
      <c r="A1765" s="8"/>
      <c r="B1765" s="8"/>
      <c r="C1765" s="8"/>
      <c r="D1765" s="8"/>
      <c r="E1765" s="8"/>
      <c r="F1765" s="8"/>
    </row>
    <row r="1766">
      <c r="A1766" s="8"/>
      <c r="B1766" s="8"/>
      <c r="C1766" s="8"/>
      <c r="D1766" s="8"/>
      <c r="E1766" s="8"/>
      <c r="F1766" s="8"/>
    </row>
    <row r="1767">
      <c r="A1767" s="8"/>
      <c r="B1767" s="8"/>
      <c r="C1767" s="8"/>
      <c r="D1767" s="8"/>
      <c r="E1767" s="8"/>
      <c r="F1767" s="8"/>
    </row>
    <row r="1768">
      <c r="A1768" s="8"/>
      <c r="B1768" s="8"/>
      <c r="C1768" s="8"/>
      <c r="D1768" s="8"/>
      <c r="E1768" s="8"/>
      <c r="F1768" s="8"/>
    </row>
    <row r="1769">
      <c r="A1769" s="8"/>
      <c r="B1769" s="8"/>
      <c r="C1769" s="8"/>
      <c r="D1769" s="8"/>
      <c r="E1769" s="8"/>
      <c r="F1769" s="8"/>
    </row>
    <row r="1770">
      <c r="A1770" s="8"/>
      <c r="B1770" s="8"/>
      <c r="C1770" s="8"/>
      <c r="D1770" s="8"/>
      <c r="E1770" s="8"/>
      <c r="F1770" s="8"/>
    </row>
    <row r="1771">
      <c r="A1771" s="8"/>
      <c r="B1771" s="8"/>
      <c r="C1771" s="8"/>
      <c r="D1771" s="8"/>
      <c r="E1771" s="8"/>
      <c r="F1771" s="8"/>
    </row>
    <row r="1772">
      <c r="A1772" s="8"/>
      <c r="B1772" s="8"/>
      <c r="C1772" s="8"/>
      <c r="D1772" s="8"/>
      <c r="E1772" s="8"/>
      <c r="F1772" s="8"/>
    </row>
    <row r="1773">
      <c r="A1773" s="8"/>
      <c r="B1773" s="8"/>
      <c r="C1773" s="8"/>
      <c r="D1773" s="8"/>
      <c r="E1773" s="8"/>
      <c r="F1773" s="8"/>
    </row>
    <row r="1774">
      <c r="A1774" s="8"/>
      <c r="B1774" s="8"/>
      <c r="C1774" s="8"/>
      <c r="D1774" s="8"/>
      <c r="E1774" s="8"/>
      <c r="F1774" s="8"/>
    </row>
    <row r="1775">
      <c r="A1775" s="8"/>
      <c r="B1775" s="8"/>
      <c r="C1775" s="8"/>
      <c r="D1775" s="8"/>
      <c r="E1775" s="8"/>
      <c r="F1775" s="8"/>
    </row>
    <row r="1776">
      <c r="A1776" s="8"/>
      <c r="B1776" s="8"/>
      <c r="C1776" s="8"/>
      <c r="D1776" s="8"/>
      <c r="E1776" s="8"/>
      <c r="F1776" s="8"/>
    </row>
    <row r="1777">
      <c r="A1777" s="8"/>
      <c r="B1777" s="8"/>
      <c r="C1777" s="8"/>
      <c r="D1777" s="8"/>
      <c r="E1777" s="8"/>
      <c r="F1777" s="8"/>
    </row>
    <row r="1778">
      <c r="A1778" s="8"/>
      <c r="B1778" s="8"/>
      <c r="C1778" s="8"/>
      <c r="D1778" s="8"/>
      <c r="E1778" s="8"/>
      <c r="F1778" s="8"/>
    </row>
    <row r="1779">
      <c r="A1779" s="8"/>
      <c r="B1779" s="8"/>
      <c r="C1779" s="8"/>
      <c r="D1779" s="8"/>
      <c r="E1779" s="8"/>
      <c r="F1779" s="8"/>
    </row>
    <row r="1780">
      <c r="A1780" s="8"/>
      <c r="B1780" s="8"/>
      <c r="C1780" s="8"/>
      <c r="D1780" s="8"/>
      <c r="E1780" s="8"/>
      <c r="F1780" s="8"/>
    </row>
    <row r="1781">
      <c r="A1781" s="8"/>
      <c r="B1781" s="8"/>
      <c r="C1781" s="8"/>
      <c r="D1781" s="8"/>
      <c r="E1781" s="8"/>
      <c r="F1781" s="8"/>
    </row>
    <row r="1782">
      <c r="A1782" s="8"/>
      <c r="B1782" s="8"/>
      <c r="C1782" s="8"/>
      <c r="D1782" s="8"/>
      <c r="E1782" s="8"/>
      <c r="F1782" s="8"/>
    </row>
    <row r="1783">
      <c r="A1783" s="8"/>
      <c r="B1783" s="8"/>
      <c r="C1783" s="8"/>
      <c r="D1783" s="8"/>
      <c r="E1783" s="8"/>
      <c r="F1783" s="8"/>
    </row>
    <row r="1784">
      <c r="A1784" s="8"/>
      <c r="B1784" s="8"/>
      <c r="C1784" s="8"/>
      <c r="D1784" s="8"/>
      <c r="E1784" s="8"/>
      <c r="F1784" s="8"/>
    </row>
    <row r="1785">
      <c r="A1785" s="8"/>
      <c r="B1785" s="8"/>
      <c r="C1785" s="8"/>
      <c r="D1785" s="8"/>
      <c r="E1785" s="8"/>
      <c r="F1785" s="8"/>
    </row>
    <row r="1786">
      <c r="A1786" s="8"/>
      <c r="B1786" s="8"/>
      <c r="C1786" s="8"/>
      <c r="D1786" s="8"/>
      <c r="E1786" s="8"/>
      <c r="F1786" s="8"/>
    </row>
    <row r="1787">
      <c r="A1787" s="8"/>
      <c r="B1787" s="8"/>
      <c r="C1787" s="8"/>
      <c r="D1787" s="8"/>
      <c r="E1787" s="8"/>
      <c r="F1787" s="8"/>
    </row>
    <row r="1788">
      <c r="A1788" s="8"/>
      <c r="B1788" s="8"/>
      <c r="C1788" s="8"/>
      <c r="D1788" s="8"/>
      <c r="E1788" s="8"/>
      <c r="F1788" s="8"/>
    </row>
    <row r="1789">
      <c r="A1789" s="8"/>
      <c r="B1789" s="8"/>
      <c r="C1789" s="8"/>
      <c r="D1789" s="8"/>
      <c r="E1789" s="8"/>
      <c r="F1789" s="8"/>
    </row>
    <row r="1790">
      <c r="A1790" s="8"/>
      <c r="B1790" s="8"/>
      <c r="C1790" s="8"/>
      <c r="D1790" s="8"/>
      <c r="E1790" s="8"/>
      <c r="F1790" s="8"/>
    </row>
    <row r="1791">
      <c r="A1791" s="8"/>
      <c r="B1791" s="8"/>
      <c r="C1791" s="8"/>
      <c r="D1791" s="8"/>
      <c r="E1791" s="8"/>
      <c r="F1791" s="8"/>
    </row>
    <row r="1792">
      <c r="A1792" s="8"/>
      <c r="B1792" s="8"/>
      <c r="C1792" s="8"/>
      <c r="D1792" s="8"/>
      <c r="E1792" s="8"/>
      <c r="F1792" s="8"/>
    </row>
    <row r="1793">
      <c r="A1793" s="8"/>
      <c r="B1793" s="8"/>
      <c r="C1793" s="8"/>
      <c r="D1793" s="8"/>
      <c r="E1793" s="8"/>
      <c r="F1793" s="8"/>
    </row>
    <row r="1794">
      <c r="A1794" s="8"/>
      <c r="B1794" s="8"/>
      <c r="C1794" s="8"/>
      <c r="D1794" s="8"/>
      <c r="E1794" s="8"/>
      <c r="F1794" s="8"/>
    </row>
    <row r="1795">
      <c r="A1795" s="8"/>
      <c r="B1795" s="8"/>
      <c r="C1795" s="8"/>
      <c r="D1795" s="8"/>
      <c r="E1795" s="8"/>
      <c r="F1795" s="8"/>
    </row>
    <row r="1796">
      <c r="A1796" s="8"/>
      <c r="B1796" s="8"/>
      <c r="C1796" s="8"/>
      <c r="D1796" s="8"/>
      <c r="E1796" s="8"/>
      <c r="F1796" s="8"/>
    </row>
    <row r="1797">
      <c r="A1797" s="8"/>
      <c r="B1797" s="8"/>
      <c r="C1797" s="8"/>
      <c r="D1797" s="8"/>
      <c r="E1797" s="8"/>
      <c r="F1797" s="8"/>
    </row>
    <row r="1798">
      <c r="A1798" s="8"/>
      <c r="B1798" s="8"/>
      <c r="C1798" s="8"/>
      <c r="D1798" s="8"/>
      <c r="E1798" s="8"/>
      <c r="F1798" s="8"/>
    </row>
    <row r="1799">
      <c r="A1799" s="8"/>
      <c r="B1799" s="8"/>
      <c r="C1799" s="8"/>
      <c r="D1799" s="8"/>
      <c r="E1799" s="8"/>
      <c r="F1799" s="8"/>
    </row>
    <row r="1800">
      <c r="A1800" s="8"/>
      <c r="B1800" s="8"/>
      <c r="C1800" s="8"/>
      <c r="D1800" s="8"/>
      <c r="E1800" s="8"/>
      <c r="F1800" s="8"/>
    </row>
    <row r="1801">
      <c r="A1801" s="8"/>
      <c r="B1801" s="8"/>
      <c r="C1801" s="8"/>
      <c r="D1801" s="8"/>
      <c r="E1801" s="8"/>
      <c r="F1801" s="8"/>
    </row>
    <row r="1802">
      <c r="A1802" s="8"/>
      <c r="B1802" s="8"/>
      <c r="C1802" s="8"/>
      <c r="D1802" s="8"/>
      <c r="E1802" s="8"/>
      <c r="F1802" s="8"/>
    </row>
    <row r="1803">
      <c r="A1803" s="8"/>
      <c r="B1803" s="8"/>
      <c r="C1803" s="8"/>
      <c r="D1803" s="8"/>
      <c r="E1803" s="8"/>
      <c r="F1803" s="8"/>
    </row>
    <row r="1804">
      <c r="A1804" s="8"/>
      <c r="B1804" s="8"/>
      <c r="C1804" s="8"/>
      <c r="D1804" s="8"/>
      <c r="E1804" s="8"/>
      <c r="F1804" s="8"/>
    </row>
    <row r="1805">
      <c r="A1805" s="8"/>
      <c r="B1805" s="8"/>
      <c r="C1805" s="8"/>
      <c r="D1805" s="8"/>
      <c r="E1805" s="8"/>
      <c r="F1805" s="8"/>
    </row>
    <row r="1806">
      <c r="A1806" s="8"/>
      <c r="B1806" s="8"/>
      <c r="C1806" s="8"/>
      <c r="D1806" s="8"/>
      <c r="E1806" s="8"/>
      <c r="F1806" s="8"/>
    </row>
    <row r="1807">
      <c r="A1807" s="8"/>
      <c r="B1807" s="8"/>
      <c r="C1807" s="8"/>
      <c r="D1807" s="8"/>
      <c r="E1807" s="8"/>
      <c r="F1807" s="8"/>
    </row>
    <row r="1808">
      <c r="A1808" s="8"/>
      <c r="B1808" s="8"/>
      <c r="C1808" s="8"/>
      <c r="D1808" s="8"/>
      <c r="E1808" s="8"/>
      <c r="F1808" s="8"/>
    </row>
    <row r="1809">
      <c r="A1809" s="8"/>
      <c r="B1809" s="8"/>
      <c r="C1809" s="8"/>
      <c r="D1809" s="8"/>
      <c r="E1809" s="8"/>
      <c r="F1809" s="8"/>
    </row>
    <row r="1810">
      <c r="A1810" s="8"/>
      <c r="B1810" s="8"/>
      <c r="C1810" s="8"/>
      <c r="D1810" s="8"/>
      <c r="E1810" s="8"/>
      <c r="F1810" s="8"/>
    </row>
    <row r="1811">
      <c r="A1811" s="8"/>
      <c r="B1811" s="8"/>
      <c r="C1811" s="8"/>
      <c r="D1811" s="8"/>
      <c r="E1811" s="8"/>
      <c r="F1811" s="8"/>
    </row>
    <row r="1812">
      <c r="A1812" s="8"/>
      <c r="B1812" s="8"/>
      <c r="C1812" s="8"/>
      <c r="D1812" s="8"/>
      <c r="E1812" s="8"/>
      <c r="F1812" s="8"/>
    </row>
    <row r="1813">
      <c r="A1813" s="8"/>
      <c r="B1813" s="8"/>
      <c r="C1813" s="8"/>
      <c r="D1813" s="8"/>
      <c r="E1813" s="8"/>
      <c r="F1813" s="8"/>
    </row>
    <row r="1814">
      <c r="A1814" s="8"/>
      <c r="B1814" s="8"/>
      <c r="C1814" s="8"/>
      <c r="D1814" s="8"/>
      <c r="E1814" s="8"/>
      <c r="F1814" s="8"/>
    </row>
    <row r="1815">
      <c r="A1815" s="8"/>
      <c r="B1815" s="8"/>
      <c r="C1815" s="8"/>
      <c r="D1815" s="8"/>
      <c r="E1815" s="8"/>
      <c r="F1815" s="8"/>
    </row>
    <row r="1816">
      <c r="A1816" s="8"/>
      <c r="B1816" s="8"/>
      <c r="C1816" s="8"/>
      <c r="D1816" s="8"/>
      <c r="E1816" s="8"/>
      <c r="F1816" s="8"/>
    </row>
    <row r="1817">
      <c r="A1817" s="8"/>
      <c r="B1817" s="8"/>
      <c r="C1817" s="8"/>
      <c r="D1817" s="8"/>
      <c r="E1817" s="8"/>
      <c r="F1817" s="8"/>
    </row>
    <row r="1818">
      <c r="A1818" s="8"/>
      <c r="B1818" s="8"/>
      <c r="C1818" s="8"/>
      <c r="D1818" s="8"/>
      <c r="E1818" s="8"/>
      <c r="F1818" s="8"/>
    </row>
    <row r="1819">
      <c r="A1819" s="8"/>
      <c r="B1819" s="8"/>
      <c r="C1819" s="8"/>
      <c r="D1819" s="8"/>
      <c r="E1819" s="8"/>
      <c r="F1819" s="8"/>
    </row>
    <row r="1820">
      <c r="A1820" s="8"/>
      <c r="B1820" s="8"/>
      <c r="C1820" s="8"/>
      <c r="D1820" s="8"/>
      <c r="E1820" s="8"/>
      <c r="F1820" s="8"/>
    </row>
    <row r="1821">
      <c r="A1821" s="8"/>
      <c r="B1821" s="8"/>
      <c r="C1821" s="8"/>
      <c r="D1821" s="8"/>
      <c r="E1821" s="8"/>
      <c r="F1821" s="8"/>
    </row>
    <row r="1822">
      <c r="A1822" s="8"/>
      <c r="B1822" s="8"/>
      <c r="C1822" s="8"/>
      <c r="D1822" s="8"/>
      <c r="E1822" s="8"/>
      <c r="F1822" s="8"/>
    </row>
    <row r="1823">
      <c r="A1823" s="8"/>
      <c r="B1823" s="8"/>
      <c r="C1823" s="8"/>
      <c r="D1823" s="8"/>
      <c r="E1823" s="8"/>
      <c r="F1823" s="8"/>
    </row>
    <row r="1824">
      <c r="A1824" s="8"/>
      <c r="B1824" s="8"/>
      <c r="C1824" s="8"/>
      <c r="D1824" s="8"/>
      <c r="E1824" s="8"/>
      <c r="F1824" s="8"/>
    </row>
    <row r="1825">
      <c r="A1825" s="8"/>
      <c r="B1825" s="8"/>
      <c r="C1825" s="8"/>
      <c r="D1825" s="8"/>
      <c r="E1825" s="8"/>
      <c r="F1825" s="8"/>
    </row>
    <row r="1826">
      <c r="A1826" s="8"/>
      <c r="B1826" s="8"/>
      <c r="C1826" s="8"/>
      <c r="D1826" s="8"/>
      <c r="E1826" s="8"/>
      <c r="F1826" s="8"/>
    </row>
    <row r="1827">
      <c r="A1827" s="8"/>
      <c r="B1827" s="8"/>
      <c r="C1827" s="8"/>
      <c r="D1827" s="8"/>
      <c r="E1827" s="8"/>
      <c r="F1827" s="8"/>
    </row>
    <row r="1828">
      <c r="A1828" s="8"/>
      <c r="B1828" s="8"/>
      <c r="C1828" s="8"/>
      <c r="D1828" s="8"/>
      <c r="E1828" s="8"/>
      <c r="F1828" s="8"/>
    </row>
    <row r="1829">
      <c r="A1829" s="8"/>
      <c r="B1829" s="8"/>
      <c r="C1829" s="8"/>
      <c r="D1829" s="8"/>
      <c r="E1829" s="8"/>
      <c r="F1829" s="8"/>
    </row>
    <row r="1830">
      <c r="A1830" s="8"/>
      <c r="B1830" s="8"/>
      <c r="C1830" s="8"/>
      <c r="D1830" s="8"/>
      <c r="E1830" s="8"/>
      <c r="F1830" s="8"/>
    </row>
    <row r="1831">
      <c r="A1831" s="8"/>
      <c r="B1831" s="8"/>
      <c r="C1831" s="8"/>
      <c r="D1831" s="8"/>
      <c r="E1831" s="8"/>
      <c r="F1831" s="8"/>
    </row>
    <row r="1832">
      <c r="A1832" s="8"/>
      <c r="B1832" s="8"/>
      <c r="C1832" s="8"/>
      <c r="D1832" s="8"/>
      <c r="E1832" s="8"/>
      <c r="F1832" s="8"/>
    </row>
    <row r="1833">
      <c r="A1833" s="8"/>
      <c r="B1833" s="8"/>
      <c r="C1833" s="8"/>
      <c r="D1833" s="8"/>
      <c r="E1833" s="8"/>
      <c r="F1833" s="8"/>
    </row>
    <row r="1834">
      <c r="A1834" s="8"/>
      <c r="B1834" s="8"/>
      <c r="C1834" s="8"/>
      <c r="D1834" s="8"/>
      <c r="E1834" s="8"/>
      <c r="F1834" s="8"/>
    </row>
    <row r="1835">
      <c r="A1835" s="8"/>
      <c r="B1835" s="8"/>
      <c r="C1835" s="8"/>
      <c r="D1835" s="8"/>
      <c r="E1835" s="8"/>
      <c r="F1835" s="8"/>
    </row>
    <row r="1836">
      <c r="A1836" s="8"/>
      <c r="B1836" s="8"/>
      <c r="C1836" s="8"/>
      <c r="D1836" s="8"/>
      <c r="E1836" s="8"/>
      <c r="F1836" s="8"/>
    </row>
    <row r="1837">
      <c r="A1837" s="8"/>
      <c r="B1837" s="8"/>
      <c r="C1837" s="8"/>
      <c r="D1837" s="8"/>
      <c r="E1837" s="8"/>
      <c r="F1837" s="8"/>
    </row>
    <row r="1838">
      <c r="A1838" s="8"/>
      <c r="B1838" s="8"/>
      <c r="C1838" s="8"/>
      <c r="D1838" s="8"/>
      <c r="E1838" s="8"/>
      <c r="F1838" s="8"/>
    </row>
    <row r="1839">
      <c r="A1839" s="8"/>
      <c r="B1839" s="8"/>
      <c r="C1839" s="8"/>
      <c r="D1839" s="8"/>
      <c r="E1839" s="8"/>
      <c r="F1839" s="8"/>
    </row>
    <row r="1840">
      <c r="A1840" s="8"/>
      <c r="B1840" s="8"/>
      <c r="C1840" s="8"/>
      <c r="D1840" s="8"/>
      <c r="E1840" s="8"/>
      <c r="F1840" s="8"/>
    </row>
    <row r="1841">
      <c r="A1841" s="8"/>
      <c r="B1841" s="8"/>
      <c r="C1841" s="8"/>
      <c r="D1841" s="8"/>
      <c r="E1841" s="8"/>
      <c r="F1841" s="8"/>
    </row>
    <row r="1842">
      <c r="A1842" s="8"/>
      <c r="B1842" s="8"/>
      <c r="C1842" s="8"/>
      <c r="D1842" s="8"/>
      <c r="E1842" s="8"/>
      <c r="F1842" s="8"/>
    </row>
    <row r="1843">
      <c r="A1843" s="8"/>
      <c r="B1843" s="8"/>
      <c r="C1843" s="8"/>
      <c r="D1843" s="8"/>
      <c r="E1843" s="8"/>
      <c r="F1843" s="8"/>
    </row>
    <row r="1844">
      <c r="A1844" s="8"/>
      <c r="B1844" s="8"/>
      <c r="C1844" s="8"/>
      <c r="D1844" s="8"/>
      <c r="E1844" s="8"/>
      <c r="F1844" s="8"/>
    </row>
    <row r="1845">
      <c r="A1845" s="8"/>
      <c r="B1845" s="8"/>
      <c r="C1845" s="8"/>
      <c r="D1845" s="8"/>
      <c r="E1845" s="8"/>
      <c r="F1845" s="8"/>
    </row>
    <row r="1846">
      <c r="A1846" s="8"/>
      <c r="B1846" s="8"/>
      <c r="C1846" s="8"/>
      <c r="D1846" s="8"/>
      <c r="E1846" s="8"/>
      <c r="F1846" s="8"/>
    </row>
    <row r="1847">
      <c r="A1847" s="8"/>
      <c r="B1847" s="8"/>
      <c r="C1847" s="8"/>
      <c r="D1847" s="8"/>
      <c r="E1847" s="8"/>
      <c r="F1847" s="8"/>
    </row>
    <row r="1848">
      <c r="A1848" s="8"/>
      <c r="B1848" s="8"/>
      <c r="C1848" s="8"/>
      <c r="D1848" s="8"/>
      <c r="E1848" s="8"/>
      <c r="F1848" s="8"/>
    </row>
    <row r="1849">
      <c r="A1849" s="8"/>
      <c r="B1849" s="8"/>
      <c r="C1849" s="8"/>
      <c r="D1849" s="8"/>
      <c r="E1849" s="8"/>
      <c r="F1849" s="8"/>
    </row>
    <row r="1850">
      <c r="A1850" s="8"/>
      <c r="B1850" s="8"/>
      <c r="C1850" s="8"/>
      <c r="D1850" s="8"/>
      <c r="E1850" s="8"/>
      <c r="F1850" s="8"/>
    </row>
    <row r="1851">
      <c r="A1851" s="8"/>
      <c r="B1851" s="8"/>
      <c r="C1851" s="8"/>
      <c r="D1851" s="8"/>
      <c r="E1851" s="8"/>
      <c r="F1851" s="8"/>
    </row>
    <row r="1852">
      <c r="A1852" s="8"/>
      <c r="B1852" s="8"/>
      <c r="C1852" s="8"/>
      <c r="D1852" s="8"/>
      <c r="E1852" s="8"/>
      <c r="F1852" s="8"/>
    </row>
    <row r="1853">
      <c r="A1853" s="8"/>
      <c r="B1853" s="8"/>
      <c r="C1853" s="8"/>
      <c r="D1853" s="8"/>
      <c r="E1853" s="8"/>
      <c r="F1853" s="8"/>
    </row>
    <row r="1854">
      <c r="A1854" s="8"/>
      <c r="B1854" s="8"/>
      <c r="C1854" s="8"/>
      <c r="D1854" s="8"/>
      <c r="E1854" s="8"/>
      <c r="F1854" s="8"/>
    </row>
    <row r="1855">
      <c r="A1855" s="8"/>
      <c r="B1855" s="8"/>
      <c r="C1855" s="8"/>
      <c r="D1855" s="8"/>
      <c r="E1855" s="8"/>
      <c r="F1855" s="8"/>
    </row>
    <row r="1856">
      <c r="A1856" s="8"/>
      <c r="B1856" s="8"/>
      <c r="C1856" s="8"/>
      <c r="D1856" s="8"/>
      <c r="E1856" s="8"/>
      <c r="F1856" s="8"/>
    </row>
    <row r="1857">
      <c r="A1857" s="8"/>
      <c r="B1857" s="8"/>
      <c r="C1857" s="8"/>
      <c r="D1857" s="8"/>
      <c r="E1857" s="8"/>
      <c r="F1857" s="8"/>
    </row>
    <row r="1858">
      <c r="A1858" s="8"/>
      <c r="B1858" s="8"/>
      <c r="C1858" s="8"/>
      <c r="D1858" s="8"/>
      <c r="E1858" s="8"/>
      <c r="F1858" s="8"/>
    </row>
    <row r="1859">
      <c r="A1859" s="8"/>
      <c r="B1859" s="8"/>
      <c r="C1859" s="8"/>
      <c r="D1859" s="8"/>
      <c r="E1859" s="8"/>
      <c r="F1859" s="8"/>
    </row>
    <row r="1860">
      <c r="A1860" s="8"/>
      <c r="B1860" s="8"/>
      <c r="C1860" s="8"/>
      <c r="D1860" s="8"/>
      <c r="E1860" s="8"/>
      <c r="F1860" s="8"/>
    </row>
    <row r="1861">
      <c r="A1861" s="8"/>
      <c r="B1861" s="8"/>
      <c r="C1861" s="8"/>
      <c r="D1861" s="8"/>
      <c r="E1861" s="8"/>
      <c r="F1861" s="8"/>
    </row>
    <row r="1862">
      <c r="A1862" s="8"/>
      <c r="B1862" s="8"/>
      <c r="C1862" s="8"/>
      <c r="D1862" s="8"/>
      <c r="E1862" s="8"/>
      <c r="F1862" s="8"/>
    </row>
    <row r="1863">
      <c r="A1863" s="8"/>
      <c r="B1863" s="8"/>
      <c r="C1863" s="8"/>
      <c r="D1863" s="8"/>
      <c r="E1863" s="8"/>
      <c r="F1863" s="8"/>
    </row>
    <row r="1864">
      <c r="A1864" s="8"/>
      <c r="B1864" s="8"/>
      <c r="C1864" s="8"/>
      <c r="D1864" s="8"/>
      <c r="E1864" s="8"/>
      <c r="F1864" s="8"/>
    </row>
    <row r="1865">
      <c r="A1865" s="8"/>
      <c r="B1865" s="8"/>
      <c r="C1865" s="8"/>
      <c r="D1865" s="8"/>
      <c r="E1865" s="8"/>
      <c r="F1865" s="8"/>
    </row>
    <row r="1866">
      <c r="A1866" s="8"/>
      <c r="B1866" s="8"/>
      <c r="C1866" s="8"/>
      <c r="D1866" s="8"/>
      <c r="E1866" s="8"/>
      <c r="F1866" s="8"/>
    </row>
    <row r="1867">
      <c r="A1867" s="8"/>
      <c r="B1867" s="8"/>
      <c r="C1867" s="8"/>
      <c r="D1867" s="8"/>
      <c r="E1867" s="8"/>
      <c r="F1867" s="8"/>
    </row>
    <row r="1868">
      <c r="A1868" s="8"/>
      <c r="B1868" s="8"/>
      <c r="C1868" s="8"/>
      <c r="D1868" s="8"/>
      <c r="E1868" s="8"/>
      <c r="F1868" s="8"/>
    </row>
    <row r="1869">
      <c r="A1869" s="8"/>
      <c r="B1869" s="8"/>
      <c r="C1869" s="8"/>
      <c r="D1869" s="8"/>
      <c r="E1869" s="8"/>
      <c r="F1869" s="8"/>
    </row>
    <row r="1870">
      <c r="A1870" s="8"/>
      <c r="B1870" s="8"/>
      <c r="C1870" s="8"/>
      <c r="D1870" s="8"/>
      <c r="E1870" s="8"/>
      <c r="F1870" s="8"/>
    </row>
    <row r="1871">
      <c r="A1871" s="8"/>
      <c r="B1871" s="8"/>
      <c r="C1871" s="8"/>
      <c r="D1871" s="8"/>
      <c r="E1871" s="8"/>
      <c r="F1871" s="8"/>
    </row>
    <row r="1872">
      <c r="A1872" s="8"/>
      <c r="B1872" s="8"/>
      <c r="C1872" s="8"/>
      <c r="D1872" s="8"/>
      <c r="E1872" s="8"/>
      <c r="F1872" s="8"/>
    </row>
    <row r="1873">
      <c r="A1873" s="8"/>
      <c r="B1873" s="8"/>
      <c r="C1873" s="8"/>
      <c r="D1873" s="8"/>
      <c r="E1873" s="8"/>
      <c r="F1873" s="8"/>
    </row>
    <row r="1874">
      <c r="A1874" s="8"/>
      <c r="B1874" s="8"/>
      <c r="C1874" s="8"/>
      <c r="D1874" s="8"/>
      <c r="E1874" s="8"/>
      <c r="F1874" s="8"/>
    </row>
    <row r="1875">
      <c r="A1875" s="8"/>
      <c r="B1875" s="8"/>
      <c r="C1875" s="8"/>
      <c r="D1875" s="8"/>
      <c r="E1875" s="8"/>
      <c r="F1875" s="8"/>
    </row>
    <row r="1876">
      <c r="A1876" s="8"/>
      <c r="B1876" s="8"/>
      <c r="C1876" s="8"/>
      <c r="D1876" s="8"/>
      <c r="E1876" s="8"/>
      <c r="F1876" s="8"/>
    </row>
    <row r="1877">
      <c r="A1877" s="8"/>
      <c r="B1877" s="8"/>
      <c r="C1877" s="8"/>
      <c r="D1877" s="8"/>
      <c r="E1877" s="8"/>
      <c r="F1877" s="8"/>
    </row>
    <row r="1878">
      <c r="A1878" s="8"/>
      <c r="B1878" s="8"/>
      <c r="C1878" s="8"/>
      <c r="D1878" s="8"/>
      <c r="E1878" s="8"/>
      <c r="F1878" s="8"/>
    </row>
    <row r="1879">
      <c r="A1879" s="8"/>
      <c r="B1879" s="8"/>
      <c r="C1879" s="8"/>
      <c r="D1879" s="8"/>
      <c r="E1879" s="8"/>
      <c r="F1879" s="8"/>
    </row>
    <row r="1880">
      <c r="A1880" s="8"/>
      <c r="B1880" s="8"/>
      <c r="C1880" s="8"/>
      <c r="D1880" s="8"/>
      <c r="E1880" s="8"/>
      <c r="F1880" s="8"/>
    </row>
    <row r="1881">
      <c r="A1881" s="8"/>
      <c r="B1881" s="8"/>
      <c r="C1881" s="8"/>
      <c r="D1881" s="8"/>
      <c r="E1881" s="8"/>
      <c r="F1881" s="8"/>
    </row>
    <row r="1882">
      <c r="A1882" s="8"/>
      <c r="B1882" s="8"/>
      <c r="C1882" s="8"/>
      <c r="D1882" s="8"/>
      <c r="E1882" s="8"/>
      <c r="F1882" s="8"/>
    </row>
    <row r="1883">
      <c r="A1883" s="8"/>
      <c r="B1883" s="8"/>
      <c r="C1883" s="8"/>
      <c r="D1883" s="8"/>
      <c r="E1883" s="8"/>
      <c r="F1883" s="8"/>
    </row>
    <row r="1884">
      <c r="A1884" s="8"/>
      <c r="B1884" s="8"/>
      <c r="C1884" s="8"/>
      <c r="D1884" s="8"/>
      <c r="E1884" s="8"/>
      <c r="F1884" s="8"/>
    </row>
    <row r="1885">
      <c r="A1885" s="8"/>
      <c r="B1885" s="8"/>
      <c r="C1885" s="8"/>
      <c r="D1885" s="8"/>
      <c r="E1885" s="8"/>
      <c r="F1885" s="8"/>
    </row>
    <row r="1886">
      <c r="A1886" s="8"/>
      <c r="B1886" s="8"/>
      <c r="C1886" s="8"/>
      <c r="D1886" s="8"/>
      <c r="E1886" s="8"/>
      <c r="F1886" s="8"/>
    </row>
    <row r="1887">
      <c r="A1887" s="8"/>
      <c r="B1887" s="8"/>
      <c r="C1887" s="8"/>
      <c r="D1887" s="8"/>
      <c r="E1887" s="8"/>
      <c r="F1887" s="8"/>
    </row>
    <row r="1888">
      <c r="A1888" s="8"/>
      <c r="B1888" s="8"/>
      <c r="C1888" s="8"/>
      <c r="D1888" s="8"/>
      <c r="E1888" s="8"/>
      <c r="F1888" s="8"/>
    </row>
    <row r="1889">
      <c r="A1889" s="8"/>
      <c r="B1889" s="8"/>
      <c r="C1889" s="8"/>
      <c r="D1889" s="8"/>
      <c r="E1889" s="8"/>
      <c r="F1889" s="8"/>
    </row>
    <row r="1890">
      <c r="A1890" s="8"/>
      <c r="B1890" s="8"/>
      <c r="C1890" s="8"/>
      <c r="D1890" s="8"/>
      <c r="E1890" s="8"/>
      <c r="F1890" s="8"/>
    </row>
    <row r="1891">
      <c r="A1891" s="8"/>
      <c r="B1891" s="8"/>
      <c r="C1891" s="8"/>
      <c r="D1891" s="8"/>
      <c r="E1891" s="8"/>
      <c r="F1891" s="8"/>
    </row>
    <row r="1892">
      <c r="A1892" s="8"/>
      <c r="B1892" s="8"/>
      <c r="C1892" s="8"/>
      <c r="D1892" s="8"/>
      <c r="E1892" s="8"/>
      <c r="F1892" s="8"/>
    </row>
    <row r="1893">
      <c r="A1893" s="8"/>
      <c r="B1893" s="8"/>
      <c r="C1893" s="8"/>
      <c r="D1893" s="8"/>
      <c r="E1893" s="8"/>
      <c r="F1893" s="8"/>
    </row>
    <row r="1894">
      <c r="A1894" s="8"/>
      <c r="B1894" s="8"/>
      <c r="C1894" s="8"/>
      <c r="D1894" s="8"/>
      <c r="E1894" s="8"/>
      <c r="F1894" s="8"/>
    </row>
    <row r="1895">
      <c r="A1895" s="8"/>
      <c r="B1895" s="8"/>
      <c r="C1895" s="8"/>
      <c r="D1895" s="8"/>
      <c r="E1895" s="8"/>
      <c r="F1895" s="8"/>
    </row>
    <row r="1896">
      <c r="A1896" s="8"/>
      <c r="B1896" s="8"/>
      <c r="C1896" s="8"/>
      <c r="D1896" s="8"/>
      <c r="E1896" s="8"/>
      <c r="F1896" s="8"/>
    </row>
    <row r="1897">
      <c r="A1897" s="8"/>
      <c r="B1897" s="8"/>
      <c r="C1897" s="8"/>
      <c r="D1897" s="8"/>
      <c r="E1897" s="8"/>
      <c r="F1897" s="8"/>
    </row>
    <row r="1898">
      <c r="A1898" s="8"/>
      <c r="B1898" s="8"/>
      <c r="C1898" s="8"/>
      <c r="D1898" s="8"/>
      <c r="E1898" s="8"/>
      <c r="F1898" s="8"/>
    </row>
    <row r="1899">
      <c r="A1899" s="8"/>
      <c r="B1899" s="8"/>
      <c r="C1899" s="8"/>
      <c r="D1899" s="8"/>
      <c r="E1899" s="8"/>
      <c r="F1899" s="8"/>
    </row>
    <row r="1900">
      <c r="A1900" s="8"/>
      <c r="B1900" s="8"/>
      <c r="C1900" s="8"/>
      <c r="D1900" s="8"/>
      <c r="E1900" s="8"/>
      <c r="F1900" s="8"/>
    </row>
    <row r="1901">
      <c r="A1901" s="8"/>
      <c r="B1901" s="8"/>
      <c r="C1901" s="8"/>
      <c r="D1901" s="8"/>
      <c r="E1901" s="8"/>
      <c r="F1901" s="8"/>
    </row>
    <row r="1902">
      <c r="A1902" s="8"/>
      <c r="B1902" s="8"/>
      <c r="C1902" s="8"/>
      <c r="D1902" s="8"/>
      <c r="E1902" s="8"/>
      <c r="F1902" s="8"/>
    </row>
    <row r="1903">
      <c r="A1903" s="8"/>
      <c r="B1903" s="8"/>
      <c r="C1903" s="8"/>
      <c r="D1903" s="8"/>
      <c r="E1903" s="8"/>
      <c r="F1903" s="8"/>
    </row>
    <row r="1904">
      <c r="A1904" s="8"/>
      <c r="B1904" s="8"/>
      <c r="C1904" s="8"/>
      <c r="D1904" s="8"/>
      <c r="E1904" s="8"/>
      <c r="F1904" s="8"/>
    </row>
    <row r="1905">
      <c r="A1905" s="8"/>
      <c r="B1905" s="8"/>
      <c r="C1905" s="8"/>
      <c r="D1905" s="8"/>
      <c r="E1905" s="8"/>
      <c r="F1905" s="8"/>
    </row>
    <row r="1906">
      <c r="A1906" s="8"/>
      <c r="B1906" s="8"/>
      <c r="C1906" s="8"/>
      <c r="D1906" s="8"/>
      <c r="E1906" s="8"/>
      <c r="F1906" s="8"/>
    </row>
    <row r="1907">
      <c r="A1907" s="8"/>
      <c r="B1907" s="8"/>
      <c r="C1907" s="8"/>
      <c r="D1907" s="8"/>
      <c r="E1907" s="8"/>
      <c r="F1907" s="8"/>
    </row>
    <row r="1908">
      <c r="A1908" s="8"/>
      <c r="B1908" s="8"/>
      <c r="C1908" s="8"/>
      <c r="D1908" s="8"/>
      <c r="E1908" s="8"/>
      <c r="F1908" s="8"/>
    </row>
    <row r="1909">
      <c r="A1909" s="8"/>
      <c r="B1909" s="8"/>
      <c r="C1909" s="8"/>
      <c r="D1909" s="8"/>
      <c r="E1909" s="8"/>
      <c r="F1909" s="8"/>
    </row>
    <row r="1910">
      <c r="A1910" s="8"/>
      <c r="B1910" s="8"/>
      <c r="C1910" s="8"/>
      <c r="D1910" s="8"/>
      <c r="E1910" s="8"/>
      <c r="F1910" s="8"/>
    </row>
    <row r="1911">
      <c r="A1911" s="8"/>
      <c r="B1911" s="8"/>
      <c r="C1911" s="8"/>
      <c r="D1911" s="8"/>
      <c r="E1911" s="8"/>
      <c r="F1911" s="8"/>
    </row>
    <row r="1912">
      <c r="A1912" s="8"/>
      <c r="B1912" s="8"/>
      <c r="C1912" s="8"/>
      <c r="D1912" s="8"/>
      <c r="E1912" s="8"/>
      <c r="F1912" s="8"/>
    </row>
    <row r="1913">
      <c r="A1913" s="8"/>
      <c r="B1913" s="8"/>
      <c r="C1913" s="8"/>
      <c r="D1913" s="8"/>
      <c r="E1913" s="8"/>
      <c r="F1913" s="8"/>
    </row>
    <row r="1914">
      <c r="A1914" s="8"/>
      <c r="B1914" s="8"/>
      <c r="C1914" s="8"/>
      <c r="D1914" s="8"/>
      <c r="E1914" s="8"/>
      <c r="F1914" s="8"/>
    </row>
    <row r="1915">
      <c r="A1915" s="8"/>
      <c r="B1915" s="8"/>
      <c r="C1915" s="8"/>
      <c r="D1915" s="8"/>
      <c r="E1915" s="8"/>
      <c r="F1915" s="8"/>
    </row>
    <row r="1916">
      <c r="A1916" s="8"/>
      <c r="B1916" s="8"/>
      <c r="C1916" s="8"/>
      <c r="D1916" s="8"/>
      <c r="E1916" s="8"/>
      <c r="F1916" s="8"/>
    </row>
    <row r="1917">
      <c r="A1917" s="8"/>
      <c r="B1917" s="8"/>
      <c r="C1917" s="8"/>
      <c r="D1917" s="8"/>
      <c r="E1917" s="8"/>
      <c r="F1917" s="8"/>
    </row>
    <row r="1918">
      <c r="A1918" s="8"/>
      <c r="B1918" s="8"/>
      <c r="C1918" s="8"/>
      <c r="D1918" s="8"/>
      <c r="E1918" s="8"/>
      <c r="F1918" s="8"/>
    </row>
    <row r="1919">
      <c r="A1919" s="8"/>
      <c r="B1919" s="8"/>
      <c r="C1919" s="8"/>
      <c r="D1919" s="8"/>
      <c r="E1919" s="8"/>
      <c r="F1919" s="8"/>
    </row>
    <row r="1920">
      <c r="A1920" s="8"/>
      <c r="B1920" s="8"/>
      <c r="C1920" s="8"/>
      <c r="D1920" s="8"/>
      <c r="E1920" s="8"/>
      <c r="F1920" s="8"/>
    </row>
    <row r="1921">
      <c r="A1921" s="8"/>
      <c r="B1921" s="8"/>
      <c r="C1921" s="8"/>
      <c r="D1921" s="8"/>
      <c r="E1921" s="8"/>
      <c r="F1921" s="8"/>
    </row>
    <row r="1922">
      <c r="A1922" s="8"/>
      <c r="B1922" s="8"/>
      <c r="C1922" s="8"/>
      <c r="D1922" s="8"/>
      <c r="E1922" s="8"/>
      <c r="F1922" s="8"/>
    </row>
    <row r="1923">
      <c r="A1923" s="8"/>
      <c r="B1923" s="8"/>
      <c r="C1923" s="8"/>
      <c r="D1923" s="8"/>
      <c r="E1923" s="8"/>
      <c r="F1923" s="8"/>
    </row>
    <row r="1924">
      <c r="A1924" s="8"/>
      <c r="B1924" s="8"/>
      <c r="C1924" s="8"/>
      <c r="D1924" s="8"/>
      <c r="E1924" s="8"/>
      <c r="F1924" s="8"/>
    </row>
    <row r="1925">
      <c r="A1925" s="8"/>
      <c r="B1925" s="8"/>
      <c r="C1925" s="8"/>
      <c r="D1925" s="8"/>
      <c r="E1925" s="8"/>
      <c r="F1925" s="8"/>
    </row>
    <row r="1926">
      <c r="A1926" s="8"/>
      <c r="B1926" s="8"/>
      <c r="C1926" s="8"/>
      <c r="D1926" s="8"/>
      <c r="E1926" s="8"/>
      <c r="F1926" s="8"/>
    </row>
    <row r="1927">
      <c r="A1927" s="8"/>
      <c r="B1927" s="8"/>
      <c r="C1927" s="8"/>
      <c r="D1927" s="8"/>
      <c r="E1927" s="8"/>
      <c r="F1927" s="8"/>
    </row>
    <row r="1928">
      <c r="A1928" s="8"/>
      <c r="B1928" s="8"/>
      <c r="C1928" s="8"/>
      <c r="D1928" s="8"/>
      <c r="E1928" s="8"/>
      <c r="F1928" s="8"/>
    </row>
    <row r="1929">
      <c r="A1929" s="8"/>
      <c r="B1929" s="8"/>
      <c r="C1929" s="8"/>
      <c r="D1929" s="8"/>
      <c r="E1929" s="8"/>
      <c r="F1929" s="8"/>
    </row>
    <row r="1930">
      <c r="A1930" s="8"/>
      <c r="B1930" s="8"/>
      <c r="C1930" s="8"/>
      <c r="D1930" s="8"/>
      <c r="E1930" s="8"/>
      <c r="F1930" s="8"/>
    </row>
    <row r="1931">
      <c r="A1931" s="8"/>
      <c r="B1931" s="8"/>
      <c r="C1931" s="8"/>
      <c r="D1931" s="8"/>
      <c r="E1931" s="8"/>
      <c r="F1931" s="8"/>
    </row>
    <row r="1932">
      <c r="A1932" s="8"/>
      <c r="B1932" s="8"/>
      <c r="C1932" s="8"/>
      <c r="D1932" s="8"/>
      <c r="E1932" s="8"/>
      <c r="F1932" s="8"/>
    </row>
    <row r="1933">
      <c r="A1933" s="8"/>
      <c r="B1933" s="8"/>
      <c r="C1933" s="8"/>
      <c r="D1933" s="8"/>
      <c r="E1933" s="8"/>
      <c r="F1933" s="8"/>
    </row>
    <row r="1934">
      <c r="A1934" s="8"/>
      <c r="B1934" s="8"/>
      <c r="C1934" s="8"/>
      <c r="D1934" s="8"/>
      <c r="E1934" s="8"/>
      <c r="F1934" s="8"/>
    </row>
    <row r="1935">
      <c r="A1935" s="8"/>
      <c r="B1935" s="8"/>
      <c r="C1935" s="8"/>
      <c r="D1935" s="8"/>
      <c r="E1935" s="8"/>
      <c r="F1935" s="8"/>
    </row>
    <row r="1936">
      <c r="A1936" s="8"/>
      <c r="B1936" s="8"/>
      <c r="C1936" s="8"/>
      <c r="D1936" s="8"/>
      <c r="E1936" s="8"/>
      <c r="F1936" s="8"/>
    </row>
    <row r="1937">
      <c r="A1937" s="8"/>
      <c r="B1937" s="8"/>
      <c r="C1937" s="8"/>
      <c r="D1937" s="8"/>
      <c r="E1937" s="8"/>
      <c r="F1937" s="8"/>
    </row>
    <row r="1938">
      <c r="A1938" s="8"/>
      <c r="B1938" s="8"/>
      <c r="C1938" s="8"/>
      <c r="D1938" s="8"/>
      <c r="E1938" s="8"/>
      <c r="F1938" s="8"/>
    </row>
    <row r="1939">
      <c r="A1939" s="8"/>
      <c r="B1939" s="8"/>
      <c r="C1939" s="8"/>
      <c r="D1939" s="8"/>
      <c r="E1939" s="8"/>
      <c r="F1939" s="8"/>
    </row>
    <row r="1940">
      <c r="A1940" s="8"/>
      <c r="B1940" s="8"/>
      <c r="C1940" s="8"/>
      <c r="D1940" s="8"/>
      <c r="E1940" s="8"/>
      <c r="F1940" s="8"/>
    </row>
    <row r="1941">
      <c r="A1941" s="8"/>
      <c r="B1941" s="8"/>
      <c r="C1941" s="8"/>
      <c r="D1941" s="8"/>
      <c r="E1941" s="8"/>
      <c r="F1941" s="8"/>
    </row>
    <row r="1942">
      <c r="A1942" s="8"/>
      <c r="B1942" s="8"/>
      <c r="C1942" s="8"/>
      <c r="D1942" s="8"/>
      <c r="E1942" s="8"/>
      <c r="F1942" s="8"/>
    </row>
    <row r="1943">
      <c r="A1943" s="8"/>
      <c r="B1943" s="8"/>
      <c r="C1943" s="8"/>
      <c r="D1943" s="8"/>
      <c r="E1943" s="8"/>
      <c r="F1943" s="8"/>
    </row>
    <row r="1944">
      <c r="A1944" s="8"/>
      <c r="B1944" s="8"/>
      <c r="C1944" s="8"/>
      <c r="D1944" s="8"/>
      <c r="E1944" s="8"/>
      <c r="F1944" s="8"/>
    </row>
    <row r="1945">
      <c r="A1945" s="8"/>
      <c r="B1945" s="8"/>
      <c r="C1945" s="8"/>
      <c r="D1945" s="8"/>
      <c r="E1945" s="8"/>
      <c r="F1945" s="8"/>
    </row>
    <row r="1946">
      <c r="A1946" s="8"/>
      <c r="B1946" s="8"/>
      <c r="C1946" s="8"/>
      <c r="D1946" s="8"/>
      <c r="E1946" s="8"/>
      <c r="F1946" s="8"/>
    </row>
    <row r="1947">
      <c r="A1947" s="8"/>
      <c r="B1947" s="8"/>
      <c r="C1947" s="8"/>
      <c r="D1947" s="8"/>
      <c r="E1947" s="8"/>
      <c r="F1947" s="8"/>
    </row>
    <row r="1948">
      <c r="A1948" s="8"/>
      <c r="B1948" s="8"/>
      <c r="C1948" s="8"/>
      <c r="D1948" s="8"/>
      <c r="E1948" s="8"/>
      <c r="F1948" s="8"/>
    </row>
    <row r="1949">
      <c r="A1949" s="8"/>
      <c r="B1949" s="8"/>
      <c r="C1949" s="8"/>
      <c r="D1949" s="8"/>
      <c r="E1949" s="8"/>
      <c r="F1949" s="8"/>
    </row>
    <row r="1950">
      <c r="A1950" s="8"/>
      <c r="B1950" s="8"/>
      <c r="C1950" s="8"/>
      <c r="D1950" s="8"/>
      <c r="E1950" s="8"/>
      <c r="F1950" s="8"/>
    </row>
    <row r="1951">
      <c r="A1951" s="8"/>
      <c r="B1951" s="8"/>
      <c r="C1951" s="8"/>
      <c r="D1951" s="8"/>
      <c r="E1951" s="8"/>
      <c r="F1951" s="8"/>
    </row>
    <row r="1952">
      <c r="A1952" s="8"/>
      <c r="B1952" s="8"/>
      <c r="C1952" s="8"/>
      <c r="D1952" s="8"/>
      <c r="E1952" s="8"/>
      <c r="F1952" s="8"/>
    </row>
    <row r="1953">
      <c r="A1953" s="8"/>
      <c r="B1953" s="8"/>
      <c r="C1953" s="8"/>
      <c r="D1953" s="8"/>
      <c r="E1953" s="8"/>
      <c r="F1953" s="8"/>
    </row>
    <row r="1954">
      <c r="A1954" s="8"/>
      <c r="B1954" s="8"/>
      <c r="C1954" s="8"/>
      <c r="D1954" s="8"/>
      <c r="E1954" s="8"/>
      <c r="F1954" s="8"/>
    </row>
    <row r="1955">
      <c r="A1955" s="8"/>
      <c r="B1955" s="8"/>
      <c r="C1955" s="8"/>
      <c r="D1955" s="8"/>
      <c r="E1955" s="8"/>
      <c r="F1955" s="8"/>
    </row>
    <row r="1956">
      <c r="A1956" s="8"/>
      <c r="B1956" s="8"/>
      <c r="C1956" s="8"/>
      <c r="D1956" s="8"/>
      <c r="E1956" s="8"/>
      <c r="F1956" s="8"/>
    </row>
    <row r="1957">
      <c r="A1957" s="8"/>
      <c r="B1957" s="8"/>
      <c r="C1957" s="8"/>
      <c r="D1957" s="8"/>
      <c r="E1957" s="8"/>
      <c r="F1957" s="8"/>
    </row>
    <row r="1958">
      <c r="A1958" s="8"/>
      <c r="B1958" s="8"/>
      <c r="C1958" s="8"/>
      <c r="D1958" s="8"/>
      <c r="E1958" s="8"/>
      <c r="F1958" s="8"/>
    </row>
    <row r="1959">
      <c r="A1959" s="8"/>
      <c r="B1959" s="8"/>
      <c r="C1959" s="8"/>
      <c r="D1959" s="8"/>
      <c r="E1959" s="8"/>
      <c r="F1959" s="8"/>
    </row>
    <row r="1960">
      <c r="A1960" s="8"/>
      <c r="B1960" s="8"/>
      <c r="C1960" s="8"/>
      <c r="D1960" s="8"/>
      <c r="E1960" s="8"/>
      <c r="F1960" s="8"/>
    </row>
    <row r="1961">
      <c r="A1961" s="8"/>
      <c r="B1961" s="8"/>
      <c r="C1961" s="8"/>
      <c r="D1961" s="8"/>
      <c r="E1961" s="8"/>
      <c r="F1961" s="8"/>
    </row>
    <row r="1962">
      <c r="A1962" s="8"/>
      <c r="B1962" s="8"/>
      <c r="C1962" s="8"/>
      <c r="D1962" s="8"/>
      <c r="E1962" s="8"/>
      <c r="F1962" s="8"/>
    </row>
    <row r="1963">
      <c r="A1963" s="8"/>
      <c r="B1963" s="8"/>
      <c r="C1963" s="8"/>
      <c r="D1963" s="8"/>
      <c r="E1963" s="8"/>
      <c r="F1963" s="8"/>
    </row>
    <row r="1964">
      <c r="A1964" s="8"/>
      <c r="B1964" s="8"/>
      <c r="C1964" s="8"/>
      <c r="D1964" s="8"/>
      <c r="E1964" s="8"/>
      <c r="F1964" s="8"/>
    </row>
    <row r="1965">
      <c r="A1965" s="8"/>
      <c r="B1965" s="8"/>
      <c r="C1965" s="8"/>
      <c r="D1965" s="8"/>
      <c r="E1965" s="8"/>
      <c r="F1965" s="8"/>
    </row>
    <row r="1966">
      <c r="A1966" s="8"/>
      <c r="B1966" s="8"/>
      <c r="C1966" s="8"/>
      <c r="D1966" s="8"/>
      <c r="E1966" s="8"/>
      <c r="F1966" s="8"/>
    </row>
    <row r="1967">
      <c r="A1967" s="8"/>
      <c r="B1967" s="8"/>
      <c r="C1967" s="8"/>
      <c r="D1967" s="8"/>
      <c r="E1967" s="8"/>
      <c r="F1967" s="8"/>
    </row>
    <row r="1968">
      <c r="A1968" s="8"/>
      <c r="B1968" s="8"/>
      <c r="C1968" s="8"/>
      <c r="D1968" s="8"/>
      <c r="E1968" s="8"/>
      <c r="F1968" s="8"/>
    </row>
    <row r="1969">
      <c r="A1969" s="8"/>
      <c r="B1969" s="8"/>
      <c r="C1969" s="8"/>
      <c r="D1969" s="8"/>
      <c r="E1969" s="8"/>
      <c r="F1969" s="8"/>
    </row>
    <row r="1970">
      <c r="A1970" s="8"/>
      <c r="B1970" s="8"/>
      <c r="C1970" s="8"/>
      <c r="D1970" s="8"/>
      <c r="E1970" s="8"/>
      <c r="F1970" s="8"/>
    </row>
    <row r="1971">
      <c r="A1971" s="8"/>
      <c r="B1971" s="8"/>
      <c r="C1971" s="8"/>
      <c r="D1971" s="8"/>
      <c r="E1971" s="8"/>
      <c r="F1971" s="8"/>
    </row>
    <row r="1972">
      <c r="A1972" s="8"/>
      <c r="B1972" s="8"/>
      <c r="C1972" s="8"/>
      <c r="D1972" s="8"/>
      <c r="E1972" s="8"/>
      <c r="F1972" s="8"/>
    </row>
    <row r="1973">
      <c r="A1973" s="8"/>
      <c r="B1973" s="8"/>
      <c r="C1973" s="8"/>
      <c r="D1973" s="8"/>
      <c r="E1973" s="8"/>
      <c r="F1973" s="8"/>
    </row>
    <row r="1974">
      <c r="A1974" s="8"/>
      <c r="B1974" s="8"/>
      <c r="C1974" s="8"/>
      <c r="D1974" s="8"/>
      <c r="E1974" s="8"/>
      <c r="F1974" s="8"/>
    </row>
    <row r="1975">
      <c r="A1975" s="8"/>
      <c r="B1975" s="8"/>
      <c r="C1975" s="8"/>
      <c r="D1975" s="8"/>
      <c r="E1975" s="8"/>
      <c r="F1975" s="8"/>
    </row>
    <row r="1976">
      <c r="A1976" s="8"/>
      <c r="B1976" s="8"/>
      <c r="C1976" s="8"/>
      <c r="D1976" s="8"/>
      <c r="E1976" s="8"/>
      <c r="F1976" s="8"/>
    </row>
    <row r="1977">
      <c r="A1977" s="8"/>
      <c r="B1977" s="8"/>
      <c r="C1977" s="8"/>
      <c r="D1977" s="8"/>
      <c r="E1977" s="8"/>
      <c r="F1977" s="8"/>
    </row>
    <row r="1978">
      <c r="A1978" s="8"/>
      <c r="B1978" s="8"/>
      <c r="C1978" s="8"/>
      <c r="D1978" s="8"/>
      <c r="E1978" s="8"/>
      <c r="F1978" s="8"/>
    </row>
    <row r="1979">
      <c r="A1979" s="8"/>
      <c r="B1979" s="8"/>
      <c r="C1979" s="8"/>
      <c r="D1979" s="8"/>
      <c r="E1979" s="8"/>
      <c r="F1979" s="8"/>
    </row>
    <row r="1980">
      <c r="A1980" s="8"/>
      <c r="B1980" s="8"/>
      <c r="C1980" s="8"/>
      <c r="D1980" s="8"/>
      <c r="E1980" s="8"/>
      <c r="F1980" s="8"/>
    </row>
    <row r="1981">
      <c r="A1981" s="8"/>
      <c r="B1981" s="8"/>
      <c r="C1981" s="8"/>
      <c r="D1981" s="8"/>
      <c r="E1981" s="8"/>
      <c r="F1981" s="8"/>
    </row>
    <row r="1982">
      <c r="A1982" s="8"/>
      <c r="B1982" s="8"/>
      <c r="C1982" s="8"/>
      <c r="D1982" s="8"/>
      <c r="E1982" s="8"/>
      <c r="F1982" s="8"/>
    </row>
    <row r="1983">
      <c r="A1983" s="8"/>
      <c r="B1983" s="8"/>
      <c r="C1983" s="8"/>
      <c r="D1983" s="8"/>
      <c r="E1983" s="8"/>
      <c r="F1983" s="8"/>
    </row>
    <row r="1984">
      <c r="A1984" s="8"/>
      <c r="B1984" s="8"/>
      <c r="C1984" s="8"/>
      <c r="D1984" s="8"/>
      <c r="E1984" s="8"/>
      <c r="F1984" s="8"/>
    </row>
    <row r="1985">
      <c r="A1985" s="8"/>
      <c r="B1985" s="8"/>
      <c r="C1985" s="8"/>
      <c r="D1985" s="8"/>
      <c r="E1985" s="8"/>
      <c r="F1985" s="8"/>
    </row>
    <row r="1986">
      <c r="A1986" s="8"/>
      <c r="B1986" s="8"/>
      <c r="C1986" s="8"/>
      <c r="D1986" s="8"/>
      <c r="E1986" s="8"/>
      <c r="F1986" s="8"/>
    </row>
    <row r="1987">
      <c r="A1987" s="8"/>
      <c r="B1987" s="8"/>
      <c r="C1987" s="8"/>
      <c r="D1987" s="8"/>
      <c r="E1987" s="8"/>
      <c r="F1987" s="8"/>
    </row>
    <row r="1988">
      <c r="A1988" s="8"/>
      <c r="B1988" s="8"/>
      <c r="C1988" s="8"/>
      <c r="D1988" s="8"/>
      <c r="E1988" s="8"/>
      <c r="F1988" s="8"/>
    </row>
    <row r="1989">
      <c r="A1989" s="8"/>
      <c r="B1989" s="8"/>
      <c r="C1989" s="8"/>
      <c r="D1989" s="8"/>
      <c r="E1989" s="8"/>
      <c r="F1989" s="8"/>
    </row>
    <row r="1990">
      <c r="A1990" s="8"/>
      <c r="B1990" s="8"/>
      <c r="C1990" s="8"/>
      <c r="D1990" s="8"/>
      <c r="E1990" s="8"/>
      <c r="F1990" s="8"/>
    </row>
    <row r="1991">
      <c r="A1991" s="8"/>
      <c r="B1991" s="8"/>
      <c r="C1991" s="8"/>
      <c r="D1991" s="8"/>
      <c r="E1991" s="8"/>
      <c r="F1991" s="8"/>
    </row>
    <row r="1992">
      <c r="A1992" s="8"/>
      <c r="B1992" s="8"/>
      <c r="C1992" s="8"/>
      <c r="D1992" s="8"/>
      <c r="E1992" s="8"/>
      <c r="F1992" s="8"/>
    </row>
    <row r="1993">
      <c r="A1993" s="8"/>
      <c r="B1993" s="8"/>
      <c r="C1993" s="8"/>
      <c r="D1993" s="8"/>
      <c r="E1993" s="8"/>
      <c r="F1993" s="8"/>
    </row>
    <row r="1994">
      <c r="A1994" s="8"/>
      <c r="B1994" s="8"/>
      <c r="C1994" s="8"/>
      <c r="D1994" s="8"/>
      <c r="E1994" s="8"/>
      <c r="F1994" s="8"/>
    </row>
    <row r="1995">
      <c r="A1995" s="8"/>
      <c r="B1995" s="8"/>
      <c r="C1995" s="8"/>
      <c r="D1995" s="8"/>
      <c r="E1995" s="8"/>
      <c r="F1995" s="8"/>
    </row>
    <row r="1996">
      <c r="A1996" s="8"/>
      <c r="B1996" s="8"/>
      <c r="C1996" s="8"/>
      <c r="D1996" s="8"/>
      <c r="E1996" s="8"/>
      <c r="F1996" s="8"/>
    </row>
    <row r="1997">
      <c r="A1997" s="8"/>
      <c r="B1997" s="8"/>
      <c r="C1997" s="8"/>
      <c r="D1997" s="8"/>
      <c r="E1997" s="8"/>
      <c r="F1997" s="8"/>
    </row>
    <row r="1998">
      <c r="A1998" s="8"/>
      <c r="B1998" s="8"/>
      <c r="C1998" s="8"/>
      <c r="D1998" s="8"/>
      <c r="E1998" s="8"/>
      <c r="F1998" s="8"/>
    </row>
    <row r="1999">
      <c r="A1999" s="8"/>
      <c r="B1999" s="8"/>
      <c r="C1999" s="8"/>
      <c r="D1999" s="8"/>
      <c r="E1999" s="8"/>
      <c r="F1999" s="8"/>
    </row>
    <row r="2000">
      <c r="A2000" s="8"/>
      <c r="B2000" s="8"/>
      <c r="C2000" s="8"/>
      <c r="D2000" s="8"/>
      <c r="E2000" s="8"/>
      <c r="F2000" s="8"/>
    </row>
    <row r="2001">
      <c r="A2001" s="8"/>
      <c r="B2001" s="8"/>
      <c r="C2001" s="8"/>
      <c r="D2001" s="8"/>
      <c r="E2001" s="8"/>
      <c r="F2001" s="8"/>
    </row>
    <row r="2002">
      <c r="A2002" s="8"/>
      <c r="B2002" s="8"/>
      <c r="C2002" s="8"/>
      <c r="D2002" s="8"/>
      <c r="E2002" s="8"/>
      <c r="F2002" s="8"/>
    </row>
    <row r="2003">
      <c r="A2003" s="8"/>
      <c r="B2003" s="8"/>
      <c r="C2003" s="8"/>
      <c r="D2003" s="8"/>
      <c r="E2003" s="8"/>
      <c r="F2003" s="8"/>
    </row>
    <row r="2004">
      <c r="A2004" s="8"/>
      <c r="B2004" s="8"/>
      <c r="C2004" s="8"/>
      <c r="D2004" s="8"/>
      <c r="E2004" s="8"/>
      <c r="F2004" s="8"/>
    </row>
    <row r="2005">
      <c r="A2005" s="8"/>
      <c r="B2005" s="8"/>
      <c r="C2005" s="8"/>
      <c r="D2005" s="8"/>
      <c r="E2005" s="8"/>
      <c r="F2005" s="8"/>
    </row>
    <row r="2006">
      <c r="A2006" s="8"/>
      <c r="B2006" s="8"/>
      <c r="C2006" s="8"/>
      <c r="D2006" s="8"/>
      <c r="E2006" s="8"/>
      <c r="F2006" s="8"/>
    </row>
    <row r="2007">
      <c r="A2007" s="8"/>
      <c r="B2007" s="8"/>
      <c r="C2007" s="8"/>
      <c r="D2007" s="8"/>
      <c r="E2007" s="8"/>
      <c r="F2007" s="8"/>
    </row>
    <row r="2008">
      <c r="A2008" s="8"/>
      <c r="B2008" s="8"/>
      <c r="C2008" s="8"/>
      <c r="D2008" s="8"/>
      <c r="E2008" s="8"/>
      <c r="F2008" s="8"/>
    </row>
    <row r="2009">
      <c r="A2009" s="8"/>
      <c r="B2009" s="8"/>
      <c r="C2009" s="8"/>
      <c r="D2009" s="8"/>
      <c r="E2009" s="8"/>
      <c r="F2009" s="8"/>
    </row>
    <row r="2010">
      <c r="A2010" s="8"/>
      <c r="B2010" s="8"/>
      <c r="C2010" s="8"/>
      <c r="D2010" s="8"/>
      <c r="E2010" s="8"/>
      <c r="F2010" s="8"/>
    </row>
    <row r="2011">
      <c r="A2011" s="8"/>
      <c r="B2011" s="8"/>
      <c r="C2011" s="8"/>
      <c r="D2011" s="8"/>
      <c r="E2011" s="8"/>
      <c r="F2011" s="8"/>
    </row>
    <row r="2012">
      <c r="A2012" s="8"/>
      <c r="B2012" s="8"/>
      <c r="C2012" s="8"/>
      <c r="D2012" s="8"/>
      <c r="E2012" s="8"/>
      <c r="F2012" s="8"/>
    </row>
    <row r="2013">
      <c r="A2013" s="8"/>
      <c r="B2013" s="8"/>
      <c r="C2013" s="8"/>
      <c r="D2013" s="8"/>
      <c r="E2013" s="8"/>
      <c r="F2013" s="8"/>
    </row>
    <row r="2014">
      <c r="A2014" s="8"/>
      <c r="B2014" s="8"/>
      <c r="C2014" s="8"/>
      <c r="D2014" s="8"/>
      <c r="E2014" s="8"/>
      <c r="F2014" s="8"/>
    </row>
    <row r="2015">
      <c r="A2015" s="8"/>
      <c r="B2015" s="8"/>
      <c r="C2015" s="8"/>
      <c r="D2015" s="8"/>
      <c r="E2015" s="8"/>
      <c r="F2015" s="8"/>
    </row>
    <row r="2016">
      <c r="A2016" s="8"/>
      <c r="B2016" s="8"/>
      <c r="C2016" s="8"/>
      <c r="D2016" s="8"/>
      <c r="E2016" s="8"/>
      <c r="F2016" s="8"/>
    </row>
    <row r="2017">
      <c r="A2017" s="8"/>
      <c r="B2017" s="8"/>
      <c r="C2017" s="8"/>
      <c r="D2017" s="8"/>
      <c r="E2017" s="8"/>
      <c r="F2017" s="8"/>
    </row>
    <row r="2018">
      <c r="A2018" s="8"/>
      <c r="B2018" s="8"/>
      <c r="C2018" s="8"/>
      <c r="D2018" s="8"/>
      <c r="E2018" s="8"/>
      <c r="F2018" s="8"/>
    </row>
    <row r="2019">
      <c r="A2019" s="8"/>
      <c r="B2019" s="8"/>
      <c r="C2019" s="8"/>
      <c r="D2019" s="8"/>
      <c r="E2019" s="8"/>
      <c r="F2019" s="8"/>
    </row>
    <row r="2020">
      <c r="A2020" s="8"/>
      <c r="B2020" s="8"/>
      <c r="C2020" s="8"/>
      <c r="D2020" s="8"/>
      <c r="E2020" s="8"/>
      <c r="F2020" s="8"/>
    </row>
    <row r="2021">
      <c r="A2021" s="8"/>
      <c r="B2021" s="8"/>
      <c r="C2021" s="8"/>
      <c r="D2021" s="8"/>
      <c r="E2021" s="8"/>
      <c r="F2021" s="8"/>
    </row>
    <row r="2022">
      <c r="A2022" s="8"/>
      <c r="B2022" s="8"/>
      <c r="C2022" s="8"/>
      <c r="D2022" s="8"/>
      <c r="E2022" s="8"/>
      <c r="F2022" s="8"/>
    </row>
    <row r="2023">
      <c r="A2023" s="8"/>
      <c r="B2023" s="8"/>
      <c r="C2023" s="8"/>
      <c r="D2023" s="8"/>
      <c r="E2023" s="8"/>
      <c r="F2023" s="8"/>
    </row>
    <row r="2024">
      <c r="A2024" s="8"/>
      <c r="B2024" s="8"/>
      <c r="C2024" s="8"/>
      <c r="D2024" s="8"/>
      <c r="E2024" s="8"/>
      <c r="F2024" s="8"/>
    </row>
    <row r="2025">
      <c r="A2025" s="8"/>
      <c r="B2025" s="8"/>
      <c r="C2025" s="8"/>
      <c r="D2025" s="8"/>
      <c r="E2025" s="8"/>
      <c r="F2025" s="8"/>
    </row>
    <row r="2026">
      <c r="A2026" s="8"/>
      <c r="B2026" s="8"/>
      <c r="C2026" s="8"/>
      <c r="D2026" s="8"/>
      <c r="E2026" s="8"/>
      <c r="F2026" s="8"/>
    </row>
    <row r="2027">
      <c r="A2027" s="8"/>
      <c r="B2027" s="8"/>
      <c r="C2027" s="8"/>
      <c r="D2027" s="8"/>
      <c r="E2027" s="8"/>
      <c r="F2027" s="8"/>
    </row>
    <row r="2028">
      <c r="A2028" s="8"/>
      <c r="B2028" s="8"/>
      <c r="C2028" s="8"/>
      <c r="D2028" s="8"/>
      <c r="E2028" s="8"/>
      <c r="F2028" s="8"/>
    </row>
    <row r="2029">
      <c r="A2029" s="8"/>
      <c r="B2029" s="8"/>
      <c r="C2029" s="8"/>
      <c r="D2029" s="8"/>
      <c r="E2029" s="8"/>
      <c r="F2029" s="8"/>
    </row>
    <row r="2030">
      <c r="A2030" s="8"/>
      <c r="B2030" s="8"/>
      <c r="C2030" s="8"/>
      <c r="D2030" s="8"/>
      <c r="E2030" s="8"/>
      <c r="F2030" s="8"/>
    </row>
    <row r="2031">
      <c r="A2031" s="8"/>
      <c r="B2031" s="8"/>
      <c r="C2031" s="8"/>
      <c r="D2031" s="8"/>
      <c r="E2031" s="8"/>
      <c r="F2031" s="8"/>
    </row>
    <row r="2032">
      <c r="A2032" s="8"/>
      <c r="B2032" s="8"/>
      <c r="C2032" s="8"/>
      <c r="D2032" s="8"/>
      <c r="E2032" s="8"/>
      <c r="F2032" s="8"/>
    </row>
    <row r="2033">
      <c r="A2033" s="8"/>
      <c r="B2033" s="8"/>
      <c r="C2033" s="8"/>
      <c r="D2033" s="8"/>
      <c r="E2033" s="8"/>
      <c r="F2033" s="8"/>
    </row>
    <row r="2034">
      <c r="A2034" s="8"/>
      <c r="B2034" s="8"/>
      <c r="C2034" s="8"/>
      <c r="D2034" s="8"/>
      <c r="E2034" s="8"/>
      <c r="F2034" s="8"/>
    </row>
    <row r="2035">
      <c r="A2035" s="8"/>
      <c r="B2035" s="8"/>
      <c r="C2035" s="8"/>
      <c r="D2035" s="8"/>
      <c r="E2035" s="8"/>
      <c r="F2035" s="8"/>
    </row>
    <row r="2036">
      <c r="A2036" s="8"/>
      <c r="B2036" s="8"/>
      <c r="C2036" s="8"/>
      <c r="D2036" s="8"/>
      <c r="E2036" s="8"/>
      <c r="F2036" s="8"/>
    </row>
    <row r="2037">
      <c r="A2037" s="8"/>
      <c r="B2037" s="8"/>
      <c r="C2037" s="8"/>
      <c r="D2037" s="8"/>
      <c r="E2037" s="8"/>
      <c r="F2037" s="8"/>
    </row>
    <row r="2038">
      <c r="A2038" s="8"/>
      <c r="B2038" s="8"/>
      <c r="C2038" s="8"/>
      <c r="D2038" s="8"/>
      <c r="E2038" s="8"/>
      <c r="F2038" s="8"/>
    </row>
    <row r="2039">
      <c r="A2039" s="8"/>
      <c r="B2039" s="8"/>
      <c r="C2039" s="8"/>
      <c r="D2039" s="8"/>
      <c r="E2039" s="8"/>
      <c r="F2039" s="8"/>
    </row>
    <row r="2040">
      <c r="A2040" s="8"/>
      <c r="B2040" s="8"/>
      <c r="C2040" s="8"/>
      <c r="D2040" s="8"/>
      <c r="E2040" s="8"/>
      <c r="F2040" s="8"/>
    </row>
    <row r="2041">
      <c r="A2041" s="8"/>
      <c r="B2041" s="8"/>
      <c r="C2041" s="8"/>
      <c r="D2041" s="8"/>
      <c r="E2041" s="8"/>
      <c r="F2041" s="8"/>
    </row>
    <row r="2042">
      <c r="A2042" s="8"/>
      <c r="B2042" s="8"/>
      <c r="C2042" s="8"/>
      <c r="D2042" s="8"/>
      <c r="E2042" s="8"/>
      <c r="F2042" s="8"/>
    </row>
    <row r="2043">
      <c r="A2043" s="8"/>
      <c r="B2043" s="8"/>
      <c r="C2043" s="8"/>
      <c r="D2043" s="8"/>
      <c r="E2043" s="8"/>
      <c r="F2043" s="8"/>
    </row>
    <row r="2044">
      <c r="A2044" s="8"/>
      <c r="B2044" s="8"/>
      <c r="C2044" s="8"/>
      <c r="D2044" s="8"/>
      <c r="E2044" s="8"/>
      <c r="F2044" s="8"/>
    </row>
    <row r="2045">
      <c r="A2045" s="8"/>
      <c r="B2045" s="8"/>
      <c r="C2045" s="8"/>
      <c r="D2045" s="8"/>
      <c r="E2045" s="8"/>
      <c r="F2045" s="8"/>
    </row>
    <row r="2046">
      <c r="A2046" s="8"/>
      <c r="B2046" s="8"/>
      <c r="C2046" s="8"/>
      <c r="D2046" s="8"/>
      <c r="E2046" s="8"/>
      <c r="F2046" s="8"/>
    </row>
    <row r="2047">
      <c r="A2047" s="8"/>
      <c r="B2047" s="8"/>
      <c r="C2047" s="8"/>
      <c r="D2047" s="8"/>
      <c r="E2047" s="8"/>
      <c r="F2047" s="8"/>
    </row>
    <row r="2048">
      <c r="A2048" s="8"/>
      <c r="B2048" s="8"/>
      <c r="C2048" s="8"/>
      <c r="D2048" s="8"/>
      <c r="E2048" s="8"/>
      <c r="F2048" s="8"/>
    </row>
    <row r="2049">
      <c r="A2049" s="8"/>
      <c r="B2049" s="8"/>
      <c r="C2049" s="8"/>
      <c r="D2049" s="8"/>
      <c r="E2049" s="8"/>
      <c r="F2049" s="8"/>
    </row>
    <row r="2050">
      <c r="A2050" s="8"/>
      <c r="B2050" s="8"/>
      <c r="C2050" s="8"/>
      <c r="D2050" s="8"/>
      <c r="E2050" s="8"/>
      <c r="F2050" s="8"/>
    </row>
    <row r="2051">
      <c r="A2051" s="8"/>
      <c r="B2051" s="8"/>
      <c r="C2051" s="8"/>
      <c r="D2051" s="8"/>
      <c r="E2051" s="8"/>
      <c r="F2051" s="8"/>
    </row>
    <row r="2052">
      <c r="A2052" s="8"/>
      <c r="B2052" s="8"/>
      <c r="C2052" s="8"/>
      <c r="D2052" s="8"/>
      <c r="E2052" s="8"/>
      <c r="F2052" s="8"/>
    </row>
    <row r="2053">
      <c r="A2053" s="8"/>
      <c r="B2053" s="8"/>
      <c r="C2053" s="8"/>
      <c r="D2053" s="8"/>
      <c r="E2053" s="8"/>
      <c r="F2053" s="8"/>
    </row>
    <row r="2054">
      <c r="A2054" s="8"/>
      <c r="B2054" s="8"/>
      <c r="C2054" s="8"/>
      <c r="D2054" s="8"/>
      <c r="E2054" s="8"/>
      <c r="F2054" s="8"/>
    </row>
    <row r="2055">
      <c r="A2055" s="8"/>
      <c r="B2055" s="8"/>
      <c r="C2055" s="8"/>
      <c r="D2055" s="8"/>
      <c r="E2055" s="8"/>
      <c r="F2055" s="8"/>
    </row>
    <row r="2056">
      <c r="A2056" s="8"/>
      <c r="B2056" s="8"/>
      <c r="C2056" s="8"/>
      <c r="D2056" s="8"/>
      <c r="E2056" s="8"/>
      <c r="F2056" s="8"/>
    </row>
    <row r="2057">
      <c r="A2057" s="8"/>
      <c r="B2057" s="8"/>
      <c r="C2057" s="8"/>
      <c r="D2057" s="8"/>
      <c r="E2057" s="8"/>
      <c r="F2057" s="8"/>
    </row>
    <row r="2058">
      <c r="A2058" s="8"/>
      <c r="B2058" s="8"/>
      <c r="C2058" s="8"/>
      <c r="D2058" s="8"/>
      <c r="E2058" s="8"/>
      <c r="F2058" s="8"/>
    </row>
    <row r="2059">
      <c r="A2059" s="8"/>
      <c r="B2059" s="8"/>
      <c r="C2059" s="8"/>
      <c r="D2059" s="8"/>
      <c r="E2059" s="8"/>
      <c r="F2059" s="8"/>
    </row>
    <row r="2060">
      <c r="A2060" s="8"/>
      <c r="B2060" s="8"/>
      <c r="C2060" s="8"/>
      <c r="D2060" s="8"/>
      <c r="E2060" s="8"/>
      <c r="F2060" s="8"/>
    </row>
    <row r="2061">
      <c r="A2061" s="8"/>
      <c r="B2061" s="8"/>
      <c r="C2061" s="8"/>
      <c r="D2061" s="8"/>
      <c r="E2061" s="8"/>
      <c r="F2061" s="8"/>
    </row>
    <row r="2062">
      <c r="A2062" s="8"/>
      <c r="B2062" s="8"/>
      <c r="C2062" s="8"/>
      <c r="D2062" s="8"/>
      <c r="E2062" s="8"/>
      <c r="F2062" s="8"/>
    </row>
    <row r="2063">
      <c r="A2063" s="8"/>
      <c r="B2063" s="8"/>
      <c r="C2063" s="8"/>
      <c r="D2063" s="8"/>
      <c r="E2063" s="8"/>
      <c r="F2063" s="8"/>
    </row>
    <row r="2064">
      <c r="A2064" s="8"/>
      <c r="B2064" s="8"/>
      <c r="C2064" s="8"/>
      <c r="D2064" s="8"/>
      <c r="E2064" s="8"/>
      <c r="F2064" s="8"/>
    </row>
    <row r="2065">
      <c r="A2065" s="8"/>
      <c r="B2065" s="8"/>
      <c r="C2065" s="8"/>
      <c r="D2065" s="8"/>
      <c r="E2065" s="8"/>
      <c r="F2065" s="8"/>
    </row>
    <row r="2066">
      <c r="A2066" s="8"/>
      <c r="B2066" s="8"/>
      <c r="C2066" s="8"/>
      <c r="D2066" s="8"/>
      <c r="E2066" s="8"/>
      <c r="F2066" s="8"/>
    </row>
    <row r="2067">
      <c r="A2067" s="8"/>
      <c r="B2067" s="8"/>
      <c r="C2067" s="8"/>
      <c r="D2067" s="8"/>
      <c r="E2067" s="8"/>
      <c r="F2067" s="8"/>
    </row>
    <row r="2068">
      <c r="A2068" s="8"/>
      <c r="B2068" s="8"/>
      <c r="C2068" s="8"/>
      <c r="D2068" s="8"/>
      <c r="E2068" s="8"/>
      <c r="F2068" s="8"/>
    </row>
    <row r="2069">
      <c r="A2069" s="8"/>
      <c r="B2069" s="8"/>
      <c r="C2069" s="8"/>
      <c r="D2069" s="8"/>
      <c r="E2069" s="8"/>
      <c r="F2069" s="8"/>
    </row>
    <row r="2070">
      <c r="A2070" s="8"/>
      <c r="B2070" s="8"/>
      <c r="C2070" s="8"/>
      <c r="D2070" s="8"/>
      <c r="E2070" s="8"/>
      <c r="F2070" s="8"/>
    </row>
    <row r="2071">
      <c r="A2071" s="8"/>
      <c r="B2071" s="8"/>
      <c r="C2071" s="8"/>
      <c r="D2071" s="8"/>
      <c r="E2071" s="8"/>
      <c r="F2071" s="8"/>
    </row>
    <row r="2072">
      <c r="A2072" s="8"/>
      <c r="B2072" s="8"/>
      <c r="C2072" s="8"/>
      <c r="D2072" s="8"/>
      <c r="E2072" s="8"/>
      <c r="F2072" s="8"/>
    </row>
    <row r="2073">
      <c r="A2073" s="8"/>
      <c r="B2073" s="8"/>
      <c r="C2073" s="8"/>
      <c r="D2073" s="8"/>
      <c r="E2073" s="8"/>
      <c r="F2073" s="8"/>
    </row>
    <row r="2074">
      <c r="A2074" s="8"/>
      <c r="B2074" s="8"/>
      <c r="C2074" s="8"/>
      <c r="D2074" s="8"/>
      <c r="E2074" s="8"/>
      <c r="F2074" s="8"/>
    </row>
    <row r="2075">
      <c r="A2075" s="8"/>
      <c r="B2075" s="8"/>
      <c r="C2075" s="8"/>
      <c r="D2075" s="8"/>
      <c r="E2075" s="8"/>
      <c r="F2075" s="8"/>
    </row>
    <row r="2076">
      <c r="A2076" s="8"/>
      <c r="B2076" s="8"/>
      <c r="C2076" s="8"/>
      <c r="D2076" s="8"/>
      <c r="E2076" s="8"/>
      <c r="F2076" s="8"/>
    </row>
    <row r="2077">
      <c r="A2077" s="8"/>
      <c r="B2077" s="8"/>
      <c r="C2077" s="8"/>
      <c r="D2077" s="8"/>
      <c r="E2077" s="8"/>
      <c r="F2077" s="8"/>
    </row>
    <row r="2078">
      <c r="A2078" s="8"/>
      <c r="B2078" s="8"/>
      <c r="C2078" s="8"/>
      <c r="D2078" s="8"/>
      <c r="E2078" s="8"/>
      <c r="F2078" s="8"/>
    </row>
    <row r="2079">
      <c r="A2079" s="8"/>
      <c r="B2079" s="8"/>
      <c r="C2079" s="8"/>
      <c r="D2079" s="8"/>
      <c r="E2079" s="8"/>
      <c r="F2079" s="8"/>
    </row>
    <row r="2080">
      <c r="A2080" s="8"/>
      <c r="B2080" s="8"/>
      <c r="C2080" s="8"/>
      <c r="D2080" s="8"/>
      <c r="E2080" s="8"/>
      <c r="F2080" s="8"/>
    </row>
    <row r="2081">
      <c r="A2081" s="8"/>
      <c r="B2081" s="8"/>
      <c r="C2081" s="8"/>
      <c r="D2081" s="8"/>
      <c r="E2081" s="8"/>
      <c r="F2081" s="8"/>
    </row>
    <row r="2082">
      <c r="A2082" s="8"/>
      <c r="B2082" s="8"/>
      <c r="C2082" s="8"/>
      <c r="D2082" s="8"/>
      <c r="E2082" s="8"/>
      <c r="F2082" s="8"/>
    </row>
    <row r="2083">
      <c r="A2083" s="8"/>
      <c r="B2083" s="8"/>
      <c r="C2083" s="8"/>
      <c r="D2083" s="8"/>
      <c r="E2083" s="8"/>
      <c r="F2083" s="8"/>
    </row>
    <row r="2084">
      <c r="A2084" s="8"/>
      <c r="B2084" s="8"/>
      <c r="C2084" s="8"/>
      <c r="D2084" s="8"/>
      <c r="E2084" s="8"/>
      <c r="F2084" s="8"/>
    </row>
    <row r="2085">
      <c r="A2085" s="8"/>
      <c r="B2085" s="8"/>
      <c r="C2085" s="8"/>
      <c r="D2085" s="8"/>
      <c r="E2085" s="8"/>
      <c r="F2085" s="8"/>
    </row>
    <row r="2086">
      <c r="A2086" s="8"/>
      <c r="B2086" s="8"/>
      <c r="C2086" s="8"/>
      <c r="D2086" s="8"/>
      <c r="E2086" s="8"/>
      <c r="F2086" s="8"/>
    </row>
    <row r="2087">
      <c r="A2087" s="8"/>
      <c r="B2087" s="8"/>
      <c r="C2087" s="8"/>
      <c r="D2087" s="8"/>
      <c r="E2087" s="8"/>
      <c r="F2087" s="8"/>
    </row>
    <row r="2088">
      <c r="A2088" s="8"/>
      <c r="B2088" s="8"/>
      <c r="C2088" s="8"/>
      <c r="D2088" s="8"/>
      <c r="E2088" s="8"/>
      <c r="F2088" s="8"/>
    </row>
    <row r="2089">
      <c r="A2089" s="8"/>
      <c r="B2089" s="8"/>
      <c r="C2089" s="8"/>
      <c r="D2089" s="8"/>
      <c r="E2089" s="8"/>
      <c r="F2089" s="8"/>
    </row>
    <row r="2090">
      <c r="A2090" s="8"/>
      <c r="B2090" s="8"/>
      <c r="C2090" s="8"/>
      <c r="D2090" s="8"/>
      <c r="E2090" s="8"/>
      <c r="F2090" s="8"/>
    </row>
    <row r="2091">
      <c r="A2091" s="8"/>
      <c r="B2091" s="8"/>
      <c r="C2091" s="8"/>
      <c r="D2091" s="8"/>
      <c r="E2091" s="8"/>
      <c r="F2091" s="8"/>
    </row>
    <row r="2092">
      <c r="A2092" s="8"/>
      <c r="B2092" s="8"/>
      <c r="C2092" s="8"/>
      <c r="D2092" s="8"/>
      <c r="E2092" s="8"/>
      <c r="F2092" s="8"/>
    </row>
    <row r="2093">
      <c r="A2093" s="8"/>
      <c r="B2093" s="8"/>
      <c r="C2093" s="8"/>
      <c r="D2093" s="8"/>
      <c r="E2093" s="8"/>
      <c r="F2093" s="8"/>
    </row>
    <row r="2094">
      <c r="A2094" s="8"/>
      <c r="B2094" s="8"/>
      <c r="C2094" s="8"/>
      <c r="D2094" s="8"/>
      <c r="E2094" s="8"/>
      <c r="F2094" s="8"/>
    </row>
    <row r="2095">
      <c r="A2095" s="8"/>
      <c r="B2095" s="8"/>
      <c r="C2095" s="8"/>
      <c r="D2095" s="8"/>
      <c r="E2095" s="8"/>
      <c r="F2095" s="8"/>
    </row>
    <row r="2096">
      <c r="A2096" s="8"/>
      <c r="B2096" s="8"/>
      <c r="C2096" s="8"/>
      <c r="D2096" s="8"/>
      <c r="E2096" s="8"/>
      <c r="F2096" s="8"/>
    </row>
    <row r="2097">
      <c r="A2097" s="8"/>
      <c r="B2097" s="8"/>
      <c r="C2097" s="8"/>
      <c r="D2097" s="8"/>
      <c r="E2097" s="8"/>
      <c r="F2097" s="8"/>
    </row>
    <row r="2098">
      <c r="A2098" s="8"/>
      <c r="B2098" s="8"/>
      <c r="C2098" s="8"/>
      <c r="D2098" s="8"/>
      <c r="E2098" s="8"/>
      <c r="F2098" s="8"/>
    </row>
    <row r="2099">
      <c r="A2099" s="8"/>
      <c r="B2099" s="8"/>
      <c r="C2099" s="8"/>
      <c r="D2099" s="8"/>
      <c r="E2099" s="8"/>
      <c r="F2099" s="8"/>
    </row>
    <row r="2100">
      <c r="A2100" s="8"/>
      <c r="B2100" s="8"/>
      <c r="C2100" s="8"/>
      <c r="D2100" s="8"/>
      <c r="E2100" s="8"/>
      <c r="F2100" s="8"/>
    </row>
    <row r="2101">
      <c r="A2101" s="8"/>
      <c r="B2101" s="8"/>
      <c r="C2101" s="8"/>
      <c r="D2101" s="8"/>
      <c r="E2101" s="8"/>
      <c r="F2101" s="8"/>
    </row>
    <row r="2102">
      <c r="A2102" s="8"/>
      <c r="B2102" s="8"/>
      <c r="C2102" s="8"/>
      <c r="D2102" s="8"/>
      <c r="E2102" s="8"/>
      <c r="F2102" s="8"/>
    </row>
    <row r="2103">
      <c r="A2103" s="8"/>
      <c r="B2103" s="8"/>
      <c r="C2103" s="8"/>
      <c r="D2103" s="8"/>
      <c r="E2103" s="8"/>
      <c r="F2103" s="8"/>
    </row>
    <row r="2104">
      <c r="A2104" s="8"/>
      <c r="B2104" s="8"/>
      <c r="C2104" s="8"/>
      <c r="D2104" s="8"/>
      <c r="E2104" s="8"/>
      <c r="F2104" s="8"/>
    </row>
    <row r="2105">
      <c r="A2105" s="8"/>
      <c r="B2105" s="8"/>
      <c r="C2105" s="8"/>
      <c r="D2105" s="8"/>
      <c r="E2105" s="8"/>
      <c r="F2105" s="8"/>
    </row>
    <row r="2106">
      <c r="A2106" s="8"/>
      <c r="B2106" s="8"/>
      <c r="C2106" s="8"/>
      <c r="D2106" s="8"/>
      <c r="E2106" s="8"/>
      <c r="F2106" s="8"/>
    </row>
    <row r="2107">
      <c r="A2107" s="8"/>
      <c r="B2107" s="8"/>
      <c r="C2107" s="8"/>
      <c r="D2107" s="8"/>
      <c r="E2107" s="8"/>
      <c r="F2107" s="8"/>
    </row>
    <row r="2108">
      <c r="A2108" s="8"/>
      <c r="B2108" s="8"/>
      <c r="C2108" s="8"/>
      <c r="D2108" s="8"/>
      <c r="E2108" s="8"/>
      <c r="F2108" s="8"/>
    </row>
    <row r="2109">
      <c r="A2109" s="8"/>
      <c r="B2109" s="8"/>
      <c r="C2109" s="8"/>
      <c r="D2109" s="8"/>
      <c r="E2109" s="8"/>
      <c r="F2109" s="8"/>
    </row>
    <row r="2110">
      <c r="A2110" s="8"/>
      <c r="B2110" s="8"/>
      <c r="C2110" s="8"/>
      <c r="D2110" s="8"/>
      <c r="E2110" s="8"/>
      <c r="F2110" s="8"/>
    </row>
    <row r="2111">
      <c r="A2111" s="8"/>
      <c r="B2111" s="8"/>
      <c r="C2111" s="8"/>
      <c r="D2111" s="8"/>
      <c r="E2111" s="8"/>
      <c r="F2111" s="8"/>
    </row>
    <row r="2112">
      <c r="A2112" s="8"/>
      <c r="B2112" s="8"/>
      <c r="C2112" s="8"/>
      <c r="D2112" s="8"/>
      <c r="E2112" s="8"/>
      <c r="F2112" s="8"/>
    </row>
    <row r="2113">
      <c r="A2113" s="8"/>
      <c r="B2113" s="8"/>
      <c r="C2113" s="8"/>
      <c r="D2113" s="8"/>
      <c r="E2113" s="8"/>
      <c r="F2113" s="8"/>
    </row>
    <row r="2114">
      <c r="A2114" s="8"/>
      <c r="B2114" s="8"/>
      <c r="C2114" s="8"/>
      <c r="D2114" s="8"/>
      <c r="E2114" s="8"/>
      <c r="F2114" s="8"/>
    </row>
    <row r="2115">
      <c r="A2115" s="8"/>
      <c r="B2115" s="8"/>
      <c r="C2115" s="8"/>
      <c r="D2115" s="8"/>
      <c r="E2115" s="8"/>
      <c r="F2115" s="8"/>
    </row>
    <row r="2116">
      <c r="A2116" s="8"/>
      <c r="B2116" s="8"/>
      <c r="C2116" s="8"/>
      <c r="D2116" s="8"/>
      <c r="E2116" s="8"/>
      <c r="F2116" s="8"/>
    </row>
    <row r="2117">
      <c r="A2117" s="8"/>
      <c r="B2117" s="8"/>
      <c r="C2117" s="8"/>
      <c r="D2117" s="8"/>
      <c r="E2117" s="8"/>
      <c r="F2117" s="8"/>
    </row>
    <row r="2118">
      <c r="A2118" s="8"/>
      <c r="B2118" s="8"/>
      <c r="C2118" s="8"/>
      <c r="D2118" s="8"/>
      <c r="E2118" s="8"/>
      <c r="F2118" s="8"/>
    </row>
    <row r="2119">
      <c r="A2119" s="8"/>
      <c r="B2119" s="8"/>
      <c r="C2119" s="8"/>
      <c r="D2119" s="8"/>
      <c r="E2119" s="8"/>
      <c r="F2119" s="8"/>
    </row>
    <row r="2120">
      <c r="A2120" s="8"/>
      <c r="B2120" s="8"/>
      <c r="C2120" s="8"/>
      <c r="D2120" s="8"/>
      <c r="E2120" s="8"/>
      <c r="F2120" s="8"/>
    </row>
    <row r="2121">
      <c r="A2121" s="8"/>
      <c r="B2121" s="8"/>
      <c r="C2121" s="8"/>
      <c r="D2121" s="8"/>
      <c r="E2121" s="8"/>
      <c r="F2121" s="8"/>
    </row>
    <row r="2122">
      <c r="A2122" s="8"/>
      <c r="B2122" s="8"/>
      <c r="C2122" s="8"/>
      <c r="D2122" s="8"/>
      <c r="E2122" s="8"/>
      <c r="F2122" s="8"/>
    </row>
    <row r="2123">
      <c r="A2123" s="8"/>
      <c r="B2123" s="8"/>
      <c r="C2123" s="8"/>
      <c r="D2123" s="8"/>
      <c r="E2123" s="8"/>
      <c r="F2123" s="8"/>
    </row>
    <row r="2124">
      <c r="A2124" s="8"/>
      <c r="B2124" s="8"/>
      <c r="C2124" s="8"/>
      <c r="D2124" s="8"/>
      <c r="E2124" s="8"/>
      <c r="F2124" s="8"/>
    </row>
    <row r="2125">
      <c r="A2125" s="8"/>
      <c r="B2125" s="8"/>
      <c r="C2125" s="8"/>
      <c r="D2125" s="8"/>
      <c r="E2125" s="8"/>
      <c r="F2125" s="8"/>
    </row>
    <row r="2126">
      <c r="A2126" s="8"/>
      <c r="B2126" s="8"/>
      <c r="C2126" s="8"/>
      <c r="D2126" s="8"/>
      <c r="E2126" s="8"/>
      <c r="F2126" s="8"/>
    </row>
    <row r="2127">
      <c r="A2127" s="8"/>
      <c r="B2127" s="8"/>
      <c r="C2127" s="8"/>
      <c r="D2127" s="8"/>
      <c r="E2127" s="8"/>
      <c r="F2127" s="8"/>
    </row>
    <row r="2128">
      <c r="A2128" s="8"/>
      <c r="B2128" s="8"/>
      <c r="C2128" s="8"/>
      <c r="D2128" s="8"/>
      <c r="E2128" s="8"/>
      <c r="F2128" s="8"/>
    </row>
    <row r="2129">
      <c r="A2129" s="8"/>
      <c r="B2129" s="8"/>
      <c r="C2129" s="8"/>
      <c r="D2129" s="8"/>
      <c r="E2129" s="8"/>
      <c r="F2129" s="8"/>
    </row>
    <row r="2130">
      <c r="A2130" s="8"/>
      <c r="B2130" s="8"/>
      <c r="C2130" s="8"/>
      <c r="D2130" s="8"/>
      <c r="E2130" s="8"/>
      <c r="F2130" s="8"/>
    </row>
    <row r="2131">
      <c r="A2131" s="8"/>
      <c r="B2131" s="8"/>
      <c r="C2131" s="8"/>
      <c r="D2131" s="8"/>
      <c r="E2131" s="8"/>
      <c r="F2131" s="8"/>
    </row>
    <row r="2132">
      <c r="A2132" s="8"/>
      <c r="B2132" s="8"/>
      <c r="C2132" s="8"/>
      <c r="D2132" s="8"/>
      <c r="E2132" s="8"/>
      <c r="F2132" s="8"/>
    </row>
    <row r="2133">
      <c r="A2133" s="8"/>
      <c r="B2133" s="8"/>
      <c r="C2133" s="8"/>
      <c r="D2133" s="8"/>
      <c r="E2133" s="8"/>
      <c r="F2133" s="8"/>
    </row>
    <row r="2134">
      <c r="A2134" s="8"/>
      <c r="B2134" s="8"/>
      <c r="C2134" s="8"/>
      <c r="D2134" s="8"/>
      <c r="E2134" s="8"/>
      <c r="F2134" s="8"/>
    </row>
    <row r="2135">
      <c r="A2135" s="8"/>
      <c r="B2135" s="8"/>
      <c r="C2135" s="8"/>
      <c r="D2135" s="8"/>
      <c r="E2135" s="8"/>
      <c r="F2135" s="8"/>
    </row>
    <row r="2136">
      <c r="A2136" s="8"/>
      <c r="B2136" s="8"/>
      <c r="C2136" s="8"/>
      <c r="D2136" s="8"/>
      <c r="E2136" s="8"/>
      <c r="F2136" s="8"/>
    </row>
    <row r="2137">
      <c r="A2137" s="8"/>
      <c r="B2137" s="8"/>
      <c r="C2137" s="8"/>
      <c r="D2137" s="8"/>
      <c r="E2137" s="8"/>
      <c r="F2137" s="8"/>
    </row>
    <row r="2138">
      <c r="A2138" s="8"/>
      <c r="B2138" s="8"/>
      <c r="C2138" s="8"/>
      <c r="D2138" s="8"/>
      <c r="E2138" s="8"/>
      <c r="F2138" s="8"/>
    </row>
    <row r="2139">
      <c r="A2139" s="8"/>
      <c r="B2139" s="8"/>
      <c r="C2139" s="8"/>
      <c r="D2139" s="8"/>
      <c r="E2139" s="8"/>
      <c r="F2139" s="8"/>
    </row>
    <row r="2140">
      <c r="A2140" s="8"/>
      <c r="B2140" s="8"/>
      <c r="C2140" s="8"/>
      <c r="D2140" s="8"/>
      <c r="E2140" s="8"/>
      <c r="F2140" s="8"/>
    </row>
    <row r="2141">
      <c r="A2141" s="8"/>
      <c r="B2141" s="8"/>
      <c r="C2141" s="8"/>
      <c r="D2141" s="8"/>
      <c r="E2141" s="8"/>
      <c r="F2141" s="8"/>
    </row>
    <row r="2142">
      <c r="A2142" s="8"/>
      <c r="B2142" s="8"/>
      <c r="C2142" s="8"/>
      <c r="D2142" s="8"/>
      <c r="E2142" s="8"/>
      <c r="F2142" s="8"/>
    </row>
    <row r="2143">
      <c r="A2143" s="8"/>
      <c r="B2143" s="8"/>
      <c r="C2143" s="8"/>
      <c r="D2143" s="8"/>
      <c r="E2143" s="8"/>
      <c r="F2143" s="8"/>
    </row>
    <row r="2144">
      <c r="A2144" s="8"/>
      <c r="B2144" s="8"/>
      <c r="C2144" s="8"/>
      <c r="D2144" s="8"/>
      <c r="E2144" s="8"/>
      <c r="F2144" s="8"/>
    </row>
    <row r="2145">
      <c r="A2145" s="8"/>
      <c r="B2145" s="8"/>
      <c r="C2145" s="8"/>
      <c r="D2145" s="8"/>
      <c r="E2145" s="8"/>
      <c r="F2145" s="8"/>
    </row>
    <row r="2146">
      <c r="A2146" s="8"/>
      <c r="B2146" s="8"/>
      <c r="C2146" s="8"/>
      <c r="D2146" s="8"/>
      <c r="E2146" s="8"/>
      <c r="F2146" s="8"/>
    </row>
    <row r="2147">
      <c r="A2147" s="8"/>
      <c r="B2147" s="8"/>
      <c r="C2147" s="8"/>
      <c r="D2147" s="8"/>
      <c r="E2147" s="8"/>
      <c r="F2147" s="8"/>
    </row>
    <row r="2148">
      <c r="A2148" s="8"/>
      <c r="B2148" s="8"/>
      <c r="C2148" s="8"/>
      <c r="D2148" s="8"/>
      <c r="E2148" s="8"/>
      <c r="F2148" s="8"/>
    </row>
    <row r="2149">
      <c r="A2149" s="8"/>
      <c r="B2149" s="8"/>
      <c r="C2149" s="8"/>
      <c r="D2149" s="8"/>
      <c r="E2149" s="8"/>
      <c r="F2149" s="8"/>
    </row>
    <row r="2150">
      <c r="A2150" s="8"/>
      <c r="B2150" s="8"/>
      <c r="C2150" s="8"/>
      <c r="D2150" s="8"/>
      <c r="E2150" s="8"/>
      <c r="F2150" s="8"/>
    </row>
    <row r="2151">
      <c r="A2151" s="8"/>
      <c r="B2151" s="8"/>
      <c r="C2151" s="8"/>
      <c r="D2151" s="8"/>
      <c r="E2151" s="8"/>
      <c r="F2151" s="8"/>
    </row>
    <row r="2152">
      <c r="A2152" s="8"/>
      <c r="B2152" s="8"/>
      <c r="C2152" s="8"/>
      <c r="D2152" s="8"/>
      <c r="E2152" s="8"/>
      <c r="F2152" s="8"/>
    </row>
    <row r="2153">
      <c r="A2153" s="8"/>
      <c r="B2153" s="8"/>
      <c r="C2153" s="8"/>
      <c r="D2153" s="8"/>
      <c r="E2153" s="8"/>
      <c r="F2153" s="8"/>
    </row>
    <row r="2154">
      <c r="A2154" s="8"/>
      <c r="B2154" s="8"/>
      <c r="C2154" s="8"/>
      <c r="D2154" s="8"/>
      <c r="E2154" s="8"/>
      <c r="F2154" s="8"/>
    </row>
    <row r="2155">
      <c r="A2155" s="8"/>
      <c r="B2155" s="8"/>
      <c r="C2155" s="8"/>
      <c r="D2155" s="8"/>
      <c r="E2155" s="8"/>
      <c r="F2155" s="8"/>
    </row>
    <row r="2156">
      <c r="A2156" s="8"/>
      <c r="B2156" s="8"/>
      <c r="C2156" s="8"/>
      <c r="D2156" s="8"/>
      <c r="E2156" s="8"/>
      <c r="F2156" s="8"/>
    </row>
    <row r="2157">
      <c r="A2157" s="8"/>
      <c r="B2157" s="8"/>
      <c r="C2157" s="8"/>
      <c r="D2157" s="8"/>
      <c r="E2157" s="8"/>
      <c r="F2157" s="8"/>
    </row>
    <row r="2158">
      <c r="A2158" s="8"/>
      <c r="B2158" s="8"/>
      <c r="C2158" s="8"/>
      <c r="D2158" s="8"/>
      <c r="E2158" s="8"/>
      <c r="F2158" s="8"/>
    </row>
    <row r="2159">
      <c r="A2159" s="8"/>
      <c r="B2159" s="8"/>
      <c r="C2159" s="8"/>
      <c r="D2159" s="8"/>
      <c r="E2159" s="8"/>
      <c r="F2159" s="8"/>
    </row>
    <row r="2160">
      <c r="A2160" s="8"/>
      <c r="B2160" s="8"/>
      <c r="C2160" s="8"/>
      <c r="D2160" s="8"/>
      <c r="E2160" s="8"/>
      <c r="F2160" s="8"/>
    </row>
    <row r="2161">
      <c r="A2161" s="8"/>
      <c r="B2161" s="8"/>
      <c r="C2161" s="8"/>
      <c r="D2161" s="8"/>
      <c r="E2161" s="8"/>
      <c r="F2161" s="8"/>
    </row>
    <row r="2162">
      <c r="A2162" s="8"/>
      <c r="B2162" s="8"/>
      <c r="C2162" s="8"/>
      <c r="D2162" s="8"/>
      <c r="E2162" s="8"/>
      <c r="F2162" s="8"/>
    </row>
    <row r="2163">
      <c r="A2163" s="8"/>
      <c r="B2163" s="8"/>
      <c r="C2163" s="8"/>
      <c r="D2163" s="8"/>
      <c r="E2163" s="8"/>
      <c r="F2163" s="8"/>
    </row>
    <row r="2164">
      <c r="A2164" s="8"/>
      <c r="B2164" s="8"/>
      <c r="C2164" s="8"/>
      <c r="D2164" s="8"/>
      <c r="E2164" s="8"/>
      <c r="F2164" s="8"/>
    </row>
    <row r="2165">
      <c r="A2165" s="8"/>
      <c r="B2165" s="8"/>
      <c r="C2165" s="8"/>
      <c r="D2165" s="8"/>
      <c r="E2165" s="8"/>
      <c r="F2165" s="8"/>
    </row>
    <row r="2166">
      <c r="A2166" s="8"/>
      <c r="B2166" s="8"/>
      <c r="C2166" s="8"/>
      <c r="D2166" s="8"/>
      <c r="E2166" s="8"/>
      <c r="F2166" s="8"/>
    </row>
    <row r="2167">
      <c r="A2167" s="8"/>
      <c r="B2167" s="8"/>
      <c r="C2167" s="8"/>
      <c r="D2167" s="8"/>
      <c r="E2167" s="8"/>
      <c r="F2167" s="8"/>
    </row>
    <row r="2168">
      <c r="A2168" s="8"/>
      <c r="B2168" s="8"/>
      <c r="C2168" s="8"/>
      <c r="D2168" s="8"/>
      <c r="E2168" s="8"/>
      <c r="F2168" s="8"/>
    </row>
    <row r="2169">
      <c r="A2169" s="8"/>
      <c r="B2169" s="8"/>
      <c r="C2169" s="8"/>
      <c r="D2169" s="8"/>
      <c r="E2169" s="8"/>
      <c r="F2169" s="8"/>
    </row>
    <row r="2170">
      <c r="A2170" s="8"/>
      <c r="B2170" s="8"/>
      <c r="C2170" s="8"/>
      <c r="D2170" s="8"/>
      <c r="E2170" s="8"/>
      <c r="F2170" s="8"/>
    </row>
    <row r="2171">
      <c r="A2171" s="8"/>
      <c r="B2171" s="8"/>
      <c r="C2171" s="8"/>
      <c r="D2171" s="8"/>
      <c r="E2171" s="8"/>
      <c r="F2171" s="8"/>
    </row>
    <row r="2172">
      <c r="A2172" s="8"/>
      <c r="B2172" s="8"/>
      <c r="C2172" s="8"/>
      <c r="D2172" s="8"/>
      <c r="E2172" s="8"/>
      <c r="F2172" s="8"/>
    </row>
    <row r="2173">
      <c r="A2173" s="8"/>
      <c r="B2173" s="8"/>
      <c r="C2173" s="8"/>
      <c r="D2173" s="8"/>
      <c r="E2173" s="8"/>
      <c r="F2173" s="8"/>
    </row>
    <row r="2174">
      <c r="A2174" s="8"/>
      <c r="B2174" s="8"/>
      <c r="C2174" s="8"/>
      <c r="D2174" s="8"/>
      <c r="E2174" s="8"/>
      <c r="F2174" s="8"/>
    </row>
    <row r="2175">
      <c r="A2175" s="8"/>
      <c r="B2175" s="8"/>
      <c r="C2175" s="8"/>
      <c r="D2175" s="8"/>
      <c r="E2175" s="8"/>
      <c r="F2175" s="8"/>
    </row>
    <row r="2176">
      <c r="A2176" s="8"/>
      <c r="B2176" s="8"/>
      <c r="C2176" s="8"/>
      <c r="D2176" s="8"/>
      <c r="E2176" s="8"/>
      <c r="F2176" s="8"/>
    </row>
    <row r="2177">
      <c r="A2177" s="8"/>
      <c r="B2177" s="8"/>
      <c r="C2177" s="8"/>
      <c r="D2177" s="8"/>
      <c r="E2177" s="8"/>
      <c r="F2177" s="8"/>
    </row>
    <row r="2178">
      <c r="A2178" s="8"/>
      <c r="B2178" s="8"/>
      <c r="C2178" s="8"/>
      <c r="D2178" s="8"/>
      <c r="E2178" s="8"/>
      <c r="F2178" s="8"/>
    </row>
    <row r="2179">
      <c r="A2179" s="8"/>
      <c r="B2179" s="8"/>
      <c r="C2179" s="8"/>
      <c r="D2179" s="8"/>
      <c r="E2179" s="8"/>
      <c r="F2179" s="8"/>
    </row>
    <row r="2180">
      <c r="A2180" s="8"/>
      <c r="B2180" s="8"/>
      <c r="C2180" s="8"/>
      <c r="D2180" s="8"/>
      <c r="E2180" s="8"/>
      <c r="F2180" s="8"/>
    </row>
    <row r="2181">
      <c r="A2181" s="8"/>
      <c r="B2181" s="8"/>
      <c r="C2181" s="8"/>
      <c r="D2181" s="8"/>
      <c r="E2181" s="8"/>
      <c r="F2181" s="8"/>
    </row>
    <row r="2182">
      <c r="A2182" s="8"/>
      <c r="B2182" s="8"/>
      <c r="C2182" s="8"/>
      <c r="D2182" s="8"/>
      <c r="E2182" s="8"/>
      <c r="F2182" s="8"/>
    </row>
    <row r="2183">
      <c r="A2183" s="8"/>
      <c r="B2183" s="8"/>
      <c r="C2183" s="8"/>
      <c r="D2183" s="8"/>
      <c r="E2183" s="8"/>
      <c r="F2183" s="8"/>
    </row>
    <row r="2184">
      <c r="A2184" s="8"/>
      <c r="B2184" s="8"/>
      <c r="C2184" s="8"/>
      <c r="D2184" s="8"/>
      <c r="E2184" s="8"/>
      <c r="F2184" s="8"/>
    </row>
    <row r="2185">
      <c r="A2185" s="8"/>
      <c r="B2185" s="8"/>
      <c r="C2185" s="8"/>
      <c r="D2185" s="8"/>
      <c r="E2185" s="8"/>
      <c r="F2185" s="8"/>
    </row>
    <row r="2186">
      <c r="A2186" s="8"/>
      <c r="B2186" s="8"/>
      <c r="C2186" s="8"/>
      <c r="D2186" s="8"/>
      <c r="E2186" s="8"/>
      <c r="F2186" s="8"/>
    </row>
    <row r="2187">
      <c r="A2187" s="8"/>
      <c r="B2187" s="8"/>
      <c r="C2187" s="8"/>
      <c r="D2187" s="8"/>
      <c r="E2187" s="8"/>
      <c r="F2187" s="8"/>
    </row>
    <row r="2188">
      <c r="A2188" s="8"/>
      <c r="B2188" s="8"/>
      <c r="C2188" s="8"/>
      <c r="D2188" s="8"/>
      <c r="E2188" s="8"/>
      <c r="F2188" s="8"/>
    </row>
    <row r="2189">
      <c r="A2189" s="8"/>
      <c r="B2189" s="8"/>
      <c r="C2189" s="8"/>
      <c r="D2189" s="8"/>
      <c r="E2189" s="8"/>
      <c r="F2189" s="8"/>
    </row>
    <row r="2190">
      <c r="A2190" s="8"/>
      <c r="B2190" s="8"/>
      <c r="C2190" s="8"/>
      <c r="D2190" s="8"/>
      <c r="E2190" s="8"/>
      <c r="F2190" s="8"/>
    </row>
    <row r="2191">
      <c r="A2191" s="8"/>
      <c r="B2191" s="8"/>
      <c r="C2191" s="8"/>
      <c r="D2191" s="8"/>
      <c r="E2191" s="8"/>
      <c r="F2191" s="8"/>
    </row>
    <row r="2192">
      <c r="A2192" s="8"/>
      <c r="B2192" s="8"/>
      <c r="C2192" s="8"/>
      <c r="D2192" s="8"/>
      <c r="E2192" s="8"/>
      <c r="F2192" s="8"/>
    </row>
    <row r="2193">
      <c r="A2193" s="8"/>
      <c r="B2193" s="8"/>
      <c r="C2193" s="8"/>
      <c r="D2193" s="8"/>
      <c r="E2193" s="8"/>
      <c r="F2193" s="8"/>
    </row>
    <row r="2194">
      <c r="A2194" s="8"/>
      <c r="B2194" s="8"/>
      <c r="C2194" s="8"/>
      <c r="D2194" s="8"/>
      <c r="E2194" s="8"/>
      <c r="F2194" s="8"/>
    </row>
    <row r="2195">
      <c r="A2195" s="8"/>
      <c r="B2195" s="8"/>
      <c r="C2195" s="8"/>
      <c r="D2195" s="8"/>
      <c r="E2195" s="8"/>
      <c r="F2195" s="8"/>
    </row>
    <row r="2196">
      <c r="A2196" s="8"/>
      <c r="B2196" s="8"/>
      <c r="C2196" s="8"/>
      <c r="D2196" s="8"/>
      <c r="E2196" s="8"/>
      <c r="F2196" s="8"/>
    </row>
    <row r="2197">
      <c r="A2197" s="8"/>
      <c r="B2197" s="8"/>
      <c r="C2197" s="8"/>
      <c r="D2197" s="8"/>
      <c r="E2197" s="8"/>
      <c r="F2197" s="8"/>
    </row>
    <row r="2198">
      <c r="A2198" s="8"/>
      <c r="B2198" s="8"/>
      <c r="C2198" s="8"/>
      <c r="D2198" s="8"/>
      <c r="E2198" s="8"/>
      <c r="F2198" s="8"/>
    </row>
    <row r="2199">
      <c r="A2199" s="8"/>
      <c r="B2199" s="8"/>
      <c r="C2199" s="8"/>
      <c r="D2199" s="8"/>
      <c r="E2199" s="8"/>
      <c r="F2199" s="8"/>
    </row>
    <row r="2200">
      <c r="A2200" s="8"/>
      <c r="B2200" s="8"/>
      <c r="C2200" s="8"/>
      <c r="D2200" s="8"/>
      <c r="E2200" s="8"/>
      <c r="F2200" s="8"/>
    </row>
    <row r="2201">
      <c r="A2201" s="8"/>
      <c r="B2201" s="8"/>
      <c r="C2201" s="8"/>
      <c r="D2201" s="8"/>
      <c r="E2201" s="8"/>
      <c r="F2201" s="8"/>
    </row>
    <row r="2202">
      <c r="A2202" s="8"/>
      <c r="B2202" s="8"/>
      <c r="C2202" s="8"/>
      <c r="D2202" s="8"/>
      <c r="E2202" s="8"/>
      <c r="F2202" s="8"/>
    </row>
    <row r="2203">
      <c r="A2203" s="8"/>
      <c r="B2203" s="8"/>
      <c r="C2203" s="8"/>
      <c r="D2203" s="8"/>
      <c r="E2203" s="8"/>
      <c r="F2203" s="8"/>
    </row>
    <row r="2204">
      <c r="A2204" s="8"/>
      <c r="B2204" s="8"/>
      <c r="C2204" s="8"/>
      <c r="D2204" s="8"/>
      <c r="E2204" s="8"/>
      <c r="F2204" s="8"/>
    </row>
    <row r="2205">
      <c r="A2205" s="8"/>
      <c r="B2205" s="8"/>
      <c r="C2205" s="8"/>
      <c r="D2205" s="8"/>
      <c r="E2205" s="8"/>
      <c r="F2205" s="8"/>
    </row>
    <row r="2206">
      <c r="A2206" s="8"/>
      <c r="B2206" s="8"/>
      <c r="C2206" s="8"/>
      <c r="D2206" s="8"/>
      <c r="E2206" s="8"/>
      <c r="F2206" s="8"/>
    </row>
    <row r="2207">
      <c r="A2207" s="8"/>
      <c r="B2207" s="8"/>
      <c r="C2207" s="8"/>
      <c r="D2207" s="8"/>
      <c r="E2207" s="8"/>
      <c r="F2207" s="8"/>
    </row>
    <row r="2208">
      <c r="A2208" s="8"/>
      <c r="B2208" s="8"/>
      <c r="C2208" s="8"/>
      <c r="D2208" s="8"/>
      <c r="E2208" s="8"/>
      <c r="F2208" s="8"/>
    </row>
    <row r="2209">
      <c r="A2209" s="8"/>
      <c r="B2209" s="8"/>
      <c r="C2209" s="8"/>
      <c r="D2209" s="8"/>
      <c r="E2209" s="8"/>
      <c r="F2209" s="8"/>
    </row>
    <row r="2210">
      <c r="A2210" s="8"/>
      <c r="B2210" s="8"/>
      <c r="C2210" s="8"/>
      <c r="D2210" s="8"/>
      <c r="E2210" s="8"/>
      <c r="F2210" s="8"/>
    </row>
    <row r="2211">
      <c r="A2211" s="8"/>
      <c r="B2211" s="8"/>
      <c r="C2211" s="8"/>
      <c r="D2211" s="8"/>
      <c r="E2211" s="8"/>
      <c r="F2211" s="8"/>
    </row>
    <row r="2212">
      <c r="A2212" s="8"/>
      <c r="B2212" s="8"/>
      <c r="C2212" s="8"/>
      <c r="D2212" s="8"/>
      <c r="E2212" s="8"/>
      <c r="F2212" s="8"/>
    </row>
    <row r="2213">
      <c r="A2213" s="8"/>
      <c r="B2213" s="8"/>
      <c r="C2213" s="8"/>
      <c r="D2213" s="8"/>
      <c r="E2213" s="8"/>
      <c r="F2213" s="8"/>
    </row>
    <row r="2214">
      <c r="A2214" s="8"/>
      <c r="B2214" s="8"/>
      <c r="C2214" s="8"/>
      <c r="D2214" s="8"/>
      <c r="E2214" s="8"/>
      <c r="F2214" s="8"/>
    </row>
    <row r="2215">
      <c r="A2215" s="8"/>
      <c r="B2215" s="8"/>
      <c r="C2215" s="8"/>
      <c r="D2215" s="8"/>
      <c r="E2215" s="8"/>
      <c r="F2215" s="8"/>
    </row>
    <row r="2216">
      <c r="A2216" s="8"/>
      <c r="B2216" s="8"/>
      <c r="C2216" s="8"/>
      <c r="D2216" s="8"/>
      <c r="E2216" s="8"/>
      <c r="F2216" s="8"/>
    </row>
    <row r="2217">
      <c r="A2217" s="8"/>
      <c r="B2217" s="8"/>
      <c r="C2217" s="8"/>
      <c r="D2217" s="8"/>
      <c r="E2217" s="8"/>
      <c r="F2217" s="8"/>
    </row>
    <row r="2218">
      <c r="A2218" s="8"/>
      <c r="B2218" s="8"/>
      <c r="C2218" s="8"/>
      <c r="D2218" s="8"/>
      <c r="E2218" s="8"/>
      <c r="F2218" s="8"/>
    </row>
    <row r="2219">
      <c r="A2219" s="8"/>
      <c r="B2219" s="8"/>
      <c r="C2219" s="8"/>
      <c r="D2219" s="8"/>
      <c r="E2219" s="8"/>
      <c r="F2219" s="8"/>
    </row>
    <row r="2220">
      <c r="A2220" s="8"/>
      <c r="B2220" s="8"/>
      <c r="C2220" s="8"/>
      <c r="D2220" s="8"/>
      <c r="E2220" s="8"/>
      <c r="F2220" s="8"/>
    </row>
    <row r="2221">
      <c r="A2221" s="8"/>
      <c r="B2221" s="8"/>
      <c r="C2221" s="8"/>
      <c r="D2221" s="8"/>
      <c r="E2221" s="8"/>
      <c r="F2221" s="8"/>
    </row>
    <row r="2222">
      <c r="A2222" s="8"/>
      <c r="B2222" s="8"/>
      <c r="C2222" s="8"/>
      <c r="D2222" s="8"/>
      <c r="E2222" s="8"/>
      <c r="F2222" s="8"/>
    </row>
    <row r="2223">
      <c r="A2223" s="8"/>
      <c r="B2223" s="8"/>
      <c r="C2223" s="8"/>
      <c r="D2223" s="8"/>
      <c r="E2223" s="8"/>
      <c r="F2223" s="8"/>
    </row>
    <row r="2224">
      <c r="A2224" s="8"/>
      <c r="B2224" s="8"/>
      <c r="C2224" s="8"/>
      <c r="D2224" s="8"/>
      <c r="E2224" s="8"/>
      <c r="F2224" s="8"/>
    </row>
    <row r="2225">
      <c r="A2225" s="8"/>
      <c r="B2225" s="8"/>
      <c r="C2225" s="8"/>
      <c r="D2225" s="8"/>
      <c r="E2225" s="8"/>
      <c r="F2225" s="8"/>
    </row>
    <row r="2226">
      <c r="A2226" s="8"/>
      <c r="B2226" s="8"/>
      <c r="C2226" s="8"/>
      <c r="D2226" s="8"/>
      <c r="E2226" s="8"/>
      <c r="F2226" s="8"/>
    </row>
    <row r="2227">
      <c r="A2227" s="8"/>
      <c r="B2227" s="8"/>
      <c r="C2227" s="8"/>
      <c r="D2227" s="8"/>
      <c r="E2227" s="8"/>
      <c r="F2227" s="8"/>
    </row>
    <row r="2228">
      <c r="A2228" s="8"/>
      <c r="B2228" s="8"/>
      <c r="C2228" s="8"/>
      <c r="D2228" s="8"/>
      <c r="E2228" s="8"/>
      <c r="F2228" s="8"/>
    </row>
    <row r="2229">
      <c r="A2229" s="8"/>
      <c r="B2229" s="8"/>
      <c r="C2229" s="8"/>
      <c r="D2229" s="8"/>
      <c r="E2229" s="8"/>
      <c r="F2229" s="8"/>
    </row>
    <row r="2230">
      <c r="A2230" s="8"/>
      <c r="B2230" s="8"/>
      <c r="C2230" s="8"/>
      <c r="D2230" s="8"/>
      <c r="E2230" s="8"/>
      <c r="F2230" s="8"/>
    </row>
    <row r="2231">
      <c r="A2231" s="8"/>
      <c r="B2231" s="8"/>
      <c r="C2231" s="8"/>
      <c r="D2231" s="8"/>
      <c r="E2231" s="8"/>
      <c r="F2231" s="8"/>
    </row>
    <row r="2232">
      <c r="A2232" s="8"/>
      <c r="B2232" s="8"/>
      <c r="C2232" s="8"/>
      <c r="D2232" s="8"/>
      <c r="E2232" s="8"/>
      <c r="F2232" s="8"/>
    </row>
    <row r="2233">
      <c r="A2233" s="8"/>
      <c r="B2233" s="8"/>
      <c r="C2233" s="8"/>
      <c r="D2233" s="8"/>
      <c r="E2233" s="8"/>
      <c r="F2233" s="8"/>
    </row>
    <row r="2234">
      <c r="A2234" s="8"/>
      <c r="B2234" s="8"/>
      <c r="C2234" s="8"/>
      <c r="D2234" s="8"/>
      <c r="E2234" s="8"/>
      <c r="F2234" s="8"/>
    </row>
    <row r="2235">
      <c r="A2235" s="8"/>
      <c r="B2235" s="8"/>
      <c r="C2235" s="8"/>
      <c r="D2235" s="8"/>
      <c r="E2235" s="8"/>
      <c r="F2235" s="8"/>
    </row>
    <row r="2236">
      <c r="A2236" s="8"/>
      <c r="B2236" s="8"/>
      <c r="C2236" s="8"/>
      <c r="D2236" s="8"/>
      <c r="E2236" s="8"/>
      <c r="F2236" s="8"/>
    </row>
    <row r="2237">
      <c r="A2237" s="8"/>
      <c r="B2237" s="8"/>
      <c r="C2237" s="8"/>
      <c r="D2237" s="8"/>
      <c r="E2237" s="8"/>
      <c r="F2237" s="8"/>
    </row>
    <row r="2238">
      <c r="A2238" s="8"/>
      <c r="B2238" s="8"/>
      <c r="C2238" s="8"/>
      <c r="D2238" s="8"/>
      <c r="E2238" s="8"/>
      <c r="F2238" s="8"/>
    </row>
    <row r="2239">
      <c r="A2239" s="8"/>
      <c r="B2239" s="8"/>
      <c r="C2239" s="8"/>
      <c r="D2239" s="8"/>
      <c r="E2239" s="8"/>
      <c r="F2239" s="8"/>
    </row>
    <row r="2240">
      <c r="A2240" s="8"/>
      <c r="B2240" s="8"/>
      <c r="C2240" s="8"/>
      <c r="D2240" s="8"/>
      <c r="E2240" s="8"/>
      <c r="F2240" s="8"/>
    </row>
    <row r="2241">
      <c r="A2241" s="8"/>
      <c r="B2241" s="8"/>
      <c r="C2241" s="8"/>
      <c r="D2241" s="8"/>
      <c r="E2241" s="8"/>
      <c r="F2241" s="8"/>
    </row>
    <row r="2242">
      <c r="A2242" s="8"/>
      <c r="B2242" s="8"/>
      <c r="C2242" s="8"/>
      <c r="D2242" s="8"/>
      <c r="E2242" s="8"/>
      <c r="F2242" s="8"/>
    </row>
    <row r="2243">
      <c r="A2243" s="8"/>
      <c r="B2243" s="8"/>
      <c r="C2243" s="8"/>
      <c r="D2243" s="8"/>
      <c r="E2243" s="8"/>
      <c r="F2243" s="8"/>
    </row>
    <row r="2244">
      <c r="A2244" s="8"/>
      <c r="B2244" s="8"/>
      <c r="C2244" s="8"/>
      <c r="D2244" s="8"/>
      <c r="E2244" s="8"/>
      <c r="F2244" s="8"/>
    </row>
    <row r="2245">
      <c r="A2245" s="8"/>
      <c r="B2245" s="8"/>
      <c r="C2245" s="8"/>
      <c r="D2245" s="8"/>
      <c r="E2245" s="8"/>
      <c r="F2245" s="8"/>
    </row>
    <row r="2246">
      <c r="A2246" s="8"/>
      <c r="B2246" s="8"/>
      <c r="C2246" s="8"/>
      <c r="D2246" s="8"/>
      <c r="E2246" s="8"/>
      <c r="F2246" s="8"/>
    </row>
    <row r="2247">
      <c r="A2247" s="8"/>
      <c r="B2247" s="8"/>
      <c r="C2247" s="8"/>
      <c r="D2247" s="8"/>
      <c r="E2247" s="8"/>
      <c r="F2247" s="8"/>
    </row>
    <row r="2248">
      <c r="A2248" s="8"/>
      <c r="B2248" s="8"/>
      <c r="C2248" s="8"/>
      <c r="D2248" s="8"/>
      <c r="E2248" s="8"/>
      <c r="F2248" s="8"/>
    </row>
    <row r="2249">
      <c r="A2249" s="8"/>
      <c r="B2249" s="8"/>
      <c r="C2249" s="8"/>
      <c r="D2249" s="8"/>
      <c r="E2249" s="8"/>
      <c r="F2249" s="8"/>
    </row>
    <row r="2250">
      <c r="A2250" s="8"/>
      <c r="B2250" s="8"/>
      <c r="C2250" s="8"/>
      <c r="D2250" s="8"/>
      <c r="E2250" s="8"/>
      <c r="F2250" s="8"/>
    </row>
    <row r="2251">
      <c r="A2251" s="8"/>
      <c r="B2251" s="8"/>
      <c r="C2251" s="8"/>
      <c r="D2251" s="8"/>
      <c r="E2251" s="8"/>
      <c r="F2251" s="8"/>
    </row>
    <row r="2252">
      <c r="A2252" s="8"/>
      <c r="B2252" s="8"/>
      <c r="C2252" s="8"/>
      <c r="D2252" s="8"/>
      <c r="E2252" s="8"/>
      <c r="F2252" s="8"/>
    </row>
    <row r="2253">
      <c r="A2253" s="8"/>
      <c r="B2253" s="8"/>
      <c r="C2253" s="8"/>
      <c r="D2253" s="8"/>
      <c r="E2253" s="8"/>
      <c r="F2253" s="8"/>
    </row>
    <row r="2254">
      <c r="A2254" s="8"/>
      <c r="B2254" s="8"/>
      <c r="C2254" s="8"/>
      <c r="D2254" s="8"/>
      <c r="E2254" s="8"/>
      <c r="F2254" s="8"/>
    </row>
    <row r="2255">
      <c r="A2255" s="8"/>
      <c r="B2255" s="8"/>
      <c r="C2255" s="8"/>
      <c r="D2255" s="8"/>
      <c r="E2255" s="8"/>
      <c r="F2255" s="8"/>
    </row>
    <row r="2256">
      <c r="A2256" s="8"/>
      <c r="B2256" s="8"/>
      <c r="C2256" s="8"/>
      <c r="D2256" s="8"/>
      <c r="E2256" s="8"/>
      <c r="F2256" s="8"/>
    </row>
    <row r="2257">
      <c r="A2257" s="8"/>
      <c r="B2257" s="8"/>
      <c r="C2257" s="8"/>
      <c r="D2257" s="8"/>
      <c r="E2257" s="8"/>
      <c r="F2257" s="8"/>
    </row>
    <row r="2258">
      <c r="A2258" s="8"/>
      <c r="B2258" s="8"/>
      <c r="C2258" s="8"/>
      <c r="D2258" s="8"/>
      <c r="E2258" s="8"/>
      <c r="F2258" s="8"/>
    </row>
    <row r="2259">
      <c r="A2259" s="8"/>
      <c r="B2259" s="8"/>
      <c r="C2259" s="8"/>
      <c r="D2259" s="8"/>
      <c r="E2259" s="8"/>
      <c r="F2259" s="8"/>
    </row>
    <row r="2260">
      <c r="A2260" s="8"/>
      <c r="B2260" s="8"/>
      <c r="C2260" s="8"/>
      <c r="D2260" s="8"/>
      <c r="E2260" s="8"/>
      <c r="F2260" s="8"/>
    </row>
    <row r="2261">
      <c r="A2261" s="8"/>
      <c r="B2261" s="8"/>
      <c r="C2261" s="8"/>
      <c r="D2261" s="8"/>
      <c r="E2261" s="8"/>
      <c r="F2261" s="8"/>
    </row>
    <row r="2262">
      <c r="A2262" s="8"/>
      <c r="B2262" s="8"/>
      <c r="C2262" s="8"/>
      <c r="D2262" s="8"/>
      <c r="E2262" s="8"/>
      <c r="F2262" s="8"/>
    </row>
    <row r="2263">
      <c r="A2263" s="8"/>
      <c r="B2263" s="8"/>
      <c r="C2263" s="8"/>
      <c r="D2263" s="8"/>
      <c r="E2263" s="8"/>
      <c r="F2263" s="8"/>
    </row>
    <row r="2264">
      <c r="A2264" s="8"/>
      <c r="B2264" s="8"/>
      <c r="C2264" s="8"/>
      <c r="D2264" s="8"/>
      <c r="E2264" s="8"/>
      <c r="F2264" s="8"/>
    </row>
    <row r="2265">
      <c r="A2265" s="8"/>
      <c r="B2265" s="8"/>
      <c r="C2265" s="8"/>
      <c r="D2265" s="8"/>
      <c r="E2265" s="8"/>
      <c r="F2265" s="8"/>
    </row>
    <row r="2266">
      <c r="A2266" s="8"/>
      <c r="B2266" s="8"/>
      <c r="C2266" s="8"/>
      <c r="D2266" s="8"/>
      <c r="E2266" s="8"/>
      <c r="F2266" s="8"/>
    </row>
    <row r="2267">
      <c r="A2267" s="8"/>
      <c r="B2267" s="8"/>
      <c r="C2267" s="8"/>
      <c r="D2267" s="8"/>
      <c r="E2267" s="8"/>
      <c r="F2267" s="8"/>
    </row>
    <row r="2268">
      <c r="A2268" s="8"/>
      <c r="B2268" s="8"/>
      <c r="C2268" s="8"/>
      <c r="D2268" s="8"/>
      <c r="E2268" s="8"/>
      <c r="F2268" s="8"/>
    </row>
    <row r="2269">
      <c r="A2269" s="8"/>
      <c r="B2269" s="8"/>
      <c r="C2269" s="8"/>
      <c r="D2269" s="8"/>
      <c r="E2269" s="8"/>
      <c r="F2269" s="8"/>
    </row>
    <row r="2270">
      <c r="A2270" s="8"/>
      <c r="B2270" s="8"/>
      <c r="C2270" s="8"/>
      <c r="D2270" s="8"/>
      <c r="E2270" s="8"/>
      <c r="F2270" s="8"/>
    </row>
    <row r="2271">
      <c r="A2271" s="8"/>
      <c r="B2271" s="8"/>
      <c r="C2271" s="8"/>
      <c r="D2271" s="8"/>
      <c r="E2271" s="8"/>
      <c r="F2271" s="8"/>
    </row>
    <row r="2272">
      <c r="A2272" s="8"/>
      <c r="B2272" s="8"/>
      <c r="C2272" s="8"/>
      <c r="D2272" s="8"/>
      <c r="E2272" s="8"/>
      <c r="F2272" s="8"/>
    </row>
    <row r="2273">
      <c r="A2273" s="8"/>
      <c r="B2273" s="8"/>
      <c r="C2273" s="8"/>
      <c r="D2273" s="8"/>
      <c r="E2273" s="8"/>
      <c r="F2273" s="8"/>
    </row>
    <row r="2274">
      <c r="A2274" s="8"/>
      <c r="B2274" s="8"/>
      <c r="C2274" s="8"/>
      <c r="D2274" s="8"/>
      <c r="E2274" s="8"/>
      <c r="F2274" s="8"/>
    </row>
    <row r="2275">
      <c r="A2275" s="8"/>
      <c r="B2275" s="8"/>
      <c r="C2275" s="8"/>
      <c r="D2275" s="8"/>
      <c r="E2275" s="8"/>
      <c r="F2275" s="8"/>
    </row>
    <row r="2276">
      <c r="A2276" s="8"/>
      <c r="B2276" s="8"/>
      <c r="C2276" s="8"/>
      <c r="D2276" s="8"/>
      <c r="E2276" s="8"/>
      <c r="F2276" s="8"/>
    </row>
    <row r="2277">
      <c r="A2277" s="8"/>
      <c r="B2277" s="8"/>
      <c r="C2277" s="8"/>
      <c r="D2277" s="8"/>
      <c r="E2277" s="8"/>
      <c r="F2277" s="8"/>
    </row>
    <row r="2278">
      <c r="A2278" s="8"/>
      <c r="B2278" s="8"/>
      <c r="C2278" s="8"/>
      <c r="D2278" s="8"/>
      <c r="E2278" s="8"/>
      <c r="F2278" s="8"/>
    </row>
    <row r="2279">
      <c r="A2279" s="8"/>
      <c r="B2279" s="8"/>
      <c r="C2279" s="8"/>
      <c r="D2279" s="8"/>
      <c r="E2279" s="8"/>
      <c r="F2279" s="8"/>
    </row>
    <row r="2280">
      <c r="A2280" s="8"/>
      <c r="B2280" s="8"/>
      <c r="C2280" s="8"/>
      <c r="D2280" s="8"/>
      <c r="E2280" s="8"/>
      <c r="F2280" s="8"/>
    </row>
    <row r="2281">
      <c r="A2281" s="8"/>
      <c r="B2281" s="8"/>
      <c r="C2281" s="8"/>
      <c r="D2281" s="8"/>
      <c r="E2281" s="8"/>
      <c r="F2281" s="8"/>
    </row>
    <row r="2282">
      <c r="A2282" s="8"/>
      <c r="B2282" s="8"/>
      <c r="C2282" s="8"/>
      <c r="D2282" s="8"/>
      <c r="E2282" s="8"/>
      <c r="F2282" s="8"/>
    </row>
    <row r="2283">
      <c r="A2283" s="8"/>
      <c r="B2283" s="8"/>
      <c r="C2283" s="8"/>
      <c r="D2283" s="8"/>
      <c r="E2283" s="8"/>
      <c r="F2283" s="8"/>
    </row>
    <row r="2284">
      <c r="A2284" s="8"/>
      <c r="B2284" s="8"/>
      <c r="C2284" s="8"/>
      <c r="D2284" s="8"/>
      <c r="E2284" s="8"/>
      <c r="F2284" s="8"/>
    </row>
    <row r="2285">
      <c r="A2285" s="8"/>
      <c r="B2285" s="8"/>
      <c r="C2285" s="8"/>
      <c r="D2285" s="8"/>
      <c r="E2285" s="8"/>
      <c r="F2285" s="8"/>
    </row>
    <row r="2286">
      <c r="A2286" s="8"/>
      <c r="B2286" s="8"/>
      <c r="C2286" s="8"/>
      <c r="D2286" s="8"/>
      <c r="E2286" s="8"/>
      <c r="F2286" s="8"/>
    </row>
    <row r="2287">
      <c r="A2287" s="8"/>
      <c r="B2287" s="8"/>
      <c r="C2287" s="8"/>
      <c r="D2287" s="8"/>
      <c r="E2287" s="8"/>
      <c r="F2287" s="8"/>
    </row>
    <row r="2288">
      <c r="A2288" s="8"/>
      <c r="B2288" s="8"/>
      <c r="C2288" s="8"/>
      <c r="D2288" s="8"/>
      <c r="E2288" s="8"/>
      <c r="F2288" s="8"/>
    </row>
    <row r="2289">
      <c r="A2289" s="8"/>
      <c r="B2289" s="8"/>
      <c r="C2289" s="8"/>
      <c r="D2289" s="8"/>
      <c r="E2289" s="8"/>
      <c r="F2289" s="8"/>
    </row>
    <row r="2290">
      <c r="A2290" s="8"/>
      <c r="B2290" s="8"/>
      <c r="C2290" s="8"/>
      <c r="D2290" s="8"/>
      <c r="E2290" s="8"/>
      <c r="F2290" s="8"/>
    </row>
    <row r="2291">
      <c r="A2291" s="8"/>
      <c r="B2291" s="8"/>
      <c r="C2291" s="8"/>
      <c r="D2291" s="8"/>
      <c r="E2291" s="8"/>
      <c r="F2291" s="8"/>
    </row>
    <row r="2292">
      <c r="A2292" s="8"/>
      <c r="B2292" s="8"/>
      <c r="C2292" s="8"/>
      <c r="D2292" s="8"/>
      <c r="E2292" s="8"/>
      <c r="F2292" s="8"/>
    </row>
    <row r="2293">
      <c r="A2293" s="8"/>
      <c r="B2293" s="8"/>
      <c r="C2293" s="8"/>
      <c r="D2293" s="8"/>
      <c r="E2293" s="8"/>
      <c r="F2293" s="8"/>
    </row>
    <row r="2294">
      <c r="A2294" s="8"/>
      <c r="B2294" s="8"/>
      <c r="C2294" s="8"/>
      <c r="D2294" s="8"/>
      <c r="E2294" s="8"/>
      <c r="F2294" s="8"/>
    </row>
    <row r="2295">
      <c r="A2295" s="8"/>
      <c r="B2295" s="8"/>
      <c r="C2295" s="8"/>
      <c r="D2295" s="8"/>
      <c r="E2295" s="8"/>
      <c r="F2295" s="8"/>
    </row>
    <row r="2296">
      <c r="A2296" s="8"/>
      <c r="B2296" s="8"/>
      <c r="C2296" s="8"/>
      <c r="D2296" s="8"/>
      <c r="E2296" s="8"/>
      <c r="F2296" s="8"/>
    </row>
    <row r="2297">
      <c r="A2297" s="8"/>
      <c r="B2297" s="8"/>
      <c r="C2297" s="8"/>
      <c r="D2297" s="8"/>
      <c r="E2297" s="8"/>
      <c r="F2297" s="8"/>
    </row>
    <row r="2298">
      <c r="A2298" s="8"/>
      <c r="B2298" s="8"/>
      <c r="C2298" s="8"/>
      <c r="D2298" s="8"/>
      <c r="E2298" s="8"/>
      <c r="F2298" s="8"/>
    </row>
    <row r="2299">
      <c r="A2299" s="8"/>
      <c r="B2299" s="8"/>
      <c r="C2299" s="8"/>
      <c r="D2299" s="8"/>
      <c r="E2299" s="8"/>
      <c r="F2299" s="8"/>
    </row>
    <row r="2300">
      <c r="A2300" s="8"/>
      <c r="B2300" s="8"/>
      <c r="C2300" s="8"/>
      <c r="D2300" s="8"/>
      <c r="E2300" s="8"/>
      <c r="F2300" s="8"/>
    </row>
    <row r="2301">
      <c r="A2301" s="8"/>
      <c r="B2301" s="8"/>
      <c r="C2301" s="8"/>
      <c r="D2301" s="8"/>
      <c r="E2301" s="8"/>
      <c r="F2301" s="8"/>
    </row>
    <row r="2302">
      <c r="A2302" s="8"/>
      <c r="B2302" s="8"/>
      <c r="C2302" s="8"/>
      <c r="D2302" s="8"/>
      <c r="E2302" s="8"/>
      <c r="F2302" s="8"/>
    </row>
    <row r="2303">
      <c r="A2303" s="8"/>
      <c r="B2303" s="8"/>
      <c r="C2303" s="8"/>
      <c r="D2303" s="8"/>
      <c r="E2303" s="8"/>
      <c r="F2303" s="8"/>
    </row>
    <row r="2304">
      <c r="A2304" s="8"/>
      <c r="B2304" s="8"/>
      <c r="C2304" s="8"/>
      <c r="D2304" s="8"/>
      <c r="E2304" s="8"/>
      <c r="F2304" s="8"/>
    </row>
    <row r="2305">
      <c r="A2305" s="8"/>
      <c r="B2305" s="8"/>
      <c r="C2305" s="8"/>
      <c r="D2305" s="8"/>
      <c r="E2305" s="8"/>
      <c r="F2305" s="8"/>
    </row>
    <row r="2306">
      <c r="A2306" s="8"/>
      <c r="B2306" s="8"/>
      <c r="C2306" s="8"/>
      <c r="D2306" s="8"/>
      <c r="E2306" s="8"/>
      <c r="F2306" s="8"/>
    </row>
    <row r="2307">
      <c r="A2307" s="8"/>
      <c r="B2307" s="8"/>
      <c r="C2307" s="8"/>
      <c r="D2307" s="8"/>
      <c r="E2307" s="8"/>
      <c r="F2307" s="8"/>
    </row>
    <row r="2308">
      <c r="A2308" s="8"/>
      <c r="B2308" s="8"/>
      <c r="C2308" s="8"/>
      <c r="D2308" s="8"/>
      <c r="E2308" s="8"/>
      <c r="F2308" s="8"/>
    </row>
    <row r="2309">
      <c r="A2309" s="8"/>
      <c r="B2309" s="8"/>
      <c r="C2309" s="8"/>
      <c r="D2309" s="8"/>
      <c r="E2309" s="8"/>
      <c r="F2309" s="8"/>
    </row>
    <row r="2310">
      <c r="A2310" s="8"/>
      <c r="B2310" s="8"/>
      <c r="C2310" s="8"/>
      <c r="D2310" s="8"/>
      <c r="E2310" s="8"/>
      <c r="F2310" s="8"/>
    </row>
    <row r="2311">
      <c r="A2311" s="8"/>
      <c r="B2311" s="8"/>
      <c r="C2311" s="8"/>
      <c r="D2311" s="8"/>
      <c r="E2311" s="8"/>
      <c r="F2311" s="8"/>
    </row>
    <row r="2312">
      <c r="A2312" s="8"/>
      <c r="B2312" s="8"/>
      <c r="C2312" s="8"/>
      <c r="D2312" s="8"/>
      <c r="E2312" s="8"/>
      <c r="F2312" s="8"/>
    </row>
    <row r="2313">
      <c r="A2313" s="8"/>
      <c r="B2313" s="8"/>
      <c r="C2313" s="8"/>
      <c r="D2313" s="8"/>
      <c r="E2313" s="8"/>
      <c r="F2313" s="8"/>
    </row>
    <row r="2314">
      <c r="A2314" s="8"/>
      <c r="B2314" s="8"/>
      <c r="C2314" s="8"/>
      <c r="D2314" s="8"/>
      <c r="E2314" s="8"/>
      <c r="F2314" s="8"/>
    </row>
    <row r="2315">
      <c r="A2315" s="8"/>
      <c r="B2315" s="8"/>
      <c r="C2315" s="8"/>
      <c r="D2315" s="8"/>
      <c r="E2315" s="8"/>
      <c r="F2315" s="8"/>
    </row>
    <row r="2316">
      <c r="A2316" s="8"/>
      <c r="B2316" s="8"/>
      <c r="C2316" s="8"/>
      <c r="D2316" s="8"/>
      <c r="E2316" s="8"/>
      <c r="F2316" s="8"/>
    </row>
    <row r="2317">
      <c r="A2317" s="8"/>
      <c r="B2317" s="8"/>
      <c r="C2317" s="8"/>
      <c r="D2317" s="8"/>
      <c r="E2317" s="8"/>
      <c r="F2317" s="8"/>
    </row>
    <row r="2318">
      <c r="A2318" s="8"/>
      <c r="B2318" s="8"/>
      <c r="C2318" s="8"/>
      <c r="D2318" s="8"/>
      <c r="E2318" s="8"/>
      <c r="F2318" s="8"/>
    </row>
    <row r="2319">
      <c r="A2319" s="8"/>
      <c r="B2319" s="8"/>
      <c r="C2319" s="8"/>
      <c r="D2319" s="8"/>
      <c r="E2319" s="8"/>
      <c r="F2319" s="8"/>
    </row>
    <row r="2320">
      <c r="A2320" s="8"/>
      <c r="B2320" s="8"/>
      <c r="C2320" s="8"/>
      <c r="D2320" s="8"/>
      <c r="E2320" s="8"/>
      <c r="F2320" s="8"/>
    </row>
    <row r="2321">
      <c r="A2321" s="8"/>
      <c r="B2321" s="8"/>
      <c r="C2321" s="8"/>
      <c r="D2321" s="8"/>
      <c r="E2321" s="8"/>
      <c r="F2321" s="8"/>
    </row>
    <row r="2322">
      <c r="A2322" s="8"/>
      <c r="B2322" s="8"/>
      <c r="C2322" s="8"/>
      <c r="D2322" s="8"/>
      <c r="E2322" s="8"/>
      <c r="F2322" s="8"/>
    </row>
    <row r="2323">
      <c r="A2323" s="8"/>
      <c r="B2323" s="8"/>
      <c r="C2323" s="8"/>
      <c r="D2323" s="8"/>
      <c r="E2323" s="8"/>
      <c r="F2323" s="8"/>
    </row>
    <row r="2324">
      <c r="A2324" s="8"/>
      <c r="B2324" s="8"/>
      <c r="C2324" s="8"/>
      <c r="D2324" s="8"/>
      <c r="E2324" s="8"/>
      <c r="F2324" s="8"/>
    </row>
    <row r="2325">
      <c r="A2325" s="8"/>
      <c r="B2325" s="8"/>
      <c r="C2325" s="8"/>
      <c r="D2325" s="8"/>
      <c r="E2325" s="8"/>
      <c r="F2325" s="8"/>
    </row>
    <row r="2326">
      <c r="A2326" s="8"/>
      <c r="B2326" s="8"/>
      <c r="C2326" s="8"/>
      <c r="D2326" s="8"/>
      <c r="E2326" s="8"/>
      <c r="F2326" s="8"/>
    </row>
    <row r="2327">
      <c r="A2327" s="8"/>
      <c r="B2327" s="8"/>
      <c r="C2327" s="8"/>
      <c r="D2327" s="8"/>
      <c r="E2327" s="8"/>
      <c r="F2327" s="8"/>
    </row>
    <row r="2328">
      <c r="A2328" s="8"/>
      <c r="B2328" s="8"/>
      <c r="C2328" s="8"/>
      <c r="D2328" s="8"/>
      <c r="E2328" s="8"/>
      <c r="F2328" s="8"/>
    </row>
    <row r="2329">
      <c r="A2329" s="8"/>
      <c r="B2329" s="8"/>
      <c r="C2329" s="8"/>
      <c r="D2329" s="8"/>
      <c r="E2329" s="8"/>
      <c r="F2329" s="8"/>
    </row>
    <row r="2330">
      <c r="A2330" s="8"/>
      <c r="B2330" s="8"/>
      <c r="C2330" s="8"/>
      <c r="D2330" s="8"/>
      <c r="E2330" s="8"/>
      <c r="F2330" s="8"/>
    </row>
    <row r="2331">
      <c r="A2331" s="8"/>
      <c r="B2331" s="8"/>
      <c r="C2331" s="8"/>
      <c r="D2331" s="8"/>
      <c r="E2331" s="8"/>
      <c r="F2331" s="8"/>
    </row>
    <row r="2332">
      <c r="A2332" s="8"/>
      <c r="B2332" s="8"/>
      <c r="C2332" s="8"/>
      <c r="D2332" s="8"/>
      <c r="E2332" s="8"/>
      <c r="F2332" s="8"/>
    </row>
    <row r="2333">
      <c r="A2333" s="8"/>
      <c r="B2333" s="8"/>
      <c r="C2333" s="8"/>
      <c r="D2333" s="8"/>
      <c r="E2333" s="8"/>
      <c r="F2333" s="8"/>
    </row>
    <row r="2334">
      <c r="A2334" s="8"/>
      <c r="B2334" s="8"/>
      <c r="C2334" s="8"/>
      <c r="D2334" s="8"/>
      <c r="E2334" s="8"/>
      <c r="F2334" s="8"/>
    </row>
    <row r="2335">
      <c r="A2335" s="8"/>
      <c r="B2335" s="8"/>
      <c r="C2335" s="8"/>
      <c r="D2335" s="8"/>
      <c r="E2335" s="8"/>
      <c r="F2335" s="8"/>
    </row>
    <row r="2336">
      <c r="A2336" s="8"/>
      <c r="B2336" s="8"/>
      <c r="C2336" s="8"/>
      <c r="D2336" s="8"/>
      <c r="E2336" s="8"/>
      <c r="F2336" s="8"/>
    </row>
    <row r="2337">
      <c r="A2337" s="8"/>
      <c r="B2337" s="8"/>
      <c r="C2337" s="8"/>
      <c r="D2337" s="8"/>
      <c r="E2337" s="8"/>
      <c r="F2337" s="8"/>
    </row>
    <row r="2338">
      <c r="A2338" s="8"/>
      <c r="B2338" s="8"/>
      <c r="C2338" s="8"/>
      <c r="D2338" s="8"/>
      <c r="E2338" s="8"/>
      <c r="F2338" s="8"/>
    </row>
    <row r="2339">
      <c r="A2339" s="8"/>
      <c r="B2339" s="8"/>
      <c r="C2339" s="8"/>
      <c r="D2339" s="8"/>
      <c r="E2339" s="8"/>
      <c r="F2339" s="8"/>
    </row>
    <row r="2340">
      <c r="A2340" s="8"/>
      <c r="B2340" s="8"/>
      <c r="C2340" s="8"/>
      <c r="D2340" s="8"/>
      <c r="E2340" s="8"/>
      <c r="F2340" s="8"/>
    </row>
    <row r="2341">
      <c r="A2341" s="8"/>
      <c r="B2341" s="8"/>
      <c r="C2341" s="8"/>
      <c r="D2341" s="8"/>
      <c r="E2341" s="8"/>
      <c r="F2341" s="8"/>
    </row>
    <row r="2342">
      <c r="A2342" s="8"/>
      <c r="B2342" s="8"/>
      <c r="C2342" s="8"/>
      <c r="D2342" s="8"/>
      <c r="E2342" s="8"/>
      <c r="F2342" s="8"/>
    </row>
    <row r="2343">
      <c r="A2343" s="8"/>
      <c r="B2343" s="8"/>
      <c r="C2343" s="8"/>
      <c r="D2343" s="8"/>
      <c r="E2343" s="8"/>
      <c r="F2343" s="8"/>
    </row>
    <row r="2344">
      <c r="A2344" s="8"/>
      <c r="B2344" s="8"/>
      <c r="C2344" s="8"/>
      <c r="D2344" s="8"/>
      <c r="E2344" s="8"/>
      <c r="F2344" s="8"/>
    </row>
    <row r="2345">
      <c r="A2345" s="8"/>
      <c r="B2345" s="8"/>
      <c r="C2345" s="8"/>
      <c r="D2345" s="8"/>
      <c r="E2345" s="8"/>
      <c r="F2345" s="8"/>
    </row>
    <row r="2346">
      <c r="A2346" s="8"/>
      <c r="B2346" s="8"/>
      <c r="C2346" s="8"/>
      <c r="D2346" s="8"/>
      <c r="E2346" s="8"/>
      <c r="F2346" s="8"/>
    </row>
    <row r="2347">
      <c r="A2347" s="8"/>
      <c r="B2347" s="8"/>
      <c r="C2347" s="8"/>
      <c r="D2347" s="8"/>
      <c r="E2347" s="8"/>
      <c r="F2347" s="8"/>
    </row>
    <row r="2348">
      <c r="A2348" s="8"/>
      <c r="B2348" s="8"/>
      <c r="C2348" s="8"/>
      <c r="D2348" s="8"/>
      <c r="E2348" s="8"/>
      <c r="F2348" s="8"/>
    </row>
    <row r="2349">
      <c r="A2349" s="8"/>
      <c r="B2349" s="8"/>
      <c r="C2349" s="8"/>
      <c r="D2349" s="8"/>
      <c r="E2349" s="8"/>
      <c r="F2349" s="8"/>
    </row>
    <row r="2350">
      <c r="A2350" s="8"/>
      <c r="B2350" s="8"/>
      <c r="C2350" s="8"/>
      <c r="D2350" s="8"/>
      <c r="E2350" s="8"/>
      <c r="F2350" s="8"/>
    </row>
    <row r="2351">
      <c r="A2351" s="8"/>
      <c r="B2351" s="8"/>
      <c r="C2351" s="8"/>
      <c r="D2351" s="8"/>
      <c r="E2351" s="8"/>
      <c r="F2351" s="8"/>
    </row>
    <row r="2352">
      <c r="A2352" s="8"/>
      <c r="B2352" s="8"/>
      <c r="C2352" s="8"/>
      <c r="D2352" s="8"/>
      <c r="E2352" s="8"/>
      <c r="F2352" s="8"/>
    </row>
    <row r="2353">
      <c r="A2353" s="8"/>
      <c r="B2353" s="8"/>
      <c r="C2353" s="8"/>
      <c r="D2353" s="8"/>
      <c r="E2353" s="8"/>
      <c r="F2353" s="8"/>
    </row>
    <row r="2354">
      <c r="A2354" s="8"/>
      <c r="B2354" s="8"/>
      <c r="C2354" s="8"/>
      <c r="D2354" s="8"/>
      <c r="E2354" s="8"/>
      <c r="F2354" s="8"/>
    </row>
    <row r="2355">
      <c r="A2355" s="8"/>
      <c r="B2355" s="8"/>
      <c r="C2355" s="8"/>
      <c r="D2355" s="8"/>
      <c r="E2355" s="8"/>
      <c r="F2355" s="8"/>
    </row>
    <row r="2356">
      <c r="A2356" s="8"/>
      <c r="B2356" s="8"/>
      <c r="C2356" s="8"/>
      <c r="D2356" s="8"/>
      <c r="E2356" s="8"/>
      <c r="F2356" s="8"/>
    </row>
    <row r="2357">
      <c r="A2357" s="8"/>
      <c r="B2357" s="8"/>
      <c r="C2357" s="8"/>
      <c r="D2357" s="8"/>
      <c r="E2357" s="8"/>
      <c r="F2357" s="8"/>
    </row>
    <row r="2358">
      <c r="A2358" s="8"/>
      <c r="B2358" s="8"/>
      <c r="C2358" s="8"/>
      <c r="D2358" s="8"/>
      <c r="E2358" s="8"/>
      <c r="F2358" s="8"/>
    </row>
    <row r="2359">
      <c r="A2359" s="8"/>
      <c r="B2359" s="8"/>
      <c r="C2359" s="8"/>
      <c r="D2359" s="8"/>
      <c r="E2359" s="8"/>
      <c r="F2359" s="8"/>
    </row>
    <row r="2360">
      <c r="A2360" s="8"/>
      <c r="B2360" s="8"/>
      <c r="C2360" s="8"/>
      <c r="D2360" s="8"/>
      <c r="E2360" s="8"/>
      <c r="F2360" s="8"/>
    </row>
    <row r="2361">
      <c r="A2361" s="8"/>
      <c r="B2361" s="8"/>
      <c r="C2361" s="8"/>
      <c r="D2361" s="8"/>
      <c r="E2361" s="8"/>
      <c r="F2361" s="8"/>
    </row>
    <row r="2362">
      <c r="A2362" s="8"/>
      <c r="B2362" s="8"/>
      <c r="C2362" s="8"/>
      <c r="D2362" s="8"/>
      <c r="E2362" s="8"/>
      <c r="F2362" s="8"/>
    </row>
    <row r="2363">
      <c r="A2363" s="8"/>
      <c r="B2363" s="8"/>
      <c r="C2363" s="8"/>
      <c r="D2363" s="8"/>
      <c r="E2363" s="8"/>
      <c r="F2363" s="8"/>
    </row>
    <row r="2364">
      <c r="A2364" s="8"/>
      <c r="B2364" s="8"/>
      <c r="C2364" s="8"/>
      <c r="D2364" s="8"/>
      <c r="E2364" s="8"/>
      <c r="F2364" s="8"/>
    </row>
    <row r="2365">
      <c r="A2365" s="8"/>
      <c r="B2365" s="8"/>
      <c r="C2365" s="8"/>
      <c r="D2365" s="8"/>
      <c r="E2365" s="8"/>
      <c r="F2365" s="8"/>
    </row>
    <row r="2366">
      <c r="A2366" s="8"/>
      <c r="B2366" s="8"/>
      <c r="C2366" s="8"/>
      <c r="D2366" s="8"/>
      <c r="E2366" s="8"/>
      <c r="F2366" s="8"/>
    </row>
    <row r="2367">
      <c r="A2367" s="8"/>
      <c r="B2367" s="8"/>
      <c r="C2367" s="8"/>
      <c r="D2367" s="8"/>
      <c r="E2367" s="8"/>
      <c r="F2367" s="8"/>
    </row>
    <row r="2368">
      <c r="A2368" s="8"/>
      <c r="B2368" s="8"/>
      <c r="C2368" s="8"/>
      <c r="D2368" s="8"/>
      <c r="E2368" s="8"/>
      <c r="F2368" s="8"/>
    </row>
    <row r="2369">
      <c r="A2369" s="8"/>
      <c r="B2369" s="8"/>
      <c r="C2369" s="8"/>
      <c r="D2369" s="8"/>
      <c r="E2369" s="8"/>
      <c r="F2369" s="8"/>
    </row>
    <row r="2370">
      <c r="A2370" s="8"/>
      <c r="B2370" s="8"/>
      <c r="C2370" s="8"/>
      <c r="D2370" s="8"/>
      <c r="E2370" s="8"/>
      <c r="F2370" s="8"/>
    </row>
    <row r="2371">
      <c r="A2371" s="8"/>
      <c r="B2371" s="8"/>
      <c r="C2371" s="8"/>
      <c r="D2371" s="8"/>
      <c r="E2371" s="8"/>
      <c r="F2371" s="8"/>
    </row>
    <row r="2372">
      <c r="A2372" s="8"/>
      <c r="B2372" s="8"/>
      <c r="C2372" s="8"/>
      <c r="D2372" s="8"/>
      <c r="E2372" s="8"/>
      <c r="F2372" s="8"/>
    </row>
    <row r="2373">
      <c r="A2373" s="8"/>
      <c r="B2373" s="8"/>
      <c r="C2373" s="8"/>
      <c r="D2373" s="8"/>
      <c r="E2373" s="8"/>
      <c r="F2373" s="8"/>
    </row>
    <row r="2374">
      <c r="A2374" s="8"/>
      <c r="B2374" s="8"/>
      <c r="C2374" s="8"/>
      <c r="D2374" s="8"/>
      <c r="E2374" s="8"/>
      <c r="F2374" s="8"/>
    </row>
    <row r="2375">
      <c r="A2375" s="8"/>
      <c r="B2375" s="8"/>
      <c r="C2375" s="8"/>
      <c r="D2375" s="8"/>
      <c r="E2375" s="8"/>
      <c r="F2375" s="8"/>
    </row>
    <row r="2376">
      <c r="A2376" s="8"/>
      <c r="B2376" s="8"/>
      <c r="C2376" s="8"/>
      <c r="D2376" s="8"/>
      <c r="E2376" s="8"/>
      <c r="F2376" s="8"/>
    </row>
    <row r="2377">
      <c r="A2377" s="8"/>
      <c r="B2377" s="8"/>
      <c r="C2377" s="8"/>
      <c r="D2377" s="8"/>
      <c r="E2377" s="8"/>
      <c r="F2377" s="8"/>
    </row>
    <row r="2378">
      <c r="A2378" s="8"/>
      <c r="B2378" s="8"/>
      <c r="C2378" s="8"/>
      <c r="D2378" s="8"/>
      <c r="E2378" s="8"/>
      <c r="F2378" s="8"/>
    </row>
    <row r="2379">
      <c r="A2379" s="8"/>
      <c r="B2379" s="8"/>
      <c r="C2379" s="8"/>
      <c r="D2379" s="8"/>
      <c r="E2379" s="8"/>
      <c r="F2379" s="8"/>
    </row>
    <row r="2380">
      <c r="A2380" s="8"/>
      <c r="B2380" s="8"/>
      <c r="C2380" s="8"/>
      <c r="D2380" s="8"/>
      <c r="E2380" s="8"/>
      <c r="F2380" s="8"/>
    </row>
    <row r="2381">
      <c r="A2381" s="8"/>
      <c r="B2381" s="8"/>
      <c r="C2381" s="8"/>
      <c r="D2381" s="8"/>
      <c r="E2381" s="8"/>
      <c r="F2381" s="8"/>
    </row>
    <row r="2382">
      <c r="A2382" s="8"/>
      <c r="B2382" s="8"/>
      <c r="C2382" s="8"/>
      <c r="D2382" s="8"/>
      <c r="E2382" s="8"/>
      <c r="F2382" s="8"/>
    </row>
    <row r="2383">
      <c r="A2383" s="8"/>
      <c r="B2383" s="8"/>
      <c r="C2383" s="8"/>
      <c r="D2383" s="8"/>
      <c r="E2383" s="8"/>
      <c r="F2383" s="8"/>
    </row>
    <row r="2384">
      <c r="A2384" s="8"/>
      <c r="B2384" s="8"/>
      <c r="C2384" s="8"/>
      <c r="D2384" s="8"/>
      <c r="E2384" s="8"/>
      <c r="F2384" s="8"/>
    </row>
    <row r="2385">
      <c r="A2385" s="8"/>
      <c r="B2385" s="8"/>
      <c r="C2385" s="8"/>
      <c r="D2385" s="8"/>
      <c r="E2385" s="8"/>
      <c r="F2385" s="8"/>
    </row>
    <row r="2386">
      <c r="A2386" s="8"/>
      <c r="B2386" s="8"/>
      <c r="C2386" s="8"/>
      <c r="D2386" s="8"/>
      <c r="E2386" s="8"/>
      <c r="F2386" s="8"/>
    </row>
    <row r="2387">
      <c r="A2387" s="8"/>
      <c r="B2387" s="8"/>
      <c r="C2387" s="8"/>
      <c r="D2387" s="8"/>
      <c r="E2387" s="8"/>
      <c r="F2387" s="8"/>
    </row>
    <row r="2388">
      <c r="A2388" s="8"/>
      <c r="B2388" s="8"/>
      <c r="C2388" s="8"/>
      <c r="D2388" s="8"/>
      <c r="E2388" s="8"/>
      <c r="F2388" s="8"/>
    </row>
    <row r="2389">
      <c r="A2389" s="8"/>
      <c r="B2389" s="8"/>
      <c r="C2389" s="8"/>
      <c r="D2389" s="8"/>
      <c r="E2389" s="8"/>
      <c r="F2389" s="8"/>
    </row>
    <row r="2390">
      <c r="A2390" s="8"/>
      <c r="B2390" s="8"/>
      <c r="C2390" s="8"/>
      <c r="D2390" s="8"/>
      <c r="E2390" s="8"/>
      <c r="F2390" s="8"/>
    </row>
    <row r="2391">
      <c r="A2391" s="8"/>
      <c r="B2391" s="8"/>
      <c r="C2391" s="8"/>
      <c r="D2391" s="8"/>
      <c r="E2391" s="8"/>
      <c r="F2391" s="8"/>
    </row>
    <row r="2392">
      <c r="A2392" s="8"/>
      <c r="B2392" s="8"/>
      <c r="C2392" s="8"/>
      <c r="D2392" s="8"/>
      <c r="E2392" s="8"/>
      <c r="F2392" s="8"/>
    </row>
    <row r="2393">
      <c r="A2393" s="8"/>
      <c r="B2393" s="8"/>
      <c r="C2393" s="8"/>
      <c r="D2393" s="8"/>
      <c r="E2393" s="8"/>
      <c r="F2393" s="8"/>
    </row>
    <row r="2394">
      <c r="A2394" s="8"/>
      <c r="B2394" s="8"/>
      <c r="C2394" s="8"/>
      <c r="D2394" s="8"/>
      <c r="E2394" s="8"/>
      <c r="F2394" s="8"/>
    </row>
    <row r="2395">
      <c r="A2395" s="8"/>
      <c r="B2395" s="8"/>
      <c r="C2395" s="8"/>
      <c r="D2395" s="8"/>
      <c r="E2395" s="8"/>
      <c r="F2395" s="8"/>
    </row>
    <row r="2396">
      <c r="A2396" s="8"/>
      <c r="B2396" s="8"/>
      <c r="C2396" s="8"/>
      <c r="D2396" s="8"/>
      <c r="E2396" s="8"/>
      <c r="F2396" s="8"/>
    </row>
    <row r="2397">
      <c r="A2397" s="8"/>
      <c r="B2397" s="8"/>
      <c r="C2397" s="8"/>
      <c r="D2397" s="8"/>
      <c r="E2397" s="8"/>
      <c r="F2397" s="8"/>
    </row>
    <row r="2398">
      <c r="A2398" s="8"/>
      <c r="B2398" s="8"/>
      <c r="C2398" s="8"/>
      <c r="D2398" s="8"/>
      <c r="E2398" s="8"/>
      <c r="F2398" s="8"/>
    </row>
    <row r="2399">
      <c r="A2399" s="8"/>
      <c r="B2399" s="8"/>
      <c r="C2399" s="8"/>
      <c r="D2399" s="8"/>
      <c r="E2399" s="8"/>
      <c r="F2399" s="8"/>
    </row>
    <row r="2400">
      <c r="A2400" s="8"/>
      <c r="B2400" s="8"/>
      <c r="C2400" s="8"/>
      <c r="D2400" s="8"/>
      <c r="E2400" s="8"/>
      <c r="F2400" s="8"/>
    </row>
    <row r="2401">
      <c r="A2401" s="8"/>
      <c r="B2401" s="8"/>
      <c r="C2401" s="8"/>
      <c r="D2401" s="8"/>
      <c r="E2401" s="8"/>
      <c r="F2401" s="8"/>
    </row>
    <row r="2402">
      <c r="A2402" s="8"/>
      <c r="B2402" s="8"/>
      <c r="C2402" s="8"/>
      <c r="D2402" s="8"/>
      <c r="E2402" s="8"/>
      <c r="F2402" s="8"/>
    </row>
    <row r="2403">
      <c r="A2403" s="8"/>
      <c r="B2403" s="8"/>
      <c r="C2403" s="8"/>
      <c r="D2403" s="8"/>
      <c r="E2403" s="8"/>
      <c r="F2403" s="8"/>
    </row>
    <row r="2404">
      <c r="A2404" s="8"/>
      <c r="B2404" s="8"/>
      <c r="C2404" s="8"/>
      <c r="D2404" s="8"/>
      <c r="E2404" s="8"/>
      <c r="F2404" s="8"/>
    </row>
    <row r="2405">
      <c r="A2405" s="8"/>
      <c r="B2405" s="8"/>
      <c r="C2405" s="8"/>
      <c r="D2405" s="8"/>
      <c r="E2405" s="8"/>
      <c r="F2405" s="8"/>
    </row>
    <row r="2406">
      <c r="A2406" s="8"/>
      <c r="B2406" s="8"/>
      <c r="C2406" s="8"/>
      <c r="D2406" s="8"/>
      <c r="E2406" s="8"/>
      <c r="F2406" s="8"/>
    </row>
    <row r="2407">
      <c r="A2407" s="8"/>
      <c r="B2407" s="8"/>
      <c r="C2407" s="8"/>
      <c r="D2407" s="8"/>
      <c r="E2407" s="8"/>
      <c r="F2407" s="8"/>
    </row>
    <row r="2408">
      <c r="A2408" s="8"/>
      <c r="B2408" s="8"/>
      <c r="C2408" s="8"/>
      <c r="D2408" s="8"/>
      <c r="E2408" s="8"/>
      <c r="F2408" s="8"/>
    </row>
    <row r="2409">
      <c r="A2409" s="8"/>
      <c r="B2409" s="8"/>
      <c r="C2409" s="8"/>
      <c r="D2409" s="8"/>
      <c r="E2409" s="8"/>
      <c r="F2409" s="8"/>
    </row>
    <row r="2410">
      <c r="A2410" s="8"/>
      <c r="B2410" s="8"/>
      <c r="C2410" s="8"/>
      <c r="D2410" s="8"/>
      <c r="E2410" s="8"/>
      <c r="F2410" s="8"/>
    </row>
    <row r="2411">
      <c r="A2411" s="8"/>
      <c r="B2411" s="8"/>
      <c r="C2411" s="8"/>
      <c r="D2411" s="8"/>
      <c r="E2411" s="8"/>
      <c r="F2411" s="8"/>
    </row>
    <row r="2412">
      <c r="A2412" s="8"/>
      <c r="B2412" s="8"/>
      <c r="C2412" s="8"/>
      <c r="D2412" s="8"/>
      <c r="E2412" s="8"/>
      <c r="F2412" s="8"/>
    </row>
    <row r="2413">
      <c r="A2413" s="8"/>
      <c r="B2413" s="8"/>
      <c r="C2413" s="8"/>
      <c r="D2413" s="8"/>
      <c r="E2413" s="8"/>
      <c r="F2413" s="8"/>
    </row>
    <row r="2414">
      <c r="A2414" s="8"/>
      <c r="B2414" s="8"/>
      <c r="C2414" s="8"/>
      <c r="D2414" s="8"/>
      <c r="E2414" s="8"/>
      <c r="F2414" s="8"/>
    </row>
    <row r="2415">
      <c r="A2415" s="8"/>
      <c r="B2415" s="8"/>
      <c r="C2415" s="8"/>
      <c r="D2415" s="8"/>
      <c r="E2415" s="8"/>
      <c r="F2415" s="8"/>
    </row>
    <row r="2416">
      <c r="A2416" s="8"/>
      <c r="B2416" s="8"/>
      <c r="C2416" s="8"/>
      <c r="D2416" s="8"/>
      <c r="E2416" s="8"/>
      <c r="F2416" s="8"/>
    </row>
    <row r="2417">
      <c r="A2417" s="8"/>
      <c r="B2417" s="8"/>
      <c r="C2417" s="8"/>
      <c r="D2417" s="8"/>
      <c r="E2417" s="8"/>
      <c r="F2417" s="8"/>
    </row>
    <row r="2418">
      <c r="A2418" s="8"/>
      <c r="B2418" s="8"/>
      <c r="C2418" s="8"/>
      <c r="D2418" s="8"/>
      <c r="E2418" s="8"/>
      <c r="F2418" s="8"/>
    </row>
    <row r="2419">
      <c r="A2419" s="8"/>
      <c r="B2419" s="8"/>
      <c r="C2419" s="8"/>
      <c r="D2419" s="8"/>
      <c r="E2419" s="8"/>
      <c r="F2419" s="8"/>
    </row>
    <row r="2420">
      <c r="A2420" s="8"/>
      <c r="B2420" s="8"/>
      <c r="C2420" s="8"/>
      <c r="D2420" s="8"/>
      <c r="E2420" s="8"/>
      <c r="F2420" s="8"/>
    </row>
    <row r="2421">
      <c r="A2421" s="8"/>
      <c r="B2421" s="8"/>
      <c r="C2421" s="8"/>
      <c r="D2421" s="8"/>
      <c r="E2421" s="8"/>
      <c r="F2421" s="8"/>
    </row>
    <row r="2422">
      <c r="A2422" s="8"/>
      <c r="B2422" s="8"/>
      <c r="C2422" s="8"/>
      <c r="D2422" s="8"/>
      <c r="E2422" s="8"/>
      <c r="F2422" s="8"/>
    </row>
    <row r="2423">
      <c r="A2423" s="8"/>
      <c r="B2423" s="8"/>
      <c r="C2423" s="8"/>
      <c r="D2423" s="8"/>
      <c r="E2423" s="8"/>
      <c r="F2423" s="8"/>
    </row>
    <row r="2424">
      <c r="A2424" s="8"/>
      <c r="B2424" s="8"/>
      <c r="C2424" s="8"/>
      <c r="D2424" s="8"/>
      <c r="E2424" s="8"/>
      <c r="F2424" s="8"/>
    </row>
    <row r="2425">
      <c r="A2425" s="8"/>
      <c r="B2425" s="8"/>
      <c r="C2425" s="8"/>
      <c r="D2425" s="8"/>
      <c r="E2425" s="8"/>
      <c r="F2425" s="8"/>
    </row>
    <row r="2426">
      <c r="A2426" s="8"/>
      <c r="B2426" s="8"/>
      <c r="C2426" s="8"/>
      <c r="D2426" s="8"/>
      <c r="E2426" s="8"/>
      <c r="F2426" s="8"/>
    </row>
    <row r="2427">
      <c r="A2427" s="8"/>
      <c r="B2427" s="8"/>
      <c r="C2427" s="8"/>
      <c r="D2427" s="8"/>
      <c r="E2427" s="8"/>
      <c r="F2427" s="8"/>
    </row>
    <row r="2428">
      <c r="A2428" s="8"/>
      <c r="B2428" s="8"/>
      <c r="C2428" s="8"/>
      <c r="D2428" s="8"/>
      <c r="E2428" s="8"/>
      <c r="F2428" s="8"/>
    </row>
    <row r="2429">
      <c r="A2429" s="8"/>
      <c r="B2429" s="8"/>
      <c r="C2429" s="8"/>
      <c r="D2429" s="8"/>
      <c r="E2429" s="8"/>
      <c r="F2429" s="8"/>
    </row>
    <row r="2430">
      <c r="A2430" s="8"/>
      <c r="B2430" s="8"/>
      <c r="C2430" s="8"/>
      <c r="D2430" s="8"/>
      <c r="E2430" s="8"/>
      <c r="F2430" s="8"/>
    </row>
    <row r="2431">
      <c r="A2431" s="8"/>
      <c r="B2431" s="8"/>
      <c r="C2431" s="8"/>
      <c r="D2431" s="8"/>
      <c r="E2431" s="8"/>
      <c r="F2431" s="8"/>
    </row>
    <row r="2432">
      <c r="A2432" s="8"/>
      <c r="B2432" s="8"/>
      <c r="C2432" s="8"/>
      <c r="D2432" s="8"/>
      <c r="E2432" s="8"/>
      <c r="F2432" s="8"/>
    </row>
    <row r="2433">
      <c r="A2433" s="8"/>
      <c r="B2433" s="8"/>
      <c r="C2433" s="8"/>
      <c r="D2433" s="8"/>
      <c r="E2433" s="8"/>
      <c r="F2433" s="8"/>
    </row>
    <row r="2434">
      <c r="A2434" s="8"/>
      <c r="B2434" s="8"/>
      <c r="C2434" s="8"/>
      <c r="D2434" s="8"/>
      <c r="E2434" s="8"/>
      <c r="F2434" s="8"/>
    </row>
    <row r="2435">
      <c r="A2435" s="8"/>
      <c r="B2435" s="8"/>
      <c r="C2435" s="8"/>
      <c r="D2435" s="8"/>
      <c r="E2435" s="8"/>
      <c r="F2435" s="8"/>
    </row>
    <row r="2436">
      <c r="A2436" s="8"/>
      <c r="B2436" s="8"/>
      <c r="C2436" s="8"/>
      <c r="D2436" s="8"/>
      <c r="E2436" s="8"/>
      <c r="F2436" s="8"/>
    </row>
    <row r="2437">
      <c r="A2437" s="8"/>
      <c r="B2437" s="8"/>
      <c r="C2437" s="8"/>
      <c r="D2437" s="8"/>
      <c r="E2437" s="8"/>
      <c r="F2437" s="8"/>
    </row>
    <row r="2438">
      <c r="A2438" s="8"/>
      <c r="B2438" s="8"/>
      <c r="C2438" s="8"/>
      <c r="D2438" s="8"/>
      <c r="E2438" s="8"/>
      <c r="F2438" s="8"/>
    </row>
    <row r="2439">
      <c r="A2439" s="8"/>
      <c r="B2439" s="8"/>
      <c r="C2439" s="8"/>
      <c r="D2439" s="8"/>
      <c r="E2439" s="8"/>
      <c r="F2439" s="8"/>
    </row>
    <row r="2440">
      <c r="A2440" s="8"/>
      <c r="B2440" s="8"/>
      <c r="C2440" s="8"/>
      <c r="D2440" s="8"/>
      <c r="E2440" s="8"/>
      <c r="F2440" s="8"/>
    </row>
    <row r="2441">
      <c r="A2441" s="8"/>
      <c r="B2441" s="8"/>
      <c r="C2441" s="8"/>
      <c r="D2441" s="8"/>
      <c r="E2441" s="8"/>
      <c r="F2441" s="8"/>
    </row>
    <row r="2442">
      <c r="A2442" s="8"/>
      <c r="B2442" s="8"/>
      <c r="C2442" s="8"/>
      <c r="D2442" s="8"/>
      <c r="E2442" s="8"/>
      <c r="F2442" s="8"/>
    </row>
    <row r="2443">
      <c r="A2443" s="8"/>
      <c r="B2443" s="8"/>
      <c r="C2443" s="8"/>
      <c r="D2443" s="8"/>
      <c r="E2443" s="8"/>
      <c r="F2443" s="8"/>
    </row>
    <row r="2444">
      <c r="A2444" s="8"/>
      <c r="B2444" s="8"/>
      <c r="C2444" s="8"/>
      <c r="D2444" s="8"/>
      <c r="E2444" s="8"/>
      <c r="F2444" s="8"/>
    </row>
    <row r="2445">
      <c r="A2445" s="8"/>
      <c r="B2445" s="8"/>
      <c r="C2445" s="8"/>
      <c r="D2445" s="8"/>
      <c r="E2445" s="8"/>
      <c r="F2445" s="8"/>
    </row>
    <row r="2446">
      <c r="A2446" s="8"/>
      <c r="B2446" s="8"/>
      <c r="C2446" s="8"/>
      <c r="D2446" s="8"/>
      <c r="E2446" s="8"/>
      <c r="F2446" s="8"/>
    </row>
    <row r="2447">
      <c r="A2447" s="8"/>
      <c r="B2447" s="8"/>
      <c r="C2447" s="8"/>
      <c r="D2447" s="8"/>
      <c r="E2447" s="8"/>
      <c r="F2447" s="8"/>
    </row>
    <row r="2448">
      <c r="A2448" s="8"/>
      <c r="B2448" s="8"/>
      <c r="C2448" s="8"/>
      <c r="D2448" s="8"/>
      <c r="E2448" s="8"/>
      <c r="F2448" s="8"/>
    </row>
    <row r="2449">
      <c r="A2449" s="8"/>
      <c r="B2449" s="8"/>
      <c r="C2449" s="8"/>
      <c r="D2449" s="8"/>
      <c r="E2449" s="8"/>
      <c r="F2449" s="8"/>
    </row>
    <row r="2450">
      <c r="A2450" s="8"/>
      <c r="B2450" s="8"/>
      <c r="C2450" s="8"/>
      <c r="D2450" s="8"/>
      <c r="E2450" s="8"/>
      <c r="F2450" s="8"/>
    </row>
    <row r="2451">
      <c r="A2451" s="8"/>
      <c r="B2451" s="8"/>
      <c r="C2451" s="8"/>
      <c r="D2451" s="8"/>
      <c r="E2451" s="8"/>
      <c r="F2451" s="8"/>
    </row>
    <row r="2452">
      <c r="A2452" s="8"/>
      <c r="B2452" s="8"/>
      <c r="C2452" s="8"/>
      <c r="D2452" s="8"/>
      <c r="E2452" s="8"/>
      <c r="F2452" s="8"/>
    </row>
    <row r="2453">
      <c r="A2453" s="8"/>
      <c r="B2453" s="8"/>
      <c r="C2453" s="8"/>
      <c r="D2453" s="8"/>
      <c r="E2453" s="8"/>
      <c r="F2453" s="8"/>
    </row>
    <row r="2454">
      <c r="A2454" s="8"/>
      <c r="B2454" s="8"/>
      <c r="C2454" s="8"/>
      <c r="D2454" s="8"/>
      <c r="E2454" s="8"/>
      <c r="F2454" s="8"/>
    </row>
    <row r="2455">
      <c r="A2455" s="8"/>
      <c r="B2455" s="8"/>
      <c r="C2455" s="8"/>
      <c r="D2455" s="8"/>
      <c r="E2455" s="8"/>
      <c r="F2455" s="8"/>
    </row>
    <row r="2456">
      <c r="A2456" s="8"/>
      <c r="B2456" s="8"/>
      <c r="C2456" s="8"/>
      <c r="D2456" s="8"/>
      <c r="E2456" s="8"/>
      <c r="F2456" s="8"/>
    </row>
    <row r="2457">
      <c r="A2457" s="8"/>
      <c r="B2457" s="8"/>
      <c r="C2457" s="8"/>
      <c r="D2457" s="8"/>
      <c r="E2457" s="8"/>
      <c r="F2457" s="8"/>
    </row>
    <row r="2458">
      <c r="A2458" s="8"/>
      <c r="B2458" s="8"/>
      <c r="C2458" s="8"/>
      <c r="D2458" s="8"/>
      <c r="E2458" s="8"/>
      <c r="F2458" s="8"/>
    </row>
    <row r="2459">
      <c r="A2459" s="8"/>
      <c r="B2459" s="8"/>
      <c r="C2459" s="8"/>
      <c r="D2459" s="8"/>
      <c r="E2459" s="8"/>
      <c r="F2459" s="8"/>
    </row>
    <row r="2460">
      <c r="A2460" s="8"/>
      <c r="B2460" s="8"/>
      <c r="C2460" s="8"/>
      <c r="D2460" s="8"/>
      <c r="E2460" s="8"/>
      <c r="F2460" s="8"/>
    </row>
    <row r="2461">
      <c r="A2461" s="8"/>
      <c r="B2461" s="8"/>
      <c r="C2461" s="8"/>
      <c r="D2461" s="8"/>
      <c r="E2461" s="8"/>
      <c r="F2461" s="8"/>
    </row>
    <row r="2462">
      <c r="A2462" s="8"/>
      <c r="B2462" s="8"/>
      <c r="C2462" s="8"/>
      <c r="D2462" s="8"/>
      <c r="E2462" s="8"/>
      <c r="F2462" s="8"/>
    </row>
    <row r="2463">
      <c r="A2463" s="8"/>
      <c r="B2463" s="8"/>
      <c r="C2463" s="8"/>
      <c r="D2463" s="8"/>
      <c r="E2463" s="8"/>
      <c r="F2463" s="8"/>
    </row>
    <row r="2464">
      <c r="A2464" s="8"/>
      <c r="B2464" s="8"/>
      <c r="C2464" s="8"/>
      <c r="D2464" s="8"/>
      <c r="E2464" s="8"/>
      <c r="F2464" s="8"/>
    </row>
    <row r="2465">
      <c r="A2465" s="8"/>
      <c r="B2465" s="8"/>
      <c r="C2465" s="8"/>
      <c r="D2465" s="8"/>
      <c r="E2465" s="8"/>
      <c r="F2465" s="8"/>
    </row>
    <row r="2466">
      <c r="A2466" s="8"/>
      <c r="B2466" s="8"/>
      <c r="C2466" s="8"/>
      <c r="D2466" s="8"/>
      <c r="E2466" s="8"/>
      <c r="F2466" s="8"/>
    </row>
    <row r="2467">
      <c r="A2467" s="8"/>
      <c r="B2467" s="8"/>
      <c r="C2467" s="8"/>
      <c r="D2467" s="8"/>
      <c r="E2467" s="8"/>
      <c r="F2467" s="8"/>
    </row>
    <row r="2468">
      <c r="A2468" s="8"/>
      <c r="B2468" s="8"/>
      <c r="C2468" s="8"/>
      <c r="D2468" s="8"/>
      <c r="E2468" s="8"/>
      <c r="F2468" s="8"/>
    </row>
    <row r="2469">
      <c r="A2469" s="8"/>
      <c r="B2469" s="8"/>
      <c r="C2469" s="8"/>
      <c r="D2469" s="8"/>
      <c r="E2469" s="8"/>
      <c r="F2469" s="8"/>
    </row>
    <row r="2470">
      <c r="A2470" s="8"/>
      <c r="B2470" s="8"/>
      <c r="C2470" s="8"/>
      <c r="D2470" s="8"/>
      <c r="E2470" s="8"/>
      <c r="F2470" s="8"/>
    </row>
    <row r="2471">
      <c r="A2471" s="8"/>
      <c r="B2471" s="8"/>
      <c r="C2471" s="8"/>
      <c r="D2471" s="8"/>
      <c r="E2471" s="8"/>
      <c r="F2471" s="8"/>
    </row>
    <row r="2472">
      <c r="A2472" s="8"/>
      <c r="B2472" s="8"/>
      <c r="C2472" s="8"/>
      <c r="D2472" s="8"/>
      <c r="E2472" s="8"/>
      <c r="F2472" s="8"/>
    </row>
    <row r="2473">
      <c r="A2473" s="8"/>
      <c r="B2473" s="8"/>
      <c r="C2473" s="8"/>
      <c r="D2473" s="8"/>
      <c r="E2473" s="8"/>
      <c r="F2473" s="8"/>
    </row>
    <row r="2474">
      <c r="A2474" s="8"/>
      <c r="B2474" s="8"/>
      <c r="C2474" s="8"/>
      <c r="D2474" s="8"/>
      <c r="E2474" s="8"/>
      <c r="F2474" s="8"/>
    </row>
    <row r="2475">
      <c r="A2475" s="8"/>
      <c r="B2475" s="8"/>
      <c r="C2475" s="8"/>
      <c r="D2475" s="8"/>
      <c r="E2475" s="8"/>
      <c r="F2475" s="8"/>
    </row>
    <row r="2476">
      <c r="A2476" s="8"/>
      <c r="B2476" s="8"/>
      <c r="C2476" s="8"/>
      <c r="D2476" s="8"/>
      <c r="E2476" s="8"/>
      <c r="F2476" s="8"/>
    </row>
    <row r="2477">
      <c r="A2477" s="8"/>
      <c r="B2477" s="8"/>
      <c r="C2477" s="8"/>
      <c r="D2477" s="8"/>
      <c r="E2477" s="8"/>
      <c r="F2477" s="8"/>
    </row>
    <row r="2478">
      <c r="A2478" s="8"/>
      <c r="B2478" s="8"/>
      <c r="C2478" s="8"/>
      <c r="D2478" s="8"/>
      <c r="E2478" s="8"/>
      <c r="F2478" s="8"/>
    </row>
    <row r="2479">
      <c r="A2479" s="8"/>
      <c r="B2479" s="8"/>
      <c r="C2479" s="8"/>
      <c r="D2479" s="8"/>
      <c r="E2479" s="8"/>
      <c r="F2479" s="8"/>
    </row>
    <row r="2480">
      <c r="A2480" s="8"/>
      <c r="B2480" s="8"/>
      <c r="C2480" s="8"/>
      <c r="D2480" s="8"/>
      <c r="E2480" s="8"/>
      <c r="F2480" s="8"/>
    </row>
    <row r="2481">
      <c r="A2481" s="8"/>
      <c r="B2481" s="8"/>
      <c r="C2481" s="8"/>
      <c r="D2481" s="8"/>
      <c r="E2481" s="8"/>
      <c r="F2481" s="8"/>
    </row>
    <row r="2482">
      <c r="A2482" s="8"/>
      <c r="B2482" s="8"/>
      <c r="C2482" s="8"/>
      <c r="D2482" s="8"/>
      <c r="E2482" s="8"/>
      <c r="F2482" s="8"/>
    </row>
    <row r="2483">
      <c r="A2483" s="8"/>
      <c r="B2483" s="8"/>
      <c r="C2483" s="8"/>
      <c r="D2483" s="8"/>
      <c r="E2483" s="8"/>
      <c r="F2483" s="8"/>
    </row>
    <row r="2484">
      <c r="A2484" s="8"/>
      <c r="B2484" s="8"/>
      <c r="C2484" s="8"/>
      <c r="D2484" s="8"/>
      <c r="E2484" s="8"/>
      <c r="F2484" s="8"/>
    </row>
    <row r="2485">
      <c r="A2485" s="8"/>
      <c r="B2485" s="8"/>
      <c r="C2485" s="8"/>
      <c r="D2485" s="8"/>
      <c r="E2485" s="8"/>
      <c r="F2485" s="8"/>
    </row>
    <row r="2486">
      <c r="A2486" s="8"/>
      <c r="B2486" s="8"/>
      <c r="C2486" s="8"/>
      <c r="D2486" s="8"/>
      <c r="E2486" s="8"/>
      <c r="F2486" s="8"/>
    </row>
    <row r="2487">
      <c r="A2487" s="8"/>
      <c r="B2487" s="8"/>
      <c r="C2487" s="8"/>
      <c r="D2487" s="8"/>
      <c r="E2487" s="8"/>
      <c r="F2487" s="8"/>
    </row>
    <row r="2488">
      <c r="A2488" s="8"/>
      <c r="B2488" s="8"/>
      <c r="C2488" s="8"/>
      <c r="D2488" s="8"/>
      <c r="E2488" s="8"/>
      <c r="F2488" s="8"/>
    </row>
    <row r="2489">
      <c r="A2489" s="8"/>
      <c r="B2489" s="8"/>
      <c r="C2489" s="8"/>
      <c r="D2489" s="8"/>
      <c r="E2489" s="8"/>
      <c r="F2489" s="8"/>
    </row>
    <row r="2490">
      <c r="A2490" s="8"/>
      <c r="B2490" s="8"/>
      <c r="C2490" s="8"/>
      <c r="D2490" s="8"/>
      <c r="E2490" s="8"/>
      <c r="F2490" s="8"/>
    </row>
    <row r="2491">
      <c r="A2491" s="8"/>
      <c r="B2491" s="8"/>
      <c r="C2491" s="8"/>
      <c r="D2491" s="8"/>
      <c r="E2491" s="8"/>
      <c r="F2491" s="8"/>
    </row>
    <row r="2492">
      <c r="A2492" s="8"/>
      <c r="B2492" s="8"/>
      <c r="C2492" s="8"/>
      <c r="D2492" s="8"/>
      <c r="E2492" s="8"/>
      <c r="F2492" s="8"/>
    </row>
    <row r="2493">
      <c r="A2493" s="8"/>
      <c r="B2493" s="8"/>
      <c r="C2493" s="8"/>
      <c r="D2493" s="8"/>
      <c r="E2493" s="8"/>
      <c r="F2493" s="8"/>
    </row>
    <row r="2494">
      <c r="A2494" s="8"/>
      <c r="B2494" s="8"/>
      <c r="C2494" s="8"/>
      <c r="D2494" s="8"/>
      <c r="E2494" s="8"/>
      <c r="F2494" s="8"/>
    </row>
    <row r="2495">
      <c r="A2495" s="8"/>
      <c r="B2495" s="8"/>
      <c r="C2495" s="8"/>
      <c r="D2495" s="8"/>
      <c r="E2495" s="8"/>
      <c r="F2495" s="8"/>
    </row>
    <row r="2496">
      <c r="A2496" s="8"/>
      <c r="B2496" s="8"/>
      <c r="C2496" s="8"/>
      <c r="D2496" s="8"/>
      <c r="E2496" s="8"/>
      <c r="F2496" s="8"/>
    </row>
    <row r="2497">
      <c r="A2497" s="8"/>
      <c r="B2497" s="8"/>
      <c r="C2497" s="8"/>
      <c r="D2497" s="8"/>
      <c r="E2497" s="8"/>
      <c r="F2497" s="8"/>
    </row>
    <row r="2498">
      <c r="A2498" s="8"/>
      <c r="B2498" s="8"/>
      <c r="C2498" s="8"/>
      <c r="D2498" s="8"/>
      <c r="E2498" s="8"/>
      <c r="F2498" s="8"/>
    </row>
    <row r="2499">
      <c r="A2499" s="8"/>
      <c r="B2499" s="8"/>
      <c r="C2499" s="8"/>
      <c r="D2499" s="8"/>
      <c r="E2499" s="8"/>
      <c r="F2499" s="8"/>
    </row>
    <row r="2500">
      <c r="A2500" s="8"/>
      <c r="B2500" s="8"/>
      <c r="C2500" s="8"/>
      <c r="D2500" s="8"/>
      <c r="E2500" s="8"/>
      <c r="F2500" s="8"/>
    </row>
    <row r="2501">
      <c r="A2501" s="8"/>
      <c r="B2501" s="8"/>
      <c r="C2501" s="8"/>
      <c r="D2501" s="8"/>
      <c r="E2501" s="8"/>
      <c r="F2501" s="8"/>
    </row>
    <row r="2502">
      <c r="A2502" s="8"/>
      <c r="B2502" s="8"/>
      <c r="C2502" s="8"/>
      <c r="D2502" s="8"/>
      <c r="E2502" s="8"/>
      <c r="F2502" s="8"/>
    </row>
    <row r="2503">
      <c r="A2503" s="8"/>
      <c r="B2503" s="8"/>
      <c r="C2503" s="8"/>
      <c r="D2503" s="8"/>
      <c r="E2503" s="8"/>
      <c r="F2503" s="8"/>
    </row>
    <row r="2504">
      <c r="A2504" s="8"/>
      <c r="B2504" s="8"/>
      <c r="C2504" s="8"/>
      <c r="D2504" s="8"/>
      <c r="E2504" s="8"/>
      <c r="F2504" s="8"/>
    </row>
    <row r="2505">
      <c r="A2505" s="8"/>
      <c r="B2505" s="8"/>
      <c r="C2505" s="8"/>
      <c r="D2505" s="8"/>
      <c r="E2505" s="8"/>
      <c r="F2505" s="8"/>
    </row>
    <row r="2506">
      <c r="A2506" s="8"/>
      <c r="B2506" s="8"/>
      <c r="C2506" s="8"/>
      <c r="D2506" s="8"/>
      <c r="E2506" s="8"/>
      <c r="F2506" s="8"/>
    </row>
    <row r="2507">
      <c r="A2507" s="8"/>
      <c r="B2507" s="8"/>
      <c r="C2507" s="8"/>
      <c r="D2507" s="8"/>
      <c r="E2507" s="8"/>
      <c r="F2507" s="8"/>
    </row>
    <row r="2508">
      <c r="A2508" s="8"/>
      <c r="B2508" s="8"/>
      <c r="C2508" s="8"/>
      <c r="D2508" s="8"/>
      <c r="E2508" s="8"/>
      <c r="F2508" s="8"/>
    </row>
    <row r="2509">
      <c r="A2509" s="8"/>
      <c r="B2509" s="8"/>
      <c r="C2509" s="8"/>
      <c r="D2509" s="8"/>
      <c r="E2509" s="8"/>
      <c r="F2509" s="8"/>
    </row>
    <row r="2510">
      <c r="A2510" s="8"/>
      <c r="B2510" s="8"/>
      <c r="C2510" s="8"/>
      <c r="D2510" s="8"/>
      <c r="E2510" s="8"/>
      <c r="F2510" s="8"/>
    </row>
    <row r="2511">
      <c r="A2511" s="8"/>
      <c r="B2511" s="8"/>
      <c r="C2511" s="8"/>
      <c r="D2511" s="8"/>
      <c r="E2511" s="8"/>
      <c r="F2511" s="8"/>
    </row>
    <row r="2512">
      <c r="A2512" s="8"/>
      <c r="B2512" s="8"/>
      <c r="C2512" s="8"/>
      <c r="D2512" s="8"/>
      <c r="E2512" s="8"/>
      <c r="F2512" s="8"/>
    </row>
    <row r="2513">
      <c r="A2513" s="8"/>
      <c r="B2513" s="8"/>
      <c r="C2513" s="8"/>
      <c r="D2513" s="8"/>
      <c r="E2513" s="8"/>
      <c r="F2513" s="8"/>
    </row>
    <row r="2514">
      <c r="A2514" s="8"/>
      <c r="B2514" s="8"/>
      <c r="C2514" s="8"/>
      <c r="D2514" s="8"/>
      <c r="E2514" s="8"/>
      <c r="F2514" s="8"/>
    </row>
    <row r="2515">
      <c r="A2515" s="8"/>
      <c r="B2515" s="8"/>
      <c r="C2515" s="8"/>
      <c r="D2515" s="8"/>
      <c r="E2515" s="8"/>
      <c r="F2515" s="8"/>
    </row>
    <row r="2516">
      <c r="A2516" s="8"/>
      <c r="B2516" s="8"/>
      <c r="C2516" s="8"/>
      <c r="D2516" s="8"/>
      <c r="E2516" s="8"/>
      <c r="F2516" s="8"/>
    </row>
    <row r="2517">
      <c r="A2517" s="8"/>
      <c r="B2517" s="8"/>
      <c r="C2517" s="8"/>
      <c r="D2517" s="8"/>
      <c r="E2517" s="8"/>
      <c r="F2517" s="8"/>
    </row>
    <row r="2518">
      <c r="A2518" s="8"/>
      <c r="B2518" s="8"/>
      <c r="C2518" s="8"/>
      <c r="D2518" s="8"/>
      <c r="E2518" s="8"/>
      <c r="F2518" s="8"/>
    </row>
    <row r="2519">
      <c r="A2519" s="8"/>
      <c r="B2519" s="8"/>
      <c r="C2519" s="8"/>
      <c r="D2519" s="8"/>
      <c r="E2519" s="8"/>
      <c r="F2519" s="8"/>
    </row>
    <row r="2520">
      <c r="A2520" s="8"/>
      <c r="B2520" s="8"/>
      <c r="C2520" s="8"/>
      <c r="D2520" s="8"/>
      <c r="E2520" s="8"/>
      <c r="F2520" s="8"/>
    </row>
    <row r="2521">
      <c r="A2521" s="8"/>
      <c r="B2521" s="8"/>
      <c r="C2521" s="8"/>
      <c r="D2521" s="8"/>
      <c r="E2521" s="8"/>
      <c r="F2521" s="8"/>
    </row>
    <row r="2522">
      <c r="A2522" s="8"/>
      <c r="B2522" s="8"/>
      <c r="C2522" s="8"/>
      <c r="D2522" s="8"/>
      <c r="E2522" s="8"/>
      <c r="F2522" s="8"/>
    </row>
    <row r="2523">
      <c r="A2523" s="8"/>
      <c r="B2523" s="8"/>
      <c r="C2523" s="8"/>
      <c r="D2523" s="8"/>
      <c r="E2523" s="8"/>
      <c r="F2523" s="8"/>
    </row>
    <row r="2524">
      <c r="A2524" s="8"/>
      <c r="B2524" s="8"/>
      <c r="C2524" s="8"/>
      <c r="D2524" s="8"/>
      <c r="E2524" s="8"/>
      <c r="F2524" s="8"/>
    </row>
    <row r="2525">
      <c r="A2525" s="8"/>
      <c r="B2525" s="8"/>
      <c r="C2525" s="8"/>
      <c r="D2525" s="8"/>
      <c r="E2525" s="8"/>
      <c r="F2525" s="8"/>
    </row>
    <row r="2526">
      <c r="A2526" s="8"/>
      <c r="B2526" s="8"/>
      <c r="C2526" s="8"/>
      <c r="D2526" s="8"/>
      <c r="E2526" s="8"/>
      <c r="F2526" s="8"/>
    </row>
    <row r="2527">
      <c r="A2527" s="8"/>
      <c r="B2527" s="8"/>
      <c r="C2527" s="8"/>
      <c r="D2527" s="8"/>
      <c r="E2527" s="8"/>
      <c r="F2527" s="8"/>
    </row>
    <row r="2528">
      <c r="A2528" s="8"/>
      <c r="B2528" s="8"/>
      <c r="C2528" s="8"/>
      <c r="D2528" s="8"/>
      <c r="E2528" s="8"/>
      <c r="F2528" s="8"/>
    </row>
    <row r="2529">
      <c r="A2529" s="8"/>
      <c r="B2529" s="8"/>
      <c r="C2529" s="8"/>
      <c r="D2529" s="8"/>
      <c r="E2529" s="8"/>
      <c r="F2529" s="8"/>
    </row>
    <row r="2530">
      <c r="A2530" s="8"/>
      <c r="B2530" s="8"/>
      <c r="C2530" s="8"/>
      <c r="D2530" s="8"/>
      <c r="E2530" s="8"/>
      <c r="F2530" s="8"/>
    </row>
    <row r="2531">
      <c r="A2531" s="8"/>
      <c r="B2531" s="8"/>
      <c r="C2531" s="8"/>
      <c r="D2531" s="8"/>
      <c r="E2531" s="8"/>
      <c r="F2531" s="8"/>
    </row>
    <row r="2532">
      <c r="A2532" s="8"/>
      <c r="B2532" s="8"/>
      <c r="C2532" s="8"/>
      <c r="D2532" s="8"/>
      <c r="E2532" s="8"/>
      <c r="F2532" s="8"/>
    </row>
    <row r="2533">
      <c r="A2533" s="8"/>
      <c r="B2533" s="8"/>
      <c r="C2533" s="8"/>
      <c r="D2533" s="8"/>
      <c r="E2533" s="8"/>
      <c r="F2533" s="8"/>
    </row>
    <row r="2534">
      <c r="A2534" s="8"/>
      <c r="B2534" s="8"/>
      <c r="C2534" s="8"/>
      <c r="D2534" s="8"/>
      <c r="E2534" s="8"/>
      <c r="F2534" s="8"/>
    </row>
    <row r="2535">
      <c r="A2535" s="8"/>
      <c r="B2535" s="8"/>
      <c r="C2535" s="8"/>
      <c r="D2535" s="8"/>
      <c r="E2535" s="8"/>
      <c r="F2535" s="8"/>
    </row>
    <row r="2536">
      <c r="A2536" s="8"/>
      <c r="B2536" s="8"/>
      <c r="C2536" s="8"/>
      <c r="D2536" s="8"/>
      <c r="E2536" s="8"/>
      <c r="F2536" s="8"/>
    </row>
    <row r="2537">
      <c r="A2537" s="8"/>
      <c r="B2537" s="8"/>
      <c r="C2537" s="8"/>
      <c r="D2537" s="8"/>
      <c r="E2537" s="8"/>
      <c r="F2537" s="8"/>
    </row>
    <row r="2538">
      <c r="A2538" s="8"/>
      <c r="B2538" s="8"/>
      <c r="C2538" s="8"/>
      <c r="D2538" s="8"/>
      <c r="E2538" s="8"/>
      <c r="F2538" s="8"/>
    </row>
    <row r="2539">
      <c r="A2539" s="8"/>
      <c r="B2539" s="8"/>
      <c r="C2539" s="8"/>
      <c r="D2539" s="8"/>
      <c r="E2539" s="8"/>
      <c r="F2539" s="8"/>
    </row>
    <row r="2540">
      <c r="A2540" s="8"/>
      <c r="B2540" s="8"/>
      <c r="C2540" s="8"/>
      <c r="D2540" s="8"/>
      <c r="E2540" s="8"/>
      <c r="F2540" s="8"/>
    </row>
    <row r="2541">
      <c r="A2541" s="8"/>
      <c r="B2541" s="8"/>
      <c r="C2541" s="8"/>
      <c r="D2541" s="8"/>
      <c r="E2541" s="8"/>
      <c r="F2541" s="8"/>
    </row>
    <row r="2542">
      <c r="A2542" s="8"/>
      <c r="B2542" s="8"/>
      <c r="C2542" s="8"/>
      <c r="D2542" s="8"/>
      <c r="E2542" s="8"/>
      <c r="F2542" s="8"/>
    </row>
    <row r="2543">
      <c r="A2543" s="8"/>
      <c r="B2543" s="8"/>
      <c r="C2543" s="8"/>
      <c r="D2543" s="8"/>
      <c r="E2543" s="8"/>
      <c r="F2543" s="8"/>
    </row>
    <row r="2544">
      <c r="A2544" s="8"/>
      <c r="B2544" s="8"/>
      <c r="C2544" s="8"/>
      <c r="D2544" s="8"/>
      <c r="E2544" s="8"/>
      <c r="F2544" s="8"/>
    </row>
    <row r="2545">
      <c r="A2545" s="8"/>
      <c r="B2545" s="8"/>
      <c r="C2545" s="8"/>
      <c r="D2545" s="8"/>
      <c r="E2545" s="8"/>
      <c r="F2545" s="8"/>
    </row>
    <row r="2546">
      <c r="A2546" s="8"/>
      <c r="B2546" s="8"/>
      <c r="C2546" s="8"/>
      <c r="D2546" s="8"/>
      <c r="E2546" s="8"/>
      <c r="F2546" s="8"/>
    </row>
    <row r="2547">
      <c r="A2547" s="8"/>
      <c r="B2547" s="8"/>
      <c r="C2547" s="8"/>
      <c r="D2547" s="8"/>
      <c r="E2547" s="8"/>
      <c r="F2547" s="8"/>
    </row>
    <row r="2548">
      <c r="A2548" s="8"/>
      <c r="B2548" s="8"/>
      <c r="C2548" s="8"/>
      <c r="D2548" s="8"/>
      <c r="E2548" s="8"/>
      <c r="F2548" s="8"/>
    </row>
    <row r="2549">
      <c r="A2549" s="8"/>
      <c r="B2549" s="8"/>
      <c r="C2549" s="8"/>
      <c r="D2549" s="8"/>
      <c r="E2549" s="8"/>
      <c r="F2549" s="8"/>
    </row>
    <row r="2550">
      <c r="A2550" s="8"/>
      <c r="B2550" s="8"/>
      <c r="C2550" s="8"/>
      <c r="D2550" s="8"/>
      <c r="E2550" s="8"/>
      <c r="F2550" s="8"/>
    </row>
    <row r="2551">
      <c r="A2551" s="8"/>
      <c r="B2551" s="8"/>
      <c r="C2551" s="8"/>
      <c r="D2551" s="8"/>
      <c r="E2551" s="8"/>
      <c r="F2551" s="8"/>
    </row>
    <row r="2552">
      <c r="A2552" s="8"/>
      <c r="B2552" s="8"/>
      <c r="C2552" s="8"/>
      <c r="D2552" s="8"/>
      <c r="E2552" s="8"/>
      <c r="F2552" s="8"/>
    </row>
    <row r="2553">
      <c r="A2553" s="8"/>
      <c r="B2553" s="8"/>
      <c r="C2553" s="8"/>
      <c r="D2553" s="8"/>
      <c r="E2553" s="8"/>
      <c r="F2553" s="8"/>
    </row>
    <row r="2554">
      <c r="A2554" s="8"/>
      <c r="B2554" s="8"/>
      <c r="C2554" s="8"/>
      <c r="D2554" s="8"/>
      <c r="E2554" s="8"/>
      <c r="F2554" s="8"/>
    </row>
    <row r="2555">
      <c r="A2555" s="8"/>
      <c r="B2555" s="8"/>
      <c r="C2555" s="8"/>
      <c r="D2555" s="8"/>
      <c r="E2555" s="8"/>
      <c r="F2555" s="8"/>
    </row>
    <row r="2556">
      <c r="A2556" s="8"/>
      <c r="B2556" s="8"/>
      <c r="C2556" s="8"/>
      <c r="D2556" s="8"/>
      <c r="E2556" s="8"/>
      <c r="F2556" s="8"/>
    </row>
    <row r="2557">
      <c r="A2557" s="8"/>
      <c r="B2557" s="8"/>
      <c r="C2557" s="8"/>
      <c r="D2557" s="8"/>
      <c r="E2557" s="8"/>
      <c r="F2557" s="8"/>
    </row>
    <row r="2558">
      <c r="A2558" s="8"/>
      <c r="B2558" s="8"/>
      <c r="C2558" s="8"/>
      <c r="D2558" s="8"/>
      <c r="E2558" s="8"/>
      <c r="F2558" s="8"/>
    </row>
    <row r="2559">
      <c r="A2559" s="8"/>
      <c r="B2559" s="8"/>
      <c r="C2559" s="8"/>
      <c r="D2559" s="8"/>
      <c r="E2559" s="8"/>
      <c r="F2559" s="8"/>
    </row>
    <row r="2560">
      <c r="A2560" s="8"/>
      <c r="B2560" s="8"/>
      <c r="C2560" s="8"/>
      <c r="D2560" s="8"/>
      <c r="E2560" s="8"/>
      <c r="F2560" s="8"/>
    </row>
    <row r="2561">
      <c r="A2561" s="8"/>
      <c r="B2561" s="8"/>
      <c r="C2561" s="8"/>
      <c r="D2561" s="8"/>
      <c r="E2561" s="8"/>
      <c r="F2561" s="8"/>
    </row>
    <row r="2562">
      <c r="A2562" s="8"/>
      <c r="B2562" s="8"/>
      <c r="C2562" s="8"/>
      <c r="D2562" s="8"/>
      <c r="E2562" s="8"/>
      <c r="F2562" s="8"/>
    </row>
    <row r="2563">
      <c r="A2563" s="8"/>
      <c r="B2563" s="8"/>
      <c r="C2563" s="8"/>
      <c r="D2563" s="8"/>
      <c r="E2563" s="8"/>
      <c r="F2563" s="8"/>
    </row>
    <row r="2564">
      <c r="A2564" s="8"/>
      <c r="B2564" s="8"/>
      <c r="C2564" s="8"/>
      <c r="D2564" s="8"/>
      <c r="E2564" s="8"/>
      <c r="F2564" s="8"/>
    </row>
    <row r="2565">
      <c r="A2565" s="8"/>
      <c r="B2565" s="8"/>
      <c r="C2565" s="8"/>
      <c r="D2565" s="8"/>
      <c r="E2565" s="8"/>
      <c r="F2565" s="8"/>
    </row>
    <row r="2566">
      <c r="A2566" s="8"/>
      <c r="B2566" s="8"/>
      <c r="C2566" s="8"/>
      <c r="D2566" s="8"/>
      <c r="E2566" s="8"/>
      <c r="F2566" s="8"/>
    </row>
    <row r="2567">
      <c r="A2567" s="8"/>
      <c r="B2567" s="8"/>
      <c r="C2567" s="8"/>
      <c r="D2567" s="8"/>
      <c r="E2567" s="8"/>
      <c r="F2567" s="8"/>
    </row>
    <row r="2568">
      <c r="A2568" s="8"/>
      <c r="B2568" s="8"/>
      <c r="C2568" s="8"/>
      <c r="D2568" s="8"/>
      <c r="E2568" s="8"/>
      <c r="F2568" s="8"/>
    </row>
    <row r="2569">
      <c r="A2569" s="8"/>
      <c r="B2569" s="8"/>
      <c r="C2569" s="8"/>
      <c r="D2569" s="8"/>
      <c r="E2569" s="8"/>
      <c r="F2569" s="8"/>
    </row>
    <row r="2570">
      <c r="A2570" s="8"/>
      <c r="B2570" s="8"/>
      <c r="C2570" s="8"/>
      <c r="D2570" s="8"/>
      <c r="E2570" s="8"/>
      <c r="F2570" s="8"/>
    </row>
    <row r="2571">
      <c r="A2571" s="8"/>
      <c r="B2571" s="8"/>
      <c r="C2571" s="8"/>
      <c r="D2571" s="8"/>
      <c r="E2571" s="8"/>
      <c r="F2571" s="8"/>
    </row>
    <row r="2572">
      <c r="A2572" s="8"/>
      <c r="B2572" s="8"/>
      <c r="C2572" s="8"/>
      <c r="D2572" s="8"/>
      <c r="E2572" s="8"/>
      <c r="F2572" s="8"/>
    </row>
    <row r="2573">
      <c r="A2573" s="8"/>
      <c r="B2573" s="8"/>
      <c r="C2573" s="8"/>
      <c r="D2573" s="8"/>
      <c r="E2573" s="8"/>
      <c r="F2573" s="8"/>
    </row>
    <row r="2574">
      <c r="A2574" s="8"/>
      <c r="B2574" s="8"/>
      <c r="C2574" s="8"/>
      <c r="D2574" s="8"/>
      <c r="E2574" s="8"/>
      <c r="F2574" s="8"/>
    </row>
    <row r="2575">
      <c r="A2575" s="8"/>
      <c r="B2575" s="8"/>
      <c r="C2575" s="8"/>
      <c r="D2575" s="8"/>
      <c r="E2575" s="8"/>
      <c r="F2575" s="8"/>
    </row>
    <row r="2576">
      <c r="A2576" s="8"/>
      <c r="B2576" s="8"/>
      <c r="C2576" s="8"/>
      <c r="D2576" s="8"/>
      <c r="E2576" s="8"/>
      <c r="F2576" s="8"/>
    </row>
    <row r="2577">
      <c r="A2577" s="8"/>
      <c r="B2577" s="8"/>
      <c r="C2577" s="8"/>
      <c r="D2577" s="8"/>
      <c r="E2577" s="8"/>
      <c r="F2577" s="8"/>
    </row>
    <row r="2578">
      <c r="A2578" s="8"/>
      <c r="B2578" s="8"/>
      <c r="C2578" s="8"/>
      <c r="D2578" s="8"/>
      <c r="E2578" s="8"/>
      <c r="F2578" s="8"/>
    </row>
    <row r="2579">
      <c r="A2579" s="8"/>
      <c r="B2579" s="8"/>
      <c r="C2579" s="8"/>
      <c r="D2579" s="8"/>
      <c r="E2579" s="8"/>
      <c r="F2579" s="8"/>
    </row>
    <row r="2580">
      <c r="A2580" s="8"/>
      <c r="B2580" s="8"/>
      <c r="C2580" s="8"/>
      <c r="D2580" s="8"/>
      <c r="E2580" s="8"/>
      <c r="F2580" s="8"/>
    </row>
    <row r="2581">
      <c r="A2581" s="8"/>
      <c r="B2581" s="8"/>
      <c r="C2581" s="8"/>
      <c r="D2581" s="8"/>
      <c r="E2581" s="8"/>
      <c r="F2581" s="8"/>
    </row>
    <row r="2582">
      <c r="A2582" s="8"/>
      <c r="B2582" s="8"/>
      <c r="C2582" s="8"/>
      <c r="D2582" s="8"/>
      <c r="E2582" s="8"/>
      <c r="F2582" s="8"/>
    </row>
    <row r="2583">
      <c r="A2583" s="8"/>
      <c r="B2583" s="8"/>
      <c r="C2583" s="8"/>
      <c r="D2583" s="8"/>
      <c r="E2583" s="8"/>
      <c r="F2583" s="8"/>
    </row>
    <row r="2584">
      <c r="A2584" s="8"/>
      <c r="B2584" s="8"/>
      <c r="C2584" s="8"/>
      <c r="D2584" s="8"/>
      <c r="E2584" s="8"/>
      <c r="F2584" s="8"/>
    </row>
    <row r="2585">
      <c r="A2585" s="8"/>
      <c r="B2585" s="8"/>
      <c r="C2585" s="8"/>
      <c r="D2585" s="8"/>
      <c r="E2585" s="8"/>
      <c r="F2585" s="8"/>
    </row>
    <row r="2586">
      <c r="A2586" s="8"/>
      <c r="B2586" s="8"/>
      <c r="C2586" s="8"/>
      <c r="D2586" s="8"/>
      <c r="E2586" s="8"/>
      <c r="F2586" s="8"/>
    </row>
    <row r="2587">
      <c r="A2587" s="8"/>
      <c r="B2587" s="8"/>
      <c r="C2587" s="8"/>
      <c r="D2587" s="8"/>
      <c r="E2587" s="8"/>
      <c r="F2587" s="8"/>
    </row>
    <row r="2588">
      <c r="A2588" s="8"/>
      <c r="B2588" s="8"/>
      <c r="C2588" s="8"/>
      <c r="D2588" s="8"/>
      <c r="E2588" s="8"/>
      <c r="F2588" s="8"/>
    </row>
    <row r="2589">
      <c r="A2589" s="8"/>
      <c r="B2589" s="8"/>
      <c r="C2589" s="8"/>
      <c r="D2589" s="8"/>
      <c r="E2589" s="8"/>
      <c r="F2589" s="8"/>
    </row>
    <row r="2590">
      <c r="A2590" s="8"/>
      <c r="B2590" s="8"/>
      <c r="C2590" s="8"/>
      <c r="D2590" s="8"/>
      <c r="E2590" s="8"/>
      <c r="F2590" s="8"/>
    </row>
    <row r="2591">
      <c r="A2591" s="8"/>
      <c r="B2591" s="8"/>
      <c r="C2591" s="8"/>
      <c r="D2591" s="8"/>
      <c r="E2591" s="8"/>
      <c r="F2591" s="8"/>
    </row>
    <row r="2592">
      <c r="A2592" s="8"/>
      <c r="B2592" s="8"/>
      <c r="C2592" s="8"/>
      <c r="D2592" s="8"/>
      <c r="E2592" s="8"/>
      <c r="F2592" s="8"/>
    </row>
    <row r="2593">
      <c r="A2593" s="8"/>
      <c r="B2593" s="8"/>
      <c r="C2593" s="8"/>
      <c r="D2593" s="8"/>
      <c r="E2593" s="8"/>
      <c r="F2593" s="8"/>
    </row>
    <row r="2594">
      <c r="A2594" s="8"/>
      <c r="B2594" s="8"/>
      <c r="C2594" s="8"/>
      <c r="D2594" s="8"/>
      <c r="E2594" s="8"/>
      <c r="F2594" s="8"/>
    </row>
    <row r="2595">
      <c r="A2595" s="8"/>
      <c r="B2595" s="8"/>
      <c r="C2595" s="8"/>
      <c r="D2595" s="8"/>
      <c r="E2595" s="8"/>
      <c r="F2595" s="8"/>
    </row>
    <row r="2596">
      <c r="A2596" s="8"/>
      <c r="B2596" s="8"/>
      <c r="C2596" s="8"/>
      <c r="D2596" s="8"/>
      <c r="E2596" s="8"/>
      <c r="F2596" s="8"/>
    </row>
    <row r="2597">
      <c r="A2597" s="8"/>
      <c r="B2597" s="8"/>
      <c r="C2597" s="8"/>
      <c r="D2597" s="8"/>
      <c r="E2597" s="8"/>
      <c r="F2597" s="8"/>
    </row>
    <row r="2598">
      <c r="A2598" s="8"/>
      <c r="B2598" s="8"/>
      <c r="C2598" s="8"/>
      <c r="D2598" s="8"/>
      <c r="E2598" s="8"/>
      <c r="F2598" s="8"/>
    </row>
    <row r="2599">
      <c r="A2599" s="8"/>
      <c r="B2599" s="8"/>
      <c r="C2599" s="8"/>
      <c r="D2599" s="8"/>
      <c r="E2599" s="8"/>
      <c r="F2599" s="8"/>
    </row>
    <row r="2600">
      <c r="A2600" s="8"/>
      <c r="B2600" s="8"/>
      <c r="C2600" s="8"/>
      <c r="D2600" s="8"/>
      <c r="E2600" s="8"/>
      <c r="F2600" s="8"/>
    </row>
    <row r="2601">
      <c r="A2601" s="8"/>
      <c r="B2601" s="8"/>
      <c r="C2601" s="8"/>
      <c r="D2601" s="8"/>
      <c r="E2601" s="8"/>
      <c r="F2601" s="8"/>
    </row>
    <row r="2602">
      <c r="A2602" s="8"/>
      <c r="B2602" s="8"/>
      <c r="C2602" s="8"/>
      <c r="D2602" s="8"/>
      <c r="E2602" s="8"/>
      <c r="F2602" s="8"/>
    </row>
    <row r="2603">
      <c r="A2603" s="8"/>
      <c r="B2603" s="8"/>
      <c r="C2603" s="8"/>
      <c r="D2603" s="8"/>
      <c r="E2603" s="8"/>
      <c r="F2603" s="8"/>
    </row>
    <row r="2604">
      <c r="A2604" s="8"/>
      <c r="B2604" s="8"/>
      <c r="C2604" s="8"/>
      <c r="D2604" s="8"/>
      <c r="E2604" s="8"/>
      <c r="F2604" s="8"/>
    </row>
    <row r="2605">
      <c r="A2605" s="8"/>
      <c r="B2605" s="8"/>
      <c r="C2605" s="8"/>
      <c r="D2605" s="8"/>
      <c r="E2605" s="8"/>
      <c r="F2605" s="8"/>
    </row>
    <row r="2606">
      <c r="A2606" s="8"/>
      <c r="B2606" s="8"/>
      <c r="C2606" s="8"/>
      <c r="D2606" s="8"/>
      <c r="E2606" s="8"/>
      <c r="F2606" s="8"/>
    </row>
    <row r="2607">
      <c r="A2607" s="8"/>
      <c r="B2607" s="8"/>
      <c r="C2607" s="8"/>
      <c r="D2607" s="8"/>
      <c r="E2607" s="8"/>
      <c r="F2607" s="8"/>
    </row>
    <row r="2608">
      <c r="A2608" s="8"/>
      <c r="B2608" s="8"/>
      <c r="C2608" s="8"/>
      <c r="D2608" s="8"/>
      <c r="E2608" s="8"/>
      <c r="F2608" s="8"/>
    </row>
    <row r="2609">
      <c r="A2609" s="8"/>
      <c r="B2609" s="8"/>
      <c r="C2609" s="8"/>
      <c r="D2609" s="8"/>
      <c r="E2609" s="8"/>
      <c r="F2609" s="8"/>
    </row>
    <row r="2610">
      <c r="A2610" s="8"/>
      <c r="B2610" s="8"/>
      <c r="C2610" s="8"/>
      <c r="D2610" s="8"/>
      <c r="E2610" s="8"/>
      <c r="F2610" s="8"/>
    </row>
    <row r="2611">
      <c r="A2611" s="8"/>
      <c r="B2611" s="8"/>
      <c r="C2611" s="8"/>
      <c r="D2611" s="8"/>
      <c r="E2611" s="8"/>
      <c r="F2611" s="8"/>
    </row>
    <row r="2612">
      <c r="A2612" s="8"/>
      <c r="B2612" s="8"/>
      <c r="C2612" s="8"/>
      <c r="D2612" s="8"/>
      <c r="E2612" s="8"/>
      <c r="F2612" s="8"/>
    </row>
    <row r="2613">
      <c r="A2613" s="8"/>
      <c r="B2613" s="8"/>
      <c r="C2613" s="8"/>
      <c r="D2613" s="8"/>
      <c r="E2613" s="8"/>
      <c r="F2613" s="8"/>
    </row>
    <row r="2614">
      <c r="A2614" s="8"/>
      <c r="B2614" s="8"/>
      <c r="C2614" s="8"/>
      <c r="D2614" s="8"/>
      <c r="E2614" s="8"/>
      <c r="F2614" s="8"/>
    </row>
    <row r="2615">
      <c r="A2615" s="8"/>
      <c r="B2615" s="8"/>
      <c r="C2615" s="8"/>
      <c r="D2615" s="8"/>
      <c r="E2615" s="8"/>
      <c r="F2615" s="8"/>
    </row>
    <row r="2616">
      <c r="A2616" s="8"/>
      <c r="B2616" s="8"/>
      <c r="C2616" s="8"/>
      <c r="D2616" s="8"/>
      <c r="E2616" s="8"/>
      <c r="F2616" s="8"/>
    </row>
    <row r="2617">
      <c r="A2617" s="8"/>
      <c r="B2617" s="8"/>
      <c r="C2617" s="8"/>
      <c r="D2617" s="8"/>
      <c r="E2617" s="8"/>
      <c r="F2617" s="8"/>
    </row>
    <row r="2618">
      <c r="A2618" s="8"/>
      <c r="B2618" s="8"/>
      <c r="C2618" s="8"/>
      <c r="D2618" s="8"/>
      <c r="E2618" s="8"/>
      <c r="F2618" s="8"/>
    </row>
    <row r="2619">
      <c r="A2619" s="8"/>
      <c r="B2619" s="8"/>
      <c r="C2619" s="8"/>
      <c r="D2619" s="8"/>
      <c r="E2619" s="8"/>
      <c r="F2619" s="8"/>
    </row>
    <row r="2620">
      <c r="A2620" s="8"/>
      <c r="B2620" s="8"/>
      <c r="C2620" s="8"/>
      <c r="D2620" s="8"/>
      <c r="E2620" s="8"/>
      <c r="F2620" s="8"/>
    </row>
    <row r="2621">
      <c r="A2621" s="8"/>
      <c r="B2621" s="8"/>
      <c r="C2621" s="8"/>
      <c r="D2621" s="8"/>
      <c r="E2621" s="8"/>
      <c r="F2621" s="8"/>
    </row>
    <row r="2622">
      <c r="A2622" s="8"/>
      <c r="B2622" s="8"/>
      <c r="C2622" s="8"/>
      <c r="D2622" s="8"/>
      <c r="E2622" s="8"/>
      <c r="F2622" s="8"/>
    </row>
    <row r="2623">
      <c r="A2623" s="8"/>
      <c r="B2623" s="8"/>
      <c r="C2623" s="8"/>
      <c r="D2623" s="8"/>
      <c r="E2623" s="8"/>
      <c r="F2623" s="8"/>
    </row>
    <row r="2624">
      <c r="A2624" s="8"/>
      <c r="B2624" s="8"/>
      <c r="C2624" s="8"/>
      <c r="D2624" s="8"/>
      <c r="E2624" s="8"/>
      <c r="F2624" s="8"/>
    </row>
    <row r="2625">
      <c r="A2625" s="8"/>
      <c r="B2625" s="8"/>
      <c r="C2625" s="8"/>
      <c r="D2625" s="8"/>
      <c r="E2625" s="8"/>
      <c r="F2625" s="8"/>
    </row>
    <row r="2626">
      <c r="A2626" s="8"/>
      <c r="B2626" s="8"/>
      <c r="C2626" s="8"/>
      <c r="D2626" s="8"/>
      <c r="E2626" s="8"/>
      <c r="F2626" s="8"/>
    </row>
    <row r="2627">
      <c r="A2627" s="8"/>
      <c r="B2627" s="8"/>
      <c r="C2627" s="8"/>
      <c r="D2627" s="8"/>
      <c r="E2627" s="8"/>
      <c r="F2627" s="8"/>
    </row>
    <row r="2628">
      <c r="A2628" s="8"/>
      <c r="B2628" s="8"/>
      <c r="C2628" s="8"/>
      <c r="D2628" s="8"/>
      <c r="E2628" s="8"/>
      <c r="F2628" s="8"/>
    </row>
    <row r="2629">
      <c r="A2629" s="8"/>
      <c r="B2629" s="8"/>
      <c r="C2629" s="8"/>
      <c r="D2629" s="8"/>
      <c r="E2629" s="8"/>
      <c r="F2629" s="8"/>
    </row>
    <row r="2630">
      <c r="A2630" s="8"/>
      <c r="B2630" s="8"/>
      <c r="C2630" s="8"/>
      <c r="D2630" s="8"/>
      <c r="E2630" s="8"/>
      <c r="F2630" s="8"/>
    </row>
    <row r="2631">
      <c r="A2631" s="8"/>
      <c r="B2631" s="8"/>
      <c r="C2631" s="8"/>
      <c r="D2631" s="8"/>
      <c r="E2631" s="8"/>
      <c r="F2631" s="8"/>
    </row>
    <row r="2632">
      <c r="A2632" s="8"/>
      <c r="B2632" s="8"/>
      <c r="C2632" s="8"/>
      <c r="D2632" s="8"/>
      <c r="E2632" s="8"/>
      <c r="F2632" s="8"/>
    </row>
    <row r="2633">
      <c r="A2633" s="8"/>
      <c r="B2633" s="8"/>
      <c r="C2633" s="8"/>
      <c r="D2633" s="8"/>
      <c r="E2633" s="8"/>
      <c r="F2633" s="8"/>
    </row>
    <row r="2634">
      <c r="A2634" s="8"/>
      <c r="B2634" s="8"/>
      <c r="C2634" s="8"/>
      <c r="D2634" s="8"/>
      <c r="E2634" s="8"/>
      <c r="F2634" s="8"/>
    </row>
    <row r="2635">
      <c r="A2635" s="8"/>
      <c r="B2635" s="8"/>
      <c r="C2635" s="8"/>
      <c r="D2635" s="8"/>
      <c r="E2635" s="8"/>
      <c r="F2635" s="8"/>
    </row>
    <row r="2636">
      <c r="A2636" s="8"/>
      <c r="B2636" s="8"/>
      <c r="C2636" s="8"/>
      <c r="D2636" s="8"/>
      <c r="E2636" s="8"/>
      <c r="F2636" s="8"/>
    </row>
    <row r="2637">
      <c r="A2637" s="8"/>
      <c r="B2637" s="8"/>
      <c r="C2637" s="8"/>
      <c r="D2637" s="8"/>
      <c r="E2637" s="8"/>
      <c r="F2637" s="8"/>
    </row>
    <row r="2638">
      <c r="A2638" s="8"/>
      <c r="B2638" s="8"/>
      <c r="C2638" s="8"/>
      <c r="D2638" s="8"/>
      <c r="E2638" s="8"/>
      <c r="F2638" s="8"/>
    </row>
    <row r="2639">
      <c r="A2639" s="8"/>
      <c r="B2639" s="8"/>
      <c r="C2639" s="8"/>
      <c r="D2639" s="8"/>
      <c r="E2639" s="8"/>
      <c r="F2639" s="8"/>
    </row>
    <row r="2640">
      <c r="A2640" s="8"/>
      <c r="B2640" s="8"/>
      <c r="C2640" s="8"/>
      <c r="D2640" s="8"/>
      <c r="E2640" s="8"/>
      <c r="F2640" s="8"/>
    </row>
    <row r="2641">
      <c r="A2641" s="8"/>
      <c r="B2641" s="8"/>
      <c r="C2641" s="8"/>
      <c r="D2641" s="8"/>
      <c r="E2641" s="8"/>
      <c r="F2641" s="8"/>
    </row>
    <row r="2642">
      <c r="A2642" s="8"/>
      <c r="B2642" s="8"/>
      <c r="C2642" s="8"/>
      <c r="D2642" s="8"/>
      <c r="E2642" s="8"/>
      <c r="F2642" s="8"/>
    </row>
    <row r="2643">
      <c r="A2643" s="8"/>
      <c r="B2643" s="8"/>
      <c r="C2643" s="8"/>
      <c r="D2643" s="8"/>
      <c r="E2643" s="8"/>
      <c r="F2643" s="8"/>
    </row>
    <row r="2644">
      <c r="A2644" s="8"/>
      <c r="B2644" s="8"/>
      <c r="C2644" s="8"/>
      <c r="D2644" s="8"/>
      <c r="E2644" s="8"/>
      <c r="F2644" s="8"/>
    </row>
    <row r="2645">
      <c r="A2645" s="8"/>
      <c r="B2645" s="8"/>
      <c r="C2645" s="8"/>
      <c r="D2645" s="8"/>
      <c r="E2645" s="8"/>
      <c r="F2645" s="8"/>
    </row>
    <row r="2646">
      <c r="A2646" s="8"/>
      <c r="B2646" s="8"/>
      <c r="C2646" s="8"/>
      <c r="D2646" s="8"/>
      <c r="E2646" s="8"/>
      <c r="F2646" s="8"/>
    </row>
    <row r="2647">
      <c r="A2647" s="8"/>
      <c r="B2647" s="8"/>
      <c r="C2647" s="8"/>
      <c r="D2647" s="8"/>
      <c r="E2647" s="8"/>
      <c r="F2647" s="8"/>
    </row>
    <row r="2648">
      <c r="A2648" s="8"/>
      <c r="B2648" s="8"/>
      <c r="C2648" s="8"/>
      <c r="D2648" s="8"/>
      <c r="E2648" s="8"/>
      <c r="F2648" s="8"/>
    </row>
    <row r="2649">
      <c r="A2649" s="8"/>
      <c r="B2649" s="8"/>
      <c r="C2649" s="8"/>
      <c r="D2649" s="8"/>
      <c r="E2649" s="8"/>
      <c r="F2649" s="8"/>
    </row>
    <row r="2650">
      <c r="A2650" s="8"/>
      <c r="B2650" s="8"/>
      <c r="C2650" s="8"/>
      <c r="D2650" s="8"/>
      <c r="E2650" s="8"/>
      <c r="F2650" s="8"/>
    </row>
    <row r="2651">
      <c r="A2651" s="8"/>
      <c r="B2651" s="8"/>
      <c r="C2651" s="8"/>
      <c r="D2651" s="8"/>
      <c r="E2651" s="8"/>
      <c r="F2651" s="8"/>
    </row>
    <row r="2652">
      <c r="A2652" s="8"/>
      <c r="B2652" s="8"/>
      <c r="C2652" s="8"/>
      <c r="D2652" s="8"/>
      <c r="E2652" s="8"/>
      <c r="F2652" s="8"/>
    </row>
    <row r="2653">
      <c r="A2653" s="8"/>
      <c r="B2653" s="8"/>
      <c r="C2653" s="8"/>
      <c r="D2653" s="8"/>
      <c r="E2653" s="8"/>
      <c r="F2653" s="8"/>
    </row>
    <row r="2654">
      <c r="A2654" s="8"/>
      <c r="B2654" s="8"/>
      <c r="C2654" s="8"/>
      <c r="D2654" s="8"/>
      <c r="E2654" s="8"/>
      <c r="F2654" s="8"/>
    </row>
    <row r="2655">
      <c r="A2655" s="8"/>
      <c r="B2655" s="8"/>
      <c r="C2655" s="8"/>
      <c r="D2655" s="8"/>
      <c r="E2655" s="8"/>
      <c r="F2655" s="8"/>
    </row>
    <row r="2656">
      <c r="A2656" s="8"/>
      <c r="B2656" s="8"/>
      <c r="C2656" s="8"/>
      <c r="D2656" s="8"/>
      <c r="E2656" s="8"/>
      <c r="F2656" s="8"/>
    </row>
    <row r="2657">
      <c r="A2657" s="8"/>
      <c r="B2657" s="8"/>
      <c r="C2657" s="8"/>
      <c r="D2657" s="8"/>
      <c r="E2657" s="8"/>
      <c r="F2657" s="8"/>
    </row>
    <row r="2658">
      <c r="A2658" s="8"/>
      <c r="B2658" s="8"/>
      <c r="C2658" s="8"/>
      <c r="D2658" s="8"/>
      <c r="E2658" s="8"/>
      <c r="F2658" s="8"/>
    </row>
    <row r="2659">
      <c r="A2659" s="8"/>
      <c r="B2659" s="8"/>
      <c r="C2659" s="8"/>
      <c r="D2659" s="8"/>
      <c r="E2659" s="8"/>
      <c r="F2659" s="8"/>
    </row>
    <row r="2660">
      <c r="A2660" s="8"/>
      <c r="B2660" s="8"/>
      <c r="C2660" s="8"/>
      <c r="D2660" s="8"/>
      <c r="E2660" s="8"/>
      <c r="F2660" s="8"/>
    </row>
    <row r="2661">
      <c r="A2661" s="8"/>
      <c r="B2661" s="8"/>
      <c r="C2661" s="8"/>
      <c r="D2661" s="8"/>
      <c r="E2661" s="8"/>
      <c r="F2661" s="8"/>
    </row>
    <row r="2662">
      <c r="A2662" s="8"/>
      <c r="B2662" s="8"/>
      <c r="C2662" s="8"/>
      <c r="D2662" s="8"/>
      <c r="E2662" s="8"/>
      <c r="F2662" s="8"/>
    </row>
    <row r="2663">
      <c r="A2663" s="8"/>
      <c r="B2663" s="8"/>
      <c r="C2663" s="8"/>
      <c r="D2663" s="8"/>
      <c r="E2663" s="8"/>
      <c r="F2663" s="8"/>
    </row>
    <row r="2664">
      <c r="A2664" s="8"/>
      <c r="B2664" s="8"/>
      <c r="C2664" s="8"/>
      <c r="D2664" s="8"/>
      <c r="E2664" s="8"/>
      <c r="F2664" s="8"/>
    </row>
    <row r="2665">
      <c r="A2665" s="8"/>
      <c r="B2665" s="8"/>
      <c r="C2665" s="8"/>
      <c r="D2665" s="8"/>
      <c r="E2665" s="8"/>
      <c r="F2665" s="8"/>
    </row>
    <row r="2666">
      <c r="A2666" s="8"/>
      <c r="B2666" s="8"/>
      <c r="C2666" s="8"/>
      <c r="D2666" s="8"/>
      <c r="E2666" s="8"/>
      <c r="F2666" s="8"/>
    </row>
    <row r="2667">
      <c r="A2667" s="8"/>
      <c r="B2667" s="8"/>
      <c r="C2667" s="8"/>
      <c r="D2667" s="8"/>
      <c r="E2667" s="8"/>
      <c r="F2667" s="8"/>
    </row>
    <row r="2668">
      <c r="A2668" s="8"/>
      <c r="B2668" s="8"/>
      <c r="C2668" s="8"/>
      <c r="D2668" s="8"/>
      <c r="E2668" s="8"/>
      <c r="F2668" s="8"/>
    </row>
    <row r="2669">
      <c r="A2669" s="8"/>
      <c r="B2669" s="8"/>
      <c r="C2669" s="8"/>
      <c r="D2669" s="8"/>
      <c r="E2669" s="8"/>
      <c r="F2669" s="8"/>
    </row>
    <row r="2670">
      <c r="A2670" s="8"/>
      <c r="B2670" s="8"/>
      <c r="C2670" s="8"/>
      <c r="D2670" s="8"/>
      <c r="E2670" s="8"/>
      <c r="F2670" s="8"/>
    </row>
    <row r="2671">
      <c r="A2671" s="8"/>
      <c r="B2671" s="8"/>
      <c r="C2671" s="8"/>
      <c r="D2671" s="8"/>
      <c r="E2671" s="8"/>
      <c r="F2671" s="8"/>
    </row>
    <row r="2672">
      <c r="A2672" s="8"/>
      <c r="B2672" s="8"/>
      <c r="C2672" s="8"/>
      <c r="D2672" s="8"/>
      <c r="E2672" s="8"/>
      <c r="F2672" s="8"/>
    </row>
    <row r="2673">
      <c r="A2673" s="8"/>
      <c r="B2673" s="8"/>
      <c r="C2673" s="8"/>
      <c r="D2673" s="8"/>
      <c r="E2673" s="8"/>
      <c r="F2673" s="8"/>
    </row>
    <row r="2674">
      <c r="A2674" s="8"/>
      <c r="B2674" s="8"/>
      <c r="C2674" s="8"/>
      <c r="D2674" s="8"/>
      <c r="E2674" s="8"/>
      <c r="F2674" s="8"/>
    </row>
    <row r="2675">
      <c r="A2675" s="8"/>
      <c r="B2675" s="8"/>
      <c r="C2675" s="8"/>
      <c r="D2675" s="8"/>
      <c r="E2675" s="8"/>
      <c r="F2675" s="8"/>
    </row>
    <row r="2676">
      <c r="A2676" s="8"/>
      <c r="B2676" s="8"/>
      <c r="C2676" s="8"/>
      <c r="D2676" s="8"/>
      <c r="E2676" s="8"/>
      <c r="F2676" s="8"/>
    </row>
    <row r="2677">
      <c r="A2677" s="8"/>
      <c r="B2677" s="8"/>
      <c r="C2677" s="8"/>
      <c r="D2677" s="8"/>
      <c r="E2677" s="8"/>
      <c r="F2677" s="8"/>
    </row>
    <row r="2678">
      <c r="A2678" s="8"/>
      <c r="B2678" s="8"/>
      <c r="C2678" s="8"/>
      <c r="D2678" s="8"/>
      <c r="E2678" s="8"/>
      <c r="F2678" s="8"/>
    </row>
    <row r="2679">
      <c r="A2679" s="8"/>
      <c r="B2679" s="8"/>
      <c r="C2679" s="8"/>
      <c r="D2679" s="8"/>
      <c r="E2679" s="8"/>
      <c r="F2679" s="8"/>
    </row>
    <row r="2680">
      <c r="A2680" s="8"/>
      <c r="B2680" s="8"/>
      <c r="C2680" s="8"/>
      <c r="D2680" s="8"/>
      <c r="E2680" s="8"/>
      <c r="F2680" s="8"/>
    </row>
    <row r="2681">
      <c r="A2681" s="8"/>
      <c r="B2681" s="8"/>
      <c r="C2681" s="8"/>
      <c r="D2681" s="8"/>
      <c r="E2681" s="8"/>
      <c r="F2681" s="8"/>
    </row>
    <row r="2682">
      <c r="A2682" s="8"/>
      <c r="B2682" s="8"/>
      <c r="C2682" s="8"/>
      <c r="D2682" s="8"/>
      <c r="E2682" s="8"/>
      <c r="F2682" s="8"/>
    </row>
    <row r="2683">
      <c r="A2683" s="8"/>
      <c r="B2683" s="8"/>
      <c r="C2683" s="8"/>
      <c r="D2683" s="8"/>
      <c r="E2683" s="8"/>
      <c r="F2683" s="8"/>
    </row>
    <row r="2684">
      <c r="A2684" s="8"/>
      <c r="B2684" s="8"/>
      <c r="C2684" s="8"/>
      <c r="D2684" s="8"/>
      <c r="E2684" s="8"/>
      <c r="F2684" s="8"/>
    </row>
    <row r="2685">
      <c r="A2685" s="8"/>
      <c r="B2685" s="8"/>
      <c r="C2685" s="8"/>
      <c r="D2685" s="8"/>
      <c r="E2685" s="8"/>
      <c r="F2685" s="8"/>
    </row>
    <row r="2686">
      <c r="A2686" s="8"/>
      <c r="B2686" s="8"/>
      <c r="C2686" s="8"/>
      <c r="D2686" s="8"/>
      <c r="E2686" s="8"/>
      <c r="F2686" s="8"/>
    </row>
    <row r="2687">
      <c r="A2687" s="8"/>
      <c r="B2687" s="8"/>
      <c r="C2687" s="8"/>
      <c r="D2687" s="8"/>
      <c r="E2687" s="8"/>
      <c r="F2687" s="8"/>
    </row>
    <row r="2688">
      <c r="A2688" s="8"/>
      <c r="B2688" s="8"/>
      <c r="C2688" s="8"/>
      <c r="D2688" s="8"/>
      <c r="E2688" s="8"/>
      <c r="F2688" s="8"/>
    </row>
    <row r="2689">
      <c r="A2689" s="8"/>
      <c r="B2689" s="8"/>
      <c r="C2689" s="8"/>
      <c r="D2689" s="8"/>
      <c r="E2689" s="8"/>
      <c r="F2689" s="8"/>
    </row>
    <row r="2690">
      <c r="A2690" s="8"/>
      <c r="B2690" s="8"/>
      <c r="C2690" s="8"/>
      <c r="D2690" s="8"/>
      <c r="E2690" s="8"/>
      <c r="F2690" s="8"/>
    </row>
    <row r="2691">
      <c r="A2691" s="8"/>
      <c r="B2691" s="8"/>
      <c r="C2691" s="8"/>
      <c r="D2691" s="8"/>
      <c r="E2691" s="8"/>
      <c r="F2691" s="8"/>
    </row>
    <row r="2692">
      <c r="A2692" s="8"/>
      <c r="B2692" s="8"/>
      <c r="C2692" s="8"/>
      <c r="D2692" s="8"/>
      <c r="E2692" s="8"/>
      <c r="F2692" s="8"/>
    </row>
    <row r="2693">
      <c r="A2693" s="8"/>
      <c r="B2693" s="8"/>
      <c r="C2693" s="8"/>
      <c r="D2693" s="8"/>
      <c r="E2693" s="8"/>
      <c r="F2693" s="8"/>
    </row>
    <row r="2694">
      <c r="A2694" s="8"/>
      <c r="B2694" s="8"/>
      <c r="C2694" s="8"/>
      <c r="D2694" s="8"/>
      <c r="E2694" s="8"/>
      <c r="F2694" s="8"/>
    </row>
    <row r="2695">
      <c r="A2695" s="8"/>
      <c r="B2695" s="8"/>
      <c r="C2695" s="8"/>
      <c r="D2695" s="8"/>
      <c r="E2695" s="8"/>
      <c r="F2695" s="8"/>
    </row>
    <row r="2696">
      <c r="A2696" s="8"/>
      <c r="B2696" s="8"/>
      <c r="C2696" s="8"/>
      <c r="D2696" s="8"/>
      <c r="E2696" s="8"/>
      <c r="F2696" s="8"/>
    </row>
    <row r="2697">
      <c r="A2697" s="8"/>
      <c r="B2697" s="8"/>
      <c r="C2697" s="8"/>
      <c r="D2697" s="8"/>
      <c r="E2697" s="8"/>
      <c r="F2697" s="8"/>
    </row>
    <row r="2698">
      <c r="A2698" s="8"/>
      <c r="B2698" s="8"/>
      <c r="C2698" s="8"/>
      <c r="D2698" s="8"/>
      <c r="E2698" s="8"/>
      <c r="F2698" s="8"/>
    </row>
    <row r="2699">
      <c r="A2699" s="8"/>
      <c r="B2699" s="8"/>
      <c r="C2699" s="8"/>
      <c r="D2699" s="8"/>
      <c r="E2699" s="8"/>
      <c r="F2699" s="8"/>
    </row>
    <row r="2700">
      <c r="A2700" s="8"/>
      <c r="B2700" s="8"/>
      <c r="C2700" s="8"/>
      <c r="D2700" s="8"/>
      <c r="E2700" s="8"/>
      <c r="F2700" s="8"/>
    </row>
    <row r="2701">
      <c r="A2701" s="8"/>
      <c r="B2701" s="8"/>
      <c r="C2701" s="8"/>
      <c r="D2701" s="8"/>
      <c r="E2701" s="8"/>
      <c r="F2701" s="8"/>
    </row>
    <row r="2702">
      <c r="A2702" s="8"/>
      <c r="B2702" s="8"/>
      <c r="C2702" s="8"/>
      <c r="D2702" s="8"/>
      <c r="E2702" s="8"/>
      <c r="F2702" s="8"/>
    </row>
    <row r="2703">
      <c r="A2703" s="8"/>
      <c r="B2703" s="8"/>
      <c r="C2703" s="8"/>
      <c r="D2703" s="8"/>
      <c r="E2703" s="8"/>
      <c r="F2703" s="8"/>
    </row>
    <row r="2704">
      <c r="A2704" s="8"/>
      <c r="B2704" s="8"/>
      <c r="C2704" s="8"/>
      <c r="D2704" s="8"/>
      <c r="E2704" s="8"/>
      <c r="F2704" s="8"/>
    </row>
    <row r="2705">
      <c r="A2705" s="8"/>
      <c r="B2705" s="8"/>
      <c r="C2705" s="8"/>
      <c r="D2705" s="8"/>
      <c r="E2705" s="8"/>
      <c r="F2705" s="8"/>
    </row>
    <row r="2706">
      <c r="A2706" s="8"/>
      <c r="B2706" s="8"/>
      <c r="C2706" s="8"/>
      <c r="D2706" s="8"/>
      <c r="E2706" s="8"/>
      <c r="F2706" s="8"/>
    </row>
    <row r="2707">
      <c r="A2707" s="8"/>
      <c r="B2707" s="8"/>
      <c r="C2707" s="8"/>
      <c r="D2707" s="8"/>
      <c r="E2707" s="8"/>
      <c r="F2707" s="8"/>
    </row>
    <row r="2708">
      <c r="A2708" s="8"/>
      <c r="B2708" s="8"/>
      <c r="C2708" s="8"/>
      <c r="D2708" s="8"/>
      <c r="E2708" s="8"/>
      <c r="F2708" s="8"/>
    </row>
    <row r="2709">
      <c r="A2709" s="8"/>
      <c r="B2709" s="8"/>
      <c r="C2709" s="8"/>
      <c r="D2709" s="8"/>
      <c r="E2709" s="8"/>
      <c r="F2709" s="8"/>
    </row>
    <row r="2710">
      <c r="A2710" s="8"/>
      <c r="B2710" s="8"/>
      <c r="C2710" s="8"/>
      <c r="D2710" s="8"/>
      <c r="E2710" s="8"/>
      <c r="F2710" s="8"/>
    </row>
    <row r="2711">
      <c r="A2711" s="8"/>
      <c r="B2711" s="8"/>
      <c r="C2711" s="8"/>
      <c r="D2711" s="8"/>
      <c r="E2711" s="8"/>
      <c r="F2711" s="8"/>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1.57"/>
    <col customWidth="1" min="4" max="4" width="29.57"/>
    <col customWidth="1" min="5" max="5" width="23.71"/>
    <col customWidth="1" min="6" max="7" width="11.57"/>
    <col customWidth="1" min="8" max="8" width="22.29"/>
    <col customWidth="1" min="9" max="9" width="28.71"/>
    <col customWidth="1" min="10" max="20" width="11.57"/>
    <col customWidth="1" min="21" max="21" width="28.43"/>
    <col customWidth="1" min="22" max="22" width="11.57"/>
    <col customWidth="1" min="23" max="34" width="25.43"/>
    <col customWidth="1" min="35" max="35" width="19.86"/>
    <col customWidth="1" min="36" max="36" width="43.57"/>
    <col customWidth="1" min="37" max="37" width="99.29"/>
    <col customWidth="1" min="38" max="41" width="30.0"/>
    <col customWidth="1" min="42" max="52" width="11.57"/>
    <col customWidth="1" min="53" max="53" width="30.0"/>
    <col customWidth="1" min="54" max="72" width="11.57"/>
  </cols>
  <sheetData>
    <row r="1" ht="71.25" customHeight="1">
      <c r="A1" s="35" t="str">
        <f>'13all_company_profile'!A1</f>
        <v>symbol</v>
      </c>
      <c r="B1" s="35" t="str">
        <f>'13all_company_profile'!B1</f>
        <v>description</v>
      </c>
      <c r="C1" s="35" t="str">
        <f>'13all_company_profile'!C1</f>
        <v>logourl</v>
      </c>
      <c r="D1" s="35" t="str">
        <f>'13all_company_profile'!D1</f>
        <v>name</v>
      </c>
      <c r="E1" s="36" t="str">
        <f>'13all_company_profile'!E1</f>
        <v>mktCap</v>
      </c>
      <c r="F1" s="37" t="str">
        <f>'13all_company_profile'!F1</f>
        <v>volAvg</v>
      </c>
      <c r="G1" s="35" t="str">
        <f>'13all_company_profile'!G1</f>
        <v>lastDiv</v>
      </c>
      <c r="H1" s="38" t="str">
        <f>'13all_company_profile'!H1</f>
        <v>earning_date</v>
      </c>
      <c r="I1" s="35" t="str">
        <f>'13all_company_profile'!I1</f>
        <v>pe_ratio(TTM)</v>
      </c>
      <c r="J1" s="35" t="str">
        <f>'13all_company_profile'!J1</f>
        <v>eps(TTM)</v>
      </c>
      <c r="K1" s="35" t="str">
        <f>'13all_company_profile'!K1</f>
        <v>dividend_yield</v>
      </c>
      <c r="L1" s="35" t="str">
        <f>'7company_info'!B1</f>
        <v>current_share_price</v>
      </c>
      <c r="M1" s="35" t="str">
        <f>'7company_info'!C1</f>
        <v>today_high</v>
      </c>
      <c r="N1" s="35" t="str">
        <f>'7company_info'!D1</f>
        <v>today_low</v>
      </c>
      <c r="O1" s="35" t="str">
        <f>'7company_info'!E1</f>
        <v>today_price_chang</v>
      </c>
      <c r="P1" s="35" t="str">
        <f>'7company_info'!F1</f>
        <v>today_changes%</v>
      </c>
      <c r="Q1" s="35" t="str">
        <f>'7company_info'!G1</f>
        <v>open</v>
      </c>
      <c r="R1" s="35" t="str">
        <f>'7company_info'!H1</f>
        <v>prev_close</v>
      </c>
      <c r="S1" s="35" t="str">
        <f>'7company_info'!I1</f>
        <v>52wk_low</v>
      </c>
      <c r="T1" s="35" t="str">
        <f>'7company_info'!J1</f>
        <v>52wk_high</v>
      </c>
      <c r="U1" s="39" t="s">
        <v>2852</v>
      </c>
      <c r="V1" s="39" t="s">
        <v>2853</v>
      </c>
      <c r="W1" s="40" t="s">
        <v>2854</v>
      </c>
      <c r="X1" s="40" t="s">
        <v>2855</v>
      </c>
      <c r="Y1" s="40" t="s">
        <v>2856</v>
      </c>
      <c r="Z1" s="40" t="s">
        <v>2857</v>
      </c>
      <c r="AA1" s="40" t="s">
        <v>2858</v>
      </c>
      <c r="AB1" s="40" t="s">
        <v>2859</v>
      </c>
      <c r="AC1" s="40" t="s">
        <v>2860</v>
      </c>
      <c r="AD1" s="40" t="s">
        <v>2861</v>
      </c>
      <c r="AE1" s="40" t="s">
        <v>2862</v>
      </c>
      <c r="AF1" s="40" t="s">
        <v>2863</v>
      </c>
      <c r="AG1" s="40" t="s">
        <v>2864</v>
      </c>
      <c r="AH1" s="40" t="s">
        <v>2865</v>
      </c>
      <c r="AI1" s="35" t="str">
        <f>'6image_RS_benchmark_performance'!B1</f>
        <v>image_resistance_support</v>
      </c>
      <c r="AJ1" s="35" t="str">
        <f>'6image_RS_benchmark_performance'!C1</f>
        <v>image_return</v>
      </c>
      <c r="AK1" s="41" t="str">
        <f>'5price_action_icon'!B1</f>
        <v>priceaction_url</v>
      </c>
      <c r="AL1" s="40" t="s">
        <v>12</v>
      </c>
      <c r="AM1" s="42" t="str">
        <f>'1kpi_performance'!C1</f>
        <v>cagr_purple</v>
      </c>
      <c r="AN1" s="42" t="str">
        <f>'1kpi_performance'!D1</f>
        <v>cagr_blue</v>
      </c>
      <c r="AO1" s="42" t="str">
        <f>'1kpi_performance'!E1</f>
        <v>cagr_benchmark</v>
      </c>
      <c r="AP1" s="42" t="str">
        <f>'1kpi_performance'!F1</f>
        <v>vol_green</v>
      </c>
      <c r="AQ1" s="42" t="str">
        <f>'1kpi_performance'!G1</f>
        <v>vol_purple</v>
      </c>
      <c r="AR1" s="42" t="str">
        <f>'1kpi_performance'!H1</f>
        <v>vol_blue</v>
      </c>
      <c r="AS1" s="42" t="str">
        <f>'1kpi_performance'!I1</f>
        <v>vlo_benchmark</v>
      </c>
      <c r="AT1" s="35" t="str">
        <f>'1kpi_performance'!J1</f>
        <v>sharp_green</v>
      </c>
      <c r="AU1" s="35" t="str">
        <f>'1kpi_performance'!K1</f>
        <v>sharp_purple</v>
      </c>
      <c r="AV1" s="35" t="str">
        <f>'1kpi_performance'!L1</f>
        <v>sharp_blue</v>
      </c>
      <c r="AW1" s="35" t="str">
        <f>'1kpi_performance'!M1</f>
        <v>sharp_benchmark</v>
      </c>
      <c r="AX1" s="42" t="str">
        <f>'1kpi_performance'!N1</f>
        <v>max_dd_green</v>
      </c>
      <c r="AY1" s="42" t="str">
        <f>'1kpi_performance'!O1</f>
        <v>max_dd_purple</v>
      </c>
      <c r="AZ1" s="42" t="str">
        <f>'1kpi_performance'!P1</f>
        <v>max_dd_blue</v>
      </c>
      <c r="BA1" s="42" t="str">
        <f>'1kpi_performance'!Q1</f>
        <v>max_dd_benchmark</v>
      </c>
      <c r="BB1" s="35" t="str">
        <f>'1kpi_performance'!R1</f>
        <v>sortino_green</v>
      </c>
      <c r="BC1" s="39" t="s">
        <v>29</v>
      </c>
      <c r="BD1" s="35" t="str">
        <f>'1kpi_performance'!T1</f>
        <v>sortino_blue</v>
      </c>
      <c r="BE1" s="35" t="str">
        <f>'1kpi_performance'!U1</f>
        <v>sortino_benchmark </v>
      </c>
      <c r="BF1" s="43" t="str">
        <f>'1kpi_performance'!W1</f>
        <v/>
      </c>
      <c r="BG1" s="43" t="str">
        <f>'1kpi_performance'!X1</f>
        <v/>
      </c>
      <c r="BH1" s="43" t="str">
        <f>'1kpi_performance'!Y1</f>
        <v/>
      </c>
      <c r="BI1" s="43" t="str">
        <f>'1kpi_performance'!Z1</f>
        <v/>
      </c>
      <c r="BJ1" s="43" t="str">
        <f>'1kpi_performance'!AA1</f>
        <v/>
      </c>
      <c r="BK1" s="43" t="str">
        <f>'1kpi_performance'!AB1</f>
        <v/>
      </c>
      <c r="BL1" s="43" t="str">
        <f>'1kpi_performance'!AC1</f>
        <v/>
      </c>
      <c r="BM1" s="43" t="str">
        <f>'1kpi_performance'!AD1</f>
        <v/>
      </c>
      <c r="BN1" s="43" t="str">
        <f>'1kpi_performance'!AE1</f>
        <v/>
      </c>
      <c r="BO1" s="43" t="str">
        <f>'1kpi_performance'!AF1</f>
        <v/>
      </c>
      <c r="BP1" s="43" t="str">
        <f>'1kpi_performance'!AG1</f>
        <v/>
      </c>
      <c r="BQ1" s="43" t="str">
        <f>'1kpi_performance'!AH1</f>
        <v/>
      </c>
      <c r="BR1" s="43"/>
      <c r="BS1" s="43"/>
      <c r="BT1" s="43"/>
    </row>
    <row r="2" ht="11.25" customHeight="1">
      <c r="A2" s="35" t="str">
        <f>'13all_company_profile'!A2</f>
        <v>A</v>
      </c>
      <c r="B2" s="35" t="str">
        <f>'13all_company_profile'!B2</f>
        <v>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v>
      </c>
      <c r="C2" s="44" t="str">
        <f>'13all_company_profile'!C2</f>
        <v>https://financialmodelingprep.com/image-stock/A.png</v>
      </c>
      <c r="D2" s="35" t="str">
        <f>'13all_company_profile'!D2</f>
        <v>Agilent Technologies, Inc.</v>
      </c>
      <c r="E2" s="36">
        <f>'13all_company_profile'!E2</f>
        <v>45182660608</v>
      </c>
      <c r="F2" s="37">
        <f>'13all_company_profile'!F2</f>
        <v>1642980</v>
      </c>
      <c r="G2" s="35">
        <f>'13all_company_profile'!G2</f>
        <v>0.762</v>
      </c>
      <c r="H2" s="38" t="str">
        <f>'13all_company_profile'!H2</f>
        <v>not avaiable</v>
      </c>
      <c r="I2" s="35">
        <f>'13all_company_profile'!I2</f>
        <v>49.93478</v>
      </c>
      <c r="J2" s="35">
        <f>'13all_company_profile'!J2</f>
        <v>2.99</v>
      </c>
      <c r="K2" s="42">
        <f t="shared" ref="K2:K701" si="1">if(G2=0,"NaN",G2/L2)</f>
        <v>0.005103817816</v>
      </c>
      <c r="L2" s="35">
        <f>'7company_info'!B2</f>
        <v>149.3</v>
      </c>
      <c r="M2" s="35">
        <f>'7company_info'!C2</f>
        <v>151.25</v>
      </c>
      <c r="N2" s="35">
        <f>'7company_info'!D2</f>
        <v>147.83</v>
      </c>
      <c r="O2" s="35">
        <f>'7company_info'!E2</f>
        <v>1.72</v>
      </c>
      <c r="P2" s="35">
        <f>'7company_info'!F2</f>
        <v>0.0117</v>
      </c>
      <c r="Q2" s="35">
        <f>'7company_info'!G2</f>
        <v>148.45</v>
      </c>
      <c r="R2" s="35">
        <f>'7company_info'!H2</f>
        <v>147.58</v>
      </c>
      <c r="S2" s="35">
        <f>'7company_info'!I2</f>
        <v>93.87</v>
      </c>
      <c r="T2" s="35">
        <f>'7company_info'!J2</f>
        <v>151.25</v>
      </c>
      <c r="U2" s="39">
        <v>148.986666666666</v>
      </c>
      <c r="V2" s="39">
        <v>149.513333333333</v>
      </c>
      <c r="W2" s="40">
        <v>150.396666666666</v>
      </c>
      <c r="X2" s="40">
        <v>151.806666666666</v>
      </c>
      <c r="Y2" s="40">
        <v>148.103333333333</v>
      </c>
      <c r="Z2" s="40">
        <v>147.576666666666</v>
      </c>
      <c r="AA2" s="40">
        <v>146.166666666666</v>
      </c>
      <c r="AB2" s="40">
        <v>145.83</v>
      </c>
      <c r="AC2" s="40">
        <v>151.0</v>
      </c>
      <c r="AD2" s="40">
        <v>146.907795155857</v>
      </c>
      <c r="AE2" s="40">
        <v>145.63625</v>
      </c>
      <c r="AF2" s="40">
        <v>1.831375</v>
      </c>
      <c r="AG2" s="40">
        <v>140.32</v>
      </c>
      <c r="AH2" s="45">
        <v>44348.0</v>
      </c>
      <c r="AI2" s="44" t="str">
        <f>'6image_RS_benchmark_performance'!B2</f>
        <v>https://3arbzfbsh-cname-us.ngrok.io/Desktop/seabridge%20fintech/image_app/A_resistance_support.jpg</v>
      </c>
      <c r="AJ2" s="44" t="str">
        <f>'6image_RS_benchmark_performance'!C2</f>
        <v>https://3arbzfbsh-cname-us.ngrok.io/Desktop/seabridge%20fintech/profit_graph_app/A_Return.jpg</v>
      </c>
      <c r="AK2" s="46" t="str">
        <f>'5price_action_icon'!B2</f>
        <v>https://3arbzfbsh-cname-us.ngrok.io/Desktop/seabridge%20fintech/icon/A_pa_trend_signal</v>
      </c>
      <c r="AL2" s="42">
        <f>'1kpi_performance'!B2</f>
        <v>0.6016878649</v>
      </c>
      <c r="AM2" s="42">
        <f>'1kpi_performance'!C2</f>
        <v>0.8226044334</v>
      </c>
      <c r="AN2" s="42">
        <f>'1kpi_performance'!D2</f>
        <v>0.7858078535</v>
      </c>
      <c r="AO2" s="42">
        <f>'1kpi_performance'!E2</f>
        <v>0.2700500379</v>
      </c>
      <c r="AP2" s="42">
        <f>'1kpi_performance'!F2</f>
        <v>0.23099589</v>
      </c>
      <c r="AQ2" s="42">
        <f>'1kpi_performance'!G2</f>
        <v>0.22749548</v>
      </c>
      <c r="AR2" s="42">
        <f>'1kpi_performance'!H2</f>
        <v>0.2401507108</v>
      </c>
      <c r="AS2" s="42">
        <f>'1kpi_performance'!I2</f>
        <v>0.3411843816</v>
      </c>
      <c r="AT2" s="35">
        <f>'1kpi_performance'!J2</f>
        <v>2.496528683</v>
      </c>
      <c r="AU2" s="35">
        <f>'1kpi_performance'!K2</f>
        <v>3.506023211</v>
      </c>
      <c r="AV2" s="35">
        <f>'1kpi_performance'!L2</f>
        <v>3.168043313</v>
      </c>
      <c r="AW2" s="35">
        <f>'1kpi_performance'!M2</f>
        <v>0.718233457</v>
      </c>
      <c r="AX2" s="42">
        <f>'1kpi_performance'!N2</f>
        <v>0.2105965367</v>
      </c>
      <c r="AY2" s="42">
        <f>'1kpi_performance'!O2</f>
        <v>0.1141943349</v>
      </c>
      <c r="AZ2" s="42">
        <f>'1kpi_performance'!P2</f>
        <v>0.2487255483</v>
      </c>
      <c r="BA2" s="42">
        <f>'1kpi_performance'!Q2</f>
        <v>0.4408512924</v>
      </c>
      <c r="BB2" s="35">
        <f>'1kpi_performance'!R2</f>
        <v>5.060081168</v>
      </c>
      <c r="BC2" s="35">
        <f>'1kpi_performance'!S2</f>
        <v>8.060137406</v>
      </c>
      <c r="BD2" s="35">
        <f>'1kpi_performance'!T2</f>
        <v>6.69643685</v>
      </c>
      <c r="BE2" s="35">
        <f>'1kpi_performance'!U2</f>
        <v>1.37253434</v>
      </c>
      <c r="BF2" s="47"/>
      <c r="BG2" s="47"/>
      <c r="BH2" s="47"/>
      <c r="BI2" s="47"/>
      <c r="BJ2" s="47"/>
      <c r="BK2" s="47"/>
      <c r="BL2" s="47"/>
      <c r="BM2" s="47"/>
      <c r="BN2" s="47"/>
      <c r="BO2" s="47"/>
      <c r="BP2" s="47"/>
      <c r="BQ2" s="47"/>
      <c r="BR2" s="47"/>
      <c r="BS2" s="47"/>
      <c r="BT2" s="47"/>
    </row>
    <row r="3" ht="16.5" customHeight="1">
      <c r="A3" s="35" t="str">
        <f>'13all_company_profile'!A3</f>
        <v>AA</v>
      </c>
      <c r="B3" s="35" t="str">
        <f>'13all_company_profile'!B3</f>
        <v>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v>
      </c>
      <c r="C3" s="44" t="str">
        <f>'13all_company_profile'!C3</f>
        <v>https://financialmodelingprep.com/image-stock/AA.png</v>
      </c>
      <c r="D3" s="35" t="str">
        <f>'13all_company_profile'!D3</f>
        <v>Alcoa Corporation</v>
      </c>
      <c r="E3" s="36">
        <f>'13all_company_profile'!E3</f>
        <v>6448566272</v>
      </c>
      <c r="F3" s="37">
        <f>'13all_company_profile'!F3</f>
        <v>7384033</v>
      </c>
      <c r="G3" s="35">
        <f>'13all_company_profile'!G3</f>
        <v>0</v>
      </c>
      <c r="H3" s="38" t="str">
        <f>'13all_company_profile'!H3</f>
        <v>not avaiable</v>
      </c>
      <c r="I3" s="35" t="str">
        <f>'13all_company_profile'!I3</f>
        <v>NaN</v>
      </c>
      <c r="J3" s="35">
        <f>'13all_company_profile'!J3</f>
        <v>-0.403</v>
      </c>
      <c r="K3" s="42" t="str">
        <f t="shared" si="1"/>
        <v>NaN</v>
      </c>
      <c r="L3" s="35">
        <f>'7company_info'!B3</f>
        <v>34.95</v>
      </c>
      <c r="M3" s="35">
        <f>'7company_info'!C3</f>
        <v>35.26</v>
      </c>
      <c r="N3" s="35">
        <f>'7company_info'!D3</f>
        <v>31.26</v>
      </c>
      <c r="O3" s="35">
        <f>'7company_info'!E3</f>
        <v>3.33</v>
      </c>
      <c r="P3" s="35">
        <f>'7company_info'!F3</f>
        <v>0.1053</v>
      </c>
      <c r="Q3" s="35">
        <f>'7company_info'!G3</f>
        <v>31.55</v>
      </c>
      <c r="R3" s="35">
        <f>'7company_info'!H3</f>
        <v>31.62</v>
      </c>
      <c r="S3" s="35">
        <f>'7company_info'!I3</f>
        <v>10.98</v>
      </c>
      <c r="T3" s="35">
        <f>'7company_info'!J3</f>
        <v>44.42</v>
      </c>
      <c r="U3" s="39">
        <v>35.66</v>
      </c>
      <c r="V3" s="39">
        <v>36.38</v>
      </c>
      <c r="W3" s="40">
        <v>37.62</v>
      </c>
      <c r="X3" s="40">
        <v>39.58</v>
      </c>
      <c r="Y3" s="40">
        <v>34.42</v>
      </c>
      <c r="Z3" s="40">
        <v>33.7</v>
      </c>
      <c r="AA3" s="40">
        <v>31.74</v>
      </c>
      <c r="AB3" s="40">
        <v>35.22</v>
      </c>
      <c r="AC3" s="40">
        <v>37.28</v>
      </c>
      <c r="AD3" s="40">
        <v>36.3288627286554</v>
      </c>
      <c r="AE3" s="40">
        <v>32.25382</v>
      </c>
      <c r="AF3" s="40">
        <v>1.67108999999999</v>
      </c>
      <c r="AG3" s="40">
        <v>44.42</v>
      </c>
      <c r="AH3" s="45">
        <v>44326.0</v>
      </c>
      <c r="AI3" s="44" t="str">
        <f>'6image_RS_benchmark_performance'!B3</f>
        <v>https://3arbzfbsh-cname-us.ngrok.io/Desktop/seabridge%20fintech/image_app/AA_resistance_support.jpg</v>
      </c>
      <c r="AJ3" s="44" t="str">
        <f>'6image_RS_benchmark_performance'!C3</f>
        <v>https://3arbzfbsh-cname-us.ngrok.io/Desktop/seabridge%20fintech/profit_graph_app/AA_Return.jpg</v>
      </c>
      <c r="AK3" s="46" t="str">
        <f>'5price_action_icon'!B3</f>
        <v>https://3arbzfbsh-cname-us.ngrok.io/Desktop/seabridge%20fintech/icon/AA_pa_trend_signal</v>
      </c>
      <c r="AL3" s="42">
        <f>'1kpi_performance'!B3</f>
        <v>1.588882109</v>
      </c>
      <c r="AM3" s="42">
        <f>'1kpi_performance'!C3</f>
        <v>1.889032941</v>
      </c>
      <c r="AN3" s="42">
        <f>'1kpi_performance'!D3</f>
        <v>2.047917634</v>
      </c>
      <c r="AO3" s="42">
        <f>'1kpi_performance'!E3</f>
        <v>0.1443895607</v>
      </c>
      <c r="AP3" s="42">
        <f>'1kpi_performance'!F3</f>
        <v>0.4477926056</v>
      </c>
      <c r="AQ3" s="42">
        <f>'1kpi_performance'!G3</f>
        <v>0.4330373817</v>
      </c>
      <c r="AR3" s="42">
        <f>'1kpi_performance'!H3</f>
        <v>0.4255866398</v>
      </c>
      <c r="AS3" s="42">
        <f>'1kpi_performance'!I3</f>
        <v>0.6560621878</v>
      </c>
      <c r="AT3" s="35">
        <f>'1kpi_performance'!J3</f>
        <v>3.492425041</v>
      </c>
      <c r="AU3" s="35">
        <f>'1kpi_performance'!K3</f>
        <v>4.30455434</v>
      </c>
      <c r="AV3" s="35">
        <f>'1kpi_performance'!L3</f>
        <v>4.753245156</v>
      </c>
      <c r="AW3" s="35">
        <f>'1kpi_performance'!M3</f>
        <v>0.1819790302</v>
      </c>
      <c r="AX3" s="42">
        <f>'1kpi_performance'!N3</f>
        <v>0.3056824453</v>
      </c>
      <c r="AY3" s="42">
        <f>'1kpi_performance'!O3</f>
        <v>0.1591695502</v>
      </c>
      <c r="AZ3" s="42">
        <f>'1kpi_performance'!P3</f>
        <v>0.416654337</v>
      </c>
      <c r="BA3" s="42">
        <f>'1kpi_performance'!Q3</f>
        <v>0.9090154408</v>
      </c>
      <c r="BB3" s="35">
        <f>'1kpi_performance'!R3</f>
        <v>7.648116591</v>
      </c>
      <c r="BC3" s="35">
        <f>'1kpi_performance'!S3</f>
        <v>10.52467878</v>
      </c>
      <c r="BD3" s="35">
        <f>'1kpi_performance'!T3</f>
        <v>11.81560739</v>
      </c>
      <c r="BE3" s="35">
        <f>'1kpi_performance'!U3</f>
        <v>0.36378315</v>
      </c>
      <c r="BF3" s="47"/>
      <c r="BG3" s="47"/>
      <c r="BH3" s="47"/>
      <c r="BI3" s="47"/>
      <c r="BJ3" s="47"/>
      <c r="BK3" s="47"/>
      <c r="BL3" s="47"/>
      <c r="BM3" s="47"/>
      <c r="BN3" s="47"/>
      <c r="BO3" s="47"/>
      <c r="BP3" s="47"/>
      <c r="BQ3" s="47"/>
      <c r="BR3" s="47"/>
      <c r="BS3" s="47"/>
      <c r="BT3" s="47"/>
    </row>
    <row r="4" ht="11.25" customHeight="1">
      <c r="A4" s="35" t="str">
        <f>'13all_company_profile'!A4</f>
        <v>AAL</v>
      </c>
      <c r="B4" s="35" t="str">
        <f>'13all_company_profile'!B4</f>
        <v>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v>
      </c>
      <c r="C4" s="44" t="str">
        <f>'13all_company_profile'!C4</f>
        <v>https://financialmodelingprep.com/image-stock/AAL.png</v>
      </c>
      <c r="D4" s="35" t="str">
        <f>'13all_company_profile'!D4</f>
        <v>American Airlines Group Inc.</v>
      </c>
      <c r="E4" s="36">
        <f>'13all_company_profile'!E4</f>
        <v>13122695168</v>
      </c>
      <c r="F4" s="37">
        <f>'13all_company_profile'!F4</f>
        <v>31972439</v>
      </c>
      <c r="G4" s="35">
        <f>'13all_company_profile'!G4</f>
        <v>0.1</v>
      </c>
      <c r="H4" s="38">
        <f>'13all_company_profile'!H4</f>
        <v>44398</v>
      </c>
      <c r="I4" s="35" t="str">
        <f>'13all_company_profile'!I4</f>
        <v>NaN</v>
      </c>
      <c r="J4" s="35">
        <f>'13all_company_profile'!J4</f>
        <v>-14.725</v>
      </c>
      <c r="K4" s="42">
        <f t="shared" si="1"/>
        <v>0.00486381323</v>
      </c>
      <c r="L4" s="35">
        <f>'7company_info'!B4</f>
        <v>20.56</v>
      </c>
      <c r="M4" s="35">
        <f>'7company_info'!C4</f>
        <v>20.59</v>
      </c>
      <c r="N4" s="35">
        <f>'7company_info'!D4</f>
        <v>18.86</v>
      </c>
      <c r="O4" s="35">
        <f>'7company_info'!E4</f>
        <v>1.59</v>
      </c>
      <c r="P4" s="35">
        <f>'7company_info'!F4</f>
        <v>0.0838</v>
      </c>
      <c r="Q4" s="35">
        <f>'7company_info'!G4</f>
        <v>19.05</v>
      </c>
      <c r="R4" s="35">
        <f>'7company_info'!H4</f>
        <v>18.97</v>
      </c>
      <c r="S4" s="35">
        <f>'7company_info'!I4</f>
        <v>10.63</v>
      </c>
      <c r="T4" s="35">
        <f>'7company_info'!J4</f>
        <v>26.09</v>
      </c>
      <c r="U4" s="39">
        <v>20.8733333333333</v>
      </c>
      <c r="V4" s="39">
        <v>21.3166666666666</v>
      </c>
      <c r="W4" s="40">
        <v>22.0133333333333</v>
      </c>
      <c r="X4" s="40">
        <v>23.1533333333333</v>
      </c>
      <c r="Y4" s="40">
        <v>20.1766666666666</v>
      </c>
      <c r="Z4" s="40">
        <v>19.7333333333333</v>
      </c>
      <c r="AA4" s="40">
        <v>18.5933333333333</v>
      </c>
      <c r="AB4" s="40">
        <v>20.5</v>
      </c>
      <c r="AC4" s="40">
        <v>23.95</v>
      </c>
      <c r="AD4" s="40">
        <v>21.4458261738517</v>
      </c>
      <c r="AE4" s="40">
        <v>18.6705</v>
      </c>
      <c r="AF4" s="40">
        <v>0.723249999999999</v>
      </c>
      <c r="AG4" s="40">
        <v>26.09</v>
      </c>
      <c r="AH4" s="45">
        <v>44273.0</v>
      </c>
      <c r="AI4" s="44" t="str">
        <f>'6image_RS_benchmark_performance'!B4</f>
        <v>https://3arbzfbsh-cname-us.ngrok.io/Desktop/seabridge%20fintech/image_app/AAL_resistance_support.jpg</v>
      </c>
      <c r="AJ4" s="44" t="str">
        <f>'6image_RS_benchmark_performance'!C4</f>
        <v>https://3arbzfbsh-cname-us.ngrok.io/Desktop/seabridge%20fintech/profit_graph_app/AAL_Return.jpg</v>
      </c>
      <c r="AK4" s="46" t="str">
        <f>'5price_action_icon'!B4</f>
        <v>https://3arbzfbsh-cname-us.ngrok.io/Desktop/seabridge%20fintech/icon/AAL_pa_trend_signal</v>
      </c>
      <c r="AL4" s="42">
        <f>'1kpi_performance'!B4</f>
        <v>1.167784945</v>
      </c>
      <c r="AM4" s="42">
        <f>'1kpi_performance'!C4</f>
        <v>1.275713268</v>
      </c>
      <c r="AN4" s="42">
        <f>'1kpi_performance'!D4</f>
        <v>0.8643760764</v>
      </c>
      <c r="AO4" s="42">
        <f>'1kpi_performance'!E4</f>
        <v>-0.03270017535</v>
      </c>
      <c r="AP4" s="42">
        <f>'1kpi_performance'!F4</f>
        <v>0.4673220501</v>
      </c>
      <c r="AQ4" s="42">
        <f>'1kpi_performance'!G4</f>
        <v>0.3911099162</v>
      </c>
      <c r="AR4" s="42">
        <f>'1kpi_performance'!H4</f>
        <v>0.4345309218</v>
      </c>
      <c r="AS4" s="42">
        <f>'1kpi_performance'!I4</f>
        <v>0.6141098973</v>
      </c>
      <c r="AT4" s="35">
        <f>'1kpi_performance'!J4</f>
        <v>2.445390593</v>
      </c>
      <c r="AU4" s="35">
        <f>'1kpi_performance'!K4</f>
        <v>3.197856195</v>
      </c>
      <c r="AV4" s="35">
        <f>'1kpi_performance'!L4</f>
        <v>1.931683188</v>
      </c>
      <c r="AW4" s="35">
        <f>'1kpi_performance'!M4</f>
        <v>-0.09395740991</v>
      </c>
      <c r="AX4" s="42">
        <f>'1kpi_performance'!N4</f>
        <v>0.4093231162</v>
      </c>
      <c r="AY4" s="42">
        <f>'1kpi_performance'!O4</f>
        <v>0.2996855519</v>
      </c>
      <c r="AZ4" s="42">
        <f>'1kpi_performance'!P4</f>
        <v>0.4227330779</v>
      </c>
      <c r="BA4" s="42">
        <f>'1kpi_performance'!Q4</f>
        <v>0.8453907987</v>
      </c>
      <c r="BB4" s="35">
        <f>'1kpi_performance'!R4</f>
        <v>5.865843349</v>
      </c>
      <c r="BC4" s="35">
        <f>'1kpi_performance'!S4</f>
        <v>7.901617386</v>
      </c>
      <c r="BD4" s="35">
        <f>'1kpi_performance'!T4</f>
        <v>4.341873877</v>
      </c>
      <c r="BE4" s="35">
        <f>'1kpi_performance'!U4</f>
        <v>-0.1954391213</v>
      </c>
      <c r="BF4" s="47"/>
      <c r="BG4" s="47"/>
      <c r="BH4" s="47"/>
      <c r="BI4" s="47"/>
      <c r="BJ4" s="47"/>
      <c r="BK4" s="47"/>
      <c r="BL4" s="47"/>
      <c r="BM4" s="47"/>
      <c r="BN4" s="47"/>
      <c r="BO4" s="47"/>
      <c r="BP4" s="47"/>
      <c r="BQ4" s="47"/>
      <c r="BR4" s="47"/>
      <c r="BS4" s="47"/>
      <c r="BT4" s="47"/>
    </row>
    <row r="5" ht="11.25" customHeight="1">
      <c r="A5" s="35" t="str">
        <f>'13all_company_profile'!A5</f>
        <v>AAP</v>
      </c>
      <c r="B5" s="35" t="str">
        <f>'13all_company_profile'!B5</f>
        <v>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v>
      </c>
      <c r="C5" s="44" t="str">
        <f>'13all_company_profile'!C5</f>
        <v>https://financialmodelingprep.com/image-stock/AAP.png</v>
      </c>
      <c r="D5" s="35" t="str">
        <f>'13all_company_profile'!D5</f>
        <v>Advance Auto Parts, Inc.</v>
      </c>
      <c r="E5" s="36">
        <f>'13all_company_profile'!E5</f>
        <v>13680656384</v>
      </c>
      <c r="F5" s="37">
        <f>'13all_company_profile'!F5</f>
        <v>815550</v>
      </c>
      <c r="G5" s="35">
        <f>'13all_company_profile'!G5</f>
        <v>1.75</v>
      </c>
      <c r="H5" s="38" t="str">
        <f>'13all_company_profile'!H5</f>
        <v>not avaiable</v>
      </c>
      <c r="I5" s="35">
        <f>'13all_company_profile'!I5</f>
        <v>22.14094</v>
      </c>
      <c r="J5" s="35">
        <f>'13all_company_profile'!J5</f>
        <v>9.309</v>
      </c>
      <c r="K5" s="42">
        <f t="shared" si="1"/>
        <v>0.008324216334</v>
      </c>
      <c r="L5" s="35">
        <f>'7company_info'!B5</f>
        <v>210.23</v>
      </c>
      <c r="M5" s="35">
        <f>'7company_info'!C5</f>
        <v>211.55</v>
      </c>
      <c r="N5" s="35">
        <f>'7company_info'!D5</f>
        <v>206.09</v>
      </c>
      <c r="O5" s="35">
        <f>'7company_info'!E5</f>
        <v>4.56</v>
      </c>
      <c r="P5" s="35">
        <f>'7company_info'!F5</f>
        <v>0.0222</v>
      </c>
      <c r="Q5" s="35">
        <f>'7company_info'!G5</f>
        <v>206.7</v>
      </c>
      <c r="R5" s="35">
        <f>'7company_info'!H5</f>
        <v>205.67</v>
      </c>
      <c r="S5" s="35">
        <f>'7company_info'!I5</f>
        <v>142.46</v>
      </c>
      <c r="T5" s="35">
        <f>'7company_info'!J5</f>
        <v>213.94</v>
      </c>
      <c r="U5" s="39">
        <v>209.828333333333</v>
      </c>
      <c r="V5" s="39">
        <v>211.161666666666</v>
      </c>
      <c r="W5" s="40">
        <v>212.163333333333</v>
      </c>
      <c r="X5" s="40">
        <v>214.498333333333</v>
      </c>
      <c r="Y5" s="40">
        <v>208.826666666666</v>
      </c>
      <c r="Z5" s="40">
        <v>207.493333333333</v>
      </c>
      <c r="AA5" s="40">
        <v>205.158333333333</v>
      </c>
      <c r="AB5" s="40">
        <v>208.22</v>
      </c>
      <c r="AC5" s="40">
        <v>213.94</v>
      </c>
      <c r="AD5" s="40">
        <v>205.647310453959</v>
      </c>
      <c r="AE5" s="40">
        <v>201.7108</v>
      </c>
      <c r="AF5" s="40">
        <v>3.61534999999999</v>
      </c>
      <c r="AG5" s="40">
        <v>210.18</v>
      </c>
      <c r="AH5" s="45">
        <v>44326.0</v>
      </c>
      <c r="AI5" s="44" t="str">
        <f>'6image_RS_benchmark_performance'!B5</f>
        <v>https://3arbzfbsh-cname-us.ngrok.io/Desktop/seabridge%20fintech/image_app/AAP_resistance_support.jpg</v>
      </c>
      <c r="AJ5" s="44" t="str">
        <f>'6image_RS_benchmark_performance'!C5</f>
        <v>https://3arbzfbsh-cname-us.ngrok.io/Desktop/seabridge%20fintech/profit_graph_app/AAP_Return.jpg</v>
      </c>
      <c r="AK5" s="46" t="str">
        <f>'5price_action_icon'!B5</f>
        <v>https://3arbzfbsh-cname-us.ngrok.io/Desktop/seabridge%20fintech/icon/AAP_pa_trend_signal</v>
      </c>
      <c r="AL5" s="42">
        <f>'1kpi_performance'!B5</f>
        <v>0.7434811033</v>
      </c>
      <c r="AM5" s="42">
        <f>'1kpi_performance'!C5</f>
        <v>0.9283875787</v>
      </c>
      <c r="AN5" s="42">
        <f>'1kpi_performance'!D5</f>
        <v>0.5999445714</v>
      </c>
      <c r="AO5" s="42">
        <f>'1kpi_performance'!E5</f>
        <v>0.2326296695</v>
      </c>
      <c r="AP5" s="42">
        <f>'1kpi_performance'!F5</f>
        <v>0.2559053732</v>
      </c>
      <c r="AQ5" s="42">
        <f>'1kpi_performance'!G5</f>
        <v>0.2663697654</v>
      </c>
      <c r="AR5" s="42">
        <f>'1kpi_performance'!H5</f>
        <v>0.2668791337</v>
      </c>
      <c r="AS5" s="42">
        <f>'1kpi_performance'!I5</f>
        <v>0.3713452408</v>
      </c>
      <c r="AT5" s="35">
        <f>'1kpi_performance'!J5</f>
        <v>2.807604601</v>
      </c>
      <c r="AU5" s="35">
        <f>'1kpi_performance'!K5</f>
        <v>3.391479424</v>
      </c>
      <c r="AV5" s="35">
        <f>'1kpi_performance'!L5</f>
        <v>2.154325681</v>
      </c>
      <c r="AW5" s="35">
        <f>'1kpi_performance'!M5</f>
        <v>0.5591283978</v>
      </c>
      <c r="AX5" s="42">
        <f>'1kpi_performance'!N5</f>
        <v>0.2165635015</v>
      </c>
      <c r="AY5" s="42">
        <f>'1kpi_performance'!O5</f>
        <v>0.1283978583</v>
      </c>
      <c r="AZ5" s="42">
        <f>'1kpi_performance'!P5</f>
        <v>0.4450443787</v>
      </c>
      <c r="BA5" s="42">
        <f>'1kpi_performance'!Q5</f>
        <v>0.6255614333</v>
      </c>
      <c r="BB5" s="35">
        <f>'1kpi_performance'!R5</f>
        <v>7.089200005</v>
      </c>
      <c r="BC5" s="35">
        <f>'1kpi_performance'!S5</f>
        <v>9.121998817</v>
      </c>
      <c r="BD5" s="35">
        <f>'1kpi_performance'!T5</f>
        <v>4.543926039</v>
      </c>
      <c r="BE5" s="35">
        <f>'1kpi_performance'!U5</f>
        <v>1.078428356</v>
      </c>
      <c r="BF5" s="47"/>
      <c r="BG5" s="47"/>
      <c r="BH5" s="47"/>
      <c r="BI5" s="47"/>
      <c r="BJ5" s="47"/>
      <c r="BK5" s="47"/>
      <c r="BL5" s="47"/>
      <c r="BM5" s="47"/>
      <c r="BN5" s="47"/>
      <c r="BO5" s="47"/>
      <c r="BP5" s="47"/>
      <c r="BQ5" s="47"/>
      <c r="BR5" s="47"/>
      <c r="BS5" s="47"/>
      <c r="BT5" s="47"/>
    </row>
    <row r="6" ht="11.25" customHeight="1">
      <c r="A6" s="35" t="str">
        <f>'13all_company_profile'!A6</f>
        <v>AAPL</v>
      </c>
      <c r="B6" s="35" t="str">
        <f>'13all_company_profile'!B6</f>
        <v>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v>
      </c>
      <c r="C6" s="44" t="str">
        <f>'13all_company_profile'!C6</f>
        <v>https://financialmodelingprep.com/image-stock/AAPL.png</v>
      </c>
      <c r="D6" s="35" t="str">
        <f>'13all_company_profile'!D6</f>
        <v>Apple Inc.</v>
      </c>
      <c r="E6" s="36">
        <f>'13all_company_profile'!E6</f>
        <v>2477774602240</v>
      </c>
      <c r="F6" s="37">
        <f>'13all_company_profile'!F6</f>
        <v>83640587</v>
      </c>
      <c r="G6" s="35">
        <f>'13all_company_profile'!G6</f>
        <v>0.835</v>
      </c>
      <c r="H6" s="38">
        <f>'13all_company_profile'!H6</f>
        <v>44405</v>
      </c>
      <c r="I6" s="35">
        <f>'13all_company_profile'!I6</f>
        <v>32.857944</v>
      </c>
      <c r="J6" s="35">
        <f>'13all_company_profile'!J6</f>
        <v>4.449</v>
      </c>
      <c r="K6" s="42">
        <f t="shared" si="1"/>
        <v>0.005713308245</v>
      </c>
      <c r="L6" s="35">
        <f>'7company_info'!B6</f>
        <v>146.15</v>
      </c>
      <c r="M6" s="35">
        <f>'7company_info'!C6</f>
        <v>147.1</v>
      </c>
      <c r="N6" s="35">
        <f>'7company_info'!D6</f>
        <v>142.96</v>
      </c>
      <c r="O6" s="35">
        <f>'7company_info'!E6</f>
        <v>3.7</v>
      </c>
      <c r="P6" s="35">
        <f>'7company_info'!F6</f>
        <v>0.026</v>
      </c>
      <c r="Q6" s="35">
        <f>'7company_info'!G6</f>
        <v>143.46</v>
      </c>
      <c r="R6" s="35">
        <f>'7company_info'!H6</f>
        <v>142.45</v>
      </c>
      <c r="S6" s="35">
        <f>'7company_info'!I6</f>
        <v>89.15</v>
      </c>
      <c r="T6" s="35">
        <f>'7company_info'!J6</f>
        <v>150</v>
      </c>
      <c r="U6" s="39">
        <v>148.799999999999</v>
      </c>
      <c r="V6" s="39">
        <v>149.919999999999</v>
      </c>
      <c r="W6" s="40">
        <v>150.689999999999</v>
      </c>
      <c r="X6" s="40">
        <v>152.579999999999</v>
      </c>
      <c r="Y6" s="40">
        <v>148.029999999999</v>
      </c>
      <c r="Z6" s="40">
        <v>146.91</v>
      </c>
      <c r="AA6" s="40">
        <v>145.02</v>
      </c>
      <c r="AB6" s="40">
        <v>140.07</v>
      </c>
      <c r="AC6" s="40">
        <v>149.57</v>
      </c>
      <c r="AD6" s="40">
        <v>138.836409413473</v>
      </c>
      <c r="AE6" s="40">
        <v>140.95432</v>
      </c>
      <c r="AF6" s="40">
        <v>2.47883999999999</v>
      </c>
      <c r="AG6" s="40">
        <v>145.09</v>
      </c>
      <c r="AH6" s="45">
        <v>44221.0</v>
      </c>
      <c r="AI6" s="44" t="str">
        <f>'6image_RS_benchmark_performance'!B6</f>
        <v>https://3arbzfbsh-cname-us.ngrok.io/Desktop/seabridge%20fintech/image_app/AAPL_resistance_support.jpg</v>
      </c>
      <c r="AJ6" s="44" t="str">
        <f>'6image_RS_benchmark_performance'!C6</f>
        <v>https://3arbzfbsh-cname-us.ngrok.io/Desktop/seabridge%20fintech/profit_graph_app/AAPL_Return.jpg</v>
      </c>
      <c r="AK6" s="46" t="str">
        <f>'5price_action_icon'!B6</f>
        <v>https://3arbzfbsh-cname-us.ngrok.io/Desktop/seabridge%20fintech/icon/AAPL_pa_trend_signal</v>
      </c>
      <c r="AL6" s="42">
        <f>'1kpi_performance'!B6</f>
        <v>0.8119493232</v>
      </c>
      <c r="AM6" s="42">
        <f>'1kpi_performance'!C6</f>
        <v>1.222877994</v>
      </c>
      <c r="AN6" s="42">
        <f>'1kpi_performance'!D6</f>
        <v>0.7246824376</v>
      </c>
      <c r="AO6" s="42">
        <f>'1kpi_performance'!E6</f>
        <v>0.4531610596</v>
      </c>
      <c r="AP6" s="42">
        <f>'1kpi_performance'!F6</f>
        <v>0.2077046206</v>
      </c>
      <c r="AQ6" s="42">
        <f>'1kpi_performance'!G6</f>
        <v>0.2234628794</v>
      </c>
      <c r="AR6" s="42">
        <f>'1kpi_performance'!H6</f>
        <v>0.2192123841</v>
      </c>
      <c r="AS6" s="42">
        <f>'1kpi_performance'!I6</f>
        <v>0.3379830422</v>
      </c>
      <c r="AT6" s="35">
        <f>'1kpi_performance'!J6</f>
        <v>3.788790643</v>
      </c>
      <c r="AU6" s="35">
        <f>'1kpi_performance'!K6</f>
        <v>5.360523403</v>
      </c>
      <c r="AV6" s="35">
        <f>'1kpi_performance'!L6</f>
        <v>3.191801598</v>
      </c>
      <c r="AW6" s="35">
        <f>'1kpi_performance'!M6</f>
        <v>1.266812254</v>
      </c>
      <c r="AX6" s="42">
        <f>'1kpi_performance'!N6</f>
        <v>0.1154744262</v>
      </c>
      <c r="AY6" s="42">
        <f>'1kpi_performance'!O6</f>
        <v>0.09283077785</v>
      </c>
      <c r="AZ6" s="42">
        <f>'1kpi_performance'!P6</f>
        <v>0.3771893489</v>
      </c>
      <c r="BA6" s="42">
        <f>'1kpi_performance'!Q6</f>
        <v>0.4437684874</v>
      </c>
      <c r="BB6" s="35">
        <f>'1kpi_performance'!R6</f>
        <v>8.299879067</v>
      </c>
      <c r="BC6" s="35">
        <f>'1kpi_performance'!S6</f>
        <v>13.40660501</v>
      </c>
      <c r="BD6" s="35">
        <f>'1kpi_performance'!T6</f>
        <v>6.679619372</v>
      </c>
      <c r="BE6" s="35">
        <f>'1kpi_performance'!U6</f>
        <v>2.51590439</v>
      </c>
      <c r="BF6" s="47"/>
      <c r="BG6" s="47"/>
      <c r="BH6" s="47"/>
      <c r="BI6" s="47"/>
      <c r="BJ6" s="47"/>
      <c r="BK6" s="47"/>
      <c r="BL6" s="47"/>
      <c r="BM6" s="47"/>
      <c r="BN6" s="47"/>
      <c r="BO6" s="47"/>
      <c r="BP6" s="47"/>
      <c r="BQ6" s="47"/>
      <c r="BR6" s="47"/>
      <c r="BS6" s="47"/>
      <c r="BT6" s="47"/>
    </row>
    <row r="7" ht="11.25" customHeight="1">
      <c r="A7" s="35" t="str">
        <f>'13all_company_profile'!A7</f>
        <v>ABBV</v>
      </c>
      <c r="B7" s="35" t="str">
        <f>'13all_company_profile'!B7</f>
        <v>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v>
      </c>
      <c r="C7" s="44" t="str">
        <f>'13all_company_profile'!C7</f>
        <v>https://financialmodelingprep.com/image-stock/ABBV.png</v>
      </c>
      <c r="D7" s="35" t="str">
        <f>'13all_company_profile'!D7</f>
        <v>AbbVie Inc.</v>
      </c>
      <c r="E7" s="36">
        <f>'13all_company_profile'!E7</f>
        <v>206965669888</v>
      </c>
      <c r="F7" s="37">
        <f>'13all_company_profile'!F7</f>
        <v>6390169</v>
      </c>
      <c r="G7" s="35">
        <f>'13all_company_profile'!G7</f>
        <v>5.08</v>
      </c>
      <c r="H7" s="38">
        <f>'13all_company_profile'!H7</f>
        <v>44406</v>
      </c>
      <c r="I7" s="35">
        <f>'13all_company_profile'!I7</f>
        <v>40.374184</v>
      </c>
      <c r="J7" s="35">
        <f>'13all_company_profile'!J7</f>
        <v>2.913</v>
      </c>
      <c r="K7" s="42">
        <f t="shared" si="1"/>
        <v>0.04377423524</v>
      </c>
      <c r="L7" s="35">
        <f>'7company_info'!B7</f>
        <v>116.05</v>
      </c>
      <c r="M7" s="35">
        <f>'7company_info'!C7</f>
        <v>117.73</v>
      </c>
      <c r="N7" s="35">
        <f>'7company_info'!D7</f>
        <v>115.46</v>
      </c>
      <c r="O7" s="35">
        <f>'7company_info'!E7</f>
        <v>0.63</v>
      </c>
      <c r="P7" s="35">
        <f>'7company_info'!F7</f>
        <v>0.0055</v>
      </c>
      <c r="Q7" s="35">
        <f>'7company_info'!G7</f>
        <v>115.55</v>
      </c>
      <c r="R7" s="35">
        <f>'7company_info'!H7</f>
        <v>115.42</v>
      </c>
      <c r="S7" s="35">
        <f>'7company_info'!I7</f>
        <v>79.11</v>
      </c>
      <c r="T7" s="35">
        <f>'7company_info'!J7</f>
        <v>118.35</v>
      </c>
      <c r="U7" s="39">
        <v>117.1</v>
      </c>
      <c r="V7" s="39">
        <v>117.81</v>
      </c>
      <c r="W7" s="40">
        <v>118.26</v>
      </c>
      <c r="X7" s="40">
        <v>119.42</v>
      </c>
      <c r="Y7" s="40">
        <v>116.65</v>
      </c>
      <c r="Z7" s="40">
        <v>115.94</v>
      </c>
      <c r="AA7" s="40">
        <v>114.78</v>
      </c>
      <c r="AB7" s="40">
        <v>114.77</v>
      </c>
      <c r="AC7" s="40">
        <v>118.35</v>
      </c>
      <c r="AD7" s="40">
        <v>115.458623981757</v>
      </c>
      <c r="AE7" s="40">
        <v>114.71015</v>
      </c>
      <c r="AF7" s="40">
        <v>1.604925</v>
      </c>
      <c r="AG7" s="40">
        <v>118.28</v>
      </c>
      <c r="AH7" s="45">
        <v>44337.0</v>
      </c>
      <c r="AI7" s="44" t="str">
        <f>'6image_RS_benchmark_performance'!B7</f>
        <v>https://3arbzfbsh-cname-us.ngrok.io/Desktop/seabridge%20fintech/image_app/ABBV_resistance_support.jpg</v>
      </c>
      <c r="AJ7" s="44" t="str">
        <f>'6image_RS_benchmark_performance'!C7</f>
        <v>https://3arbzfbsh-cname-us.ngrok.io/Desktop/seabridge%20fintech/profit_graph_app/ABBV_Return.jpg</v>
      </c>
      <c r="AK7" s="46" t="str">
        <f>'5price_action_icon'!B7</f>
        <v>https://3arbzfbsh-cname-us.ngrok.io/Desktop/seabridge%20fintech/icon/ABBV_pa_trend_signal</v>
      </c>
      <c r="AL7" s="42">
        <f>'1kpi_performance'!B7</f>
        <v>0.5765662737</v>
      </c>
      <c r="AM7" s="42">
        <f>'1kpi_performance'!C7</f>
        <v>0.7166327478</v>
      </c>
      <c r="AN7" s="42">
        <f>'1kpi_performance'!D7</f>
        <v>0.4720582099</v>
      </c>
      <c r="AO7" s="42">
        <f>'1kpi_performance'!E7</f>
        <v>0.2231911479</v>
      </c>
      <c r="AP7" s="42">
        <f>'1kpi_performance'!F7</f>
        <v>0.2157960832</v>
      </c>
      <c r="AQ7" s="42">
        <f>'1kpi_performance'!G7</f>
        <v>0.2189167914</v>
      </c>
      <c r="AR7" s="42">
        <f>'1kpi_performance'!H7</f>
        <v>0.2407992616</v>
      </c>
      <c r="AS7" s="42">
        <f>'1kpi_performance'!I7</f>
        <v>0.3367519429</v>
      </c>
      <c r="AT7" s="35">
        <f>'1kpi_performance'!J7</f>
        <v>2.555960541</v>
      </c>
      <c r="AU7" s="35">
        <f>'1kpi_performance'!K7</f>
        <v>3.159340786</v>
      </c>
      <c r="AV7" s="35">
        <f>'1kpi_performance'!L7</f>
        <v>1.856559721</v>
      </c>
      <c r="AW7" s="35">
        <f>'1kpi_performance'!M7</f>
        <v>0.5885375039</v>
      </c>
      <c r="AX7" s="42">
        <f>'1kpi_performance'!N7</f>
        <v>0.1107113405</v>
      </c>
      <c r="AY7" s="42">
        <f>'1kpi_performance'!O7</f>
        <v>0.110157563</v>
      </c>
      <c r="AZ7" s="42">
        <f>'1kpi_performance'!P7</f>
        <v>0.3209178072</v>
      </c>
      <c r="BA7" s="42">
        <f>'1kpi_performance'!Q7</f>
        <v>0.4888401915</v>
      </c>
      <c r="BB7" s="35">
        <f>'1kpi_performance'!R7</f>
        <v>5.605149085</v>
      </c>
      <c r="BC7" s="35">
        <f>'1kpi_performance'!S7</f>
        <v>7.469913128</v>
      </c>
      <c r="BD7" s="35">
        <f>'1kpi_performance'!T7</f>
        <v>3.526607956</v>
      </c>
      <c r="BE7" s="35">
        <f>'1kpi_performance'!U7</f>
        <v>1.111634322</v>
      </c>
      <c r="BF7" s="47"/>
      <c r="BG7" s="47"/>
      <c r="BH7" s="47"/>
      <c r="BI7" s="47"/>
      <c r="BJ7" s="47"/>
      <c r="BK7" s="47"/>
      <c r="BL7" s="47"/>
      <c r="BM7" s="47"/>
      <c r="BN7" s="47"/>
      <c r="BO7" s="47"/>
      <c r="BP7" s="47"/>
      <c r="BQ7" s="47"/>
      <c r="BR7" s="47"/>
      <c r="BS7" s="47"/>
      <c r="BT7" s="47"/>
    </row>
    <row r="8" ht="16.5" customHeight="1">
      <c r="A8" s="35" t="str">
        <f>'13all_company_profile'!A8</f>
        <v>ABC</v>
      </c>
      <c r="B8" s="35" t="str">
        <f>'13all_company_profile'!B8</f>
        <v>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v>
      </c>
      <c r="C8" s="44" t="str">
        <f>'13all_company_profile'!C8</f>
        <v>https://financialmodelingprep.com/image-stock/ABC.png</v>
      </c>
      <c r="D8" s="35" t="str">
        <f>'13all_company_profile'!D8</f>
        <v>AmerisourceBergen Corporation</v>
      </c>
      <c r="E8" s="36">
        <f>'13all_company_profile'!E8</f>
        <v>23491371008</v>
      </c>
      <c r="F8" s="37">
        <f>'13all_company_profile'!F8</f>
        <v>1029420</v>
      </c>
      <c r="G8" s="35">
        <f>'13all_company_profile'!G8</f>
        <v>1.74</v>
      </c>
      <c r="H8" s="38">
        <f>'13all_company_profile'!H8</f>
        <v>44412</v>
      </c>
      <c r="I8" s="35" t="str">
        <f>'13all_company_profile'!I8</f>
        <v>NaN</v>
      </c>
      <c r="J8" s="35">
        <f>'13all_company_profile'!J8</f>
        <v>-18.344</v>
      </c>
      <c r="K8" s="42">
        <f t="shared" si="1"/>
        <v>0.01493690446</v>
      </c>
      <c r="L8" s="35">
        <f>'7company_info'!B8</f>
        <v>116.49</v>
      </c>
      <c r="M8" s="35">
        <f>'7company_info'!C8</f>
        <v>119.8</v>
      </c>
      <c r="N8" s="35">
        <f>'7company_info'!D8</f>
        <v>116.35</v>
      </c>
      <c r="O8" s="35">
        <f>'7company_info'!E8</f>
        <v>3.89</v>
      </c>
      <c r="P8" s="35">
        <f>'7company_info'!F8</f>
        <v>0.0345</v>
      </c>
      <c r="Q8" s="35">
        <f>'7company_info'!G8</f>
        <v>118.5</v>
      </c>
      <c r="R8" s="35">
        <f>'7company_info'!H8</f>
        <v>112.6</v>
      </c>
      <c r="S8" s="35">
        <f>'7company_info'!I8</f>
        <v>92</v>
      </c>
      <c r="T8" s="35">
        <f>'7company_info'!J8</f>
        <v>125.86</v>
      </c>
      <c r="U8" s="39">
        <v>113.723333333333</v>
      </c>
      <c r="V8" s="39">
        <v>114.166666666666</v>
      </c>
      <c r="W8" s="40">
        <v>114.773333333333</v>
      </c>
      <c r="X8" s="40">
        <v>115.823333333333</v>
      </c>
      <c r="Y8" s="40">
        <v>113.116666666666</v>
      </c>
      <c r="Z8" s="40">
        <v>112.673333333333</v>
      </c>
      <c r="AA8" s="40">
        <v>111.623333333333</v>
      </c>
      <c r="AB8" s="40">
        <v>115.49</v>
      </c>
      <c r="AC8" s="40">
        <v>114.84</v>
      </c>
      <c r="AD8" s="40">
        <v>115.620473824099</v>
      </c>
      <c r="AE8" s="40">
        <v>110.39362</v>
      </c>
      <c r="AF8" s="40">
        <v>1.91149999999999</v>
      </c>
      <c r="AG8" s="40">
        <v>125.86</v>
      </c>
      <c r="AH8" s="45">
        <v>44320.0</v>
      </c>
      <c r="AI8" s="44" t="str">
        <f>'6image_RS_benchmark_performance'!B8</f>
        <v>https://3arbzfbsh-cname-us.ngrok.io/Desktop/seabridge%20fintech/image_app/ABC_resistance_support.jpg</v>
      </c>
      <c r="AJ8" s="44" t="str">
        <f>'6image_RS_benchmark_performance'!C8</f>
        <v>https://3arbzfbsh-cname-us.ngrok.io/Desktop/seabridge%20fintech/profit_graph_app/ABC_Return.jpg</v>
      </c>
      <c r="AK8" s="46" t="str">
        <f>'5price_action_icon'!B8</f>
        <v>https://3arbzfbsh-cname-us.ngrok.io/Desktop/seabridge%20fintech/icon/ABC_pa_trend_signal</v>
      </c>
      <c r="AL8" s="42">
        <f>'1kpi_performance'!B8</f>
        <v>0.5555600747</v>
      </c>
      <c r="AM8" s="42">
        <f>'1kpi_performance'!C8</f>
        <v>0.6121092323</v>
      </c>
      <c r="AN8" s="42">
        <f>'1kpi_performance'!D8</f>
        <v>0.4794228021</v>
      </c>
      <c r="AO8" s="42">
        <f>'1kpi_performance'!E8</f>
        <v>0.1983625067</v>
      </c>
      <c r="AP8" s="42">
        <f>'1kpi_performance'!F8</f>
        <v>0.191645784</v>
      </c>
      <c r="AQ8" s="42">
        <f>'1kpi_performance'!G8</f>
        <v>0.2045452144</v>
      </c>
      <c r="AR8" s="42">
        <f>'1kpi_performance'!H8</f>
        <v>0.2140312818</v>
      </c>
      <c r="AS8" s="42">
        <f>'1kpi_performance'!I8</f>
        <v>0.3054642289</v>
      </c>
      <c r="AT8" s="35">
        <f>'1kpi_performance'!J8</f>
        <v>2.76844115</v>
      </c>
      <c r="AU8" s="35">
        <f>'1kpi_performance'!K8</f>
        <v>2.870315172</v>
      </c>
      <c r="AV8" s="35">
        <f>'1kpi_performance'!L8</f>
        <v>2.123160681</v>
      </c>
      <c r="AW8" s="35">
        <f>'1kpi_performance'!M8</f>
        <v>0.5675378334</v>
      </c>
      <c r="AX8" s="42">
        <f>'1kpi_performance'!N8</f>
        <v>0.1009047002</v>
      </c>
      <c r="AY8" s="42">
        <f>'1kpi_performance'!O8</f>
        <v>0.1094610679</v>
      </c>
      <c r="AZ8" s="42">
        <f>'1kpi_performance'!P8</f>
        <v>0.217406533</v>
      </c>
      <c r="BA8" s="42">
        <f>'1kpi_performance'!Q8</f>
        <v>0.4022341531</v>
      </c>
      <c r="BB8" s="35">
        <f>'1kpi_performance'!R8</f>
        <v>5.939847279</v>
      </c>
      <c r="BC8" s="35">
        <f>'1kpi_performance'!S8</f>
        <v>6.540656527</v>
      </c>
      <c r="BD8" s="35">
        <f>'1kpi_performance'!T8</f>
        <v>4.393750298</v>
      </c>
      <c r="BE8" s="35">
        <f>'1kpi_performance'!U8</f>
        <v>1.095950704</v>
      </c>
      <c r="BF8" s="47"/>
      <c r="BG8" s="47"/>
      <c r="BH8" s="47"/>
      <c r="BI8" s="47"/>
      <c r="BJ8" s="47"/>
      <c r="BK8" s="47"/>
      <c r="BL8" s="47"/>
      <c r="BM8" s="47"/>
      <c r="BN8" s="47"/>
      <c r="BO8" s="47"/>
      <c r="BP8" s="47"/>
      <c r="BQ8" s="47"/>
      <c r="BR8" s="47"/>
      <c r="BS8" s="47"/>
      <c r="BT8" s="47"/>
    </row>
    <row r="9" ht="11.25" customHeight="1">
      <c r="A9" s="35" t="str">
        <f>'13all_company_profile'!A9</f>
        <v>ABMD</v>
      </c>
      <c r="B9" s="35" t="str">
        <f>'13all_company_profile'!B9</f>
        <v>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v>
      </c>
      <c r="C9" s="44" t="str">
        <f>'13all_company_profile'!C9</f>
        <v>https://financialmodelingprep.com/image-stock/ABMD.png</v>
      </c>
      <c r="D9" s="35" t="str">
        <f>'13all_company_profile'!D9</f>
        <v>Abiomed, Inc.</v>
      </c>
      <c r="E9" s="36">
        <f>'13all_company_profile'!E9</f>
        <v>14065565696</v>
      </c>
      <c r="F9" s="37">
        <f>'13all_company_profile'!F9</f>
        <v>271133</v>
      </c>
      <c r="G9" s="35">
        <f>'13all_company_profile'!G9</f>
        <v>0</v>
      </c>
      <c r="H9" s="38">
        <f>'13all_company_profile'!H9</f>
        <v>44412</v>
      </c>
      <c r="I9" s="35">
        <f>'13all_company_profile'!I9</f>
        <v>64.40688</v>
      </c>
      <c r="J9" s="35">
        <f>'13all_company_profile'!J9</f>
        <v>4.94</v>
      </c>
      <c r="K9" s="42" t="str">
        <f t="shared" si="1"/>
        <v>NaN</v>
      </c>
      <c r="L9" s="35">
        <f>'7company_info'!B9</f>
        <v>323.59</v>
      </c>
      <c r="M9" s="35">
        <f>'7company_info'!C9</f>
        <v>324.81</v>
      </c>
      <c r="N9" s="35">
        <f>'7company_info'!D9</f>
        <v>315.47</v>
      </c>
      <c r="O9" s="35">
        <f>'7company_info'!E9</f>
        <v>8.97</v>
      </c>
      <c r="P9" s="35">
        <f>'7company_info'!F9</f>
        <v>0.0285</v>
      </c>
      <c r="Q9" s="35">
        <f>'7company_info'!G9</f>
        <v>315.47</v>
      </c>
      <c r="R9" s="35">
        <f>'7company_info'!H9</f>
        <v>314.62</v>
      </c>
      <c r="S9" s="35">
        <f>'7company_info'!I9</f>
        <v>242.73</v>
      </c>
      <c r="T9" s="35">
        <f>'7company_info'!J9</f>
        <v>387.4</v>
      </c>
      <c r="U9" s="39">
        <v>315.003333333333</v>
      </c>
      <c r="V9" s="39">
        <v>318.416666666666</v>
      </c>
      <c r="W9" s="40">
        <v>324.533333333333</v>
      </c>
      <c r="X9" s="40">
        <v>334.063333333333</v>
      </c>
      <c r="Y9" s="40">
        <v>308.886666666666</v>
      </c>
      <c r="Z9" s="40">
        <v>305.473333333333</v>
      </c>
      <c r="AA9" s="40">
        <v>295.943333333333</v>
      </c>
      <c r="AB9" s="40">
        <v>325.28</v>
      </c>
      <c r="AC9" s="40">
        <v>287.59</v>
      </c>
      <c r="AD9" s="40">
        <v>315.261562735786</v>
      </c>
      <c r="AE9" s="40">
        <v>303.17043</v>
      </c>
      <c r="AF9" s="40">
        <v>8.261785</v>
      </c>
      <c r="AG9" s="40">
        <v>387.4</v>
      </c>
      <c r="AH9" s="45">
        <v>44224.0</v>
      </c>
      <c r="AI9" s="44" t="str">
        <f>'6image_RS_benchmark_performance'!B9</f>
        <v>https://3arbzfbsh-cname-us.ngrok.io/Desktop/seabridge%20fintech/image_app/ABMD_resistance_support.jpg</v>
      </c>
      <c r="AJ9" s="44" t="str">
        <f>'6image_RS_benchmark_performance'!C9</f>
        <v>https://3arbzfbsh-cname-us.ngrok.io/Desktop/seabridge%20fintech/profit_graph_app/ABMD_Return.jpg</v>
      </c>
      <c r="AK9" s="46" t="str">
        <f>'5price_action_icon'!B9</f>
        <v>https://3arbzfbsh-cname-us.ngrok.io/Desktop/seabridge%20fintech/icon/ABMD_pa_trend_signal</v>
      </c>
      <c r="AL9" s="42">
        <f>'1kpi_performance'!B9</f>
        <v>1.531243427</v>
      </c>
      <c r="AM9" s="42">
        <f>'1kpi_performance'!C9</f>
        <v>1.986239369</v>
      </c>
      <c r="AN9" s="42">
        <f>'1kpi_performance'!D9</f>
        <v>1.292097989</v>
      </c>
      <c r="AO9" s="42">
        <f>'1kpi_performance'!E9</f>
        <v>0.5668900738</v>
      </c>
      <c r="AP9" s="42">
        <f>'1kpi_performance'!F9</f>
        <v>0.3719826341</v>
      </c>
      <c r="AQ9" s="42">
        <f>'1kpi_performance'!G9</f>
        <v>0.3787823595</v>
      </c>
      <c r="AR9" s="42">
        <f>'1kpi_performance'!H9</f>
        <v>0.3782149928</v>
      </c>
      <c r="AS9" s="42">
        <f>'1kpi_performance'!I9</f>
        <v>0.5508236502</v>
      </c>
      <c r="AT9" s="35">
        <f>'1kpi_performance'!J9</f>
        <v>4.049230499</v>
      </c>
      <c r="AU9" s="35">
        <f>'1kpi_performance'!K9</f>
        <v>5.177747379</v>
      </c>
      <c r="AV9" s="35">
        <f>'1kpi_performance'!L9</f>
        <v>3.350205607</v>
      </c>
      <c r="AW9" s="35">
        <f>'1kpi_performance'!M9</f>
        <v>0.983781422</v>
      </c>
      <c r="AX9" s="42">
        <f>'1kpi_performance'!N9</f>
        <v>0.2518549016</v>
      </c>
      <c r="AY9" s="42">
        <f>'1kpi_performance'!O9</f>
        <v>0.1883661944</v>
      </c>
      <c r="AZ9" s="42">
        <f>'1kpi_performance'!P9</f>
        <v>0.3941276117</v>
      </c>
      <c r="BA9" s="42">
        <f>'1kpi_performance'!Q9</f>
        <v>0.7098165648</v>
      </c>
      <c r="BB9" s="35">
        <f>'1kpi_performance'!R9</f>
        <v>10.05311366</v>
      </c>
      <c r="BC9" s="35">
        <f>'1kpi_performance'!S9</f>
        <v>14.74341968</v>
      </c>
      <c r="BD9" s="35">
        <f>'1kpi_performance'!T9</f>
        <v>6.804134176</v>
      </c>
      <c r="BE9" s="35">
        <f>'1kpi_performance'!U9</f>
        <v>1.870887705</v>
      </c>
      <c r="BF9" s="47"/>
      <c r="BG9" s="47"/>
      <c r="BH9" s="47"/>
      <c r="BI9" s="47"/>
      <c r="BJ9" s="47"/>
      <c r="BK9" s="47"/>
      <c r="BL9" s="47"/>
      <c r="BM9" s="47"/>
      <c r="BN9" s="47"/>
      <c r="BO9" s="47"/>
      <c r="BP9" s="47"/>
      <c r="BQ9" s="47"/>
      <c r="BR9" s="47"/>
      <c r="BS9" s="47"/>
      <c r="BT9" s="47"/>
    </row>
    <row r="10" ht="11.25" customHeight="1">
      <c r="A10" s="35" t="str">
        <f>'13all_company_profile'!A10</f>
        <v>ABT</v>
      </c>
      <c r="B10" s="35" t="str">
        <f>'13all_company_profile'!B10</f>
        <v>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v>
      </c>
      <c r="C10" s="44" t="str">
        <f>'13all_company_profile'!C10</f>
        <v>https://financialmodelingprep.com/image-stock/ABT.png</v>
      </c>
      <c r="D10" s="35" t="str">
        <f>'13all_company_profile'!D10</f>
        <v>Abbott Laboratories</v>
      </c>
      <c r="E10" s="36">
        <f>'13all_company_profile'!E10</f>
        <v>207443738624</v>
      </c>
      <c r="F10" s="37">
        <f>'13all_company_profile'!F10</f>
        <v>6379512</v>
      </c>
      <c r="G10" s="35">
        <f>'13all_company_profile'!G10</f>
        <v>1.71</v>
      </c>
      <c r="H10" s="38">
        <f>'13all_company_profile'!H10</f>
        <v>44399</v>
      </c>
      <c r="I10" s="35">
        <f>'13all_company_profile'!I10</f>
        <v>36.903793</v>
      </c>
      <c r="J10" s="35">
        <f>'13all_company_profile'!J10</f>
        <v>3.191</v>
      </c>
      <c r="K10" s="42">
        <f t="shared" si="1"/>
        <v>0.01440242567</v>
      </c>
      <c r="L10" s="35">
        <f>'7company_info'!B10</f>
        <v>118.73</v>
      </c>
      <c r="M10" s="35">
        <f>'7company_info'!C10</f>
        <v>120</v>
      </c>
      <c r="N10" s="35">
        <f>'7company_info'!D10</f>
        <v>118.1</v>
      </c>
      <c r="O10" s="35">
        <f>'7company_info'!E10</f>
        <v>-0.06</v>
      </c>
      <c r="P10" s="35">
        <f>'7company_info'!F10</f>
        <v>-0.0005</v>
      </c>
      <c r="Q10" s="35">
        <f>'7company_info'!G10</f>
        <v>118.54</v>
      </c>
      <c r="R10" s="35">
        <f>'7company_info'!H10</f>
        <v>118.79</v>
      </c>
      <c r="S10" s="35">
        <f>'7company_info'!I10</f>
        <v>97.76</v>
      </c>
      <c r="T10" s="35">
        <f>'7company_info'!J10</f>
        <v>128.54</v>
      </c>
      <c r="U10" s="39">
        <v>117.443333333333</v>
      </c>
      <c r="V10" s="39">
        <v>118.026666666666</v>
      </c>
      <c r="W10" s="40">
        <v>118.883333333333</v>
      </c>
      <c r="X10" s="40">
        <v>120.323333333333</v>
      </c>
      <c r="Y10" s="40">
        <v>116.586666666666</v>
      </c>
      <c r="Z10" s="40">
        <v>116.003333333333</v>
      </c>
      <c r="AA10" s="40">
        <v>114.563333333333</v>
      </c>
      <c r="AB10" s="40">
        <v>112.74</v>
      </c>
      <c r="AC10" s="40">
        <v>119.98</v>
      </c>
      <c r="AD10" s="40">
        <v>116.194903769535</v>
      </c>
      <c r="AE10" s="40">
        <v>115.08117</v>
      </c>
      <c r="AF10" s="40">
        <v>1.809125</v>
      </c>
      <c r="AG10" s="40">
        <v>128.54</v>
      </c>
      <c r="AH10" s="45">
        <v>44239.0</v>
      </c>
      <c r="AI10" s="44" t="str">
        <f>'6image_RS_benchmark_performance'!B10</f>
        <v>https://3arbzfbsh-cname-us.ngrok.io/Desktop/seabridge%20fintech/image_app/ABT_resistance_support.jpg</v>
      </c>
      <c r="AJ10" s="44" t="str">
        <f>'6image_RS_benchmark_performance'!C10</f>
        <v>https://3arbzfbsh-cname-us.ngrok.io/Desktop/seabridge%20fintech/profit_graph_app/ABT_Return.jpg</v>
      </c>
      <c r="AK10" s="46" t="str">
        <f>'5price_action_icon'!B10</f>
        <v>https://3arbzfbsh-cname-us.ngrok.io/Desktop/seabridge%20fintech/icon/ABT_pa_trend_signal</v>
      </c>
      <c r="AL10" s="42">
        <f>'1kpi_performance'!B10</f>
        <v>0.4527151793</v>
      </c>
      <c r="AM10" s="42">
        <f>'1kpi_performance'!C10</f>
        <v>0.5345372721</v>
      </c>
      <c r="AN10" s="42">
        <f>'1kpi_performance'!D10</f>
        <v>0.4511224227</v>
      </c>
      <c r="AO10" s="42">
        <f>'1kpi_performance'!E10</f>
        <v>0.2030222439</v>
      </c>
      <c r="AP10" s="42">
        <f>'1kpi_performance'!F10</f>
        <v>0.1744886778</v>
      </c>
      <c r="AQ10" s="42">
        <f>'1kpi_performance'!G10</f>
        <v>0.1692469768</v>
      </c>
      <c r="AR10" s="42">
        <f>'1kpi_performance'!H10</f>
        <v>0.1896758836</v>
      </c>
      <c r="AS10" s="42">
        <f>'1kpi_performance'!I10</f>
        <v>0.2576283024</v>
      </c>
      <c r="AT10" s="35">
        <f>'1kpi_performance'!J10</f>
        <v>2.451248899</v>
      </c>
      <c r="AU10" s="35">
        <f>'1kpi_performance'!K10</f>
        <v>3.010613729</v>
      </c>
      <c r="AV10" s="35">
        <f>'1kpi_performance'!L10</f>
        <v>2.246581983</v>
      </c>
      <c r="AW10" s="35">
        <f>'1kpi_performance'!M10</f>
        <v>0.691004219</v>
      </c>
      <c r="AX10" s="42">
        <f>'1kpi_performance'!N10</f>
        <v>0.1671769749</v>
      </c>
      <c r="AY10" s="42">
        <f>'1kpi_performance'!O10</f>
        <v>0.08336734694</v>
      </c>
      <c r="AZ10" s="42">
        <f>'1kpi_performance'!P10</f>
        <v>0.2306184936</v>
      </c>
      <c r="BA10" s="42">
        <f>'1kpi_performance'!Q10</f>
        <v>0.3161332462</v>
      </c>
      <c r="BB10" s="35">
        <f>'1kpi_performance'!R10</f>
        <v>4.993769119</v>
      </c>
      <c r="BC10" s="35">
        <f>'1kpi_performance'!S10</f>
        <v>6.762835839</v>
      </c>
      <c r="BD10" s="35">
        <f>'1kpi_performance'!T10</f>
        <v>4.285046345</v>
      </c>
      <c r="BE10" s="35">
        <f>'1kpi_performance'!U10</f>
        <v>1.327554612</v>
      </c>
      <c r="BF10" s="47"/>
      <c r="BG10" s="47"/>
      <c r="BH10" s="47"/>
      <c r="BI10" s="47"/>
      <c r="BJ10" s="47"/>
      <c r="BK10" s="47"/>
      <c r="BL10" s="47"/>
      <c r="BM10" s="47"/>
      <c r="BN10" s="47"/>
      <c r="BO10" s="47"/>
      <c r="BP10" s="47"/>
      <c r="BQ10" s="47"/>
      <c r="BR10" s="47"/>
      <c r="BS10" s="47"/>
      <c r="BT10" s="47"/>
    </row>
    <row r="11" ht="11.25" customHeight="1">
      <c r="A11" s="35" t="str">
        <f>'13all_company_profile'!A11</f>
        <v>ACN</v>
      </c>
      <c r="B11" s="35" t="str">
        <f>'13all_company_profile'!B11</f>
        <v>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v>
      </c>
      <c r="C11" s="44" t="str">
        <f>'13all_company_profile'!C11</f>
        <v>https://financialmodelingprep.com/image-stock/ACN.png</v>
      </c>
      <c r="D11" s="35" t="str">
        <f>'13all_company_profile'!D11</f>
        <v>Accenture plc</v>
      </c>
      <c r="E11" s="36">
        <f>'13all_company_profile'!E11</f>
        <v>199873642496</v>
      </c>
      <c r="F11" s="37">
        <f>'13all_company_profile'!F11</f>
        <v>1896634</v>
      </c>
      <c r="G11" s="35">
        <f>'13all_company_profile'!G11</f>
        <v>4.32</v>
      </c>
      <c r="H11" s="38" t="str">
        <f>'13all_company_profile'!H11</f>
        <v>not avaiable</v>
      </c>
      <c r="I11" s="35">
        <f>'13all_company_profile'!I11</f>
        <v>34.8592</v>
      </c>
      <c r="J11" s="35">
        <f>'13all_company_profile'!J11</f>
        <v>8.949</v>
      </c>
      <c r="K11" s="42">
        <f t="shared" si="1"/>
        <v>0.01384349164</v>
      </c>
      <c r="L11" s="35">
        <f>'7company_info'!B11</f>
        <v>312.06</v>
      </c>
      <c r="M11" s="35">
        <f>'7company_info'!C11</f>
        <v>314.17</v>
      </c>
      <c r="N11" s="35">
        <f>'7company_info'!D11</f>
        <v>308.99</v>
      </c>
      <c r="O11" s="35">
        <f>'7company_info'!E11</f>
        <v>2.88</v>
      </c>
      <c r="P11" s="35">
        <f>'7company_info'!F11</f>
        <v>0.0093</v>
      </c>
      <c r="Q11" s="35">
        <f>'7company_info'!G11</f>
        <v>310</v>
      </c>
      <c r="R11" s="35">
        <f>'7company_info'!H11</f>
        <v>309.18</v>
      </c>
      <c r="S11" s="35">
        <f>'7company_info'!I11</f>
        <v>210.42</v>
      </c>
      <c r="T11" s="35">
        <f>'7company_info'!J11</f>
        <v>317.12</v>
      </c>
      <c r="U11" s="39">
        <v>314.146666666666</v>
      </c>
      <c r="V11" s="39">
        <v>315.763333333333</v>
      </c>
      <c r="W11" s="40">
        <v>317.136666666666</v>
      </c>
      <c r="X11" s="40">
        <v>320.126666666666</v>
      </c>
      <c r="Y11" s="40">
        <v>312.773333333333</v>
      </c>
      <c r="Z11" s="40">
        <v>311.156666666666</v>
      </c>
      <c r="AA11" s="40">
        <v>308.166666666666</v>
      </c>
      <c r="AB11" s="40">
        <v>310.05</v>
      </c>
      <c r="AC11" s="40">
        <v>316.22</v>
      </c>
      <c r="AD11" s="40">
        <v>300.651108121414</v>
      </c>
      <c r="AE11" s="40">
        <v>303.32251</v>
      </c>
      <c r="AF11" s="40">
        <v>4.674245</v>
      </c>
      <c r="AG11" s="40">
        <v>294.5</v>
      </c>
      <c r="AH11" s="45">
        <v>44330.0</v>
      </c>
      <c r="AI11" s="44" t="str">
        <f>'6image_RS_benchmark_performance'!B11</f>
        <v>https://3arbzfbsh-cname-us.ngrok.io/Desktop/seabridge%20fintech/image_app/ACN_resistance_support.jpg</v>
      </c>
      <c r="AJ11" s="44" t="str">
        <f>'6image_RS_benchmark_performance'!C11</f>
        <v>https://3arbzfbsh-cname-us.ngrok.io/Desktop/seabridge%20fintech/profit_graph_app/ACN_Return.jpg</v>
      </c>
      <c r="AK11" s="46" t="str">
        <f>'5price_action_icon'!B11</f>
        <v>https://3arbzfbsh-cname-us.ngrok.io/Desktop/seabridge%20fintech/icon/ACN_pa_trend_signal</v>
      </c>
      <c r="AL11" s="42">
        <f>'1kpi_performance'!B11</f>
        <v>0.5830928836</v>
      </c>
      <c r="AM11" s="42">
        <f>'1kpi_performance'!C11</f>
        <v>0.7014509025</v>
      </c>
      <c r="AN11" s="42">
        <f>'1kpi_performance'!D11</f>
        <v>0.5682171862</v>
      </c>
      <c r="AO11" s="42">
        <f>'1kpi_performance'!E11</f>
        <v>0.2810038459</v>
      </c>
      <c r="AP11" s="42">
        <f>'1kpi_performance'!F11</f>
        <v>0.1898220436</v>
      </c>
      <c r="AQ11" s="42">
        <f>'1kpi_performance'!G11</f>
        <v>0.1978677654</v>
      </c>
      <c r="AR11" s="42">
        <f>'1kpi_performance'!H11</f>
        <v>0.171745332</v>
      </c>
      <c r="AS11" s="42">
        <f>'1kpi_performance'!I11</f>
        <v>0.2826197584</v>
      </c>
      <c r="AT11" s="35">
        <f>'1kpi_performance'!J11</f>
        <v>2.940084688</v>
      </c>
      <c r="AU11" s="35">
        <f>'1kpi_performance'!K11</f>
        <v>3.418701885</v>
      </c>
      <c r="AV11" s="35">
        <f>'1kpi_performance'!L11</f>
        <v>3.162922565</v>
      </c>
      <c r="AW11" s="35">
        <f>'1kpi_performance'!M11</f>
        <v>0.9058243038</v>
      </c>
      <c r="AX11" s="42">
        <f>'1kpi_performance'!N11</f>
        <v>0.1119995331</v>
      </c>
      <c r="AY11" s="42">
        <f>'1kpi_performance'!O11</f>
        <v>0.1655314702</v>
      </c>
      <c r="AZ11" s="42">
        <f>'1kpi_performance'!P11</f>
        <v>0.1322802363</v>
      </c>
      <c r="BA11" s="42">
        <f>'1kpi_performance'!Q11</f>
        <v>0.3345220452</v>
      </c>
      <c r="BB11" s="35">
        <f>'1kpi_performance'!R11</f>
        <v>6.784272377</v>
      </c>
      <c r="BC11" s="35">
        <f>'1kpi_performance'!S11</f>
        <v>8.324538511</v>
      </c>
      <c r="BD11" s="35">
        <f>'1kpi_performance'!T11</f>
        <v>6.959759379</v>
      </c>
      <c r="BE11" s="35">
        <f>'1kpi_performance'!U11</f>
        <v>1.759529622</v>
      </c>
      <c r="BF11" s="47"/>
      <c r="BG11" s="47"/>
      <c r="BH11" s="47"/>
      <c r="BI11" s="47"/>
      <c r="BJ11" s="47"/>
      <c r="BK11" s="47"/>
      <c r="BL11" s="47"/>
      <c r="BM11" s="47"/>
      <c r="BN11" s="47"/>
      <c r="BO11" s="47"/>
      <c r="BP11" s="47"/>
      <c r="BQ11" s="47"/>
      <c r="BR11" s="47"/>
      <c r="BS11" s="47"/>
      <c r="BT11" s="47"/>
    </row>
    <row r="12" ht="11.25" customHeight="1">
      <c r="A12" s="35" t="str">
        <f>'13all_company_profile'!A12</f>
        <v>ADBE</v>
      </c>
      <c r="B12" s="35" t="str">
        <f>'13all_company_profile'!B12</f>
        <v>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v>
      </c>
      <c r="C12" s="44" t="str">
        <f>'13all_company_profile'!C12</f>
        <v>https://financialmodelingprep.com/image-stock/ADBE.png</v>
      </c>
      <c r="D12" s="35" t="str">
        <f>'13all_company_profile'!D12</f>
        <v>Adobe Inc.</v>
      </c>
      <c r="E12" s="36">
        <f>'13all_company_profile'!E12</f>
        <v>288779370496</v>
      </c>
      <c r="F12" s="37">
        <f>'13all_company_profile'!F12</f>
        <v>2067685</v>
      </c>
      <c r="G12" s="35">
        <f>'13all_company_profile'!G12</f>
        <v>0</v>
      </c>
      <c r="H12" s="38" t="str">
        <f>'13all_company_profile'!H12</f>
        <v>not avaiable</v>
      </c>
      <c r="I12" s="35">
        <f>'13all_company_profile'!I12</f>
        <v>52.623276</v>
      </c>
      <c r="J12" s="35">
        <f>'13all_company_profile'!J12</f>
        <v>11.539</v>
      </c>
      <c r="K12" s="42" t="str">
        <f t="shared" si="1"/>
        <v>NaN</v>
      </c>
      <c r="L12" s="35">
        <f>'7company_info'!B12</f>
        <v>608.72</v>
      </c>
      <c r="M12" s="35">
        <f>'7company_info'!C12</f>
        <v>612.75</v>
      </c>
      <c r="N12" s="35">
        <f>'7company_info'!D12</f>
        <v>598.48</v>
      </c>
      <c r="O12" s="35">
        <f>'7company_info'!E12</f>
        <v>6.67</v>
      </c>
      <c r="P12" s="35">
        <f>'7company_info'!F12</f>
        <v>0.0111</v>
      </c>
      <c r="Q12" s="35">
        <f>'7company_info'!G12</f>
        <v>605.39</v>
      </c>
      <c r="R12" s="35">
        <f>'7company_info'!H12</f>
        <v>602.05</v>
      </c>
      <c r="S12" s="35">
        <f>'7company_info'!I12</f>
        <v>420.78</v>
      </c>
      <c r="T12" s="35">
        <f>'7company_info'!J12</f>
        <v>612.75</v>
      </c>
      <c r="U12" s="39">
        <v>608.048333333333</v>
      </c>
      <c r="V12" s="39">
        <v>612.086666666666</v>
      </c>
      <c r="W12" s="40">
        <v>615.343333333333</v>
      </c>
      <c r="X12" s="40">
        <v>622.638333333333</v>
      </c>
      <c r="Y12" s="40">
        <v>604.791666666666</v>
      </c>
      <c r="Z12" s="40">
        <v>600.753333333333</v>
      </c>
      <c r="AA12" s="40">
        <v>593.458333333333</v>
      </c>
      <c r="AB12" s="40">
        <v>587.96</v>
      </c>
      <c r="AC12" s="40">
        <v>611.305</v>
      </c>
      <c r="AD12" s="40">
        <v>581.904652963503</v>
      </c>
      <c r="AE12" s="40">
        <v>584.60878</v>
      </c>
      <c r="AF12" s="40">
        <v>10.0793799999999</v>
      </c>
      <c r="AG12" s="40">
        <v>525.44</v>
      </c>
      <c r="AH12" s="45">
        <v>44302.0</v>
      </c>
      <c r="AI12" s="44" t="str">
        <f>'6image_RS_benchmark_performance'!B12</f>
        <v>https://3arbzfbsh-cname-us.ngrok.io/Desktop/seabridge%20fintech/image_app/ADBE_resistance_support.jpg</v>
      </c>
      <c r="AJ12" s="44" t="str">
        <f>'6image_RS_benchmark_performance'!C12</f>
        <v>https://3arbzfbsh-cname-us.ngrok.io/Desktop/seabridge%20fintech/profit_graph_app/ADBE_Return.jpg</v>
      </c>
      <c r="AK12" s="46" t="str">
        <f>'5price_action_icon'!B12</f>
        <v>https://3arbzfbsh-cname-us.ngrok.io/Desktop/seabridge%20fintech/icon/ADBE_pa_trend_signal</v>
      </c>
      <c r="AL12" s="42">
        <f>'1kpi_performance'!B12</f>
        <v>0.6596111209</v>
      </c>
      <c r="AM12" s="42">
        <f>'1kpi_performance'!C12</f>
        <v>0.9109798718</v>
      </c>
      <c r="AN12" s="42">
        <f>'1kpi_performance'!D12</f>
        <v>0.6907262162</v>
      </c>
      <c r="AO12" s="42">
        <f>'1kpi_performance'!E12</f>
        <v>0.4233679795</v>
      </c>
      <c r="AP12" s="42">
        <f>'1kpi_performance'!F12</f>
        <v>0.2278437463</v>
      </c>
      <c r="AQ12" s="42">
        <f>'1kpi_performance'!G12</f>
        <v>0.2464963877</v>
      </c>
      <c r="AR12" s="42">
        <f>'1kpi_performance'!H12</f>
        <v>0.2645180874</v>
      </c>
      <c r="AS12" s="42">
        <f>'1kpi_performance'!I12</f>
        <v>0.3616932876</v>
      </c>
      <c r="AT12" s="35">
        <f>'1kpi_performance'!J12</f>
        <v>2.785290934</v>
      </c>
      <c r="AU12" s="35">
        <f>'1kpi_performance'!K12</f>
        <v>3.594291503</v>
      </c>
      <c r="AV12" s="35">
        <f>'1kpi_performance'!L12</f>
        <v>2.516751209</v>
      </c>
      <c r="AW12" s="35">
        <f>'1kpi_performance'!M12</f>
        <v>1.101397215</v>
      </c>
      <c r="AX12" s="42">
        <f>'1kpi_performance'!N12</f>
        <v>0.1549111623</v>
      </c>
      <c r="AY12" s="42">
        <f>'1kpi_performance'!O12</f>
        <v>0.09532845873</v>
      </c>
      <c r="AZ12" s="42">
        <f>'1kpi_performance'!P12</f>
        <v>0.2167101828</v>
      </c>
      <c r="BA12" s="42">
        <f>'1kpi_performance'!Q12</f>
        <v>0.3785264311</v>
      </c>
      <c r="BB12" s="35">
        <f>'1kpi_performance'!R12</f>
        <v>6.053996309</v>
      </c>
      <c r="BC12" s="35">
        <f>'1kpi_performance'!S12</f>
        <v>8.754410686</v>
      </c>
      <c r="BD12" s="35">
        <f>'1kpi_performance'!T12</f>
        <v>5.321756158</v>
      </c>
      <c r="BE12" s="35">
        <f>'1kpi_performance'!U12</f>
        <v>2.174917873</v>
      </c>
      <c r="BF12" s="47"/>
      <c r="BG12" s="47"/>
      <c r="BH12" s="47"/>
      <c r="BI12" s="47"/>
      <c r="BJ12" s="47"/>
      <c r="BK12" s="47"/>
      <c r="BL12" s="47"/>
      <c r="BM12" s="47"/>
      <c r="BN12" s="47"/>
      <c r="BO12" s="47"/>
      <c r="BP12" s="47"/>
      <c r="BQ12" s="47"/>
      <c r="BR12" s="47"/>
      <c r="BS12" s="47"/>
      <c r="BT12" s="47"/>
    </row>
    <row r="13" ht="11.25" customHeight="1">
      <c r="A13" s="35" t="str">
        <f>'13all_company_profile'!A13</f>
        <v>ADI</v>
      </c>
      <c r="B13" s="35" t="str">
        <f>'13all_company_profile'!B13</f>
        <v>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v>
      </c>
      <c r="C13" s="44" t="str">
        <f>'13all_company_profile'!C13</f>
        <v>https://financialmodelingprep.com/image-stock/ADI.png</v>
      </c>
      <c r="D13" s="35" t="str">
        <f>'13all_company_profile'!D13</f>
        <v>Analog Devices, Inc.</v>
      </c>
      <c r="E13" s="36">
        <f>'13all_company_profile'!E13</f>
        <v>60362227712</v>
      </c>
      <c r="F13" s="37">
        <f>'13all_company_profile'!F13</f>
        <v>3198609</v>
      </c>
      <c r="G13" s="35">
        <f>'13all_company_profile'!G13</f>
        <v>2.62</v>
      </c>
      <c r="H13" s="38" t="str">
        <f>'13all_company_profile'!H13</f>
        <v>not avaiable</v>
      </c>
      <c r="I13" s="35">
        <f>'13all_company_profile'!I13</f>
        <v>38.362743</v>
      </c>
      <c r="J13" s="35">
        <f>'13all_company_profile'!J13</f>
        <v>4.19</v>
      </c>
      <c r="K13" s="42">
        <f t="shared" si="1"/>
        <v>0.01628239388</v>
      </c>
      <c r="L13" s="35">
        <f>'7company_info'!B13</f>
        <v>160.91</v>
      </c>
      <c r="M13" s="35">
        <f>'7company_info'!C13</f>
        <v>161.81</v>
      </c>
      <c r="N13" s="35">
        <f>'7company_info'!D13</f>
        <v>157.92</v>
      </c>
      <c r="O13" s="35">
        <f>'7company_info'!E13</f>
        <v>1.93</v>
      </c>
      <c r="P13" s="35">
        <f>'7company_info'!F13</f>
        <v>0.0121</v>
      </c>
      <c r="Q13" s="35">
        <f>'7company_info'!G13</f>
        <v>159.34</v>
      </c>
      <c r="R13" s="35">
        <f>'7company_info'!H13</f>
        <v>158.98</v>
      </c>
      <c r="S13" s="35">
        <f>'7company_info'!I13</f>
        <v>110.47</v>
      </c>
      <c r="T13" s="35">
        <f>'7company_info'!J13</f>
        <v>172.45</v>
      </c>
      <c r="U13" s="39">
        <v>167.343333333333</v>
      </c>
      <c r="V13" s="39">
        <v>168.816666666666</v>
      </c>
      <c r="W13" s="40">
        <v>171.473333333333</v>
      </c>
      <c r="X13" s="40">
        <v>175.603333333333</v>
      </c>
      <c r="Y13" s="40">
        <v>164.686666666666</v>
      </c>
      <c r="Z13" s="40">
        <v>163.213333333333</v>
      </c>
      <c r="AA13" s="40">
        <v>159.083333333333</v>
      </c>
      <c r="AB13" s="40">
        <v>168.44</v>
      </c>
      <c r="AC13" s="40">
        <v>170.0</v>
      </c>
      <c r="AD13" s="40">
        <v>166.569949030787</v>
      </c>
      <c r="AE13" s="40">
        <v>161.07618</v>
      </c>
      <c r="AF13" s="40">
        <v>3.20666</v>
      </c>
      <c r="AG13" s="40">
        <v>172.45</v>
      </c>
      <c r="AH13" s="45">
        <v>44377.0</v>
      </c>
      <c r="AI13" s="44" t="str">
        <f>'6image_RS_benchmark_performance'!B13</f>
        <v>https://3arbzfbsh-cname-us.ngrok.io/Desktop/seabridge%20fintech/image_app/ADI_resistance_support.jpg</v>
      </c>
      <c r="AJ13" s="44" t="str">
        <f>'6image_RS_benchmark_performance'!C13</f>
        <v>https://3arbzfbsh-cname-us.ngrok.io/Desktop/seabridge%20fintech/profit_graph_app/ADI_Return.jpg</v>
      </c>
      <c r="AK13" s="46" t="str">
        <f>'5price_action_icon'!B13</f>
        <v>https://3arbzfbsh-cname-us.ngrok.io/Desktop/seabridge%20fintech/icon/ADI_pa_trend_signal</v>
      </c>
      <c r="AL13" s="42">
        <f>'1kpi_performance'!B13</f>
        <v>0.5856855427</v>
      </c>
      <c r="AM13" s="42">
        <f>'1kpi_performance'!C13</f>
        <v>0.7055272012</v>
      </c>
      <c r="AN13" s="42">
        <f>'1kpi_performance'!D13</f>
        <v>0.7964205894</v>
      </c>
      <c r="AO13" s="42">
        <f>'1kpi_performance'!E13</f>
        <v>0.2426790804</v>
      </c>
      <c r="AP13" s="42">
        <f>'1kpi_performance'!F13</f>
        <v>0.2312348317</v>
      </c>
      <c r="AQ13" s="42">
        <f>'1kpi_performance'!G13</f>
        <v>0.2252471729</v>
      </c>
      <c r="AR13" s="42">
        <f>'1kpi_performance'!H13</f>
        <v>0.2327313881</v>
      </c>
      <c r="AS13" s="42">
        <f>'1kpi_performance'!I13</f>
        <v>0.3434669331</v>
      </c>
      <c r="AT13" s="35">
        <f>'1kpi_performance'!J13</f>
        <v>2.424745176</v>
      </c>
      <c r="AU13" s="35">
        <f>'1kpi_performance'!K13</f>
        <v>3.021246361</v>
      </c>
      <c r="AV13" s="35">
        <f>'1kpi_performance'!L13</f>
        <v>3.314639232</v>
      </c>
      <c r="AW13" s="35">
        <f>'1kpi_performance'!M13</f>
        <v>0.6337701229</v>
      </c>
      <c r="AX13" s="42">
        <f>'1kpi_performance'!N13</f>
        <v>0.1088384909</v>
      </c>
      <c r="AY13" s="42">
        <f>'1kpi_performance'!O13</f>
        <v>0.08770072349</v>
      </c>
      <c r="AZ13" s="42">
        <f>'1kpi_performance'!P13</f>
        <v>0.18170347</v>
      </c>
      <c r="BA13" s="42">
        <f>'1kpi_performance'!Q13</f>
        <v>0.3402599487</v>
      </c>
      <c r="BB13" s="35">
        <f>'1kpi_performance'!R13</f>
        <v>5.28105101</v>
      </c>
      <c r="BC13" s="35">
        <f>'1kpi_performance'!S13</f>
        <v>6.944843505</v>
      </c>
      <c r="BD13" s="35">
        <f>'1kpi_performance'!T13</f>
        <v>7.321870363</v>
      </c>
      <c r="BE13" s="35">
        <f>'1kpi_performance'!U13</f>
        <v>1.261129628</v>
      </c>
      <c r="BF13" s="47"/>
      <c r="BG13" s="47"/>
      <c r="BH13" s="47"/>
      <c r="BI13" s="47"/>
      <c r="BJ13" s="47"/>
      <c r="BK13" s="47"/>
      <c r="BL13" s="47"/>
      <c r="BM13" s="47"/>
      <c r="BN13" s="47"/>
      <c r="BO13" s="47"/>
      <c r="BP13" s="47"/>
      <c r="BQ13" s="47"/>
      <c r="BR13" s="47"/>
      <c r="BS13" s="47"/>
      <c r="BT13" s="47"/>
    </row>
    <row r="14" ht="11.25" customHeight="1">
      <c r="A14" s="35" t="str">
        <f>'13all_company_profile'!A14</f>
        <v>ADM</v>
      </c>
      <c r="B14" s="35" t="str">
        <f>'13all_company_profile'!B14</f>
        <v>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v>
      </c>
      <c r="C14" s="44" t="str">
        <f>'13all_company_profile'!C14</f>
        <v>https://financialmodelingprep.com/image-stock/ADM.png</v>
      </c>
      <c r="D14" s="35" t="str">
        <f>'13all_company_profile'!D14</f>
        <v>Archer-Daniels-Midland Company</v>
      </c>
      <c r="E14" s="36">
        <f>'13all_company_profile'!E14</f>
        <v>32969005056</v>
      </c>
      <c r="F14" s="37">
        <f>'13all_company_profile'!F14</f>
        <v>2572373</v>
      </c>
      <c r="G14" s="35">
        <f>'13all_company_profile'!G14</f>
        <v>1.46</v>
      </c>
      <c r="H14" s="38">
        <f>'13all_company_profile'!H14</f>
        <v>44404</v>
      </c>
      <c r="I14" s="35">
        <f>'13all_company_profile'!I14</f>
        <v>15.764737</v>
      </c>
      <c r="J14" s="35">
        <f>'13all_company_profile'!J14</f>
        <v>3.681</v>
      </c>
      <c r="K14" s="42">
        <f t="shared" si="1"/>
        <v>0.02515940031</v>
      </c>
      <c r="L14" s="35">
        <f>'7company_info'!B14</f>
        <v>58.03</v>
      </c>
      <c r="M14" s="35">
        <f>'7company_info'!C14</f>
        <v>58.7</v>
      </c>
      <c r="N14" s="35">
        <f>'7company_info'!D14</f>
        <v>57.27</v>
      </c>
      <c r="O14" s="35">
        <f>'7company_info'!E14</f>
        <v>0.58</v>
      </c>
      <c r="P14" s="35">
        <f>'7company_info'!F14</f>
        <v>0.0101</v>
      </c>
      <c r="Q14" s="35">
        <f>'7company_info'!G14</f>
        <v>57.52</v>
      </c>
      <c r="R14" s="35">
        <f>'7company_info'!H14</f>
        <v>57.45</v>
      </c>
      <c r="S14" s="35">
        <f>'7company_info'!I14</f>
        <v>40.22</v>
      </c>
      <c r="T14" s="35">
        <f>'7company_info'!J14</f>
        <v>69.3</v>
      </c>
      <c r="U14" s="39">
        <v>59.05</v>
      </c>
      <c r="V14" s="39">
        <v>59.44</v>
      </c>
      <c r="W14" s="40">
        <v>60.1</v>
      </c>
      <c r="X14" s="40">
        <v>61.15</v>
      </c>
      <c r="Y14" s="40">
        <v>58.39</v>
      </c>
      <c r="Z14" s="40">
        <v>58.0</v>
      </c>
      <c r="AA14" s="40">
        <v>56.95</v>
      </c>
      <c r="AB14" s="40">
        <v>59.7403</v>
      </c>
      <c r="AC14" s="40">
        <v>60.8</v>
      </c>
      <c r="AD14" s="40">
        <v>61.1576776894766</v>
      </c>
      <c r="AE14" s="40">
        <v>57.03853</v>
      </c>
      <c r="AF14" s="40">
        <v>1.097235</v>
      </c>
      <c r="AG14" s="40">
        <v>69.3</v>
      </c>
      <c r="AH14" s="45">
        <v>44354.0</v>
      </c>
      <c r="AI14" s="44" t="str">
        <f>'6image_RS_benchmark_performance'!B14</f>
        <v>https://3arbzfbsh-cname-us.ngrok.io/Desktop/seabridge%20fintech/image_app/ADM_resistance_support.jpg</v>
      </c>
      <c r="AJ14" s="44" t="str">
        <f>'6image_RS_benchmark_performance'!C14</f>
        <v>https://3arbzfbsh-cname-us.ngrok.io/Desktop/seabridge%20fintech/profit_graph_app/ADM_Return.jpg</v>
      </c>
      <c r="AK14" s="46" t="str">
        <f>'5price_action_icon'!B14</f>
        <v>https://3arbzfbsh-cname-us.ngrok.io/Desktop/seabridge%20fintech/icon/ADM_pa_trend_signal</v>
      </c>
      <c r="AL14" s="42">
        <f>'1kpi_performance'!B14</f>
        <v>0.4210748277</v>
      </c>
      <c r="AM14" s="42">
        <f>'1kpi_performance'!C14</f>
        <v>0.6454592448</v>
      </c>
      <c r="AN14" s="42">
        <f>'1kpi_performance'!D14</f>
        <v>0.5161828311</v>
      </c>
      <c r="AO14" s="42">
        <f>'1kpi_performance'!E14</f>
        <v>0.08545501559</v>
      </c>
      <c r="AP14" s="42">
        <f>'1kpi_performance'!F14</f>
        <v>0.2057903274</v>
      </c>
      <c r="AQ14" s="42">
        <f>'1kpi_performance'!G14</f>
        <v>0.1840917225</v>
      </c>
      <c r="AR14" s="42">
        <f>'1kpi_performance'!H14</f>
        <v>0.1902748149</v>
      </c>
      <c r="AS14" s="42">
        <f>'1kpi_performance'!I14</f>
        <v>0.3012847827</v>
      </c>
      <c r="AT14" s="35">
        <f>'1kpi_performance'!J14</f>
        <v>1.924652304</v>
      </c>
      <c r="AU14" s="35">
        <f>'1kpi_performance'!K14</f>
        <v>3.370381005</v>
      </c>
      <c r="AV14" s="35">
        <f>'1kpi_performance'!L14</f>
        <v>2.581439017</v>
      </c>
      <c r="AW14" s="35">
        <f>'1kpi_performance'!M14</f>
        <v>0.2006573815</v>
      </c>
      <c r="AX14" s="42">
        <f>'1kpi_performance'!N14</f>
        <v>0.1687464549</v>
      </c>
      <c r="AY14" s="42">
        <f>'1kpi_performance'!O14</f>
        <v>0.07945057845</v>
      </c>
      <c r="AZ14" s="42">
        <f>'1kpi_performance'!P14</f>
        <v>0.2267692308</v>
      </c>
      <c r="BA14" s="42">
        <f>'1kpi_performance'!Q14</f>
        <v>0.4542915658</v>
      </c>
      <c r="BB14" s="35">
        <f>'1kpi_performance'!R14</f>
        <v>3.785018134</v>
      </c>
      <c r="BC14" s="35">
        <f>'1kpi_performance'!S14</f>
        <v>7.874423035</v>
      </c>
      <c r="BD14" s="35">
        <f>'1kpi_performance'!T14</f>
        <v>5.463394635</v>
      </c>
      <c r="BE14" s="35">
        <f>'1kpi_performance'!U14</f>
        <v>0.3779482067</v>
      </c>
      <c r="BF14" s="47"/>
      <c r="BG14" s="47"/>
      <c r="BH14" s="47"/>
      <c r="BI14" s="47"/>
      <c r="BJ14" s="47"/>
      <c r="BK14" s="47"/>
      <c r="BL14" s="47"/>
      <c r="BM14" s="47"/>
      <c r="BN14" s="47"/>
      <c r="BO14" s="47"/>
      <c r="BP14" s="47"/>
      <c r="BQ14" s="47"/>
      <c r="BR14" s="47"/>
      <c r="BS14" s="47"/>
      <c r="BT14" s="47"/>
    </row>
    <row r="15" ht="11.25" customHeight="1">
      <c r="A15" s="35" t="str">
        <f>'13all_company_profile'!A15</f>
        <v>ADP</v>
      </c>
      <c r="B15" s="35" t="str">
        <f>'13all_company_profile'!B15</f>
        <v>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v>
      </c>
      <c r="C15" s="44" t="str">
        <f>'13all_company_profile'!C15</f>
        <v>https://financialmodelingprep.com/image-stock/ADP.png</v>
      </c>
      <c r="D15" s="35" t="str">
        <f>'13all_company_profile'!D15</f>
        <v>Automatic Data Processing, Inc.</v>
      </c>
      <c r="E15" s="36">
        <f>'13all_company_profile'!E15</f>
        <v>88094990336</v>
      </c>
      <c r="F15" s="37">
        <f>'13all_company_profile'!F15</f>
        <v>1553192</v>
      </c>
      <c r="G15" s="35">
        <f>'13all_company_profile'!G15</f>
        <v>3.7</v>
      </c>
      <c r="H15" s="38">
        <f>'13all_company_profile'!H15</f>
        <v>44405</v>
      </c>
      <c r="I15" s="35">
        <f>'13all_company_profile'!I15</f>
        <v>35.814075</v>
      </c>
      <c r="J15" s="35">
        <f>'13all_company_profile'!J15</f>
        <v>5.755</v>
      </c>
      <c r="K15" s="42">
        <f t="shared" si="1"/>
        <v>0.01821403958</v>
      </c>
      <c r="L15" s="35">
        <f>'7company_info'!B15</f>
        <v>203.14</v>
      </c>
      <c r="M15" s="35">
        <f>'7company_info'!C15</f>
        <v>205.76</v>
      </c>
      <c r="N15" s="35">
        <f>'7company_info'!D15</f>
        <v>202.16</v>
      </c>
      <c r="O15" s="35">
        <f>'7company_info'!E15</f>
        <v>1.46</v>
      </c>
      <c r="P15" s="35">
        <f>'7company_info'!F15</f>
        <v>0.0072</v>
      </c>
      <c r="Q15" s="35">
        <f>'7company_info'!G15</f>
        <v>202.78</v>
      </c>
      <c r="R15" s="35">
        <f>'7company_info'!H15</f>
        <v>201.68</v>
      </c>
      <c r="S15" s="35">
        <f>'7company_info'!I15</f>
        <v>127.31</v>
      </c>
      <c r="T15" s="35">
        <f>'7company_info'!J15</f>
        <v>208.58</v>
      </c>
      <c r="U15" s="39">
        <v>204.61</v>
      </c>
      <c r="V15" s="39">
        <v>205.3</v>
      </c>
      <c r="W15" s="40">
        <v>206.1</v>
      </c>
      <c r="X15" s="40">
        <v>207.59</v>
      </c>
      <c r="Y15" s="40">
        <v>203.81</v>
      </c>
      <c r="Z15" s="40">
        <v>203.12</v>
      </c>
      <c r="AA15" s="40">
        <v>201.63</v>
      </c>
      <c r="AB15" s="40">
        <v>200.06</v>
      </c>
      <c r="AC15" s="40">
        <v>205.41</v>
      </c>
      <c r="AD15" s="40">
        <v>200.350760462168</v>
      </c>
      <c r="AE15" s="40">
        <v>198.88956</v>
      </c>
      <c r="AF15" s="40">
        <v>2.49822</v>
      </c>
      <c r="AG15" s="40">
        <v>200.51</v>
      </c>
      <c r="AH15" s="45">
        <v>44356.0</v>
      </c>
      <c r="AI15" s="44" t="str">
        <f>'6image_RS_benchmark_performance'!B15</f>
        <v>https://3arbzfbsh-cname-us.ngrok.io/Desktop/seabridge%20fintech/image_app/ADP_resistance_support.jpg</v>
      </c>
      <c r="AJ15" s="44" t="str">
        <f>'6image_RS_benchmark_performance'!C15</f>
        <v>https://3arbzfbsh-cname-us.ngrok.io/Desktop/seabridge%20fintech/profit_graph_app/ADP_Return.jpg</v>
      </c>
      <c r="AK15" s="46" t="str">
        <f>'5price_action_icon'!B15</f>
        <v>https://3arbzfbsh-cname-us.ngrok.io/Desktop/seabridge%20fintech/icon/ADP_pa_trend_signal</v>
      </c>
      <c r="AL15" s="42">
        <f>'1kpi_performance'!B15</f>
        <v>0.4656302278</v>
      </c>
      <c r="AM15" s="42">
        <f>'1kpi_performance'!C15</f>
        <v>0.553788357</v>
      </c>
      <c r="AN15" s="42">
        <f>'1kpi_performance'!D15</f>
        <v>0.4199295181</v>
      </c>
      <c r="AO15" s="42">
        <f>'1kpi_performance'!E15</f>
        <v>0.2375314942</v>
      </c>
      <c r="AP15" s="42">
        <f>'1kpi_performance'!F15</f>
        <v>0.1695736899</v>
      </c>
      <c r="AQ15" s="42">
        <f>'1kpi_performance'!G15</f>
        <v>0.1818158358</v>
      </c>
      <c r="AR15" s="42">
        <f>'1kpi_performance'!H15</f>
        <v>0.1503808705</v>
      </c>
      <c r="AS15" s="42">
        <f>'1kpi_performance'!I15</f>
        <v>0.2615940481</v>
      </c>
      <c r="AT15" s="35">
        <f>'1kpi_performance'!J15</f>
        <v>2.598458688</v>
      </c>
      <c r="AU15" s="35">
        <f>'1kpi_performance'!K15</f>
        <v>2.90837349</v>
      </c>
      <c r="AV15" s="35">
        <f>'1kpi_performance'!L15</f>
        <v>2.626195185</v>
      </c>
      <c r="AW15" s="35">
        <f>'1kpi_performance'!M15</f>
        <v>0.8124477439</v>
      </c>
      <c r="AX15" s="42">
        <f>'1kpi_performance'!N15</f>
        <v>0.1126900403</v>
      </c>
      <c r="AY15" s="42">
        <f>'1kpi_performance'!O15</f>
        <v>0.07229180633</v>
      </c>
      <c r="AZ15" s="42">
        <f>'1kpi_performance'!P15</f>
        <v>0.1247241335</v>
      </c>
      <c r="BA15" s="42">
        <f>'1kpi_performance'!Q15</f>
        <v>0.3982344828</v>
      </c>
      <c r="BB15" s="35">
        <f>'1kpi_performance'!R15</f>
        <v>5.646844704</v>
      </c>
      <c r="BC15" s="35">
        <f>'1kpi_performance'!S15</f>
        <v>6.718189891</v>
      </c>
      <c r="BD15" s="35">
        <f>'1kpi_performance'!T15</f>
        <v>5.882863823</v>
      </c>
      <c r="BE15" s="35">
        <f>'1kpi_performance'!U15</f>
        <v>1.528397195</v>
      </c>
      <c r="BF15" s="47"/>
      <c r="BG15" s="47"/>
      <c r="BH15" s="47"/>
      <c r="BI15" s="47"/>
      <c r="BJ15" s="47"/>
      <c r="BK15" s="47"/>
      <c r="BL15" s="47"/>
      <c r="BM15" s="47"/>
      <c r="BN15" s="47"/>
      <c r="BO15" s="47"/>
      <c r="BP15" s="47"/>
      <c r="BQ15" s="47"/>
      <c r="BR15" s="47"/>
      <c r="BS15" s="47"/>
      <c r="BT15" s="47"/>
    </row>
    <row r="16" ht="19.5" customHeight="1">
      <c r="A16" s="35" t="str">
        <f>'13all_company_profile'!A16</f>
        <v>ADSK</v>
      </c>
      <c r="B16" s="35" t="str">
        <f>'13all_company_profile'!B16</f>
        <v>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v>
      </c>
      <c r="C16" s="44" t="str">
        <f>'13all_company_profile'!C16</f>
        <v>https://financialmodelingprep.com/image-stock/ADSK.png</v>
      </c>
      <c r="D16" s="35" t="str">
        <f>'13all_company_profile'!D16</f>
        <v>Autodesk, Inc.</v>
      </c>
      <c r="E16" s="36">
        <f>'13all_company_profile'!E16</f>
        <v>64857632768</v>
      </c>
      <c r="F16" s="37">
        <f>'13all_company_profile'!F16</f>
        <v>1095225</v>
      </c>
      <c r="G16" s="35">
        <f>'13all_company_profile'!G16</f>
        <v>0</v>
      </c>
      <c r="H16" s="38" t="str">
        <f>'13all_company_profile'!H16</f>
        <v>not avaiable</v>
      </c>
      <c r="I16" s="35">
        <f>'13all_company_profile'!I16</f>
        <v>50.34613</v>
      </c>
      <c r="J16" s="35">
        <f>'13all_company_profile'!J16</f>
        <v>5.836</v>
      </c>
      <c r="K16" s="42" t="str">
        <f t="shared" si="1"/>
        <v>NaN</v>
      </c>
      <c r="L16" s="35">
        <f>'7company_info'!B16</f>
        <v>296.12</v>
      </c>
      <c r="M16" s="35">
        <f>'7company_info'!C16</f>
        <v>298.64</v>
      </c>
      <c r="N16" s="35">
        <f>'7company_info'!D16</f>
        <v>285.92</v>
      </c>
      <c r="O16" s="35">
        <f>'7company_info'!E16</f>
        <v>8.81</v>
      </c>
      <c r="P16" s="35">
        <f>'7company_info'!F16</f>
        <v>0.0307</v>
      </c>
      <c r="Q16" s="35">
        <f>'7company_info'!G16</f>
        <v>287.9</v>
      </c>
      <c r="R16" s="35">
        <f>'7company_info'!H16</f>
        <v>287.31</v>
      </c>
      <c r="S16" s="35">
        <f>'7company_info'!I16</f>
        <v>215.83</v>
      </c>
      <c r="T16" s="35">
        <f>'7company_info'!J16</f>
        <v>321.13</v>
      </c>
      <c r="U16" s="39">
        <v>297.988333333333</v>
      </c>
      <c r="V16" s="39">
        <v>299.836666666666</v>
      </c>
      <c r="W16" s="40">
        <v>302.573333333333</v>
      </c>
      <c r="X16" s="40">
        <v>307.158333333333</v>
      </c>
      <c r="Y16" s="40">
        <v>295.251666666666</v>
      </c>
      <c r="Z16" s="40">
        <v>293.403333333333</v>
      </c>
      <c r="AA16" s="40">
        <v>288.818333333333</v>
      </c>
      <c r="AB16" s="40">
        <v>277.13</v>
      </c>
      <c r="AC16" s="40">
        <v>299.205</v>
      </c>
      <c r="AD16" s="40">
        <v>290.950770211922</v>
      </c>
      <c r="AE16" s="40">
        <v>284.25069</v>
      </c>
      <c r="AF16" s="40">
        <v>6.02665499999999</v>
      </c>
      <c r="AG16" s="40">
        <v>316.35</v>
      </c>
      <c r="AH16" s="45">
        <v>44211.0</v>
      </c>
      <c r="AI16" s="44" t="str">
        <f>'6image_RS_benchmark_performance'!B16</f>
        <v>https://3arbzfbsh-cname-us.ngrok.io/Desktop/seabridge%20fintech/image_app/ADSK_resistance_support.jpg</v>
      </c>
      <c r="AJ16" s="44" t="str">
        <f>'6image_RS_benchmark_performance'!C16</f>
        <v>https://3arbzfbsh-cname-us.ngrok.io/Desktop/seabridge%20fintech/profit_graph_app/ADSK_Return.jpg</v>
      </c>
      <c r="AK16" s="46" t="str">
        <f>'5price_action_icon'!B16</f>
        <v>https://3arbzfbsh-cname-us.ngrok.io/Desktop/seabridge%20fintech/icon/ADSK_pa_trend_signal</v>
      </c>
      <c r="AL16" s="42">
        <f>'1kpi_performance'!B16</f>
        <v>1.004813368</v>
      </c>
      <c r="AM16" s="42">
        <f>'1kpi_performance'!C16</f>
        <v>1.252824177</v>
      </c>
      <c r="AN16" s="42">
        <f>'1kpi_performance'!D16</f>
        <v>1.255541958</v>
      </c>
      <c r="AO16" s="42">
        <f>'1kpi_performance'!E16</f>
        <v>0.3566828144</v>
      </c>
      <c r="AP16" s="42">
        <f>'1kpi_performance'!F16</f>
        <v>0.2914016219</v>
      </c>
      <c r="AQ16" s="42">
        <f>'1kpi_performance'!G16</f>
        <v>0.2787147768</v>
      </c>
      <c r="AR16" s="42">
        <f>'1kpi_performance'!H16</f>
        <v>0.2777752763</v>
      </c>
      <c r="AS16" s="42">
        <f>'1kpi_performance'!I16</f>
        <v>0.4276739514</v>
      </c>
      <c r="AT16" s="35">
        <f>'1kpi_performance'!J16</f>
        <v>3.36241563</v>
      </c>
      <c r="AU16" s="35">
        <f>'1kpi_performance'!K16</f>
        <v>4.405307071</v>
      </c>
      <c r="AV16" s="35">
        <f>'1kpi_performance'!L16</f>
        <v>4.429990941</v>
      </c>
      <c r="AW16" s="35">
        <f>'1kpi_performance'!M16</f>
        <v>0.7755506581</v>
      </c>
      <c r="AX16" s="42">
        <f>'1kpi_performance'!N16</f>
        <v>0.1524066386</v>
      </c>
      <c r="AY16" s="42">
        <f>'1kpi_performance'!O16</f>
        <v>0.09893617021</v>
      </c>
      <c r="AZ16" s="42">
        <f>'1kpi_performance'!P16</f>
        <v>0.276076555</v>
      </c>
      <c r="BA16" s="42">
        <f>'1kpi_performance'!Q16</f>
        <v>0.4909762992</v>
      </c>
      <c r="BB16" s="35">
        <f>'1kpi_performance'!R16</f>
        <v>7.463940285</v>
      </c>
      <c r="BC16" s="35">
        <f>'1kpi_performance'!S16</f>
        <v>11.19731558</v>
      </c>
      <c r="BD16" s="35">
        <f>'1kpi_performance'!T16</f>
        <v>9.722877157</v>
      </c>
      <c r="BE16" s="35">
        <f>'1kpi_performance'!U16</f>
        <v>1.516426682</v>
      </c>
      <c r="BF16" s="47"/>
      <c r="BG16" s="47"/>
      <c r="BH16" s="47"/>
      <c r="BI16" s="47"/>
      <c r="BJ16" s="47"/>
      <c r="BK16" s="47"/>
      <c r="BL16" s="47"/>
      <c r="BM16" s="47"/>
      <c r="BN16" s="47"/>
      <c r="BO16" s="47"/>
      <c r="BP16" s="47"/>
      <c r="BQ16" s="47"/>
      <c r="BR16" s="47"/>
      <c r="BS16" s="47"/>
      <c r="BT16" s="47"/>
    </row>
    <row r="17" ht="15.75" customHeight="1">
      <c r="A17" s="35" t="str">
        <f>'13all_company_profile'!A17</f>
        <v>AEE</v>
      </c>
      <c r="B17" s="35" t="str">
        <f>'13all_company_profile'!B17</f>
        <v>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v>
      </c>
      <c r="C17" s="44" t="str">
        <f>'13all_company_profile'!C17</f>
        <v>https://financialmodelingprep.com/image-stock/AEE.png</v>
      </c>
      <c r="D17" s="35" t="str">
        <f>'13all_company_profile'!D17</f>
        <v>Ameren Corporation</v>
      </c>
      <c r="E17" s="36">
        <f>'13all_company_profile'!E17</f>
        <v>21507340288</v>
      </c>
      <c r="F17" s="37">
        <f>'13all_company_profile'!F17</f>
        <v>1346936</v>
      </c>
      <c r="G17" s="35">
        <f>'13all_company_profile'!G17</f>
        <v>2.11</v>
      </c>
      <c r="H17" s="38">
        <f>'13all_company_profile'!H17</f>
        <v>44413</v>
      </c>
      <c r="I17" s="35">
        <f>'13all_company_profile'!I17</f>
        <v>22.351728</v>
      </c>
      <c r="J17" s="35">
        <f>'13all_company_profile'!J17</f>
        <v>3.818</v>
      </c>
      <c r="K17" s="42">
        <f t="shared" si="1"/>
        <v>0.02512502977</v>
      </c>
      <c r="L17" s="35">
        <f>'7company_info'!B17</f>
        <v>83.98</v>
      </c>
      <c r="M17" s="35">
        <f>'7company_info'!C17</f>
        <v>85.11</v>
      </c>
      <c r="N17" s="35">
        <f>'7company_info'!D17</f>
        <v>83.73</v>
      </c>
      <c r="O17" s="35">
        <f>'7company_info'!E17</f>
        <v>0</v>
      </c>
      <c r="P17" s="35">
        <f>'7company_info'!F17</f>
        <v>0</v>
      </c>
      <c r="Q17" s="35">
        <f>'7company_info'!G17</f>
        <v>84.09</v>
      </c>
      <c r="R17" s="35">
        <f>'7company_info'!H17</f>
        <v>83.98</v>
      </c>
      <c r="S17" s="35">
        <f>'7company_info'!I17</f>
        <v>69.79</v>
      </c>
      <c r="T17" s="35">
        <f>'7company_info'!J17</f>
        <v>86.9</v>
      </c>
      <c r="U17" s="39">
        <v>82.9633333333333</v>
      </c>
      <c r="V17" s="39">
        <v>83.8966666666666</v>
      </c>
      <c r="W17" s="40">
        <v>84.5733333333333</v>
      </c>
      <c r="X17" s="40">
        <v>86.1833333333333</v>
      </c>
      <c r="Y17" s="40">
        <v>82.2866666666666</v>
      </c>
      <c r="Z17" s="40">
        <v>81.3533333333333</v>
      </c>
      <c r="AA17" s="40">
        <v>79.7433333333333</v>
      </c>
      <c r="AB17" s="40">
        <v>80.2</v>
      </c>
      <c r="AC17" s="40">
        <v>86.78</v>
      </c>
      <c r="AD17" s="40">
        <v>82.4768820453509</v>
      </c>
      <c r="AE17" s="40">
        <v>79.863</v>
      </c>
      <c r="AF17" s="40">
        <v>1.39499999999999</v>
      </c>
      <c r="AG17" s="40">
        <v>86.78</v>
      </c>
      <c r="AH17" s="45">
        <v>44326.0</v>
      </c>
      <c r="AI17" s="44" t="str">
        <f>'6image_RS_benchmark_performance'!B17</f>
        <v>https://3arbzfbsh-cname-us.ngrok.io/Desktop/seabridge%20fintech/image_app/AEE_resistance_support.jpg</v>
      </c>
      <c r="AJ17" s="44" t="str">
        <f>'6image_RS_benchmark_performance'!C17</f>
        <v>https://3arbzfbsh-cname-us.ngrok.io/Desktop/seabridge%20fintech/profit_graph_app/AEE_Return.jpg</v>
      </c>
      <c r="AK17" s="46" t="str">
        <f>'5price_action_icon'!B17</f>
        <v>https://3arbzfbsh-cname-us.ngrok.io/Desktop/seabridge%20fintech/icon/AEE_pa_trend_signal</v>
      </c>
      <c r="AL17" s="42">
        <f>'1kpi_performance'!B17</f>
        <v>0.3418232063</v>
      </c>
      <c r="AM17" s="42">
        <f>'1kpi_performance'!C17</f>
        <v>0.4091705333</v>
      </c>
      <c r="AN17" s="42">
        <f>'1kpi_performance'!D17</f>
        <v>0.2975139881</v>
      </c>
      <c r="AO17" s="42">
        <f>'1kpi_performance'!E17</f>
        <v>0.1531568225</v>
      </c>
      <c r="AP17" s="42">
        <f>'1kpi_performance'!F17</f>
        <v>0.16383623</v>
      </c>
      <c r="AQ17" s="42">
        <f>'1kpi_performance'!G17</f>
        <v>0.1705017515</v>
      </c>
      <c r="AR17" s="42">
        <f>'1kpi_performance'!H17</f>
        <v>0.1912064613</v>
      </c>
      <c r="AS17" s="42">
        <f>'1kpi_performance'!I17</f>
        <v>0.2516815242</v>
      </c>
      <c r="AT17" s="35">
        <f>'1kpi_performance'!J17</f>
        <v>1.933779888</v>
      </c>
      <c r="AU17" s="35">
        <f>'1kpi_performance'!K17</f>
        <v>2.253176463</v>
      </c>
      <c r="AV17" s="35">
        <f>'1kpi_performance'!L17</f>
        <v>1.425234201</v>
      </c>
      <c r="AW17" s="35">
        <f>'1kpi_performance'!M17</f>
        <v>0.5092023458</v>
      </c>
      <c r="AX17" s="42">
        <f>'1kpi_performance'!N17</f>
        <v>0.1335550723</v>
      </c>
      <c r="AY17" s="42">
        <f>'1kpi_performance'!O17</f>
        <v>0.134629604</v>
      </c>
      <c r="AZ17" s="42">
        <f>'1kpi_performance'!P17</f>
        <v>0.2951648099</v>
      </c>
      <c r="BA17" s="42">
        <f>'1kpi_performance'!Q17</f>
        <v>0.2951648099</v>
      </c>
      <c r="BB17" s="35">
        <f>'1kpi_performance'!R17</f>
        <v>3.810971453</v>
      </c>
      <c r="BC17" s="35">
        <f>'1kpi_performance'!S17</f>
        <v>4.657089978</v>
      </c>
      <c r="BD17" s="35">
        <f>'1kpi_performance'!T17</f>
        <v>2.679940684</v>
      </c>
      <c r="BE17" s="35">
        <f>'1kpi_performance'!U17</f>
        <v>0.9755520308</v>
      </c>
      <c r="BF17" s="47"/>
      <c r="BG17" s="47"/>
      <c r="BH17" s="47"/>
      <c r="BI17" s="47"/>
      <c r="BJ17" s="47"/>
      <c r="BK17" s="47"/>
      <c r="BL17" s="47"/>
      <c r="BM17" s="47"/>
      <c r="BN17" s="47"/>
      <c r="BO17" s="47"/>
      <c r="BP17" s="47"/>
      <c r="BQ17" s="47"/>
      <c r="BR17" s="47"/>
      <c r="BS17" s="47"/>
      <c r="BT17" s="47"/>
    </row>
    <row r="18" ht="19.5" customHeight="1">
      <c r="A18" s="35" t="str">
        <f>'13all_company_profile'!A18</f>
        <v>AEO</v>
      </c>
      <c r="B18" s="35" t="str">
        <f>'13all_company_profile'!B18</f>
        <v>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v>
      </c>
      <c r="C18" s="44" t="str">
        <f>'13all_company_profile'!C18</f>
        <v>https://financialmodelingprep.com/image-stock/AEO.png</v>
      </c>
      <c r="D18" s="35" t="str">
        <f>'13all_company_profile'!D18</f>
        <v>American Eagle Outfitters, Inc.</v>
      </c>
      <c r="E18" s="36">
        <f>'13all_company_profile'!E18</f>
        <v>5766110208</v>
      </c>
      <c r="F18" s="37">
        <f>'13all_company_profile'!F18</f>
        <v>4226122</v>
      </c>
      <c r="G18" s="35">
        <f>'13all_company_profile'!G18</f>
        <v>0.5925</v>
      </c>
      <c r="H18" s="38" t="str">
        <f>'13all_company_profile'!H18</f>
        <v>not avaiable</v>
      </c>
      <c r="I18" s="35">
        <f>'13all_company_profile'!I18</f>
        <v>41.62531</v>
      </c>
      <c r="J18" s="35">
        <f>'13all_company_profile'!J18</f>
        <v>0.806</v>
      </c>
      <c r="K18" s="42">
        <f t="shared" si="1"/>
        <v>0.0171292281</v>
      </c>
      <c r="L18" s="35">
        <f>'7company_info'!B18</f>
        <v>34.59</v>
      </c>
      <c r="M18" s="35">
        <f>'7company_info'!C18</f>
        <v>34.78</v>
      </c>
      <c r="N18" s="35">
        <f>'7company_info'!D18</f>
        <v>33.16</v>
      </c>
      <c r="O18" s="35">
        <f>'7company_info'!E18</f>
        <v>1.14</v>
      </c>
      <c r="P18" s="35">
        <f>'7company_info'!F18</f>
        <v>0.0341</v>
      </c>
      <c r="Q18" s="35">
        <f>'7company_info'!G18</f>
        <v>33.43</v>
      </c>
      <c r="R18" s="35">
        <f>'7company_info'!H18</f>
        <v>33.45</v>
      </c>
      <c r="S18" s="35">
        <f>'7company_info'!I18</f>
        <v>9.25</v>
      </c>
      <c r="T18" s="35">
        <f>'7company_info'!J18</f>
        <v>38.99</v>
      </c>
      <c r="U18" s="39">
        <v>36.7466666666666</v>
      </c>
      <c r="V18" s="39">
        <v>37.1833333333333</v>
      </c>
      <c r="W18" s="40">
        <v>37.9766666666666</v>
      </c>
      <c r="X18" s="40">
        <v>39.2066666666666</v>
      </c>
      <c r="Y18" s="40">
        <v>35.9533333333333</v>
      </c>
      <c r="Z18" s="40">
        <v>35.5166666666666</v>
      </c>
      <c r="AA18" s="40">
        <v>34.2866666666666</v>
      </c>
      <c r="AB18" s="40">
        <v>36.31</v>
      </c>
      <c r="AC18" s="40">
        <v>38.99</v>
      </c>
      <c r="AD18" s="40">
        <v>36.1003808409884</v>
      </c>
      <c r="AE18" s="40">
        <v>33.5677199999999</v>
      </c>
      <c r="AF18" s="40">
        <v>1.42464</v>
      </c>
      <c r="AG18" s="40">
        <v>38.99</v>
      </c>
      <c r="AH18" s="45">
        <v>44372.0</v>
      </c>
      <c r="AI18" s="44" t="str">
        <f>'6image_RS_benchmark_performance'!B18</f>
        <v>https://3arbzfbsh-cname-us.ngrok.io/Desktop/seabridge%20fintech/image_app/AEO_resistance_support.jpg</v>
      </c>
      <c r="AJ18" s="44" t="str">
        <f>'6image_RS_benchmark_performance'!C18</f>
        <v>https://3arbzfbsh-cname-us.ngrok.io/Desktop/seabridge%20fintech/profit_graph_app/AEO_Return.jpg</v>
      </c>
      <c r="AK18" s="46" t="str">
        <f>'5price_action_icon'!B18</f>
        <v>https://3arbzfbsh-cname-us.ngrok.io/Desktop/seabridge%20fintech/icon/AEO_pa_trend_signal</v>
      </c>
      <c r="AL18" s="42">
        <f>'1kpi_performance'!B18</f>
        <v>0.9015957378</v>
      </c>
      <c r="AM18" s="42">
        <f>'1kpi_performance'!C18</f>
        <v>1.090219888</v>
      </c>
      <c r="AN18" s="42">
        <f>'1kpi_performance'!D18</f>
        <v>1.049264908</v>
      </c>
      <c r="AO18" s="42">
        <f>'1kpi_performance'!E18</f>
        <v>0.1034958756</v>
      </c>
      <c r="AP18" s="42">
        <f>'1kpi_performance'!F18</f>
        <v>0.3699092644</v>
      </c>
      <c r="AQ18" s="42">
        <f>'1kpi_performance'!G18</f>
        <v>0.3352286316</v>
      </c>
      <c r="AR18" s="42">
        <f>'1kpi_performance'!H18</f>
        <v>0.3368922377</v>
      </c>
      <c r="AS18" s="42">
        <f>'1kpi_performance'!I18</f>
        <v>0.5128919753</v>
      </c>
      <c r="AT18" s="35">
        <f>'1kpi_performance'!J18</f>
        <v>2.369758809</v>
      </c>
      <c r="AU18" s="35">
        <f>'1kpi_performance'!K18</f>
        <v>3.177592208</v>
      </c>
      <c r="AV18" s="35">
        <f>'1kpi_performance'!L18</f>
        <v>3.04033395</v>
      </c>
      <c r="AW18" s="35">
        <f>'1kpi_performance'!M18</f>
        <v>0.1530456303</v>
      </c>
      <c r="AX18" s="42">
        <f>'1kpi_performance'!N18</f>
        <v>0.3011422638</v>
      </c>
      <c r="AY18" s="42">
        <f>'1kpi_performance'!O18</f>
        <v>0.1339563863</v>
      </c>
      <c r="AZ18" s="42">
        <f>'1kpi_performance'!P18</f>
        <v>0.3698630137</v>
      </c>
      <c r="BA18" s="42">
        <f>'1kpi_performance'!Q18</f>
        <v>0.7678509831</v>
      </c>
      <c r="BB18" s="35">
        <f>'1kpi_performance'!R18</f>
        <v>5.030237031</v>
      </c>
      <c r="BC18" s="35">
        <f>'1kpi_performance'!S18</f>
        <v>7.590318701</v>
      </c>
      <c r="BD18" s="35">
        <f>'1kpi_performance'!T18</f>
        <v>6.843928355</v>
      </c>
      <c r="BE18" s="35">
        <f>'1kpi_performance'!U18</f>
        <v>0.2970318159</v>
      </c>
      <c r="BF18" s="47"/>
      <c r="BG18" s="47"/>
      <c r="BH18" s="47"/>
      <c r="BI18" s="47"/>
      <c r="BJ18" s="47"/>
      <c r="BK18" s="47"/>
      <c r="BL18" s="47"/>
      <c r="BM18" s="47"/>
      <c r="BN18" s="47"/>
      <c r="BO18" s="47"/>
      <c r="BP18" s="47"/>
      <c r="BQ18" s="47"/>
      <c r="BR18" s="47"/>
      <c r="BS18" s="47"/>
      <c r="BT18" s="47"/>
    </row>
    <row r="19" ht="11.25" customHeight="1">
      <c r="A19" s="35" t="str">
        <f>'13all_company_profile'!A19</f>
        <v>AEP</v>
      </c>
      <c r="B19" s="35" t="str">
        <f>'13all_company_profile'!B19</f>
        <v>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v>
      </c>
      <c r="C19" s="44" t="str">
        <f>'13all_company_profile'!C19</f>
        <v>https://financialmodelingprep.com/image-stock/AEP.png</v>
      </c>
      <c r="D19" s="35" t="str">
        <f>'13all_company_profile'!D19</f>
        <v>American Electric Power Company, Inc.</v>
      </c>
      <c r="E19" s="36">
        <f>'13all_company_profile'!E19</f>
        <v>43568205824</v>
      </c>
      <c r="F19" s="37">
        <f>'13all_company_profile'!F19</f>
        <v>2752053</v>
      </c>
      <c r="G19" s="35">
        <f>'13all_company_profile'!G19</f>
        <v>2.92</v>
      </c>
      <c r="H19" s="38">
        <f>'13all_company_profile'!H19</f>
        <v>44399</v>
      </c>
      <c r="I19" s="35">
        <f>'13all_company_profile'!I19</f>
        <v>19.242887</v>
      </c>
      <c r="J19" s="35">
        <f>'13all_company_profile'!J19</f>
        <v>4.57</v>
      </c>
      <c r="K19" s="42">
        <f t="shared" si="1"/>
        <v>0.03405644973</v>
      </c>
      <c r="L19" s="35">
        <f>'7company_info'!B19</f>
        <v>85.74</v>
      </c>
      <c r="M19" s="35">
        <f>'7company_info'!C19</f>
        <v>86.82</v>
      </c>
      <c r="N19" s="35">
        <f>'7company_info'!D19</f>
        <v>85.66</v>
      </c>
      <c r="O19" s="35">
        <f>'7company_info'!E19</f>
        <v>-0.03</v>
      </c>
      <c r="P19" s="35">
        <f>'7company_info'!F19</f>
        <v>-0.0003</v>
      </c>
      <c r="Q19" s="35">
        <f>'7company_info'!G19</f>
        <v>86.28</v>
      </c>
      <c r="R19" s="35">
        <f>'7company_info'!H19</f>
        <v>85.77</v>
      </c>
      <c r="S19" s="35">
        <f>'7company_info'!I19</f>
        <v>74.8</v>
      </c>
      <c r="T19" s="35">
        <f>'7company_info'!J19</f>
        <v>94.21</v>
      </c>
      <c r="U19" s="39">
        <v>85.85</v>
      </c>
      <c r="V19" s="39">
        <v>86.88</v>
      </c>
      <c r="W19" s="40">
        <v>87.58</v>
      </c>
      <c r="X19" s="40">
        <v>89.31</v>
      </c>
      <c r="Y19" s="40">
        <v>85.15</v>
      </c>
      <c r="Z19" s="40">
        <v>84.12</v>
      </c>
      <c r="AA19" s="40">
        <v>82.39</v>
      </c>
      <c r="AB19" s="40">
        <v>84.59</v>
      </c>
      <c r="AC19" s="40">
        <v>85.19</v>
      </c>
      <c r="AD19" s="40">
        <v>85.0272000339563</v>
      </c>
      <c r="AE19" s="40">
        <v>82.85314</v>
      </c>
      <c r="AF19" s="40">
        <v>1.24543</v>
      </c>
      <c r="AG19" s="40">
        <v>90.62</v>
      </c>
      <c r="AH19" s="45">
        <v>44306.0</v>
      </c>
      <c r="AI19" s="44" t="str">
        <f>'6image_RS_benchmark_performance'!B19</f>
        <v>https://3arbzfbsh-cname-us.ngrok.io/Desktop/seabridge%20fintech/image_app/AEP_resistance_support.jpg</v>
      </c>
      <c r="AJ19" s="44" t="str">
        <f>'6image_RS_benchmark_performance'!C19</f>
        <v>https://3arbzfbsh-cname-us.ngrok.io/Desktop/seabridge%20fintech/profit_graph_app/AEP_Return.jpg</v>
      </c>
      <c r="AK19" s="46" t="str">
        <f>'5price_action_icon'!B19</f>
        <v>https://3arbzfbsh-cname-us.ngrok.io/Desktop/seabridge%20fintech/icon/AEP_pa_trend_signal</v>
      </c>
      <c r="AL19" s="42">
        <f>'1kpi_performance'!B19</f>
        <v>0.3337626932</v>
      </c>
      <c r="AM19" s="42">
        <f>'1kpi_performance'!C19</f>
        <v>0.3799853443</v>
      </c>
      <c r="AN19" s="42">
        <f>'1kpi_performance'!D19</f>
        <v>0.30509221</v>
      </c>
      <c r="AO19" s="42">
        <f>'1kpi_performance'!E19</f>
        <v>0.114487662</v>
      </c>
      <c r="AP19" s="42">
        <f>'1kpi_performance'!F19</f>
        <v>0.1536978301</v>
      </c>
      <c r="AQ19" s="42">
        <f>'1kpi_performance'!G19</f>
        <v>0.1656946319</v>
      </c>
      <c r="AR19" s="42">
        <f>'1kpi_performance'!H19</f>
        <v>0.1779594665</v>
      </c>
      <c r="AS19" s="42">
        <f>'1kpi_performance'!I19</f>
        <v>0.2309132125</v>
      </c>
      <c r="AT19" s="35">
        <f>'1kpi_performance'!J19</f>
        <v>2.00889429</v>
      </c>
      <c r="AU19" s="35">
        <f>'1kpi_performance'!K19</f>
        <v>2.14240703</v>
      </c>
      <c r="AV19" s="35">
        <f>'1kpi_performance'!L19</f>
        <v>1.573910146</v>
      </c>
      <c r="AW19" s="35">
        <f>'1kpi_performance'!M19</f>
        <v>0.3875380756</v>
      </c>
      <c r="AX19" s="42">
        <f>'1kpi_performance'!N19</f>
        <v>0.1471273183</v>
      </c>
      <c r="AY19" s="42">
        <f>'1kpi_performance'!O19</f>
        <v>0.2297313465</v>
      </c>
      <c r="AZ19" s="42">
        <f>'1kpi_performance'!P19</f>
        <v>0.2987377279</v>
      </c>
      <c r="BA19" s="42">
        <f>'1kpi_performance'!Q19</f>
        <v>0.3290520464</v>
      </c>
      <c r="BB19" s="35">
        <f>'1kpi_performance'!R19</f>
        <v>3.905582167</v>
      </c>
      <c r="BC19" s="35">
        <f>'1kpi_performance'!S19</f>
        <v>4.389611137</v>
      </c>
      <c r="BD19" s="35">
        <f>'1kpi_performance'!T19</f>
        <v>2.940004408</v>
      </c>
      <c r="BE19" s="35">
        <f>'1kpi_performance'!U19</f>
        <v>0.7316654971</v>
      </c>
      <c r="BF19" s="47"/>
      <c r="BG19" s="47"/>
      <c r="BH19" s="47"/>
      <c r="BI19" s="47"/>
      <c r="BJ19" s="47"/>
      <c r="BK19" s="47"/>
      <c r="BL19" s="47"/>
      <c r="BM19" s="47"/>
      <c r="BN19" s="47"/>
      <c r="BO19" s="47"/>
      <c r="BP19" s="47"/>
      <c r="BQ19" s="47"/>
      <c r="BR19" s="47"/>
      <c r="BS19" s="47"/>
      <c r="BT19" s="47"/>
    </row>
    <row r="20" ht="11.25" customHeight="1">
      <c r="A20" s="35" t="str">
        <f>'13all_company_profile'!A20</f>
        <v>AES</v>
      </c>
      <c r="B20" s="35" t="str">
        <f>'13all_company_profile'!B20</f>
        <v>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v>
      </c>
      <c r="C20" s="44" t="str">
        <f>'13all_company_profile'!C20</f>
        <v>https://financialmodelingprep.com/image-stock/AES.png</v>
      </c>
      <c r="D20" s="35" t="str">
        <f>'13all_company_profile'!D20</f>
        <v>The AES Corporation</v>
      </c>
      <c r="E20" s="36">
        <f>'13all_company_profile'!E20</f>
        <v>16369935360</v>
      </c>
      <c r="F20" s="37">
        <f>'13all_company_profile'!F20</f>
        <v>5142966</v>
      </c>
      <c r="G20" s="35">
        <f>'13all_company_profile'!G20</f>
        <v>0.5875</v>
      </c>
      <c r="H20" s="38">
        <f>'13all_company_profile'!H20</f>
        <v>44413</v>
      </c>
      <c r="I20" s="35" t="str">
        <f>'13all_company_profile'!I20</f>
        <v>NaN</v>
      </c>
      <c r="J20" s="35">
        <f>'13all_company_profile'!J20</f>
        <v>-0.376</v>
      </c>
      <c r="K20" s="42">
        <f t="shared" si="1"/>
        <v>0.02437759336</v>
      </c>
      <c r="L20" s="35">
        <f>'7company_info'!B20</f>
        <v>24.1</v>
      </c>
      <c r="M20" s="35">
        <f>'7company_info'!C20</f>
        <v>24.28</v>
      </c>
      <c r="N20" s="35">
        <f>'7company_info'!D20</f>
        <v>23.61</v>
      </c>
      <c r="O20" s="35">
        <f>'7company_info'!E20</f>
        <v>0.52</v>
      </c>
      <c r="P20" s="35">
        <f>'7company_info'!F20</f>
        <v>0.0221</v>
      </c>
      <c r="Q20" s="35">
        <f>'7company_info'!G20</f>
        <v>23.67</v>
      </c>
      <c r="R20" s="35">
        <f>'7company_info'!H20</f>
        <v>23.58</v>
      </c>
      <c r="S20" s="35">
        <f>'7company_info'!I20</f>
        <v>14.83</v>
      </c>
      <c r="T20" s="35">
        <f>'7company_info'!J20</f>
        <v>29.07</v>
      </c>
      <c r="U20" s="39">
        <v>25.0933333333333</v>
      </c>
      <c r="V20" s="39">
        <v>25.2516666666666</v>
      </c>
      <c r="W20" s="40">
        <v>25.5533333333333</v>
      </c>
      <c r="X20" s="40">
        <v>26.0133333333333</v>
      </c>
      <c r="Y20" s="40">
        <v>24.7916666666666</v>
      </c>
      <c r="Z20" s="40">
        <v>24.6333333333333</v>
      </c>
      <c r="AA20" s="40">
        <v>24.1733333333333</v>
      </c>
      <c r="AB20" s="40">
        <v>25.25</v>
      </c>
      <c r="AC20" s="40">
        <v>26.63</v>
      </c>
      <c r="AD20" s="40">
        <v>25.7353801349295</v>
      </c>
      <c r="AE20" s="40">
        <v>23.75103</v>
      </c>
      <c r="AF20" s="40">
        <v>0.577235</v>
      </c>
      <c r="AG20" s="40">
        <v>29.07</v>
      </c>
      <c r="AH20" s="45">
        <v>44243.0</v>
      </c>
      <c r="AI20" s="44" t="str">
        <f>'6image_RS_benchmark_performance'!B20</f>
        <v>https://3arbzfbsh-cname-us.ngrok.io/Desktop/seabridge%20fintech/image_app/AES_resistance_support.jpg</v>
      </c>
      <c r="AJ20" s="44" t="str">
        <f>'6image_RS_benchmark_performance'!C20</f>
        <v>https://3arbzfbsh-cname-us.ngrok.io/Desktop/seabridge%20fintech/profit_graph_app/AES_Return.jpg</v>
      </c>
      <c r="AK20" s="46" t="str">
        <f>'5price_action_icon'!B20</f>
        <v>https://3arbzfbsh-cname-us.ngrok.io/Desktop/seabridge%20fintech/icon/AES_pa_trend_signal</v>
      </c>
      <c r="AL20" s="42">
        <f>'1kpi_performance'!B20</f>
        <v>0.4316970826</v>
      </c>
      <c r="AM20" s="42">
        <f>'1kpi_performance'!C20</f>
        <v>0.5714094516</v>
      </c>
      <c r="AN20" s="42">
        <f>'1kpi_performance'!D20</f>
        <v>0.5035366977</v>
      </c>
      <c r="AO20" s="42">
        <f>'1kpi_performance'!E20</f>
        <v>0.08084118998</v>
      </c>
      <c r="AP20" s="42">
        <f>'1kpi_performance'!F20</f>
        <v>0.250200497</v>
      </c>
      <c r="AQ20" s="42">
        <f>'1kpi_performance'!G20</f>
        <v>0.2491650413</v>
      </c>
      <c r="AR20" s="42">
        <f>'1kpi_performance'!H20</f>
        <v>0.2436086847</v>
      </c>
      <c r="AS20" s="42">
        <f>'1kpi_performance'!I20</f>
        <v>0.3712965982</v>
      </c>
      <c r="AT20" s="35">
        <f>'1kpi_performance'!J20</f>
        <v>1.625484711</v>
      </c>
      <c r="AU20" s="35">
        <f>'1kpi_performance'!K20</f>
        <v>2.192961937</v>
      </c>
      <c r="AV20" s="35">
        <f>'1kpi_performance'!L20</f>
        <v>1.964366329</v>
      </c>
      <c r="AW20" s="35">
        <f>'1kpi_performance'!M20</f>
        <v>0.1503951026</v>
      </c>
      <c r="AX20" s="42">
        <f>'1kpi_performance'!N20</f>
        <v>0.1976137211</v>
      </c>
      <c r="AY20" s="42">
        <f>'1kpi_performance'!O20</f>
        <v>0.1976137211</v>
      </c>
      <c r="AZ20" s="42">
        <f>'1kpi_performance'!P20</f>
        <v>0.2976924735</v>
      </c>
      <c r="BA20" s="42">
        <f>'1kpi_performance'!Q20</f>
        <v>0.5454113172</v>
      </c>
      <c r="BB20" s="35">
        <f>'1kpi_performance'!R20</f>
        <v>3.202978521</v>
      </c>
      <c r="BC20" s="35">
        <f>'1kpi_performance'!S20</f>
        <v>4.713492743</v>
      </c>
      <c r="BD20" s="35">
        <f>'1kpi_performance'!T20</f>
        <v>3.928922451</v>
      </c>
      <c r="BE20" s="35">
        <f>'1kpi_performance'!U20</f>
        <v>0.2825518763</v>
      </c>
      <c r="BF20" s="8"/>
      <c r="BG20" s="8"/>
      <c r="BH20" s="8"/>
      <c r="BI20" s="8"/>
      <c r="BJ20" s="8"/>
      <c r="BK20" s="8"/>
      <c r="BL20" s="8"/>
      <c r="BM20" s="8"/>
      <c r="BN20" s="8"/>
      <c r="BO20" s="8"/>
      <c r="BP20" s="8"/>
      <c r="BQ20" s="8"/>
      <c r="BR20" s="8"/>
      <c r="BS20" s="8"/>
      <c r="BT20" s="8"/>
    </row>
    <row r="21" ht="11.25" customHeight="1">
      <c r="A21" s="35" t="str">
        <f>'13all_company_profile'!A21</f>
        <v>AFL</v>
      </c>
      <c r="B21" s="35" t="str">
        <f>'13all_company_profile'!B21</f>
        <v>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v>
      </c>
      <c r="C21" s="44" t="str">
        <f>'13all_company_profile'!C21</f>
        <v>https://financialmodelingprep.com/image-stock/AFL.png</v>
      </c>
      <c r="D21" s="35" t="str">
        <f>'13all_company_profile'!D21</f>
        <v>Aflac Incorporated</v>
      </c>
      <c r="E21" s="36">
        <f>'13all_company_profile'!E21</f>
        <v>36430151680</v>
      </c>
      <c r="F21" s="37">
        <f>'13all_company_profile'!F21</f>
        <v>3306201</v>
      </c>
      <c r="G21" s="35">
        <f>'13all_company_profile'!G21</f>
        <v>1.22</v>
      </c>
      <c r="H21" s="38">
        <f>'13all_company_profile'!H21</f>
        <v>44405</v>
      </c>
      <c r="I21" s="35">
        <f>'13all_company_profile'!I21</f>
        <v>6.8262434</v>
      </c>
      <c r="J21" s="35">
        <f>'13all_company_profile'!J21</f>
        <v>7.781</v>
      </c>
      <c r="K21" s="42">
        <f t="shared" si="1"/>
        <v>0.02302755757</v>
      </c>
      <c r="L21" s="35">
        <f>'7company_info'!B21</f>
        <v>52.98</v>
      </c>
      <c r="M21" s="35">
        <f>'7company_info'!C21</f>
        <v>53.43</v>
      </c>
      <c r="N21" s="35">
        <f>'7company_info'!D21</f>
        <v>51.48</v>
      </c>
      <c r="O21" s="35">
        <f>'7company_info'!E21</f>
        <v>1.27</v>
      </c>
      <c r="P21" s="35">
        <f>'7company_info'!F21</f>
        <v>0.0246</v>
      </c>
      <c r="Q21" s="35">
        <f>'7company_info'!G21</f>
        <v>51.6</v>
      </c>
      <c r="R21" s="35">
        <f>'7company_info'!H21</f>
        <v>51.71</v>
      </c>
      <c r="S21" s="35">
        <f>'7company_info'!I21</f>
        <v>33.37</v>
      </c>
      <c r="T21" s="35">
        <f>'7company_info'!J21</f>
        <v>57.57</v>
      </c>
      <c r="U21" s="39">
        <v>53.2316666666666</v>
      </c>
      <c r="V21" s="39">
        <v>53.7183333333333</v>
      </c>
      <c r="W21" s="40">
        <v>54.1566666666666</v>
      </c>
      <c r="X21" s="40">
        <v>55.0816666666666</v>
      </c>
      <c r="Y21" s="40">
        <v>52.7933333333333</v>
      </c>
      <c r="Z21" s="40">
        <v>52.3066666666666</v>
      </c>
      <c r="AA21" s="40">
        <v>51.3816666666666</v>
      </c>
      <c r="AB21" s="40">
        <v>53.03</v>
      </c>
      <c r="AC21" s="40">
        <v>54.43</v>
      </c>
      <c r="AD21" s="40">
        <v>53.7978057130893</v>
      </c>
      <c r="AE21" s="40">
        <v>51.10541</v>
      </c>
      <c r="AF21" s="40">
        <v>1.008045</v>
      </c>
      <c r="AG21" s="40">
        <v>57.57</v>
      </c>
      <c r="AH21" s="45">
        <v>44354.0</v>
      </c>
      <c r="AI21" s="44" t="str">
        <f>'6image_RS_benchmark_performance'!B21</f>
        <v>https://3arbzfbsh-cname-us.ngrok.io/Desktop/seabridge%20fintech/image_app/AFL_resistance_support.jpg</v>
      </c>
      <c r="AJ21" s="44" t="str">
        <f>'6image_RS_benchmark_performance'!C21</f>
        <v>https://3arbzfbsh-cname-us.ngrok.io/Desktop/seabridge%20fintech/profit_graph_app/AFL_Return.jpg</v>
      </c>
      <c r="AK21" s="46" t="str">
        <f>'5price_action_icon'!B21</f>
        <v>https://3arbzfbsh-cname-us.ngrok.io/Desktop/seabridge%20fintech/icon/AFL_pa_trend_signal</v>
      </c>
      <c r="AL21" s="42">
        <f>'1kpi_performance'!B21</f>
        <v>0.5052135496</v>
      </c>
      <c r="AM21" s="42">
        <f>'1kpi_performance'!C21</f>
        <v>0.5155996556</v>
      </c>
      <c r="AN21" s="42">
        <f>'1kpi_performance'!D21</f>
        <v>0.4864634931</v>
      </c>
      <c r="AO21" s="42">
        <f>'1kpi_performance'!E21</f>
        <v>0.09759906079</v>
      </c>
      <c r="AP21" s="42">
        <f>'1kpi_performance'!F21</f>
        <v>0.232554124</v>
      </c>
      <c r="AQ21" s="42">
        <f>'1kpi_performance'!G21</f>
        <v>0.2265696577</v>
      </c>
      <c r="AR21" s="42">
        <f>'1kpi_performance'!H21</f>
        <v>0.231604947</v>
      </c>
      <c r="AS21" s="42">
        <f>'1kpi_performance'!I21</f>
        <v>0.3347656606</v>
      </c>
      <c r="AT21" s="35">
        <f>'1kpi_performance'!J21</f>
        <v>2.064953919</v>
      </c>
      <c r="AU21" s="35">
        <f>'1kpi_performance'!K21</f>
        <v>2.165336967</v>
      </c>
      <c r="AV21" s="35">
        <f>'1kpi_performance'!L21</f>
        <v>1.99245957</v>
      </c>
      <c r="AW21" s="35">
        <f>'1kpi_performance'!M21</f>
        <v>0.2168653161</v>
      </c>
      <c r="AX21" s="42">
        <f>'1kpi_performance'!N21</f>
        <v>0.1557580627</v>
      </c>
      <c r="AY21" s="42">
        <f>'1kpi_performance'!O21</f>
        <v>0.1334059352</v>
      </c>
      <c r="AZ21" s="42">
        <f>'1kpi_performance'!P21</f>
        <v>0.2913835006</v>
      </c>
      <c r="BA21" s="42">
        <f>'1kpi_performance'!Q21</f>
        <v>0.5558094568</v>
      </c>
      <c r="BB21" s="35">
        <f>'1kpi_performance'!R21</f>
        <v>4.699677765</v>
      </c>
      <c r="BC21" s="35">
        <f>'1kpi_performance'!S21</f>
        <v>5.204686035</v>
      </c>
      <c r="BD21" s="35">
        <f>'1kpi_performance'!T21</f>
        <v>4.405521527</v>
      </c>
      <c r="BE21" s="35">
        <f>'1kpi_performance'!U21</f>
        <v>0.4131420068</v>
      </c>
      <c r="BF21" s="8"/>
      <c r="BG21" s="8"/>
      <c r="BH21" s="8"/>
      <c r="BI21" s="8"/>
      <c r="BJ21" s="8"/>
      <c r="BK21" s="8"/>
      <c r="BL21" s="8"/>
      <c r="BM21" s="8"/>
      <c r="BN21" s="8"/>
      <c r="BO21" s="8"/>
      <c r="BP21" s="8"/>
      <c r="BQ21" s="8"/>
      <c r="BR21" s="8"/>
      <c r="BS21" s="8"/>
      <c r="BT21" s="8"/>
    </row>
    <row r="22" ht="11.25" customHeight="1">
      <c r="A22" s="35" t="str">
        <f>'13all_company_profile'!A22</f>
        <v>AGG</v>
      </c>
      <c r="B22" s="35" t="str">
        <f>'13all_company_profile'!B22</f>
        <v>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v>
      </c>
      <c r="C22" s="44" t="str">
        <f>'13all_company_profile'!C22</f>
        <v>https://financialmodelingprep.com/image-stock/AGG.png</v>
      </c>
      <c r="D22" s="35" t="str">
        <f>'13all_company_profile'!D22</f>
        <v>iShares Core U.S. Aggregate Bond ETF</v>
      </c>
      <c r="E22" s="36">
        <f>'13all_company_profile'!E22</f>
        <v>66415874048</v>
      </c>
      <c r="F22" s="37">
        <f>'13all_company_profile'!F22</f>
        <v>5446071</v>
      </c>
      <c r="G22" s="35">
        <f>'13all_company_profile'!G22</f>
        <v>2.177</v>
      </c>
      <c r="H22" s="38" t="str">
        <f>'13all_company_profile'!H22</f>
        <v>not avaiable</v>
      </c>
      <c r="I22" s="35">
        <f>'13all_company_profile'!I22</f>
        <v>147.86353</v>
      </c>
      <c r="J22" s="35">
        <f>'13all_company_profile'!J22</f>
        <v>0.784</v>
      </c>
      <c r="K22" s="42">
        <f t="shared" si="1"/>
        <v>0.01870274914</v>
      </c>
      <c r="L22" s="35">
        <f>'7company_info'!B22</f>
        <v>116.4</v>
      </c>
      <c r="M22" s="35">
        <f>'7company_info'!C22</f>
        <v>116.81</v>
      </c>
      <c r="N22" s="35">
        <f>'7company_info'!D22</f>
        <v>116.32</v>
      </c>
      <c r="O22" s="35">
        <f>'7company_info'!E22</f>
        <v>-0.11</v>
      </c>
      <c r="P22" s="35">
        <f>'7company_info'!F22</f>
        <v>-0.0009</v>
      </c>
      <c r="Q22" s="35">
        <f>'7company_info'!G22</f>
        <v>116.78</v>
      </c>
      <c r="R22" s="35">
        <f>'7company_info'!H22</f>
        <v>116.51</v>
      </c>
      <c r="S22" s="35">
        <f>'7company_info'!I22</f>
        <v>113.2</v>
      </c>
      <c r="T22" s="35">
        <f>'7company_info'!J22</f>
        <v>119.73</v>
      </c>
      <c r="U22" s="39">
        <v>115.693</v>
      </c>
      <c r="V22" s="39">
        <v>115.817</v>
      </c>
      <c r="W22" s="40">
        <v>115.884</v>
      </c>
      <c r="X22" s="40">
        <v>116.075</v>
      </c>
      <c r="Y22" s="40">
        <v>115.626</v>
      </c>
      <c r="Z22" s="40">
        <v>115.502</v>
      </c>
      <c r="AA22" s="40">
        <v>115.311</v>
      </c>
      <c r="AB22" s="40">
        <v>115.75</v>
      </c>
      <c r="AC22" s="40">
        <v>115.25</v>
      </c>
      <c r="AD22" s="40">
        <v>115.351398908446</v>
      </c>
      <c r="AE22" s="40">
        <v>114.69883</v>
      </c>
      <c r="AF22" s="40">
        <v>0.343085000000001</v>
      </c>
      <c r="AG22" s="40">
        <v>117.67</v>
      </c>
      <c r="AH22" s="45">
        <v>44223.0</v>
      </c>
      <c r="AI22" s="44" t="str">
        <f>'6image_RS_benchmark_performance'!B22</f>
        <v>https://3arbzfbsh-cname-us.ngrok.io/Desktop/seabridge%20fintech/image_app/AGG_resistance_support.jpg</v>
      </c>
      <c r="AJ22" s="44" t="str">
        <f>'6image_RS_benchmark_performance'!C22</f>
        <v>https://3arbzfbsh-cname-us.ngrok.io/Desktop/seabridge%20fintech/profit_graph_app/AGG_Return.jpg</v>
      </c>
      <c r="AK22" s="46" t="str">
        <f>'5price_action_icon'!B22</f>
        <v>https://3arbzfbsh-cname-us.ngrok.io/Desktop/seabridge%20fintech/icon/AGG_pa_trend_signal</v>
      </c>
      <c r="AL22" s="42">
        <f>'1kpi_performance'!B22</f>
        <v>0.05201335055</v>
      </c>
      <c r="AM22" s="42">
        <f>'1kpi_performance'!C22</f>
        <v>0.07509520052</v>
      </c>
      <c r="AN22" s="42">
        <f>'1kpi_performance'!D22</f>
        <v>0.06165180838</v>
      </c>
      <c r="AO22" s="42">
        <f>'1kpi_performance'!E22</f>
        <v>0.01294323695</v>
      </c>
      <c r="AP22" s="42">
        <f>'1kpi_performance'!F22</f>
        <v>0.02942750909</v>
      </c>
      <c r="AQ22" s="42">
        <f>'1kpi_performance'!G22</f>
        <v>0.0300882568</v>
      </c>
      <c r="AR22" s="42">
        <f>'1kpi_performance'!H22</f>
        <v>0.02630007213</v>
      </c>
      <c r="AS22" s="42">
        <f>'1kpi_performance'!I22</f>
        <v>0.04853333263</v>
      </c>
      <c r="AT22" s="35">
        <f>'1kpi_performance'!J22</f>
        <v>0.9179625251</v>
      </c>
      <c r="AU22" s="35">
        <f>'1kpi_performance'!K22</f>
        <v>1.664941936</v>
      </c>
      <c r="AV22" s="35">
        <f>'1kpi_performance'!L22</f>
        <v>1.393601059</v>
      </c>
      <c r="AW22" s="35">
        <f>'1kpi_performance'!M22</f>
        <v>-0.2484223191</v>
      </c>
      <c r="AX22" s="42">
        <f>'1kpi_performance'!N22</f>
        <v>0.02180631756</v>
      </c>
      <c r="AY22" s="42">
        <f>'1kpi_performance'!O22</f>
        <v>0.01276949548</v>
      </c>
      <c r="AZ22" s="42">
        <f>'1kpi_performance'!P22</f>
        <v>0.0191602307</v>
      </c>
      <c r="BA22" s="42">
        <f>'1kpi_performance'!Q22</f>
        <v>0.09579161717</v>
      </c>
      <c r="BB22" s="35">
        <f>'1kpi_performance'!R22</f>
        <v>1.796471017</v>
      </c>
      <c r="BC22" s="35">
        <f>'1kpi_performance'!S22</f>
        <v>3.658714547</v>
      </c>
      <c r="BD22" s="35">
        <f>'1kpi_performance'!T22</f>
        <v>2.946938312</v>
      </c>
      <c r="BE22" s="35">
        <f>'1kpi_performance'!U22</f>
        <v>-0.4339462582</v>
      </c>
      <c r="BF22" s="47"/>
      <c r="BG22" s="47"/>
      <c r="BH22" s="47"/>
      <c r="BI22" s="47"/>
      <c r="BJ22" s="47"/>
      <c r="BK22" s="47"/>
      <c r="BL22" s="47"/>
      <c r="BM22" s="47"/>
      <c r="BN22" s="47"/>
      <c r="BO22" s="47"/>
      <c r="BP22" s="47"/>
      <c r="BQ22" s="47"/>
      <c r="BR22" s="47"/>
      <c r="BS22" s="47"/>
      <c r="BT22" s="47"/>
    </row>
    <row r="23" ht="11.25" customHeight="1">
      <c r="A23" s="35" t="str">
        <f>'13all_company_profile'!A23</f>
        <v>AI</v>
      </c>
      <c r="B23" s="35" t="str">
        <f>'13all_company_profile'!B23</f>
        <v>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v>
      </c>
      <c r="C23" s="44" t="str">
        <f>'13all_company_profile'!C23</f>
        <v>https://financialmodelingprep.com/image-stock/AI.png</v>
      </c>
      <c r="D23" s="35" t="str">
        <f>'13all_company_profile'!D23</f>
        <v>C3.ai, Inc.</v>
      </c>
      <c r="E23" s="36">
        <f>'13all_company_profile'!E23</f>
        <v>5402713088</v>
      </c>
      <c r="F23" s="37">
        <f>'13all_company_profile'!F23</f>
        <v>3518622</v>
      </c>
      <c r="G23" s="35">
        <f>'13all_company_profile'!G23</f>
        <v>0</v>
      </c>
      <c r="H23" s="38" t="str">
        <f>'13all_company_profile'!H23</f>
        <v>not avaiable</v>
      </c>
      <c r="I23" s="35" t="str">
        <f>'13all_company_profile'!I23</f>
        <v>NaN</v>
      </c>
      <c r="J23" s="35">
        <f>'13all_company_profile'!J23</f>
        <v>-0.986</v>
      </c>
      <c r="K23" s="42" t="str">
        <f t="shared" si="1"/>
        <v>NaN</v>
      </c>
      <c r="L23" s="35">
        <f>'7company_info'!B23</f>
        <v>53.15</v>
      </c>
      <c r="M23" s="35">
        <f>'7company_info'!C23</f>
        <v>53.46</v>
      </c>
      <c r="N23" s="35">
        <f>'7company_info'!D23</f>
        <v>50.96</v>
      </c>
      <c r="O23" s="35">
        <f>'7company_info'!E23</f>
        <v>1.94</v>
      </c>
      <c r="P23" s="35">
        <f>'7company_info'!F23</f>
        <v>0.0379</v>
      </c>
      <c r="Q23" s="35">
        <f>'7company_info'!G23</f>
        <v>51.85</v>
      </c>
      <c r="R23" s="35">
        <f>'7company_info'!H23</f>
        <v>51.21</v>
      </c>
      <c r="S23" s="35">
        <f>'7company_info'!I23</f>
        <v>47.22</v>
      </c>
      <c r="T23" s="35">
        <f>'7company_info'!J23</f>
        <v>183.9</v>
      </c>
      <c r="U23" s="39">
        <v>52.7908666666666</v>
      </c>
      <c r="V23" s="39">
        <v>54.3491333333333</v>
      </c>
      <c r="W23" s="40">
        <v>57.2582666666666</v>
      </c>
      <c r="X23" s="40">
        <v>61.7256666666666</v>
      </c>
      <c r="Y23" s="40">
        <v>49.8817333333333</v>
      </c>
      <c r="Z23" s="40">
        <v>48.3234666666666</v>
      </c>
      <c r="AA23" s="40">
        <v>43.8560666666666</v>
      </c>
      <c r="AB23" s="40">
        <v>62.03</v>
      </c>
      <c r="AC23" s="40">
        <v>59.28</v>
      </c>
      <c r="AD23" s="40">
        <v>59.3946422712258</v>
      </c>
      <c r="AE23" s="40">
        <v>49.45852</v>
      </c>
      <c r="AF23" s="40">
        <v>2.88061999999999</v>
      </c>
      <c r="AG23" s="40">
        <v>176.9399</v>
      </c>
      <c r="AH23" s="45">
        <v>44237.0</v>
      </c>
      <c r="AI23" s="44" t="str">
        <f>'6image_RS_benchmark_performance'!B23</f>
        <v>https://3arbzfbsh-cname-us.ngrok.io/Desktop/seabridge%20fintech/image_app/AI_resistance_support.jpg</v>
      </c>
      <c r="AJ23" s="44" t="str">
        <f>'6image_RS_benchmark_performance'!C23</f>
        <v>https://3arbzfbsh-cname-us.ngrok.io/Desktop/seabridge%20fintech/profit_graph_app/AI_Return.jpg</v>
      </c>
      <c r="AK23" s="46" t="str">
        <f>'5price_action_icon'!B23</f>
        <v>https://3arbzfbsh-cname-us.ngrok.io/Desktop/seabridge%20fintech/icon/AI_pa_trend_signal</v>
      </c>
      <c r="AL23" s="42">
        <f>'1kpi_performance'!B23</f>
        <v>-0.6551362619</v>
      </c>
      <c r="AM23" s="42">
        <f>'1kpi_performance'!C23</f>
        <v>0.9679018481</v>
      </c>
      <c r="AN23" s="42">
        <f>'1kpi_performance'!D23</f>
        <v>1.874053336</v>
      </c>
      <c r="AO23" s="42">
        <f>'1kpi_performance'!E23</f>
        <v>-0.7599889429</v>
      </c>
      <c r="AP23" s="42">
        <f>'1kpi_performance'!F23</f>
        <v>1.285344071</v>
      </c>
      <c r="AQ23" s="42">
        <f>'1kpi_performance'!G23</f>
        <v>0.9885977989</v>
      </c>
      <c r="AR23" s="42">
        <f>'1kpi_performance'!H23</f>
        <v>0.8046923286</v>
      </c>
      <c r="AS23" s="42">
        <f>'1kpi_performance'!I23</f>
        <v>1.318358484</v>
      </c>
      <c r="AT23" s="35">
        <f>'1kpi_performance'!J23</f>
        <v>-0.5291472355</v>
      </c>
      <c r="AU23" s="35">
        <f>'1kpi_performance'!K23</f>
        <v>0.9537770053</v>
      </c>
      <c r="AV23" s="35">
        <f>'1kpi_performance'!L23</f>
        <v>2.297838901</v>
      </c>
      <c r="AW23" s="35">
        <f>'1kpi_performance'!M23</f>
        <v>-0.5954290522</v>
      </c>
      <c r="AX23" s="42">
        <f>'1kpi_performance'!N23</f>
        <v>0.6720108683</v>
      </c>
      <c r="AY23" s="42">
        <f>'1kpi_performance'!O23</f>
        <v>0.3387036917</v>
      </c>
      <c r="AZ23" s="42">
        <f>'1kpi_performance'!P23</f>
        <v>0.2277308635</v>
      </c>
      <c r="BA23" s="42">
        <f>'1kpi_performance'!Q23</f>
        <v>0.7245168197</v>
      </c>
      <c r="BB23" s="35">
        <f>'1kpi_performance'!R23</f>
        <v>-1.27879372</v>
      </c>
      <c r="BC23" s="35">
        <f>'1kpi_performance'!S23</f>
        <v>2.557775716</v>
      </c>
      <c r="BD23" s="35">
        <f>'1kpi_performance'!T23</f>
        <v>5.321610062</v>
      </c>
      <c r="BE23" s="35">
        <f>'1kpi_performance'!U23</f>
        <v>-1.479593855</v>
      </c>
      <c r="BF23" s="47"/>
      <c r="BG23" s="47"/>
      <c r="BH23" s="47"/>
      <c r="BI23" s="47"/>
      <c r="BJ23" s="47"/>
      <c r="BK23" s="47"/>
      <c r="BL23" s="47"/>
      <c r="BM23" s="47"/>
      <c r="BN23" s="47"/>
      <c r="BO23" s="47"/>
      <c r="BP23" s="47"/>
      <c r="BQ23" s="47"/>
      <c r="BR23" s="47"/>
      <c r="BS23" s="47"/>
      <c r="BT23" s="47"/>
    </row>
    <row r="24" ht="11.25" customHeight="1">
      <c r="A24" s="35" t="str">
        <f>'13all_company_profile'!A24</f>
        <v>AIG</v>
      </c>
      <c r="B24" s="35" t="str">
        <f>'13all_company_profile'!B24</f>
        <v>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v>
      </c>
      <c r="C24" s="44" t="str">
        <f>'13all_company_profile'!C24</f>
        <v>https://financialmodelingprep.com/image-stock/AIG.png</v>
      </c>
      <c r="D24" s="35" t="str">
        <f>'13all_company_profile'!D24</f>
        <v>American International Group, Inc.</v>
      </c>
      <c r="E24" s="36">
        <f>'13all_company_profile'!E24</f>
        <v>41276579840</v>
      </c>
      <c r="F24" s="37">
        <f>'13all_company_profile'!F24</f>
        <v>4037039</v>
      </c>
      <c r="G24" s="35">
        <f>'13all_company_profile'!G24</f>
        <v>1.28</v>
      </c>
      <c r="H24" s="38">
        <f>'13all_company_profile'!H24</f>
        <v>44410</v>
      </c>
      <c r="I24" s="35" t="str">
        <f>'13all_company_profile'!I24</f>
        <v>NaN</v>
      </c>
      <c r="J24" s="35">
        <f>'13all_company_profile'!J24</f>
        <v>-4.44</v>
      </c>
      <c r="K24" s="42">
        <f t="shared" si="1"/>
        <v>0.02710141859</v>
      </c>
      <c r="L24" s="35">
        <f>'7company_info'!B24</f>
        <v>47.23</v>
      </c>
      <c r="M24" s="35">
        <f>'7company_info'!C24</f>
        <v>47.53</v>
      </c>
      <c r="N24" s="35">
        <f>'7company_info'!D24</f>
        <v>44.87</v>
      </c>
      <c r="O24" s="35">
        <f>'7company_info'!E24</f>
        <v>2.3</v>
      </c>
      <c r="P24" s="35">
        <f>'7company_info'!F24</f>
        <v>0.0512</v>
      </c>
      <c r="Q24" s="35">
        <f>'7company_info'!G24</f>
        <v>44.97</v>
      </c>
      <c r="R24" s="35">
        <f>'7company_info'!H24</f>
        <v>44.93</v>
      </c>
      <c r="S24" s="35">
        <f>'7company_info'!I24</f>
        <v>25.57</v>
      </c>
      <c r="T24" s="35">
        <f>'7company_info'!J24</f>
        <v>54.08</v>
      </c>
      <c r="U24" s="39">
        <v>46.5933333333333</v>
      </c>
      <c r="V24" s="39">
        <v>47.1666666666666</v>
      </c>
      <c r="W24" s="40">
        <v>47.9233333333333</v>
      </c>
      <c r="X24" s="40">
        <v>49.2533333333333</v>
      </c>
      <c r="Y24" s="40">
        <v>45.8366666666666</v>
      </c>
      <c r="Z24" s="40">
        <v>45.2633333333333</v>
      </c>
      <c r="AA24" s="40">
        <v>43.9333333333333</v>
      </c>
      <c r="AB24" s="40">
        <v>45.53</v>
      </c>
      <c r="AC24" s="40">
        <v>52.15</v>
      </c>
      <c r="AD24" s="40">
        <v>47.8927386938744</v>
      </c>
      <c r="AE24" s="40">
        <v>44.10151</v>
      </c>
      <c r="AF24" s="40">
        <v>1.334745</v>
      </c>
      <c r="AG24" s="40">
        <v>54.08</v>
      </c>
      <c r="AH24" s="45">
        <v>44349.0</v>
      </c>
      <c r="AI24" s="44" t="str">
        <f>'6image_RS_benchmark_performance'!B24</f>
        <v>https://3arbzfbsh-cname-us.ngrok.io/Desktop/seabridge%20fintech/image_app/AIG_resistance_support.jpg</v>
      </c>
      <c r="AJ24" s="44" t="str">
        <f>'6image_RS_benchmark_performance'!C24</f>
        <v>https://3arbzfbsh-cname-us.ngrok.io/Desktop/seabridge%20fintech/profit_graph_app/AIG_Return.jpg</v>
      </c>
      <c r="AK24" s="46" t="str">
        <f>'5price_action_icon'!B24</f>
        <v>https://3arbzfbsh-cname-us.ngrok.io/Desktop/seabridge%20fintech/icon/AIG_pa_trend_signal</v>
      </c>
      <c r="AL24" s="42">
        <f>'1kpi_performance'!B24</f>
        <v>0.636034347</v>
      </c>
      <c r="AM24" s="42">
        <f>'1kpi_performance'!C24</f>
        <v>0.7729296639</v>
      </c>
      <c r="AN24" s="42">
        <f>'1kpi_performance'!D24</f>
        <v>0.5441843853</v>
      </c>
      <c r="AO24" s="42">
        <f>'1kpi_performance'!E24</f>
        <v>0.09094097611</v>
      </c>
      <c r="AP24" s="42">
        <f>'1kpi_performance'!F24</f>
        <v>0.300235195</v>
      </c>
      <c r="AQ24" s="42">
        <f>'1kpi_performance'!G24</f>
        <v>0.3009777901</v>
      </c>
      <c r="AR24" s="42">
        <f>'1kpi_performance'!H24</f>
        <v>0.2457188985</v>
      </c>
      <c r="AS24" s="42">
        <f>'1kpi_performance'!I24</f>
        <v>0.4297506061</v>
      </c>
      <c r="AT24" s="35">
        <f>'1kpi_performance'!J24</f>
        <v>2.035185605</v>
      </c>
      <c r="AU24" s="35">
        <f>'1kpi_performance'!K24</f>
        <v>2.48499952</v>
      </c>
      <c r="AV24" s="35">
        <f>'1kpi_performance'!L24</f>
        <v>2.112920042</v>
      </c>
      <c r="AW24" s="35">
        <f>'1kpi_performance'!M24</f>
        <v>0.1534401003</v>
      </c>
      <c r="AX24" s="42">
        <f>'1kpi_performance'!N24</f>
        <v>0.2562704471</v>
      </c>
      <c r="AY24" s="42">
        <f>'1kpi_performance'!O24</f>
        <v>0.2562704471</v>
      </c>
      <c r="AZ24" s="42">
        <f>'1kpi_performance'!P24</f>
        <v>0.3573282983</v>
      </c>
      <c r="BA24" s="42">
        <f>'1kpi_performance'!Q24</f>
        <v>0.7205357143</v>
      </c>
      <c r="BB24" s="35">
        <f>'1kpi_performance'!R24</f>
        <v>4.38045066</v>
      </c>
      <c r="BC24" s="35">
        <f>'1kpi_performance'!S24</f>
        <v>5.617699943</v>
      </c>
      <c r="BD24" s="35">
        <f>'1kpi_performance'!T24</f>
        <v>4.747128287</v>
      </c>
      <c r="BE24" s="35">
        <f>'1kpi_performance'!U24</f>
        <v>0.293211403</v>
      </c>
      <c r="BF24" s="47"/>
      <c r="BG24" s="47"/>
      <c r="BH24" s="47"/>
      <c r="BI24" s="47"/>
      <c r="BJ24" s="47"/>
      <c r="BK24" s="47"/>
      <c r="BL24" s="47"/>
      <c r="BM24" s="47"/>
      <c r="BN24" s="47"/>
      <c r="BO24" s="47"/>
      <c r="BP24" s="47"/>
      <c r="BQ24" s="47"/>
      <c r="BR24" s="47"/>
      <c r="BS24" s="47"/>
      <c r="BT24" s="47"/>
    </row>
    <row r="25" ht="11.25" customHeight="1">
      <c r="A25" s="35" t="str">
        <f>'13all_company_profile'!A25</f>
        <v>AIZ</v>
      </c>
      <c r="B25" s="35" t="str">
        <f>'13all_company_profile'!B25</f>
        <v>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v>
      </c>
      <c r="C25" s="44" t="str">
        <f>'13all_company_profile'!C25</f>
        <v>https://financialmodelingprep.com/image-stock/AIZ.png</v>
      </c>
      <c r="D25" s="35" t="str">
        <f>'13all_company_profile'!D25</f>
        <v>Assurant, Inc.</v>
      </c>
      <c r="E25" s="36">
        <f>'13all_company_profile'!E25</f>
        <v>9443544064</v>
      </c>
      <c r="F25" s="37">
        <f>'13all_company_profile'!F25</f>
        <v>342319</v>
      </c>
      <c r="G25" s="35">
        <f>'13all_company_profile'!G25</f>
        <v>2.61</v>
      </c>
      <c r="H25" s="38">
        <f>'13all_company_profile'!H25</f>
        <v>44411</v>
      </c>
      <c r="I25" s="35">
        <f>'13all_company_profile'!I25</f>
        <v>21.727997</v>
      </c>
      <c r="J25" s="35">
        <f>'13all_company_profile'!J25</f>
        <v>7.176</v>
      </c>
      <c r="K25" s="42">
        <f t="shared" si="1"/>
        <v>0.01693375722</v>
      </c>
      <c r="L25" s="35">
        <f>'7company_info'!B25</f>
        <v>154.13</v>
      </c>
      <c r="M25" s="35">
        <f>'7company_info'!C25</f>
        <v>155.9</v>
      </c>
      <c r="N25" s="35">
        <f>'7company_info'!D25</f>
        <v>151.18</v>
      </c>
      <c r="O25" s="35">
        <f>'7company_info'!E25</f>
        <v>2.66</v>
      </c>
      <c r="P25" s="35">
        <f>'7company_info'!F25</f>
        <v>0.0176</v>
      </c>
      <c r="Q25" s="35">
        <f>'7company_info'!G25</f>
        <v>151.62</v>
      </c>
      <c r="R25" s="35">
        <f>'7company_info'!H25</f>
        <v>151.47</v>
      </c>
      <c r="S25" s="35">
        <f>'7company_info'!I25</f>
        <v>102.65</v>
      </c>
      <c r="T25" s="35">
        <f>'7company_info'!J25</f>
        <v>163.84</v>
      </c>
      <c r="U25" s="39">
        <v>155.23</v>
      </c>
      <c r="V25" s="39">
        <v>156.099999999999</v>
      </c>
      <c r="W25" s="40">
        <v>157.149999999999</v>
      </c>
      <c r="X25" s="40">
        <v>159.069999999999</v>
      </c>
      <c r="Y25" s="40">
        <v>154.179999999999</v>
      </c>
      <c r="Z25" s="40">
        <v>153.31</v>
      </c>
      <c r="AA25" s="40">
        <v>151.39</v>
      </c>
      <c r="AB25" s="40">
        <v>153.68</v>
      </c>
      <c r="AC25" s="40">
        <v>155.75</v>
      </c>
      <c r="AD25" s="40">
        <v>156.679632419012</v>
      </c>
      <c r="AE25" s="40">
        <v>149.70646</v>
      </c>
      <c r="AF25" s="40">
        <v>2.74277</v>
      </c>
      <c r="AG25" s="40">
        <v>163.84</v>
      </c>
      <c r="AH25" s="45">
        <v>44357.0</v>
      </c>
      <c r="AI25" s="44" t="str">
        <f>'6image_RS_benchmark_performance'!B25</f>
        <v>https://3arbzfbsh-cname-us.ngrok.io/Desktop/seabridge%20fintech/image_app/AIZ_resistance_support.jpg</v>
      </c>
      <c r="AJ25" s="44" t="str">
        <f>'6image_RS_benchmark_performance'!C25</f>
        <v>https://3arbzfbsh-cname-us.ngrok.io/Desktop/seabridge%20fintech/profit_graph_app/AIZ_Return.jpg</v>
      </c>
      <c r="AK25" s="46" t="str">
        <f>'5price_action_icon'!B25</f>
        <v>https://3arbzfbsh-cname-us.ngrok.io/Desktop/seabridge%20fintech/icon/AIZ_pa_trend_signal</v>
      </c>
      <c r="AL25" s="42">
        <f>'1kpi_performance'!B25</f>
        <v>0.5744235089</v>
      </c>
      <c r="AM25" s="42">
        <f>'1kpi_performance'!C25</f>
        <v>0.7110659207</v>
      </c>
      <c r="AN25" s="42">
        <f>'1kpi_performance'!D25</f>
        <v>0.5819097471</v>
      </c>
      <c r="AO25" s="42">
        <f>'1kpi_performance'!E25</f>
        <v>0.2206617016</v>
      </c>
      <c r="AP25" s="42">
        <f>'1kpi_performance'!F25</f>
        <v>0.1961151726</v>
      </c>
      <c r="AQ25" s="42">
        <f>'1kpi_performance'!G25</f>
        <v>0.207049717</v>
      </c>
      <c r="AR25" s="42">
        <f>'1kpi_performance'!H25</f>
        <v>0.1877598267</v>
      </c>
      <c r="AS25" s="42">
        <f>'1kpi_performance'!I25</f>
        <v>0.3101228025</v>
      </c>
      <c r="AT25" s="35">
        <f>'1kpi_performance'!J25</f>
        <v>2.801534943</v>
      </c>
      <c r="AU25" s="35">
        <f>'1kpi_performance'!K25</f>
        <v>3.31353228</v>
      </c>
      <c r="AV25" s="35">
        <f>'1kpi_performance'!L25</f>
        <v>2.966075102</v>
      </c>
      <c r="AW25" s="35">
        <f>'1kpi_performance'!M25</f>
        <v>0.6309168499</v>
      </c>
      <c r="AX25" s="42">
        <f>'1kpi_performance'!N25</f>
        <v>0.1213403312</v>
      </c>
      <c r="AY25" s="42">
        <f>'1kpi_performance'!O25</f>
        <v>0.1050805232</v>
      </c>
      <c r="AZ25" s="42">
        <f>'1kpi_performance'!P25</f>
        <v>0.1635660788</v>
      </c>
      <c r="BA25" s="42">
        <f>'1kpi_performance'!Q25</f>
        <v>0.4357984844</v>
      </c>
      <c r="BB25" s="35">
        <f>'1kpi_performance'!R25</f>
        <v>6.137939836</v>
      </c>
      <c r="BC25" s="35">
        <f>'1kpi_performance'!S25</f>
        <v>7.746279833</v>
      </c>
      <c r="BD25" s="35">
        <f>'1kpi_performance'!T25</f>
        <v>6.65757541</v>
      </c>
      <c r="BE25" s="35">
        <f>'1kpi_performance'!U25</f>
        <v>1.169144063</v>
      </c>
      <c r="BF25" s="47"/>
      <c r="BG25" s="47"/>
      <c r="BH25" s="47"/>
      <c r="BI25" s="47"/>
      <c r="BJ25" s="47"/>
      <c r="BK25" s="47"/>
      <c r="BL25" s="47"/>
      <c r="BM25" s="47"/>
      <c r="BN25" s="47"/>
      <c r="BO25" s="47"/>
      <c r="BP25" s="47"/>
      <c r="BQ25" s="47"/>
      <c r="BR25" s="47"/>
      <c r="BS25" s="47"/>
      <c r="BT25" s="47"/>
    </row>
    <row r="26" ht="11.25" customHeight="1">
      <c r="A26" s="35" t="str">
        <f>'13all_company_profile'!A26</f>
        <v>AJG</v>
      </c>
      <c r="B26" s="35" t="str">
        <f>'13all_company_profile'!B26</f>
        <v>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v>
      </c>
      <c r="C26" s="44" t="str">
        <f>'13all_company_profile'!C26</f>
        <v>https://financialmodelingprep.com/image-stock/AJG.png</v>
      </c>
      <c r="D26" s="35" t="str">
        <f>'13all_company_profile'!D26</f>
        <v>Arthur J. Gallagher &amp; Co.</v>
      </c>
      <c r="E26" s="36">
        <f>'13all_company_profile'!E26</f>
        <v>28887617536</v>
      </c>
      <c r="F26" s="37">
        <f>'13all_company_profile'!F26</f>
        <v>1160041</v>
      </c>
      <c r="G26" s="35">
        <f>'13all_company_profile'!G26</f>
        <v>1.86</v>
      </c>
      <c r="H26" s="38">
        <f>'13all_company_profile'!H26</f>
        <v>44405</v>
      </c>
      <c r="I26" s="35">
        <f>'13all_company_profile'!I26</f>
        <v>32.223244</v>
      </c>
      <c r="J26" s="35">
        <f>'13all_company_profile'!J26</f>
        <v>4.354</v>
      </c>
      <c r="K26" s="42">
        <f t="shared" si="1"/>
        <v>0.01335535291</v>
      </c>
      <c r="L26" s="35">
        <f>'7company_info'!B26</f>
        <v>139.27</v>
      </c>
      <c r="M26" s="35">
        <f>'7company_info'!C26</f>
        <v>139.82</v>
      </c>
      <c r="N26" s="35">
        <f>'7company_info'!D26</f>
        <v>136.69</v>
      </c>
      <c r="O26" s="35">
        <f>'7company_info'!E26</f>
        <v>2.63</v>
      </c>
      <c r="P26" s="35">
        <f>'7company_info'!F26</f>
        <v>0.0192</v>
      </c>
      <c r="Q26" s="35">
        <f>'7company_info'!G26</f>
        <v>137.18</v>
      </c>
      <c r="R26" s="35">
        <f>'7company_info'!H26</f>
        <v>136.64</v>
      </c>
      <c r="S26" s="35">
        <f>'7company_info'!I26</f>
        <v>100.32</v>
      </c>
      <c r="T26" s="35">
        <f>'7company_info'!J26</f>
        <v>154.03</v>
      </c>
      <c r="U26" s="39">
        <v>138.966666666666</v>
      </c>
      <c r="V26" s="39">
        <v>139.543333333333</v>
      </c>
      <c r="W26" s="40">
        <v>140.186666666666</v>
      </c>
      <c r="X26" s="40">
        <v>141.406666666666</v>
      </c>
      <c r="Y26" s="40">
        <v>138.323333333333</v>
      </c>
      <c r="Z26" s="40">
        <v>137.746666666666</v>
      </c>
      <c r="AA26" s="40">
        <v>136.526666666666</v>
      </c>
      <c r="AB26" s="40">
        <v>137.25</v>
      </c>
      <c r="AC26" s="40">
        <v>142.36</v>
      </c>
      <c r="AD26" s="40">
        <v>140.848985037739</v>
      </c>
      <c r="AE26" s="40">
        <v>135.1995</v>
      </c>
      <c r="AF26" s="40">
        <v>1.94425</v>
      </c>
      <c r="AG26" s="40">
        <v>154.03</v>
      </c>
      <c r="AH26" s="45">
        <v>44326.0</v>
      </c>
      <c r="AI26" s="44" t="str">
        <f>'6image_RS_benchmark_performance'!B26</f>
        <v>https://3arbzfbsh-cname-us.ngrok.io/Desktop/seabridge%20fintech/image_app/AJG_resistance_support.jpg</v>
      </c>
      <c r="AJ26" s="44" t="str">
        <f>'6image_RS_benchmark_performance'!C26</f>
        <v>https://3arbzfbsh-cname-us.ngrok.io/Desktop/seabridge%20fintech/profit_graph_app/AJG_Return.jpg</v>
      </c>
      <c r="AK26" s="46" t="str">
        <f>'5price_action_icon'!B26</f>
        <v>https://3arbzfbsh-cname-us.ngrok.io/Desktop/seabridge%20fintech/icon/AJG_pa_trend_signal</v>
      </c>
      <c r="AL26" s="42">
        <f>'1kpi_performance'!B26</f>
        <v>0.4248494094</v>
      </c>
      <c r="AM26" s="42">
        <f>'1kpi_performance'!C26</f>
        <v>0.5016115567</v>
      </c>
      <c r="AN26" s="42">
        <f>'1kpi_performance'!D26</f>
        <v>0.3954573455</v>
      </c>
      <c r="AO26" s="42">
        <f>'1kpi_performance'!E26</f>
        <v>0.255931825</v>
      </c>
      <c r="AP26" s="42">
        <f>'1kpi_performance'!F26</f>
        <v>0.1527957398</v>
      </c>
      <c r="AQ26" s="42">
        <f>'1kpi_performance'!G26</f>
        <v>0.1569750934</v>
      </c>
      <c r="AR26" s="42">
        <f>'1kpi_performance'!H26</f>
        <v>0.191728634</v>
      </c>
      <c r="AS26" s="42">
        <f>'1kpi_performance'!I26</f>
        <v>0.2421115159</v>
      </c>
      <c r="AT26" s="35">
        <f>'1kpi_performance'!J26</f>
        <v>2.616888468</v>
      </c>
      <c r="AU26" s="35">
        <f>'1kpi_performance'!K26</f>
        <v>3.036224068</v>
      </c>
      <c r="AV26" s="35">
        <f>'1kpi_performance'!L26</f>
        <v>1.932196239</v>
      </c>
      <c r="AW26" s="35">
        <f>'1kpi_performance'!M26</f>
        <v>0.9538242081</v>
      </c>
      <c r="AX26" s="42">
        <f>'1kpi_performance'!N26</f>
        <v>0.1307416787</v>
      </c>
      <c r="AY26" s="42">
        <f>'1kpi_performance'!O26</f>
        <v>0.1070935053</v>
      </c>
      <c r="AZ26" s="42">
        <f>'1kpi_performance'!P26</f>
        <v>0.3574992939</v>
      </c>
      <c r="BA26" s="42">
        <f>'1kpi_performance'!Q26</f>
        <v>0.374862587</v>
      </c>
      <c r="BB26" s="35">
        <f>'1kpi_performance'!R26</f>
        <v>5.56144356</v>
      </c>
      <c r="BC26" s="35">
        <f>'1kpi_performance'!S26</f>
        <v>6.78249904</v>
      </c>
      <c r="BD26" s="35">
        <f>'1kpi_performance'!T26</f>
        <v>3.609126364</v>
      </c>
      <c r="BE26" s="35">
        <f>'1kpi_performance'!U26</f>
        <v>1.818149495</v>
      </c>
      <c r="BF26" s="47"/>
      <c r="BG26" s="47"/>
      <c r="BH26" s="47"/>
      <c r="BI26" s="47"/>
      <c r="BJ26" s="47"/>
      <c r="BK26" s="47"/>
      <c r="BL26" s="47"/>
      <c r="BM26" s="47"/>
      <c r="BN26" s="47"/>
      <c r="BO26" s="47"/>
      <c r="BP26" s="47"/>
      <c r="BQ26" s="47"/>
      <c r="BR26" s="47"/>
      <c r="BS26" s="47"/>
      <c r="BT26" s="47"/>
    </row>
    <row r="27" ht="11.25" customHeight="1">
      <c r="A27" s="35" t="str">
        <f>'13all_company_profile'!A27</f>
        <v>AKAM</v>
      </c>
      <c r="B27" s="35" t="str">
        <f>'13all_company_profile'!B27</f>
        <v>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v>
      </c>
      <c r="C27" s="44" t="str">
        <f>'13all_company_profile'!C27</f>
        <v>https://financialmodelingprep.com/image-stock/AKAM.png</v>
      </c>
      <c r="D27" s="35" t="str">
        <f>'13all_company_profile'!D27</f>
        <v>Akamai Technologies, Inc.</v>
      </c>
      <c r="E27" s="36">
        <f>'13all_company_profile'!E27</f>
        <v>18980417536</v>
      </c>
      <c r="F27" s="37">
        <f>'13all_company_profile'!F27</f>
        <v>1352333</v>
      </c>
      <c r="G27" s="35">
        <f>'13all_company_profile'!G27</f>
        <v>0</v>
      </c>
      <c r="H27" s="38">
        <f>'13all_company_profile'!H27</f>
        <v>44411</v>
      </c>
      <c r="I27" s="35">
        <f>'13all_company_profile'!I27</f>
        <v>32.925655</v>
      </c>
      <c r="J27" s="35">
        <f>'13all_company_profile'!J27</f>
        <v>3.559</v>
      </c>
      <c r="K27" s="42" t="str">
        <f t="shared" si="1"/>
        <v>NaN</v>
      </c>
      <c r="L27" s="35">
        <f>'7company_info'!B27</f>
        <v>117.54</v>
      </c>
      <c r="M27" s="35">
        <f>'7company_info'!C27</f>
        <v>118.58</v>
      </c>
      <c r="N27" s="35">
        <f>'7company_info'!D27</f>
        <v>117.48</v>
      </c>
      <c r="O27" s="35">
        <f>'7company_info'!E27</f>
        <v>0.27</v>
      </c>
      <c r="P27" s="35">
        <f>'7company_info'!F27</f>
        <v>0.0023</v>
      </c>
      <c r="Q27" s="35">
        <f>'7company_info'!G27</f>
        <v>117.98</v>
      </c>
      <c r="R27" s="35">
        <f>'7company_info'!H27</f>
        <v>117.27</v>
      </c>
      <c r="S27" s="35">
        <f>'7company_info'!I27</f>
        <v>92.64</v>
      </c>
      <c r="T27" s="35">
        <f>'7company_info'!J27</f>
        <v>124.91</v>
      </c>
      <c r="U27" s="39">
        <v>116.046666666666</v>
      </c>
      <c r="V27" s="39">
        <v>116.793333333333</v>
      </c>
      <c r="W27" s="40">
        <v>117.576666666666</v>
      </c>
      <c r="X27" s="40">
        <v>119.106666666666</v>
      </c>
      <c r="Y27" s="40">
        <v>115.263333333333</v>
      </c>
      <c r="Z27" s="40">
        <v>114.516666666666</v>
      </c>
      <c r="AA27" s="40">
        <v>112.986666666666</v>
      </c>
      <c r="AB27" s="40">
        <v>115.98</v>
      </c>
      <c r="AC27" s="40">
        <v>119.3</v>
      </c>
      <c r="AD27" s="40">
        <v>116.473951179415</v>
      </c>
      <c r="AE27" s="40">
        <v>111.643</v>
      </c>
      <c r="AF27" s="40">
        <v>1.776</v>
      </c>
      <c r="AG27" s="40">
        <v>124.91</v>
      </c>
      <c r="AH27" s="45">
        <v>44223.0</v>
      </c>
      <c r="AI27" s="44" t="str">
        <f>'6image_RS_benchmark_performance'!B27</f>
        <v>https://3arbzfbsh-cname-us.ngrok.io/Desktop/seabridge%20fintech/image_app/AKAM_resistance_support.jpg</v>
      </c>
      <c r="AJ27" s="44" t="str">
        <f>'6image_RS_benchmark_performance'!C27</f>
        <v>https://3arbzfbsh-cname-us.ngrok.io/Desktop/seabridge%20fintech/profit_graph_app/AKAM_Return.jpg</v>
      </c>
      <c r="AK27" s="46" t="str">
        <f>'5price_action_icon'!B27</f>
        <v>https://3arbzfbsh-cname-us.ngrok.io/Desktop/seabridge%20fintech/icon/AKAM_pa_trend_signal</v>
      </c>
      <c r="AL27" s="42">
        <f>'1kpi_performance'!B27</f>
        <v>0.8642969871</v>
      </c>
      <c r="AM27" s="42">
        <f>'1kpi_performance'!C27</f>
        <v>1.184118255</v>
      </c>
      <c r="AN27" s="42">
        <f>'1kpi_performance'!D27</f>
        <v>1.056417461</v>
      </c>
      <c r="AO27" s="42">
        <f>'1kpi_performance'!E27</f>
        <v>0.2007678796</v>
      </c>
      <c r="AP27" s="42">
        <f>'1kpi_performance'!F27</f>
        <v>0.3292084932</v>
      </c>
      <c r="AQ27" s="42">
        <f>'1kpi_performance'!G27</f>
        <v>0.3140253661</v>
      </c>
      <c r="AR27" s="42">
        <f>'1kpi_performance'!H27</f>
        <v>0.3088171171</v>
      </c>
      <c r="AS27" s="42">
        <f>'1kpi_performance'!I27</f>
        <v>0.4447743542</v>
      </c>
      <c r="AT27" s="35">
        <f>'1kpi_performance'!J27</f>
        <v>2.549439046</v>
      </c>
      <c r="AU27" s="35">
        <f>'1kpi_performance'!K27</f>
        <v>3.691161223</v>
      </c>
      <c r="AV27" s="35">
        <f>'1kpi_performance'!L27</f>
        <v>3.339897317</v>
      </c>
      <c r="AW27" s="35">
        <f>'1kpi_performance'!M27</f>
        <v>0.3951843849</v>
      </c>
      <c r="AX27" s="42">
        <f>'1kpi_performance'!N27</f>
        <v>0.2962278368</v>
      </c>
      <c r="AY27" s="42">
        <f>'1kpi_performance'!O27</f>
        <v>0.1516992791</v>
      </c>
      <c r="AZ27" s="42">
        <f>'1kpi_performance'!P27</f>
        <v>0.4358516449</v>
      </c>
      <c r="BA27" s="42">
        <f>'1kpi_performance'!Q27</f>
        <v>0.6555227189</v>
      </c>
      <c r="BB27" s="35">
        <f>'1kpi_performance'!R27</f>
        <v>6.140418202</v>
      </c>
      <c r="BC27" s="35">
        <f>'1kpi_performance'!S27</f>
        <v>10.84360508</v>
      </c>
      <c r="BD27" s="35">
        <f>'1kpi_performance'!T27</f>
        <v>8.263339344</v>
      </c>
      <c r="BE27" s="35">
        <f>'1kpi_performance'!U27</f>
        <v>0.7714391825</v>
      </c>
      <c r="BF27" s="47"/>
      <c r="BG27" s="47"/>
      <c r="BH27" s="47"/>
      <c r="BI27" s="47"/>
      <c r="BJ27" s="47"/>
      <c r="BK27" s="47"/>
      <c r="BL27" s="47"/>
      <c r="BM27" s="47"/>
      <c r="BN27" s="47"/>
      <c r="BO27" s="47"/>
      <c r="BP27" s="47"/>
      <c r="BQ27" s="47"/>
      <c r="BR27" s="47"/>
      <c r="BS27" s="47"/>
      <c r="BT27" s="47"/>
    </row>
    <row r="28" ht="11.25" customHeight="1">
      <c r="A28" s="35" t="str">
        <f>'13all_company_profile'!A28</f>
        <v>ALB</v>
      </c>
      <c r="B28" s="35" t="str">
        <f>'13all_company_profile'!B28</f>
        <v>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v>
      </c>
      <c r="C28" s="44" t="str">
        <f>'13all_company_profile'!C28</f>
        <v>https://financialmodelingprep.com/image-stock/ALB.png</v>
      </c>
      <c r="D28" s="35" t="str">
        <f>'13all_company_profile'!D28</f>
        <v>Albemarle Corporation</v>
      </c>
      <c r="E28" s="36">
        <f>'13all_company_profile'!E28</f>
        <v>21664770048</v>
      </c>
      <c r="F28" s="37">
        <f>'13all_company_profile'!F28</f>
        <v>985119</v>
      </c>
      <c r="G28" s="35">
        <f>'13all_company_profile'!G28</f>
        <v>1.55</v>
      </c>
      <c r="H28" s="38">
        <f>'13all_company_profile'!H28</f>
        <v>44412</v>
      </c>
      <c r="I28" s="35">
        <f>'13all_company_profile'!I28</f>
        <v>53.843834</v>
      </c>
      <c r="J28" s="35">
        <f>'13all_company_profile'!J28</f>
        <v>3.351</v>
      </c>
      <c r="K28" s="42">
        <f t="shared" si="1"/>
        <v>0.008277703605</v>
      </c>
      <c r="L28" s="35">
        <f>'7company_info'!B28</f>
        <v>187.25</v>
      </c>
      <c r="M28" s="35">
        <f>'7company_info'!C28</f>
        <v>188.71</v>
      </c>
      <c r="N28" s="35">
        <f>'7company_info'!D28</f>
        <v>178.57</v>
      </c>
      <c r="O28" s="35">
        <f>'7company_info'!E28</f>
        <v>9.17</v>
      </c>
      <c r="P28" s="35">
        <f>'7company_info'!F28</f>
        <v>0.0515</v>
      </c>
      <c r="Q28" s="35">
        <f>'7company_info'!G28</f>
        <v>179</v>
      </c>
      <c r="R28" s="35">
        <f>'7company_info'!H28</f>
        <v>178.08</v>
      </c>
      <c r="S28" s="35">
        <f>'7company_info'!I28</f>
        <v>79.06</v>
      </c>
      <c r="T28" s="35">
        <f>'7company_info'!J28</f>
        <v>192.77</v>
      </c>
      <c r="U28" s="39">
        <v>184.796666666666</v>
      </c>
      <c r="V28" s="39">
        <v>188.253333333333</v>
      </c>
      <c r="W28" s="40">
        <v>193.986666666666</v>
      </c>
      <c r="X28" s="40">
        <v>203.176666666666</v>
      </c>
      <c r="Y28" s="40">
        <v>179.063333333333</v>
      </c>
      <c r="Z28" s="40">
        <v>175.606666666666</v>
      </c>
      <c r="AA28" s="40">
        <v>166.416666666666</v>
      </c>
      <c r="AB28" s="40">
        <v>176.01</v>
      </c>
      <c r="AC28" s="40">
        <v>192.7682</v>
      </c>
      <c r="AD28" s="40">
        <v>172.251149815902</v>
      </c>
      <c r="AE28" s="40">
        <v>174.3378</v>
      </c>
      <c r="AF28" s="40">
        <v>5.4316</v>
      </c>
      <c r="AG28" s="40">
        <v>188.35</v>
      </c>
      <c r="AH28" s="45">
        <v>44216.0</v>
      </c>
      <c r="AI28" s="44" t="str">
        <f>'6image_RS_benchmark_performance'!B28</f>
        <v>https://3arbzfbsh-cname-us.ngrok.io/Desktop/seabridge%20fintech/image_app/ALB_resistance_support.jpg</v>
      </c>
      <c r="AJ28" s="44" t="str">
        <f>'6image_RS_benchmark_performance'!C28</f>
        <v>https://3arbzfbsh-cname-us.ngrok.io/Desktop/seabridge%20fintech/profit_graph_app/ALB_Return.jpg</v>
      </c>
      <c r="AK28" s="46" t="str">
        <f>'5price_action_icon'!B28</f>
        <v>https://3arbzfbsh-cname-us.ngrok.io/Desktop/seabridge%20fintech/icon/ALB_pa_trend_signal</v>
      </c>
      <c r="AL28" s="42">
        <f>'1kpi_performance'!B28</f>
        <v>0.7345471563</v>
      </c>
      <c r="AM28" s="42">
        <f>'1kpi_performance'!C28</f>
        <v>1.052837896</v>
      </c>
      <c r="AN28" s="42">
        <f>'1kpi_performance'!D28</f>
        <v>0.7228243572</v>
      </c>
      <c r="AO28" s="42">
        <f>'1kpi_performance'!E28</f>
        <v>0.2195327203</v>
      </c>
      <c r="AP28" s="42">
        <f>'1kpi_performance'!F28</f>
        <v>0.2868385568</v>
      </c>
      <c r="AQ28" s="42">
        <f>'1kpi_performance'!G28</f>
        <v>0.2875923687</v>
      </c>
      <c r="AR28" s="42">
        <f>'1kpi_performance'!H28</f>
        <v>0.2970412998</v>
      </c>
      <c r="AS28" s="42">
        <f>'1kpi_performance'!I28</f>
        <v>0.4312033237</v>
      </c>
      <c r="AT28" s="35">
        <f>'1kpi_performance'!J28</f>
        <v>2.473681238</v>
      </c>
      <c r="AU28" s="35">
        <f>'1kpi_performance'!K28</f>
        <v>3.57394009</v>
      </c>
      <c r="AV28" s="35">
        <f>'1kpi_performance'!L28</f>
        <v>2.349250281</v>
      </c>
      <c r="AW28" s="35">
        <f>'1kpi_performance'!M28</f>
        <v>0.4511391949</v>
      </c>
      <c r="AX28" s="42">
        <f>'1kpi_performance'!N28</f>
        <v>0.235003725</v>
      </c>
      <c r="AY28" s="42">
        <f>'1kpi_performance'!O28</f>
        <v>0.1366756192</v>
      </c>
      <c r="AZ28" s="42">
        <f>'1kpi_performance'!P28</f>
        <v>0.4428155934</v>
      </c>
      <c r="BA28" s="42">
        <f>'1kpi_performance'!Q28</f>
        <v>0.647945774</v>
      </c>
      <c r="BB28" s="35">
        <f>'1kpi_performance'!R28</f>
        <v>5.209591759</v>
      </c>
      <c r="BC28" s="35">
        <f>'1kpi_performance'!S28</f>
        <v>8.22278971</v>
      </c>
      <c r="BD28" s="35">
        <f>'1kpi_performance'!T28</f>
        <v>4.672863778</v>
      </c>
      <c r="BE28" s="35">
        <f>'1kpi_performance'!U28</f>
        <v>0.8578943587</v>
      </c>
      <c r="BF28" s="47"/>
      <c r="BG28" s="47"/>
      <c r="BH28" s="47"/>
      <c r="BI28" s="47"/>
      <c r="BJ28" s="47"/>
      <c r="BK28" s="47"/>
      <c r="BL28" s="47"/>
      <c r="BM28" s="47"/>
      <c r="BN28" s="47"/>
      <c r="BO28" s="47"/>
      <c r="BP28" s="47"/>
      <c r="BQ28" s="47"/>
      <c r="BR28" s="47"/>
      <c r="BS28" s="47"/>
      <c r="BT28" s="47"/>
    </row>
    <row r="29" ht="11.25" customHeight="1">
      <c r="A29" s="35" t="str">
        <f>'13all_company_profile'!A29</f>
        <v>ALGN</v>
      </c>
      <c r="B29" s="35" t="str">
        <f>'13all_company_profile'!B29</f>
        <v>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v>
      </c>
      <c r="C29" s="44" t="str">
        <f>'13all_company_profile'!C29</f>
        <v>https://financialmodelingprep.com/image-stock/ALGN.png</v>
      </c>
      <c r="D29" s="35" t="str">
        <f>'13all_company_profile'!D29</f>
        <v>Align Technology, Inc.</v>
      </c>
      <c r="E29" s="36">
        <f>'13all_company_profile'!E29</f>
        <v>49199226880</v>
      </c>
      <c r="F29" s="37">
        <f>'13all_company_profile'!F29</f>
        <v>574723</v>
      </c>
      <c r="G29" s="35">
        <f>'13all_company_profile'!G29</f>
        <v>0</v>
      </c>
      <c r="H29" s="38">
        <f>'13all_company_profile'!H29</f>
        <v>44405</v>
      </c>
      <c r="I29" s="35">
        <f>'13all_company_profile'!I29</f>
        <v>107.542946</v>
      </c>
      <c r="J29" s="35">
        <f>'13all_company_profile'!J29</f>
        <v>5.763</v>
      </c>
      <c r="K29" s="42" t="str">
        <f t="shared" si="1"/>
        <v>NaN</v>
      </c>
      <c r="L29" s="35">
        <f>'7company_info'!B29</f>
        <v>615.71</v>
      </c>
      <c r="M29" s="35">
        <f>'7company_info'!C29</f>
        <v>620.37</v>
      </c>
      <c r="N29" s="35">
        <f>'7company_info'!D29</f>
        <v>589.24</v>
      </c>
      <c r="O29" s="35">
        <f>'7company_info'!E29</f>
        <v>20.15</v>
      </c>
      <c r="P29" s="35">
        <f>'7company_info'!F29</f>
        <v>0.0338</v>
      </c>
      <c r="Q29" s="35">
        <f>'7company_info'!G29</f>
        <v>596.04</v>
      </c>
      <c r="R29" s="35">
        <f>'7company_info'!H29</f>
        <v>595.56</v>
      </c>
      <c r="S29" s="35">
        <f>'7company_info'!I29</f>
        <v>279.83</v>
      </c>
      <c r="T29" s="35">
        <f>'7company_info'!J29</f>
        <v>653.86</v>
      </c>
      <c r="U29" s="39">
        <v>640.226666666666</v>
      </c>
      <c r="V29" s="39">
        <v>648.723333333333</v>
      </c>
      <c r="W29" s="40">
        <v>662.356666666666</v>
      </c>
      <c r="X29" s="40">
        <v>684.486666666666</v>
      </c>
      <c r="Y29" s="40">
        <v>626.593333333333</v>
      </c>
      <c r="Z29" s="40">
        <v>618.096666666666</v>
      </c>
      <c r="AA29" s="40">
        <v>595.966666666666</v>
      </c>
      <c r="AB29" s="40">
        <v>623.75</v>
      </c>
      <c r="AC29" s="40">
        <v>653.86</v>
      </c>
      <c r="AD29" s="40">
        <v>617.521096805578</v>
      </c>
      <c r="AE29" s="40">
        <v>608.06863</v>
      </c>
      <c r="AF29" s="40">
        <v>17.4204349999999</v>
      </c>
      <c r="AG29" s="40">
        <v>647.2</v>
      </c>
      <c r="AH29" s="45">
        <v>44315.0</v>
      </c>
      <c r="AI29" s="44" t="str">
        <f>'6image_RS_benchmark_performance'!B29</f>
        <v>https://3arbzfbsh-cname-us.ngrok.io/Desktop/seabridge%20fintech/image_app/ALGN_resistance_support.jpg</v>
      </c>
      <c r="AJ29" s="44" t="str">
        <f>'6image_RS_benchmark_performance'!C29</f>
        <v>https://3arbzfbsh-cname-us.ngrok.io/Desktop/seabridge%20fintech/profit_graph_app/ALGN_Return.jpg</v>
      </c>
      <c r="AK29" s="46" t="str">
        <f>'5price_action_icon'!B29</f>
        <v>https://3arbzfbsh-cname-us.ngrok.io/Desktop/seabridge%20fintech/icon/ALGN_pa_trend_signal</v>
      </c>
      <c r="AL29" s="42">
        <f>'1kpi_performance'!B29</f>
        <v>1.273582365</v>
      </c>
      <c r="AM29" s="42">
        <f>'1kpi_performance'!C29</f>
        <v>1.528734793</v>
      </c>
      <c r="AN29" s="42">
        <f>'1kpi_performance'!D29</f>
        <v>1.315236166</v>
      </c>
      <c r="AO29" s="42">
        <f>'1kpi_performance'!E29</f>
        <v>0.57186637</v>
      </c>
      <c r="AP29" s="42">
        <f>'1kpi_performance'!F29</f>
        <v>0.3888062309</v>
      </c>
      <c r="AQ29" s="42">
        <f>'1kpi_performance'!G29</f>
        <v>0.3917599227</v>
      </c>
      <c r="AR29" s="42">
        <f>'1kpi_performance'!H29</f>
        <v>0.3364658182</v>
      </c>
      <c r="AS29" s="42">
        <f>'1kpi_performance'!I29</f>
        <v>0.5305388302</v>
      </c>
      <c r="AT29" s="35">
        <f>'1kpi_performance'!J29</f>
        <v>3.211322932</v>
      </c>
      <c r="AU29" s="35">
        <f>'1kpi_performance'!K29</f>
        <v>3.838408948</v>
      </c>
      <c r="AV29" s="35">
        <f>'1kpi_performance'!L29</f>
        <v>3.834672338</v>
      </c>
      <c r="AW29" s="35">
        <f>'1kpi_performance'!M29</f>
        <v>1.030775391</v>
      </c>
      <c r="AX29" s="42">
        <f>'1kpi_performance'!N29</f>
        <v>0.2273496365</v>
      </c>
      <c r="AY29" s="42">
        <f>'1kpi_performance'!O29</f>
        <v>0.2064809017</v>
      </c>
      <c r="AZ29" s="42">
        <f>'1kpi_performance'!P29</f>
        <v>0.3365429841</v>
      </c>
      <c r="BA29" s="42">
        <f>'1kpi_performance'!Q29</f>
        <v>0.6495495954</v>
      </c>
      <c r="BB29" s="35">
        <f>'1kpi_performance'!R29</f>
        <v>8.762055513</v>
      </c>
      <c r="BC29" s="35">
        <f>'1kpi_performance'!S29</f>
        <v>11.29445052</v>
      </c>
      <c r="BD29" s="35">
        <f>'1kpi_performance'!T29</f>
        <v>9.958492364</v>
      </c>
      <c r="BE29" s="35">
        <f>'1kpi_performance'!U29</f>
        <v>2.147826235</v>
      </c>
      <c r="BF29" s="47"/>
      <c r="BG29" s="47"/>
      <c r="BH29" s="47"/>
      <c r="BI29" s="47"/>
      <c r="BJ29" s="47"/>
      <c r="BK29" s="47"/>
      <c r="BL29" s="47"/>
      <c r="BM29" s="47"/>
      <c r="BN29" s="47"/>
      <c r="BO29" s="47"/>
      <c r="BP29" s="47"/>
      <c r="BQ29" s="47"/>
      <c r="BR29" s="47"/>
      <c r="BS29" s="47"/>
      <c r="BT29" s="47"/>
    </row>
    <row r="30" ht="11.25" customHeight="1">
      <c r="A30" s="35" t="str">
        <f>'13all_company_profile'!A30</f>
        <v>ALK</v>
      </c>
      <c r="B30" s="35" t="str">
        <f>'13all_company_profile'!B30</f>
        <v>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v>
      </c>
      <c r="C30" s="44" t="str">
        <f>'13all_company_profile'!C30</f>
        <v>https://financialmodelingprep.com/image-stock/ALK.png</v>
      </c>
      <c r="D30" s="35" t="str">
        <f>'13all_company_profile'!D30</f>
        <v>Alaska Air Group, Inc.</v>
      </c>
      <c r="E30" s="36">
        <f>'13all_company_profile'!E30</f>
        <v>7666966016</v>
      </c>
      <c r="F30" s="37">
        <f>'13all_company_profile'!F30</f>
        <v>1590495</v>
      </c>
      <c r="G30" s="35">
        <f>'13all_company_profile'!G30</f>
        <v>0.375</v>
      </c>
      <c r="H30" s="38">
        <f>'13all_company_profile'!H30</f>
        <v>44399</v>
      </c>
      <c r="I30" s="35" t="str">
        <f>'13all_company_profile'!I30</f>
        <v>NaN</v>
      </c>
      <c r="J30" s="35">
        <f>'13all_company_profile'!J30</f>
        <v>-9.877</v>
      </c>
      <c r="K30" s="42">
        <f t="shared" si="1"/>
        <v>0.006759192502</v>
      </c>
      <c r="L30" s="35">
        <f>'7company_info'!B30</f>
        <v>55.48</v>
      </c>
      <c r="M30" s="35">
        <f>'7company_info'!C30</f>
        <v>55.91</v>
      </c>
      <c r="N30" s="35">
        <f>'7company_info'!D30</f>
        <v>52.58</v>
      </c>
      <c r="O30" s="35">
        <f>'7company_info'!E30</f>
        <v>2.65</v>
      </c>
      <c r="P30" s="35">
        <f>'7company_info'!F30</f>
        <v>0.0502</v>
      </c>
      <c r="Q30" s="35">
        <f>'7company_info'!G30</f>
        <v>52.82</v>
      </c>
      <c r="R30" s="35">
        <f>'7company_info'!H30</f>
        <v>52.83</v>
      </c>
      <c r="S30" s="35">
        <f>'7company_info'!I30</f>
        <v>33.22</v>
      </c>
      <c r="T30" s="35">
        <f>'7company_info'!J30</f>
        <v>74.25</v>
      </c>
      <c r="U30" s="39">
        <v>58.0499999999999</v>
      </c>
      <c r="V30" s="39">
        <v>58.8899999999999</v>
      </c>
      <c r="W30" s="40">
        <v>60.2299999999999</v>
      </c>
      <c r="X30" s="40">
        <v>62.4099999999999</v>
      </c>
      <c r="Y30" s="40">
        <v>56.7099999999999</v>
      </c>
      <c r="Z30" s="40">
        <v>55.8699999999999</v>
      </c>
      <c r="AA30" s="40">
        <v>53.6899999999999</v>
      </c>
      <c r="AB30" s="40">
        <v>63.74</v>
      </c>
      <c r="AC30" s="40">
        <v>60.62</v>
      </c>
      <c r="AD30" s="40">
        <v>60.9843119714176</v>
      </c>
      <c r="AE30" s="40">
        <v>54.1104</v>
      </c>
      <c r="AF30" s="40">
        <v>1.79405</v>
      </c>
      <c r="AG30" s="40">
        <v>74.25</v>
      </c>
      <c r="AH30" s="45">
        <v>44293.0</v>
      </c>
      <c r="AI30" s="44" t="str">
        <f>'6image_RS_benchmark_performance'!B30</f>
        <v>https://3arbzfbsh-cname-us.ngrok.io/Desktop/seabridge%20fintech/image_app/ALK_resistance_support.jpg</v>
      </c>
      <c r="AJ30" s="44" t="str">
        <f>'6image_RS_benchmark_performance'!C30</f>
        <v>https://3arbzfbsh-cname-us.ngrok.io/Desktop/seabridge%20fintech/profit_graph_app/ALK_Return.jpg</v>
      </c>
      <c r="AK30" s="46" t="str">
        <f>'5price_action_icon'!B30</f>
        <v>https://3arbzfbsh-cname-us.ngrok.io/Desktop/seabridge%20fintech/icon/ALK_pa_trend_signal</v>
      </c>
      <c r="AL30" s="42">
        <f>'1kpi_performance'!B30</f>
        <v>0.8379229419</v>
      </c>
      <c r="AM30" s="42">
        <f>'1kpi_performance'!C30</f>
        <v>0.9810304754</v>
      </c>
      <c r="AN30" s="42">
        <f>'1kpi_performance'!D30</f>
        <v>1.289713007</v>
      </c>
      <c r="AO30" s="42">
        <f>'1kpi_performance'!E30</f>
        <v>0.254854669</v>
      </c>
      <c r="AP30" s="42">
        <f>'1kpi_performance'!F30</f>
        <v>0.3196337114</v>
      </c>
      <c r="AQ30" s="42">
        <f>'1kpi_performance'!G30</f>
        <v>0.29894789</v>
      </c>
      <c r="AR30" s="42">
        <f>'1kpi_performance'!H30</f>
        <v>0.3079492852</v>
      </c>
      <c r="AS30" s="42">
        <f>'1kpi_performance'!I30</f>
        <v>0.4599585121</v>
      </c>
      <c r="AT30" s="35">
        <f>'1kpi_performance'!J30</f>
        <v>2.543295381</v>
      </c>
      <c r="AU30" s="35">
        <f>'1kpi_performance'!K30</f>
        <v>3.197983687</v>
      </c>
      <c r="AV30" s="35">
        <f>'1kpi_performance'!L30</f>
        <v>4.106887295</v>
      </c>
      <c r="AW30" s="35">
        <f>'1kpi_performance'!M30</f>
        <v>0.4997291341</v>
      </c>
      <c r="AX30" s="42">
        <f>'1kpi_performance'!N30</f>
        <v>0.2916003185</v>
      </c>
      <c r="AY30" s="42">
        <f>'1kpi_performance'!O30</f>
        <v>0.1743630573</v>
      </c>
      <c r="AZ30" s="42">
        <f>'1kpi_performance'!P30</f>
        <v>0.2502622783</v>
      </c>
      <c r="BA30" s="42">
        <f>'1kpi_performance'!Q30</f>
        <v>0.7649640862</v>
      </c>
      <c r="BB30" s="35">
        <f>'1kpi_performance'!R30</f>
        <v>5.508042633</v>
      </c>
      <c r="BC30" s="35">
        <f>'1kpi_performance'!S30</f>
        <v>7.316948722</v>
      </c>
      <c r="BD30" s="35">
        <f>'1kpi_performance'!T30</f>
        <v>9.940982072</v>
      </c>
      <c r="BE30" s="35">
        <f>'1kpi_performance'!U30</f>
        <v>0.9735406197</v>
      </c>
      <c r="BF30" s="47"/>
      <c r="BG30" s="47"/>
      <c r="BH30" s="47"/>
      <c r="BI30" s="47"/>
      <c r="BJ30" s="47"/>
      <c r="BK30" s="47"/>
      <c r="BL30" s="47"/>
      <c r="BM30" s="47"/>
      <c r="BN30" s="47"/>
      <c r="BO30" s="47"/>
      <c r="BP30" s="47"/>
      <c r="BQ30" s="47"/>
      <c r="BR30" s="47"/>
      <c r="BS30" s="47"/>
      <c r="BT30" s="47"/>
    </row>
    <row r="31" ht="11.25" customHeight="1">
      <c r="A31" s="35" t="str">
        <f>'13all_company_profile'!A31</f>
        <v>ALL</v>
      </c>
      <c r="B31" s="35" t="str">
        <f>'13all_company_profile'!B31</f>
        <v>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v>
      </c>
      <c r="C31" s="44" t="str">
        <f>'13all_company_profile'!C31</f>
        <v>https://financialmodelingprep.com/image-stock/ALL.png</v>
      </c>
      <c r="D31" s="35" t="str">
        <f>'13all_company_profile'!D31</f>
        <v>The Allstate Corporation</v>
      </c>
      <c r="E31" s="36">
        <f>'13all_company_profile'!E31</f>
        <v>39099658240</v>
      </c>
      <c r="F31" s="37">
        <f>'13all_company_profile'!F31</f>
        <v>1777931</v>
      </c>
      <c r="G31" s="35">
        <f>'13all_company_profile'!G31</f>
        <v>2.7</v>
      </c>
      <c r="H31" s="38">
        <f>'13all_company_profile'!H31</f>
        <v>44412</v>
      </c>
      <c r="I31" s="35">
        <f>'13all_company_profile'!I31</f>
        <v>11.455657</v>
      </c>
      <c r="J31" s="35">
        <f>'13all_company_profile'!J31</f>
        <v>11.366</v>
      </c>
      <c r="K31" s="42">
        <f t="shared" si="1"/>
        <v>0.02112180239</v>
      </c>
      <c r="L31" s="35">
        <f>'7company_info'!B31</f>
        <v>127.83</v>
      </c>
      <c r="M31" s="35">
        <f>'7company_info'!C31</f>
        <v>129.89</v>
      </c>
      <c r="N31" s="35">
        <f>'7company_info'!D31</f>
        <v>127.09</v>
      </c>
      <c r="O31" s="35">
        <f>'7company_info'!E31</f>
        <v>0.34</v>
      </c>
      <c r="P31" s="35">
        <f>'7company_info'!F31</f>
        <v>0.0027</v>
      </c>
      <c r="Q31" s="35">
        <f>'7company_info'!G31</f>
        <v>127.52</v>
      </c>
      <c r="R31" s="35">
        <f>'7company_info'!H31</f>
        <v>127.49</v>
      </c>
      <c r="S31" s="35">
        <f>'7company_info'!I31</f>
        <v>86.51</v>
      </c>
      <c r="T31" s="35">
        <f>'7company_info'!J31</f>
        <v>140</v>
      </c>
      <c r="U31" s="39">
        <v>131.84</v>
      </c>
      <c r="V31" s="39">
        <v>133.07</v>
      </c>
      <c r="W31" s="40">
        <v>134.45</v>
      </c>
      <c r="X31" s="40">
        <v>137.059999999999</v>
      </c>
      <c r="Y31" s="40">
        <v>130.46</v>
      </c>
      <c r="Z31" s="40">
        <v>129.23</v>
      </c>
      <c r="AA31" s="40">
        <v>126.62</v>
      </c>
      <c r="AB31" s="40">
        <v>125.06</v>
      </c>
      <c r="AC31" s="40">
        <v>134.57</v>
      </c>
      <c r="AD31" s="40">
        <v>131.726035424108</v>
      </c>
      <c r="AE31" s="40">
        <v>127.19201</v>
      </c>
      <c r="AF31" s="40">
        <v>2.553495</v>
      </c>
      <c r="AG31" s="40">
        <v>140.0</v>
      </c>
      <c r="AH31" s="45">
        <v>44342.0</v>
      </c>
      <c r="AI31" s="44" t="str">
        <f>'6image_RS_benchmark_performance'!B31</f>
        <v>https://3arbzfbsh-cname-us.ngrok.io/Desktop/seabridge%20fintech/image_app/ALL_resistance_support.jpg</v>
      </c>
      <c r="AJ31" s="44" t="str">
        <f>'6image_RS_benchmark_performance'!C31</f>
        <v>https://3arbzfbsh-cname-us.ngrok.io/Desktop/seabridge%20fintech/profit_graph_app/ALL_Return.jpg</v>
      </c>
      <c r="AK31" s="46" t="str">
        <f>'5price_action_icon'!B31</f>
        <v>https://3arbzfbsh-cname-us.ngrok.io/Desktop/seabridge%20fintech/icon/ALL_pa_trend_signal</v>
      </c>
      <c r="AL31" s="42">
        <f>'1kpi_performance'!B31</f>
        <v>0.4378050612</v>
      </c>
      <c r="AM31" s="42">
        <f>'1kpi_performance'!C31</f>
        <v>0.564043501</v>
      </c>
      <c r="AN31" s="42">
        <f>'1kpi_performance'!D31</f>
        <v>0.5255570982</v>
      </c>
      <c r="AO31" s="42">
        <f>'1kpi_performance'!E31</f>
        <v>0.1983311713</v>
      </c>
      <c r="AP31" s="42">
        <f>'1kpi_performance'!F31</f>
        <v>0.1737833002</v>
      </c>
      <c r="AQ31" s="42">
        <f>'1kpi_performance'!G31</f>
        <v>0.1875259289</v>
      </c>
      <c r="AR31" s="42">
        <f>'1kpi_performance'!H31</f>
        <v>0.1760744938</v>
      </c>
      <c r="AS31" s="42">
        <f>'1kpi_performance'!I31</f>
        <v>0.2714674463</v>
      </c>
      <c r="AT31" s="35">
        <f>'1kpi_performance'!J31</f>
        <v>2.375401208</v>
      </c>
      <c r="AU31" s="35">
        <f>'1kpi_performance'!K31</f>
        <v>2.874501165</v>
      </c>
      <c r="AV31" s="35">
        <f>'1kpi_performance'!L31</f>
        <v>2.842871146</v>
      </c>
      <c r="AW31" s="35">
        <f>'1kpi_performance'!M31</f>
        <v>0.6384970782</v>
      </c>
      <c r="AX31" s="42">
        <f>'1kpi_performance'!N31</f>
        <v>0.1140293485</v>
      </c>
      <c r="AY31" s="42">
        <f>'1kpi_performance'!O31</f>
        <v>0.1071312175</v>
      </c>
      <c r="AZ31" s="42">
        <f>'1kpi_performance'!P31</f>
        <v>0.2388068076</v>
      </c>
      <c r="BA31" s="42">
        <f>'1kpi_performance'!Q31</f>
        <v>0.416819304</v>
      </c>
      <c r="BB31" s="35">
        <f>'1kpi_performance'!R31</f>
        <v>5.172253524</v>
      </c>
      <c r="BC31" s="35">
        <f>'1kpi_performance'!S31</f>
        <v>6.638112851</v>
      </c>
      <c r="BD31" s="35">
        <f>'1kpi_performance'!T31</f>
        <v>6.299594392</v>
      </c>
      <c r="BE31" s="35">
        <f>'1kpi_performance'!U31</f>
        <v>1.201772946</v>
      </c>
      <c r="BF31" s="47"/>
      <c r="BG31" s="47"/>
      <c r="BH31" s="47"/>
      <c r="BI31" s="47"/>
      <c r="BJ31" s="47"/>
      <c r="BK31" s="47"/>
      <c r="BL31" s="47"/>
      <c r="BM31" s="47"/>
      <c r="BN31" s="47"/>
      <c r="BO31" s="47"/>
      <c r="BP31" s="47"/>
      <c r="BQ31" s="47"/>
      <c r="BR31" s="47"/>
      <c r="BS31" s="47"/>
      <c r="BT31" s="47"/>
    </row>
    <row r="32" ht="11.25" customHeight="1">
      <c r="A32" s="35" t="str">
        <f>'13all_company_profile'!A32</f>
        <v>ALLE</v>
      </c>
      <c r="B32" s="35" t="str">
        <f>'13all_company_profile'!B32</f>
        <v>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v>
      </c>
      <c r="C32" s="44" t="str">
        <f>'13all_company_profile'!C32</f>
        <v>https://financialmodelingprep.com/image-stock/ALLE.png</v>
      </c>
      <c r="D32" s="35" t="str">
        <f>'13all_company_profile'!D32</f>
        <v>Allegion plc</v>
      </c>
      <c r="E32" s="36">
        <f>'13all_company_profile'!E32</f>
        <v>12370188288</v>
      </c>
      <c r="F32" s="37">
        <f>'13all_company_profile'!F32</f>
        <v>659674</v>
      </c>
      <c r="G32" s="35">
        <f>'13all_company_profile'!G32</f>
        <v>1.36</v>
      </c>
      <c r="H32" s="38">
        <f>'13all_company_profile'!H32</f>
        <v>44399</v>
      </c>
      <c r="I32" s="35">
        <f>'13all_company_profile'!I32</f>
        <v>30.30409</v>
      </c>
      <c r="J32" s="35">
        <f>'13all_company_profile'!J32</f>
        <v>4.571</v>
      </c>
      <c r="K32" s="42">
        <f t="shared" si="1"/>
        <v>0.009621506898</v>
      </c>
      <c r="L32" s="35">
        <f>'7company_info'!B32</f>
        <v>141.35</v>
      </c>
      <c r="M32" s="35">
        <f>'7company_info'!C32</f>
        <v>142.25</v>
      </c>
      <c r="N32" s="35">
        <f>'7company_info'!D32</f>
        <v>136.47</v>
      </c>
      <c r="O32" s="35">
        <f>'7company_info'!E32</f>
        <v>5.44</v>
      </c>
      <c r="P32" s="35">
        <f>'7company_info'!F32</f>
        <v>0.04</v>
      </c>
      <c r="Q32" s="35">
        <f>'7company_info'!G32</f>
        <v>136.66</v>
      </c>
      <c r="R32" s="35">
        <f>'7company_info'!H32</f>
        <v>135.91</v>
      </c>
      <c r="S32" s="35">
        <f>'7company_info'!I32</f>
        <v>94.01</v>
      </c>
      <c r="T32" s="35">
        <f>'7company_info'!J32</f>
        <v>144.76</v>
      </c>
      <c r="U32" s="39">
        <v>135.484666666666</v>
      </c>
      <c r="V32" s="39">
        <v>136.945333333333</v>
      </c>
      <c r="W32" s="40">
        <v>138.020666666666</v>
      </c>
      <c r="X32" s="40">
        <v>140.556666666666</v>
      </c>
      <c r="Y32" s="40">
        <v>134.409333333333</v>
      </c>
      <c r="Z32" s="40">
        <v>132.948666666666</v>
      </c>
      <c r="AA32" s="40">
        <v>130.412666666666</v>
      </c>
      <c r="AB32" s="40">
        <v>135.97</v>
      </c>
      <c r="AC32" s="40">
        <v>139.77</v>
      </c>
      <c r="AD32" s="40">
        <v>137.980223181144</v>
      </c>
      <c r="AE32" s="40">
        <v>129.397</v>
      </c>
      <c r="AF32" s="40">
        <v>2.35805</v>
      </c>
      <c r="AG32" s="40">
        <v>144.76</v>
      </c>
      <c r="AH32" s="45">
        <v>44326.0</v>
      </c>
      <c r="AI32" s="44" t="str">
        <f>'6image_RS_benchmark_performance'!B32</f>
        <v>https://3arbzfbsh-cname-us.ngrok.io/Desktop/seabridge%20fintech/image_app/ALLE_resistance_support.jpg</v>
      </c>
      <c r="AJ32" s="44" t="str">
        <f>'6image_RS_benchmark_performance'!C32</f>
        <v>https://3arbzfbsh-cname-us.ngrok.io/Desktop/seabridge%20fintech/profit_graph_app/ALLE_Return.jpg</v>
      </c>
      <c r="AK32" s="46" t="str">
        <f>'5price_action_icon'!B32</f>
        <v>https://3arbzfbsh-cname-us.ngrok.io/Desktop/seabridge%20fintech/icon/ALLE_pa_trend_signal</v>
      </c>
      <c r="AL32" s="42">
        <f>'1kpi_performance'!B32</f>
        <v>0.4972484223</v>
      </c>
      <c r="AM32" s="42">
        <f>'1kpi_performance'!C32</f>
        <v>0.6270008517</v>
      </c>
      <c r="AN32" s="42">
        <f>'1kpi_performance'!D32</f>
        <v>0.9007685977</v>
      </c>
      <c r="AO32" s="42">
        <f>'1kpi_performance'!E32</f>
        <v>0.2125735474</v>
      </c>
      <c r="AP32" s="42">
        <f>'1kpi_performance'!F32</f>
        <v>0.2134683007</v>
      </c>
      <c r="AQ32" s="42">
        <f>'1kpi_performance'!G32</f>
        <v>0.1969906195</v>
      </c>
      <c r="AR32" s="42">
        <f>'1kpi_performance'!H32</f>
        <v>0.1944045867</v>
      </c>
      <c r="AS32" s="42">
        <f>'1kpi_performance'!I32</f>
        <v>0.3075076118</v>
      </c>
      <c r="AT32" s="35">
        <f>'1kpi_performance'!J32</f>
        <v>2.212264869</v>
      </c>
      <c r="AU32" s="35">
        <f>'1kpi_performance'!K32</f>
        <v>3.055987402</v>
      </c>
      <c r="AV32" s="35">
        <f>'1kpi_performance'!L32</f>
        <v>4.50487621</v>
      </c>
      <c r="AW32" s="35">
        <f>'1kpi_performance'!M32</f>
        <v>0.6099801767</v>
      </c>
      <c r="AX32" s="42">
        <f>'1kpi_performance'!N32</f>
        <v>0.1735226631</v>
      </c>
      <c r="AY32" s="42">
        <f>'1kpi_performance'!O32</f>
        <v>0.1113537118</v>
      </c>
      <c r="AZ32" s="42">
        <f>'1kpi_performance'!P32</f>
        <v>0.1503474606</v>
      </c>
      <c r="BA32" s="42">
        <f>'1kpi_performance'!Q32</f>
        <v>0.43412527</v>
      </c>
      <c r="BB32" s="35">
        <f>'1kpi_performance'!R32</f>
        <v>4.452399012</v>
      </c>
      <c r="BC32" s="35">
        <f>'1kpi_performance'!S32</f>
        <v>7.055006311</v>
      </c>
      <c r="BD32" s="35">
        <f>'1kpi_performance'!T32</f>
        <v>11.36044769</v>
      </c>
      <c r="BE32" s="35">
        <f>'1kpi_performance'!U32</f>
        <v>1.157995307</v>
      </c>
      <c r="BF32" s="47"/>
      <c r="BG32" s="47"/>
      <c r="BH32" s="47"/>
      <c r="BI32" s="47"/>
      <c r="BJ32" s="47"/>
      <c r="BK32" s="47"/>
      <c r="BL32" s="47"/>
      <c r="BM32" s="47"/>
      <c r="BN32" s="47"/>
      <c r="BO32" s="47"/>
      <c r="BP32" s="47"/>
      <c r="BQ32" s="47"/>
      <c r="BR32" s="47"/>
      <c r="BS32" s="47"/>
      <c r="BT32" s="47"/>
    </row>
    <row r="33" ht="11.25" customHeight="1">
      <c r="A33" s="35" t="str">
        <f>'13all_company_profile'!A33</f>
        <v>ALLY</v>
      </c>
      <c r="B33" s="35" t="str">
        <f>'13all_company_profile'!B33</f>
        <v>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v>
      </c>
      <c r="C33" s="44" t="str">
        <f>'13all_company_profile'!C33</f>
        <v>https://financialmodelingprep.com/image-stock/ALLY.png</v>
      </c>
      <c r="D33" s="35" t="str">
        <f>'13all_company_profile'!D33</f>
        <v>Ally Financial Inc.</v>
      </c>
      <c r="E33" s="36">
        <f>'13all_company_profile'!E33</f>
        <v>18912143360</v>
      </c>
      <c r="F33" s="37">
        <f>'13all_company_profile'!F33</f>
        <v>3632346</v>
      </c>
      <c r="G33" s="35">
        <f>'13all_company_profile'!G33</f>
        <v>0.76</v>
      </c>
      <c r="H33" s="38">
        <f>'13all_company_profile'!H33</f>
        <v>44397</v>
      </c>
      <c r="I33" s="35">
        <f>'13all_company_profile'!I33</f>
        <v>8.591767</v>
      </c>
      <c r="J33" s="35">
        <f>'13all_company_profile'!J33</f>
        <v>5.83</v>
      </c>
      <c r="K33" s="42">
        <f t="shared" si="1"/>
        <v>0.01493123772</v>
      </c>
      <c r="L33" s="35">
        <f>'7company_info'!B33</f>
        <v>50.9</v>
      </c>
      <c r="M33" s="35">
        <f>'7company_info'!C33</f>
        <v>51.11</v>
      </c>
      <c r="N33" s="35">
        <f>'7company_info'!D33</f>
        <v>47.06</v>
      </c>
      <c r="O33" s="35">
        <f>'7company_info'!E33</f>
        <v>2.92</v>
      </c>
      <c r="P33" s="35">
        <f>'7company_info'!F33</f>
        <v>0.0609</v>
      </c>
      <c r="Q33" s="35">
        <f>'7company_info'!G33</f>
        <v>47.2</v>
      </c>
      <c r="R33" s="35">
        <f>'7company_info'!H33</f>
        <v>47.98</v>
      </c>
      <c r="S33" s="35">
        <f>'7company_info'!I33</f>
        <v>19.86</v>
      </c>
      <c r="T33" s="35">
        <f>'7company_info'!J33</f>
        <v>56.61</v>
      </c>
      <c r="U33" s="39">
        <v>51.62</v>
      </c>
      <c r="V33" s="39">
        <v>52.21</v>
      </c>
      <c r="W33" s="40">
        <v>53.29</v>
      </c>
      <c r="X33" s="40">
        <v>54.96</v>
      </c>
      <c r="Y33" s="40">
        <v>50.54</v>
      </c>
      <c r="Z33" s="40">
        <v>49.95</v>
      </c>
      <c r="AA33" s="40">
        <v>48.28</v>
      </c>
      <c r="AB33" s="40">
        <v>50.46</v>
      </c>
      <c r="AC33" s="40">
        <v>52.7</v>
      </c>
      <c r="AD33" s="40">
        <v>51.0521860622622</v>
      </c>
      <c r="AE33" s="40">
        <v>48.75516</v>
      </c>
      <c r="AF33" s="40">
        <v>1.36466999999999</v>
      </c>
      <c r="AG33" s="40">
        <v>56.61</v>
      </c>
      <c r="AH33" s="45">
        <v>44349.0</v>
      </c>
      <c r="AI33" s="44" t="str">
        <f>'6image_RS_benchmark_performance'!B33</f>
        <v>https://3arbzfbsh-cname-us.ngrok.io/Desktop/seabridge%20fintech/image_app/ALLY_resistance_support.jpg</v>
      </c>
      <c r="AJ33" s="44" t="str">
        <f>'6image_RS_benchmark_performance'!C33</f>
        <v>https://3arbzfbsh-cname-us.ngrok.io/Desktop/seabridge%20fintech/profit_graph_app/ALLY_Return.jpg</v>
      </c>
      <c r="AK33" s="46" t="str">
        <f>'5price_action_icon'!B33</f>
        <v>https://3arbzfbsh-cname-us.ngrok.io/Desktop/seabridge%20fintech/icon/ALLY_pa_trend_signal</v>
      </c>
      <c r="AL33" s="42">
        <f>'1kpi_performance'!B33</f>
        <v>0.7145111569</v>
      </c>
      <c r="AM33" s="42">
        <f>'1kpi_performance'!C33</f>
        <v>0.8628045899</v>
      </c>
      <c r="AN33" s="42">
        <f>'1kpi_performance'!D33</f>
        <v>0.7057201833</v>
      </c>
      <c r="AO33" s="42">
        <f>'1kpi_performance'!E33</f>
        <v>0.1422265069</v>
      </c>
      <c r="AP33" s="42">
        <f>'1kpi_performance'!F33</f>
        <v>0.3120509899</v>
      </c>
      <c r="AQ33" s="42">
        <f>'1kpi_performance'!G33</f>
        <v>0.2918038546</v>
      </c>
      <c r="AR33" s="42">
        <f>'1kpi_performance'!H33</f>
        <v>0.2814578836</v>
      </c>
      <c r="AS33" s="42">
        <f>'1kpi_performance'!I33</f>
        <v>0.4421286594</v>
      </c>
      <c r="AT33" s="35">
        <f>'1kpi_performance'!J33</f>
        <v>2.209610542</v>
      </c>
      <c r="AU33" s="35">
        <f>'1kpi_performance'!K33</f>
        <v>2.871122423</v>
      </c>
      <c r="AV33" s="35">
        <f>'1kpi_performance'!L33</f>
        <v>2.418550778</v>
      </c>
      <c r="AW33" s="35">
        <f>'1kpi_performance'!M33</f>
        <v>0.2651411628</v>
      </c>
      <c r="AX33" s="42">
        <f>'1kpi_performance'!N33</f>
        <v>0.3022714036</v>
      </c>
      <c r="AY33" s="42">
        <f>'1kpi_performance'!O33</f>
        <v>0.3280383152</v>
      </c>
      <c r="AZ33" s="42">
        <f>'1kpi_performance'!P33</f>
        <v>0.3022714036</v>
      </c>
      <c r="BA33" s="42">
        <f>'1kpi_performance'!Q33</f>
        <v>0.6661911555</v>
      </c>
      <c r="BB33" s="35">
        <f>'1kpi_performance'!R33</f>
        <v>4.58018155</v>
      </c>
      <c r="BC33" s="35">
        <f>'1kpi_performance'!S33</f>
        <v>6.401167431</v>
      </c>
      <c r="BD33" s="35">
        <f>'1kpi_performance'!T33</f>
        <v>5.094380664</v>
      </c>
      <c r="BE33" s="35">
        <f>'1kpi_performance'!U33</f>
        <v>0.4932011406</v>
      </c>
      <c r="BF33" s="47"/>
      <c r="BG33" s="47"/>
      <c r="BH33" s="47"/>
      <c r="BI33" s="47"/>
      <c r="BJ33" s="47"/>
      <c r="BK33" s="47"/>
      <c r="BL33" s="47"/>
      <c r="BM33" s="47"/>
      <c r="BN33" s="47"/>
      <c r="BO33" s="47"/>
      <c r="BP33" s="47"/>
      <c r="BQ33" s="47"/>
      <c r="BR33" s="47"/>
      <c r="BS33" s="47"/>
      <c r="BT33" s="47"/>
    </row>
    <row r="34" ht="11.25" customHeight="1">
      <c r="A34" s="35" t="str">
        <f>'13all_company_profile'!A34</f>
        <v>ALXN</v>
      </c>
      <c r="B34" s="35" t="str">
        <f>'13all_company_profile'!B34</f>
        <v>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v>
      </c>
      <c r="C34" s="44" t="str">
        <f>'13all_company_profile'!C34</f>
        <v>https://financialmodelingprep.com/image-stock/ALXN.png</v>
      </c>
      <c r="D34" s="35" t="str">
        <f>'13all_company_profile'!D34</f>
        <v>Alexion Pharmaceuticals, Inc.</v>
      </c>
      <c r="E34" s="36">
        <f>'13all_company_profile'!E34</f>
        <v>39896141824</v>
      </c>
      <c r="F34" s="37">
        <f>'13all_company_profile'!F34</f>
        <v>2384201</v>
      </c>
      <c r="G34" s="35">
        <f>'13all_company_profile'!G34</f>
        <v>0</v>
      </c>
      <c r="H34" s="38">
        <f>'13all_company_profile'!H34</f>
        <v>44405</v>
      </c>
      <c r="I34" s="35">
        <f>'13all_company_profile'!I34</f>
        <v>58.523205</v>
      </c>
      <c r="J34" s="35">
        <f>'13all_company_profile'!J34</f>
        <v>3.081</v>
      </c>
      <c r="K34" s="42" t="str">
        <f t="shared" si="1"/>
        <v>NaN</v>
      </c>
      <c r="L34" s="35">
        <f>'7company_info'!B34</f>
        <v>182.5</v>
      </c>
      <c r="M34" s="35">
        <f>'7company_info'!C34</f>
        <v>182.67</v>
      </c>
      <c r="N34" s="35">
        <f>'7company_info'!D34</f>
        <v>180.13</v>
      </c>
      <c r="O34" s="35">
        <f>'7company_info'!E34</f>
        <v>3.05</v>
      </c>
      <c r="P34" s="35">
        <f>'7company_info'!F34</f>
        <v>0.017</v>
      </c>
      <c r="Q34" s="35">
        <f>'7company_info'!G34</f>
        <v>181.04</v>
      </c>
      <c r="R34" s="35">
        <f>'7company_info'!H34</f>
        <v>179.45</v>
      </c>
      <c r="S34" s="35">
        <f>'7company_info'!I34</f>
        <v>99.91</v>
      </c>
      <c r="T34" s="35">
        <f>'7company_info'!J34</f>
        <v>187.45</v>
      </c>
      <c r="U34" s="39">
        <v>186.77</v>
      </c>
      <c r="V34" s="39">
        <v>187.29</v>
      </c>
      <c r="W34" s="40">
        <v>187.97</v>
      </c>
      <c r="X34" s="40">
        <v>189.17</v>
      </c>
      <c r="Y34" s="40">
        <v>186.09</v>
      </c>
      <c r="Z34" s="40">
        <v>185.57</v>
      </c>
      <c r="AA34" s="40">
        <v>184.37</v>
      </c>
      <c r="AB34" s="40">
        <v>182.0</v>
      </c>
      <c r="AC34" s="40">
        <v>187.45</v>
      </c>
      <c r="AD34" s="40">
        <v>183.145181036777</v>
      </c>
      <c r="AE34" s="40">
        <v>182.0825</v>
      </c>
      <c r="AF34" s="40">
        <v>1.97775</v>
      </c>
      <c r="AG34" s="40">
        <v>183.05</v>
      </c>
      <c r="AH34" s="45">
        <v>44363.0</v>
      </c>
      <c r="AI34" s="44" t="str">
        <f>'6image_RS_benchmark_performance'!B34</f>
        <v>https://3arbzfbsh-cname-us.ngrok.io/Desktop/seabridge%20fintech/image_app/ALXN_resistance_support.jpg</v>
      </c>
      <c r="AJ34" s="44" t="str">
        <f>'6image_RS_benchmark_performance'!C34</f>
        <v>https://3arbzfbsh-cname-us.ngrok.io/Desktop/seabridge%20fintech/profit_graph_app/ALXN_Return.jpg</v>
      </c>
      <c r="AK34" s="46" t="str">
        <f>'5price_action_icon'!B34</f>
        <v>https://3arbzfbsh-cname-us.ngrok.io/Desktop/seabridge%20fintech/icon/ALXN_pa_trend_signal</v>
      </c>
      <c r="AL34" s="42">
        <f>'1kpi_performance'!B34</f>
        <v>0.8872948011</v>
      </c>
      <c r="AM34" s="42">
        <f>'1kpi_performance'!C34</f>
        <v>1.088621172</v>
      </c>
      <c r="AN34" s="42">
        <f>'1kpi_performance'!D34</f>
        <v>0.7987459705</v>
      </c>
      <c r="AO34" s="42">
        <f>'1kpi_performance'!E34</f>
        <v>0.295176827</v>
      </c>
      <c r="AP34" s="42">
        <f>'1kpi_performance'!F34</f>
        <v>0.3207587747</v>
      </c>
      <c r="AQ34" s="42">
        <f>'1kpi_performance'!G34</f>
        <v>0.3228836268</v>
      </c>
      <c r="AR34" s="42">
        <f>'1kpi_performance'!H34</f>
        <v>0.3225186987</v>
      </c>
      <c r="AS34" s="42">
        <f>'1kpi_performance'!I34</f>
        <v>0.4370696121</v>
      </c>
      <c r="AT34" s="35">
        <f>'1kpi_performance'!J34</f>
        <v>2.688296842</v>
      </c>
      <c r="AU34" s="35">
        <f>'1kpi_performance'!K34</f>
        <v>3.294131642</v>
      </c>
      <c r="AV34" s="35">
        <f>'1kpi_performance'!L34</f>
        <v>2.399073213</v>
      </c>
      <c r="AW34" s="35">
        <f>'1kpi_performance'!M34</f>
        <v>0.6181551393</v>
      </c>
      <c r="AX34" s="42">
        <f>'1kpi_performance'!N34</f>
        <v>0.2102900177</v>
      </c>
      <c r="AY34" s="42">
        <f>'1kpi_performance'!O34</f>
        <v>0.1366294065</v>
      </c>
      <c r="AZ34" s="42">
        <f>'1kpi_performance'!P34</f>
        <v>0.2816807681</v>
      </c>
      <c r="BA34" s="42">
        <f>'1kpi_performance'!Q34</f>
        <v>0.6364511162</v>
      </c>
      <c r="BB34" s="35">
        <f>'1kpi_performance'!R34</f>
        <v>6.418450756</v>
      </c>
      <c r="BC34" s="35">
        <f>'1kpi_performance'!S34</f>
        <v>8.706249577</v>
      </c>
      <c r="BD34" s="35">
        <f>'1kpi_performance'!T34</f>
        <v>5.809525281</v>
      </c>
      <c r="BE34" s="35">
        <f>'1kpi_performance'!U34</f>
        <v>1.3292202</v>
      </c>
      <c r="BF34" s="47"/>
      <c r="BG34" s="47"/>
      <c r="BH34" s="47"/>
      <c r="BI34" s="47"/>
      <c r="BJ34" s="47"/>
      <c r="BK34" s="47"/>
      <c r="BL34" s="47"/>
      <c r="BM34" s="47"/>
      <c r="BN34" s="47"/>
      <c r="BO34" s="47"/>
      <c r="BP34" s="47"/>
      <c r="BQ34" s="47"/>
      <c r="BR34" s="47"/>
      <c r="BS34" s="47"/>
      <c r="BT34" s="47"/>
    </row>
    <row r="35" ht="11.25" customHeight="1">
      <c r="A35" s="35" t="str">
        <f>'13all_company_profile'!A35</f>
        <v>AMAT</v>
      </c>
      <c r="B35" s="35" t="str">
        <f>'13all_company_profile'!B35</f>
        <v>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v>
      </c>
      <c r="C35" s="44" t="str">
        <f>'13all_company_profile'!C35</f>
        <v>https://financialmodelingprep.com/image-stock/AMAT.png</v>
      </c>
      <c r="D35" s="35" t="str">
        <f>'13all_company_profile'!D35</f>
        <v>Applied Materials, Inc.</v>
      </c>
      <c r="E35" s="36">
        <f>'13all_company_profile'!E35</f>
        <v>121742262272</v>
      </c>
      <c r="F35" s="37">
        <f>'13all_company_profile'!F35</f>
        <v>8592441</v>
      </c>
      <c r="G35" s="35">
        <f>'13all_company_profile'!G35</f>
        <v>0.9</v>
      </c>
      <c r="H35" s="38" t="str">
        <f>'13all_company_profile'!H35</f>
        <v>not avaiable</v>
      </c>
      <c r="I35" s="35">
        <f>'13all_company_profile'!I35</f>
        <v>26.78051</v>
      </c>
      <c r="J35" s="35">
        <f>'13all_company_profile'!J35</f>
        <v>4.802</v>
      </c>
      <c r="K35" s="42">
        <f t="shared" si="1"/>
        <v>0.006819731757</v>
      </c>
      <c r="L35" s="35">
        <f>'7company_info'!B35</f>
        <v>131.97</v>
      </c>
      <c r="M35" s="35">
        <f>'7company_info'!C35</f>
        <v>133.12</v>
      </c>
      <c r="N35" s="35">
        <f>'7company_info'!D35</f>
        <v>127.8</v>
      </c>
      <c r="O35" s="35">
        <f>'7company_info'!E35</f>
        <v>3.35</v>
      </c>
      <c r="P35" s="35">
        <f>'7company_info'!F35</f>
        <v>0.026</v>
      </c>
      <c r="Q35" s="35">
        <f>'7company_info'!G35</f>
        <v>129.2</v>
      </c>
      <c r="R35" s="35">
        <f>'7company_info'!H35</f>
        <v>128.62</v>
      </c>
      <c r="S35" s="35">
        <f>'7company_info'!I35</f>
        <v>54.15</v>
      </c>
      <c r="T35" s="35">
        <f>'7company_info'!J35</f>
        <v>146</v>
      </c>
      <c r="U35" s="39">
        <v>136.98</v>
      </c>
      <c r="V35" s="39">
        <v>138.549999999999</v>
      </c>
      <c r="W35" s="40">
        <v>141.45</v>
      </c>
      <c r="X35" s="40">
        <v>145.92</v>
      </c>
      <c r="Y35" s="40">
        <v>134.079999999999</v>
      </c>
      <c r="Z35" s="40">
        <v>132.51</v>
      </c>
      <c r="AA35" s="40">
        <v>128.04</v>
      </c>
      <c r="AB35" s="40">
        <v>134.02</v>
      </c>
      <c r="AC35" s="40">
        <v>139.88</v>
      </c>
      <c r="AD35" s="40">
        <v>136.33117493599</v>
      </c>
      <c r="AE35" s="40">
        <v>128.82333</v>
      </c>
      <c r="AF35" s="40">
        <v>3.836335</v>
      </c>
      <c r="AG35" s="40">
        <v>146.0</v>
      </c>
      <c r="AH35" s="45">
        <v>44291.0</v>
      </c>
      <c r="AI35" s="44" t="str">
        <f>'6image_RS_benchmark_performance'!B35</f>
        <v>https://3arbzfbsh-cname-us.ngrok.io/Desktop/seabridge%20fintech/image_app/AMAT_resistance_support.jpg</v>
      </c>
      <c r="AJ35" s="44" t="str">
        <f>'6image_RS_benchmark_performance'!C35</f>
        <v>https://3arbzfbsh-cname-us.ngrok.io/Desktop/seabridge%20fintech/profit_graph_app/AMAT_Return.jpg</v>
      </c>
      <c r="AK35" s="46" t="str">
        <f>'5price_action_icon'!B35</f>
        <v>https://3arbzfbsh-cname-us.ngrok.io/Desktop/seabridge%20fintech/icon/AMAT_pa_trend_signal</v>
      </c>
      <c r="AL35" s="42">
        <f>'1kpi_performance'!B35</f>
        <v>0.8154635544</v>
      </c>
      <c r="AM35" s="42">
        <f>'1kpi_performance'!C35</f>
        <v>1.06234055</v>
      </c>
      <c r="AN35" s="42">
        <f>'1kpi_performance'!D35</f>
        <v>0.987137314</v>
      </c>
      <c r="AO35" s="42">
        <f>'1kpi_performance'!E35</f>
        <v>0.3321428015</v>
      </c>
      <c r="AP35" s="42">
        <f>'1kpi_performance'!F35</f>
        <v>0.2862465398</v>
      </c>
      <c r="AQ35" s="42">
        <f>'1kpi_performance'!G35</f>
        <v>0.2797916408</v>
      </c>
      <c r="AR35" s="42">
        <f>'1kpi_performance'!H35</f>
        <v>0.2800596117</v>
      </c>
      <c r="AS35" s="42">
        <f>'1kpi_performance'!I35</f>
        <v>0.415556342</v>
      </c>
      <c r="AT35" s="35">
        <f>'1kpi_performance'!J35</f>
        <v>2.761478112</v>
      </c>
      <c r="AU35" s="35">
        <f>'1kpi_performance'!K35</f>
        <v>3.707546613</v>
      </c>
      <c r="AV35" s="35">
        <f>'1kpi_performance'!L35</f>
        <v>3.435473284</v>
      </c>
      <c r="AW35" s="35">
        <f>'1kpi_performance'!M35</f>
        <v>0.7391122947</v>
      </c>
      <c r="AX35" s="42">
        <f>'1kpi_performance'!N35</f>
        <v>0.2200630087</v>
      </c>
      <c r="AY35" s="42">
        <f>'1kpi_performance'!O35</f>
        <v>0.09987279383</v>
      </c>
      <c r="AZ35" s="42">
        <f>'1kpi_performance'!P35</f>
        <v>0.3808052378</v>
      </c>
      <c r="BA35" s="42">
        <f>'1kpi_performance'!Q35</f>
        <v>0.5294595033</v>
      </c>
      <c r="BB35" s="35">
        <f>'1kpi_performance'!R35</f>
        <v>6.035744298</v>
      </c>
      <c r="BC35" s="35">
        <f>'1kpi_performance'!S35</f>
        <v>8.595624083</v>
      </c>
      <c r="BD35" s="35">
        <f>'1kpi_performance'!T35</f>
        <v>7.665291665</v>
      </c>
      <c r="BE35" s="35">
        <f>'1kpi_performance'!U35</f>
        <v>1.46580101</v>
      </c>
      <c r="BF35" s="47"/>
      <c r="BG35" s="47"/>
      <c r="BH35" s="47"/>
      <c r="BI35" s="47"/>
      <c r="BJ35" s="47"/>
      <c r="BK35" s="47"/>
      <c r="BL35" s="47"/>
      <c r="BM35" s="47"/>
      <c r="BN35" s="47"/>
      <c r="BO35" s="47"/>
      <c r="BP35" s="47"/>
      <c r="BQ35" s="47"/>
      <c r="BR35" s="47"/>
      <c r="BS35" s="47"/>
      <c r="BT35" s="47"/>
    </row>
    <row r="36" ht="11.25" customHeight="1">
      <c r="A36" s="35" t="str">
        <f>'13all_company_profile'!A36</f>
        <v>AMC</v>
      </c>
      <c r="B36" s="35" t="str">
        <f>'13all_company_profile'!B36</f>
        <v>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v>
      </c>
      <c r="C36" s="44" t="str">
        <f>'13all_company_profile'!C36</f>
        <v>https://financialmodelingprep.com/image-stock/AMC.png</v>
      </c>
      <c r="D36" s="35" t="str">
        <f>'13all_company_profile'!D36</f>
        <v>AMC Entertainment Holdings, Inc.</v>
      </c>
      <c r="E36" s="36">
        <f>'13all_company_profile'!E36</f>
        <v>18479880192</v>
      </c>
      <c r="F36" s="37">
        <f>'13all_company_profile'!F36</f>
        <v>162317201</v>
      </c>
      <c r="G36" s="35">
        <f>'13all_company_profile'!G36</f>
        <v>0.03</v>
      </c>
      <c r="H36" s="38">
        <f>'13all_company_profile'!H36</f>
        <v>44412</v>
      </c>
      <c r="I36" s="35" t="str">
        <f>'13all_company_profile'!I36</f>
        <v>NaN</v>
      </c>
      <c r="J36" s="35">
        <f>'13all_company_profile'!J36</f>
        <v>-15.589</v>
      </c>
      <c r="K36" s="42">
        <f t="shared" si="1"/>
        <v>0.0006962172198</v>
      </c>
      <c r="L36" s="35">
        <f>'7company_info'!B36</f>
        <v>43.09</v>
      </c>
      <c r="M36" s="35">
        <f>'7company_info'!C36</f>
        <v>44.39</v>
      </c>
      <c r="N36" s="35">
        <f>'7company_info'!D36</f>
        <v>35.13</v>
      </c>
      <c r="O36" s="35">
        <f>'7company_info'!E36</f>
        <v>8.47</v>
      </c>
      <c r="P36" s="35">
        <f>'7company_info'!F36</f>
        <v>0.2447</v>
      </c>
      <c r="Q36" s="35">
        <f>'7company_info'!G36</f>
        <v>35.14</v>
      </c>
      <c r="R36" s="35">
        <f>'7company_info'!H36</f>
        <v>34.62</v>
      </c>
      <c r="S36" s="35">
        <f>'7company_info'!I36</f>
        <v>1.91</v>
      </c>
      <c r="T36" s="35">
        <f>'7company_info'!J36</f>
        <v>72.62</v>
      </c>
      <c r="U36" s="39">
        <v>35.2683333333333</v>
      </c>
      <c r="V36" s="39">
        <v>37.2916666666666</v>
      </c>
      <c r="W36" s="40">
        <v>41.1533333333333</v>
      </c>
      <c r="X36" s="40">
        <v>47.0383333333333</v>
      </c>
      <c r="Y36" s="40">
        <v>31.4066666666666</v>
      </c>
      <c r="Z36" s="40">
        <v>29.3833333333333</v>
      </c>
      <c r="AA36" s="40">
        <v>23.4983333333333</v>
      </c>
      <c r="AB36" s="40">
        <v>45.82</v>
      </c>
      <c r="AC36" s="40">
        <v>42.14</v>
      </c>
      <c r="AD36" s="40">
        <v>46.9616113148119</v>
      </c>
      <c r="AE36" s="40">
        <v>27.06556</v>
      </c>
      <c r="AF36" s="40">
        <v>6.04847</v>
      </c>
      <c r="AG36" s="40">
        <v>72.62</v>
      </c>
      <c r="AH36" s="45">
        <v>44349.0</v>
      </c>
      <c r="AI36" s="44" t="str">
        <f>'6image_RS_benchmark_performance'!B36</f>
        <v>https://3arbzfbsh-cname-us.ngrok.io/Desktop/seabridge%20fintech/image_app/AMC_resistance_support.jpg</v>
      </c>
      <c r="AJ36" s="44" t="str">
        <f>'6image_RS_benchmark_performance'!C36</f>
        <v>https://3arbzfbsh-cname-us.ngrok.io/Desktop/seabridge%20fintech/profit_graph_app/AMC_Return.jpg</v>
      </c>
      <c r="AK36" s="46" t="str">
        <f>'5price_action_icon'!B36</f>
        <v>https://3arbzfbsh-cname-us.ngrok.io/Desktop/seabridge%20fintech/icon/AMC_pa_trend_signal</v>
      </c>
      <c r="AL36" s="42">
        <f>'1kpi_performance'!B36</f>
        <v>2.375710177</v>
      </c>
      <c r="AM36" s="42">
        <f>'1kpi_performance'!C36</f>
        <v>3.468972692</v>
      </c>
      <c r="AN36" s="42">
        <f>'1kpi_performance'!D36</f>
        <v>3.153973845</v>
      </c>
      <c r="AO36" s="42">
        <f>'1kpi_performance'!E36</f>
        <v>0.1298428296</v>
      </c>
      <c r="AP36" s="42">
        <f>'1kpi_performance'!F36</f>
        <v>1.587364853</v>
      </c>
      <c r="AQ36" s="42">
        <f>'1kpi_performance'!G36</f>
        <v>1.517763056</v>
      </c>
      <c r="AR36" s="42">
        <f>'1kpi_performance'!H36</f>
        <v>1.597892433</v>
      </c>
      <c r="AS36" s="42">
        <f>'1kpi_performance'!I36</f>
        <v>1.683284291</v>
      </c>
      <c r="AT36" s="35">
        <f>'1kpi_performance'!J36</f>
        <v>1.480888387</v>
      </c>
      <c r="AU36" s="35">
        <f>'1kpi_performance'!K36</f>
        <v>2.269110898</v>
      </c>
      <c r="AV36" s="35">
        <f>'1kpi_performance'!L36</f>
        <v>1.958188036</v>
      </c>
      <c r="AW36" s="35">
        <f>'1kpi_performance'!M36</f>
        <v>0.06228468371</v>
      </c>
      <c r="AX36" s="42">
        <f>'1kpi_performance'!N36</f>
        <v>0.6070351759</v>
      </c>
      <c r="AY36" s="42">
        <f>'1kpi_performance'!O36</f>
        <v>0.3691761242</v>
      </c>
      <c r="AZ36" s="42">
        <f>'1kpi_performance'!P36</f>
        <v>0.6070351759</v>
      </c>
      <c r="BA36" s="42">
        <f>'1kpi_performance'!Q36</f>
        <v>0.9404629457</v>
      </c>
      <c r="BB36" s="35">
        <f>'1kpi_performance'!R36</f>
        <v>6.293388452</v>
      </c>
      <c r="BC36" s="35">
        <f>'1kpi_performance'!S36</f>
        <v>14.94281679</v>
      </c>
      <c r="BD36" s="35">
        <f>'1kpi_performance'!T36</f>
        <v>8.403610809</v>
      </c>
      <c r="BE36" s="35">
        <f>'1kpi_performance'!U36</f>
        <v>0.2203407837</v>
      </c>
      <c r="BF36" s="47"/>
      <c r="BG36" s="47"/>
      <c r="BH36" s="47"/>
      <c r="BI36" s="47"/>
      <c r="BJ36" s="47"/>
      <c r="BK36" s="47"/>
      <c r="BL36" s="47"/>
      <c r="BM36" s="47"/>
      <c r="BN36" s="47"/>
      <c r="BO36" s="47"/>
      <c r="BP36" s="47"/>
      <c r="BQ36" s="47"/>
      <c r="BR36" s="47"/>
      <c r="BS36" s="47"/>
      <c r="BT36" s="47"/>
    </row>
    <row r="37" ht="11.25" customHeight="1">
      <c r="A37" s="35" t="str">
        <f>'13all_company_profile'!A37</f>
        <v>AMCR</v>
      </c>
      <c r="B37" s="35" t="str">
        <f>'13all_company_profile'!B37</f>
        <v>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v>
      </c>
      <c r="C37" s="44" t="str">
        <f>'13all_company_profile'!C37</f>
        <v>https://financialmodelingprep.com/image-stock/AMCR.png</v>
      </c>
      <c r="D37" s="35" t="str">
        <f>'13all_company_profile'!D37</f>
        <v>Amcor plc</v>
      </c>
      <c r="E37" s="36">
        <f>'13all_company_profile'!E37</f>
        <v>17853927424</v>
      </c>
      <c r="F37" s="37">
        <f>'13all_company_profile'!F37</f>
        <v>5961149</v>
      </c>
      <c r="G37" s="35">
        <f>'13all_company_profile'!G37</f>
        <v>0.468</v>
      </c>
      <c r="H37" s="38" t="str">
        <f>'13all_company_profile'!H37</f>
        <v>not avaiable</v>
      </c>
      <c r="I37" s="35">
        <f>'13all_company_profile'!I37</f>
        <v>20.733696</v>
      </c>
      <c r="J37" s="35">
        <f>'13all_company_profile'!J37</f>
        <v>0.552</v>
      </c>
      <c r="K37" s="42">
        <f t="shared" si="1"/>
        <v>0.04156305506</v>
      </c>
      <c r="L37" s="35">
        <f>'7company_info'!B37</f>
        <v>11.26</v>
      </c>
      <c r="M37" s="35">
        <f>'7company_info'!C37</f>
        <v>11.46</v>
      </c>
      <c r="N37" s="35">
        <f>'7company_info'!D37</f>
        <v>11.21</v>
      </c>
      <c r="O37" s="35">
        <f>'7company_info'!E37</f>
        <v>0.01</v>
      </c>
      <c r="P37" s="35">
        <f>'7company_info'!F37</f>
        <v>0.0009</v>
      </c>
      <c r="Q37" s="35">
        <f>'7company_info'!G37</f>
        <v>11.28</v>
      </c>
      <c r="R37" s="35">
        <f>'7company_info'!H37</f>
        <v>11.25</v>
      </c>
      <c r="S37" s="35">
        <f>'7company_info'!I37</f>
        <v>10.05</v>
      </c>
      <c r="T37" s="35">
        <f>'7company_info'!J37</f>
        <v>12.76</v>
      </c>
      <c r="U37" s="39">
        <v>11.5533333333333</v>
      </c>
      <c r="V37" s="39">
        <v>11.6366666666666</v>
      </c>
      <c r="W37" s="40">
        <v>11.7333333333333</v>
      </c>
      <c r="X37" s="40">
        <v>11.9133333333333</v>
      </c>
      <c r="Y37" s="40">
        <v>11.4566666666666</v>
      </c>
      <c r="Z37" s="40">
        <v>11.3733333333333</v>
      </c>
      <c r="AA37" s="40">
        <v>11.1933333333333</v>
      </c>
      <c r="AB37" s="40">
        <v>12.24</v>
      </c>
      <c r="AC37" s="40">
        <v>11.85</v>
      </c>
      <c r="AD37" s="40">
        <v>11.5932930045574</v>
      </c>
      <c r="AE37" s="40">
        <v>11.14763</v>
      </c>
      <c r="AF37" s="40">
        <v>0.204685</v>
      </c>
      <c r="AG37" s="40">
        <v>12.76</v>
      </c>
      <c r="AH37" s="45">
        <v>44326.0</v>
      </c>
      <c r="AI37" s="44" t="str">
        <f>'6image_RS_benchmark_performance'!B37</f>
        <v>https://3arbzfbsh-cname-us.ngrok.io/Desktop/seabridge%20fintech/image_app/AMCR_resistance_support.jpg</v>
      </c>
      <c r="AJ37" s="44" t="str">
        <f>'6image_RS_benchmark_performance'!C37</f>
        <v>https://3arbzfbsh-cname-us.ngrok.io/Desktop/seabridge%20fintech/profit_graph_app/AMCR_Return.jpg</v>
      </c>
      <c r="AK37" s="46" t="str">
        <f>'5price_action_icon'!B37</f>
        <v>https://3arbzfbsh-cname-us.ngrok.io/Desktop/seabridge%20fintech/icon/AMCR_pa_trend_signal</v>
      </c>
      <c r="AL37" s="42">
        <f>'1kpi_performance'!B37</f>
        <v>0.5254510548</v>
      </c>
      <c r="AM37" s="42">
        <f>'1kpi_performance'!C37</f>
        <v>0.8434578058</v>
      </c>
      <c r="AN37" s="42">
        <f>'1kpi_performance'!D37</f>
        <v>0.4737607656</v>
      </c>
      <c r="AO37" s="42">
        <f>'1kpi_performance'!E37</f>
        <v>0.02188578176</v>
      </c>
      <c r="AP37" s="42">
        <f>'1kpi_performance'!F37</f>
        <v>0.2953026125</v>
      </c>
      <c r="AQ37" s="42">
        <f>'1kpi_performance'!G37</f>
        <v>0.3306363463</v>
      </c>
      <c r="AR37" s="42">
        <f>'1kpi_performance'!H37</f>
        <v>0.2379009213</v>
      </c>
      <c r="AS37" s="42">
        <f>'1kpi_performance'!I37</f>
        <v>0.4423476433</v>
      </c>
      <c r="AT37" s="35">
        <f>'1kpi_performance'!J37</f>
        <v>1.694705816</v>
      </c>
      <c r="AU37" s="35">
        <f>'1kpi_performance'!K37</f>
        <v>2.475401797</v>
      </c>
      <c r="AV37" s="35">
        <f>'1kpi_performance'!L37</f>
        <v>1.886334711</v>
      </c>
      <c r="AW37" s="35">
        <f>'1kpi_performance'!M37</f>
        <v>-0.00704020533</v>
      </c>
      <c r="AX37" s="42">
        <f>'1kpi_performance'!N37</f>
        <v>0.1917808219</v>
      </c>
      <c r="AY37" s="42">
        <f>'1kpi_performance'!O37</f>
        <v>0.1112132353</v>
      </c>
      <c r="AZ37" s="42">
        <f>'1kpi_performance'!P37</f>
        <v>0.1729850271</v>
      </c>
      <c r="BA37" s="42">
        <f>'1kpi_performance'!Q37</f>
        <v>0.4905821918</v>
      </c>
      <c r="BB37" s="35">
        <f>'1kpi_performance'!R37</f>
        <v>3.724383652</v>
      </c>
      <c r="BC37" s="35">
        <f>'1kpi_performance'!S37</f>
        <v>5.86123837</v>
      </c>
      <c r="BD37" s="35">
        <f>'1kpi_performance'!T37</f>
        <v>3.977137426</v>
      </c>
      <c r="BE37" s="35">
        <f>'1kpi_performance'!U37</f>
        <v>-0.01325031783</v>
      </c>
      <c r="BF37" s="47"/>
      <c r="BG37" s="47"/>
      <c r="BH37" s="47"/>
      <c r="BI37" s="47"/>
      <c r="BJ37" s="47"/>
      <c r="BK37" s="47"/>
      <c r="BL37" s="47"/>
      <c r="BM37" s="47"/>
      <c r="BN37" s="47"/>
      <c r="BO37" s="47"/>
      <c r="BP37" s="47"/>
      <c r="BQ37" s="47"/>
      <c r="BR37" s="47"/>
      <c r="BS37" s="47"/>
      <c r="BT37" s="47"/>
    </row>
    <row r="38" ht="11.25" customHeight="1">
      <c r="A38" s="35" t="str">
        <f>'13all_company_profile'!A38</f>
        <v>AMD</v>
      </c>
      <c r="B38" s="35" t="str">
        <f>'13all_company_profile'!B38</f>
        <v>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v>
      </c>
      <c r="C38" s="44" t="str">
        <f>'13all_company_profile'!C38</f>
        <v>https://financialmodelingprep.com/image-stock/AMD.png</v>
      </c>
      <c r="D38" s="35" t="str">
        <f>'13all_company_profile'!D38</f>
        <v>Advanced Micro Devices, Inc.</v>
      </c>
      <c r="E38" s="36">
        <f>'13all_company_profile'!E38</f>
        <v>105621692416</v>
      </c>
      <c r="F38" s="37">
        <f>'13all_company_profile'!F38</f>
        <v>43149714</v>
      </c>
      <c r="G38" s="35">
        <f>'13all_company_profile'!G38</f>
        <v>0</v>
      </c>
      <c r="H38" s="38">
        <f>'13all_company_profile'!H38</f>
        <v>44403</v>
      </c>
      <c r="I38" s="35">
        <f>'13all_company_profile'!I38</f>
        <v>36.04114</v>
      </c>
      <c r="J38" s="35">
        <f>'13all_company_profile'!J38</f>
        <v>2.382</v>
      </c>
      <c r="K38" s="42" t="str">
        <f t="shared" si="1"/>
        <v>NaN</v>
      </c>
      <c r="L38" s="35">
        <f>'7company_info'!B38</f>
        <v>87.11</v>
      </c>
      <c r="M38" s="35">
        <f>'7company_info'!C38</f>
        <v>87.77</v>
      </c>
      <c r="N38" s="35">
        <f>'7company_info'!D38</f>
        <v>85.17</v>
      </c>
      <c r="O38" s="35">
        <f>'7company_info'!E38</f>
        <v>0.53</v>
      </c>
      <c r="P38" s="35">
        <f>'7company_info'!F38</f>
        <v>0.0061</v>
      </c>
      <c r="Q38" s="35">
        <f>'7company_info'!G38</f>
        <v>87.09</v>
      </c>
      <c r="R38" s="35">
        <f>'7company_info'!H38</f>
        <v>86.58</v>
      </c>
      <c r="S38" s="35">
        <f>'7company_info'!I38</f>
        <v>54.83</v>
      </c>
      <c r="T38" s="35">
        <f>'7company_info'!J38</f>
        <v>99.23</v>
      </c>
      <c r="U38" s="39">
        <v>89.795</v>
      </c>
      <c r="V38" s="39">
        <v>90.65</v>
      </c>
      <c r="W38" s="40">
        <v>92.25</v>
      </c>
      <c r="X38" s="40">
        <v>94.705</v>
      </c>
      <c r="Y38" s="40">
        <v>88.195</v>
      </c>
      <c r="Z38" s="40">
        <v>87.34</v>
      </c>
      <c r="AA38" s="40">
        <v>84.885</v>
      </c>
      <c r="AB38" s="40">
        <v>90.31</v>
      </c>
      <c r="AC38" s="40">
        <v>94.335</v>
      </c>
      <c r="AD38" s="40">
        <v>88.2152849268814</v>
      </c>
      <c r="AE38" s="40">
        <v>84.79553</v>
      </c>
      <c r="AF38" s="40">
        <v>2.782235</v>
      </c>
      <c r="AG38" s="40">
        <v>95.95</v>
      </c>
      <c r="AH38" s="45">
        <v>44218.0</v>
      </c>
      <c r="AI38" s="44" t="str">
        <f>'6image_RS_benchmark_performance'!B38</f>
        <v>https://3arbzfbsh-cname-us.ngrok.io/Desktop/seabridge%20fintech/image_app/AMD_resistance_support.jpg</v>
      </c>
      <c r="AJ38" s="44" t="str">
        <f>'6image_RS_benchmark_performance'!C38</f>
        <v>https://3arbzfbsh-cname-us.ngrok.io/Desktop/seabridge%20fintech/profit_graph_app/AMD_Return.jpg</v>
      </c>
      <c r="AK38" s="46" t="str">
        <f>'5price_action_icon'!B38</f>
        <v>https://3arbzfbsh-cname-us.ngrok.io/Desktop/seabridge%20fintech/icon/AMD_pa_trend_signal</v>
      </c>
      <c r="AL38" s="42">
        <f>'1kpi_performance'!B38</f>
        <v>1.634893707</v>
      </c>
      <c r="AM38" s="42">
        <f>'1kpi_performance'!C38</f>
        <v>2.045071933</v>
      </c>
      <c r="AN38" s="42">
        <f>'1kpi_performance'!D38</f>
        <v>1.345951552</v>
      </c>
      <c r="AO38" s="42">
        <f>'1kpi_performance'!E38</f>
        <v>0.3307500082</v>
      </c>
      <c r="AP38" s="42">
        <f>'1kpi_performance'!F38</f>
        <v>0.5060801546</v>
      </c>
      <c r="AQ38" s="42">
        <f>'1kpi_performance'!G38</f>
        <v>0.4986932069</v>
      </c>
      <c r="AR38" s="42">
        <f>'1kpi_performance'!H38</f>
        <v>0.4787356182</v>
      </c>
      <c r="AS38" s="42">
        <f>'1kpi_performance'!I38</f>
        <v>0.6811002135</v>
      </c>
      <c r="AT38" s="35">
        <f>'1kpi_performance'!J38</f>
        <v>3.181104203</v>
      </c>
      <c r="AU38" s="35">
        <f>'1kpi_performance'!K38</f>
        <v>4.0507308</v>
      </c>
      <c r="AV38" s="35">
        <f>'1kpi_performance'!L38</f>
        <v>2.759250622</v>
      </c>
      <c r="AW38" s="35">
        <f>'1kpi_performance'!M38</f>
        <v>0.4489060525</v>
      </c>
      <c r="AX38" s="42">
        <f>'1kpi_performance'!N38</f>
        <v>0.3032662721</v>
      </c>
      <c r="AY38" s="42">
        <f>'1kpi_performance'!O38</f>
        <v>0.1785616998</v>
      </c>
      <c r="AZ38" s="42">
        <f>'1kpi_performance'!P38</f>
        <v>0.4314636582</v>
      </c>
      <c r="BA38" s="42">
        <f>'1kpi_performance'!Q38</f>
        <v>0.8405511811</v>
      </c>
      <c r="BB38" s="35">
        <f>'1kpi_performance'!R38</f>
        <v>7.631423078</v>
      </c>
      <c r="BC38" s="35">
        <f>'1kpi_performance'!S38</f>
        <v>10.52914627</v>
      </c>
      <c r="BD38" s="35">
        <f>'1kpi_performance'!T38</f>
        <v>6.4822868</v>
      </c>
      <c r="BE38" s="35">
        <f>'1kpi_performance'!U38</f>
        <v>0.9384854445</v>
      </c>
      <c r="BF38" s="47"/>
      <c r="BG38" s="47"/>
      <c r="BH38" s="47"/>
      <c r="BI38" s="47"/>
      <c r="BJ38" s="47"/>
      <c r="BK38" s="47"/>
      <c r="BL38" s="47"/>
      <c r="BM38" s="47"/>
      <c r="BN38" s="47"/>
      <c r="BO38" s="47"/>
      <c r="BP38" s="47"/>
      <c r="BQ38" s="47"/>
      <c r="BR38" s="47"/>
      <c r="BS38" s="47"/>
      <c r="BT38" s="47"/>
    </row>
    <row r="39" ht="11.25" customHeight="1">
      <c r="A39" s="35" t="str">
        <f>'13all_company_profile'!A39</f>
        <v>AME</v>
      </c>
      <c r="B39" s="35" t="str">
        <f>'13all_company_profile'!B39</f>
        <v>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v>
      </c>
      <c r="C39" s="44" t="str">
        <f>'13all_company_profile'!C39</f>
        <v>https://financialmodelingprep.com/image-stock/AME.png</v>
      </c>
      <c r="D39" s="35" t="str">
        <f>'13all_company_profile'!D39</f>
        <v>AMETEK, Inc.</v>
      </c>
      <c r="E39" s="36">
        <f>'13all_company_profile'!E39</f>
        <v>31321853952</v>
      </c>
      <c r="F39" s="37">
        <f>'13all_company_profile'!F39</f>
        <v>914858</v>
      </c>
      <c r="G39" s="35">
        <f>'13all_company_profile'!G39</f>
        <v>0.76</v>
      </c>
      <c r="H39" s="38">
        <f>'13all_company_profile'!H39</f>
        <v>44410</v>
      </c>
      <c r="I39" s="35">
        <f>'13all_company_profile'!I39</f>
        <v>39.03323</v>
      </c>
      <c r="J39" s="35">
        <f>'13all_company_profile'!J39</f>
        <v>3.491</v>
      </c>
      <c r="K39" s="42">
        <f t="shared" si="1"/>
        <v>0.005558399766</v>
      </c>
      <c r="L39" s="35">
        <f>'7company_info'!B39</f>
        <v>136.73</v>
      </c>
      <c r="M39" s="35">
        <f>'7company_info'!C39</f>
        <v>137.3</v>
      </c>
      <c r="N39" s="35">
        <f>'7company_info'!D39</f>
        <v>133.19</v>
      </c>
      <c r="O39" s="35">
        <f>'7company_info'!E39</f>
        <v>3.67</v>
      </c>
      <c r="P39" s="35">
        <f>'7company_info'!F39</f>
        <v>0.0276</v>
      </c>
      <c r="Q39" s="35">
        <f>'7company_info'!G39</f>
        <v>133.63</v>
      </c>
      <c r="R39" s="35">
        <f>'7company_info'!H39</f>
        <v>133.06</v>
      </c>
      <c r="S39" s="35">
        <f>'7company_info'!I39</f>
        <v>91.11</v>
      </c>
      <c r="T39" s="35">
        <f>'7company_info'!J39</f>
        <v>139.07</v>
      </c>
      <c r="U39" s="39">
        <v>134.856666666666</v>
      </c>
      <c r="V39" s="39">
        <v>135.673333333333</v>
      </c>
      <c r="W39" s="40">
        <v>136.526666666666</v>
      </c>
      <c r="X39" s="40">
        <v>138.196666666666</v>
      </c>
      <c r="Y39" s="40">
        <v>134.003333333333</v>
      </c>
      <c r="Z39" s="40">
        <v>133.186666666666</v>
      </c>
      <c r="AA39" s="40">
        <v>131.516666666666</v>
      </c>
      <c r="AB39" s="40">
        <v>133.475</v>
      </c>
      <c r="AC39" s="40">
        <v>136.685</v>
      </c>
      <c r="AD39" s="40">
        <v>134.481123478311</v>
      </c>
      <c r="AE39" s="40">
        <v>130.688</v>
      </c>
      <c r="AF39" s="40">
        <v>2.14599999999999</v>
      </c>
      <c r="AG39" s="40">
        <v>139.07</v>
      </c>
      <c r="AH39" s="45">
        <v>44326.0</v>
      </c>
      <c r="AI39" s="44" t="str">
        <f>'6image_RS_benchmark_performance'!B39</f>
        <v>https://3arbzfbsh-cname-us.ngrok.io/Desktop/seabridge%20fintech/image_app/AME_resistance_support.jpg</v>
      </c>
      <c r="AJ39" s="44" t="str">
        <f>'6image_RS_benchmark_performance'!C39</f>
        <v>https://3arbzfbsh-cname-us.ngrok.io/Desktop/seabridge%20fintech/profit_graph_app/AME_Return.jpg</v>
      </c>
      <c r="AK39" s="46" t="str">
        <f>'5price_action_icon'!B39</f>
        <v>https://3arbzfbsh-cname-us.ngrok.io/Desktop/seabridge%20fintech/icon/AME_pa_trend_signal</v>
      </c>
      <c r="AL39" s="42">
        <f>'1kpi_performance'!B39</f>
        <v>0.6001216563</v>
      </c>
      <c r="AM39" s="42">
        <f>'1kpi_performance'!C39</f>
        <v>0.6437750157</v>
      </c>
      <c r="AN39" s="42">
        <f>'1kpi_performance'!D39</f>
        <v>0.5700037322</v>
      </c>
      <c r="AO39" s="42">
        <f>'1kpi_performance'!E39</f>
        <v>0.2945945272</v>
      </c>
      <c r="AP39" s="42">
        <f>'1kpi_performance'!F39</f>
        <v>0.1881425591</v>
      </c>
      <c r="AQ39" s="42">
        <f>'1kpi_performance'!G39</f>
        <v>0.1942976344</v>
      </c>
      <c r="AR39" s="42">
        <f>'1kpi_performance'!H39</f>
        <v>0.1906704511</v>
      </c>
      <c r="AS39" s="42">
        <f>'1kpi_performance'!I39</f>
        <v>0.3028798574</v>
      </c>
      <c r="AT39" s="35">
        <f>'1kpi_performance'!J39</f>
        <v>3.056839767</v>
      </c>
      <c r="AU39" s="35">
        <f>'1kpi_performance'!K39</f>
        <v>3.184676012</v>
      </c>
      <c r="AV39" s="35">
        <f>'1kpi_performance'!L39</f>
        <v>2.858354448</v>
      </c>
      <c r="AW39" s="35">
        <f>'1kpi_performance'!M39</f>
        <v>0.8901038502</v>
      </c>
      <c r="AX39" s="42">
        <f>'1kpi_performance'!N39</f>
        <v>0.09909733306</v>
      </c>
      <c r="AY39" s="42">
        <f>'1kpi_performance'!O39</f>
        <v>0.1623895456</v>
      </c>
      <c r="AZ39" s="42">
        <f>'1kpi_performance'!P39</f>
        <v>0.2625141985</v>
      </c>
      <c r="BA39" s="42">
        <f>'1kpi_performance'!Q39</f>
        <v>0.428529354</v>
      </c>
      <c r="BB39" s="35">
        <f>'1kpi_performance'!R39</f>
        <v>7.058673743</v>
      </c>
      <c r="BC39" s="35">
        <f>'1kpi_performance'!S39</f>
        <v>7.094562702</v>
      </c>
      <c r="BD39" s="35">
        <f>'1kpi_performance'!T39</f>
        <v>5.985596745</v>
      </c>
      <c r="BE39" s="35">
        <f>'1kpi_performance'!U39</f>
        <v>1.716446753</v>
      </c>
      <c r="BF39" s="47"/>
      <c r="BG39" s="47"/>
      <c r="BH39" s="47"/>
      <c r="BI39" s="47"/>
      <c r="BJ39" s="47"/>
      <c r="BK39" s="47"/>
      <c r="BL39" s="47"/>
      <c r="BM39" s="47"/>
      <c r="BN39" s="47"/>
      <c r="BO39" s="47"/>
      <c r="BP39" s="47"/>
      <c r="BQ39" s="47"/>
      <c r="BR39" s="47"/>
      <c r="BS39" s="47"/>
      <c r="BT39" s="47"/>
    </row>
    <row r="40" ht="11.25" customHeight="1">
      <c r="A40" s="35" t="str">
        <f>'13all_company_profile'!A40</f>
        <v>AMGN</v>
      </c>
      <c r="B40" s="35" t="str">
        <f>'13all_company_profile'!B40</f>
        <v>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v>
      </c>
      <c r="C40" s="44" t="str">
        <f>'13all_company_profile'!C40</f>
        <v>https://financialmodelingprep.com/image-stock/AMGN.png</v>
      </c>
      <c r="D40" s="35" t="str">
        <f>'13all_company_profile'!D40</f>
        <v>Amgen Inc.</v>
      </c>
      <c r="E40" s="36">
        <f>'13all_company_profile'!E40</f>
        <v>141702250496</v>
      </c>
      <c r="F40" s="37">
        <f>'13all_company_profile'!F40</f>
        <v>2630444</v>
      </c>
      <c r="G40" s="35">
        <f>'13all_company_profile'!G40</f>
        <v>6.72</v>
      </c>
      <c r="H40" s="38">
        <f>'13all_company_profile'!H40</f>
        <v>44411</v>
      </c>
      <c r="I40" s="35">
        <f>'13all_company_profile'!I40</f>
        <v>20.565725</v>
      </c>
      <c r="J40" s="35">
        <f>'13all_company_profile'!J40</f>
        <v>12.073</v>
      </c>
      <c r="K40" s="42">
        <f t="shared" si="1"/>
        <v>0.02721859938</v>
      </c>
      <c r="L40" s="35">
        <f>'7company_info'!B40</f>
        <v>246.89</v>
      </c>
      <c r="M40" s="35">
        <f>'7company_info'!C40</f>
        <v>250.39</v>
      </c>
      <c r="N40" s="35">
        <f>'7company_info'!D40</f>
        <v>245.71</v>
      </c>
      <c r="O40" s="35">
        <f>'7company_info'!E40</f>
        <v>0.16</v>
      </c>
      <c r="P40" s="35">
        <f>'7company_info'!F40</f>
        <v>0.0006</v>
      </c>
      <c r="Q40" s="35">
        <f>'7company_info'!G40</f>
        <v>247.27</v>
      </c>
      <c r="R40" s="35">
        <f>'7company_info'!H40</f>
        <v>246.73</v>
      </c>
      <c r="S40" s="35">
        <f>'7company_info'!I40</f>
        <v>210.28</v>
      </c>
      <c r="T40" s="35">
        <f>'7company_info'!J40</f>
        <v>276.69</v>
      </c>
      <c r="U40" s="39">
        <v>243.84</v>
      </c>
      <c r="V40" s="39">
        <v>246.19</v>
      </c>
      <c r="W40" s="40">
        <v>247.68</v>
      </c>
      <c r="X40" s="40">
        <v>251.52</v>
      </c>
      <c r="Y40" s="40">
        <v>242.35</v>
      </c>
      <c r="Z40" s="40">
        <v>240.0</v>
      </c>
      <c r="AA40" s="40">
        <v>236.16</v>
      </c>
      <c r="AB40" s="40">
        <v>241.34</v>
      </c>
      <c r="AC40" s="40">
        <v>245.93</v>
      </c>
      <c r="AD40" s="40">
        <v>243.48227693634</v>
      </c>
      <c r="AE40" s="40">
        <v>237.44666</v>
      </c>
      <c r="AF40" s="40">
        <v>3.73716999999999</v>
      </c>
      <c r="AG40" s="40">
        <v>276.69</v>
      </c>
      <c r="AH40" s="45">
        <v>44224.0</v>
      </c>
      <c r="AI40" s="44" t="str">
        <f>'6image_RS_benchmark_performance'!B40</f>
        <v>https://3arbzfbsh-cname-us.ngrok.io/Desktop/seabridge%20fintech/image_app/AMGN_resistance_support.jpg</v>
      </c>
      <c r="AJ40" s="44" t="str">
        <f>'6image_RS_benchmark_performance'!C40</f>
        <v>https://3arbzfbsh-cname-us.ngrok.io/Desktop/seabridge%20fintech/profit_graph_app/AMGN_Return.jpg</v>
      </c>
      <c r="AK40" s="46" t="str">
        <f>'5price_action_icon'!B40</f>
        <v>https://3arbzfbsh-cname-us.ngrok.io/Desktop/seabridge%20fintech/icon/AMGN_pa_trend_signal</v>
      </c>
      <c r="AL40" s="42">
        <f>'1kpi_performance'!B40</f>
        <v>0.5574495554</v>
      </c>
      <c r="AM40" s="42">
        <f>'1kpi_performance'!C40</f>
        <v>0.6703460307</v>
      </c>
      <c r="AN40" s="42">
        <f>'1kpi_performance'!D40</f>
        <v>0.6558527976</v>
      </c>
      <c r="AO40" s="42">
        <f>'1kpi_performance'!E40</f>
        <v>0.2000543709</v>
      </c>
      <c r="AP40" s="42">
        <f>'1kpi_performance'!F40</f>
        <v>0.2078165841</v>
      </c>
      <c r="AQ40" s="42">
        <f>'1kpi_performance'!G40</f>
        <v>0.2045796578</v>
      </c>
      <c r="AR40" s="42">
        <f>'1kpi_performance'!H40</f>
        <v>0.2022695249</v>
      </c>
      <c r="AS40" s="42">
        <f>'1kpi_performance'!I40</f>
        <v>0.2953993655</v>
      </c>
      <c r="AT40" s="35">
        <f>'1kpi_performance'!J40</f>
        <v>2.562112922</v>
      </c>
      <c r="AU40" s="35">
        <f>'1kpi_performance'!K40</f>
        <v>3.154497557</v>
      </c>
      <c r="AV40" s="35">
        <f>'1kpi_performance'!L40</f>
        <v>3.118872198</v>
      </c>
      <c r="AW40" s="35">
        <f>'1kpi_performance'!M40</f>
        <v>0.592602393</v>
      </c>
      <c r="AX40" s="42">
        <f>'1kpi_performance'!N40</f>
        <v>0.1118987923</v>
      </c>
      <c r="AY40" s="42">
        <f>'1kpi_performance'!O40</f>
        <v>0.09592902487</v>
      </c>
      <c r="AZ40" s="42">
        <f>'1kpi_performance'!P40</f>
        <v>0.1781393933</v>
      </c>
      <c r="BA40" s="42">
        <f>'1kpi_performance'!Q40</f>
        <v>0.2511467241</v>
      </c>
      <c r="BB40" s="35">
        <f>'1kpi_performance'!R40</f>
        <v>5.690692794</v>
      </c>
      <c r="BC40" s="35">
        <f>'1kpi_performance'!S40</f>
        <v>7.474619654</v>
      </c>
      <c r="BD40" s="35">
        <f>'1kpi_performance'!T40</f>
        <v>7.184629417</v>
      </c>
      <c r="BE40" s="35">
        <f>'1kpi_performance'!U40</f>
        <v>1.220418119</v>
      </c>
      <c r="BF40" s="47"/>
      <c r="BG40" s="47"/>
      <c r="BH40" s="47"/>
      <c r="BI40" s="47"/>
      <c r="BJ40" s="47"/>
      <c r="BK40" s="47"/>
      <c r="BL40" s="47"/>
      <c r="BM40" s="47"/>
      <c r="BN40" s="47"/>
      <c r="BO40" s="47"/>
      <c r="BP40" s="47"/>
      <c r="BQ40" s="47"/>
      <c r="BR40" s="47"/>
      <c r="BS40" s="47"/>
      <c r="BT40" s="47"/>
    </row>
    <row r="41" ht="11.25" customHeight="1">
      <c r="A41" s="35" t="str">
        <f>'13all_company_profile'!A41</f>
        <v>AMLP</v>
      </c>
      <c r="B41" s="35" t="str">
        <f>'13all_company_profile'!B41</f>
        <v>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v>
      </c>
      <c r="C41" s="44" t="str">
        <f>'13all_company_profile'!C41</f>
        <v>https://financialmodelingprep.com/image-stock/AMLP.jpg</v>
      </c>
      <c r="D41" s="35" t="str">
        <f>'13all_company_profile'!D41</f>
        <v>Alerian MLP ETF</v>
      </c>
      <c r="E41" s="36">
        <f>'13all_company_profile'!E41</f>
        <v>9256928694</v>
      </c>
      <c r="F41" s="37">
        <f>'13all_company_profile'!F41</f>
        <v>2576742</v>
      </c>
      <c r="G41" s="35">
        <f>'13all_company_profile'!G41</f>
        <v>2.14</v>
      </c>
      <c r="H41" s="38" t="str">
        <f>'13all_company_profile'!H41</f>
        <v>not avaiable</v>
      </c>
      <c r="I41" s="35" t="str">
        <f>'13all_company_profile'!I41</f>
        <v>NaN</v>
      </c>
      <c r="J41" s="35" t="str">
        <f>'13all_company_profile'!J41</f>
        <v>NaN</v>
      </c>
      <c r="K41" s="42">
        <f t="shared" si="1"/>
        <v>0.06331360947</v>
      </c>
      <c r="L41" s="35">
        <f>'7company_info'!B41</f>
        <v>33.8</v>
      </c>
      <c r="M41" s="35">
        <f>'7company_info'!C41</f>
        <v>33.84</v>
      </c>
      <c r="N41" s="35">
        <f>'7company_info'!D41</f>
        <v>32.38</v>
      </c>
      <c r="O41" s="35">
        <f>'7company_info'!E41</f>
        <v>1.51</v>
      </c>
      <c r="P41" s="35">
        <f>'7company_info'!F41</f>
        <v>0.0468</v>
      </c>
      <c r="Q41" s="35">
        <f>'7company_info'!G41</f>
        <v>32.59</v>
      </c>
      <c r="R41" s="35">
        <f>'7company_info'!H41</f>
        <v>32.29</v>
      </c>
      <c r="S41" s="35">
        <f>'7company_info'!I41</f>
        <v>18.93</v>
      </c>
      <c r="T41" s="35">
        <f>'7company_info'!J41</f>
        <v>38.92</v>
      </c>
      <c r="U41" s="39">
        <v>35.0633333333333</v>
      </c>
      <c r="V41" s="39">
        <v>35.4466666666666</v>
      </c>
      <c r="W41" s="40">
        <v>36.2033333333333</v>
      </c>
      <c r="X41" s="40">
        <v>37.3433333333333</v>
      </c>
      <c r="Y41" s="40">
        <v>34.3066666666666</v>
      </c>
      <c r="Z41" s="40">
        <v>33.9233333333333</v>
      </c>
      <c r="AA41" s="40">
        <v>32.7833333333333</v>
      </c>
      <c r="AB41" s="40">
        <v>35.1117</v>
      </c>
      <c r="AC41" s="40">
        <v>36.5</v>
      </c>
      <c r="AD41" s="40">
        <v>36.0434530505305</v>
      </c>
      <c r="AE41" s="40">
        <v>33.3095299999999</v>
      </c>
      <c r="AF41" s="40">
        <v>0.964734999999999</v>
      </c>
      <c r="AG41" s="40">
        <v>38.925</v>
      </c>
      <c r="AH41" s="45">
        <v>44361.0</v>
      </c>
      <c r="AI41" s="44" t="str">
        <f>'6image_RS_benchmark_performance'!B41</f>
        <v>https://3arbzfbsh-cname-us.ngrok.io/Desktop/seabridge%20fintech/image_app/AMLP_resistance_support.jpg</v>
      </c>
      <c r="AJ41" s="44" t="str">
        <f>'6image_RS_benchmark_performance'!C41</f>
        <v>https://3arbzfbsh-cname-us.ngrok.io/Desktop/seabridge%20fintech/profit_graph_app/AMLP_Return.jpg</v>
      </c>
      <c r="AK41" s="46" t="str">
        <f>'5price_action_icon'!B41</f>
        <v>https://3arbzfbsh-cname-us.ngrok.io/Desktop/seabridge%20fintech/icon/AMLP_pa_trend_signal</v>
      </c>
      <c r="AL41" s="42">
        <f>'1kpi_performance'!B41</f>
        <v>0.3317903606</v>
      </c>
      <c r="AM41" s="42">
        <f>'1kpi_performance'!C41</f>
        <v>0.4520821507</v>
      </c>
      <c r="AN41" s="42">
        <f>'1kpi_performance'!D41</f>
        <v>0.2026670877</v>
      </c>
      <c r="AO41" s="42">
        <f>'1kpi_performance'!E41</f>
        <v>-0.09621674378</v>
      </c>
      <c r="AP41" s="42">
        <f>'1kpi_performance'!F41</f>
        <v>0.2050441114</v>
      </c>
      <c r="AQ41" s="42">
        <f>'1kpi_performance'!G41</f>
        <v>0.1928944409</v>
      </c>
      <c r="AR41" s="42">
        <f>'1kpi_performance'!H41</f>
        <v>0.2740317206</v>
      </c>
      <c r="AS41" s="42">
        <f>'1kpi_performance'!I41</f>
        <v>0.3330336328</v>
      </c>
      <c r="AT41" s="35">
        <f>'1kpi_performance'!J41</f>
        <v>1.496216393</v>
      </c>
      <c r="AU41" s="35">
        <f>'1kpi_performance'!K41</f>
        <v>2.214071845</v>
      </c>
      <c r="AV41" s="35">
        <f>'1kpi_performance'!L41</f>
        <v>0.6483449702</v>
      </c>
      <c r="AW41" s="35">
        <f>'1kpi_performance'!M41</f>
        <v>-0.3639774841</v>
      </c>
      <c r="AX41" s="42">
        <f>'1kpi_performance'!N41</f>
        <v>0.2224143314</v>
      </c>
      <c r="AY41" s="42">
        <f>'1kpi_performance'!O41</f>
        <v>0.1170825336</v>
      </c>
      <c r="AZ41" s="42">
        <f>'1kpi_performance'!P41</f>
        <v>0.651421508</v>
      </c>
      <c r="BA41" s="42">
        <f>'1kpi_performance'!Q41</f>
        <v>0.8539616779</v>
      </c>
      <c r="BB41" s="35">
        <f>'1kpi_performance'!R41</f>
        <v>3.016454596</v>
      </c>
      <c r="BC41" s="35">
        <f>'1kpi_performance'!S41</f>
        <v>4.947029733</v>
      </c>
      <c r="BD41" s="35">
        <f>'1kpi_performance'!T41</f>
        <v>1.098276372</v>
      </c>
      <c r="BE41" s="35">
        <f>'1kpi_performance'!U41</f>
        <v>-0.6331592002</v>
      </c>
      <c r="BF41" s="47"/>
      <c r="BG41" s="47"/>
      <c r="BH41" s="47"/>
      <c r="BI41" s="47"/>
      <c r="BJ41" s="47"/>
      <c r="BK41" s="47"/>
      <c r="BL41" s="47"/>
      <c r="BM41" s="47"/>
      <c r="BN41" s="47"/>
      <c r="BO41" s="47"/>
      <c r="BP41" s="47"/>
      <c r="BQ41" s="47"/>
      <c r="BR41" s="47"/>
      <c r="BS41" s="47"/>
      <c r="BT41" s="47"/>
    </row>
    <row r="42" ht="11.25" customHeight="1">
      <c r="A42" s="35" t="str">
        <f>'13all_company_profile'!A42</f>
        <v>AMP</v>
      </c>
      <c r="B42" s="35" t="str">
        <f>'13all_company_profile'!B42</f>
        <v>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v>
      </c>
      <c r="C42" s="44" t="str">
        <f>'13all_company_profile'!C42</f>
        <v>https://financialmodelingprep.com/image-stock/AMP.png</v>
      </c>
      <c r="D42" s="35" t="str">
        <f>'13all_company_profile'!D42</f>
        <v>Ameriprise Financial, Inc.</v>
      </c>
      <c r="E42" s="36">
        <f>'13all_company_profile'!E42</f>
        <v>28869617664</v>
      </c>
      <c r="F42" s="37">
        <f>'13all_company_profile'!F42</f>
        <v>643796</v>
      </c>
      <c r="G42" s="35">
        <f>'13all_company_profile'!G42</f>
        <v>4.25</v>
      </c>
      <c r="H42" s="38">
        <f>'13all_company_profile'!H42</f>
        <v>44404</v>
      </c>
      <c r="I42" s="35" t="str">
        <f>'13all_company_profile'!I42</f>
        <v>NaN</v>
      </c>
      <c r="J42" s="35">
        <f>'13all_company_profile'!J42</f>
        <v>-0.532</v>
      </c>
      <c r="K42" s="42">
        <f t="shared" si="1"/>
        <v>0.01728907331</v>
      </c>
      <c r="L42" s="35">
        <f>'7company_info'!B42</f>
        <v>245.82</v>
      </c>
      <c r="M42" s="35">
        <f>'7company_info'!C42</f>
        <v>247.37</v>
      </c>
      <c r="N42" s="35">
        <f>'7company_info'!D42</f>
        <v>237.89</v>
      </c>
      <c r="O42" s="35">
        <f>'7company_info'!E42</f>
        <v>7.71</v>
      </c>
      <c r="P42" s="35">
        <f>'7company_info'!F42</f>
        <v>0.0324</v>
      </c>
      <c r="Q42" s="35">
        <f>'7company_info'!G42</f>
        <v>237.89</v>
      </c>
      <c r="R42" s="35">
        <f>'7company_info'!H42</f>
        <v>238.11</v>
      </c>
      <c r="S42" s="35">
        <f>'7company_info'!I42</f>
        <v>141.82</v>
      </c>
      <c r="T42" s="35">
        <f>'7company_info'!J42</f>
        <v>269.29</v>
      </c>
      <c r="U42" s="39">
        <v>247.736666666666</v>
      </c>
      <c r="V42" s="39">
        <v>250.433333333333</v>
      </c>
      <c r="W42" s="40">
        <v>254.016666666666</v>
      </c>
      <c r="X42" s="40">
        <v>260.296666666666</v>
      </c>
      <c r="Y42" s="40">
        <v>244.153333333333</v>
      </c>
      <c r="Z42" s="40">
        <v>241.456666666666</v>
      </c>
      <c r="AA42" s="40">
        <v>235.176666666666</v>
      </c>
      <c r="AB42" s="40">
        <v>244.205</v>
      </c>
      <c r="AC42" s="40">
        <v>248.33</v>
      </c>
      <c r="AD42" s="40">
        <v>249.160501380186</v>
      </c>
      <c r="AE42" s="40">
        <v>239.438</v>
      </c>
      <c r="AF42" s="40">
        <v>5.15749999999999</v>
      </c>
      <c r="AG42" s="40">
        <v>269.29</v>
      </c>
      <c r="AH42" s="45">
        <v>44326.0</v>
      </c>
      <c r="AI42" s="44" t="str">
        <f>'6image_RS_benchmark_performance'!B42</f>
        <v>https://3arbzfbsh-cname-us.ngrok.io/Desktop/seabridge%20fintech/image_app/AMP_resistance_support.jpg</v>
      </c>
      <c r="AJ42" s="44" t="str">
        <f>'6image_RS_benchmark_performance'!C42</f>
        <v>https://3arbzfbsh-cname-us.ngrok.io/Desktop/seabridge%20fintech/profit_graph_app/AMP_Return.jpg</v>
      </c>
      <c r="AK42" s="46" t="str">
        <f>'5price_action_icon'!B42</f>
        <v>https://3arbzfbsh-cname-us.ngrok.io/Desktop/seabridge%20fintech/icon/AMP_pa_trend_signal</v>
      </c>
      <c r="AL42" s="42">
        <f>'1kpi_performance'!B42</f>
        <v>0.7532083078</v>
      </c>
      <c r="AM42" s="42">
        <f>'1kpi_performance'!C42</f>
        <v>0.9246073323</v>
      </c>
      <c r="AN42" s="42">
        <f>'1kpi_performance'!D42</f>
        <v>0.8391324469</v>
      </c>
      <c r="AO42" s="42">
        <f>'1kpi_performance'!E42</f>
        <v>0.2516518733</v>
      </c>
      <c r="AP42" s="42">
        <f>'1kpi_performance'!F42</f>
        <v>0.2701214373</v>
      </c>
      <c r="AQ42" s="42">
        <f>'1kpi_performance'!G42</f>
        <v>0.2572340937</v>
      </c>
      <c r="AR42" s="42">
        <f>'1kpi_performance'!H42</f>
        <v>0.2382332634</v>
      </c>
      <c r="AS42" s="42">
        <f>'1kpi_performance'!I42</f>
        <v>0.4081607017</v>
      </c>
      <c r="AT42" s="35">
        <f>'1kpi_performance'!J42</f>
        <v>2.695855298</v>
      </c>
      <c r="AU42" s="35">
        <f>'1kpi_performance'!K42</f>
        <v>3.49723211</v>
      </c>
      <c r="AV42" s="35">
        <f>'1kpi_performance'!L42</f>
        <v>3.417375202</v>
      </c>
      <c r="AW42" s="35">
        <f>'1kpi_performance'!M42</f>
        <v>0.5553005774</v>
      </c>
      <c r="AX42" s="42">
        <f>'1kpi_performance'!N42</f>
        <v>0.1853522143</v>
      </c>
      <c r="AY42" s="42">
        <f>'1kpi_performance'!O42</f>
        <v>0.1558894331</v>
      </c>
      <c r="AZ42" s="42">
        <f>'1kpi_performance'!P42</f>
        <v>0.1905699738</v>
      </c>
      <c r="BA42" s="42">
        <f>'1kpi_performance'!Q42</f>
        <v>0.5447154472</v>
      </c>
      <c r="BB42" s="35">
        <f>'1kpi_performance'!R42</f>
        <v>6.137338671</v>
      </c>
      <c r="BC42" s="35">
        <f>'1kpi_performance'!S42</f>
        <v>8.331891292</v>
      </c>
      <c r="BD42" s="35">
        <f>'1kpi_performance'!T42</f>
        <v>7.46221852</v>
      </c>
      <c r="BE42" s="35">
        <f>'1kpi_performance'!U42</f>
        <v>1.080925128</v>
      </c>
      <c r="BF42" s="47"/>
      <c r="BG42" s="47"/>
      <c r="BH42" s="47"/>
      <c r="BI42" s="47"/>
      <c r="BJ42" s="47"/>
      <c r="BK42" s="47"/>
      <c r="BL42" s="47"/>
      <c r="BM42" s="47"/>
      <c r="BN42" s="47"/>
      <c r="BO42" s="47"/>
      <c r="BP42" s="47"/>
      <c r="BQ42" s="47"/>
      <c r="BR42" s="47"/>
      <c r="BS42" s="47"/>
      <c r="BT42" s="47"/>
    </row>
    <row r="43" ht="11.25" customHeight="1">
      <c r="A43" s="35" t="str">
        <f>'13all_company_profile'!A43</f>
        <v>AMT</v>
      </c>
      <c r="B43" s="35" t="str">
        <f>'13all_company_profile'!B43</f>
        <v>American Tower, one of the largest global REITs, is a leading independent owner, operator and developer of multitenant communications real estate with a portfolio of approximately 181,000 communications sites.</v>
      </c>
      <c r="C43" s="44" t="str">
        <f>'13all_company_profile'!C43</f>
        <v>https://financialmodelingprep.com/image-stock/AMT.png</v>
      </c>
      <c r="D43" s="35" t="str">
        <f>'13all_company_profile'!D43</f>
        <v>American Tower Corporation (REIT)</v>
      </c>
      <c r="E43" s="36">
        <f>'13all_company_profile'!E43</f>
        <v>127828688896</v>
      </c>
      <c r="F43" s="37">
        <f>'13all_company_profile'!F43</f>
        <v>1716895</v>
      </c>
      <c r="G43" s="35">
        <f>'13all_company_profile'!G43</f>
        <v>4.86</v>
      </c>
      <c r="H43" s="38">
        <f>'13all_company_profile'!H43</f>
        <v>44406</v>
      </c>
      <c r="I43" s="35">
        <f>'13all_company_profile'!I43</f>
        <v>65.87472</v>
      </c>
      <c r="J43" s="35">
        <f>'13all_company_profile'!J43</f>
        <v>4.31</v>
      </c>
      <c r="K43" s="42">
        <f t="shared" si="1"/>
        <v>0.01717314488</v>
      </c>
      <c r="L43" s="35">
        <f>'7company_info'!B43</f>
        <v>283</v>
      </c>
      <c r="M43" s="35">
        <f>'7company_info'!C43</f>
        <v>284.44</v>
      </c>
      <c r="N43" s="35">
        <f>'7company_info'!D43</f>
        <v>279.69</v>
      </c>
      <c r="O43" s="35">
        <f>'7company_info'!E43</f>
        <v>2.11</v>
      </c>
      <c r="P43" s="35">
        <f>'7company_info'!F43</f>
        <v>0.0075</v>
      </c>
      <c r="Q43" s="35">
        <f>'7company_info'!G43</f>
        <v>283.11</v>
      </c>
      <c r="R43" s="35">
        <f>'7company_info'!H43</f>
        <v>280.89</v>
      </c>
      <c r="S43" s="35">
        <f>'7company_info'!I43</f>
        <v>197.5</v>
      </c>
      <c r="T43" s="35">
        <f>'7company_info'!J43</f>
        <v>284.65</v>
      </c>
      <c r="U43" s="39">
        <v>280.266666666666</v>
      </c>
      <c r="V43" s="39">
        <v>283.523333333333</v>
      </c>
      <c r="W43" s="40">
        <v>285.676666666666</v>
      </c>
      <c r="X43" s="40">
        <v>291.086666666666</v>
      </c>
      <c r="Y43" s="40">
        <v>278.113333333333</v>
      </c>
      <c r="Z43" s="40">
        <v>274.856666666666</v>
      </c>
      <c r="AA43" s="40">
        <v>269.446666666666</v>
      </c>
      <c r="AB43" s="40">
        <v>270.03</v>
      </c>
      <c r="AC43" s="40">
        <v>282.42</v>
      </c>
      <c r="AD43" s="40">
        <v>272.687181020585</v>
      </c>
      <c r="AE43" s="40">
        <v>270.51077</v>
      </c>
      <c r="AF43" s="40">
        <v>4.146115</v>
      </c>
      <c r="AG43" s="40">
        <v>271.81</v>
      </c>
      <c r="AH43" s="45">
        <v>44363.0</v>
      </c>
      <c r="AI43" s="44" t="str">
        <f>'6image_RS_benchmark_performance'!B43</f>
        <v>https://3arbzfbsh-cname-us.ngrok.io/Desktop/seabridge%20fintech/image_app/AMT_resistance_support.jpg</v>
      </c>
      <c r="AJ43" s="44" t="str">
        <f>'6image_RS_benchmark_performance'!C43</f>
        <v>https://3arbzfbsh-cname-us.ngrok.io/Desktop/seabridge%20fintech/profit_graph_app/AMT_Return.jpg</v>
      </c>
      <c r="AK43" s="46" t="str">
        <f>'5price_action_icon'!B43</f>
        <v>https://3arbzfbsh-cname-us.ngrok.io/Desktop/seabridge%20fintech/icon/AMT_pa_trend_signal</v>
      </c>
      <c r="AL43" s="42">
        <f>'1kpi_performance'!B43</f>
        <v>0.4697555333</v>
      </c>
      <c r="AM43" s="42">
        <f>'1kpi_performance'!C43</f>
        <v>0.5500298888</v>
      </c>
      <c r="AN43" s="42">
        <f>'1kpi_performance'!D43</f>
        <v>0.4843804221</v>
      </c>
      <c r="AO43" s="42">
        <f>'1kpi_performance'!E43</f>
        <v>0.2601984728</v>
      </c>
      <c r="AP43" s="42">
        <f>'1kpi_performance'!F43</f>
        <v>0.1822640744</v>
      </c>
      <c r="AQ43" s="42">
        <f>'1kpi_performance'!G43</f>
        <v>0.1884641171</v>
      </c>
      <c r="AR43" s="42">
        <f>'1kpi_performance'!H43</f>
        <v>0.2068713878</v>
      </c>
      <c r="AS43" s="42">
        <f>'1kpi_performance'!I43</f>
        <v>0.279982636</v>
      </c>
      <c r="AT43" s="35">
        <f>'1kpi_performance'!J43</f>
        <v>2.440171136</v>
      </c>
      <c r="AU43" s="35">
        <f>'1kpi_performance'!K43</f>
        <v>2.785834763</v>
      </c>
      <c r="AV43" s="35">
        <f>'1kpi_performance'!L43</f>
        <v>2.22060879</v>
      </c>
      <c r="AW43" s="35">
        <f>'1kpi_performance'!M43</f>
        <v>0.8400466408</v>
      </c>
      <c r="AX43" s="42">
        <f>'1kpi_performance'!N43</f>
        <v>0.1227271905</v>
      </c>
      <c r="AY43" s="42">
        <f>'1kpi_performance'!O43</f>
        <v>0.1211093991</v>
      </c>
      <c r="AZ43" s="42">
        <f>'1kpi_performance'!P43</f>
        <v>0.2883652547</v>
      </c>
      <c r="BA43" s="42">
        <f>'1kpi_performance'!Q43</f>
        <v>0.3028804982</v>
      </c>
      <c r="BB43" s="35">
        <f>'1kpi_performance'!R43</f>
        <v>5.197980724</v>
      </c>
      <c r="BC43" s="35">
        <f>'1kpi_performance'!S43</f>
        <v>6.240213298</v>
      </c>
      <c r="BD43" s="35">
        <f>'1kpi_performance'!T43</f>
        <v>4.410917611</v>
      </c>
      <c r="BE43" s="35">
        <f>'1kpi_performance'!U43</f>
        <v>1.65798384</v>
      </c>
      <c r="BF43" s="47"/>
      <c r="BG43" s="47"/>
      <c r="BH43" s="47"/>
      <c r="BI43" s="47"/>
      <c r="BJ43" s="47"/>
      <c r="BK43" s="47"/>
      <c r="BL43" s="47"/>
      <c r="BM43" s="47"/>
      <c r="BN43" s="47"/>
      <c r="BO43" s="47"/>
      <c r="BP43" s="47"/>
      <c r="BQ43" s="47"/>
      <c r="BR43" s="47"/>
      <c r="BS43" s="47"/>
      <c r="BT43" s="47"/>
    </row>
    <row r="44" ht="11.25" customHeight="1">
      <c r="A44" s="35" t="str">
        <f>'13all_company_profile'!A44</f>
        <v>AMZN</v>
      </c>
      <c r="B44" s="35" t="str">
        <f>'13all_company_profile'!B44</f>
        <v>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v>
      </c>
      <c r="C44" s="44" t="str">
        <f>'13all_company_profile'!C44</f>
        <v>https://financialmodelingprep.com/image-stock/AMZN.png</v>
      </c>
      <c r="D44" s="35" t="str">
        <f>'13all_company_profile'!D44</f>
        <v>Amazon.com, Inc.</v>
      </c>
      <c r="E44" s="36">
        <f>'13all_company_profile'!E44</f>
        <v>1831301283840</v>
      </c>
      <c r="F44" s="37">
        <f>'13all_company_profile'!F44</f>
        <v>3585638</v>
      </c>
      <c r="G44" s="35">
        <f>'13all_company_profile'!G44</f>
        <v>0</v>
      </c>
      <c r="H44" s="38">
        <f>'13all_company_profile'!H44</f>
        <v>44405</v>
      </c>
      <c r="I44" s="35">
        <f>'13all_company_profile'!I44</f>
        <v>68.119934</v>
      </c>
      <c r="J44" s="35">
        <f>'13all_company_profile'!J44</f>
        <v>52.562</v>
      </c>
      <c r="K44" s="42" t="str">
        <f t="shared" si="1"/>
        <v>NaN</v>
      </c>
      <c r="L44" s="35">
        <f>'7company_info'!B44</f>
        <v>3573.19</v>
      </c>
      <c r="M44" s="35">
        <f>'7company_info'!C44</f>
        <v>3592</v>
      </c>
      <c r="N44" s="35">
        <f>'7company_info'!D44</f>
        <v>3518</v>
      </c>
      <c r="O44" s="35">
        <f>'7company_info'!E44</f>
        <v>23.6</v>
      </c>
      <c r="P44" s="35">
        <f>'7company_info'!F44</f>
        <v>0.0066</v>
      </c>
      <c r="Q44" s="35">
        <f>'7company_info'!G44</f>
        <v>3567.32</v>
      </c>
      <c r="R44" s="35">
        <f>'7company_info'!H44</f>
        <v>3549.59</v>
      </c>
      <c r="S44" s="35">
        <f>'7company_info'!I44</f>
        <v>2871</v>
      </c>
      <c r="T44" s="35">
        <f>'7company_info'!J44</f>
        <v>3773.08</v>
      </c>
      <c r="U44" s="39">
        <v>3686.7222</v>
      </c>
      <c r="V44" s="39">
        <v>3712.6178</v>
      </c>
      <c r="W44" s="40">
        <v>3743.5556</v>
      </c>
      <c r="X44" s="40">
        <v>3800.389</v>
      </c>
      <c r="Y44" s="40">
        <v>3655.7844</v>
      </c>
      <c r="Z44" s="40">
        <v>3629.8888</v>
      </c>
      <c r="AA44" s="40">
        <v>3573.0554</v>
      </c>
      <c r="AB44" s="40">
        <v>3621.12</v>
      </c>
      <c r="AC44" s="40">
        <v>3773.0782</v>
      </c>
      <c r="AD44" s="40">
        <v>3549.92909674225</v>
      </c>
      <c r="AE44" s="40">
        <v>3538.80884</v>
      </c>
      <c r="AF44" s="40">
        <v>70.423425</v>
      </c>
      <c r="AG44" s="40">
        <v>3554.0</v>
      </c>
      <c r="AH44" s="45">
        <v>44316.0</v>
      </c>
      <c r="AI44" s="44" t="str">
        <f>'6image_RS_benchmark_performance'!B44</f>
        <v>https://3arbzfbsh-cname-us.ngrok.io/Desktop/seabridge%20fintech/image_app/AMZN_resistance_support.jpg</v>
      </c>
      <c r="AJ44" s="44" t="str">
        <f>'6image_RS_benchmark_performance'!C44</f>
        <v>https://3arbzfbsh-cname-us.ngrok.io/Desktop/seabridge%20fintech/profit_graph_app/AMZN_Return.jpg</v>
      </c>
      <c r="AK44" s="46" t="str">
        <f>'5price_action_icon'!B44</f>
        <v>https://3arbzfbsh-cname-us.ngrok.io/Desktop/seabridge%20fintech/icon/AMZN_pa_trend_signal</v>
      </c>
      <c r="AL44" s="42">
        <f>'1kpi_performance'!B44</f>
        <v>0.8184790391</v>
      </c>
      <c r="AM44" s="42">
        <f>'1kpi_performance'!C44</f>
        <v>1.149692394</v>
      </c>
      <c r="AN44" s="42">
        <f>'1kpi_performance'!D44</f>
        <v>0.8217831827</v>
      </c>
      <c r="AO44" s="42">
        <f>'1kpi_performance'!E44</f>
        <v>0.5218542111</v>
      </c>
      <c r="AP44" s="42">
        <f>'1kpi_performance'!F44</f>
        <v>0.2580167941</v>
      </c>
      <c r="AQ44" s="42">
        <f>'1kpi_performance'!G44</f>
        <v>0.2672055368</v>
      </c>
      <c r="AR44" s="42">
        <f>'1kpi_performance'!H44</f>
        <v>0.2592583653</v>
      </c>
      <c r="AS44" s="42">
        <f>'1kpi_performance'!I44</f>
        <v>0.3757846345</v>
      </c>
      <c r="AT44" s="35">
        <f>'1kpi_performance'!J44</f>
        <v>3.07529997</v>
      </c>
      <c r="AU44" s="35">
        <f>'1kpi_performance'!K44</f>
        <v>4.209090901</v>
      </c>
      <c r="AV44" s="35">
        <f>'1kpi_performance'!L44</f>
        <v>3.073317159</v>
      </c>
      <c r="AW44" s="35">
        <f>'1kpi_performance'!M44</f>
        <v>1.322178092</v>
      </c>
      <c r="AX44" s="42">
        <f>'1kpi_performance'!N44</f>
        <v>0.1477831372</v>
      </c>
      <c r="AY44" s="42">
        <f>'1kpi_performance'!O44</f>
        <v>0.0952860628</v>
      </c>
      <c r="AZ44" s="42">
        <f>'1kpi_performance'!P44</f>
        <v>0.2412528528</v>
      </c>
      <c r="BA44" s="42">
        <f>'1kpi_performance'!Q44</f>
        <v>0.3410377983</v>
      </c>
      <c r="BB44" s="35">
        <f>'1kpi_performance'!R44</f>
        <v>7.09038919</v>
      </c>
      <c r="BC44" s="35">
        <f>'1kpi_performance'!S44</f>
        <v>10.58550995</v>
      </c>
      <c r="BD44" s="35">
        <f>'1kpi_performance'!T44</f>
        <v>6.794861615</v>
      </c>
      <c r="BE44" s="35">
        <f>'1kpi_performance'!U44</f>
        <v>2.725045209</v>
      </c>
      <c r="BF44" s="47"/>
      <c r="BG44" s="47"/>
      <c r="BH44" s="47"/>
      <c r="BI44" s="47"/>
      <c r="BJ44" s="47"/>
      <c r="BK44" s="47"/>
      <c r="BL44" s="47"/>
      <c r="BM44" s="47"/>
      <c r="BN44" s="47"/>
      <c r="BO44" s="47"/>
      <c r="BP44" s="47"/>
      <c r="BQ44" s="47"/>
      <c r="BR44" s="47"/>
      <c r="BS44" s="47"/>
      <c r="BT44" s="47"/>
    </row>
    <row r="45" ht="11.25" customHeight="1">
      <c r="A45" s="35" t="str">
        <f>'13all_company_profile'!A45</f>
        <v>ANET</v>
      </c>
      <c r="B45" s="35" t="str">
        <f>'13all_company_profile'!B45</f>
        <v>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v>
      </c>
      <c r="C45" s="44" t="str">
        <f>'13all_company_profile'!C45</f>
        <v>https://financialmodelingprep.com/image-stock/ANET.png</v>
      </c>
      <c r="D45" s="35" t="str">
        <f>'13all_company_profile'!D45</f>
        <v>Arista Networks, Inc.</v>
      </c>
      <c r="E45" s="36">
        <f>'13all_company_profile'!E45</f>
        <v>28113897472</v>
      </c>
      <c r="F45" s="37">
        <f>'13all_company_profile'!F45</f>
        <v>426598</v>
      </c>
      <c r="G45" s="35">
        <f>'13all_company_profile'!G45</f>
        <v>0</v>
      </c>
      <c r="H45" s="38">
        <f>'13all_company_profile'!H45</f>
        <v>44410</v>
      </c>
      <c r="I45" s="35">
        <f>'13all_company_profile'!I45</f>
        <v>42.755184</v>
      </c>
      <c r="J45" s="35">
        <f>'13all_company_profile'!J45</f>
        <v>8.533</v>
      </c>
      <c r="K45" s="42" t="str">
        <f t="shared" si="1"/>
        <v>NaN</v>
      </c>
      <c r="L45" s="35">
        <f>'7company_info'!B45</f>
        <v>363.69</v>
      </c>
      <c r="M45" s="35">
        <f>'7company_info'!C45</f>
        <v>364.98</v>
      </c>
      <c r="N45" s="35">
        <f>'7company_info'!D45</f>
        <v>361.76</v>
      </c>
      <c r="O45" s="35">
        <f>'7company_info'!E45</f>
        <v>1.57</v>
      </c>
      <c r="P45" s="35">
        <f>'7company_info'!F45</f>
        <v>0.0043</v>
      </c>
      <c r="Q45" s="35">
        <f>'7company_info'!G45</f>
        <v>364.98</v>
      </c>
      <c r="R45" s="35">
        <f>'7company_info'!H45</f>
        <v>362.12</v>
      </c>
      <c r="S45" s="35">
        <f>'7company_info'!I45</f>
        <v>192.96</v>
      </c>
      <c r="T45" s="35">
        <f>'7company_info'!J45</f>
        <v>378.7</v>
      </c>
      <c r="U45" s="39">
        <v>369.055</v>
      </c>
      <c r="V45" s="39">
        <v>372.605</v>
      </c>
      <c r="W45" s="40">
        <v>375.96</v>
      </c>
      <c r="X45" s="40">
        <v>382.865</v>
      </c>
      <c r="Y45" s="40">
        <v>365.7</v>
      </c>
      <c r="Z45" s="40">
        <v>362.15</v>
      </c>
      <c r="AA45" s="40">
        <v>355.244999999999</v>
      </c>
      <c r="AB45" s="40">
        <v>365.505</v>
      </c>
      <c r="AC45" s="40">
        <v>378.7</v>
      </c>
      <c r="AD45" s="40">
        <v>365.548667897889</v>
      </c>
      <c r="AE45" s="40">
        <v>356.15335</v>
      </c>
      <c r="AF45" s="40">
        <v>6.996075</v>
      </c>
      <c r="AG45" s="40">
        <v>374.49</v>
      </c>
      <c r="AH45" s="45">
        <v>44364.0</v>
      </c>
      <c r="AI45" s="44" t="str">
        <f>'6image_RS_benchmark_performance'!B45</f>
        <v>https://3arbzfbsh-cname-us.ngrok.io/Desktop/seabridge%20fintech/image_app/ANET_resistance_support.jpg</v>
      </c>
      <c r="AJ45" s="44" t="str">
        <f>'6image_RS_benchmark_performance'!C45</f>
        <v>https://3arbzfbsh-cname-us.ngrok.io/Desktop/seabridge%20fintech/profit_graph_app/ANET_Return.jpg</v>
      </c>
      <c r="AK45" s="46" t="str">
        <f>'5price_action_icon'!B45</f>
        <v>https://3arbzfbsh-cname-us.ngrok.io/Desktop/seabridge%20fintech/icon/ANET_pa_trend_signal</v>
      </c>
      <c r="AL45" s="42">
        <f>'1kpi_performance'!B45</f>
        <v>1.263452999</v>
      </c>
      <c r="AM45" s="42">
        <f>'1kpi_performance'!C45</f>
        <v>1.822560769</v>
      </c>
      <c r="AN45" s="42">
        <f>'1kpi_performance'!D45</f>
        <v>1.121678688</v>
      </c>
      <c r="AO45" s="42">
        <f>'1kpi_performance'!E45</f>
        <v>0.4672414025</v>
      </c>
      <c r="AP45" s="42">
        <f>'1kpi_performance'!F45</f>
        <v>0.368861835</v>
      </c>
      <c r="AQ45" s="42">
        <f>'1kpi_performance'!G45</f>
        <v>0.3632083897</v>
      </c>
      <c r="AR45" s="42">
        <f>'1kpi_performance'!H45</f>
        <v>0.3554661967</v>
      </c>
      <c r="AS45" s="42">
        <f>'1kpi_performance'!I45</f>
        <v>0.5254706493</v>
      </c>
      <c r="AT45" s="35">
        <f>'1kpi_performance'!J45</f>
        <v>3.35749834</v>
      </c>
      <c r="AU45" s="35">
        <f>'1kpi_performance'!K45</f>
        <v>4.949116871</v>
      </c>
      <c r="AV45" s="35">
        <f>'1kpi_performance'!L45</f>
        <v>3.085184183</v>
      </c>
      <c r="AW45" s="35">
        <f>'1kpi_performance'!M45</f>
        <v>0.8416100939</v>
      </c>
      <c r="AX45" s="42">
        <f>'1kpi_performance'!N45</f>
        <v>0.1896106666</v>
      </c>
      <c r="AY45" s="42">
        <f>'1kpi_performance'!O45</f>
        <v>0.1274125874</v>
      </c>
      <c r="AZ45" s="42">
        <f>'1kpi_performance'!P45</f>
        <v>0.2264494695</v>
      </c>
      <c r="BA45" s="42">
        <f>'1kpi_performance'!Q45</f>
        <v>0.5220064528</v>
      </c>
      <c r="BB45" s="35">
        <f>'1kpi_performance'!R45</f>
        <v>8.002395326</v>
      </c>
      <c r="BC45" s="35">
        <f>'1kpi_performance'!S45</f>
        <v>12.78739065</v>
      </c>
      <c r="BD45" s="35">
        <f>'1kpi_performance'!T45</f>
        <v>7.351012569</v>
      </c>
      <c r="BE45" s="35">
        <f>'1kpi_performance'!U45</f>
        <v>1.623468282</v>
      </c>
      <c r="BF45" s="47"/>
      <c r="BG45" s="47"/>
      <c r="BH45" s="47"/>
      <c r="BI45" s="47"/>
      <c r="BJ45" s="47"/>
      <c r="BK45" s="47"/>
      <c r="BL45" s="47"/>
      <c r="BM45" s="47"/>
      <c r="BN45" s="47"/>
      <c r="BO45" s="47"/>
      <c r="BP45" s="47"/>
      <c r="BQ45" s="47"/>
      <c r="BR45" s="47"/>
      <c r="BS45" s="47"/>
      <c r="BT45" s="47"/>
    </row>
    <row r="46" ht="11.25" customHeight="1">
      <c r="A46" s="35" t="str">
        <f>'13all_company_profile'!A46</f>
        <v>ANSS</v>
      </c>
      <c r="B46" s="35" t="str">
        <f>'13all_company_profile'!B46</f>
        <v>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v>
      </c>
      <c r="C46" s="44" t="str">
        <f>'13all_company_profile'!C46</f>
        <v>https://financialmodelingprep.com/image-stock/ANSS.png</v>
      </c>
      <c r="D46" s="35" t="str">
        <f>'13all_company_profile'!D46</f>
        <v>ANSYS, Inc.</v>
      </c>
      <c r="E46" s="36">
        <f>'13all_company_profile'!E46</f>
        <v>30695663616</v>
      </c>
      <c r="F46" s="37">
        <f>'13all_company_profile'!F46</f>
        <v>404109</v>
      </c>
      <c r="G46" s="35">
        <f>'13all_company_profile'!G46</f>
        <v>0</v>
      </c>
      <c r="H46" s="38">
        <f>'13all_company_profile'!H46</f>
        <v>44411</v>
      </c>
      <c r="I46" s="35">
        <f>'13all_company_profile'!I46</f>
        <v>66.61784</v>
      </c>
      <c r="J46" s="35">
        <f>'13all_company_profile'!J46</f>
        <v>5.257</v>
      </c>
      <c r="K46" s="42" t="str">
        <f t="shared" si="1"/>
        <v>NaN</v>
      </c>
      <c r="L46" s="35">
        <f>'7company_info'!B46</f>
        <v>350.87</v>
      </c>
      <c r="M46" s="35">
        <f>'7company_info'!C46</f>
        <v>352.58</v>
      </c>
      <c r="N46" s="35">
        <f>'7company_info'!D46</f>
        <v>342.17</v>
      </c>
      <c r="O46" s="35">
        <f>'7company_info'!E46</f>
        <v>7.4</v>
      </c>
      <c r="P46" s="35">
        <f>'7company_info'!F46</f>
        <v>0.0215</v>
      </c>
      <c r="Q46" s="35">
        <f>'7company_info'!G46</f>
        <v>345</v>
      </c>
      <c r="R46" s="35">
        <f>'7company_info'!H46</f>
        <v>343.47</v>
      </c>
      <c r="S46" s="35">
        <f>'7company_info'!I46</f>
        <v>291.55</v>
      </c>
      <c r="T46" s="35">
        <f>'7company_info'!J46</f>
        <v>413.19</v>
      </c>
      <c r="U46" s="39">
        <v>353.681666666666</v>
      </c>
      <c r="V46" s="39">
        <v>355.643333333333</v>
      </c>
      <c r="W46" s="40">
        <v>358.916666666666</v>
      </c>
      <c r="X46" s="40">
        <v>364.151666666666</v>
      </c>
      <c r="Y46" s="40">
        <v>350.408333333333</v>
      </c>
      <c r="Z46" s="40">
        <v>348.446666666666</v>
      </c>
      <c r="AA46" s="40">
        <v>343.211666666666</v>
      </c>
      <c r="AB46" s="40">
        <v>351.35</v>
      </c>
      <c r="AC46" s="40">
        <v>354.1</v>
      </c>
      <c r="AD46" s="40">
        <v>347.213351234537</v>
      </c>
      <c r="AE46" s="40">
        <v>337.951</v>
      </c>
      <c r="AF46" s="40">
        <v>6.79524999999999</v>
      </c>
      <c r="AG46" s="40">
        <v>413.19</v>
      </c>
      <c r="AH46" s="45">
        <v>44243.0</v>
      </c>
      <c r="AI46" s="44" t="str">
        <f>'6image_RS_benchmark_performance'!B46</f>
        <v>https://3arbzfbsh-cname-us.ngrok.io/Desktop/seabridge%20fintech/image_app/ANSS_resistance_support.jpg</v>
      </c>
      <c r="AJ46" s="44" t="str">
        <f>'6image_RS_benchmark_performance'!C46</f>
        <v>https://3arbzfbsh-cname-us.ngrok.io/Desktop/seabridge%20fintech/profit_graph_app/ANSS_Return.jpg</v>
      </c>
      <c r="AK46" s="46" t="str">
        <f>'5price_action_icon'!B46</f>
        <v>https://3arbzfbsh-cname-us.ngrok.io/Desktop/seabridge%20fintech/icon/ANSS_pa_trend_signal</v>
      </c>
      <c r="AL46" s="42">
        <f>'1kpi_performance'!B46</f>
        <v>0.6128971361</v>
      </c>
      <c r="AM46" s="42">
        <f>'1kpi_performance'!C46</f>
        <v>0.6883415991</v>
      </c>
      <c r="AN46" s="42">
        <f>'1kpi_performance'!D46</f>
        <v>0.7437068226</v>
      </c>
      <c r="AO46" s="42">
        <f>'1kpi_performance'!E46</f>
        <v>0.3041333854</v>
      </c>
      <c r="AP46" s="42">
        <f>'1kpi_performance'!F46</f>
        <v>0.2194544934</v>
      </c>
      <c r="AQ46" s="42">
        <f>'1kpi_performance'!G46</f>
        <v>0.2135532975</v>
      </c>
      <c r="AR46" s="42">
        <f>'1kpi_performance'!H46</f>
        <v>0.2010163314</v>
      </c>
      <c r="AS46" s="42">
        <f>'1kpi_performance'!I46</f>
        <v>0.3254166849</v>
      </c>
      <c r="AT46" s="35">
        <f>'1kpi_performance'!J46</f>
        <v>2.67890225</v>
      </c>
      <c r="AU46" s="35">
        <f>'1kpi_performance'!K46</f>
        <v>3.106210988</v>
      </c>
      <c r="AV46" s="35">
        <f>'1kpi_performance'!L46</f>
        <v>3.575365332</v>
      </c>
      <c r="AW46" s="35">
        <f>'1kpi_performance'!M46</f>
        <v>0.857772199</v>
      </c>
      <c r="AX46" s="42">
        <f>'1kpi_performance'!N46</f>
        <v>0.1286084932</v>
      </c>
      <c r="AY46" s="42">
        <f>'1kpi_performance'!O46</f>
        <v>0.08611922964</v>
      </c>
      <c r="AZ46" s="42">
        <f>'1kpi_performance'!P46</f>
        <v>0.2312513392</v>
      </c>
      <c r="BA46" s="42">
        <f>'1kpi_performance'!Q46</f>
        <v>0.3095833052</v>
      </c>
      <c r="BB46" s="35">
        <f>'1kpi_performance'!R46</f>
        <v>5.726122985</v>
      </c>
      <c r="BC46" s="35">
        <f>'1kpi_performance'!S46</f>
        <v>7.08029846</v>
      </c>
      <c r="BD46" s="35">
        <f>'1kpi_performance'!T46</f>
        <v>8.04755588</v>
      </c>
      <c r="BE46" s="35">
        <f>'1kpi_performance'!U46</f>
        <v>1.669436242</v>
      </c>
      <c r="BF46" s="47"/>
      <c r="BG46" s="47"/>
      <c r="BH46" s="47"/>
      <c r="BI46" s="47"/>
      <c r="BJ46" s="47"/>
      <c r="BK46" s="47"/>
      <c r="BL46" s="47"/>
      <c r="BM46" s="47"/>
      <c r="BN46" s="47"/>
      <c r="BO46" s="47"/>
      <c r="BP46" s="47"/>
      <c r="BQ46" s="47"/>
      <c r="BR46" s="47"/>
      <c r="BS46" s="47"/>
      <c r="BT46" s="47"/>
    </row>
    <row r="47" ht="11.25" customHeight="1">
      <c r="A47" s="35" t="str">
        <f>'13all_company_profile'!A47</f>
        <v>ANTM</v>
      </c>
      <c r="B47" s="35" t="str">
        <f>'13all_company_profile'!B47</f>
        <v>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v>
      </c>
      <c r="C47" s="44" t="str">
        <f>'13all_company_profile'!C47</f>
        <v>https://financialmodelingprep.com/image-stock/ANTM.png</v>
      </c>
      <c r="D47" s="35" t="str">
        <f>'13all_company_profile'!D47</f>
        <v>Anthem, Inc.</v>
      </c>
      <c r="E47" s="36">
        <f>'13all_company_profile'!E47</f>
        <v>96883580928</v>
      </c>
      <c r="F47" s="37">
        <f>'13all_company_profile'!F47</f>
        <v>1087201</v>
      </c>
      <c r="G47" s="35">
        <f>'13all_company_profile'!G47</f>
        <v>4.16</v>
      </c>
      <c r="H47" s="38">
        <f>'13all_company_profile'!H47</f>
        <v>44398</v>
      </c>
      <c r="I47" s="35">
        <f>'13all_company_profile'!I47</f>
        <v>21.095715</v>
      </c>
      <c r="J47" s="35">
        <f>'13all_company_profile'!J47</f>
        <v>18.691</v>
      </c>
      <c r="K47" s="42">
        <f t="shared" si="1"/>
        <v>0.01066830794</v>
      </c>
      <c r="L47" s="35">
        <f>'7company_info'!B47</f>
        <v>389.94</v>
      </c>
      <c r="M47" s="35">
        <f>'7company_info'!C47</f>
        <v>393.52</v>
      </c>
      <c r="N47" s="35">
        <f>'7company_info'!D47</f>
        <v>385.28</v>
      </c>
      <c r="O47" s="35">
        <f>'7company_info'!E47</f>
        <v>5.5</v>
      </c>
      <c r="P47" s="35">
        <f>'7company_info'!F47</f>
        <v>0.0143</v>
      </c>
      <c r="Q47" s="35">
        <f>'7company_info'!G47</f>
        <v>385.81</v>
      </c>
      <c r="R47" s="35">
        <f>'7company_info'!H47</f>
        <v>384.44</v>
      </c>
      <c r="S47" s="35">
        <f>'7company_info'!I47</f>
        <v>244.1</v>
      </c>
      <c r="T47" s="35">
        <f>'7company_info'!J47</f>
        <v>406</v>
      </c>
      <c r="U47" s="39">
        <v>396.626666666666</v>
      </c>
      <c r="V47" s="39">
        <v>399.163333333333</v>
      </c>
      <c r="W47" s="40">
        <v>403.256666666666</v>
      </c>
      <c r="X47" s="40">
        <v>409.886666666666</v>
      </c>
      <c r="Y47" s="40">
        <v>392.533333333333</v>
      </c>
      <c r="Z47" s="40">
        <v>389.996666666666</v>
      </c>
      <c r="AA47" s="40">
        <v>383.366666666666</v>
      </c>
      <c r="AB47" s="40">
        <v>390.73</v>
      </c>
      <c r="AC47" s="40">
        <v>388.35</v>
      </c>
      <c r="AD47" s="40">
        <v>387.197005444423</v>
      </c>
      <c r="AE47" s="40">
        <v>386.0539</v>
      </c>
      <c r="AF47" s="40">
        <v>6.1158</v>
      </c>
      <c r="AG47" s="40">
        <v>406.0</v>
      </c>
      <c r="AH47" s="45">
        <v>44326.0</v>
      </c>
      <c r="AI47" s="44" t="str">
        <f>'6image_RS_benchmark_performance'!B47</f>
        <v>https://3arbzfbsh-cname-us.ngrok.io/Desktop/seabridge%20fintech/image_app/ANTM_resistance_support.jpg</v>
      </c>
      <c r="AJ47" s="44" t="str">
        <f>'6image_RS_benchmark_performance'!C47</f>
        <v>https://3arbzfbsh-cname-us.ngrok.io/Desktop/seabridge%20fintech/profit_graph_app/ANTM_Return.jpg</v>
      </c>
      <c r="AK47" s="46" t="str">
        <f>'5price_action_icon'!B47</f>
        <v>https://3arbzfbsh-cname-us.ngrok.io/Desktop/seabridge%20fintech/icon/ANTM_pa_trend_signal</v>
      </c>
      <c r="AL47" s="42">
        <f>'1kpi_performance'!B47</f>
        <v>0.6044193605</v>
      </c>
      <c r="AM47" s="42">
        <f>'1kpi_performance'!C47</f>
        <v>0.8186723193</v>
      </c>
      <c r="AN47" s="42">
        <f>'1kpi_performance'!D47</f>
        <v>0.6982922143</v>
      </c>
      <c r="AO47" s="42">
        <f>'1kpi_performance'!E47</f>
        <v>0.2509794836</v>
      </c>
      <c r="AP47" s="42">
        <f>'1kpi_performance'!F47</f>
        <v>0.2241541653</v>
      </c>
      <c r="AQ47" s="42">
        <f>'1kpi_performance'!G47</f>
        <v>0.2371668469</v>
      </c>
      <c r="AR47" s="42">
        <f>'1kpi_performance'!H47</f>
        <v>0.2527151371</v>
      </c>
      <c r="AS47" s="42">
        <f>'1kpi_performance'!I47</f>
        <v>0.3444632444</v>
      </c>
      <c r="AT47" s="35">
        <f>'1kpi_performance'!J47</f>
        <v>2.584914537</v>
      </c>
      <c r="AU47" s="35">
        <f>'1kpi_performance'!K47</f>
        <v>3.346472451</v>
      </c>
      <c r="AV47" s="35">
        <f>'1kpi_performance'!L47</f>
        <v>2.664233817</v>
      </c>
      <c r="AW47" s="35">
        <f>'1kpi_performance'!M47</f>
        <v>0.6560336619</v>
      </c>
      <c r="AX47" s="42">
        <f>'1kpi_performance'!N47</f>
        <v>0.2410434284</v>
      </c>
      <c r="AY47" s="42">
        <f>'1kpi_performance'!O47</f>
        <v>0.1373530785</v>
      </c>
      <c r="AZ47" s="42">
        <f>'1kpi_performance'!P47</f>
        <v>0.4107010323</v>
      </c>
      <c r="BA47" s="42">
        <f>'1kpi_performance'!Q47</f>
        <v>0.4496881104</v>
      </c>
      <c r="BB47" s="35">
        <f>'1kpi_performance'!R47</f>
        <v>5.731442374</v>
      </c>
      <c r="BC47" s="35">
        <f>'1kpi_performance'!S47</f>
        <v>8.371938555</v>
      </c>
      <c r="BD47" s="35">
        <f>'1kpi_performance'!T47</f>
        <v>5.500645766</v>
      </c>
      <c r="BE47" s="35">
        <f>'1kpi_performance'!U47</f>
        <v>1.290388587</v>
      </c>
      <c r="BF47" s="47"/>
      <c r="BG47" s="47"/>
      <c r="BH47" s="47"/>
      <c r="BI47" s="47"/>
      <c r="BJ47" s="47"/>
      <c r="BK47" s="47"/>
      <c r="BL47" s="47"/>
      <c r="BM47" s="47"/>
      <c r="BN47" s="47"/>
      <c r="BO47" s="47"/>
      <c r="BP47" s="47"/>
      <c r="BQ47" s="47"/>
      <c r="BR47" s="47"/>
      <c r="BS47" s="47"/>
      <c r="BT47" s="47"/>
    </row>
    <row r="48" ht="11.25" customHeight="1">
      <c r="A48" s="35" t="str">
        <f>'13all_company_profile'!A48</f>
        <v>AON</v>
      </c>
      <c r="B48" s="35" t="str">
        <f>'13all_company_profile'!B48</f>
        <v>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v>
      </c>
      <c r="C48" s="44" t="str">
        <f>'13all_company_profile'!C48</f>
        <v>https://financialmodelingprep.com/image-stock/AON.png</v>
      </c>
      <c r="D48" s="35" t="str">
        <f>'13all_company_profile'!D48</f>
        <v>Aon plc</v>
      </c>
      <c r="E48" s="36">
        <f>'13all_company_profile'!E48</f>
        <v>52192153600</v>
      </c>
      <c r="F48" s="37">
        <f>'13all_company_profile'!F48</f>
        <v>1755171</v>
      </c>
      <c r="G48" s="35">
        <f>'13all_company_profile'!G48</f>
        <v>2.38</v>
      </c>
      <c r="H48" s="38">
        <f>'13all_company_profile'!H48</f>
        <v>44406</v>
      </c>
      <c r="I48" s="35">
        <f>'13all_company_profile'!I48</f>
        <v>25.352484</v>
      </c>
      <c r="J48" s="35">
        <f>'13all_company_profile'!J48</f>
        <v>9.121</v>
      </c>
      <c r="K48" s="42">
        <f t="shared" si="1"/>
        <v>0.01040255256</v>
      </c>
      <c r="L48" s="35">
        <f>'7company_info'!B48</f>
        <v>228.79</v>
      </c>
      <c r="M48" s="35">
        <f>'7company_info'!C48</f>
        <v>230.32</v>
      </c>
      <c r="N48" s="35">
        <f>'7company_info'!D48</f>
        <v>226.78</v>
      </c>
      <c r="O48" s="35">
        <f>'7company_info'!E48</f>
        <v>2</v>
      </c>
      <c r="P48" s="35">
        <f>'7company_info'!F48</f>
        <v>0.0088</v>
      </c>
      <c r="Q48" s="35">
        <f>'7company_info'!G48</f>
        <v>226.95</v>
      </c>
      <c r="R48" s="35">
        <f>'7company_info'!H48</f>
        <v>226.79</v>
      </c>
      <c r="S48" s="35">
        <f>'7company_info'!I48</f>
        <v>179.52</v>
      </c>
      <c r="T48" s="35">
        <f>'7company_info'!J48</f>
        <v>260.97</v>
      </c>
      <c r="U48" s="39">
        <v>230.426666666666</v>
      </c>
      <c r="V48" s="39">
        <v>232.673333333333</v>
      </c>
      <c r="W48" s="40">
        <v>234.916666666666</v>
      </c>
      <c r="X48" s="40">
        <v>239.406666666666</v>
      </c>
      <c r="Y48" s="40">
        <v>228.183333333333</v>
      </c>
      <c r="Z48" s="40">
        <v>225.936666666666</v>
      </c>
      <c r="AA48" s="40">
        <v>221.446666666666</v>
      </c>
      <c r="AB48" s="40">
        <v>239.95</v>
      </c>
      <c r="AC48" s="40">
        <v>241.39</v>
      </c>
      <c r="AD48" s="40">
        <v>238.152892928091</v>
      </c>
      <c r="AE48" s="40">
        <v>222.79603</v>
      </c>
      <c r="AF48" s="40">
        <v>4.46848499999999</v>
      </c>
      <c r="AG48" s="40">
        <v>260.97</v>
      </c>
      <c r="AH48" s="45">
        <v>44326.0</v>
      </c>
      <c r="AI48" s="44" t="str">
        <f>'6image_RS_benchmark_performance'!B48</f>
        <v>https://3arbzfbsh-cname-us.ngrok.io/Desktop/seabridge%20fintech/image_app/AON_resistance_support.jpg</v>
      </c>
      <c r="AJ48" s="44" t="str">
        <f>'6image_RS_benchmark_performance'!C48</f>
        <v>https://3arbzfbsh-cname-us.ngrok.io/Desktop/seabridge%20fintech/profit_graph_app/AON_Return.jpg</v>
      </c>
      <c r="AK48" s="46" t="str">
        <f>'5price_action_icon'!B48</f>
        <v>https://3arbzfbsh-cname-us.ngrok.io/Desktop/seabridge%20fintech/icon/AON_pa_trend_signal</v>
      </c>
      <c r="AL48" s="42">
        <f>'1kpi_performance'!B48</f>
        <v>0.4680211157</v>
      </c>
      <c r="AM48" s="42">
        <f>'1kpi_performance'!C48</f>
        <v>0.5650147919</v>
      </c>
      <c r="AN48" s="42">
        <f>'1kpi_performance'!D48</f>
        <v>0.541498616</v>
      </c>
      <c r="AO48" s="42">
        <f>'1kpi_performance'!E48</f>
        <v>0.2509948838</v>
      </c>
      <c r="AP48" s="42">
        <f>'1kpi_performance'!F48</f>
        <v>0.1630769733</v>
      </c>
      <c r="AQ48" s="42">
        <f>'1kpi_performance'!G48</f>
        <v>0.1707715989</v>
      </c>
      <c r="AR48" s="42">
        <f>'1kpi_performance'!H48</f>
        <v>0.1885429074</v>
      </c>
      <c r="AS48" s="42">
        <f>'1kpi_performance'!I48</f>
        <v>0.2592116306</v>
      </c>
      <c r="AT48" s="35">
        <f>'1kpi_performance'!J48</f>
        <v>2.71663808</v>
      </c>
      <c r="AU48" s="35">
        <f>'1kpi_performance'!K48</f>
        <v>3.162204931</v>
      </c>
      <c r="AV48" s="35">
        <f>'1kpi_performance'!L48</f>
        <v>2.739422145</v>
      </c>
      <c r="AW48" s="35">
        <f>'1kpi_performance'!M48</f>
        <v>0.871854721</v>
      </c>
      <c r="AX48" s="42">
        <f>'1kpi_performance'!N48</f>
        <v>0.1222667881</v>
      </c>
      <c r="AY48" s="42">
        <f>'1kpi_performance'!O48</f>
        <v>0.1118383755</v>
      </c>
      <c r="AZ48" s="42">
        <f>'1kpi_performance'!P48</f>
        <v>0.177998057</v>
      </c>
      <c r="BA48" s="42">
        <f>'1kpi_performance'!Q48</f>
        <v>0.3872720381</v>
      </c>
      <c r="BB48" s="35">
        <f>'1kpi_performance'!R48</f>
        <v>5.991023675</v>
      </c>
      <c r="BC48" s="35">
        <f>'1kpi_performance'!S48</f>
        <v>7.139690112</v>
      </c>
      <c r="BD48" s="35">
        <f>'1kpi_performance'!T48</f>
        <v>5.771851564</v>
      </c>
      <c r="BE48" s="35">
        <f>'1kpi_performance'!U48</f>
        <v>1.676466135</v>
      </c>
      <c r="BF48" s="47"/>
      <c r="BG48" s="47"/>
      <c r="BH48" s="47"/>
      <c r="BI48" s="47"/>
      <c r="BJ48" s="47"/>
      <c r="BK48" s="47"/>
      <c r="BL48" s="47"/>
      <c r="BM48" s="47"/>
      <c r="BN48" s="47"/>
      <c r="BO48" s="47"/>
      <c r="BP48" s="47"/>
      <c r="BQ48" s="47"/>
      <c r="BR48" s="47"/>
      <c r="BS48" s="47"/>
      <c r="BT48" s="47"/>
    </row>
    <row r="49" ht="11.25" customHeight="1">
      <c r="A49" s="35" t="str">
        <f>'13all_company_profile'!A49</f>
        <v>AOS</v>
      </c>
      <c r="B49" s="35" t="str">
        <f>'13all_company_profile'!B49</f>
        <v>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v>
      </c>
      <c r="C49" s="44" t="str">
        <f>'13all_company_profile'!C49</f>
        <v>https://financialmodelingprep.com/image-stock/AOS.png</v>
      </c>
      <c r="D49" s="35" t="str">
        <f>'13all_company_profile'!D49</f>
        <v>A. O. Smith Corporation</v>
      </c>
      <c r="E49" s="36">
        <f>'13all_company_profile'!E49</f>
        <v>11342635008</v>
      </c>
      <c r="F49" s="37">
        <f>'13all_company_profile'!F49</f>
        <v>1040180</v>
      </c>
      <c r="G49" s="35">
        <f>'13all_company_profile'!G49</f>
        <v>1.28</v>
      </c>
      <c r="H49" s="38">
        <f>'13all_company_profile'!H49</f>
        <v>44406</v>
      </c>
      <c r="I49" s="35">
        <f>'13all_company_profile'!I49</f>
        <v>29.212828</v>
      </c>
      <c r="J49" s="35">
        <f>'13all_company_profile'!J49</f>
        <v>2.401</v>
      </c>
      <c r="K49" s="42">
        <f t="shared" si="1"/>
        <v>0.01823361823</v>
      </c>
      <c r="L49" s="35">
        <f>'7company_info'!B49</f>
        <v>70.2</v>
      </c>
      <c r="M49" s="35">
        <f>'7company_info'!C49</f>
        <v>70.5</v>
      </c>
      <c r="N49" s="35">
        <f>'7company_info'!D49</f>
        <v>69.25</v>
      </c>
      <c r="O49" s="35">
        <f>'7company_info'!E49</f>
        <v>1.26</v>
      </c>
      <c r="P49" s="35">
        <f>'7company_info'!F49</f>
        <v>0.0183</v>
      </c>
      <c r="Q49" s="35">
        <f>'7company_info'!G49</f>
        <v>69.36</v>
      </c>
      <c r="R49" s="35">
        <f>'7company_info'!H49</f>
        <v>68.94</v>
      </c>
      <c r="S49" s="35">
        <f>'7company_info'!I49</f>
        <v>47.16</v>
      </c>
      <c r="T49" s="35">
        <f>'7company_info'!J49</f>
        <v>73.05</v>
      </c>
      <c r="U49" s="39">
        <v>71.0099999999999</v>
      </c>
      <c r="V49" s="39">
        <v>71.5799999999999</v>
      </c>
      <c r="W49" s="40">
        <v>72.1499999999999</v>
      </c>
      <c r="X49" s="40">
        <v>73.2899999999999</v>
      </c>
      <c r="Y49" s="40">
        <v>70.4399999999999</v>
      </c>
      <c r="Z49" s="40">
        <v>69.8699999999999</v>
      </c>
      <c r="AA49" s="40">
        <v>68.7299999999999</v>
      </c>
      <c r="AB49" s="40">
        <v>69.82</v>
      </c>
      <c r="AC49" s="40">
        <v>69.39</v>
      </c>
      <c r="AD49" s="40">
        <v>70.2818343446512</v>
      </c>
      <c r="AE49" s="40">
        <v>68.2745999999999</v>
      </c>
      <c r="AF49" s="40">
        <v>1.3752</v>
      </c>
      <c r="AG49" s="40">
        <v>73.05</v>
      </c>
      <c r="AH49" s="45">
        <v>44326.0</v>
      </c>
      <c r="AI49" s="44" t="str">
        <f>'6image_RS_benchmark_performance'!B49</f>
        <v>https://3arbzfbsh-cname-us.ngrok.io/Desktop/seabridge%20fintech/image_app/AOS_resistance_support.jpg</v>
      </c>
      <c r="AJ49" s="44" t="str">
        <f>'6image_RS_benchmark_performance'!C49</f>
        <v>https://3arbzfbsh-cname-us.ngrok.io/Desktop/seabridge%20fintech/profit_graph_app/AOS_Return.jpg</v>
      </c>
      <c r="AK49" s="46" t="str">
        <f>'5price_action_icon'!B49</f>
        <v>https://3arbzfbsh-cname-us.ngrok.io/Desktop/seabridge%20fintech/icon/AOS_pa_trend_signal</v>
      </c>
      <c r="AL49" s="42">
        <f>'1kpi_performance'!B49</f>
        <v>0.6342380792</v>
      </c>
      <c r="AM49" s="42">
        <f>'1kpi_performance'!C49</f>
        <v>0.8246681081</v>
      </c>
      <c r="AN49" s="42">
        <f>'1kpi_performance'!D49</f>
        <v>0.7805588253</v>
      </c>
      <c r="AO49" s="42">
        <f>'1kpi_performance'!E49</f>
        <v>0.3291879959</v>
      </c>
      <c r="AP49" s="42">
        <f>'1kpi_performance'!F49</f>
        <v>0.2301129051</v>
      </c>
      <c r="AQ49" s="42">
        <f>'1kpi_performance'!G49</f>
        <v>0.2316139689</v>
      </c>
      <c r="AR49" s="42">
        <f>'1kpi_performance'!H49</f>
        <v>0.22916596</v>
      </c>
      <c r="AS49" s="42">
        <f>'1kpi_performance'!I49</f>
        <v>0.3246230362</v>
      </c>
      <c r="AT49" s="35">
        <f>'1kpi_performance'!J49</f>
        <v>2.647561547</v>
      </c>
      <c r="AU49" s="35">
        <f>'1kpi_performance'!K49</f>
        <v>3.452590152</v>
      </c>
      <c r="AV49" s="35">
        <f>'1kpi_performance'!L49</f>
        <v>3.296994131</v>
      </c>
      <c r="AW49" s="35">
        <f>'1kpi_performance'!M49</f>
        <v>0.937049938</v>
      </c>
      <c r="AX49" s="42">
        <f>'1kpi_performance'!N49</f>
        <v>0.1934217455</v>
      </c>
      <c r="AY49" s="42">
        <f>'1kpi_performance'!O49</f>
        <v>0.1046029595</v>
      </c>
      <c r="AZ49" s="42">
        <f>'1kpi_performance'!P49</f>
        <v>0.2250868349</v>
      </c>
      <c r="BA49" s="42">
        <f>'1kpi_performance'!Q49</f>
        <v>0.4877653302</v>
      </c>
      <c r="BB49" s="35">
        <f>'1kpi_performance'!R49</f>
        <v>5.6122325</v>
      </c>
      <c r="BC49" s="35">
        <f>'1kpi_performance'!S49</f>
        <v>8.103466181</v>
      </c>
      <c r="BD49" s="35">
        <f>'1kpi_performance'!T49</f>
        <v>7.048194134</v>
      </c>
      <c r="BE49" s="35">
        <f>'1kpi_performance'!U49</f>
        <v>1.891137295</v>
      </c>
      <c r="BF49" s="47"/>
      <c r="BG49" s="47"/>
      <c r="BH49" s="47"/>
      <c r="BI49" s="47"/>
      <c r="BJ49" s="47"/>
      <c r="BK49" s="47"/>
      <c r="BL49" s="47"/>
      <c r="BM49" s="47"/>
      <c r="BN49" s="47"/>
      <c r="BO49" s="47"/>
      <c r="BP49" s="47"/>
      <c r="BQ49" s="47"/>
      <c r="BR49" s="47"/>
      <c r="BS49" s="47"/>
      <c r="BT49" s="47"/>
    </row>
    <row r="50" ht="11.25" customHeight="1">
      <c r="A50" s="35" t="str">
        <f>'13all_company_profile'!A50</f>
        <v>APA</v>
      </c>
      <c r="B50" s="35" t="str">
        <f>'13all_company_profile'!B50</f>
        <v>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v>
      </c>
      <c r="C50" s="44" t="str">
        <f>'13all_company_profile'!C50</f>
        <v>https://financialmodelingprep.com/image-stock/APA.png</v>
      </c>
      <c r="D50" s="35" t="str">
        <f>'13all_company_profile'!D50</f>
        <v>APA Corporation</v>
      </c>
      <c r="E50" s="36">
        <f>'13all_company_profile'!E50</f>
        <v>6981160960</v>
      </c>
      <c r="F50" s="37">
        <f>'13all_company_profile'!F50</f>
        <v>6831385</v>
      </c>
      <c r="G50" s="35">
        <f>'13all_company_profile'!G50</f>
        <v>0.125</v>
      </c>
      <c r="H50" s="38" t="str">
        <f>'13all_company_profile'!H50</f>
        <v>not avaiable</v>
      </c>
      <c r="I50" s="35">
        <f>'13all_company_profile'!I50</f>
        <v>853.3334</v>
      </c>
      <c r="J50" s="35">
        <f>'13all_company_profile'!J50</f>
        <v>0.021</v>
      </c>
      <c r="K50" s="42">
        <f t="shared" si="1"/>
        <v>0.007118451025</v>
      </c>
      <c r="L50" s="35">
        <f>'7company_info'!B50</f>
        <v>17.56</v>
      </c>
      <c r="M50" s="35">
        <f>'7company_info'!C50</f>
        <v>17.66</v>
      </c>
      <c r="N50" s="35">
        <f>'7company_info'!D50</f>
        <v>16.83</v>
      </c>
      <c r="O50" s="35">
        <f>'7company_info'!E50</f>
        <v>0.35</v>
      </c>
      <c r="P50" s="35">
        <f>'7company_info'!F50</f>
        <v>0.0203</v>
      </c>
      <c r="Q50" s="35">
        <f>'7company_info'!G50</f>
        <v>16.95</v>
      </c>
      <c r="R50" s="35">
        <f>'7company_info'!H50</f>
        <v>17.21</v>
      </c>
      <c r="S50" s="35">
        <f>'7company_info'!I50</f>
        <v>7.45</v>
      </c>
      <c r="T50" s="35">
        <f>'7company_info'!J50</f>
        <v>24.3</v>
      </c>
      <c r="U50" s="39">
        <v>19.4703666666666</v>
      </c>
      <c r="V50" s="39">
        <v>20.1507333333333</v>
      </c>
      <c r="W50" s="40">
        <v>21.2614666666666</v>
      </c>
      <c r="X50" s="40">
        <v>23.0525666666666</v>
      </c>
      <c r="Y50" s="40">
        <v>18.3596333333333</v>
      </c>
      <c r="Z50" s="40">
        <v>17.6792666666666</v>
      </c>
      <c r="AA50" s="40">
        <v>15.8881666666666</v>
      </c>
      <c r="AB50" s="40">
        <v>21.22</v>
      </c>
      <c r="AC50" s="40">
        <v>22.61</v>
      </c>
      <c r="AD50" s="40">
        <v>20.9468551686817</v>
      </c>
      <c r="AE50" s="40">
        <v>18.38313</v>
      </c>
      <c r="AF50" s="40">
        <v>0.95099</v>
      </c>
      <c r="AG50" s="40">
        <v>24.3</v>
      </c>
      <c r="AH50" s="45">
        <v>44354.0</v>
      </c>
      <c r="AI50" s="44" t="str">
        <f>'6image_RS_benchmark_performance'!B50</f>
        <v>https://3arbzfbsh-cname-us.ngrok.io/Desktop/seabridge%20fintech/image_app/APA_resistance_support.jpg</v>
      </c>
      <c r="AJ50" s="44" t="str">
        <f>'6image_RS_benchmark_performance'!C50</f>
        <v>https://3arbzfbsh-cname-us.ngrok.io/Desktop/seabridge%20fintech/profit_graph_app/APA_Return.jpg</v>
      </c>
      <c r="AK50" s="46" t="str">
        <f>'5price_action_icon'!B50</f>
        <v>https://3arbzfbsh-cname-us.ngrok.io/Desktop/seabridge%20fintech/icon/APA_pa_trend_signal</v>
      </c>
      <c r="AL50" s="42">
        <f>'1kpi_performance'!B50</f>
        <v>0.8424373329</v>
      </c>
      <c r="AM50" s="42">
        <f>'1kpi_performance'!C50</f>
        <v>1.067004348</v>
      </c>
      <c r="AN50" s="42">
        <f>'1kpi_performance'!D50</f>
        <v>0.9373024556</v>
      </c>
      <c r="AO50" s="42">
        <f>'1kpi_performance'!E50</f>
        <v>-0.191709369</v>
      </c>
      <c r="AP50" s="42">
        <f>'1kpi_performance'!F50</f>
        <v>0.4177548315</v>
      </c>
      <c r="AQ50" s="42">
        <f>'1kpi_performance'!G50</f>
        <v>0.3915208222</v>
      </c>
      <c r="AR50" s="42">
        <f>'1kpi_performance'!H50</f>
        <v>0.4076969584</v>
      </c>
      <c r="AS50" s="42">
        <f>'1kpi_performance'!I50</f>
        <v>0.6108037009</v>
      </c>
      <c r="AT50" s="35">
        <f>'1kpi_performance'!J50</f>
        <v>1.956739387</v>
      </c>
      <c r="AU50" s="35">
        <f>'1kpi_performance'!K50</f>
        <v>2.661427665</v>
      </c>
      <c r="AV50" s="35">
        <f>'1kpi_performance'!L50</f>
        <v>2.237697478</v>
      </c>
      <c r="AW50" s="35">
        <f>'1kpi_performance'!M50</f>
        <v>-0.3547938048</v>
      </c>
      <c r="AX50" s="42">
        <f>'1kpi_performance'!N50</f>
        <v>0.3112584064</v>
      </c>
      <c r="AY50" s="42">
        <f>'1kpi_performance'!O50</f>
        <v>0.180785309</v>
      </c>
      <c r="AZ50" s="42">
        <f>'1kpi_performance'!P50</f>
        <v>0.5099469063</v>
      </c>
      <c r="BA50" s="42">
        <f>'1kpi_performance'!Q50</f>
        <v>0.969858289</v>
      </c>
      <c r="BB50" s="35">
        <f>'1kpi_performance'!R50</f>
        <v>4.680829342</v>
      </c>
      <c r="BC50" s="35">
        <f>'1kpi_performance'!S50</f>
        <v>6.777060846</v>
      </c>
      <c r="BD50" s="35">
        <f>'1kpi_performance'!T50</f>
        <v>5.146574901</v>
      </c>
      <c r="BE50" s="35">
        <f>'1kpi_performance'!U50</f>
        <v>-0.6611526711</v>
      </c>
      <c r="BF50" s="47"/>
      <c r="BG50" s="47"/>
      <c r="BH50" s="47"/>
      <c r="BI50" s="47"/>
      <c r="BJ50" s="47"/>
      <c r="BK50" s="47"/>
      <c r="BL50" s="47"/>
      <c r="BM50" s="47"/>
      <c r="BN50" s="47"/>
      <c r="BO50" s="47"/>
      <c r="BP50" s="47"/>
      <c r="BQ50" s="47"/>
      <c r="BR50" s="47"/>
      <c r="BS50" s="47"/>
      <c r="BT50" s="47"/>
    </row>
    <row r="51" ht="11.25" customHeight="1">
      <c r="A51" s="35" t="str">
        <f>'13all_company_profile'!A51</f>
        <v>APD</v>
      </c>
      <c r="B51" s="35" t="str">
        <f>'13all_company_profile'!B51</f>
        <v>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v>
      </c>
      <c r="C51" s="44" t="str">
        <f>'13all_company_profile'!C51</f>
        <v>https://financialmodelingprep.com/image-stock/APD.png</v>
      </c>
      <c r="D51" s="35" t="str">
        <f>'13all_company_profile'!D51</f>
        <v>Air Products and Chemicals, Inc.</v>
      </c>
      <c r="E51" s="36">
        <f>'13all_company_profile'!E51</f>
        <v>63738433536</v>
      </c>
      <c r="F51" s="37">
        <f>'13all_company_profile'!F51</f>
        <v>841133</v>
      </c>
      <c r="G51" s="35">
        <f>'13all_company_profile'!G51</f>
        <v>5.68</v>
      </c>
      <c r="H51" s="38">
        <f>'13all_company_profile'!H51</f>
        <v>44398</v>
      </c>
      <c r="I51" s="35">
        <f>'13all_company_profile'!I51</f>
        <v>33.68607</v>
      </c>
      <c r="J51" s="35">
        <f>'13all_company_profile'!J51</f>
        <v>8.486</v>
      </c>
      <c r="K51" s="42">
        <f t="shared" si="1"/>
        <v>0.01986361252</v>
      </c>
      <c r="L51" s="35">
        <f>'7company_info'!B51</f>
        <v>285.95</v>
      </c>
      <c r="M51" s="35">
        <f>'7company_info'!C51</f>
        <v>289.86</v>
      </c>
      <c r="N51" s="35">
        <f>'7company_info'!D51</f>
        <v>282.2</v>
      </c>
      <c r="O51" s="35">
        <f>'7company_info'!E51</f>
        <v>3.85</v>
      </c>
      <c r="P51" s="35">
        <f>'7company_info'!F51</f>
        <v>0.0136</v>
      </c>
      <c r="Q51" s="35">
        <f>'7company_info'!G51</f>
        <v>283.02</v>
      </c>
      <c r="R51" s="35">
        <f>'7company_info'!H51</f>
        <v>282.1</v>
      </c>
      <c r="S51" s="35">
        <f>'7company_info'!I51</f>
        <v>245.75</v>
      </c>
      <c r="T51" s="35">
        <f>'7company_info'!J51</f>
        <v>327.89</v>
      </c>
      <c r="U51" s="39">
        <v>289.056666666666</v>
      </c>
      <c r="V51" s="39">
        <v>290.353333333333</v>
      </c>
      <c r="W51" s="40">
        <v>292.566666666666</v>
      </c>
      <c r="X51" s="40">
        <v>296.076666666666</v>
      </c>
      <c r="Y51" s="40">
        <v>286.843333333333</v>
      </c>
      <c r="Z51" s="40">
        <v>285.546666666666</v>
      </c>
      <c r="AA51" s="40">
        <v>282.036666666666</v>
      </c>
      <c r="AB51" s="40">
        <v>288.42</v>
      </c>
      <c r="AC51" s="40">
        <v>289.09</v>
      </c>
      <c r="AD51" s="40">
        <v>291.449883136202</v>
      </c>
      <c r="AE51" s="40">
        <v>279.84351</v>
      </c>
      <c r="AF51" s="40">
        <v>4.49424499999999</v>
      </c>
      <c r="AG51" s="40">
        <v>306.06</v>
      </c>
      <c r="AH51" s="45">
        <v>44349.0</v>
      </c>
      <c r="AI51" s="44" t="str">
        <f>'6image_RS_benchmark_performance'!B51</f>
        <v>https://3arbzfbsh-cname-us.ngrok.io/Desktop/seabridge%20fintech/image_app/APD_resistance_support.jpg</v>
      </c>
      <c r="AJ51" s="44" t="str">
        <f>'6image_RS_benchmark_performance'!C51</f>
        <v>https://3arbzfbsh-cname-us.ngrok.io/Desktop/seabridge%20fintech/profit_graph_app/APD_Return.jpg</v>
      </c>
      <c r="AK51" s="46" t="str">
        <f>'5price_action_icon'!B51</f>
        <v>https://3arbzfbsh-cname-us.ngrok.io/Desktop/seabridge%20fintech/icon/APD_pa_trend_signal</v>
      </c>
      <c r="AL51" s="42">
        <f>'1kpi_performance'!B51</f>
        <v>0.4485402274</v>
      </c>
      <c r="AM51" s="42">
        <f>'1kpi_performance'!C51</f>
        <v>0.5905790172</v>
      </c>
      <c r="AN51" s="42">
        <f>'1kpi_performance'!D51</f>
        <v>0.4793771367</v>
      </c>
      <c r="AO51" s="42">
        <f>'1kpi_performance'!E51</f>
        <v>0.1849237141</v>
      </c>
      <c r="AP51" s="42">
        <f>'1kpi_performance'!F51</f>
        <v>0.1885289428</v>
      </c>
      <c r="AQ51" s="42">
        <f>'1kpi_performance'!G51</f>
        <v>0.1869314142</v>
      </c>
      <c r="AR51" s="42">
        <f>'1kpi_performance'!H51</f>
        <v>0.1858334628</v>
      </c>
      <c r="AS51" s="42">
        <f>'1kpi_performance'!I51</f>
        <v>0.2826734306</v>
      </c>
      <c r="AT51" s="35">
        <f>'1kpi_performance'!J51</f>
        <v>2.246552816</v>
      </c>
      <c r="AU51" s="35">
        <f>'1kpi_performance'!K51</f>
        <v>3.025596419</v>
      </c>
      <c r="AV51" s="35">
        <f>'1kpi_performance'!L51</f>
        <v>2.445077059</v>
      </c>
      <c r="AW51" s="35">
        <f>'1kpi_performance'!M51</f>
        <v>0.5657543186</v>
      </c>
      <c r="AX51" s="42">
        <f>'1kpi_performance'!N51</f>
        <v>0.1533759115</v>
      </c>
      <c r="AY51" s="42">
        <f>'1kpi_performance'!O51</f>
        <v>0.1533759115</v>
      </c>
      <c r="AZ51" s="42">
        <f>'1kpi_performance'!P51</f>
        <v>0.2255892121</v>
      </c>
      <c r="BA51" s="42">
        <f>'1kpi_performance'!Q51</f>
        <v>0.3096754033</v>
      </c>
      <c r="BB51" s="35">
        <f>'1kpi_performance'!R51</f>
        <v>4.74371729</v>
      </c>
      <c r="BC51" s="35">
        <f>'1kpi_performance'!S51</f>
        <v>6.946220115</v>
      </c>
      <c r="BD51" s="35">
        <f>'1kpi_performance'!T51</f>
        <v>5.052379544</v>
      </c>
      <c r="BE51" s="35">
        <f>'1kpi_performance'!U51</f>
        <v>1.09486795</v>
      </c>
      <c r="BF51" s="47"/>
      <c r="BG51" s="47"/>
      <c r="BH51" s="47"/>
      <c r="BI51" s="47"/>
      <c r="BJ51" s="47"/>
      <c r="BK51" s="47"/>
      <c r="BL51" s="47"/>
      <c r="BM51" s="47"/>
      <c r="BN51" s="47"/>
      <c r="BO51" s="47"/>
      <c r="BP51" s="47"/>
      <c r="BQ51" s="47"/>
      <c r="BR51" s="47"/>
      <c r="BS51" s="47"/>
      <c r="BT51" s="47"/>
    </row>
    <row r="52" ht="11.25" customHeight="1">
      <c r="A52" s="35" t="str">
        <f>'13all_company_profile'!A52</f>
        <v>APH</v>
      </c>
      <c r="B52" s="35" t="str">
        <f>'13all_company_profile'!B52</f>
        <v>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v>
      </c>
      <c r="C52" s="44" t="str">
        <f>'13all_company_profile'!C52</f>
        <v>https://financialmodelingprep.com/image-stock/APH.png</v>
      </c>
      <c r="D52" s="35" t="str">
        <f>'13all_company_profile'!D52</f>
        <v>Amphenol Corporation</v>
      </c>
      <c r="E52" s="36">
        <f>'13all_company_profile'!E52</f>
        <v>41319170048</v>
      </c>
      <c r="F52" s="37">
        <f>'13all_company_profile'!F52</f>
        <v>2576382</v>
      </c>
      <c r="G52" s="35">
        <f>'13all_company_profile'!G52</f>
        <v>0.85</v>
      </c>
      <c r="H52" s="38">
        <f>'13all_company_profile'!H52</f>
        <v>44397</v>
      </c>
      <c r="I52" s="35">
        <f>'13all_company_profile'!I52</f>
        <v>32.757793</v>
      </c>
      <c r="J52" s="35">
        <f>'13all_company_profile'!J52</f>
        <v>2.085</v>
      </c>
      <c r="K52" s="42">
        <f t="shared" si="1"/>
        <v>0.0123888646</v>
      </c>
      <c r="L52" s="35">
        <f>'7company_info'!B52</f>
        <v>68.61</v>
      </c>
      <c r="M52" s="35">
        <f>'7company_info'!C52</f>
        <v>68.93</v>
      </c>
      <c r="N52" s="35">
        <f>'7company_info'!D52</f>
        <v>67.49</v>
      </c>
      <c r="O52" s="35">
        <f>'7company_info'!E52</f>
        <v>1.22</v>
      </c>
      <c r="P52" s="35">
        <f>'7company_info'!F52</f>
        <v>0.0181</v>
      </c>
      <c r="Q52" s="35">
        <f>'7company_info'!G52</f>
        <v>67.79</v>
      </c>
      <c r="R52" s="35">
        <f>'7company_info'!H52</f>
        <v>67.39</v>
      </c>
      <c r="S52" s="35">
        <f>'7company_info'!I52</f>
        <v>50.3</v>
      </c>
      <c r="T52" s="35">
        <f>'7company_info'!J52</f>
        <v>71.05</v>
      </c>
      <c r="U52" s="39">
        <v>70.17</v>
      </c>
      <c r="V52" s="39">
        <v>70.73</v>
      </c>
      <c r="W52" s="40">
        <v>71.61</v>
      </c>
      <c r="X52" s="40">
        <v>73.05</v>
      </c>
      <c r="Y52" s="40">
        <v>69.29</v>
      </c>
      <c r="Z52" s="40">
        <v>68.73</v>
      </c>
      <c r="AA52" s="40">
        <v>67.29</v>
      </c>
      <c r="AB52" s="40">
        <v>68.77</v>
      </c>
      <c r="AC52" s="40">
        <v>71.05</v>
      </c>
      <c r="AD52" s="40">
        <v>68.9611791848984</v>
      </c>
      <c r="AE52" s="40">
        <v>67.91625</v>
      </c>
      <c r="AF52" s="40">
        <v>1.055875</v>
      </c>
      <c r="AG52" s="40">
        <v>69.62</v>
      </c>
      <c r="AH52" s="45">
        <v>44312.0</v>
      </c>
      <c r="AI52" s="44" t="str">
        <f>'6image_RS_benchmark_performance'!B52</f>
        <v>https://3arbzfbsh-cname-us.ngrok.io/Desktop/seabridge%20fintech/image_app/APH_resistance_support.jpg</v>
      </c>
      <c r="AJ52" s="44" t="str">
        <f>'6image_RS_benchmark_performance'!C52</f>
        <v>https://3arbzfbsh-cname-us.ngrok.io/Desktop/seabridge%20fintech/profit_graph_app/APH_Return.jpg</v>
      </c>
      <c r="AK52" s="46" t="str">
        <f>'5price_action_icon'!B52</f>
        <v>https://3arbzfbsh-cname-us.ngrok.io/Desktop/seabridge%20fintech/icon/APH_pa_trend_signal</v>
      </c>
      <c r="AL52" s="42">
        <f>'1kpi_performance'!B52</f>
        <v>0.5340539651</v>
      </c>
      <c r="AM52" s="42">
        <f>'1kpi_performance'!C52</f>
        <v>0.7692322862</v>
      </c>
      <c r="AN52" s="42">
        <f>'1kpi_performance'!D52</f>
        <v>0.5417103094</v>
      </c>
      <c r="AO52" s="42">
        <f>'1kpi_performance'!E52</f>
        <v>0.2644778071</v>
      </c>
      <c r="AP52" s="42">
        <f>'1kpi_performance'!F52</f>
        <v>0.2071015025</v>
      </c>
      <c r="AQ52" s="42">
        <f>'1kpi_performance'!G52</f>
        <v>0.2130351836</v>
      </c>
      <c r="AR52" s="42">
        <f>'1kpi_performance'!H52</f>
        <v>0.213264266</v>
      </c>
      <c r="AS52" s="42">
        <f>'1kpi_performance'!I52</f>
        <v>0.300200006</v>
      </c>
      <c r="AT52" s="35">
        <f>'1kpi_performance'!J52</f>
        <v>2.457992621</v>
      </c>
      <c r="AU52" s="35">
        <f>'1kpi_performance'!K52</f>
        <v>3.493471237</v>
      </c>
      <c r="AV52" s="35">
        <f>'1kpi_performance'!L52</f>
        <v>2.422863985</v>
      </c>
      <c r="AW52" s="35">
        <f>'1kpi_performance'!M52</f>
        <v>0.7977275227</v>
      </c>
      <c r="AX52" s="42">
        <f>'1kpi_performance'!N52</f>
        <v>0.1629698712</v>
      </c>
      <c r="AY52" s="42">
        <f>'1kpi_performance'!O52</f>
        <v>0.1357837565</v>
      </c>
      <c r="AZ52" s="42">
        <f>'1kpi_performance'!P52</f>
        <v>0.3551699596</v>
      </c>
      <c r="BA52" s="42">
        <f>'1kpi_performance'!Q52</f>
        <v>0.377538938</v>
      </c>
      <c r="BB52" s="35">
        <f>'1kpi_performance'!R52</f>
        <v>5.177216029</v>
      </c>
      <c r="BC52" s="35">
        <f>'1kpi_performance'!S52</f>
        <v>8.446422973</v>
      </c>
      <c r="BD52" s="35">
        <f>'1kpi_performance'!T52</f>
        <v>4.925698195</v>
      </c>
      <c r="BE52" s="35">
        <f>'1kpi_performance'!U52</f>
        <v>1.561334966</v>
      </c>
      <c r="BF52" s="47"/>
      <c r="BG52" s="47"/>
      <c r="BH52" s="47"/>
      <c r="BI52" s="47"/>
      <c r="BJ52" s="47"/>
      <c r="BK52" s="47"/>
      <c r="BL52" s="47"/>
      <c r="BM52" s="47"/>
      <c r="BN52" s="47"/>
      <c r="BO52" s="47"/>
      <c r="BP52" s="47"/>
      <c r="BQ52" s="47"/>
      <c r="BR52" s="47"/>
      <c r="BS52" s="47"/>
      <c r="BT52" s="47"/>
    </row>
    <row r="53" ht="11.25" customHeight="1">
      <c r="A53" s="35" t="str">
        <f>'13all_company_profile'!A53</f>
        <v>APO</v>
      </c>
      <c r="B53" s="35" t="str">
        <f>'13all_company_profile'!B53</f>
        <v>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v>
      </c>
      <c r="C53" s="44" t="str">
        <f>'13all_company_profile'!C53</f>
        <v>https://financialmodelingprep.com/image-stock/APO.png</v>
      </c>
      <c r="D53" s="35" t="str">
        <f>'13all_company_profile'!D53</f>
        <v>Apollo Global Management, Inc.</v>
      </c>
      <c r="E53" s="36">
        <f>'13all_company_profile'!E53</f>
        <v>13813688320</v>
      </c>
      <c r="F53" s="37">
        <f>'13all_company_profile'!F53</f>
        <v>2379776</v>
      </c>
      <c r="G53" s="35">
        <f>'13all_company_profile'!G53</f>
        <v>2.1</v>
      </c>
      <c r="H53" s="38">
        <f>'13all_company_profile'!H53</f>
        <v>44405</v>
      </c>
      <c r="I53" s="35">
        <f>'13all_company_profile'!I53</f>
        <v>7.3663034</v>
      </c>
      <c r="J53" s="35">
        <f>'13all_company_profile'!J53</f>
        <v>7.704</v>
      </c>
      <c r="K53" s="42">
        <f t="shared" si="1"/>
        <v>0.03656625457</v>
      </c>
      <c r="L53" s="35">
        <f>'7company_info'!B53</f>
        <v>57.43</v>
      </c>
      <c r="M53" s="35">
        <f>'7company_info'!C53</f>
        <v>58.09</v>
      </c>
      <c r="N53" s="35">
        <f>'7company_info'!D53</f>
        <v>56.19</v>
      </c>
      <c r="O53" s="35">
        <f>'7company_info'!E53</f>
        <v>1.22</v>
      </c>
      <c r="P53" s="35">
        <f>'7company_info'!F53</f>
        <v>0.0217</v>
      </c>
      <c r="Q53" s="35">
        <f>'7company_info'!G53</f>
        <v>56.19</v>
      </c>
      <c r="R53" s="35">
        <f>'7company_info'!H53</f>
        <v>56.21</v>
      </c>
      <c r="S53" s="35">
        <f>'7company_info'!I53</f>
        <v>36.35</v>
      </c>
      <c r="T53" s="35">
        <f>'7company_info'!J53</f>
        <v>64.45</v>
      </c>
      <c r="U53" s="39">
        <v>60.0283333333333</v>
      </c>
      <c r="V53" s="39">
        <v>60.4816666666666</v>
      </c>
      <c r="W53" s="40">
        <v>60.9533333333333</v>
      </c>
      <c r="X53" s="40">
        <v>61.8783333333333</v>
      </c>
      <c r="Y53" s="40">
        <v>59.5566666666666</v>
      </c>
      <c r="Z53" s="40">
        <v>59.1033333333333</v>
      </c>
      <c r="AA53" s="40">
        <v>58.1783333333333</v>
      </c>
      <c r="AB53" s="40">
        <v>60.16</v>
      </c>
      <c r="AC53" s="40">
        <v>64.45</v>
      </c>
      <c r="AD53" s="40">
        <v>60.5068453217378</v>
      </c>
      <c r="AE53" s="40">
        <v>56.87623</v>
      </c>
      <c r="AF53" s="40">
        <v>1.504475</v>
      </c>
      <c r="AG53" s="40">
        <v>64.45</v>
      </c>
      <c r="AH53" s="45">
        <v>44383.0</v>
      </c>
      <c r="AI53" s="44" t="str">
        <f>'6image_RS_benchmark_performance'!B53</f>
        <v>https://3arbzfbsh-cname-us.ngrok.io/Desktop/seabridge%20fintech/image_app/APO_resistance_support.jpg</v>
      </c>
      <c r="AJ53" s="44" t="str">
        <f>'6image_RS_benchmark_performance'!C53</f>
        <v>https://3arbzfbsh-cname-us.ngrok.io/Desktop/seabridge%20fintech/profit_graph_app/APO_Return.jpg</v>
      </c>
      <c r="AK53" s="46" t="str">
        <f>'5price_action_icon'!B53</f>
        <v>https://3arbzfbsh-cname-us.ngrok.io/Desktop/seabridge%20fintech/icon/APO_pa_trend_signal</v>
      </c>
      <c r="AL53" s="42">
        <f>'1kpi_performance'!B53</f>
        <v>0.7014395603</v>
      </c>
      <c r="AM53" s="42">
        <f>'1kpi_performance'!C53</f>
        <v>0.9038459643</v>
      </c>
      <c r="AN53" s="42">
        <f>'1kpi_performance'!D53</f>
        <v>0.8118747026</v>
      </c>
      <c r="AO53" s="42">
        <f>'1kpi_performance'!E53</f>
        <v>0.2027993761</v>
      </c>
      <c r="AP53" s="42">
        <f>'1kpi_performance'!F53</f>
        <v>0.2894905745</v>
      </c>
      <c r="AQ53" s="42">
        <f>'1kpi_performance'!G53</f>
        <v>0.295391224</v>
      </c>
      <c r="AR53" s="42">
        <f>'1kpi_performance'!H53</f>
        <v>0.2672486956</v>
      </c>
      <c r="AS53" s="42">
        <f>'1kpi_performance'!I53</f>
        <v>0.4278210801</v>
      </c>
      <c r="AT53" s="35">
        <f>'1kpi_performance'!J53</f>
        <v>2.336654868</v>
      </c>
      <c r="AU53" s="35">
        <f>'1kpi_performance'!K53</f>
        <v>2.975193211</v>
      </c>
      <c r="AV53" s="35">
        <f>'1kpi_performance'!L53</f>
        <v>2.944353763</v>
      </c>
      <c r="AW53" s="35">
        <f>'1kpi_performance'!M53</f>
        <v>0.4155928362</v>
      </c>
      <c r="AX53" s="42">
        <f>'1kpi_performance'!N53</f>
        <v>0.2703734748</v>
      </c>
      <c r="AY53" s="42">
        <f>'1kpi_performance'!O53</f>
        <v>0.2053050398</v>
      </c>
      <c r="AZ53" s="42">
        <f>'1kpi_performance'!P53</f>
        <v>0.2226762447</v>
      </c>
      <c r="BA53" s="42">
        <f>'1kpi_performance'!Q53</f>
        <v>0.6316004912</v>
      </c>
      <c r="BB53" s="35">
        <f>'1kpi_performance'!R53</f>
        <v>5.0699329</v>
      </c>
      <c r="BC53" s="35">
        <f>'1kpi_performance'!S53</f>
        <v>6.723001121</v>
      </c>
      <c r="BD53" s="35">
        <f>'1kpi_performance'!T53</f>
        <v>6.793180983</v>
      </c>
      <c r="BE53" s="35">
        <f>'1kpi_performance'!U53</f>
        <v>0.8305130213</v>
      </c>
      <c r="BF53" s="47"/>
      <c r="BG53" s="47"/>
      <c r="BH53" s="47"/>
      <c r="BI53" s="47"/>
      <c r="BJ53" s="47"/>
      <c r="BK53" s="47"/>
      <c r="BL53" s="47"/>
      <c r="BM53" s="47"/>
      <c r="BN53" s="47"/>
      <c r="BO53" s="47"/>
      <c r="BP53" s="47"/>
      <c r="BQ53" s="47"/>
      <c r="BR53" s="47"/>
      <c r="BS53" s="47"/>
      <c r="BT53" s="47"/>
    </row>
    <row r="54" ht="11.25" customHeight="1">
      <c r="A54" s="35" t="str">
        <f>'13all_company_profile'!A54</f>
        <v>APPS</v>
      </c>
      <c r="B54" s="35" t="str">
        <f>'13all_company_profile'!B54</f>
        <v>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v>
      </c>
      <c r="C54" s="44" t="str">
        <f>'13all_company_profile'!C54</f>
        <v>https://financialmodelingprep.com/image-stock/APPS.png</v>
      </c>
      <c r="D54" s="35" t="str">
        <f>'13all_company_profile'!D54</f>
        <v>Digital Turbine, Inc.</v>
      </c>
      <c r="E54" s="36">
        <f>'13all_company_profile'!E54</f>
        <v>5629748736</v>
      </c>
      <c r="F54" s="37">
        <f>'13all_company_profile'!F54</f>
        <v>3154028</v>
      </c>
      <c r="G54" s="35">
        <f>'13all_company_profile'!G54</f>
        <v>0</v>
      </c>
      <c r="H54" s="38">
        <f>'13all_company_profile'!H54</f>
        <v>44411</v>
      </c>
      <c r="I54" s="35">
        <f>'13all_company_profile'!I54</f>
        <v>104.38596</v>
      </c>
      <c r="J54" s="35">
        <f>'13all_company_profile'!J54</f>
        <v>0.57</v>
      </c>
      <c r="K54" s="42" t="str">
        <f t="shared" si="1"/>
        <v>NaN</v>
      </c>
      <c r="L54" s="35">
        <f>'7company_info'!B54</f>
        <v>62.05</v>
      </c>
      <c r="M54" s="35">
        <f>'7company_info'!C54</f>
        <v>62.97</v>
      </c>
      <c r="N54" s="35">
        <f>'7company_info'!D54</f>
        <v>59.51</v>
      </c>
      <c r="O54" s="35">
        <f>'7company_info'!E54</f>
        <v>0.61</v>
      </c>
      <c r="P54" s="35">
        <f>'7company_info'!F54</f>
        <v>0.0099</v>
      </c>
      <c r="Q54" s="35">
        <f>'7company_info'!G54</f>
        <v>61.9</v>
      </c>
      <c r="R54" s="35">
        <f>'7company_info'!H54</f>
        <v>61.44</v>
      </c>
      <c r="S54" s="35">
        <f>'7company_info'!I54</f>
        <v>11.79</v>
      </c>
      <c r="T54" s="35">
        <f>'7company_info'!J54</f>
        <v>102.56</v>
      </c>
      <c r="U54" s="39">
        <v>62.3766666666666</v>
      </c>
      <c r="V54" s="39">
        <v>64.6433333333333</v>
      </c>
      <c r="W54" s="40">
        <v>68.2666666666666</v>
      </c>
      <c r="X54" s="40">
        <v>74.1566666666666</v>
      </c>
      <c r="Y54" s="40">
        <v>58.7533333333333</v>
      </c>
      <c r="Z54" s="40">
        <v>56.4866666666666</v>
      </c>
      <c r="AA54" s="40">
        <v>50.5966666666666</v>
      </c>
      <c r="AB54" s="40">
        <v>67.76</v>
      </c>
      <c r="AC54" s="40">
        <v>65.369</v>
      </c>
      <c r="AD54" s="40">
        <v>68.5053766992709</v>
      </c>
      <c r="AE54" s="40">
        <v>56.1579299999999</v>
      </c>
      <c r="AF54" s="40">
        <v>4.33554</v>
      </c>
      <c r="AG54" s="40">
        <v>102.5599</v>
      </c>
      <c r="AH54" s="45">
        <v>44257.0</v>
      </c>
      <c r="AI54" s="44" t="str">
        <f>'6image_RS_benchmark_performance'!B54</f>
        <v>https://3arbzfbsh-cname-us.ngrok.io/Desktop/seabridge%20fintech/image_app/APPS_resistance_support.jpg</v>
      </c>
      <c r="AJ54" s="44" t="str">
        <f>'6image_RS_benchmark_performance'!C54</f>
        <v>https://3arbzfbsh-cname-us.ngrok.io/Desktop/seabridge%20fintech/profit_graph_app/APPS_Return.jpg</v>
      </c>
      <c r="AK54" s="46" t="str">
        <f>'5price_action_icon'!B54</f>
        <v>https://3arbzfbsh-cname-us.ngrok.io/Desktop/seabridge%20fintech/icon/APPS_pa_trend_signal</v>
      </c>
      <c r="AL54" s="42">
        <f>'1kpi_performance'!B54</f>
        <v>2.253869577</v>
      </c>
      <c r="AM54" s="42">
        <f>'1kpi_performance'!C54</f>
        <v>2.565240343</v>
      </c>
      <c r="AN54" s="42">
        <f>'1kpi_performance'!D54</f>
        <v>2.313029351</v>
      </c>
      <c r="AO54" s="42">
        <f>'1kpi_performance'!E54</f>
        <v>0.6075498935</v>
      </c>
      <c r="AP54" s="42">
        <f>'1kpi_performance'!F54</f>
        <v>0.8231842414</v>
      </c>
      <c r="AQ54" s="42">
        <f>'1kpi_performance'!G54</f>
        <v>0.8394550679</v>
      </c>
      <c r="AR54" s="42">
        <f>'1kpi_performance'!H54</f>
        <v>0.8368553182</v>
      </c>
      <c r="AS54" s="42">
        <f>'1kpi_performance'!I54</f>
        <v>1.105075526</v>
      </c>
      <c r="AT54" s="35">
        <f>'1kpi_performance'!J54</f>
        <v>2.707619345</v>
      </c>
      <c r="AU54" s="35">
        <f>'1kpi_performance'!K54</f>
        <v>3.026058737</v>
      </c>
      <c r="AV54" s="35">
        <f>'1kpi_performance'!L54</f>
        <v>2.734079955</v>
      </c>
      <c r="AW54" s="35">
        <f>'1kpi_performance'!M54</f>
        <v>0.5271584429</v>
      </c>
      <c r="AX54" s="42">
        <f>'1kpi_performance'!N54</f>
        <v>0.5555555556</v>
      </c>
      <c r="AY54" s="42">
        <f>'1kpi_performance'!O54</f>
        <v>0.5555555556</v>
      </c>
      <c r="AZ54" s="42">
        <f>'1kpi_performance'!P54</f>
        <v>0.5192697769</v>
      </c>
      <c r="BA54" s="42">
        <f>'1kpi_performance'!Q54</f>
        <v>0.8997283531</v>
      </c>
      <c r="BB54" s="35">
        <f>'1kpi_performance'!R54</f>
        <v>6.271588557</v>
      </c>
      <c r="BC54" s="35">
        <f>'1kpi_performance'!S54</f>
        <v>7.290058759</v>
      </c>
      <c r="BD54" s="35">
        <f>'1kpi_performance'!T54</f>
        <v>6.495634864</v>
      </c>
      <c r="BE54" s="35">
        <f>'1kpi_performance'!U54</f>
        <v>1.168847089</v>
      </c>
      <c r="BF54" s="47"/>
      <c r="BG54" s="47"/>
      <c r="BH54" s="47"/>
      <c r="BI54" s="47"/>
      <c r="BJ54" s="47"/>
      <c r="BK54" s="47"/>
      <c r="BL54" s="47"/>
      <c r="BM54" s="47"/>
      <c r="BN54" s="47"/>
      <c r="BO54" s="47"/>
      <c r="BP54" s="47"/>
      <c r="BQ54" s="47"/>
      <c r="BR54" s="47"/>
      <c r="BS54" s="47"/>
      <c r="BT54" s="47"/>
    </row>
    <row r="55" ht="11.25" customHeight="1">
      <c r="A55" s="35" t="str">
        <f>'13all_company_profile'!A55</f>
        <v>APTV</v>
      </c>
      <c r="B55" s="35" t="str">
        <f>'13all_company_profile'!B55</f>
        <v>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v>
      </c>
      <c r="C55" s="44" t="str">
        <f>'13all_company_profile'!C55</f>
        <v>https://financialmodelingprep.com/image-stock/APTV.png</v>
      </c>
      <c r="D55" s="35" t="str">
        <f>'13all_company_profile'!D55</f>
        <v>Aptiv PLC</v>
      </c>
      <c r="E55" s="36">
        <f>'13all_company_profile'!E55</f>
        <v>41499844608</v>
      </c>
      <c r="F55" s="37">
        <f>'13all_company_profile'!F55</f>
        <v>1339044</v>
      </c>
      <c r="G55" s="35">
        <f>'13all_company_profile'!G55</f>
        <v>0.22</v>
      </c>
      <c r="H55" s="38">
        <f>'13all_company_profile'!H55</f>
        <v>44405</v>
      </c>
      <c r="I55" s="35">
        <f>'13all_company_profile'!I55</f>
        <v>84.12177</v>
      </c>
      <c r="J55" s="35">
        <f>'13all_company_profile'!J55</f>
        <v>1.782</v>
      </c>
      <c r="K55" s="42">
        <f t="shared" si="1"/>
        <v>0.001436500163</v>
      </c>
      <c r="L55" s="35">
        <f>'7company_info'!B55</f>
        <v>153.15</v>
      </c>
      <c r="M55" s="35">
        <f>'7company_info'!C55</f>
        <v>153.83</v>
      </c>
      <c r="N55" s="35">
        <f>'7company_info'!D55</f>
        <v>146.84</v>
      </c>
      <c r="O55" s="35">
        <f>'7company_info'!E55</f>
        <v>5.98</v>
      </c>
      <c r="P55" s="35">
        <f>'7company_info'!F55</f>
        <v>0.0406</v>
      </c>
      <c r="Q55" s="35">
        <f>'7company_info'!G55</f>
        <v>148.15</v>
      </c>
      <c r="R55" s="35">
        <f>'7company_info'!H55</f>
        <v>147.17</v>
      </c>
      <c r="S55" s="35">
        <f>'7company_info'!I55</f>
        <v>76.18</v>
      </c>
      <c r="T55" s="35">
        <f>'7company_info'!J55</f>
        <v>160.53</v>
      </c>
      <c r="U55" s="39">
        <v>156.496666666666</v>
      </c>
      <c r="V55" s="39">
        <v>158.543333333333</v>
      </c>
      <c r="W55" s="40">
        <v>161.276666666666</v>
      </c>
      <c r="X55" s="40">
        <v>166.056666666666</v>
      </c>
      <c r="Y55" s="40">
        <v>153.763333333333</v>
      </c>
      <c r="Z55" s="40">
        <v>151.716666666666</v>
      </c>
      <c r="AA55" s="40">
        <v>146.936666666666</v>
      </c>
      <c r="AB55" s="40">
        <v>147.865</v>
      </c>
      <c r="AC55" s="40">
        <v>160.53</v>
      </c>
      <c r="AD55" s="40">
        <v>155.170337177456</v>
      </c>
      <c r="AE55" s="40">
        <v>150.2137</v>
      </c>
      <c r="AF55" s="40">
        <v>3.83925</v>
      </c>
      <c r="AG55" s="40">
        <v>160.53</v>
      </c>
      <c r="AH55" s="45">
        <v>44379.0</v>
      </c>
      <c r="AI55" s="44" t="str">
        <f>'6image_RS_benchmark_performance'!B55</f>
        <v>https://3arbzfbsh-cname-us.ngrok.io/Desktop/seabridge%20fintech/image_app/APTV_resistance_support.jpg</v>
      </c>
      <c r="AJ55" s="44" t="str">
        <f>'6image_RS_benchmark_performance'!C55</f>
        <v>https://3arbzfbsh-cname-us.ngrok.io/Desktop/seabridge%20fintech/profit_graph_app/APTV_Return.jpg</v>
      </c>
      <c r="AK55" s="46" t="str">
        <f>'5price_action_icon'!B55</f>
        <v>https://3arbzfbsh-cname-us.ngrok.io/Desktop/seabridge%20fintech/icon/APTV_pa_trend_signal</v>
      </c>
      <c r="AL55" s="42">
        <f>'1kpi_performance'!B55</f>
        <v>0.7578122307</v>
      </c>
      <c r="AM55" s="42">
        <f>'1kpi_performance'!C55</f>
        <v>1.182142683</v>
      </c>
      <c r="AN55" s="42">
        <f>'1kpi_performance'!D55</f>
        <v>0.8667827205</v>
      </c>
      <c r="AO55" s="42">
        <f>'1kpi_performance'!E55</f>
        <v>0.3788490695</v>
      </c>
      <c r="AP55" s="42">
        <f>'1kpi_performance'!F55</f>
        <v>0.2721955638</v>
      </c>
      <c r="AQ55" s="42">
        <f>'1kpi_performance'!G55</f>
        <v>0.2717216936</v>
      </c>
      <c r="AR55" s="42">
        <f>'1kpi_performance'!H55</f>
        <v>0.3294911509</v>
      </c>
      <c r="AS55" s="42">
        <f>'1kpi_performance'!I55</f>
        <v>0.4214853984</v>
      </c>
      <c r="AT55" s="35">
        <f>'1kpi_performance'!J55</f>
        <v>2.692226943</v>
      </c>
      <c r="AU55" s="35">
        <f>'1kpi_performance'!K55</f>
        <v>4.258558334</v>
      </c>
      <c r="AV55" s="35">
        <f>'1kpi_performance'!L55</f>
        <v>2.55479614</v>
      </c>
      <c r="AW55" s="35">
        <f>'1kpi_performance'!M55</f>
        <v>0.8395286546</v>
      </c>
      <c r="AX55" s="42">
        <f>'1kpi_performance'!N55</f>
        <v>0.2168958032</v>
      </c>
      <c r="AY55" s="42">
        <f>'1kpi_performance'!O55</f>
        <v>0.2168958032</v>
      </c>
      <c r="AZ55" s="42">
        <f>'1kpi_performance'!P55</f>
        <v>0.6366294812</v>
      </c>
      <c r="BA55" s="42">
        <f>'1kpi_performance'!Q55</f>
        <v>0.6740503255</v>
      </c>
      <c r="BB55" s="35">
        <f>'1kpi_performance'!R55</f>
        <v>5.734558635</v>
      </c>
      <c r="BC55" s="35">
        <f>'1kpi_performance'!S55</f>
        <v>10.34291596</v>
      </c>
      <c r="BD55" s="35">
        <f>'1kpi_performance'!T55</f>
        <v>4.749629503</v>
      </c>
      <c r="BE55" s="35">
        <f>'1kpi_performance'!U55</f>
        <v>1.558868243</v>
      </c>
      <c r="BF55" s="47"/>
      <c r="BG55" s="47"/>
      <c r="BH55" s="47"/>
      <c r="BI55" s="47"/>
      <c r="BJ55" s="47"/>
      <c r="BK55" s="47"/>
      <c r="BL55" s="47"/>
      <c r="BM55" s="47"/>
      <c r="BN55" s="47"/>
      <c r="BO55" s="47"/>
      <c r="BP55" s="47"/>
      <c r="BQ55" s="47"/>
      <c r="BR55" s="47"/>
      <c r="BS55" s="47"/>
      <c r="BT55" s="47"/>
    </row>
    <row r="56" ht="11.25" customHeight="1">
      <c r="A56" s="35" t="str">
        <f>'13all_company_profile'!A56</f>
        <v>ARE</v>
      </c>
      <c r="B56" s="35" t="str">
        <f>'13all_company_profile'!B56</f>
        <v>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v>
      </c>
      <c r="C56" s="44" t="str">
        <f>'13all_company_profile'!C56</f>
        <v>https://financialmodelingprep.com/image-stock/ARE.png</v>
      </c>
      <c r="D56" s="35" t="str">
        <f>'13all_company_profile'!D56</f>
        <v>Alexandria Real Estate Equities, Inc.</v>
      </c>
      <c r="E56" s="36">
        <f>'13all_company_profile'!E56</f>
        <v>28247398400</v>
      </c>
      <c r="F56" s="37">
        <f>'13all_company_profile'!F56</f>
        <v>850679</v>
      </c>
      <c r="G56" s="35">
        <f>'13all_company_profile'!G56</f>
        <v>4.36</v>
      </c>
      <c r="H56" s="38">
        <f>'13all_company_profile'!H56</f>
        <v>44403</v>
      </c>
      <c r="I56" s="35">
        <f>'13all_company_profile'!I56</f>
        <v>33.834087</v>
      </c>
      <c r="J56" s="35">
        <f>'13all_company_profile'!J56</f>
        <v>5.738</v>
      </c>
      <c r="K56" s="42">
        <f t="shared" si="1"/>
        <v>0.02235553505</v>
      </c>
      <c r="L56" s="35">
        <f>'7company_info'!B56</f>
        <v>195.03</v>
      </c>
      <c r="M56" s="35">
        <f>'7company_info'!C56</f>
        <v>196.1</v>
      </c>
      <c r="N56" s="35">
        <f>'7company_info'!D56</f>
        <v>192.54</v>
      </c>
      <c r="O56" s="35">
        <f>'7company_info'!E56</f>
        <v>2.78</v>
      </c>
      <c r="P56" s="35">
        <f>'7company_info'!F56</f>
        <v>0.0145</v>
      </c>
      <c r="Q56" s="35">
        <f>'7company_info'!G56</f>
        <v>193.23</v>
      </c>
      <c r="R56" s="35">
        <f>'7company_info'!H56</f>
        <v>192.25</v>
      </c>
      <c r="S56" s="35">
        <f>'7company_info'!I56</f>
        <v>150.08</v>
      </c>
      <c r="T56" s="35">
        <f>'7company_info'!J56</f>
        <v>196.1</v>
      </c>
      <c r="U56" s="39">
        <v>189.808333333333</v>
      </c>
      <c r="V56" s="39">
        <v>191.201666666666</v>
      </c>
      <c r="W56" s="40">
        <v>192.153333333333</v>
      </c>
      <c r="X56" s="40">
        <v>194.498333333333</v>
      </c>
      <c r="Y56" s="40">
        <v>188.856666666666</v>
      </c>
      <c r="Z56" s="40">
        <v>187.463333333333</v>
      </c>
      <c r="AA56" s="40">
        <v>185.118333333333</v>
      </c>
      <c r="AB56" s="40">
        <v>187.28</v>
      </c>
      <c r="AC56" s="40">
        <v>186.25</v>
      </c>
      <c r="AD56" s="40">
        <v>186.167528593316</v>
      </c>
      <c r="AE56" s="40">
        <v>182.06896</v>
      </c>
      <c r="AF56" s="40">
        <v>2.87477</v>
      </c>
      <c r="AG56" s="40">
        <v>193.99</v>
      </c>
      <c r="AH56" s="45">
        <v>44357.0</v>
      </c>
      <c r="AI56" s="44" t="str">
        <f>'6image_RS_benchmark_performance'!B56</f>
        <v>https://3arbzfbsh-cname-us.ngrok.io/Desktop/seabridge%20fintech/image_app/ARE_resistance_support.jpg</v>
      </c>
      <c r="AJ56" s="44" t="str">
        <f>'6image_RS_benchmark_performance'!C56</f>
        <v>https://3arbzfbsh-cname-us.ngrok.io/Desktop/seabridge%20fintech/profit_graph_app/ARE_Return.jpg</v>
      </c>
      <c r="AK56" s="46" t="str">
        <f>'5price_action_icon'!B56</f>
        <v>https://3arbzfbsh-cname-us.ngrok.io/Desktop/seabridge%20fintech/icon/ARE_pa_trend_signal</v>
      </c>
      <c r="AL56" s="42">
        <f>'1kpi_performance'!B56</f>
        <v>0.4178895689</v>
      </c>
      <c r="AM56" s="42">
        <f>'1kpi_performance'!C56</f>
        <v>0.460562883</v>
      </c>
      <c r="AN56" s="42">
        <f>'1kpi_performance'!D56</f>
        <v>0.5844063453</v>
      </c>
      <c r="AO56" s="42">
        <f>'1kpi_performance'!E56</f>
        <v>0.1492533491</v>
      </c>
      <c r="AP56" s="42">
        <f>'1kpi_performance'!F56</f>
        <v>0.1798818789</v>
      </c>
      <c r="AQ56" s="42">
        <f>'1kpi_performance'!G56</f>
        <v>0.1818888673</v>
      </c>
      <c r="AR56" s="42">
        <f>'1kpi_performance'!H56</f>
        <v>0.1548070933</v>
      </c>
      <c r="AS56" s="42">
        <f>'1kpi_performance'!I56</f>
        <v>0.2845951904</v>
      </c>
      <c r="AT56" s="35">
        <f>'1kpi_performance'!J56</f>
        <v>2.184153131</v>
      </c>
      <c r="AU56" s="35">
        <f>'1kpi_performance'!K56</f>
        <v>2.394664881</v>
      </c>
      <c r="AV56" s="35">
        <f>'1kpi_performance'!L56</f>
        <v>3.613570498</v>
      </c>
      <c r="AW56" s="35">
        <f>'1kpi_performance'!M56</f>
        <v>0.436596799</v>
      </c>
      <c r="AX56" s="42">
        <f>'1kpi_performance'!N56</f>
        <v>0.1016709148</v>
      </c>
      <c r="AY56" s="42">
        <f>'1kpi_performance'!O56</f>
        <v>0.1513463109</v>
      </c>
      <c r="AZ56" s="42">
        <f>'1kpi_performance'!P56</f>
        <v>0.07974739316</v>
      </c>
      <c r="BA56" s="42">
        <f>'1kpi_performance'!Q56</f>
        <v>0.3430515063</v>
      </c>
      <c r="BB56" s="35">
        <f>'1kpi_performance'!R56</f>
        <v>4.457693035</v>
      </c>
      <c r="BC56" s="35">
        <f>'1kpi_performance'!S56</f>
        <v>5.026564909</v>
      </c>
      <c r="BD56" s="35">
        <f>'1kpi_performance'!T56</f>
        <v>8.141372737</v>
      </c>
      <c r="BE56" s="35">
        <f>'1kpi_performance'!U56</f>
        <v>0.8197146197</v>
      </c>
      <c r="BF56" s="47"/>
      <c r="BG56" s="47"/>
      <c r="BH56" s="47"/>
      <c r="BI56" s="47"/>
      <c r="BJ56" s="47"/>
      <c r="BK56" s="47"/>
      <c r="BL56" s="47"/>
      <c r="BM56" s="47"/>
      <c r="BN56" s="47"/>
      <c r="BO56" s="47"/>
      <c r="BP56" s="47"/>
      <c r="BQ56" s="47"/>
      <c r="BR56" s="47"/>
      <c r="BS56" s="47"/>
      <c r="BT56" s="47"/>
    </row>
    <row r="57" ht="11.25" customHeight="1">
      <c r="A57" s="35" t="str">
        <f>'13all_company_profile'!A57</f>
        <v>ASAN</v>
      </c>
      <c r="B57" s="35" t="str">
        <f>'13all_company_profile'!B57</f>
        <v>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v>
      </c>
      <c r="C57" s="44" t="str">
        <f>'13all_company_profile'!C57</f>
        <v>https://financialmodelingprep.com/image-stock/ASAN.png</v>
      </c>
      <c r="D57" s="35" t="str">
        <f>'13all_company_profile'!D57</f>
        <v>Asana, Inc.</v>
      </c>
      <c r="E57" s="36">
        <f>'13all_company_profile'!E57</f>
        <v>12016438272</v>
      </c>
      <c r="F57" s="37">
        <f>'13all_company_profile'!F57</f>
        <v>2086090</v>
      </c>
      <c r="G57" s="35">
        <f>'13all_company_profile'!G57</f>
        <v>0</v>
      </c>
      <c r="H57" s="38" t="str">
        <f>'13all_company_profile'!H57</f>
        <v>not avaiable</v>
      </c>
      <c r="I57" s="35" t="str">
        <f>'13all_company_profile'!I57</f>
        <v>NaN</v>
      </c>
      <c r="J57" s="35">
        <f>'13all_company_profile'!J57</f>
        <v>-1.849</v>
      </c>
      <c r="K57" s="42" t="str">
        <f t="shared" si="1"/>
        <v>NaN</v>
      </c>
      <c r="L57" s="35">
        <f>'7company_info'!B57</f>
        <v>68.3</v>
      </c>
      <c r="M57" s="35">
        <f>'7company_info'!C57</f>
        <v>68.96</v>
      </c>
      <c r="N57" s="35">
        <f>'7company_info'!D57</f>
        <v>65.43</v>
      </c>
      <c r="O57" s="35">
        <f>'7company_info'!E57</f>
        <v>1.28</v>
      </c>
      <c r="P57" s="35">
        <f>'7company_info'!F57</f>
        <v>0.0191</v>
      </c>
      <c r="Q57" s="35">
        <f>'7company_info'!G57</f>
        <v>67.01</v>
      </c>
      <c r="R57" s="35">
        <f>'7company_info'!H57</f>
        <v>67.02</v>
      </c>
      <c r="S57" s="35">
        <f>'7company_info'!I57</f>
        <v>20.57</v>
      </c>
      <c r="T57" s="35">
        <f>'7company_info'!J57</f>
        <v>71</v>
      </c>
      <c r="U57" s="39">
        <v>68.0966666666666</v>
      </c>
      <c r="V57" s="39">
        <v>69.1233333333333</v>
      </c>
      <c r="W57" s="40">
        <v>71.1366666666666</v>
      </c>
      <c r="X57" s="40">
        <v>74.1766666666666</v>
      </c>
      <c r="Y57" s="40">
        <v>66.0833333333333</v>
      </c>
      <c r="Z57" s="40">
        <v>65.0566666666666</v>
      </c>
      <c r="AA57" s="40">
        <v>62.0166666666666</v>
      </c>
      <c r="AB57" s="40">
        <v>60.43</v>
      </c>
      <c r="AC57" s="40">
        <v>71.0</v>
      </c>
      <c r="AD57" s="40">
        <v>60.869453314892</v>
      </c>
      <c r="AE57" s="40">
        <v>60.79413</v>
      </c>
      <c r="AF57" s="40">
        <v>4.038435</v>
      </c>
      <c r="AG57" s="40">
        <v>71.0</v>
      </c>
      <c r="AH57" s="45">
        <v>44383.0</v>
      </c>
      <c r="AI57" s="44" t="str">
        <f>'6image_RS_benchmark_performance'!B57</f>
        <v>https://3arbzfbsh-cname-us.ngrok.io/Desktop/seabridge%20fintech/image_app/ASAN_resistance_support.jpg</v>
      </c>
      <c r="AJ57" s="44" t="str">
        <f>'6image_RS_benchmark_performance'!C57</f>
        <v>https://3arbzfbsh-cname-us.ngrok.io/Desktop/seabridge%20fintech/profit_graph_app/ASAN_Return.jpg</v>
      </c>
      <c r="AK57" s="46" t="str">
        <f>'5price_action_icon'!B57</f>
        <v>https://3arbzfbsh-cname-us.ngrok.io/Desktop/seabridge%20fintech/icon/ASAN_pa_trend_signal</v>
      </c>
      <c r="AL57" s="42">
        <f>'1kpi_performance'!B57</f>
        <v>3.660819825</v>
      </c>
      <c r="AM57" s="42">
        <f>'1kpi_performance'!C57</f>
        <v>7.175918253</v>
      </c>
      <c r="AN57" s="42">
        <f>'1kpi_performance'!D57</f>
        <v>21.10942543</v>
      </c>
      <c r="AO57" s="42">
        <f>'1kpi_performance'!E57</f>
        <v>3.692251383</v>
      </c>
      <c r="AP57" s="42">
        <f>'1kpi_performance'!F57</f>
        <v>0.5504546895</v>
      </c>
      <c r="AQ57" s="42">
        <f>'1kpi_performance'!G57</f>
        <v>0.6008796967</v>
      </c>
      <c r="AR57" s="42">
        <f>'1kpi_performance'!H57</f>
        <v>0.5977297408</v>
      </c>
      <c r="AS57" s="42">
        <f>'1kpi_performance'!I57</f>
        <v>0.7140837078</v>
      </c>
      <c r="AT57" s="35">
        <f>'1kpi_performance'!J57</f>
        <v>6.605120992</v>
      </c>
      <c r="AU57" s="35">
        <f>'1kpi_performance'!K57</f>
        <v>11.90074867</v>
      </c>
      <c r="AV57" s="35">
        <f>'1kpi_performance'!L57</f>
        <v>35.27417826</v>
      </c>
      <c r="AW57" s="35">
        <f>'1kpi_performance'!M57</f>
        <v>5.135604331</v>
      </c>
      <c r="AX57" s="42">
        <f>'1kpi_performance'!N57</f>
        <v>0.1967583867</v>
      </c>
      <c r="AY57" s="42">
        <f>'1kpi_performance'!O57</f>
        <v>0.1967583867</v>
      </c>
      <c r="AZ57" s="42">
        <f>'1kpi_performance'!P57</f>
        <v>0.2292280495</v>
      </c>
      <c r="BA57" s="42">
        <f>'1kpi_performance'!Q57</f>
        <v>0.3694866233</v>
      </c>
      <c r="BB57" s="35">
        <f>'1kpi_performance'!R57</f>
        <v>15.6516276</v>
      </c>
      <c r="BC57" s="35">
        <f>'1kpi_performance'!S57</f>
        <v>31.08635432</v>
      </c>
      <c r="BD57" s="35">
        <f>'1kpi_performance'!T57</f>
        <v>103.1253907</v>
      </c>
      <c r="BE57" s="35">
        <f>'1kpi_performance'!U57</f>
        <v>12.25188331</v>
      </c>
      <c r="BF57" s="47"/>
      <c r="BG57" s="47"/>
      <c r="BH57" s="47"/>
      <c r="BI57" s="47"/>
      <c r="BJ57" s="47"/>
      <c r="BK57" s="47"/>
      <c r="BL57" s="47"/>
      <c r="BM57" s="47"/>
      <c r="BN57" s="47"/>
      <c r="BO57" s="47"/>
      <c r="BP57" s="47"/>
      <c r="BQ57" s="47"/>
      <c r="BR57" s="47"/>
      <c r="BS57" s="47"/>
      <c r="BT57" s="47"/>
    </row>
    <row r="58" ht="11.25" customHeight="1">
      <c r="A58" s="35" t="str">
        <f>'13all_company_profile'!A58</f>
        <v>ASHR</v>
      </c>
      <c r="B58" s="35" t="str">
        <f>'13all_company_profile'!B58</f>
        <v>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v>
      </c>
      <c r="C58" s="44" t="str">
        <f>'13all_company_profile'!C58</f>
        <v>https://financialmodelingprep.com/image-stock/ASHR.jpg</v>
      </c>
      <c r="D58" s="35" t="str">
        <f>'13all_company_profile'!D58</f>
        <v>Xtrackers Harvest CSI 300 China A-Shares ETF</v>
      </c>
      <c r="E58" s="36">
        <f>'13all_company_profile'!E58</f>
        <v>2512793030</v>
      </c>
      <c r="F58" s="37">
        <f>'13all_company_profile'!F58</f>
        <v>3015250</v>
      </c>
      <c r="G58" s="35">
        <f>'13all_company_profile'!G58</f>
        <v>0.325</v>
      </c>
      <c r="H58" s="38" t="str">
        <f>'13all_company_profile'!H58</f>
        <v>not avaiable</v>
      </c>
      <c r="I58" s="35" t="str">
        <f>'13all_company_profile'!I58</f>
        <v>NaN</v>
      </c>
      <c r="J58" s="35" t="str">
        <f>'13all_company_profile'!J58</f>
        <v>NaN</v>
      </c>
      <c r="K58" s="42">
        <f t="shared" si="1"/>
        <v>0.008141282565</v>
      </c>
      <c r="L58" s="35">
        <f>'7company_info'!B58</f>
        <v>39.92</v>
      </c>
      <c r="M58" s="35">
        <f>'7company_info'!C58</f>
        <v>39.94</v>
      </c>
      <c r="N58" s="35">
        <f>'7company_info'!D58</f>
        <v>39.69</v>
      </c>
      <c r="O58" s="35">
        <f>'7company_info'!E58</f>
        <v>0.3</v>
      </c>
      <c r="P58" s="35">
        <f>'7company_info'!F58</f>
        <v>0.0076</v>
      </c>
      <c r="Q58" s="35">
        <f>'7company_info'!G58</f>
        <v>39.74</v>
      </c>
      <c r="R58" s="35">
        <f>'7company_info'!H58</f>
        <v>39.62</v>
      </c>
      <c r="S58" s="35">
        <f>'7company_info'!I58</f>
        <v>32.51</v>
      </c>
      <c r="T58" s="35">
        <f>'7company_info'!J58</f>
        <v>46.42</v>
      </c>
      <c r="U58" s="39">
        <v>39.7166666666666</v>
      </c>
      <c r="V58" s="39">
        <v>39.8133333333333</v>
      </c>
      <c r="W58" s="40">
        <v>39.9166666666666</v>
      </c>
      <c r="X58" s="40">
        <v>40.1166666666666</v>
      </c>
      <c r="Y58" s="40">
        <v>39.6133333333333</v>
      </c>
      <c r="Z58" s="40">
        <v>39.5166666666666</v>
      </c>
      <c r="AA58" s="40">
        <v>39.3166666666666</v>
      </c>
      <c r="AB58" s="40">
        <v>39.12</v>
      </c>
      <c r="AC58" s="40">
        <v>40.18</v>
      </c>
      <c r="AD58" s="40">
        <v>40.0153799502455</v>
      </c>
      <c r="AE58" s="40">
        <v>39.011</v>
      </c>
      <c r="AF58" s="40">
        <v>0.46525</v>
      </c>
      <c r="AG58" s="40">
        <v>46.42</v>
      </c>
      <c r="AH58" s="45">
        <v>44244.0</v>
      </c>
      <c r="AI58" s="44" t="str">
        <f>'6image_RS_benchmark_performance'!B58</f>
        <v>https://3arbzfbsh-cname-us.ngrok.io/Desktop/seabridge%20fintech/image_app/ASHR_resistance_support.jpg</v>
      </c>
      <c r="AJ58" s="44" t="str">
        <f>'6image_RS_benchmark_performance'!C58</f>
        <v>https://3arbzfbsh-cname-us.ngrok.io/Desktop/seabridge%20fintech/profit_graph_app/ASHR_Return.jpg</v>
      </c>
      <c r="AK58" s="46" t="str">
        <f>'5price_action_icon'!B58</f>
        <v>https://3arbzfbsh-cname-us.ngrok.io/Desktop/seabridge%20fintech/icon/ASHR_pa_trend_signal</v>
      </c>
      <c r="AL58" s="42">
        <f>'1kpi_performance'!B58</f>
        <v>0.44346807</v>
      </c>
      <c r="AM58" s="42">
        <f>'1kpi_performance'!C58</f>
        <v>1.143558391</v>
      </c>
      <c r="AN58" s="42">
        <f>'1kpi_performance'!D58</f>
        <v>0.4236932232</v>
      </c>
      <c r="AO58" s="42">
        <f>'1kpi_performance'!E58</f>
        <v>0.09163193164</v>
      </c>
      <c r="AP58" s="42">
        <f>'1kpi_performance'!F58</f>
        <v>0.2344726612</v>
      </c>
      <c r="AQ58" s="42">
        <f>'1kpi_performance'!G58</f>
        <v>0.2497358457</v>
      </c>
      <c r="AR58" s="42">
        <f>'1kpi_performance'!H58</f>
        <v>0.2629096464</v>
      </c>
      <c r="AS58" s="42">
        <f>'1kpi_performance'!I58</f>
        <v>0.3743108842</v>
      </c>
      <c r="AT58" s="35">
        <f>'1kpi_performance'!J58</f>
        <v>1.784720094</v>
      </c>
      <c r="AU58" s="35">
        <f>'1kpi_performance'!K58</f>
        <v>4.478966115</v>
      </c>
      <c r="AV58" s="35">
        <f>'1kpi_performance'!L58</f>
        <v>1.516464796</v>
      </c>
      <c r="AW58" s="35">
        <f>'1kpi_performance'!M58</f>
        <v>0.1780122739</v>
      </c>
      <c r="AX58" s="42">
        <f>'1kpi_performance'!N58</f>
        <v>0.2063576711</v>
      </c>
      <c r="AY58" s="42">
        <f>'1kpi_performance'!O58</f>
        <v>0.08177784303</v>
      </c>
      <c r="AZ58" s="42">
        <f>'1kpi_performance'!P58</f>
        <v>0.4959851493</v>
      </c>
      <c r="BA58" s="42">
        <f>'1kpi_performance'!Q58</f>
        <v>0.6179082835</v>
      </c>
      <c r="BB58" s="35">
        <f>'1kpi_performance'!R58</f>
        <v>3.666262273</v>
      </c>
      <c r="BC58" s="35">
        <f>'1kpi_performance'!S58</f>
        <v>12.2212518</v>
      </c>
      <c r="BD58" s="35">
        <f>'1kpi_performance'!T58</f>
        <v>2.714420555</v>
      </c>
      <c r="BE58" s="35">
        <f>'1kpi_performance'!U58</f>
        <v>0.3338045214</v>
      </c>
      <c r="BF58" s="47"/>
      <c r="BG58" s="47"/>
      <c r="BH58" s="47"/>
      <c r="BI58" s="47"/>
      <c r="BJ58" s="47"/>
      <c r="BK58" s="47"/>
      <c r="BL58" s="47"/>
      <c r="BM58" s="47"/>
      <c r="BN58" s="47"/>
      <c r="BO58" s="47"/>
      <c r="BP58" s="47"/>
      <c r="BQ58" s="47"/>
      <c r="BR58" s="47"/>
      <c r="BS58" s="47"/>
      <c r="BT58" s="47"/>
    </row>
    <row r="59" ht="11.25" customHeight="1">
      <c r="A59" s="35" t="str">
        <f>'13all_company_profile'!A59</f>
        <v>ASML</v>
      </c>
      <c r="B59" s="35" t="str">
        <f>'13all_company_profile'!B59</f>
        <v>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v>
      </c>
      <c r="C59" s="44" t="str">
        <f>'13all_company_profile'!C59</f>
        <v>https://financialmodelingprep.com/image-stock/ASML.png</v>
      </c>
      <c r="D59" s="35" t="str">
        <f>'13all_company_profile'!D59</f>
        <v>ASML Holding N.V.</v>
      </c>
      <c r="E59" s="36">
        <f>'13all_company_profile'!E59</f>
        <v>293487378432</v>
      </c>
      <c r="F59" s="37">
        <f>'13all_company_profile'!F59</f>
        <v>796392</v>
      </c>
      <c r="G59" s="35">
        <f>'13all_company_profile'!G59</f>
        <v>1.41</v>
      </c>
      <c r="H59" s="38" t="str">
        <f>'13all_company_profile'!H59</f>
        <v>not avaiable</v>
      </c>
      <c r="I59" s="35">
        <f>'13all_company_profile'!I59</f>
        <v>54.49589</v>
      </c>
      <c r="J59" s="35">
        <f>'13all_company_profile'!J59</f>
        <v>12.656</v>
      </c>
      <c r="K59" s="42">
        <f t="shared" si="1"/>
        <v>0.002061252832</v>
      </c>
      <c r="L59" s="35">
        <f>'7company_info'!B59</f>
        <v>684.05</v>
      </c>
      <c r="M59" s="35">
        <f>'7company_info'!C59</f>
        <v>688.66</v>
      </c>
      <c r="N59" s="35">
        <f>'7company_info'!D59</f>
        <v>672.93</v>
      </c>
      <c r="O59" s="35">
        <f>'7company_info'!E59</f>
        <v>0.05</v>
      </c>
      <c r="P59" s="35">
        <f>'7company_info'!F59</f>
        <v>0.0001</v>
      </c>
      <c r="Q59" s="35">
        <f>'7company_info'!G59</f>
        <v>676.86</v>
      </c>
      <c r="R59" s="35">
        <f>'7company_info'!H59</f>
        <v>684</v>
      </c>
      <c r="S59" s="35">
        <f>'7company_info'!I59</f>
        <v>343.25</v>
      </c>
      <c r="T59" s="35">
        <f>'7company_info'!J59</f>
        <v>723.01</v>
      </c>
      <c r="U59" s="39">
        <v>717.466666666666</v>
      </c>
      <c r="V59" s="39">
        <v>722.053333333333</v>
      </c>
      <c r="W59" s="40">
        <v>727.596666666666</v>
      </c>
      <c r="X59" s="40">
        <v>737.726666666666</v>
      </c>
      <c r="Y59" s="40">
        <v>711.923333333333</v>
      </c>
      <c r="Z59" s="40">
        <v>707.336666666666</v>
      </c>
      <c r="AA59" s="40">
        <v>697.206666666666</v>
      </c>
      <c r="AB59" s="40">
        <v>690.67</v>
      </c>
      <c r="AC59" s="40">
        <v>723.01</v>
      </c>
      <c r="AD59" s="40">
        <v>691.696834743917</v>
      </c>
      <c r="AE59" s="40">
        <v>676.38435</v>
      </c>
      <c r="AF59" s="40">
        <v>15.1423249999999</v>
      </c>
      <c r="AG59" s="40">
        <v>710.97</v>
      </c>
      <c r="AH59" s="45">
        <v>44362.0</v>
      </c>
      <c r="AI59" s="44" t="str">
        <f>'6image_RS_benchmark_performance'!B59</f>
        <v>https://3arbzfbsh-cname-us.ngrok.io/Desktop/seabridge%20fintech/image_app/ASML_resistance_support.jpg</v>
      </c>
      <c r="AJ59" s="44" t="str">
        <f>'6image_RS_benchmark_performance'!C59</f>
        <v>https://3arbzfbsh-cname-us.ngrok.io/Desktop/seabridge%20fintech/profit_graph_app/ASML_Return.jpg</v>
      </c>
      <c r="AK59" s="46" t="str">
        <f>'5price_action_icon'!B59</f>
        <v>https://3arbzfbsh-cname-us.ngrok.io/Desktop/seabridge%20fintech/icon/ASML_pa_trend_signal</v>
      </c>
      <c r="AL59" s="42">
        <f>'1kpi_performance'!B59</f>
        <v>1.587271303</v>
      </c>
      <c r="AM59" s="42">
        <f>'1kpi_performance'!C59</f>
        <v>2.805346464</v>
      </c>
      <c r="AN59" s="42">
        <f>'1kpi_performance'!D59</f>
        <v>2.537043533</v>
      </c>
      <c r="AO59" s="42">
        <f>'1kpi_performance'!E59</f>
        <v>2.052195567</v>
      </c>
      <c r="AP59" s="42">
        <f>'1kpi_performance'!F59</f>
        <v>0.4281344199</v>
      </c>
      <c r="AQ59" s="42">
        <f>'1kpi_performance'!G59</f>
        <v>0.3222161174</v>
      </c>
      <c r="AR59" s="42">
        <f>'1kpi_performance'!H59</f>
        <v>0.3143006633</v>
      </c>
      <c r="AS59" s="42">
        <f>'1kpi_performance'!I59</f>
        <v>0.4710680718</v>
      </c>
      <c r="AT59" s="35">
        <f>'1kpi_performance'!J59</f>
        <v>3.649020565</v>
      </c>
      <c r="AU59" s="35">
        <f>'1kpi_performance'!K59</f>
        <v>8.628824919</v>
      </c>
      <c r="AV59" s="35">
        <f>'1kpi_performance'!L59</f>
        <v>7.992485624</v>
      </c>
      <c r="AW59" s="35">
        <f>'1kpi_performance'!M59</f>
        <v>4.303402604</v>
      </c>
      <c r="AX59" s="42">
        <f>'1kpi_performance'!N59</f>
        <v>0.1673740757</v>
      </c>
      <c r="AY59" s="42">
        <f>'1kpi_performance'!O59</f>
        <v>0.04488178532</v>
      </c>
      <c r="AZ59" s="42">
        <f>'1kpi_performance'!P59</f>
        <v>0.04321057789</v>
      </c>
      <c r="BA59" s="42">
        <f>'1kpi_performance'!Q59</f>
        <v>0.1673740757</v>
      </c>
      <c r="BB59" s="35">
        <f>'1kpi_performance'!R59</f>
        <v>7.955611097</v>
      </c>
      <c r="BC59" s="35">
        <f>'1kpi_performance'!S59</f>
        <v>23.94087407</v>
      </c>
      <c r="BD59" s="35">
        <f>'1kpi_performance'!T59</f>
        <v>20.83867549</v>
      </c>
      <c r="BE59" s="35">
        <f>'1kpi_performance'!U59</f>
        <v>9.461557963</v>
      </c>
      <c r="BF59" s="47"/>
      <c r="BG59" s="47"/>
      <c r="BH59" s="47"/>
      <c r="BI59" s="47"/>
      <c r="BJ59" s="47"/>
      <c r="BK59" s="47"/>
      <c r="BL59" s="47"/>
      <c r="BM59" s="47"/>
      <c r="BN59" s="47"/>
      <c r="BO59" s="47"/>
      <c r="BP59" s="47"/>
      <c r="BQ59" s="47"/>
      <c r="BR59" s="47"/>
      <c r="BS59" s="47"/>
      <c r="BT59" s="47"/>
    </row>
    <row r="60" ht="11.25" customHeight="1">
      <c r="A60" s="35" t="str">
        <f>'13all_company_profile'!A60</f>
        <v>ATO</v>
      </c>
      <c r="B60" s="35" t="str">
        <f>'13all_company_profile'!B60</f>
        <v>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v>
      </c>
      <c r="C60" s="44" t="str">
        <f>'13all_company_profile'!C60</f>
        <v>https://financialmodelingprep.com/image-stock/ATO.png</v>
      </c>
      <c r="D60" s="35" t="str">
        <f>'13all_company_profile'!D60</f>
        <v>Atmos Energy Corporation</v>
      </c>
      <c r="E60" s="36">
        <f>'13all_company_profile'!E60</f>
        <v>13178098688</v>
      </c>
      <c r="F60" s="37">
        <f>'13all_company_profile'!F60</f>
        <v>766457</v>
      </c>
      <c r="G60" s="35">
        <f>'13all_company_profile'!G60</f>
        <v>2.45</v>
      </c>
      <c r="H60" s="38">
        <f>'13all_company_profile'!H60</f>
        <v>44411</v>
      </c>
      <c r="I60" s="35">
        <f>'13all_company_profile'!I60</f>
        <v>18.351091</v>
      </c>
      <c r="J60" s="35">
        <f>'13all_company_profile'!J60</f>
        <v>5.537</v>
      </c>
      <c r="K60" s="42">
        <f t="shared" si="1"/>
        <v>0.02462559051</v>
      </c>
      <c r="L60" s="35">
        <f>'7company_info'!B60</f>
        <v>99.49</v>
      </c>
      <c r="M60" s="35">
        <f>'7company_info'!C60</f>
        <v>100.27</v>
      </c>
      <c r="N60" s="35">
        <f>'7company_info'!D60</f>
        <v>98.67</v>
      </c>
      <c r="O60" s="35">
        <f>'7company_info'!E60</f>
        <v>0.54</v>
      </c>
      <c r="P60" s="35">
        <f>'7company_info'!F60</f>
        <v>0.0055</v>
      </c>
      <c r="Q60" s="35">
        <f>'7company_info'!G60</f>
        <v>99.32</v>
      </c>
      <c r="R60" s="35">
        <f>'7company_info'!H60</f>
        <v>98.95</v>
      </c>
      <c r="S60" s="35">
        <f>'7company_info'!I60</f>
        <v>84.59</v>
      </c>
      <c r="T60" s="35">
        <f>'7company_info'!J60</f>
        <v>107.02</v>
      </c>
      <c r="U60" s="39">
        <v>99.1466666666666</v>
      </c>
      <c r="V60" s="39">
        <v>100.013333333333</v>
      </c>
      <c r="W60" s="40">
        <v>100.576666666666</v>
      </c>
      <c r="X60" s="40">
        <v>102.006666666666</v>
      </c>
      <c r="Y60" s="40">
        <v>98.5833333333333</v>
      </c>
      <c r="Z60" s="40">
        <v>97.7166666666666</v>
      </c>
      <c r="AA60" s="40">
        <v>96.2866666666666</v>
      </c>
      <c r="AB60" s="40">
        <v>95.21</v>
      </c>
      <c r="AC60" s="40">
        <v>98.01</v>
      </c>
      <c r="AD60" s="40">
        <v>98.5551105055977</v>
      </c>
      <c r="AE60" s="40">
        <v>95.88818</v>
      </c>
      <c r="AF60" s="40">
        <v>1.48291</v>
      </c>
      <c r="AG60" s="40">
        <v>104.99</v>
      </c>
      <c r="AH60" s="45">
        <v>44307.0</v>
      </c>
      <c r="AI60" s="44" t="str">
        <f>'6image_RS_benchmark_performance'!B60</f>
        <v>https://3arbzfbsh-cname-us.ngrok.io/Desktop/seabridge%20fintech/image_app/ATO_resistance_support.jpg</v>
      </c>
      <c r="AJ60" s="44" t="str">
        <f>'6image_RS_benchmark_performance'!C60</f>
        <v>https://3arbzfbsh-cname-us.ngrok.io/Desktop/seabridge%20fintech/profit_graph_app/ATO_Return.jpg</v>
      </c>
      <c r="AK60" s="46" t="str">
        <f>'5price_action_icon'!B60</f>
        <v>https://3arbzfbsh-cname-us.ngrok.io/Desktop/seabridge%20fintech/icon/ATO_pa_trend_signal</v>
      </c>
      <c r="AL60" s="42">
        <f>'1kpi_performance'!B60</f>
        <v>0.3826208663</v>
      </c>
      <c r="AM60" s="42">
        <f>'1kpi_performance'!C60</f>
        <v>0.4256531943</v>
      </c>
      <c r="AN60" s="42">
        <f>'1kpi_performance'!D60</f>
        <v>0.4302178757</v>
      </c>
      <c r="AO60" s="42">
        <f>'1kpi_performance'!E60</f>
        <v>0.1682580323</v>
      </c>
      <c r="AP60" s="42">
        <f>'1kpi_performance'!F60</f>
        <v>0.1613633415</v>
      </c>
      <c r="AQ60" s="42">
        <f>'1kpi_performance'!G60</f>
        <v>0.1776490551</v>
      </c>
      <c r="AR60" s="42">
        <f>'1kpi_performance'!H60</f>
        <v>0.1714680524</v>
      </c>
      <c r="AS60" s="42">
        <f>'1kpi_performance'!I60</f>
        <v>0.2485574961</v>
      </c>
      <c r="AT60" s="35">
        <f>'1kpi_performance'!J60</f>
        <v>2.216246038</v>
      </c>
      <c r="AU60" s="35">
        <f>'1kpi_performance'!K60</f>
        <v>2.255307206</v>
      </c>
      <c r="AV60" s="35">
        <f>'1kpi_performance'!L60</f>
        <v>2.363226677</v>
      </c>
      <c r="AW60" s="35">
        <f>'1kpi_performance'!M60</f>
        <v>0.5763577223</v>
      </c>
      <c r="AX60" s="42">
        <f>'1kpi_performance'!N60</f>
        <v>0.09575429088</v>
      </c>
      <c r="AY60" s="42">
        <f>'1kpi_performance'!O60</f>
        <v>0.1190369187</v>
      </c>
      <c r="AZ60" s="42">
        <f>'1kpi_performance'!P60</f>
        <v>0.2552502544</v>
      </c>
      <c r="BA60" s="42">
        <f>'1kpi_performance'!Q60</f>
        <v>0.3323380609</v>
      </c>
      <c r="BB60" s="35">
        <f>'1kpi_performance'!R60</f>
        <v>4.540890183</v>
      </c>
      <c r="BC60" s="35">
        <f>'1kpi_performance'!S60</f>
        <v>4.843287399</v>
      </c>
      <c r="BD60" s="35">
        <f>'1kpi_performance'!T60</f>
        <v>4.892690072</v>
      </c>
      <c r="BE60" s="35">
        <f>'1kpi_performance'!U60</f>
        <v>1.108347066</v>
      </c>
      <c r="BF60" s="47"/>
      <c r="BG60" s="47"/>
      <c r="BH60" s="47"/>
      <c r="BI60" s="47"/>
      <c r="BJ60" s="47"/>
      <c r="BK60" s="47"/>
      <c r="BL60" s="47"/>
      <c r="BM60" s="47"/>
      <c r="BN60" s="47"/>
      <c r="BO60" s="47"/>
      <c r="BP60" s="47"/>
      <c r="BQ60" s="47"/>
      <c r="BR60" s="47"/>
      <c r="BS60" s="47"/>
      <c r="BT60" s="47"/>
    </row>
    <row r="61" ht="11.25" customHeight="1">
      <c r="A61" s="35" t="str">
        <f>'13all_company_profile'!A61</f>
        <v>ATUS</v>
      </c>
      <c r="B61" s="35" t="str">
        <f>'13all_company_profile'!B61</f>
        <v>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v>
      </c>
      <c r="C61" s="44" t="str">
        <f>'13all_company_profile'!C61</f>
        <v>https://financialmodelingprep.com/image-stock/ATUS.png</v>
      </c>
      <c r="D61" s="35" t="str">
        <f>'13all_company_profile'!D61</f>
        <v>Altice USA, Inc.</v>
      </c>
      <c r="E61" s="36">
        <f>'13all_company_profile'!E61</f>
        <v>15518756864</v>
      </c>
      <c r="F61" s="37">
        <f>'13all_company_profile'!F61</f>
        <v>3426512</v>
      </c>
      <c r="G61" s="35">
        <f>'13all_company_profile'!G61</f>
        <v>0</v>
      </c>
      <c r="H61" s="38">
        <f>'13all_company_profile'!H61</f>
        <v>44405</v>
      </c>
      <c r="I61" s="35">
        <f>'13all_company_profile'!I61</f>
        <v>25.727411</v>
      </c>
      <c r="J61" s="35">
        <f>'13all_company_profile'!J61</f>
        <v>1.306</v>
      </c>
      <c r="K61" s="42" t="str">
        <f t="shared" si="1"/>
        <v>NaN</v>
      </c>
      <c r="L61" s="35">
        <f>'7company_info'!B61</f>
        <v>33.67</v>
      </c>
      <c r="M61" s="35">
        <f>'7company_info'!C61</f>
        <v>34.13</v>
      </c>
      <c r="N61" s="35">
        <f>'7company_info'!D61</f>
        <v>33.06</v>
      </c>
      <c r="O61" s="35">
        <f>'7company_info'!E61</f>
        <v>0.46</v>
      </c>
      <c r="P61" s="35">
        <f>'7company_info'!F61</f>
        <v>0.0139</v>
      </c>
      <c r="Q61" s="35">
        <f>'7company_info'!G61</f>
        <v>33.06</v>
      </c>
      <c r="R61" s="35">
        <f>'7company_info'!H61</f>
        <v>33.21</v>
      </c>
      <c r="S61" s="35">
        <f>'7company_info'!I61</f>
        <v>23.77</v>
      </c>
      <c r="T61" s="35">
        <f>'7company_info'!J61</f>
        <v>38.3</v>
      </c>
      <c r="U61" s="39">
        <v>33.8966666666666</v>
      </c>
      <c r="V61" s="39">
        <v>34.2333333333333</v>
      </c>
      <c r="W61" s="40">
        <v>34.5066666666666</v>
      </c>
      <c r="X61" s="40">
        <v>35.1166666666666</v>
      </c>
      <c r="Y61" s="40">
        <v>33.6233333333333</v>
      </c>
      <c r="Z61" s="40">
        <v>33.2866666666666</v>
      </c>
      <c r="AA61" s="40">
        <v>32.6766666666666</v>
      </c>
      <c r="AB61" s="40">
        <v>34.195</v>
      </c>
      <c r="AC61" s="40">
        <v>35.17</v>
      </c>
      <c r="AD61" s="40">
        <v>34.4177989770793</v>
      </c>
      <c r="AE61" s="40">
        <v>32.43051</v>
      </c>
      <c r="AF61" s="40">
        <v>0.714745</v>
      </c>
      <c r="AG61" s="40">
        <v>38.19</v>
      </c>
      <c r="AH61" s="45">
        <v>44326.0</v>
      </c>
      <c r="AI61" s="44" t="str">
        <f>'6image_RS_benchmark_performance'!B61</f>
        <v>https://3arbzfbsh-cname-us.ngrok.io/Desktop/seabridge%20fintech/image_app/ATUS_resistance_support.jpg</v>
      </c>
      <c r="AJ61" s="44" t="str">
        <f>'6image_RS_benchmark_performance'!C61</f>
        <v>https://3arbzfbsh-cname-us.ngrok.io/Desktop/seabridge%20fintech/profit_graph_app/ATUS_Return.jpg</v>
      </c>
      <c r="AK61" s="46" t="str">
        <f>'5price_action_icon'!B61</f>
        <v>https://3arbzfbsh-cname-us.ngrok.io/Desktop/seabridge%20fintech/icon/ATUS_pa_trend_signal</v>
      </c>
      <c r="AL61" s="42">
        <f>'1kpi_performance'!B61</f>
        <v>0.7596544254</v>
      </c>
      <c r="AM61" s="42">
        <f>'1kpi_performance'!C61</f>
        <v>0.9335351683</v>
      </c>
      <c r="AN61" s="42">
        <f>'1kpi_performance'!D61</f>
        <v>1.225913365</v>
      </c>
      <c r="AO61" s="42">
        <f>'1kpi_performance'!E61</f>
        <v>0.02051796465</v>
      </c>
      <c r="AP61" s="42">
        <f>'1kpi_performance'!F61</f>
        <v>0.2839204383</v>
      </c>
      <c r="AQ61" s="42">
        <f>'1kpi_performance'!G61</f>
        <v>0.2748282715</v>
      </c>
      <c r="AR61" s="42">
        <f>'1kpi_performance'!H61</f>
        <v>0.3144945932</v>
      </c>
      <c r="AS61" s="42">
        <f>'1kpi_performance'!I61</f>
        <v>0.4645701127</v>
      </c>
      <c r="AT61" s="35">
        <f>'1kpi_performance'!J61</f>
        <v>2.587536247</v>
      </c>
      <c r="AU61" s="35">
        <f>'1kpi_performance'!K61</f>
        <v>3.30582863</v>
      </c>
      <c r="AV61" s="35">
        <f>'1kpi_performance'!L61</f>
        <v>3.818550116</v>
      </c>
      <c r="AW61" s="35">
        <f>'1kpi_performance'!M61</f>
        <v>-0.0096477049</v>
      </c>
      <c r="AX61" s="42">
        <f>'1kpi_performance'!N61</f>
        <v>0.2350442228</v>
      </c>
      <c r="AY61" s="42">
        <f>'1kpi_performance'!O61</f>
        <v>0.1319219431</v>
      </c>
      <c r="AZ61" s="42">
        <f>'1kpi_performance'!P61</f>
        <v>0.4422307311</v>
      </c>
      <c r="BA61" s="42">
        <f>'1kpi_performance'!Q61</f>
        <v>0.5654036303</v>
      </c>
      <c r="BB61" s="35">
        <f>'1kpi_performance'!R61</f>
        <v>5.730982905</v>
      </c>
      <c r="BC61" s="35">
        <f>'1kpi_performance'!S61</f>
        <v>7.797448843</v>
      </c>
      <c r="BD61" s="35">
        <f>'1kpi_performance'!T61</f>
        <v>8.354563826</v>
      </c>
      <c r="BE61" s="35">
        <f>'1kpi_performance'!U61</f>
        <v>-0.01749999026</v>
      </c>
      <c r="BF61" s="47"/>
      <c r="BG61" s="47"/>
      <c r="BH61" s="47"/>
      <c r="BI61" s="47"/>
      <c r="BJ61" s="47"/>
      <c r="BK61" s="47"/>
      <c r="BL61" s="47"/>
      <c r="BM61" s="47"/>
      <c r="BN61" s="47"/>
      <c r="BO61" s="47"/>
      <c r="BP61" s="47"/>
      <c r="BQ61" s="47"/>
      <c r="BR61" s="47"/>
      <c r="BS61" s="47"/>
      <c r="BT61" s="47"/>
    </row>
    <row r="62" ht="11.25" customHeight="1">
      <c r="A62" s="35" t="str">
        <f>'13all_company_profile'!A62</f>
        <v>ATVI</v>
      </c>
      <c r="B62" s="35" t="str">
        <f>'13all_company_profile'!B62</f>
        <v>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v>
      </c>
      <c r="C62" s="44" t="str">
        <f>'13all_company_profile'!C62</f>
        <v>https://financialmodelingprep.com/image-stock/ATVI.png</v>
      </c>
      <c r="D62" s="35" t="str">
        <f>'13all_company_profile'!D62</f>
        <v>Activision Blizzard, Inc.</v>
      </c>
      <c r="E62" s="36">
        <f>'13all_company_profile'!E62</f>
        <v>70459899904</v>
      </c>
      <c r="F62" s="37">
        <f>'13all_company_profile'!F62</f>
        <v>5535474</v>
      </c>
      <c r="G62" s="35">
        <f>'13all_company_profile'!G62</f>
        <v>0.47</v>
      </c>
      <c r="H62" s="38">
        <f>'13all_company_profile'!H62</f>
        <v>44411</v>
      </c>
      <c r="I62" s="35">
        <f>'13all_company_profile'!I62</f>
        <v>31.065878</v>
      </c>
      <c r="J62" s="35">
        <f>'13all_company_profile'!J62</f>
        <v>2.96</v>
      </c>
      <c r="K62" s="42">
        <f t="shared" si="1"/>
        <v>0.005136050705</v>
      </c>
      <c r="L62" s="35">
        <f>'7company_info'!B62</f>
        <v>91.51</v>
      </c>
      <c r="M62" s="35">
        <f>'7company_info'!C62</f>
        <v>91.71</v>
      </c>
      <c r="N62" s="35">
        <f>'7company_info'!D62</f>
        <v>89.56</v>
      </c>
      <c r="O62" s="35">
        <f>'7company_info'!E62</f>
        <v>1.21</v>
      </c>
      <c r="P62" s="35">
        <f>'7company_info'!F62</f>
        <v>0.0134</v>
      </c>
      <c r="Q62" s="35">
        <f>'7company_info'!G62</f>
        <v>90.62</v>
      </c>
      <c r="R62" s="35">
        <f>'7company_info'!H62</f>
        <v>90.3</v>
      </c>
      <c r="S62" s="35">
        <f>'7company_info'!I62</f>
        <v>71.19</v>
      </c>
      <c r="T62" s="35">
        <f>'7company_info'!J62</f>
        <v>104.53</v>
      </c>
      <c r="U62" s="39">
        <v>92.73</v>
      </c>
      <c r="V62" s="39">
        <v>93.36</v>
      </c>
      <c r="W62" s="40">
        <v>94.4</v>
      </c>
      <c r="X62" s="40">
        <v>96.07</v>
      </c>
      <c r="Y62" s="40">
        <v>91.69</v>
      </c>
      <c r="Z62" s="40">
        <v>91.06</v>
      </c>
      <c r="AA62" s="40">
        <v>89.39</v>
      </c>
      <c r="AB62" s="40">
        <v>90.23</v>
      </c>
      <c r="AC62" s="40">
        <v>93.4164</v>
      </c>
      <c r="AD62" s="40">
        <v>93.6554733201626</v>
      </c>
      <c r="AE62" s="40">
        <v>89.43386</v>
      </c>
      <c r="AF62" s="40">
        <v>1.80156999999999</v>
      </c>
      <c r="AG62" s="40">
        <v>104.53</v>
      </c>
      <c r="AH62" s="45">
        <v>44243.0</v>
      </c>
      <c r="AI62" s="44" t="str">
        <f>'6image_RS_benchmark_performance'!B62</f>
        <v>https://3arbzfbsh-cname-us.ngrok.io/Desktop/seabridge%20fintech/image_app/ATVI_resistance_support.jpg</v>
      </c>
      <c r="AJ62" s="44" t="str">
        <f>'6image_RS_benchmark_performance'!C62</f>
        <v>https://3arbzfbsh-cname-us.ngrok.io/Desktop/seabridge%20fintech/profit_graph_app/ATVI_Return.jpg</v>
      </c>
      <c r="AK62" s="46" t="str">
        <f>'5price_action_icon'!B62</f>
        <v>https://3arbzfbsh-cname-us.ngrok.io/Desktop/seabridge%20fintech/icon/ATVI_pa_trend_signal</v>
      </c>
      <c r="AL62" s="42">
        <f>'1kpi_performance'!B62</f>
        <v>0.7198130867</v>
      </c>
      <c r="AM62" s="42">
        <f>'1kpi_performance'!C62</f>
        <v>0.8551627695</v>
      </c>
      <c r="AN62" s="42">
        <f>'1kpi_performance'!D62</f>
        <v>0.7782950285</v>
      </c>
      <c r="AO62" s="42">
        <f>'1kpi_performance'!E62</f>
        <v>0.309736046</v>
      </c>
      <c r="AP62" s="42">
        <f>'1kpi_performance'!F62</f>
        <v>0.2572805755</v>
      </c>
      <c r="AQ62" s="42">
        <f>'1kpi_performance'!G62</f>
        <v>0.2657254609</v>
      </c>
      <c r="AR62" s="42">
        <f>'1kpi_performance'!H62</f>
        <v>0.2589159193</v>
      </c>
      <c r="AS62" s="42">
        <f>'1kpi_performance'!I62</f>
        <v>0.3695550785</v>
      </c>
      <c r="AT62" s="35">
        <f>'1kpi_performance'!J62</f>
        <v>2.700604526</v>
      </c>
      <c r="AU62" s="35">
        <f>'1kpi_performance'!K62</f>
        <v>3.124137095</v>
      </c>
      <c r="AV62" s="35">
        <f>'1kpi_performance'!L62</f>
        <v>2.909419515</v>
      </c>
      <c r="AW62" s="35">
        <f>'1kpi_performance'!M62</f>
        <v>0.7704833801</v>
      </c>
      <c r="AX62" s="42">
        <f>'1kpi_performance'!N62</f>
        <v>0.1352087268</v>
      </c>
      <c r="AY62" s="42">
        <f>'1kpi_performance'!O62</f>
        <v>0.08826766454</v>
      </c>
      <c r="AZ62" s="42">
        <f>'1kpi_performance'!P62</f>
        <v>0.2171492205</v>
      </c>
      <c r="BA62" s="42">
        <f>'1kpi_performance'!Q62</f>
        <v>0.5190070752</v>
      </c>
      <c r="BB62" s="35">
        <f>'1kpi_performance'!R62</f>
        <v>6.337559373</v>
      </c>
      <c r="BC62" s="35">
        <f>'1kpi_performance'!S62</f>
        <v>7.749678325</v>
      </c>
      <c r="BD62" s="35">
        <f>'1kpi_performance'!T62</f>
        <v>6.370384654</v>
      </c>
      <c r="BE62" s="35">
        <f>'1kpi_performance'!U62</f>
        <v>1.573139785</v>
      </c>
      <c r="BF62" s="47"/>
      <c r="BG62" s="47"/>
      <c r="BH62" s="47"/>
      <c r="BI62" s="47"/>
      <c r="BJ62" s="47"/>
      <c r="BK62" s="47"/>
      <c r="BL62" s="47"/>
      <c r="BM62" s="47"/>
      <c r="BN62" s="47"/>
      <c r="BO62" s="47"/>
      <c r="BP62" s="47"/>
      <c r="BQ62" s="47"/>
      <c r="BR62" s="47"/>
      <c r="BS62" s="47"/>
      <c r="BT62" s="47"/>
    </row>
    <row r="63" ht="11.25" customHeight="1">
      <c r="A63" s="35" t="str">
        <f>'13all_company_profile'!A63</f>
        <v>AVB</v>
      </c>
      <c r="B63" s="35" t="str">
        <f>'13all_company_profile'!B63</f>
        <v>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v>
      </c>
      <c r="C63" s="44" t="str">
        <f>'13all_company_profile'!C63</f>
        <v>https://financialmodelingprep.com/image-stock/AVB.png</v>
      </c>
      <c r="D63" s="35" t="str">
        <f>'13all_company_profile'!D63</f>
        <v>AvalonBay Communities, Inc.</v>
      </c>
      <c r="E63" s="36">
        <f>'13all_company_profile'!E63</f>
        <v>31376222208</v>
      </c>
      <c r="F63" s="37">
        <f>'13all_company_profile'!F63</f>
        <v>798580</v>
      </c>
      <c r="G63" s="35">
        <f>'13all_company_profile'!G63</f>
        <v>6.36</v>
      </c>
      <c r="H63" s="38">
        <f>'13all_company_profile'!H63</f>
        <v>44405</v>
      </c>
      <c r="I63" s="35">
        <f>'13all_company_profile'!I63</f>
        <v>39.515903</v>
      </c>
      <c r="J63" s="35">
        <f>'13all_company_profile'!J63</f>
        <v>5.722</v>
      </c>
      <c r="K63" s="42">
        <f t="shared" si="1"/>
        <v>0.02780449419</v>
      </c>
      <c r="L63" s="35">
        <f>'7company_info'!B63</f>
        <v>228.74</v>
      </c>
      <c r="M63" s="35">
        <f>'7company_info'!C63</f>
        <v>229.45</v>
      </c>
      <c r="N63" s="35">
        <f>'7company_info'!D63</f>
        <v>223.97</v>
      </c>
      <c r="O63" s="35">
        <f>'7company_info'!E63</f>
        <v>5.57</v>
      </c>
      <c r="P63" s="35">
        <f>'7company_info'!F63</f>
        <v>0.025</v>
      </c>
      <c r="Q63" s="35">
        <f>'7company_info'!G63</f>
        <v>224.44</v>
      </c>
      <c r="R63" s="35">
        <f>'7company_info'!H63</f>
        <v>223.17</v>
      </c>
      <c r="S63" s="35">
        <f>'7company_info'!I63</f>
        <v>131.38</v>
      </c>
      <c r="T63" s="35">
        <f>'7company_info'!J63</f>
        <v>229.45</v>
      </c>
      <c r="U63" s="39">
        <v>223.306666666666</v>
      </c>
      <c r="V63" s="39">
        <v>225.073333333333</v>
      </c>
      <c r="W63" s="40">
        <v>226.076666666666</v>
      </c>
      <c r="X63" s="40">
        <v>228.846666666666</v>
      </c>
      <c r="Y63" s="40">
        <v>222.303333333333</v>
      </c>
      <c r="Z63" s="40">
        <v>220.536666666666</v>
      </c>
      <c r="AA63" s="40">
        <v>217.766666666666</v>
      </c>
      <c r="AB63" s="40">
        <v>217.33</v>
      </c>
      <c r="AC63" s="40">
        <v>224.41</v>
      </c>
      <c r="AD63" s="40">
        <v>214.974132391133</v>
      </c>
      <c r="AE63" s="40">
        <v>214.1539</v>
      </c>
      <c r="AF63" s="40">
        <v>3.49605</v>
      </c>
      <c r="AG63" s="40">
        <v>216.64</v>
      </c>
      <c r="AH63" s="45">
        <v>44357.0</v>
      </c>
      <c r="AI63" s="44" t="str">
        <f>'6image_RS_benchmark_performance'!B63</f>
        <v>https://3arbzfbsh-cname-us.ngrok.io/Desktop/seabridge%20fintech/image_app/AVB_resistance_support.jpg</v>
      </c>
      <c r="AJ63" s="44" t="str">
        <f>'6image_RS_benchmark_performance'!C63</f>
        <v>https://3arbzfbsh-cname-us.ngrok.io/Desktop/seabridge%20fintech/profit_graph_app/AVB_Return.jpg</v>
      </c>
      <c r="AK63" s="46" t="str">
        <f>'5price_action_icon'!B63</f>
        <v>https://3arbzfbsh-cname-us.ngrok.io/Desktop/seabridge%20fintech/icon/AVB_pa_trend_signal</v>
      </c>
      <c r="AL63" s="42">
        <f>'1kpi_performance'!B63</f>
        <v>0.3782194476</v>
      </c>
      <c r="AM63" s="42">
        <f>'1kpi_performance'!C63</f>
        <v>0.4671584936</v>
      </c>
      <c r="AN63" s="42">
        <f>'1kpi_performance'!D63</f>
        <v>0.5515906643</v>
      </c>
      <c r="AO63" s="42">
        <f>'1kpi_performance'!E63</f>
        <v>0.1418144674</v>
      </c>
      <c r="AP63" s="42">
        <f>'1kpi_performance'!F63</f>
        <v>0.1885968055</v>
      </c>
      <c r="AQ63" s="42">
        <f>'1kpi_performance'!G63</f>
        <v>0.1960239524</v>
      </c>
      <c r="AR63" s="42">
        <f>'1kpi_performance'!H63</f>
        <v>0.1835245295</v>
      </c>
      <c r="AS63" s="42">
        <f>'1kpi_performance'!I63</f>
        <v>0.2922820083</v>
      </c>
      <c r="AT63" s="35">
        <f>'1kpi_performance'!J63</f>
        <v>1.872881393</v>
      </c>
      <c r="AU63" s="35">
        <f>'1kpi_performance'!K63</f>
        <v>2.255635029</v>
      </c>
      <c r="AV63" s="35">
        <f>'1kpi_performance'!L63</f>
        <v>2.869320334</v>
      </c>
      <c r="AW63" s="35">
        <f>'1kpi_performance'!M63</f>
        <v>0.3996635582</v>
      </c>
      <c r="AX63" s="42">
        <f>'1kpi_performance'!N63</f>
        <v>0.1832644549</v>
      </c>
      <c r="AY63" s="42">
        <f>'1kpi_performance'!O63</f>
        <v>0.1750171585</v>
      </c>
      <c r="AZ63" s="42">
        <f>'1kpi_performance'!P63</f>
        <v>0.1146334371</v>
      </c>
      <c r="BA63" s="42">
        <f>'1kpi_performance'!Q63</f>
        <v>0.4691103609</v>
      </c>
      <c r="BB63" s="35">
        <f>'1kpi_performance'!R63</f>
        <v>3.876240067</v>
      </c>
      <c r="BC63" s="35">
        <f>'1kpi_performance'!S63</f>
        <v>4.896626054</v>
      </c>
      <c r="BD63" s="35">
        <f>'1kpi_performance'!T63</f>
        <v>6.524531821</v>
      </c>
      <c r="BE63" s="35">
        <f>'1kpi_performance'!U63</f>
        <v>0.7643648459</v>
      </c>
      <c r="BF63" s="47"/>
      <c r="BG63" s="47"/>
      <c r="BH63" s="47"/>
      <c r="BI63" s="47"/>
      <c r="BJ63" s="47"/>
      <c r="BK63" s="47"/>
      <c r="BL63" s="47"/>
      <c r="BM63" s="47"/>
      <c r="BN63" s="47"/>
      <c r="BO63" s="47"/>
      <c r="BP63" s="47"/>
      <c r="BQ63" s="47"/>
      <c r="BR63" s="47"/>
      <c r="BS63" s="47"/>
      <c r="BT63" s="47"/>
    </row>
    <row r="64" ht="11.25" customHeight="1">
      <c r="A64" s="35" t="str">
        <f>'13all_company_profile'!A64</f>
        <v>AVGO</v>
      </c>
      <c r="B64" s="35" t="str">
        <f>'13all_company_profile'!B64</f>
        <v>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v>
      </c>
      <c r="C64" s="44" t="str">
        <f>'13all_company_profile'!C64</f>
        <v>https://financialmodelingprep.com/image-stock/AVGO.png</v>
      </c>
      <c r="D64" s="35" t="str">
        <f>'13all_company_profile'!D64</f>
        <v>Broadcom Inc.</v>
      </c>
      <c r="E64" s="36">
        <f>'13all_company_profile'!E64</f>
        <v>195833987072</v>
      </c>
      <c r="F64" s="37">
        <f>'13all_company_profile'!F64</f>
        <v>1803679</v>
      </c>
      <c r="G64" s="35">
        <f>'13all_company_profile'!G64</f>
        <v>14.05</v>
      </c>
      <c r="H64" s="38" t="str">
        <f>'13all_company_profile'!H64</f>
        <v>not avaiable</v>
      </c>
      <c r="I64" s="35">
        <f>'13all_company_profile'!I64</f>
        <v>43.472443</v>
      </c>
      <c r="J64" s="35">
        <f>'13all_company_profile'!J64</f>
        <v>10.759</v>
      </c>
      <c r="K64" s="42">
        <f t="shared" si="1"/>
        <v>0.02998356772</v>
      </c>
      <c r="L64" s="35">
        <f>'7company_info'!B64</f>
        <v>468.59</v>
      </c>
      <c r="M64" s="35">
        <f>'7company_info'!C64</f>
        <v>472.25</v>
      </c>
      <c r="N64" s="35">
        <f>'7company_info'!D64</f>
        <v>463.27</v>
      </c>
      <c r="O64" s="35">
        <f>'7company_info'!E64</f>
        <v>2.92</v>
      </c>
      <c r="P64" s="35">
        <f>'7company_info'!F64</f>
        <v>0.0063</v>
      </c>
      <c r="Q64" s="35">
        <f>'7company_info'!G64</f>
        <v>467.89</v>
      </c>
      <c r="R64" s="35">
        <f>'7company_info'!H64</f>
        <v>465.67</v>
      </c>
      <c r="S64" s="35">
        <f>'7company_info'!I64</f>
        <v>304.18</v>
      </c>
      <c r="T64" s="35">
        <f>'7company_info'!J64</f>
        <v>495.14</v>
      </c>
      <c r="U64" s="39">
        <v>484.778333333333</v>
      </c>
      <c r="V64" s="39">
        <v>488.811666666666</v>
      </c>
      <c r="W64" s="40">
        <v>496.033333333333</v>
      </c>
      <c r="X64" s="40">
        <v>507.288333333333</v>
      </c>
      <c r="Y64" s="40">
        <v>477.556666666666</v>
      </c>
      <c r="Z64" s="40">
        <v>473.523333333333</v>
      </c>
      <c r="AA64" s="40">
        <v>462.268333333333</v>
      </c>
      <c r="AB64" s="40">
        <v>482.0</v>
      </c>
      <c r="AC64" s="40">
        <v>462.44</v>
      </c>
      <c r="AD64" s="40">
        <v>473.199030896028</v>
      </c>
      <c r="AE64" s="40">
        <v>463.726</v>
      </c>
      <c r="AF64" s="40">
        <v>10.3037499999999</v>
      </c>
      <c r="AG64" s="40">
        <v>495.14</v>
      </c>
      <c r="AH64" s="45">
        <v>44246.0</v>
      </c>
      <c r="AI64" s="44" t="str">
        <f>'6image_RS_benchmark_performance'!B64</f>
        <v>https://3arbzfbsh-cname-us.ngrok.io/Desktop/seabridge%20fintech/image_app/AVGO_resistance_support.jpg</v>
      </c>
      <c r="AJ64" s="44" t="str">
        <f>'6image_RS_benchmark_performance'!C64</f>
        <v>https://3arbzfbsh-cname-us.ngrok.io/Desktop/seabridge%20fintech/profit_graph_app/AVGO_Return.jpg</v>
      </c>
      <c r="AK64" s="46" t="str">
        <f>'5price_action_icon'!B64</f>
        <v>https://3arbzfbsh-cname-us.ngrok.io/Desktop/seabridge%20fintech/icon/AVGO_pa_trend_signal</v>
      </c>
      <c r="AL64" s="42">
        <f>'1kpi_performance'!B64</f>
        <v>0.9479000925</v>
      </c>
      <c r="AM64" s="42">
        <f>'1kpi_performance'!C64</f>
        <v>1.118581413</v>
      </c>
      <c r="AN64" s="42">
        <f>'1kpi_performance'!D64</f>
        <v>0.8990416196</v>
      </c>
      <c r="AO64" s="42">
        <f>'1kpi_performance'!E64</f>
        <v>0.506311852</v>
      </c>
      <c r="AP64" s="42">
        <f>'1kpi_performance'!F64</f>
        <v>0.2862415039</v>
      </c>
      <c r="AQ64" s="42">
        <f>'1kpi_performance'!G64</f>
        <v>0.3045606878</v>
      </c>
      <c r="AR64" s="42">
        <f>'1kpi_performance'!H64</f>
        <v>0.2861615099</v>
      </c>
      <c r="AS64" s="42">
        <f>'1kpi_performance'!I64</f>
        <v>0.4273792922</v>
      </c>
      <c r="AT64" s="35">
        <f>'1kpi_performance'!J64</f>
        <v>3.224200823</v>
      </c>
      <c r="AU64" s="35">
        <f>'1kpi_performance'!K64</f>
        <v>3.590684737</v>
      </c>
      <c r="AV64" s="35">
        <f>'1kpi_performance'!L64</f>
        <v>3.054364718</v>
      </c>
      <c r="AW64" s="35">
        <f>'1kpi_performance'!M64</f>
        <v>1.126193666</v>
      </c>
      <c r="AX64" s="42">
        <f>'1kpi_performance'!N64</f>
        <v>0.1382148649</v>
      </c>
      <c r="AY64" s="42">
        <f>'1kpi_performance'!O64</f>
        <v>0.128008714</v>
      </c>
      <c r="AZ64" s="42">
        <f>'1kpi_performance'!P64</f>
        <v>0.2923237593</v>
      </c>
      <c r="BA64" s="42">
        <f>'1kpi_performance'!Q64</f>
        <v>0.4878889567</v>
      </c>
      <c r="BB64" s="35">
        <f>'1kpi_performance'!R64</f>
        <v>7.350908</v>
      </c>
      <c r="BC64" s="35">
        <f>'1kpi_performance'!S64</f>
        <v>8.38272299</v>
      </c>
      <c r="BD64" s="35">
        <f>'1kpi_performance'!T64</f>
        <v>6.671798724</v>
      </c>
      <c r="BE64" s="35">
        <f>'1kpi_performance'!U64</f>
        <v>2.258975168</v>
      </c>
      <c r="BF64" s="47"/>
      <c r="BG64" s="47"/>
      <c r="BH64" s="47"/>
      <c r="BI64" s="47"/>
      <c r="BJ64" s="47"/>
      <c r="BK64" s="47"/>
      <c r="BL64" s="47"/>
      <c r="BM64" s="47"/>
      <c r="BN64" s="47"/>
      <c r="BO64" s="47"/>
      <c r="BP64" s="47"/>
      <c r="BQ64" s="47"/>
      <c r="BR64" s="47"/>
      <c r="BS64" s="47"/>
      <c r="BT64" s="47"/>
    </row>
    <row r="65" ht="11.25" customHeight="1">
      <c r="A65" s="35" t="str">
        <f>'13all_company_profile'!A65</f>
        <v>AVTR</v>
      </c>
      <c r="B65" s="35" t="str">
        <f>'13all_company_profile'!B65</f>
        <v>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v>
      </c>
      <c r="C65" s="44" t="str">
        <f>'13all_company_profile'!C65</f>
        <v>https://financialmodelingprep.com/image-stock/AVTR.png</v>
      </c>
      <c r="D65" s="35" t="str">
        <f>'13all_company_profile'!D65</f>
        <v>Avantor, Inc.</v>
      </c>
      <c r="E65" s="36">
        <f>'13all_company_profile'!E65</f>
        <v>21146163200</v>
      </c>
      <c r="F65" s="37">
        <f>'13all_company_profile'!F65</f>
        <v>3937157</v>
      </c>
      <c r="G65" s="35">
        <f>'13all_company_profile'!G65</f>
        <v>0</v>
      </c>
      <c r="H65" s="38">
        <f>'13all_company_profile'!H65</f>
        <v>44405</v>
      </c>
      <c r="I65" s="35">
        <f>'13all_company_profile'!I65</f>
        <v>124.22946</v>
      </c>
      <c r="J65" s="35">
        <f>'13all_company_profile'!J65</f>
        <v>0.292</v>
      </c>
      <c r="K65" s="42" t="str">
        <f t="shared" si="1"/>
        <v>NaN</v>
      </c>
      <c r="L65" s="35">
        <f>'7company_info'!B65</f>
        <v>37.15</v>
      </c>
      <c r="M65" s="35">
        <f>'7company_info'!C65</f>
        <v>37.35</v>
      </c>
      <c r="N65" s="35">
        <f>'7company_info'!D65</f>
        <v>36.21</v>
      </c>
      <c r="O65" s="35">
        <f>'7company_info'!E65</f>
        <v>0.99</v>
      </c>
      <c r="P65" s="35">
        <f>'7company_info'!F65</f>
        <v>0.0274</v>
      </c>
      <c r="Q65" s="35">
        <f>'7company_info'!G65</f>
        <v>36.33</v>
      </c>
      <c r="R65" s="35">
        <f>'7company_info'!H65</f>
        <v>36.16</v>
      </c>
      <c r="S65" s="35">
        <f>'7company_info'!I65</f>
        <v>18.27</v>
      </c>
      <c r="T65" s="35">
        <f>'7company_info'!J65</f>
        <v>37.35</v>
      </c>
      <c r="U65" s="39">
        <v>35.9199999999999</v>
      </c>
      <c r="V65" s="39">
        <v>36.2299999999999</v>
      </c>
      <c r="W65" s="40">
        <v>36.42</v>
      </c>
      <c r="X65" s="40">
        <v>36.92</v>
      </c>
      <c r="Y65" s="40">
        <v>35.7299999999999</v>
      </c>
      <c r="Z65" s="40">
        <v>35.4199999999999</v>
      </c>
      <c r="AA65" s="40">
        <v>34.9199999999999</v>
      </c>
      <c r="AB65" s="40">
        <v>35.12</v>
      </c>
      <c r="AC65" s="40">
        <v>36.5</v>
      </c>
      <c r="AD65" s="40">
        <v>35.1928547482075</v>
      </c>
      <c r="AE65" s="40">
        <v>34.569</v>
      </c>
      <c r="AF65" s="40">
        <v>0.71975</v>
      </c>
      <c r="AG65" s="40">
        <v>33.99</v>
      </c>
      <c r="AH65" s="45">
        <v>44315.0</v>
      </c>
      <c r="AI65" s="44" t="str">
        <f>'6image_RS_benchmark_performance'!B65</f>
        <v>https://3arbzfbsh-cname-us.ngrok.io/Desktop/seabridge%20fintech/image_app/AVTR_resistance_support.jpg</v>
      </c>
      <c r="AJ65" s="44" t="str">
        <f>'6image_RS_benchmark_performance'!C65</f>
        <v>https://3arbzfbsh-cname-us.ngrok.io/Desktop/seabridge%20fintech/profit_graph_app/AVTR_Return.jpg</v>
      </c>
      <c r="AK65" s="46" t="str">
        <f>'5price_action_icon'!B65</f>
        <v>https://3arbzfbsh-cname-us.ngrok.io/Desktop/seabridge%20fintech/icon/AVTR_pa_trend_signal</v>
      </c>
      <c r="AL65" s="42">
        <f>'1kpi_performance'!B65</f>
        <v>1.821658587</v>
      </c>
      <c r="AM65" s="42">
        <f>'1kpi_performance'!C65</f>
        <v>2.358979809</v>
      </c>
      <c r="AN65" s="42">
        <f>'1kpi_performance'!D65</f>
        <v>0.9216470679</v>
      </c>
      <c r="AO65" s="42">
        <f>'1kpi_performance'!E65</f>
        <v>0.8287518199</v>
      </c>
      <c r="AP65" s="42">
        <f>'1kpi_performance'!F65</f>
        <v>0.3888664214</v>
      </c>
      <c r="AQ65" s="42">
        <f>'1kpi_performance'!G65</f>
        <v>0.4082924513</v>
      </c>
      <c r="AR65" s="42">
        <f>'1kpi_performance'!H65</f>
        <v>0.258812365</v>
      </c>
      <c r="AS65" s="42">
        <f>'1kpi_performance'!I65</f>
        <v>0.5945732271</v>
      </c>
      <c r="AT65" s="35">
        <f>'1kpi_performance'!J65</f>
        <v>4.620246152</v>
      </c>
      <c r="AU65" s="35">
        <f>'1kpi_performance'!K65</f>
        <v>5.716441247</v>
      </c>
      <c r="AV65" s="35">
        <f>'1kpi_performance'!L65</f>
        <v>3.464467657</v>
      </c>
      <c r="AW65" s="35">
        <f>'1kpi_performance'!M65</f>
        <v>1.351813004</v>
      </c>
      <c r="AX65" s="42">
        <f>'1kpi_performance'!N65</f>
        <v>0.1798748697</v>
      </c>
      <c r="AY65" s="42">
        <f>'1kpi_performance'!O65</f>
        <v>0.09880868956</v>
      </c>
      <c r="AZ65" s="42">
        <f>'1kpi_performance'!P65</f>
        <v>0.08887644693</v>
      </c>
      <c r="BA65" s="42">
        <f>'1kpi_performance'!Q65</f>
        <v>0.5701663202</v>
      </c>
      <c r="BB65" s="35">
        <f>'1kpi_performance'!R65</f>
        <v>12.06715805</v>
      </c>
      <c r="BC65" s="35">
        <f>'1kpi_performance'!S65</f>
        <v>15.24102286</v>
      </c>
      <c r="BD65" s="35">
        <f>'1kpi_performance'!T65</f>
        <v>8.379734229</v>
      </c>
      <c r="BE65" s="35">
        <f>'1kpi_performance'!U65</f>
        <v>2.77022028</v>
      </c>
      <c r="BF65" s="47"/>
      <c r="BG65" s="47"/>
      <c r="BH65" s="47"/>
      <c r="BI65" s="47"/>
      <c r="BJ65" s="47"/>
      <c r="BK65" s="47"/>
      <c r="BL65" s="47"/>
      <c r="BM65" s="47"/>
      <c r="BN65" s="47"/>
      <c r="BO65" s="47"/>
      <c r="BP65" s="47"/>
      <c r="BQ65" s="47"/>
      <c r="BR65" s="47"/>
      <c r="BS65" s="47"/>
      <c r="BT65" s="47"/>
    </row>
    <row r="66" ht="11.25" customHeight="1">
      <c r="A66" s="35" t="str">
        <f>'13all_company_profile'!A66</f>
        <v>AVY</v>
      </c>
      <c r="B66" s="35" t="str">
        <f>'13all_company_profile'!B66</f>
        <v>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v>
      </c>
      <c r="C66" s="44" t="str">
        <f>'13all_company_profile'!C66</f>
        <v>https://financialmodelingprep.com/image-stock/AVY.png</v>
      </c>
      <c r="D66" s="35" t="str">
        <f>'13all_company_profile'!D66</f>
        <v>Avery Dennison Corporation</v>
      </c>
      <c r="E66" s="36">
        <f>'13all_company_profile'!E66</f>
        <v>17248999424</v>
      </c>
      <c r="F66" s="37">
        <f>'13all_company_profile'!F66</f>
        <v>522528</v>
      </c>
      <c r="G66" s="35">
        <f>'13all_company_profile'!G66</f>
        <v>2.5</v>
      </c>
      <c r="H66" s="38">
        <f>'13all_company_profile'!H66</f>
        <v>44403</v>
      </c>
      <c r="I66" s="35">
        <f>'13all_company_profile'!I66</f>
        <v>27.094154</v>
      </c>
      <c r="J66" s="35">
        <f>'13all_company_profile'!J66</f>
        <v>7.509</v>
      </c>
      <c r="K66" s="42">
        <f t="shared" si="1"/>
        <v>0.01245330012</v>
      </c>
      <c r="L66" s="35">
        <f>'7company_info'!B66</f>
        <v>200.75</v>
      </c>
      <c r="M66" s="35">
        <f>'7company_info'!C66</f>
        <v>204.03</v>
      </c>
      <c r="N66" s="35">
        <f>'7company_info'!D66</f>
        <v>198.49</v>
      </c>
      <c r="O66" s="35">
        <f>'7company_info'!E66</f>
        <v>1.91</v>
      </c>
      <c r="P66" s="35">
        <f>'7company_info'!F66</f>
        <v>0.0096</v>
      </c>
      <c r="Q66" s="35">
        <f>'7company_info'!G66</f>
        <v>199.03</v>
      </c>
      <c r="R66" s="35">
        <f>'7company_info'!H66</f>
        <v>198.84</v>
      </c>
      <c r="S66" s="35">
        <f>'7company_info'!I66</f>
        <v>111.8</v>
      </c>
      <c r="T66" s="35">
        <f>'7company_info'!J66</f>
        <v>226.19</v>
      </c>
      <c r="U66" s="39">
        <v>208.59</v>
      </c>
      <c r="V66" s="39">
        <v>209.51</v>
      </c>
      <c r="W66" s="40">
        <v>210.97</v>
      </c>
      <c r="X66" s="40">
        <v>213.35</v>
      </c>
      <c r="Y66" s="40">
        <v>207.13</v>
      </c>
      <c r="Z66" s="40">
        <v>206.21</v>
      </c>
      <c r="AA66" s="40">
        <v>203.83</v>
      </c>
      <c r="AB66" s="40">
        <v>207.4429</v>
      </c>
      <c r="AC66" s="40">
        <v>212.31</v>
      </c>
      <c r="AD66" s="40">
        <v>210.141180857726</v>
      </c>
      <c r="AE66" s="40">
        <v>200.88816</v>
      </c>
      <c r="AF66" s="40">
        <v>3.60792</v>
      </c>
      <c r="AG66" s="40">
        <v>226.19</v>
      </c>
      <c r="AH66" s="45">
        <v>44326.0</v>
      </c>
      <c r="AI66" s="44" t="str">
        <f>'6image_RS_benchmark_performance'!B66</f>
        <v>https://3arbzfbsh-cname-us.ngrok.io/Desktop/seabridge%20fintech/image_app/AVY_resistance_support.jpg</v>
      </c>
      <c r="AJ66" s="44" t="str">
        <f>'6image_RS_benchmark_performance'!C66</f>
        <v>https://3arbzfbsh-cname-us.ngrok.io/Desktop/seabridge%20fintech/profit_graph_app/AVY_Return.jpg</v>
      </c>
      <c r="AK66" s="46" t="str">
        <f>'5price_action_icon'!B66</f>
        <v>https://3arbzfbsh-cname-us.ngrok.io/Desktop/seabridge%20fintech/icon/AVY_pa_trend_signal</v>
      </c>
      <c r="AL66" s="42">
        <f>'1kpi_performance'!B66</f>
        <v>0.5753510959</v>
      </c>
      <c r="AM66" s="42">
        <f>'1kpi_performance'!C66</f>
        <v>0.663304698</v>
      </c>
      <c r="AN66" s="42">
        <f>'1kpi_performance'!D66</f>
        <v>0.6282431147</v>
      </c>
      <c r="AO66" s="42">
        <f>'1kpi_performance'!E66</f>
        <v>0.233328062</v>
      </c>
      <c r="AP66" s="42">
        <f>'1kpi_performance'!F66</f>
        <v>0.2262892475</v>
      </c>
      <c r="AQ66" s="42">
        <f>'1kpi_performance'!G66</f>
        <v>0.237359532</v>
      </c>
      <c r="AR66" s="42">
        <f>'1kpi_performance'!H66</f>
        <v>0.2023387071</v>
      </c>
      <c r="AS66" s="42">
        <f>'1kpi_performance'!I66</f>
        <v>0.3309994214</v>
      </c>
      <c r="AT66" s="35">
        <f>'1kpi_performance'!J66</f>
        <v>2.432069142</v>
      </c>
      <c r="AU66" s="35">
        <f>'1kpi_performance'!K66</f>
        <v>2.689189234</v>
      </c>
      <c r="AV66" s="35">
        <f>'1kpi_performance'!L66</f>
        <v>2.981353016</v>
      </c>
      <c r="AW66" s="35">
        <f>'1kpi_performance'!M66</f>
        <v>0.6293910156</v>
      </c>
      <c r="AX66" s="42">
        <f>'1kpi_performance'!N66</f>
        <v>0.2027446919</v>
      </c>
      <c r="AY66" s="42">
        <f>'1kpi_performance'!O66</f>
        <v>0.2027446919</v>
      </c>
      <c r="AZ66" s="42">
        <f>'1kpi_performance'!P66</f>
        <v>0.1447483338</v>
      </c>
      <c r="BA66" s="42">
        <f>'1kpi_performance'!Q66</f>
        <v>0.443980515</v>
      </c>
      <c r="BB66" s="35">
        <f>'1kpi_performance'!R66</f>
        <v>5.102708236</v>
      </c>
      <c r="BC66" s="35">
        <f>'1kpi_performance'!S66</f>
        <v>5.81198133</v>
      </c>
      <c r="BD66" s="35">
        <f>'1kpi_performance'!T66</f>
        <v>6.783928929</v>
      </c>
      <c r="BE66" s="35">
        <f>'1kpi_performance'!U66</f>
        <v>1.235573965</v>
      </c>
      <c r="BF66" s="47"/>
      <c r="BG66" s="47"/>
      <c r="BH66" s="47"/>
      <c r="BI66" s="47"/>
      <c r="BJ66" s="47"/>
      <c r="BK66" s="47"/>
      <c r="BL66" s="47"/>
      <c r="BM66" s="47"/>
      <c r="BN66" s="47"/>
      <c r="BO66" s="47"/>
      <c r="BP66" s="47"/>
      <c r="BQ66" s="47"/>
      <c r="BR66" s="47"/>
      <c r="BS66" s="47"/>
      <c r="BT66" s="47"/>
    </row>
    <row r="67" ht="11.25" customHeight="1">
      <c r="A67" s="35" t="str">
        <f>'13all_company_profile'!A67</f>
        <v>AWK</v>
      </c>
      <c r="B67" s="35" t="str">
        <f>'13all_company_profile'!B67</f>
        <v>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v>
      </c>
      <c r="C67" s="44" t="str">
        <f>'13all_company_profile'!C67</f>
        <v>https://financialmodelingprep.com/image-stock/AWK.png</v>
      </c>
      <c r="D67" s="35" t="str">
        <f>'13all_company_profile'!D67</f>
        <v>American Water Works Company, Inc.</v>
      </c>
      <c r="E67" s="36">
        <f>'13all_company_profile'!E67</f>
        <v>30120222720</v>
      </c>
      <c r="F67" s="37">
        <f>'13all_company_profile'!F67</f>
        <v>757471</v>
      </c>
      <c r="G67" s="35">
        <f>'13all_company_profile'!G67</f>
        <v>2.2525</v>
      </c>
      <c r="H67" s="38">
        <f>'13all_company_profile'!H67</f>
        <v>44411</v>
      </c>
      <c r="I67" s="35">
        <f>'13all_company_profile'!I67</f>
        <v>42.741283</v>
      </c>
      <c r="J67" s="35">
        <f>'13all_company_profile'!J67</f>
        <v>3.958</v>
      </c>
      <c r="K67" s="42">
        <f t="shared" si="1"/>
        <v>0.01351229754</v>
      </c>
      <c r="L67" s="35">
        <f>'7company_info'!B67</f>
        <v>166.7</v>
      </c>
      <c r="M67" s="35">
        <f>'7company_info'!C67</f>
        <v>169.45</v>
      </c>
      <c r="N67" s="35">
        <f>'7company_info'!D67</f>
        <v>165.71</v>
      </c>
      <c r="O67" s="35">
        <f>'7company_info'!E67</f>
        <v>-0.66</v>
      </c>
      <c r="P67" s="35">
        <f>'7company_info'!F67</f>
        <v>-0.0039</v>
      </c>
      <c r="Q67" s="35">
        <f>'7company_info'!G67</f>
        <v>167.97</v>
      </c>
      <c r="R67" s="35">
        <f>'7company_info'!H67</f>
        <v>167.36</v>
      </c>
      <c r="S67" s="35">
        <f>'7company_info'!I67</f>
        <v>131.01</v>
      </c>
      <c r="T67" s="35">
        <f>'7company_info'!J67</f>
        <v>172.56</v>
      </c>
      <c r="U67" s="39">
        <v>162.864733333333</v>
      </c>
      <c r="V67" s="39">
        <v>164.467566666666</v>
      </c>
      <c r="W67" s="40">
        <v>165.695133333333</v>
      </c>
      <c r="X67" s="40">
        <v>168.525533333333</v>
      </c>
      <c r="Y67" s="40">
        <v>161.637166666666</v>
      </c>
      <c r="Z67" s="40">
        <v>160.034333333333</v>
      </c>
      <c r="AA67" s="40">
        <v>157.203933333333</v>
      </c>
      <c r="AB67" s="40">
        <v>161.065</v>
      </c>
      <c r="AC67" s="40">
        <v>164.0923</v>
      </c>
      <c r="AD67" s="40">
        <v>159.505598319699</v>
      </c>
      <c r="AE67" s="40">
        <v>155.7735</v>
      </c>
      <c r="AF67" s="40">
        <v>3.25476999999999</v>
      </c>
      <c r="AG67" s="40">
        <v>166.08</v>
      </c>
      <c r="AH67" s="45">
        <v>44229.0</v>
      </c>
      <c r="AI67" s="44" t="str">
        <f>'6image_RS_benchmark_performance'!B67</f>
        <v>https://3arbzfbsh-cname-us.ngrok.io/Desktop/seabridge%20fintech/image_app/AWK_resistance_support.jpg</v>
      </c>
      <c r="AJ67" s="44" t="str">
        <f>'6image_RS_benchmark_performance'!C67</f>
        <v>https://3arbzfbsh-cname-us.ngrok.io/Desktop/seabridge%20fintech/profit_graph_app/AWK_Return.jpg</v>
      </c>
      <c r="AK67" s="46" t="str">
        <f>'5price_action_icon'!B67</f>
        <v>https://3arbzfbsh-cname-us.ngrok.io/Desktop/seabridge%20fintech/icon/AWK_pa_trend_signal</v>
      </c>
      <c r="AL67" s="42">
        <f>'1kpi_performance'!B67</f>
        <v>0.4263401853</v>
      </c>
      <c r="AM67" s="42">
        <f>'1kpi_performance'!C67</f>
        <v>0.5298824076</v>
      </c>
      <c r="AN67" s="42">
        <f>'1kpi_performance'!D67</f>
        <v>0.5211437204</v>
      </c>
      <c r="AO67" s="42">
        <f>'1kpi_performance'!E67</f>
        <v>0.2828965334</v>
      </c>
      <c r="AP67" s="42">
        <f>'1kpi_performance'!F67</f>
        <v>0.1621076267</v>
      </c>
      <c r="AQ67" s="42">
        <f>'1kpi_performance'!G67</f>
        <v>0.1940893996</v>
      </c>
      <c r="AR67" s="42">
        <f>'1kpi_performance'!H67</f>
        <v>0.1883824045</v>
      </c>
      <c r="AS67" s="42">
        <f>'1kpi_performance'!I67</f>
        <v>0.2522836424</v>
      </c>
      <c r="AT67" s="35">
        <f>'1kpi_performance'!J67</f>
        <v>2.475763746</v>
      </c>
      <c r="AU67" s="35">
        <f>'1kpi_performance'!K67</f>
        <v>2.601287905</v>
      </c>
      <c r="AV67" s="35">
        <f>'1kpi_performance'!L67</f>
        <v>2.633705211</v>
      </c>
      <c r="AW67" s="35">
        <f>'1kpi_performance'!M67</f>
        <v>1.022248335</v>
      </c>
      <c r="AX67" s="42">
        <f>'1kpi_performance'!N67</f>
        <v>0.1138098252</v>
      </c>
      <c r="AY67" s="42">
        <f>'1kpi_performance'!O67</f>
        <v>0.1688086643</v>
      </c>
      <c r="AZ67" s="42">
        <f>'1kpi_performance'!P67</f>
        <v>0.299133574</v>
      </c>
      <c r="BA67" s="42">
        <f>'1kpi_performance'!Q67</f>
        <v>0.3115602837</v>
      </c>
      <c r="BB67" s="35">
        <f>'1kpi_performance'!R67</f>
        <v>4.960591323</v>
      </c>
      <c r="BC67" s="35">
        <f>'1kpi_performance'!S67</f>
        <v>5.596880822</v>
      </c>
      <c r="BD67" s="35">
        <f>'1kpi_performance'!T67</f>
        <v>5.334218059</v>
      </c>
      <c r="BE67" s="35">
        <f>'1kpi_performance'!U67</f>
        <v>1.98296276</v>
      </c>
      <c r="BF67" s="47"/>
      <c r="BG67" s="47"/>
      <c r="BH67" s="47"/>
      <c r="BI67" s="47"/>
      <c r="BJ67" s="47"/>
      <c r="BK67" s="47"/>
      <c r="BL67" s="47"/>
      <c r="BM67" s="47"/>
      <c r="BN67" s="47"/>
      <c r="BO67" s="47"/>
      <c r="BP67" s="47"/>
      <c r="BQ67" s="47"/>
      <c r="BR67" s="47"/>
      <c r="BS67" s="47"/>
      <c r="BT67" s="47"/>
    </row>
    <row r="68" ht="11.25" customHeight="1">
      <c r="A68" s="35" t="str">
        <f>'13all_company_profile'!A68</f>
        <v>AXP</v>
      </c>
      <c r="B68" s="35" t="str">
        <f>'13all_company_profile'!B68</f>
        <v>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v>
      </c>
      <c r="C68" s="44" t="str">
        <f>'13all_company_profile'!C68</f>
        <v>https://financialmodelingprep.com/image-stock/AXP.png</v>
      </c>
      <c r="D68" s="35" t="str">
        <f>'13all_company_profile'!D68</f>
        <v>American Express Company</v>
      </c>
      <c r="E68" s="36">
        <f>'13all_company_profile'!E68</f>
        <v>138866982912</v>
      </c>
      <c r="F68" s="37">
        <f>'13all_company_profile'!F68</f>
        <v>3158895</v>
      </c>
      <c r="G68" s="35">
        <f>'13all_company_profile'!G68</f>
        <v>1.72</v>
      </c>
      <c r="H68" s="38">
        <f>'13all_company_profile'!H68</f>
        <v>44400</v>
      </c>
      <c r="I68" s="35">
        <f>'13all_company_profile'!I68</f>
        <v>27.849535</v>
      </c>
      <c r="J68" s="35">
        <f>'13all_company_profile'!J68</f>
        <v>6.101</v>
      </c>
      <c r="K68" s="42">
        <f t="shared" si="1"/>
        <v>0.01018534968</v>
      </c>
      <c r="L68" s="35">
        <f>'7company_info'!B68</f>
        <v>168.87</v>
      </c>
      <c r="M68" s="35">
        <f>'7company_info'!C68</f>
        <v>169.58</v>
      </c>
      <c r="N68" s="35">
        <f>'7company_info'!D68</f>
        <v>162.57</v>
      </c>
      <c r="O68" s="35">
        <f>'7company_info'!E68</f>
        <v>6.06</v>
      </c>
      <c r="P68" s="35">
        <f>'7company_info'!F68</f>
        <v>0.0372</v>
      </c>
      <c r="Q68" s="35">
        <f>'7company_info'!G68</f>
        <v>162.94</v>
      </c>
      <c r="R68" s="35">
        <f>'7company_info'!H68</f>
        <v>162.81</v>
      </c>
      <c r="S68" s="35">
        <f>'7company_info'!I68</f>
        <v>89.11</v>
      </c>
      <c r="T68" s="35">
        <f>'7company_info'!J68</f>
        <v>174.76</v>
      </c>
      <c r="U68" s="39">
        <v>172.693333333333</v>
      </c>
      <c r="V68" s="39">
        <v>174.376666666666</v>
      </c>
      <c r="W68" s="40">
        <v>176.233333333333</v>
      </c>
      <c r="X68" s="40">
        <v>179.773333333333</v>
      </c>
      <c r="Y68" s="40">
        <v>170.836666666666</v>
      </c>
      <c r="Z68" s="40">
        <v>169.153333333333</v>
      </c>
      <c r="AA68" s="40">
        <v>165.613333333333</v>
      </c>
      <c r="AB68" s="40">
        <v>167.01</v>
      </c>
      <c r="AC68" s="40">
        <v>174.76</v>
      </c>
      <c r="AD68" s="40">
        <v>167.925087799323</v>
      </c>
      <c r="AE68" s="40">
        <v>165.0053</v>
      </c>
      <c r="AF68" s="40">
        <v>3.82935</v>
      </c>
      <c r="AG68" s="40">
        <v>174.76</v>
      </c>
      <c r="AH68" s="45">
        <v>44384.0</v>
      </c>
      <c r="AI68" s="44" t="str">
        <f>'6image_RS_benchmark_performance'!B68</f>
        <v>https://3arbzfbsh-cname-us.ngrok.io/Desktop/seabridge%20fintech/image_app/AXP_resistance_support.jpg</v>
      </c>
      <c r="AJ68" s="44" t="str">
        <f>'6image_RS_benchmark_performance'!C68</f>
        <v>https://3arbzfbsh-cname-us.ngrok.io/Desktop/seabridge%20fintech/profit_graph_app/AXP_Return.jpg</v>
      </c>
      <c r="AK68" s="46" t="str">
        <f>'5price_action_icon'!B68</f>
        <v>https://3arbzfbsh-cname-us.ngrok.io/Desktop/seabridge%20fintech/icon/AXP_pa_trend_signal</v>
      </c>
      <c r="AL68" s="42">
        <f>'1kpi_performance'!B68</f>
        <v>0.5216465023</v>
      </c>
      <c r="AM68" s="42">
        <f>'1kpi_performance'!C68</f>
        <v>0.664759062</v>
      </c>
      <c r="AN68" s="42">
        <f>'1kpi_performance'!D68</f>
        <v>0.6815154115</v>
      </c>
      <c r="AO68" s="42">
        <f>'1kpi_performance'!E68</f>
        <v>0.1919390876</v>
      </c>
      <c r="AP68" s="42">
        <f>'1kpi_performance'!F68</f>
        <v>0.2290790228</v>
      </c>
      <c r="AQ68" s="42">
        <f>'1kpi_performance'!G68</f>
        <v>0.2374494393</v>
      </c>
      <c r="AR68" s="42">
        <f>'1kpi_performance'!H68</f>
        <v>0.2137564796</v>
      </c>
      <c r="AS68" s="42">
        <f>'1kpi_performance'!I68</f>
        <v>0.3461701449</v>
      </c>
      <c r="AT68" s="35">
        <f>'1kpi_performance'!J68</f>
        <v>2.168013885</v>
      </c>
      <c r="AU68" s="35">
        <f>'1kpi_performance'!K68</f>
        <v>2.694295948</v>
      </c>
      <c r="AV68" s="35">
        <f>'1kpi_performance'!L68</f>
        <v>3.071324026</v>
      </c>
      <c r="AW68" s="35">
        <f>'1kpi_performance'!M68</f>
        <v>0.4822457688</v>
      </c>
      <c r="AX68" s="42">
        <f>'1kpi_performance'!N68</f>
        <v>0.2110622789</v>
      </c>
      <c r="AY68" s="42">
        <f>'1kpi_performance'!O68</f>
        <v>0.3135362559</v>
      </c>
      <c r="AZ68" s="42">
        <f>'1kpi_performance'!P68</f>
        <v>0.1908260762</v>
      </c>
      <c r="BA68" s="42">
        <f>'1kpi_performance'!Q68</f>
        <v>0.4963850142</v>
      </c>
      <c r="BB68" s="35">
        <f>'1kpi_performance'!R68</f>
        <v>4.737552443</v>
      </c>
      <c r="BC68" s="35">
        <f>'1kpi_performance'!S68</f>
        <v>5.968371661</v>
      </c>
      <c r="BD68" s="35">
        <f>'1kpi_performance'!T68</f>
        <v>7.198314351</v>
      </c>
      <c r="BE68" s="35">
        <f>'1kpi_performance'!U68</f>
        <v>0.9530368663</v>
      </c>
      <c r="BF68" s="47"/>
      <c r="BG68" s="47"/>
      <c r="BH68" s="47"/>
      <c r="BI68" s="47"/>
      <c r="BJ68" s="47"/>
      <c r="BK68" s="47"/>
      <c r="BL68" s="47"/>
      <c r="BM68" s="47"/>
      <c r="BN68" s="47"/>
      <c r="BO68" s="47"/>
      <c r="BP68" s="47"/>
      <c r="BQ68" s="47"/>
      <c r="BR68" s="47"/>
      <c r="BS68" s="47"/>
      <c r="BT68" s="47"/>
    </row>
    <row r="69" ht="11.25" customHeight="1">
      <c r="A69" s="35" t="str">
        <f>'13all_company_profile'!A69</f>
        <v>AXTA</v>
      </c>
      <c r="B69" s="35" t="str">
        <f>'13all_company_profile'!B69</f>
        <v>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v>
      </c>
      <c r="C69" s="44" t="str">
        <f>'13all_company_profile'!C69</f>
        <v>https://financialmodelingprep.com/image-stock/AXTA.png</v>
      </c>
      <c r="D69" s="35" t="str">
        <f>'13all_company_profile'!D69</f>
        <v>Axalta Coating Systems Ltd.</v>
      </c>
      <c r="E69" s="36">
        <f>'13all_company_profile'!E69</f>
        <v>6913867264</v>
      </c>
      <c r="F69" s="37">
        <f>'13all_company_profile'!F69</f>
        <v>3359520</v>
      </c>
      <c r="G69" s="35">
        <f>'13all_company_profile'!G69</f>
        <v>0</v>
      </c>
      <c r="H69" s="38">
        <f>'13all_company_profile'!H69</f>
        <v>44404</v>
      </c>
      <c r="I69" s="35">
        <f>'13all_company_profile'!I69</f>
        <v>80.19444</v>
      </c>
      <c r="J69" s="35">
        <f>'13all_company_profile'!J69</f>
        <v>0.36</v>
      </c>
      <c r="K69" s="42" t="str">
        <f t="shared" si="1"/>
        <v>NaN</v>
      </c>
      <c r="L69" s="35">
        <f>'7company_info'!B69</f>
        <v>27.91</v>
      </c>
      <c r="M69" s="35">
        <f>'7company_info'!C69</f>
        <v>28.05</v>
      </c>
      <c r="N69" s="35">
        <f>'7company_info'!D69</f>
        <v>26.42</v>
      </c>
      <c r="O69" s="35">
        <f>'7company_info'!E69</f>
        <v>-0.08</v>
      </c>
      <c r="P69" s="35">
        <f>'7company_info'!F69</f>
        <v>-0.0029</v>
      </c>
      <c r="Q69" s="35">
        <f>'7company_info'!G69</f>
        <v>26.96</v>
      </c>
      <c r="R69" s="35">
        <f>'7company_info'!H69</f>
        <v>27.99</v>
      </c>
      <c r="S69" s="35">
        <f>'7company_info'!I69</f>
        <v>20.25</v>
      </c>
      <c r="T69" s="35">
        <f>'7company_info'!J69</f>
        <v>34.2</v>
      </c>
      <c r="U69" s="39">
        <v>29.9516666666666</v>
      </c>
      <c r="V69" s="39">
        <v>30.2033333333333</v>
      </c>
      <c r="W69" s="40">
        <v>30.4366666666666</v>
      </c>
      <c r="X69" s="40">
        <v>30.9216666666666</v>
      </c>
      <c r="Y69" s="40">
        <v>29.7183333333333</v>
      </c>
      <c r="Z69" s="40">
        <v>29.4666666666666</v>
      </c>
      <c r="AA69" s="40">
        <v>28.9816666666666</v>
      </c>
      <c r="AB69" s="40">
        <v>30.11</v>
      </c>
      <c r="AC69" s="40">
        <v>30.185</v>
      </c>
      <c r="AD69" s="40">
        <v>30.6663622910601</v>
      </c>
      <c r="AE69" s="40">
        <v>28.68502</v>
      </c>
      <c r="AF69" s="40">
        <v>0.564739999999999</v>
      </c>
      <c r="AG69" s="40">
        <v>34.2</v>
      </c>
      <c r="AH69" s="45">
        <v>44326.0</v>
      </c>
      <c r="AI69" s="44" t="str">
        <f>'6image_RS_benchmark_performance'!B69</f>
        <v>https://3arbzfbsh-cname-us.ngrok.io/Desktop/seabridge%20fintech/image_app/AXTA_resistance_support.jpg</v>
      </c>
      <c r="AJ69" s="44" t="str">
        <f>'6image_RS_benchmark_performance'!C69</f>
        <v>https://3arbzfbsh-cname-us.ngrok.io/Desktop/seabridge%20fintech/profit_graph_app/AXTA_Return.jpg</v>
      </c>
      <c r="AK69" s="46" t="str">
        <f>'5price_action_icon'!B69</f>
        <v>https://3arbzfbsh-cname-us.ngrok.io/Desktop/seabridge%20fintech/icon/AXTA_pa_trend_signal</v>
      </c>
      <c r="AL69" s="42">
        <f>'1kpi_performance'!B69</f>
        <v>0.7163740421</v>
      </c>
      <c r="AM69" s="42">
        <f>'1kpi_performance'!C69</f>
        <v>0.8368731058</v>
      </c>
      <c r="AN69" s="42">
        <f>'1kpi_performance'!D69</f>
        <v>0.571052828</v>
      </c>
      <c r="AO69" s="42">
        <f>'1kpi_performance'!E69</f>
        <v>0.08212122621</v>
      </c>
      <c r="AP69" s="42">
        <f>'1kpi_performance'!F69</f>
        <v>0.2713752157</v>
      </c>
      <c r="AQ69" s="42">
        <f>'1kpi_performance'!G69</f>
        <v>0.2674086497</v>
      </c>
      <c r="AR69" s="42">
        <f>'1kpi_performance'!H69</f>
        <v>0.2277029841</v>
      </c>
      <c r="AS69" s="42">
        <f>'1kpi_performance'!I69</f>
        <v>0.3931572998</v>
      </c>
      <c r="AT69" s="35">
        <f>'1kpi_performance'!J69</f>
        <v>2.547668328</v>
      </c>
      <c r="AU69" s="35">
        <f>'1kpi_performance'!K69</f>
        <v>3.036076457</v>
      </c>
      <c r="AV69" s="35">
        <f>'1kpi_performance'!L69</f>
        <v>2.398092542</v>
      </c>
      <c r="AW69" s="35">
        <f>'1kpi_performance'!M69</f>
        <v>0.1452884793</v>
      </c>
      <c r="AX69" s="42">
        <f>'1kpi_performance'!N69</f>
        <v>0.1562321624</v>
      </c>
      <c r="AY69" s="42">
        <f>'1kpi_performance'!O69</f>
        <v>0.1416712784</v>
      </c>
      <c r="AZ69" s="42">
        <f>'1kpi_performance'!P69</f>
        <v>0.2949979037</v>
      </c>
      <c r="BA69" s="42">
        <f>'1kpi_performance'!Q69</f>
        <v>0.6359520639</v>
      </c>
      <c r="BB69" s="35">
        <f>'1kpi_performance'!R69</f>
        <v>6.044316145</v>
      </c>
      <c r="BC69" s="35">
        <f>'1kpi_performance'!S69</f>
        <v>7.461625179</v>
      </c>
      <c r="BD69" s="35">
        <f>'1kpi_performance'!T69</f>
        <v>5.252882633</v>
      </c>
      <c r="BE69" s="35">
        <f>'1kpi_performance'!U69</f>
        <v>0.2771205627</v>
      </c>
      <c r="BF69" s="47"/>
      <c r="BG69" s="47"/>
      <c r="BH69" s="47"/>
      <c r="BI69" s="47"/>
      <c r="BJ69" s="47"/>
      <c r="BK69" s="47"/>
      <c r="BL69" s="47"/>
      <c r="BM69" s="47"/>
      <c r="BN69" s="47"/>
      <c r="BO69" s="47"/>
      <c r="BP69" s="47"/>
      <c r="BQ69" s="47"/>
      <c r="BR69" s="47"/>
      <c r="BS69" s="47"/>
      <c r="BT69" s="47"/>
    </row>
    <row r="70" ht="11.25" customHeight="1">
      <c r="A70" s="35" t="str">
        <f>'13all_company_profile'!A70</f>
        <v>AZO</v>
      </c>
      <c r="B70" s="35" t="str">
        <f>'13all_company_profile'!B70</f>
        <v>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v>
      </c>
      <c r="C70" s="44" t="str">
        <f>'13all_company_profile'!C70</f>
        <v>https://financialmodelingprep.com/image-stock/AZO.png</v>
      </c>
      <c r="D70" s="35" t="str">
        <f>'13all_company_profile'!D70</f>
        <v>AutoZone, Inc.</v>
      </c>
      <c r="E70" s="36">
        <f>'13all_company_profile'!E70</f>
        <v>34418032640</v>
      </c>
      <c r="F70" s="37">
        <f>'13all_company_profile'!F70</f>
        <v>190025</v>
      </c>
      <c r="G70" s="35">
        <f>'13all_company_profile'!G70</f>
        <v>0</v>
      </c>
      <c r="H70" s="38" t="str">
        <f>'13all_company_profile'!H70</f>
        <v>not avaiable</v>
      </c>
      <c r="I70" s="35">
        <f>'13all_company_profile'!I70</f>
        <v>17.634888</v>
      </c>
      <c r="J70" s="35">
        <f>'13all_company_profile'!J70</f>
        <v>91.057</v>
      </c>
      <c r="K70" s="42" t="str">
        <f t="shared" si="1"/>
        <v>NaN</v>
      </c>
      <c r="L70" s="35">
        <f>'7company_info'!B70</f>
        <v>1601.75</v>
      </c>
      <c r="M70" s="35">
        <f>'7company_info'!C70</f>
        <v>1611.55</v>
      </c>
      <c r="N70" s="35">
        <f>'7company_info'!D70</f>
        <v>1587.76</v>
      </c>
      <c r="O70" s="35">
        <f>'7company_info'!E70</f>
        <v>17.18</v>
      </c>
      <c r="P70" s="35">
        <f>'7company_info'!F70</f>
        <v>0.0108</v>
      </c>
      <c r="Q70" s="35">
        <f>'7company_info'!G70</f>
        <v>1587.76</v>
      </c>
      <c r="R70" s="35">
        <f>'7company_info'!H70</f>
        <v>1584.57</v>
      </c>
      <c r="S70" s="35">
        <f>'7company_info'!I70</f>
        <v>1085.85</v>
      </c>
      <c r="T70" s="35">
        <f>'7company_info'!J70</f>
        <v>1612.33</v>
      </c>
      <c r="U70" s="39">
        <v>1572.45333333333</v>
      </c>
      <c r="V70" s="39">
        <v>1589.92666666666</v>
      </c>
      <c r="W70" s="40">
        <v>1599.88333333333</v>
      </c>
      <c r="X70" s="40">
        <v>1627.31333333333</v>
      </c>
      <c r="Y70" s="40">
        <v>1562.49666666666</v>
      </c>
      <c r="Z70" s="40">
        <v>1545.02333333333</v>
      </c>
      <c r="AA70" s="40">
        <v>1517.59333333333</v>
      </c>
      <c r="AB70" s="40">
        <v>1367.96</v>
      </c>
      <c r="AC70" s="40">
        <v>1585.305</v>
      </c>
      <c r="AD70" s="40">
        <v>1507.85780384233</v>
      </c>
      <c r="AE70" s="40">
        <v>1507.26899999999</v>
      </c>
      <c r="AF70" s="40">
        <v>25.0575</v>
      </c>
      <c r="AG70" s="40">
        <v>1542.3</v>
      </c>
      <c r="AH70" s="45">
        <v>44326.0</v>
      </c>
      <c r="AI70" s="44" t="str">
        <f>'6image_RS_benchmark_performance'!B70</f>
        <v>https://3arbzfbsh-cname-us.ngrok.io/Desktop/seabridge%20fintech/image_app/AZO_resistance_support.jpg</v>
      </c>
      <c r="AJ70" s="44" t="str">
        <f>'6image_RS_benchmark_performance'!C70</f>
        <v>https://3arbzfbsh-cname-us.ngrok.io/Desktop/seabridge%20fintech/profit_graph_app/AZO_Return.jpg</v>
      </c>
      <c r="AK70" s="46" t="str">
        <f>'5price_action_icon'!B70</f>
        <v>https://3arbzfbsh-cname-us.ngrok.io/Desktop/seabridge%20fintech/icon/AZO_pa_trend_signal</v>
      </c>
      <c r="AL70" s="42">
        <f>'1kpi_performance'!B70</f>
        <v>0.5880615945</v>
      </c>
      <c r="AM70" s="42">
        <f>'1kpi_performance'!C70</f>
        <v>0.6866951308</v>
      </c>
      <c r="AN70" s="42">
        <f>'1kpi_performance'!D70</f>
        <v>0.4502000825</v>
      </c>
      <c r="AO70" s="42">
        <f>'1kpi_performance'!E70</f>
        <v>0.3330288193</v>
      </c>
      <c r="AP70" s="42">
        <f>'1kpi_performance'!F70</f>
        <v>0.1809000819</v>
      </c>
      <c r="AQ70" s="42">
        <f>'1kpi_performance'!G70</f>
        <v>0.1874841272</v>
      </c>
      <c r="AR70" s="42">
        <f>'1kpi_performance'!H70</f>
        <v>0.174791756</v>
      </c>
      <c r="AS70" s="42">
        <f>'1kpi_performance'!I70</f>
        <v>0.2762755565</v>
      </c>
      <c r="AT70" s="35">
        <f>'1kpi_performance'!J70</f>
        <v>3.112555774</v>
      </c>
      <c r="AU70" s="35">
        <f>'1kpi_performance'!K70</f>
        <v>3.529339474</v>
      </c>
      <c r="AV70" s="35">
        <f>'1kpi_performance'!L70</f>
        <v>2.43260948</v>
      </c>
      <c r="AW70" s="35">
        <f>'1kpi_performance'!M70</f>
        <v>1.114933305</v>
      </c>
      <c r="AX70" s="42">
        <f>'1kpi_performance'!N70</f>
        <v>0.2258186455</v>
      </c>
      <c r="AY70" s="42">
        <f>'1kpi_performance'!O70</f>
        <v>0.1275037174</v>
      </c>
      <c r="AZ70" s="42">
        <f>'1kpi_performance'!P70</f>
        <v>0.1984250034</v>
      </c>
      <c r="BA70" s="42">
        <f>'1kpi_performance'!Q70</f>
        <v>0.421424</v>
      </c>
      <c r="BB70" s="35">
        <f>'1kpi_performance'!R70</f>
        <v>6.586623239</v>
      </c>
      <c r="BC70" s="35">
        <f>'1kpi_performance'!S70</f>
        <v>8.465627722</v>
      </c>
      <c r="BD70" s="35">
        <f>'1kpi_performance'!T70</f>
        <v>4.815674179</v>
      </c>
      <c r="BE70" s="35">
        <f>'1kpi_performance'!U70</f>
        <v>2.06894414</v>
      </c>
      <c r="BF70" s="47"/>
      <c r="BG70" s="47"/>
      <c r="BH70" s="47"/>
      <c r="BI70" s="47"/>
      <c r="BJ70" s="47"/>
      <c r="BK70" s="47"/>
      <c r="BL70" s="47"/>
      <c r="BM70" s="47"/>
      <c r="BN70" s="47"/>
      <c r="BO70" s="47"/>
      <c r="BP70" s="47"/>
      <c r="BQ70" s="47"/>
      <c r="BR70" s="47"/>
      <c r="BS70" s="47"/>
      <c r="BT70" s="47"/>
    </row>
    <row r="71" ht="11.25" customHeight="1">
      <c r="A71" s="35" t="str">
        <f>'13all_company_profile'!A71</f>
        <v>BA</v>
      </c>
      <c r="B71" s="35" t="str">
        <f>'13all_company_profile'!B71</f>
        <v>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v>
      </c>
      <c r="C71" s="44" t="str">
        <f>'13all_company_profile'!C71</f>
        <v>https://financialmodelingprep.com/image-stock/BA.png</v>
      </c>
      <c r="D71" s="35" t="str">
        <f>'13all_company_profile'!D71</f>
        <v>The Boeing Company</v>
      </c>
      <c r="E71" s="36">
        <f>'13all_company_profile'!E71</f>
        <v>130178703360</v>
      </c>
      <c r="F71" s="37">
        <f>'13all_company_profile'!F71</f>
        <v>12634876</v>
      </c>
      <c r="G71" s="35">
        <f>'13all_company_profile'!G71</f>
        <v>2.055</v>
      </c>
      <c r="H71" s="38">
        <f>'13all_company_profile'!H71</f>
        <v>44404</v>
      </c>
      <c r="I71" s="35" t="str">
        <f>'13all_company_profile'!I71</f>
        <v>NaN</v>
      </c>
      <c r="J71" s="35">
        <f>'13all_company_profile'!J71</f>
        <v>-20.547</v>
      </c>
      <c r="K71" s="42">
        <f t="shared" si="1"/>
        <v>0.00946350449</v>
      </c>
      <c r="L71" s="35">
        <f>'7company_info'!B71</f>
        <v>217.15</v>
      </c>
      <c r="M71" s="35">
        <f>'7company_info'!C71</f>
        <v>217.37</v>
      </c>
      <c r="N71" s="35">
        <f>'7company_info'!D71</f>
        <v>206.62</v>
      </c>
      <c r="O71" s="35">
        <f>'7company_info'!E71</f>
        <v>10.16</v>
      </c>
      <c r="P71" s="35">
        <f>'7company_info'!F71</f>
        <v>0.0491</v>
      </c>
      <c r="Q71" s="35">
        <f>'7company_info'!G71</f>
        <v>208.1</v>
      </c>
      <c r="R71" s="35">
        <f>'7company_info'!H71</f>
        <v>206.99</v>
      </c>
      <c r="S71" s="35">
        <f>'7company_info'!I71</f>
        <v>141.58</v>
      </c>
      <c r="T71" s="35">
        <f>'7company_info'!J71</f>
        <v>278.57</v>
      </c>
      <c r="U71" s="39">
        <v>226.421666666666</v>
      </c>
      <c r="V71" s="39">
        <v>228.543333333333</v>
      </c>
      <c r="W71" s="40">
        <v>232.636666666666</v>
      </c>
      <c r="X71" s="40">
        <v>238.851666666666</v>
      </c>
      <c r="Y71" s="40">
        <v>222.328333333333</v>
      </c>
      <c r="Z71" s="40">
        <v>220.206666666666</v>
      </c>
      <c r="AA71" s="40">
        <v>213.991666666666</v>
      </c>
      <c r="AB71" s="40">
        <v>224.3</v>
      </c>
      <c r="AC71" s="40">
        <v>249.2</v>
      </c>
      <c r="AD71" s="40">
        <v>237.739757406443</v>
      </c>
      <c r="AE71" s="40">
        <v>216.17227</v>
      </c>
      <c r="AF71" s="40">
        <v>6.14611499999999</v>
      </c>
      <c r="AG71" s="40">
        <v>278.5671</v>
      </c>
      <c r="AH71" s="45">
        <v>44270.0</v>
      </c>
      <c r="AI71" s="44" t="str">
        <f>'6image_RS_benchmark_performance'!B71</f>
        <v>https://3arbzfbsh-cname-us.ngrok.io/Desktop/seabridge%20fintech/image_app/BA_resistance_support.jpg</v>
      </c>
      <c r="AJ71" s="44" t="str">
        <f>'6image_RS_benchmark_performance'!C71</f>
        <v>https://3arbzfbsh-cname-us.ngrok.io/Desktop/seabridge%20fintech/profit_graph_app/BA_Return.jpg</v>
      </c>
      <c r="AK71" s="46" t="str">
        <f>'5price_action_icon'!B71</f>
        <v>https://3arbzfbsh-cname-us.ngrok.io/Desktop/seabridge%20fintech/icon/BA_pa_trend_signal</v>
      </c>
      <c r="AL71" s="42">
        <f>'1kpi_performance'!B71</f>
        <v>0.626650735</v>
      </c>
      <c r="AM71" s="42">
        <f>'1kpi_performance'!C71</f>
        <v>0.8692516621</v>
      </c>
      <c r="AN71" s="42">
        <f>'1kpi_performance'!D71</f>
        <v>0.7211832104</v>
      </c>
      <c r="AO71" s="42">
        <f>'1kpi_performance'!E71</f>
        <v>0.1806586391</v>
      </c>
      <c r="AP71" s="42">
        <f>'1kpi_performance'!F71</f>
        <v>0.3039655384</v>
      </c>
      <c r="AQ71" s="42">
        <f>'1kpi_performance'!G71</f>
        <v>0.2651605418</v>
      </c>
      <c r="AR71" s="42">
        <f>'1kpi_performance'!H71</f>
        <v>0.2822673451</v>
      </c>
      <c r="AS71" s="42">
        <f>'1kpi_performance'!I71</f>
        <v>0.425226285</v>
      </c>
      <c r="AT71" s="35">
        <f>'1kpi_performance'!J71</f>
        <v>1.979338639</v>
      </c>
      <c r="AU71" s="35">
        <f>'1kpi_performance'!K71</f>
        <v>3.183926448</v>
      </c>
      <c r="AV71" s="35">
        <f>'1kpi_performance'!L71</f>
        <v>2.466396565</v>
      </c>
      <c r="AW71" s="35">
        <f>'1kpi_performance'!M71</f>
        <v>0.3660607178</v>
      </c>
      <c r="AX71" s="42">
        <f>'1kpi_performance'!N71</f>
        <v>0.3270562171</v>
      </c>
      <c r="AY71" s="42">
        <f>'1kpi_performance'!O71</f>
        <v>0.2761008031</v>
      </c>
      <c r="AZ71" s="42">
        <f>'1kpi_performance'!P71</f>
        <v>0.28687922</v>
      </c>
      <c r="BA71" s="42">
        <f>'1kpi_performance'!Q71</f>
        <v>0.7843720212</v>
      </c>
      <c r="BB71" s="35">
        <f>'1kpi_performance'!R71</f>
        <v>4.439982195</v>
      </c>
      <c r="BC71" s="35">
        <f>'1kpi_performance'!S71</f>
        <v>7.943850286</v>
      </c>
      <c r="BD71" s="35">
        <f>'1kpi_performance'!T71</f>
        <v>5.714388952</v>
      </c>
      <c r="BE71" s="35">
        <f>'1kpi_performance'!U71</f>
        <v>0.7111803115</v>
      </c>
      <c r="BF71" s="47"/>
      <c r="BG71" s="47"/>
      <c r="BH71" s="47"/>
      <c r="BI71" s="47"/>
      <c r="BJ71" s="47"/>
      <c r="BK71" s="47"/>
      <c r="BL71" s="47"/>
      <c r="BM71" s="47"/>
      <c r="BN71" s="47"/>
      <c r="BO71" s="47"/>
      <c r="BP71" s="47"/>
      <c r="BQ71" s="47"/>
      <c r="BR71" s="47"/>
      <c r="BS71" s="47"/>
      <c r="BT71" s="47"/>
    </row>
    <row r="72" ht="11.25" customHeight="1">
      <c r="A72" s="35" t="str">
        <f>'13all_company_profile'!A72</f>
        <v>BAC</v>
      </c>
      <c r="B72" s="35" t="str">
        <f>'13all_company_profile'!B72</f>
        <v>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v>
      </c>
      <c r="C72" s="44" t="str">
        <f>'13all_company_profile'!C72</f>
        <v>https://financialmodelingprep.com/image-stock/BAC.png</v>
      </c>
      <c r="D72" s="35" t="str">
        <f>'13all_company_profile'!D72</f>
        <v>Bank of America Corporation</v>
      </c>
      <c r="E72" s="36">
        <f>'13all_company_profile'!E72</f>
        <v>332660998144</v>
      </c>
      <c r="F72" s="37">
        <f>'13all_company_profile'!F72</f>
        <v>45211049</v>
      </c>
      <c r="G72" s="35">
        <f>'13all_company_profile'!G72</f>
        <v>0.72</v>
      </c>
      <c r="H72" s="38" t="str">
        <f>'13all_company_profile'!H72</f>
        <v>not avaiable</v>
      </c>
      <c r="I72" s="35">
        <f>'13all_company_profile'!I72</f>
        <v>12.588333</v>
      </c>
      <c r="J72" s="35">
        <f>'13all_company_profile'!J72</f>
        <v>3</v>
      </c>
      <c r="K72" s="42">
        <f t="shared" si="1"/>
        <v>0.0191032104</v>
      </c>
      <c r="L72" s="35">
        <f>'7company_info'!B72</f>
        <v>37.69</v>
      </c>
      <c r="M72" s="35">
        <f>'7company_info'!C72</f>
        <v>38.12</v>
      </c>
      <c r="N72" s="35">
        <f>'7company_info'!D72</f>
        <v>36.61</v>
      </c>
      <c r="O72" s="35">
        <f>'7company_info'!E72</f>
        <v>0.76</v>
      </c>
      <c r="P72" s="35">
        <f>'7company_info'!F72</f>
        <v>0.0206</v>
      </c>
      <c r="Q72" s="35">
        <f>'7company_info'!G72</f>
        <v>36.86</v>
      </c>
      <c r="R72" s="35">
        <f>'7company_info'!H72</f>
        <v>36.93</v>
      </c>
      <c r="S72" s="35">
        <f>'7company_info'!I72</f>
        <v>22.95</v>
      </c>
      <c r="T72" s="35">
        <f>'7company_info'!J72</f>
        <v>43.49</v>
      </c>
      <c r="U72" s="39">
        <v>38.7333333333333</v>
      </c>
      <c r="V72" s="39">
        <v>39.6766666666666</v>
      </c>
      <c r="W72" s="40">
        <v>40.4933333333333</v>
      </c>
      <c r="X72" s="40">
        <v>42.2533333333333</v>
      </c>
      <c r="Y72" s="40">
        <v>37.9166666666666</v>
      </c>
      <c r="Z72" s="40">
        <v>36.9733333333333</v>
      </c>
      <c r="AA72" s="40">
        <v>35.2133333333333</v>
      </c>
      <c r="AB72" s="40">
        <v>37.79</v>
      </c>
      <c r="AC72" s="40">
        <v>39.55</v>
      </c>
      <c r="AD72" s="40">
        <v>40.4697066433173</v>
      </c>
      <c r="AE72" s="40">
        <v>37.84414</v>
      </c>
      <c r="AF72" s="40">
        <v>1.07843</v>
      </c>
      <c r="AG72" s="40">
        <v>43.49</v>
      </c>
      <c r="AH72" s="45">
        <v>44350.0</v>
      </c>
      <c r="AI72" s="44" t="str">
        <f>'6image_RS_benchmark_performance'!B72</f>
        <v>https://3arbzfbsh-cname-us.ngrok.io/Desktop/seabridge%20fintech/image_app/BAC_resistance_support.jpg</v>
      </c>
      <c r="AJ72" s="44" t="str">
        <f>'6image_RS_benchmark_performance'!C72</f>
        <v>https://3arbzfbsh-cname-us.ngrok.io/Desktop/seabridge%20fintech/profit_graph_app/BAC_Return.jpg</v>
      </c>
      <c r="AK72" s="46" t="str">
        <f>'5price_action_icon'!B72</f>
        <v>https://3arbzfbsh-cname-us.ngrok.io/Desktop/seabridge%20fintech/icon/BAC_pa_trend_signal</v>
      </c>
      <c r="AL72" s="42">
        <f>'1kpi_performance'!B72</f>
        <v>0.6776903054</v>
      </c>
      <c r="AM72" s="42">
        <f>'1kpi_performance'!C72</f>
        <v>1.019538812</v>
      </c>
      <c r="AN72" s="42">
        <f>'1kpi_performance'!D72</f>
        <v>0.847989816</v>
      </c>
      <c r="AO72" s="42">
        <f>'1kpi_performance'!E72</f>
        <v>0.1216201226</v>
      </c>
      <c r="AP72" s="42">
        <f>'1kpi_performance'!F72</f>
        <v>0.2874623131</v>
      </c>
      <c r="AQ72" s="42">
        <f>'1kpi_performance'!G72</f>
        <v>0.265760828</v>
      </c>
      <c r="AR72" s="42">
        <f>'1kpi_performance'!H72</f>
        <v>0.2658988679</v>
      </c>
      <c r="AS72" s="42">
        <f>'1kpi_performance'!I72</f>
        <v>0.4216312119</v>
      </c>
      <c r="AT72" s="35">
        <f>'1kpi_performance'!J72</f>
        <v>2.270524781</v>
      </c>
      <c r="AU72" s="35">
        <f>'1kpi_performance'!K72</f>
        <v>3.742232517</v>
      </c>
      <c r="AV72" s="35">
        <f>'1kpi_performance'!L72</f>
        <v>3.09512343</v>
      </c>
      <c r="AW72" s="35">
        <f>'1kpi_performance'!M72</f>
        <v>0.2291578988</v>
      </c>
      <c r="AX72" s="42">
        <f>'1kpi_performance'!N72</f>
        <v>0.3152748777</v>
      </c>
      <c r="AY72" s="42">
        <f>'1kpi_performance'!O72</f>
        <v>0.1668653159</v>
      </c>
      <c r="AZ72" s="42">
        <f>'1kpi_performance'!P72</f>
        <v>0.4417220928</v>
      </c>
      <c r="BA72" s="42">
        <f>'1kpi_performance'!Q72</f>
        <v>0.7440965092</v>
      </c>
      <c r="BB72" s="35">
        <f>'1kpi_performance'!R72</f>
        <v>4.825386942</v>
      </c>
      <c r="BC72" s="35">
        <f>'1kpi_performance'!S72</f>
        <v>9.0024456</v>
      </c>
      <c r="BD72" s="35">
        <f>'1kpi_performance'!T72</f>
        <v>6.915393873</v>
      </c>
      <c r="BE72" s="35">
        <f>'1kpi_performance'!U72</f>
        <v>0.449165183</v>
      </c>
      <c r="BF72" s="47"/>
      <c r="BG72" s="47"/>
      <c r="BH72" s="47"/>
      <c r="BI72" s="47"/>
      <c r="BJ72" s="47"/>
      <c r="BK72" s="47"/>
      <c r="BL72" s="47"/>
      <c r="BM72" s="47"/>
      <c r="BN72" s="47"/>
      <c r="BO72" s="47"/>
      <c r="BP72" s="47"/>
      <c r="BQ72" s="47"/>
      <c r="BR72" s="47"/>
      <c r="BS72" s="47"/>
      <c r="BT72" s="47"/>
    </row>
    <row r="73" ht="11.25" customHeight="1">
      <c r="A73" s="35" t="str">
        <f>'13all_company_profile'!A73</f>
        <v>BAX</v>
      </c>
      <c r="B73" s="35" t="str">
        <f>'13all_company_profile'!B73</f>
        <v>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v>
      </c>
      <c r="C73" s="44" t="str">
        <f>'13all_company_profile'!C73</f>
        <v>https://financialmodelingprep.com/image-stock/BAX.png</v>
      </c>
      <c r="D73" s="35" t="str">
        <f>'13all_company_profile'!D73</f>
        <v>Baxter International Inc.</v>
      </c>
      <c r="E73" s="36">
        <f>'13all_company_profile'!E73</f>
        <v>40751128576</v>
      </c>
      <c r="F73" s="37">
        <f>'13all_company_profile'!F73</f>
        <v>2646769</v>
      </c>
      <c r="G73" s="35">
        <f>'13all_company_profile'!G73</f>
        <v>1.015</v>
      </c>
      <c r="H73" s="38">
        <f>'13all_company_profile'!H73</f>
        <v>44406</v>
      </c>
      <c r="I73" s="35">
        <f>'13all_company_profile'!I73</f>
        <v>39.41063</v>
      </c>
      <c r="J73" s="35">
        <f>'13all_company_profile'!J73</f>
        <v>2.07</v>
      </c>
      <c r="K73" s="42">
        <f t="shared" si="1"/>
        <v>0.01260243357</v>
      </c>
      <c r="L73" s="35">
        <f>'7company_info'!B73</f>
        <v>80.54</v>
      </c>
      <c r="M73" s="35">
        <f>'7company_info'!C73</f>
        <v>81.66</v>
      </c>
      <c r="N73" s="35">
        <f>'7company_info'!D73</f>
        <v>80.26</v>
      </c>
      <c r="O73" s="35">
        <f>'7company_info'!E73</f>
        <v>0.27</v>
      </c>
      <c r="P73" s="35">
        <f>'7company_info'!F73</f>
        <v>0.0034</v>
      </c>
      <c r="Q73" s="35">
        <f>'7company_info'!G73</f>
        <v>80.59</v>
      </c>
      <c r="R73" s="35">
        <f>'7company_info'!H73</f>
        <v>80.27</v>
      </c>
      <c r="S73" s="35">
        <f>'7company_info'!I73</f>
        <v>74.79</v>
      </c>
      <c r="T73" s="35">
        <f>'7company_info'!J73</f>
        <v>91.45</v>
      </c>
      <c r="U73" s="39">
        <v>80.8999999999999</v>
      </c>
      <c r="V73" s="39">
        <v>81.3299999999999</v>
      </c>
      <c r="W73" s="40">
        <v>81.66</v>
      </c>
      <c r="X73" s="40">
        <v>82.42</v>
      </c>
      <c r="Y73" s="40">
        <v>80.5699999999999</v>
      </c>
      <c r="Z73" s="40">
        <v>80.1399999999999</v>
      </c>
      <c r="AA73" s="40">
        <v>79.3799999999999</v>
      </c>
      <c r="AB73" s="40">
        <v>80.81</v>
      </c>
      <c r="AC73" s="40">
        <v>82.04</v>
      </c>
      <c r="AD73" s="40">
        <v>81.4366883571997</v>
      </c>
      <c r="AE73" s="40">
        <v>78.96431</v>
      </c>
      <c r="AF73" s="40">
        <v>1.033345</v>
      </c>
      <c r="AG73" s="40">
        <v>88.32</v>
      </c>
      <c r="AH73" s="45">
        <v>44309.0</v>
      </c>
      <c r="AI73" s="44" t="str">
        <f>'6image_RS_benchmark_performance'!B73</f>
        <v>https://3arbzfbsh-cname-us.ngrok.io/Desktop/seabridge%20fintech/image_app/BAX_resistance_support.jpg</v>
      </c>
      <c r="AJ73" s="44" t="str">
        <f>'6image_RS_benchmark_performance'!C73</f>
        <v>https://3arbzfbsh-cname-us.ngrok.io/Desktop/seabridge%20fintech/profit_graph_app/BAX_Return.jpg</v>
      </c>
      <c r="AK73" s="46" t="str">
        <f>'5price_action_icon'!B73</f>
        <v>https://3arbzfbsh-cname-us.ngrok.io/Desktop/seabridge%20fintech/icon/BAX_pa_trend_signal</v>
      </c>
      <c r="AL73" s="42">
        <f>'1kpi_performance'!B73</f>
        <v>0.4409744992</v>
      </c>
      <c r="AM73" s="42">
        <f>'1kpi_performance'!C73</f>
        <v>0.5171712501</v>
      </c>
      <c r="AN73" s="42">
        <f>'1kpi_performance'!D73</f>
        <v>0.3981224062</v>
      </c>
      <c r="AO73" s="42">
        <f>'1kpi_performance'!E73</f>
        <v>0.1210473717</v>
      </c>
      <c r="AP73" s="42">
        <f>'1kpi_performance'!F73</f>
        <v>0.165473973</v>
      </c>
      <c r="AQ73" s="42">
        <f>'1kpi_performance'!G73</f>
        <v>0.1730047303</v>
      </c>
      <c r="AR73" s="42">
        <f>'1kpi_performance'!H73</f>
        <v>0.1756848326</v>
      </c>
      <c r="AS73" s="42">
        <f>'1kpi_performance'!I73</f>
        <v>0.2614978736</v>
      </c>
      <c r="AT73" s="35">
        <f>'1kpi_performance'!J73</f>
        <v>2.513836416</v>
      </c>
      <c r="AU73" s="35">
        <f>'1kpi_performance'!K73</f>
        <v>2.844842735</v>
      </c>
      <c r="AV73" s="35">
        <f>'1kpi_performance'!L73</f>
        <v>2.12381684</v>
      </c>
      <c r="AW73" s="35">
        <f>'1kpi_performance'!M73</f>
        <v>0.3672969511</v>
      </c>
      <c r="AX73" s="42">
        <f>'1kpi_performance'!N73</f>
        <v>0.1018635921</v>
      </c>
      <c r="AY73" s="42">
        <f>'1kpi_performance'!O73</f>
        <v>0.1636970965</v>
      </c>
      <c r="AZ73" s="42">
        <f>'1kpi_performance'!P73</f>
        <v>0.2140347024</v>
      </c>
      <c r="BA73" s="42">
        <f>'1kpi_performance'!Q73</f>
        <v>0.324600639</v>
      </c>
      <c r="BB73" s="35">
        <f>'1kpi_performance'!R73</f>
        <v>5.368479403</v>
      </c>
      <c r="BC73" s="35">
        <f>'1kpi_performance'!S73</f>
        <v>6.238688779</v>
      </c>
      <c r="BD73" s="35">
        <f>'1kpi_performance'!T73</f>
        <v>4.266977214</v>
      </c>
      <c r="BE73" s="35">
        <f>'1kpi_performance'!U73</f>
        <v>0.6788339199</v>
      </c>
      <c r="BF73" s="47"/>
      <c r="BG73" s="47"/>
      <c r="BH73" s="47"/>
      <c r="BI73" s="47"/>
      <c r="BJ73" s="47"/>
      <c r="BK73" s="47"/>
      <c r="BL73" s="47"/>
      <c r="BM73" s="47"/>
      <c r="BN73" s="47"/>
      <c r="BO73" s="47"/>
      <c r="BP73" s="47"/>
      <c r="BQ73" s="47"/>
      <c r="BR73" s="47"/>
      <c r="BS73" s="47"/>
      <c r="BT73" s="47"/>
    </row>
    <row r="74" ht="11.25" customHeight="1">
      <c r="A74" s="35" t="str">
        <f>'13all_company_profile'!A74</f>
        <v>BBBY</v>
      </c>
      <c r="B74" s="35" t="str">
        <f>'13all_company_profile'!B74</f>
        <v>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v>
      </c>
      <c r="C74" s="44" t="str">
        <f>'13all_company_profile'!C74</f>
        <v>https://financialmodelingprep.com/image-stock/BBBY.png</v>
      </c>
      <c r="D74" s="35" t="str">
        <f>'13all_company_profile'!D74</f>
        <v>Bed Bath &amp; Beyond Inc.</v>
      </c>
      <c r="E74" s="36">
        <f>'13all_company_profile'!E74</f>
        <v>2892947456</v>
      </c>
      <c r="F74" s="37">
        <f>'13all_company_profile'!F74</f>
        <v>7983236</v>
      </c>
      <c r="G74" s="35">
        <f>'13all_company_profile'!G74</f>
        <v>0.17</v>
      </c>
      <c r="H74" s="38" t="str">
        <f>'13all_company_profile'!H74</f>
        <v>not avaiable</v>
      </c>
      <c r="I74" s="35">
        <f>'13all_company_profile'!I74</f>
        <v>31.594374</v>
      </c>
      <c r="J74" s="35">
        <f>'13all_company_profile'!J74</f>
        <v>0.853</v>
      </c>
      <c r="K74" s="42">
        <f t="shared" si="1"/>
        <v>0.005851979346</v>
      </c>
      <c r="L74" s="35">
        <f>'7company_info'!B74</f>
        <v>29.05</v>
      </c>
      <c r="M74" s="35">
        <f>'7company_info'!C74</f>
        <v>29.33</v>
      </c>
      <c r="N74" s="35">
        <f>'7company_info'!D74</f>
        <v>27.5</v>
      </c>
      <c r="O74" s="35">
        <f>'7company_info'!E74</f>
        <v>1.91</v>
      </c>
      <c r="P74" s="35">
        <f>'7company_info'!F74</f>
        <v>0.0704</v>
      </c>
      <c r="Q74" s="35">
        <f>'7company_info'!G74</f>
        <v>28.08</v>
      </c>
      <c r="R74" s="35">
        <f>'7company_info'!H74</f>
        <v>27.14</v>
      </c>
      <c r="S74" s="35">
        <f>'7company_info'!I74</f>
        <v>8.59</v>
      </c>
      <c r="T74" s="35">
        <f>'7company_info'!J74</f>
        <v>53.9</v>
      </c>
      <c r="U74" s="39">
        <v>28.5466666666666</v>
      </c>
      <c r="V74" s="39">
        <v>29.2633333333333</v>
      </c>
      <c r="W74" s="40">
        <v>30.6366666666666</v>
      </c>
      <c r="X74" s="40">
        <v>32.7266666666666</v>
      </c>
      <c r="Y74" s="40">
        <v>27.1733333333333</v>
      </c>
      <c r="Z74" s="40">
        <v>26.4566666666666</v>
      </c>
      <c r="AA74" s="40">
        <v>24.3666666666666</v>
      </c>
      <c r="AB74" s="40">
        <v>31.15</v>
      </c>
      <c r="AC74" s="40">
        <v>32.61</v>
      </c>
      <c r="AD74" s="40">
        <v>29.7300113990276</v>
      </c>
      <c r="AE74" s="40">
        <v>24.88862</v>
      </c>
      <c r="AF74" s="40">
        <v>2.25519</v>
      </c>
      <c r="AG74" s="40">
        <v>53.9</v>
      </c>
      <c r="AH74" s="45">
        <v>44223.0</v>
      </c>
      <c r="AI74" s="44" t="str">
        <f>'6image_RS_benchmark_performance'!B74</f>
        <v>https://3arbzfbsh-cname-us.ngrok.io/Desktop/seabridge%20fintech/image_app/BBBY_resistance_support.jpg</v>
      </c>
      <c r="AJ74" s="44" t="str">
        <f>'6image_RS_benchmark_performance'!C74</f>
        <v>https://3arbzfbsh-cname-us.ngrok.io/Desktop/seabridge%20fintech/profit_graph_app/BBBY_Return.jpg</v>
      </c>
      <c r="AK74" s="46" t="str">
        <f>'5price_action_icon'!B74</f>
        <v>https://3arbzfbsh-cname-us.ngrok.io/Desktop/seabridge%20fintech/icon/BBBY_pa_trend_signal</v>
      </c>
      <c r="AL74" s="42">
        <f>'1kpi_performance'!B74</f>
        <v>0.9028854961</v>
      </c>
      <c r="AM74" s="42">
        <f>'1kpi_performance'!C74</f>
        <v>1.261252557</v>
      </c>
      <c r="AN74" s="42">
        <f>'1kpi_performance'!D74</f>
        <v>0.768085449</v>
      </c>
      <c r="AO74" s="42">
        <f>'1kpi_performance'!E74</f>
        <v>-0.04250196498</v>
      </c>
      <c r="AP74" s="42">
        <f>'1kpi_performance'!F74</f>
        <v>0.5107034639</v>
      </c>
      <c r="AQ74" s="42">
        <f>'1kpi_performance'!G74</f>
        <v>0.4831730903</v>
      </c>
      <c r="AR74" s="42">
        <f>'1kpi_performance'!H74</f>
        <v>0.5519103547</v>
      </c>
      <c r="AS74" s="42">
        <f>'1kpi_performance'!I74</f>
        <v>0.6637962964</v>
      </c>
      <c r="AT74" s="35">
        <f>'1kpi_performance'!J74</f>
        <v>1.71897306</v>
      </c>
      <c r="AU74" s="35">
        <f>'1kpi_performance'!K74</f>
        <v>2.558612186</v>
      </c>
      <c r="AV74" s="35">
        <f>'1kpi_performance'!L74</f>
        <v>1.346387946</v>
      </c>
      <c r="AW74" s="35">
        <f>'1kpi_performance'!M74</f>
        <v>-0.1016907828</v>
      </c>
      <c r="AX74" s="42">
        <f>'1kpi_performance'!N74</f>
        <v>0.3792032833</v>
      </c>
      <c r="AY74" s="42">
        <f>'1kpi_performance'!O74</f>
        <v>0.3333333333</v>
      </c>
      <c r="AZ74" s="42">
        <f>'1kpi_performance'!P74</f>
        <v>0.773968254</v>
      </c>
      <c r="BA74" s="42">
        <f>'1kpi_performance'!Q74</f>
        <v>0.9557654076</v>
      </c>
      <c r="BB74" s="35">
        <f>'1kpi_performance'!R74</f>
        <v>4.022416407</v>
      </c>
      <c r="BC74" s="35">
        <f>'1kpi_performance'!S74</f>
        <v>7.132311</v>
      </c>
      <c r="BD74" s="35">
        <f>'1kpi_performance'!T74</f>
        <v>2.934208687</v>
      </c>
      <c r="BE74" s="35">
        <f>'1kpi_performance'!U74</f>
        <v>-0.203302913</v>
      </c>
      <c r="BF74" s="47"/>
      <c r="BG74" s="47"/>
      <c r="BH74" s="47"/>
      <c r="BI74" s="47"/>
      <c r="BJ74" s="47"/>
      <c r="BK74" s="47"/>
      <c r="BL74" s="47"/>
      <c r="BM74" s="47"/>
      <c r="BN74" s="47"/>
      <c r="BO74" s="47"/>
      <c r="BP74" s="47"/>
      <c r="BQ74" s="47"/>
      <c r="BR74" s="47"/>
      <c r="BS74" s="47"/>
      <c r="BT74" s="47"/>
    </row>
    <row r="75" ht="11.25" customHeight="1">
      <c r="A75" s="35" t="str">
        <f>'13all_company_profile'!A75</f>
        <v>BBY</v>
      </c>
      <c r="B75" s="35" t="str">
        <f>'13all_company_profile'!B75</f>
        <v>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v>
      </c>
      <c r="C75" s="44" t="str">
        <f>'13all_company_profile'!C75</f>
        <v>https://financialmodelingprep.com/image-stock/BBY.png</v>
      </c>
      <c r="D75" s="35" t="str">
        <f>'13all_company_profile'!D75</f>
        <v>Best Buy Co., Inc.</v>
      </c>
      <c r="E75" s="36">
        <f>'13all_company_profile'!E75</f>
        <v>28062994432</v>
      </c>
      <c r="F75" s="37">
        <f>'13all_company_profile'!F75</f>
        <v>2205741</v>
      </c>
      <c r="G75" s="35">
        <f>'13all_company_profile'!G75</f>
        <v>2.5</v>
      </c>
      <c r="H75" s="38" t="str">
        <f>'13all_company_profile'!H75</f>
        <v>not avaiable</v>
      </c>
      <c r="I75" s="35">
        <f>'13all_company_profile'!I75</f>
        <v>13.045721</v>
      </c>
      <c r="J75" s="35">
        <f>'13all_company_profile'!J75</f>
        <v>8.53</v>
      </c>
      <c r="K75" s="42">
        <f t="shared" si="1"/>
        <v>0.02260193473</v>
      </c>
      <c r="L75" s="35">
        <f>'7company_info'!B75</f>
        <v>110.61</v>
      </c>
      <c r="M75" s="35">
        <f>'7company_info'!C75</f>
        <v>111.52</v>
      </c>
      <c r="N75" s="35">
        <f>'7company_info'!D75</f>
        <v>108.22</v>
      </c>
      <c r="O75" s="35">
        <f>'7company_info'!E75</f>
        <v>2.13</v>
      </c>
      <c r="P75" s="35">
        <f>'7company_info'!F75</f>
        <v>0.0196</v>
      </c>
      <c r="Q75" s="35">
        <f>'7company_info'!G75</f>
        <v>108.96</v>
      </c>
      <c r="R75" s="35">
        <f>'7company_info'!H75</f>
        <v>108.48</v>
      </c>
      <c r="S75" s="35">
        <f>'7company_info'!I75</f>
        <v>86.48</v>
      </c>
      <c r="T75" s="35">
        <f>'7company_info'!J75</f>
        <v>128.57</v>
      </c>
      <c r="U75" s="39">
        <v>110.12</v>
      </c>
      <c r="V75" s="39">
        <v>110.73</v>
      </c>
      <c r="W75" s="40">
        <v>111.55</v>
      </c>
      <c r="X75" s="40">
        <v>112.98</v>
      </c>
      <c r="Y75" s="40">
        <v>109.3</v>
      </c>
      <c r="Z75" s="40">
        <v>108.69</v>
      </c>
      <c r="AA75" s="40">
        <v>107.26</v>
      </c>
      <c r="AB75" s="40">
        <v>109.51</v>
      </c>
      <c r="AC75" s="40">
        <v>117.36</v>
      </c>
      <c r="AD75" s="40">
        <v>112.050444438265</v>
      </c>
      <c r="AE75" s="40">
        <v>104.8415</v>
      </c>
      <c r="AF75" s="40">
        <v>2.48625</v>
      </c>
      <c r="AG75" s="40">
        <v>128.575</v>
      </c>
      <c r="AH75" s="45">
        <v>44326.0</v>
      </c>
      <c r="AI75" s="44" t="str">
        <f>'6image_RS_benchmark_performance'!B75</f>
        <v>https://3arbzfbsh-cname-us.ngrok.io/Desktop/seabridge%20fintech/image_app/BBY_resistance_support.jpg</v>
      </c>
      <c r="AJ75" s="44" t="str">
        <f>'6image_RS_benchmark_performance'!C75</f>
        <v>https://3arbzfbsh-cname-us.ngrok.io/Desktop/seabridge%20fintech/profit_graph_app/BBY_Return.jpg</v>
      </c>
      <c r="AK75" s="46" t="str">
        <f>'5price_action_icon'!B75</f>
        <v>https://3arbzfbsh-cname-us.ngrok.io/Desktop/seabridge%20fintech/icon/BBY_pa_trend_signal</v>
      </c>
      <c r="AL75" s="42">
        <f>'1kpi_performance'!B75</f>
        <v>0.842182359</v>
      </c>
      <c r="AM75" s="42">
        <f>'1kpi_performance'!C75</f>
        <v>1.255965529</v>
      </c>
      <c r="AN75" s="42">
        <f>'1kpi_performance'!D75</f>
        <v>0.8159617626</v>
      </c>
      <c r="AO75" s="42">
        <f>'1kpi_performance'!E75</f>
        <v>0.144553597</v>
      </c>
      <c r="AP75" s="42">
        <f>'1kpi_performance'!F75</f>
        <v>0.3218943804</v>
      </c>
      <c r="AQ75" s="42">
        <f>'1kpi_performance'!G75</f>
        <v>0.3167136397</v>
      </c>
      <c r="AR75" s="42">
        <f>'1kpi_performance'!H75</f>
        <v>0.302819598</v>
      </c>
      <c r="AS75" s="42">
        <f>'1kpi_performance'!I75</f>
        <v>0.4759867843</v>
      </c>
      <c r="AT75" s="35">
        <f>'1kpi_performance'!J75</f>
        <v>2.538666124</v>
      </c>
      <c r="AU75" s="35">
        <f>'1kpi_performance'!K75</f>
        <v>3.88668303</v>
      </c>
      <c r="AV75" s="35">
        <f>'1kpi_performance'!L75</f>
        <v>2.611990003</v>
      </c>
      <c r="AW75" s="35">
        <f>'1kpi_performance'!M75</f>
        <v>0.2511699925</v>
      </c>
      <c r="AX75" s="42">
        <f>'1kpi_performance'!N75</f>
        <v>0.3131374343</v>
      </c>
      <c r="AY75" s="42">
        <f>'1kpi_performance'!O75</f>
        <v>0.1383645489</v>
      </c>
      <c r="AZ75" s="42">
        <f>'1kpi_performance'!P75</f>
        <v>0.4517386231</v>
      </c>
      <c r="BA75" s="42">
        <f>'1kpi_performance'!Q75</f>
        <v>0.7675991626</v>
      </c>
      <c r="BB75" s="35">
        <f>'1kpi_performance'!R75</f>
        <v>5.743231714</v>
      </c>
      <c r="BC75" s="35">
        <f>'1kpi_performance'!S75</f>
        <v>10.2985758</v>
      </c>
      <c r="BD75" s="35">
        <f>'1kpi_performance'!T75</f>
        <v>5.163981786</v>
      </c>
      <c r="BE75" s="35">
        <f>'1kpi_performance'!U75</f>
        <v>0.4763704218</v>
      </c>
      <c r="BF75" s="47"/>
      <c r="BG75" s="47"/>
      <c r="BH75" s="47"/>
      <c r="BI75" s="47"/>
      <c r="BJ75" s="47"/>
      <c r="BK75" s="47"/>
      <c r="BL75" s="47"/>
      <c r="BM75" s="47"/>
      <c r="BN75" s="47"/>
      <c r="BO75" s="47"/>
      <c r="BP75" s="47"/>
      <c r="BQ75" s="47"/>
      <c r="BR75" s="47"/>
      <c r="BS75" s="47"/>
      <c r="BT75" s="47"/>
    </row>
    <row r="76" ht="11.25" customHeight="1">
      <c r="A76" s="35" t="str">
        <f>'13all_company_profile'!A76</f>
        <v>BDX</v>
      </c>
      <c r="B76" s="35" t="str">
        <f>'13all_company_profile'!B76</f>
        <v>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v>
      </c>
      <c r="C76" s="44" t="str">
        <f>'13all_company_profile'!C76</f>
        <v>https://financialmodelingprep.com/image-stock/BDX.png</v>
      </c>
      <c r="D76" s="35" t="str">
        <f>'13all_company_profile'!D76</f>
        <v>Becton, Dickinson and Company</v>
      </c>
      <c r="E76" s="36">
        <f>'13all_company_profile'!E76</f>
        <v>71768064000</v>
      </c>
      <c r="F76" s="37">
        <f>'13all_company_profile'!F76</f>
        <v>1445877</v>
      </c>
      <c r="G76" s="35">
        <f>'13all_company_profile'!G76</f>
        <v>3.28</v>
      </c>
      <c r="H76" s="38">
        <f>'13all_company_profile'!H76</f>
        <v>44413</v>
      </c>
      <c r="I76" s="35">
        <f>'13all_company_profile'!I76</f>
        <v>44.404846</v>
      </c>
      <c r="J76" s="35">
        <f>'13all_company_profile'!J76</f>
        <v>5.612</v>
      </c>
      <c r="K76" s="42">
        <f t="shared" si="1"/>
        <v>0.01327935223</v>
      </c>
      <c r="L76" s="35">
        <f>'7company_info'!B76</f>
        <v>247</v>
      </c>
      <c r="M76" s="35">
        <f>'7company_info'!C76</f>
        <v>250.18</v>
      </c>
      <c r="N76" s="35">
        <f>'7company_info'!D76</f>
        <v>246.48</v>
      </c>
      <c r="O76" s="35">
        <f>'7company_info'!E76</f>
        <v>-0.25</v>
      </c>
      <c r="P76" s="35">
        <f>'7company_info'!F76</f>
        <v>-0.001</v>
      </c>
      <c r="Q76" s="35">
        <f>'7company_info'!G76</f>
        <v>248.59</v>
      </c>
      <c r="R76" s="35">
        <f>'7company_info'!H76</f>
        <v>247.25</v>
      </c>
      <c r="S76" s="35">
        <f>'7company_info'!I76</f>
        <v>219.5</v>
      </c>
      <c r="T76" s="35">
        <f>'7company_info'!J76</f>
        <v>284.97</v>
      </c>
      <c r="U76" s="39">
        <v>246.703333333333</v>
      </c>
      <c r="V76" s="39">
        <v>248.356666666666</v>
      </c>
      <c r="W76" s="40">
        <v>250.713333333333</v>
      </c>
      <c r="X76" s="40">
        <v>254.723333333333</v>
      </c>
      <c r="Y76" s="40">
        <v>244.346666666666</v>
      </c>
      <c r="Z76" s="40">
        <v>242.693333333333</v>
      </c>
      <c r="AA76" s="40">
        <v>238.683333333333</v>
      </c>
      <c r="AB76" s="40">
        <v>245.05</v>
      </c>
      <c r="AC76" s="40">
        <v>246.5</v>
      </c>
      <c r="AD76" s="40">
        <v>246.108570746684</v>
      </c>
      <c r="AE76" s="40">
        <v>242.5705</v>
      </c>
      <c r="AF76" s="40">
        <v>3.09775</v>
      </c>
      <c r="AG76" s="40">
        <v>265.23</v>
      </c>
      <c r="AH76" s="45">
        <v>44215.0</v>
      </c>
      <c r="AI76" s="44" t="str">
        <f>'6image_RS_benchmark_performance'!B76</f>
        <v>https://3arbzfbsh-cname-us.ngrok.io/Desktop/seabridge%20fintech/image_app/BDX_resistance_support.jpg</v>
      </c>
      <c r="AJ76" s="44" t="str">
        <f>'6image_RS_benchmark_performance'!C76</f>
        <v>https://3arbzfbsh-cname-us.ngrok.io/Desktop/seabridge%20fintech/profit_graph_app/BDX_Return.jpg</v>
      </c>
      <c r="AK76" s="46" t="str">
        <f>'5price_action_icon'!B76</f>
        <v>https://3arbzfbsh-cname-us.ngrok.io/Desktop/seabridge%20fintech/icon/BDX_pa_trend_signal</v>
      </c>
      <c r="AL76" s="42">
        <f>'1kpi_performance'!B76</f>
        <v>0.3813975617</v>
      </c>
      <c r="AM76" s="42">
        <f>'1kpi_performance'!C76</f>
        <v>0.4802778235</v>
      </c>
      <c r="AN76" s="42">
        <f>'1kpi_performance'!D76</f>
        <v>0.3962280668</v>
      </c>
      <c r="AO76" s="42">
        <f>'1kpi_performance'!E76</f>
        <v>0.1573370006</v>
      </c>
      <c r="AP76" s="42">
        <f>'1kpi_performance'!F76</f>
        <v>0.1633341952</v>
      </c>
      <c r="AQ76" s="42">
        <f>'1kpi_performance'!G76</f>
        <v>0.1585681717</v>
      </c>
      <c r="AR76" s="42">
        <f>'1kpi_performance'!H76</f>
        <v>0.1703228192</v>
      </c>
      <c r="AS76" s="42">
        <f>'1kpi_performance'!I76</f>
        <v>0.2421880484</v>
      </c>
      <c r="AT76" s="35">
        <f>'1kpi_performance'!J76</f>
        <v>2.182014374</v>
      </c>
      <c r="AU76" s="35">
        <f>'1kpi_performance'!K76</f>
        <v>2.871180379</v>
      </c>
      <c r="AV76" s="35">
        <f>'1kpi_performance'!L76</f>
        <v>2.179555673</v>
      </c>
      <c r="AW76" s="35">
        <f>'1kpi_performance'!M76</f>
        <v>0.546422507</v>
      </c>
      <c r="AX76" s="42">
        <f>'1kpi_performance'!N76</f>
        <v>0.1929019797</v>
      </c>
      <c r="AY76" s="42">
        <f>'1kpi_performance'!O76</f>
        <v>0.114276517</v>
      </c>
      <c r="AZ76" s="42">
        <f>'1kpi_performance'!P76</f>
        <v>0.1929019797</v>
      </c>
      <c r="BA76" s="42">
        <f>'1kpi_performance'!Q76</f>
        <v>0.2986468058</v>
      </c>
      <c r="BB76" s="35">
        <f>'1kpi_performance'!R76</f>
        <v>4.445976174</v>
      </c>
      <c r="BC76" s="35">
        <f>'1kpi_performance'!S76</f>
        <v>6.479883083</v>
      </c>
      <c r="BD76" s="35">
        <f>'1kpi_performance'!T76</f>
        <v>4.426479439</v>
      </c>
      <c r="BE76" s="35">
        <f>'1kpi_performance'!U76</f>
        <v>1.028707508</v>
      </c>
      <c r="BF76" s="47"/>
      <c r="BG76" s="47"/>
      <c r="BH76" s="47"/>
      <c r="BI76" s="47"/>
      <c r="BJ76" s="47"/>
      <c r="BK76" s="47"/>
      <c r="BL76" s="47"/>
      <c r="BM76" s="47"/>
      <c r="BN76" s="47"/>
      <c r="BO76" s="47"/>
      <c r="BP76" s="47"/>
      <c r="BQ76" s="47"/>
      <c r="BR76" s="47"/>
      <c r="BS76" s="47"/>
      <c r="BT76" s="47"/>
    </row>
    <row r="77" ht="11.25" customHeight="1">
      <c r="A77" s="35" t="str">
        <f>'13all_company_profile'!A77</f>
        <v>BEN</v>
      </c>
      <c r="B77" s="35" t="str">
        <f>'13all_company_profile'!B77</f>
        <v>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v>
      </c>
      <c r="C77" s="44" t="str">
        <f>'13all_company_profile'!C77</f>
        <v>https://financialmodelingprep.com/image-stock/BEN.png</v>
      </c>
      <c r="D77" s="35" t="str">
        <f>'13all_company_profile'!D77</f>
        <v>Franklin Resources, Inc.</v>
      </c>
      <c r="E77" s="36">
        <f>'13all_company_profile'!E77</f>
        <v>15210382336</v>
      </c>
      <c r="F77" s="37">
        <f>'13all_company_profile'!F77</f>
        <v>2747006</v>
      </c>
      <c r="G77" s="35">
        <f>'13all_company_profile'!G77</f>
        <v>1.11</v>
      </c>
      <c r="H77" s="38">
        <f>'13all_company_profile'!H77</f>
        <v>44403</v>
      </c>
      <c r="I77" s="35">
        <f>'13all_company_profile'!I77</f>
        <v>13.632557</v>
      </c>
      <c r="J77" s="35">
        <f>'13all_company_profile'!J77</f>
        <v>2.15</v>
      </c>
      <c r="K77" s="42">
        <f t="shared" si="1"/>
        <v>0.03785811733</v>
      </c>
      <c r="L77" s="35">
        <f>'7company_info'!B77</f>
        <v>29.32</v>
      </c>
      <c r="M77" s="35">
        <f>'7company_info'!C77</f>
        <v>29.41</v>
      </c>
      <c r="N77" s="35">
        <f>'7company_info'!D77</f>
        <v>28.35</v>
      </c>
      <c r="O77" s="35">
        <f>'7company_info'!E77</f>
        <v>0.74</v>
      </c>
      <c r="P77" s="35">
        <f>'7company_info'!F77</f>
        <v>0.0259</v>
      </c>
      <c r="Q77" s="35">
        <f>'7company_info'!G77</f>
        <v>28.6</v>
      </c>
      <c r="R77" s="35">
        <f>'7company_info'!H77</f>
        <v>28.58</v>
      </c>
      <c r="S77" s="35">
        <f>'7company_info'!I77</f>
        <v>17.97</v>
      </c>
      <c r="T77" s="35">
        <f>'7company_info'!J77</f>
        <v>35.94</v>
      </c>
      <c r="U77" s="39">
        <v>30.4033333333333</v>
      </c>
      <c r="V77" s="39">
        <v>30.7866666666666</v>
      </c>
      <c r="W77" s="40">
        <v>31.3433333333333</v>
      </c>
      <c r="X77" s="40">
        <v>32.2833333333333</v>
      </c>
      <c r="Y77" s="40">
        <v>29.8466666666666</v>
      </c>
      <c r="Z77" s="40">
        <v>29.4633333333333</v>
      </c>
      <c r="AA77" s="40">
        <v>28.5233333333333</v>
      </c>
      <c r="AB77" s="40">
        <v>31.25</v>
      </c>
      <c r="AC77" s="40">
        <v>33.04</v>
      </c>
      <c r="AD77" s="40">
        <v>32.1214596673316</v>
      </c>
      <c r="AE77" s="40">
        <v>28.87761</v>
      </c>
      <c r="AF77" s="40">
        <v>0.927195</v>
      </c>
      <c r="AG77" s="40">
        <v>35.94</v>
      </c>
      <c r="AH77" s="45">
        <v>44354.0</v>
      </c>
      <c r="AI77" s="44" t="str">
        <f>'6image_RS_benchmark_performance'!B77</f>
        <v>https://3arbzfbsh-cname-us.ngrok.io/Desktop/seabridge%20fintech/image_app/BEN_resistance_support.jpg</v>
      </c>
      <c r="AJ77" s="44" t="str">
        <f>'6image_RS_benchmark_performance'!C77</f>
        <v>https://3arbzfbsh-cname-us.ngrok.io/Desktop/seabridge%20fintech/profit_graph_app/BEN_Return.jpg</v>
      </c>
      <c r="AK77" s="46" t="str">
        <f>'5price_action_icon'!B77</f>
        <v>https://3arbzfbsh-cname-us.ngrok.io/Desktop/seabridge%20fintech/icon/BEN_pa_trend_signal</v>
      </c>
      <c r="AL77" s="42">
        <f>'1kpi_performance'!B77</f>
        <v>0.5047655951</v>
      </c>
      <c r="AM77" s="42">
        <f>'1kpi_performance'!C77</f>
        <v>0.7038800229</v>
      </c>
      <c r="AN77" s="42">
        <f>'1kpi_performance'!D77</f>
        <v>0.5054320884</v>
      </c>
      <c r="AO77" s="42">
        <f>'1kpi_performance'!E77</f>
        <v>-0.006449411282</v>
      </c>
      <c r="AP77" s="42">
        <f>'1kpi_performance'!F77</f>
        <v>0.2389618251</v>
      </c>
      <c r="AQ77" s="42">
        <f>'1kpi_performance'!G77</f>
        <v>0.2318881807</v>
      </c>
      <c r="AR77" s="42">
        <f>'1kpi_performance'!H77</f>
        <v>0.266633664</v>
      </c>
      <c r="AS77" s="42">
        <f>'1kpi_performance'!I77</f>
        <v>0.3620983976</v>
      </c>
      <c r="AT77" s="35">
        <f>'1kpi_performance'!J77</f>
        <v>2.007708114</v>
      </c>
      <c r="AU77" s="35">
        <f>'1kpi_performance'!K77</f>
        <v>2.927618047</v>
      </c>
      <c r="AV77" s="35">
        <f>'1kpi_performance'!L77</f>
        <v>1.801843328</v>
      </c>
      <c r="AW77" s="35">
        <f>'1kpi_performance'!M77</f>
        <v>-0.08685321861</v>
      </c>
      <c r="AX77" s="42">
        <f>'1kpi_performance'!N77</f>
        <v>0.1597145993</v>
      </c>
      <c r="AY77" s="42">
        <f>'1kpi_performance'!O77</f>
        <v>0.1650787949</v>
      </c>
      <c r="AZ77" s="42">
        <f>'1kpi_performance'!P77</f>
        <v>0.4126679463</v>
      </c>
      <c r="BA77" s="42">
        <f>'1kpi_performance'!Q77</f>
        <v>0.7149388795</v>
      </c>
      <c r="BB77" s="35">
        <f>'1kpi_performance'!R77</f>
        <v>4.126246175</v>
      </c>
      <c r="BC77" s="35">
        <f>'1kpi_performance'!S77</f>
        <v>6.510702896</v>
      </c>
      <c r="BD77" s="35">
        <f>'1kpi_performance'!T77</f>
        <v>3.495080439</v>
      </c>
      <c r="BE77" s="35">
        <f>'1kpi_performance'!U77</f>
        <v>-0.1654935795</v>
      </c>
      <c r="BF77" s="47"/>
      <c r="BG77" s="47"/>
      <c r="BH77" s="47"/>
      <c r="BI77" s="47"/>
      <c r="BJ77" s="47"/>
      <c r="BK77" s="47"/>
      <c r="BL77" s="47"/>
      <c r="BM77" s="47"/>
      <c r="BN77" s="47"/>
      <c r="BO77" s="47"/>
      <c r="BP77" s="47"/>
      <c r="BQ77" s="47"/>
      <c r="BR77" s="47"/>
      <c r="BS77" s="47"/>
      <c r="BT77" s="47"/>
    </row>
    <row r="78" ht="11.25" customHeight="1">
      <c r="A78" s="35" t="str">
        <f>'13all_company_profile'!A78</f>
        <v>BIDU</v>
      </c>
      <c r="B78" s="35" t="str">
        <f>'13all_company_profile'!B78</f>
        <v>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v>
      </c>
      <c r="C78" s="44" t="str">
        <f>'13all_company_profile'!C78</f>
        <v>https://financialmodelingprep.com/image-stock/BIDU.png</v>
      </c>
      <c r="D78" s="35" t="str">
        <f>'13all_company_profile'!D78</f>
        <v>Baidu, Inc.</v>
      </c>
      <c r="E78" s="36">
        <f>'13all_company_profile'!E78</f>
        <v>64468758528</v>
      </c>
      <c r="F78" s="37">
        <f>'13all_company_profile'!F78</f>
        <v>5429401</v>
      </c>
      <c r="G78" s="35">
        <f>'13all_company_profile'!G78</f>
        <v>0</v>
      </c>
      <c r="H78" s="38" t="str">
        <f>'13all_company_profile'!H78</f>
        <v>not avaiable</v>
      </c>
      <c r="I78" s="35">
        <f>'13all_company_profile'!I78</f>
        <v>8.339375</v>
      </c>
      <c r="J78" s="35">
        <f>'13all_company_profile'!J78</f>
        <v>21.516</v>
      </c>
      <c r="K78" s="42" t="str">
        <f t="shared" si="1"/>
        <v>NaN</v>
      </c>
      <c r="L78" s="35">
        <f>'7company_info'!B78</f>
        <v>177.89</v>
      </c>
      <c r="M78" s="35">
        <f>'7company_info'!C78</f>
        <v>178.97</v>
      </c>
      <c r="N78" s="35">
        <f>'7company_info'!D78</f>
        <v>172.64</v>
      </c>
      <c r="O78" s="35">
        <f>'7company_info'!E78</f>
        <v>1.44</v>
      </c>
      <c r="P78" s="35">
        <f>'7company_info'!F78</f>
        <v>0.0082</v>
      </c>
      <c r="Q78" s="35">
        <f>'7company_info'!G78</f>
        <v>177.16</v>
      </c>
      <c r="R78" s="35">
        <f>'7company_info'!H78</f>
        <v>176.45</v>
      </c>
      <c r="S78" s="35">
        <f>'7company_info'!I78</f>
        <v>114.75</v>
      </c>
      <c r="T78" s="35">
        <f>'7company_info'!J78</f>
        <v>354.82</v>
      </c>
      <c r="U78" s="39">
        <v>182.6333</v>
      </c>
      <c r="V78" s="39">
        <v>184.6566</v>
      </c>
      <c r="W78" s="40">
        <v>187.9732</v>
      </c>
      <c r="X78" s="40">
        <v>193.3131</v>
      </c>
      <c r="Y78" s="40">
        <v>179.316699999999</v>
      </c>
      <c r="Z78" s="40">
        <v>177.2934</v>
      </c>
      <c r="AA78" s="40">
        <v>171.9535</v>
      </c>
      <c r="AB78" s="40">
        <v>180.61</v>
      </c>
      <c r="AC78" s="40">
        <v>200.6786</v>
      </c>
      <c r="AD78" s="40">
        <v>188.85101262982</v>
      </c>
      <c r="AE78" s="40">
        <v>173.12344</v>
      </c>
      <c r="AF78" s="40">
        <v>5.799775</v>
      </c>
      <c r="AG78" s="40">
        <v>354.82</v>
      </c>
      <c r="AH78" s="45">
        <v>44249.0</v>
      </c>
      <c r="AI78" s="44" t="str">
        <f>'6image_RS_benchmark_performance'!B78</f>
        <v>https://3arbzfbsh-cname-us.ngrok.io/Desktop/seabridge%20fintech/image_app/BIDU_resistance_support.jpg</v>
      </c>
      <c r="AJ78" s="44" t="str">
        <f>'6image_RS_benchmark_performance'!C78</f>
        <v>https://3arbzfbsh-cname-us.ngrok.io/Desktop/seabridge%20fintech/profit_graph_app/BIDU_Return.jpg</v>
      </c>
      <c r="AK78" s="46" t="str">
        <f>'5price_action_icon'!B78</f>
        <v>https://3arbzfbsh-cname-us.ngrok.io/Desktop/seabridge%20fintech/icon/BIDU_pa_trend_signal</v>
      </c>
      <c r="AL78" s="42">
        <f>'1kpi_performance'!B78</f>
        <v>0.9435186699</v>
      </c>
      <c r="AM78" s="42">
        <f>'1kpi_performance'!C78</f>
        <v>1.159449561</v>
      </c>
      <c r="AN78" s="42">
        <f>'1kpi_performance'!D78</f>
        <v>1.293302803</v>
      </c>
      <c r="AO78" s="42">
        <f>'1kpi_performance'!E78</f>
        <v>0.1930106068</v>
      </c>
      <c r="AP78" s="42">
        <f>'1kpi_performance'!F78</f>
        <v>0.3232756939</v>
      </c>
      <c r="AQ78" s="42">
        <f>'1kpi_performance'!G78</f>
        <v>0.3359771442</v>
      </c>
      <c r="AR78" s="42">
        <f>'1kpi_performance'!H78</f>
        <v>0.3212277157</v>
      </c>
      <c r="AS78" s="42">
        <f>'1kpi_performance'!I78</f>
        <v>0.4815023758</v>
      </c>
      <c r="AT78" s="35">
        <f>'1kpi_performance'!J78</f>
        <v>2.841285897</v>
      </c>
      <c r="AU78" s="35">
        <f>'1kpi_performance'!K78</f>
        <v>3.376567663</v>
      </c>
      <c r="AV78" s="35">
        <f>'1kpi_performance'!L78</f>
        <v>3.948298175</v>
      </c>
      <c r="AW78" s="35">
        <f>'1kpi_performance'!M78</f>
        <v>0.3489299643</v>
      </c>
      <c r="AX78" s="42">
        <f>'1kpi_performance'!N78</f>
        <v>0.1821689743</v>
      </c>
      <c r="AY78" s="42">
        <f>'1kpi_performance'!O78</f>
        <v>0.1714838511</v>
      </c>
      <c r="AZ78" s="42">
        <f>'1kpi_performance'!P78</f>
        <v>0.270221075</v>
      </c>
      <c r="BA78" s="42">
        <f>'1kpi_performance'!Q78</f>
        <v>0.7056359348</v>
      </c>
      <c r="BB78" s="35">
        <f>'1kpi_performance'!R78</f>
        <v>6.612097123</v>
      </c>
      <c r="BC78" s="35">
        <f>'1kpi_performance'!S78</f>
        <v>8.385852561</v>
      </c>
      <c r="BD78" s="35">
        <f>'1kpi_performance'!T78</f>
        <v>9.479493084</v>
      </c>
      <c r="BE78" s="35">
        <f>'1kpi_performance'!U78</f>
        <v>0.7224920973</v>
      </c>
      <c r="BF78" s="47"/>
      <c r="BG78" s="47"/>
      <c r="BH78" s="47"/>
      <c r="BI78" s="47"/>
      <c r="BJ78" s="47"/>
      <c r="BK78" s="47"/>
      <c r="BL78" s="47"/>
      <c r="BM78" s="47"/>
      <c r="BN78" s="47"/>
      <c r="BO78" s="47"/>
      <c r="BP78" s="47"/>
      <c r="BQ78" s="47"/>
      <c r="BR78" s="47"/>
      <c r="BS78" s="47"/>
      <c r="BT78" s="47"/>
    </row>
    <row r="79" ht="11.25" customHeight="1">
      <c r="A79" s="35" t="str">
        <f>'13all_company_profile'!A79</f>
        <v>BIIB</v>
      </c>
      <c r="B79" s="35" t="str">
        <f>'13all_company_profile'!B79</f>
        <v>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v>
      </c>
      <c r="C79" s="44" t="str">
        <f>'13all_company_profile'!C79</f>
        <v>https://financialmodelingprep.com/image-stock/BIIB.png</v>
      </c>
      <c r="D79" s="35" t="str">
        <f>'13all_company_profile'!D79</f>
        <v>Biogen Inc.</v>
      </c>
      <c r="E79" s="36">
        <f>'13all_company_profile'!E79</f>
        <v>49406132224</v>
      </c>
      <c r="F79" s="37">
        <f>'13all_company_profile'!F79</f>
        <v>1970036</v>
      </c>
      <c r="G79" s="35">
        <f>'13all_company_profile'!G79</f>
        <v>0</v>
      </c>
      <c r="H79" s="38">
        <f>'13all_company_profile'!H79</f>
        <v>44397</v>
      </c>
      <c r="I79" s="35">
        <f>'13all_company_profile'!I79</f>
        <v>16.951427</v>
      </c>
      <c r="J79" s="35">
        <f>'13all_company_profile'!J79</f>
        <v>19.291</v>
      </c>
      <c r="K79" s="42" t="str">
        <f t="shared" si="1"/>
        <v>NaN</v>
      </c>
      <c r="L79" s="35">
        <f>'7company_info'!B79</f>
        <v>322.49</v>
      </c>
      <c r="M79" s="35">
        <f>'7company_info'!C79</f>
        <v>327.52</v>
      </c>
      <c r="N79" s="35">
        <f>'7company_info'!D79</f>
        <v>317.26</v>
      </c>
      <c r="O79" s="35">
        <f>'7company_info'!E79</f>
        <v>-1.67</v>
      </c>
      <c r="P79" s="35">
        <f>'7company_info'!F79</f>
        <v>-0.0052</v>
      </c>
      <c r="Q79" s="35">
        <f>'7company_info'!G79</f>
        <v>324.7</v>
      </c>
      <c r="R79" s="35">
        <f>'7company_info'!H79</f>
        <v>324.16</v>
      </c>
      <c r="S79" s="35">
        <f>'7company_info'!I79</f>
        <v>223.25</v>
      </c>
      <c r="T79" s="35">
        <f>'7company_info'!J79</f>
        <v>468.55</v>
      </c>
      <c r="U79" s="39">
        <v>353.503333333333</v>
      </c>
      <c r="V79" s="39">
        <v>357.326666666666</v>
      </c>
      <c r="W79" s="40">
        <v>362.593333333333</v>
      </c>
      <c r="X79" s="40">
        <v>371.683333333333</v>
      </c>
      <c r="Y79" s="40">
        <v>348.236666666666</v>
      </c>
      <c r="Z79" s="40">
        <v>344.413333333333</v>
      </c>
      <c r="AA79" s="40">
        <v>335.323333333333</v>
      </c>
      <c r="AB79" s="40">
        <v>333.28</v>
      </c>
      <c r="AC79" s="40">
        <v>358.77</v>
      </c>
      <c r="AD79" s="40">
        <v>352.761824317689</v>
      </c>
      <c r="AE79" s="40">
        <v>327.02426</v>
      </c>
      <c r="AF79" s="40">
        <v>12.0776199999999</v>
      </c>
      <c r="AG79" s="40">
        <v>468.55</v>
      </c>
      <c r="AH79" s="45">
        <v>44354.0</v>
      </c>
      <c r="AI79" s="44" t="str">
        <f>'6image_RS_benchmark_performance'!B79</f>
        <v>https://3arbzfbsh-cname-us.ngrok.io/Desktop/seabridge%20fintech/image_app/BIIB_resistance_support.jpg</v>
      </c>
      <c r="AJ79" s="44" t="str">
        <f>'6image_RS_benchmark_performance'!C79</f>
        <v>https://3arbzfbsh-cname-us.ngrok.io/Desktop/seabridge%20fintech/profit_graph_app/BIIB_Return.jpg</v>
      </c>
      <c r="AK79" s="46" t="str">
        <f>'5price_action_icon'!B79</f>
        <v>https://3arbzfbsh-cname-us.ngrok.io/Desktop/seabridge%20fintech/icon/BIIB_pa_trend_signal</v>
      </c>
      <c r="AL79" s="42">
        <f>'1kpi_performance'!B79</f>
        <v>0.7689675425</v>
      </c>
      <c r="AM79" s="42">
        <f>'1kpi_performance'!C79</f>
        <v>1.056728465</v>
      </c>
      <c r="AN79" s="42">
        <f>'1kpi_performance'!D79</f>
        <v>0.8925630889</v>
      </c>
      <c r="AO79" s="42">
        <f>'1kpi_performance'!E79</f>
        <v>0.2786244231</v>
      </c>
      <c r="AP79" s="42">
        <f>'1kpi_performance'!F79</f>
        <v>0.3697553764</v>
      </c>
      <c r="AQ79" s="42">
        <f>'1kpi_performance'!G79</f>
        <v>0.362168193</v>
      </c>
      <c r="AR79" s="42">
        <f>'1kpi_performance'!H79</f>
        <v>0.391574121</v>
      </c>
      <c r="AS79" s="42">
        <f>'1kpi_performance'!I79</f>
        <v>0.4752232585</v>
      </c>
      <c r="AT79" s="35">
        <f>'1kpi_performance'!J79</f>
        <v>2.012053347</v>
      </c>
      <c r="AU79" s="35">
        <f>'1kpi_performance'!K79</f>
        <v>2.84875504</v>
      </c>
      <c r="AV79" s="35">
        <f>'1kpi_performance'!L79</f>
        <v>2.215578207</v>
      </c>
      <c r="AW79" s="35">
        <f>'1kpi_performance'!M79</f>
        <v>0.5336953076</v>
      </c>
      <c r="AX79" s="42">
        <f>'1kpi_performance'!N79</f>
        <v>0.3356578466</v>
      </c>
      <c r="AY79" s="42">
        <f>'1kpi_performance'!O79</f>
        <v>0.1032287623</v>
      </c>
      <c r="AZ79" s="42">
        <f>'1kpi_performance'!P79</f>
        <v>0.3430442295</v>
      </c>
      <c r="BA79" s="42">
        <f>'1kpi_performance'!Q79</f>
        <v>0.5281314485</v>
      </c>
      <c r="BB79" s="35">
        <f>'1kpi_performance'!R79</f>
        <v>5.11358685</v>
      </c>
      <c r="BC79" s="35">
        <f>'1kpi_performance'!S79</f>
        <v>9.354698034</v>
      </c>
      <c r="BD79" s="35">
        <f>'1kpi_performance'!T79</f>
        <v>5.149605339</v>
      </c>
      <c r="BE79" s="35">
        <f>'1kpi_performance'!U79</f>
        <v>1.133700328</v>
      </c>
      <c r="BF79" s="47"/>
      <c r="BG79" s="47"/>
      <c r="BH79" s="47"/>
      <c r="BI79" s="47"/>
      <c r="BJ79" s="47"/>
      <c r="BK79" s="47"/>
      <c r="BL79" s="47"/>
      <c r="BM79" s="47"/>
      <c r="BN79" s="47"/>
      <c r="BO79" s="47"/>
      <c r="BP79" s="47"/>
      <c r="BQ79" s="47"/>
      <c r="BR79" s="47"/>
      <c r="BS79" s="47"/>
      <c r="BT79" s="47"/>
    </row>
    <row r="80" ht="11.25" customHeight="1">
      <c r="A80" s="35" t="str">
        <f>'13all_company_profile'!A80</f>
        <v>BIO</v>
      </c>
      <c r="B80" s="35" t="str">
        <f>'13all_company_profile'!B80</f>
        <v>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v>
      </c>
      <c r="C80" s="44" t="str">
        <f>'13all_company_profile'!C80</f>
        <v>https://financialmodelingprep.com/image-stock/BIO.png</v>
      </c>
      <c r="D80" s="35" t="str">
        <f>'13all_company_profile'!D80</f>
        <v>Bio-Rad Laboratories, Inc.</v>
      </c>
      <c r="E80" s="36">
        <f>'13all_company_profile'!E80</f>
        <v>19984760832</v>
      </c>
      <c r="F80" s="37">
        <f>'13all_company_profile'!F80</f>
        <v>130641</v>
      </c>
      <c r="G80" s="35">
        <f>'13all_company_profile'!G80</f>
        <v>0</v>
      </c>
      <c r="H80" s="38">
        <f>'13all_company_profile'!H80</f>
        <v>44405</v>
      </c>
      <c r="I80" s="35">
        <f>'13all_company_profile'!I80</f>
        <v>4.9745355</v>
      </c>
      <c r="J80" s="35">
        <f>'13all_company_profile'!J80</f>
        <v>135.872</v>
      </c>
      <c r="K80" s="42" t="str">
        <f t="shared" si="1"/>
        <v>NaN</v>
      </c>
      <c r="L80" s="35">
        <f>'7company_info'!B80</f>
        <v>668.42</v>
      </c>
      <c r="M80" s="35">
        <f>'7company_info'!C80</f>
        <v>679.91</v>
      </c>
      <c r="N80" s="35">
        <f>'7company_info'!D80</f>
        <v>667.4</v>
      </c>
      <c r="O80" s="35">
        <f>'7company_info'!E80</f>
        <v>-5.42</v>
      </c>
      <c r="P80" s="35">
        <f>'7company_info'!F80</f>
        <v>-0.008</v>
      </c>
      <c r="Q80" s="35">
        <f>'7company_info'!G80</f>
        <v>673.83</v>
      </c>
      <c r="R80" s="35">
        <f>'7company_info'!H80</f>
        <v>673.84</v>
      </c>
      <c r="S80" s="35">
        <f>'7company_info'!I80</f>
        <v>472.84</v>
      </c>
      <c r="T80" s="35">
        <f>'7company_info'!J80</f>
        <v>689</v>
      </c>
      <c r="U80" s="39">
        <v>661.963333333333</v>
      </c>
      <c r="V80" s="39">
        <v>665.386666666666</v>
      </c>
      <c r="W80" s="40">
        <v>672.173333333333</v>
      </c>
      <c r="X80" s="40">
        <v>682.383333333333</v>
      </c>
      <c r="Y80" s="40">
        <v>655.176666666666</v>
      </c>
      <c r="Z80" s="40">
        <v>651.753333333333</v>
      </c>
      <c r="AA80" s="40">
        <v>641.543333333333</v>
      </c>
      <c r="AB80" s="40">
        <v>656.17</v>
      </c>
      <c r="AC80" s="40">
        <v>672.535</v>
      </c>
      <c r="AD80" s="40">
        <v>647.389954126449</v>
      </c>
      <c r="AE80" s="40">
        <v>645.950999999999</v>
      </c>
      <c r="AF80" s="40">
        <v>9.404</v>
      </c>
      <c r="AG80" s="40">
        <v>689.0</v>
      </c>
      <c r="AH80" s="45">
        <v>44239.0</v>
      </c>
      <c r="AI80" s="44" t="str">
        <f>'6image_RS_benchmark_performance'!B80</f>
        <v>https://3arbzfbsh-cname-us.ngrok.io/Desktop/seabridge%20fintech/image_app/BIO_resistance_support.jpg</v>
      </c>
      <c r="AJ80" s="44" t="str">
        <f>'6image_RS_benchmark_performance'!C80</f>
        <v>https://3arbzfbsh-cname-us.ngrok.io/Desktop/seabridge%20fintech/profit_graph_app/BIO_Return.jpg</v>
      </c>
      <c r="AK80" s="46" t="str">
        <f>'5price_action_icon'!B80</f>
        <v>https://3arbzfbsh-cname-us.ngrok.io/Desktop/seabridge%20fintech/icon/BIO_pa_trend_signal</v>
      </c>
      <c r="AL80" s="42">
        <f>'1kpi_performance'!B80</f>
        <v>0.6539217749</v>
      </c>
      <c r="AM80" s="42">
        <f>'1kpi_performance'!C80</f>
        <v>0.6987400932</v>
      </c>
      <c r="AN80" s="42">
        <f>'1kpi_performance'!D80</f>
        <v>0.5325938771</v>
      </c>
      <c r="AO80" s="42">
        <f>'1kpi_performance'!E80</f>
        <v>0.269278689</v>
      </c>
      <c r="AP80" s="42">
        <f>'1kpi_performance'!F80</f>
        <v>0.2246453579</v>
      </c>
      <c r="AQ80" s="42">
        <f>'1kpi_performance'!G80</f>
        <v>0.2272168779</v>
      </c>
      <c r="AR80" s="42">
        <f>'1kpi_performance'!H80</f>
        <v>0.230752277</v>
      </c>
      <c r="AS80" s="42">
        <f>'1kpi_performance'!I80</f>
        <v>0.3085315421</v>
      </c>
      <c r="AT80" s="35">
        <f>'1kpi_performance'!J80</f>
        <v>2.799620614</v>
      </c>
      <c r="AU80" s="35">
        <f>'1kpi_performance'!K80</f>
        <v>2.965185067</v>
      </c>
      <c r="AV80" s="35">
        <f>'1kpi_performance'!L80</f>
        <v>2.199735074</v>
      </c>
      <c r="AW80" s="35">
        <f>'1kpi_performance'!M80</f>
        <v>0.7917462419</v>
      </c>
      <c r="AX80" s="42">
        <f>'1kpi_performance'!N80</f>
        <v>0.1585163022</v>
      </c>
      <c r="AY80" s="42">
        <f>'1kpi_performance'!O80</f>
        <v>0.1050952348</v>
      </c>
      <c r="AZ80" s="42">
        <f>'1kpi_performance'!P80</f>
        <v>0.185301311</v>
      </c>
      <c r="BA80" s="42">
        <f>'1kpi_performance'!Q80</f>
        <v>0.3251571363</v>
      </c>
      <c r="BB80" s="35">
        <f>'1kpi_performance'!R80</f>
        <v>6.997692265</v>
      </c>
      <c r="BC80" s="35">
        <f>'1kpi_performance'!S80</f>
        <v>7.626877014</v>
      </c>
      <c r="BD80" s="35">
        <f>'1kpi_performance'!T80</f>
        <v>5.13465538</v>
      </c>
      <c r="BE80" s="35">
        <f>'1kpi_performance'!U80</f>
        <v>1.689972967</v>
      </c>
      <c r="BF80" s="47"/>
      <c r="BG80" s="47"/>
      <c r="BH80" s="47"/>
      <c r="BI80" s="47"/>
      <c r="BJ80" s="47"/>
      <c r="BK80" s="47"/>
      <c r="BL80" s="47"/>
      <c r="BM80" s="47"/>
      <c r="BN80" s="47"/>
      <c r="BO80" s="47"/>
      <c r="BP80" s="47"/>
      <c r="BQ80" s="47"/>
      <c r="BR80" s="47"/>
      <c r="BS80" s="47"/>
      <c r="BT80" s="47"/>
    </row>
    <row r="81" ht="11.25" customHeight="1">
      <c r="A81" s="35" t="str">
        <f>'13all_company_profile'!A81</f>
        <v>BK</v>
      </c>
      <c r="B81" s="35" t="str">
        <f>'13all_company_profile'!B81</f>
        <v>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v>
      </c>
      <c r="C81" s="44" t="str">
        <f>'13all_company_profile'!C81</f>
        <v>https://financialmodelingprep.com/image-stock/BK.png</v>
      </c>
      <c r="D81" s="35" t="str">
        <f>'13all_company_profile'!D81</f>
        <v>The Bank of New York Mellon Corporation</v>
      </c>
      <c r="E81" s="36">
        <f>'13all_company_profile'!E81</f>
        <v>42627170304</v>
      </c>
      <c r="F81" s="37">
        <f>'13all_company_profile'!F81</f>
        <v>4712628</v>
      </c>
      <c r="G81" s="35">
        <f>'13all_company_profile'!G81</f>
        <v>1.24</v>
      </c>
      <c r="H81" s="38" t="str">
        <f>'13all_company_profile'!H81</f>
        <v>not avaiable</v>
      </c>
      <c r="I81" s="35">
        <f>'13all_company_profile'!I81</f>
        <v>13.190184</v>
      </c>
      <c r="J81" s="35">
        <f>'13all_company_profile'!J81</f>
        <v>3.749</v>
      </c>
      <c r="K81" s="42">
        <f t="shared" si="1"/>
        <v>0.02508090615</v>
      </c>
      <c r="L81" s="35">
        <f>'7company_info'!B81</f>
        <v>49.44</v>
      </c>
      <c r="M81" s="35">
        <f>'7company_info'!C81</f>
        <v>49.96</v>
      </c>
      <c r="N81" s="35">
        <f>'7company_info'!D81</f>
        <v>47.33</v>
      </c>
      <c r="O81" s="35">
        <f>'7company_info'!E81</f>
        <v>1.86</v>
      </c>
      <c r="P81" s="35">
        <f>'7company_info'!F81</f>
        <v>0.0391</v>
      </c>
      <c r="Q81" s="35">
        <f>'7company_info'!G81</f>
        <v>47.58</v>
      </c>
      <c r="R81" s="35">
        <f>'7company_info'!H81</f>
        <v>47.58</v>
      </c>
      <c r="S81" s="35">
        <f>'7company_info'!I81</f>
        <v>32.65</v>
      </c>
      <c r="T81" s="35">
        <f>'7company_info'!J81</f>
        <v>52.9</v>
      </c>
      <c r="U81" s="39">
        <v>49.5533333333333</v>
      </c>
      <c r="V81" s="39">
        <v>50.1166666666666</v>
      </c>
      <c r="W81" s="40">
        <v>50.9533333333333</v>
      </c>
      <c r="X81" s="40">
        <v>52.3533333333333</v>
      </c>
      <c r="Y81" s="40">
        <v>48.7166666666666</v>
      </c>
      <c r="Z81" s="40">
        <v>48.1533333333333</v>
      </c>
      <c r="AA81" s="40">
        <v>46.7533333333333</v>
      </c>
      <c r="AB81" s="40">
        <v>50.28</v>
      </c>
      <c r="AC81" s="40">
        <v>51.14</v>
      </c>
      <c r="AD81" s="40">
        <v>50.1382294169302</v>
      </c>
      <c r="AE81" s="40">
        <v>47.579</v>
      </c>
      <c r="AF81" s="40">
        <v>1.214</v>
      </c>
      <c r="AG81" s="40">
        <v>52.9</v>
      </c>
      <c r="AH81" s="45">
        <v>44348.0</v>
      </c>
      <c r="AI81" s="44" t="str">
        <f>'6image_RS_benchmark_performance'!B81</f>
        <v>https://3arbzfbsh-cname-us.ngrok.io/Desktop/seabridge%20fintech/image_app/BK_resistance_support.jpg</v>
      </c>
      <c r="AJ81" s="44" t="str">
        <f>'6image_RS_benchmark_performance'!C81</f>
        <v>https://3arbzfbsh-cname-us.ngrok.io/Desktop/seabridge%20fintech/profit_graph_app/BK_Return.jpg</v>
      </c>
      <c r="AK81" s="46" t="str">
        <f>'5price_action_icon'!B81</f>
        <v>https://3arbzfbsh-cname-us.ngrok.io/Desktop/seabridge%20fintech/icon/BK_pa_trend_signal</v>
      </c>
      <c r="AL81" s="42">
        <f>'1kpi_performance'!B81</f>
        <v>0.5629249122</v>
      </c>
      <c r="AM81" s="42">
        <f>'1kpi_performance'!C81</f>
        <v>0.627466842</v>
      </c>
      <c r="AN81" s="42">
        <f>'1kpi_performance'!D81</f>
        <v>0.5009889926</v>
      </c>
      <c r="AO81" s="42">
        <f>'1kpi_performance'!E81</f>
        <v>0.06087548591</v>
      </c>
      <c r="AP81" s="42">
        <f>'1kpi_performance'!F81</f>
        <v>0.2206206531</v>
      </c>
      <c r="AQ81" s="42">
        <f>'1kpi_performance'!G81</f>
        <v>0.2040017756</v>
      </c>
      <c r="AR81" s="42">
        <f>'1kpi_performance'!H81</f>
        <v>0.2075574293</v>
      </c>
      <c r="AS81" s="42">
        <f>'1kpi_performance'!I81</f>
        <v>0.3298234058</v>
      </c>
      <c r="AT81" s="35">
        <f>'1kpi_performance'!J81</f>
        <v>2.43823461</v>
      </c>
      <c r="AU81" s="35">
        <f>'1kpi_performance'!K81</f>
        <v>2.953243129</v>
      </c>
      <c r="AV81" s="35">
        <f>'1kpi_performance'!L81</f>
        <v>2.293288148</v>
      </c>
      <c r="AW81" s="35">
        <f>'1kpi_performance'!M81</f>
        <v>0.1087718011</v>
      </c>
      <c r="AX81" s="42">
        <f>'1kpi_performance'!N81</f>
        <v>0.1272639496</v>
      </c>
      <c r="AY81" s="42">
        <f>'1kpi_performance'!O81</f>
        <v>0.1073985666</v>
      </c>
      <c r="AZ81" s="42">
        <f>'1kpi_performance'!P81</f>
        <v>0.293805424</v>
      </c>
      <c r="BA81" s="42">
        <f>'1kpi_performance'!Q81</f>
        <v>0.5294419719</v>
      </c>
      <c r="BB81" s="35">
        <f>'1kpi_performance'!R81</f>
        <v>5.345988328</v>
      </c>
      <c r="BC81" s="35">
        <f>'1kpi_performance'!S81</f>
        <v>6.912087161</v>
      </c>
      <c r="BD81" s="35">
        <f>'1kpi_performance'!T81</f>
        <v>4.787265965</v>
      </c>
      <c r="BE81" s="35">
        <f>'1kpi_performance'!U81</f>
        <v>0.2069569427</v>
      </c>
      <c r="BF81" s="47"/>
      <c r="BG81" s="47"/>
      <c r="BH81" s="47"/>
      <c r="BI81" s="47"/>
      <c r="BJ81" s="47"/>
      <c r="BK81" s="47"/>
      <c r="BL81" s="47"/>
      <c r="BM81" s="47"/>
      <c r="BN81" s="47"/>
      <c r="BO81" s="47"/>
      <c r="BP81" s="47"/>
      <c r="BQ81" s="47"/>
      <c r="BR81" s="47"/>
      <c r="BS81" s="47"/>
      <c r="BT81" s="47"/>
    </row>
    <row r="82" ht="11.25" customHeight="1">
      <c r="A82" s="35" t="str">
        <f>'13all_company_profile'!A82</f>
        <v>BKNG</v>
      </c>
      <c r="B82" s="35" t="str">
        <f>'13all_company_profile'!B82</f>
        <v>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v>
      </c>
      <c r="C82" s="44" t="str">
        <f>'13all_company_profile'!C82</f>
        <v>https://financialmodelingprep.com/image-stock/BKNG.png</v>
      </c>
      <c r="D82" s="35" t="str">
        <f>'13all_company_profile'!D82</f>
        <v>Booking Holdings Inc.</v>
      </c>
      <c r="E82" s="36">
        <f>'13all_company_profile'!E82</f>
        <v>89059532800</v>
      </c>
      <c r="F82" s="37">
        <f>'13all_company_profile'!F82</f>
        <v>323652</v>
      </c>
      <c r="G82" s="35">
        <f>'13all_company_profile'!G82</f>
        <v>0</v>
      </c>
      <c r="H82" s="38">
        <f>'13all_company_profile'!H82</f>
        <v>44412</v>
      </c>
      <c r="I82" s="35">
        <f>'13all_company_profile'!I82</f>
        <v>125.78505</v>
      </c>
      <c r="J82" s="35">
        <f>'13all_company_profile'!J82</f>
        <v>17.101</v>
      </c>
      <c r="K82" s="42" t="str">
        <f t="shared" si="1"/>
        <v>NaN</v>
      </c>
      <c r="L82" s="35">
        <f>'7company_info'!B82</f>
        <v>2130.43</v>
      </c>
      <c r="M82" s="35">
        <f>'7company_info'!C82</f>
        <v>2141.45</v>
      </c>
      <c r="N82" s="35">
        <f>'7company_info'!D82</f>
        <v>2053.57</v>
      </c>
      <c r="O82" s="35">
        <f>'7company_info'!E82</f>
        <v>62.88</v>
      </c>
      <c r="P82" s="35">
        <f>'7company_info'!F82</f>
        <v>0.0304</v>
      </c>
      <c r="Q82" s="35">
        <f>'7company_info'!G82</f>
        <v>2067.55</v>
      </c>
      <c r="R82" s="35">
        <f>'7company_info'!H82</f>
        <v>2067.55</v>
      </c>
      <c r="S82" s="35">
        <f>'7company_info'!I82</f>
        <v>1589</v>
      </c>
      <c r="T82" s="35">
        <f>'7company_info'!J82</f>
        <v>2516</v>
      </c>
      <c r="U82" s="39">
        <v>2190.20333333333</v>
      </c>
      <c r="V82" s="39">
        <v>2204.51666666666</v>
      </c>
      <c r="W82" s="40">
        <v>2232.41333333333</v>
      </c>
      <c r="X82" s="40">
        <v>2274.62333333333</v>
      </c>
      <c r="Y82" s="40">
        <v>2162.30666666666</v>
      </c>
      <c r="Z82" s="40">
        <v>2147.99333333333</v>
      </c>
      <c r="AA82" s="40">
        <v>2105.78333333333</v>
      </c>
      <c r="AB82" s="40">
        <v>2246.46</v>
      </c>
      <c r="AC82" s="40">
        <v>2252.6</v>
      </c>
      <c r="AD82" s="40">
        <v>2222.55540727048</v>
      </c>
      <c r="AE82" s="40">
        <v>2094.80701</v>
      </c>
      <c r="AF82" s="40">
        <v>46.4679999999999</v>
      </c>
      <c r="AG82" s="40">
        <v>2516.0</v>
      </c>
      <c r="AH82" s="45">
        <v>44315.0</v>
      </c>
      <c r="AI82" s="44" t="str">
        <f>'6image_RS_benchmark_performance'!B82</f>
        <v>https://3arbzfbsh-cname-us.ngrok.io/Desktop/seabridge%20fintech/image_app/BKNG_resistance_support.jpg</v>
      </c>
      <c r="AJ82" s="44" t="str">
        <f>'6image_RS_benchmark_performance'!C82</f>
        <v>https://3arbzfbsh-cname-us.ngrok.io/Desktop/seabridge%20fintech/profit_graph_app/BKNG_Return.jpg</v>
      </c>
      <c r="AK82" s="46" t="str">
        <f>'5price_action_icon'!B82</f>
        <v>https://3arbzfbsh-cname-us.ngrok.io/Desktop/seabridge%20fintech/icon/BKNG_pa_trend_signal</v>
      </c>
      <c r="AL82" s="42">
        <f>'1kpi_performance'!B82</f>
        <v>0.5627728893</v>
      </c>
      <c r="AM82" s="42">
        <f>'1kpi_performance'!C82</f>
        <v>1.045261295</v>
      </c>
      <c r="AN82" s="42">
        <f>'1kpi_performance'!D82</f>
        <v>1.113563503</v>
      </c>
      <c r="AO82" s="42">
        <f>'1kpi_performance'!E82</f>
        <v>0.03196317819</v>
      </c>
      <c r="AP82" s="42">
        <f>'1kpi_performance'!F82</f>
        <v>0.3103393822</v>
      </c>
      <c r="AQ82" s="42">
        <f>'1kpi_performance'!G82</f>
        <v>0.2998580902</v>
      </c>
      <c r="AR82" s="42">
        <f>'1kpi_performance'!H82</f>
        <v>0.2946717353</v>
      </c>
      <c r="AS82" s="42">
        <f>'1kpi_performance'!I82</f>
        <v>0.4456240625</v>
      </c>
      <c r="AT82" s="35">
        <f>'1kpi_performance'!J82</f>
        <v>1.732854159</v>
      </c>
      <c r="AU82" s="35">
        <f>'1kpi_performance'!K82</f>
        <v>3.402480467</v>
      </c>
      <c r="AV82" s="35">
        <f>'1kpi_performance'!L82</f>
        <v>3.694156491</v>
      </c>
      <c r="AW82" s="35">
        <f>'1kpi_performance'!M82</f>
        <v>0.01562567819</v>
      </c>
      <c r="AX82" s="42">
        <f>'1kpi_performance'!N82</f>
        <v>0.1356970631</v>
      </c>
      <c r="AY82" s="42">
        <f>'1kpi_performance'!O82</f>
        <v>0.1060647638</v>
      </c>
      <c r="AZ82" s="42">
        <f>'1kpi_performance'!P82</f>
        <v>0.1329397539</v>
      </c>
      <c r="BA82" s="42">
        <f>'1kpi_performance'!Q82</f>
        <v>0.4813578993</v>
      </c>
      <c r="BB82" s="35">
        <f>'1kpi_performance'!R82</f>
        <v>3.816466843</v>
      </c>
      <c r="BC82" s="35">
        <f>'1kpi_performance'!S82</f>
        <v>8.325075484</v>
      </c>
      <c r="BD82" s="35">
        <f>'1kpi_performance'!T82</f>
        <v>9.220592173</v>
      </c>
      <c r="BE82" s="35">
        <f>'1kpi_performance'!U82</f>
        <v>0.02964641109</v>
      </c>
      <c r="BF82" s="47"/>
      <c r="BG82" s="47"/>
      <c r="BH82" s="47"/>
      <c r="BI82" s="47"/>
      <c r="BJ82" s="47"/>
      <c r="BK82" s="47"/>
      <c r="BL82" s="47"/>
      <c r="BM82" s="47"/>
      <c r="BN82" s="47"/>
      <c r="BO82" s="47"/>
      <c r="BP82" s="47"/>
      <c r="BQ82" s="47"/>
      <c r="BR82" s="47"/>
      <c r="BS82" s="47"/>
      <c r="BT82" s="47"/>
    </row>
    <row r="83" ht="11.25" customHeight="1">
      <c r="A83" s="35" t="str">
        <f>'13all_company_profile'!A83</f>
        <v>BKR</v>
      </c>
      <c r="B83" s="35" t="str">
        <f>'13all_company_profile'!B83</f>
        <v>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v>
      </c>
      <c r="C83" s="44" t="str">
        <f>'13all_company_profile'!C83</f>
        <v>https://financialmodelingprep.com/image-stock/BKR.jpg</v>
      </c>
      <c r="D83" s="35" t="str">
        <f>'13all_company_profile'!D83</f>
        <v>Baker Hughes Company</v>
      </c>
      <c r="E83" s="36">
        <f>'13all_company_profile'!E83</f>
        <v>16413230080</v>
      </c>
      <c r="F83" s="37">
        <f>'13all_company_profile'!F83</f>
        <v>8763700</v>
      </c>
      <c r="G83" s="35">
        <f>'13all_company_profile'!G83</f>
        <v>0.72</v>
      </c>
      <c r="H83" s="38">
        <f>'13all_company_profile'!H83</f>
        <v>44398</v>
      </c>
      <c r="I83" s="35" t="str">
        <f>'13all_company_profile'!I83</f>
        <v>NaN</v>
      </c>
      <c r="J83" s="35">
        <f>'13all_company_profile'!J83</f>
        <v>-0.241</v>
      </c>
      <c r="K83" s="42">
        <f t="shared" si="1"/>
        <v>0.03592814371</v>
      </c>
      <c r="L83" s="35">
        <f>'7company_info'!B83</f>
        <v>20.04</v>
      </c>
      <c r="M83" s="35">
        <f>'7company_info'!C83</f>
        <v>20.23</v>
      </c>
      <c r="N83" s="35">
        <f>'7company_info'!D83</f>
        <v>19.3</v>
      </c>
      <c r="O83" s="35">
        <f>'7company_info'!E83</f>
        <v>0.39</v>
      </c>
      <c r="P83" s="35">
        <f>'7company_info'!F83</f>
        <v>0.0198</v>
      </c>
      <c r="Q83" s="35">
        <f>'7company_info'!G83</f>
        <v>19.52</v>
      </c>
      <c r="R83" s="35">
        <f>'7company_info'!H83</f>
        <v>19.65</v>
      </c>
      <c r="S83" s="35">
        <f>'7company_info'!I83</f>
        <v>12.13</v>
      </c>
      <c r="T83" s="35">
        <f>'7company_info'!J83</f>
        <v>26.57</v>
      </c>
      <c r="U83" s="39">
        <v>22.0033333333333</v>
      </c>
      <c r="V83" s="39">
        <v>22.4866666666666</v>
      </c>
      <c r="W83" s="40">
        <v>23.3033333333333</v>
      </c>
      <c r="X83" s="40">
        <v>24.6033333333333</v>
      </c>
      <c r="Y83" s="40">
        <v>21.1866666666666</v>
      </c>
      <c r="Z83" s="40">
        <v>20.7033333333333</v>
      </c>
      <c r="AA83" s="40">
        <v>19.4033333333333</v>
      </c>
      <c r="AB83" s="40">
        <v>25.06</v>
      </c>
      <c r="AC83" s="40">
        <v>25.785</v>
      </c>
      <c r="AD83" s="40">
        <v>23.106797883132</v>
      </c>
      <c r="AE83" s="40">
        <v>20.77264</v>
      </c>
      <c r="AF83" s="40">
        <v>0.84218</v>
      </c>
      <c r="AG83" s="40">
        <v>26.57</v>
      </c>
      <c r="AH83" s="45">
        <v>44334.0</v>
      </c>
      <c r="AI83" s="44" t="str">
        <f>'6image_RS_benchmark_performance'!B83</f>
        <v>https://3arbzfbsh-cname-us.ngrok.io/Desktop/seabridge%20fintech/image_app/BKR_resistance_support.jpg</v>
      </c>
      <c r="AJ83" s="44" t="str">
        <f>'6image_RS_benchmark_performance'!C83</f>
        <v>https://3arbzfbsh-cname-us.ngrok.io/Desktop/seabridge%20fintech/profit_graph_app/BKR_Return.jpg</v>
      </c>
      <c r="AK83" s="46" t="str">
        <f>'5price_action_icon'!B83</f>
        <v>https://3arbzfbsh-cname-us.ngrok.io/Desktop/seabridge%20fintech/icon/BKR_pa_trend_signal</v>
      </c>
      <c r="AL83" s="42">
        <f>'1kpi_performance'!B83</f>
        <v>0.6428476881</v>
      </c>
      <c r="AM83" s="42">
        <f>'1kpi_performance'!C83</f>
        <v>0.8365235574</v>
      </c>
      <c r="AN83" s="42">
        <f>'1kpi_performance'!D83</f>
        <v>0.7892142116</v>
      </c>
      <c r="AO83" s="42">
        <f>'1kpi_performance'!E83</f>
        <v>-0.04918840186</v>
      </c>
      <c r="AP83" s="42">
        <f>'1kpi_performance'!F83</f>
        <v>0.3318814771</v>
      </c>
      <c r="AQ83" s="42">
        <f>'1kpi_performance'!G83</f>
        <v>0.2962747855</v>
      </c>
      <c r="AR83" s="42">
        <f>'1kpi_performance'!H83</f>
        <v>0.3156636986</v>
      </c>
      <c r="AS83" s="42">
        <f>'1kpi_performance'!I83</f>
        <v>0.4661456652</v>
      </c>
      <c r="AT83" s="35">
        <f>'1kpi_performance'!J83</f>
        <v>1.861651616</v>
      </c>
      <c r="AU83" s="35">
        <f>'1kpi_performance'!K83</f>
        <v>2.739090861</v>
      </c>
      <c r="AV83" s="35">
        <f>'1kpi_performance'!L83</f>
        <v>2.420975915</v>
      </c>
      <c r="AW83" s="35">
        <f>'1kpi_performance'!M83</f>
        <v>-0.1591528301</v>
      </c>
      <c r="AX83" s="42">
        <f>'1kpi_performance'!N83</f>
        <v>0.2970712647</v>
      </c>
      <c r="AY83" s="42">
        <f>'1kpi_performance'!O83</f>
        <v>0.1488500286</v>
      </c>
      <c r="AZ83" s="42">
        <f>'1kpi_performance'!P83</f>
        <v>0.2983751684</v>
      </c>
      <c r="BA83" s="42">
        <f>'1kpi_performance'!Q83</f>
        <v>0.8324546029</v>
      </c>
      <c r="BB83" s="35">
        <f>'1kpi_performance'!R83</f>
        <v>3.951948044</v>
      </c>
      <c r="BC83" s="35">
        <f>'1kpi_performance'!S83</f>
        <v>6.281445541</v>
      </c>
      <c r="BD83" s="35">
        <f>'1kpi_performance'!T83</f>
        <v>5.16582722</v>
      </c>
      <c r="BE83" s="35">
        <f>'1kpi_performance'!U83</f>
        <v>-0.3157033924</v>
      </c>
      <c r="BF83" s="47"/>
      <c r="BG83" s="47"/>
      <c r="BH83" s="47"/>
      <c r="BI83" s="47"/>
      <c r="BJ83" s="47"/>
      <c r="BK83" s="47"/>
      <c r="BL83" s="47"/>
      <c r="BM83" s="47"/>
      <c r="BN83" s="47"/>
      <c r="BO83" s="47"/>
      <c r="BP83" s="47"/>
      <c r="BQ83" s="47"/>
      <c r="BR83" s="47"/>
      <c r="BS83" s="47"/>
      <c r="BT83" s="47"/>
    </row>
    <row r="84" ht="11.25" customHeight="1">
      <c r="A84" s="35" t="str">
        <f>'13all_company_profile'!A84</f>
        <v>BLDR</v>
      </c>
      <c r="B84" s="35" t="str">
        <f>'13all_company_profile'!B84</f>
        <v>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v>
      </c>
      <c r="C84" s="44" t="str">
        <f>'13all_company_profile'!C84</f>
        <v>https://financialmodelingprep.com/image-stock/BLDR.png</v>
      </c>
      <c r="D84" s="35" t="str">
        <f>'13all_company_profile'!D84</f>
        <v>Builders FirstSource, Inc.</v>
      </c>
      <c r="E84" s="36">
        <f>'13all_company_profile'!E84</f>
        <v>8666486784</v>
      </c>
      <c r="F84" s="37">
        <f>'13all_company_profile'!F84</f>
        <v>3199058</v>
      </c>
      <c r="G84" s="35">
        <f>'13all_company_profile'!G84</f>
        <v>0</v>
      </c>
      <c r="H84" s="38">
        <f>'13all_company_profile'!H84</f>
        <v>44396</v>
      </c>
      <c r="I84" s="35">
        <f>'13all_company_profile'!I84</f>
        <v>12.120811</v>
      </c>
      <c r="J84" s="35">
        <f>'13all_company_profile'!J84</f>
        <v>3.402</v>
      </c>
      <c r="K84" s="42" t="str">
        <f t="shared" si="1"/>
        <v>NaN</v>
      </c>
      <c r="L84" s="35">
        <f>'7company_info'!B84</f>
        <v>41.99</v>
      </c>
      <c r="M84" s="35">
        <f>'7company_info'!C84</f>
        <v>42.27</v>
      </c>
      <c r="N84" s="35">
        <f>'7company_info'!D84</f>
        <v>40.24</v>
      </c>
      <c r="O84" s="35">
        <f>'7company_info'!E84</f>
        <v>1.52</v>
      </c>
      <c r="P84" s="35">
        <f>'7company_info'!F84</f>
        <v>0.0376</v>
      </c>
      <c r="Q84" s="35">
        <f>'7company_info'!G84</f>
        <v>40.43</v>
      </c>
      <c r="R84" s="35">
        <f>'7company_info'!H84</f>
        <v>40.47</v>
      </c>
      <c r="S84" s="35">
        <f>'7company_info'!I84</f>
        <v>21.62</v>
      </c>
      <c r="T84" s="35">
        <f>'7company_info'!J84</f>
        <v>53.99</v>
      </c>
      <c r="U84" s="39">
        <v>42.1156333333333</v>
      </c>
      <c r="V84" s="39">
        <v>42.7612666666666</v>
      </c>
      <c r="W84" s="40">
        <v>43.5725333333333</v>
      </c>
      <c r="X84" s="40">
        <v>45.0294333333333</v>
      </c>
      <c r="Y84" s="40">
        <v>41.3043666666666</v>
      </c>
      <c r="Z84" s="40">
        <v>40.6587333333333</v>
      </c>
      <c r="AA84" s="40">
        <v>39.2018333333333</v>
      </c>
      <c r="AB84" s="40">
        <v>42.08</v>
      </c>
      <c r="AC84" s="40">
        <v>44.07</v>
      </c>
      <c r="AD84" s="40">
        <v>43.2184807014105</v>
      </c>
      <c r="AE84" s="40">
        <v>39.46419</v>
      </c>
      <c r="AF84" s="40">
        <v>1.44</v>
      </c>
      <c r="AG84" s="40">
        <v>53.99</v>
      </c>
      <c r="AH84" s="45">
        <v>44326.0</v>
      </c>
      <c r="AI84" s="44" t="str">
        <f>'6image_RS_benchmark_performance'!B84</f>
        <v>https://3arbzfbsh-cname-us.ngrok.io/Desktop/seabridge%20fintech/image_app/BLDR_resistance_support.jpg</v>
      </c>
      <c r="AJ84" s="44" t="str">
        <f>'6image_RS_benchmark_performance'!C84</f>
        <v>https://3arbzfbsh-cname-us.ngrok.io/Desktop/seabridge%20fintech/profit_graph_app/BLDR_Return.jpg</v>
      </c>
      <c r="AK84" s="46" t="str">
        <f>'5price_action_icon'!B84</f>
        <v>https://3arbzfbsh-cname-us.ngrok.io/Desktop/seabridge%20fintech/icon/BLDR_pa_trend_signal</v>
      </c>
      <c r="AL84" s="42">
        <f>'1kpi_performance'!B84</f>
        <v>1.423143638</v>
      </c>
      <c r="AM84" s="42">
        <f>'1kpi_performance'!C84</f>
        <v>1.677040612</v>
      </c>
      <c r="AN84" s="42">
        <f>'1kpi_performance'!D84</f>
        <v>1.168842939</v>
      </c>
      <c r="AO84" s="42">
        <f>'1kpi_performance'!E84</f>
        <v>0.3627398301</v>
      </c>
      <c r="AP84" s="42">
        <f>'1kpi_performance'!F84</f>
        <v>0.52318084</v>
      </c>
      <c r="AQ84" s="42">
        <f>'1kpi_performance'!G84</f>
        <v>0.5132868367</v>
      </c>
      <c r="AR84" s="42">
        <f>'1kpi_performance'!H84</f>
        <v>0.5437246275</v>
      </c>
      <c r="AS84" s="42">
        <f>'1kpi_performance'!I84</f>
        <v>0.6958985611</v>
      </c>
      <c r="AT84" s="35">
        <f>'1kpi_performance'!J84</f>
        <v>2.672390751</v>
      </c>
      <c r="AU84" s="35">
        <f>'1kpi_performance'!K84</f>
        <v>3.218552461</v>
      </c>
      <c r="AV84" s="35">
        <f>'1kpi_performance'!L84</f>
        <v>2.103717361</v>
      </c>
      <c r="AW84" s="35">
        <f>'1kpi_performance'!M84</f>
        <v>0.4853291111</v>
      </c>
      <c r="AX84" s="42">
        <f>'1kpi_performance'!N84</f>
        <v>0.2710146639</v>
      </c>
      <c r="AY84" s="42">
        <f>'1kpi_performance'!O84</f>
        <v>0.1813186813</v>
      </c>
      <c r="AZ84" s="42">
        <f>'1kpi_performance'!P84</f>
        <v>0.5846333853</v>
      </c>
      <c r="BA84" s="42">
        <f>'1kpi_performance'!Q84</f>
        <v>0.7487804878</v>
      </c>
      <c r="BB84" s="35">
        <f>'1kpi_performance'!R84</f>
        <v>6.721141305</v>
      </c>
      <c r="BC84" s="35">
        <f>'1kpi_performance'!S84</f>
        <v>8.640385055</v>
      </c>
      <c r="BD84" s="35">
        <f>'1kpi_performance'!T84</f>
        <v>4.890179062</v>
      </c>
      <c r="BE84" s="35">
        <f>'1kpi_performance'!U84</f>
        <v>1.07566439</v>
      </c>
      <c r="BF84" s="47"/>
      <c r="BG84" s="47"/>
      <c r="BH84" s="47"/>
      <c r="BI84" s="47"/>
      <c r="BJ84" s="47"/>
      <c r="BK84" s="47"/>
      <c r="BL84" s="47"/>
      <c r="BM84" s="47"/>
      <c r="BN84" s="47"/>
      <c r="BO84" s="47"/>
      <c r="BP84" s="47"/>
      <c r="BQ84" s="47"/>
      <c r="BR84" s="47"/>
      <c r="BS84" s="47"/>
      <c r="BT84" s="47"/>
    </row>
    <row r="85" ht="11.25" customHeight="1">
      <c r="A85" s="35" t="str">
        <f>'13all_company_profile'!A85</f>
        <v>BLK</v>
      </c>
      <c r="B85" s="35" t="str">
        <f>'13all_company_profile'!B85</f>
        <v>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v>
      </c>
      <c r="C85" s="44" t="str">
        <f>'13all_company_profile'!C85</f>
        <v>https://financialmodelingprep.com/image-stock/BLK.png</v>
      </c>
      <c r="D85" s="35" t="str">
        <f>'13all_company_profile'!D85</f>
        <v>BlackRock, Inc.</v>
      </c>
      <c r="E85" s="36">
        <f>'13all_company_profile'!E85</f>
        <v>133928706048</v>
      </c>
      <c r="F85" s="37">
        <f>'13all_company_profile'!F85</f>
        <v>551373</v>
      </c>
      <c r="G85" s="35">
        <f>'13all_company_profile'!G85</f>
        <v>15.52</v>
      </c>
      <c r="H85" s="38" t="str">
        <f>'13all_company_profile'!H85</f>
        <v>not avaiable</v>
      </c>
      <c r="I85" s="35">
        <f>'13all_company_profile'!I85</f>
        <v>24.618563</v>
      </c>
      <c r="J85" s="35">
        <f>'13all_company_profile'!J85</f>
        <v>35.576</v>
      </c>
      <c r="K85" s="42">
        <f t="shared" si="1"/>
        <v>0.01765964226</v>
      </c>
      <c r="L85" s="35">
        <f>'7company_info'!B85</f>
        <v>878.84</v>
      </c>
      <c r="M85" s="35">
        <f>'7company_info'!C85</f>
        <v>881.31</v>
      </c>
      <c r="N85" s="35">
        <f>'7company_info'!D85</f>
        <v>845</v>
      </c>
      <c r="O85" s="35">
        <f>'7company_info'!E85</f>
        <v>33.68</v>
      </c>
      <c r="P85" s="35">
        <f>'7company_info'!F85</f>
        <v>0.0399</v>
      </c>
      <c r="Q85" s="35">
        <f>'7company_info'!G85</f>
        <v>847.47</v>
      </c>
      <c r="R85" s="35">
        <f>'7company_info'!H85</f>
        <v>845.16</v>
      </c>
      <c r="S85" s="35">
        <f>'7company_info'!I85</f>
        <v>531.39</v>
      </c>
      <c r="T85" s="35">
        <f>'7company_info'!J85</f>
        <v>920.31</v>
      </c>
      <c r="U85" s="39">
        <v>881.433333333333</v>
      </c>
      <c r="V85" s="39">
        <v>892.876666666666</v>
      </c>
      <c r="W85" s="40">
        <v>905.433333333333</v>
      </c>
      <c r="X85" s="40">
        <v>929.433333333333</v>
      </c>
      <c r="Y85" s="40">
        <v>868.876666666666</v>
      </c>
      <c r="Z85" s="40">
        <v>857.433333333333</v>
      </c>
      <c r="AA85" s="40">
        <v>833.433333333333</v>
      </c>
      <c r="AB85" s="40">
        <v>886.03</v>
      </c>
      <c r="AC85" s="40">
        <v>920.31</v>
      </c>
      <c r="AD85" s="40">
        <v>884.079594895342</v>
      </c>
      <c r="AE85" s="40">
        <v>877.57919</v>
      </c>
      <c r="AF85" s="40">
        <v>16.5068</v>
      </c>
      <c r="AG85" s="40">
        <v>890.0</v>
      </c>
      <c r="AH85" s="45">
        <v>44354.0</v>
      </c>
      <c r="AI85" s="44" t="str">
        <f>'6image_RS_benchmark_performance'!B85</f>
        <v>https://3arbzfbsh-cname-us.ngrok.io/Desktop/seabridge%20fintech/image_app/BLK_resistance_support.jpg</v>
      </c>
      <c r="AJ85" s="44" t="str">
        <f>'6image_RS_benchmark_performance'!C85</f>
        <v>https://3arbzfbsh-cname-us.ngrok.io/Desktop/seabridge%20fintech/profit_graph_app/BLK_Return.jpg</v>
      </c>
      <c r="AK85" s="46" t="str">
        <f>'5price_action_icon'!B85</f>
        <v>https://3arbzfbsh-cname-us.ngrok.io/Desktop/seabridge%20fintech/icon/BLK_pa_trend_signal</v>
      </c>
      <c r="AL85" s="42">
        <f>'1kpi_performance'!B85</f>
        <v>0.5281497028</v>
      </c>
      <c r="AM85" s="42">
        <f>'1kpi_performance'!C85</f>
        <v>0.7042975753</v>
      </c>
      <c r="AN85" s="42">
        <f>'1kpi_performance'!D85</f>
        <v>0.5694782567</v>
      </c>
      <c r="AO85" s="42">
        <f>'1kpi_performance'!E85</f>
        <v>0.1818998008</v>
      </c>
      <c r="AP85" s="42">
        <f>'1kpi_performance'!F85</f>
        <v>0.2204792212</v>
      </c>
      <c r="AQ85" s="42">
        <f>'1kpi_performance'!G85</f>
        <v>0.2192168215</v>
      </c>
      <c r="AR85" s="42">
        <f>'1kpi_performance'!H85</f>
        <v>0.2245979136</v>
      </c>
      <c r="AS85" s="42">
        <f>'1kpi_performance'!I85</f>
        <v>0.3336242882</v>
      </c>
      <c r="AT85" s="35">
        <f>'1kpi_performance'!J85</f>
        <v>2.282073113</v>
      </c>
      <c r="AU85" s="35">
        <f>'1kpi_performance'!K85</f>
        <v>3.098747489</v>
      </c>
      <c r="AV85" s="35">
        <f>'1kpi_performance'!L85</f>
        <v>2.424235595</v>
      </c>
      <c r="AW85" s="35">
        <f>'1kpi_performance'!M85</f>
        <v>0.4702889039</v>
      </c>
      <c r="AX85" s="42">
        <f>'1kpi_performance'!N85</f>
        <v>0.1864814546</v>
      </c>
      <c r="AY85" s="42">
        <f>'1kpi_performance'!O85</f>
        <v>0.100603931</v>
      </c>
      <c r="AZ85" s="42">
        <f>'1kpi_performance'!P85</f>
        <v>0.3361718233</v>
      </c>
      <c r="BA85" s="42">
        <f>'1kpi_performance'!Q85</f>
        <v>0.448100327</v>
      </c>
      <c r="BB85" s="35">
        <f>'1kpi_performance'!R85</f>
        <v>4.728278299</v>
      </c>
      <c r="BC85" s="35">
        <f>'1kpi_performance'!S85</f>
        <v>6.897141066</v>
      </c>
      <c r="BD85" s="35">
        <f>'1kpi_performance'!T85</f>
        <v>5.025288158</v>
      </c>
      <c r="BE85" s="35">
        <f>'1kpi_performance'!U85</f>
        <v>0.9097124861</v>
      </c>
      <c r="BF85" s="47"/>
      <c r="BG85" s="47"/>
      <c r="BH85" s="47"/>
      <c r="BI85" s="47"/>
      <c r="BJ85" s="47"/>
      <c r="BK85" s="47"/>
      <c r="BL85" s="47"/>
      <c r="BM85" s="47"/>
      <c r="BN85" s="47"/>
      <c r="BO85" s="47"/>
      <c r="BP85" s="47"/>
      <c r="BQ85" s="47"/>
      <c r="BR85" s="47"/>
      <c r="BS85" s="47"/>
      <c r="BT85" s="47"/>
    </row>
    <row r="86" ht="11.25" customHeight="1">
      <c r="A86" s="35" t="str">
        <f>'13all_company_profile'!A86</f>
        <v>BLL</v>
      </c>
      <c r="B86" s="35" t="str">
        <f>'13all_company_profile'!B86</f>
        <v>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v>
      </c>
      <c r="C86" s="44" t="str">
        <f>'13all_company_profile'!C86</f>
        <v>https://financialmodelingprep.com/image-stock/BLL.png</v>
      </c>
      <c r="D86" s="35" t="str">
        <f>'13all_company_profile'!D86</f>
        <v>Ball Corporation</v>
      </c>
      <c r="E86" s="36">
        <f>'13all_company_profile'!E86</f>
        <v>27901675520</v>
      </c>
      <c r="F86" s="37">
        <f>'13all_company_profile'!F86</f>
        <v>1964188</v>
      </c>
      <c r="G86" s="35">
        <f>'13all_company_profile'!G86</f>
        <v>0.6</v>
      </c>
      <c r="H86" s="38">
        <f>'13all_company_profile'!H86</f>
        <v>44413</v>
      </c>
      <c r="I86" s="35">
        <f>'13all_company_profile'!I86</f>
        <v>37.48143</v>
      </c>
      <c r="J86" s="35">
        <f>'13all_company_profile'!J86</f>
        <v>2.289</v>
      </c>
      <c r="K86" s="42">
        <f t="shared" si="1"/>
        <v>0.00710732054</v>
      </c>
      <c r="L86" s="35">
        <f>'7company_info'!B86</f>
        <v>84.42</v>
      </c>
      <c r="M86" s="35">
        <f>'7company_info'!C86</f>
        <v>85.54</v>
      </c>
      <c r="N86" s="35">
        <f>'7company_info'!D86</f>
        <v>83.95</v>
      </c>
      <c r="O86" s="35">
        <f>'7company_info'!E86</f>
        <v>0.67</v>
      </c>
      <c r="P86" s="35">
        <f>'7company_info'!F86</f>
        <v>0.008</v>
      </c>
      <c r="Q86" s="35">
        <f>'7company_info'!G86</f>
        <v>84.37</v>
      </c>
      <c r="R86" s="35">
        <f>'7company_info'!H86</f>
        <v>83.75</v>
      </c>
      <c r="S86" s="35">
        <f>'7company_info'!I86</f>
        <v>70</v>
      </c>
      <c r="T86" s="35">
        <f>'7company_info'!J86</f>
        <v>102.76</v>
      </c>
      <c r="U86" s="39">
        <v>84.41</v>
      </c>
      <c r="V86" s="39">
        <v>85.27</v>
      </c>
      <c r="W86" s="40">
        <v>85.95</v>
      </c>
      <c r="X86" s="40">
        <v>87.49</v>
      </c>
      <c r="Y86" s="40">
        <v>83.7299999999999</v>
      </c>
      <c r="Z86" s="40">
        <v>82.8699999999999</v>
      </c>
      <c r="AA86" s="40">
        <v>81.3299999999999</v>
      </c>
      <c r="AB86" s="40">
        <v>78.69</v>
      </c>
      <c r="AC86" s="40">
        <v>85.94</v>
      </c>
      <c r="AD86" s="40">
        <v>83.1029398026022</v>
      </c>
      <c r="AE86" s="40">
        <v>81.58318</v>
      </c>
      <c r="AF86" s="40">
        <v>1.40441</v>
      </c>
      <c r="AG86" s="40">
        <v>94.29</v>
      </c>
      <c r="AH86" s="45">
        <v>44312.0</v>
      </c>
      <c r="AI86" s="44" t="str">
        <f>'6image_RS_benchmark_performance'!B86</f>
        <v>https://3arbzfbsh-cname-us.ngrok.io/Desktop/seabridge%20fintech/image_app/BLL_resistance_support.jpg</v>
      </c>
      <c r="AJ86" s="44" t="str">
        <f>'6image_RS_benchmark_performance'!C86</f>
        <v>https://3arbzfbsh-cname-us.ngrok.io/Desktop/seabridge%20fintech/profit_graph_app/BLL_Return.jpg</v>
      </c>
      <c r="AK86" s="46" t="str">
        <f>'5price_action_icon'!B86</f>
        <v>https://3arbzfbsh-cname-us.ngrok.io/Desktop/seabridge%20fintech/icon/BLL_pa_trend_signal</v>
      </c>
      <c r="AL86" s="42">
        <f>'1kpi_performance'!B86</f>
        <v>0.4637230229</v>
      </c>
      <c r="AM86" s="42">
        <f>'1kpi_performance'!C86</f>
        <v>0.6390098199</v>
      </c>
      <c r="AN86" s="42">
        <f>'1kpi_performance'!D86</f>
        <v>0.565328648</v>
      </c>
      <c r="AO86" s="42">
        <f>'1kpi_performance'!E86</f>
        <v>0.2654871254</v>
      </c>
      <c r="AP86" s="42">
        <f>'1kpi_performance'!F86</f>
        <v>0.1767515283</v>
      </c>
      <c r="AQ86" s="42">
        <f>'1kpi_performance'!G86</f>
        <v>0.1861637977</v>
      </c>
      <c r="AR86" s="42">
        <f>'1kpi_performance'!H86</f>
        <v>0.1935150216</v>
      </c>
      <c r="AS86" s="42">
        <f>'1kpi_performance'!I86</f>
        <v>0.2763885521</v>
      </c>
      <c r="AT86" s="35">
        <f>'1kpi_performance'!J86</f>
        <v>2.482145569</v>
      </c>
      <c r="AU86" s="35">
        <f>'1kpi_performance'!K86</f>
        <v>3.298223541</v>
      </c>
      <c r="AV86" s="35">
        <f>'1kpi_performance'!L86</f>
        <v>2.792179354</v>
      </c>
      <c r="AW86" s="35">
        <f>'1kpi_performance'!M86</f>
        <v>0.8701052326</v>
      </c>
      <c r="AX86" s="42">
        <f>'1kpi_performance'!N86</f>
        <v>0.1170425746</v>
      </c>
      <c r="AY86" s="42">
        <f>'1kpi_performance'!O86</f>
        <v>0.09729344729</v>
      </c>
      <c r="AZ86" s="42">
        <f>'1kpi_performance'!P86</f>
        <v>0.1866152982</v>
      </c>
      <c r="BA86" s="42">
        <f>'1kpi_performance'!Q86</f>
        <v>0.3570190641</v>
      </c>
      <c r="BB86" s="35">
        <f>'1kpi_performance'!R86</f>
        <v>5.319400001</v>
      </c>
      <c r="BC86" s="35">
        <f>'1kpi_performance'!S86</f>
        <v>7.741106399</v>
      </c>
      <c r="BD86" s="35">
        <f>'1kpi_performance'!T86</f>
        <v>6.168028911</v>
      </c>
      <c r="BE86" s="35">
        <f>'1kpi_performance'!U86</f>
        <v>1.764733749</v>
      </c>
      <c r="BF86" s="47"/>
      <c r="BG86" s="47"/>
      <c r="BH86" s="47"/>
      <c r="BI86" s="47"/>
      <c r="BJ86" s="47"/>
      <c r="BK86" s="47"/>
      <c r="BL86" s="47"/>
      <c r="BM86" s="47"/>
      <c r="BN86" s="47"/>
      <c r="BO86" s="47"/>
      <c r="BP86" s="47"/>
      <c r="BQ86" s="47"/>
      <c r="BR86" s="47"/>
      <c r="BS86" s="47"/>
      <c r="BT86" s="47"/>
    </row>
    <row r="87" ht="11.25" customHeight="1">
      <c r="A87" s="35" t="str">
        <f>'13all_company_profile'!A87</f>
        <v>BMY</v>
      </c>
      <c r="B87" s="35" t="str">
        <f>'13all_company_profile'!B87</f>
        <v>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v>
      </c>
      <c r="C87" s="44" t="str">
        <f>'13all_company_profile'!C87</f>
        <v>https://financialmodelingprep.com/image-stock/BMY.png</v>
      </c>
      <c r="D87" s="35" t="str">
        <f>'13all_company_profile'!D87</f>
        <v>Bristol-Myers Squibb Company</v>
      </c>
      <c r="E87" s="36">
        <f>'13all_company_profile'!E87</f>
        <v>150448750592</v>
      </c>
      <c r="F87" s="37">
        <f>'13all_company_profile'!F87</f>
        <v>10044492</v>
      </c>
      <c r="G87" s="35">
        <f>'13all_company_profile'!G87</f>
        <v>1.92</v>
      </c>
      <c r="H87" s="38">
        <f>'13all_company_profile'!H87</f>
        <v>44405</v>
      </c>
      <c r="I87" s="35" t="str">
        <f>'13all_company_profile'!I87</f>
        <v>NaN</v>
      </c>
      <c r="J87" s="35">
        <f>'13all_company_profile'!J87</f>
        <v>-2.764</v>
      </c>
      <c r="K87" s="42">
        <f t="shared" si="1"/>
        <v>0.02877697842</v>
      </c>
      <c r="L87" s="35">
        <f>'7company_info'!B87</f>
        <v>66.72</v>
      </c>
      <c r="M87" s="35">
        <f>'7company_info'!C87</f>
        <v>67.67</v>
      </c>
      <c r="N87" s="35">
        <f>'7company_info'!D87</f>
        <v>66.44</v>
      </c>
      <c r="O87" s="35">
        <f>'7company_info'!E87</f>
        <v>0.36</v>
      </c>
      <c r="P87" s="35">
        <f>'7company_info'!F87</f>
        <v>0.0054</v>
      </c>
      <c r="Q87" s="35">
        <f>'7company_info'!G87</f>
        <v>66.5</v>
      </c>
      <c r="R87" s="35">
        <f>'7company_info'!H87</f>
        <v>66.36</v>
      </c>
      <c r="S87" s="35">
        <f>'7company_info'!I87</f>
        <v>56.75</v>
      </c>
      <c r="T87" s="35">
        <f>'7company_info'!J87</f>
        <v>67.99</v>
      </c>
      <c r="U87" s="39">
        <v>67.69</v>
      </c>
      <c r="V87" s="39">
        <v>68.1799999999999</v>
      </c>
      <c r="W87" s="40">
        <v>68.4799999999999</v>
      </c>
      <c r="X87" s="40">
        <v>69.2699999999999</v>
      </c>
      <c r="Y87" s="40">
        <v>67.39</v>
      </c>
      <c r="Z87" s="40">
        <v>66.9</v>
      </c>
      <c r="AA87" s="40">
        <v>66.11</v>
      </c>
      <c r="AB87" s="40">
        <v>66.65</v>
      </c>
      <c r="AC87" s="40">
        <v>67.99</v>
      </c>
      <c r="AD87" s="40">
        <v>66.772814965295</v>
      </c>
      <c r="AE87" s="40">
        <v>65.6814</v>
      </c>
      <c r="AF87" s="40">
        <v>0.886104999999998</v>
      </c>
      <c r="AG87" s="40">
        <v>67.96</v>
      </c>
      <c r="AH87" s="45">
        <v>44340.0</v>
      </c>
      <c r="AI87" s="44" t="str">
        <f>'6image_RS_benchmark_performance'!B87</f>
        <v>https://3arbzfbsh-cname-us.ngrok.io/Desktop/seabridge%20fintech/image_app/BMY_resistance_support.jpg</v>
      </c>
      <c r="AJ87" s="44" t="str">
        <f>'6image_RS_benchmark_performance'!C87</f>
        <v>https://3arbzfbsh-cname-us.ngrok.io/Desktop/seabridge%20fintech/profit_graph_app/BMY_Return.jpg</v>
      </c>
      <c r="AK87" s="46" t="str">
        <f>'5price_action_icon'!B87</f>
        <v>https://3arbzfbsh-cname-us.ngrok.io/Desktop/seabridge%20fintech/icon/BMY_pa_trend_signal</v>
      </c>
      <c r="AL87" s="42">
        <f>'1kpi_performance'!B87</f>
        <v>0.5561060987</v>
      </c>
      <c r="AM87" s="42">
        <f>'1kpi_performance'!C87</f>
        <v>0.641043128</v>
      </c>
      <c r="AN87" s="42">
        <f>'1kpi_performance'!D87</f>
        <v>0.4689728529</v>
      </c>
      <c r="AO87" s="42">
        <f>'1kpi_performance'!E87</f>
        <v>0.1328297504</v>
      </c>
      <c r="AP87" s="42">
        <f>'1kpi_performance'!F87</f>
        <v>0.1866719909</v>
      </c>
      <c r="AQ87" s="42">
        <f>'1kpi_performance'!G87</f>
        <v>0.1888332831</v>
      </c>
      <c r="AR87" s="42">
        <f>'1kpi_performance'!H87</f>
        <v>0.1892419145</v>
      </c>
      <c r="AS87" s="42">
        <f>'1kpi_performance'!I87</f>
        <v>0.2821481273</v>
      </c>
      <c r="AT87" s="35">
        <f>'1kpi_performance'!J87</f>
        <v>2.845130092</v>
      </c>
      <c r="AU87" s="35">
        <f>'1kpi_performance'!K87</f>
        <v>3.262365182</v>
      </c>
      <c r="AV87" s="35">
        <f>'1kpi_performance'!L87</f>
        <v>2.346059825</v>
      </c>
      <c r="AW87" s="35">
        <f>'1kpi_performance'!M87</f>
        <v>0.3821742551</v>
      </c>
      <c r="AX87" s="42">
        <f>'1kpi_performance'!N87</f>
        <v>0.1227224554</v>
      </c>
      <c r="AY87" s="42">
        <f>'1kpi_performance'!O87</f>
        <v>0.07113459307</v>
      </c>
      <c r="AZ87" s="42">
        <f>'1kpi_performance'!P87</f>
        <v>0.3019534762</v>
      </c>
      <c r="BA87" s="42">
        <f>'1kpi_performance'!Q87</f>
        <v>0.4428813339</v>
      </c>
      <c r="BB87" s="35">
        <f>'1kpi_performance'!R87</f>
        <v>6.258217866</v>
      </c>
      <c r="BC87" s="35">
        <f>'1kpi_performance'!S87</f>
        <v>7.941028719</v>
      </c>
      <c r="BD87" s="35">
        <f>'1kpi_performance'!T87</f>
        <v>4.671646481</v>
      </c>
      <c r="BE87" s="35">
        <f>'1kpi_performance'!U87</f>
        <v>0.7044215779</v>
      </c>
      <c r="BF87" s="47"/>
      <c r="BG87" s="47"/>
      <c r="BH87" s="47"/>
      <c r="BI87" s="47"/>
      <c r="BJ87" s="47"/>
      <c r="BK87" s="47"/>
      <c r="BL87" s="47"/>
      <c r="BM87" s="47"/>
      <c r="BN87" s="47"/>
      <c r="BO87" s="47"/>
      <c r="BP87" s="47"/>
      <c r="BQ87" s="47"/>
      <c r="BR87" s="47"/>
      <c r="BS87" s="47"/>
      <c r="BT87" s="47"/>
    </row>
    <row r="88" ht="11.25" customHeight="1">
      <c r="A88" s="35" t="str">
        <f>'13all_company_profile'!A88</f>
        <v>BND</v>
      </c>
      <c r="B88" s="35" t="str">
        <f>'13all_company_profile'!B88</f>
        <v>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v>
      </c>
      <c r="C88" s="44" t="str">
        <f>'13all_company_profile'!C88</f>
        <v>https://financialmodelingprep.com/image-stock/BND.png</v>
      </c>
      <c r="D88" s="35" t="str">
        <f>'13all_company_profile'!D88</f>
        <v>Vanguard Total Bond Market Index Fund ETF Shares</v>
      </c>
      <c r="E88" s="36">
        <f>'13all_company_profile'!E88</f>
        <v>37951686021</v>
      </c>
      <c r="F88" s="37">
        <f>'13all_company_profile'!F88</f>
        <v>6140346</v>
      </c>
      <c r="G88" s="35">
        <f>'13all_company_profile'!G88</f>
        <v>1.904</v>
      </c>
      <c r="H88" s="38" t="str">
        <f>'13all_company_profile'!H88</f>
        <v>not avaiable</v>
      </c>
      <c r="I88" s="35" t="str">
        <f>'13all_company_profile'!I88</f>
        <v>NaN</v>
      </c>
      <c r="J88" s="35" t="str">
        <f>'13all_company_profile'!J88</f>
        <v>NaN</v>
      </c>
      <c r="K88" s="42">
        <f t="shared" si="1"/>
        <v>0.02195571956</v>
      </c>
      <c r="L88" s="35">
        <f>'7company_info'!B88</f>
        <v>86.72</v>
      </c>
      <c r="M88" s="35">
        <f>'7company_info'!C88</f>
        <v>87.08</v>
      </c>
      <c r="N88" s="35">
        <f>'7company_info'!D88</f>
        <v>86.67</v>
      </c>
      <c r="O88" s="35">
        <f>'7company_info'!E88</f>
        <v>-0.09</v>
      </c>
      <c r="P88" s="35">
        <f>'7company_info'!F88</f>
        <v>-0.001</v>
      </c>
      <c r="Q88" s="35">
        <f>'7company_info'!G88</f>
        <v>87.05</v>
      </c>
      <c r="R88" s="35">
        <f>'7company_info'!H88</f>
        <v>86.81</v>
      </c>
      <c r="S88" s="35">
        <f>'7company_info'!I88</f>
        <v>84.22</v>
      </c>
      <c r="T88" s="35">
        <f>'7company_info'!J88</f>
        <v>89.59</v>
      </c>
      <c r="U88" s="39">
        <v>86.1533333333333</v>
      </c>
      <c r="V88" s="39">
        <v>86.2466666666666</v>
      </c>
      <c r="W88" s="40">
        <v>86.3033333333333</v>
      </c>
      <c r="X88" s="40">
        <v>86.4533333333333</v>
      </c>
      <c r="Y88" s="40">
        <v>86.0966666666666</v>
      </c>
      <c r="Z88" s="40">
        <v>86.0033333333333</v>
      </c>
      <c r="AA88" s="40">
        <v>85.8533333333333</v>
      </c>
      <c r="AB88" s="40">
        <v>85.865</v>
      </c>
      <c r="AC88" s="40">
        <v>86.29</v>
      </c>
      <c r="AD88" s="40">
        <v>85.9179673144853</v>
      </c>
      <c r="AE88" s="40">
        <v>85.38464</v>
      </c>
      <c r="AF88" s="40">
        <v>0.267680000000002</v>
      </c>
      <c r="AG88" s="40">
        <v>87.7</v>
      </c>
      <c r="AH88" s="45">
        <v>44223.0</v>
      </c>
      <c r="AI88" s="44" t="str">
        <f>'6image_RS_benchmark_performance'!B88</f>
        <v>https://3arbzfbsh-cname-us.ngrok.io/Desktop/seabridge%20fintech/image_app/BND_resistance_support.jpg</v>
      </c>
      <c r="AJ88" s="44" t="str">
        <f>'6image_RS_benchmark_performance'!C88</f>
        <v>https://3arbzfbsh-cname-us.ngrok.io/Desktop/seabridge%20fintech/profit_graph_app/BND_Return.jpg</v>
      </c>
      <c r="AK88" s="46" t="str">
        <f>'5price_action_icon'!B88</f>
        <v>https://3arbzfbsh-cname-us.ngrok.io/Desktop/seabridge%20fintech/icon/BND_pa_trend_signal</v>
      </c>
      <c r="AL88" s="42">
        <f>'1kpi_performance'!B88</f>
        <v>0.04930649037</v>
      </c>
      <c r="AM88" s="42">
        <f>'1kpi_performance'!C88</f>
        <v>0.07388786427</v>
      </c>
      <c r="AN88" s="42">
        <f>'1kpi_performance'!D88</f>
        <v>0.054161633</v>
      </c>
      <c r="AO88" s="42">
        <f>'1kpi_performance'!E88</f>
        <v>0.01007170373</v>
      </c>
      <c r="AP88" s="42">
        <f>'1kpi_performance'!F88</f>
        <v>0.0293951161</v>
      </c>
      <c r="AQ88" s="42">
        <f>'1kpi_performance'!G88</f>
        <v>0.03219303111</v>
      </c>
      <c r="AR88" s="42">
        <f>'1kpi_performance'!H88</f>
        <v>0.02812664596</v>
      </c>
      <c r="AS88" s="42">
        <f>'1kpi_performance'!I88</f>
        <v>0.05073682719</v>
      </c>
      <c r="AT88" s="35">
        <f>'1kpi_performance'!J88</f>
        <v>0.8268887352</v>
      </c>
      <c r="AU88" s="35">
        <f>'1kpi_performance'!K88</f>
        <v>1.518585314</v>
      </c>
      <c r="AV88" s="35">
        <f>'1kpi_performance'!L88</f>
        <v>1.036797386</v>
      </c>
      <c r="AW88" s="35">
        <f>'1kpi_performance'!M88</f>
        <v>-0.2942299922</v>
      </c>
      <c r="AX88" s="42">
        <f>'1kpi_performance'!N88</f>
        <v>0.02369682277</v>
      </c>
      <c r="AY88" s="42">
        <f>'1kpi_performance'!O88</f>
        <v>0.04491725768</v>
      </c>
      <c r="AZ88" s="42">
        <f>'1kpi_performance'!P88</f>
        <v>0.04146576663</v>
      </c>
      <c r="BA88" s="42">
        <f>'1kpi_performance'!Q88</f>
        <v>0.0921977507</v>
      </c>
      <c r="BB88" s="35">
        <f>'1kpi_performance'!R88</f>
        <v>1.59301174</v>
      </c>
      <c r="BC88" s="35">
        <f>'1kpi_performance'!S88</f>
        <v>3.038313511</v>
      </c>
      <c r="BD88" s="35">
        <f>'1kpi_performance'!T88</f>
        <v>2.055350257</v>
      </c>
      <c r="BE88" s="35">
        <f>'1kpi_performance'!U88</f>
        <v>-0.5193765048</v>
      </c>
      <c r="BF88" s="47"/>
      <c r="BG88" s="47"/>
      <c r="BH88" s="47"/>
      <c r="BI88" s="47"/>
      <c r="BJ88" s="47"/>
      <c r="BK88" s="47"/>
      <c r="BL88" s="47"/>
      <c r="BM88" s="47"/>
      <c r="BN88" s="47"/>
      <c r="BO88" s="47"/>
      <c r="BP88" s="47"/>
      <c r="BQ88" s="47"/>
      <c r="BR88" s="47"/>
      <c r="BS88" s="47"/>
      <c r="BT88" s="47"/>
    </row>
    <row r="89" ht="11.25" customHeight="1">
      <c r="A89" s="35" t="str">
        <f>'13all_company_profile'!A89</f>
        <v>BNDX</v>
      </c>
      <c r="B89" s="35" t="str">
        <f>'13all_company_profile'!B89</f>
        <v>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v>
      </c>
      <c r="C89" s="44" t="str">
        <f>'13all_company_profile'!C89</f>
        <v>https://financialmodelingprep.com/image-stock/BNDX.png</v>
      </c>
      <c r="D89" s="35" t="str">
        <f>'13all_company_profile'!D89</f>
        <v>Vanguard Total International Bond Index Fund ETF Shares</v>
      </c>
      <c r="E89" s="36">
        <f>'13all_company_profile'!E89</f>
        <v>3596394500</v>
      </c>
      <c r="F89" s="37">
        <f>'13all_company_profile'!F89</f>
        <v>2495006</v>
      </c>
      <c r="G89" s="35">
        <f>'13all_company_profile'!G89</f>
        <v>0.621</v>
      </c>
      <c r="H89" s="38" t="str">
        <f>'13all_company_profile'!H89</f>
        <v>not avaiable</v>
      </c>
      <c r="I89" s="35" t="str">
        <f>'13all_company_profile'!I89</f>
        <v>NaN</v>
      </c>
      <c r="J89" s="35" t="str">
        <f>'13all_company_profile'!J89</f>
        <v>NaN</v>
      </c>
      <c r="K89" s="42">
        <f t="shared" si="1"/>
        <v>0.01075138504</v>
      </c>
      <c r="L89" s="35">
        <f>'7company_info'!B89</f>
        <v>57.76</v>
      </c>
      <c r="M89" s="35">
        <f>'7company_info'!C89</f>
        <v>57.86</v>
      </c>
      <c r="N89" s="35">
        <f>'7company_info'!D89</f>
        <v>57.72</v>
      </c>
      <c r="O89" s="35">
        <f>'7company_info'!E89</f>
        <v>0</v>
      </c>
      <c r="P89" s="35">
        <f>'7company_info'!F89</f>
        <v>0</v>
      </c>
      <c r="Q89" s="35">
        <f>'7company_info'!G89</f>
        <v>57.86</v>
      </c>
      <c r="R89" s="35">
        <f>'7company_info'!H89</f>
        <v>57.76</v>
      </c>
      <c r="S89" s="35">
        <f>'7company_info'!I89</f>
        <v>56.53</v>
      </c>
      <c r="T89" s="35">
        <f>'7company_info'!J89</f>
        <v>58.77</v>
      </c>
      <c r="U89" s="39">
        <v>57.4333333333333</v>
      </c>
      <c r="V89" s="39">
        <v>57.4866666666666</v>
      </c>
      <c r="W89" s="40">
        <v>57.5233333333333</v>
      </c>
      <c r="X89" s="40">
        <v>57.6133333333333</v>
      </c>
      <c r="Y89" s="40">
        <v>57.3966666666666</v>
      </c>
      <c r="Z89" s="40">
        <v>57.3433333333333</v>
      </c>
      <c r="AA89" s="40">
        <v>57.2533333333333</v>
      </c>
      <c r="AB89" s="40">
        <v>56.81</v>
      </c>
      <c r="AC89" s="40">
        <v>57.06</v>
      </c>
      <c r="AD89" s="40">
        <v>57.2148319453308</v>
      </c>
      <c r="AE89" s="40">
        <v>57.13728</v>
      </c>
      <c r="AF89" s="40">
        <v>0.10836</v>
      </c>
      <c r="AG89" s="40">
        <v>58.38</v>
      </c>
      <c r="AH89" s="45">
        <v>44221.0</v>
      </c>
      <c r="AI89" s="44" t="str">
        <f>'6image_RS_benchmark_performance'!B89</f>
        <v>https://3arbzfbsh-cname-us.ngrok.io/Desktop/seabridge%20fintech/image_app/BNDX_resistance_support.jpg</v>
      </c>
      <c r="AJ89" s="44" t="str">
        <f>'6image_RS_benchmark_performance'!C89</f>
        <v>https://3arbzfbsh-cname-us.ngrok.io/Desktop/seabridge%20fintech/profit_graph_app/BNDX_Return.jpg</v>
      </c>
      <c r="AK89" s="46" t="str">
        <f>'5price_action_icon'!B89</f>
        <v>https://3arbzfbsh-cname-us.ngrok.io/Desktop/seabridge%20fintech/icon/BNDX_pa_trend_signal</v>
      </c>
      <c r="AL89" s="42">
        <f>'1kpi_performance'!B89</f>
        <v>0.05540259261</v>
      </c>
      <c r="AM89" s="42">
        <f>'1kpi_performance'!C89</f>
        <v>0.07346769196</v>
      </c>
      <c r="AN89" s="42">
        <f>'1kpi_performance'!D89</f>
        <v>0.0525612123</v>
      </c>
      <c r="AO89" s="42">
        <f>'1kpi_performance'!E89</f>
        <v>0.02370840033</v>
      </c>
      <c r="AP89" s="42">
        <f>'1kpi_performance'!F89</f>
        <v>0.02445179806</v>
      </c>
      <c r="AQ89" s="42">
        <f>'1kpi_performance'!G89</f>
        <v>0.02643261067</v>
      </c>
      <c r="AR89" s="42">
        <f>'1kpi_performance'!H89</f>
        <v>0.02278953059</v>
      </c>
      <c r="AS89" s="42">
        <f>'1kpi_performance'!I89</f>
        <v>0.03968618165</v>
      </c>
      <c r="AT89" s="35">
        <f>'1kpi_performance'!J89</f>
        <v>1.243368383</v>
      </c>
      <c r="AU89" s="35">
        <f>'1kpi_performance'!K89</f>
        <v>1.833632424</v>
      </c>
      <c r="AV89" s="35">
        <f>'1kpi_performance'!L89</f>
        <v>1.20938043</v>
      </c>
      <c r="AW89" s="35">
        <f>'1kpi_performance'!M89</f>
        <v>-0.03254532484</v>
      </c>
      <c r="AX89" s="42">
        <f>'1kpi_performance'!N89</f>
        <v>0.02025416998</v>
      </c>
      <c r="AY89" s="42">
        <f>'1kpi_performance'!O89</f>
        <v>0.02998411438</v>
      </c>
      <c r="AZ89" s="42">
        <f>'1kpi_performance'!P89</f>
        <v>0.03073004562</v>
      </c>
      <c r="BA89" s="42">
        <f>'1kpi_performance'!Q89</f>
        <v>0.07193515704</v>
      </c>
      <c r="BB89" s="35">
        <f>'1kpi_performance'!R89</f>
        <v>2.447853738</v>
      </c>
      <c r="BC89" s="35">
        <f>'1kpi_performance'!S89</f>
        <v>3.788927357</v>
      </c>
      <c r="BD89" s="35">
        <f>'1kpi_performance'!T89</f>
        <v>2.412330243</v>
      </c>
      <c r="BE89" s="35">
        <f>'1kpi_performance'!U89</f>
        <v>-0.05477165691</v>
      </c>
      <c r="BF89" s="47"/>
      <c r="BG89" s="47"/>
      <c r="BH89" s="47"/>
      <c r="BI89" s="47"/>
      <c r="BJ89" s="47"/>
      <c r="BK89" s="47"/>
      <c r="BL89" s="47"/>
      <c r="BM89" s="47"/>
      <c r="BN89" s="47"/>
      <c r="BO89" s="47"/>
      <c r="BP89" s="47"/>
      <c r="BQ89" s="47"/>
      <c r="BR89" s="47"/>
      <c r="BS89" s="47"/>
      <c r="BT89" s="47"/>
    </row>
    <row r="90" ht="11.25" customHeight="1">
      <c r="A90" s="35" t="str">
        <f>'13all_company_profile'!A90</f>
        <v>BR</v>
      </c>
      <c r="B90" s="35" t="str">
        <f>'13all_company_profile'!B90</f>
        <v>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v>
      </c>
      <c r="C90" s="44" t="str">
        <f>'13all_company_profile'!C90</f>
        <v>https://financialmodelingprep.com/image-stock/BR.png</v>
      </c>
      <c r="D90" s="35" t="str">
        <f>'13all_company_profile'!D90</f>
        <v>Broadridge Financial Solutions, Inc.</v>
      </c>
      <c r="E90" s="36">
        <f>'13all_company_profile'!E90</f>
        <v>19815741440</v>
      </c>
      <c r="F90" s="37">
        <f>'13all_company_profile'!F90</f>
        <v>493866</v>
      </c>
      <c r="G90" s="35">
        <f>'13all_company_profile'!G90</f>
        <v>2.3</v>
      </c>
      <c r="H90" s="38" t="str">
        <f>'13all_company_profile'!H90</f>
        <v>not avaiable</v>
      </c>
      <c r="I90" s="35">
        <f>'13all_company_profile'!I90</f>
        <v>38.607826</v>
      </c>
      <c r="J90" s="35">
        <f>'13all_company_profile'!J90</f>
        <v>4.396</v>
      </c>
      <c r="K90" s="42">
        <f t="shared" si="1"/>
        <v>0.01359739876</v>
      </c>
      <c r="L90" s="35">
        <f>'7company_info'!B90</f>
        <v>169.15</v>
      </c>
      <c r="M90" s="35">
        <f>'7company_info'!C90</f>
        <v>170.39</v>
      </c>
      <c r="N90" s="35">
        <f>'7company_info'!D90</f>
        <v>166.88</v>
      </c>
      <c r="O90" s="35">
        <f>'7company_info'!E90</f>
        <v>2.53</v>
      </c>
      <c r="P90" s="35">
        <f>'7company_info'!F90</f>
        <v>0.0152</v>
      </c>
      <c r="Q90" s="35">
        <f>'7company_info'!G90</f>
        <v>167.36</v>
      </c>
      <c r="R90" s="35">
        <f>'7company_info'!H90</f>
        <v>166.62</v>
      </c>
      <c r="S90" s="35">
        <f>'7company_info'!I90</f>
        <v>126.77</v>
      </c>
      <c r="T90" s="35">
        <f>'7company_info'!J90</f>
        <v>171.27</v>
      </c>
      <c r="U90" s="39">
        <v>169.466666666666</v>
      </c>
      <c r="V90" s="39">
        <v>170.813333333333</v>
      </c>
      <c r="W90" s="40">
        <v>171.576666666666</v>
      </c>
      <c r="X90" s="40">
        <v>173.686666666666</v>
      </c>
      <c r="Y90" s="40">
        <v>168.703333333333</v>
      </c>
      <c r="Z90" s="40">
        <v>167.356666666666</v>
      </c>
      <c r="AA90" s="40">
        <v>165.246666666666</v>
      </c>
      <c r="AB90" s="40">
        <v>164.61</v>
      </c>
      <c r="AC90" s="40">
        <v>170.23</v>
      </c>
      <c r="AD90" s="40">
        <v>164.472450845888</v>
      </c>
      <c r="AE90" s="40">
        <v>164.17181</v>
      </c>
      <c r="AF90" s="40">
        <v>2.059595</v>
      </c>
      <c r="AG90" s="40">
        <v>167.535</v>
      </c>
      <c r="AH90" s="45">
        <v>44326.0</v>
      </c>
      <c r="AI90" s="44" t="str">
        <f>'6image_RS_benchmark_performance'!B90</f>
        <v>https://3arbzfbsh-cname-us.ngrok.io/Desktop/seabridge%20fintech/image_app/BR_resistance_support.jpg</v>
      </c>
      <c r="AJ90" s="44" t="str">
        <f>'6image_RS_benchmark_performance'!C90</f>
        <v>https://3arbzfbsh-cname-us.ngrok.io/Desktop/seabridge%20fintech/profit_graph_app/BR_Return.jpg</v>
      </c>
      <c r="AK90" s="46" t="str">
        <f>'5price_action_icon'!B90</f>
        <v>https://3arbzfbsh-cname-us.ngrok.io/Desktop/seabridge%20fintech/icon/BR_pa_trend_signal</v>
      </c>
      <c r="AL90" s="42">
        <f>'1kpi_performance'!B90</f>
        <v>0.5105018332</v>
      </c>
      <c r="AM90" s="42">
        <f>'1kpi_performance'!C90</f>
        <v>0.6379837406</v>
      </c>
      <c r="AN90" s="42">
        <f>'1kpi_performance'!D90</f>
        <v>0.6376832617</v>
      </c>
      <c r="AO90" s="42">
        <f>'1kpi_performance'!E90</f>
        <v>0.288577522</v>
      </c>
      <c r="AP90" s="42">
        <f>'1kpi_performance'!F90</f>
        <v>0.1874512593</v>
      </c>
      <c r="AQ90" s="42">
        <f>'1kpi_performance'!G90</f>
        <v>0.1788722913</v>
      </c>
      <c r="AR90" s="42">
        <f>'1kpi_performance'!H90</f>
        <v>0.1807525913</v>
      </c>
      <c r="AS90" s="42">
        <f>'1kpi_performance'!I90</f>
        <v>0.2647089892</v>
      </c>
      <c r="AT90" s="35">
        <f>'1kpi_performance'!J90</f>
        <v>2.590016386</v>
      </c>
      <c r="AU90" s="35">
        <f>'1kpi_performance'!K90</f>
        <v>3.426935139</v>
      </c>
      <c r="AV90" s="35">
        <f>'1kpi_performance'!L90</f>
        <v>3.389623669</v>
      </c>
      <c r="AW90" s="35">
        <f>'1kpi_performance'!M90</f>
        <v>0.9957256185</v>
      </c>
      <c r="AX90" s="42">
        <f>'1kpi_performance'!N90</f>
        <v>0.1961457737</v>
      </c>
      <c r="AY90" s="42">
        <f>'1kpi_performance'!O90</f>
        <v>0.1340393055</v>
      </c>
      <c r="AZ90" s="42">
        <f>'1kpi_performance'!P90</f>
        <v>0.215067556</v>
      </c>
      <c r="BA90" s="42">
        <f>'1kpi_performance'!Q90</f>
        <v>0.3881789137</v>
      </c>
      <c r="BB90" s="35">
        <f>'1kpi_performance'!R90</f>
        <v>5.449707519</v>
      </c>
      <c r="BC90" s="35">
        <f>'1kpi_performance'!S90</f>
        <v>7.817346712</v>
      </c>
      <c r="BD90" s="35">
        <f>'1kpi_performance'!T90</f>
        <v>7.546044634</v>
      </c>
      <c r="BE90" s="35">
        <f>'1kpi_performance'!U90</f>
        <v>1.956778836</v>
      </c>
      <c r="BF90" s="47"/>
      <c r="BG90" s="47"/>
      <c r="BH90" s="47"/>
      <c r="BI90" s="47"/>
      <c r="BJ90" s="47"/>
      <c r="BK90" s="47"/>
      <c r="BL90" s="47"/>
      <c r="BM90" s="47"/>
      <c r="BN90" s="47"/>
      <c r="BO90" s="47"/>
      <c r="BP90" s="47"/>
      <c r="BQ90" s="47"/>
      <c r="BR90" s="47"/>
      <c r="BS90" s="47"/>
      <c r="BT90" s="47"/>
    </row>
    <row r="91" ht="11.25" customHeight="1">
      <c r="A91" s="35" t="str">
        <f>'13all_company_profile'!A91</f>
        <v>BSV</v>
      </c>
      <c r="B91" s="35" t="str">
        <f>'13all_company_profile'!B91</f>
        <v>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v>
      </c>
      <c r="C91" s="44" t="str">
        <f>'13all_company_profile'!C91</f>
        <v>https://financialmodelingprep.com/image-stock/BSV.png</v>
      </c>
      <c r="D91" s="35" t="str">
        <f>'13all_company_profile'!D91</f>
        <v>Vanguard Short-Term Bond Index Fund ETF Shares</v>
      </c>
      <c r="E91" s="36">
        <f>'13all_company_profile'!E91</f>
        <v>23625418874</v>
      </c>
      <c r="F91" s="37">
        <f>'13all_company_profile'!F91</f>
        <v>2248623</v>
      </c>
      <c r="G91" s="35">
        <f>'13all_company_profile'!G91</f>
        <v>0.925</v>
      </c>
      <c r="H91" s="38" t="str">
        <f>'13all_company_profile'!H91</f>
        <v>not avaiable</v>
      </c>
      <c r="I91" s="35" t="str">
        <f>'13all_company_profile'!I91</f>
        <v>NaN</v>
      </c>
      <c r="J91" s="35" t="str">
        <f>'13all_company_profile'!J91</f>
        <v>NaN</v>
      </c>
      <c r="K91" s="42">
        <f t="shared" si="1"/>
        <v>0.01123663751</v>
      </c>
      <c r="L91" s="35">
        <f>'7company_info'!B91</f>
        <v>82.32</v>
      </c>
      <c r="M91" s="35">
        <f>'7company_info'!C91</f>
        <v>82.41</v>
      </c>
      <c r="N91" s="35">
        <f>'7company_info'!D91</f>
        <v>82.32</v>
      </c>
      <c r="O91" s="35">
        <f>'7company_info'!E91</f>
        <v>0.02</v>
      </c>
      <c r="P91" s="35">
        <f>'7company_info'!F91</f>
        <v>0.0002</v>
      </c>
      <c r="Q91" s="35">
        <f>'7company_info'!G91</f>
        <v>82.4</v>
      </c>
      <c r="R91" s="35">
        <f>'7company_info'!H91</f>
        <v>82.3</v>
      </c>
      <c r="S91" s="35">
        <f>'7company_info'!I91</f>
        <v>81.99</v>
      </c>
      <c r="T91" s="35">
        <f>'7company_info'!J91</f>
        <v>83.3</v>
      </c>
      <c r="U91" s="39">
        <v>82.1633333333333</v>
      </c>
      <c r="V91" s="39">
        <v>82.2166666666666</v>
      </c>
      <c r="W91" s="40">
        <v>82.2433333333333</v>
      </c>
      <c r="X91" s="40">
        <v>82.3233333333333</v>
      </c>
      <c r="Y91" s="40">
        <v>82.1366666666666</v>
      </c>
      <c r="Z91" s="40">
        <v>82.0833333333333</v>
      </c>
      <c r="AA91" s="40">
        <v>82.0033333333333</v>
      </c>
      <c r="AB91" s="40">
        <v>82.15</v>
      </c>
      <c r="AC91" s="40">
        <v>82.37</v>
      </c>
      <c r="AD91" s="40">
        <v>82.1911800705693</v>
      </c>
      <c r="AE91" s="40">
        <v>81.95501</v>
      </c>
      <c r="AF91" s="40">
        <v>0.0794950000000021</v>
      </c>
      <c r="AG91" s="40">
        <v>82.88</v>
      </c>
      <c r="AH91" s="45">
        <v>44223.0</v>
      </c>
      <c r="AI91" s="44" t="str">
        <f>'6image_RS_benchmark_performance'!B91</f>
        <v>https://3arbzfbsh-cname-us.ngrok.io/Desktop/seabridge%20fintech/image_app/BSV_resistance_support.jpg</v>
      </c>
      <c r="AJ91" s="44" t="str">
        <f>'6image_RS_benchmark_performance'!C91</f>
        <v>https://3arbzfbsh-cname-us.ngrok.io/Desktop/seabridge%20fintech/profit_graph_app/BSV_Return.jpg</v>
      </c>
      <c r="AK91" s="46" t="str">
        <f>'5price_action_icon'!B91</f>
        <v>https://3arbzfbsh-cname-us.ngrok.io/Desktop/seabridge%20fintech/icon/BSV_pa_trend_signal</v>
      </c>
      <c r="AL91" s="42">
        <f>'1kpi_performance'!B91</f>
        <v>0.01927380338</v>
      </c>
      <c r="AM91" s="42">
        <f>'1kpi_performance'!C91</f>
        <v>0.03021965741</v>
      </c>
      <c r="AN91" s="42">
        <f>'1kpi_performance'!D91</f>
        <v>0.01870773479</v>
      </c>
      <c r="AO91" s="42">
        <f>'1kpi_performance'!E91</f>
        <v>0.002965419376</v>
      </c>
      <c r="AP91" s="42">
        <f>'1kpi_performance'!F91</f>
        <v>0.01339110592</v>
      </c>
      <c r="AQ91" s="42">
        <f>'1kpi_performance'!G91</f>
        <v>0.01379220298</v>
      </c>
      <c r="AR91" s="42">
        <f>'1kpi_performance'!H91</f>
        <v>0.0139303579</v>
      </c>
      <c r="AS91" s="42">
        <f>'1kpi_performance'!I91</f>
        <v>0.02177097339</v>
      </c>
      <c r="AT91" s="35">
        <f>'1kpi_performance'!J91</f>
        <v>-0.4276119281</v>
      </c>
      <c r="AU91" s="35">
        <f>'1kpi_performance'!K91</f>
        <v>0.378449869</v>
      </c>
      <c r="AV91" s="35">
        <f>'1kpi_performance'!L91</f>
        <v>-0.4516944401</v>
      </c>
      <c r="AW91" s="35">
        <f>'1kpi_performance'!M91</f>
        <v>-1.012108197</v>
      </c>
      <c r="AX91" s="42">
        <f>'1kpi_performance'!N91</f>
        <v>0.01147249091</v>
      </c>
      <c r="AY91" s="42">
        <f>'1kpi_performance'!O91</f>
        <v>0.006577944391</v>
      </c>
      <c r="AZ91" s="42">
        <f>'1kpi_performance'!P91</f>
        <v>0.01967911757</v>
      </c>
      <c r="BA91" s="42">
        <f>'1kpi_performance'!Q91</f>
        <v>0.05292037556</v>
      </c>
      <c r="BB91" s="35">
        <f>'1kpi_performance'!R91</f>
        <v>-0.8367219089</v>
      </c>
      <c r="BC91" s="35">
        <f>'1kpi_performance'!S91</f>
        <v>0.8435940308</v>
      </c>
      <c r="BD91" s="35">
        <f>'1kpi_performance'!T91</f>
        <v>-0.8680085866</v>
      </c>
      <c r="BE91" s="35">
        <f>'1kpi_performance'!U91</f>
        <v>-1.905568355</v>
      </c>
      <c r="BF91" s="47"/>
      <c r="BG91" s="47"/>
      <c r="BH91" s="47"/>
      <c r="BI91" s="47"/>
      <c r="BJ91" s="47"/>
      <c r="BK91" s="47"/>
      <c r="BL91" s="47"/>
      <c r="BM91" s="47"/>
      <c r="BN91" s="47"/>
      <c r="BO91" s="47"/>
      <c r="BP91" s="47"/>
      <c r="BQ91" s="47"/>
      <c r="BR91" s="47"/>
      <c r="BS91" s="47"/>
      <c r="BT91" s="47"/>
    </row>
    <row r="92" ht="11.25" customHeight="1">
      <c r="A92" s="35" t="str">
        <f>'13all_company_profile'!A92</f>
        <v>BSX</v>
      </c>
      <c r="B92" s="35" t="str">
        <f>'13all_company_profile'!B92</f>
        <v>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v>
      </c>
      <c r="C92" s="44" t="str">
        <f>'13all_company_profile'!C92</f>
        <v>https://financialmodelingprep.com/image-stock/BSX.png</v>
      </c>
      <c r="D92" s="35" t="str">
        <f>'13all_company_profile'!D92</f>
        <v>Boston Scientific Corporation</v>
      </c>
      <c r="E92" s="36">
        <f>'13all_company_profile'!E92</f>
        <v>59948187648</v>
      </c>
      <c r="F92" s="37">
        <f>'13all_company_profile'!F92</f>
        <v>7120868</v>
      </c>
      <c r="G92" s="35">
        <f>'13all_company_profile'!G92</f>
        <v>0</v>
      </c>
      <c r="H92" s="38">
        <f>'13all_company_profile'!H92</f>
        <v>44404</v>
      </c>
      <c r="I92" s="35">
        <f>'13all_company_profile'!I92</f>
        <v>298.97162</v>
      </c>
      <c r="J92" s="35">
        <f>'13all_company_profile'!J92</f>
        <v>0.141</v>
      </c>
      <c r="K92" s="42" t="str">
        <f t="shared" si="1"/>
        <v>NaN</v>
      </c>
      <c r="L92" s="35">
        <f>'7company_info'!B92</f>
        <v>42.79</v>
      </c>
      <c r="M92" s="35">
        <f>'7company_info'!C92</f>
        <v>43</v>
      </c>
      <c r="N92" s="35">
        <f>'7company_info'!D92</f>
        <v>41.31</v>
      </c>
      <c r="O92" s="35">
        <f>'7company_info'!E92</f>
        <v>1.56</v>
      </c>
      <c r="P92" s="35">
        <f>'7company_info'!F92</f>
        <v>0.0378</v>
      </c>
      <c r="Q92" s="35">
        <f>'7company_info'!G92</f>
        <v>41.32</v>
      </c>
      <c r="R92" s="35">
        <f>'7company_info'!H92</f>
        <v>41.23</v>
      </c>
      <c r="S92" s="35">
        <f>'7company_info'!I92</f>
        <v>32.99</v>
      </c>
      <c r="T92" s="35">
        <f>'7company_info'!J92</f>
        <v>44.63</v>
      </c>
      <c r="U92" s="39">
        <v>42.9083333333333</v>
      </c>
      <c r="V92" s="39">
        <v>43.1666666666666</v>
      </c>
      <c r="W92" s="40">
        <v>43.5933333333333</v>
      </c>
      <c r="X92" s="40">
        <v>44.2783333333333</v>
      </c>
      <c r="Y92" s="40">
        <v>42.4816666666666</v>
      </c>
      <c r="Z92" s="40">
        <v>42.2233333333333</v>
      </c>
      <c r="AA92" s="40">
        <v>41.5383333333333</v>
      </c>
      <c r="AB92" s="40">
        <v>43.36</v>
      </c>
      <c r="AC92" s="40">
        <v>42.4</v>
      </c>
      <c r="AD92" s="40">
        <v>43.2305904773721</v>
      </c>
      <c r="AE92" s="40">
        <v>41.767</v>
      </c>
      <c r="AF92" s="40">
        <v>0.65375</v>
      </c>
      <c r="AG92" s="40">
        <v>44.63</v>
      </c>
      <c r="AH92" s="45">
        <v>44314.0</v>
      </c>
      <c r="AI92" s="44" t="str">
        <f>'6image_RS_benchmark_performance'!B92</f>
        <v>https://3arbzfbsh-cname-us.ngrok.io/Desktop/seabridge%20fintech/image_app/BSX_resistance_support.jpg</v>
      </c>
      <c r="AJ92" s="44" t="str">
        <f>'6image_RS_benchmark_performance'!C92</f>
        <v>https://3arbzfbsh-cname-us.ngrok.io/Desktop/seabridge%20fintech/profit_graph_app/BSX_Return.jpg</v>
      </c>
      <c r="AK92" s="46" t="str">
        <f>'5price_action_icon'!B92</f>
        <v>https://3arbzfbsh-cname-us.ngrok.io/Desktop/seabridge%20fintech/icon/BSX_pa_trend_signal</v>
      </c>
      <c r="AL92" s="42">
        <f>'1kpi_performance'!B92</f>
        <v>0.5752799606</v>
      </c>
      <c r="AM92" s="42">
        <f>'1kpi_performance'!C92</f>
        <v>0.7123229105</v>
      </c>
      <c r="AN92" s="42">
        <f>'1kpi_performance'!D92</f>
        <v>0.5914503341</v>
      </c>
      <c r="AO92" s="42">
        <f>'1kpi_performance'!E92</f>
        <v>0.2109356999</v>
      </c>
      <c r="AP92" s="42">
        <f>'1kpi_performance'!F92</f>
        <v>0.2503437123</v>
      </c>
      <c r="AQ92" s="42">
        <f>'1kpi_performance'!G92</f>
        <v>0.250940834</v>
      </c>
      <c r="AR92" s="42">
        <f>'1kpi_performance'!H92</f>
        <v>0.2602069376</v>
      </c>
      <c r="AS92" s="42">
        <f>'1kpi_performance'!I92</f>
        <v>0.3590699854</v>
      </c>
      <c r="AT92" s="35">
        <f>'1kpi_performance'!J92</f>
        <v>2.19809779</v>
      </c>
      <c r="AU92" s="35">
        <f>'1kpi_performance'!K92</f>
        <v>2.738983925</v>
      </c>
      <c r="AV92" s="35">
        <f>'1kpi_performance'!L92</f>
        <v>2.176922488</v>
      </c>
      <c r="AW92" s="35">
        <f>'1kpi_performance'!M92</f>
        <v>0.5178257929</v>
      </c>
      <c r="AX92" s="42">
        <f>'1kpi_performance'!N92</f>
        <v>0.2637168232</v>
      </c>
      <c r="AY92" s="42">
        <f>'1kpi_performance'!O92</f>
        <v>0.1816168328</v>
      </c>
      <c r="AZ92" s="42">
        <f>'1kpi_performance'!P92</f>
        <v>0.4237781623</v>
      </c>
      <c r="BA92" s="42">
        <f>'1kpi_performance'!Q92</f>
        <v>0.4496124031</v>
      </c>
      <c r="BB92" s="35">
        <f>'1kpi_performance'!R92</f>
        <v>4.573012459</v>
      </c>
      <c r="BC92" s="35">
        <f>'1kpi_performance'!S92</f>
        <v>6.378455374</v>
      </c>
      <c r="BD92" s="35">
        <f>'1kpi_performance'!T92</f>
        <v>4.427428837</v>
      </c>
      <c r="BE92" s="35">
        <f>'1kpi_performance'!U92</f>
        <v>1.012094211</v>
      </c>
      <c r="BF92" s="47"/>
      <c r="BG92" s="47"/>
      <c r="BH92" s="47"/>
      <c r="BI92" s="47"/>
      <c r="BJ92" s="47"/>
      <c r="BK92" s="47"/>
      <c r="BL92" s="47"/>
      <c r="BM92" s="47"/>
      <c r="BN92" s="47"/>
      <c r="BO92" s="47"/>
      <c r="BP92" s="47"/>
      <c r="BQ92" s="47"/>
      <c r="BR92" s="47"/>
      <c r="BS92" s="47"/>
      <c r="BT92" s="47"/>
    </row>
    <row r="93" ht="11.25" customHeight="1">
      <c r="A93" s="35" t="str">
        <f>'13all_company_profile'!A93</f>
        <v>BWA</v>
      </c>
      <c r="B93" s="35" t="str">
        <f>'13all_company_profile'!B93</f>
        <v>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v>
      </c>
      <c r="C93" s="44" t="str">
        <f>'13all_company_profile'!C93</f>
        <v>https://financialmodelingprep.com/image-stock/BWA.png</v>
      </c>
      <c r="D93" s="35" t="str">
        <f>'13all_company_profile'!D93</f>
        <v>BorgWarner Inc.</v>
      </c>
      <c r="E93" s="36">
        <f>'13all_company_profile'!E93</f>
        <v>11366396928</v>
      </c>
      <c r="F93" s="37">
        <f>'13all_company_profile'!F93</f>
        <v>1798323</v>
      </c>
      <c r="G93" s="35">
        <f>'13all_company_profile'!G93</f>
        <v>0.68</v>
      </c>
      <c r="H93" s="38">
        <f>'13all_company_profile'!H93</f>
        <v>44412</v>
      </c>
      <c r="I93" s="35">
        <f>'13all_company_profile'!I93</f>
        <v>23.510204</v>
      </c>
      <c r="J93" s="35">
        <f>'13all_company_profile'!J93</f>
        <v>1.96</v>
      </c>
      <c r="K93" s="42">
        <f t="shared" si="1"/>
        <v>0.01445885605</v>
      </c>
      <c r="L93" s="35">
        <f>'7company_info'!B93</f>
        <v>47.03</v>
      </c>
      <c r="M93" s="35">
        <f>'7company_info'!C93</f>
        <v>47.15</v>
      </c>
      <c r="N93" s="35">
        <f>'7company_info'!D93</f>
        <v>45.19</v>
      </c>
      <c r="O93" s="35">
        <f>'7company_info'!E93</f>
        <v>1.84</v>
      </c>
      <c r="P93" s="35">
        <f>'7company_info'!F93</f>
        <v>0.0407</v>
      </c>
      <c r="Q93" s="35">
        <f>'7company_info'!G93</f>
        <v>45.19</v>
      </c>
      <c r="R93" s="35">
        <f>'7company_info'!H93</f>
        <v>45.19</v>
      </c>
      <c r="S93" s="35">
        <f>'7company_info'!I93</f>
        <v>34.3</v>
      </c>
      <c r="T93" s="35">
        <f>'7company_info'!J93</f>
        <v>55.55</v>
      </c>
      <c r="U93" s="39">
        <v>47.5933333333333</v>
      </c>
      <c r="V93" s="39">
        <v>48.0466666666666</v>
      </c>
      <c r="W93" s="40">
        <v>48.6533333333333</v>
      </c>
      <c r="X93" s="40">
        <v>49.7133333333333</v>
      </c>
      <c r="Y93" s="40">
        <v>46.9866666666666</v>
      </c>
      <c r="Z93" s="40">
        <v>46.5333333333333</v>
      </c>
      <c r="AA93" s="40">
        <v>45.4733333333333</v>
      </c>
      <c r="AB93" s="40">
        <v>45.7211</v>
      </c>
      <c r="AC93" s="40">
        <v>55.55</v>
      </c>
      <c r="AD93" s="40">
        <v>48.6435571097732</v>
      </c>
      <c r="AE93" s="40">
        <v>44.84065</v>
      </c>
      <c r="AF93" s="40">
        <v>1.372675</v>
      </c>
      <c r="AG93" s="40">
        <v>55.55</v>
      </c>
      <c r="AH93" s="45">
        <v>44350.0</v>
      </c>
      <c r="AI93" s="44" t="str">
        <f>'6image_RS_benchmark_performance'!B93</f>
        <v>https://3arbzfbsh-cname-us.ngrok.io/Desktop/seabridge%20fintech/image_app/BWA_resistance_support.jpg</v>
      </c>
      <c r="AJ93" s="44" t="str">
        <f>'6image_RS_benchmark_performance'!C93</f>
        <v>https://3arbzfbsh-cname-us.ngrok.io/Desktop/seabridge%20fintech/profit_graph_app/BWA_Return.jpg</v>
      </c>
      <c r="AK93" s="46" t="str">
        <f>'5price_action_icon'!B93</f>
        <v>https://3arbzfbsh-cname-us.ngrok.io/Desktop/seabridge%20fintech/icon/BWA_pa_trend_signal</v>
      </c>
      <c r="AL93" s="42">
        <f>'1kpi_performance'!B93</f>
        <v>0.6658549102</v>
      </c>
      <c r="AM93" s="42">
        <f>'1kpi_performance'!C93</f>
        <v>0.9280139382</v>
      </c>
      <c r="AN93" s="42">
        <f>'1kpi_performance'!D93</f>
        <v>0.5924200969</v>
      </c>
      <c r="AO93" s="42">
        <f>'1kpi_performance'!E93</f>
        <v>0.1251149399</v>
      </c>
      <c r="AP93" s="42">
        <f>'1kpi_performance'!F93</f>
        <v>0.2815435439</v>
      </c>
      <c r="AQ93" s="42">
        <f>'1kpi_performance'!G93</f>
        <v>0.272049477</v>
      </c>
      <c r="AR93" s="42">
        <f>'1kpi_performance'!H93</f>
        <v>0.2856150191</v>
      </c>
      <c r="AS93" s="42">
        <f>'1kpi_performance'!I93</f>
        <v>0.4042846061</v>
      </c>
      <c r="AT93" s="35">
        <f>'1kpi_performance'!J93</f>
        <v>2.27621952</v>
      </c>
      <c r="AU93" s="35">
        <f>'1kpi_performance'!K93</f>
        <v>3.319300401</v>
      </c>
      <c r="AV93" s="35">
        <f>'1kpi_performance'!L93</f>
        <v>1.986660571</v>
      </c>
      <c r="AW93" s="35">
        <f>'1kpi_performance'!M93</f>
        <v>0.2476348058</v>
      </c>
      <c r="AX93" s="42">
        <f>'1kpi_performance'!N93</f>
        <v>0.2014715051</v>
      </c>
      <c r="AY93" s="42">
        <f>'1kpi_performance'!O93</f>
        <v>0.146351243</v>
      </c>
      <c r="AZ93" s="42">
        <f>'1kpi_performance'!P93</f>
        <v>0.4425729023</v>
      </c>
      <c r="BA93" s="42">
        <f>'1kpi_performance'!Q93</f>
        <v>0.7071831404</v>
      </c>
      <c r="BB93" s="35">
        <f>'1kpi_performance'!R93</f>
        <v>4.723481347</v>
      </c>
      <c r="BC93" s="35">
        <f>'1kpi_performance'!S93</f>
        <v>7.595683298</v>
      </c>
      <c r="BD93" s="35">
        <f>'1kpi_performance'!T93</f>
        <v>3.809260206</v>
      </c>
      <c r="BE93" s="35">
        <f>'1kpi_performance'!U93</f>
        <v>0.4870920225</v>
      </c>
      <c r="BF93" s="47"/>
      <c r="BG93" s="47"/>
      <c r="BH93" s="47"/>
      <c r="BI93" s="47"/>
      <c r="BJ93" s="47"/>
      <c r="BK93" s="47"/>
      <c r="BL93" s="47"/>
      <c r="BM93" s="47"/>
      <c r="BN93" s="47"/>
      <c r="BO93" s="47"/>
      <c r="BP93" s="47"/>
      <c r="BQ93" s="47"/>
      <c r="BR93" s="47"/>
      <c r="BS93" s="47"/>
      <c r="BT93" s="47"/>
    </row>
    <row r="94" ht="11.25" customHeight="1">
      <c r="A94" s="35" t="str">
        <f>'13all_company_profile'!A94</f>
        <v>BX</v>
      </c>
      <c r="B94" s="35" t="str">
        <f>'13all_company_profile'!B94</f>
        <v>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v>
      </c>
      <c r="C94" s="44" t="str">
        <f>'13all_company_profile'!C94</f>
        <v>https://financialmodelingprep.com/image-stock/BX.png</v>
      </c>
      <c r="D94" s="35" t="str">
        <f>'13all_company_profile'!D94</f>
        <v>The Blackstone Group Inc.</v>
      </c>
      <c r="E94" s="36">
        <f>'13all_company_profile'!E94</f>
        <v>72220426240</v>
      </c>
      <c r="F94" s="37">
        <f>'13all_company_profile'!F94</f>
        <v>4136620</v>
      </c>
      <c r="G94" s="35">
        <f>'13all_company_profile'!G94</f>
        <v>2.69</v>
      </c>
      <c r="H94" s="38">
        <f>'13all_company_profile'!H94</f>
        <v>44398</v>
      </c>
      <c r="I94" s="35">
        <f>'13all_company_profile'!I94</f>
        <v>18.64193</v>
      </c>
      <c r="J94" s="35">
        <f>'13all_company_profile'!J94</f>
        <v>5.471</v>
      </c>
      <c r="K94" s="42">
        <f t="shared" si="1"/>
        <v>0.02590523883</v>
      </c>
      <c r="L94" s="35">
        <f>'7company_info'!B94</f>
        <v>103.84</v>
      </c>
      <c r="M94" s="35">
        <f>'7company_info'!C94</f>
        <v>104.46</v>
      </c>
      <c r="N94" s="35">
        <f>'7company_info'!D94</f>
        <v>100</v>
      </c>
      <c r="O94" s="35">
        <f>'7company_info'!E94</f>
        <v>4.11</v>
      </c>
      <c r="P94" s="35">
        <f>'7company_info'!F94</f>
        <v>0.0412</v>
      </c>
      <c r="Q94" s="35">
        <f>'7company_info'!G94</f>
        <v>100.21</v>
      </c>
      <c r="R94" s="35">
        <f>'7company_info'!H94</f>
        <v>99.73</v>
      </c>
      <c r="S94" s="35">
        <f>'7company_info'!I94</f>
        <v>49.26</v>
      </c>
      <c r="T94" s="35">
        <f>'7company_info'!J94</f>
        <v>104.46</v>
      </c>
      <c r="U94" s="39">
        <v>99.2883333333333</v>
      </c>
      <c r="V94" s="39">
        <v>100.061666666666</v>
      </c>
      <c r="W94" s="40">
        <v>101.473333333333</v>
      </c>
      <c r="X94" s="40">
        <v>103.658333333333</v>
      </c>
      <c r="Y94" s="40">
        <v>97.8766666666666</v>
      </c>
      <c r="Z94" s="40">
        <v>97.1033333333333</v>
      </c>
      <c r="AA94" s="40">
        <v>94.9183333333333</v>
      </c>
      <c r="AB94" s="40">
        <v>96.29</v>
      </c>
      <c r="AC94" s="40">
        <v>102.2484</v>
      </c>
      <c r="AD94" s="40">
        <v>97.9075274601715</v>
      </c>
      <c r="AE94" s="40">
        <v>95.88026</v>
      </c>
      <c r="AF94" s="40">
        <v>1.97812</v>
      </c>
      <c r="AG94" s="40">
        <v>100.75</v>
      </c>
      <c r="AH94" s="45">
        <v>44371.0</v>
      </c>
      <c r="AI94" s="44" t="str">
        <f>'6image_RS_benchmark_performance'!B94</f>
        <v>https://3arbzfbsh-cname-us.ngrok.io/Desktop/seabridge%20fintech/image_app/BX_resistance_support.jpg</v>
      </c>
      <c r="AJ94" s="44" t="str">
        <f>'6image_RS_benchmark_performance'!C94</f>
        <v>https://3arbzfbsh-cname-us.ngrok.io/Desktop/seabridge%20fintech/profit_graph_app/BX_Return.jpg</v>
      </c>
      <c r="AK94" s="46" t="str">
        <f>'5price_action_icon'!B94</f>
        <v>https://3arbzfbsh-cname-us.ngrok.io/Desktop/seabridge%20fintech/icon/BX_pa_trend_signal</v>
      </c>
      <c r="AL94" s="42">
        <f>'1kpi_performance'!B94</f>
        <v>0.7130523557</v>
      </c>
      <c r="AM94" s="42">
        <f>'1kpi_performance'!C94</f>
        <v>0.9320985774</v>
      </c>
      <c r="AN94" s="42">
        <f>'1kpi_performance'!D94</f>
        <v>0.7404779197</v>
      </c>
      <c r="AO94" s="42">
        <f>'1kpi_performance'!E94</f>
        <v>0.2853258622</v>
      </c>
      <c r="AP94" s="42">
        <f>'1kpi_performance'!F94</f>
        <v>0.2627434412</v>
      </c>
      <c r="AQ94" s="42">
        <f>'1kpi_performance'!G94</f>
        <v>0.2781609258</v>
      </c>
      <c r="AR94" s="42">
        <f>'1kpi_performance'!H94</f>
        <v>0.2430544743</v>
      </c>
      <c r="AS94" s="42">
        <f>'1kpi_performance'!I94</f>
        <v>0.3980126238</v>
      </c>
      <c r="AT94" s="35">
        <f>'1kpi_performance'!J94</f>
        <v>2.61872324</v>
      </c>
      <c r="AU94" s="35">
        <f>'1kpi_performance'!K94</f>
        <v>3.261056796</v>
      </c>
      <c r="AV94" s="35">
        <f>'1kpi_performance'!L94</f>
        <v>2.943693679</v>
      </c>
      <c r="AW94" s="35">
        <f>'1kpi_performance'!M94</f>
        <v>0.6540643351</v>
      </c>
      <c r="AX94" s="42">
        <f>'1kpi_performance'!N94</f>
        <v>0.1512918282</v>
      </c>
      <c r="AY94" s="42">
        <f>'1kpi_performance'!O94</f>
        <v>0.15</v>
      </c>
      <c r="AZ94" s="42">
        <f>'1kpi_performance'!P94</f>
        <v>0.1719894613</v>
      </c>
      <c r="BA94" s="42">
        <f>'1kpi_performance'!Q94</f>
        <v>0.4673990703</v>
      </c>
      <c r="BB94" s="35">
        <f>'1kpi_performance'!R94</f>
        <v>5.578332421</v>
      </c>
      <c r="BC94" s="35">
        <f>'1kpi_performance'!S94</f>
        <v>7.162690052</v>
      </c>
      <c r="BD94" s="35">
        <f>'1kpi_performance'!T94</f>
        <v>6.595590619</v>
      </c>
      <c r="BE94" s="35">
        <f>'1kpi_performance'!U94</f>
        <v>1.294995969</v>
      </c>
      <c r="BF94" s="47"/>
      <c r="BG94" s="47"/>
      <c r="BH94" s="47"/>
      <c r="BI94" s="47"/>
      <c r="BJ94" s="47"/>
      <c r="BK94" s="47"/>
      <c r="BL94" s="47"/>
      <c r="BM94" s="47"/>
      <c r="BN94" s="47"/>
      <c r="BO94" s="47"/>
      <c r="BP94" s="47"/>
      <c r="BQ94" s="47"/>
      <c r="BR94" s="47"/>
      <c r="BS94" s="47"/>
      <c r="BT94" s="47"/>
    </row>
    <row r="95" ht="11.25" customHeight="1">
      <c r="A95" s="35" t="str">
        <f>'13all_company_profile'!A95</f>
        <v>BXP</v>
      </c>
      <c r="B95" s="35" t="str">
        <f>'13all_company_profile'!B95</f>
        <v>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v>
      </c>
      <c r="C95" s="44" t="str">
        <f>'13all_company_profile'!C95</f>
        <v>https://financialmodelingprep.com/image-stock/BXP.png</v>
      </c>
      <c r="D95" s="35" t="str">
        <f>'13all_company_profile'!D95</f>
        <v>Boston Properties, Inc.</v>
      </c>
      <c r="E95" s="36">
        <f>'13all_company_profile'!E95</f>
        <v>18206031872</v>
      </c>
      <c r="F95" s="37">
        <f>'13all_company_profile'!F95</f>
        <v>1115896</v>
      </c>
      <c r="G95" s="35">
        <f>'13all_company_profile'!G95</f>
        <v>3.92</v>
      </c>
      <c r="H95" s="38">
        <f>'13all_company_profile'!H95</f>
        <v>44403</v>
      </c>
      <c r="I95" s="35">
        <f>'13all_company_profile'!I95</f>
        <v>39.62837</v>
      </c>
      <c r="J95" s="35">
        <f>'13all_company_profile'!J95</f>
        <v>2.933</v>
      </c>
      <c r="K95" s="42">
        <f t="shared" si="1"/>
        <v>0.03378145467</v>
      </c>
      <c r="L95" s="35">
        <f>'7company_info'!B95</f>
        <v>116.04</v>
      </c>
      <c r="M95" s="35">
        <f>'7company_info'!C95</f>
        <v>116.3</v>
      </c>
      <c r="N95" s="35">
        <f>'7company_info'!D95</f>
        <v>110.99</v>
      </c>
      <c r="O95" s="35">
        <f>'7company_info'!E95</f>
        <v>5.33</v>
      </c>
      <c r="P95" s="35">
        <f>'7company_info'!F95</f>
        <v>0.0481</v>
      </c>
      <c r="Q95" s="35">
        <f>'7company_info'!G95</f>
        <v>111.38</v>
      </c>
      <c r="R95" s="35">
        <f>'7company_info'!H95</f>
        <v>110.71</v>
      </c>
      <c r="S95" s="35">
        <f>'7company_info'!I95</f>
        <v>69.69</v>
      </c>
      <c r="T95" s="35">
        <f>'7company_info'!J95</f>
        <v>124.24</v>
      </c>
      <c r="U95" s="39">
        <v>116.66</v>
      </c>
      <c r="V95" s="39">
        <v>117.46</v>
      </c>
      <c r="W95" s="40">
        <v>118.12</v>
      </c>
      <c r="X95" s="40">
        <v>119.58</v>
      </c>
      <c r="Y95" s="40">
        <v>116.0</v>
      </c>
      <c r="Z95" s="40">
        <v>115.2</v>
      </c>
      <c r="AA95" s="40">
        <v>113.74</v>
      </c>
      <c r="AB95" s="40">
        <v>115.86</v>
      </c>
      <c r="AC95" s="40">
        <v>114.58</v>
      </c>
      <c r="AD95" s="40">
        <v>116.873791772682</v>
      </c>
      <c r="AE95" s="40">
        <v>111.29488</v>
      </c>
      <c r="AF95" s="40">
        <v>2.44906</v>
      </c>
      <c r="AG95" s="40">
        <v>124.24</v>
      </c>
      <c r="AH95" s="45">
        <v>44361.0</v>
      </c>
      <c r="AI95" s="44" t="str">
        <f>'6image_RS_benchmark_performance'!B95</f>
        <v>https://3arbzfbsh-cname-us.ngrok.io/Desktop/seabridge%20fintech/image_app/BXP_resistance_support.jpg</v>
      </c>
      <c r="AJ95" s="44" t="str">
        <f>'6image_RS_benchmark_performance'!C95</f>
        <v>https://3arbzfbsh-cname-us.ngrok.io/Desktop/seabridge%20fintech/profit_graph_app/BXP_Return.jpg</v>
      </c>
      <c r="AK95" s="46" t="str">
        <f>'5price_action_icon'!B95</f>
        <v>https://3arbzfbsh-cname-us.ngrok.io/Desktop/seabridge%20fintech/icon/BXP_pa_trend_signal</v>
      </c>
      <c r="AL95" s="42">
        <f>'1kpi_performance'!B95</f>
        <v>0.4427616682</v>
      </c>
      <c r="AM95" s="42">
        <f>'1kpi_performance'!C95</f>
        <v>0.4960499084</v>
      </c>
      <c r="AN95" s="42">
        <f>'1kpi_performance'!D95</f>
        <v>0.4512081818</v>
      </c>
      <c r="AO95" s="42">
        <f>'1kpi_performance'!E95</f>
        <v>0.08283178666</v>
      </c>
      <c r="AP95" s="42">
        <f>'1kpi_performance'!F95</f>
        <v>0.2084592343</v>
      </c>
      <c r="AQ95" s="42">
        <f>'1kpi_performance'!G95</f>
        <v>0.2138355212</v>
      </c>
      <c r="AR95" s="42">
        <f>'1kpi_performance'!H95</f>
        <v>0.2157271471</v>
      </c>
      <c r="AS95" s="42">
        <f>'1kpi_performance'!I95</f>
        <v>0.31645024</v>
      </c>
      <c r="AT95" s="35">
        <f>'1kpi_performance'!J95</f>
        <v>2.004044914</v>
      </c>
      <c r="AU95" s="35">
        <f>'1kpi_performance'!K95</f>
        <v>2.202860899</v>
      </c>
      <c r="AV95" s="35">
        <f>'1kpi_performance'!L95</f>
        <v>1.975681723</v>
      </c>
      <c r="AW95" s="35">
        <f>'1kpi_performance'!M95</f>
        <v>0.1827515967</v>
      </c>
      <c r="AX95" s="42">
        <f>'1kpi_performance'!N95</f>
        <v>0.2164474446</v>
      </c>
      <c r="AY95" s="42">
        <f>'1kpi_performance'!O95</f>
        <v>0.1641509306</v>
      </c>
      <c r="AZ95" s="42">
        <f>'1kpi_performance'!P95</f>
        <v>0.2528125514</v>
      </c>
      <c r="BA95" s="42">
        <f>'1kpi_performance'!Q95</f>
        <v>0.5176598197</v>
      </c>
      <c r="BB95" s="35">
        <f>'1kpi_performance'!R95</f>
        <v>4.377664486</v>
      </c>
      <c r="BC95" s="35">
        <f>'1kpi_performance'!S95</f>
        <v>4.946658656</v>
      </c>
      <c r="BD95" s="35">
        <f>'1kpi_performance'!T95</f>
        <v>4.326230399</v>
      </c>
      <c r="BE95" s="35">
        <f>'1kpi_performance'!U95</f>
        <v>0.3520675672</v>
      </c>
      <c r="BF95" s="47"/>
      <c r="BG95" s="47"/>
      <c r="BH95" s="47"/>
      <c r="BI95" s="47"/>
      <c r="BJ95" s="47"/>
      <c r="BK95" s="47"/>
      <c r="BL95" s="47"/>
      <c r="BM95" s="47"/>
      <c r="BN95" s="47"/>
      <c r="BO95" s="47"/>
      <c r="BP95" s="47"/>
      <c r="BQ95" s="47"/>
      <c r="BR95" s="47"/>
      <c r="BS95" s="47"/>
      <c r="BT95" s="47"/>
    </row>
    <row r="96" ht="11.25" customHeight="1">
      <c r="A96" s="35" t="str">
        <f>'13all_company_profile'!A96</f>
        <v>BYND</v>
      </c>
      <c r="B96" s="35" t="str">
        <f>'13all_company_profile'!B96</f>
        <v>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v>
      </c>
      <c r="C96" s="44" t="str">
        <f>'13all_company_profile'!C96</f>
        <v>https://financialmodelingprep.com/image-stock/BYND.png</v>
      </c>
      <c r="D96" s="35" t="str">
        <f>'13all_company_profile'!D96</f>
        <v>Beyond Meat, Inc.</v>
      </c>
      <c r="E96" s="36">
        <f>'13all_company_profile'!E96</f>
        <v>8140867072</v>
      </c>
      <c r="F96" s="37">
        <f>'13all_company_profile'!F96</f>
        <v>3739339</v>
      </c>
      <c r="G96" s="35">
        <f>'13all_company_profile'!G96</f>
        <v>0</v>
      </c>
      <c r="H96" s="38">
        <f>'13all_company_profile'!H96</f>
        <v>44410</v>
      </c>
      <c r="I96" s="35" t="str">
        <f>'13all_company_profile'!I96</f>
        <v>NaN</v>
      </c>
      <c r="J96" s="35">
        <f>'13all_company_profile'!J96</f>
        <v>-1.31</v>
      </c>
      <c r="K96" s="42" t="str">
        <f t="shared" si="1"/>
        <v>NaN</v>
      </c>
      <c r="L96" s="35">
        <f>'7company_info'!B96</f>
        <v>130.6</v>
      </c>
      <c r="M96" s="35">
        <f>'7company_info'!C96</f>
        <v>131.52</v>
      </c>
      <c r="N96" s="35">
        <f>'7company_info'!D96</f>
        <v>123.07</v>
      </c>
      <c r="O96" s="35">
        <f>'7company_info'!E96</f>
        <v>5.08</v>
      </c>
      <c r="P96" s="35">
        <f>'7company_info'!F96</f>
        <v>0.0405</v>
      </c>
      <c r="Q96" s="35">
        <f>'7company_info'!G96</f>
        <v>126.02</v>
      </c>
      <c r="R96" s="35">
        <f>'7company_info'!H96</f>
        <v>125.52</v>
      </c>
      <c r="S96" s="35">
        <f>'7company_info'!I96</f>
        <v>99.86</v>
      </c>
      <c r="T96" s="35">
        <f>'7company_info'!J96</f>
        <v>221</v>
      </c>
      <c r="U96" s="39">
        <v>130.846666666666</v>
      </c>
      <c r="V96" s="39">
        <v>134.113333333333</v>
      </c>
      <c r="W96" s="40">
        <v>140.256666666666</v>
      </c>
      <c r="X96" s="40">
        <v>149.666666666666</v>
      </c>
      <c r="Y96" s="40">
        <v>124.703333333333</v>
      </c>
      <c r="Z96" s="40">
        <v>121.436666666666</v>
      </c>
      <c r="AA96" s="40">
        <v>112.026666666666</v>
      </c>
      <c r="AB96" s="40">
        <v>154.51</v>
      </c>
      <c r="AC96" s="40">
        <v>146.8</v>
      </c>
      <c r="AD96" s="40">
        <v>142.55391823156</v>
      </c>
      <c r="AE96" s="40">
        <v>123.42915</v>
      </c>
      <c r="AF96" s="40">
        <v>6.454925</v>
      </c>
      <c r="AG96" s="40">
        <v>221.0</v>
      </c>
      <c r="AH96" s="45">
        <v>44222.0</v>
      </c>
      <c r="AI96" s="44" t="str">
        <f>'6image_RS_benchmark_performance'!B96</f>
        <v>https://3arbzfbsh-cname-us.ngrok.io/Desktop/seabridge%20fintech/image_app/BYND_resistance_support.jpg</v>
      </c>
      <c r="AJ96" s="44" t="str">
        <f>'6image_RS_benchmark_performance'!C96</f>
        <v>https://3arbzfbsh-cname-us.ngrok.io/Desktop/seabridge%20fintech/profit_graph_app/BYND_Return.jpg</v>
      </c>
      <c r="AK96" s="46" t="str">
        <f>'5price_action_icon'!B96</f>
        <v>https://3arbzfbsh-cname-us.ngrok.io/Desktop/seabridge%20fintech/icon/BYND_pa_trend_signal</v>
      </c>
      <c r="AL96" s="42">
        <f>'1kpi_performance'!B96</f>
        <v>6.302734831</v>
      </c>
      <c r="AM96" s="42">
        <f>'1kpi_performance'!C96</f>
        <v>7.563990047</v>
      </c>
      <c r="AN96" s="42">
        <f>'1kpi_performance'!D96</f>
        <v>2.801888438</v>
      </c>
      <c r="AO96" s="42">
        <f>'1kpi_performance'!E96</f>
        <v>0.5414727933</v>
      </c>
      <c r="AP96" s="42">
        <f>'1kpi_performance'!F96</f>
        <v>0.7499254295</v>
      </c>
      <c r="AQ96" s="42">
        <f>'1kpi_performance'!G96</f>
        <v>0.7685996445</v>
      </c>
      <c r="AR96" s="42">
        <f>'1kpi_performance'!H96</f>
        <v>0.8567699191</v>
      </c>
      <c r="AS96" s="42">
        <f>'1kpi_performance'!I96</f>
        <v>1.010803397</v>
      </c>
      <c r="AT96" s="35">
        <f>'1kpi_performance'!J96</f>
        <v>8.371145429</v>
      </c>
      <c r="AU96" s="35">
        <f>'1kpi_performance'!K96</f>
        <v>9.808734757</v>
      </c>
      <c r="AV96" s="35">
        <f>'1kpi_performance'!L96</f>
        <v>3.241113368</v>
      </c>
      <c r="AW96" s="35">
        <f>'1kpi_performance'!M96</f>
        <v>0.5109527677</v>
      </c>
      <c r="AX96" s="42">
        <f>'1kpi_performance'!N96</f>
        <v>0.287192136</v>
      </c>
      <c r="AY96" s="42">
        <f>'1kpi_performance'!O96</f>
        <v>0.2653969228</v>
      </c>
      <c r="AZ96" s="42">
        <f>'1kpi_performance'!P96</f>
        <v>0.5904002445</v>
      </c>
      <c r="BA96" s="42">
        <f>'1kpi_performance'!Q96</f>
        <v>0.7700297999</v>
      </c>
      <c r="BB96" s="35">
        <f>'1kpi_performance'!R96</f>
        <v>25.31898606</v>
      </c>
      <c r="BC96" s="35">
        <f>'1kpi_performance'!S96</f>
        <v>31.90473785</v>
      </c>
      <c r="BD96" s="35">
        <f>'1kpi_performance'!T96</f>
        <v>7.788120608</v>
      </c>
      <c r="BE96" s="35">
        <f>'1kpi_performance'!U96</f>
        <v>1.148312739</v>
      </c>
      <c r="BF96" s="47"/>
      <c r="BG96" s="47"/>
      <c r="BH96" s="47"/>
      <c r="BI96" s="47"/>
      <c r="BJ96" s="47"/>
      <c r="BK96" s="47"/>
      <c r="BL96" s="47"/>
      <c r="BM96" s="47"/>
      <c r="BN96" s="47"/>
      <c r="BO96" s="47"/>
      <c r="BP96" s="47"/>
      <c r="BQ96" s="47"/>
      <c r="BR96" s="47"/>
      <c r="BS96" s="47"/>
      <c r="BT96" s="47"/>
    </row>
    <row r="97" ht="11.25" customHeight="1">
      <c r="A97" s="35" t="str">
        <f>'13all_company_profile'!A97</f>
        <v>C</v>
      </c>
      <c r="B97" s="35" t="str">
        <f>'13all_company_profile'!B97</f>
        <v>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v>
      </c>
      <c r="C97" s="44" t="str">
        <f>'13all_company_profile'!C97</f>
        <v>https://financialmodelingprep.com/image-stock/C.png</v>
      </c>
      <c r="D97" s="35" t="str">
        <f>'13all_company_profile'!D97</f>
        <v>Citigroup Inc.</v>
      </c>
      <c r="E97" s="36">
        <f>'13all_company_profile'!E97</f>
        <v>141406896128</v>
      </c>
      <c r="F97" s="37">
        <f>'13all_company_profile'!F97</f>
        <v>20690782</v>
      </c>
      <c r="G97" s="35">
        <f>'13all_company_profile'!G97</f>
        <v>2.04</v>
      </c>
      <c r="H97" s="38" t="str">
        <f>'13all_company_profile'!H97</f>
        <v>not avaiable</v>
      </c>
      <c r="I97" s="35">
        <f>'13all_company_profile'!I97</f>
        <v>9.126766</v>
      </c>
      <c r="J97" s="35">
        <f>'13all_company_profile'!J97</f>
        <v>7.289</v>
      </c>
      <c r="K97" s="42">
        <f t="shared" si="1"/>
        <v>0.03077387238</v>
      </c>
      <c r="L97" s="35">
        <f>'7company_info'!B97</f>
        <v>66.29</v>
      </c>
      <c r="M97" s="35">
        <f>'7company_info'!C97</f>
        <v>66.78</v>
      </c>
      <c r="N97" s="35">
        <f>'7company_info'!D97</f>
        <v>64.78</v>
      </c>
      <c r="O97" s="35">
        <f>'7company_info'!E97</f>
        <v>1.21</v>
      </c>
      <c r="P97" s="35">
        <f>'7company_info'!F97</f>
        <v>0.0186</v>
      </c>
      <c r="Q97" s="35">
        <f>'7company_info'!G97</f>
        <v>65.18</v>
      </c>
      <c r="R97" s="35">
        <f>'7company_info'!H97</f>
        <v>65.08</v>
      </c>
      <c r="S97" s="35">
        <f>'7company_info'!I97</f>
        <v>40.49</v>
      </c>
      <c r="T97" s="35">
        <f>'7company_info'!J97</f>
        <v>80.29</v>
      </c>
      <c r="U97" s="39">
        <v>68.8</v>
      </c>
      <c r="V97" s="39">
        <v>70.15</v>
      </c>
      <c r="W97" s="40">
        <v>72.13</v>
      </c>
      <c r="X97" s="40">
        <v>75.46</v>
      </c>
      <c r="Y97" s="40">
        <v>66.82</v>
      </c>
      <c r="Z97" s="40">
        <v>65.47</v>
      </c>
      <c r="AA97" s="40">
        <v>62.14</v>
      </c>
      <c r="AB97" s="40">
        <v>77.47</v>
      </c>
      <c r="AC97" s="40">
        <v>70.19</v>
      </c>
      <c r="AD97" s="40">
        <v>70.2763949566881</v>
      </c>
      <c r="AE97" s="40">
        <v>64.57607</v>
      </c>
      <c r="AF97" s="40">
        <v>1.958965</v>
      </c>
      <c r="AG97" s="40">
        <v>80.29</v>
      </c>
      <c r="AH97" s="45">
        <v>44349.0</v>
      </c>
      <c r="AI97" s="44" t="str">
        <f>'6image_RS_benchmark_performance'!B97</f>
        <v>https://3arbzfbsh-cname-us.ngrok.io/Desktop/seabridge%20fintech/image_app/C_resistance_support.jpg</v>
      </c>
      <c r="AJ97" s="44" t="str">
        <f>'6image_RS_benchmark_performance'!C97</f>
        <v>https://3arbzfbsh-cname-us.ngrok.io/Desktop/seabridge%20fintech/profit_graph_app/C_Return.jpg</v>
      </c>
      <c r="AK97" s="46" t="str">
        <f>'5price_action_icon'!B97</f>
        <v>https://3arbzfbsh-cname-us.ngrok.io/Desktop/seabridge%20fintech/icon/C_pa_trend_signal</v>
      </c>
      <c r="AL97" s="42">
        <f>'1kpi_performance'!B97</f>
        <v>0.6785047792</v>
      </c>
      <c r="AM97" s="42">
        <f>'1kpi_performance'!C97</f>
        <v>0.905718218</v>
      </c>
      <c r="AN97" s="42">
        <f>'1kpi_performance'!D97</f>
        <v>0.9396891286</v>
      </c>
      <c r="AO97" s="42">
        <f>'1kpi_performance'!E97</f>
        <v>0.09586347894</v>
      </c>
      <c r="AP97" s="42">
        <f>'1kpi_performance'!F97</f>
        <v>0.2974590095</v>
      </c>
      <c r="AQ97" s="42">
        <f>'1kpi_performance'!G97</f>
        <v>0.2600413679</v>
      </c>
      <c r="AR97" s="42">
        <f>'1kpi_performance'!H97</f>
        <v>0.278764349</v>
      </c>
      <c r="AS97" s="42">
        <f>'1kpi_performance'!I97</f>
        <v>0.4248555928</v>
      </c>
      <c r="AT97" s="35">
        <f>'1kpi_performance'!J97</f>
        <v>2.196957424</v>
      </c>
      <c r="AU97" s="35">
        <f>'1kpi_performance'!K97</f>
        <v>3.386838891</v>
      </c>
      <c r="AV97" s="35">
        <f>'1kpi_performance'!L97</f>
        <v>3.281227072</v>
      </c>
      <c r="AW97" s="35">
        <f>'1kpi_performance'!M97</f>
        <v>0.1667942711</v>
      </c>
      <c r="AX97" s="42">
        <f>'1kpi_performance'!N97</f>
        <v>0.2945948946</v>
      </c>
      <c r="AY97" s="42">
        <f>'1kpi_performance'!O97</f>
        <v>0.169968953</v>
      </c>
      <c r="AZ97" s="42">
        <f>'1kpi_performance'!P97</f>
        <v>0.2924743444</v>
      </c>
      <c r="BA97" s="42">
        <f>'1kpi_performance'!Q97</f>
        <v>0.5679404224</v>
      </c>
      <c r="BB97" s="35">
        <f>'1kpi_performance'!R97</f>
        <v>4.590815563</v>
      </c>
      <c r="BC97" s="35">
        <f>'1kpi_performance'!S97</f>
        <v>7.91400618</v>
      </c>
      <c r="BD97" s="35">
        <f>'1kpi_performance'!T97</f>
        <v>7.134049544</v>
      </c>
      <c r="BE97" s="35">
        <f>'1kpi_performance'!U97</f>
        <v>0.3190134939</v>
      </c>
      <c r="BF97" s="47"/>
      <c r="BG97" s="47"/>
      <c r="BH97" s="47"/>
      <c r="BI97" s="47"/>
      <c r="BJ97" s="47"/>
      <c r="BK97" s="47"/>
      <c r="BL97" s="47"/>
      <c r="BM97" s="47"/>
      <c r="BN97" s="47"/>
      <c r="BO97" s="47"/>
      <c r="BP97" s="47"/>
      <c r="BQ97" s="47"/>
      <c r="BR97" s="47"/>
      <c r="BS97" s="47"/>
      <c r="BT97" s="47"/>
    </row>
    <row r="98" ht="11.25" customHeight="1">
      <c r="A98" s="35" t="str">
        <f>'13all_company_profile'!A98</f>
        <v>CAG</v>
      </c>
      <c r="B98" s="35" t="str">
        <f>'13all_company_profile'!B98</f>
        <v>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v>
      </c>
      <c r="C98" s="44" t="str">
        <f>'13all_company_profile'!C98</f>
        <v>https://financialmodelingprep.com/image-stock/CAG.png</v>
      </c>
      <c r="D98" s="35" t="str">
        <f>'13all_company_profile'!D98</f>
        <v>Conagra Brands, Inc.</v>
      </c>
      <c r="E98" s="36">
        <f>'13all_company_profile'!E98</f>
        <v>16639761408</v>
      </c>
      <c r="F98" s="37">
        <f>'13all_company_profile'!F98</f>
        <v>3198379</v>
      </c>
      <c r="G98" s="35">
        <f>'13all_company_profile'!G98</f>
        <v>1.038</v>
      </c>
      <c r="H98" s="38" t="str">
        <f>'13all_company_profile'!H98</f>
        <v>not avaiable</v>
      </c>
      <c r="I98" s="35">
        <f>'13all_company_profile'!I98</f>
        <v>13.092105</v>
      </c>
      <c r="J98" s="35">
        <f>'13all_company_profile'!J98</f>
        <v>2.66</v>
      </c>
      <c r="K98" s="42">
        <f t="shared" si="1"/>
        <v>0.02964867181</v>
      </c>
      <c r="L98" s="35">
        <f>'7company_info'!B98</f>
        <v>35.01</v>
      </c>
      <c r="M98" s="35">
        <f>'7company_info'!C98</f>
        <v>35.74</v>
      </c>
      <c r="N98" s="35">
        <f>'7company_info'!D98</f>
        <v>35</v>
      </c>
      <c r="O98" s="35">
        <f>'7company_info'!E98</f>
        <v>-0.39</v>
      </c>
      <c r="P98" s="35">
        <f>'7company_info'!F98</f>
        <v>-0.011</v>
      </c>
      <c r="Q98" s="35">
        <f>'7company_info'!G98</f>
        <v>35.46</v>
      </c>
      <c r="R98" s="35">
        <f>'7company_info'!H98</f>
        <v>35.4</v>
      </c>
      <c r="S98" s="35">
        <f>'7company_info'!I98</f>
        <v>32.55</v>
      </c>
      <c r="T98" s="35">
        <f>'7company_info'!J98</f>
        <v>39.34</v>
      </c>
      <c r="U98" s="39">
        <v>33.785</v>
      </c>
      <c r="V98" s="39">
        <v>34.27</v>
      </c>
      <c r="W98" s="40">
        <v>34.65</v>
      </c>
      <c r="X98" s="40">
        <v>35.515</v>
      </c>
      <c r="Y98" s="40">
        <v>33.405</v>
      </c>
      <c r="Z98" s="40">
        <v>32.92</v>
      </c>
      <c r="AA98" s="40">
        <v>32.055</v>
      </c>
      <c r="AB98" s="40">
        <v>33.88</v>
      </c>
      <c r="AC98" s="40">
        <v>36.4858</v>
      </c>
      <c r="AD98" s="40">
        <v>35.8969774302067</v>
      </c>
      <c r="AE98" s="40">
        <v>32.84692</v>
      </c>
      <c r="AF98" s="40">
        <v>0.59079</v>
      </c>
      <c r="AG98" s="40">
        <v>39.09</v>
      </c>
      <c r="AH98" s="45">
        <v>44350.0</v>
      </c>
      <c r="AI98" s="44" t="str">
        <f>'6image_RS_benchmark_performance'!B98</f>
        <v>https://3arbzfbsh-cname-us.ngrok.io/Desktop/seabridge%20fintech/image_app/CAG_resistance_support.jpg</v>
      </c>
      <c r="AJ98" s="44" t="str">
        <f>'6image_RS_benchmark_performance'!C98</f>
        <v>https://3arbzfbsh-cname-us.ngrok.io/Desktop/seabridge%20fintech/profit_graph_app/CAG_Return.jpg</v>
      </c>
      <c r="AK98" s="46" t="str">
        <f>'5price_action_icon'!B98</f>
        <v>https://3arbzfbsh-cname-us.ngrok.io/Desktop/seabridge%20fintech/icon/CAG_pa_trend_signal</v>
      </c>
      <c r="AL98" s="42">
        <f>'1kpi_performance'!B98</f>
        <v>0.4551052583</v>
      </c>
      <c r="AM98" s="42">
        <f>'1kpi_performance'!C98</f>
        <v>0.491449233</v>
      </c>
      <c r="AN98" s="42">
        <f>'1kpi_performance'!D98</f>
        <v>0.4747458387</v>
      </c>
      <c r="AO98" s="42">
        <f>'1kpi_performance'!E98</f>
        <v>0.08065439717</v>
      </c>
      <c r="AP98" s="42">
        <f>'1kpi_performance'!F98</f>
        <v>0.1910694642</v>
      </c>
      <c r="AQ98" s="42">
        <f>'1kpi_performance'!G98</f>
        <v>0.1968050222</v>
      </c>
      <c r="AR98" s="42">
        <f>'1kpi_performance'!H98</f>
        <v>0.1939098343</v>
      </c>
      <c r="AS98" s="42">
        <f>'1kpi_performance'!I98</f>
        <v>0.2820064071</v>
      </c>
      <c r="AT98" s="35">
        <f>'1kpi_performance'!J98</f>
        <v>2.251041317</v>
      </c>
      <c r="AU98" s="35">
        <f>'1kpi_performance'!K98</f>
        <v>2.370108383</v>
      </c>
      <c r="AV98" s="35">
        <f>'1kpi_performance'!L98</f>
        <v>2.31935549</v>
      </c>
      <c r="AW98" s="35">
        <f>'1kpi_performance'!M98</f>
        <v>0.1973515345</v>
      </c>
      <c r="AX98" s="42">
        <f>'1kpi_performance'!N98</f>
        <v>0.1355704698</v>
      </c>
      <c r="AY98" s="42">
        <f>'1kpi_performance'!O98</f>
        <v>0.1355704698</v>
      </c>
      <c r="AZ98" s="42">
        <f>'1kpi_performance'!P98</f>
        <v>0.2701534672</v>
      </c>
      <c r="BA98" s="42">
        <f>'1kpi_performance'!Q98</f>
        <v>0.4975903614</v>
      </c>
      <c r="BB98" s="35">
        <f>'1kpi_performance'!R98</f>
        <v>5.19972682</v>
      </c>
      <c r="BC98" s="35">
        <f>'1kpi_performance'!S98</f>
        <v>5.73617398</v>
      </c>
      <c r="BD98" s="35">
        <f>'1kpi_performance'!T98</f>
        <v>5.014240465</v>
      </c>
      <c r="BE98" s="35">
        <f>'1kpi_performance'!U98</f>
        <v>0.369169345</v>
      </c>
      <c r="BF98" s="47"/>
      <c r="BG98" s="47"/>
      <c r="BH98" s="47"/>
      <c r="BI98" s="47"/>
      <c r="BJ98" s="47"/>
      <c r="BK98" s="47"/>
      <c r="BL98" s="47"/>
      <c r="BM98" s="47"/>
      <c r="BN98" s="47"/>
      <c r="BO98" s="47"/>
      <c r="BP98" s="47"/>
      <c r="BQ98" s="47"/>
      <c r="BR98" s="47"/>
      <c r="BS98" s="47"/>
      <c r="BT98" s="47"/>
    </row>
    <row r="99" ht="11.25" customHeight="1">
      <c r="A99" s="35" t="str">
        <f>'13all_company_profile'!A99</f>
        <v>CAH</v>
      </c>
      <c r="B99" s="35" t="str">
        <f>'13all_company_profile'!B99</f>
        <v>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v>
      </c>
      <c r="C99" s="44" t="str">
        <f>'13all_company_profile'!C99</f>
        <v>https://financialmodelingprep.com/image-stock/CAH.png</v>
      </c>
      <c r="D99" s="35" t="str">
        <f>'13all_company_profile'!D99</f>
        <v>Cardinal Health, Inc.</v>
      </c>
      <c r="E99" s="36">
        <f>'13all_company_profile'!E99</f>
        <v>16460095488</v>
      </c>
      <c r="F99" s="37">
        <f>'13all_company_profile'!F99</f>
        <v>2250811</v>
      </c>
      <c r="G99" s="35">
        <f>'13all_company_profile'!G99</f>
        <v>1.9488</v>
      </c>
      <c r="H99" s="38">
        <f>'13all_company_profile'!H99</f>
        <v>44413</v>
      </c>
      <c r="I99" s="35">
        <f>'13all_company_profile'!I99</f>
        <v>14.559652</v>
      </c>
      <c r="J99" s="35">
        <f>'13all_company_profile'!J99</f>
        <v>3.906</v>
      </c>
      <c r="K99" s="42">
        <f t="shared" si="1"/>
        <v>0.03378055122</v>
      </c>
      <c r="L99" s="35">
        <f>'7company_info'!B99</f>
        <v>57.69</v>
      </c>
      <c r="M99" s="35">
        <f>'7company_info'!C99</f>
        <v>59.87</v>
      </c>
      <c r="N99" s="35">
        <f>'7company_info'!D99</f>
        <v>57.42</v>
      </c>
      <c r="O99" s="35">
        <f>'7company_info'!E99</f>
        <v>1.67</v>
      </c>
      <c r="P99" s="35">
        <f>'7company_info'!F99</f>
        <v>0.0298</v>
      </c>
      <c r="Q99" s="35">
        <f>'7company_info'!G99</f>
        <v>57.88</v>
      </c>
      <c r="R99" s="35">
        <f>'7company_info'!H99</f>
        <v>56.02</v>
      </c>
      <c r="S99" s="35">
        <f>'7company_info'!I99</f>
        <v>44.65</v>
      </c>
      <c r="T99" s="35">
        <f>'7company_info'!J99</f>
        <v>62.96</v>
      </c>
      <c r="U99" s="39">
        <v>57.055</v>
      </c>
      <c r="V99" s="39">
        <v>57.37</v>
      </c>
      <c r="W99" s="40">
        <v>57.67</v>
      </c>
      <c r="X99" s="40">
        <v>58.2849999999999</v>
      </c>
      <c r="Y99" s="40">
        <v>56.755</v>
      </c>
      <c r="Z99" s="40">
        <v>56.44</v>
      </c>
      <c r="AA99" s="40">
        <v>55.825</v>
      </c>
      <c r="AB99" s="40">
        <v>55.76</v>
      </c>
      <c r="AC99" s="40">
        <v>57.205</v>
      </c>
      <c r="AD99" s="40">
        <v>57.2210002380996</v>
      </c>
      <c r="AE99" s="40">
        <v>55.0155</v>
      </c>
      <c r="AF99" s="40">
        <v>1.039</v>
      </c>
      <c r="AG99" s="40">
        <v>62.96</v>
      </c>
      <c r="AH99" s="45">
        <v>44285.0</v>
      </c>
      <c r="AI99" s="44" t="str">
        <f>'6image_RS_benchmark_performance'!B99</f>
        <v>https://3arbzfbsh-cname-us.ngrok.io/Desktop/seabridge%20fintech/image_app/CAH_resistance_support.jpg</v>
      </c>
      <c r="AJ99" s="44" t="str">
        <f>'6image_RS_benchmark_performance'!C99</f>
        <v>https://3arbzfbsh-cname-us.ngrok.io/Desktop/seabridge%20fintech/profit_graph_app/CAH_Return.jpg</v>
      </c>
      <c r="AK99" s="46" t="str">
        <f>'5price_action_icon'!B99</f>
        <v>https://3arbzfbsh-cname-us.ngrok.io/Desktop/seabridge%20fintech/icon/CAH_pa_trend_signal</v>
      </c>
      <c r="AL99" s="42">
        <f>'1kpi_performance'!B99</f>
        <v>0.5090784364</v>
      </c>
      <c r="AM99" s="42">
        <f>'1kpi_performance'!C99</f>
        <v>0.6069553003</v>
      </c>
      <c r="AN99" s="42">
        <f>'1kpi_performance'!D99</f>
        <v>0.4226530667</v>
      </c>
      <c r="AO99" s="42">
        <f>'1kpi_performance'!E99</f>
        <v>0.07462931441</v>
      </c>
      <c r="AP99" s="42">
        <f>'1kpi_performance'!F99</f>
        <v>0.201890927</v>
      </c>
      <c r="AQ99" s="42">
        <f>'1kpi_performance'!G99</f>
        <v>0.2016982259</v>
      </c>
      <c r="AR99" s="42">
        <f>'1kpi_performance'!H99</f>
        <v>0.2135836872</v>
      </c>
      <c r="AS99" s="42">
        <f>'1kpi_performance'!I99</f>
        <v>0.3226713596</v>
      </c>
      <c r="AT99" s="35">
        <f>'1kpi_performance'!J99</f>
        <v>2.397722589</v>
      </c>
      <c r="AU99" s="35">
        <f>'1kpi_performance'!K99</f>
        <v>2.885277239</v>
      </c>
      <c r="AV99" s="35">
        <f>'1kpi_performance'!L99</f>
        <v>1.861813849</v>
      </c>
      <c r="AW99" s="35">
        <f>'1kpi_performance'!M99</f>
        <v>0.1538076217</v>
      </c>
      <c r="AX99" s="42">
        <f>'1kpi_performance'!N99</f>
        <v>0.1149890406</v>
      </c>
      <c r="AY99" s="42">
        <f>'1kpi_performance'!O99</f>
        <v>0.08383757358</v>
      </c>
      <c r="AZ99" s="42">
        <f>'1kpi_performance'!P99</f>
        <v>0.2592833277</v>
      </c>
      <c r="BA99" s="42">
        <f>'1kpi_performance'!Q99</f>
        <v>0.5519125683</v>
      </c>
      <c r="BB99" s="35">
        <f>'1kpi_performance'!R99</f>
        <v>5.175749345</v>
      </c>
      <c r="BC99" s="35">
        <f>'1kpi_performance'!S99</f>
        <v>6.727809579</v>
      </c>
      <c r="BD99" s="35">
        <f>'1kpi_performance'!T99</f>
        <v>3.746245521</v>
      </c>
      <c r="BE99" s="35">
        <f>'1kpi_performance'!U99</f>
        <v>0.2815516122</v>
      </c>
      <c r="BF99" s="47"/>
      <c r="BG99" s="47"/>
      <c r="BH99" s="47"/>
      <c r="BI99" s="47"/>
      <c r="BJ99" s="47"/>
      <c r="BK99" s="47"/>
      <c r="BL99" s="47"/>
      <c r="BM99" s="47"/>
      <c r="BN99" s="47"/>
      <c r="BO99" s="47"/>
      <c r="BP99" s="47"/>
      <c r="BQ99" s="47"/>
      <c r="BR99" s="47"/>
      <c r="BS99" s="47"/>
      <c r="BT99" s="47"/>
    </row>
    <row r="100" ht="11.25" customHeight="1">
      <c r="A100" s="35" t="str">
        <f>'13all_company_profile'!A100</f>
        <v>CAT</v>
      </c>
      <c r="B100" s="35" t="str">
        <f>'13all_company_profile'!B100</f>
        <v>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v>
      </c>
      <c r="C100" s="44" t="str">
        <f>'13all_company_profile'!C100</f>
        <v>https://financialmodelingprep.com/image-stock/CAT.png</v>
      </c>
      <c r="D100" s="35" t="str">
        <f>'13all_company_profile'!D100</f>
        <v>Caterpillar Inc.</v>
      </c>
      <c r="E100" s="36">
        <f>'13all_company_profile'!E100</f>
        <v>115824082944</v>
      </c>
      <c r="F100" s="37">
        <f>'13all_company_profile'!F100</f>
        <v>3529123</v>
      </c>
      <c r="G100" s="35">
        <f>'13all_company_profile'!G100</f>
        <v>5.23</v>
      </c>
      <c r="H100" s="38">
        <f>'13all_company_profile'!H100</f>
        <v>44406</v>
      </c>
      <c r="I100" s="35">
        <f>'13all_company_profile'!I100</f>
        <v>33.161976</v>
      </c>
      <c r="J100" s="35">
        <f>'13all_company_profile'!J100</f>
        <v>6.254</v>
      </c>
      <c r="K100" s="42">
        <f t="shared" si="1"/>
        <v>0.02514906713</v>
      </c>
      <c r="L100" s="35">
        <f>'7company_info'!B100</f>
        <v>207.96</v>
      </c>
      <c r="M100" s="35">
        <f>'7company_info'!C100</f>
        <v>208.63</v>
      </c>
      <c r="N100" s="35">
        <f>'7company_info'!D100</f>
        <v>202.31</v>
      </c>
      <c r="O100" s="35">
        <f>'7company_info'!E100</f>
        <v>4.88</v>
      </c>
      <c r="P100" s="35">
        <f>'7company_info'!F100</f>
        <v>0.024</v>
      </c>
      <c r="Q100" s="35">
        <f>'7company_info'!G100</f>
        <v>203.04</v>
      </c>
      <c r="R100" s="35">
        <f>'7company_info'!H100</f>
        <v>203.08</v>
      </c>
      <c r="S100" s="35">
        <f>'7company_info'!I100</f>
        <v>130.21</v>
      </c>
      <c r="T100" s="35">
        <f>'7company_info'!J100</f>
        <v>246.69</v>
      </c>
      <c r="U100" s="39">
        <v>212.8324</v>
      </c>
      <c r="V100" s="39">
        <v>214.4448</v>
      </c>
      <c r="W100" s="40">
        <v>217.2496</v>
      </c>
      <c r="X100" s="40">
        <v>221.6668</v>
      </c>
      <c r="Y100" s="40">
        <v>210.0276</v>
      </c>
      <c r="Z100" s="40">
        <v>208.4152</v>
      </c>
      <c r="AA100" s="40">
        <v>203.998</v>
      </c>
      <c r="AB100" s="40">
        <v>213.5615</v>
      </c>
      <c r="AC100" s="40">
        <v>215.6372</v>
      </c>
      <c r="AD100" s="40">
        <v>217.823676461361</v>
      </c>
      <c r="AE100" s="40">
        <v>205.14255</v>
      </c>
      <c r="AF100" s="40">
        <v>5.01858499999999</v>
      </c>
      <c r="AG100" s="40">
        <v>246.69</v>
      </c>
      <c r="AH100" s="45">
        <v>44351.0</v>
      </c>
      <c r="AI100" s="44" t="str">
        <f>'6image_RS_benchmark_performance'!B100</f>
        <v>https://3arbzfbsh-cname-us.ngrok.io/Desktop/seabridge%20fintech/image_app/CAT_resistance_support.jpg</v>
      </c>
      <c r="AJ100" s="44" t="str">
        <f>'6image_RS_benchmark_performance'!C100</f>
        <v>https://3arbzfbsh-cname-us.ngrok.io/Desktop/seabridge%20fintech/profit_graph_app/CAT_Return.jpg</v>
      </c>
      <c r="AK100" s="46" t="str">
        <f>'5price_action_icon'!B100</f>
        <v>https://3arbzfbsh-cname-us.ngrok.io/Desktop/seabridge%20fintech/icon/CAT_pa_trend_signal</v>
      </c>
      <c r="AL100" s="42">
        <f>'1kpi_performance'!B100</f>
        <v>0.5359152831</v>
      </c>
      <c r="AM100" s="42">
        <f>'1kpi_performance'!C100</f>
        <v>0.9278249226</v>
      </c>
      <c r="AN100" s="42">
        <f>'1kpi_performance'!D100</f>
        <v>0.7734791708</v>
      </c>
      <c r="AO100" s="42">
        <f>'1kpi_performance'!E100</f>
        <v>0.1779750992</v>
      </c>
      <c r="AP100" s="42">
        <f>'1kpi_performance'!F100</f>
        <v>0.2360380553</v>
      </c>
      <c r="AQ100" s="42">
        <f>'1kpi_performance'!G100</f>
        <v>0.231629122</v>
      </c>
      <c r="AR100" s="42">
        <f>'1kpi_performance'!H100</f>
        <v>0.2317705712</v>
      </c>
      <c r="AS100" s="42">
        <f>'1kpi_performance'!I100</f>
        <v>0.3469639488</v>
      </c>
      <c r="AT100" s="35">
        <f>'1kpi_performance'!J100</f>
        <v>2.164546232</v>
      </c>
      <c r="AU100" s="35">
        <f>'1kpi_performance'!K100</f>
        <v>3.897717674</v>
      </c>
      <c r="AV100" s="35">
        <f>'1kpi_performance'!L100</f>
        <v>3.229396929</v>
      </c>
      <c r="AW100" s="35">
        <f>'1kpi_performance'!M100</f>
        <v>0.4408962364</v>
      </c>
      <c r="AX100" s="42">
        <f>'1kpi_performance'!N100</f>
        <v>0.1565213651</v>
      </c>
      <c r="AY100" s="42">
        <f>'1kpi_performance'!O100</f>
        <v>0.1245682889</v>
      </c>
      <c r="AZ100" s="42">
        <f>'1kpi_performance'!P100</f>
        <v>0.2161911237</v>
      </c>
      <c r="BA100" s="42">
        <f>'1kpi_performance'!Q100</f>
        <v>0.5016351119</v>
      </c>
      <c r="BB100" s="35">
        <f>'1kpi_performance'!R100</f>
        <v>4.367159361</v>
      </c>
      <c r="BC100" s="35">
        <f>'1kpi_performance'!S100</f>
        <v>9.126492009</v>
      </c>
      <c r="BD100" s="35">
        <f>'1kpi_performance'!T100</f>
        <v>7.227643248</v>
      </c>
      <c r="BE100" s="35">
        <f>'1kpi_performance'!U100</f>
        <v>0.8572089665</v>
      </c>
      <c r="BF100" s="47"/>
      <c r="BG100" s="47"/>
      <c r="BH100" s="47"/>
      <c r="BI100" s="47"/>
      <c r="BJ100" s="47"/>
      <c r="BK100" s="47"/>
      <c r="BL100" s="47"/>
      <c r="BM100" s="47"/>
      <c r="BN100" s="47"/>
      <c r="BO100" s="47"/>
      <c r="BP100" s="47"/>
      <c r="BQ100" s="47"/>
      <c r="BR100" s="47"/>
      <c r="BS100" s="47"/>
      <c r="BT100" s="47"/>
    </row>
    <row r="101" ht="11.25" customHeight="1">
      <c r="A101" s="35" t="str">
        <f>'13all_company_profile'!A101</f>
        <v>CB</v>
      </c>
      <c r="B101" s="35" t="str">
        <f>'13all_company_profile'!B101</f>
        <v>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v>
      </c>
      <c r="C101" s="44" t="str">
        <f>'13all_company_profile'!C101</f>
        <v>https://financialmodelingprep.com/image-stock/CB.png</v>
      </c>
      <c r="D101" s="35" t="str">
        <f>'13all_company_profile'!D101</f>
        <v>Chubb Limited</v>
      </c>
      <c r="E101" s="36">
        <f>'13all_company_profile'!E101</f>
        <v>74752131072</v>
      </c>
      <c r="F101" s="37">
        <f>'13all_company_profile'!F101</f>
        <v>2002036</v>
      </c>
      <c r="G101" s="35">
        <f>'13all_company_profile'!G101</f>
        <v>3.14</v>
      </c>
      <c r="H101" s="38">
        <f>'13all_company_profile'!H101</f>
        <v>44404</v>
      </c>
      <c r="I101" s="35">
        <f>'13all_company_profile'!I101</f>
        <v>13.528743</v>
      </c>
      <c r="J101" s="35">
        <f>'13all_company_profile'!J101</f>
        <v>12.316</v>
      </c>
      <c r="K101" s="42">
        <f t="shared" si="1"/>
        <v>0.01872726188</v>
      </c>
      <c r="L101" s="35">
        <f>'7company_info'!B101</f>
        <v>167.67</v>
      </c>
      <c r="M101" s="35">
        <f>'7company_info'!C101</f>
        <v>168.82</v>
      </c>
      <c r="N101" s="35">
        <f>'7company_info'!D101</f>
        <v>161.7</v>
      </c>
      <c r="O101" s="35">
        <f>'7company_info'!E101</f>
        <v>6.88</v>
      </c>
      <c r="P101" s="35">
        <f>'7company_info'!F101</f>
        <v>0.0428</v>
      </c>
      <c r="Q101" s="35">
        <f>'7company_info'!G101</f>
        <v>161.7</v>
      </c>
      <c r="R101" s="35">
        <f>'7company_info'!H101</f>
        <v>160.79</v>
      </c>
      <c r="S101" s="35">
        <f>'7company_info'!I101</f>
        <v>111.93</v>
      </c>
      <c r="T101" s="35">
        <f>'7company_info'!J101</f>
        <v>179.01</v>
      </c>
      <c r="U101" s="39">
        <v>164.15</v>
      </c>
      <c r="V101" s="39">
        <v>165.11</v>
      </c>
      <c r="W101" s="40">
        <v>165.91</v>
      </c>
      <c r="X101" s="40">
        <v>167.67</v>
      </c>
      <c r="Y101" s="40">
        <v>163.35</v>
      </c>
      <c r="Z101" s="40">
        <v>162.39</v>
      </c>
      <c r="AA101" s="40">
        <v>160.63</v>
      </c>
      <c r="AB101" s="40">
        <v>161.22</v>
      </c>
      <c r="AC101" s="40">
        <v>161.96</v>
      </c>
      <c r="AD101" s="40">
        <v>162.570476934988</v>
      </c>
      <c r="AE101" s="40">
        <v>156.91336</v>
      </c>
      <c r="AF101" s="40">
        <v>3.027825</v>
      </c>
      <c r="AG101" s="40">
        <v>179.01</v>
      </c>
      <c r="AH101" s="45">
        <v>44273.0</v>
      </c>
      <c r="AI101" s="44" t="str">
        <f>'6image_RS_benchmark_performance'!B101</f>
        <v>https://3arbzfbsh-cname-us.ngrok.io/Desktop/seabridge%20fintech/image_app/CB_resistance_support.jpg</v>
      </c>
      <c r="AJ101" s="44" t="str">
        <f>'6image_RS_benchmark_performance'!C101</f>
        <v>https://3arbzfbsh-cname-us.ngrok.io/Desktop/seabridge%20fintech/profit_graph_app/CB_Return.jpg</v>
      </c>
      <c r="AK101" s="46" t="str">
        <f>'5price_action_icon'!B101</f>
        <v>https://3arbzfbsh-cname-us.ngrok.io/Desktop/seabridge%20fintech/icon/CB_pa_trend_signal</v>
      </c>
      <c r="AL101" s="42">
        <f>'1kpi_performance'!B101</f>
        <v>0.3730618439</v>
      </c>
      <c r="AM101" s="42">
        <f>'1kpi_performance'!C101</f>
        <v>0.4346343091</v>
      </c>
      <c r="AN101" s="42">
        <f>'1kpi_performance'!D101</f>
        <v>0.4668089387</v>
      </c>
      <c r="AO101" s="42">
        <f>'1kpi_performance'!E101</f>
        <v>0.1644864622</v>
      </c>
      <c r="AP101" s="42">
        <f>'1kpi_performance'!F101</f>
        <v>0.1772745582</v>
      </c>
      <c r="AQ101" s="42">
        <f>'1kpi_performance'!G101</f>
        <v>0.1769726524</v>
      </c>
      <c r="AR101" s="42">
        <f>'1kpi_performance'!H101</f>
        <v>0.1721757156</v>
      </c>
      <c r="AS101" s="42">
        <f>'1kpi_performance'!I101</f>
        <v>0.2701176537</v>
      </c>
      <c r="AT101" s="35">
        <f>'1kpi_performance'!J101</f>
        <v>1.963405508</v>
      </c>
      <c r="AU101" s="35">
        <f>'1kpi_performance'!K101</f>
        <v>2.314675762</v>
      </c>
      <c r="AV101" s="35">
        <f>'1kpi_performance'!L101</f>
        <v>2.566035153</v>
      </c>
      <c r="AW101" s="35">
        <f>'1kpi_performance'!M101</f>
        <v>0.5163915068</v>
      </c>
      <c r="AX101" s="42">
        <f>'1kpi_performance'!N101</f>
        <v>0.1508571429</v>
      </c>
      <c r="AY101" s="42">
        <f>'1kpi_performance'!O101</f>
        <v>0.1110672966</v>
      </c>
      <c r="AZ101" s="42">
        <f>'1kpi_performance'!P101</f>
        <v>0.1201798734</v>
      </c>
      <c r="BA101" s="42">
        <f>'1kpi_performance'!Q101</f>
        <v>0.4302304482</v>
      </c>
      <c r="BB101" s="35">
        <f>'1kpi_performance'!R101</f>
        <v>4.113380848</v>
      </c>
      <c r="BC101" s="35">
        <f>'1kpi_performance'!S101</f>
        <v>5.291821546</v>
      </c>
      <c r="BD101" s="35">
        <f>'1kpi_performance'!T101</f>
        <v>5.608164829</v>
      </c>
      <c r="BE101" s="35">
        <f>'1kpi_performance'!U101</f>
        <v>0.9820214743</v>
      </c>
      <c r="BF101" s="47"/>
      <c r="BG101" s="47"/>
      <c r="BH101" s="47"/>
      <c r="BI101" s="47"/>
      <c r="BJ101" s="47"/>
      <c r="BK101" s="47"/>
      <c r="BL101" s="47"/>
      <c r="BM101" s="47"/>
      <c r="BN101" s="47"/>
      <c r="BO101" s="47"/>
      <c r="BP101" s="47"/>
      <c r="BQ101" s="47"/>
      <c r="BR101" s="47"/>
      <c r="BS101" s="47"/>
      <c r="BT101" s="47"/>
    </row>
    <row r="102" ht="11.25" customHeight="1">
      <c r="A102" s="35" t="str">
        <f>'13all_company_profile'!A102</f>
        <v>CBOE</v>
      </c>
      <c r="B102" s="35" t="str">
        <f>'13all_company_profile'!B102</f>
        <v>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v>
      </c>
      <c r="C102" s="44" t="str">
        <f>'13all_company_profile'!C102</f>
        <v>https://financialmodelingprep.com/image-stock/CBOE.png</v>
      </c>
      <c r="D102" s="35" t="str">
        <f>'13all_company_profile'!D102</f>
        <v>Cboe Global Markets, Inc.</v>
      </c>
      <c r="E102" s="36">
        <f>'13all_company_profile'!E102</f>
        <v>12457723904</v>
      </c>
      <c r="F102" s="37">
        <f>'13all_company_profile'!F102</f>
        <v>538568</v>
      </c>
      <c r="G102" s="35">
        <f>'13all_company_profile'!G102</f>
        <v>1.68</v>
      </c>
      <c r="H102" s="38">
        <f>'13all_company_profile'!H102</f>
        <v>44407</v>
      </c>
      <c r="I102" s="35">
        <f>'13all_company_profile'!I102</f>
        <v>28.207249</v>
      </c>
      <c r="J102" s="35">
        <f>'13all_company_profile'!J102</f>
        <v>4.111</v>
      </c>
      <c r="K102" s="42">
        <f t="shared" si="1"/>
        <v>0.01453790239</v>
      </c>
      <c r="L102" s="35">
        <f>'7company_info'!B102</f>
        <v>115.56</v>
      </c>
      <c r="M102" s="35">
        <f>'7company_info'!C102</f>
        <v>116.89</v>
      </c>
      <c r="N102" s="35">
        <f>'7company_info'!D102</f>
        <v>114.8</v>
      </c>
      <c r="O102" s="35">
        <f>'7company_info'!E102</f>
        <v>0</v>
      </c>
      <c r="P102" s="35">
        <f>'7company_info'!F102</f>
        <v>0</v>
      </c>
      <c r="Q102" s="35">
        <f>'7company_info'!G102</f>
        <v>114.8</v>
      </c>
      <c r="R102" s="35">
        <f>'7company_info'!H102</f>
        <v>115.56</v>
      </c>
      <c r="S102" s="35">
        <f>'7company_info'!I102</f>
        <v>77.63</v>
      </c>
      <c r="T102" s="35">
        <f>'7company_info'!J102</f>
        <v>122.27</v>
      </c>
      <c r="U102" s="39">
        <v>116.383333333333</v>
      </c>
      <c r="V102" s="39">
        <v>116.876666666666</v>
      </c>
      <c r="W102" s="40">
        <v>117.543333333333</v>
      </c>
      <c r="X102" s="40">
        <v>118.703333333333</v>
      </c>
      <c r="Y102" s="40">
        <v>115.716666666666</v>
      </c>
      <c r="Z102" s="40">
        <v>115.223333333333</v>
      </c>
      <c r="AA102" s="40">
        <v>114.063333333333</v>
      </c>
      <c r="AB102" s="40">
        <v>115.89</v>
      </c>
      <c r="AC102" s="40">
        <v>118.86</v>
      </c>
      <c r="AD102" s="40">
        <v>117.006271562707</v>
      </c>
      <c r="AE102" s="40">
        <v>110.956</v>
      </c>
      <c r="AF102" s="40">
        <v>2.67099999999999</v>
      </c>
      <c r="AG102" s="40">
        <v>122.27</v>
      </c>
      <c r="AH102" s="45">
        <v>44375.0</v>
      </c>
      <c r="AI102" s="44" t="str">
        <f>'6image_RS_benchmark_performance'!B102</f>
        <v>https://3arbzfbsh-cname-us.ngrok.io/Desktop/seabridge%20fintech/image_app/CBOE_resistance_support.jpg</v>
      </c>
      <c r="AJ102" s="44" t="str">
        <f>'6image_RS_benchmark_performance'!C102</f>
        <v>https://3arbzfbsh-cname-us.ngrok.io/Desktop/seabridge%20fintech/profit_graph_app/CBOE_Return.jpg</v>
      </c>
      <c r="AK102" s="46" t="str">
        <f>'5price_action_icon'!B102</f>
        <v>https://3arbzfbsh-cname-us.ngrok.io/Desktop/seabridge%20fintech/icon/CBOE_pa_trend_signal</v>
      </c>
      <c r="AL102" s="42">
        <f>'1kpi_performance'!B102</f>
        <v>0.4613226374</v>
      </c>
      <c r="AM102" s="42">
        <f>'1kpi_performance'!C102</f>
        <v>0.6146161977</v>
      </c>
      <c r="AN102" s="42">
        <f>'1kpi_performance'!D102</f>
        <v>0.3760233247</v>
      </c>
      <c r="AO102" s="42">
        <f>'1kpi_performance'!E102</f>
        <v>0.1802753673</v>
      </c>
      <c r="AP102" s="42">
        <f>'1kpi_performance'!F102</f>
        <v>0.2103777072</v>
      </c>
      <c r="AQ102" s="42">
        <f>'1kpi_performance'!G102</f>
        <v>0.2097116248</v>
      </c>
      <c r="AR102" s="42">
        <f>'1kpi_performance'!H102</f>
        <v>0.2358381467</v>
      </c>
      <c r="AS102" s="42">
        <f>'1kpi_performance'!I102</f>
        <v>0.3062418384</v>
      </c>
      <c r="AT102" s="35">
        <f>'1kpi_performance'!J102</f>
        <v>2.073996542</v>
      </c>
      <c r="AU102" s="35">
        <f>'1kpi_performance'!K102</f>
        <v>2.811557052</v>
      </c>
      <c r="AV102" s="35">
        <f>'1kpi_performance'!L102</f>
        <v>1.488407747</v>
      </c>
      <c r="AW102" s="35">
        <f>'1kpi_performance'!M102</f>
        <v>0.5070351202</v>
      </c>
      <c r="AX102" s="42">
        <f>'1kpi_performance'!N102</f>
        <v>0.3184919863</v>
      </c>
      <c r="AY102" s="42">
        <f>'1kpi_performance'!O102</f>
        <v>0.09358609325</v>
      </c>
      <c r="AZ102" s="42">
        <f>'1kpi_performance'!P102</f>
        <v>0.3899563919</v>
      </c>
      <c r="BA102" s="42">
        <f>'1kpi_performance'!Q102</f>
        <v>0.4469962088</v>
      </c>
      <c r="BB102" s="35">
        <f>'1kpi_performance'!R102</f>
        <v>4.191383153</v>
      </c>
      <c r="BC102" s="35">
        <f>'1kpi_performance'!S102</f>
        <v>6.169386194</v>
      </c>
      <c r="BD102" s="35">
        <f>'1kpi_performance'!T102</f>
        <v>2.782180486</v>
      </c>
      <c r="BE102" s="35">
        <f>'1kpi_performance'!U102</f>
        <v>0.9644035928</v>
      </c>
      <c r="BF102" s="47"/>
      <c r="BG102" s="47"/>
      <c r="BH102" s="47"/>
      <c r="BI102" s="47"/>
      <c r="BJ102" s="47"/>
      <c r="BK102" s="47"/>
      <c r="BL102" s="47"/>
      <c r="BM102" s="47"/>
      <c r="BN102" s="47"/>
      <c r="BO102" s="47"/>
      <c r="BP102" s="47"/>
      <c r="BQ102" s="47"/>
      <c r="BR102" s="47"/>
      <c r="BS102" s="47"/>
      <c r="BT102" s="47"/>
    </row>
    <row r="103" ht="11.25" customHeight="1">
      <c r="A103" s="35" t="str">
        <f>'13all_company_profile'!A103</f>
        <v>CBRE</v>
      </c>
      <c r="B103" s="35" t="str">
        <f>'13all_company_profile'!B103</f>
        <v>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v>
      </c>
      <c r="C103" s="44" t="str">
        <f>'13all_company_profile'!C103</f>
        <v>https://financialmodelingprep.com/image-stock/CBRE.png</v>
      </c>
      <c r="D103" s="35" t="str">
        <f>'13all_company_profile'!D103</f>
        <v>CBRE Group, Inc.</v>
      </c>
      <c r="E103" s="36">
        <f>'13all_company_profile'!E103</f>
        <v>28037427200</v>
      </c>
      <c r="F103" s="37">
        <f>'13all_company_profile'!F103</f>
        <v>1493265</v>
      </c>
      <c r="G103" s="35">
        <f>'13all_company_profile'!G103</f>
        <v>0</v>
      </c>
      <c r="H103" s="38">
        <f>'13all_company_profile'!H103</f>
        <v>44406</v>
      </c>
      <c r="I103" s="35">
        <f>'13all_company_profile'!I103</f>
        <v>33.46624</v>
      </c>
      <c r="J103" s="35">
        <f>'13all_company_profile'!J103</f>
        <v>2.491</v>
      </c>
      <c r="K103" s="42" t="str">
        <f t="shared" si="1"/>
        <v>NaN</v>
      </c>
      <c r="L103" s="35">
        <f>'7company_info'!B103</f>
        <v>83.86</v>
      </c>
      <c r="M103" s="35">
        <f>'7company_info'!C103</f>
        <v>84.36</v>
      </c>
      <c r="N103" s="35">
        <f>'7company_info'!D103</f>
        <v>80.94</v>
      </c>
      <c r="O103" s="35">
        <f>'7company_info'!E103</f>
        <v>3.32</v>
      </c>
      <c r="P103" s="35">
        <f>'7company_info'!F103</f>
        <v>0.0412</v>
      </c>
      <c r="Q103" s="35">
        <f>'7company_info'!G103</f>
        <v>81.07</v>
      </c>
      <c r="R103" s="35">
        <f>'7company_info'!H103</f>
        <v>80.54</v>
      </c>
      <c r="S103" s="35">
        <f>'7company_info'!I103</f>
        <v>41.03</v>
      </c>
      <c r="T103" s="35">
        <f>'7company_info'!J103</f>
        <v>90.21</v>
      </c>
      <c r="U103" s="39">
        <v>83.63</v>
      </c>
      <c r="V103" s="39">
        <v>84.2199999999999</v>
      </c>
      <c r="W103" s="40">
        <v>84.9499999999999</v>
      </c>
      <c r="X103" s="40">
        <v>86.2699999999999</v>
      </c>
      <c r="Y103" s="40">
        <v>82.8999999999999</v>
      </c>
      <c r="Z103" s="40">
        <v>82.31</v>
      </c>
      <c r="AA103" s="40">
        <v>80.99</v>
      </c>
      <c r="AB103" s="40">
        <v>85.3234</v>
      </c>
      <c r="AC103" s="40">
        <v>86.39</v>
      </c>
      <c r="AD103" s="40">
        <v>85.8887395897779</v>
      </c>
      <c r="AE103" s="40">
        <v>79.58084</v>
      </c>
      <c r="AF103" s="40">
        <v>1.77232999999999</v>
      </c>
      <c r="AG103" s="40">
        <v>90.205</v>
      </c>
      <c r="AH103" s="45">
        <v>44349.0</v>
      </c>
      <c r="AI103" s="44" t="str">
        <f>'6image_RS_benchmark_performance'!B103</f>
        <v>https://3arbzfbsh-cname-us.ngrok.io/Desktop/seabridge%20fintech/image_app/CBRE_resistance_support.jpg</v>
      </c>
      <c r="AJ103" s="44" t="str">
        <f>'6image_RS_benchmark_performance'!C103</f>
        <v>https://3arbzfbsh-cname-us.ngrok.io/Desktop/seabridge%20fintech/profit_graph_app/CBRE_Return.jpg</v>
      </c>
      <c r="AK103" s="46" t="str">
        <f>'5price_action_icon'!B103</f>
        <v>https://3arbzfbsh-cname-us.ngrok.io/Desktop/seabridge%20fintech/icon/CBRE_pa_trend_signal</v>
      </c>
      <c r="AL103" s="42">
        <f>'1kpi_performance'!B103</f>
        <v>0.8053046426</v>
      </c>
      <c r="AM103" s="42">
        <f>'1kpi_performance'!C103</f>
        <v>0.9914107367</v>
      </c>
      <c r="AN103" s="42">
        <f>'1kpi_performance'!D103</f>
        <v>0.8606530413</v>
      </c>
      <c r="AO103" s="42">
        <f>'1kpi_performance'!E103</f>
        <v>0.2603193577</v>
      </c>
      <c r="AP103" s="42">
        <f>'1kpi_performance'!F103</f>
        <v>0.2858600558</v>
      </c>
      <c r="AQ103" s="42">
        <f>'1kpi_performance'!G103</f>
        <v>0.2833963563</v>
      </c>
      <c r="AR103" s="42">
        <f>'1kpi_performance'!H103</f>
        <v>0.313671292</v>
      </c>
      <c r="AS103" s="42">
        <f>'1kpi_performance'!I103</f>
        <v>0.4239981679</v>
      </c>
      <c r="AT103" s="35">
        <f>'1kpi_performance'!J103</f>
        <v>2.729673582</v>
      </c>
      <c r="AU103" s="35">
        <f>'1kpi_performance'!K103</f>
        <v>3.410102901</v>
      </c>
      <c r="AV103" s="35">
        <f>'1kpi_performance'!L103</f>
        <v>2.664104311</v>
      </c>
      <c r="AW103" s="35">
        <f>'1kpi_performance'!M103</f>
        <v>0.5550008834</v>
      </c>
      <c r="AX103" s="42">
        <f>'1kpi_performance'!N103</f>
        <v>0.2039742757</v>
      </c>
      <c r="AY103" s="42">
        <f>'1kpi_performance'!O103</f>
        <v>0.1581362275</v>
      </c>
      <c r="AZ103" s="42">
        <f>'1kpi_performance'!P103</f>
        <v>0.3677626516</v>
      </c>
      <c r="BA103" s="42">
        <f>'1kpi_performance'!Q103</f>
        <v>0.5696969697</v>
      </c>
      <c r="BB103" s="35">
        <f>'1kpi_performance'!R103</f>
        <v>5.990734839</v>
      </c>
      <c r="BC103" s="35">
        <f>'1kpi_performance'!S103</f>
        <v>8.053252402</v>
      </c>
      <c r="BD103" s="35">
        <f>'1kpi_performance'!T103</f>
        <v>5.72293177</v>
      </c>
      <c r="BE103" s="35">
        <f>'1kpi_performance'!U103</f>
        <v>1.099021092</v>
      </c>
      <c r="BF103" s="47"/>
      <c r="BG103" s="47"/>
      <c r="BH103" s="47"/>
      <c r="BI103" s="47"/>
      <c r="BJ103" s="47"/>
      <c r="BK103" s="47"/>
      <c r="BL103" s="47"/>
      <c r="BM103" s="47"/>
      <c r="BN103" s="47"/>
      <c r="BO103" s="47"/>
      <c r="BP103" s="47"/>
      <c r="BQ103" s="47"/>
      <c r="BR103" s="47"/>
      <c r="BS103" s="47"/>
      <c r="BT103" s="47"/>
    </row>
    <row r="104" ht="11.25" customHeight="1">
      <c r="A104" s="35" t="str">
        <f>'13all_company_profile'!A104</f>
        <v>CCI</v>
      </c>
      <c r="B104" s="35" t="str">
        <f>'13all_company_profile'!B104</f>
        <v>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v>
      </c>
      <c r="C104" s="44" t="str">
        <f>'13all_company_profile'!C104</f>
        <v>https://financialmodelingprep.com/image-stock/CCI.png</v>
      </c>
      <c r="D104" s="35" t="str">
        <f>'13all_company_profile'!D104</f>
        <v>Crown Castle International Corp. (REIT)</v>
      </c>
      <c r="E104" s="36">
        <f>'13all_company_profile'!E104</f>
        <v>87462289408</v>
      </c>
      <c r="F104" s="37">
        <f>'13all_company_profile'!F104</f>
        <v>1558623</v>
      </c>
      <c r="G104" s="35">
        <f>'13all_company_profile'!G104</f>
        <v>5.19</v>
      </c>
      <c r="H104" s="38">
        <f>'13all_company_profile'!H104</f>
        <v>44404</v>
      </c>
      <c r="I104" s="35">
        <f>'13all_company_profile'!I104</f>
        <v>97.19331</v>
      </c>
      <c r="J104" s="35">
        <f>'13all_company_profile'!J104</f>
        <v>2.095</v>
      </c>
      <c r="K104" s="42">
        <f t="shared" si="1"/>
        <v>0.02553128689</v>
      </c>
      <c r="L104" s="35">
        <f>'7company_info'!B104</f>
        <v>203.28</v>
      </c>
      <c r="M104" s="35">
        <f>'7company_info'!C104</f>
        <v>204.62</v>
      </c>
      <c r="N104" s="35">
        <f>'7company_info'!D104</f>
        <v>202.06</v>
      </c>
      <c r="O104" s="35">
        <f>'7company_info'!E104</f>
        <v>1.25</v>
      </c>
      <c r="P104" s="35">
        <f>'7company_info'!F104</f>
        <v>0.0062</v>
      </c>
      <c r="Q104" s="35">
        <f>'7company_info'!G104</f>
        <v>203.19</v>
      </c>
      <c r="R104" s="35">
        <f>'7company_info'!H104</f>
        <v>202.03</v>
      </c>
      <c r="S104" s="35">
        <f>'7company_info'!I104</f>
        <v>146.15</v>
      </c>
      <c r="T104" s="35">
        <f>'7company_info'!J104</f>
        <v>204.62</v>
      </c>
      <c r="U104" s="39">
        <v>201.561666666666</v>
      </c>
      <c r="V104" s="39">
        <v>202.978333333333</v>
      </c>
      <c r="W104" s="40">
        <v>204.056666666666</v>
      </c>
      <c r="X104" s="40">
        <v>206.551666666666</v>
      </c>
      <c r="Y104" s="40">
        <v>200.483333333333</v>
      </c>
      <c r="Z104" s="40">
        <v>199.066666666666</v>
      </c>
      <c r="AA104" s="40">
        <v>196.571666666666</v>
      </c>
      <c r="AB104" s="40">
        <v>198.68</v>
      </c>
      <c r="AC104" s="40">
        <v>203.39</v>
      </c>
      <c r="AD104" s="40">
        <v>198.105269631969</v>
      </c>
      <c r="AE104" s="40">
        <v>194.92245</v>
      </c>
      <c r="AF104" s="40">
        <v>2.76902499999999</v>
      </c>
      <c r="AG104" s="40">
        <v>200.47</v>
      </c>
      <c r="AH104" s="45">
        <v>44357.0</v>
      </c>
      <c r="AI104" s="44" t="str">
        <f>'6image_RS_benchmark_performance'!B104</f>
        <v>https://3arbzfbsh-cname-us.ngrok.io/Desktop/seabridge%20fintech/image_app/CCI_resistance_support.jpg</v>
      </c>
      <c r="AJ104" s="44" t="str">
        <f>'6image_RS_benchmark_performance'!C104</f>
        <v>https://3arbzfbsh-cname-us.ngrok.io/Desktop/seabridge%20fintech/profit_graph_app/CCI_Return.jpg</v>
      </c>
      <c r="AK104" s="46" t="str">
        <f>'5price_action_icon'!B104</f>
        <v>https://3arbzfbsh-cname-us.ngrok.io/Desktop/seabridge%20fintech/icon/CCI_pa_trend_signal</v>
      </c>
      <c r="AL104" s="42">
        <f>'1kpi_performance'!B104</f>
        <v>0.4387093077</v>
      </c>
      <c r="AM104" s="42">
        <f>'1kpi_performance'!C104</f>
        <v>0.5875838363</v>
      </c>
      <c r="AN104" s="42">
        <f>'1kpi_performance'!D104</f>
        <v>0.466207903</v>
      </c>
      <c r="AO104" s="42">
        <f>'1kpi_performance'!E104</f>
        <v>0.2296391627</v>
      </c>
      <c r="AP104" s="42">
        <f>'1kpi_performance'!F104</f>
        <v>0.1802125342</v>
      </c>
      <c r="AQ104" s="42">
        <f>'1kpi_performance'!G104</f>
        <v>0.191531161</v>
      </c>
      <c r="AR104" s="42">
        <f>'1kpi_performance'!H104</f>
        <v>0.2089460963</v>
      </c>
      <c r="AS104" s="42">
        <f>'1kpi_performance'!I104</f>
        <v>0.2729442906</v>
      </c>
      <c r="AT104" s="35">
        <f>'1kpi_performance'!J104</f>
        <v>2.295674436</v>
      </c>
      <c r="AU104" s="35">
        <f>'1kpi_performance'!K104</f>
        <v>2.937296643</v>
      </c>
      <c r="AV104" s="35">
        <f>'1kpi_performance'!L104</f>
        <v>2.111587203</v>
      </c>
      <c r="AW104" s="35">
        <f>'1kpi_performance'!M104</f>
        <v>0.7497469989</v>
      </c>
      <c r="AX104" s="42">
        <f>'1kpi_performance'!N104</f>
        <v>0.1245395781</v>
      </c>
      <c r="AY104" s="42">
        <f>'1kpi_performance'!O104</f>
        <v>0.08985333732</v>
      </c>
      <c r="AZ104" s="42">
        <f>'1kpi_performance'!P104</f>
        <v>0.2847884568</v>
      </c>
      <c r="BA104" s="42">
        <f>'1kpi_performance'!Q104</f>
        <v>0.3039390694</v>
      </c>
      <c r="BB104" s="35">
        <f>'1kpi_performance'!R104</f>
        <v>4.777320279</v>
      </c>
      <c r="BC104" s="35">
        <f>'1kpi_performance'!S104</f>
        <v>6.994482508</v>
      </c>
      <c r="BD104" s="35">
        <f>'1kpi_performance'!T104</f>
        <v>4.254884101</v>
      </c>
      <c r="BE104" s="35">
        <f>'1kpi_performance'!U104</f>
        <v>1.489921873</v>
      </c>
      <c r="BF104" s="47"/>
      <c r="BG104" s="47"/>
      <c r="BH104" s="47"/>
      <c r="BI104" s="47"/>
      <c r="BJ104" s="47"/>
      <c r="BK104" s="47"/>
      <c r="BL104" s="47"/>
      <c r="BM104" s="47"/>
      <c r="BN104" s="47"/>
      <c r="BO104" s="47"/>
      <c r="BP104" s="47"/>
      <c r="BQ104" s="47"/>
      <c r="BR104" s="47"/>
      <c r="BS104" s="47"/>
      <c r="BT104" s="47"/>
    </row>
    <row r="105" ht="11.25" customHeight="1">
      <c r="A105" s="35" t="str">
        <f>'13all_company_profile'!A105</f>
        <v>CCL</v>
      </c>
      <c r="B105" s="35" t="str">
        <f>'13all_company_profile'!B105</f>
        <v>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v>
      </c>
      <c r="C105" s="44" t="str">
        <f>'13all_company_profile'!C105</f>
        <v>https://financialmodelingprep.com/image-stock/CCL.png</v>
      </c>
      <c r="D105" s="35" t="str">
        <f>'13all_company_profile'!D105</f>
        <v>Carnival Corporation &amp; plc</v>
      </c>
      <c r="E105" s="36">
        <f>'13all_company_profile'!E105</f>
        <v>25394061312</v>
      </c>
      <c r="F105" s="37">
        <f>'13all_company_profile'!F105</f>
        <v>26665892</v>
      </c>
      <c r="G105" s="35">
        <f>'13all_company_profile'!G105</f>
        <v>0.5</v>
      </c>
      <c r="H105" s="38" t="str">
        <f>'13all_company_profile'!H105</f>
        <v>not avaiable</v>
      </c>
      <c r="I105" s="35" t="str">
        <f>'13all_company_profile'!I105</f>
        <v>NaN</v>
      </c>
      <c r="J105" s="35">
        <f>'13all_company_profile'!J105</f>
        <v>-9.307</v>
      </c>
      <c r="K105" s="42">
        <f t="shared" si="1"/>
        <v>0.02359603587</v>
      </c>
      <c r="L105" s="35">
        <f>'7company_info'!B105</f>
        <v>21.19</v>
      </c>
      <c r="M105" s="35">
        <f>'7company_info'!C105</f>
        <v>21.38</v>
      </c>
      <c r="N105" s="35">
        <f>'7company_info'!D105</f>
        <v>19.62</v>
      </c>
      <c r="O105" s="35">
        <f>'7company_info'!E105</f>
        <v>1.47</v>
      </c>
      <c r="P105" s="35">
        <f>'7company_info'!F105</f>
        <v>0.0745</v>
      </c>
      <c r="Q105" s="35">
        <f>'7company_info'!G105</f>
        <v>19.92</v>
      </c>
      <c r="R105" s="35">
        <f>'7company_info'!H105</f>
        <v>19.72</v>
      </c>
      <c r="S105" s="35">
        <f>'7company_info'!I105</f>
        <v>12.11</v>
      </c>
      <c r="T105" s="35">
        <f>'7company_info'!J105</f>
        <v>31.52</v>
      </c>
      <c r="U105" s="39">
        <v>22.8066666666666</v>
      </c>
      <c r="V105" s="39">
        <v>23.1333333333333</v>
      </c>
      <c r="W105" s="40">
        <v>23.6866666666666</v>
      </c>
      <c r="X105" s="40">
        <v>24.5666666666666</v>
      </c>
      <c r="Y105" s="40">
        <v>22.2533333333333</v>
      </c>
      <c r="Z105" s="40">
        <v>21.9266666666666</v>
      </c>
      <c r="AA105" s="40">
        <v>21.0466666666666</v>
      </c>
      <c r="AB105" s="40">
        <v>28.41</v>
      </c>
      <c r="AC105" s="40">
        <v>23.56</v>
      </c>
      <c r="AD105" s="40">
        <v>25.7353992373146</v>
      </c>
      <c r="AE105" s="40">
        <v>20.88874</v>
      </c>
      <c r="AF105" s="40">
        <v>0.975629999999999</v>
      </c>
      <c r="AG105" s="40">
        <v>31.52</v>
      </c>
      <c r="AH105" s="45">
        <v>44355.0</v>
      </c>
      <c r="AI105" s="44" t="str">
        <f>'6image_RS_benchmark_performance'!B105</f>
        <v>https://3arbzfbsh-cname-us.ngrok.io/Desktop/seabridge%20fintech/image_app/CCL_resistance_support.jpg</v>
      </c>
      <c r="AJ105" s="44" t="str">
        <f>'6image_RS_benchmark_performance'!C105</f>
        <v>https://3arbzfbsh-cname-us.ngrok.io/Desktop/seabridge%20fintech/profit_graph_app/CCL_Return.jpg</v>
      </c>
      <c r="AK105" s="46" t="str">
        <f>'5price_action_icon'!B105</f>
        <v>https://3arbzfbsh-cname-us.ngrok.io/Desktop/seabridge%20fintech/icon/CCL_pa_trend_signal</v>
      </c>
      <c r="AL105" s="42">
        <f>'1kpi_performance'!B105</f>
        <v>0.6356956985</v>
      </c>
      <c r="AM105" s="42">
        <f>'1kpi_performance'!C105</f>
        <v>0.7708778874</v>
      </c>
      <c r="AN105" s="42">
        <f>'1kpi_performance'!D105</f>
        <v>0.5982808685</v>
      </c>
      <c r="AO105" s="42">
        <f>'1kpi_performance'!E105</f>
        <v>-0.0504526666</v>
      </c>
      <c r="AP105" s="42">
        <f>'1kpi_performance'!F105</f>
        <v>0.3916762145</v>
      </c>
      <c r="AQ105" s="42">
        <f>'1kpi_performance'!G105</f>
        <v>0.3269389575</v>
      </c>
      <c r="AR105" s="42">
        <f>'1kpi_performance'!H105</f>
        <v>0.4468083707</v>
      </c>
      <c r="AS105" s="42">
        <f>'1kpi_performance'!I105</f>
        <v>0.5353222815</v>
      </c>
      <c r="AT105" s="35">
        <f>'1kpi_performance'!J105</f>
        <v>1.559185051</v>
      </c>
      <c r="AU105" s="35">
        <f>'1kpi_performance'!K105</f>
        <v>2.281398011</v>
      </c>
      <c r="AV105" s="35">
        <f>'1kpi_performance'!L105</f>
        <v>1.283057584</v>
      </c>
      <c r="AW105" s="35">
        <f>'1kpi_performance'!M105</f>
        <v>-0.1409481152</v>
      </c>
      <c r="AX105" s="42">
        <f>'1kpi_performance'!N105</f>
        <v>0.5527497194</v>
      </c>
      <c r="AY105" s="42">
        <f>'1kpi_performance'!O105</f>
        <v>0.33096409</v>
      </c>
      <c r="AZ105" s="42">
        <f>'1kpi_performance'!P105</f>
        <v>0.8186349744</v>
      </c>
      <c r="BA105" s="42">
        <f>'1kpi_performance'!Q105</f>
        <v>0.8892132332</v>
      </c>
      <c r="BB105" s="35">
        <f>'1kpi_performance'!R105</f>
        <v>3.152175239</v>
      </c>
      <c r="BC105" s="35">
        <f>'1kpi_performance'!S105</f>
        <v>5.252903608</v>
      </c>
      <c r="BD105" s="35">
        <f>'1kpi_performance'!T105</f>
        <v>2.328367861</v>
      </c>
      <c r="BE105" s="35">
        <f>'1kpi_performance'!U105</f>
        <v>-0.2562130287</v>
      </c>
      <c r="BF105" s="47"/>
      <c r="BG105" s="47"/>
      <c r="BH105" s="47"/>
      <c r="BI105" s="47"/>
      <c r="BJ105" s="47"/>
      <c r="BK105" s="47"/>
      <c r="BL105" s="47"/>
      <c r="BM105" s="47"/>
      <c r="BN105" s="47"/>
      <c r="BO105" s="47"/>
      <c r="BP105" s="47"/>
      <c r="BQ105" s="47"/>
      <c r="BR105" s="47"/>
      <c r="BS105" s="47"/>
      <c r="BT105" s="47"/>
    </row>
    <row r="106" ht="11.25" customHeight="1">
      <c r="A106" s="35" t="str">
        <f>'13all_company_profile'!A106</f>
        <v>CDNS</v>
      </c>
      <c r="B106" s="35" t="str">
        <f>'13all_company_profile'!B106</f>
        <v>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v>
      </c>
      <c r="C106" s="44" t="str">
        <f>'13all_company_profile'!C106</f>
        <v>https://financialmodelingprep.com/image-stock/CDNS.png</v>
      </c>
      <c r="D106" s="35" t="str">
        <f>'13all_company_profile'!D106</f>
        <v>Cadence Design Systems, Inc.</v>
      </c>
      <c r="E106" s="36">
        <f>'13all_company_profile'!E106</f>
        <v>38275350528</v>
      </c>
      <c r="F106" s="37">
        <f>'13all_company_profile'!F106</f>
        <v>1564898</v>
      </c>
      <c r="G106" s="35">
        <f>'13all_company_profile'!G106</f>
        <v>0</v>
      </c>
      <c r="H106" s="38">
        <f>'13all_company_profile'!H106</f>
        <v>44396</v>
      </c>
      <c r="I106" s="35">
        <f>'13all_company_profile'!I106</f>
        <v>58.89316</v>
      </c>
      <c r="J106" s="35">
        <f>'13all_company_profile'!J106</f>
        <v>2.34</v>
      </c>
      <c r="K106" s="42" t="str">
        <f t="shared" si="1"/>
        <v>NaN</v>
      </c>
      <c r="L106" s="35">
        <f>'7company_info'!B106</f>
        <v>139.79</v>
      </c>
      <c r="M106" s="35">
        <f>'7company_info'!C106</f>
        <v>140.78</v>
      </c>
      <c r="N106" s="35">
        <f>'7company_info'!D106</f>
        <v>136.33</v>
      </c>
      <c r="O106" s="35">
        <f>'7company_info'!E106</f>
        <v>2.07</v>
      </c>
      <c r="P106" s="35">
        <f>'7company_info'!F106</f>
        <v>0.015</v>
      </c>
      <c r="Q106" s="35">
        <f>'7company_info'!G106</f>
        <v>137.97</v>
      </c>
      <c r="R106" s="35">
        <f>'7company_info'!H106</f>
        <v>137.72</v>
      </c>
      <c r="S106" s="35">
        <f>'7company_info'!I106</f>
        <v>97.45</v>
      </c>
      <c r="T106" s="35">
        <f>'7company_info'!J106</f>
        <v>149.08</v>
      </c>
      <c r="U106" s="39">
        <v>139.023333333333</v>
      </c>
      <c r="V106" s="39">
        <v>140.046666666666</v>
      </c>
      <c r="W106" s="40">
        <v>141.263333333333</v>
      </c>
      <c r="X106" s="40">
        <v>143.503333333333</v>
      </c>
      <c r="Y106" s="40">
        <v>137.806666666666</v>
      </c>
      <c r="Z106" s="40">
        <v>136.783333333333</v>
      </c>
      <c r="AA106" s="40">
        <v>134.543333333333</v>
      </c>
      <c r="AB106" s="40">
        <v>138.0</v>
      </c>
      <c r="AC106" s="40">
        <v>140.545</v>
      </c>
      <c r="AD106" s="40">
        <v>135.531941504918</v>
      </c>
      <c r="AE106" s="40">
        <v>132.31115</v>
      </c>
      <c r="AF106" s="40">
        <v>2.721925</v>
      </c>
      <c r="AG106" s="40">
        <v>149.08</v>
      </c>
      <c r="AH106" s="45">
        <v>44243.0</v>
      </c>
      <c r="AI106" s="44" t="str">
        <f>'6image_RS_benchmark_performance'!B106</f>
        <v>https://3arbzfbsh-cname-us.ngrok.io/Desktop/seabridge%20fintech/image_app/CDNS_resistance_support.jpg</v>
      </c>
      <c r="AJ106" s="44" t="str">
        <f>'6image_RS_benchmark_performance'!C106</f>
        <v>https://3arbzfbsh-cname-us.ngrok.io/Desktop/seabridge%20fintech/profit_graph_app/CDNS_Return.jpg</v>
      </c>
      <c r="AK106" s="46" t="str">
        <f>'5price_action_icon'!B106</f>
        <v>https://3arbzfbsh-cname-us.ngrok.io/Desktop/seabridge%20fintech/icon/CDNS_pa_trend_signal</v>
      </c>
      <c r="AL106" s="42">
        <f>'1kpi_performance'!B106</f>
        <v>0.80026044</v>
      </c>
      <c r="AM106" s="42">
        <f>'1kpi_performance'!C106</f>
        <v>1.023038186</v>
      </c>
      <c r="AN106" s="42">
        <f>'1kpi_performance'!D106</f>
        <v>0.7489322381</v>
      </c>
      <c r="AO106" s="42">
        <f>'1kpi_performance'!E106</f>
        <v>0.4754977606</v>
      </c>
      <c r="AP106" s="42">
        <f>'1kpi_performance'!F106</f>
        <v>0.2466051741</v>
      </c>
      <c r="AQ106" s="42">
        <f>'1kpi_performance'!G106</f>
        <v>0.2557905485</v>
      </c>
      <c r="AR106" s="42">
        <f>'1kpi_performance'!H106</f>
        <v>0.2531866599</v>
      </c>
      <c r="AS106" s="42">
        <f>'1kpi_performance'!I106</f>
        <v>0.3508614425</v>
      </c>
      <c r="AT106" s="35">
        <f>'1kpi_performance'!J106</f>
        <v>3.143731444</v>
      </c>
      <c r="AU106" s="35">
        <f>'1kpi_performance'!K106</f>
        <v>3.901778984</v>
      </c>
      <c r="AV106" s="35">
        <f>'1kpi_performance'!L106</f>
        <v>2.859282707</v>
      </c>
      <c r="AW106" s="35">
        <f>'1kpi_performance'!M106</f>
        <v>1.283976254</v>
      </c>
      <c r="AX106" s="42">
        <f>'1kpi_performance'!N106</f>
        <v>0.1483459824</v>
      </c>
      <c r="AY106" s="42">
        <f>'1kpi_performance'!O106</f>
        <v>0.105090312</v>
      </c>
      <c r="AZ106" s="42">
        <f>'1kpi_performance'!P106</f>
        <v>0.2139399806</v>
      </c>
      <c r="BA106" s="42">
        <f>'1kpi_performance'!Q106</f>
        <v>0.3211697076</v>
      </c>
      <c r="BB106" s="35">
        <f>'1kpi_performance'!R106</f>
        <v>7.173028192</v>
      </c>
      <c r="BC106" s="35">
        <f>'1kpi_performance'!S106</f>
        <v>9.558535688</v>
      </c>
      <c r="BD106" s="35">
        <f>'1kpi_performance'!T106</f>
        <v>6.428804027</v>
      </c>
      <c r="BE106" s="35">
        <f>'1kpi_performance'!U106</f>
        <v>2.617488792</v>
      </c>
      <c r="BF106" s="47"/>
      <c r="BG106" s="47"/>
      <c r="BH106" s="47"/>
      <c r="BI106" s="47"/>
      <c r="BJ106" s="47"/>
      <c r="BK106" s="47"/>
      <c r="BL106" s="47"/>
      <c r="BM106" s="47"/>
      <c r="BN106" s="47"/>
      <c r="BO106" s="47"/>
      <c r="BP106" s="47"/>
      <c r="BQ106" s="47"/>
      <c r="BR106" s="47"/>
      <c r="BS106" s="47"/>
      <c r="BT106" s="47"/>
    </row>
    <row r="107" ht="11.25" customHeight="1">
      <c r="A107" s="35" t="str">
        <f>'13all_company_profile'!A107</f>
        <v>CDW</v>
      </c>
      <c r="B107" s="35" t="str">
        <f>'13all_company_profile'!B107</f>
        <v>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v>
      </c>
      <c r="C107" s="44" t="str">
        <f>'13all_company_profile'!C107</f>
        <v>https://financialmodelingprep.com/image-stock/CDW.png</v>
      </c>
      <c r="D107" s="35" t="str">
        <f>'13all_company_profile'!D107</f>
        <v>CDW Corporation</v>
      </c>
      <c r="E107" s="36">
        <f>'13all_company_profile'!E107</f>
        <v>24586174464</v>
      </c>
      <c r="F107" s="37">
        <f>'13all_company_profile'!F107</f>
        <v>788760</v>
      </c>
      <c r="G107" s="35">
        <f>'13all_company_profile'!G107</f>
        <v>1.58</v>
      </c>
      <c r="H107" s="38">
        <f>'13all_company_profile'!H107</f>
        <v>44411</v>
      </c>
      <c r="I107" s="35">
        <f>'13all_company_profile'!I107</f>
        <v>29.526867</v>
      </c>
      <c r="J107" s="35">
        <f>'13all_company_profile'!J107</f>
        <v>5.918</v>
      </c>
      <c r="K107" s="42">
        <f t="shared" si="1"/>
        <v>0.008965047662</v>
      </c>
      <c r="L107" s="35">
        <f>'7company_info'!B107</f>
        <v>176.24</v>
      </c>
      <c r="M107" s="35">
        <f>'7company_info'!C107</f>
        <v>177.76</v>
      </c>
      <c r="N107" s="35">
        <f>'7company_info'!D107</f>
        <v>172.59</v>
      </c>
      <c r="O107" s="35">
        <f>'7company_info'!E107</f>
        <v>3.81</v>
      </c>
      <c r="P107" s="35">
        <f>'7company_info'!F107</f>
        <v>0.0221</v>
      </c>
      <c r="Q107" s="35">
        <f>'7company_info'!G107</f>
        <v>173.32</v>
      </c>
      <c r="R107" s="35">
        <f>'7company_info'!H107</f>
        <v>172.43</v>
      </c>
      <c r="S107" s="35">
        <f>'7company_info'!I107</f>
        <v>105.87</v>
      </c>
      <c r="T107" s="35">
        <f>'7company_info'!J107</f>
        <v>184.58</v>
      </c>
      <c r="U107" s="39">
        <v>175.936666666666</v>
      </c>
      <c r="V107" s="39">
        <v>176.883333333333</v>
      </c>
      <c r="W107" s="40">
        <v>177.716666666666</v>
      </c>
      <c r="X107" s="40">
        <v>179.496666666666</v>
      </c>
      <c r="Y107" s="40">
        <v>175.103333333333</v>
      </c>
      <c r="Z107" s="40">
        <v>174.156666666666</v>
      </c>
      <c r="AA107" s="40">
        <v>172.376666666666</v>
      </c>
      <c r="AB107" s="40">
        <v>174.99</v>
      </c>
      <c r="AC107" s="40">
        <v>179.57</v>
      </c>
      <c r="AD107" s="40">
        <v>173.958199547385</v>
      </c>
      <c r="AE107" s="40">
        <v>167.94361</v>
      </c>
      <c r="AF107" s="40">
        <v>3.08769499999999</v>
      </c>
      <c r="AG107" s="40">
        <v>184.58</v>
      </c>
      <c r="AH107" s="45">
        <v>44302.0</v>
      </c>
      <c r="AI107" s="44" t="str">
        <f>'6image_RS_benchmark_performance'!B107</f>
        <v>https://3arbzfbsh-cname-us.ngrok.io/Desktop/seabridge%20fintech/image_app/CDW_resistance_support.jpg</v>
      </c>
      <c r="AJ107" s="44" t="str">
        <f>'6image_RS_benchmark_performance'!C107</f>
        <v>https://3arbzfbsh-cname-us.ngrok.io/Desktop/seabridge%20fintech/profit_graph_app/CDW_Return.jpg</v>
      </c>
      <c r="AK107" s="46" t="str">
        <f>'5price_action_icon'!B107</f>
        <v>https://3arbzfbsh-cname-us.ngrok.io/Desktop/seabridge%20fintech/icon/CDW_pa_trend_signal</v>
      </c>
      <c r="AL107" s="42">
        <f>'1kpi_performance'!B107</f>
        <v>0.7523593396</v>
      </c>
      <c r="AM107" s="42">
        <f>'1kpi_performance'!C107</f>
        <v>1.01524611</v>
      </c>
      <c r="AN107" s="42">
        <f>'1kpi_performance'!D107</f>
        <v>0.8864290907</v>
      </c>
      <c r="AO107" s="42">
        <f>'1kpi_performance'!E107</f>
        <v>0.4944922468</v>
      </c>
      <c r="AP107" s="42">
        <f>'1kpi_performance'!F107</f>
        <v>0.2256122934</v>
      </c>
      <c r="AQ107" s="42">
        <f>'1kpi_performance'!G107</f>
        <v>0.2424602667</v>
      </c>
      <c r="AR107" s="42">
        <f>'1kpi_performance'!H107</f>
        <v>0.2141063841</v>
      </c>
      <c r="AS107" s="42">
        <f>'1kpi_performance'!I107</f>
        <v>0.340767185</v>
      </c>
      <c r="AT107" s="35">
        <f>'1kpi_performance'!J107</f>
        <v>3.223934869</v>
      </c>
      <c r="AU107" s="35">
        <f>'1kpi_performance'!K107</f>
        <v>4.084158299</v>
      </c>
      <c r="AV107" s="35">
        <f>'1kpi_performance'!L107</f>
        <v>4.023369477</v>
      </c>
      <c r="AW107" s="35">
        <f>'1kpi_performance'!M107</f>
        <v>1.377750756</v>
      </c>
      <c r="AX107" s="42">
        <f>'1kpi_performance'!N107</f>
        <v>0.141143259</v>
      </c>
      <c r="AY107" s="42">
        <f>'1kpi_performance'!O107</f>
        <v>0.1402137344</v>
      </c>
      <c r="AZ107" s="42">
        <f>'1kpi_performance'!P107</f>
        <v>0.2370188194</v>
      </c>
      <c r="BA107" s="42">
        <f>'1kpi_performance'!Q107</f>
        <v>0.4499066584</v>
      </c>
      <c r="BB107" s="35">
        <f>'1kpi_performance'!R107</f>
        <v>7.247918538</v>
      </c>
      <c r="BC107" s="35">
        <f>'1kpi_performance'!S107</f>
        <v>9.771100187</v>
      </c>
      <c r="BD107" s="35">
        <f>'1kpi_performance'!T107</f>
        <v>9.456412178</v>
      </c>
      <c r="BE107" s="35">
        <f>'1kpi_performance'!U107</f>
        <v>2.703364168</v>
      </c>
      <c r="BF107" s="47"/>
      <c r="BG107" s="47"/>
      <c r="BH107" s="47"/>
      <c r="BI107" s="47"/>
      <c r="BJ107" s="47"/>
      <c r="BK107" s="47"/>
      <c r="BL107" s="47"/>
      <c r="BM107" s="47"/>
      <c r="BN107" s="47"/>
      <c r="BO107" s="47"/>
      <c r="BP107" s="47"/>
      <c r="BQ107" s="47"/>
      <c r="BR107" s="47"/>
      <c r="BS107" s="47"/>
      <c r="BT107" s="47"/>
    </row>
    <row r="108" ht="11.25" customHeight="1">
      <c r="A108" s="35" t="str">
        <f>'13all_company_profile'!A108</f>
        <v>CE</v>
      </c>
      <c r="B108" s="35" t="str">
        <f>'13all_company_profile'!B108</f>
        <v>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v>
      </c>
      <c r="C108" s="44" t="str">
        <f>'13all_company_profile'!C108</f>
        <v>https://financialmodelingprep.com/image-stock/CE.png</v>
      </c>
      <c r="D108" s="35" t="str">
        <f>'13all_company_profile'!D108</f>
        <v>Celanese Corporation</v>
      </c>
      <c r="E108" s="36">
        <f>'13all_company_profile'!E108</f>
        <v>17583136768</v>
      </c>
      <c r="F108" s="37">
        <f>'13all_company_profile'!F108</f>
        <v>741261</v>
      </c>
      <c r="G108" s="35">
        <f>'13all_company_profile'!G108</f>
        <v>2.6</v>
      </c>
      <c r="H108" s="38">
        <f>'13all_company_profile'!H108</f>
        <v>44399</v>
      </c>
      <c r="I108" s="35">
        <f>'13all_company_profile'!I108</f>
        <v>8.526511</v>
      </c>
      <c r="J108" s="35">
        <f>'13all_company_profile'!J108</f>
        <v>17.842</v>
      </c>
      <c r="K108" s="42">
        <f t="shared" si="1"/>
        <v>0.01721854305</v>
      </c>
      <c r="L108" s="35">
        <f>'7company_info'!B108</f>
        <v>151</v>
      </c>
      <c r="M108" s="35">
        <f>'7company_info'!C108</f>
        <v>151.06</v>
      </c>
      <c r="N108" s="35">
        <f>'7company_info'!D108</f>
        <v>145.6</v>
      </c>
      <c r="O108" s="35">
        <f>'7company_info'!E108</f>
        <v>3.38</v>
      </c>
      <c r="P108" s="35">
        <f>'7company_info'!F108</f>
        <v>0.0229</v>
      </c>
      <c r="Q108" s="35">
        <f>'7company_info'!G108</f>
        <v>146.97</v>
      </c>
      <c r="R108" s="35">
        <f>'7company_info'!H108</f>
        <v>147.62</v>
      </c>
      <c r="S108" s="35">
        <f>'7company_info'!I108</f>
        <v>91.13</v>
      </c>
      <c r="T108" s="35">
        <f>'7company_info'!J108</f>
        <v>171</v>
      </c>
      <c r="U108" s="39">
        <v>154.566666666666</v>
      </c>
      <c r="V108" s="39">
        <v>155.583333333333</v>
      </c>
      <c r="W108" s="40">
        <v>157.036666666666</v>
      </c>
      <c r="X108" s="40">
        <v>159.506666666666</v>
      </c>
      <c r="Y108" s="40">
        <v>153.113333333333</v>
      </c>
      <c r="Z108" s="40">
        <v>152.096666666666</v>
      </c>
      <c r="AA108" s="40">
        <v>149.626666666666</v>
      </c>
      <c r="AB108" s="40">
        <v>155.42</v>
      </c>
      <c r="AC108" s="40">
        <v>152.98</v>
      </c>
      <c r="AD108" s="40">
        <v>153.384755102376</v>
      </c>
      <c r="AE108" s="40">
        <v>146.528</v>
      </c>
      <c r="AF108" s="40">
        <v>3.82949999999999</v>
      </c>
      <c r="AG108" s="40">
        <v>171.0017</v>
      </c>
      <c r="AH108" s="45">
        <v>44326.0</v>
      </c>
      <c r="AI108" s="44" t="str">
        <f>'6image_RS_benchmark_performance'!B108</f>
        <v>https://3arbzfbsh-cname-us.ngrok.io/Desktop/seabridge%20fintech/image_app/CE_resistance_support.jpg</v>
      </c>
      <c r="AJ108" s="44" t="str">
        <f>'6image_RS_benchmark_performance'!C108</f>
        <v>https://3arbzfbsh-cname-us.ngrok.io/Desktop/seabridge%20fintech/profit_graph_app/CE_Return.jpg</v>
      </c>
      <c r="AK108" s="46" t="str">
        <f>'5price_action_icon'!B108</f>
        <v>https://3arbzfbsh-cname-us.ngrok.io/Desktop/seabridge%20fintech/icon/CE_pa_trend_signal</v>
      </c>
      <c r="AL108" s="42">
        <f>'1kpi_performance'!B108</f>
        <v>0.7462495574</v>
      </c>
      <c r="AM108" s="42">
        <f>'1kpi_performance'!C108</f>
        <v>0.8610504961</v>
      </c>
      <c r="AN108" s="42">
        <f>'1kpi_performance'!D108</f>
        <v>0.6263434595</v>
      </c>
      <c r="AO108" s="42">
        <f>'1kpi_performance'!E108</f>
        <v>0.2156910031</v>
      </c>
      <c r="AP108" s="42">
        <f>'1kpi_performance'!F108</f>
        <v>0.2775882165</v>
      </c>
      <c r="AQ108" s="42">
        <f>'1kpi_performance'!G108</f>
        <v>0.2734736896</v>
      </c>
      <c r="AR108" s="42">
        <f>'1kpi_performance'!H108</f>
        <v>0.2853728962</v>
      </c>
      <c r="AS108" s="42">
        <f>'1kpi_performance'!I108</f>
        <v>0.4016696444</v>
      </c>
      <c r="AT108" s="35">
        <f>'1kpi_performance'!J108</f>
        <v>2.59827152</v>
      </c>
      <c r="AU108" s="35">
        <f>'1kpi_performance'!K108</f>
        <v>3.057151485</v>
      </c>
      <c r="AV108" s="35">
        <f>'1kpi_performance'!L108</f>
        <v>2.107219948</v>
      </c>
      <c r="AW108" s="35">
        <f>'1kpi_performance'!M108</f>
        <v>0.4747458658</v>
      </c>
      <c r="AX108" s="42">
        <f>'1kpi_performance'!N108</f>
        <v>0.1731546479</v>
      </c>
      <c r="AY108" s="42">
        <f>'1kpi_performance'!O108</f>
        <v>0.1388392325</v>
      </c>
      <c r="AZ108" s="42">
        <f>'1kpi_performance'!P108</f>
        <v>0.5283982131</v>
      </c>
      <c r="BA108" s="42">
        <f>'1kpi_performance'!Q108</f>
        <v>0.535913337</v>
      </c>
      <c r="BB108" s="35">
        <f>'1kpi_performance'!R108</f>
        <v>5.596816468</v>
      </c>
      <c r="BC108" s="35">
        <f>'1kpi_performance'!S108</f>
        <v>6.996465246</v>
      </c>
      <c r="BD108" s="35">
        <f>'1kpi_performance'!T108</f>
        <v>4.038110183</v>
      </c>
      <c r="BE108" s="35">
        <f>'1kpi_performance'!U108</f>
        <v>0.9121126293</v>
      </c>
      <c r="BF108" s="47"/>
      <c r="BG108" s="47"/>
      <c r="BH108" s="47"/>
      <c r="BI108" s="47"/>
      <c r="BJ108" s="47"/>
      <c r="BK108" s="47"/>
      <c r="BL108" s="47"/>
      <c r="BM108" s="47"/>
      <c r="BN108" s="47"/>
      <c r="BO108" s="47"/>
      <c r="BP108" s="47"/>
      <c r="BQ108" s="47"/>
      <c r="BR108" s="47"/>
      <c r="BS108" s="47"/>
      <c r="BT108" s="47"/>
    </row>
    <row r="109" ht="11.25" customHeight="1">
      <c r="A109" s="35" t="str">
        <f>'13all_company_profile'!A109</f>
        <v>CERN</v>
      </c>
      <c r="B109" s="35" t="str">
        <f>'13all_company_profile'!B109</f>
        <v>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v>
      </c>
      <c r="C109" s="44" t="str">
        <f>'13all_company_profile'!C109</f>
        <v>https://financialmodelingprep.com/image-stock/CERN.png</v>
      </c>
      <c r="D109" s="35" t="str">
        <f>'13all_company_profile'!D109</f>
        <v>Cerner Corporation</v>
      </c>
      <c r="E109" s="36">
        <f>'13all_company_profile'!E109</f>
        <v>23954700288</v>
      </c>
      <c r="F109" s="37">
        <f>'13all_company_profile'!F109</f>
        <v>2847601</v>
      </c>
      <c r="G109" s="35">
        <f>'13all_company_profile'!G109</f>
        <v>0.84</v>
      </c>
      <c r="H109" s="38">
        <f>'13all_company_profile'!H109</f>
        <v>44404</v>
      </c>
      <c r="I109" s="35">
        <f>'13all_company_profile'!I109</f>
        <v>29.730091</v>
      </c>
      <c r="J109" s="35">
        <f>'13all_company_profile'!J109</f>
        <v>2.612</v>
      </c>
      <c r="K109" s="42">
        <f t="shared" si="1"/>
        <v>0.01079552757</v>
      </c>
      <c r="L109" s="35">
        <f>'7company_info'!B109</f>
        <v>77.81</v>
      </c>
      <c r="M109" s="35">
        <f>'7company_info'!C109</f>
        <v>78.71</v>
      </c>
      <c r="N109" s="35">
        <f>'7company_info'!D109</f>
        <v>76.85</v>
      </c>
      <c r="O109" s="35">
        <f>'7company_info'!E109</f>
        <v>1.09</v>
      </c>
      <c r="P109" s="35">
        <f>'7company_info'!F109</f>
        <v>0.0142</v>
      </c>
      <c r="Q109" s="35">
        <f>'7company_info'!G109</f>
        <v>76.89</v>
      </c>
      <c r="R109" s="35">
        <f>'7company_info'!H109</f>
        <v>76.72</v>
      </c>
      <c r="S109" s="35">
        <f>'7company_info'!I109</f>
        <v>66.75</v>
      </c>
      <c r="T109" s="35">
        <f>'7company_info'!J109</f>
        <v>84.2</v>
      </c>
      <c r="U109" s="39">
        <v>79.5602666666666</v>
      </c>
      <c r="V109" s="39">
        <v>79.9197333333333</v>
      </c>
      <c r="W109" s="40">
        <v>80.2194666666666</v>
      </c>
      <c r="X109" s="40">
        <v>80.8786666666666</v>
      </c>
      <c r="Y109" s="40">
        <v>79.2605333333333</v>
      </c>
      <c r="Z109" s="40">
        <v>78.9010666666666</v>
      </c>
      <c r="AA109" s="40">
        <v>78.2418666666666</v>
      </c>
      <c r="AB109" s="40">
        <v>79.59</v>
      </c>
      <c r="AC109" s="40">
        <v>79.5</v>
      </c>
      <c r="AD109" s="40">
        <v>79.267715832038</v>
      </c>
      <c r="AE109" s="40">
        <v>77.785</v>
      </c>
      <c r="AF109" s="40">
        <v>0.948959999999997</v>
      </c>
      <c r="AG109" s="40">
        <v>84.2</v>
      </c>
      <c r="AH109" s="45">
        <v>44224.0</v>
      </c>
      <c r="AI109" s="44" t="str">
        <f>'6image_RS_benchmark_performance'!B109</f>
        <v>https://3arbzfbsh-cname-us.ngrok.io/Desktop/seabridge%20fintech/image_app/CERN_resistance_support.jpg</v>
      </c>
      <c r="AJ109" s="44" t="str">
        <f>'6image_RS_benchmark_performance'!C109</f>
        <v>https://3arbzfbsh-cname-us.ngrok.io/Desktop/seabridge%20fintech/profit_graph_app/CERN_Return.jpg</v>
      </c>
      <c r="AK109" s="46" t="str">
        <f>'5price_action_icon'!B109</f>
        <v>https://3arbzfbsh-cname-us.ngrok.io/Desktop/seabridge%20fintech/icon/CERN_pa_trend_signal</v>
      </c>
      <c r="AL109" s="42">
        <f>'1kpi_performance'!B109</f>
        <v>0.4382758507</v>
      </c>
      <c r="AM109" s="42">
        <f>'1kpi_performance'!C109</f>
        <v>0.6495395385</v>
      </c>
      <c r="AN109" s="42">
        <f>'1kpi_performance'!D109</f>
        <v>0.4695531132</v>
      </c>
      <c r="AO109" s="42">
        <f>'1kpi_performance'!E109</f>
        <v>0.1784202401</v>
      </c>
      <c r="AP109" s="42">
        <f>'1kpi_performance'!F109</f>
        <v>0.2054374917</v>
      </c>
      <c r="AQ109" s="42">
        <f>'1kpi_performance'!G109</f>
        <v>0.2178220355</v>
      </c>
      <c r="AR109" s="42">
        <f>'1kpi_performance'!H109</f>
        <v>0.2235670484</v>
      </c>
      <c r="AS109" s="42">
        <f>'1kpi_performance'!I109</f>
        <v>0.3069531807</v>
      </c>
      <c r="AT109" s="35">
        <f>'1kpi_performance'!J109</f>
        <v>2.011686607</v>
      </c>
      <c r="AU109" s="35">
        <f>'1kpi_performance'!K109</f>
        <v>2.867200911</v>
      </c>
      <c r="AV109" s="35">
        <f>'1kpi_performance'!L109</f>
        <v>1.988455438</v>
      </c>
      <c r="AW109" s="35">
        <f>'1kpi_performance'!M109</f>
        <v>0.4998164206</v>
      </c>
      <c r="AX109" s="42">
        <f>'1kpi_performance'!N109</f>
        <v>0.1441477588</v>
      </c>
      <c r="AY109" s="42">
        <f>'1kpi_performance'!O109</f>
        <v>0.09389221557</v>
      </c>
      <c r="AZ109" s="42">
        <f>'1kpi_performance'!P109</f>
        <v>0.2788454016</v>
      </c>
      <c r="BA109" s="42">
        <f>'1kpi_performance'!Q109</f>
        <v>0.3684</v>
      </c>
      <c r="BB109" s="35">
        <f>'1kpi_performance'!R109</f>
        <v>4.290334111</v>
      </c>
      <c r="BC109" s="35">
        <f>'1kpi_performance'!S109</f>
        <v>6.958399953</v>
      </c>
      <c r="BD109" s="35">
        <f>'1kpi_performance'!T109</f>
        <v>4.255033697</v>
      </c>
      <c r="BE109" s="35">
        <f>'1kpi_performance'!U109</f>
        <v>1.014769608</v>
      </c>
      <c r="BF109" s="47"/>
      <c r="BG109" s="47"/>
      <c r="BH109" s="47"/>
      <c r="BI109" s="47"/>
      <c r="BJ109" s="47"/>
      <c r="BK109" s="47"/>
      <c r="BL109" s="47"/>
      <c r="BM109" s="47"/>
      <c r="BN109" s="47"/>
      <c r="BO109" s="47"/>
      <c r="BP109" s="47"/>
      <c r="BQ109" s="47"/>
      <c r="BR109" s="47"/>
      <c r="BS109" s="47"/>
      <c r="BT109" s="47"/>
    </row>
    <row r="110" ht="11.25" customHeight="1">
      <c r="A110" s="35" t="str">
        <f>'13all_company_profile'!A110</f>
        <v>CF</v>
      </c>
      <c r="B110" s="35" t="str">
        <f>'13all_company_profile'!B110</f>
        <v>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v>
      </c>
      <c r="C110" s="44" t="str">
        <f>'13all_company_profile'!C110</f>
        <v>https://financialmodelingprep.com/image-stock/CF.png</v>
      </c>
      <c r="D110" s="35" t="str">
        <f>'13all_company_profile'!D110</f>
        <v>CF Industries Holdings, Inc.</v>
      </c>
      <c r="E110" s="36">
        <f>'13all_company_profile'!E110</f>
        <v>10513380352</v>
      </c>
      <c r="F110" s="37">
        <f>'13all_company_profile'!F110</f>
        <v>2006557</v>
      </c>
      <c r="G110" s="35">
        <f>'13all_company_profile'!G110</f>
        <v>1.2</v>
      </c>
      <c r="H110" s="38" t="str">
        <f>'13all_company_profile'!H110</f>
        <v>not avaiable</v>
      </c>
      <c r="I110" s="35">
        <f>'13all_company_profile'!I110</f>
        <v>25.257788</v>
      </c>
      <c r="J110" s="35">
        <f>'13all_company_profile'!J110</f>
        <v>1.862</v>
      </c>
      <c r="K110" s="42">
        <f t="shared" si="1"/>
        <v>0.02555910543</v>
      </c>
      <c r="L110" s="35">
        <f>'7company_info'!B110</f>
        <v>46.95</v>
      </c>
      <c r="M110" s="35">
        <f>'7company_info'!C110</f>
        <v>47.54</v>
      </c>
      <c r="N110" s="35">
        <f>'7company_info'!D110</f>
        <v>45.75</v>
      </c>
      <c r="O110" s="35">
        <f>'7company_info'!E110</f>
        <v>0.98</v>
      </c>
      <c r="P110" s="35">
        <f>'7company_info'!F110</f>
        <v>0.0213</v>
      </c>
      <c r="Q110" s="35">
        <f>'7company_info'!G110</f>
        <v>46.18</v>
      </c>
      <c r="R110" s="35">
        <f>'7company_info'!H110</f>
        <v>45.97</v>
      </c>
      <c r="S110" s="35">
        <f>'7company_info'!I110</f>
        <v>25.3</v>
      </c>
      <c r="T110" s="35">
        <f>'7company_info'!J110</f>
        <v>57.19</v>
      </c>
      <c r="U110" s="39">
        <v>49.8116666666666</v>
      </c>
      <c r="V110" s="39">
        <v>50.3333333333333</v>
      </c>
      <c r="W110" s="40">
        <v>51.0766666666666</v>
      </c>
      <c r="X110" s="40">
        <v>52.3416666666666</v>
      </c>
      <c r="Y110" s="40">
        <v>49.0683333333333</v>
      </c>
      <c r="Z110" s="40">
        <v>48.5466666666666</v>
      </c>
      <c r="AA110" s="40">
        <v>47.2816666666666</v>
      </c>
      <c r="AB110" s="40">
        <v>48.791</v>
      </c>
      <c r="AC110" s="40">
        <v>51.12</v>
      </c>
      <c r="AD110" s="40">
        <v>50.8700677019067</v>
      </c>
      <c r="AE110" s="40">
        <v>46.0431</v>
      </c>
      <c r="AF110" s="40">
        <v>1.8502</v>
      </c>
      <c r="AG110" s="40">
        <v>57.19</v>
      </c>
      <c r="AH110" s="45">
        <v>44334.0</v>
      </c>
      <c r="AI110" s="44" t="str">
        <f>'6image_RS_benchmark_performance'!B110</f>
        <v>https://3arbzfbsh-cname-us.ngrok.io/Desktop/seabridge%20fintech/image_app/CF_resistance_support.jpg</v>
      </c>
      <c r="AJ110" s="44" t="str">
        <f>'6image_RS_benchmark_performance'!C110</f>
        <v>https://3arbzfbsh-cname-us.ngrok.io/Desktop/seabridge%20fintech/profit_graph_app/CF_Return.jpg</v>
      </c>
      <c r="AK110" s="46" t="str">
        <f>'5price_action_icon'!B110</f>
        <v>https://3arbzfbsh-cname-us.ngrok.io/Desktop/seabridge%20fintech/icon/CF_pa_trend_signal</v>
      </c>
      <c r="AL110" s="42">
        <f>'1kpi_performance'!B110</f>
        <v>0.7466917192</v>
      </c>
      <c r="AM110" s="42">
        <f>'1kpi_performance'!C110</f>
        <v>0.9337713795</v>
      </c>
      <c r="AN110" s="42">
        <f>'1kpi_performance'!D110</f>
        <v>0.8919232057</v>
      </c>
      <c r="AO110" s="42">
        <f>'1kpi_performance'!E110</f>
        <v>0.1222985642</v>
      </c>
      <c r="AP110" s="42">
        <f>'1kpi_performance'!F110</f>
        <v>0.3255035277</v>
      </c>
      <c r="AQ110" s="42">
        <f>'1kpi_performance'!G110</f>
        <v>0.3269820527</v>
      </c>
      <c r="AR110" s="42">
        <f>'1kpi_performance'!H110</f>
        <v>0.3594223761</v>
      </c>
      <c r="AS110" s="42">
        <f>'1kpi_performance'!I110</f>
        <v>0.4746773067</v>
      </c>
      <c r="AT110" s="35">
        <f>'1kpi_performance'!J110</f>
        <v>2.217154832</v>
      </c>
      <c r="AU110" s="35">
        <f>'1kpi_performance'!K110</f>
        <v>2.779269908</v>
      </c>
      <c r="AV110" s="35">
        <f>'1kpi_performance'!L110</f>
        <v>2.41199008</v>
      </c>
      <c r="AW110" s="35">
        <f>'1kpi_performance'!M110</f>
        <v>0.2049783354</v>
      </c>
      <c r="AX110" s="42">
        <f>'1kpi_performance'!N110</f>
        <v>0.2269872235</v>
      </c>
      <c r="AY110" s="42">
        <f>'1kpi_performance'!O110</f>
        <v>0.1363696824</v>
      </c>
      <c r="AZ110" s="42">
        <f>'1kpi_performance'!P110</f>
        <v>0.5060859089</v>
      </c>
      <c r="BA110" s="42">
        <f>'1kpi_performance'!Q110</f>
        <v>0.6932675566</v>
      </c>
      <c r="BB110" s="35">
        <f>'1kpi_performance'!R110</f>
        <v>4.763058582</v>
      </c>
      <c r="BC110" s="35">
        <f>'1kpi_performance'!S110</f>
        <v>6.339821115</v>
      </c>
      <c r="BD110" s="35">
        <f>'1kpi_performance'!T110</f>
        <v>4.96844068</v>
      </c>
      <c r="BE110" s="35">
        <f>'1kpi_performance'!U110</f>
        <v>0.4082553382</v>
      </c>
      <c r="BF110" s="47"/>
      <c r="BG110" s="47"/>
      <c r="BH110" s="47"/>
      <c r="BI110" s="47"/>
      <c r="BJ110" s="47"/>
      <c r="BK110" s="47"/>
      <c r="BL110" s="47"/>
      <c r="BM110" s="47"/>
      <c r="BN110" s="47"/>
      <c r="BO110" s="47"/>
      <c r="BP110" s="47"/>
      <c r="BQ110" s="47"/>
      <c r="BR110" s="47"/>
      <c r="BS110" s="47"/>
      <c r="BT110" s="47"/>
    </row>
    <row r="111" ht="11.25" customHeight="1">
      <c r="A111" s="35" t="str">
        <f>'13all_company_profile'!A111</f>
        <v>CFG</v>
      </c>
      <c r="B111" s="35" t="str">
        <f>'13all_company_profile'!B111</f>
        <v>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v>
      </c>
      <c r="C111" s="44" t="str">
        <f>'13all_company_profile'!C111</f>
        <v>https://financialmodelingprep.com/image-stock/CFG.png</v>
      </c>
      <c r="D111" s="35" t="str">
        <f>'13all_company_profile'!D111</f>
        <v>Citizens Financial Group, Inc.</v>
      </c>
      <c r="E111" s="36">
        <f>'13all_company_profile'!E111</f>
        <v>19128514560</v>
      </c>
      <c r="F111" s="37">
        <f>'13all_company_profile'!F111</f>
        <v>4200631</v>
      </c>
      <c r="G111" s="35">
        <f>'13all_company_profile'!G111</f>
        <v>1.56</v>
      </c>
      <c r="H111" s="38">
        <f>'13all_company_profile'!H111</f>
        <v>44397</v>
      </c>
      <c r="I111" s="35">
        <f>'13all_company_profile'!I111</f>
        <v>12.050814</v>
      </c>
      <c r="J111" s="35">
        <f>'13all_company_profile'!J111</f>
        <v>3.562</v>
      </c>
      <c r="K111" s="42">
        <f t="shared" si="1"/>
        <v>0.03655964378</v>
      </c>
      <c r="L111" s="35">
        <f>'7company_info'!B111</f>
        <v>42.67</v>
      </c>
      <c r="M111" s="35">
        <f>'7company_info'!C111</f>
        <v>43.1</v>
      </c>
      <c r="N111" s="35">
        <f>'7company_info'!D111</f>
        <v>39.56</v>
      </c>
      <c r="O111" s="35">
        <f>'7company_info'!E111</f>
        <v>1.47</v>
      </c>
      <c r="P111" s="35">
        <f>'7company_info'!F111</f>
        <v>0.0357</v>
      </c>
      <c r="Q111" s="35">
        <f>'7company_info'!G111</f>
        <v>39.56</v>
      </c>
      <c r="R111" s="35">
        <f>'7company_info'!H111</f>
        <v>41.2</v>
      </c>
      <c r="S111" s="35">
        <f>'7company_info'!I111</f>
        <v>23.46</v>
      </c>
      <c r="T111" s="35">
        <f>'7company_info'!J111</f>
        <v>51.14</v>
      </c>
      <c r="U111" s="39">
        <v>44.7183333333333</v>
      </c>
      <c r="V111" s="39">
        <v>45.5416666666666</v>
      </c>
      <c r="W111" s="40">
        <v>46.4733333333333</v>
      </c>
      <c r="X111" s="40">
        <v>48.2283333333333</v>
      </c>
      <c r="Y111" s="40">
        <v>43.7866666666666</v>
      </c>
      <c r="Z111" s="40">
        <v>42.9633333333333</v>
      </c>
      <c r="AA111" s="40">
        <v>41.2083333333333</v>
      </c>
      <c r="AB111" s="40">
        <v>44.36</v>
      </c>
      <c r="AC111" s="40">
        <v>45.76</v>
      </c>
      <c r="AD111" s="40">
        <v>45.829206951336</v>
      </c>
      <c r="AE111" s="40">
        <v>42.1823</v>
      </c>
      <c r="AF111" s="40">
        <v>1.36535</v>
      </c>
      <c r="AG111" s="40">
        <v>51.14</v>
      </c>
      <c r="AH111" s="45">
        <v>44334.0</v>
      </c>
      <c r="AI111" s="44" t="str">
        <f>'6image_RS_benchmark_performance'!B111</f>
        <v>https://3arbzfbsh-cname-us.ngrok.io/Desktop/seabridge%20fintech/image_app/CFG_resistance_support.jpg</v>
      </c>
      <c r="AJ111" s="44" t="str">
        <f>'6image_RS_benchmark_performance'!C111</f>
        <v>https://3arbzfbsh-cname-us.ngrok.io/Desktop/seabridge%20fintech/profit_graph_app/CFG_Return.jpg</v>
      </c>
      <c r="AK111" s="46" t="str">
        <f>'5price_action_icon'!B111</f>
        <v>https://3arbzfbsh-cname-us.ngrok.io/Desktop/seabridge%20fintech/icon/CFG_pa_trend_signal</v>
      </c>
      <c r="AL111" s="42">
        <f>'1kpi_performance'!B111</f>
        <v>0.9253014669</v>
      </c>
      <c r="AM111" s="42">
        <f>'1kpi_performance'!C111</f>
        <v>0.792049615</v>
      </c>
      <c r="AN111" s="42">
        <f>'1kpi_performance'!D111</f>
        <v>0.9274182422</v>
      </c>
      <c r="AO111" s="42">
        <f>'1kpi_performance'!E111</f>
        <v>0.1486335306</v>
      </c>
      <c r="AP111" s="42">
        <f>'1kpi_performance'!F111</f>
        <v>0.3089606025</v>
      </c>
      <c r="AQ111" s="42">
        <f>'1kpi_performance'!G111</f>
        <v>0.2760629591</v>
      </c>
      <c r="AR111" s="42">
        <f>'1kpi_performance'!H111</f>
        <v>0.2933166632</v>
      </c>
      <c r="AS111" s="42">
        <f>'1kpi_performance'!I111</f>
        <v>0.460496942</v>
      </c>
      <c r="AT111" s="35">
        <f>'1kpi_performance'!J111</f>
        <v>2.913968511</v>
      </c>
      <c r="AU111" s="35">
        <f>'1kpi_performance'!K111</f>
        <v>2.778531453</v>
      </c>
      <c r="AV111" s="35">
        <f>'1kpi_performance'!L111</f>
        <v>3.076600669</v>
      </c>
      <c r="AW111" s="35">
        <f>'1kpi_performance'!M111</f>
        <v>0.268478505</v>
      </c>
      <c r="AX111" s="42">
        <f>'1kpi_performance'!N111</f>
        <v>0.2225237449</v>
      </c>
      <c r="AY111" s="42">
        <f>'1kpi_performance'!O111</f>
        <v>0.1788291552</v>
      </c>
      <c r="AZ111" s="42">
        <f>'1kpi_performance'!P111</f>
        <v>0.2945297816</v>
      </c>
      <c r="BA111" s="42">
        <f>'1kpi_performance'!Q111</f>
        <v>0.6799665761</v>
      </c>
      <c r="BB111" s="35">
        <f>'1kpi_performance'!R111</f>
        <v>6.864057797</v>
      </c>
      <c r="BC111" s="35">
        <f>'1kpi_performance'!S111</f>
        <v>6.350590814</v>
      </c>
      <c r="BD111" s="35">
        <f>'1kpi_performance'!T111</f>
        <v>7.011917866</v>
      </c>
      <c r="BE111" s="35">
        <f>'1kpi_performance'!U111</f>
        <v>0.5103738068</v>
      </c>
      <c r="BF111" s="47"/>
      <c r="BG111" s="47"/>
      <c r="BH111" s="47"/>
      <c r="BI111" s="47"/>
      <c r="BJ111" s="47"/>
      <c r="BK111" s="47"/>
      <c r="BL111" s="47"/>
      <c r="BM111" s="47"/>
      <c r="BN111" s="47"/>
      <c r="BO111" s="47"/>
      <c r="BP111" s="47"/>
      <c r="BQ111" s="47"/>
      <c r="BR111" s="47"/>
      <c r="BS111" s="47"/>
      <c r="BT111" s="47"/>
    </row>
    <row r="112" ht="11.25" customHeight="1">
      <c r="A112" s="35" t="str">
        <f>'13all_company_profile'!A112</f>
        <v>CHD</v>
      </c>
      <c r="B112" s="35" t="str">
        <f>'13all_company_profile'!B112</f>
        <v>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v>
      </c>
      <c r="C112" s="44" t="str">
        <f>'13all_company_profile'!C112</f>
        <v>https://financialmodelingprep.com/image-stock/CHD.png</v>
      </c>
      <c r="D112" s="35" t="str">
        <f>'13all_company_profile'!D112</f>
        <v>Church &amp; Dwight Co., Inc.</v>
      </c>
      <c r="E112" s="36">
        <f>'13all_company_profile'!E112</f>
        <v>21179445248</v>
      </c>
      <c r="F112" s="37">
        <f>'13all_company_profile'!F112</f>
        <v>1392114</v>
      </c>
      <c r="G112" s="35">
        <f>'13all_company_profile'!G112</f>
        <v>0.9855</v>
      </c>
      <c r="H112" s="38">
        <f>'13all_company_profile'!H112</f>
        <v>44407</v>
      </c>
      <c r="I112" s="35">
        <f>'13all_company_profile'!I112</f>
        <v>28.428572</v>
      </c>
      <c r="J112" s="35">
        <f>'13all_company_profile'!J112</f>
        <v>3.08</v>
      </c>
      <c r="K112" s="42">
        <f t="shared" si="1"/>
        <v>0.01132888838</v>
      </c>
      <c r="L112" s="35">
        <f>'7company_info'!B112</f>
        <v>86.99</v>
      </c>
      <c r="M112" s="35">
        <f>'7company_info'!C112</f>
        <v>88.69</v>
      </c>
      <c r="N112" s="35">
        <f>'7company_info'!D112</f>
        <v>86.96</v>
      </c>
      <c r="O112" s="35">
        <f>'7company_info'!E112</f>
        <v>-0.52</v>
      </c>
      <c r="P112" s="35">
        <f>'7company_info'!F112</f>
        <v>-0.0059</v>
      </c>
      <c r="Q112" s="35">
        <f>'7company_info'!G112</f>
        <v>87.49</v>
      </c>
      <c r="R112" s="35">
        <f>'7company_info'!H112</f>
        <v>87.51</v>
      </c>
      <c r="S112" s="35">
        <f>'7company_info'!I112</f>
        <v>77.62</v>
      </c>
      <c r="T112" s="35">
        <f>'7company_info'!J112</f>
        <v>98.96</v>
      </c>
      <c r="U112" s="39">
        <v>85.63</v>
      </c>
      <c r="V112" s="39">
        <v>86.44</v>
      </c>
      <c r="W112" s="40">
        <v>86.92</v>
      </c>
      <c r="X112" s="40">
        <v>88.21</v>
      </c>
      <c r="Y112" s="40">
        <v>85.1499999999999</v>
      </c>
      <c r="Z112" s="40">
        <v>84.3399999999999</v>
      </c>
      <c r="AA112" s="40">
        <v>83.0499999999999</v>
      </c>
      <c r="AB112" s="40">
        <v>83.57</v>
      </c>
      <c r="AC112" s="40">
        <v>86.11</v>
      </c>
      <c r="AD112" s="40">
        <v>85.5860678546793</v>
      </c>
      <c r="AE112" s="40">
        <v>83.498</v>
      </c>
      <c r="AF112" s="40">
        <v>1.2745</v>
      </c>
      <c r="AG112" s="40">
        <v>90.24</v>
      </c>
      <c r="AH112" s="45">
        <v>44223.0</v>
      </c>
      <c r="AI112" s="44" t="str">
        <f>'6image_RS_benchmark_performance'!B112</f>
        <v>https://3arbzfbsh-cname-us.ngrok.io/Desktop/seabridge%20fintech/image_app/CHD_resistance_support.jpg</v>
      </c>
      <c r="AJ112" s="44" t="str">
        <f>'6image_RS_benchmark_performance'!C112</f>
        <v>https://3arbzfbsh-cname-us.ngrok.io/Desktop/seabridge%20fintech/profit_graph_app/CHD_Return.jpg</v>
      </c>
      <c r="AK112" s="46" t="str">
        <f>'5price_action_icon'!B112</f>
        <v>https://3arbzfbsh-cname-us.ngrok.io/Desktop/seabridge%20fintech/icon/CHD_pa_trend_signal</v>
      </c>
      <c r="AL112" s="42">
        <f>'1kpi_performance'!B112</f>
        <v>0.4068925704</v>
      </c>
      <c r="AM112" s="42">
        <f>'1kpi_performance'!C112</f>
        <v>0.5270530359</v>
      </c>
      <c r="AN112" s="42">
        <f>'1kpi_performance'!D112</f>
        <v>0.3799395808</v>
      </c>
      <c r="AO112" s="42">
        <f>'1kpi_performance'!E112</f>
        <v>0.2374364104</v>
      </c>
      <c r="AP112" s="42">
        <f>'1kpi_performance'!F112</f>
        <v>0.1438856628</v>
      </c>
      <c r="AQ112" s="42">
        <f>'1kpi_performance'!G112</f>
        <v>0.1789705746</v>
      </c>
      <c r="AR112" s="42">
        <f>'1kpi_performance'!H112</f>
        <v>0.1612912761</v>
      </c>
      <c r="AS112" s="42">
        <f>'1kpi_performance'!I112</f>
        <v>0.2361915645</v>
      </c>
      <c r="AT112" s="35">
        <f>'1kpi_performance'!J112</f>
        <v>2.654139146</v>
      </c>
      <c r="AU112" s="35">
        <f>'1kpi_performance'!K112</f>
        <v>2.805226709</v>
      </c>
      <c r="AV112" s="35">
        <f>'1kpi_performance'!L112</f>
        <v>2.200612391</v>
      </c>
      <c r="AW112" s="35">
        <f>'1kpi_performance'!M112</f>
        <v>0.8994242062</v>
      </c>
      <c r="AX112" s="42">
        <f>'1kpi_performance'!N112</f>
        <v>0.08485456249</v>
      </c>
      <c r="AY112" s="42">
        <f>'1kpi_performance'!O112</f>
        <v>0.1308734506</v>
      </c>
      <c r="AZ112" s="42">
        <f>'1kpi_performance'!P112</f>
        <v>0.2114554727</v>
      </c>
      <c r="BA112" s="42">
        <f>'1kpi_performance'!Q112</f>
        <v>0.2488789238</v>
      </c>
      <c r="BB112" s="35">
        <f>'1kpi_performance'!R112</f>
        <v>5.958189769</v>
      </c>
      <c r="BC112" s="35">
        <f>'1kpi_performance'!S112</f>
        <v>6.572779655</v>
      </c>
      <c r="BD112" s="35">
        <f>'1kpi_performance'!T112</f>
        <v>4.389958349</v>
      </c>
      <c r="BE112" s="35">
        <f>'1kpi_performance'!U112</f>
        <v>1.759551141</v>
      </c>
      <c r="BF112" s="47"/>
      <c r="BG112" s="47"/>
      <c r="BH112" s="47"/>
      <c r="BI112" s="47"/>
      <c r="BJ112" s="47"/>
      <c r="BK112" s="47"/>
      <c r="BL112" s="47"/>
      <c r="BM112" s="47"/>
      <c r="BN112" s="47"/>
      <c r="BO112" s="47"/>
      <c r="BP112" s="47"/>
      <c r="BQ112" s="47"/>
      <c r="BR112" s="47"/>
      <c r="BS112" s="47"/>
      <c r="BT112" s="47"/>
    </row>
    <row r="113" ht="11.25" customHeight="1">
      <c r="A113" s="35" t="str">
        <f>'13all_company_profile'!A113</f>
        <v>CHKP</v>
      </c>
      <c r="B113" s="35" t="str">
        <f>'13all_company_profile'!B113</f>
        <v>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v>
      </c>
      <c r="C113" s="44" t="str">
        <f>'13all_company_profile'!C113</f>
        <v>https://financialmodelingprep.com/image-stock/CHKP.png</v>
      </c>
      <c r="D113" s="35" t="str">
        <f>'13all_company_profile'!D113</f>
        <v>Check Point Software Technologies Ltd.</v>
      </c>
      <c r="E113" s="36">
        <f>'13all_company_profile'!E113</f>
        <v>16379304960</v>
      </c>
      <c r="F113" s="37">
        <f>'13all_company_profile'!F113</f>
        <v>1047607</v>
      </c>
      <c r="G113" s="35">
        <f>'13all_company_profile'!G113</f>
        <v>0</v>
      </c>
      <c r="H113" s="38">
        <f>'13all_company_profile'!H113</f>
        <v>44403</v>
      </c>
      <c r="I113" s="35">
        <f>'13all_company_profile'!I113</f>
        <v>20.212416</v>
      </c>
      <c r="J113" s="35">
        <f>'13all_company_profile'!J113</f>
        <v>6.073</v>
      </c>
      <c r="K113" s="42" t="str">
        <f t="shared" si="1"/>
        <v>NaN</v>
      </c>
      <c r="L113" s="35">
        <f>'7company_info'!B113</f>
        <v>121.82</v>
      </c>
      <c r="M113" s="35">
        <f>'7company_info'!C113</f>
        <v>122.7</v>
      </c>
      <c r="N113" s="35">
        <f>'7company_info'!D113</f>
        <v>120.37</v>
      </c>
      <c r="O113" s="35">
        <f>'7company_info'!E113</f>
        <v>0.94</v>
      </c>
      <c r="P113" s="35">
        <f>'7company_info'!F113</f>
        <v>0.0078</v>
      </c>
      <c r="Q113" s="35">
        <f>'7company_info'!G113</f>
        <v>120.37</v>
      </c>
      <c r="R113" s="35">
        <f>'7company_info'!H113</f>
        <v>120.88</v>
      </c>
      <c r="S113" s="35">
        <f>'7company_info'!I113</f>
        <v>109.07</v>
      </c>
      <c r="T113" s="35">
        <f>'7company_info'!J113</f>
        <v>139.26</v>
      </c>
      <c r="U113" s="39">
        <v>123.625</v>
      </c>
      <c r="V113" s="39">
        <v>124.345</v>
      </c>
      <c r="W113" s="40">
        <v>124.82</v>
      </c>
      <c r="X113" s="40">
        <v>126.015</v>
      </c>
      <c r="Y113" s="40">
        <v>123.15</v>
      </c>
      <c r="Z113" s="40">
        <v>122.43</v>
      </c>
      <c r="AA113" s="40">
        <v>121.235</v>
      </c>
      <c r="AB113" s="40">
        <v>121.54</v>
      </c>
      <c r="AC113" s="40">
        <v>124.59</v>
      </c>
      <c r="AD113" s="40">
        <v>119.45839063584</v>
      </c>
      <c r="AE113" s="40">
        <v>118.80983</v>
      </c>
      <c r="AF113" s="40">
        <v>1.93908499999999</v>
      </c>
      <c r="AG113" s="40">
        <v>137.49</v>
      </c>
      <c r="AH113" s="45">
        <v>44223.0</v>
      </c>
      <c r="AI113" s="44" t="str">
        <f>'6image_RS_benchmark_performance'!B113</f>
        <v>https://3arbzfbsh-cname-us.ngrok.io/Desktop/seabridge%20fintech/image_app/CHKP_resistance_support.jpg</v>
      </c>
      <c r="AJ113" s="44" t="str">
        <f>'6image_RS_benchmark_performance'!C113</f>
        <v>https://3arbzfbsh-cname-us.ngrok.io/Desktop/seabridge%20fintech/profit_graph_app/CHKP_Return.jpg</v>
      </c>
      <c r="AK113" s="46" t="str">
        <f>'5price_action_icon'!B113</f>
        <v>https://3arbzfbsh-cname-us.ngrok.io/Desktop/seabridge%20fintech/icon/CHKP_pa_trend_signal</v>
      </c>
      <c r="AL113" s="42">
        <f>'1kpi_performance'!B113</f>
        <v>0.513230639</v>
      </c>
      <c r="AM113" s="42">
        <f>'1kpi_performance'!C113</f>
        <v>0.6329256959</v>
      </c>
      <c r="AN113" s="42">
        <f>'1kpi_performance'!D113</f>
        <v>0.5187215238</v>
      </c>
      <c r="AO113" s="42">
        <f>'1kpi_performance'!E113</f>
        <v>0.1782998768</v>
      </c>
      <c r="AP113" s="42">
        <f>'1kpi_performance'!F113</f>
        <v>0.1961261142</v>
      </c>
      <c r="AQ113" s="42">
        <f>'1kpi_performance'!G113</f>
        <v>0.20323851</v>
      </c>
      <c r="AR113" s="42">
        <f>'1kpi_performance'!H113</f>
        <v>0.2055404312</v>
      </c>
      <c r="AS113" s="42">
        <f>'1kpi_performance'!I113</f>
        <v>0.2922778919</v>
      </c>
      <c r="AT113" s="35">
        <f>'1kpi_performance'!J113</f>
        <v>2.489370888</v>
      </c>
      <c r="AU113" s="35">
        <f>'1kpi_performance'!K113</f>
        <v>2.99119343</v>
      </c>
      <c r="AV113" s="35">
        <f>'1kpi_performance'!L113</f>
        <v>2.402065234</v>
      </c>
      <c r="AW113" s="35">
        <f>'1kpi_performance'!M113</f>
        <v>0.5245004191</v>
      </c>
      <c r="AX113" s="42">
        <f>'1kpi_performance'!N113</f>
        <v>0.1235977564</v>
      </c>
      <c r="AY113" s="42">
        <f>'1kpi_performance'!O113</f>
        <v>0.1235977564</v>
      </c>
      <c r="AZ113" s="42">
        <f>'1kpi_performance'!P113</f>
        <v>0.176568573</v>
      </c>
      <c r="BA113" s="42">
        <f>'1kpi_performance'!Q113</f>
        <v>0.3763775937</v>
      </c>
      <c r="BB113" s="35">
        <f>'1kpi_performance'!R113</f>
        <v>5.324280197</v>
      </c>
      <c r="BC113" s="35">
        <f>'1kpi_performance'!S113</f>
        <v>7.223220014</v>
      </c>
      <c r="BD113" s="35">
        <f>'1kpi_performance'!T113</f>
        <v>4.738228029</v>
      </c>
      <c r="BE113" s="35">
        <f>'1kpi_performance'!U113</f>
        <v>1.000261863</v>
      </c>
      <c r="BF113" s="47"/>
      <c r="BG113" s="47"/>
      <c r="BH113" s="47"/>
      <c r="BI113" s="47"/>
      <c r="BJ113" s="47"/>
      <c r="BK113" s="47"/>
      <c r="BL113" s="47"/>
      <c r="BM113" s="47"/>
      <c r="BN113" s="47"/>
      <c r="BO113" s="47"/>
      <c r="BP113" s="47"/>
      <c r="BQ113" s="47"/>
      <c r="BR113" s="47"/>
      <c r="BS113" s="47"/>
      <c r="BT113" s="47"/>
    </row>
    <row r="114" ht="11.25" customHeight="1">
      <c r="A114" s="35" t="str">
        <f>'13all_company_profile'!A114</f>
        <v>CHRW</v>
      </c>
      <c r="B114" s="35" t="str">
        <f>'13all_company_profile'!B114</f>
        <v>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v>
      </c>
      <c r="C114" s="44" t="str">
        <f>'13all_company_profile'!C114</f>
        <v>https://financialmodelingprep.com/image-stock/CHRW.png</v>
      </c>
      <c r="D114" s="35" t="str">
        <f>'13all_company_profile'!D114</f>
        <v>C.H. Robinson Worldwide, Inc.</v>
      </c>
      <c r="E114" s="36">
        <f>'13all_company_profile'!E114</f>
        <v>12492987392</v>
      </c>
      <c r="F114" s="37">
        <f>'13all_company_profile'!F114</f>
        <v>1069447</v>
      </c>
      <c r="G114" s="35">
        <f>'13all_company_profile'!G114</f>
        <v>2.04</v>
      </c>
      <c r="H114" s="38">
        <f>'13all_company_profile'!H114</f>
        <v>44403</v>
      </c>
      <c r="I114" s="35">
        <f>'13all_company_profile'!I114</f>
        <v>21.115376</v>
      </c>
      <c r="J114" s="35">
        <f>'13all_company_profile'!J114</f>
        <v>4.429</v>
      </c>
      <c r="K114" s="42">
        <f t="shared" si="1"/>
        <v>0.02190956933</v>
      </c>
      <c r="L114" s="35">
        <f>'7company_info'!B114</f>
        <v>93.11</v>
      </c>
      <c r="M114" s="35">
        <f>'7company_info'!C114</f>
        <v>94.42</v>
      </c>
      <c r="N114" s="35">
        <f>'7company_info'!D114</f>
        <v>92.86</v>
      </c>
      <c r="O114" s="35">
        <f>'7company_info'!E114</f>
        <v>-0.02</v>
      </c>
      <c r="P114" s="35">
        <f>'7company_info'!F114</f>
        <v>-0.0002</v>
      </c>
      <c r="Q114" s="35">
        <f>'7company_info'!G114</f>
        <v>93.37</v>
      </c>
      <c r="R114" s="35">
        <f>'7company_info'!H114</f>
        <v>93.13</v>
      </c>
      <c r="S114" s="35">
        <f>'7company_info'!I114</f>
        <v>84.72</v>
      </c>
      <c r="T114" s="35">
        <f>'7company_info'!J114</f>
        <v>106.75</v>
      </c>
      <c r="U114" s="39">
        <v>94.28</v>
      </c>
      <c r="V114" s="39">
        <v>95.73</v>
      </c>
      <c r="W114" s="40">
        <v>96.81</v>
      </c>
      <c r="X114" s="40">
        <v>99.34</v>
      </c>
      <c r="Y114" s="40">
        <v>93.2</v>
      </c>
      <c r="Z114" s="40">
        <v>91.75</v>
      </c>
      <c r="AA114" s="40">
        <v>89.22</v>
      </c>
      <c r="AB114" s="40">
        <v>92.83</v>
      </c>
      <c r="AC114" s="40">
        <v>92.7</v>
      </c>
      <c r="AD114" s="40">
        <v>94.320446904714</v>
      </c>
      <c r="AE114" s="40">
        <v>89.12316</v>
      </c>
      <c r="AF114" s="40">
        <v>1.81042</v>
      </c>
      <c r="AG114" s="40">
        <v>104.35</v>
      </c>
      <c r="AH114" s="45">
        <v>44302.0</v>
      </c>
      <c r="AI114" s="44" t="str">
        <f>'6image_RS_benchmark_performance'!B114</f>
        <v>https://3arbzfbsh-cname-us.ngrok.io/Desktop/seabridge%20fintech/image_app/CHRW_resistance_support.jpg</v>
      </c>
      <c r="AJ114" s="44" t="str">
        <f>'6image_RS_benchmark_performance'!C114</f>
        <v>https://3arbzfbsh-cname-us.ngrok.io/Desktop/seabridge%20fintech/profit_graph_app/CHRW_Return.jpg</v>
      </c>
      <c r="AK114" s="46" t="str">
        <f>'5price_action_icon'!B114</f>
        <v>https://3arbzfbsh-cname-us.ngrok.io/Desktop/seabridge%20fintech/icon/CHRW_pa_trend_signal</v>
      </c>
      <c r="AL114" s="42">
        <f>'1kpi_performance'!B114</f>
        <v>0.4341554727</v>
      </c>
      <c r="AM114" s="42">
        <f>'1kpi_performance'!C114</f>
        <v>0.5053553732</v>
      </c>
      <c r="AN114" s="42">
        <f>'1kpi_performance'!D114</f>
        <v>0.3596578701</v>
      </c>
      <c r="AO114" s="42">
        <f>'1kpi_performance'!E114</f>
        <v>0.06377576824</v>
      </c>
      <c r="AP114" s="42">
        <f>'1kpi_performance'!F114</f>
        <v>0.1841340394</v>
      </c>
      <c r="AQ114" s="42">
        <f>'1kpi_performance'!G114</f>
        <v>0.1804603553</v>
      </c>
      <c r="AR114" s="42">
        <f>'1kpi_performance'!H114</f>
        <v>0.1826326203</v>
      </c>
      <c r="AS114" s="42">
        <f>'1kpi_performance'!I114</f>
        <v>0.2865787604</v>
      </c>
      <c r="AT114" s="35">
        <f>'1kpi_performance'!J114</f>
        <v>2.222052338</v>
      </c>
      <c r="AU114" s="35">
        <f>'1kpi_performance'!K114</f>
        <v>2.661833245</v>
      </c>
      <c r="AV114" s="35">
        <f>'1kpi_performance'!L114</f>
        <v>1.832410166</v>
      </c>
      <c r="AW114" s="35">
        <f>'1kpi_performance'!M114</f>
        <v>0.1353057993</v>
      </c>
      <c r="AX114" s="42">
        <f>'1kpi_performance'!N114</f>
        <v>0.1077216313</v>
      </c>
      <c r="AY114" s="42">
        <f>'1kpi_performance'!O114</f>
        <v>0.09780717021</v>
      </c>
      <c r="AZ114" s="42">
        <f>'1kpi_performance'!P114</f>
        <v>0.2387374503</v>
      </c>
      <c r="BA114" s="42">
        <f>'1kpi_performance'!Q114</f>
        <v>0.3999800359</v>
      </c>
      <c r="BB114" s="35">
        <f>'1kpi_performance'!R114</f>
        <v>4.639160205</v>
      </c>
      <c r="BC114" s="35">
        <f>'1kpi_performance'!S114</f>
        <v>5.925227846</v>
      </c>
      <c r="BD114" s="35">
        <f>'1kpi_performance'!T114</f>
        <v>3.555039853</v>
      </c>
      <c r="BE114" s="35">
        <f>'1kpi_performance'!U114</f>
        <v>0.2412386268</v>
      </c>
      <c r="BF114" s="47"/>
      <c r="BG114" s="47"/>
      <c r="BH114" s="47"/>
      <c r="BI114" s="47"/>
      <c r="BJ114" s="47"/>
      <c r="BK114" s="47"/>
      <c r="BL114" s="47"/>
      <c r="BM114" s="47"/>
      <c r="BN114" s="47"/>
      <c r="BO114" s="47"/>
      <c r="BP114" s="47"/>
      <c r="BQ114" s="47"/>
      <c r="BR114" s="47"/>
      <c r="BS114" s="47"/>
      <c r="BT114" s="47"/>
    </row>
    <row r="115" ht="11.25" customHeight="1">
      <c r="A115" s="35" t="str">
        <f>'13all_company_profile'!A115</f>
        <v>CHTR</v>
      </c>
      <c r="B115" s="35" t="str">
        <f>'13all_company_profile'!B115</f>
        <v>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v>
      </c>
      <c r="C115" s="44" t="str">
        <f>'13all_company_profile'!C115</f>
        <v>https://financialmodelingprep.com/image-stock/CHTR.png</v>
      </c>
      <c r="D115" s="35" t="str">
        <f>'13all_company_profile'!D115</f>
        <v>Charter Communications, Inc.</v>
      </c>
      <c r="E115" s="36">
        <f>'13all_company_profile'!E115</f>
        <v>132996325376</v>
      </c>
      <c r="F115" s="37">
        <f>'13all_company_profile'!F115</f>
        <v>857368</v>
      </c>
      <c r="G115" s="35">
        <f>'13all_company_profile'!G115</f>
        <v>0</v>
      </c>
      <c r="H115" s="38">
        <f>'13all_company_profile'!H115</f>
        <v>44407</v>
      </c>
      <c r="I115" s="35">
        <f>'13all_company_profile'!I115</f>
        <v>40.04804</v>
      </c>
      <c r="J115" s="35">
        <f>'13all_company_profile'!J115</f>
        <v>17.693</v>
      </c>
      <c r="K115" s="42" t="str">
        <f t="shared" si="1"/>
        <v>NaN</v>
      </c>
      <c r="L115" s="35">
        <f>'7company_info'!B115</f>
        <v>718.76</v>
      </c>
      <c r="M115" s="35">
        <f>'7company_info'!C115</f>
        <v>726.63</v>
      </c>
      <c r="N115" s="35">
        <f>'7company_info'!D115</f>
        <v>712.4</v>
      </c>
      <c r="O115" s="35">
        <f>'7company_info'!E115</f>
        <v>7.29</v>
      </c>
      <c r="P115" s="35">
        <f>'7company_info'!F115</f>
        <v>0.0102</v>
      </c>
      <c r="Q115" s="35">
        <f>'7company_info'!G115</f>
        <v>715.94</v>
      </c>
      <c r="R115" s="35">
        <f>'7company_info'!H115</f>
        <v>711.47</v>
      </c>
      <c r="S115" s="35">
        <f>'7company_info'!I115</f>
        <v>554.26</v>
      </c>
      <c r="T115" s="35">
        <f>'7company_info'!J115</f>
        <v>749.31</v>
      </c>
      <c r="U115" s="39">
        <v>705.646666666666</v>
      </c>
      <c r="V115" s="39">
        <v>710.633333333333</v>
      </c>
      <c r="W115" s="40">
        <v>719.896666666666</v>
      </c>
      <c r="X115" s="40">
        <v>734.146666666666</v>
      </c>
      <c r="Y115" s="40">
        <v>696.383333333333</v>
      </c>
      <c r="Z115" s="40">
        <v>691.396666666666</v>
      </c>
      <c r="AA115" s="40">
        <v>677.146666666666</v>
      </c>
      <c r="AB115" s="40">
        <v>708.88</v>
      </c>
      <c r="AC115" s="40">
        <v>714.91</v>
      </c>
      <c r="AD115" s="40">
        <v>714.013559294073</v>
      </c>
      <c r="AE115" s="40">
        <v>685.0185</v>
      </c>
      <c r="AF115" s="40">
        <v>13.1314999999999</v>
      </c>
      <c r="AG115" s="40">
        <v>712.41</v>
      </c>
      <c r="AH115" s="45">
        <v>44330.0</v>
      </c>
      <c r="AI115" s="44" t="str">
        <f>'6image_RS_benchmark_performance'!B115</f>
        <v>https://3arbzfbsh-cname-us.ngrok.io/Desktop/seabridge%20fintech/image_app/CHTR_resistance_support.jpg</v>
      </c>
      <c r="AJ115" s="44" t="str">
        <f>'6image_RS_benchmark_performance'!C115</f>
        <v>https://3arbzfbsh-cname-us.ngrok.io/Desktop/seabridge%20fintech/profit_graph_app/CHTR_Return.jpg</v>
      </c>
      <c r="AK115" s="46" t="str">
        <f>'5price_action_icon'!B115</f>
        <v>https://3arbzfbsh-cname-us.ngrok.io/Desktop/seabridge%20fintech/icon/CHTR_pa_trend_signal</v>
      </c>
      <c r="AL115" s="42">
        <f>'1kpi_performance'!B115</f>
        <v>0.7159299818</v>
      </c>
      <c r="AM115" s="42">
        <f>'1kpi_performance'!C115</f>
        <v>0.9646694476</v>
      </c>
      <c r="AN115" s="42">
        <f>'1kpi_performance'!D115</f>
        <v>0.8976749771</v>
      </c>
      <c r="AO115" s="42">
        <f>'1kpi_performance'!E115</f>
        <v>0.4748615934</v>
      </c>
      <c r="AP115" s="42">
        <f>'1kpi_performance'!F115</f>
        <v>0.2196716127</v>
      </c>
      <c r="AQ115" s="42">
        <f>'1kpi_performance'!G115</f>
        <v>0.2457654478</v>
      </c>
      <c r="AR115" s="42">
        <f>'1kpi_performance'!H115</f>
        <v>0.2436694096</v>
      </c>
      <c r="AS115" s="42">
        <f>'1kpi_performance'!I115</f>
        <v>0.3323254703</v>
      </c>
      <c r="AT115" s="35">
        <f>'1kpi_performance'!J115</f>
        <v>3.145285699</v>
      </c>
      <c r="AU115" s="35">
        <f>'1kpi_performance'!K115</f>
        <v>3.823440016</v>
      </c>
      <c r="AV115" s="35">
        <f>'1kpi_performance'!L115</f>
        <v>3.58138914</v>
      </c>
      <c r="AW115" s="35">
        <f>'1kpi_performance'!M115</f>
        <v>1.353677746</v>
      </c>
      <c r="AX115" s="42">
        <f>'1kpi_performance'!N115</f>
        <v>0.1291577061</v>
      </c>
      <c r="AY115" s="42">
        <f>'1kpi_performance'!O115</f>
        <v>0.08059277304</v>
      </c>
      <c r="AZ115" s="42">
        <f>'1kpi_performance'!P115</f>
        <v>0.2890750516</v>
      </c>
      <c r="BA115" s="42">
        <f>'1kpi_performance'!Q115</f>
        <v>0.3514534161</v>
      </c>
      <c r="BB115" s="35">
        <f>'1kpi_performance'!R115</f>
        <v>7.572578353</v>
      </c>
      <c r="BC115" s="35">
        <f>'1kpi_performance'!S115</f>
        <v>9.955395691</v>
      </c>
      <c r="BD115" s="35">
        <f>'1kpi_performance'!T115</f>
        <v>8.315423299</v>
      </c>
      <c r="BE115" s="35">
        <f>'1kpi_performance'!U115</f>
        <v>2.82716146</v>
      </c>
      <c r="BF115" s="47"/>
      <c r="BG115" s="47"/>
      <c r="BH115" s="47"/>
      <c r="BI115" s="47"/>
      <c r="BJ115" s="47"/>
      <c r="BK115" s="47"/>
      <c r="BL115" s="47"/>
      <c r="BM115" s="47"/>
      <c r="BN115" s="47"/>
      <c r="BO115" s="47"/>
      <c r="BP115" s="47"/>
      <c r="BQ115" s="47"/>
      <c r="BR115" s="47"/>
      <c r="BS115" s="47"/>
      <c r="BT115" s="47"/>
    </row>
    <row r="116" ht="11.25" customHeight="1">
      <c r="A116" s="35" t="str">
        <f>'13all_company_profile'!A116</f>
        <v>CHWY</v>
      </c>
      <c r="B116" s="35" t="str">
        <f>'13all_company_profile'!B116</f>
        <v>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v>
      </c>
      <c r="C116" s="44" t="str">
        <f>'13all_company_profile'!C116</f>
        <v>https://financialmodelingprep.com/image-stock/CHWY.png</v>
      </c>
      <c r="D116" s="35" t="str">
        <f>'13all_company_profile'!D116</f>
        <v>Chewy, Inc.</v>
      </c>
      <c r="E116" s="36">
        <f>'13all_company_profile'!E116</f>
        <v>32174045184</v>
      </c>
      <c r="F116" s="37">
        <f>'13all_company_profile'!F116</f>
        <v>3660447</v>
      </c>
      <c r="G116" s="35">
        <f>'13all_company_profile'!G116</f>
        <v>0</v>
      </c>
      <c r="H116" s="38" t="str">
        <f>'13all_company_profile'!H116</f>
        <v>not avaiable</v>
      </c>
      <c r="I116" s="35" t="str">
        <f>'13all_company_profile'!I116</f>
        <v>NaN</v>
      </c>
      <c r="J116" s="35">
        <f>'13all_company_profile'!J116</f>
        <v>-0.014</v>
      </c>
      <c r="K116" s="42" t="str">
        <f t="shared" si="1"/>
        <v>NaN</v>
      </c>
      <c r="L116" s="35">
        <f>'7company_info'!B116</f>
        <v>82.7</v>
      </c>
      <c r="M116" s="35">
        <f>'7company_info'!C116</f>
        <v>83.16</v>
      </c>
      <c r="N116" s="35">
        <f>'7company_info'!D116</f>
        <v>81.03</v>
      </c>
      <c r="O116" s="35">
        <f>'7company_info'!E116</f>
        <v>0.46</v>
      </c>
      <c r="P116" s="35">
        <f>'7company_info'!F116</f>
        <v>0.0056</v>
      </c>
      <c r="Q116" s="35">
        <f>'7company_info'!G116</f>
        <v>82.31</v>
      </c>
      <c r="R116" s="35">
        <f>'7company_info'!H116</f>
        <v>82.24</v>
      </c>
      <c r="S116" s="35">
        <f>'7company_info'!I116</f>
        <v>45.25</v>
      </c>
      <c r="T116" s="35">
        <f>'7company_info'!J116</f>
        <v>120</v>
      </c>
      <c r="U116" s="39">
        <v>80.8333333333333</v>
      </c>
      <c r="V116" s="39">
        <v>82.8266666666666</v>
      </c>
      <c r="W116" s="40">
        <v>86.7433333333333</v>
      </c>
      <c r="X116" s="40">
        <v>92.6533333333333</v>
      </c>
      <c r="Y116" s="40">
        <v>76.9166666666666</v>
      </c>
      <c r="Z116" s="40">
        <v>74.9233333333333</v>
      </c>
      <c r="AA116" s="40">
        <v>69.0133333333333</v>
      </c>
      <c r="AB116" s="40">
        <v>82.11</v>
      </c>
      <c r="AC116" s="40">
        <v>85.3285</v>
      </c>
      <c r="AD116" s="40">
        <v>80.7483431664956</v>
      </c>
      <c r="AE116" s="40">
        <v>78.19825</v>
      </c>
      <c r="AF116" s="40">
        <v>3.181125</v>
      </c>
      <c r="AG116" s="40">
        <v>120.0</v>
      </c>
      <c r="AH116" s="45">
        <v>44243.0</v>
      </c>
      <c r="AI116" s="44" t="str">
        <f>'6image_RS_benchmark_performance'!B116</f>
        <v>https://3arbzfbsh-cname-us.ngrok.io/Desktop/seabridge%20fintech/image_app/CHWY_resistance_support.jpg</v>
      </c>
      <c r="AJ116" s="44" t="str">
        <f>'6image_RS_benchmark_performance'!C116</f>
        <v>https://3arbzfbsh-cname-us.ngrok.io/Desktop/seabridge%20fintech/profit_graph_app/CHWY_Return.jpg</v>
      </c>
      <c r="AK116" s="46" t="str">
        <f>'5price_action_icon'!B116</f>
        <v>https://3arbzfbsh-cname-us.ngrok.io/Desktop/seabridge%20fintech/icon/CHWY_pa_trend_signal</v>
      </c>
      <c r="AL116" s="42">
        <f>'1kpi_performance'!B116</f>
        <v>2.240870436</v>
      </c>
      <c r="AM116" s="42">
        <f>'1kpi_performance'!C116</f>
        <v>2.198218184</v>
      </c>
      <c r="AN116" s="42">
        <f>'1kpi_performance'!D116</f>
        <v>2.340851481</v>
      </c>
      <c r="AO116" s="42">
        <f>'1kpi_performance'!E116</f>
        <v>0.7484302576</v>
      </c>
      <c r="AP116" s="42">
        <f>'1kpi_performance'!F116</f>
        <v>0.5567937206</v>
      </c>
      <c r="AQ116" s="42">
        <f>'1kpi_performance'!G116</f>
        <v>0.5615575863</v>
      </c>
      <c r="AR116" s="42">
        <f>'1kpi_performance'!H116</f>
        <v>0.4750631761</v>
      </c>
      <c r="AS116" s="42">
        <f>'1kpi_performance'!I116</f>
        <v>0.7399974123</v>
      </c>
      <c r="AT116" s="35">
        <f>'1kpi_performance'!J116</f>
        <v>3.979697245</v>
      </c>
      <c r="AU116" s="35">
        <f>'1kpi_performance'!K116</f>
        <v>3.869982771</v>
      </c>
      <c r="AV116" s="35">
        <f>'1kpi_performance'!L116</f>
        <v>4.874828438</v>
      </c>
      <c r="AW116" s="35">
        <f>'1kpi_performance'!M116</f>
        <v>0.9776118748</v>
      </c>
      <c r="AX116" s="42">
        <f>'1kpi_performance'!N116</f>
        <v>0.2391358523</v>
      </c>
      <c r="AY116" s="42">
        <f>'1kpi_performance'!O116</f>
        <v>0.2074411135</v>
      </c>
      <c r="AZ116" s="42">
        <f>'1kpi_performance'!P116</f>
        <v>0.2151366165</v>
      </c>
      <c r="BA116" s="42">
        <f>'1kpi_performance'!Q116</f>
        <v>0.4466256635</v>
      </c>
      <c r="BB116" s="35">
        <f>'1kpi_performance'!R116</f>
        <v>9.027479108</v>
      </c>
      <c r="BC116" s="35">
        <f>'1kpi_performance'!S116</f>
        <v>9.238069569</v>
      </c>
      <c r="BD116" s="35">
        <f>'1kpi_performance'!T116</f>
        <v>11.92551023</v>
      </c>
      <c r="BE116" s="35">
        <f>'1kpi_performance'!U116</f>
        <v>2.174202373</v>
      </c>
      <c r="BF116" s="47"/>
      <c r="BG116" s="47"/>
      <c r="BH116" s="47"/>
      <c r="BI116" s="47"/>
      <c r="BJ116" s="47"/>
      <c r="BK116" s="47"/>
      <c r="BL116" s="47"/>
      <c r="BM116" s="47"/>
      <c r="BN116" s="47"/>
      <c r="BO116" s="47"/>
      <c r="BP116" s="47"/>
      <c r="BQ116" s="47"/>
      <c r="BR116" s="47"/>
      <c r="BS116" s="47"/>
      <c r="BT116" s="47"/>
    </row>
    <row r="117" ht="11.25" customHeight="1">
      <c r="A117" s="35" t="str">
        <f>'13all_company_profile'!A117</f>
        <v>CI</v>
      </c>
      <c r="B117" s="35" t="str">
        <f>'13all_company_profile'!B117</f>
        <v>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v>
      </c>
      <c r="C117" s="44" t="str">
        <f>'13all_company_profile'!C117</f>
        <v>https://financialmodelingprep.com/image-stock/CI.png</v>
      </c>
      <c r="D117" s="35" t="str">
        <f>'13all_company_profile'!D117</f>
        <v>Cigna Corporation</v>
      </c>
      <c r="E117" s="36">
        <f>'13all_company_profile'!E117</f>
        <v>80572661760</v>
      </c>
      <c r="F117" s="37">
        <f>'13all_company_profile'!F117</f>
        <v>1681526</v>
      </c>
      <c r="G117" s="35">
        <f>'13all_company_profile'!G117</f>
        <v>2</v>
      </c>
      <c r="H117" s="38">
        <f>'13all_company_profile'!H117</f>
        <v>44413</v>
      </c>
      <c r="I117" s="35">
        <f>'13all_company_profile'!I117</f>
        <v>10.055014</v>
      </c>
      <c r="J117" s="35">
        <f>'13all_company_profile'!J117</f>
        <v>23.267</v>
      </c>
      <c r="K117" s="42">
        <f t="shared" si="1"/>
        <v>0.008619946556</v>
      </c>
      <c r="L117" s="35">
        <f>'7company_info'!B117</f>
        <v>232.02</v>
      </c>
      <c r="M117" s="35">
        <f>'7company_info'!C117</f>
        <v>233.2</v>
      </c>
      <c r="N117" s="35">
        <f>'7company_info'!D117</f>
        <v>228.23</v>
      </c>
      <c r="O117" s="35">
        <f>'7company_info'!E117</f>
        <v>4.39</v>
      </c>
      <c r="P117" s="35">
        <f>'7company_info'!F117</f>
        <v>0.0193</v>
      </c>
      <c r="Q117" s="35">
        <f>'7company_info'!G117</f>
        <v>228.79</v>
      </c>
      <c r="R117" s="35">
        <f>'7company_info'!H117</f>
        <v>227.63</v>
      </c>
      <c r="S117" s="35">
        <f>'7company_info'!I117</f>
        <v>158.84</v>
      </c>
      <c r="T117" s="35">
        <f>'7company_info'!J117</f>
        <v>272.81</v>
      </c>
      <c r="U117" s="39">
        <v>235.645</v>
      </c>
      <c r="V117" s="39">
        <v>237.19</v>
      </c>
      <c r="W117" s="40">
        <v>238.36</v>
      </c>
      <c r="X117" s="40">
        <v>241.075</v>
      </c>
      <c r="Y117" s="40">
        <v>234.475</v>
      </c>
      <c r="Z117" s="40">
        <v>232.93</v>
      </c>
      <c r="AA117" s="40">
        <v>230.215</v>
      </c>
      <c r="AB117" s="40">
        <v>234.63</v>
      </c>
      <c r="AC117" s="40">
        <v>238.785</v>
      </c>
      <c r="AD117" s="40">
        <v>237.859518849113</v>
      </c>
      <c r="AE117" s="40">
        <v>227.89795</v>
      </c>
      <c r="AF117" s="40">
        <v>3.749275</v>
      </c>
      <c r="AG117" s="40">
        <v>272.81</v>
      </c>
      <c r="AH117" s="45">
        <v>44326.0</v>
      </c>
      <c r="AI117" s="44" t="str">
        <f>'6image_RS_benchmark_performance'!B117</f>
        <v>https://3arbzfbsh-cname-us.ngrok.io/Desktop/seabridge%20fintech/image_app/CI_resistance_support.jpg</v>
      </c>
      <c r="AJ117" s="44" t="str">
        <f>'6image_RS_benchmark_performance'!C117</f>
        <v>https://3arbzfbsh-cname-us.ngrok.io/Desktop/seabridge%20fintech/profit_graph_app/CI_Return.jpg</v>
      </c>
      <c r="AK117" s="46" t="str">
        <f>'5price_action_icon'!B117</f>
        <v>https://3arbzfbsh-cname-us.ngrok.io/Desktop/seabridge%20fintech/icon/CI_pa_trend_signal</v>
      </c>
      <c r="AL117" s="42">
        <f>'1kpi_performance'!B117</f>
        <v>0.4975478913</v>
      </c>
      <c r="AM117" s="42">
        <f>'1kpi_performance'!C117</f>
        <v>0.703028449</v>
      </c>
      <c r="AN117" s="42">
        <f>'1kpi_performance'!D117</f>
        <v>0.6019240389</v>
      </c>
      <c r="AO117" s="42">
        <f>'1kpi_performance'!E117</f>
        <v>0.2595253928</v>
      </c>
      <c r="AP117" s="42">
        <f>'1kpi_performance'!F117</f>
        <v>0.2256999076</v>
      </c>
      <c r="AQ117" s="42">
        <f>'1kpi_performance'!G117</f>
        <v>0.2365644569</v>
      </c>
      <c r="AR117" s="42">
        <f>'1kpi_performance'!H117</f>
        <v>0.2410004285</v>
      </c>
      <c r="AS117" s="42">
        <f>'1kpi_performance'!I117</f>
        <v>0.3482029654</v>
      </c>
      <c r="AT117" s="35">
        <f>'1kpi_performance'!J117</f>
        <v>2.093699977</v>
      </c>
      <c r="AU117" s="35">
        <f>'1kpi_performance'!K117</f>
        <v>2.866146749</v>
      </c>
      <c r="AV117" s="35">
        <f>'1kpi_performance'!L117</f>
        <v>2.393871424</v>
      </c>
      <c r="AW117" s="35">
        <f>'1kpi_performance'!M117</f>
        <v>0.6735307166</v>
      </c>
      <c r="AX117" s="42">
        <f>'1kpi_performance'!N117</f>
        <v>0.1975225312</v>
      </c>
      <c r="AY117" s="42">
        <f>'1kpi_performance'!O117</f>
        <v>0.1219295453</v>
      </c>
      <c r="AZ117" s="42">
        <f>'1kpi_performance'!P117</f>
        <v>0.3793070535</v>
      </c>
      <c r="BA117" s="42">
        <f>'1kpi_performance'!Q117</f>
        <v>0.4250729378</v>
      </c>
      <c r="BB117" s="35">
        <f>'1kpi_performance'!R117</f>
        <v>4.503959847</v>
      </c>
      <c r="BC117" s="35">
        <f>'1kpi_performance'!S117</f>
        <v>6.818192804</v>
      </c>
      <c r="BD117" s="35">
        <f>'1kpi_performance'!T117</f>
        <v>4.830062074</v>
      </c>
      <c r="BE117" s="35">
        <f>'1kpi_performance'!U117</f>
        <v>1.319599683</v>
      </c>
      <c r="BF117" s="47"/>
      <c r="BG117" s="47"/>
      <c r="BH117" s="47"/>
      <c r="BI117" s="47"/>
      <c r="BJ117" s="47"/>
      <c r="BK117" s="47"/>
      <c r="BL117" s="47"/>
      <c r="BM117" s="47"/>
      <c r="BN117" s="47"/>
      <c r="BO117" s="47"/>
      <c r="BP117" s="47"/>
      <c r="BQ117" s="47"/>
      <c r="BR117" s="47"/>
      <c r="BS117" s="47"/>
      <c r="BT117" s="47"/>
    </row>
    <row r="118" ht="11.25" customHeight="1">
      <c r="A118" s="35" t="str">
        <f>'13all_company_profile'!A118</f>
        <v>CINF</v>
      </c>
      <c r="B118" s="35" t="str">
        <f>'13all_company_profile'!B118</f>
        <v>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v>
      </c>
      <c r="C118" s="44" t="str">
        <f>'13all_company_profile'!C118</f>
        <v>https://financialmodelingprep.com/image-stock/CINF.png</v>
      </c>
      <c r="D118" s="35" t="str">
        <f>'13all_company_profile'!D118</f>
        <v>Cincinnati Financial Corporation</v>
      </c>
      <c r="E118" s="36">
        <f>'13all_company_profile'!E118</f>
        <v>19088381952</v>
      </c>
      <c r="F118" s="37">
        <f>'13all_company_profile'!F118</f>
        <v>609253</v>
      </c>
      <c r="G118" s="35">
        <f>'13all_company_profile'!G118</f>
        <v>2.46</v>
      </c>
      <c r="H118" s="38">
        <f>'13all_company_profile'!H118</f>
        <v>44403</v>
      </c>
      <c r="I118" s="35">
        <f>'13all_company_profile'!I118</f>
        <v>6.2798347</v>
      </c>
      <c r="J118" s="35">
        <f>'13all_company_profile'!J118</f>
        <v>18.854</v>
      </c>
      <c r="K118" s="42">
        <f t="shared" si="1"/>
        <v>0.02099513527</v>
      </c>
      <c r="L118" s="35">
        <f>'7company_info'!B118</f>
        <v>117.17</v>
      </c>
      <c r="M118" s="35">
        <f>'7company_info'!C118</f>
        <v>118.13</v>
      </c>
      <c r="N118" s="35">
        <f>'7company_info'!D118</f>
        <v>114.52</v>
      </c>
      <c r="O118" s="35">
        <f>'7company_info'!E118</f>
        <v>3.04</v>
      </c>
      <c r="P118" s="35">
        <f>'7company_info'!F118</f>
        <v>0.0266</v>
      </c>
      <c r="Q118" s="35">
        <f>'7company_info'!G118</f>
        <v>114.52</v>
      </c>
      <c r="R118" s="35">
        <f>'7company_info'!H118</f>
        <v>114.13</v>
      </c>
      <c r="S118" s="35">
        <f>'7company_info'!I118</f>
        <v>69.92</v>
      </c>
      <c r="T118" s="35">
        <f>'7company_info'!J118</f>
        <v>124.37</v>
      </c>
      <c r="U118" s="39">
        <v>118.45</v>
      </c>
      <c r="V118" s="39">
        <v>119.71</v>
      </c>
      <c r="W118" s="40">
        <v>121.42</v>
      </c>
      <c r="X118" s="40">
        <v>124.39</v>
      </c>
      <c r="Y118" s="40">
        <v>116.74</v>
      </c>
      <c r="Z118" s="40">
        <v>115.48</v>
      </c>
      <c r="AA118" s="40">
        <v>112.51</v>
      </c>
      <c r="AB118" s="40">
        <v>118.87</v>
      </c>
      <c r="AC118" s="40">
        <v>118.28</v>
      </c>
      <c r="AD118" s="40">
        <v>118.012276515136</v>
      </c>
      <c r="AE118" s="40">
        <v>113.54643</v>
      </c>
      <c r="AF118" s="40">
        <v>2.611285</v>
      </c>
      <c r="AG118" s="40">
        <v>124.37</v>
      </c>
      <c r="AH118" s="45">
        <v>44354.0</v>
      </c>
      <c r="AI118" s="44" t="str">
        <f>'6image_RS_benchmark_performance'!B118</f>
        <v>https://3arbzfbsh-cname-us.ngrok.io/Desktop/seabridge%20fintech/image_app/CINF_resistance_support.jpg</v>
      </c>
      <c r="AJ118" s="44" t="str">
        <f>'6image_RS_benchmark_performance'!C118</f>
        <v>https://3arbzfbsh-cname-us.ngrok.io/Desktop/seabridge%20fintech/profit_graph_app/CINF_Return.jpg</v>
      </c>
      <c r="AK118" s="46" t="str">
        <f>'5price_action_icon'!B118</f>
        <v>https://3arbzfbsh-cname-us.ngrok.io/Desktop/seabridge%20fintech/icon/CINF_pa_trend_signal</v>
      </c>
      <c r="AL118" s="42">
        <f>'1kpi_performance'!B118</f>
        <v>0.5014014313</v>
      </c>
      <c r="AM118" s="42">
        <f>'1kpi_performance'!C118</f>
        <v>0.6298761698</v>
      </c>
      <c r="AN118" s="42">
        <f>'1kpi_performance'!D118</f>
        <v>0.3908795222</v>
      </c>
      <c r="AO118" s="42">
        <f>'1kpi_performance'!E118</f>
        <v>0.2047820178</v>
      </c>
      <c r="AP118" s="42">
        <f>'1kpi_performance'!F118</f>
        <v>0.197670862</v>
      </c>
      <c r="AQ118" s="42">
        <f>'1kpi_performance'!G118</f>
        <v>0.1934060083</v>
      </c>
      <c r="AR118" s="42">
        <f>'1kpi_performance'!H118</f>
        <v>0.2056852244</v>
      </c>
      <c r="AS118" s="42">
        <f>'1kpi_performance'!I118</f>
        <v>0.3034374256</v>
      </c>
      <c r="AT118" s="35">
        <f>'1kpi_performance'!J118</f>
        <v>2.410074133</v>
      </c>
      <c r="AU118" s="35">
        <f>'1kpi_performance'!K118</f>
        <v>3.127494204</v>
      </c>
      <c r="AV118" s="35">
        <f>'1kpi_performance'!L118</f>
        <v>1.778832307</v>
      </c>
      <c r="AW118" s="35">
        <f>'1kpi_performance'!M118</f>
        <v>0.5924846531</v>
      </c>
      <c r="AX118" s="42">
        <f>'1kpi_performance'!N118</f>
        <v>0.1787764245</v>
      </c>
      <c r="AY118" s="42">
        <f>'1kpi_performance'!O118</f>
        <v>0.1078123912</v>
      </c>
      <c r="AZ118" s="42">
        <f>'1kpi_performance'!P118</f>
        <v>0.4146782373</v>
      </c>
      <c r="BA118" s="42">
        <f>'1kpi_performance'!Q118</f>
        <v>0.5865769526</v>
      </c>
      <c r="BB118" s="35">
        <f>'1kpi_performance'!R118</f>
        <v>4.884933622</v>
      </c>
      <c r="BC118" s="35">
        <f>'1kpi_performance'!S118</f>
        <v>7.411351892</v>
      </c>
      <c r="BD118" s="35">
        <f>'1kpi_performance'!T118</f>
        <v>3.465616452</v>
      </c>
      <c r="BE118" s="35">
        <f>'1kpi_performance'!U118</f>
        <v>1.134199745</v>
      </c>
      <c r="BF118" s="47"/>
      <c r="BG118" s="47"/>
      <c r="BH118" s="47"/>
      <c r="BI118" s="47"/>
      <c r="BJ118" s="47"/>
      <c r="BK118" s="47"/>
      <c r="BL118" s="47"/>
      <c r="BM118" s="47"/>
      <c r="BN118" s="47"/>
      <c r="BO118" s="47"/>
      <c r="BP118" s="47"/>
      <c r="BQ118" s="47"/>
      <c r="BR118" s="47"/>
      <c r="BS118" s="47"/>
      <c r="BT118" s="47"/>
    </row>
    <row r="119" ht="11.25" customHeight="1">
      <c r="A119" s="35" t="str">
        <f>'13all_company_profile'!A119</f>
        <v>CL</v>
      </c>
      <c r="B119" s="35" t="str">
        <f>'13all_company_profile'!B119</f>
        <v>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v>
      </c>
      <c r="C119" s="44" t="str">
        <f>'13all_company_profile'!C119</f>
        <v>https://financialmodelingprep.com/image-stock/CL.png</v>
      </c>
      <c r="D119" s="35" t="str">
        <f>'13all_company_profile'!D119</f>
        <v>Colgate-Palmolive Company</v>
      </c>
      <c r="E119" s="36">
        <f>'13all_company_profile'!E119</f>
        <v>70739935232</v>
      </c>
      <c r="F119" s="37">
        <f>'13all_company_profile'!F119</f>
        <v>3981179</v>
      </c>
      <c r="G119" s="35">
        <f>'13all_company_profile'!G119</f>
        <v>2.22</v>
      </c>
      <c r="H119" s="38">
        <f>'13all_company_profile'!H119</f>
        <v>44407</v>
      </c>
      <c r="I119" s="35">
        <f>'13all_company_profile'!I119</f>
        <v>27.130226</v>
      </c>
      <c r="J119" s="35">
        <f>'13all_company_profile'!J119</f>
        <v>3.11</v>
      </c>
      <c r="K119" s="42">
        <f t="shared" si="1"/>
        <v>0.02684726085</v>
      </c>
      <c r="L119" s="35">
        <f>'7company_info'!B119</f>
        <v>82.69</v>
      </c>
      <c r="M119" s="35">
        <f>'7company_info'!C119</f>
        <v>84.78</v>
      </c>
      <c r="N119" s="35">
        <f>'7company_info'!D119</f>
        <v>82.67</v>
      </c>
      <c r="O119" s="35">
        <f>'7company_info'!E119</f>
        <v>-0.83</v>
      </c>
      <c r="P119" s="35">
        <f>'7company_info'!F119</f>
        <v>-0.0099</v>
      </c>
      <c r="Q119" s="35">
        <f>'7company_info'!G119</f>
        <v>83.82</v>
      </c>
      <c r="R119" s="35">
        <f>'7company_info'!H119</f>
        <v>83.52</v>
      </c>
      <c r="S119" s="35">
        <f>'7company_info'!I119</f>
        <v>72.61</v>
      </c>
      <c r="T119" s="35">
        <f>'7company_info'!J119</f>
        <v>86.41</v>
      </c>
      <c r="U119" s="39">
        <v>82.9633333333333</v>
      </c>
      <c r="V119" s="39">
        <v>83.6466666666666</v>
      </c>
      <c r="W119" s="40">
        <v>84.0633333333333</v>
      </c>
      <c r="X119" s="40">
        <v>85.1633333333333</v>
      </c>
      <c r="Y119" s="40">
        <v>82.5466666666666</v>
      </c>
      <c r="Z119" s="40">
        <v>81.8633333333333</v>
      </c>
      <c r="AA119" s="40">
        <v>80.7633333333333</v>
      </c>
      <c r="AB119" s="40">
        <v>83.11</v>
      </c>
      <c r="AC119" s="40">
        <v>83.38</v>
      </c>
      <c r="AD119" s="40">
        <v>82.2820112603456</v>
      </c>
      <c r="AE119" s="40">
        <v>80.8069599999999</v>
      </c>
      <c r="AF119" s="40">
        <v>0.935520000000002</v>
      </c>
      <c r="AG119" s="40">
        <v>85.01</v>
      </c>
      <c r="AH119" s="45">
        <v>44348.0</v>
      </c>
      <c r="AI119" s="44" t="str">
        <f>'6image_RS_benchmark_performance'!B119</f>
        <v>https://3arbzfbsh-cname-us.ngrok.io/Desktop/seabridge%20fintech/image_app/CL_resistance_support.jpg</v>
      </c>
      <c r="AJ119" s="44" t="str">
        <f>'6image_RS_benchmark_performance'!C119</f>
        <v>https://3arbzfbsh-cname-us.ngrok.io/Desktop/seabridge%20fintech/profit_graph_app/CL_Return.jpg</v>
      </c>
      <c r="AK119" s="46" t="str">
        <f>'5price_action_icon'!B119</f>
        <v>https://3arbzfbsh-cname-us.ngrok.io/Desktop/seabridge%20fintech/icon/CL_pa_trend_signal</v>
      </c>
      <c r="AL119" s="42">
        <f>'1kpi_performance'!B119</f>
        <v>0.271308009</v>
      </c>
      <c r="AM119" s="42">
        <f>'1kpi_performance'!C119</f>
        <v>0.3998536552</v>
      </c>
      <c r="AN119" s="42">
        <f>'1kpi_performance'!D119</f>
        <v>0.3093901765</v>
      </c>
      <c r="AO119" s="42">
        <f>'1kpi_performance'!E119</f>
        <v>0.0972014529</v>
      </c>
      <c r="AP119" s="42">
        <f>'1kpi_performance'!F119</f>
        <v>0.1373161417</v>
      </c>
      <c r="AQ119" s="42">
        <f>'1kpi_performance'!G119</f>
        <v>0.1476704658</v>
      </c>
      <c r="AR119" s="42">
        <f>'1kpi_performance'!H119</f>
        <v>0.1620354886</v>
      </c>
      <c r="AS119" s="42">
        <f>'1kpi_performance'!I119</f>
        <v>0.2168435475</v>
      </c>
      <c r="AT119" s="35">
        <f>'1kpi_performance'!J119</f>
        <v>1.793729462</v>
      </c>
      <c r="AU119" s="35">
        <f>'1kpi_performance'!K119</f>
        <v>2.538447029</v>
      </c>
      <c r="AV119" s="35">
        <f>'1kpi_performance'!L119</f>
        <v>1.755110432</v>
      </c>
      <c r="AW119" s="35">
        <f>'1kpi_performance'!M119</f>
        <v>0.3329656508</v>
      </c>
      <c r="AX119" s="42">
        <f>'1kpi_performance'!N119</f>
        <v>0.1034844424</v>
      </c>
      <c r="AY119" s="42">
        <f>'1kpi_performance'!O119</f>
        <v>0.08072522474</v>
      </c>
      <c r="AZ119" s="42">
        <f>'1kpi_performance'!P119</f>
        <v>0.2053867587</v>
      </c>
      <c r="BA119" s="42">
        <f>'1kpi_performance'!Q119</f>
        <v>0.2531612903</v>
      </c>
      <c r="BB119" s="35">
        <f>'1kpi_performance'!R119</f>
        <v>3.753100123</v>
      </c>
      <c r="BC119" s="35">
        <f>'1kpi_performance'!S119</f>
        <v>5.868411838</v>
      </c>
      <c r="BD119" s="35">
        <f>'1kpi_performance'!T119</f>
        <v>3.524974097</v>
      </c>
      <c r="BE119" s="35">
        <f>'1kpi_performance'!U119</f>
        <v>0.6518179585</v>
      </c>
      <c r="BF119" s="47"/>
      <c r="BG119" s="47"/>
      <c r="BH119" s="47"/>
      <c r="BI119" s="47"/>
      <c r="BJ119" s="47"/>
      <c r="BK119" s="47"/>
      <c r="BL119" s="47"/>
      <c r="BM119" s="47"/>
      <c r="BN119" s="47"/>
      <c r="BO119" s="47"/>
      <c r="BP119" s="47"/>
      <c r="BQ119" s="47"/>
      <c r="BR119" s="47"/>
      <c r="BS119" s="47"/>
      <c r="BT119" s="47"/>
    </row>
    <row r="120" ht="11.25" customHeight="1">
      <c r="A120" s="35" t="str">
        <f>'13all_company_profile'!A120</f>
        <v>CLX</v>
      </c>
      <c r="B120" s="35" t="str">
        <f>'13all_company_profile'!B120</f>
        <v>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v>
      </c>
      <c r="C120" s="44" t="str">
        <f>'13all_company_profile'!C120</f>
        <v>https://financialmodelingprep.com/image-stock/CLX.png</v>
      </c>
      <c r="D120" s="35" t="str">
        <f>'13all_company_profile'!D120</f>
        <v>The Clorox Company</v>
      </c>
      <c r="E120" s="36">
        <f>'13all_company_profile'!E120</f>
        <v>22564810752</v>
      </c>
      <c r="F120" s="37">
        <f>'13all_company_profile'!F120</f>
        <v>1354901</v>
      </c>
      <c r="G120" s="35">
        <f>'13all_company_profile'!G120</f>
        <v>5.6</v>
      </c>
      <c r="H120" s="38">
        <f>'13all_company_profile'!H120</f>
        <v>44411</v>
      </c>
      <c r="I120" s="35">
        <f>'13all_company_profile'!I120</f>
        <v>25.939976</v>
      </c>
      <c r="J120" s="35">
        <f>'13all_company_profile'!J120</f>
        <v>7.197</v>
      </c>
      <c r="K120" s="42">
        <f t="shared" si="1"/>
        <v>0.03070343769</v>
      </c>
      <c r="L120" s="35">
        <f>'7company_info'!B120</f>
        <v>182.39</v>
      </c>
      <c r="M120" s="35">
        <f>'7company_info'!C120</f>
        <v>189.81</v>
      </c>
      <c r="N120" s="35">
        <f>'7company_info'!D120</f>
        <v>182.28</v>
      </c>
      <c r="O120" s="35">
        <f>'7company_info'!E120</f>
        <v>-5.35</v>
      </c>
      <c r="P120" s="35">
        <f>'7company_info'!F120</f>
        <v>-0.0285</v>
      </c>
      <c r="Q120" s="35">
        <f>'7company_info'!G120</f>
        <v>187.55</v>
      </c>
      <c r="R120" s="35">
        <f>'7company_info'!H120</f>
        <v>187.74</v>
      </c>
      <c r="S120" s="35">
        <f>'7company_info'!I120</f>
        <v>170.5</v>
      </c>
      <c r="T120" s="35">
        <f>'7company_info'!J120</f>
        <v>239.87</v>
      </c>
      <c r="U120" s="39">
        <v>180.015</v>
      </c>
      <c r="V120" s="39">
        <v>181.98</v>
      </c>
      <c r="W120" s="40">
        <v>183.36</v>
      </c>
      <c r="X120" s="40">
        <v>186.705</v>
      </c>
      <c r="Y120" s="40">
        <v>178.635</v>
      </c>
      <c r="Z120" s="40">
        <v>176.67</v>
      </c>
      <c r="AA120" s="40">
        <v>173.325</v>
      </c>
      <c r="AB120" s="40">
        <v>178.54</v>
      </c>
      <c r="AC120" s="40">
        <v>176.81</v>
      </c>
      <c r="AD120" s="40">
        <v>179.061196608709</v>
      </c>
      <c r="AE120" s="40">
        <v>173.2815</v>
      </c>
      <c r="AF120" s="40">
        <v>2.92349999999999</v>
      </c>
      <c r="AG120" s="40">
        <v>231.1099</v>
      </c>
      <c r="AH120" s="45">
        <v>44223.0</v>
      </c>
      <c r="AI120" s="44" t="str">
        <f>'6image_RS_benchmark_performance'!B120</f>
        <v>https://3arbzfbsh-cname-us.ngrok.io/Desktop/seabridge%20fintech/image_app/CLX_resistance_support.jpg</v>
      </c>
      <c r="AJ120" s="44" t="str">
        <f>'6image_RS_benchmark_performance'!C120</f>
        <v>https://3arbzfbsh-cname-us.ngrok.io/Desktop/seabridge%20fintech/profit_graph_app/CLX_Return.jpg</v>
      </c>
      <c r="AK120" s="46" t="str">
        <f>'5price_action_icon'!B120</f>
        <v>https://3arbzfbsh-cname-us.ngrok.io/Desktop/seabridge%20fintech/icon/CLX_pa_trend_signal</v>
      </c>
      <c r="AL120" s="42">
        <f>'1kpi_performance'!B120</f>
        <v>0.3479290133</v>
      </c>
      <c r="AM120" s="42">
        <f>'1kpi_performance'!C120</f>
        <v>0.3826582951</v>
      </c>
      <c r="AN120" s="42">
        <f>'1kpi_performance'!D120</f>
        <v>0.2944873186</v>
      </c>
      <c r="AO120" s="42">
        <f>'1kpi_performance'!E120</f>
        <v>0.1448271665</v>
      </c>
      <c r="AP120" s="42">
        <f>'1kpi_performance'!F120</f>
        <v>0.1482741078</v>
      </c>
      <c r="AQ120" s="42">
        <f>'1kpi_performance'!G120</f>
        <v>0.1674881025</v>
      </c>
      <c r="AR120" s="42">
        <f>'1kpi_performance'!H120</f>
        <v>0.1437996013</v>
      </c>
      <c r="AS120" s="42">
        <f>'1kpi_performance'!I120</f>
        <v>0.231753942</v>
      </c>
      <c r="AT120" s="35">
        <f>'1kpi_performance'!J120</f>
        <v>2.177919113</v>
      </c>
      <c r="AU120" s="35">
        <f>'1kpi_performance'!K120</f>
        <v>2.135425083</v>
      </c>
      <c r="AV120" s="35">
        <f>'1kpi_performance'!L120</f>
        <v>1.874047745</v>
      </c>
      <c r="AW120" s="35">
        <f>'1kpi_performance'!M120</f>
        <v>0.5170447825</v>
      </c>
      <c r="AX120" s="42">
        <f>'1kpi_performance'!N120</f>
        <v>0.08609396364</v>
      </c>
      <c r="AY120" s="42">
        <f>'1kpi_performance'!O120</f>
        <v>0.1109409386</v>
      </c>
      <c r="AZ120" s="42">
        <f>'1kpi_performance'!P120</f>
        <v>0.1357695203</v>
      </c>
      <c r="BA120" s="42">
        <f>'1kpi_performance'!Q120</f>
        <v>0.2745856818</v>
      </c>
      <c r="BB120" s="35">
        <f>'1kpi_performance'!R120</f>
        <v>4.562343263</v>
      </c>
      <c r="BC120" s="35">
        <f>'1kpi_performance'!S120</f>
        <v>4.720486892</v>
      </c>
      <c r="BD120" s="35">
        <f>'1kpi_performance'!T120</f>
        <v>3.664917322</v>
      </c>
      <c r="BE120" s="35">
        <f>'1kpi_performance'!U120</f>
        <v>0.9921952382</v>
      </c>
      <c r="BF120" s="47"/>
      <c r="BG120" s="47"/>
      <c r="BH120" s="47"/>
      <c r="BI120" s="47"/>
      <c r="BJ120" s="47"/>
      <c r="BK120" s="47"/>
      <c r="BL120" s="47"/>
      <c r="BM120" s="47"/>
      <c r="BN120" s="47"/>
      <c r="BO120" s="47"/>
      <c r="BP120" s="47"/>
      <c r="BQ120" s="47"/>
      <c r="BR120" s="47"/>
      <c r="BS120" s="47"/>
      <c r="BT120" s="47"/>
    </row>
    <row r="121" ht="11.25" customHeight="1">
      <c r="A121" s="35" t="str">
        <f>'13all_company_profile'!A121</f>
        <v>CMA</v>
      </c>
      <c r="B121" s="35" t="str">
        <f>'13all_company_profile'!B121</f>
        <v>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v>
      </c>
      <c r="C121" s="44" t="str">
        <f>'13all_company_profile'!C121</f>
        <v>https://financialmodelingprep.com/image-stock/CMA.png</v>
      </c>
      <c r="D121" s="35" t="str">
        <f>'13all_company_profile'!D121</f>
        <v>Comerica Incorporated</v>
      </c>
      <c r="E121" s="36">
        <f>'13all_company_profile'!E121</f>
        <v>9624920064</v>
      </c>
      <c r="F121" s="37">
        <f>'13all_company_profile'!F121</f>
        <v>1481690</v>
      </c>
      <c r="G121" s="35">
        <f>'13all_company_profile'!G121</f>
        <v>2.72</v>
      </c>
      <c r="H121" s="38">
        <f>'13all_company_profile'!H121</f>
        <v>44398</v>
      </c>
      <c r="I121" s="35">
        <f>'13all_company_profile'!I121</f>
        <v>10.845277</v>
      </c>
      <c r="J121" s="35">
        <f>'13all_company_profile'!J121</f>
        <v>6.14</v>
      </c>
      <c r="K121" s="42">
        <f t="shared" si="1"/>
        <v>0.04142552543</v>
      </c>
      <c r="L121" s="35">
        <f>'7company_info'!B121</f>
        <v>65.66</v>
      </c>
      <c r="M121" s="35">
        <f>'7company_info'!C121</f>
        <v>66.9</v>
      </c>
      <c r="N121" s="35">
        <f>'7company_info'!D121</f>
        <v>63.22</v>
      </c>
      <c r="O121" s="35">
        <f>'7company_info'!E121</f>
        <v>2.13</v>
      </c>
      <c r="P121" s="35">
        <f>'7company_info'!F121</f>
        <v>0.0335</v>
      </c>
      <c r="Q121" s="35">
        <f>'7company_info'!G121</f>
        <v>63.22</v>
      </c>
      <c r="R121" s="35">
        <f>'7company_info'!H121</f>
        <v>63.53</v>
      </c>
      <c r="S121" s="35">
        <f>'7company_info'!I121</f>
        <v>34.46</v>
      </c>
      <c r="T121" s="35">
        <f>'7company_info'!J121</f>
        <v>79.86</v>
      </c>
      <c r="U121" s="39">
        <v>68.5355333333333</v>
      </c>
      <c r="V121" s="39">
        <v>70.1710666666666</v>
      </c>
      <c r="W121" s="40">
        <v>71.7621333333333</v>
      </c>
      <c r="X121" s="40">
        <v>74.9887333333333</v>
      </c>
      <c r="Y121" s="40">
        <v>66.9444666666666</v>
      </c>
      <c r="Z121" s="40">
        <v>65.3089333333333</v>
      </c>
      <c r="AA121" s="40">
        <v>62.0823333333333</v>
      </c>
      <c r="AB121" s="40">
        <v>65.88</v>
      </c>
      <c r="AC121" s="40">
        <v>67.43</v>
      </c>
      <c r="AD121" s="40">
        <v>70.8001260970886</v>
      </c>
      <c r="AE121" s="40">
        <v>64.472</v>
      </c>
      <c r="AF121" s="40">
        <v>2.30683</v>
      </c>
      <c r="AG121" s="40">
        <v>79.86</v>
      </c>
      <c r="AH121" s="45">
        <v>44348.0</v>
      </c>
      <c r="AI121" s="44" t="str">
        <f>'6image_RS_benchmark_performance'!B121</f>
        <v>https://3arbzfbsh-cname-us.ngrok.io/Desktop/seabridge%20fintech/image_app/CMA_resistance_support.jpg</v>
      </c>
      <c r="AJ121" s="44" t="str">
        <f>'6image_RS_benchmark_performance'!C121</f>
        <v>https://3arbzfbsh-cname-us.ngrok.io/Desktop/seabridge%20fintech/profit_graph_app/CMA_Return.jpg</v>
      </c>
      <c r="AK121" s="46" t="str">
        <f>'5price_action_icon'!B121</f>
        <v>https://3arbzfbsh-cname-us.ngrok.io/Desktop/seabridge%20fintech/icon/CMA_pa_trend_signal</v>
      </c>
      <c r="AL121" s="42">
        <f>'1kpi_performance'!B121</f>
        <v>0.7123764724</v>
      </c>
      <c r="AM121" s="42">
        <f>'1kpi_performance'!C121</f>
        <v>0.671458132</v>
      </c>
      <c r="AN121" s="42">
        <f>'1kpi_performance'!D121</f>
        <v>0.5816584407</v>
      </c>
      <c r="AO121" s="42">
        <f>'1kpi_performance'!E121</f>
        <v>0.08429922241</v>
      </c>
      <c r="AP121" s="42">
        <f>'1kpi_performance'!F121</f>
        <v>0.2979572319</v>
      </c>
      <c r="AQ121" s="42">
        <f>'1kpi_performance'!G121</f>
        <v>0.2595430869</v>
      </c>
      <c r="AR121" s="42">
        <f>'1kpi_performance'!H121</f>
        <v>0.3096411692</v>
      </c>
      <c r="AS121" s="42">
        <f>'1kpi_performance'!I121</f>
        <v>0.4204406602</v>
      </c>
      <c r="AT121" s="35">
        <f>'1kpi_performance'!J121</f>
        <v>2.306963547</v>
      </c>
      <c r="AU121" s="35">
        <f>'1kpi_performance'!K121</f>
        <v>2.490754578</v>
      </c>
      <c r="AV121" s="35">
        <f>'1kpi_performance'!L121</f>
        <v>1.797753323</v>
      </c>
      <c r="AW121" s="35">
        <f>'1kpi_performance'!M121</f>
        <v>0.1410406462</v>
      </c>
      <c r="AX121" s="42">
        <f>'1kpi_performance'!N121</f>
        <v>0.2503597122</v>
      </c>
      <c r="AY121" s="42">
        <f>'1kpi_performance'!O121</f>
        <v>0.1819741386</v>
      </c>
      <c r="AZ121" s="42">
        <f>'1kpi_performance'!P121</f>
        <v>0.5783674736</v>
      </c>
      <c r="BA121" s="42">
        <f>'1kpi_performance'!Q121</f>
        <v>0.7451325702</v>
      </c>
      <c r="BB121" s="35">
        <f>'1kpi_performance'!R121</f>
        <v>4.893574489</v>
      </c>
      <c r="BC121" s="35">
        <f>'1kpi_performance'!S121</f>
        <v>5.612774185</v>
      </c>
      <c r="BD121" s="35">
        <f>'1kpi_performance'!T121</f>
        <v>3.318769037</v>
      </c>
      <c r="BE121" s="35">
        <f>'1kpi_performance'!U121</f>
        <v>0.2661350614</v>
      </c>
      <c r="BF121" s="47"/>
      <c r="BG121" s="47"/>
      <c r="BH121" s="47"/>
      <c r="BI121" s="47"/>
      <c r="BJ121" s="47"/>
      <c r="BK121" s="47"/>
      <c r="BL121" s="47"/>
      <c r="BM121" s="47"/>
      <c r="BN121" s="47"/>
      <c r="BO121" s="47"/>
      <c r="BP121" s="47"/>
      <c r="BQ121" s="47"/>
      <c r="BR121" s="47"/>
      <c r="BS121" s="47"/>
      <c r="BT121" s="47"/>
    </row>
    <row r="122" ht="11.25" customHeight="1">
      <c r="A122" s="35" t="str">
        <f>'13all_company_profile'!A122</f>
        <v>CMCSA</v>
      </c>
      <c r="B122" s="35" t="str">
        <f>'13all_company_profile'!B122</f>
        <v>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v>
      </c>
      <c r="C122" s="44" t="str">
        <f>'13all_company_profile'!C122</f>
        <v>https://financialmodelingprep.com/image-stock/CMCSA.png</v>
      </c>
      <c r="D122" s="35" t="str">
        <f>'13all_company_profile'!D122</f>
        <v>Comcast Corporation</v>
      </c>
      <c r="E122" s="36">
        <f>'13all_company_profile'!E122</f>
        <v>266239115264</v>
      </c>
      <c r="F122" s="37">
        <f>'13all_company_profile'!F122</f>
        <v>16064407</v>
      </c>
      <c r="G122" s="35">
        <f>'13all_company_profile'!G122</f>
        <v>0.96</v>
      </c>
      <c r="H122" s="38">
        <f>'13all_company_profile'!H122</f>
        <v>44406</v>
      </c>
      <c r="I122" s="35">
        <f>'13all_company_profile'!I122</f>
        <v>22.774704</v>
      </c>
      <c r="J122" s="35">
        <f>'13all_company_profile'!J122</f>
        <v>2.53</v>
      </c>
      <c r="K122" s="42">
        <f t="shared" si="1"/>
        <v>0.01681850035</v>
      </c>
      <c r="L122" s="35">
        <f>'7company_info'!B122</f>
        <v>57.08</v>
      </c>
      <c r="M122" s="35">
        <f>'7company_info'!C122</f>
        <v>57.44</v>
      </c>
      <c r="N122" s="35">
        <f>'7company_info'!D122</f>
        <v>56.52</v>
      </c>
      <c r="O122" s="35">
        <f>'7company_info'!E122</f>
        <v>0.45</v>
      </c>
      <c r="P122" s="35">
        <f>'7company_info'!F122</f>
        <v>0.0079</v>
      </c>
      <c r="Q122" s="35">
        <f>'7company_info'!G122</f>
        <v>56.73</v>
      </c>
      <c r="R122" s="35">
        <f>'7company_info'!H122</f>
        <v>56.63</v>
      </c>
      <c r="S122" s="35">
        <f>'7company_info'!I122</f>
        <v>40.97</v>
      </c>
      <c r="T122" s="35">
        <f>'7company_info'!J122</f>
        <v>59.11</v>
      </c>
      <c r="U122" s="39">
        <v>57.8533333333333</v>
      </c>
      <c r="V122" s="39">
        <v>58.0966666666666</v>
      </c>
      <c r="W122" s="40">
        <v>58.4233333333333</v>
      </c>
      <c r="X122" s="40">
        <v>58.9933333333333</v>
      </c>
      <c r="Y122" s="40">
        <v>57.5266666666666</v>
      </c>
      <c r="Z122" s="40">
        <v>57.2833333333333</v>
      </c>
      <c r="AA122" s="40">
        <v>56.7133333333333</v>
      </c>
      <c r="AB122" s="40">
        <v>57.215</v>
      </c>
      <c r="AC122" s="40">
        <v>59.11</v>
      </c>
      <c r="AD122" s="40">
        <v>57.419162395015</v>
      </c>
      <c r="AE122" s="40">
        <v>55.8855</v>
      </c>
      <c r="AF122" s="40">
        <v>0.968</v>
      </c>
      <c r="AG122" s="40">
        <v>59.11</v>
      </c>
      <c r="AH122" s="45">
        <v>44326.0</v>
      </c>
      <c r="AI122" s="44" t="str">
        <f>'6image_RS_benchmark_performance'!B122</f>
        <v>https://3arbzfbsh-cname-us.ngrok.io/Desktop/seabridge%20fintech/image_app/CMCSA_resistance_support.jpg</v>
      </c>
      <c r="AJ122" s="44" t="str">
        <f>'6image_RS_benchmark_performance'!C122</f>
        <v>https://3arbzfbsh-cname-us.ngrok.io/Desktop/seabridge%20fintech/profit_graph_app/CMCSA_Return.jpg</v>
      </c>
      <c r="AK122" s="46" t="str">
        <f>'5price_action_icon'!B122</f>
        <v>https://3arbzfbsh-cname-us.ngrok.io/Desktop/seabridge%20fintech/icon/CMCSA_pa_trend_signal</v>
      </c>
      <c r="AL122" s="42">
        <f>'1kpi_performance'!B122</f>
        <v>0.5246508659</v>
      </c>
      <c r="AM122" s="42">
        <f>'1kpi_performance'!C122</f>
        <v>0.6350170786</v>
      </c>
      <c r="AN122" s="42">
        <f>'1kpi_performance'!D122</f>
        <v>0.5097071054</v>
      </c>
      <c r="AO122" s="42">
        <f>'1kpi_performance'!E122</f>
        <v>0.2793583175</v>
      </c>
      <c r="AP122" s="42">
        <f>'1kpi_performance'!F122</f>
        <v>0.1964263352</v>
      </c>
      <c r="AQ122" s="42">
        <f>'1kpi_performance'!G122</f>
        <v>0.1944344429</v>
      </c>
      <c r="AR122" s="42">
        <f>'1kpi_performance'!H122</f>
        <v>0.1897246954</v>
      </c>
      <c r="AS122" s="42">
        <f>'1kpi_performance'!I122</f>
        <v>0.2865222297</v>
      </c>
      <c r="AT122" s="35">
        <f>'1kpi_performance'!J122</f>
        <v>2.543706093</v>
      </c>
      <c r="AU122" s="35">
        <f>'1kpi_performance'!K122</f>
        <v>3.137392066</v>
      </c>
      <c r="AV122" s="35">
        <f>'1kpi_performance'!L122</f>
        <v>2.55479185</v>
      </c>
      <c r="AW122" s="35">
        <f>'1kpi_performance'!M122</f>
        <v>0.887743746</v>
      </c>
      <c r="AX122" s="42">
        <f>'1kpi_performance'!N122</f>
        <v>0.1175830158</v>
      </c>
      <c r="AY122" s="42">
        <f>'1kpi_performance'!O122</f>
        <v>0.0893907536</v>
      </c>
      <c r="AZ122" s="42">
        <f>'1kpi_performance'!P122</f>
        <v>0.2120080782</v>
      </c>
      <c r="BA122" s="42">
        <f>'1kpi_performance'!Q122</f>
        <v>0.3174736842</v>
      </c>
      <c r="BB122" s="35">
        <f>'1kpi_performance'!R122</f>
        <v>5.357433982</v>
      </c>
      <c r="BC122" s="35">
        <f>'1kpi_performance'!S122</f>
        <v>7.060016675</v>
      </c>
      <c r="BD122" s="35">
        <f>'1kpi_performance'!T122</f>
        <v>5.308985949</v>
      </c>
      <c r="BE122" s="35">
        <f>'1kpi_performance'!U122</f>
        <v>1.773236044</v>
      </c>
      <c r="BF122" s="47"/>
      <c r="BG122" s="47"/>
      <c r="BH122" s="47"/>
      <c r="BI122" s="47"/>
      <c r="BJ122" s="47"/>
      <c r="BK122" s="47"/>
      <c r="BL122" s="47"/>
      <c r="BM122" s="47"/>
      <c r="BN122" s="47"/>
      <c r="BO122" s="47"/>
      <c r="BP122" s="47"/>
      <c r="BQ122" s="47"/>
      <c r="BR122" s="47"/>
      <c r="BS122" s="47"/>
      <c r="BT122" s="47"/>
    </row>
    <row r="123" ht="11.25" customHeight="1">
      <c r="A123" s="35" t="str">
        <f>'13all_company_profile'!A123</f>
        <v>CME</v>
      </c>
      <c r="B123" s="35" t="str">
        <f>'13all_company_profile'!B123</f>
        <v>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v>
      </c>
      <c r="C123" s="44" t="str">
        <f>'13all_company_profile'!C123</f>
        <v>https://financialmodelingprep.com/image-stock/CME.png</v>
      </c>
      <c r="D123" s="35" t="str">
        <f>'13all_company_profile'!D123</f>
        <v>CME Group Inc.</v>
      </c>
      <c r="E123" s="36">
        <f>'13all_company_profile'!E123</f>
        <v>75561189376</v>
      </c>
      <c r="F123" s="37">
        <f>'13all_company_profile'!F123</f>
        <v>1222834</v>
      </c>
      <c r="G123" s="35">
        <f>'13all_company_profile'!G123</f>
        <v>6</v>
      </c>
      <c r="H123" s="38">
        <f>'13all_company_profile'!H123</f>
        <v>44405</v>
      </c>
      <c r="I123" s="35">
        <f>'13all_company_profile'!I123</f>
        <v>39.307693</v>
      </c>
      <c r="J123" s="35">
        <f>'13all_company_profile'!J123</f>
        <v>5.33</v>
      </c>
      <c r="K123" s="42">
        <f t="shared" si="1"/>
        <v>0.02876594113</v>
      </c>
      <c r="L123" s="35">
        <f>'7company_info'!B123</f>
        <v>208.58</v>
      </c>
      <c r="M123" s="35">
        <f>'7company_info'!C123</f>
        <v>209.85</v>
      </c>
      <c r="N123" s="35">
        <f>'7company_info'!D123</f>
        <v>205.77</v>
      </c>
      <c r="O123" s="35">
        <f>'7company_info'!E123</f>
        <v>2.36</v>
      </c>
      <c r="P123" s="35">
        <f>'7company_info'!F123</f>
        <v>0.0114</v>
      </c>
      <c r="Q123" s="35">
        <f>'7company_info'!G123</f>
        <v>205.77</v>
      </c>
      <c r="R123" s="35">
        <f>'7company_info'!H123</f>
        <v>206.22</v>
      </c>
      <c r="S123" s="35">
        <f>'7company_info'!I123</f>
        <v>146.89</v>
      </c>
      <c r="T123" s="35">
        <f>'7company_info'!J123</f>
        <v>221.82</v>
      </c>
      <c r="U123" s="39">
        <v>210.251666666666</v>
      </c>
      <c r="V123" s="39">
        <v>210.938333333333</v>
      </c>
      <c r="W123" s="40">
        <v>211.716666666666</v>
      </c>
      <c r="X123" s="40">
        <v>213.181666666666</v>
      </c>
      <c r="Y123" s="40">
        <v>209.473333333333</v>
      </c>
      <c r="Z123" s="40">
        <v>208.786666666666</v>
      </c>
      <c r="AA123" s="40">
        <v>207.321666666666</v>
      </c>
      <c r="AB123" s="40">
        <v>207.175</v>
      </c>
      <c r="AC123" s="40">
        <v>211.6786</v>
      </c>
      <c r="AD123" s="40">
        <v>212.1404929237</v>
      </c>
      <c r="AE123" s="40">
        <v>203.63065</v>
      </c>
      <c r="AF123" s="40">
        <v>3.387425</v>
      </c>
      <c r="AG123" s="40">
        <v>221.82</v>
      </c>
      <c r="AH123" s="45">
        <v>44348.0</v>
      </c>
      <c r="AI123" s="44" t="str">
        <f>'6image_RS_benchmark_performance'!B123</f>
        <v>https://3arbzfbsh-cname-us.ngrok.io/Desktop/seabridge%20fintech/image_app/CME_resistance_support.jpg</v>
      </c>
      <c r="AJ123" s="44" t="str">
        <f>'6image_RS_benchmark_performance'!C123</f>
        <v>https://3arbzfbsh-cname-us.ngrok.io/Desktop/seabridge%20fintech/profit_graph_app/CME_Return.jpg</v>
      </c>
      <c r="AK123" s="46" t="str">
        <f>'5price_action_icon'!B123</f>
        <v>https://3arbzfbsh-cname-us.ngrok.io/Desktop/seabridge%20fintech/icon/CME_pa_trend_signal</v>
      </c>
      <c r="AL123" s="42">
        <f>'1kpi_performance'!B123</f>
        <v>0.4523672901</v>
      </c>
      <c r="AM123" s="42">
        <f>'1kpi_performance'!C123</f>
        <v>0.5512921936</v>
      </c>
      <c r="AN123" s="42">
        <f>'1kpi_performance'!D123</f>
        <v>0.5606913714</v>
      </c>
      <c r="AO123" s="42">
        <f>'1kpi_performance'!E123</f>
        <v>0.1889943798</v>
      </c>
      <c r="AP123" s="42">
        <f>'1kpi_performance'!F123</f>
        <v>0.1951050502</v>
      </c>
      <c r="AQ123" s="42">
        <f>'1kpi_performance'!G123</f>
        <v>0.2062053501</v>
      </c>
      <c r="AR123" s="42">
        <f>'1kpi_performance'!H123</f>
        <v>0.2134320878</v>
      </c>
      <c r="AS123" s="42">
        <f>'1kpi_performance'!I123</f>
        <v>0.309847881</v>
      </c>
      <c r="AT123" s="35">
        <f>'1kpi_performance'!J123</f>
        <v>2.190447093</v>
      </c>
      <c r="AU123" s="35">
        <f>'1kpi_performance'!K123</f>
        <v>2.552272253</v>
      </c>
      <c r="AV123" s="35">
        <f>'1kpi_performance'!L123</f>
        <v>2.509891446</v>
      </c>
      <c r="AW123" s="35">
        <f>'1kpi_performance'!M123</f>
        <v>0.5292738466</v>
      </c>
      <c r="AX123" s="42">
        <f>'1kpi_performance'!N123</f>
        <v>0.137250352</v>
      </c>
      <c r="AY123" s="42">
        <f>'1kpi_performance'!O123</f>
        <v>0.137250352</v>
      </c>
      <c r="AZ123" s="42">
        <f>'1kpi_performance'!P123</f>
        <v>0.2005107473</v>
      </c>
      <c r="BA123" s="42">
        <f>'1kpi_performance'!Q123</f>
        <v>0.3760226509</v>
      </c>
      <c r="BB123" s="35">
        <f>'1kpi_performance'!R123</f>
        <v>4.47751759</v>
      </c>
      <c r="BC123" s="35">
        <f>'1kpi_performance'!S123</f>
        <v>5.563418085</v>
      </c>
      <c r="BD123" s="35">
        <f>'1kpi_performance'!T123</f>
        <v>5.28814018</v>
      </c>
      <c r="BE123" s="35">
        <f>'1kpi_performance'!U123</f>
        <v>0.9986023939</v>
      </c>
      <c r="BF123" s="47"/>
      <c r="BG123" s="47"/>
      <c r="BH123" s="47"/>
      <c r="BI123" s="47"/>
      <c r="BJ123" s="47"/>
      <c r="BK123" s="47"/>
      <c r="BL123" s="47"/>
      <c r="BM123" s="47"/>
      <c r="BN123" s="47"/>
      <c r="BO123" s="47"/>
      <c r="BP123" s="47"/>
      <c r="BQ123" s="47"/>
      <c r="BR123" s="47"/>
      <c r="BS123" s="47"/>
      <c r="BT123" s="47"/>
    </row>
    <row r="124" ht="11.25" customHeight="1">
      <c r="A124" s="35" t="str">
        <f>'13all_company_profile'!A124</f>
        <v>CMG</v>
      </c>
      <c r="B124" s="35" t="str">
        <f>'13all_company_profile'!B124</f>
        <v>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v>
      </c>
      <c r="C124" s="44" t="str">
        <f>'13all_company_profile'!C124</f>
        <v>https://financialmodelingprep.com/image-stock/CMG.png</v>
      </c>
      <c r="D124" s="35" t="str">
        <f>'13all_company_profile'!D124</f>
        <v>Chipotle Mexican Grill, Inc.</v>
      </c>
      <c r="E124" s="36">
        <f>'13all_company_profile'!E124</f>
        <v>44589830144</v>
      </c>
      <c r="F124" s="37">
        <f>'13all_company_profile'!F124</f>
        <v>285944</v>
      </c>
      <c r="G124" s="35">
        <f>'13all_company_profile'!G124</f>
        <v>0</v>
      </c>
      <c r="H124" s="38">
        <f>'13all_company_profile'!H124</f>
        <v>44397</v>
      </c>
      <c r="I124" s="35">
        <f>'13all_company_profile'!I124</f>
        <v>109.73585</v>
      </c>
      <c r="J124" s="35">
        <f>'13all_company_profile'!J124</f>
        <v>14.272</v>
      </c>
      <c r="K124" s="42" t="str">
        <f t="shared" si="1"/>
        <v>NaN</v>
      </c>
      <c r="L124" s="35">
        <f>'7company_info'!B124</f>
        <v>1574.35</v>
      </c>
      <c r="M124" s="35">
        <f>'7company_info'!C124</f>
        <v>1587.12</v>
      </c>
      <c r="N124" s="35">
        <f>'7company_info'!D124</f>
        <v>1556.71</v>
      </c>
      <c r="O124" s="35">
        <f>'7company_info'!E124</f>
        <v>23.19</v>
      </c>
      <c r="P124" s="35">
        <f>'7company_info'!F124</f>
        <v>0.015</v>
      </c>
      <c r="Q124" s="35">
        <f>'7company_info'!G124</f>
        <v>1571.26</v>
      </c>
      <c r="R124" s="35">
        <f>'7company_info'!H124</f>
        <v>1551.16</v>
      </c>
      <c r="S124" s="35">
        <f>'7company_info'!I124</f>
        <v>1094.93</v>
      </c>
      <c r="T124" s="35">
        <f>'7company_info'!J124</f>
        <v>1626.57</v>
      </c>
      <c r="U124" s="39">
        <v>1615.01333333333</v>
      </c>
      <c r="V124" s="39">
        <v>1628.01666666666</v>
      </c>
      <c r="W124" s="40">
        <v>1636.05333333333</v>
      </c>
      <c r="X124" s="40">
        <v>1657.09333333333</v>
      </c>
      <c r="Y124" s="40">
        <v>1606.97666666666</v>
      </c>
      <c r="Z124" s="40">
        <v>1593.97333333333</v>
      </c>
      <c r="AA124" s="40">
        <v>1572.93333333333</v>
      </c>
      <c r="AB124" s="40">
        <v>1558.37</v>
      </c>
      <c r="AC124" s="40">
        <v>1626.57</v>
      </c>
      <c r="AD124" s="40">
        <v>1526.41499392693</v>
      </c>
      <c r="AE124" s="40">
        <v>1547.80862999999</v>
      </c>
      <c r="AF124" s="40">
        <v>29.040185</v>
      </c>
      <c r="AG124" s="40">
        <v>1579.52</v>
      </c>
      <c r="AH124" s="45">
        <v>44298.0</v>
      </c>
      <c r="AI124" s="44" t="str">
        <f>'6image_RS_benchmark_performance'!B124</f>
        <v>https://3arbzfbsh-cname-us.ngrok.io/Desktop/seabridge%20fintech/image_app/CMG_resistance_support.jpg</v>
      </c>
      <c r="AJ124" s="44" t="str">
        <f>'6image_RS_benchmark_performance'!C124</f>
        <v>https://3arbzfbsh-cname-us.ngrok.io/Desktop/seabridge%20fintech/profit_graph_app/CMG_Return.jpg</v>
      </c>
      <c r="AK124" s="46" t="str">
        <f>'5price_action_icon'!B124</f>
        <v>https://3arbzfbsh-cname-us.ngrok.io/Desktop/seabridge%20fintech/icon/CMG_pa_trend_signal</v>
      </c>
      <c r="AL124" s="42">
        <f>'1kpi_performance'!B124</f>
        <v>0.9590085285</v>
      </c>
      <c r="AM124" s="42">
        <f>'1kpi_performance'!C124</f>
        <v>1.463303112</v>
      </c>
      <c r="AN124" s="42">
        <f>'1kpi_performance'!D124</f>
        <v>0.8781735076</v>
      </c>
      <c r="AO124" s="42">
        <f>'1kpi_performance'!E124</f>
        <v>0.4147680806</v>
      </c>
      <c r="AP124" s="42">
        <f>'1kpi_performance'!F124</f>
        <v>0.284993761</v>
      </c>
      <c r="AQ124" s="42">
        <f>'1kpi_performance'!G124</f>
        <v>0.3073786925</v>
      </c>
      <c r="AR124" s="42">
        <f>'1kpi_performance'!H124</f>
        <v>0.2772631807</v>
      </c>
      <c r="AS124" s="42">
        <f>'1kpi_performance'!I124</f>
        <v>0.4200366682</v>
      </c>
      <c r="AT124" s="35">
        <f>'1kpi_performance'!J124</f>
        <v>3.277294651</v>
      </c>
      <c r="AU124" s="35">
        <f>'1kpi_performance'!K124</f>
        <v>4.679254441</v>
      </c>
      <c r="AV124" s="35">
        <f>'1kpi_performance'!L124</f>
        <v>3.077125154</v>
      </c>
      <c r="AW124" s="35">
        <f>'1kpi_performance'!M124</f>
        <v>0.9279382256</v>
      </c>
      <c r="AX124" s="42">
        <f>'1kpi_performance'!N124</f>
        <v>0.127718434</v>
      </c>
      <c r="AY124" s="42">
        <f>'1kpi_performance'!O124</f>
        <v>0.1181934675</v>
      </c>
      <c r="AZ124" s="42">
        <f>'1kpi_performance'!P124</f>
        <v>0.386434255</v>
      </c>
      <c r="BA124" s="42">
        <f>'1kpi_performance'!Q124</f>
        <v>0.6683294403</v>
      </c>
      <c r="BB124" s="35">
        <f>'1kpi_performance'!R124</f>
        <v>8.59831323</v>
      </c>
      <c r="BC124" s="35">
        <f>'1kpi_performance'!S124</f>
        <v>13.53488587</v>
      </c>
      <c r="BD124" s="35">
        <f>'1kpi_performance'!T124</f>
        <v>7.41671221</v>
      </c>
      <c r="BE124" s="35">
        <f>'1kpi_performance'!U124</f>
        <v>1.887610871</v>
      </c>
      <c r="BF124" s="47"/>
      <c r="BG124" s="47"/>
      <c r="BH124" s="47"/>
      <c r="BI124" s="47"/>
      <c r="BJ124" s="47"/>
      <c r="BK124" s="47"/>
      <c r="BL124" s="47"/>
      <c r="BM124" s="47"/>
      <c r="BN124" s="47"/>
      <c r="BO124" s="47"/>
      <c r="BP124" s="47"/>
      <c r="BQ124" s="47"/>
      <c r="BR124" s="47"/>
      <c r="BS124" s="47"/>
      <c r="BT124" s="47"/>
    </row>
    <row r="125" ht="11.25" customHeight="1">
      <c r="A125" s="35" t="str">
        <f>'13all_company_profile'!A125</f>
        <v>CMI</v>
      </c>
      <c r="B125" s="35" t="str">
        <f>'13all_company_profile'!B125</f>
        <v>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v>
      </c>
      <c r="C125" s="44" t="str">
        <f>'13all_company_profile'!C125</f>
        <v>https://financialmodelingprep.com/image-stock/CMI.png</v>
      </c>
      <c r="D125" s="35" t="str">
        <f>'13all_company_profile'!D125</f>
        <v>Cummins Inc.</v>
      </c>
      <c r="E125" s="36">
        <f>'13all_company_profile'!E125</f>
        <v>35123810304</v>
      </c>
      <c r="F125" s="37">
        <f>'13all_company_profile'!F125</f>
        <v>1011887</v>
      </c>
      <c r="G125" s="35">
        <f>'13all_company_profile'!G125</f>
        <v>5.361</v>
      </c>
      <c r="H125" s="38">
        <f>'13all_company_profile'!H125</f>
        <v>44411</v>
      </c>
      <c r="I125" s="35">
        <f>'13all_company_profile'!I125</f>
        <v>18.867367</v>
      </c>
      <c r="J125" s="35">
        <f>'13all_company_profile'!J125</f>
        <v>12.665</v>
      </c>
      <c r="K125" s="42">
        <f t="shared" si="1"/>
        <v>0.02253089014</v>
      </c>
      <c r="L125" s="35">
        <f>'7company_info'!B125</f>
        <v>237.94</v>
      </c>
      <c r="M125" s="35">
        <f>'7company_info'!C125</f>
        <v>238.72</v>
      </c>
      <c r="N125" s="35">
        <f>'7company_info'!D125</f>
        <v>232.44</v>
      </c>
      <c r="O125" s="35">
        <f>'7company_info'!E125</f>
        <v>4.81</v>
      </c>
      <c r="P125" s="35">
        <f>'7company_info'!F125</f>
        <v>0.0206</v>
      </c>
      <c r="Q125" s="35">
        <f>'7company_info'!G125</f>
        <v>234.39</v>
      </c>
      <c r="R125" s="35">
        <f>'7company_info'!H125</f>
        <v>233.13</v>
      </c>
      <c r="S125" s="35">
        <f>'7company_info'!I125</f>
        <v>179.16</v>
      </c>
      <c r="T125" s="35">
        <f>'7company_info'!J125</f>
        <v>277.09</v>
      </c>
      <c r="U125" s="39">
        <v>239.73</v>
      </c>
      <c r="V125" s="39">
        <v>241.68</v>
      </c>
      <c r="W125" s="40">
        <v>244.35</v>
      </c>
      <c r="X125" s="40">
        <v>248.97</v>
      </c>
      <c r="Y125" s="40">
        <v>237.06</v>
      </c>
      <c r="Z125" s="40">
        <v>235.11</v>
      </c>
      <c r="AA125" s="40">
        <v>230.49</v>
      </c>
      <c r="AB125" s="40">
        <v>239.6983</v>
      </c>
      <c r="AC125" s="40">
        <v>244.56</v>
      </c>
      <c r="AD125" s="40">
        <v>242.596798537957</v>
      </c>
      <c r="AE125" s="40">
        <v>231.60636</v>
      </c>
      <c r="AF125" s="40">
        <v>5.04557</v>
      </c>
      <c r="AG125" s="40">
        <v>277.09</v>
      </c>
      <c r="AH125" s="45">
        <v>44271.0</v>
      </c>
      <c r="AI125" s="44" t="str">
        <f>'6image_RS_benchmark_performance'!B125</f>
        <v>https://3arbzfbsh-cname-us.ngrok.io/Desktop/seabridge%20fintech/image_app/CMI_resistance_support.jpg</v>
      </c>
      <c r="AJ125" s="44" t="str">
        <f>'6image_RS_benchmark_performance'!C125</f>
        <v>https://3arbzfbsh-cname-us.ngrok.io/Desktop/seabridge%20fintech/profit_graph_app/CMI_Return.jpg</v>
      </c>
      <c r="AK125" s="46" t="str">
        <f>'5price_action_icon'!B125</f>
        <v>https://3arbzfbsh-cname-us.ngrok.io/Desktop/seabridge%20fintech/icon/CMI_pa_trend_signal</v>
      </c>
      <c r="AL125" s="42">
        <f>'1kpi_performance'!B125</f>
        <v>0.6427527354</v>
      </c>
      <c r="AM125" s="42">
        <f>'1kpi_performance'!C125</f>
        <v>0.8886608164</v>
      </c>
      <c r="AN125" s="42">
        <f>'1kpi_performance'!D125</f>
        <v>0.7926041011</v>
      </c>
      <c r="AO125" s="42">
        <f>'1kpi_performance'!E125</f>
        <v>0.2168663625</v>
      </c>
      <c r="AP125" s="42">
        <f>'1kpi_performance'!F125</f>
        <v>0.2403336567</v>
      </c>
      <c r="AQ125" s="42">
        <f>'1kpi_performance'!G125</f>
        <v>0.2397114623</v>
      </c>
      <c r="AR125" s="42">
        <f>'1kpi_performance'!H125</f>
        <v>0.2320830658</v>
      </c>
      <c r="AS125" s="42">
        <f>'1kpi_performance'!I125</f>
        <v>0.3630258227</v>
      </c>
      <c r="AT125" s="35">
        <f>'1kpi_performance'!J125</f>
        <v>2.570396273</v>
      </c>
      <c r="AU125" s="35">
        <f>'1kpi_performance'!K125</f>
        <v>3.602918309</v>
      </c>
      <c r="AV125" s="35">
        <f>'1kpi_performance'!L125</f>
        <v>3.307454159</v>
      </c>
      <c r="AW125" s="35">
        <f>'1kpi_performance'!M125</f>
        <v>0.528519875</v>
      </c>
      <c r="AX125" s="42">
        <f>'1kpi_performance'!N125</f>
        <v>0.2156669632</v>
      </c>
      <c r="AY125" s="42">
        <f>'1kpi_performance'!O125</f>
        <v>0.1108093233</v>
      </c>
      <c r="AZ125" s="42">
        <f>'1kpi_performance'!P125</f>
        <v>0.3112062192</v>
      </c>
      <c r="BA125" s="42">
        <f>'1kpi_performance'!Q125</f>
        <v>0.479788228</v>
      </c>
      <c r="BB125" s="35">
        <f>'1kpi_performance'!R125</f>
        <v>5.39515153</v>
      </c>
      <c r="BC125" s="35">
        <f>'1kpi_performance'!S125</f>
        <v>8.584905285</v>
      </c>
      <c r="BD125" s="35">
        <f>'1kpi_performance'!T125</f>
        <v>7.139224828</v>
      </c>
      <c r="BE125" s="35">
        <f>'1kpi_performance'!U125</f>
        <v>1.055749998</v>
      </c>
      <c r="BF125" s="47"/>
      <c r="BG125" s="47"/>
      <c r="BH125" s="47"/>
      <c r="BI125" s="47"/>
      <c r="BJ125" s="47"/>
      <c r="BK125" s="47"/>
      <c r="BL125" s="47"/>
      <c r="BM125" s="47"/>
      <c r="BN125" s="47"/>
      <c r="BO125" s="47"/>
      <c r="BP125" s="47"/>
      <c r="BQ125" s="47"/>
      <c r="BR125" s="47"/>
      <c r="BS125" s="47"/>
      <c r="BT125" s="47"/>
    </row>
    <row r="126" ht="11.25" customHeight="1">
      <c r="A126" s="35" t="str">
        <f>'13all_company_profile'!A126</f>
        <v>CMS</v>
      </c>
      <c r="B126" s="35" t="str">
        <f>'13all_company_profile'!B126</f>
        <v>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v>
      </c>
      <c r="C126" s="44" t="str">
        <f>'13all_company_profile'!C126</f>
        <v>https://financialmodelingprep.com/image-stock/CMS.png</v>
      </c>
      <c r="D126" s="35" t="str">
        <f>'13all_company_profile'!D126</f>
        <v>CMS Energy Corporation</v>
      </c>
      <c r="E126" s="36">
        <f>'13all_company_profile'!E126</f>
        <v>17822052352</v>
      </c>
      <c r="F126" s="37">
        <f>'13all_company_profile'!F126</f>
        <v>2436031</v>
      </c>
      <c r="G126" s="35">
        <f>'13all_company_profile'!G126</f>
        <v>1.686</v>
      </c>
      <c r="H126" s="38">
        <f>'13all_company_profile'!H126</f>
        <v>44410</v>
      </c>
      <c r="I126" s="35">
        <f>'13all_company_profile'!I126</f>
        <v>20.70549</v>
      </c>
      <c r="J126" s="35">
        <f>'13all_company_profile'!J126</f>
        <v>3.005</v>
      </c>
      <c r="K126" s="42">
        <f t="shared" si="1"/>
        <v>0.02721989022</v>
      </c>
      <c r="L126" s="35">
        <f>'7company_info'!B126</f>
        <v>61.94</v>
      </c>
      <c r="M126" s="35">
        <f>'7company_info'!C126</f>
        <v>62.65</v>
      </c>
      <c r="N126" s="35">
        <f>'7company_info'!D126</f>
        <v>61.65</v>
      </c>
      <c r="O126" s="35">
        <f>'7company_info'!E126</f>
        <v>0.49</v>
      </c>
      <c r="P126" s="35">
        <f>'7company_info'!F126</f>
        <v>0.008</v>
      </c>
      <c r="Q126" s="35">
        <f>'7company_info'!G126</f>
        <v>61.83</v>
      </c>
      <c r="R126" s="35">
        <f>'7company_info'!H126</f>
        <v>61.45</v>
      </c>
      <c r="S126" s="35">
        <f>'7company_info'!I126</f>
        <v>53.19</v>
      </c>
      <c r="T126" s="35">
        <f>'7company_info'!J126</f>
        <v>67.98</v>
      </c>
      <c r="U126" s="39">
        <v>60.3499333333333</v>
      </c>
      <c r="V126" s="39">
        <v>60.8600666666666</v>
      </c>
      <c r="W126" s="40">
        <v>61.2401333333333</v>
      </c>
      <c r="X126" s="40">
        <v>62.1303333333333</v>
      </c>
      <c r="Y126" s="40">
        <v>59.9698666666666</v>
      </c>
      <c r="Z126" s="40">
        <v>59.4597333333333</v>
      </c>
      <c r="AA126" s="40">
        <v>58.5695333333333</v>
      </c>
      <c r="AB126" s="40">
        <v>59.46</v>
      </c>
      <c r="AC126" s="40">
        <v>60.43</v>
      </c>
      <c r="AD126" s="40">
        <v>60.1462563399872</v>
      </c>
      <c r="AE126" s="40">
        <v>58.13887</v>
      </c>
      <c r="AF126" s="40">
        <v>0.948075</v>
      </c>
      <c r="AG126" s="40">
        <v>65.79</v>
      </c>
      <c r="AH126" s="45">
        <v>44306.0</v>
      </c>
      <c r="AI126" s="44" t="str">
        <f>'6image_RS_benchmark_performance'!B126</f>
        <v>https://3arbzfbsh-cname-us.ngrok.io/Desktop/seabridge%20fintech/image_app/CMS_resistance_support.jpg</v>
      </c>
      <c r="AJ126" s="44" t="str">
        <f>'6image_RS_benchmark_performance'!C126</f>
        <v>https://3arbzfbsh-cname-us.ngrok.io/Desktop/seabridge%20fintech/profit_graph_app/CMS_Return.jpg</v>
      </c>
      <c r="AK126" s="46" t="str">
        <f>'5price_action_icon'!B126</f>
        <v>https://3arbzfbsh-cname-us.ngrok.io/Desktop/seabridge%20fintech/icon/CMS_pa_trend_signal</v>
      </c>
      <c r="AL126" s="42">
        <f>'1kpi_performance'!B126</f>
        <v>0.3930545943</v>
      </c>
      <c r="AM126" s="42">
        <f>'1kpi_performance'!C126</f>
        <v>0.4198969888</v>
      </c>
      <c r="AN126" s="42">
        <f>'1kpi_performance'!D126</f>
        <v>0.3718542532</v>
      </c>
      <c r="AO126" s="42">
        <f>'1kpi_performance'!E126</f>
        <v>0.1845142305</v>
      </c>
      <c r="AP126" s="42">
        <f>'1kpi_performance'!F126</f>
        <v>0.1552945021</v>
      </c>
      <c r="AQ126" s="42">
        <f>'1kpi_performance'!G126</f>
        <v>0.1630598308</v>
      </c>
      <c r="AR126" s="42">
        <f>'1kpi_performance'!H126</f>
        <v>0.181603999</v>
      </c>
      <c r="AS126" s="42">
        <f>'1kpi_performance'!I126</f>
        <v>0.2357961058</v>
      </c>
      <c r="AT126" s="35">
        <f>'1kpi_performance'!J126</f>
        <v>2.370042656</v>
      </c>
      <c r="AU126" s="35">
        <f>'1kpi_performance'!K126</f>
        <v>2.42179197</v>
      </c>
      <c r="AV126" s="35">
        <f>'1kpi_performance'!L126</f>
        <v>1.909948322</v>
      </c>
      <c r="AW126" s="35">
        <f>'1kpi_performance'!M126</f>
        <v>0.6764922177</v>
      </c>
      <c r="AX126" s="42">
        <f>'1kpi_performance'!N126</f>
        <v>0.1193090087</v>
      </c>
      <c r="AY126" s="42">
        <f>'1kpi_performance'!O126</f>
        <v>0.1193090087</v>
      </c>
      <c r="AZ126" s="42">
        <f>'1kpi_performance'!P126</f>
        <v>0.2902706657</v>
      </c>
      <c r="BA126" s="42">
        <f>'1kpi_performance'!Q126</f>
        <v>0.2955271565</v>
      </c>
      <c r="BB126" s="35">
        <f>'1kpi_performance'!R126</f>
        <v>4.708615149</v>
      </c>
      <c r="BC126" s="35">
        <f>'1kpi_performance'!S126</f>
        <v>4.997166802</v>
      </c>
      <c r="BD126" s="35">
        <f>'1kpi_performance'!T126</f>
        <v>3.647904644</v>
      </c>
      <c r="BE126" s="35">
        <f>'1kpi_performance'!U126</f>
        <v>1.285387727</v>
      </c>
      <c r="BF126" s="47"/>
      <c r="BG126" s="47"/>
      <c r="BH126" s="47"/>
      <c r="BI126" s="47"/>
      <c r="BJ126" s="47"/>
      <c r="BK126" s="47"/>
      <c r="BL126" s="47"/>
      <c r="BM126" s="47"/>
      <c r="BN126" s="47"/>
      <c r="BO126" s="47"/>
      <c r="BP126" s="47"/>
      <c r="BQ126" s="47"/>
      <c r="BR126" s="47"/>
      <c r="BS126" s="47"/>
      <c r="BT126" s="47"/>
    </row>
    <row r="127" ht="11.25" customHeight="1">
      <c r="A127" s="35" t="str">
        <f>'13all_company_profile'!A127</f>
        <v>CNC</v>
      </c>
      <c r="B127" s="35" t="str">
        <f>'13all_company_profile'!B127</f>
        <v>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v>
      </c>
      <c r="C127" s="44" t="str">
        <f>'13all_company_profile'!C127</f>
        <v>https://financialmodelingprep.com/image-stock/CNC.png</v>
      </c>
      <c r="D127" s="35" t="str">
        <f>'13all_company_profile'!D127</f>
        <v>Centene Corporation</v>
      </c>
      <c r="E127" s="36">
        <f>'13all_company_profile'!E127</f>
        <v>42743611392</v>
      </c>
      <c r="F127" s="37">
        <f>'13all_company_profile'!F127</f>
        <v>4282541</v>
      </c>
      <c r="G127" s="35">
        <f>'13all_company_profile'!G127</f>
        <v>0</v>
      </c>
      <c r="H127" s="38">
        <f>'13all_company_profile'!H127</f>
        <v>44404</v>
      </c>
      <c r="I127" s="35">
        <f>'13all_company_profile'!I127</f>
        <v>17.388346</v>
      </c>
      <c r="J127" s="35">
        <f>'13all_company_profile'!J127</f>
        <v>4.187</v>
      </c>
      <c r="K127" s="42" t="str">
        <f t="shared" si="1"/>
        <v>NaN</v>
      </c>
      <c r="L127" s="35">
        <f>'7company_info'!B127</f>
        <v>71.67</v>
      </c>
      <c r="M127" s="35">
        <f>'7company_info'!C127</f>
        <v>72.97</v>
      </c>
      <c r="N127" s="35">
        <f>'7company_info'!D127</f>
        <v>71.39</v>
      </c>
      <c r="O127" s="35">
        <f>'7company_info'!E127</f>
        <v>0.3</v>
      </c>
      <c r="P127" s="35">
        <f>'7company_info'!F127</f>
        <v>0.0042</v>
      </c>
      <c r="Q127" s="35">
        <f>'7company_info'!G127</f>
        <v>71.76</v>
      </c>
      <c r="R127" s="35">
        <f>'7company_info'!H127</f>
        <v>71.37</v>
      </c>
      <c r="S127" s="35">
        <f>'7company_info'!I127</f>
        <v>53.6</v>
      </c>
      <c r="T127" s="35">
        <f>'7company_info'!J127</f>
        <v>75.59</v>
      </c>
      <c r="U127" s="39">
        <v>74.0183333333333</v>
      </c>
      <c r="V127" s="39">
        <v>74.5166666666666</v>
      </c>
      <c r="W127" s="40">
        <v>75.2633333333333</v>
      </c>
      <c r="X127" s="40">
        <v>76.5083333333333</v>
      </c>
      <c r="Y127" s="40">
        <v>73.2716666666666</v>
      </c>
      <c r="Z127" s="40">
        <v>72.7733333333333</v>
      </c>
      <c r="AA127" s="40">
        <v>71.5283333333333</v>
      </c>
      <c r="AB127" s="40">
        <v>72.91</v>
      </c>
      <c r="AC127" s="40">
        <v>75.5899</v>
      </c>
      <c r="AD127" s="40">
        <v>73.2194634093215</v>
      </c>
      <c r="AE127" s="40">
        <v>71.0997599999999</v>
      </c>
      <c r="AF127" s="40">
        <v>1.70137</v>
      </c>
      <c r="AG127" s="40">
        <v>75.25</v>
      </c>
      <c r="AH127" s="45">
        <v>44363.0</v>
      </c>
      <c r="AI127" s="44" t="str">
        <f>'6image_RS_benchmark_performance'!B127</f>
        <v>https://3arbzfbsh-cname-us.ngrok.io/Desktop/seabridge%20fintech/image_app/CNC_resistance_support.jpg</v>
      </c>
      <c r="AJ127" s="44" t="str">
        <f>'6image_RS_benchmark_performance'!C127</f>
        <v>https://3arbzfbsh-cname-us.ngrok.io/Desktop/seabridge%20fintech/profit_graph_app/CNC_Return.jpg</v>
      </c>
      <c r="AK127" s="46" t="str">
        <f>'5price_action_icon'!B127</f>
        <v>https://3arbzfbsh-cname-us.ngrok.io/Desktop/seabridge%20fintech/icon/CNC_pa_trend_signal</v>
      </c>
      <c r="AL127" s="42">
        <f>'1kpi_performance'!B127</f>
        <v>0.8211330153</v>
      </c>
      <c r="AM127" s="42">
        <f>'1kpi_performance'!C127</f>
        <v>1.317036663</v>
      </c>
      <c r="AN127" s="42">
        <f>'1kpi_performance'!D127</f>
        <v>0.8782125079</v>
      </c>
      <c r="AO127" s="42">
        <f>'1kpi_performance'!E127</f>
        <v>0.4037152979</v>
      </c>
      <c r="AP127" s="42">
        <f>'1kpi_performance'!F127</f>
        <v>0.3265705069</v>
      </c>
      <c r="AQ127" s="42">
        <f>'1kpi_performance'!G127</f>
        <v>0.3035529511</v>
      </c>
      <c r="AR127" s="42">
        <f>'1kpi_performance'!H127</f>
        <v>0.3156010577</v>
      </c>
      <c r="AS127" s="42">
        <f>'1kpi_performance'!I127</f>
        <v>0.4486202102</v>
      </c>
      <c r="AT127" s="35">
        <f>'1kpi_performance'!J127</f>
        <v>2.437859508</v>
      </c>
      <c r="AU127" s="35">
        <f>'1kpi_performance'!K127</f>
        <v>4.256379845</v>
      </c>
      <c r="AV127" s="35">
        <f>'1kpi_performance'!L127</f>
        <v>2.703452625</v>
      </c>
      <c r="AW127" s="35">
        <f>'1kpi_performance'!M127</f>
        <v>0.8441779691</v>
      </c>
      <c r="AX127" s="42">
        <f>'1kpi_performance'!N127</f>
        <v>0.3566153255</v>
      </c>
      <c r="AY127" s="42">
        <f>'1kpi_performance'!O127</f>
        <v>0.1765496191</v>
      </c>
      <c r="AZ127" s="42">
        <f>'1kpi_performance'!P127</f>
        <v>0.2844874992</v>
      </c>
      <c r="BA127" s="42">
        <f>'1kpi_performance'!Q127</f>
        <v>0.4716535433</v>
      </c>
      <c r="BB127" s="35">
        <f>'1kpi_performance'!R127</f>
        <v>4.826234118</v>
      </c>
      <c r="BC127" s="35">
        <f>'1kpi_performance'!S127</f>
        <v>11.01560499</v>
      </c>
      <c r="BD127" s="35">
        <f>'1kpi_performance'!T127</f>
        <v>5.725624359</v>
      </c>
      <c r="BE127" s="35">
        <f>'1kpi_performance'!U127</f>
        <v>1.644917684</v>
      </c>
      <c r="BF127" s="47"/>
      <c r="BG127" s="47"/>
      <c r="BH127" s="47"/>
      <c r="BI127" s="47"/>
      <c r="BJ127" s="47"/>
      <c r="BK127" s="47"/>
      <c r="BL127" s="47"/>
      <c r="BM127" s="47"/>
      <c r="BN127" s="47"/>
      <c r="BO127" s="47"/>
      <c r="BP127" s="47"/>
      <c r="BQ127" s="47"/>
      <c r="BR127" s="47"/>
      <c r="BS127" s="47"/>
      <c r="BT127" s="47"/>
    </row>
    <row r="128" ht="11.25" customHeight="1">
      <c r="A128" s="35" t="str">
        <f>'13all_company_profile'!A128</f>
        <v>CNP</v>
      </c>
      <c r="B128" s="35" t="str">
        <f>'13all_company_profile'!B128</f>
        <v>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v>
      </c>
      <c r="C128" s="44" t="str">
        <f>'13all_company_profile'!C128</f>
        <v>https://financialmodelingprep.com/image-stock/CNP.png</v>
      </c>
      <c r="D128" s="35" t="str">
        <f>'13all_company_profile'!D128</f>
        <v>CenterPoint Energy, Inc.</v>
      </c>
      <c r="E128" s="36">
        <f>'13all_company_profile'!E128</f>
        <v>14692353024</v>
      </c>
      <c r="F128" s="37">
        <f>'13all_company_profile'!F128</f>
        <v>6114892</v>
      </c>
      <c r="G128" s="35">
        <f>'13all_company_profile'!G128</f>
        <v>0.62</v>
      </c>
      <c r="H128" s="38">
        <f>'13all_company_profile'!H128</f>
        <v>44413</v>
      </c>
      <c r="I128" s="35">
        <f>'13all_company_profile'!I128</f>
        <v>23.627993</v>
      </c>
      <c r="J128" s="35">
        <f>'13all_company_profile'!J128</f>
        <v>1.086</v>
      </c>
      <c r="K128" s="42">
        <f t="shared" si="1"/>
        <v>0.02456418384</v>
      </c>
      <c r="L128" s="35">
        <f>'7company_info'!B128</f>
        <v>25.24</v>
      </c>
      <c r="M128" s="35">
        <f>'7company_info'!C128</f>
        <v>25.29</v>
      </c>
      <c r="N128" s="35">
        <f>'7company_info'!D128</f>
        <v>24.85</v>
      </c>
      <c r="O128" s="35">
        <f>'7company_info'!E128</f>
        <v>0.37</v>
      </c>
      <c r="P128" s="35">
        <f>'7company_info'!F128</f>
        <v>0.0149</v>
      </c>
      <c r="Q128" s="35">
        <f>'7company_info'!G128</f>
        <v>24.92</v>
      </c>
      <c r="R128" s="35">
        <f>'7company_info'!H128</f>
        <v>24.87</v>
      </c>
      <c r="S128" s="35">
        <f>'7company_info'!I128</f>
        <v>18.4</v>
      </c>
      <c r="T128" s="35">
        <f>'7company_info'!J128</f>
        <v>26.18</v>
      </c>
      <c r="U128" s="39">
        <v>24.7566666666666</v>
      </c>
      <c r="V128" s="39">
        <v>24.9533333333333</v>
      </c>
      <c r="W128" s="40">
        <v>25.1366666666666</v>
      </c>
      <c r="X128" s="40">
        <v>25.5166666666666</v>
      </c>
      <c r="Y128" s="40">
        <v>24.5733333333333</v>
      </c>
      <c r="Z128" s="40">
        <v>24.3766666666666</v>
      </c>
      <c r="AA128" s="40">
        <v>23.9966666666666</v>
      </c>
      <c r="AB128" s="40">
        <v>24.5</v>
      </c>
      <c r="AC128" s="40">
        <v>25.05</v>
      </c>
      <c r="AD128" s="40">
        <v>24.9719070049187</v>
      </c>
      <c r="AE128" s="40">
        <v>23.77585</v>
      </c>
      <c r="AF128" s="40">
        <v>0.459825</v>
      </c>
      <c r="AG128" s="40">
        <v>26.18</v>
      </c>
      <c r="AH128" s="45">
        <v>44361.0</v>
      </c>
      <c r="AI128" s="44" t="str">
        <f>'6image_RS_benchmark_performance'!B128</f>
        <v>https://3arbzfbsh-cname-us.ngrok.io/Desktop/seabridge%20fintech/image_app/CNP_resistance_support.jpg</v>
      </c>
      <c r="AJ128" s="44" t="str">
        <f>'6image_RS_benchmark_performance'!C128</f>
        <v>https://3arbzfbsh-cname-us.ngrok.io/Desktop/seabridge%20fintech/profit_graph_app/CNP_Return.jpg</v>
      </c>
      <c r="AK128" s="46" t="str">
        <f>'5price_action_icon'!B128</f>
        <v>https://3arbzfbsh-cname-us.ngrok.io/Desktop/seabridge%20fintech/icon/CNP_pa_trend_signal</v>
      </c>
      <c r="AL128" s="42">
        <f>'1kpi_performance'!B128</f>
        <v>0.3669242561</v>
      </c>
      <c r="AM128" s="42">
        <f>'1kpi_performance'!C128</f>
        <v>0.4453117937</v>
      </c>
      <c r="AN128" s="42">
        <f>'1kpi_performance'!D128</f>
        <v>0.4440223207</v>
      </c>
      <c r="AO128" s="42">
        <f>'1kpi_performance'!E128</f>
        <v>0.06845372458</v>
      </c>
      <c r="AP128" s="42">
        <f>'1kpi_performance'!F128</f>
        <v>0.2068653032</v>
      </c>
      <c r="AQ128" s="42">
        <f>'1kpi_performance'!G128</f>
        <v>0.2057217106</v>
      </c>
      <c r="AR128" s="42">
        <f>'1kpi_performance'!H128</f>
        <v>0.1683189119</v>
      </c>
      <c r="AS128" s="42">
        <f>'1kpi_performance'!I128</f>
        <v>0.3049691185</v>
      </c>
      <c r="AT128" s="35">
        <f>'1kpi_performance'!J128</f>
        <v>1.652883547</v>
      </c>
      <c r="AU128" s="35">
        <f>'1kpi_performance'!K128</f>
        <v>2.043108588</v>
      </c>
      <c r="AV128" s="35">
        <f>'1kpi_performance'!L128</f>
        <v>2.489454785</v>
      </c>
      <c r="AW128" s="35">
        <f>'1kpi_performance'!M128</f>
        <v>0.1424856549</v>
      </c>
      <c r="AX128" s="42">
        <f>'1kpi_performance'!N128</f>
        <v>0.1754601227</v>
      </c>
      <c r="AY128" s="42">
        <f>'1kpi_performance'!O128</f>
        <v>0.1754601227</v>
      </c>
      <c r="AZ128" s="42">
        <f>'1kpi_performance'!P128</f>
        <v>0.1439855328</v>
      </c>
      <c r="BA128" s="42">
        <f>'1kpi_performance'!Q128</f>
        <v>0.6146496815</v>
      </c>
      <c r="BB128" s="35">
        <f>'1kpi_performance'!R128</f>
        <v>3.500017303</v>
      </c>
      <c r="BC128" s="35">
        <f>'1kpi_performance'!S128</f>
        <v>4.400039006</v>
      </c>
      <c r="BD128" s="35">
        <f>'1kpi_performance'!T128</f>
        <v>5.722179571</v>
      </c>
      <c r="BE128" s="35">
        <f>'1kpi_performance'!U128</f>
        <v>0.2615970026</v>
      </c>
      <c r="BF128" s="47"/>
      <c r="BG128" s="47"/>
      <c r="BH128" s="47"/>
      <c r="BI128" s="47"/>
      <c r="BJ128" s="47"/>
      <c r="BK128" s="47"/>
      <c r="BL128" s="47"/>
      <c r="BM128" s="47"/>
      <c r="BN128" s="47"/>
      <c r="BO128" s="47"/>
      <c r="BP128" s="47"/>
      <c r="BQ128" s="47"/>
      <c r="BR128" s="47"/>
      <c r="BS128" s="47"/>
      <c r="BT128" s="47"/>
    </row>
    <row r="129" ht="11.25" customHeight="1">
      <c r="A129" s="35" t="str">
        <f>'13all_company_profile'!A129</f>
        <v>COF</v>
      </c>
      <c r="B129" s="35" t="str">
        <f>'13all_company_profile'!B129</f>
        <v>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v>
      </c>
      <c r="C129" s="44" t="str">
        <f>'13all_company_profile'!C129</f>
        <v>https://financialmodelingprep.com/image-stock/COF.png</v>
      </c>
      <c r="D129" s="35" t="str">
        <f>'13all_company_profile'!D129</f>
        <v>Capital One Financial Corporation</v>
      </c>
      <c r="E129" s="36">
        <f>'13all_company_profile'!E129</f>
        <v>72436891648</v>
      </c>
      <c r="F129" s="37">
        <f>'13all_company_profile'!F129</f>
        <v>3186438</v>
      </c>
      <c r="G129" s="35">
        <f>'13all_company_profile'!G129</f>
        <v>1</v>
      </c>
      <c r="H129" s="38">
        <f>'13all_company_profile'!H129</f>
        <v>44399</v>
      </c>
      <c r="I129" s="35">
        <f>'13all_company_profile'!I129</f>
        <v>10.288273</v>
      </c>
      <c r="J129" s="35">
        <f>'13all_company_profile'!J129</f>
        <v>15.298</v>
      </c>
      <c r="K129" s="42">
        <f t="shared" si="1"/>
        <v>0.006329915179</v>
      </c>
      <c r="L129" s="35">
        <f>'7company_info'!B129</f>
        <v>157.98</v>
      </c>
      <c r="M129" s="35">
        <f>'7company_info'!C129</f>
        <v>159.24</v>
      </c>
      <c r="N129" s="35">
        <f>'7company_info'!D129</f>
        <v>152.44</v>
      </c>
      <c r="O129" s="35">
        <f>'7company_info'!E129</f>
        <v>4.37</v>
      </c>
      <c r="P129" s="35">
        <f>'7company_info'!F129</f>
        <v>0.0284</v>
      </c>
      <c r="Q129" s="35">
        <f>'7company_info'!G129</f>
        <v>152.96</v>
      </c>
      <c r="R129" s="35">
        <f>'7company_info'!H129</f>
        <v>153.61</v>
      </c>
      <c r="S129" s="35">
        <f>'7company_info'!I129</f>
        <v>60.3</v>
      </c>
      <c r="T129" s="35">
        <f>'7company_info'!J129</f>
        <v>168</v>
      </c>
      <c r="U129" s="39">
        <v>160.49</v>
      </c>
      <c r="V129" s="39">
        <v>163.35</v>
      </c>
      <c r="W129" s="40">
        <v>167.86</v>
      </c>
      <c r="X129" s="40">
        <v>175.23</v>
      </c>
      <c r="Y129" s="40">
        <v>155.98</v>
      </c>
      <c r="Z129" s="40">
        <v>153.12</v>
      </c>
      <c r="AA129" s="40">
        <v>145.75</v>
      </c>
      <c r="AB129" s="40">
        <v>151.22</v>
      </c>
      <c r="AC129" s="40">
        <v>160.915</v>
      </c>
      <c r="AD129" s="40">
        <v>158.117468018063</v>
      </c>
      <c r="AE129" s="40">
        <v>153.78701</v>
      </c>
      <c r="AF129" s="40">
        <v>4.695495</v>
      </c>
      <c r="AG129" s="40">
        <v>168.0</v>
      </c>
      <c r="AH129" s="45">
        <v>44351.0</v>
      </c>
      <c r="AI129" s="44" t="str">
        <f>'6image_RS_benchmark_performance'!B129</f>
        <v>https://3arbzfbsh-cname-us.ngrok.io/Desktop/seabridge%20fintech/image_app/COF_resistance_support.jpg</v>
      </c>
      <c r="AJ129" s="44" t="str">
        <f>'6image_RS_benchmark_performance'!C129</f>
        <v>https://3arbzfbsh-cname-us.ngrok.io/Desktop/seabridge%20fintech/profit_graph_app/COF_Return.jpg</v>
      </c>
      <c r="AK129" s="46" t="str">
        <f>'5price_action_icon'!B129</f>
        <v>https://3arbzfbsh-cname-us.ngrok.io/Desktop/seabridge%20fintech/icon/COF_pa_trend_signal</v>
      </c>
      <c r="AL129" s="42">
        <f>'1kpi_performance'!B129</f>
        <v>0.5818671055</v>
      </c>
      <c r="AM129" s="42">
        <f>'1kpi_performance'!C129</f>
        <v>0.8035694706</v>
      </c>
      <c r="AN129" s="42">
        <f>'1kpi_performance'!D129</f>
        <v>0.7968338452</v>
      </c>
      <c r="AO129" s="42">
        <f>'1kpi_performance'!E129</f>
        <v>0.1778617824</v>
      </c>
      <c r="AP129" s="42">
        <f>'1kpi_performance'!F129</f>
        <v>0.2794385442</v>
      </c>
      <c r="AQ129" s="42">
        <f>'1kpi_performance'!G129</f>
        <v>0.2706243732</v>
      </c>
      <c r="AR129" s="42">
        <f>'1kpi_performance'!H129</f>
        <v>0.251547399</v>
      </c>
      <c r="AS129" s="42">
        <f>'1kpi_performance'!I129</f>
        <v>0.4029736608</v>
      </c>
      <c r="AT129" s="35">
        <f>'1kpi_performance'!J129</f>
        <v>1.992807066</v>
      </c>
      <c r="AU129" s="35">
        <f>'1kpi_performance'!K129</f>
        <v>2.876937733</v>
      </c>
      <c r="AV129" s="35">
        <f>'1kpi_performance'!L129</f>
        <v>3.068343573</v>
      </c>
      <c r="AW129" s="35">
        <f>'1kpi_performance'!M129</f>
        <v>0.3793344263</v>
      </c>
      <c r="AX129" s="42">
        <f>'1kpi_performance'!N129</f>
        <v>0.2695697252</v>
      </c>
      <c r="AY129" s="42">
        <f>'1kpi_performance'!O129</f>
        <v>0.2824918906</v>
      </c>
      <c r="AZ129" s="42">
        <f>'1kpi_performance'!P129</f>
        <v>0.2695697252</v>
      </c>
      <c r="BA129" s="42">
        <f>'1kpi_performance'!Q129</f>
        <v>0.604065193</v>
      </c>
      <c r="BB129" s="35">
        <f>'1kpi_performance'!R129</f>
        <v>4.145100545</v>
      </c>
      <c r="BC129" s="35">
        <f>'1kpi_performance'!S129</f>
        <v>6.335173716</v>
      </c>
      <c r="BD129" s="35">
        <f>'1kpi_performance'!T129</f>
        <v>7.043199922</v>
      </c>
      <c r="BE129" s="35">
        <f>'1kpi_performance'!U129</f>
        <v>0.7285202899</v>
      </c>
      <c r="BF129" s="47"/>
      <c r="BG129" s="47"/>
      <c r="BH129" s="47"/>
      <c r="BI129" s="47"/>
      <c r="BJ129" s="47"/>
      <c r="BK129" s="47"/>
      <c r="BL129" s="47"/>
      <c r="BM129" s="47"/>
      <c r="BN129" s="47"/>
      <c r="BO129" s="47"/>
      <c r="BP129" s="47"/>
      <c r="BQ129" s="47"/>
      <c r="BR129" s="47"/>
      <c r="BS129" s="47"/>
      <c r="BT129" s="47"/>
    </row>
    <row r="130" ht="11.25" customHeight="1">
      <c r="A130" s="35" t="str">
        <f>'13all_company_profile'!A130</f>
        <v>COG</v>
      </c>
      <c r="B130" s="35" t="str">
        <f>'13all_company_profile'!B130</f>
        <v>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v>
      </c>
      <c r="C130" s="44" t="str">
        <f>'13all_company_profile'!C130</f>
        <v>https://financialmodelingprep.com/image-stock/COG.png</v>
      </c>
      <c r="D130" s="35" t="str">
        <f>'13all_company_profile'!D130</f>
        <v>Cabot Oil &amp; Gas Corporation</v>
      </c>
      <c r="E130" s="36">
        <f>'13all_company_profile'!E130</f>
        <v>6594456064</v>
      </c>
      <c r="F130" s="37">
        <f>'13all_company_profile'!F130</f>
        <v>9332071</v>
      </c>
      <c r="G130" s="35">
        <f>'13all_company_profile'!G130</f>
        <v>0.51</v>
      </c>
      <c r="H130" s="38">
        <f>'13all_company_profile'!H130</f>
        <v>44405</v>
      </c>
      <c r="I130" s="35">
        <f>'13all_company_profile'!I130</f>
        <v>23.764706</v>
      </c>
      <c r="J130" s="35">
        <f>'13all_company_profile'!J130</f>
        <v>0.68</v>
      </c>
      <c r="K130" s="42">
        <f t="shared" si="1"/>
        <v>0.03281853282</v>
      </c>
      <c r="L130" s="35">
        <f>'7company_info'!B130</f>
        <v>15.54</v>
      </c>
      <c r="M130" s="35">
        <f>'7company_info'!C130</f>
        <v>15.82</v>
      </c>
      <c r="N130" s="35">
        <f>'7company_info'!D130</f>
        <v>15.41</v>
      </c>
      <c r="O130" s="35">
        <f>'7company_info'!E130</f>
        <v>-0.1</v>
      </c>
      <c r="P130" s="35">
        <f>'7company_info'!F130</f>
        <v>-0.0064</v>
      </c>
      <c r="Q130" s="35">
        <f>'7company_info'!G130</f>
        <v>15.61</v>
      </c>
      <c r="R130" s="35">
        <f>'7company_info'!H130</f>
        <v>15.64</v>
      </c>
      <c r="S130" s="35">
        <f>'7company_info'!I130</f>
        <v>15.28</v>
      </c>
      <c r="T130" s="35">
        <f>'7company_info'!J130</f>
        <v>21.34</v>
      </c>
      <c r="U130" s="39">
        <v>17.11</v>
      </c>
      <c r="V130" s="39">
        <v>17.47</v>
      </c>
      <c r="W130" s="40">
        <v>18.13</v>
      </c>
      <c r="X130" s="40">
        <v>19.15</v>
      </c>
      <c r="Y130" s="40">
        <v>16.45</v>
      </c>
      <c r="Z130" s="40">
        <v>16.09</v>
      </c>
      <c r="AA130" s="40">
        <v>15.07</v>
      </c>
      <c r="AB130" s="40">
        <v>15.28</v>
      </c>
      <c r="AC130" s="40">
        <v>17.63</v>
      </c>
      <c r="AD130" s="40">
        <v>17.0860085756453</v>
      </c>
      <c r="AE130" s="40">
        <v>16.5285</v>
      </c>
      <c r="AF130" s="40">
        <v>0.60625</v>
      </c>
      <c r="AG130" s="40">
        <v>19.5464</v>
      </c>
      <c r="AH130" s="45">
        <v>44266.0</v>
      </c>
      <c r="AI130" s="44" t="str">
        <f>'6image_RS_benchmark_performance'!B130</f>
        <v>https://3arbzfbsh-cname-us.ngrok.io/Desktop/seabridge%20fintech/image_app/COG_resistance_support.jpg</v>
      </c>
      <c r="AJ130" s="44" t="str">
        <f>'6image_RS_benchmark_performance'!C130</f>
        <v>https://3arbzfbsh-cname-us.ngrok.io/Desktop/seabridge%20fintech/profit_graph_app/COG_Return.jpg</v>
      </c>
      <c r="AK130" s="46" t="str">
        <f>'5price_action_icon'!B130</f>
        <v>https://3arbzfbsh-cname-us.ngrok.io/Desktop/seabridge%20fintech/icon/COG_pa_trend_signal</v>
      </c>
      <c r="AL130" s="42">
        <f>'1kpi_performance'!B130</f>
        <v>0.4798050829</v>
      </c>
      <c r="AM130" s="42">
        <f>'1kpi_performance'!C130</f>
        <v>0.7412446951</v>
      </c>
      <c r="AN130" s="42">
        <f>'1kpi_performance'!D130</f>
        <v>0.9968669633</v>
      </c>
      <c r="AO130" s="42">
        <f>'1kpi_performance'!E130</f>
        <v>0.05732106792</v>
      </c>
      <c r="AP130" s="42">
        <f>'1kpi_performance'!F130</f>
        <v>0.3247310924</v>
      </c>
      <c r="AQ130" s="42">
        <f>'1kpi_performance'!G130</f>
        <v>0.3431011897</v>
      </c>
      <c r="AR130" s="42">
        <f>'1kpi_performance'!H130</f>
        <v>0.3149983737</v>
      </c>
      <c r="AS130" s="42">
        <f>'1kpi_performance'!I130</f>
        <v>0.4595060879</v>
      </c>
      <c r="AT130" s="35">
        <f>'1kpi_performance'!J130</f>
        <v>1.400559089</v>
      </c>
      <c r="AU130" s="35">
        <f>'1kpi_performance'!K130</f>
        <v>2.087561094</v>
      </c>
      <c r="AV130" s="35">
        <f>'1kpi_performance'!L130</f>
        <v>3.085307876</v>
      </c>
      <c r="AW130" s="35">
        <f>'1kpi_performance'!M130</f>
        <v>0.07033871535</v>
      </c>
      <c r="AX130" s="42">
        <f>'1kpi_performance'!N130</f>
        <v>0.2637492343</v>
      </c>
      <c r="AY130" s="42">
        <f>'1kpi_performance'!O130</f>
        <v>0.1662830509</v>
      </c>
      <c r="AZ130" s="42">
        <f>'1kpi_performance'!P130</f>
        <v>0.2717114144</v>
      </c>
      <c r="BA130" s="42">
        <f>'1kpi_performance'!Q130</f>
        <v>0.6753184331</v>
      </c>
      <c r="BB130" s="35">
        <f>'1kpi_performance'!R130</f>
        <v>2.886530551</v>
      </c>
      <c r="BC130" s="35">
        <f>'1kpi_performance'!S130</f>
        <v>4.697873311</v>
      </c>
      <c r="BD130" s="35">
        <f>'1kpi_performance'!T130</f>
        <v>7.179110971</v>
      </c>
      <c r="BE130" s="35">
        <f>'1kpi_performance'!U130</f>
        <v>0.1455578554</v>
      </c>
      <c r="BF130" s="47"/>
      <c r="BG130" s="47"/>
      <c r="BH130" s="47"/>
      <c r="BI130" s="47"/>
      <c r="BJ130" s="47"/>
      <c r="BK130" s="47"/>
      <c r="BL130" s="47"/>
      <c r="BM130" s="47"/>
      <c r="BN130" s="47"/>
      <c r="BO130" s="47"/>
      <c r="BP130" s="47"/>
      <c r="BQ130" s="47"/>
      <c r="BR130" s="47"/>
      <c r="BS130" s="47"/>
      <c r="BT130" s="47"/>
    </row>
    <row r="131" ht="11.25" customHeight="1">
      <c r="A131" s="35" t="str">
        <f>'13all_company_profile'!A131</f>
        <v>COO</v>
      </c>
      <c r="B131" s="35" t="str">
        <f>'13all_company_profile'!B131</f>
        <v>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v>
      </c>
      <c r="C131" s="44" t="str">
        <f>'13all_company_profile'!C131</f>
        <v>https://financialmodelingprep.com/image-stock/COO.png</v>
      </c>
      <c r="D131" s="35" t="str">
        <f>'13all_company_profile'!D131</f>
        <v>The Cooper Companies, Inc.</v>
      </c>
      <c r="E131" s="36">
        <f>'13all_company_profile'!E131</f>
        <v>19813906432</v>
      </c>
      <c r="F131" s="37">
        <f>'13all_company_profile'!F131</f>
        <v>277617</v>
      </c>
      <c r="G131" s="35">
        <f>'13all_company_profile'!G131</f>
        <v>0.06</v>
      </c>
      <c r="H131" s="38" t="str">
        <f>'13all_company_profile'!H131</f>
        <v>not avaiable</v>
      </c>
      <c r="I131" s="35">
        <f>'13all_company_profile'!I131</f>
        <v>8.523876</v>
      </c>
      <c r="J131" s="35">
        <f>'13all_company_profile'!J131</f>
        <v>47.496</v>
      </c>
      <c r="K131" s="42">
        <f t="shared" si="1"/>
        <v>0.0001491350169</v>
      </c>
      <c r="L131" s="35">
        <f>'7company_info'!B131</f>
        <v>402.32</v>
      </c>
      <c r="M131" s="35">
        <f>'7company_info'!C131</f>
        <v>407.12</v>
      </c>
      <c r="N131" s="35">
        <f>'7company_info'!D131</f>
        <v>397.46</v>
      </c>
      <c r="O131" s="35">
        <f>'7company_info'!E131</f>
        <v>5.56</v>
      </c>
      <c r="P131" s="35">
        <f>'7company_info'!F131</f>
        <v>0.014</v>
      </c>
      <c r="Q131" s="35">
        <f>'7company_info'!G131</f>
        <v>397.87</v>
      </c>
      <c r="R131" s="35">
        <f>'7company_info'!H131</f>
        <v>396.76</v>
      </c>
      <c r="S131" s="35">
        <f>'7company_info'!I131</f>
        <v>277.83</v>
      </c>
      <c r="T131" s="35">
        <f>'7company_info'!J131</f>
        <v>415.96</v>
      </c>
      <c r="U131" s="39">
        <v>406.283333333333</v>
      </c>
      <c r="V131" s="39">
        <v>408.416666666666</v>
      </c>
      <c r="W131" s="40">
        <v>411.323333333333</v>
      </c>
      <c r="X131" s="40">
        <v>416.363333333333</v>
      </c>
      <c r="Y131" s="40">
        <v>403.376666666666</v>
      </c>
      <c r="Z131" s="40">
        <v>401.243333333333</v>
      </c>
      <c r="AA131" s="40">
        <v>396.203333333333</v>
      </c>
      <c r="AB131" s="40">
        <v>396.72</v>
      </c>
      <c r="AC131" s="40">
        <v>411.79</v>
      </c>
      <c r="AD131" s="40">
        <v>400.432720127213</v>
      </c>
      <c r="AE131" s="40">
        <v>397.5775</v>
      </c>
      <c r="AF131" s="40">
        <v>5.82725</v>
      </c>
      <c r="AG131" s="40">
        <v>415.96</v>
      </c>
      <c r="AH131" s="45">
        <v>44319.0</v>
      </c>
      <c r="AI131" s="44" t="str">
        <f>'6image_RS_benchmark_performance'!B131</f>
        <v>https://3arbzfbsh-cname-us.ngrok.io/Desktop/seabridge%20fintech/image_app/COO_resistance_support.jpg</v>
      </c>
      <c r="AJ131" s="44" t="str">
        <f>'6image_RS_benchmark_performance'!C131</f>
        <v>https://3arbzfbsh-cname-us.ngrok.io/Desktop/seabridge%20fintech/profit_graph_app/COO_Return.jpg</v>
      </c>
      <c r="AK131" s="46" t="str">
        <f>'5price_action_icon'!B131</f>
        <v>https://3arbzfbsh-cname-us.ngrok.io/Desktop/seabridge%20fintech/icon/COO_pa_trend_signal</v>
      </c>
      <c r="AL131" s="42">
        <f>'1kpi_performance'!B131</f>
        <v>0.6597662431</v>
      </c>
      <c r="AM131" s="42">
        <f>'1kpi_performance'!C131</f>
        <v>0.7475625525</v>
      </c>
      <c r="AN131" s="42">
        <f>'1kpi_performance'!D131</f>
        <v>0.5772624283</v>
      </c>
      <c r="AO131" s="42">
        <f>'1kpi_performance'!E131</f>
        <v>0.3474467153</v>
      </c>
      <c r="AP131" s="42">
        <f>'1kpi_performance'!F131</f>
        <v>0.2054465668</v>
      </c>
      <c r="AQ131" s="42">
        <f>'1kpi_performance'!G131</f>
        <v>0.2183254322</v>
      </c>
      <c r="AR131" s="42">
        <f>'1kpi_performance'!H131</f>
        <v>0.1957730195</v>
      </c>
      <c r="AS131" s="42">
        <f>'1kpi_performance'!I131</f>
        <v>0.3150157528</v>
      </c>
      <c r="AT131" s="35">
        <f>'1kpi_performance'!J131</f>
        <v>3.089690195</v>
      </c>
      <c r="AU131" s="35">
        <f>'1kpi_performance'!K131</f>
        <v>3.309566573</v>
      </c>
      <c r="AV131" s="35">
        <f>'1kpi_performance'!L131</f>
        <v>2.820932271</v>
      </c>
      <c r="AW131" s="35">
        <f>'1kpi_performance'!M131</f>
        <v>1.023589178</v>
      </c>
      <c r="AX131" s="42">
        <f>'1kpi_performance'!N131</f>
        <v>0.094642232</v>
      </c>
      <c r="AY131" s="42">
        <f>'1kpi_performance'!O131</f>
        <v>0.1027983231</v>
      </c>
      <c r="AZ131" s="42">
        <f>'1kpi_performance'!P131</f>
        <v>0.2883511039</v>
      </c>
      <c r="BA131" s="42">
        <f>'1kpi_performance'!Q131</f>
        <v>0.3600401925</v>
      </c>
      <c r="BB131" s="35">
        <f>'1kpi_performance'!R131</f>
        <v>7.625546052</v>
      </c>
      <c r="BC131" s="35">
        <f>'1kpi_performance'!S131</f>
        <v>8.251630965</v>
      </c>
      <c r="BD131" s="35">
        <f>'1kpi_performance'!T131</f>
        <v>5.900093712</v>
      </c>
      <c r="BE131" s="35">
        <f>'1kpi_performance'!U131</f>
        <v>2.003952382</v>
      </c>
      <c r="BF131" s="47"/>
      <c r="BG131" s="47"/>
      <c r="BH131" s="47"/>
      <c r="BI131" s="47"/>
      <c r="BJ131" s="47"/>
      <c r="BK131" s="47"/>
      <c r="BL131" s="47"/>
      <c r="BM131" s="47"/>
      <c r="BN131" s="47"/>
      <c r="BO131" s="47"/>
      <c r="BP131" s="47"/>
      <c r="BQ131" s="47"/>
      <c r="BR131" s="47"/>
      <c r="BS131" s="47"/>
      <c r="BT131" s="47"/>
    </row>
    <row r="132" ht="11.25" customHeight="1">
      <c r="A132" s="35" t="str">
        <f>'13all_company_profile'!A132</f>
        <v>COP</v>
      </c>
      <c r="B132" s="35" t="str">
        <f>'13all_company_profile'!B132</f>
        <v>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v>
      </c>
      <c r="C132" s="44" t="str">
        <f>'13all_company_profile'!C132</f>
        <v>https://financialmodelingprep.com/image-stock/COP.png</v>
      </c>
      <c r="D132" s="35" t="str">
        <f>'13all_company_profile'!D132</f>
        <v>ConocoPhillips</v>
      </c>
      <c r="E132" s="36">
        <f>'13all_company_profile'!E132</f>
        <v>76997910528</v>
      </c>
      <c r="F132" s="37">
        <f>'13all_company_profile'!F132</f>
        <v>8496590</v>
      </c>
      <c r="G132" s="35">
        <f>'13all_company_profile'!G132</f>
        <v>2.14</v>
      </c>
      <c r="H132" s="38">
        <f>'13all_company_profile'!H132</f>
        <v>44411</v>
      </c>
      <c r="I132" s="35">
        <f>'13all_company_profile'!I132</f>
        <v>9234.983</v>
      </c>
      <c r="J132" s="35">
        <f>'13all_company_profile'!J132</f>
        <v>0.006</v>
      </c>
      <c r="K132" s="42">
        <f t="shared" si="1"/>
        <v>0.03928768129</v>
      </c>
      <c r="L132" s="35">
        <f>'7company_info'!B132</f>
        <v>54.47</v>
      </c>
      <c r="M132" s="35">
        <f>'7company_info'!C132</f>
        <v>55.25</v>
      </c>
      <c r="N132" s="35">
        <f>'7company_info'!D132</f>
        <v>53.28</v>
      </c>
      <c r="O132" s="35">
        <f>'7company_info'!E132</f>
        <v>0.77</v>
      </c>
      <c r="P132" s="35">
        <f>'7company_info'!F132</f>
        <v>0.0143</v>
      </c>
      <c r="Q132" s="35">
        <f>'7company_info'!G132</f>
        <v>53.5</v>
      </c>
      <c r="R132" s="35">
        <f>'7company_info'!H132</f>
        <v>53.7</v>
      </c>
      <c r="S132" s="35">
        <f>'7company_info'!I132</f>
        <v>27.53</v>
      </c>
      <c r="T132" s="35">
        <f>'7company_info'!J132</f>
        <v>63.57</v>
      </c>
      <c r="U132" s="39">
        <v>58.54</v>
      </c>
      <c r="V132" s="39">
        <v>59.74</v>
      </c>
      <c r="W132" s="40">
        <v>61.81</v>
      </c>
      <c r="X132" s="40">
        <v>65.0799999999999</v>
      </c>
      <c r="Y132" s="40">
        <v>56.47</v>
      </c>
      <c r="Z132" s="40">
        <v>55.27</v>
      </c>
      <c r="AA132" s="40">
        <v>52.0</v>
      </c>
      <c r="AB132" s="40">
        <v>60.2099</v>
      </c>
      <c r="AC132" s="40">
        <v>59.64</v>
      </c>
      <c r="AD132" s="40">
        <v>59.7075705104837</v>
      </c>
      <c r="AE132" s="40">
        <v>55.93036</v>
      </c>
      <c r="AF132" s="40">
        <v>1.86607</v>
      </c>
      <c r="AG132" s="40">
        <v>63.57</v>
      </c>
      <c r="AH132" s="45">
        <v>44378.0</v>
      </c>
      <c r="AI132" s="44" t="str">
        <f>'6image_RS_benchmark_performance'!B132</f>
        <v>https://3arbzfbsh-cname-us.ngrok.io/Desktop/seabridge%20fintech/image_app/COP_resistance_support.jpg</v>
      </c>
      <c r="AJ132" s="44" t="str">
        <f>'6image_RS_benchmark_performance'!C132</f>
        <v>https://3arbzfbsh-cname-us.ngrok.io/Desktop/seabridge%20fintech/profit_graph_app/COP_Return.jpg</v>
      </c>
      <c r="AK132" s="46" t="str">
        <f>'5price_action_icon'!B132</f>
        <v>https://3arbzfbsh-cname-us.ngrok.io/Desktop/seabridge%20fintech/icon/COP_pa_trend_signal</v>
      </c>
      <c r="AL132" s="42">
        <f>'1kpi_performance'!B132</f>
        <v>0.6678001803</v>
      </c>
      <c r="AM132" s="42">
        <f>'1kpi_performance'!C132</f>
        <v>0.7801957487</v>
      </c>
      <c r="AN132" s="42">
        <f>'1kpi_performance'!D132</f>
        <v>0.3982760393</v>
      </c>
      <c r="AO132" s="42">
        <f>'1kpi_performance'!E132</f>
        <v>0.04722152138</v>
      </c>
      <c r="AP132" s="42">
        <f>'1kpi_performance'!F132</f>
        <v>0.2818643637</v>
      </c>
      <c r="AQ132" s="42">
        <f>'1kpi_performance'!G132</f>
        <v>0.2611016376</v>
      </c>
      <c r="AR132" s="42">
        <f>'1kpi_performance'!H132</f>
        <v>0.3273499498</v>
      </c>
      <c r="AS132" s="42">
        <f>'1kpi_performance'!I132</f>
        <v>0.4090155803</v>
      </c>
      <c r="AT132" s="35">
        <f>'1kpi_performance'!J132</f>
        <v>2.280530153</v>
      </c>
      <c r="AU132" s="35">
        <f>'1kpi_performance'!K132</f>
        <v>2.892343977</v>
      </c>
      <c r="AV132" s="35">
        <f>'1kpi_performance'!L132</f>
        <v>1.140296614</v>
      </c>
      <c r="AW132" s="35">
        <f>'1kpi_performance'!M132</f>
        <v>0.05432927852</v>
      </c>
      <c r="AX132" s="42">
        <f>'1kpi_performance'!N132</f>
        <v>0.1842374616</v>
      </c>
      <c r="AY132" s="42">
        <f>'1kpi_performance'!O132</f>
        <v>0.1430792052</v>
      </c>
      <c r="AZ132" s="42">
        <f>'1kpi_performance'!P132</f>
        <v>0.6247457527</v>
      </c>
      <c r="BA132" s="42">
        <f>'1kpi_performance'!Q132</f>
        <v>0.7387044721</v>
      </c>
      <c r="BB132" s="35">
        <f>'1kpi_performance'!R132</f>
        <v>5.322938667</v>
      </c>
      <c r="BC132" s="35">
        <f>'1kpi_performance'!S132</f>
        <v>6.874875748</v>
      </c>
      <c r="BD132" s="35">
        <f>'1kpi_performance'!T132</f>
        <v>2.150538545</v>
      </c>
      <c r="BE132" s="35">
        <f>'1kpi_performance'!U132</f>
        <v>0.1059101595</v>
      </c>
      <c r="BF132" s="47"/>
      <c r="BG132" s="47"/>
      <c r="BH132" s="47"/>
      <c r="BI132" s="47"/>
      <c r="BJ132" s="47"/>
      <c r="BK132" s="47"/>
      <c r="BL132" s="47"/>
      <c r="BM132" s="47"/>
      <c r="BN132" s="47"/>
      <c r="BO132" s="47"/>
      <c r="BP132" s="47"/>
      <c r="BQ132" s="47"/>
      <c r="BR132" s="47"/>
      <c r="BS132" s="47"/>
      <c r="BT132" s="47"/>
    </row>
    <row r="133" ht="11.25" customHeight="1">
      <c r="A133" s="35" t="str">
        <f>'13all_company_profile'!A133</f>
        <v>COST</v>
      </c>
      <c r="B133" s="35" t="str">
        <f>'13all_company_profile'!B133</f>
        <v>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v>
      </c>
      <c r="C133" s="44" t="str">
        <f>'13all_company_profile'!C133</f>
        <v>https://financialmodelingprep.com/image-stock/COST.png</v>
      </c>
      <c r="D133" s="35" t="str">
        <f>'13all_company_profile'!D133</f>
        <v>Costco Wholesale Corporation</v>
      </c>
      <c r="E133" s="36">
        <f>'13all_company_profile'!E133</f>
        <v>182052847616</v>
      </c>
      <c r="F133" s="37">
        <f>'13all_company_profile'!F133</f>
        <v>1947617</v>
      </c>
      <c r="G133" s="35">
        <f>'13all_company_profile'!G133</f>
        <v>12.89</v>
      </c>
      <c r="H133" s="38" t="str">
        <f>'13all_company_profile'!H133</f>
        <v>not avaiable</v>
      </c>
      <c r="I133" s="35">
        <f>'13all_company_profile'!I133</f>
        <v>38.711346</v>
      </c>
      <c r="J133" s="35">
        <f>'13all_company_profile'!J133</f>
        <v>10.639</v>
      </c>
      <c r="K133" s="42">
        <f t="shared" si="1"/>
        <v>0.03096771094</v>
      </c>
      <c r="L133" s="35">
        <f>'7company_info'!B133</f>
        <v>416.24</v>
      </c>
      <c r="M133" s="35">
        <f>'7company_info'!C133</f>
        <v>418.07</v>
      </c>
      <c r="N133" s="35">
        <f>'7company_info'!D133</f>
        <v>412.85</v>
      </c>
      <c r="O133" s="35">
        <f>'7company_info'!E133</f>
        <v>2.09</v>
      </c>
      <c r="P133" s="35">
        <f>'7company_info'!F133</f>
        <v>0.005</v>
      </c>
      <c r="Q133" s="35">
        <f>'7company_info'!G133</f>
        <v>414</v>
      </c>
      <c r="R133" s="35">
        <f>'7company_info'!H133</f>
        <v>414.15</v>
      </c>
      <c r="S133" s="35">
        <f>'7company_info'!I133</f>
        <v>307</v>
      </c>
      <c r="T133" s="35">
        <f>'7company_info'!J133</f>
        <v>418.07</v>
      </c>
      <c r="U133" s="39">
        <v>409.226666666666</v>
      </c>
      <c r="V133" s="39">
        <v>411.193333333333</v>
      </c>
      <c r="W133" s="40">
        <v>412.436666666666</v>
      </c>
      <c r="X133" s="40">
        <v>415.646666666666</v>
      </c>
      <c r="Y133" s="40">
        <v>407.983333333333</v>
      </c>
      <c r="Z133" s="40">
        <v>406.016666666666</v>
      </c>
      <c r="AA133" s="40">
        <v>402.806666666666</v>
      </c>
      <c r="AB133" s="40">
        <v>399.2</v>
      </c>
      <c r="AC133" s="40">
        <v>414.35</v>
      </c>
      <c r="AD133" s="40">
        <v>398.31000669085</v>
      </c>
      <c r="AE133" s="40">
        <v>396.15281</v>
      </c>
      <c r="AF133" s="40">
        <v>5.4771</v>
      </c>
      <c r="AG133" s="40">
        <v>389.45</v>
      </c>
      <c r="AH133" s="45">
        <v>44334.0</v>
      </c>
      <c r="AI133" s="44" t="str">
        <f>'6image_RS_benchmark_performance'!B133</f>
        <v>https://3arbzfbsh-cname-us.ngrok.io/Desktop/seabridge%20fintech/image_app/COST_resistance_support.jpg</v>
      </c>
      <c r="AJ133" s="44" t="str">
        <f>'6image_RS_benchmark_performance'!C133</f>
        <v>https://3arbzfbsh-cname-us.ngrok.io/Desktop/seabridge%20fintech/profit_graph_app/COST_Return.jpg</v>
      </c>
      <c r="AK133" s="46" t="str">
        <f>'5price_action_icon'!B133</f>
        <v>https://3arbzfbsh-cname-us.ngrok.io/Desktop/seabridge%20fintech/icon/COST_pa_trend_signal</v>
      </c>
      <c r="AL133" s="42">
        <f>'1kpi_performance'!B133</f>
        <v>0.4916395364</v>
      </c>
      <c r="AM133" s="42">
        <f>'1kpi_performance'!C133</f>
        <v>0.6309964934</v>
      </c>
      <c r="AN133" s="42">
        <f>'1kpi_performance'!D133</f>
        <v>0.3947204498</v>
      </c>
      <c r="AO133" s="42">
        <f>'1kpi_performance'!E133</f>
        <v>0.2929721999</v>
      </c>
      <c r="AP133" s="42">
        <f>'1kpi_performance'!F133</f>
        <v>0.1456632583</v>
      </c>
      <c r="AQ133" s="42">
        <f>'1kpi_performance'!G133</f>
        <v>0.1627783796</v>
      </c>
      <c r="AR133" s="42">
        <f>'1kpi_performance'!H133</f>
        <v>0.1661156689</v>
      </c>
      <c r="AS133" s="42">
        <f>'1kpi_performance'!I133</f>
        <v>0.230252751</v>
      </c>
      <c r="AT133" s="35">
        <f>'1kpi_performance'!J133</f>
        <v>3.203550036</v>
      </c>
      <c r="AU133" s="35">
        <f>'1kpi_performance'!K133</f>
        <v>3.722831588</v>
      </c>
      <c r="AV133" s="35">
        <f>'1kpi_performance'!L133</f>
        <v>2.225680769</v>
      </c>
      <c r="AW133" s="35">
        <f>'1kpi_performance'!M133</f>
        <v>1.163817582</v>
      </c>
      <c r="AX133" s="42">
        <f>'1kpi_performance'!N133</f>
        <v>0.08384724561</v>
      </c>
      <c r="AY133" s="42">
        <f>'1kpi_performance'!O133</f>
        <v>0.08363624959</v>
      </c>
      <c r="AZ133" s="42">
        <f>'1kpi_performance'!P133</f>
        <v>0.1522549026</v>
      </c>
      <c r="BA133" s="42">
        <f>'1kpi_performance'!Q133</f>
        <v>0.2220219223</v>
      </c>
      <c r="BB133" s="35">
        <f>'1kpi_performance'!R133</f>
        <v>7.271575538</v>
      </c>
      <c r="BC133" s="35">
        <f>'1kpi_performance'!S133</f>
        <v>9.228227532</v>
      </c>
      <c r="BD133" s="35">
        <f>'1kpi_performance'!T133</f>
        <v>4.623428978</v>
      </c>
      <c r="BE133" s="35">
        <f>'1kpi_performance'!U133</f>
        <v>2.318860766</v>
      </c>
      <c r="BF133" s="47"/>
      <c r="BG133" s="47"/>
      <c r="BH133" s="47"/>
      <c r="BI133" s="47"/>
      <c r="BJ133" s="47"/>
      <c r="BK133" s="47"/>
      <c r="BL133" s="47"/>
      <c r="BM133" s="47"/>
      <c r="BN133" s="47"/>
      <c r="BO133" s="47"/>
      <c r="BP133" s="47"/>
      <c r="BQ133" s="47"/>
      <c r="BR133" s="47"/>
      <c r="BS133" s="47"/>
      <c r="BT133" s="47"/>
    </row>
    <row r="134" ht="11.25" customHeight="1">
      <c r="A134" s="35" t="str">
        <f>'13all_company_profile'!A134</f>
        <v>CPB</v>
      </c>
      <c r="B134" s="35" t="str">
        <f>'13all_company_profile'!B134</f>
        <v>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v>
      </c>
      <c r="C134" s="44" t="str">
        <f>'13all_company_profile'!C134</f>
        <v>https://financialmodelingprep.com/image-stock/CPB.png</v>
      </c>
      <c r="D134" s="35" t="str">
        <f>'13all_company_profile'!D134</f>
        <v>Campbell Soup Company</v>
      </c>
      <c r="E134" s="36">
        <f>'13all_company_profile'!E134</f>
        <v>13643356160</v>
      </c>
      <c r="F134" s="37">
        <f>'13all_company_profile'!F134</f>
        <v>2445858</v>
      </c>
      <c r="G134" s="35">
        <f>'13all_company_profile'!G134</f>
        <v>1.46</v>
      </c>
      <c r="H134" s="38" t="str">
        <f>'13all_company_profile'!H134</f>
        <v>not avaiable</v>
      </c>
      <c r="I134" s="35">
        <f>'13all_company_profile'!I134</f>
        <v>17.268238</v>
      </c>
      <c r="J134" s="35">
        <f>'13all_company_profile'!J134</f>
        <v>2.632</v>
      </c>
      <c r="K134" s="42">
        <f t="shared" si="1"/>
        <v>0.03224381625</v>
      </c>
      <c r="L134" s="35">
        <f>'7company_info'!B134</f>
        <v>45.28</v>
      </c>
      <c r="M134" s="35">
        <f>'7company_info'!C134</f>
        <v>46.49</v>
      </c>
      <c r="N134" s="35">
        <f>'7company_info'!D134</f>
        <v>45.21</v>
      </c>
      <c r="O134" s="35">
        <f>'7company_info'!E134</f>
        <v>-0.63</v>
      </c>
      <c r="P134" s="35">
        <f>'7company_info'!F134</f>
        <v>-0.0137</v>
      </c>
      <c r="Q134" s="35">
        <f>'7company_info'!G134</f>
        <v>46.11</v>
      </c>
      <c r="R134" s="35">
        <f>'7company_info'!H134</f>
        <v>45.91</v>
      </c>
      <c r="S134" s="35">
        <f>'7company_info'!I134</f>
        <v>43.82</v>
      </c>
      <c r="T134" s="35">
        <f>'7company_info'!J134</f>
        <v>54.08</v>
      </c>
      <c r="U134" s="39">
        <v>44.285</v>
      </c>
      <c r="V134" s="39">
        <v>44.7499999999999</v>
      </c>
      <c r="W134" s="40">
        <v>45.13</v>
      </c>
      <c r="X134" s="40">
        <v>45.975</v>
      </c>
      <c r="Y134" s="40">
        <v>43.905</v>
      </c>
      <c r="Z134" s="40">
        <v>43.44</v>
      </c>
      <c r="AA134" s="40">
        <v>42.595</v>
      </c>
      <c r="AB134" s="40">
        <v>43.82</v>
      </c>
      <c r="AC134" s="40">
        <v>46.2</v>
      </c>
      <c r="AD134" s="40">
        <v>45.7754871309537</v>
      </c>
      <c r="AE134" s="40">
        <v>43.51198</v>
      </c>
      <c r="AF134" s="40">
        <v>0.601009999999999</v>
      </c>
      <c r="AG134" s="40">
        <v>53.77</v>
      </c>
      <c r="AH134" s="45">
        <v>44223.0</v>
      </c>
      <c r="AI134" s="44" t="str">
        <f>'6image_RS_benchmark_performance'!B134</f>
        <v>https://3arbzfbsh-cname-us.ngrok.io/Desktop/seabridge%20fintech/image_app/CPB_resistance_support.jpg</v>
      </c>
      <c r="AJ134" s="44" t="str">
        <f>'6image_RS_benchmark_performance'!C134</f>
        <v>https://3arbzfbsh-cname-us.ngrok.io/Desktop/seabridge%20fintech/profit_graph_app/CPB_Return.jpg</v>
      </c>
      <c r="AK134" s="46" t="str">
        <f>'5price_action_icon'!B134</f>
        <v>https://3arbzfbsh-cname-us.ngrok.io/Desktop/seabridge%20fintech/icon/CPB_pa_trend_signal</v>
      </c>
      <c r="AL134" s="42">
        <f>'1kpi_performance'!B134</f>
        <v>0.3598313509</v>
      </c>
      <c r="AM134" s="42">
        <f>'1kpi_performance'!C134</f>
        <v>0.4319593654</v>
      </c>
      <c r="AN134" s="42">
        <f>'1kpi_performance'!D134</f>
        <v>0.4004937722</v>
      </c>
      <c r="AO134" s="42">
        <f>'1kpi_performance'!E134</f>
        <v>0.03907921346</v>
      </c>
      <c r="AP134" s="42">
        <f>'1kpi_performance'!F134</f>
        <v>0.1828640784</v>
      </c>
      <c r="AQ134" s="42">
        <f>'1kpi_performance'!G134</f>
        <v>0.1809544785</v>
      </c>
      <c r="AR134" s="42">
        <f>'1kpi_performance'!H134</f>
        <v>0.1813534318</v>
      </c>
      <c r="AS134" s="42">
        <f>'1kpi_performance'!I134</f>
        <v>0.2601326917</v>
      </c>
      <c r="AT134" s="35">
        <f>'1kpi_performance'!J134</f>
        <v>1.831039502</v>
      </c>
      <c r="AU134" s="35">
        <f>'1kpi_performance'!K134</f>
        <v>2.248959897</v>
      </c>
      <c r="AV134" s="35">
        <f>'1kpi_performance'!L134</f>
        <v>2.070508226</v>
      </c>
      <c r="AW134" s="35">
        <f>'1kpi_performance'!M134</f>
        <v>0.05412319908</v>
      </c>
      <c r="AX134" s="42">
        <f>'1kpi_performance'!N134</f>
        <v>0.1096566116</v>
      </c>
      <c r="AY134" s="42">
        <f>'1kpi_performance'!O134</f>
        <v>0.0878970121</v>
      </c>
      <c r="AZ134" s="42">
        <f>'1kpi_performance'!P134</f>
        <v>0.2131971843</v>
      </c>
      <c r="BA134" s="42">
        <f>'1kpi_performance'!Q134</f>
        <v>0.5224278312</v>
      </c>
      <c r="BB134" s="35">
        <f>'1kpi_performance'!R134</f>
        <v>3.868849059</v>
      </c>
      <c r="BC134" s="35">
        <f>'1kpi_performance'!S134</f>
        <v>5.260553819</v>
      </c>
      <c r="BD134" s="35">
        <f>'1kpi_performance'!T134</f>
        <v>4.106057961</v>
      </c>
      <c r="BE134" s="35">
        <f>'1kpi_performance'!U134</f>
        <v>0.1012255942</v>
      </c>
      <c r="BF134" s="47"/>
      <c r="BG134" s="47"/>
      <c r="BH134" s="47"/>
      <c r="BI134" s="47"/>
      <c r="BJ134" s="47"/>
      <c r="BK134" s="47"/>
      <c r="BL134" s="47"/>
      <c r="BM134" s="47"/>
      <c r="BN134" s="47"/>
      <c r="BO134" s="47"/>
      <c r="BP134" s="47"/>
      <c r="BQ134" s="47"/>
      <c r="BR134" s="47"/>
      <c r="BS134" s="47"/>
      <c r="BT134" s="47"/>
    </row>
    <row r="135" ht="11.25" customHeight="1">
      <c r="A135" s="35" t="str">
        <f>'13all_company_profile'!A135</f>
        <v>CPRT</v>
      </c>
      <c r="B135" s="35" t="str">
        <f>'13all_company_profile'!B135</f>
        <v>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v>
      </c>
      <c r="C135" s="44" t="str">
        <f>'13all_company_profile'!C135</f>
        <v>https://financialmodelingprep.com/image-stock/CPRT.png</v>
      </c>
      <c r="D135" s="35" t="str">
        <f>'13all_company_profile'!D135</f>
        <v>Copart, Inc.</v>
      </c>
      <c r="E135" s="36">
        <f>'13all_company_profile'!E135</f>
        <v>33000265728</v>
      </c>
      <c r="F135" s="37">
        <f>'13all_company_profile'!F135</f>
        <v>946385</v>
      </c>
      <c r="G135" s="35">
        <f>'13all_company_profile'!G135</f>
        <v>0</v>
      </c>
      <c r="H135" s="38" t="str">
        <f>'13all_company_profile'!H135</f>
        <v>not avaiable</v>
      </c>
      <c r="I135" s="35">
        <f>'13all_company_profile'!I135</f>
        <v>39.894917</v>
      </c>
      <c r="J135" s="35">
        <f>'13all_company_profile'!J135</f>
        <v>3.521</v>
      </c>
      <c r="K135" s="42" t="str">
        <f t="shared" si="1"/>
        <v>NaN</v>
      </c>
      <c r="L135" s="35">
        <f>'7company_info'!B135</f>
        <v>143.45</v>
      </c>
      <c r="M135" s="35">
        <f>'7company_info'!C135</f>
        <v>144.44</v>
      </c>
      <c r="N135" s="35">
        <f>'7company_info'!D135</f>
        <v>139.9</v>
      </c>
      <c r="O135" s="35">
        <f>'7company_info'!E135</f>
        <v>3.73</v>
      </c>
      <c r="P135" s="35">
        <f>'7company_info'!F135</f>
        <v>0.0267</v>
      </c>
      <c r="Q135" s="35">
        <f>'7company_info'!G135</f>
        <v>140.26</v>
      </c>
      <c r="R135" s="35">
        <f>'7company_info'!H135</f>
        <v>139.72</v>
      </c>
      <c r="S135" s="35">
        <f>'7company_info'!I135</f>
        <v>84.66</v>
      </c>
      <c r="T135" s="35">
        <f>'7company_info'!J135</f>
        <v>144.44</v>
      </c>
      <c r="U135" s="39">
        <v>139.6734</v>
      </c>
      <c r="V135" s="39">
        <v>140.3568</v>
      </c>
      <c r="W135" s="40">
        <v>141.1836</v>
      </c>
      <c r="X135" s="40">
        <v>142.6938</v>
      </c>
      <c r="Y135" s="40">
        <v>138.8466</v>
      </c>
      <c r="Z135" s="40">
        <v>138.1632</v>
      </c>
      <c r="AA135" s="40">
        <v>136.653</v>
      </c>
      <c r="AB135" s="40">
        <v>136.16</v>
      </c>
      <c r="AC135" s="40">
        <v>140.66</v>
      </c>
      <c r="AD135" s="40">
        <v>134.114986133808</v>
      </c>
      <c r="AE135" s="40">
        <v>133.80041</v>
      </c>
      <c r="AF135" s="40">
        <v>2.29730499999999</v>
      </c>
      <c r="AG135" s="40">
        <v>130.07</v>
      </c>
      <c r="AH135" s="45">
        <v>44343.0</v>
      </c>
      <c r="AI135" s="44" t="str">
        <f>'6image_RS_benchmark_performance'!B135</f>
        <v>https://3arbzfbsh-cname-us.ngrok.io/Desktop/seabridge%20fintech/image_app/CPRT_resistance_support.jpg</v>
      </c>
      <c r="AJ135" s="44" t="str">
        <f>'6image_RS_benchmark_performance'!C135</f>
        <v>https://3arbzfbsh-cname-us.ngrok.io/Desktop/seabridge%20fintech/profit_graph_app/CPRT_Return.jpg</v>
      </c>
      <c r="AK135" s="46" t="str">
        <f>'5price_action_icon'!B135</f>
        <v>https://3arbzfbsh-cname-us.ngrok.io/Desktop/seabridge%20fintech/icon/CPRT_pa_trend_signal</v>
      </c>
      <c r="AL135" s="42">
        <f>'1kpi_performance'!B135</f>
        <v>0.6610654679</v>
      </c>
      <c r="AM135" s="42">
        <f>'1kpi_performance'!C135</f>
        <v>0.889994264</v>
      </c>
      <c r="AN135" s="42">
        <f>'1kpi_performance'!D135</f>
        <v>0.8906806669</v>
      </c>
      <c r="AO135" s="42">
        <f>'1kpi_performance'!E135</f>
        <v>0.4130538067</v>
      </c>
      <c r="AP135" s="42">
        <f>'1kpi_performance'!F135</f>
        <v>0.2136651089</v>
      </c>
      <c r="AQ135" s="42">
        <f>'1kpi_performance'!G135</f>
        <v>0.209069952</v>
      </c>
      <c r="AR135" s="42">
        <f>'1kpi_performance'!H135</f>
        <v>0.1876491901</v>
      </c>
      <c r="AS135" s="42">
        <f>'1kpi_performance'!I135</f>
        <v>0.3003804183</v>
      </c>
      <c r="AT135" s="35">
        <f>'1kpi_performance'!J135</f>
        <v>2.97692717</v>
      </c>
      <c r="AU135" s="35">
        <f>'1kpi_performance'!K135</f>
        <v>4.137343772</v>
      </c>
      <c r="AV135" s="35">
        <f>'1kpi_performance'!L135</f>
        <v>4.613292849</v>
      </c>
      <c r="AW135" s="35">
        <f>'1kpi_performance'!M135</f>
        <v>1.291874513</v>
      </c>
      <c r="AX135" s="42">
        <f>'1kpi_performance'!N135</f>
        <v>0.1482910695</v>
      </c>
      <c r="AY135" s="42">
        <f>'1kpi_performance'!O135</f>
        <v>0.1482910695</v>
      </c>
      <c r="AZ135" s="42">
        <f>'1kpi_performance'!P135</f>
        <v>0.1614111283</v>
      </c>
      <c r="BA135" s="42">
        <f>'1kpi_performance'!Q135</f>
        <v>0.4375119617</v>
      </c>
      <c r="BB135" s="35">
        <f>'1kpi_performance'!R135</f>
        <v>6.798487518</v>
      </c>
      <c r="BC135" s="35">
        <f>'1kpi_performance'!S135</f>
        <v>10.2077591</v>
      </c>
      <c r="BD135" s="35">
        <f>'1kpi_performance'!T135</f>
        <v>11.49037361</v>
      </c>
      <c r="BE135" s="35">
        <f>'1kpi_performance'!U135</f>
        <v>2.519221116</v>
      </c>
      <c r="BF135" s="47"/>
      <c r="BG135" s="47"/>
      <c r="BH135" s="47"/>
      <c r="BI135" s="47"/>
      <c r="BJ135" s="47"/>
      <c r="BK135" s="47"/>
      <c r="BL135" s="47"/>
      <c r="BM135" s="47"/>
      <c r="BN135" s="47"/>
      <c r="BO135" s="47"/>
      <c r="BP135" s="47"/>
      <c r="BQ135" s="47"/>
      <c r="BR135" s="47"/>
      <c r="BS135" s="47"/>
      <c r="BT135" s="47"/>
    </row>
    <row r="136" ht="11.25" customHeight="1">
      <c r="A136" s="35" t="str">
        <f>'13all_company_profile'!A136</f>
        <v>CRL</v>
      </c>
      <c r="B136" s="35" t="str">
        <f>'13all_company_profile'!B136</f>
        <v>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v>
      </c>
      <c r="C136" s="44" t="str">
        <f>'13all_company_profile'!C136</f>
        <v>https://financialmodelingprep.com/image-stock/CRL.png</v>
      </c>
      <c r="D136" s="35" t="str">
        <f>'13all_company_profile'!D136</f>
        <v>Charles River Laboratories International, Inc.</v>
      </c>
      <c r="E136" s="36">
        <f>'13all_company_profile'!E136</f>
        <v>19174961152</v>
      </c>
      <c r="F136" s="37">
        <f>'13all_company_profile'!F136</f>
        <v>622604</v>
      </c>
      <c r="G136" s="35">
        <f>'13all_company_profile'!G136</f>
        <v>0</v>
      </c>
      <c r="H136" s="38">
        <f>'13all_company_profile'!H136</f>
        <v>44411</v>
      </c>
      <c r="I136" s="35">
        <f>'13all_company_profile'!I136</f>
        <v>52.246063</v>
      </c>
      <c r="J136" s="35">
        <f>'13all_company_profile'!J136</f>
        <v>7.364</v>
      </c>
      <c r="K136" s="42" t="str">
        <f t="shared" si="1"/>
        <v>NaN</v>
      </c>
      <c r="L136" s="35">
        <f>'7company_info'!B136</f>
        <v>385.48</v>
      </c>
      <c r="M136" s="35">
        <f>'7company_info'!C136</f>
        <v>386.45</v>
      </c>
      <c r="N136" s="35">
        <f>'7company_info'!D136</f>
        <v>379.88</v>
      </c>
      <c r="O136" s="35">
        <f>'7company_info'!E136</f>
        <v>7.18</v>
      </c>
      <c r="P136" s="35">
        <f>'7company_info'!F136</f>
        <v>0.019</v>
      </c>
      <c r="Q136" s="35">
        <f>'7company_info'!G136</f>
        <v>379.97</v>
      </c>
      <c r="R136" s="35">
        <f>'7company_info'!H136</f>
        <v>378.3</v>
      </c>
      <c r="S136" s="35">
        <f>'7company_info'!I136</f>
        <v>192.13</v>
      </c>
      <c r="T136" s="35">
        <f>'7company_info'!J136</f>
        <v>386.57</v>
      </c>
      <c r="U136" s="39">
        <v>382.26</v>
      </c>
      <c r="V136" s="39">
        <v>384.19</v>
      </c>
      <c r="W136" s="40">
        <v>386.09</v>
      </c>
      <c r="X136" s="40">
        <v>389.92</v>
      </c>
      <c r="Y136" s="40">
        <v>380.36</v>
      </c>
      <c r="Z136" s="40">
        <v>378.43</v>
      </c>
      <c r="AA136" s="40">
        <v>374.599999999999</v>
      </c>
      <c r="AB136" s="40">
        <v>363.28</v>
      </c>
      <c r="AC136" s="40">
        <v>386.5699</v>
      </c>
      <c r="AD136" s="40">
        <v>370.393244068413</v>
      </c>
      <c r="AE136" s="40">
        <v>371.65401</v>
      </c>
      <c r="AF136" s="40">
        <v>5.743995</v>
      </c>
      <c r="AG136" s="40">
        <v>349.132</v>
      </c>
      <c r="AH136" s="45">
        <v>44321.0</v>
      </c>
      <c r="AI136" s="44" t="str">
        <f>'6image_RS_benchmark_performance'!B136</f>
        <v>https://3arbzfbsh-cname-us.ngrok.io/Desktop/seabridge%20fintech/image_app/CRL_resistance_support.jpg</v>
      </c>
      <c r="AJ136" s="44" t="str">
        <f>'6image_RS_benchmark_performance'!C136</f>
        <v>https://3arbzfbsh-cname-us.ngrok.io/Desktop/seabridge%20fintech/profit_graph_app/CRL_Return.jpg</v>
      </c>
      <c r="AK136" s="46" t="str">
        <f>'5price_action_icon'!B136</f>
        <v>https://3arbzfbsh-cname-us.ngrok.io/Desktop/seabridge%20fintech/icon/CRL_pa_trend_signal</v>
      </c>
      <c r="AL136" s="42">
        <f>'1kpi_performance'!B136</f>
        <v>0.7548723466</v>
      </c>
      <c r="AM136" s="42">
        <f>'1kpi_performance'!C136</f>
        <v>0.8464834529</v>
      </c>
      <c r="AN136" s="42">
        <f>'1kpi_performance'!D136</f>
        <v>0.5886723918</v>
      </c>
      <c r="AO136" s="42">
        <f>'1kpi_performance'!E136</f>
        <v>0.3369984016</v>
      </c>
      <c r="AP136" s="42">
        <f>'1kpi_performance'!F136</f>
        <v>0.2258156573</v>
      </c>
      <c r="AQ136" s="42">
        <f>'1kpi_performance'!G136</f>
        <v>0.2410593106</v>
      </c>
      <c r="AR136" s="42">
        <f>'1kpi_performance'!H136</f>
        <v>0.2632839296</v>
      </c>
      <c r="AS136" s="42">
        <f>'1kpi_performance'!I136</f>
        <v>0.3555202106</v>
      </c>
      <c r="AT136" s="35">
        <f>'1kpi_performance'!J136</f>
        <v>3.232160052</v>
      </c>
      <c r="AU136" s="35">
        <f>'1kpi_performance'!K136</f>
        <v>3.407806364</v>
      </c>
      <c r="AV136" s="35">
        <f>'1kpi_performance'!L136</f>
        <v>2.140929728</v>
      </c>
      <c r="AW136" s="35">
        <f>'1kpi_performance'!M136</f>
        <v>0.877582743</v>
      </c>
      <c r="AX136" s="42">
        <f>'1kpi_performance'!N136</f>
        <v>0.1601123916</v>
      </c>
      <c r="AY136" s="42">
        <f>'1kpi_performance'!O136</f>
        <v>0.1051011346</v>
      </c>
      <c r="AZ136" s="42">
        <f>'1kpi_performance'!P136</f>
        <v>0.4113095238</v>
      </c>
      <c r="BA136" s="42">
        <f>'1kpi_performance'!Q136</f>
        <v>0.4454412919</v>
      </c>
      <c r="BB136" s="35">
        <f>'1kpi_performance'!R136</f>
        <v>7.570242009</v>
      </c>
      <c r="BC136" s="35">
        <f>'1kpi_performance'!S136</f>
        <v>8.144684359</v>
      </c>
      <c r="BD136" s="35">
        <f>'1kpi_performance'!T136</f>
        <v>4.145661879</v>
      </c>
      <c r="BE136" s="35">
        <f>'1kpi_performance'!U136</f>
        <v>1.6745363</v>
      </c>
      <c r="BF136" s="47"/>
      <c r="BG136" s="47"/>
      <c r="BH136" s="47"/>
      <c r="BI136" s="47"/>
      <c r="BJ136" s="47"/>
      <c r="BK136" s="47"/>
      <c r="BL136" s="47"/>
      <c r="BM136" s="47"/>
      <c r="BN136" s="47"/>
      <c r="BO136" s="47"/>
      <c r="BP136" s="47"/>
      <c r="BQ136" s="47"/>
      <c r="BR136" s="47"/>
      <c r="BS136" s="47"/>
      <c r="BT136" s="47"/>
    </row>
    <row r="137" ht="11.25" customHeight="1">
      <c r="A137" s="35" t="str">
        <f>'13all_company_profile'!A137</f>
        <v>CRM</v>
      </c>
      <c r="B137" s="35" t="str">
        <f>'13all_company_profile'!B137</f>
        <v>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v>
      </c>
      <c r="C137" s="44" t="str">
        <f>'13all_company_profile'!C137</f>
        <v>https://financialmodelingprep.com/image-stock/CRM.png</v>
      </c>
      <c r="D137" s="35" t="str">
        <f>'13all_company_profile'!D137</f>
        <v>salesforce.com, inc.</v>
      </c>
      <c r="E137" s="36">
        <f>'13all_company_profile'!E137</f>
        <v>220008333312</v>
      </c>
      <c r="F137" s="37">
        <f>'13all_company_profile'!F137</f>
        <v>5656560</v>
      </c>
      <c r="G137" s="35">
        <f>'13all_company_profile'!G137</f>
        <v>0</v>
      </c>
      <c r="H137" s="38" t="str">
        <f>'13all_company_profile'!H137</f>
        <v>not avaiable</v>
      </c>
      <c r="I137" s="35">
        <f>'13all_company_profile'!I137</f>
        <v>50.210835</v>
      </c>
      <c r="J137" s="35">
        <f>'13all_company_profile'!J137</f>
        <v>4.743</v>
      </c>
      <c r="K137" s="42" t="str">
        <f t="shared" si="1"/>
        <v>NaN</v>
      </c>
      <c r="L137" s="35">
        <f>'7company_info'!B137</f>
        <v>240.11</v>
      </c>
      <c r="M137" s="35">
        <f>'7company_info'!C137</f>
        <v>243.18</v>
      </c>
      <c r="N137" s="35">
        <f>'7company_info'!D137</f>
        <v>236.27</v>
      </c>
      <c r="O137" s="35">
        <f>'7company_info'!E137</f>
        <v>2.56</v>
      </c>
      <c r="P137" s="35">
        <f>'7company_info'!F137</f>
        <v>0.0108</v>
      </c>
      <c r="Q137" s="35">
        <f>'7company_info'!G137</f>
        <v>238.7</v>
      </c>
      <c r="R137" s="35">
        <f>'7company_info'!H137</f>
        <v>237.55</v>
      </c>
      <c r="S137" s="35">
        <f>'7company_info'!I137</f>
        <v>184.38</v>
      </c>
      <c r="T137" s="35">
        <f>'7company_info'!J137</f>
        <v>284.5</v>
      </c>
      <c r="U137" s="39">
        <v>242.815</v>
      </c>
      <c r="V137" s="39">
        <v>245.759999999999</v>
      </c>
      <c r="W137" s="40">
        <v>249.09</v>
      </c>
      <c r="X137" s="40">
        <v>255.365</v>
      </c>
      <c r="Y137" s="40">
        <v>239.484999999999</v>
      </c>
      <c r="Z137" s="40">
        <v>236.54</v>
      </c>
      <c r="AA137" s="40">
        <v>230.265</v>
      </c>
      <c r="AB137" s="40">
        <v>242.43</v>
      </c>
      <c r="AC137" s="40">
        <v>253.5</v>
      </c>
      <c r="AD137" s="40">
        <v>243.179948032917</v>
      </c>
      <c r="AE137" s="40">
        <v>234.41195</v>
      </c>
      <c r="AF137" s="40">
        <v>4.90527499999999</v>
      </c>
      <c r="AG137" s="40">
        <v>253.5</v>
      </c>
      <c r="AH137" s="45">
        <v>44384.0</v>
      </c>
      <c r="AI137" s="44" t="str">
        <f>'6image_RS_benchmark_performance'!B137</f>
        <v>https://3arbzfbsh-cname-us.ngrok.io/Desktop/seabridge%20fintech/image_app/CRM_resistance_support.jpg</v>
      </c>
      <c r="AJ137" s="44" t="str">
        <f>'6image_RS_benchmark_performance'!C137</f>
        <v>https://3arbzfbsh-cname-us.ngrok.io/Desktop/seabridge%20fintech/profit_graph_app/CRM_Return.jpg</v>
      </c>
      <c r="AK137" s="46" t="str">
        <f>'5price_action_icon'!B137</f>
        <v>https://3arbzfbsh-cname-us.ngrok.io/Desktop/seabridge%20fintech/icon/CRM_pa_trend_signal</v>
      </c>
      <c r="AL137" s="42">
        <f>'1kpi_performance'!B137</f>
        <v>0.7842168552</v>
      </c>
      <c r="AM137" s="42">
        <f>'1kpi_performance'!C137</f>
        <v>0.9840411932</v>
      </c>
      <c r="AN137" s="42">
        <f>'1kpi_performance'!D137</f>
        <v>1.114617456</v>
      </c>
      <c r="AO137" s="42">
        <f>'1kpi_performance'!E137</f>
        <v>0.3954572036</v>
      </c>
      <c r="AP137" s="42">
        <f>'1kpi_performance'!F137</f>
        <v>0.3049282461</v>
      </c>
      <c r="AQ137" s="42">
        <f>'1kpi_performance'!G137</f>
        <v>0.3082223699</v>
      </c>
      <c r="AR137" s="42">
        <f>'1kpi_performance'!H137</f>
        <v>0.3010684921</v>
      </c>
      <c r="AS137" s="42">
        <f>'1kpi_performance'!I137</f>
        <v>0.4288467735</v>
      </c>
      <c r="AT137" s="35">
        <f>'1kpi_performance'!J137</f>
        <v>2.489821343</v>
      </c>
      <c r="AU137" s="35">
        <f>'1kpi_performance'!K137</f>
        <v>3.11152365</v>
      </c>
      <c r="AV137" s="35">
        <f>'1kpi_performance'!L137</f>
        <v>3.619168012</v>
      </c>
      <c r="AW137" s="35">
        <f>'1kpi_performance'!M137</f>
        <v>0.8638451457</v>
      </c>
      <c r="AX137" s="42">
        <f>'1kpi_performance'!N137</f>
        <v>0.2215004226</v>
      </c>
      <c r="AY137" s="42">
        <f>'1kpi_performance'!O137</f>
        <v>0.1335875396</v>
      </c>
      <c r="AZ137" s="42">
        <f>'1kpi_performance'!P137</f>
        <v>0.319612286</v>
      </c>
      <c r="BA137" s="42">
        <f>'1kpi_performance'!Q137</f>
        <v>0.388149636</v>
      </c>
      <c r="BB137" s="35">
        <f>'1kpi_performance'!R137</f>
        <v>5.983983278</v>
      </c>
      <c r="BC137" s="35">
        <f>'1kpi_performance'!S137</f>
        <v>7.848888301</v>
      </c>
      <c r="BD137" s="35">
        <f>'1kpi_performance'!T137</f>
        <v>8.497868026</v>
      </c>
      <c r="BE137" s="35">
        <f>'1kpi_performance'!U137</f>
        <v>1.797185737</v>
      </c>
      <c r="BF137" s="47"/>
      <c r="BG137" s="47"/>
      <c r="BH137" s="47"/>
      <c r="BI137" s="47"/>
      <c r="BJ137" s="47"/>
      <c r="BK137" s="47"/>
      <c r="BL137" s="47"/>
      <c r="BM137" s="47"/>
      <c r="BN137" s="47"/>
      <c r="BO137" s="47"/>
      <c r="BP137" s="47"/>
      <c r="BQ137" s="47"/>
      <c r="BR137" s="47"/>
      <c r="BS137" s="47"/>
      <c r="BT137" s="47"/>
    </row>
    <row r="138" ht="11.25" customHeight="1">
      <c r="A138" s="35" t="str">
        <f>'13all_company_profile'!A138</f>
        <v>CRSR</v>
      </c>
      <c r="B138" s="35" t="str">
        <f>'13all_company_profile'!B138</f>
        <v>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v>
      </c>
      <c r="C138" s="44" t="str">
        <f>'13all_company_profile'!C138</f>
        <v>https://financialmodelingprep.com/image-stock/CRSR.png</v>
      </c>
      <c r="D138" s="35" t="str">
        <f>'13all_company_profile'!D138</f>
        <v>Corsair Gaming, Inc.</v>
      </c>
      <c r="E138" s="36">
        <f>'13all_company_profile'!E138</f>
        <v>2790512640</v>
      </c>
      <c r="F138" s="37">
        <f>'13all_company_profile'!F138</f>
        <v>2920122</v>
      </c>
      <c r="G138" s="35">
        <f>'13all_company_profile'!G138</f>
        <v>0</v>
      </c>
      <c r="H138" s="38" t="str">
        <f>'13all_company_profile'!H138</f>
        <v>not avaiable</v>
      </c>
      <c r="I138" s="35">
        <f>'13all_company_profile'!I138</f>
        <v>18.463474</v>
      </c>
      <c r="J138" s="35">
        <f>'13all_company_profile'!J138</f>
        <v>1.588</v>
      </c>
      <c r="K138" s="42" t="str">
        <f t="shared" si="1"/>
        <v>NaN</v>
      </c>
      <c r="L138" s="35">
        <f>'7company_info'!B138</f>
        <v>29.66</v>
      </c>
      <c r="M138" s="35">
        <f>'7company_info'!C138</f>
        <v>29.99</v>
      </c>
      <c r="N138" s="35">
        <f>'7company_info'!D138</f>
        <v>28.48</v>
      </c>
      <c r="O138" s="35">
        <f>'7company_info'!E138</f>
        <v>1.06</v>
      </c>
      <c r="P138" s="35">
        <f>'7company_info'!F138</f>
        <v>0.0371</v>
      </c>
      <c r="Q138" s="35">
        <f>'7company_info'!G138</f>
        <v>28.93</v>
      </c>
      <c r="R138" s="35">
        <f>'7company_info'!H138</f>
        <v>28.6</v>
      </c>
      <c r="S138" s="35">
        <f>'7company_info'!I138</f>
        <v>14.09</v>
      </c>
      <c r="T138" s="35">
        <f>'7company_info'!J138</f>
        <v>51.37</v>
      </c>
      <c r="U138" s="39">
        <v>30.5666666666666</v>
      </c>
      <c r="V138" s="39">
        <v>30.9533333333333</v>
      </c>
      <c r="W138" s="40">
        <v>31.5366666666666</v>
      </c>
      <c r="X138" s="40">
        <v>32.5066666666666</v>
      </c>
      <c r="Y138" s="40">
        <v>29.9833333333333</v>
      </c>
      <c r="Z138" s="40">
        <v>29.5966666666666</v>
      </c>
      <c r="AA138" s="40">
        <v>28.6266666666666</v>
      </c>
      <c r="AB138" s="40">
        <v>30.69</v>
      </c>
      <c r="AC138" s="40">
        <v>32.0299</v>
      </c>
      <c r="AD138" s="40">
        <v>32.0610265631047</v>
      </c>
      <c r="AE138" s="40">
        <v>28.29111</v>
      </c>
      <c r="AF138" s="40">
        <v>1.176945</v>
      </c>
      <c r="AG138" s="40">
        <v>49.6</v>
      </c>
      <c r="AH138" s="45">
        <v>44223.0</v>
      </c>
      <c r="AI138" s="44" t="str">
        <f>'6image_RS_benchmark_performance'!B138</f>
        <v>https://3arbzfbsh-cname-us.ngrok.io/Desktop/seabridge%20fintech/image_app/CRSR_resistance_support.jpg</v>
      </c>
      <c r="AJ138" s="44" t="str">
        <f>'6image_RS_benchmark_performance'!C138</f>
        <v>https://3arbzfbsh-cname-us.ngrok.io/Desktop/seabridge%20fintech/profit_graph_app/CRSR_Return.jpg</v>
      </c>
      <c r="AK138" s="46" t="str">
        <f>'5price_action_icon'!B138</f>
        <v>https://3arbzfbsh-cname-us.ngrok.io/Desktop/seabridge%20fintech/icon/CRSR_pa_trend_signal</v>
      </c>
      <c r="AL138" s="42">
        <f>'1kpi_performance'!B138</f>
        <v>6.57319805</v>
      </c>
      <c r="AM138" s="42">
        <f>'1kpi_performance'!C138</f>
        <v>7.736463943</v>
      </c>
      <c r="AN138" s="42">
        <f>'1kpi_performance'!D138</f>
        <v>9.596230739</v>
      </c>
      <c r="AO138" s="42">
        <f>'1kpi_performance'!E138</f>
        <v>2.85191858</v>
      </c>
      <c r="AP138" s="42">
        <f>'1kpi_performance'!F138</f>
        <v>0.6856146775</v>
      </c>
      <c r="AQ138" s="42">
        <f>'1kpi_performance'!G138</f>
        <v>0.7009913625</v>
      </c>
      <c r="AR138" s="42">
        <f>'1kpi_performance'!H138</f>
        <v>0.7039509569</v>
      </c>
      <c r="AS138" s="42">
        <f>'1kpi_performance'!I138</f>
        <v>0.8687823721</v>
      </c>
      <c r="AT138" s="35">
        <f>'1kpi_performance'!J138</f>
        <v>9.550842864</v>
      </c>
      <c r="AU138" s="35">
        <f>'1kpi_performance'!K138</f>
        <v>11.00079738</v>
      </c>
      <c r="AV138" s="35">
        <f>'1kpi_performance'!L138</f>
        <v>13.59644538</v>
      </c>
      <c r="AW138" s="35">
        <f>'1kpi_performance'!M138</f>
        <v>3.25388575</v>
      </c>
      <c r="AX138" s="42">
        <f>'1kpi_performance'!N138</f>
        <v>0.1876247026</v>
      </c>
      <c r="AY138" s="42">
        <f>'1kpi_performance'!O138</f>
        <v>0.2502628844</v>
      </c>
      <c r="AZ138" s="42">
        <f>'1kpi_performance'!P138</f>
        <v>0.2590714007</v>
      </c>
      <c r="BA138" s="42">
        <f>'1kpi_performance'!Q138</f>
        <v>0.407530238</v>
      </c>
      <c r="BB138" s="35">
        <f>'1kpi_performance'!R138</f>
        <v>22.52140132</v>
      </c>
      <c r="BC138" s="35">
        <f>'1kpi_performance'!S138</f>
        <v>25.65062594</v>
      </c>
      <c r="BD138" s="35">
        <f>'1kpi_performance'!T138</f>
        <v>31.87704516</v>
      </c>
      <c r="BE138" s="35">
        <f>'1kpi_performance'!U138</f>
        <v>7.227633849</v>
      </c>
      <c r="BF138" s="47"/>
      <c r="BG138" s="47"/>
      <c r="BH138" s="47"/>
      <c r="BI138" s="47"/>
      <c r="BJ138" s="47"/>
      <c r="BK138" s="47"/>
      <c r="BL138" s="47"/>
      <c r="BM138" s="47"/>
      <c r="BN138" s="47"/>
      <c r="BO138" s="47"/>
      <c r="BP138" s="47"/>
      <c r="BQ138" s="47"/>
      <c r="BR138" s="47"/>
      <c r="BS138" s="47"/>
      <c r="BT138" s="47"/>
    </row>
    <row r="139" ht="11.25" customHeight="1">
      <c r="A139" s="35" t="str">
        <f>'13all_company_profile'!A139</f>
        <v>CRWD</v>
      </c>
      <c r="B139" s="35" t="str">
        <f>'13all_company_profile'!B139</f>
        <v>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v>
      </c>
      <c r="C139" s="44" t="str">
        <f>'13all_company_profile'!C139</f>
        <v>https://financialmodelingprep.com/image-stock/CRWD.png</v>
      </c>
      <c r="D139" s="35" t="str">
        <f>'13all_company_profile'!D139</f>
        <v>CrowdStrike Holdings, Inc.</v>
      </c>
      <c r="E139" s="36">
        <f>'13all_company_profile'!E139</f>
        <v>56294686720</v>
      </c>
      <c r="F139" s="37">
        <f>'13all_company_profile'!F139</f>
        <v>3623966</v>
      </c>
      <c r="G139" s="35">
        <f>'13all_company_profile'!G139</f>
        <v>0</v>
      </c>
      <c r="H139" s="38" t="str">
        <f>'13all_company_profile'!H139</f>
        <v>not avaiable</v>
      </c>
      <c r="I139" s="35" t="str">
        <f>'13all_company_profile'!I139</f>
        <v>NaN</v>
      </c>
      <c r="J139" s="35">
        <f>'13all_company_profile'!J139</f>
        <v>-0.719</v>
      </c>
      <c r="K139" s="42" t="str">
        <f t="shared" si="1"/>
        <v>NaN</v>
      </c>
      <c r="L139" s="35">
        <f>'7company_info'!B139</f>
        <v>252.24</v>
      </c>
      <c r="M139" s="35">
        <f>'7company_info'!C139</f>
        <v>255</v>
      </c>
      <c r="N139" s="35">
        <f>'7company_info'!D139</f>
        <v>245.87</v>
      </c>
      <c r="O139" s="35">
        <f>'7company_info'!E139</f>
        <v>1.84</v>
      </c>
      <c r="P139" s="35">
        <f>'7company_info'!F139</f>
        <v>0.0073</v>
      </c>
      <c r="Q139" s="35">
        <f>'7company_info'!G139</f>
        <v>254.9</v>
      </c>
      <c r="R139" s="35">
        <f>'7company_info'!H139</f>
        <v>250.4</v>
      </c>
      <c r="S139" s="35">
        <f>'7company_info'!I139</f>
        <v>93.37</v>
      </c>
      <c r="T139" s="35">
        <f>'7company_info'!J139</f>
        <v>269.89</v>
      </c>
      <c r="U139" s="39">
        <v>256.98</v>
      </c>
      <c r="V139" s="39">
        <v>261.31</v>
      </c>
      <c r="W139" s="40">
        <v>268.39</v>
      </c>
      <c r="X139" s="40">
        <v>279.8</v>
      </c>
      <c r="Y139" s="40">
        <v>249.9</v>
      </c>
      <c r="Z139" s="40">
        <v>245.57</v>
      </c>
      <c r="AA139" s="40">
        <v>234.16</v>
      </c>
      <c r="AB139" s="40">
        <v>257.7002</v>
      </c>
      <c r="AC139" s="40">
        <v>269.89</v>
      </c>
      <c r="AD139" s="40">
        <v>251.194281174152</v>
      </c>
      <c r="AE139" s="40">
        <v>242.38019</v>
      </c>
      <c r="AF139" s="40">
        <v>9.62490499999999</v>
      </c>
      <c r="AG139" s="40">
        <v>251.28</v>
      </c>
      <c r="AH139" s="45">
        <v>44243.0</v>
      </c>
      <c r="AI139" s="44" t="str">
        <f>'6image_RS_benchmark_performance'!B139</f>
        <v>https://3arbzfbsh-cname-us.ngrok.io/Desktop/seabridge%20fintech/image_app/CRWD_resistance_support.jpg</v>
      </c>
      <c r="AJ139" s="44" t="str">
        <f>'6image_RS_benchmark_performance'!C139</f>
        <v>https://3arbzfbsh-cname-us.ngrok.io/Desktop/seabridge%20fintech/profit_graph_app/CRWD_Return.jpg</v>
      </c>
      <c r="AK139" s="46" t="str">
        <f>'5price_action_icon'!B139</f>
        <v>https://3arbzfbsh-cname-us.ngrok.io/Desktop/seabridge%20fintech/icon/CRWD_pa_trend_signal</v>
      </c>
      <c r="AL139" s="42">
        <f>'1kpi_performance'!B139</f>
        <v>2.616225505</v>
      </c>
      <c r="AM139" s="42">
        <f>'1kpi_performance'!C139</f>
        <v>5.336621809</v>
      </c>
      <c r="AN139" s="42">
        <f>'1kpi_performance'!D139</f>
        <v>4.635316221</v>
      </c>
      <c r="AO139" s="42">
        <f>'1kpi_performance'!E139</f>
        <v>1.749501331</v>
      </c>
      <c r="AP139" s="42">
        <f>'1kpi_performance'!F139</f>
        <v>0.6223077002</v>
      </c>
      <c r="AQ139" s="42">
        <f>'1kpi_performance'!G139</f>
        <v>0.5861067438</v>
      </c>
      <c r="AR139" s="42">
        <f>'1kpi_performance'!H139</f>
        <v>0.5012767994</v>
      </c>
      <c r="AS139" s="42">
        <f>'1kpi_performance'!I139</f>
        <v>0.7924115217</v>
      </c>
      <c r="AT139" s="35">
        <f>'1kpi_performance'!J139</f>
        <v>4.163897545</v>
      </c>
      <c r="AU139" s="35">
        <f>'1kpi_performance'!K139</f>
        <v>9.062550235</v>
      </c>
      <c r="AV139" s="35">
        <f>'1kpi_performance'!L139</f>
        <v>9.197146619</v>
      </c>
      <c r="AW139" s="35">
        <f>'1kpi_performance'!M139</f>
        <v>2.176269885</v>
      </c>
      <c r="AX139" s="42">
        <f>'1kpi_performance'!N139</f>
        <v>0.4726196499</v>
      </c>
      <c r="AY139" s="42">
        <f>'1kpi_performance'!O139</f>
        <v>0.2033152033</v>
      </c>
      <c r="AZ139" s="42">
        <f>'1kpi_performance'!P139</f>
        <v>0.1643032255</v>
      </c>
      <c r="BA139" s="42">
        <f>'1kpi_performance'!Q139</f>
        <v>0.6687405921</v>
      </c>
      <c r="BB139" s="35">
        <f>'1kpi_performance'!R139</f>
        <v>9.48125685</v>
      </c>
      <c r="BC139" s="35">
        <f>'1kpi_performance'!S139</f>
        <v>24.00611731</v>
      </c>
      <c r="BD139" s="35">
        <f>'1kpi_performance'!T139</f>
        <v>23.94352063</v>
      </c>
      <c r="BE139" s="35">
        <f>'1kpi_performance'!U139</f>
        <v>4.797230781</v>
      </c>
      <c r="BF139" s="47"/>
      <c r="BG139" s="47"/>
      <c r="BH139" s="47"/>
      <c r="BI139" s="47"/>
      <c r="BJ139" s="47"/>
      <c r="BK139" s="47"/>
      <c r="BL139" s="47"/>
      <c r="BM139" s="47"/>
      <c r="BN139" s="47"/>
      <c r="BO139" s="47"/>
      <c r="BP139" s="47"/>
      <c r="BQ139" s="47"/>
      <c r="BR139" s="47"/>
      <c r="BS139" s="47"/>
      <c r="BT139" s="47"/>
    </row>
    <row r="140" ht="11.25" customHeight="1">
      <c r="A140" s="35" t="str">
        <f>'13all_company_profile'!A140</f>
        <v>CSCO</v>
      </c>
      <c r="B140" s="35" t="str">
        <f>'13all_company_profile'!B140</f>
        <v>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v>
      </c>
      <c r="C140" s="44" t="str">
        <f>'13all_company_profile'!C140</f>
        <v>https://financialmodelingprep.com/image-stock/CSCO.png</v>
      </c>
      <c r="D140" s="35" t="str">
        <f>'13all_company_profile'!D140</f>
        <v>Cisco Systems, Inc.</v>
      </c>
      <c r="E140" s="36">
        <f>'13all_company_profile'!E140</f>
        <v>226091843584</v>
      </c>
      <c r="F140" s="37">
        <f>'13all_company_profile'!F140</f>
        <v>18574169</v>
      </c>
      <c r="G140" s="35">
        <f>'13all_company_profile'!G140</f>
        <v>1.46</v>
      </c>
      <c r="H140" s="38" t="str">
        <f>'13all_company_profile'!H140</f>
        <v>not avaiable</v>
      </c>
      <c r="I140" s="35">
        <f>'13all_company_profile'!I140</f>
        <v>22.230013</v>
      </c>
      <c r="J140" s="35">
        <f>'13all_company_profile'!J140</f>
        <v>2.419</v>
      </c>
      <c r="K140" s="42">
        <f t="shared" si="1"/>
        <v>0.0272489735</v>
      </c>
      <c r="L140" s="35">
        <f>'7company_info'!B140</f>
        <v>53.58</v>
      </c>
      <c r="M140" s="35">
        <f>'7company_info'!C140</f>
        <v>53.93</v>
      </c>
      <c r="N140" s="35">
        <f>'7company_info'!D140</f>
        <v>53.19</v>
      </c>
      <c r="O140" s="35">
        <f>'7company_info'!E140</f>
        <v>0.52</v>
      </c>
      <c r="P140" s="35">
        <f>'7company_info'!F140</f>
        <v>0.0098</v>
      </c>
      <c r="Q140" s="35">
        <f>'7company_info'!G140</f>
        <v>53.28</v>
      </c>
      <c r="R140" s="35">
        <f>'7company_info'!H140</f>
        <v>53.06</v>
      </c>
      <c r="S140" s="35">
        <f>'7company_info'!I140</f>
        <v>35.28</v>
      </c>
      <c r="T140" s="35">
        <f>'7company_info'!J140</f>
        <v>55.35</v>
      </c>
      <c r="U140" s="39">
        <v>53.8766666666666</v>
      </c>
      <c r="V140" s="39">
        <v>54.4133333333333</v>
      </c>
      <c r="W140" s="40">
        <v>54.7366666666666</v>
      </c>
      <c r="X140" s="40">
        <v>55.5966666666666</v>
      </c>
      <c r="Y140" s="40">
        <v>53.5533333333333</v>
      </c>
      <c r="Z140" s="40">
        <v>53.0166666666666</v>
      </c>
      <c r="AA140" s="40">
        <v>52.1566666666666</v>
      </c>
      <c r="AB140" s="40">
        <v>54.27</v>
      </c>
      <c r="AC140" s="40">
        <v>54.5278</v>
      </c>
      <c r="AD140" s="40">
        <v>53.3296422790015</v>
      </c>
      <c r="AE140" s="40">
        <v>51.92339</v>
      </c>
      <c r="AF140" s="40">
        <v>0.712804999999998</v>
      </c>
      <c r="AG140" s="40">
        <v>55.35</v>
      </c>
      <c r="AH140" s="45">
        <v>44358.0</v>
      </c>
      <c r="AI140" s="44" t="str">
        <f>'6image_RS_benchmark_performance'!B140</f>
        <v>https://3arbzfbsh-cname-us.ngrok.io/Desktop/seabridge%20fintech/image_app/CSCO_resistance_support.jpg</v>
      </c>
      <c r="AJ140" s="44" t="str">
        <f>'6image_RS_benchmark_performance'!C140</f>
        <v>https://3arbzfbsh-cname-us.ngrok.io/Desktop/seabridge%20fintech/profit_graph_app/CSCO_Return.jpg</v>
      </c>
      <c r="AK140" s="46" t="str">
        <f>'5price_action_icon'!B140</f>
        <v>https://3arbzfbsh-cname-us.ngrok.io/Desktop/seabridge%20fintech/icon/CSCO_pa_trend_signal</v>
      </c>
      <c r="AL140" s="42">
        <f>'1kpi_performance'!B140</f>
        <v>0.5477297381</v>
      </c>
      <c r="AM140" s="42">
        <f>'1kpi_performance'!C140</f>
        <v>0.7098855385</v>
      </c>
      <c r="AN140" s="42">
        <f>'1kpi_performance'!D140</f>
        <v>0.8136487497</v>
      </c>
      <c r="AO140" s="42">
        <f>'1kpi_performance'!E140</f>
        <v>0.1066770659</v>
      </c>
      <c r="AP140" s="42">
        <f>'1kpi_performance'!F140</f>
        <v>0.2028350866</v>
      </c>
      <c r="AQ140" s="42">
        <f>'1kpi_performance'!G140</f>
        <v>0.2088176665</v>
      </c>
      <c r="AR140" s="42">
        <f>'1kpi_performance'!H140</f>
        <v>0.2078094877</v>
      </c>
      <c r="AS140" s="42">
        <f>'1kpi_performance'!I140</f>
        <v>0.3201289898</v>
      </c>
      <c r="AT140" s="35">
        <f>'1kpi_performance'!J140</f>
        <v>2.577116941</v>
      </c>
      <c r="AU140" s="35">
        <f>'1kpi_performance'!K140</f>
        <v>3.279825648</v>
      </c>
      <c r="AV140" s="35">
        <f>'1kpi_performance'!L140</f>
        <v>3.795056513</v>
      </c>
      <c r="AW140" s="35">
        <f>'1kpi_performance'!M140</f>
        <v>0.2551379866</v>
      </c>
      <c r="AX140" s="42">
        <f>'1kpi_performance'!N140</f>
        <v>0.1259340344</v>
      </c>
      <c r="AY140" s="42">
        <f>'1kpi_performance'!O140</f>
        <v>0.06993268512</v>
      </c>
      <c r="AZ140" s="42">
        <f>'1kpi_performance'!P140</f>
        <v>0.1490276739</v>
      </c>
      <c r="BA140" s="42">
        <f>'1kpi_performance'!Q140</f>
        <v>0.501994922</v>
      </c>
      <c r="BB140" s="35">
        <f>'1kpi_performance'!R140</f>
        <v>5.644059442</v>
      </c>
      <c r="BC140" s="35">
        <f>'1kpi_performance'!S140</f>
        <v>8.071644608</v>
      </c>
      <c r="BD140" s="35">
        <f>'1kpi_performance'!T140</f>
        <v>9.641411187</v>
      </c>
      <c r="BE140" s="35">
        <f>'1kpi_performance'!U140</f>
        <v>0.4735800673</v>
      </c>
      <c r="BF140" s="47"/>
      <c r="BG140" s="47"/>
      <c r="BH140" s="47"/>
      <c r="BI140" s="47"/>
      <c r="BJ140" s="47"/>
      <c r="BK140" s="47"/>
      <c r="BL140" s="47"/>
      <c r="BM140" s="47"/>
      <c r="BN140" s="47"/>
      <c r="BO140" s="47"/>
      <c r="BP140" s="47"/>
      <c r="BQ140" s="47"/>
      <c r="BR140" s="47"/>
      <c r="BS140" s="47"/>
      <c r="BT140" s="47"/>
    </row>
    <row r="141" ht="11.25" customHeight="1">
      <c r="A141" s="35" t="str">
        <f>'13all_company_profile'!A141</f>
        <v>CSGP</v>
      </c>
      <c r="B141" s="35" t="str">
        <f>'13all_company_profile'!B141</f>
        <v>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v>
      </c>
      <c r="C141" s="44" t="str">
        <f>'13all_company_profile'!C141</f>
        <v>https://financialmodelingprep.com/image-stock/CSGP.png</v>
      </c>
      <c r="D141" s="35" t="str">
        <f>'13all_company_profile'!D141</f>
        <v>CoStar Group, Inc.</v>
      </c>
      <c r="E141" s="36">
        <f>'13all_company_profile'!E141</f>
        <v>34489675776</v>
      </c>
      <c r="F141" s="37">
        <f>'13all_company_profile'!F141</f>
        <v>2248771</v>
      </c>
      <c r="G141" s="35">
        <f>'13all_company_profile'!G141</f>
        <v>0</v>
      </c>
      <c r="H141" s="38">
        <f>'13all_company_profile'!H141</f>
        <v>44404</v>
      </c>
      <c r="I141" s="35">
        <f>'13all_company_profile'!I141</f>
        <v>149.62457</v>
      </c>
      <c r="J141" s="35">
        <f>'13all_company_profile'!J141</f>
        <v>0.586</v>
      </c>
      <c r="K141" s="42" t="str">
        <f t="shared" si="1"/>
        <v>NaN</v>
      </c>
      <c r="L141" s="35">
        <f>'7company_info'!B141</f>
        <v>88.1</v>
      </c>
      <c r="M141" s="35">
        <f>'7company_info'!C141</f>
        <v>88.86</v>
      </c>
      <c r="N141" s="35">
        <f>'7company_info'!D141</f>
        <v>86.1</v>
      </c>
      <c r="O141" s="35">
        <f>'7company_info'!E141</f>
        <v>2.11</v>
      </c>
      <c r="P141" s="35">
        <f>'7company_info'!F141</f>
        <v>0.0245</v>
      </c>
      <c r="Q141" s="35">
        <f>'7company_info'!G141</f>
        <v>86.28</v>
      </c>
      <c r="R141" s="35">
        <f>'7company_info'!H141</f>
        <v>85.99</v>
      </c>
      <c r="S141" s="35">
        <f>'7company_info'!I141</f>
        <v>82.07</v>
      </c>
      <c r="T141" s="35">
        <f>'7company_info'!J141</f>
        <v>952.76</v>
      </c>
      <c r="U141" s="39">
        <v>85.785</v>
      </c>
      <c r="V141" s="39">
        <v>86.53</v>
      </c>
      <c r="W141" s="40">
        <v>87.19</v>
      </c>
      <c r="X141" s="40">
        <v>88.5949999999999</v>
      </c>
      <c r="Y141" s="40">
        <v>85.125</v>
      </c>
      <c r="Z141" s="40">
        <v>84.38</v>
      </c>
      <c r="AA141" s="40">
        <v>82.975</v>
      </c>
      <c r="AB141" s="40">
        <v>85.04</v>
      </c>
      <c r="AC141" s="40">
        <v>84.479</v>
      </c>
      <c r="AD141" s="40">
        <v>85.5872260869095</v>
      </c>
      <c r="AE141" s="40">
        <v>80.9319</v>
      </c>
      <c r="AF141" s="40">
        <v>2.08004999999999</v>
      </c>
      <c r="AG141" s="40">
        <v>95.276</v>
      </c>
      <c r="AH141" s="45">
        <v>44231.0</v>
      </c>
      <c r="AI141" s="44" t="str">
        <f>'6image_RS_benchmark_performance'!B141</f>
        <v>https://3arbzfbsh-cname-us.ngrok.io/Desktop/seabridge%20fintech/image_app/CSGP_resistance_support.jpg</v>
      </c>
      <c r="AJ141" s="44" t="str">
        <f>'6image_RS_benchmark_performance'!C141</f>
        <v>https://3arbzfbsh-cname-us.ngrok.io/Desktop/seabridge%20fintech/profit_graph_app/CSGP_Return.jpg</v>
      </c>
      <c r="AK141" s="46" t="str">
        <f>'5price_action_icon'!B141</f>
        <v>https://3arbzfbsh-cname-us.ngrok.io/Desktop/seabridge%20fintech/icon/CSGP_pa_trend_signal</v>
      </c>
      <c r="AL141" s="42">
        <f>'1kpi_performance'!B141</f>
        <v>0.7216701534</v>
      </c>
      <c r="AM141" s="42">
        <f>'1kpi_performance'!C141</f>
        <v>0.9648517161</v>
      </c>
      <c r="AN141" s="42">
        <f>'1kpi_performance'!D141</f>
        <v>0.7195609925</v>
      </c>
      <c r="AO141" s="42">
        <f>'1kpi_performance'!E141</f>
        <v>0.4608020774</v>
      </c>
      <c r="AP141" s="42">
        <f>'1kpi_performance'!F141</f>
        <v>0.2555970968</v>
      </c>
      <c r="AQ141" s="42">
        <f>'1kpi_performance'!G141</f>
        <v>0.2618035044</v>
      </c>
      <c r="AR141" s="42">
        <f>'1kpi_performance'!H141</f>
        <v>0.2571167664</v>
      </c>
      <c r="AS141" s="42">
        <f>'1kpi_performance'!I141</f>
        <v>0.3589377524</v>
      </c>
      <c r="AT141" s="35">
        <f>'1kpi_performance'!J141</f>
        <v>2.725657537</v>
      </c>
      <c r="AU141" s="35">
        <f>'1kpi_performance'!K141</f>
        <v>3.589912664</v>
      </c>
      <c r="AV141" s="35">
        <f>'1kpi_performance'!L141</f>
        <v>2.701344615</v>
      </c>
      <c r="AW141" s="35">
        <f>'1kpi_performance'!M141</f>
        <v>1.214143886</v>
      </c>
      <c r="AX141" s="42">
        <f>'1kpi_performance'!N141</f>
        <v>0.1522981821</v>
      </c>
      <c r="AY141" s="42">
        <f>'1kpi_performance'!O141</f>
        <v>0.1169643271</v>
      </c>
      <c r="AZ141" s="42">
        <f>'1kpi_performance'!P141</f>
        <v>0.2879319728</v>
      </c>
      <c r="BA141" s="42">
        <f>'1kpi_performance'!Q141</f>
        <v>0.3588687534</v>
      </c>
      <c r="BB141" s="35">
        <f>'1kpi_performance'!R141</f>
        <v>6.287132684</v>
      </c>
      <c r="BC141" s="35">
        <f>'1kpi_performance'!S141</f>
        <v>9.024805484</v>
      </c>
      <c r="BD141" s="35">
        <f>'1kpi_performance'!T141</f>
        <v>5.746366401</v>
      </c>
      <c r="BE141" s="35">
        <f>'1kpi_performance'!U141</f>
        <v>2.534858463</v>
      </c>
      <c r="BF141" s="47"/>
      <c r="BG141" s="47"/>
      <c r="BH141" s="47"/>
      <c r="BI141" s="47"/>
      <c r="BJ141" s="47"/>
      <c r="BK141" s="47"/>
      <c r="BL141" s="47"/>
      <c r="BM141" s="47"/>
      <c r="BN141" s="47"/>
      <c r="BO141" s="47"/>
      <c r="BP141" s="47"/>
      <c r="BQ141" s="47"/>
      <c r="BR141" s="47"/>
      <c r="BS141" s="47"/>
      <c r="BT141" s="47"/>
    </row>
    <row r="142" ht="11.25" customHeight="1">
      <c r="A142" s="35" t="str">
        <f>'13all_company_profile'!A142</f>
        <v>CSX</v>
      </c>
      <c r="B142" s="35" t="str">
        <f>'13all_company_profile'!B142</f>
        <v>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v>
      </c>
      <c r="C142" s="44" t="str">
        <f>'13all_company_profile'!C142</f>
        <v>https://financialmodelingprep.com/image-stock/CSX.png</v>
      </c>
      <c r="D142" s="35" t="str">
        <f>'13all_company_profile'!D142</f>
        <v>CSX Corporation</v>
      </c>
      <c r="E142" s="36">
        <f>'13all_company_profile'!E142</f>
        <v>72278679552</v>
      </c>
      <c r="F142" s="37">
        <f>'13all_company_profile'!F142</f>
        <v>11562688</v>
      </c>
      <c r="G142" s="35">
        <f>'13all_company_profile'!G142</f>
        <v>0.4533</v>
      </c>
      <c r="H142" s="38">
        <f>'13all_company_profile'!H142</f>
        <v>44397</v>
      </c>
      <c r="I142" s="35">
        <f>'13all_company_profile'!I142</f>
        <v>26.760204</v>
      </c>
      <c r="J142" s="35">
        <f>'13all_company_profile'!J142</f>
        <v>1.176</v>
      </c>
      <c r="K142" s="42">
        <f t="shared" si="1"/>
        <v>0.01453816549</v>
      </c>
      <c r="L142" s="35">
        <f>'7company_info'!B142</f>
        <v>31.18</v>
      </c>
      <c r="M142" s="35">
        <f>'7company_info'!C142</f>
        <v>31.43</v>
      </c>
      <c r="N142" s="35">
        <f>'7company_info'!D142</f>
        <v>30.86</v>
      </c>
      <c r="O142" s="35">
        <f>'7company_info'!E142</f>
        <v>0.36</v>
      </c>
      <c r="P142" s="35">
        <f>'7company_info'!F142</f>
        <v>0.0117</v>
      </c>
      <c r="Q142" s="35">
        <f>'7company_info'!G142</f>
        <v>30.88</v>
      </c>
      <c r="R142" s="35">
        <f>'7company_info'!H142</f>
        <v>30.82</v>
      </c>
      <c r="S142" s="35">
        <f>'7company_info'!I142</f>
        <v>22.69</v>
      </c>
      <c r="T142" s="35">
        <f>'7company_info'!J142</f>
        <v>34.96</v>
      </c>
      <c r="U142" s="39">
        <v>31.7233333333333</v>
      </c>
      <c r="V142" s="39">
        <v>31.8766666666666</v>
      </c>
      <c r="W142" s="40">
        <v>32.1133333333333</v>
      </c>
      <c r="X142" s="40">
        <v>32.5033333333333</v>
      </c>
      <c r="Y142" s="40">
        <v>31.4866666666666</v>
      </c>
      <c r="Z142" s="40">
        <v>31.3333333333333</v>
      </c>
      <c r="AA142" s="40">
        <v>30.9433333333333</v>
      </c>
      <c r="AB142" s="40">
        <v>31.97</v>
      </c>
      <c r="AC142" s="40">
        <v>32.2</v>
      </c>
      <c r="AD142" s="40">
        <v>32.0545910253112</v>
      </c>
      <c r="AE142" s="40">
        <v>30.46474</v>
      </c>
      <c r="AF142" s="40">
        <v>0.614963333333334</v>
      </c>
      <c r="AG142" s="40">
        <v>34.9566666666666</v>
      </c>
      <c r="AH142" s="45">
        <v>44326.0</v>
      </c>
      <c r="AI142" s="44" t="str">
        <f>'6image_RS_benchmark_performance'!B142</f>
        <v>https://3arbzfbsh-cname-us.ngrok.io/Desktop/seabridge%20fintech/image_app/CSX_resistance_support.jpg</v>
      </c>
      <c r="AJ142" s="44" t="str">
        <f>'6image_RS_benchmark_performance'!C142</f>
        <v>https://3arbzfbsh-cname-us.ngrok.io/Desktop/seabridge%20fintech/profit_graph_app/CSX_Return.jpg</v>
      </c>
      <c r="AK142" s="46" t="str">
        <f>'5price_action_icon'!B142</f>
        <v>https://3arbzfbsh-cname-us.ngrok.io/Desktop/seabridge%20fintech/icon/CSX_pa_trend_signal</v>
      </c>
      <c r="AL142" s="42">
        <f>'1kpi_performance'!B142</f>
        <v>0.5846646448</v>
      </c>
      <c r="AM142" s="42">
        <f>'1kpi_performance'!C142</f>
        <v>0.7976234668</v>
      </c>
      <c r="AN142" s="42">
        <f>'1kpi_performance'!D142</f>
        <v>0.6342069723</v>
      </c>
      <c r="AO142" s="42">
        <f>'1kpi_performance'!E142</f>
        <v>0.257231314</v>
      </c>
      <c r="AP142" s="42">
        <f>'1kpi_performance'!F142</f>
        <v>0.2381228797</v>
      </c>
      <c r="AQ142" s="42">
        <f>'1kpi_performance'!G142</f>
        <v>0.2309179197</v>
      </c>
      <c r="AR142" s="42">
        <f>'1kpi_performance'!H142</f>
        <v>0.2041055723</v>
      </c>
      <c r="AS142" s="42">
        <f>'1kpi_performance'!I142</f>
        <v>0.3440023703</v>
      </c>
      <c r="AT142" s="35">
        <f>'1kpi_performance'!J142</f>
        <v>2.350318648</v>
      </c>
      <c r="AU142" s="35">
        <f>'1kpi_performance'!K142</f>
        <v>3.345879211</v>
      </c>
      <c r="AV142" s="35">
        <f>'1kpi_performance'!L142</f>
        <v>2.984764038</v>
      </c>
      <c r="AW142" s="35">
        <f>'1kpi_performance'!M142</f>
        <v>0.6750863776</v>
      </c>
      <c r="AX142" s="42">
        <f>'1kpi_performance'!N142</f>
        <v>0.1745856356</v>
      </c>
      <c r="AY142" s="42">
        <f>'1kpi_performance'!O142</f>
        <v>0.1154420645</v>
      </c>
      <c r="AZ142" s="42">
        <f>'1kpi_performance'!P142</f>
        <v>0.1903205531</v>
      </c>
      <c r="BA142" s="42">
        <f>'1kpi_performance'!Q142</f>
        <v>0.4204695331</v>
      </c>
      <c r="BB142" s="35">
        <f>'1kpi_performance'!R142</f>
        <v>5.335077861</v>
      </c>
      <c r="BC142" s="35">
        <f>'1kpi_performance'!S142</f>
        <v>8.121461078</v>
      </c>
      <c r="BD142" s="35">
        <f>'1kpi_performance'!T142</f>
        <v>6.3724834</v>
      </c>
      <c r="BE142" s="35">
        <f>'1kpi_performance'!U142</f>
        <v>1.351000781</v>
      </c>
      <c r="BF142" s="47"/>
      <c r="BG142" s="47"/>
      <c r="BH142" s="47"/>
      <c r="BI142" s="47"/>
      <c r="BJ142" s="47"/>
      <c r="BK142" s="47"/>
      <c r="BL142" s="47"/>
      <c r="BM142" s="47"/>
      <c r="BN142" s="47"/>
      <c r="BO142" s="47"/>
      <c r="BP142" s="47"/>
      <c r="BQ142" s="47"/>
      <c r="BR142" s="47"/>
      <c r="BS142" s="47"/>
      <c r="BT142" s="47"/>
    </row>
    <row r="143" ht="11.25" customHeight="1">
      <c r="A143" s="35" t="str">
        <f>'13all_company_profile'!A143</f>
        <v>CTAS</v>
      </c>
      <c r="B143" s="35" t="str">
        <f>'13all_company_profile'!B143</f>
        <v>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v>
      </c>
      <c r="C143" s="44" t="str">
        <f>'13all_company_profile'!C143</f>
        <v>https://financialmodelingprep.com/image-stock/CTAS.png</v>
      </c>
      <c r="D143" s="35" t="str">
        <f>'13all_company_profile'!D143</f>
        <v>Cintas Corporation</v>
      </c>
      <c r="E143" s="36">
        <f>'13all_company_profile'!E143</f>
        <v>38780313600</v>
      </c>
      <c r="F143" s="37">
        <f>'13all_company_profile'!F143</f>
        <v>404765</v>
      </c>
      <c r="G143" s="35">
        <f>'13all_company_profile'!G143</f>
        <v>5.01</v>
      </c>
      <c r="H143" s="38" t="str">
        <f>'13all_company_profile'!H143</f>
        <v>not avaiable</v>
      </c>
      <c r="I143" s="35">
        <f>'13all_company_profile'!I143</f>
        <v>42.42174</v>
      </c>
      <c r="J143" s="35">
        <f>'13all_company_profile'!J143</f>
        <v>9.136</v>
      </c>
      <c r="K143" s="42">
        <f t="shared" si="1"/>
        <v>0.0128725591</v>
      </c>
      <c r="L143" s="35">
        <f>'7company_info'!B143</f>
        <v>389.2</v>
      </c>
      <c r="M143" s="35">
        <f>'7company_info'!C143</f>
        <v>391.1</v>
      </c>
      <c r="N143" s="35">
        <f>'7company_info'!D143</f>
        <v>378.46</v>
      </c>
      <c r="O143" s="35">
        <f>'7company_info'!E143</f>
        <v>10.62</v>
      </c>
      <c r="P143" s="35">
        <f>'7company_info'!F143</f>
        <v>0.0281</v>
      </c>
      <c r="Q143" s="35">
        <f>'7company_info'!G143</f>
        <v>379.04</v>
      </c>
      <c r="R143" s="35">
        <f>'7company_info'!H143</f>
        <v>378.58</v>
      </c>
      <c r="S143" s="35">
        <f>'7company_info'!I143</f>
        <v>276.71</v>
      </c>
      <c r="T143" s="35">
        <f>'7company_info'!J143</f>
        <v>392.25</v>
      </c>
      <c r="U143" s="39">
        <v>379.4566</v>
      </c>
      <c r="V143" s="39">
        <v>382.0632</v>
      </c>
      <c r="W143" s="40">
        <v>385.1764</v>
      </c>
      <c r="X143" s="40">
        <v>390.896199999999</v>
      </c>
      <c r="Y143" s="40">
        <v>376.3434</v>
      </c>
      <c r="Z143" s="40">
        <v>373.7368</v>
      </c>
      <c r="AA143" s="40">
        <v>368.017</v>
      </c>
      <c r="AB143" s="40">
        <v>380.14</v>
      </c>
      <c r="AC143" s="40">
        <v>392.25</v>
      </c>
      <c r="AD143" s="40">
        <v>376.956568972218</v>
      </c>
      <c r="AE143" s="40">
        <v>368.18901</v>
      </c>
      <c r="AF143" s="40">
        <v>6.402485</v>
      </c>
      <c r="AG143" s="40">
        <v>364.41</v>
      </c>
      <c r="AH143" s="45">
        <v>44326.0</v>
      </c>
      <c r="AI143" s="44" t="str">
        <f>'6image_RS_benchmark_performance'!B143</f>
        <v>https://3arbzfbsh-cname-us.ngrok.io/Desktop/seabridge%20fintech/image_app/CTAS_resistance_support.jpg</v>
      </c>
      <c r="AJ143" s="44" t="str">
        <f>'6image_RS_benchmark_performance'!C143</f>
        <v>https://3arbzfbsh-cname-us.ngrok.io/Desktop/seabridge%20fintech/profit_graph_app/CTAS_Return.jpg</v>
      </c>
      <c r="AK143" s="46" t="str">
        <f>'5price_action_icon'!B143</f>
        <v>https://3arbzfbsh-cname-us.ngrok.io/Desktop/seabridge%20fintech/icon/CTAS_pa_trend_signal</v>
      </c>
      <c r="AL143" s="42">
        <f>'1kpi_performance'!B143</f>
        <v>0.6296671663</v>
      </c>
      <c r="AM143" s="42">
        <f>'1kpi_performance'!C143</f>
        <v>0.7867177532</v>
      </c>
      <c r="AN143" s="42">
        <f>'1kpi_performance'!D143</f>
        <v>0.6571497958</v>
      </c>
      <c r="AO143" s="42">
        <f>'1kpi_performance'!E143</f>
        <v>0.3999958779</v>
      </c>
      <c r="AP143" s="42">
        <f>'1kpi_performance'!F143</f>
        <v>0.1989565003</v>
      </c>
      <c r="AQ143" s="42">
        <f>'1kpi_performance'!G143</f>
        <v>0.2148419602</v>
      </c>
      <c r="AR143" s="42">
        <f>'1kpi_performance'!H143</f>
        <v>0.1793134768</v>
      </c>
      <c r="AS143" s="42">
        <f>'1kpi_performance'!I143</f>
        <v>0.3029363133</v>
      </c>
      <c r="AT143" s="35">
        <f>'1kpi_performance'!J143</f>
        <v>3.039192815</v>
      </c>
      <c r="AU143" s="35">
        <f>'1kpi_performance'!K143</f>
        <v>3.545479443</v>
      </c>
      <c r="AV143" s="35">
        <f>'1kpi_performance'!L143</f>
        <v>3.525389208</v>
      </c>
      <c r="AW143" s="35">
        <f>'1kpi_performance'!M143</f>
        <v>1.237870342</v>
      </c>
      <c r="AX143" s="42">
        <f>'1kpi_performance'!N143</f>
        <v>0.1363065599</v>
      </c>
      <c r="AY143" s="42">
        <f>'1kpi_performance'!O143</f>
        <v>0.1091361767</v>
      </c>
      <c r="AZ143" s="42">
        <f>'1kpi_performance'!P143</f>
        <v>0.1170698115</v>
      </c>
      <c r="BA143" s="42">
        <f>'1kpi_performance'!Q143</f>
        <v>0.4837967528</v>
      </c>
      <c r="BB143" s="35">
        <f>'1kpi_performance'!R143</f>
        <v>7.3559537</v>
      </c>
      <c r="BC143" s="35">
        <f>'1kpi_performance'!S143</f>
        <v>8.872196348</v>
      </c>
      <c r="BD143" s="35">
        <f>'1kpi_performance'!T143</f>
        <v>8.210607782</v>
      </c>
      <c r="BE143" s="35">
        <f>'1kpi_performance'!U143</f>
        <v>2.433425641</v>
      </c>
      <c r="BF143" s="47"/>
      <c r="BG143" s="47"/>
      <c r="BH143" s="47"/>
      <c r="BI143" s="47"/>
      <c r="BJ143" s="47"/>
      <c r="BK143" s="47"/>
      <c r="BL143" s="47"/>
      <c r="BM143" s="47"/>
      <c r="BN143" s="47"/>
      <c r="BO143" s="47"/>
      <c r="BP143" s="47"/>
      <c r="BQ143" s="47"/>
      <c r="BR143" s="47"/>
      <c r="BS143" s="47"/>
      <c r="BT143" s="47"/>
    </row>
    <row r="144" ht="11.25" customHeight="1">
      <c r="A144" s="35" t="str">
        <f>'13all_company_profile'!A144</f>
        <v>CTLT</v>
      </c>
      <c r="B144" s="35" t="str">
        <f>'13all_company_profile'!B144</f>
        <v>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v>
      </c>
      <c r="C144" s="44" t="str">
        <f>'13all_company_profile'!C144</f>
        <v>https://financialmodelingprep.com/image-stock/CTLT.png</v>
      </c>
      <c r="D144" s="35" t="str">
        <f>'13all_company_profile'!D144</f>
        <v>Catalent, Inc.</v>
      </c>
      <c r="E144" s="36">
        <f>'13all_company_profile'!E144</f>
        <v>18672889856</v>
      </c>
      <c r="F144" s="37">
        <f>'13all_company_profile'!F144</f>
        <v>928277</v>
      </c>
      <c r="G144" s="35">
        <f>'13all_company_profile'!G144</f>
        <v>0</v>
      </c>
      <c r="H144" s="38" t="str">
        <f>'13all_company_profile'!H144</f>
        <v>not avaiable</v>
      </c>
      <c r="I144" s="35">
        <f>'13all_company_profile'!I144</f>
        <v>37.10125</v>
      </c>
      <c r="J144" s="35">
        <f>'13all_company_profile'!J144</f>
        <v>2.953</v>
      </c>
      <c r="K144" s="42" t="str">
        <f t="shared" si="1"/>
        <v>NaN</v>
      </c>
      <c r="L144" s="35">
        <f>'7company_info'!B144</f>
        <v>112.69</v>
      </c>
      <c r="M144" s="35">
        <f>'7company_info'!C144</f>
        <v>112.94</v>
      </c>
      <c r="N144" s="35">
        <f>'7company_info'!D144</f>
        <v>110.6</v>
      </c>
      <c r="O144" s="35">
        <f>'7company_info'!E144</f>
        <v>1.85</v>
      </c>
      <c r="P144" s="35">
        <f>'7company_info'!F144</f>
        <v>0.0167</v>
      </c>
      <c r="Q144" s="35">
        <f>'7company_info'!G144</f>
        <v>111.27</v>
      </c>
      <c r="R144" s="35">
        <f>'7company_info'!H144</f>
        <v>110.84</v>
      </c>
      <c r="S144" s="35">
        <f>'7company_info'!I144</f>
        <v>79.65</v>
      </c>
      <c r="T144" s="35">
        <f>'7company_info'!J144</f>
        <v>127.68</v>
      </c>
      <c r="U144" s="39">
        <v>111.93</v>
      </c>
      <c r="V144" s="39">
        <v>113.13</v>
      </c>
      <c r="W144" s="40">
        <v>115.12</v>
      </c>
      <c r="X144" s="40">
        <v>118.31</v>
      </c>
      <c r="Y144" s="40">
        <v>109.94</v>
      </c>
      <c r="Z144" s="40">
        <v>108.74</v>
      </c>
      <c r="AA144" s="40">
        <v>105.55</v>
      </c>
      <c r="AB144" s="40">
        <v>103.67</v>
      </c>
      <c r="AC144" s="40">
        <v>110.28</v>
      </c>
      <c r="AD144" s="40">
        <v>110.656897513746</v>
      </c>
      <c r="AE144" s="40">
        <v>109.564</v>
      </c>
      <c r="AF144" s="40">
        <v>1.96949999999999</v>
      </c>
      <c r="AG144" s="40">
        <v>127.68</v>
      </c>
      <c r="AH144" s="45">
        <v>44243.0</v>
      </c>
      <c r="AI144" s="44" t="str">
        <f>'6image_RS_benchmark_performance'!B144</f>
        <v>https://3arbzfbsh-cname-us.ngrok.io/Desktop/seabridge%20fintech/image_app/CTLT_resistance_support.jpg</v>
      </c>
      <c r="AJ144" s="44" t="str">
        <f>'6image_RS_benchmark_performance'!C144</f>
        <v>https://3arbzfbsh-cname-us.ngrok.io/Desktop/seabridge%20fintech/profit_graph_app/CTLT_Return.jpg</v>
      </c>
      <c r="AK144" s="46" t="str">
        <f>'5price_action_icon'!B144</f>
        <v>https://3arbzfbsh-cname-us.ngrok.io/Desktop/seabridge%20fintech/icon/CTLT_pa_trend_signal</v>
      </c>
      <c r="AL144" s="42">
        <f>'1kpi_performance'!B144</f>
        <v>1.278942871</v>
      </c>
      <c r="AM144" s="42">
        <f>'1kpi_performance'!C144</f>
        <v>1.314182877</v>
      </c>
      <c r="AN144" s="42">
        <f>'1kpi_performance'!D144</f>
        <v>1.06893258</v>
      </c>
      <c r="AO144" s="42">
        <f>'1kpi_performance'!E144</f>
        <v>0.4232100166</v>
      </c>
      <c r="AP144" s="42">
        <f>'1kpi_performance'!F144</f>
        <v>0.2713349264</v>
      </c>
      <c r="AQ144" s="42">
        <f>'1kpi_performance'!G144</f>
        <v>0.284839734</v>
      </c>
      <c r="AR144" s="42">
        <f>'1kpi_performance'!H144</f>
        <v>0.3208806965</v>
      </c>
      <c r="AS144" s="42">
        <f>'1kpi_performance'!I144</f>
        <v>0.4245129011</v>
      </c>
      <c r="AT144" s="35">
        <f>'1kpi_performance'!J144</f>
        <v>4.62138394</v>
      </c>
      <c r="AU144" s="35">
        <f>'1kpi_performance'!K144</f>
        <v>4.525993826</v>
      </c>
      <c r="AV144" s="35">
        <f>'1kpi_performance'!L144</f>
        <v>3.253335558</v>
      </c>
      <c r="AW144" s="35">
        <f>'1kpi_performance'!M144</f>
        <v>0.9380398464</v>
      </c>
      <c r="AX144" s="42">
        <f>'1kpi_performance'!N144</f>
        <v>0.1103758806</v>
      </c>
      <c r="AY144" s="42">
        <f>'1kpi_performance'!O144</f>
        <v>0.1075311168</v>
      </c>
      <c r="AZ144" s="42">
        <f>'1kpi_performance'!P144</f>
        <v>0.4281273898</v>
      </c>
      <c r="BA144" s="42">
        <f>'1kpi_performance'!Q144</f>
        <v>0.4130262113</v>
      </c>
      <c r="BB144" s="35">
        <f>'1kpi_performance'!R144</f>
        <v>11.60097155</v>
      </c>
      <c r="BC144" s="35">
        <f>'1kpi_performance'!S144</f>
        <v>11.26773349</v>
      </c>
      <c r="BD144" s="35">
        <f>'1kpi_performance'!T144</f>
        <v>6.548981952</v>
      </c>
      <c r="BE144" s="35">
        <f>'1kpi_performance'!U144</f>
        <v>1.826776426</v>
      </c>
      <c r="BF144" s="47"/>
      <c r="BG144" s="47"/>
      <c r="BH144" s="47"/>
      <c r="BI144" s="47"/>
      <c r="BJ144" s="47"/>
      <c r="BK144" s="47"/>
      <c r="BL144" s="47"/>
      <c r="BM144" s="47"/>
      <c r="BN144" s="47"/>
      <c r="BO144" s="47"/>
      <c r="BP144" s="47"/>
      <c r="BQ144" s="47"/>
      <c r="BR144" s="47"/>
      <c r="BS144" s="47"/>
      <c r="BT144" s="47"/>
    </row>
    <row r="145" ht="11.25" customHeight="1">
      <c r="A145" s="35" t="str">
        <f>'13all_company_profile'!A145</f>
        <v>CTSH</v>
      </c>
      <c r="B145" s="35" t="str">
        <f>'13all_company_profile'!B145</f>
        <v>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v>
      </c>
      <c r="C145" s="44" t="str">
        <f>'13all_company_profile'!C145</f>
        <v>https://financialmodelingprep.com/image-stock/CTSH.png</v>
      </c>
      <c r="D145" s="35" t="str">
        <f>'13all_company_profile'!D145</f>
        <v>Cognizant Technology Solutions Corporation</v>
      </c>
      <c r="E145" s="36">
        <f>'13all_company_profile'!E145</f>
        <v>36301770752</v>
      </c>
      <c r="F145" s="37">
        <f>'13all_company_profile'!F145</f>
        <v>4008746</v>
      </c>
      <c r="G145" s="35">
        <f>'13all_company_profile'!G145</f>
        <v>0.92</v>
      </c>
      <c r="H145" s="38">
        <f>'13all_company_profile'!H145</f>
        <v>44404</v>
      </c>
      <c r="I145" s="35">
        <f>'13all_company_profile'!I145</f>
        <v>24.047787</v>
      </c>
      <c r="J145" s="35">
        <f>'13all_company_profile'!J145</f>
        <v>2.846</v>
      </c>
      <c r="K145" s="42">
        <f t="shared" si="1"/>
        <v>0.01360745452</v>
      </c>
      <c r="L145" s="35">
        <f>'7company_info'!B145</f>
        <v>67.61</v>
      </c>
      <c r="M145" s="35">
        <f>'7company_info'!C145</f>
        <v>68.02</v>
      </c>
      <c r="N145" s="35">
        <f>'7company_info'!D145</f>
        <v>66.68</v>
      </c>
      <c r="O145" s="35">
        <f>'7company_info'!E145</f>
        <v>1.15</v>
      </c>
      <c r="P145" s="35">
        <f>'7company_info'!F145</f>
        <v>0.0173</v>
      </c>
      <c r="Q145" s="35">
        <f>'7company_info'!G145</f>
        <v>66.68</v>
      </c>
      <c r="R145" s="35">
        <f>'7company_info'!H145</f>
        <v>66.46</v>
      </c>
      <c r="S145" s="35">
        <f>'7company_info'!I145</f>
        <v>61.05</v>
      </c>
      <c r="T145" s="35">
        <f>'7company_info'!J145</f>
        <v>82.73</v>
      </c>
      <c r="U145" s="39">
        <v>69.36</v>
      </c>
      <c r="V145" s="39">
        <v>69.84</v>
      </c>
      <c r="W145" s="40">
        <v>70.45</v>
      </c>
      <c r="X145" s="40">
        <v>71.54</v>
      </c>
      <c r="Y145" s="40">
        <v>68.75</v>
      </c>
      <c r="Z145" s="40">
        <v>68.27</v>
      </c>
      <c r="AA145" s="40">
        <v>67.1799999999999</v>
      </c>
      <c r="AB145" s="40">
        <v>67.37</v>
      </c>
      <c r="AC145" s="40">
        <v>69.35</v>
      </c>
      <c r="AD145" s="40">
        <v>69.6401117634262</v>
      </c>
      <c r="AE145" s="40">
        <v>66.63103</v>
      </c>
      <c r="AF145" s="40">
        <v>1.03598499999999</v>
      </c>
      <c r="AG145" s="40">
        <v>82.57</v>
      </c>
      <c r="AH145" s="45">
        <v>44319.0</v>
      </c>
      <c r="AI145" s="44" t="str">
        <f>'6image_RS_benchmark_performance'!B145</f>
        <v>https://3arbzfbsh-cname-us.ngrok.io/Desktop/seabridge%20fintech/image_app/CTSH_resistance_support.jpg</v>
      </c>
      <c r="AJ145" s="44" t="str">
        <f>'6image_RS_benchmark_performance'!C145</f>
        <v>https://3arbzfbsh-cname-us.ngrok.io/Desktop/seabridge%20fintech/profit_graph_app/CTSH_Return.jpg</v>
      </c>
      <c r="AK145" s="46" t="str">
        <f>'5price_action_icon'!B145</f>
        <v>https://3arbzfbsh-cname-us.ngrok.io/Desktop/seabridge%20fintech/icon/CTSH_pa_trend_signal</v>
      </c>
      <c r="AL145" s="42">
        <f>'1kpi_performance'!B145</f>
        <v>0.5027487998</v>
      </c>
      <c r="AM145" s="42">
        <f>'1kpi_performance'!C145</f>
        <v>0.6767250747</v>
      </c>
      <c r="AN145" s="42">
        <f>'1kpi_performance'!D145</f>
        <v>0.4896646871</v>
      </c>
      <c r="AO145" s="42">
        <f>'1kpi_performance'!E145</f>
        <v>0.1447255269</v>
      </c>
      <c r="AP145" s="42">
        <f>'1kpi_performance'!F145</f>
        <v>0.2235289618</v>
      </c>
      <c r="AQ145" s="42">
        <f>'1kpi_performance'!G145</f>
        <v>0.2258257499</v>
      </c>
      <c r="AR145" s="42">
        <f>'1kpi_performance'!H145</f>
        <v>0.2533010808</v>
      </c>
      <c r="AS145" s="42">
        <f>'1kpi_performance'!I145</f>
        <v>0.3575965932</v>
      </c>
      <c r="AT145" s="35">
        <f>'1kpi_performance'!J145</f>
        <v>2.137301565</v>
      </c>
      <c r="AU145" s="35">
        <f>'1kpi_performance'!K145</f>
        <v>2.8859644</v>
      </c>
      <c r="AV145" s="35">
        <f>'1kpi_performance'!L145</f>
        <v>1.83443626</v>
      </c>
      <c r="AW145" s="35">
        <f>'1kpi_performance'!M145</f>
        <v>0.3348061172</v>
      </c>
      <c r="AX145" s="42">
        <f>'1kpi_performance'!N145</f>
        <v>0.1585415328</v>
      </c>
      <c r="AY145" s="42">
        <f>'1kpi_performance'!O145</f>
        <v>0.1002839529</v>
      </c>
      <c r="AZ145" s="42">
        <f>'1kpi_performance'!P145</f>
        <v>0.2546746964</v>
      </c>
      <c r="BA145" s="42">
        <f>'1kpi_performance'!Q145</f>
        <v>0.5094895674</v>
      </c>
      <c r="BB145" s="35">
        <f>'1kpi_performance'!R145</f>
        <v>4.780654074</v>
      </c>
      <c r="BC145" s="35">
        <f>'1kpi_performance'!S145</f>
        <v>6.970890802</v>
      </c>
      <c r="BD145" s="35">
        <f>'1kpi_performance'!T145</f>
        <v>3.392149726</v>
      </c>
      <c r="BE145" s="35">
        <f>'1kpi_performance'!U145</f>
        <v>0.6293656511</v>
      </c>
      <c r="BF145" s="47"/>
      <c r="BG145" s="47"/>
      <c r="BH145" s="47"/>
      <c r="BI145" s="47"/>
      <c r="BJ145" s="47"/>
      <c r="BK145" s="47"/>
      <c r="BL145" s="47"/>
      <c r="BM145" s="47"/>
      <c r="BN145" s="47"/>
      <c r="BO145" s="47"/>
      <c r="BP145" s="47"/>
      <c r="BQ145" s="47"/>
      <c r="BR145" s="47"/>
      <c r="BS145" s="47"/>
      <c r="BT145" s="47"/>
    </row>
    <row r="146" ht="11.25" customHeight="1">
      <c r="A146" s="35" t="str">
        <f>'13all_company_profile'!A146</f>
        <v>CTVA</v>
      </c>
      <c r="B146" s="35" t="str">
        <f>'13all_company_profile'!B146</f>
        <v>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v>
      </c>
      <c r="C146" s="44" t="str">
        <f>'13all_company_profile'!C146</f>
        <v>https://financialmodelingprep.com/image-stock/CTVA.png</v>
      </c>
      <c r="D146" s="35" t="str">
        <f>'13all_company_profile'!D146</f>
        <v>Corteva, Inc.</v>
      </c>
      <c r="E146" s="36">
        <f>'13all_company_profile'!E146</f>
        <v>31289937920</v>
      </c>
      <c r="F146" s="37">
        <f>'13all_company_profile'!F146</f>
        <v>3185611</v>
      </c>
      <c r="G146" s="35">
        <f>'13all_company_profile'!G146</f>
        <v>0.52</v>
      </c>
      <c r="H146" s="38">
        <f>'13all_company_profile'!H146</f>
        <v>44413</v>
      </c>
      <c r="I146" s="35">
        <f>'13all_company_profile'!I146</f>
        <v>31.118568</v>
      </c>
      <c r="J146" s="35">
        <f>'13all_company_profile'!J146</f>
        <v>1.341</v>
      </c>
      <c r="K146" s="42">
        <f t="shared" si="1"/>
        <v>0.01246105919</v>
      </c>
      <c r="L146" s="35">
        <f>'7company_info'!B146</f>
        <v>41.73</v>
      </c>
      <c r="M146" s="35">
        <f>'7company_info'!C146</f>
        <v>42.02</v>
      </c>
      <c r="N146" s="35">
        <f>'7company_info'!D146</f>
        <v>40.74</v>
      </c>
      <c r="O146" s="35">
        <f>'7company_info'!E146</f>
        <v>0.8</v>
      </c>
      <c r="P146" s="35">
        <f>'7company_info'!F146</f>
        <v>0.0195</v>
      </c>
      <c r="Q146" s="35">
        <f>'7company_info'!G146</f>
        <v>40.91</v>
      </c>
      <c r="R146" s="35">
        <f>'7company_info'!H146</f>
        <v>40.93</v>
      </c>
      <c r="S146" s="35">
        <f>'7company_info'!I146</f>
        <v>24.83</v>
      </c>
      <c r="T146" s="35">
        <f>'7company_info'!J146</f>
        <v>49.98</v>
      </c>
      <c r="U146" s="39">
        <v>42.9766666666666</v>
      </c>
      <c r="V146" s="39">
        <v>43.3733333333333</v>
      </c>
      <c r="W146" s="40">
        <v>44.0766666666666</v>
      </c>
      <c r="X146" s="40">
        <v>45.1766666666666</v>
      </c>
      <c r="Y146" s="40">
        <v>42.2733333333333</v>
      </c>
      <c r="Z146" s="40">
        <v>41.8766666666666</v>
      </c>
      <c r="AA146" s="40">
        <v>40.7766666666666</v>
      </c>
      <c r="AB146" s="40">
        <v>42.88</v>
      </c>
      <c r="AC146" s="40">
        <v>46.3625</v>
      </c>
      <c r="AD146" s="40">
        <v>43.8887353590465</v>
      </c>
      <c r="AE146" s="40">
        <v>41.2381</v>
      </c>
      <c r="AF146" s="40">
        <v>0.91295</v>
      </c>
      <c r="AG146" s="40">
        <v>49.98</v>
      </c>
      <c r="AH146" s="45">
        <v>44319.0</v>
      </c>
      <c r="AI146" s="44" t="str">
        <f>'6image_RS_benchmark_performance'!B146</f>
        <v>https://3arbzfbsh-cname-us.ngrok.io/Desktop/seabridge%20fintech/image_app/CTVA_resistance_support.jpg</v>
      </c>
      <c r="AJ146" s="44" t="str">
        <f>'6image_RS_benchmark_performance'!C146</f>
        <v>https://3arbzfbsh-cname-us.ngrok.io/Desktop/seabridge%20fintech/profit_graph_app/CTVA_Return.jpg</v>
      </c>
      <c r="AK146" s="46" t="str">
        <f>'5price_action_icon'!B146</f>
        <v>https://3arbzfbsh-cname-us.ngrok.io/Desktop/seabridge%20fintech/icon/CTVA_pa_trend_signal</v>
      </c>
      <c r="AL146" s="42">
        <f>'1kpi_performance'!B146</f>
        <v>0.6783642732</v>
      </c>
      <c r="AM146" s="42">
        <f>'1kpi_performance'!C146</f>
        <v>0.8792411141</v>
      </c>
      <c r="AN146" s="42">
        <f>'1kpi_performance'!D146</f>
        <v>1.847383176</v>
      </c>
      <c r="AO146" s="42">
        <f>'1kpi_performance'!E146</f>
        <v>0.2948876966</v>
      </c>
      <c r="AP146" s="42">
        <f>'1kpi_performance'!F146</f>
        <v>0.3399581192</v>
      </c>
      <c r="AQ146" s="42">
        <f>'1kpi_performance'!G146</f>
        <v>0.3375964674</v>
      </c>
      <c r="AR146" s="42">
        <f>'1kpi_performance'!H146</f>
        <v>0.2738925191</v>
      </c>
      <c r="AS146" s="42">
        <f>'1kpi_performance'!I146</f>
        <v>0.5113927749</v>
      </c>
      <c r="AT146" s="35">
        <f>'1kpi_performance'!J146</f>
        <v>1.921896364</v>
      </c>
      <c r="AU146" s="35">
        <f>'1kpi_performance'!K146</f>
        <v>2.530361531</v>
      </c>
      <c r="AV146" s="35">
        <f>'1kpi_performance'!L146</f>
        <v>6.653643487</v>
      </c>
      <c r="AW146" s="35">
        <f>'1kpi_performance'!M146</f>
        <v>0.5277503122</v>
      </c>
      <c r="AX146" s="42">
        <f>'1kpi_performance'!N146</f>
        <v>0.1385416667</v>
      </c>
      <c r="AY146" s="42">
        <f>'1kpi_performance'!O146</f>
        <v>0.1385416667</v>
      </c>
      <c r="AZ146" s="42">
        <f>'1kpi_performance'!P146</f>
        <v>0.09016104163</v>
      </c>
      <c r="BA146" s="42">
        <f>'1kpi_performance'!Q146</f>
        <v>0.3459476506</v>
      </c>
      <c r="BB146" s="35">
        <f>'1kpi_performance'!R146</f>
        <v>3.909115913</v>
      </c>
      <c r="BC146" s="35">
        <f>'1kpi_performance'!S146</f>
        <v>5.251372306</v>
      </c>
      <c r="BD146" s="35">
        <f>'1kpi_performance'!T146</f>
        <v>17.03091475</v>
      </c>
      <c r="BE146" s="35">
        <f>'1kpi_performance'!U146</f>
        <v>1.017261079</v>
      </c>
      <c r="BF146" s="47"/>
      <c r="BG146" s="47"/>
      <c r="BH146" s="47"/>
      <c r="BI146" s="47"/>
      <c r="BJ146" s="47"/>
      <c r="BK146" s="47"/>
      <c r="BL146" s="47"/>
      <c r="BM146" s="47"/>
      <c r="BN146" s="47"/>
      <c r="BO146" s="47"/>
      <c r="BP146" s="47"/>
      <c r="BQ146" s="47"/>
      <c r="BR146" s="47"/>
      <c r="BS146" s="47"/>
      <c r="BT146" s="47"/>
    </row>
    <row r="147" ht="11.25" customHeight="1">
      <c r="A147" s="35" t="str">
        <f>'13all_company_profile'!A147</f>
        <v>CTXS</v>
      </c>
      <c r="B147" s="35" t="str">
        <f>'13all_company_profile'!B147</f>
        <v>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v>
      </c>
      <c r="C147" s="44" t="str">
        <f>'13all_company_profile'!C147</f>
        <v>https://financialmodelingprep.com/image-stock/CTXS.png</v>
      </c>
      <c r="D147" s="35" t="str">
        <f>'13all_company_profile'!D147</f>
        <v>Citrix Systems, Inc.</v>
      </c>
      <c r="E147" s="36">
        <f>'13all_company_profile'!E147</f>
        <v>14277962752</v>
      </c>
      <c r="F147" s="37">
        <f>'13all_company_profile'!F147</f>
        <v>1162676</v>
      </c>
      <c r="G147" s="35">
        <f>'13all_company_profile'!G147</f>
        <v>1.44</v>
      </c>
      <c r="H147" s="38">
        <f>'13all_company_profile'!H147</f>
        <v>44398</v>
      </c>
      <c r="I147" s="35">
        <f>'13all_company_profile'!I147</f>
        <v>35.481266</v>
      </c>
      <c r="J147" s="35">
        <f>'13all_company_profile'!J147</f>
        <v>3.283</v>
      </c>
      <c r="K147" s="42">
        <f t="shared" si="1"/>
        <v>0.01255230126</v>
      </c>
      <c r="L147" s="35">
        <f>'7company_info'!B147</f>
        <v>114.72</v>
      </c>
      <c r="M147" s="35">
        <f>'7company_info'!C147</f>
        <v>115.72</v>
      </c>
      <c r="N147" s="35">
        <f>'7company_info'!D147</f>
        <v>114.11</v>
      </c>
      <c r="O147" s="35">
        <f>'7company_info'!E147</f>
        <v>0.78</v>
      </c>
      <c r="P147" s="35">
        <f>'7company_info'!F147</f>
        <v>0.0068</v>
      </c>
      <c r="Q147" s="35">
        <f>'7company_info'!G147</f>
        <v>114.41</v>
      </c>
      <c r="R147" s="35">
        <f>'7company_info'!H147</f>
        <v>113.94</v>
      </c>
      <c r="S147" s="35">
        <f>'7company_info'!I147</f>
        <v>111.26</v>
      </c>
      <c r="T147" s="35">
        <f>'7company_info'!J147</f>
        <v>173.56</v>
      </c>
      <c r="U147" s="39">
        <v>115.173333333333</v>
      </c>
      <c r="V147" s="39">
        <v>116.536666666666</v>
      </c>
      <c r="W147" s="40">
        <v>117.293333333333</v>
      </c>
      <c r="X147" s="40">
        <v>119.413333333333</v>
      </c>
      <c r="Y147" s="40">
        <v>114.416666666666</v>
      </c>
      <c r="Z147" s="40">
        <v>113.053333333333</v>
      </c>
      <c r="AA147" s="40">
        <v>110.933333333333</v>
      </c>
      <c r="AB147" s="40">
        <v>112.86</v>
      </c>
      <c r="AC147" s="40">
        <v>121.2</v>
      </c>
      <c r="AD147" s="40">
        <v>116.463301206149</v>
      </c>
      <c r="AE147" s="40">
        <v>109.0766</v>
      </c>
      <c r="AF147" s="40">
        <v>2.2947</v>
      </c>
      <c r="AG147" s="40">
        <v>145.19</v>
      </c>
      <c r="AH147" s="45">
        <v>44223.0</v>
      </c>
      <c r="AI147" s="44" t="str">
        <f>'6image_RS_benchmark_performance'!B147</f>
        <v>https://3arbzfbsh-cname-us.ngrok.io/Desktop/seabridge%20fintech/image_app/CTXS_resistance_support.jpg</v>
      </c>
      <c r="AJ147" s="44" t="str">
        <f>'6image_RS_benchmark_performance'!C147</f>
        <v>https://3arbzfbsh-cname-us.ngrok.io/Desktop/seabridge%20fintech/profit_graph_app/CTXS_Return.jpg</v>
      </c>
      <c r="AK147" s="46" t="str">
        <f>'5price_action_icon'!B147</f>
        <v>https://3arbzfbsh-cname-us.ngrok.io/Desktop/seabridge%20fintech/icon/CTXS_pa_trend_signal</v>
      </c>
      <c r="AL147" s="42">
        <f>'1kpi_performance'!B147</f>
        <v>0.6511634397</v>
      </c>
      <c r="AM147" s="42">
        <f>'1kpi_performance'!C147</f>
        <v>0.7414651108</v>
      </c>
      <c r="AN147" s="42">
        <f>'1kpi_performance'!D147</f>
        <v>0.4967928133</v>
      </c>
      <c r="AO147" s="42">
        <f>'1kpi_performance'!E147</f>
        <v>0.1645830598</v>
      </c>
      <c r="AP147" s="42">
        <f>'1kpi_performance'!F147</f>
        <v>0.2675485497</v>
      </c>
      <c r="AQ147" s="42">
        <f>'1kpi_performance'!G147</f>
        <v>0.2728860308</v>
      </c>
      <c r="AR147" s="42">
        <f>'1kpi_performance'!H147</f>
        <v>0.2240642386</v>
      </c>
      <c r="AS147" s="42">
        <f>'1kpi_performance'!I147</f>
        <v>0.3738852979</v>
      </c>
      <c r="AT147" s="35">
        <f>'1kpi_performance'!J147</f>
        <v>2.340373141</v>
      </c>
      <c r="AU147" s="35">
        <f>'1kpi_performance'!K147</f>
        <v>2.625510396</v>
      </c>
      <c r="AV147" s="35">
        <f>'1kpi_performance'!L147</f>
        <v>2.105614069</v>
      </c>
      <c r="AW147" s="35">
        <f>'1kpi_performance'!M147</f>
        <v>0.3733312345</v>
      </c>
      <c r="AX147" s="42">
        <f>'1kpi_performance'!N147</f>
        <v>0.1763262148</v>
      </c>
      <c r="AY147" s="42">
        <f>'1kpi_performance'!O147</f>
        <v>0.1345202412</v>
      </c>
      <c r="AZ147" s="42">
        <f>'1kpi_performance'!P147</f>
        <v>0.1978481447</v>
      </c>
      <c r="BA147" s="42">
        <f>'1kpi_performance'!Q147</f>
        <v>0.4258156707</v>
      </c>
      <c r="BB147" s="35">
        <f>'1kpi_performance'!R147</f>
        <v>5.256764228</v>
      </c>
      <c r="BC147" s="35">
        <f>'1kpi_performance'!S147</f>
        <v>6.447269973</v>
      </c>
      <c r="BD147" s="35">
        <f>'1kpi_performance'!T147</f>
        <v>4.431571959</v>
      </c>
      <c r="BE147" s="35">
        <f>'1kpi_performance'!U147</f>
        <v>0.7395996299</v>
      </c>
      <c r="BF147" s="47"/>
      <c r="BG147" s="47"/>
      <c r="BH147" s="47"/>
      <c r="BI147" s="47"/>
      <c r="BJ147" s="47"/>
      <c r="BK147" s="47"/>
      <c r="BL147" s="47"/>
      <c r="BM147" s="47"/>
      <c r="BN147" s="47"/>
      <c r="BO147" s="47"/>
      <c r="BP147" s="47"/>
      <c r="BQ147" s="47"/>
      <c r="BR147" s="47"/>
      <c r="BS147" s="47"/>
      <c r="BT147" s="47"/>
    </row>
    <row r="148" ht="11.25" customHeight="1">
      <c r="A148" s="35" t="str">
        <f>'13all_company_profile'!A148</f>
        <v>CVS</v>
      </c>
      <c r="B148" s="35" t="str">
        <f>'13all_company_profile'!B148</f>
        <v>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v>
      </c>
      <c r="C148" s="44" t="str">
        <f>'13all_company_profile'!C148</f>
        <v>https://financialmodelingprep.com/image-stock/CVS.png</v>
      </c>
      <c r="D148" s="35" t="str">
        <f>'13all_company_profile'!D148</f>
        <v>CVS Health Corporation</v>
      </c>
      <c r="E148" s="36">
        <f>'13all_company_profile'!E148</f>
        <v>107985068032</v>
      </c>
      <c r="F148" s="37">
        <f>'13all_company_profile'!F148</f>
        <v>6675696</v>
      </c>
      <c r="G148" s="35">
        <f>'13all_company_profile'!G148</f>
        <v>2.5</v>
      </c>
      <c r="H148" s="38">
        <f>'13all_company_profile'!H148</f>
        <v>44411</v>
      </c>
      <c r="I148" s="35">
        <f>'13all_company_profile'!I148</f>
        <v>14.525396</v>
      </c>
      <c r="J148" s="35">
        <f>'13all_company_profile'!J148</f>
        <v>5.615</v>
      </c>
      <c r="K148" s="42">
        <f t="shared" si="1"/>
        <v>0.03056234719</v>
      </c>
      <c r="L148" s="35">
        <f>'7company_info'!B148</f>
        <v>81.8</v>
      </c>
      <c r="M148" s="35">
        <f>'7company_info'!C148</f>
        <v>82.89</v>
      </c>
      <c r="N148" s="35">
        <f>'7company_info'!D148</f>
        <v>80.8</v>
      </c>
      <c r="O148" s="35">
        <f>'7company_info'!E148</f>
        <v>1.13</v>
      </c>
      <c r="P148" s="35">
        <f>'7company_info'!F148</f>
        <v>0.014</v>
      </c>
      <c r="Q148" s="35">
        <f>'7company_info'!G148</f>
        <v>80.89</v>
      </c>
      <c r="R148" s="35">
        <f>'7company_info'!H148</f>
        <v>80.67</v>
      </c>
      <c r="S148" s="35">
        <f>'7company_info'!I148</f>
        <v>55.36</v>
      </c>
      <c r="T148" s="35">
        <f>'7company_info'!J148</f>
        <v>90.61</v>
      </c>
      <c r="U148" s="39">
        <v>82.2217</v>
      </c>
      <c r="V148" s="39">
        <v>82.8832999999999</v>
      </c>
      <c r="W148" s="40">
        <v>83.3466</v>
      </c>
      <c r="X148" s="40">
        <v>84.4714999999999</v>
      </c>
      <c r="Y148" s="40">
        <v>81.7584</v>
      </c>
      <c r="Z148" s="40">
        <v>81.0968</v>
      </c>
      <c r="AA148" s="40">
        <v>79.9719</v>
      </c>
      <c r="AB148" s="40">
        <v>82.33</v>
      </c>
      <c r="AC148" s="40">
        <v>87.3</v>
      </c>
      <c r="AD148" s="40">
        <v>82.7853498233221</v>
      </c>
      <c r="AE148" s="40">
        <v>78.8082099999999</v>
      </c>
      <c r="AF148" s="40">
        <v>1.40089</v>
      </c>
      <c r="AG148" s="40">
        <v>90.6137</v>
      </c>
      <c r="AH148" s="45">
        <v>44340.0</v>
      </c>
      <c r="AI148" s="44" t="str">
        <f>'6image_RS_benchmark_performance'!B148</f>
        <v>https://3arbzfbsh-cname-us.ngrok.io/Desktop/seabridge%20fintech/image_app/CVS_resistance_support.jpg</v>
      </c>
      <c r="AJ148" s="44" t="str">
        <f>'6image_RS_benchmark_performance'!C148</f>
        <v>https://3arbzfbsh-cname-us.ngrok.io/Desktop/seabridge%20fintech/profit_graph_app/CVS_Return.jpg</v>
      </c>
      <c r="AK148" s="46" t="str">
        <f>'5price_action_icon'!B148</f>
        <v>https://3arbzfbsh-cname-us.ngrok.io/Desktop/seabridge%20fintech/icon/CVS_pa_trend_signal</v>
      </c>
      <c r="AL148" s="42">
        <f>'1kpi_performance'!B148</f>
        <v>0.4500387933</v>
      </c>
      <c r="AM148" s="42">
        <f>'1kpi_performance'!C148</f>
        <v>0.6278128693</v>
      </c>
      <c r="AN148" s="42">
        <f>'1kpi_performance'!D148</f>
        <v>0.6013495827</v>
      </c>
      <c r="AO148" s="42">
        <f>'1kpi_performance'!E148</f>
        <v>0.1198062262</v>
      </c>
      <c r="AP148" s="42">
        <f>'1kpi_performance'!F148</f>
        <v>0.1878011902</v>
      </c>
      <c r="AQ148" s="42">
        <f>'1kpi_performance'!G148</f>
        <v>0.1868832822</v>
      </c>
      <c r="AR148" s="42">
        <f>'1kpi_performance'!H148</f>
        <v>0.1810806098</v>
      </c>
      <c r="AS148" s="42">
        <f>'1kpi_performance'!I148</f>
        <v>0.2859117275</v>
      </c>
      <c r="AT148" s="35">
        <f>'1kpi_performance'!J148</f>
        <v>2.263238016</v>
      </c>
      <c r="AU148" s="35">
        <f>'1kpi_performance'!K148</f>
        <v>3.225611527</v>
      </c>
      <c r="AV148" s="35">
        <f>'1kpi_performance'!L148</f>
        <v>3.182834337</v>
      </c>
      <c r="AW148" s="35">
        <f>'1kpi_performance'!M148</f>
        <v>0.331592646</v>
      </c>
      <c r="AX148" s="42">
        <f>'1kpi_performance'!N148</f>
        <v>0.1903170565</v>
      </c>
      <c r="AY148" s="42">
        <f>'1kpi_performance'!O148</f>
        <v>0.08635090641</v>
      </c>
      <c r="AZ148" s="42">
        <f>'1kpi_performance'!P148</f>
        <v>0.2178082192</v>
      </c>
      <c r="BA148" s="42">
        <f>'1kpi_performance'!Q148</f>
        <v>0.540502424</v>
      </c>
      <c r="BB148" s="35">
        <f>'1kpi_performance'!R148</f>
        <v>4.636035137</v>
      </c>
      <c r="BC148" s="35">
        <f>'1kpi_performance'!S148</f>
        <v>7.668367418</v>
      </c>
      <c r="BD148" s="35">
        <f>'1kpi_performance'!T148</f>
        <v>6.975857169</v>
      </c>
      <c r="BE148" s="35">
        <f>'1kpi_performance'!U148</f>
        <v>0.6320433352</v>
      </c>
      <c r="BF148" s="47"/>
      <c r="BG148" s="47"/>
      <c r="BH148" s="47"/>
      <c r="BI148" s="47"/>
      <c r="BJ148" s="47"/>
      <c r="BK148" s="47"/>
      <c r="BL148" s="47"/>
      <c r="BM148" s="47"/>
      <c r="BN148" s="47"/>
      <c r="BO148" s="47"/>
      <c r="BP148" s="47"/>
      <c r="BQ148" s="47"/>
      <c r="BR148" s="47"/>
      <c r="BS148" s="47"/>
      <c r="BT148" s="47"/>
    </row>
    <row r="149" ht="11.25" customHeight="1">
      <c r="A149" s="35" t="str">
        <f>'13all_company_profile'!A149</f>
        <v>CVX</v>
      </c>
      <c r="B149" s="35" t="str">
        <f>'13all_company_profile'!B149</f>
        <v>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v>
      </c>
      <c r="C149" s="44" t="str">
        <f>'13all_company_profile'!C149</f>
        <v>https://financialmodelingprep.com/image-stock/CVX.png</v>
      </c>
      <c r="D149" s="35" t="str">
        <f>'13all_company_profile'!D149</f>
        <v>Chevron Corporation</v>
      </c>
      <c r="E149" s="36">
        <f>'13all_company_profile'!E149</f>
        <v>195216080896</v>
      </c>
      <c r="F149" s="37">
        <f>'13all_company_profile'!F149</f>
        <v>9759031</v>
      </c>
      <c r="G149" s="35">
        <f>'13all_company_profile'!G149</f>
        <v>5.21</v>
      </c>
      <c r="H149" s="38">
        <f>'13all_company_profile'!H149</f>
        <v>44407</v>
      </c>
      <c r="I149" s="35" t="str">
        <f>'13all_company_profile'!I149</f>
        <v>NaN</v>
      </c>
      <c r="J149" s="35">
        <f>'13all_company_profile'!J149</f>
        <v>-4.124</v>
      </c>
      <c r="K149" s="42">
        <f t="shared" si="1"/>
        <v>0.05397285818</v>
      </c>
      <c r="L149" s="35">
        <f>'7company_info'!B149</f>
        <v>96.53</v>
      </c>
      <c r="M149" s="35">
        <f>'7company_info'!C149</f>
        <v>98.04</v>
      </c>
      <c r="N149" s="35">
        <f>'7company_info'!D149</f>
        <v>95.05</v>
      </c>
      <c r="O149" s="35">
        <f>'7company_info'!E149</f>
        <v>0.57</v>
      </c>
      <c r="P149" s="35">
        <f>'7company_info'!F149</f>
        <v>0.0059</v>
      </c>
      <c r="Q149" s="35">
        <f>'7company_info'!G149</f>
        <v>95.89</v>
      </c>
      <c r="R149" s="35">
        <f>'7company_info'!H149</f>
        <v>95.96</v>
      </c>
      <c r="S149" s="35">
        <f>'7company_info'!I149</f>
        <v>65.16</v>
      </c>
      <c r="T149" s="35">
        <f>'7company_info'!J149</f>
        <v>113.11</v>
      </c>
      <c r="U149" s="39">
        <v>103.003333333333</v>
      </c>
      <c r="V149" s="39">
        <v>104.286666666666</v>
      </c>
      <c r="W149" s="40">
        <v>106.603333333333</v>
      </c>
      <c r="X149" s="40">
        <v>110.203333333333</v>
      </c>
      <c r="Y149" s="40">
        <v>100.686666666666</v>
      </c>
      <c r="Z149" s="40">
        <v>99.4033333333333</v>
      </c>
      <c r="AA149" s="40">
        <v>95.8033333333333</v>
      </c>
      <c r="AB149" s="40">
        <v>101.22</v>
      </c>
      <c r="AC149" s="40">
        <v>105.97</v>
      </c>
      <c r="AD149" s="40">
        <v>104.817768175926</v>
      </c>
      <c r="AE149" s="40">
        <v>99.36923</v>
      </c>
      <c r="AF149" s="40">
        <v>2.33488499999999</v>
      </c>
      <c r="AG149" s="40">
        <v>113.11</v>
      </c>
      <c r="AH149" s="45">
        <v>44326.0</v>
      </c>
      <c r="AI149" s="44" t="str">
        <f>'6image_RS_benchmark_performance'!B149</f>
        <v>https://3arbzfbsh-cname-us.ngrok.io/Desktop/seabridge%20fintech/image_app/CVX_resistance_support.jpg</v>
      </c>
      <c r="AJ149" s="44" t="str">
        <f>'6image_RS_benchmark_performance'!C149</f>
        <v>https://3arbzfbsh-cname-us.ngrok.io/Desktop/seabridge%20fintech/profit_graph_app/CVX_Return.jpg</v>
      </c>
      <c r="AK149" s="46" t="str">
        <f>'5price_action_icon'!B149</f>
        <v>https://3arbzfbsh-cname-us.ngrok.io/Desktop/seabridge%20fintech/icon/CVX_pa_trend_signal</v>
      </c>
      <c r="AL149" s="42">
        <f>'1kpi_performance'!B149</f>
        <v>0.4572133139</v>
      </c>
      <c r="AM149" s="42">
        <f>'1kpi_performance'!C149</f>
        <v>0.5674153572</v>
      </c>
      <c r="AN149" s="42">
        <f>'1kpi_performance'!D149</f>
        <v>0.5837511654</v>
      </c>
      <c r="AO149" s="42">
        <f>'1kpi_performance'!E149</f>
        <v>0.03690033143</v>
      </c>
      <c r="AP149" s="42">
        <f>'1kpi_performance'!F149</f>
        <v>0.2260624459</v>
      </c>
      <c r="AQ149" s="42">
        <f>'1kpi_performance'!G149</f>
        <v>0.2165065989</v>
      </c>
      <c r="AR149" s="42">
        <f>'1kpi_performance'!H149</f>
        <v>0.2045924685</v>
      </c>
      <c r="AS149" s="42">
        <f>'1kpi_performance'!I149</f>
        <v>0.3264016695</v>
      </c>
      <c r="AT149" s="35">
        <f>'1kpi_performance'!J149</f>
        <v>1.911920011</v>
      </c>
      <c r="AU149" s="35">
        <f>'1kpi_performance'!K149</f>
        <v>2.50530635</v>
      </c>
      <c r="AV149" s="35">
        <f>'1kpi_performance'!L149</f>
        <v>2.731044645</v>
      </c>
      <c r="AW149" s="35">
        <f>'1kpi_performance'!M149</f>
        <v>0.03645916226</v>
      </c>
      <c r="AX149" s="42">
        <f>'1kpi_performance'!N149</f>
        <v>0.2235875007</v>
      </c>
      <c r="AY149" s="42">
        <f>'1kpi_performance'!O149</f>
        <v>0.1023828227</v>
      </c>
      <c r="AZ149" s="42">
        <f>'1kpi_performance'!P149</f>
        <v>0.2548105216</v>
      </c>
      <c r="BA149" s="42">
        <f>'1kpi_performance'!Q149</f>
        <v>0.5979236188</v>
      </c>
      <c r="BB149" s="35">
        <f>'1kpi_performance'!R149</f>
        <v>4.325466843</v>
      </c>
      <c r="BC149" s="35">
        <f>'1kpi_performance'!S149</f>
        <v>5.580429894</v>
      </c>
      <c r="BD149" s="35">
        <f>'1kpi_performance'!T149</f>
        <v>6.067343259</v>
      </c>
      <c r="BE149" s="35">
        <f>'1kpi_performance'!U149</f>
        <v>0.06891402931</v>
      </c>
      <c r="BF149" s="47"/>
      <c r="BG149" s="47"/>
      <c r="BH149" s="47"/>
      <c r="BI149" s="47"/>
      <c r="BJ149" s="47"/>
      <c r="BK149" s="47"/>
      <c r="BL149" s="47"/>
      <c r="BM149" s="47"/>
      <c r="BN149" s="47"/>
      <c r="BO149" s="47"/>
      <c r="BP149" s="47"/>
      <c r="BQ149" s="47"/>
      <c r="BR149" s="47"/>
      <c r="BS149" s="47"/>
      <c r="BT149" s="47"/>
    </row>
    <row r="150" ht="11.25" customHeight="1">
      <c r="A150" s="35" t="str">
        <f>'13all_company_profile'!A150</f>
        <v>CZR</v>
      </c>
      <c r="B150" s="35" t="str">
        <f>'13all_company_profile'!B150</f>
        <v>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v>
      </c>
      <c r="C150" s="44" t="str">
        <f>'13all_company_profile'!C150</f>
        <v>https://financialmodelingprep.com/image-stock/CZR.png</v>
      </c>
      <c r="D150" s="35" t="str">
        <f>'13all_company_profile'!D150</f>
        <v>Caesars Entertainment, Inc.</v>
      </c>
      <c r="E150" s="36">
        <f>'13all_company_profile'!E150</f>
        <v>19715794944</v>
      </c>
      <c r="F150" s="37">
        <f>'13all_company_profile'!F150</f>
        <v>3401809</v>
      </c>
      <c r="G150" s="35">
        <f>'13all_company_profile'!G150</f>
        <v>0</v>
      </c>
      <c r="H150" s="38">
        <f>'13all_company_profile'!H150</f>
        <v>44411</v>
      </c>
      <c r="I150" s="35" t="str">
        <f>'13all_company_profile'!I150</f>
        <v>NaN</v>
      </c>
      <c r="J150" s="35">
        <f>'13all_company_profile'!J150</f>
        <v>-12.332</v>
      </c>
      <c r="K150" s="42" t="str">
        <f t="shared" si="1"/>
        <v>NaN</v>
      </c>
      <c r="L150" s="35">
        <f>'7company_info'!B150</f>
        <v>91.3</v>
      </c>
      <c r="M150" s="35">
        <f>'7company_info'!C150</f>
        <v>92.21</v>
      </c>
      <c r="N150" s="35">
        <f>'7company_info'!D150</f>
        <v>86.76</v>
      </c>
      <c r="O150" s="35">
        <f>'7company_info'!E150</f>
        <v>3.53</v>
      </c>
      <c r="P150" s="35">
        <f>'7company_info'!F150</f>
        <v>0.0402</v>
      </c>
      <c r="Q150" s="35">
        <f>'7company_info'!G150</f>
        <v>88.12</v>
      </c>
      <c r="R150" s="35">
        <f>'7company_info'!H150</f>
        <v>87.77</v>
      </c>
      <c r="S150" s="35">
        <f>'7company_info'!I150</f>
        <v>29.06</v>
      </c>
      <c r="T150" s="35">
        <f>'7company_info'!J150</f>
        <v>113.46</v>
      </c>
      <c r="U150" s="39">
        <v>95.89</v>
      </c>
      <c r="V150" s="39">
        <v>97.6499999999999</v>
      </c>
      <c r="W150" s="40">
        <v>100.78</v>
      </c>
      <c r="X150" s="40">
        <v>105.67</v>
      </c>
      <c r="Y150" s="40">
        <v>92.7599999999999</v>
      </c>
      <c r="Z150" s="40">
        <v>91.0</v>
      </c>
      <c r="AA150" s="40">
        <v>86.1099999999999</v>
      </c>
      <c r="AB150" s="40">
        <v>95.01</v>
      </c>
      <c r="AC150" s="40">
        <v>113.46</v>
      </c>
      <c r="AD150" s="40">
        <v>100.267810013662</v>
      </c>
      <c r="AE150" s="40">
        <v>89.32515</v>
      </c>
      <c r="AF150" s="40">
        <v>3.817925</v>
      </c>
      <c r="AG150" s="40">
        <v>113.46</v>
      </c>
      <c r="AH150" s="45">
        <v>44354.0</v>
      </c>
      <c r="AI150" s="44" t="str">
        <f>'6image_RS_benchmark_performance'!B150</f>
        <v>https://3arbzfbsh-cname-us.ngrok.io/Desktop/seabridge%20fintech/image_app/CZR_resistance_support.jpg</v>
      </c>
      <c r="AJ150" s="44" t="str">
        <f>'6image_RS_benchmark_performance'!C150</f>
        <v>https://3arbzfbsh-cname-us.ngrok.io/Desktop/seabridge%20fintech/profit_graph_app/CZR_Return.jpg</v>
      </c>
      <c r="AK150" s="46" t="str">
        <f>'5price_action_icon'!B150</f>
        <v>https://3arbzfbsh-cname-us.ngrok.io/Desktop/seabridge%20fintech/icon/CZR_pa_trend_signal</v>
      </c>
      <c r="AL150" s="42">
        <f>'1kpi_performance'!B150</f>
        <v>1.996023613</v>
      </c>
      <c r="AM150" s="42">
        <f>'1kpi_performance'!C150</f>
        <v>2.066011471</v>
      </c>
      <c r="AN150" s="42">
        <f>'1kpi_performance'!D150</f>
        <v>1.511622675</v>
      </c>
      <c r="AO150" s="42">
        <f>'1kpi_performance'!E150</f>
        <v>0.9090796126</v>
      </c>
      <c r="AP150" s="42">
        <f>'1kpi_performance'!F150</f>
        <v>0.4837252535</v>
      </c>
      <c r="AQ150" s="42">
        <f>'1kpi_performance'!G150</f>
        <v>0.4587401174</v>
      </c>
      <c r="AR150" s="42">
        <f>'1kpi_performance'!H150</f>
        <v>0.4547393477</v>
      </c>
      <c r="AS150" s="42">
        <f>'1kpi_performance'!I150</f>
        <v>0.7394812061</v>
      </c>
      <c r="AT150" s="35">
        <f>'1kpi_performance'!J150</f>
        <v>4.07467586</v>
      </c>
      <c r="AU150" s="35">
        <f>'1kpi_performance'!K150</f>
        <v>4.449167173</v>
      </c>
      <c r="AV150" s="35">
        <f>'1kpi_performance'!L150</f>
        <v>3.269175369</v>
      </c>
      <c r="AW150" s="35">
        <f>'1kpi_performance'!M150</f>
        <v>1.19554034</v>
      </c>
      <c r="AX150" s="42">
        <f>'1kpi_performance'!N150</f>
        <v>0.3948779035</v>
      </c>
      <c r="AY150" s="42">
        <f>'1kpi_performance'!O150</f>
        <v>0.2116538577</v>
      </c>
      <c r="AZ150" s="42">
        <f>'1kpi_performance'!P150</f>
        <v>0.3948779035</v>
      </c>
      <c r="BA150" s="42">
        <f>'1kpi_performance'!Q150</f>
        <v>0.8977976105</v>
      </c>
      <c r="BB150" s="35">
        <f>'1kpi_performance'!R150</f>
        <v>9.917822916</v>
      </c>
      <c r="BC150" s="35">
        <f>'1kpi_performance'!S150</f>
        <v>10.86012664</v>
      </c>
      <c r="BD150" s="35">
        <f>'1kpi_performance'!T150</f>
        <v>7.282136093</v>
      </c>
      <c r="BE150" s="35">
        <f>'1kpi_performance'!U150</f>
        <v>2.337399459</v>
      </c>
      <c r="BF150" s="47"/>
      <c r="BG150" s="47"/>
      <c r="BH150" s="47"/>
      <c r="BI150" s="47"/>
      <c r="BJ150" s="47"/>
      <c r="BK150" s="47"/>
      <c r="BL150" s="47"/>
      <c r="BM150" s="47"/>
      <c r="BN150" s="47"/>
      <c r="BO150" s="47"/>
      <c r="BP150" s="47"/>
      <c r="BQ150" s="47"/>
      <c r="BR150" s="47"/>
      <c r="BS150" s="47"/>
      <c r="BT150" s="47"/>
    </row>
    <row r="151" ht="11.25" customHeight="1">
      <c r="A151" s="35" t="str">
        <f>'13all_company_profile'!A151</f>
        <v>D</v>
      </c>
      <c r="B151" s="35" t="str">
        <f>'13all_company_profile'!B151</f>
        <v>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v>
      </c>
      <c r="C151" s="44" t="str">
        <f>'13all_company_profile'!C151</f>
        <v>https://financialmodelingprep.com/image-stock/D.png</v>
      </c>
      <c r="D151" s="35" t="str">
        <f>'13all_company_profile'!D151</f>
        <v>Dominion Energy, Inc.</v>
      </c>
      <c r="E151" s="36">
        <f>'13all_company_profile'!E151</f>
        <v>61384544256</v>
      </c>
      <c r="F151" s="37">
        <f>'13all_company_profile'!F151</f>
        <v>3383306</v>
      </c>
      <c r="G151" s="35">
        <f>'13all_company_profile'!G151</f>
        <v>2.83</v>
      </c>
      <c r="H151" s="38">
        <f>'13all_company_profile'!H151</f>
        <v>44406</v>
      </c>
      <c r="I151" s="35">
        <f>'13all_company_profile'!I151</f>
        <v>80.11904</v>
      </c>
      <c r="J151" s="35">
        <f>'13all_company_profile'!J151</f>
        <v>0.966</v>
      </c>
      <c r="K151" s="42">
        <f t="shared" si="1"/>
        <v>0.03739923351</v>
      </c>
      <c r="L151" s="35">
        <f>'7company_info'!B151</f>
        <v>75.67</v>
      </c>
      <c r="M151" s="35">
        <f>'7company_info'!C151</f>
        <v>76.79</v>
      </c>
      <c r="N151" s="35">
        <f>'7company_info'!D151</f>
        <v>75.49</v>
      </c>
      <c r="O151" s="35">
        <f>'7company_info'!E151</f>
        <v>-0.19</v>
      </c>
      <c r="P151" s="35">
        <f>'7company_info'!F151</f>
        <v>-0.0025</v>
      </c>
      <c r="Q151" s="35">
        <f>'7company_info'!G151</f>
        <v>76</v>
      </c>
      <c r="R151" s="35">
        <f>'7company_info'!H151</f>
        <v>75.86</v>
      </c>
      <c r="S151" s="35">
        <f>'7company_info'!I151</f>
        <v>67.85</v>
      </c>
      <c r="T151" s="35">
        <f>'7company_info'!J151</f>
        <v>86.95</v>
      </c>
      <c r="U151" s="39">
        <v>74.9665666666666</v>
      </c>
      <c r="V151" s="39">
        <v>75.8134333333333</v>
      </c>
      <c r="W151" s="40">
        <v>76.3868666666666</v>
      </c>
      <c r="X151" s="40">
        <v>77.8071666666666</v>
      </c>
      <c r="Y151" s="40">
        <v>74.3931333333333</v>
      </c>
      <c r="Z151" s="40">
        <v>73.5462666666666</v>
      </c>
      <c r="AA151" s="40">
        <v>72.1259666666666</v>
      </c>
      <c r="AB151" s="40">
        <v>74.86</v>
      </c>
      <c r="AC151" s="40">
        <v>75.68</v>
      </c>
      <c r="AD151" s="40">
        <v>75.3767933479191</v>
      </c>
      <c r="AE151" s="40">
        <v>72.19594</v>
      </c>
      <c r="AF151" s="40">
        <v>1.195545</v>
      </c>
      <c r="AG151" s="40">
        <v>81.08</v>
      </c>
      <c r="AH151" s="45">
        <v>44319.0</v>
      </c>
      <c r="AI151" s="44" t="str">
        <f>'6image_RS_benchmark_performance'!B151</f>
        <v>https://3arbzfbsh-cname-us.ngrok.io/Desktop/seabridge%20fintech/image_app/D_resistance_support.jpg</v>
      </c>
      <c r="AJ151" s="44" t="str">
        <f>'6image_RS_benchmark_performance'!C151</f>
        <v>https://3arbzfbsh-cname-us.ngrok.io/Desktop/seabridge%20fintech/profit_graph_app/D_Return.jpg</v>
      </c>
      <c r="AK151" s="46" t="str">
        <f>'5price_action_icon'!B151</f>
        <v>https://3arbzfbsh-cname-us.ngrok.io/Desktop/seabridge%20fintech/icon/D_pa_trend_signal</v>
      </c>
      <c r="AL151" s="42">
        <f>'1kpi_performance'!B151</f>
        <v>0.2811731588</v>
      </c>
      <c r="AM151" s="42">
        <f>'1kpi_performance'!C151</f>
        <v>0.3414916064</v>
      </c>
      <c r="AN151" s="42">
        <f>'1kpi_performance'!D151</f>
        <v>0.3327705721</v>
      </c>
      <c r="AO151" s="42">
        <f>'1kpi_performance'!E151</f>
        <v>0.08697120883</v>
      </c>
      <c r="AP151" s="42">
        <f>'1kpi_performance'!F151</f>
        <v>0.1443932295</v>
      </c>
      <c r="AQ151" s="42">
        <f>'1kpi_performance'!G151</f>
        <v>0.1582334903</v>
      </c>
      <c r="AR151" s="42">
        <f>'1kpi_performance'!H151</f>
        <v>0.1932145561</v>
      </c>
      <c r="AS151" s="42">
        <f>'1kpi_performance'!I151</f>
        <v>0.2427672995</v>
      </c>
      <c r="AT151" s="35">
        <f>'1kpi_performance'!J151</f>
        <v>1.77413553</v>
      </c>
      <c r="AU151" s="35">
        <f>'1kpi_performance'!K151</f>
        <v>2.00015563</v>
      </c>
      <c r="AV151" s="35">
        <f>'1kpi_performance'!L151</f>
        <v>1.592895371</v>
      </c>
      <c r="AW151" s="35">
        <f>'1kpi_performance'!M151</f>
        <v>0.2552700012</v>
      </c>
      <c r="AX151" s="42">
        <f>'1kpi_performance'!N151</f>
        <v>0.1010731742</v>
      </c>
      <c r="AY151" s="42">
        <f>'1kpi_performance'!O151</f>
        <v>0.09451894285</v>
      </c>
      <c r="AZ151" s="42">
        <f>'1kpi_performance'!P151</f>
        <v>0.3329214871</v>
      </c>
      <c r="BA151" s="42">
        <f>'1kpi_performance'!Q151</f>
        <v>0.3386414254</v>
      </c>
      <c r="BB151" s="35">
        <f>'1kpi_performance'!R151</f>
        <v>3.520084258</v>
      </c>
      <c r="BC151" s="35">
        <f>'1kpi_performance'!S151</f>
        <v>4.197452232</v>
      </c>
      <c r="BD151" s="35">
        <f>'1kpi_performance'!T151</f>
        <v>2.959611547</v>
      </c>
      <c r="BE151" s="35">
        <f>'1kpi_performance'!U151</f>
        <v>0.4769063074</v>
      </c>
      <c r="BF151" s="47"/>
      <c r="BG151" s="47"/>
      <c r="BH151" s="47"/>
      <c r="BI151" s="47"/>
      <c r="BJ151" s="47"/>
      <c r="BK151" s="47"/>
      <c r="BL151" s="47"/>
      <c r="BM151" s="47"/>
      <c r="BN151" s="47"/>
      <c r="BO151" s="47"/>
      <c r="BP151" s="47"/>
      <c r="BQ151" s="47"/>
      <c r="BR151" s="47"/>
      <c r="BS151" s="47"/>
      <c r="BT151" s="47"/>
    </row>
    <row r="152" ht="11.25" customHeight="1">
      <c r="A152" s="35" t="str">
        <f>'13all_company_profile'!A152</f>
        <v>DAL</v>
      </c>
      <c r="B152" s="35" t="str">
        <f>'13all_company_profile'!B152</f>
        <v>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v>
      </c>
      <c r="C152" s="44" t="str">
        <f>'13all_company_profile'!C152</f>
        <v>https://financialmodelingprep.com/image-stock/DAL.png</v>
      </c>
      <c r="D152" s="35" t="str">
        <f>'13all_company_profile'!D152</f>
        <v>Delta Air Lines, Inc.</v>
      </c>
      <c r="E152" s="36">
        <f>'13all_company_profile'!E152</f>
        <v>26468591616</v>
      </c>
      <c r="F152" s="37">
        <f>'13all_company_profile'!F152</f>
        <v>11185985</v>
      </c>
      <c r="G152" s="35">
        <f>'13all_company_profile'!G152</f>
        <v>0.403</v>
      </c>
      <c r="H152" s="38" t="str">
        <f>'13all_company_profile'!H152</f>
        <v>not avaiable</v>
      </c>
      <c r="I152" s="35" t="str">
        <f>'13all_company_profile'!I152</f>
        <v>NaN</v>
      </c>
      <c r="J152" s="35">
        <f>'13all_company_profile'!J152</f>
        <v>-10.48</v>
      </c>
      <c r="K152" s="42">
        <f t="shared" si="1"/>
        <v>0.009911460895</v>
      </c>
      <c r="L152" s="35">
        <f>'7company_info'!B152</f>
        <v>40.66</v>
      </c>
      <c r="M152" s="35">
        <f>'7company_info'!C152</f>
        <v>40.82</v>
      </c>
      <c r="N152" s="35">
        <f>'7company_info'!D152</f>
        <v>38.43</v>
      </c>
      <c r="O152" s="35">
        <f>'7company_info'!E152</f>
        <v>2.1</v>
      </c>
      <c r="P152" s="35">
        <f>'7company_info'!F152</f>
        <v>0.0545</v>
      </c>
      <c r="Q152" s="35">
        <f>'7company_info'!G152</f>
        <v>38.63</v>
      </c>
      <c r="R152" s="35">
        <f>'7company_info'!H152</f>
        <v>38.56</v>
      </c>
      <c r="S152" s="35">
        <f>'7company_info'!I152</f>
        <v>24.38</v>
      </c>
      <c r="T152" s="35">
        <f>'7company_info'!J152</f>
        <v>52.28</v>
      </c>
      <c r="U152" s="39">
        <v>41.0</v>
      </c>
      <c r="V152" s="39">
        <v>41.88</v>
      </c>
      <c r="W152" s="40">
        <v>43.08</v>
      </c>
      <c r="X152" s="40">
        <v>45.16</v>
      </c>
      <c r="Y152" s="40">
        <v>39.8</v>
      </c>
      <c r="Z152" s="40">
        <v>38.92</v>
      </c>
      <c r="AA152" s="40">
        <v>36.8399999999999</v>
      </c>
      <c r="AB152" s="40">
        <v>43.72</v>
      </c>
      <c r="AC152" s="40">
        <v>43.59</v>
      </c>
      <c r="AD152" s="40">
        <v>43.529341433935</v>
      </c>
      <c r="AE152" s="40">
        <v>39.00623</v>
      </c>
      <c r="AF152" s="40">
        <v>1.217385</v>
      </c>
      <c r="AG152" s="40">
        <v>52.28</v>
      </c>
      <c r="AH152" s="45">
        <v>44270.0</v>
      </c>
      <c r="AI152" s="44" t="str">
        <f>'6image_RS_benchmark_performance'!B152</f>
        <v>https://3arbzfbsh-cname-us.ngrok.io/Desktop/seabridge%20fintech/image_app/DAL_resistance_support.jpg</v>
      </c>
      <c r="AJ152" s="44" t="str">
        <f>'6image_RS_benchmark_performance'!C152</f>
        <v>https://3arbzfbsh-cname-us.ngrok.io/Desktop/seabridge%20fintech/profit_graph_app/DAL_Return.jpg</v>
      </c>
      <c r="AK152" s="46" t="str">
        <f>'5price_action_icon'!B152</f>
        <v>https://3arbzfbsh-cname-us.ngrok.io/Desktop/seabridge%20fintech/icon/DAL_pa_trend_signal</v>
      </c>
      <c r="AL152" s="42">
        <f>'1kpi_performance'!B152</f>
        <v>0.9171371665</v>
      </c>
      <c r="AM152" s="42">
        <f>'1kpi_performance'!C152</f>
        <v>0.9293462423</v>
      </c>
      <c r="AN152" s="42">
        <f>'1kpi_performance'!D152</f>
        <v>1.232127149</v>
      </c>
      <c r="AO152" s="42">
        <f>'1kpi_performance'!E152</f>
        <v>0.1479828796</v>
      </c>
      <c r="AP152" s="42">
        <f>'1kpi_performance'!F152</f>
        <v>0.3431212187</v>
      </c>
      <c r="AQ152" s="42">
        <f>'1kpi_performance'!G152</f>
        <v>0.3257462741</v>
      </c>
      <c r="AR152" s="42">
        <f>'1kpi_performance'!H152</f>
        <v>0.3067314838</v>
      </c>
      <c r="AS152" s="42">
        <f>'1kpi_performance'!I152</f>
        <v>0.4906822485</v>
      </c>
      <c r="AT152" s="35">
        <f>'1kpi_performance'!J152</f>
        <v>2.600064111</v>
      </c>
      <c r="AU152" s="35">
        <f>'1kpi_performance'!K152</f>
        <v>2.776228968</v>
      </c>
      <c r="AV152" s="35">
        <f>'1kpi_performance'!L152</f>
        <v>3.935452384</v>
      </c>
      <c r="AW152" s="35">
        <f>'1kpi_performance'!M152</f>
        <v>0.2506364964</v>
      </c>
      <c r="AX152" s="42">
        <f>'1kpi_performance'!N152</f>
        <v>0.3876971609</v>
      </c>
      <c r="AY152" s="42">
        <f>'1kpi_performance'!O152</f>
        <v>0.3510539478</v>
      </c>
      <c r="AZ152" s="42">
        <f>'1kpi_performance'!P152</f>
        <v>0.2214663643</v>
      </c>
      <c r="BA152" s="42">
        <f>'1kpi_performance'!Q152</f>
        <v>0.6961684611</v>
      </c>
      <c r="BB152" s="35">
        <f>'1kpi_performance'!R152</f>
        <v>5.705540013</v>
      </c>
      <c r="BC152" s="35">
        <f>'1kpi_performance'!S152</f>
        <v>6.199905728</v>
      </c>
      <c r="BD152" s="35">
        <f>'1kpi_performance'!T152</f>
        <v>9.537419728</v>
      </c>
      <c r="BE152" s="35">
        <f>'1kpi_performance'!U152</f>
        <v>0.4915056357</v>
      </c>
      <c r="BF152" s="47"/>
      <c r="BG152" s="47"/>
      <c r="BH152" s="47"/>
      <c r="BI152" s="47"/>
      <c r="BJ152" s="47"/>
      <c r="BK152" s="47"/>
      <c r="BL152" s="47"/>
      <c r="BM152" s="47"/>
      <c r="BN152" s="47"/>
      <c r="BO152" s="47"/>
      <c r="BP152" s="47"/>
      <c r="BQ152" s="47"/>
      <c r="BR152" s="47"/>
      <c r="BS152" s="47"/>
      <c r="BT152" s="47"/>
    </row>
    <row r="153" ht="11.25" customHeight="1">
      <c r="A153" s="35" t="str">
        <f>'13all_company_profile'!A153</f>
        <v>DAR</v>
      </c>
      <c r="B153" s="35" t="str">
        <f>'13all_company_profile'!B153</f>
        <v>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v>
      </c>
      <c r="C153" s="44" t="str">
        <f>'13all_company_profile'!C153</f>
        <v>https://financialmodelingprep.com/image-stock/DAR.png</v>
      </c>
      <c r="D153" s="35" t="str">
        <f>'13all_company_profile'!D153</f>
        <v>Darling Ingredients Inc.</v>
      </c>
      <c r="E153" s="36">
        <f>'13all_company_profile'!E153</f>
        <v>10992898048</v>
      </c>
      <c r="F153" s="37">
        <f>'13all_company_profile'!F153</f>
        <v>2045153</v>
      </c>
      <c r="G153" s="35">
        <f>'13all_company_profile'!G153</f>
        <v>0</v>
      </c>
      <c r="H153" s="38">
        <f>'13all_company_profile'!H153</f>
        <v>44411</v>
      </c>
      <c r="I153" s="35">
        <f>'13all_company_profile'!I153</f>
        <v>30.184246</v>
      </c>
      <c r="J153" s="35">
        <f>'13all_company_profile'!J153</f>
        <v>2.171</v>
      </c>
      <c r="K153" s="42" t="str">
        <f t="shared" si="1"/>
        <v>NaN</v>
      </c>
      <c r="L153" s="35">
        <f>'7company_info'!B153</f>
        <v>67.76</v>
      </c>
      <c r="M153" s="35">
        <f>'7company_info'!C153</f>
        <v>68.29</v>
      </c>
      <c r="N153" s="35">
        <f>'7company_info'!D153</f>
        <v>64.11</v>
      </c>
      <c r="O153" s="35">
        <f>'7company_info'!E153</f>
        <v>3.75</v>
      </c>
      <c r="P153" s="35">
        <f>'7company_info'!F153</f>
        <v>0.0586</v>
      </c>
      <c r="Q153" s="35">
        <f>'7company_info'!G153</f>
        <v>64.72</v>
      </c>
      <c r="R153" s="35">
        <f>'7company_info'!H153</f>
        <v>64.01</v>
      </c>
      <c r="S153" s="35">
        <f>'7company_info'!I153</f>
        <v>27.23</v>
      </c>
      <c r="T153" s="35">
        <f>'7company_info'!J153</f>
        <v>79.65</v>
      </c>
      <c r="U153" s="39">
        <v>66.57</v>
      </c>
      <c r="V153" s="39">
        <v>67.17</v>
      </c>
      <c r="W153" s="40">
        <v>68.05</v>
      </c>
      <c r="X153" s="40">
        <v>69.53</v>
      </c>
      <c r="Y153" s="40">
        <v>65.69</v>
      </c>
      <c r="Z153" s="40">
        <v>65.09</v>
      </c>
      <c r="AA153" s="40">
        <v>63.61</v>
      </c>
      <c r="AB153" s="40">
        <v>63.11</v>
      </c>
      <c r="AC153" s="40">
        <v>67.46</v>
      </c>
      <c r="AD153" s="40">
        <v>67.0281837352114</v>
      </c>
      <c r="AE153" s="40">
        <v>61.6469999999999</v>
      </c>
      <c r="AF153" s="40">
        <v>2.2845</v>
      </c>
      <c r="AG153" s="40">
        <v>79.65</v>
      </c>
      <c r="AH153" s="45">
        <v>44270.0</v>
      </c>
      <c r="AI153" s="44" t="str">
        <f>'6image_RS_benchmark_performance'!B153</f>
        <v>https://3arbzfbsh-cname-us.ngrok.io/Desktop/seabridge%20fintech/image_app/DAR_resistance_support.jpg</v>
      </c>
      <c r="AJ153" s="44" t="str">
        <f>'6image_RS_benchmark_performance'!C153</f>
        <v>https://3arbzfbsh-cname-us.ngrok.io/Desktop/seabridge%20fintech/profit_graph_app/DAR_Return.jpg</v>
      </c>
      <c r="AK153" s="46" t="str">
        <f>'5price_action_icon'!B153</f>
        <v>https://3arbzfbsh-cname-us.ngrok.io/Desktop/seabridge%20fintech/icon/DAR_pa_trend_signal</v>
      </c>
      <c r="AL153" s="42">
        <f>'1kpi_performance'!B153</f>
        <v>0.7510010747</v>
      </c>
      <c r="AM153" s="42">
        <f>'1kpi_performance'!C153</f>
        <v>0.9408557438</v>
      </c>
      <c r="AN153" s="42">
        <f>'1kpi_performance'!D153</f>
        <v>0.8735602535</v>
      </c>
      <c r="AO153" s="42">
        <f>'1kpi_performance'!E153</f>
        <v>0.299266046</v>
      </c>
      <c r="AP153" s="42">
        <f>'1kpi_performance'!F153</f>
        <v>0.2918400389</v>
      </c>
      <c r="AQ153" s="42">
        <f>'1kpi_performance'!G153</f>
        <v>0.3058897288</v>
      </c>
      <c r="AR153" s="42">
        <f>'1kpi_performance'!H153</f>
        <v>0.2746431406</v>
      </c>
      <c r="AS153" s="42">
        <f>'1kpi_performance'!I153</f>
        <v>0.4351454876</v>
      </c>
      <c r="AT153" s="35">
        <f>'1kpi_performance'!J153</f>
        <v>2.487667824</v>
      </c>
      <c r="AU153" s="35">
        <f>'1kpi_performance'!K153</f>
        <v>2.99407158</v>
      </c>
      <c r="AV153" s="35">
        <f>'1kpi_performance'!L153</f>
        <v>3.089683039</v>
      </c>
      <c r="AW153" s="35">
        <f>'1kpi_performance'!M153</f>
        <v>0.6302858556</v>
      </c>
      <c r="AX153" s="42">
        <f>'1kpi_performance'!N153</f>
        <v>0.1748349766</v>
      </c>
      <c r="AY153" s="42">
        <f>'1kpi_performance'!O153</f>
        <v>0.1839433222</v>
      </c>
      <c r="AZ153" s="42">
        <f>'1kpi_performance'!P153</f>
        <v>0.237199582</v>
      </c>
      <c r="BA153" s="42">
        <f>'1kpi_performance'!Q153</f>
        <v>0.6677852349</v>
      </c>
      <c r="BB153" s="35">
        <f>'1kpi_performance'!R153</f>
        <v>5.783767844</v>
      </c>
      <c r="BC153" s="35">
        <f>'1kpi_performance'!S153</f>
        <v>7.288635301</v>
      </c>
      <c r="BD153" s="35">
        <f>'1kpi_performance'!T153</f>
        <v>7.459066574</v>
      </c>
      <c r="BE153" s="35">
        <f>'1kpi_performance'!U153</f>
        <v>1.265865688</v>
      </c>
      <c r="BF153" s="47"/>
      <c r="BG153" s="47"/>
      <c r="BH153" s="47"/>
      <c r="BI153" s="47"/>
      <c r="BJ153" s="47"/>
      <c r="BK153" s="47"/>
      <c r="BL153" s="47"/>
      <c r="BM153" s="47"/>
      <c r="BN153" s="47"/>
      <c r="BO153" s="47"/>
      <c r="BP153" s="47"/>
      <c r="BQ153" s="47"/>
      <c r="BR153" s="47"/>
      <c r="BS153" s="47"/>
      <c r="BT153" s="47"/>
    </row>
    <row r="154" ht="11.25" customHeight="1">
      <c r="A154" s="35" t="str">
        <f>'13all_company_profile'!A154</f>
        <v>DBX</v>
      </c>
      <c r="B154" s="35" t="str">
        <f>'13all_company_profile'!B154</f>
        <v>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v>
      </c>
      <c r="C154" s="44" t="str">
        <f>'13all_company_profile'!C154</f>
        <v>https://financialmodelingprep.com/image-stock/DBX.png</v>
      </c>
      <c r="D154" s="35" t="str">
        <f>'13all_company_profile'!D154</f>
        <v>Dropbox, Inc.</v>
      </c>
      <c r="E154" s="36">
        <f>'13all_company_profile'!E154</f>
        <v>11710673920</v>
      </c>
      <c r="F154" s="37">
        <f>'13all_company_profile'!F154</f>
        <v>5489066</v>
      </c>
      <c r="G154" s="35">
        <f>'13all_company_profile'!G154</f>
        <v>0</v>
      </c>
      <c r="H154" s="38">
        <f>'13all_company_profile'!H154</f>
        <v>44412</v>
      </c>
      <c r="I154" s="35" t="str">
        <f>'13all_company_profile'!I154</f>
        <v>NaN</v>
      </c>
      <c r="J154" s="35">
        <f>'13all_company_profile'!J154</f>
        <v>-0.606</v>
      </c>
      <c r="K154" s="42" t="str">
        <f t="shared" si="1"/>
        <v>NaN</v>
      </c>
      <c r="L154" s="35">
        <f>'7company_info'!B154</f>
        <v>30.5</v>
      </c>
      <c r="M154" s="35">
        <f>'7company_info'!C154</f>
        <v>30.72</v>
      </c>
      <c r="N154" s="35">
        <f>'7company_info'!D154</f>
        <v>29.84</v>
      </c>
      <c r="O154" s="35">
        <f>'7company_info'!E154</f>
        <v>0.69</v>
      </c>
      <c r="P154" s="35">
        <f>'7company_info'!F154</f>
        <v>0.0231</v>
      </c>
      <c r="Q154" s="35">
        <f>'7company_info'!G154</f>
        <v>29.94</v>
      </c>
      <c r="R154" s="35">
        <f>'7company_info'!H154</f>
        <v>29.81</v>
      </c>
      <c r="S154" s="35">
        <f>'7company_info'!I154</f>
        <v>17.66</v>
      </c>
      <c r="T154" s="35">
        <f>'7company_info'!J154</f>
        <v>31.35</v>
      </c>
      <c r="U154" s="39">
        <v>30.6875</v>
      </c>
      <c r="V154" s="39">
        <v>30.925</v>
      </c>
      <c r="W154" s="40">
        <v>31.35</v>
      </c>
      <c r="X154" s="40">
        <v>32.0125</v>
      </c>
      <c r="Y154" s="40">
        <v>30.2625</v>
      </c>
      <c r="Z154" s="40">
        <v>30.025</v>
      </c>
      <c r="AA154" s="40">
        <v>29.3625</v>
      </c>
      <c r="AB154" s="40">
        <v>30.39</v>
      </c>
      <c r="AC154" s="40">
        <v>31.35</v>
      </c>
      <c r="AD154" s="40">
        <v>30.1445831259484</v>
      </c>
      <c r="AE154" s="40">
        <v>29.70238</v>
      </c>
      <c r="AF154" s="40">
        <v>0.581685</v>
      </c>
      <c r="AG154" s="40">
        <v>30.0</v>
      </c>
      <c r="AH154" s="45">
        <v>44358.0</v>
      </c>
      <c r="AI154" s="44" t="str">
        <f>'6image_RS_benchmark_performance'!B154</f>
        <v>https://3arbzfbsh-cname-us.ngrok.io/Desktop/seabridge%20fintech/image_app/DBX_resistance_support.jpg</v>
      </c>
      <c r="AJ154" s="44" t="str">
        <f>'6image_RS_benchmark_performance'!C154</f>
        <v>https://3arbzfbsh-cname-us.ngrok.io/Desktop/seabridge%20fintech/profit_graph_app/DBX_Return.jpg</v>
      </c>
      <c r="AK154" s="46" t="str">
        <f>'5price_action_icon'!B154</f>
        <v>https://3arbzfbsh-cname-us.ngrok.io/Desktop/seabridge%20fintech/icon/DBX_pa_trend_signal</v>
      </c>
      <c r="AL154" s="42">
        <f>'1kpi_performance'!B154</f>
        <v>0.5618082751</v>
      </c>
      <c r="AM154" s="42">
        <f>'1kpi_performance'!C154</f>
        <v>1.313074363</v>
      </c>
      <c r="AN154" s="42">
        <f>'1kpi_performance'!D154</f>
        <v>1.189754412</v>
      </c>
      <c r="AO154" s="42">
        <f>'1kpi_performance'!E154</f>
        <v>0.030094006</v>
      </c>
      <c r="AP154" s="42">
        <f>'1kpi_performance'!F154</f>
        <v>0.3968953337</v>
      </c>
      <c r="AQ154" s="42">
        <f>'1kpi_performance'!G154</f>
        <v>0.4245881964</v>
      </c>
      <c r="AR154" s="42">
        <f>'1kpi_performance'!H154</f>
        <v>0.3963679803</v>
      </c>
      <c r="AS154" s="42">
        <f>'1kpi_performance'!I154</f>
        <v>0.5459688896</v>
      </c>
      <c r="AT154" s="35">
        <f>'1kpi_performance'!J154</f>
        <v>1.352518484</v>
      </c>
      <c r="AU154" s="35">
        <f>'1kpi_performance'!K154</f>
        <v>3.033702712</v>
      </c>
      <c r="AV154" s="35">
        <f>'1kpi_performance'!L154</f>
        <v>2.938568376</v>
      </c>
      <c r="AW154" s="35">
        <f>'1kpi_performance'!M154</f>
        <v>0.009330212946</v>
      </c>
      <c r="AX154" s="42">
        <f>'1kpi_performance'!N154</f>
        <v>0.345825673</v>
      </c>
      <c r="AY154" s="42">
        <f>'1kpi_performance'!O154</f>
        <v>0.1391644124</v>
      </c>
      <c r="AZ154" s="42">
        <f>'1kpi_performance'!P154</f>
        <v>0.264766445</v>
      </c>
      <c r="BA154" s="42">
        <f>'1kpi_performance'!Q154</f>
        <v>0.6264285714</v>
      </c>
      <c r="BB154" s="35">
        <f>'1kpi_performance'!R154</f>
        <v>2.719479048</v>
      </c>
      <c r="BC154" s="35">
        <f>'1kpi_performance'!S154</f>
        <v>6.850606546</v>
      </c>
      <c r="BD154" s="35">
        <f>'1kpi_performance'!T154</f>
        <v>6.360875535</v>
      </c>
      <c r="BE154" s="35">
        <f>'1kpi_performance'!U154</f>
        <v>0.0188834109</v>
      </c>
      <c r="BF154" s="47"/>
      <c r="BG154" s="47"/>
      <c r="BH154" s="47"/>
      <c r="BI154" s="47"/>
      <c r="BJ154" s="47"/>
      <c r="BK154" s="47"/>
      <c r="BL154" s="47"/>
      <c r="BM154" s="47"/>
      <c r="BN154" s="47"/>
      <c r="BO154" s="47"/>
      <c r="BP154" s="47"/>
      <c r="BQ154" s="47"/>
      <c r="BR154" s="47"/>
      <c r="BS154" s="47"/>
      <c r="BT154" s="47"/>
    </row>
    <row r="155" ht="11.25" customHeight="1">
      <c r="A155" s="35" t="str">
        <f>'13all_company_profile'!A155</f>
        <v>DD</v>
      </c>
      <c r="B155" s="35" t="str">
        <f>'13all_company_profile'!B155</f>
        <v>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v>
      </c>
      <c r="C155" s="44" t="str">
        <f>'13all_company_profile'!C155</f>
        <v>https://financialmodelingprep.com/image-stock/DD.png</v>
      </c>
      <c r="D155" s="35" t="str">
        <f>'13all_company_profile'!D155</f>
        <v>DuPont de Nemours, Inc.</v>
      </c>
      <c r="E155" s="36">
        <f>'13all_company_profile'!E155</f>
        <v>42289328128</v>
      </c>
      <c r="F155" s="37">
        <f>'13all_company_profile'!F155</f>
        <v>2845349</v>
      </c>
      <c r="G155" s="35">
        <f>'13all_company_profile'!G155</f>
        <v>1.5</v>
      </c>
      <c r="H155" s="38">
        <f>'13all_company_profile'!H155</f>
        <v>44405</v>
      </c>
      <c r="I155" s="35">
        <f>'13all_company_profile'!I155</f>
        <v>17.498278</v>
      </c>
      <c r="J155" s="35">
        <f>'13all_company_profile'!J155</f>
        <v>4.351</v>
      </c>
      <c r="K155" s="42">
        <f t="shared" si="1"/>
        <v>0.02035002035</v>
      </c>
      <c r="L155" s="35">
        <f>'7company_info'!B155</f>
        <v>73.71</v>
      </c>
      <c r="M155" s="35">
        <f>'7company_info'!C155</f>
        <v>74.36</v>
      </c>
      <c r="N155" s="35">
        <f>'7company_info'!D155</f>
        <v>72.56</v>
      </c>
      <c r="O155" s="35">
        <f>'7company_info'!E155</f>
        <v>0.9</v>
      </c>
      <c r="P155" s="35">
        <f>'7company_info'!F155</f>
        <v>0.0124</v>
      </c>
      <c r="Q155" s="35">
        <f>'7company_info'!G155</f>
        <v>72.77</v>
      </c>
      <c r="R155" s="35">
        <f>'7company_info'!H155</f>
        <v>72.81</v>
      </c>
      <c r="S155" s="35">
        <f>'7company_info'!I155</f>
        <v>52.12</v>
      </c>
      <c r="T155" s="35">
        <f>'7company_info'!J155</f>
        <v>87.27</v>
      </c>
      <c r="U155" s="39">
        <v>79.67</v>
      </c>
      <c r="V155" s="39">
        <v>80.34</v>
      </c>
      <c r="W155" s="40">
        <v>81.17</v>
      </c>
      <c r="X155" s="40">
        <v>82.67</v>
      </c>
      <c r="Y155" s="40">
        <v>78.84</v>
      </c>
      <c r="Z155" s="40">
        <v>78.17</v>
      </c>
      <c r="AA155" s="40">
        <v>76.67</v>
      </c>
      <c r="AB155" s="40">
        <v>79.0</v>
      </c>
      <c r="AC155" s="40">
        <v>80.5</v>
      </c>
      <c r="AD155" s="40">
        <v>78.8080469392848</v>
      </c>
      <c r="AE155" s="40">
        <v>75.8142999999999</v>
      </c>
      <c r="AF155" s="40">
        <v>1.6536</v>
      </c>
      <c r="AG155" s="40">
        <v>86.28</v>
      </c>
      <c r="AH155" s="45">
        <v>44351.0</v>
      </c>
      <c r="AI155" s="44" t="str">
        <f>'6image_RS_benchmark_performance'!B155</f>
        <v>https://3arbzfbsh-cname-us.ngrok.io/Desktop/seabridge%20fintech/image_app/DD_resistance_support.jpg</v>
      </c>
      <c r="AJ155" s="44" t="str">
        <f>'6image_RS_benchmark_performance'!C155</f>
        <v>https://3arbzfbsh-cname-us.ngrok.io/Desktop/seabridge%20fintech/profit_graph_app/DD_Return.jpg</v>
      </c>
      <c r="AK155" s="46" t="str">
        <f>'5price_action_icon'!B155</f>
        <v>https://3arbzfbsh-cname-us.ngrok.io/Desktop/seabridge%20fintech/icon/DD_pa_trend_signal</v>
      </c>
      <c r="AL155" s="42">
        <f>'1kpi_performance'!B155</f>
        <v>0.6112741366</v>
      </c>
      <c r="AM155" s="42">
        <f>'1kpi_performance'!C155</f>
        <v>0.7446384549</v>
      </c>
      <c r="AN155" s="42">
        <f>'1kpi_performance'!D155</f>
        <v>0.2691966421</v>
      </c>
      <c r="AO155" s="42">
        <f>'1kpi_performance'!E155</f>
        <v>-0.06600298001</v>
      </c>
      <c r="AP155" s="42">
        <f>'1kpi_performance'!F155</f>
        <v>0.3243390768</v>
      </c>
      <c r="AQ155" s="42">
        <f>'1kpi_performance'!G155</f>
        <v>0.2741352064</v>
      </c>
      <c r="AR155" s="42">
        <f>'1kpi_performance'!H155</f>
        <v>0.3536769634</v>
      </c>
      <c r="AS155" s="42">
        <f>'1kpi_performance'!I155</f>
        <v>0.4373569237</v>
      </c>
      <c r="AT155" s="35">
        <f>'1kpi_performance'!J155</f>
        <v>1.807596366</v>
      </c>
      <c r="AU155" s="35">
        <f>'1kpi_performance'!K155</f>
        <v>2.625122342</v>
      </c>
      <c r="AV155" s="35">
        <f>'1kpi_performance'!L155</f>
        <v>0.690451082</v>
      </c>
      <c r="AW155" s="35">
        <f>'1kpi_performance'!M155</f>
        <v>-0.2080748585</v>
      </c>
      <c r="AX155" s="42">
        <f>'1kpi_performance'!N155</f>
        <v>0.3515240946</v>
      </c>
      <c r="AY155" s="42">
        <f>'1kpi_performance'!O155</f>
        <v>0.1277587052</v>
      </c>
      <c r="AZ155" s="42">
        <f>'1kpi_performance'!P155</f>
        <v>0.5723861894</v>
      </c>
      <c r="BA155" s="42">
        <f>'1kpi_performance'!Q155</f>
        <v>0.7403040614</v>
      </c>
      <c r="BB155" s="35">
        <f>'1kpi_performance'!R155</f>
        <v>3.795609845</v>
      </c>
      <c r="BC155" s="35">
        <f>'1kpi_performance'!S155</f>
        <v>6.074362986</v>
      </c>
      <c r="BD155" s="35">
        <f>'1kpi_performance'!T155</f>
        <v>1.340163033</v>
      </c>
      <c r="BE155" s="35">
        <f>'1kpi_performance'!U155</f>
        <v>-0.4108107456</v>
      </c>
      <c r="BF155" s="47"/>
      <c r="BG155" s="47"/>
      <c r="BH155" s="47"/>
      <c r="BI155" s="47"/>
      <c r="BJ155" s="47"/>
      <c r="BK155" s="47"/>
      <c r="BL155" s="47"/>
      <c r="BM155" s="47"/>
      <c r="BN155" s="47"/>
      <c r="BO155" s="47"/>
      <c r="BP155" s="47"/>
      <c r="BQ155" s="47"/>
      <c r="BR155" s="47"/>
      <c r="BS155" s="47"/>
      <c r="BT155" s="47"/>
    </row>
    <row r="156" ht="11.25" customHeight="1">
      <c r="A156" s="35" t="str">
        <f>'13all_company_profile'!A156</f>
        <v>DDD</v>
      </c>
      <c r="B156" s="35" t="str">
        <f>'13all_company_profile'!B156</f>
        <v>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v>
      </c>
      <c r="C156" s="44" t="str">
        <f>'13all_company_profile'!C156</f>
        <v>https://financialmodelingprep.com/image-stock/DDD.png</v>
      </c>
      <c r="D156" s="35" t="str">
        <f>'13all_company_profile'!D156</f>
        <v>3D Systems Corporation</v>
      </c>
      <c r="E156" s="36">
        <f>'13all_company_profile'!E156</f>
        <v>3413864960</v>
      </c>
      <c r="F156" s="37">
        <f>'13all_company_profile'!F156</f>
        <v>6430676</v>
      </c>
      <c r="G156" s="35">
        <f>'13all_company_profile'!G156</f>
        <v>0</v>
      </c>
      <c r="H156" s="38">
        <f>'13all_company_profile'!H156</f>
        <v>44411</v>
      </c>
      <c r="I156" s="35" t="str">
        <f>'13all_company_profile'!I156</f>
        <v>NaN</v>
      </c>
      <c r="J156" s="35">
        <f>'13all_company_profile'!J156</f>
        <v>-0.716</v>
      </c>
      <c r="K156" s="42" t="str">
        <f t="shared" si="1"/>
        <v>NaN</v>
      </c>
      <c r="L156" s="35">
        <f>'7company_info'!B156</f>
        <v>26.64</v>
      </c>
      <c r="M156" s="35">
        <f>'7company_info'!C156</f>
        <v>26.99</v>
      </c>
      <c r="N156" s="35">
        <f>'7company_info'!D156</f>
        <v>24.93</v>
      </c>
      <c r="O156" s="35">
        <f>'7company_info'!E156</f>
        <v>0.74</v>
      </c>
      <c r="P156" s="35">
        <f>'7company_info'!F156</f>
        <v>0.0286</v>
      </c>
      <c r="Q156" s="35">
        <f>'7company_info'!G156</f>
        <v>25.9</v>
      </c>
      <c r="R156" s="35">
        <f>'7company_info'!H156</f>
        <v>25.9</v>
      </c>
      <c r="S156" s="35">
        <f>'7company_info'!I156</f>
        <v>4.6</v>
      </c>
      <c r="T156" s="35">
        <f>'7company_info'!J156</f>
        <v>56.5</v>
      </c>
      <c r="U156" s="39">
        <v>29.5266666666666</v>
      </c>
      <c r="V156" s="39">
        <v>30.6233333333333</v>
      </c>
      <c r="W156" s="40">
        <v>32.5966666666666</v>
      </c>
      <c r="X156" s="40">
        <v>35.6666666666666</v>
      </c>
      <c r="Y156" s="40">
        <v>27.5533333333333</v>
      </c>
      <c r="Z156" s="40">
        <v>26.4566666666666</v>
      </c>
      <c r="AA156" s="40">
        <v>23.3866666666666</v>
      </c>
      <c r="AB156" s="40">
        <v>38.16</v>
      </c>
      <c r="AC156" s="40">
        <v>36.1465</v>
      </c>
      <c r="AD156" s="40">
        <v>33.1127308144294</v>
      </c>
      <c r="AE156" s="40">
        <v>23.36081</v>
      </c>
      <c r="AF156" s="40">
        <v>3.09843999999999</v>
      </c>
      <c r="AG156" s="40">
        <v>56.5</v>
      </c>
      <c r="AH156" s="45">
        <v>44237.0</v>
      </c>
      <c r="AI156" s="44" t="str">
        <f>'6image_RS_benchmark_performance'!B156</f>
        <v>https://3arbzfbsh-cname-us.ngrok.io/Desktop/seabridge%20fintech/image_app/DDD_resistance_support.jpg</v>
      </c>
      <c r="AJ156" s="44" t="str">
        <f>'6image_RS_benchmark_performance'!C156</f>
        <v>https://3arbzfbsh-cname-us.ngrok.io/Desktop/seabridge%20fintech/profit_graph_app/DDD_Return.jpg</v>
      </c>
      <c r="AK156" s="46" t="str">
        <f>'5price_action_icon'!B156</f>
        <v>https://3arbzfbsh-cname-us.ngrok.io/Desktop/seabridge%20fintech/icon/DDD_pa_trend_signal</v>
      </c>
      <c r="AL156" s="42">
        <f>'1kpi_performance'!B156</f>
        <v>2.453427608</v>
      </c>
      <c r="AM156" s="42">
        <f>'1kpi_performance'!C156</f>
        <v>3.436346534</v>
      </c>
      <c r="AN156" s="42">
        <f>'1kpi_performance'!D156</f>
        <v>2.209589603</v>
      </c>
      <c r="AO156" s="42">
        <f>'1kpi_performance'!E156</f>
        <v>0.2863924352</v>
      </c>
      <c r="AP156" s="42">
        <f>'1kpi_performance'!F156</f>
        <v>0.6950017389</v>
      </c>
      <c r="AQ156" s="42">
        <f>'1kpi_performance'!G156</f>
        <v>0.6773105636</v>
      </c>
      <c r="AR156" s="42">
        <f>'1kpi_performance'!H156</f>
        <v>0.7265445111</v>
      </c>
      <c r="AS156" s="42">
        <f>'1kpi_performance'!I156</f>
        <v>0.8806293561</v>
      </c>
      <c r="AT156" s="35">
        <f>'1kpi_performance'!J156</f>
        <v>3.494131702</v>
      </c>
      <c r="AU156" s="35">
        <f>'1kpi_performance'!K156</f>
        <v>5.036606126</v>
      </c>
      <c r="AV156" s="35">
        <f>'1kpi_performance'!L156</f>
        <v>3.006821426</v>
      </c>
      <c r="AW156" s="35">
        <f>'1kpi_performance'!M156</f>
        <v>0.296824576</v>
      </c>
      <c r="AX156" s="42">
        <f>'1kpi_performance'!N156</f>
        <v>0.3549988464</v>
      </c>
      <c r="AY156" s="42">
        <f>'1kpi_performance'!O156</f>
        <v>0.1934277527</v>
      </c>
      <c r="AZ156" s="42">
        <f>'1kpi_performance'!P156</f>
        <v>0.6900981742</v>
      </c>
      <c r="BA156" s="42">
        <f>'1kpi_performance'!Q156</f>
        <v>0.951773491</v>
      </c>
      <c r="BB156" s="35">
        <f>'1kpi_performance'!R156</f>
        <v>10.03913641</v>
      </c>
      <c r="BC156" s="35">
        <f>'1kpi_performance'!S156</f>
        <v>16.47454397</v>
      </c>
      <c r="BD156" s="35">
        <f>'1kpi_performance'!T156</f>
        <v>7.852287709</v>
      </c>
      <c r="BE156" s="35">
        <f>'1kpi_performance'!U156</f>
        <v>0.6866678589</v>
      </c>
      <c r="BF156" s="47"/>
      <c r="BG156" s="47"/>
      <c r="BH156" s="47"/>
      <c r="BI156" s="47"/>
      <c r="BJ156" s="47"/>
      <c r="BK156" s="47"/>
      <c r="BL156" s="47"/>
      <c r="BM156" s="47"/>
      <c r="BN156" s="47"/>
      <c r="BO156" s="47"/>
      <c r="BP156" s="47"/>
      <c r="BQ156" s="47"/>
      <c r="BR156" s="47"/>
      <c r="BS156" s="47"/>
      <c r="BT156" s="47"/>
    </row>
    <row r="157" ht="11.25" customHeight="1">
      <c r="A157" s="35" t="str">
        <f>'13all_company_profile'!A157</f>
        <v>DDOG</v>
      </c>
      <c r="B157" s="35" t="str">
        <f>'13all_company_profile'!B157</f>
        <v>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v>
      </c>
      <c r="C157" s="44" t="str">
        <f>'13all_company_profile'!C157</f>
        <v>https://financialmodelingprep.com/image-stock/DDOG.png</v>
      </c>
      <c r="D157" s="35" t="str">
        <f>'13all_company_profile'!D157</f>
        <v>Datadog, Inc.</v>
      </c>
      <c r="E157" s="36">
        <f>'13all_company_profile'!E157</f>
        <v>31911475200</v>
      </c>
      <c r="F157" s="37">
        <f>'13all_company_profile'!F157</f>
        <v>2809314</v>
      </c>
      <c r="G157" s="35">
        <f>'13all_company_profile'!G157</f>
        <v>0</v>
      </c>
      <c r="H157" s="38">
        <f>'13all_company_profile'!H157</f>
        <v>44412</v>
      </c>
      <c r="I157" s="35" t="str">
        <f>'13all_company_profile'!I157</f>
        <v>NaN</v>
      </c>
      <c r="J157" s="35">
        <f>'13all_company_profile'!J157</f>
        <v>-0.146</v>
      </c>
      <c r="K157" s="42" t="str">
        <f t="shared" si="1"/>
        <v>NaN</v>
      </c>
      <c r="L157" s="35">
        <f>'7company_info'!B157</f>
        <v>107.52</v>
      </c>
      <c r="M157" s="35">
        <f>'7company_info'!C157</f>
        <v>108.89</v>
      </c>
      <c r="N157" s="35">
        <f>'7company_info'!D157</f>
        <v>103.43</v>
      </c>
      <c r="O157" s="35">
        <f>'7company_info'!E157</f>
        <v>2.69</v>
      </c>
      <c r="P157" s="35">
        <f>'7company_info'!F157</f>
        <v>0.0257</v>
      </c>
      <c r="Q157" s="35">
        <f>'7company_info'!G157</f>
        <v>105.67</v>
      </c>
      <c r="R157" s="35">
        <f>'7company_info'!H157</f>
        <v>104.83</v>
      </c>
      <c r="S157" s="35">
        <f>'7company_info'!I157</f>
        <v>69.73</v>
      </c>
      <c r="T157" s="35">
        <f>'7company_info'!J157</f>
        <v>119.43</v>
      </c>
      <c r="U157" s="39">
        <v>105.566666666666</v>
      </c>
      <c r="V157" s="39">
        <v>106.773333333333</v>
      </c>
      <c r="W157" s="40">
        <v>108.876666666666</v>
      </c>
      <c r="X157" s="40">
        <v>112.186666666666</v>
      </c>
      <c r="Y157" s="40">
        <v>103.463333333333</v>
      </c>
      <c r="Z157" s="40">
        <v>102.256666666666</v>
      </c>
      <c r="AA157" s="40">
        <v>98.9466666666666</v>
      </c>
      <c r="AB157" s="40">
        <v>103.74</v>
      </c>
      <c r="AC157" s="40">
        <v>108.78</v>
      </c>
      <c r="AD157" s="40">
        <v>103.866505271518</v>
      </c>
      <c r="AE157" s="40">
        <v>100.55803</v>
      </c>
      <c r="AF157" s="40">
        <v>3.094485</v>
      </c>
      <c r="AG157" s="40">
        <v>119.433</v>
      </c>
      <c r="AH157" s="45">
        <v>44236.0</v>
      </c>
      <c r="AI157" s="44" t="str">
        <f>'6image_RS_benchmark_performance'!B157</f>
        <v>https://3arbzfbsh-cname-us.ngrok.io/Desktop/seabridge%20fintech/image_app/DDOG_resistance_support.jpg</v>
      </c>
      <c r="AJ157" s="44" t="str">
        <f>'6image_RS_benchmark_performance'!C157</f>
        <v>https://3arbzfbsh-cname-us.ngrok.io/Desktop/seabridge%20fintech/profit_graph_app/DDOG_Return.jpg</v>
      </c>
      <c r="AK157" s="46" t="str">
        <f>'5price_action_icon'!B157</f>
        <v>https://3arbzfbsh-cname-us.ngrok.io/Desktop/seabridge%20fintech/icon/DDOG_pa_trend_signal</v>
      </c>
      <c r="AL157" s="42">
        <f>'1kpi_performance'!B157</f>
        <v>2.678220326</v>
      </c>
      <c r="AM157" s="42">
        <f>'1kpi_performance'!C157</f>
        <v>2.728593983</v>
      </c>
      <c r="AN157" s="42">
        <f>'1kpi_performance'!D157</f>
        <v>2.842264337</v>
      </c>
      <c r="AO157" s="42">
        <f>'1kpi_performance'!E157</f>
        <v>1.242406125</v>
      </c>
      <c r="AP157" s="42">
        <f>'1kpi_performance'!F157</f>
        <v>0.5473286159</v>
      </c>
      <c r="AQ157" s="42">
        <f>'1kpi_performance'!G157</f>
        <v>0.5496367813</v>
      </c>
      <c r="AR157" s="42">
        <f>'1kpi_performance'!H157</f>
        <v>0.5698383899</v>
      </c>
      <c r="AS157" s="42">
        <f>'1kpi_performance'!I157</f>
        <v>0.7592489476</v>
      </c>
      <c r="AT157" s="35">
        <f>'1kpi_performance'!J157</f>
        <v>4.847581963</v>
      </c>
      <c r="AU157" s="35">
        <f>'1kpi_performance'!K157</f>
        <v>4.918873836</v>
      </c>
      <c r="AV157" s="35">
        <f>'1kpi_performance'!L157</f>
        <v>4.94397076</v>
      </c>
      <c r="AW157" s="35">
        <f>'1kpi_performance'!M157</f>
        <v>1.603434721</v>
      </c>
      <c r="AX157" s="42">
        <f>'1kpi_performance'!N157</f>
        <v>0.2382504754</v>
      </c>
      <c r="AY157" s="42">
        <f>'1kpi_performance'!O157</f>
        <v>0.1742834932</v>
      </c>
      <c r="AZ157" s="42">
        <f>'1kpi_performance'!P157</f>
        <v>0.3877378436</v>
      </c>
      <c r="BA157" s="42">
        <f>'1kpi_performance'!Q157</f>
        <v>0.4209158168</v>
      </c>
      <c r="BB157" s="35">
        <f>'1kpi_performance'!R157</f>
        <v>11.6722703</v>
      </c>
      <c r="BC157" s="35">
        <f>'1kpi_performance'!S157</f>
        <v>11.86548845</v>
      </c>
      <c r="BD157" s="35">
        <f>'1kpi_performance'!T157</f>
        <v>10.8722791</v>
      </c>
      <c r="BE157" s="35">
        <f>'1kpi_performance'!U157</f>
        <v>3.455450325</v>
      </c>
      <c r="BF157" s="47"/>
      <c r="BG157" s="47"/>
      <c r="BH157" s="47"/>
      <c r="BI157" s="47"/>
      <c r="BJ157" s="47"/>
      <c r="BK157" s="47"/>
      <c r="BL157" s="47"/>
      <c r="BM157" s="47"/>
      <c r="BN157" s="47"/>
      <c r="BO157" s="47"/>
      <c r="BP157" s="47"/>
      <c r="BQ157" s="47"/>
      <c r="BR157" s="47"/>
      <c r="BS157" s="47"/>
      <c r="BT157" s="47"/>
    </row>
    <row r="158" ht="11.25" customHeight="1">
      <c r="A158" s="35" t="str">
        <f>'13all_company_profile'!A158</f>
        <v>DE</v>
      </c>
      <c r="B158" s="35" t="str">
        <f>'13all_company_profile'!B158</f>
        <v>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v>
      </c>
      <c r="C158" s="44" t="str">
        <f>'13all_company_profile'!C158</f>
        <v>https://financialmodelingprep.com/image-stock/DE.png</v>
      </c>
      <c r="D158" s="35" t="str">
        <f>'13all_company_profile'!D158</f>
        <v>Deere &amp; Company</v>
      </c>
      <c r="E158" s="36">
        <f>'13all_company_profile'!E158</f>
        <v>107938177024</v>
      </c>
      <c r="F158" s="37">
        <f>'13all_company_profile'!F158</f>
        <v>1812158</v>
      </c>
      <c r="G158" s="35">
        <f>'13all_company_profile'!G158</f>
        <v>3.32</v>
      </c>
      <c r="H158" s="38" t="str">
        <f>'13all_company_profile'!H158</f>
        <v>not avaiable</v>
      </c>
      <c r="I158" s="35">
        <f>'13all_company_profile'!I158</f>
        <v>23.62107</v>
      </c>
      <c r="J158" s="35">
        <f>'13all_company_profile'!J158</f>
        <v>14.504</v>
      </c>
      <c r="K158" s="42">
        <f t="shared" si="1"/>
        <v>0.009539407522</v>
      </c>
      <c r="L158" s="35">
        <f>'7company_info'!B158</f>
        <v>348.03</v>
      </c>
      <c r="M158" s="35">
        <f>'7company_info'!C158</f>
        <v>349.29</v>
      </c>
      <c r="N158" s="35">
        <f>'7company_info'!D158</f>
        <v>335</v>
      </c>
      <c r="O158" s="35">
        <f>'7company_info'!E158</f>
        <v>13.08</v>
      </c>
      <c r="P158" s="35">
        <f>'7company_info'!F158</f>
        <v>0.0391</v>
      </c>
      <c r="Q158" s="35">
        <f>'7company_info'!G158</f>
        <v>337.44</v>
      </c>
      <c r="R158" s="35">
        <f>'7company_info'!H158</f>
        <v>334.95</v>
      </c>
      <c r="S158" s="35">
        <f>'7company_info'!I158</f>
        <v>172.7</v>
      </c>
      <c r="T158" s="35">
        <f>'7company_info'!J158</f>
        <v>400.34</v>
      </c>
      <c r="U158" s="39">
        <v>347.85</v>
      </c>
      <c r="V158" s="39">
        <v>351.17</v>
      </c>
      <c r="W158" s="40">
        <v>356.77</v>
      </c>
      <c r="X158" s="40">
        <v>365.69</v>
      </c>
      <c r="Y158" s="40">
        <v>342.249999999999</v>
      </c>
      <c r="Z158" s="40">
        <v>338.929999999999</v>
      </c>
      <c r="AA158" s="40">
        <v>330.009999999999</v>
      </c>
      <c r="AB158" s="40">
        <v>341.49</v>
      </c>
      <c r="AC158" s="40">
        <v>363.54</v>
      </c>
      <c r="AD158" s="40">
        <v>349.371310540289</v>
      </c>
      <c r="AE158" s="40">
        <v>336.29078</v>
      </c>
      <c r="AF158" s="40">
        <v>7.51116</v>
      </c>
      <c r="AG158" s="40">
        <v>400.3399</v>
      </c>
      <c r="AH158" s="45">
        <v>44326.0</v>
      </c>
      <c r="AI158" s="44" t="str">
        <f>'6image_RS_benchmark_performance'!B158</f>
        <v>https://3arbzfbsh-cname-us.ngrok.io/Desktop/seabridge%20fintech/image_app/DE_resistance_support.jpg</v>
      </c>
      <c r="AJ158" s="44" t="str">
        <f>'6image_RS_benchmark_performance'!C158</f>
        <v>https://3arbzfbsh-cname-us.ngrok.io/Desktop/seabridge%20fintech/profit_graph_app/DE_Return.jpg</v>
      </c>
      <c r="AK158" s="46" t="str">
        <f>'5price_action_icon'!B158</f>
        <v>https://3arbzfbsh-cname-us.ngrok.io/Desktop/seabridge%20fintech/icon/DE_pa_trend_signal</v>
      </c>
      <c r="AL158" s="42">
        <f>'1kpi_performance'!B158</f>
        <v>0.5343281158</v>
      </c>
      <c r="AM158" s="42">
        <f>'1kpi_performance'!C158</f>
        <v>0.8131228129</v>
      </c>
      <c r="AN158" s="42">
        <f>'1kpi_performance'!D158</f>
        <v>0.6024936551</v>
      </c>
      <c r="AO158" s="42">
        <f>'1kpi_performance'!E158</f>
        <v>0.2560874406</v>
      </c>
      <c r="AP158" s="42">
        <f>'1kpi_performance'!F158</f>
        <v>0.2232866783</v>
      </c>
      <c r="AQ158" s="42">
        <f>'1kpi_performance'!G158</f>
        <v>0.2347045196</v>
      </c>
      <c r="AR158" s="42">
        <f>'1kpi_performance'!H158</f>
        <v>0.2253903822</v>
      </c>
      <c r="AS158" s="42">
        <f>'1kpi_performance'!I158</f>
        <v>0.3317827223</v>
      </c>
      <c r="AT158" s="35">
        <f>'1kpi_performance'!J158</f>
        <v>2.281050171</v>
      </c>
      <c r="AU158" s="35">
        <f>'1kpi_performance'!K158</f>
        <v>3.357936244</v>
      </c>
      <c r="AV158" s="35">
        <f>'1kpi_performance'!L158</f>
        <v>2.56219298</v>
      </c>
      <c r="AW158" s="35">
        <f>'1kpi_performance'!M158</f>
        <v>0.6965023345</v>
      </c>
      <c r="AX158" s="42">
        <f>'1kpi_performance'!N158</f>
        <v>0.1363744939</v>
      </c>
      <c r="AY158" s="42">
        <f>'1kpi_performance'!O158</f>
        <v>0.1146010765</v>
      </c>
      <c r="AZ158" s="42">
        <f>'1kpi_performance'!P158</f>
        <v>0.23662406</v>
      </c>
      <c r="BA158" s="42">
        <f>'1kpi_performance'!Q158</f>
        <v>0.3818131257</v>
      </c>
      <c r="BB158" s="35">
        <f>'1kpi_performance'!R158</f>
        <v>5.015098917</v>
      </c>
      <c r="BC158" s="35">
        <f>'1kpi_performance'!S158</f>
        <v>8.154734219</v>
      </c>
      <c r="BD158" s="35">
        <f>'1kpi_performance'!T158</f>
        <v>5.683103457</v>
      </c>
      <c r="BE158" s="35">
        <f>'1kpi_performance'!U158</f>
        <v>1.391296625</v>
      </c>
      <c r="BF158" s="47"/>
      <c r="BG158" s="47"/>
      <c r="BH158" s="47"/>
      <c r="BI158" s="47"/>
      <c r="BJ158" s="47"/>
      <c r="BK158" s="47"/>
      <c r="BL158" s="47"/>
      <c r="BM158" s="47"/>
      <c r="BN158" s="47"/>
      <c r="BO158" s="47"/>
      <c r="BP158" s="47"/>
      <c r="BQ158" s="47"/>
      <c r="BR158" s="47"/>
      <c r="BS158" s="47"/>
      <c r="BT158" s="47"/>
    </row>
    <row r="159" ht="11.25" customHeight="1">
      <c r="A159" s="35" t="str">
        <f>'13all_company_profile'!A159</f>
        <v>DELL</v>
      </c>
      <c r="B159" s="35" t="str">
        <f>'13all_company_profile'!B159</f>
        <v>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v>
      </c>
      <c r="C159" s="44" t="str">
        <f>'13all_company_profile'!C159</f>
        <v>https://financialmodelingprep.com/image-stock/DELL.png</v>
      </c>
      <c r="D159" s="35" t="str">
        <f>'13all_company_profile'!D159</f>
        <v>Dell Technologies Inc.</v>
      </c>
      <c r="E159" s="36">
        <f>'13all_company_profile'!E159</f>
        <v>71519567872</v>
      </c>
      <c r="F159" s="37">
        <f>'13all_company_profile'!F159</f>
        <v>2433582</v>
      </c>
      <c r="G159" s="35">
        <f>'13all_company_profile'!G159</f>
        <v>0</v>
      </c>
      <c r="H159" s="38" t="str">
        <f>'13all_company_profile'!H159</f>
        <v>not avaiable</v>
      </c>
      <c r="I159" s="35">
        <f>'13all_company_profile'!I159</f>
        <v>17.965267</v>
      </c>
      <c r="J159" s="35">
        <f>'13all_company_profile'!J159</f>
        <v>5.145</v>
      </c>
      <c r="K159" s="42" t="str">
        <f t="shared" si="1"/>
        <v>NaN</v>
      </c>
      <c r="L159" s="35">
        <f>'7company_info'!B159</f>
        <v>95.37</v>
      </c>
      <c r="M159" s="35">
        <f>'7company_info'!C159</f>
        <v>95.94</v>
      </c>
      <c r="N159" s="35">
        <f>'7company_info'!D159</f>
        <v>93.35</v>
      </c>
      <c r="O159" s="35">
        <f>'7company_info'!E159</f>
        <v>2.49</v>
      </c>
      <c r="P159" s="35">
        <f>'7company_info'!F159</f>
        <v>0.0268</v>
      </c>
      <c r="Q159" s="35">
        <f>'7company_info'!G159</f>
        <v>93.41</v>
      </c>
      <c r="R159" s="35">
        <f>'7company_info'!H159</f>
        <v>92.88</v>
      </c>
      <c r="S159" s="35">
        <f>'7company_info'!I159</f>
        <v>58.11</v>
      </c>
      <c r="T159" s="35">
        <f>'7company_info'!J159</f>
        <v>104.62</v>
      </c>
      <c r="U159" s="39">
        <v>94.1216666666666</v>
      </c>
      <c r="V159" s="39">
        <v>95.1033333333333</v>
      </c>
      <c r="W159" s="40">
        <v>96.8066666666666</v>
      </c>
      <c r="X159" s="40">
        <v>99.4916666666666</v>
      </c>
      <c r="Y159" s="40">
        <v>92.4183333333333</v>
      </c>
      <c r="Z159" s="40">
        <v>91.4366666666666</v>
      </c>
      <c r="AA159" s="40">
        <v>88.7516666666666</v>
      </c>
      <c r="AB159" s="40">
        <v>93.73</v>
      </c>
      <c r="AC159" s="40">
        <v>104.62</v>
      </c>
      <c r="AD159" s="40">
        <v>98.646791863884</v>
      </c>
      <c r="AE159" s="40">
        <v>89.986</v>
      </c>
      <c r="AF159" s="40">
        <v>1.9745</v>
      </c>
      <c r="AG159" s="40">
        <v>104.62</v>
      </c>
      <c r="AH159" s="45">
        <v>44357.0</v>
      </c>
      <c r="AI159" s="44" t="str">
        <f>'6image_RS_benchmark_performance'!B159</f>
        <v>https://3arbzfbsh-cname-us.ngrok.io/Desktop/seabridge%20fintech/image_app/DELL_resistance_support.jpg</v>
      </c>
      <c r="AJ159" s="44" t="str">
        <f>'6image_RS_benchmark_performance'!C159</f>
        <v>https://3arbzfbsh-cname-us.ngrok.io/Desktop/seabridge%20fintech/profit_graph_app/DELL_Return.jpg</v>
      </c>
      <c r="AK159" s="46" t="str">
        <f>'5price_action_icon'!B159</f>
        <v>https://3arbzfbsh-cname-us.ngrok.io/Desktop/seabridge%20fintech/icon/DELL_pa_trend_signal</v>
      </c>
      <c r="AL159" s="42">
        <f>'1kpi_performance'!B159</f>
        <v>1.166590072</v>
      </c>
      <c r="AM159" s="42">
        <f>'1kpi_performance'!C159</f>
        <v>1.459100505</v>
      </c>
      <c r="AN159" s="42">
        <f>'1kpi_performance'!D159</f>
        <v>1.060352942</v>
      </c>
      <c r="AO159" s="42">
        <f>'1kpi_performance'!E159</f>
        <v>0.4900964738</v>
      </c>
      <c r="AP159" s="42">
        <f>'1kpi_performance'!F159</f>
        <v>0.2799373921</v>
      </c>
      <c r="AQ159" s="42">
        <f>'1kpi_performance'!G159</f>
        <v>0.2986494534</v>
      </c>
      <c r="AR159" s="42">
        <f>'1kpi_performance'!H159</f>
        <v>0.2585072986</v>
      </c>
      <c r="AS159" s="42">
        <f>'1kpi_performance'!I159</f>
        <v>0.4239544104</v>
      </c>
      <c r="AT159" s="35">
        <f>'1kpi_performance'!J159</f>
        <v>4.078019245</v>
      </c>
      <c r="AU159" s="35">
        <f>'1kpi_performance'!K159</f>
        <v>4.801952553</v>
      </c>
      <c r="AV159" s="35">
        <f>'1kpi_performance'!L159</f>
        <v>4.005120737</v>
      </c>
      <c r="AW159" s="35">
        <f>'1kpi_performance'!M159</f>
        <v>1.097043603</v>
      </c>
      <c r="AX159" s="42">
        <f>'1kpi_performance'!N159</f>
        <v>0.1433944523</v>
      </c>
      <c r="AY159" s="42">
        <f>'1kpi_performance'!O159</f>
        <v>0.1433944523</v>
      </c>
      <c r="AZ159" s="42">
        <f>'1kpi_performance'!P159</f>
        <v>0.1433944523</v>
      </c>
      <c r="BA159" s="42">
        <f>'1kpi_performance'!Q159</f>
        <v>0.5863896848</v>
      </c>
      <c r="BB159" s="35">
        <f>'1kpi_performance'!R159</f>
        <v>9.488222329</v>
      </c>
      <c r="BC159" s="35">
        <f>'1kpi_performance'!S159</f>
        <v>11.89498486</v>
      </c>
      <c r="BD159" s="35">
        <f>'1kpi_performance'!T159</f>
        <v>9.569115219</v>
      </c>
      <c r="BE159" s="35">
        <f>'1kpi_performance'!U159</f>
        <v>2.020465856</v>
      </c>
      <c r="BF159" s="47"/>
      <c r="BG159" s="47"/>
      <c r="BH159" s="47"/>
      <c r="BI159" s="47"/>
      <c r="BJ159" s="47"/>
      <c r="BK159" s="47"/>
      <c r="BL159" s="47"/>
      <c r="BM159" s="47"/>
      <c r="BN159" s="47"/>
      <c r="BO159" s="47"/>
      <c r="BP159" s="47"/>
      <c r="BQ159" s="47"/>
      <c r="BR159" s="47"/>
      <c r="BS159" s="47"/>
      <c r="BT159" s="47"/>
    </row>
    <row r="160" ht="11.25" customHeight="1">
      <c r="A160" s="35" t="str">
        <f>'13all_company_profile'!A160</f>
        <v>DFS</v>
      </c>
      <c r="B160" s="35" t="str">
        <f>'13all_company_profile'!B160</f>
        <v>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v>
      </c>
      <c r="C160" s="44" t="str">
        <f>'13all_company_profile'!C160</f>
        <v>https://financialmodelingprep.com/image-stock/DFS.png</v>
      </c>
      <c r="D160" s="35" t="str">
        <f>'13all_company_profile'!D160</f>
        <v>Discover Financial Services</v>
      </c>
      <c r="E160" s="36">
        <f>'13all_company_profile'!E160</f>
        <v>37708546048</v>
      </c>
      <c r="F160" s="37">
        <f>'13all_company_profile'!F160</f>
        <v>1966036</v>
      </c>
      <c r="G160" s="35">
        <f>'13all_company_profile'!G160</f>
        <v>1.76</v>
      </c>
      <c r="H160" s="38">
        <f>'13all_company_profile'!H160</f>
        <v>44398</v>
      </c>
      <c r="I160" s="35">
        <f>'13all_company_profile'!I160</f>
        <v>13.544361</v>
      </c>
      <c r="J160" s="35">
        <f>'13all_company_profile'!J160</f>
        <v>8.893</v>
      </c>
      <c r="K160" s="42">
        <f t="shared" si="1"/>
        <v>0.01451187335</v>
      </c>
      <c r="L160" s="35">
        <f>'7company_info'!B160</f>
        <v>121.28</v>
      </c>
      <c r="M160" s="35">
        <f>'7company_info'!C160</f>
        <v>122.05</v>
      </c>
      <c r="N160" s="35">
        <f>'7company_info'!D160</f>
        <v>115.57</v>
      </c>
      <c r="O160" s="35">
        <f>'7company_info'!E160</f>
        <v>4.56</v>
      </c>
      <c r="P160" s="35">
        <f>'7company_info'!F160</f>
        <v>0.0391</v>
      </c>
      <c r="Q160" s="35">
        <f>'7company_info'!G160</f>
        <v>116.31</v>
      </c>
      <c r="R160" s="35">
        <f>'7company_info'!H160</f>
        <v>116.72</v>
      </c>
      <c r="S160" s="35">
        <f>'7company_info'!I160</f>
        <v>47.42</v>
      </c>
      <c r="T160" s="35">
        <f>'7company_info'!J160</f>
        <v>127.65</v>
      </c>
      <c r="U160" s="39">
        <v>124.276666666666</v>
      </c>
      <c r="V160" s="39">
        <v>125.973333333333</v>
      </c>
      <c r="W160" s="40">
        <v>129.016666666666</v>
      </c>
      <c r="X160" s="40">
        <v>133.756666666666</v>
      </c>
      <c r="Y160" s="40">
        <v>121.233333333333</v>
      </c>
      <c r="Z160" s="40">
        <v>119.536666666666</v>
      </c>
      <c r="AA160" s="40">
        <v>114.796666666666</v>
      </c>
      <c r="AB160" s="40">
        <v>118.17</v>
      </c>
      <c r="AC160" s="40">
        <v>127.65</v>
      </c>
      <c r="AD160" s="40">
        <v>120.483965401502</v>
      </c>
      <c r="AE160" s="40">
        <v>117.94445</v>
      </c>
      <c r="AF160" s="40">
        <v>3.748775</v>
      </c>
      <c r="AG160" s="40">
        <v>125.38</v>
      </c>
      <c r="AH160" s="45">
        <v>44357.0</v>
      </c>
      <c r="AI160" s="44" t="str">
        <f>'6image_RS_benchmark_performance'!B160</f>
        <v>https://3arbzfbsh-cname-us.ngrok.io/Desktop/seabridge%20fintech/image_app/DFS_resistance_support.jpg</v>
      </c>
      <c r="AJ160" s="44" t="str">
        <f>'6image_RS_benchmark_performance'!C160</f>
        <v>https://3arbzfbsh-cname-us.ngrok.io/Desktop/seabridge%20fintech/profit_graph_app/DFS_Return.jpg</v>
      </c>
      <c r="AK160" s="46" t="str">
        <f>'5price_action_icon'!B160</f>
        <v>https://3arbzfbsh-cname-us.ngrok.io/Desktop/seabridge%20fintech/icon/DFS_pa_trend_signal</v>
      </c>
      <c r="AL160" s="42">
        <f>'1kpi_performance'!B160</f>
        <v>0.7730489603</v>
      </c>
      <c r="AM160" s="42">
        <f>'1kpi_performance'!C160</f>
        <v>1.01321569</v>
      </c>
      <c r="AN160" s="42">
        <f>'1kpi_performance'!D160</f>
        <v>0.588751302</v>
      </c>
      <c r="AO160" s="42">
        <f>'1kpi_performance'!E160</f>
        <v>0.3082536658</v>
      </c>
      <c r="AP160" s="42">
        <f>'1kpi_performance'!F160</f>
        <v>0.2781412764</v>
      </c>
      <c r="AQ160" s="42">
        <f>'1kpi_performance'!G160</f>
        <v>0.2754286485</v>
      </c>
      <c r="AR160" s="42">
        <f>'1kpi_performance'!H160</f>
        <v>0.3172048396</v>
      </c>
      <c r="AS160" s="42">
        <f>'1kpi_performance'!I160</f>
        <v>0.4206885355</v>
      </c>
      <c r="AT160" s="35">
        <f>'1kpi_performance'!J160</f>
        <v>2.689456847</v>
      </c>
      <c r="AU160" s="35">
        <f>'1kpi_performance'!K160</f>
        <v>3.587919033</v>
      </c>
      <c r="AV160" s="35">
        <f>'1kpi_performance'!L160</f>
        <v>1.77724685</v>
      </c>
      <c r="AW160" s="35">
        <f>'1kpi_performance'!M160</f>
        <v>0.673309686</v>
      </c>
      <c r="AX160" s="42">
        <f>'1kpi_performance'!N160</f>
        <v>0.315991369</v>
      </c>
      <c r="AY160" s="42">
        <f>'1kpi_performance'!O160</f>
        <v>0.3674028124</v>
      </c>
      <c r="AZ160" s="42">
        <f>'1kpi_performance'!P160</f>
        <v>0.6695891128</v>
      </c>
      <c r="BA160" s="42">
        <f>'1kpi_performance'!Q160</f>
        <v>0.728231622</v>
      </c>
      <c r="BB160" s="35">
        <f>'1kpi_performance'!R160</f>
        <v>5.883341882</v>
      </c>
      <c r="BC160" s="35">
        <f>'1kpi_performance'!S160</f>
        <v>8.173082493</v>
      </c>
      <c r="BD160" s="35">
        <f>'1kpi_performance'!T160</f>
        <v>3.218546422</v>
      </c>
      <c r="BE160" s="35">
        <f>'1kpi_performance'!U160</f>
        <v>1.271143496</v>
      </c>
      <c r="BF160" s="47"/>
      <c r="BG160" s="47"/>
      <c r="BH160" s="47"/>
      <c r="BI160" s="47"/>
      <c r="BJ160" s="47"/>
      <c r="BK160" s="47"/>
      <c r="BL160" s="47"/>
      <c r="BM160" s="47"/>
      <c r="BN160" s="47"/>
      <c r="BO160" s="47"/>
      <c r="BP160" s="47"/>
      <c r="BQ160" s="47"/>
      <c r="BR160" s="47"/>
      <c r="BS160" s="47"/>
      <c r="BT160" s="47"/>
    </row>
    <row r="161" ht="11.25" customHeight="1">
      <c r="A161" s="35" t="str">
        <f>'13all_company_profile'!A161</f>
        <v>DG</v>
      </c>
      <c r="B161" s="35" t="str">
        <f>'13all_company_profile'!B161</f>
        <v>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v>
      </c>
      <c r="C161" s="44" t="str">
        <f>'13all_company_profile'!C161</f>
        <v>https://financialmodelingprep.com/image-stock/DG.png</v>
      </c>
      <c r="D161" s="35" t="str">
        <f>'13all_company_profile'!D161</f>
        <v>Dollar General Corporation</v>
      </c>
      <c r="E161" s="36">
        <f>'13all_company_profile'!E161</f>
        <v>52461129728</v>
      </c>
      <c r="F161" s="37">
        <f>'13all_company_profile'!F161</f>
        <v>1819779</v>
      </c>
      <c r="G161" s="35">
        <f>'13all_company_profile'!G161</f>
        <v>1.56</v>
      </c>
      <c r="H161" s="38" t="str">
        <f>'13all_company_profile'!H161</f>
        <v>not avaiable</v>
      </c>
      <c r="I161" s="35">
        <f>'13all_company_profile'!I161</f>
        <v>20.399889</v>
      </c>
      <c r="J161" s="35">
        <f>'13all_company_profile'!J161</f>
        <v>10.878</v>
      </c>
      <c r="K161" s="42">
        <f t="shared" si="1"/>
        <v>0.006890155028</v>
      </c>
      <c r="L161" s="35">
        <f>'7company_info'!B161</f>
        <v>226.41</v>
      </c>
      <c r="M161" s="35">
        <f>'7company_info'!C161</f>
        <v>227.56</v>
      </c>
      <c r="N161" s="35">
        <f>'7company_info'!D161</f>
        <v>224.15</v>
      </c>
      <c r="O161" s="35">
        <f>'7company_info'!E161</f>
        <v>2.14</v>
      </c>
      <c r="P161" s="35">
        <f>'7company_info'!F161</f>
        <v>0.0095</v>
      </c>
      <c r="Q161" s="35">
        <f>'7company_info'!G161</f>
        <v>224.49</v>
      </c>
      <c r="R161" s="35">
        <f>'7company_info'!H161</f>
        <v>224.27</v>
      </c>
      <c r="S161" s="35">
        <f>'7company_info'!I161</f>
        <v>173.5</v>
      </c>
      <c r="T161" s="35">
        <f>'7company_info'!J161</f>
        <v>227.56</v>
      </c>
      <c r="U161" s="39">
        <v>220.516666666666</v>
      </c>
      <c r="V161" s="39">
        <v>221.723333333333</v>
      </c>
      <c r="W161" s="40">
        <v>222.556666666666</v>
      </c>
      <c r="X161" s="40">
        <v>224.596666666666</v>
      </c>
      <c r="Y161" s="40">
        <v>219.683333333333</v>
      </c>
      <c r="Z161" s="40">
        <v>218.476666666666</v>
      </c>
      <c r="AA161" s="40">
        <v>216.436666666666</v>
      </c>
      <c r="AB161" s="40">
        <v>203.83</v>
      </c>
      <c r="AC161" s="40">
        <v>223.14</v>
      </c>
      <c r="AD161" s="40">
        <v>216.405240270607</v>
      </c>
      <c r="AE161" s="40">
        <v>214.35605</v>
      </c>
      <c r="AF161" s="40">
        <v>2.75497499999999</v>
      </c>
      <c r="AG161" s="40">
        <v>223.14</v>
      </c>
      <c r="AH161" s="45">
        <v>44384.0</v>
      </c>
      <c r="AI161" s="44" t="str">
        <f>'6image_RS_benchmark_performance'!B161</f>
        <v>https://3arbzfbsh-cname-us.ngrok.io/Desktop/seabridge%20fintech/image_app/DG_resistance_support.jpg</v>
      </c>
      <c r="AJ161" s="44" t="str">
        <f>'6image_RS_benchmark_performance'!C161</f>
        <v>https://3arbzfbsh-cname-us.ngrok.io/Desktop/seabridge%20fintech/profit_graph_app/DG_Return.jpg</v>
      </c>
      <c r="AK161" s="46" t="str">
        <f>'5price_action_icon'!B161</f>
        <v>https://3arbzfbsh-cname-us.ngrok.io/Desktop/seabridge%20fintech/icon/DG_pa_trend_signal</v>
      </c>
      <c r="AL161" s="42">
        <f>'1kpi_performance'!B161</f>
        <v>0.6605182587</v>
      </c>
      <c r="AM161" s="42">
        <f>'1kpi_performance'!C161</f>
        <v>0.780227059</v>
      </c>
      <c r="AN161" s="42">
        <f>'1kpi_performance'!D161</f>
        <v>0.618812053</v>
      </c>
      <c r="AO161" s="42">
        <f>'1kpi_performance'!E161</f>
        <v>0.3187587155</v>
      </c>
      <c r="AP161" s="42">
        <f>'1kpi_performance'!F161</f>
        <v>0.2056529757</v>
      </c>
      <c r="AQ161" s="42">
        <f>'1kpi_performance'!G161</f>
        <v>0.2262609362</v>
      </c>
      <c r="AR161" s="42">
        <f>'1kpi_performance'!H161</f>
        <v>0.218750878</v>
      </c>
      <c r="AS161" s="42">
        <f>'1kpi_performance'!I161</f>
        <v>0.3075593297</v>
      </c>
      <c r="AT161" s="35">
        <f>'1kpi_performance'!J161</f>
        <v>3.09024587</v>
      </c>
      <c r="AU161" s="35">
        <f>'1kpi_performance'!K161</f>
        <v>3.33785881</v>
      </c>
      <c r="AV161" s="35">
        <f>'1kpi_performance'!L161</f>
        <v>2.71455849</v>
      </c>
      <c r="AW161" s="35">
        <f>'1kpi_performance'!M161</f>
        <v>0.9551286115</v>
      </c>
      <c r="AX161" s="42">
        <f>'1kpi_performance'!N161</f>
        <v>0.1263037053</v>
      </c>
      <c r="AY161" s="42">
        <f>'1kpi_performance'!O161</f>
        <v>0.1119523717</v>
      </c>
      <c r="AZ161" s="42">
        <f>'1kpi_performance'!P161</f>
        <v>0.1813533835</v>
      </c>
      <c r="BA161" s="42">
        <f>'1kpi_performance'!Q161</f>
        <v>0.3075173198</v>
      </c>
      <c r="BB161" s="35">
        <f>'1kpi_performance'!R161</f>
        <v>7.373116842</v>
      </c>
      <c r="BC161" s="35">
        <f>'1kpi_performance'!S161</f>
        <v>8.132495996</v>
      </c>
      <c r="BD161" s="35">
        <f>'1kpi_performance'!T161</f>
        <v>6.107068082</v>
      </c>
      <c r="BE161" s="35">
        <f>'1kpi_performance'!U161</f>
        <v>1.883658355</v>
      </c>
      <c r="BF161" s="47"/>
      <c r="BG161" s="47"/>
      <c r="BH161" s="47"/>
      <c r="BI161" s="47"/>
      <c r="BJ161" s="47"/>
      <c r="BK161" s="47"/>
      <c r="BL161" s="47"/>
      <c r="BM161" s="47"/>
      <c r="BN161" s="47"/>
      <c r="BO161" s="47"/>
      <c r="BP161" s="47"/>
      <c r="BQ161" s="47"/>
      <c r="BR161" s="47"/>
      <c r="BS161" s="47"/>
      <c r="BT161" s="47"/>
    </row>
    <row r="162" ht="11.25" customHeight="1">
      <c r="A162" s="35" t="str">
        <f>'13all_company_profile'!A162</f>
        <v>DGX</v>
      </c>
      <c r="B162" s="35" t="str">
        <f>'13all_company_profile'!B162</f>
        <v>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v>
      </c>
      <c r="C162" s="44" t="str">
        <f>'13all_company_profile'!C162</f>
        <v>https://financialmodelingprep.com/image-stock/DGX.png</v>
      </c>
      <c r="D162" s="35" t="str">
        <f>'13all_company_profile'!D162</f>
        <v>Quest Diagnostics Incorporated</v>
      </c>
      <c r="E162" s="36">
        <f>'13all_company_profile'!E162</f>
        <v>16314157056</v>
      </c>
      <c r="F162" s="37">
        <f>'13all_company_profile'!F162</f>
        <v>1140938</v>
      </c>
      <c r="G162" s="35">
        <f>'13all_company_profile'!G162</f>
        <v>2.36</v>
      </c>
      <c r="H162" s="38">
        <f>'13all_company_profile'!H162</f>
        <v>44399</v>
      </c>
      <c r="I162" s="35">
        <f>'13all_company_profile'!I162</f>
        <v>10.2132015</v>
      </c>
      <c r="J162" s="35">
        <f>'13all_company_profile'!J162</f>
        <v>13.18</v>
      </c>
      <c r="K162" s="42">
        <f t="shared" si="1"/>
        <v>0.01731855874</v>
      </c>
      <c r="L162" s="35">
        <f>'7company_info'!B162</f>
        <v>136.27</v>
      </c>
      <c r="M162" s="35">
        <f>'7company_info'!C162</f>
        <v>139.11</v>
      </c>
      <c r="N162" s="35">
        <f>'7company_info'!D162</f>
        <v>135.83</v>
      </c>
      <c r="O162" s="35">
        <f>'7company_info'!E162</f>
        <v>0.02</v>
      </c>
      <c r="P162" s="35">
        <f>'7company_info'!F162</f>
        <v>0.0001</v>
      </c>
      <c r="Q162" s="35">
        <f>'7company_info'!G162</f>
        <v>137.07</v>
      </c>
      <c r="R162" s="35">
        <f>'7company_info'!H162</f>
        <v>136.25</v>
      </c>
      <c r="S162" s="35">
        <f>'7company_info'!I162</f>
        <v>104.1</v>
      </c>
      <c r="T162" s="35">
        <f>'7company_info'!J162</f>
        <v>142.8</v>
      </c>
      <c r="U162" s="39">
        <v>134.93</v>
      </c>
      <c r="V162" s="39">
        <v>135.48</v>
      </c>
      <c r="W162" s="40">
        <v>136.35</v>
      </c>
      <c r="X162" s="40">
        <v>137.77</v>
      </c>
      <c r="Y162" s="40">
        <v>134.06</v>
      </c>
      <c r="Z162" s="40">
        <v>133.51</v>
      </c>
      <c r="AA162" s="40">
        <v>132.089999999999</v>
      </c>
      <c r="AB162" s="40">
        <v>133.71</v>
      </c>
      <c r="AC162" s="40">
        <v>135.86</v>
      </c>
      <c r="AD162" s="40">
        <v>132.563422984885</v>
      </c>
      <c r="AE162" s="40">
        <v>131.5</v>
      </c>
      <c r="AF162" s="40">
        <v>1.751</v>
      </c>
      <c r="AG162" s="40">
        <v>142.8</v>
      </c>
      <c r="AH162" s="45">
        <v>44326.0</v>
      </c>
      <c r="AI162" s="44" t="str">
        <f>'6image_RS_benchmark_performance'!B162</f>
        <v>https://3arbzfbsh-cname-us.ngrok.io/Desktop/seabridge%20fintech/image_app/DGX_resistance_support.jpg</v>
      </c>
      <c r="AJ162" s="44" t="str">
        <f>'6image_RS_benchmark_performance'!C162</f>
        <v>https://3arbzfbsh-cname-us.ngrok.io/Desktop/seabridge%20fintech/profit_graph_app/DGX_Return.jpg</v>
      </c>
      <c r="AK162" s="46" t="str">
        <f>'5price_action_icon'!B162</f>
        <v>https://3arbzfbsh-cname-us.ngrok.io/Desktop/seabridge%20fintech/icon/DGX_pa_trend_signal</v>
      </c>
      <c r="AL162" s="42">
        <f>'1kpi_performance'!B162</f>
        <v>0.4822216609</v>
      </c>
      <c r="AM162" s="42">
        <f>'1kpi_performance'!C162</f>
        <v>0.5115670444</v>
      </c>
      <c r="AN162" s="42">
        <f>'1kpi_performance'!D162</f>
        <v>0.358373499</v>
      </c>
      <c r="AO162" s="42">
        <f>'1kpi_performance'!E162</f>
        <v>0.1064631524</v>
      </c>
      <c r="AP162" s="42">
        <f>'1kpi_performance'!F162</f>
        <v>0.188263493</v>
      </c>
      <c r="AQ162" s="42">
        <f>'1kpi_performance'!G162</f>
        <v>0.1849377852</v>
      </c>
      <c r="AR162" s="42">
        <f>'1kpi_performance'!H162</f>
        <v>0.221282358</v>
      </c>
      <c r="AS162" s="42">
        <f>'1kpi_performance'!I162</f>
        <v>0.2783718111</v>
      </c>
      <c r="AT162" s="35">
        <f>'1kpi_performance'!J162</f>
        <v>2.428626249</v>
      </c>
      <c r="AU162" s="35">
        <f>'1kpi_performance'!K162</f>
        <v>2.630976919</v>
      </c>
      <c r="AV162" s="35">
        <f>'1kpi_performance'!L162</f>
        <v>1.506552542</v>
      </c>
      <c r="AW162" s="35">
        <f>'1kpi_performance'!M162</f>
        <v>0.2926415289</v>
      </c>
      <c r="AX162" s="42">
        <f>'1kpi_performance'!N162</f>
        <v>0.1068505498</v>
      </c>
      <c r="AY162" s="42">
        <f>'1kpi_performance'!O162</f>
        <v>0.07636614377</v>
      </c>
      <c r="AZ162" s="42">
        <f>'1kpi_performance'!P162</f>
        <v>0.3660096819</v>
      </c>
      <c r="BA162" s="42">
        <f>'1kpi_performance'!Q162</f>
        <v>0.3660096819</v>
      </c>
      <c r="BB162" s="35">
        <f>'1kpi_performance'!R162</f>
        <v>5.371539557</v>
      </c>
      <c r="BC162" s="35">
        <f>'1kpi_performance'!S162</f>
        <v>6.456554942</v>
      </c>
      <c r="BD162" s="35">
        <f>'1kpi_performance'!T162</f>
        <v>2.91735471</v>
      </c>
      <c r="BE162" s="35">
        <f>'1kpi_performance'!U162</f>
        <v>0.5575363675</v>
      </c>
      <c r="BF162" s="47"/>
      <c r="BG162" s="47"/>
      <c r="BH162" s="47"/>
      <c r="BI162" s="47"/>
      <c r="BJ162" s="47"/>
      <c r="BK162" s="47"/>
      <c r="BL162" s="47"/>
      <c r="BM162" s="47"/>
      <c r="BN162" s="47"/>
      <c r="BO162" s="47"/>
      <c r="BP162" s="47"/>
      <c r="BQ162" s="47"/>
      <c r="BR162" s="47"/>
      <c r="BS162" s="47"/>
      <c r="BT162" s="47"/>
    </row>
    <row r="163" ht="11.25" customHeight="1">
      <c r="A163" s="35" t="str">
        <f>'13all_company_profile'!A163</f>
        <v>DHI</v>
      </c>
      <c r="B163" s="35" t="str">
        <f>'13all_company_profile'!B163</f>
        <v>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v>
      </c>
      <c r="C163" s="44" t="str">
        <f>'13all_company_profile'!C163</f>
        <v>https://financialmodelingprep.com/image-stock/DHI.png</v>
      </c>
      <c r="D163" s="35" t="str">
        <f>'13all_company_profile'!D163</f>
        <v>D.R. Horton, Inc.</v>
      </c>
      <c r="E163" s="36">
        <f>'13all_company_profile'!E163</f>
        <v>31398156288</v>
      </c>
      <c r="F163" s="37">
        <f>'13all_company_profile'!F163</f>
        <v>3368934</v>
      </c>
      <c r="G163" s="35">
        <f>'13all_company_profile'!G163</f>
        <v>0.775</v>
      </c>
      <c r="H163" s="38">
        <f>'13all_company_profile'!H163</f>
        <v>44399</v>
      </c>
      <c r="I163" s="35">
        <f>'13all_company_profile'!I163</f>
        <v>10.022026</v>
      </c>
      <c r="J163" s="35">
        <f>'13all_company_profile'!J163</f>
        <v>8.626</v>
      </c>
      <c r="K163" s="42">
        <f t="shared" si="1"/>
        <v>0.008701998653</v>
      </c>
      <c r="L163" s="35">
        <f>'7company_info'!B163</f>
        <v>89.06</v>
      </c>
      <c r="M163" s="35">
        <f>'7company_info'!C163</f>
        <v>89.49</v>
      </c>
      <c r="N163" s="35">
        <f>'7company_info'!D163</f>
        <v>86.62</v>
      </c>
      <c r="O163" s="35">
        <f>'7company_info'!E163</f>
        <v>2.27</v>
      </c>
      <c r="P163" s="35">
        <f>'7company_info'!F163</f>
        <v>0.0262</v>
      </c>
      <c r="Q163" s="35">
        <f>'7company_info'!G163</f>
        <v>87.19</v>
      </c>
      <c r="R163" s="35">
        <f>'7company_info'!H163</f>
        <v>86.79</v>
      </c>
      <c r="S163" s="35">
        <f>'7company_info'!I163</f>
        <v>61.67</v>
      </c>
      <c r="T163" s="35">
        <f>'7company_info'!J163</f>
        <v>106.89</v>
      </c>
      <c r="U163" s="39">
        <v>86.9453333333333</v>
      </c>
      <c r="V163" s="39">
        <v>87.6546666666666</v>
      </c>
      <c r="W163" s="40">
        <v>88.5393333333333</v>
      </c>
      <c r="X163" s="40">
        <v>90.1333333333333</v>
      </c>
      <c r="Y163" s="40">
        <v>86.0606666666666</v>
      </c>
      <c r="Z163" s="40">
        <v>85.3513333333333</v>
      </c>
      <c r="AA163" s="40">
        <v>83.7573333333333</v>
      </c>
      <c r="AB163" s="40">
        <v>88.38</v>
      </c>
      <c r="AC163" s="40">
        <v>87.83</v>
      </c>
      <c r="AD163" s="40">
        <v>89.9310282401096</v>
      </c>
      <c r="AE163" s="40">
        <v>81.917</v>
      </c>
      <c r="AF163" s="40">
        <v>2.29369999999999</v>
      </c>
      <c r="AG163" s="40">
        <v>106.89</v>
      </c>
      <c r="AH163" s="45">
        <v>44326.0</v>
      </c>
      <c r="AI163" s="44" t="str">
        <f>'6image_RS_benchmark_performance'!B163</f>
        <v>https://3arbzfbsh-cname-us.ngrok.io/Desktop/seabridge%20fintech/image_app/DHI_resistance_support.jpg</v>
      </c>
      <c r="AJ163" s="44" t="str">
        <f>'6image_RS_benchmark_performance'!C163</f>
        <v>https://3arbzfbsh-cname-us.ngrok.io/Desktop/seabridge%20fintech/profit_graph_app/DHI_Return.jpg</v>
      </c>
      <c r="AK163" s="46" t="str">
        <f>'5price_action_icon'!B163</f>
        <v>https://3arbzfbsh-cname-us.ngrok.io/Desktop/seabridge%20fintech/icon/DHI_pa_trend_signal</v>
      </c>
      <c r="AL163" s="42">
        <f>'1kpi_performance'!B163</f>
        <v>0.783483402</v>
      </c>
      <c r="AM163" s="42">
        <f>'1kpi_performance'!C163</f>
        <v>0.9492081418</v>
      </c>
      <c r="AN163" s="42">
        <f>'1kpi_performance'!D163</f>
        <v>1.028717918</v>
      </c>
      <c r="AO163" s="42">
        <f>'1kpi_performance'!E163</f>
        <v>0.2856785932</v>
      </c>
      <c r="AP163" s="42">
        <f>'1kpi_performance'!F163</f>
        <v>0.2983263331</v>
      </c>
      <c r="AQ163" s="42">
        <f>'1kpi_performance'!G163</f>
        <v>0.3133392373</v>
      </c>
      <c r="AR163" s="42">
        <f>'1kpi_performance'!H163</f>
        <v>0.2986418284</v>
      </c>
      <c r="AS163" s="42">
        <f>'1kpi_performance'!I163</f>
        <v>0.4340210493</v>
      </c>
      <c r="AT163" s="35">
        <f>'1kpi_performance'!J163</f>
        <v>2.542462122</v>
      </c>
      <c r="AU163" s="35">
        <f>'1kpi_performance'!K163</f>
        <v>2.949544876</v>
      </c>
      <c r="AV163" s="35">
        <f>'1kpi_performance'!L163</f>
        <v>3.360942179</v>
      </c>
      <c r="AW163" s="35">
        <f>'1kpi_performance'!M163</f>
        <v>0.6006127896</v>
      </c>
      <c r="AX163" s="42">
        <f>'1kpi_performance'!N163</f>
        <v>0.1976878246</v>
      </c>
      <c r="AY163" s="42">
        <f>'1kpi_performance'!O163</f>
        <v>0.1815635345</v>
      </c>
      <c r="AZ163" s="42">
        <f>'1kpi_performance'!P163</f>
        <v>0.2199287266</v>
      </c>
      <c r="BA163" s="42">
        <f>'1kpi_performance'!Q163</f>
        <v>0.5361804996</v>
      </c>
      <c r="BB163" s="35">
        <f>'1kpi_performance'!R163</f>
        <v>5.649341545</v>
      </c>
      <c r="BC163" s="35">
        <f>'1kpi_performance'!S163</f>
        <v>6.979071765</v>
      </c>
      <c r="BD163" s="35">
        <f>'1kpi_performance'!T163</f>
        <v>7.661857089</v>
      </c>
      <c r="BE163" s="35">
        <f>'1kpi_performance'!U163</f>
        <v>1.220565446</v>
      </c>
      <c r="BF163" s="47"/>
      <c r="BG163" s="47"/>
      <c r="BH163" s="47"/>
      <c r="BI163" s="47"/>
      <c r="BJ163" s="47"/>
      <c r="BK163" s="47"/>
      <c r="BL163" s="47"/>
      <c r="BM163" s="47"/>
      <c r="BN163" s="47"/>
      <c r="BO163" s="47"/>
      <c r="BP163" s="47"/>
      <c r="BQ163" s="47"/>
      <c r="BR163" s="47"/>
      <c r="BS163" s="47"/>
      <c r="BT163" s="47"/>
    </row>
    <row r="164" ht="11.25" customHeight="1">
      <c r="A164" s="35" t="str">
        <f>'13all_company_profile'!A164</f>
        <v>DHR</v>
      </c>
      <c r="B164" s="35" t="str">
        <f>'13all_company_profile'!B164</f>
        <v>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v>
      </c>
      <c r="C164" s="44" t="str">
        <f>'13all_company_profile'!C164</f>
        <v>https://financialmodelingprep.com/image-stock/DHR.png</v>
      </c>
      <c r="D164" s="35" t="str">
        <f>'13all_company_profile'!D164</f>
        <v>Danaher Corporation</v>
      </c>
      <c r="E164" s="36">
        <f>'13all_company_profile'!E164</f>
        <v>200545517568</v>
      </c>
      <c r="F164" s="37">
        <f>'13all_company_profile'!F164</f>
        <v>2407190</v>
      </c>
      <c r="G164" s="35">
        <f>'13all_company_profile'!G164</f>
        <v>0.78</v>
      </c>
      <c r="H164" s="38">
        <f>'13all_company_profile'!H164</f>
        <v>44399</v>
      </c>
      <c r="I164" s="35">
        <f>'13all_company_profile'!I164</f>
        <v>44.908894</v>
      </c>
      <c r="J164" s="35">
        <f>'13all_company_profile'!J164</f>
        <v>6.366</v>
      </c>
      <c r="K164" s="42">
        <f t="shared" si="1"/>
        <v>0.002750352609</v>
      </c>
      <c r="L164" s="35">
        <f>'7company_info'!B164</f>
        <v>283.6</v>
      </c>
      <c r="M164" s="35">
        <f>'7company_info'!C164</f>
        <v>287</v>
      </c>
      <c r="N164" s="35">
        <f>'7company_info'!D164</f>
        <v>281.78</v>
      </c>
      <c r="O164" s="35">
        <f>'7company_info'!E164</f>
        <v>-0.15</v>
      </c>
      <c r="P164" s="35">
        <f>'7company_info'!F164</f>
        <v>-0.0005</v>
      </c>
      <c r="Q164" s="35">
        <f>'7company_info'!G164</f>
        <v>283.67</v>
      </c>
      <c r="R164" s="35">
        <f>'7company_info'!H164</f>
        <v>283.75</v>
      </c>
      <c r="S164" s="35">
        <f>'7company_info'!I164</f>
        <v>190.34</v>
      </c>
      <c r="T164" s="35">
        <f>'7company_info'!J164</f>
        <v>287</v>
      </c>
      <c r="U164" s="39">
        <v>276.623333333333</v>
      </c>
      <c r="V164" s="39">
        <v>277.356666666666</v>
      </c>
      <c r="W164" s="40">
        <v>278.593333333333</v>
      </c>
      <c r="X164" s="40">
        <v>280.563333333333</v>
      </c>
      <c r="Y164" s="40">
        <v>275.386666666666</v>
      </c>
      <c r="Z164" s="40">
        <v>274.653333333333</v>
      </c>
      <c r="AA164" s="40">
        <v>272.683333333333</v>
      </c>
      <c r="AB164" s="40">
        <v>272.13</v>
      </c>
      <c r="AC164" s="40">
        <v>280.5</v>
      </c>
      <c r="AD164" s="40">
        <v>269.227383240178</v>
      </c>
      <c r="AE164" s="40">
        <v>266.956</v>
      </c>
      <c r="AF164" s="40">
        <v>4.834</v>
      </c>
      <c r="AG164" s="40">
        <v>280.5</v>
      </c>
      <c r="AH164" s="45">
        <v>44384.0</v>
      </c>
      <c r="AI164" s="44" t="str">
        <f>'6image_RS_benchmark_performance'!B164</f>
        <v>https://3arbzfbsh-cname-us.ngrok.io/Desktop/seabridge%20fintech/image_app/DHR_resistance_support.jpg</v>
      </c>
      <c r="AJ164" s="44" t="str">
        <f>'6image_RS_benchmark_performance'!C164</f>
        <v>https://3arbzfbsh-cname-us.ngrok.io/Desktop/seabridge%20fintech/profit_graph_app/DHR_Return.jpg</v>
      </c>
      <c r="AK164" s="46" t="str">
        <f>'5price_action_icon'!B164</f>
        <v>https://3arbzfbsh-cname-us.ngrok.io/Desktop/seabridge%20fintech/icon/DHR_pa_trend_signal</v>
      </c>
      <c r="AL164" s="42">
        <f>'1kpi_performance'!B164</f>
        <v>0.5316346654</v>
      </c>
      <c r="AM164" s="42">
        <f>'1kpi_performance'!C164</f>
        <v>0.6442306778</v>
      </c>
      <c r="AN164" s="42">
        <f>'1kpi_performance'!D164</f>
        <v>0.5169959413</v>
      </c>
      <c r="AO164" s="42">
        <f>'1kpi_performance'!E164</f>
        <v>0.3281766344</v>
      </c>
      <c r="AP164" s="42">
        <f>'1kpi_performance'!F164</f>
        <v>0.1749602475</v>
      </c>
      <c r="AQ164" s="42">
        <f>'1kpi_performance'!G164</f>
        <v>0.1808537291</v>
      </c>
      <c r="AR164" s="42">
        <f>'1kpi_performance'!H164</f>
        <v>0.1534224387</v>
      </c>
      <c r="AS164" s="42">
        <f>'1kpi_performance'!I164</f>
        <v>0.2583027848</v>
      </c>
      <c r="AT164" s="35">
        <f>'1kpi_performance'!J164</f>
        <v>2.895713013</v>
      </c>
      <c r="AU164" s="35">
        <f>'1kpi_performance'!K164</f>
        <v>3.423930936</v>
      </c>
      <c r="AV164" s="35">
        <f>'1kpi_performance'!L164</f>
        <v>3.206805637</v>
      </c>
      <c r="AW164" s="35">
        <f>'1kpi_performance'!M164</f>
        <v>1.173725768</v>
      </c>
      <c r="AX164" s="42">
        <f>'1kpi_performance'!N164</f>
        <v>0.1296412551</v>
      </c>
      <c r="AY164" s="42">
        <f>'1kpi_performance'!O164</f>
        <v>0.07029824759</v>
      </c>
      <c r="AZ164" s="42">
        <f>'1kpi_performance'!P164</f>
        <v>0.1123506088</v>
      </c>
      <c r="BA164" s="42">
        <f>'1kpi_performance'!Q164</f>
        <v>0.2819284235</v>
      </c>
      <c r="BB164" s="35">
        <f>'1kpi_performance'!R164</f>
        <v>6.467963933</v>
      </c>
      <c r="BC164" s="35">
        <f>'1kpi_performance'!S164</f>
        <v>7.989565652</v>
      </c>
      <c r="BD164" s="35">
        <f>'1kpi_performance'!T164</f>
        <v>7.288076366</v>
      </c>
      <c r="BE164" s="35">
        <f>'1kpi_performance'!U164</f>
        <v>2.362529688</v>
      </c>
      <c r="BF164" s="47"/>
      <c r="BG164" s="47"/>
      <c r="BH164" s="47"/>
      <c r="BI164" s="47"/>
      <c r="BJ164" s="47"/>
      <c r="BK164" s="47"/>
      <c r="BL164" s="47"/>
      <c r="BM164" s="47"/>
      <c r="BN164" s="47"/>
      <c r="BO164" s="47"/>
      <c r="BP164" s="47"/>
      <c r="BQ164" s="47"/>
      <c r="BR164" s="47"/>
      <c r="BS164" s="47"/>
      <c r="BT164" s="47"/>
    </row>
    <row r="165" ht="11.25" customHeight="1">
      <c r="A165" s="35" t="str">
        <f>'13all_company_profile'!A165</f>
        <v>DIA</v>
      </c>
      <c r="B165" s="35" t="str">
        <f>'13all_company_profile'!B165</f>
        <v>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v>
      </c>
      <c r="C165" s="44" t="str">
        <f>'13all_company_profile'!C165</f>
        <v>https://financialmodelingprep.com/image-stock/DIA.png</v>
      </c>
      <c r="D165" s="35" t="str">
        <f>'13all_company_profile'!D165</f>
        <v>SPDR Dow Jones Industrial Average ETF Trust</v>
      </c>
      <c r="E165" s="36">
        <f>'13all_company_profile'!E165</f>
        <v>28433389568</v>
      </c>
      <c r="F165" s="37">
        <f>'13all_company_profile'!F165</f>
        <v>3828061</v>
      </c>
      <c r="G165" s="35">
        <f>'13all_company_profile'!G165</f>
        <v>4.239</v>
      </c>
      <c r="H165" s="38" t="str">
        <f>'13all_company_profile'!H165</f>
        <v>not avaiable</v>
      </c>
      <c r="I165" s="35">
        <f>'13all_company_profile'!I165</f>
        <v>3.6620522</v>
      </c>
      <c r="J165" s="35">
        <f>'13all_company_profile'!J165</f>
        <v>94.701</v>
      </c>
      <c r="K165" s="42">
        <f t="shared" si="1"/>
        <v>0.01228410803</v>
      </c>
      <c r="L165" s="35">
        <f>'7company_info'!B165</f>
        <v>345.08</v>
      </c>
      <c r="M165" s="35">
        <f>'7company_info'!C165</f>
        <v>346.12</v>
      </c>
      <c r="N165" s="35">
        <f>'7company_info'!D165</f>
        <v>339.77</v>
      </c>
      <c r="O165" s="35">
        <f>'7company_info'!E165</f>
        <v>5.2</v>
      </c>
      <c r="P165" s="35">
        <f>'7company_info'!F165</f>
        <v>0.0153</v>
      </c>
      <c r="Q165" s="35">
        <f>'7company_info'!G165</f>
        <v>340.32</v>
      </c>
      <c r="R165" s="35">
        <f>'7company_info'!H165</f>
        <v>339.88</v>
      </c>
      <c r="S165" s="35">
        <f>'7company_info'!I165</f>
        <v>259.94</v>
      </c>
      <c r="T165" s="35">
        <f>'7company_info'!J165</f>
        <v>351.09</v>
      </c>
      <c r="U165" s="39">
        <v>349.486666666666</v>
      </c>
      <c r="V165" s="39">
        <v>350.613333333333</v>
      </c>
      <c r="W165" s="40">
        <v>351.816666666666</v>
      </c>
      <c r="X165" s="40">
        <v>354.146666666666</v>
      </c>
      <c r="Y165" s="40">
        <v>348.283333333333</v>
      </c>
      <c r="Z165" s="40">
        <v>347.156666666666</v>
      </c>
      <c r="AA165" s="40">
        <v>344.826666666666</v>
      </c>
      <c r="AB165" s="40">
        <v>345.844</v>
      </c>
      <c r="AC165" s="40">
        <v>348.65</v>
      </c>
      <c r="AD165" s="40">
        <v>345.53791426303</v>
      </c>
      <c r="AE165" s="40">
        <v>342.2835</v>
      </c>
      <c r="AF165" s="40">
        <v>3.366755</v>
      </c>
      <c r="AG165" s="40">
        <v>351.0885</v>
      </c>
      <c r="AH165" s="45">
        <v>44326.0</v>
      </c>
      <c r="AI165" s="44" t="str">
        <f>'6image_RS_benchmark_performance'!B165</f>
        <v>https://3arbzfbsh-cname-us.ngrok.io/Desktop/seabridge%20fintech/image_app/DIA_resistance_support.jpg</v>
      </c>
      <c r="AJ165" s="44" t="str">
        <f>'6image_RS_benchmark_performance'!C165</f>
        <v>https://3arbzfbsh-cname-us.ngrok.io/Desktop/seabridge%20fintech/profit_graph_app/DIA_Return.jpg</v>
      </c>
      <c r="AK165" s="46" t="str">
        <f>'5price_action_icon'!B165</f>
        <v>https://3arbzfbsh-cname-us.ngrok.io/Desktop/seabridge%20fintech/icon/DIA_pa_trend_signal</v>
      </c>
      <c r="AL165" s="42">
        <f>'1kpi_performance'!B165</f>
        <v>0.3175138346</v>
      </c>
      <c r="AM165" s="42">
        <f>'1kpi_performance'!C165</f>
        <v>0.4428072987</v>
      </c>
      <c r="AN165" s="42">
        <f>'1kpi_performance'!D165</f>
        <v>0.3976500864</v>
      </c>
      <c r="AO165" s="42">
        <f>'1kpi_performance'!E165</f>
        <v>0.1634130166</v>
      </c>
      <c r="AP165" s="42">
        <f>'1kpi_performance'!F165</f>
        <v>0.1159489652</v>
      </c>
      <c r="AQ165" s="42">
        <f>'1kpi_performance'!G165</f>
        <v>0.1213661596</v>
      </c>
      <c r="AR165" s="42">
        <f>'1kpi_performance'!H165</f>
        <v>0.1159803816</v>
      </c>
      <c r="AS165" s="42">
        <f>'1kpi_performance'!I165</f>
        <v>0.2048633165</v>
      </c>
      <c r="AT165" s="35">
        <f>'1kpi_performance'!J165</f>
        <v>2.522780898</v>
      </c>
      <c r="AU165" s="35">
        <f>'1kpi_performance'!K165</f>
        <v>3.442535384</v>
      </c>
      <c r="AV165" s="35">
        <f>'1kpi_performance'!L165</f>
        <v>3.21304415</v>
      </c>
      <c r="AW165" s="35">
        <f>'1kpi_performance'!M165</f>
        <v>0.6756359261</v>
      </c>
      <c r="AX165" s="42">
        <f>'1kpi_performance'!N165</f>
        <v>0.08777327349</v>
      </c>
      <c r="AY165" s="42">
        <f>'1kpi_performance'!O165</f>
        <v>0.06971164527</v>
      </c>
      <c r="AZ165" s="42">
        <f>'1kpi_performance'!P165</f>
        <v>0.111811113</v>
      </c>
      <c r="BA165" s="42">
        <f>'1kpi_performance'!Q165</f>
        <v>0.3705870418</v>
      </c>
      <c r="BB165" s="35">
        <f>'1kpi_performance'!R165</f>
        <v>5.146915346</v>
      </c>
      <c r="BC165" s="35">
        <f>'1kpi_performance'!S165</f>
        <v>7.771614485</v>
      </c>
      <c r="BD165" s="35">
        <f>'1kpi_performance'!T165</f>
        <v>6.829809466</v>
      </c>
      <c r="BE165" s="35">
        <f>'1kpi_performance'!U165</f>
        <v>1.228806217</v>
      </c>
      <c r="BF165" s="47"/>
      <c r="BG165" s="47"/>
      <c r="BH165" s="47"/>
      <c r="BI165" s="47"/>
      <c r="BJ165" s="47"/>
      <c r="BK165" s="47"/>
      <c r="BL165" s="47"/>
      <c r="BM165" s="47"/>
      <c r="BN165" s="47"/>
      <c r="BO165" s="47"/>
      <c r="BP165" s="47"/>
      <c r="BQ165" s="47"/>
      <c r="BR165" s="47"/>
      <c r="BS165" s="47"/>
      <c r="BT165" s="47"/>
    </row>
    <row r="166" ht="11.25" customHeight="1">
      <c r="A166" s="35" t="str">
        <f>'13all_company_profile'!A166</f>
        <v>DIS</v>
      </c>
      <c r="B166" s="35" t="str">
        <f>'13all_company_profile'!B166</f>
        <v>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v>
      </c>
      <c r="C166" s="44" t="str">
        <f>'13all_company_profile'!C166</f>
        <v>https://financialmodelingprep.com/image-stock/DIS.png</v>
      </c>
      <c r="D166" s="35" t="str">
        <f>'13all_company_profile'!D166</f>
        <v>The Walt Disney Company</v>
      </c>
      <c r="E166" s="36">
        <f>'13all_company_profile'!E166</f>
        <v>334914715648</v>
      </c>
      <c r="F166" s="37">
        <f>'13all_company_profile'!F166</f>
        <v>8872695</v>
      </c>
      <c r="G166" s="35">
        <f>'13all_company_profile'!G166</f>
        <v>0.88</v>
      </c>
      <c r="H166" s="38" t="str">
        <f>'13all_company_profile'!H166</f>
        <v>not avaiable</v>
      </c>
      <c r="I166" s="35" t="str">
        <f>'13all_company_profile'!I166</f>
        <v>NaN</v>
      </c>
      <c r="J166" s="35">
        <f>'13all_company_profile'!J166</f>
        <v>-2.491</v>
      </c>
      <c r="K166" s="42">
        <f t="shared" si="1"/>
        <v>0.004978783593</v>
      </c>
      <c r="L166" s="35">
        <f>'7company_info'!B166</f>
        <v>176.75</v>
      </c>
      <c r="M166" s="35">
        <f>'7company_info'!C166</f>
        <v>177.51</v>
      </c>
      <c r="N166" s="35">
        <f>'7company_info'!D166</f>
        <v>172.87</v>
      </c>
      <c r="O166" s="35">
        <f>'7company_info'!E166</f>
        <v>3.8</v>
      </c>
      <c r="P166" s="35">
        <f>'7company_info'!F166</f>
        <v>0.022</v>
      </c>
      <c r="Q166" s="35">
        <f>'7company_info'!G166</f>
        <v>173.7</v>
      </c>
      <c r="R166" s="35">
        <f>'7company_info'!H166</f>
        <v>172.95</v>
      </c>
      <c r="S166" s="35">
        <f>'7company_info'!I166</f>
        <v>113.37</v>
      </c>
      <c r="T166" s="35">
        <f>'7company_info'!J166</f>
        <v>203.02</v>
      </c>
      <c r="U166" s="39">
        <v>183.93</v>
      </c>
      <c r="V166" s="39">
        <v>185.779999999999</v>
      </c>
      <c r="W166" s="40">
        <v>188.14</v>
      </c>
      <c r="X166" s="40">
        <v>192.349999999999</v>
      </c>
      <c r="Y166" s="40">
        <v>181.57</v>
      </c>
      <c r="Z166" s="40">
        <v>179.72</v>
      </c>
      <c r="AA166" s="40">
        <v>175.51</v>
      </c>
      <c r="AB166" s="40">
        <v>173.34</v>
      </c>
      <c r="AC166" s="40">
        <v>175.45</v>
      </c>
      <c r="AD166" s="40">
        <v>177.630510035327</v>
      </c>
      <c r="AE166" s="40">
        <v>176.95078</v>
      </c>
      <c r="AF166" s="40">
        <v>3.40627499999999</v>
      </c>
      <c r="AG166" s="40">
        <v>203.02</v>
      </c>
      <c r="AH166" s="45">
        <v>44263.0</v>
      </c>
      <c r="AI166" s="44" t="str">
        <f>'6image_RS_benchmark_performance'!B166</f>
        <v>https://3arbzfbsh-cname-us.ngrok.io/Desktop/seabridge%20fintech/image_app/DIS_resistance_support.jpg</v>
      </c>
      <c r="AJ166" s="44" t="str">
        <f>'6image_RS_benchmark_performance'!C166</f>
        <v>https://3arbzfbsh-cname-us.ngrok.io/Desktop/seabridge%20fintech/profit_graph_app/DIS_Return.jpg</v>
      </c>
      <c r="AK166" s="46" t="str">
        <f>'5price_action_icon'!B166</f>
        <v>https://3arbzfbsh-cname-us.ngrok.io/Desktop/seabridge%20fintech/icon/DIS_pa_trend_signal</v>
      </c>
      <c r="AL166" s="42">
        <f>'1kpi_performance'!B166</f>
        <v>0.5319013639</v>
      </c>
      <c r="AM166" s="42">
        <f>'1kpi_performance'!C166</f>
        <v>0.6506024706</v>
      </c>
      <c r="AN166" s="42">
        <f>'1kpi_performance'!D166</f>
        <v>0.5996079258</v>
      </c>
      <c r="AO166" s="42">
        <f>'1kpi_performance'!E166</f>
        <v>0.2499571429</v>
      </c>
      <c r="AP166" s="42">
        <f>'1kpi_performance'!F166</f>
        <v>0.2143420849</v>
      </c>
      <c r="AQ166" s="42">
        <f>'1kpi_performance'!G166</f>
        <v>0.2104508488</v>
      </c>
      <c r="AR166" s="42">
        <f>'1kpi_performance'!H166</f>
        <v>0.2009491231</v>
      </c>
      <c r="AS166" s="42">
        <f>'1kpi_performance'!I166</f>
        <v>0.2986519069</v>
      </c>
      <c r="AT166" s="35">
        <f>'1kpi_performance'!J166</f>
        <v>2.364917576</v>
      </c>
      <c r="AU166" s="35">
        <f>'1kpi_performance'!K166</f>
        <v>2.972677345</v>
      </c>
      <c r="AV166" s="35">
        <f>'1kpi_performance'!L166</f>
        <v>2.859469686</v>
      </c>
      <c r="AW166" s="35">
        <f>'1kpi_performance'!M166</f>
        <v>0.7532419441</v>
      </c>
      <c r="AX166" s="42">
        <f>'1kpi_performance'!N166</f>
        <v>0.1354229168</v>
      </c>
      <c r="AY166" s="42">
        <f>'1kpi_performance'!O166</f>
        <v>0.108959757</v>
      </c>
      <c r="AZ166" s="42">
        <f>'1kpi_performance'!P166</f>
        <v>0.2235289305</v>
      </c>
      <c r="BA166" s="42">
        <f>'1kpi_performance'!Q166</f>
        <v>0.4344500132</v>
      </c>
      <c r="BB166" s="35">
        <f>'1kpi_performance'!R166</f>
        <v>5.49440824</v>
      </c>
      <c r="BC166" s="35">
        <f>'1kpi_performance'!S166</f>
        <v>7.324401465</v>
      </c>
      <c r="BD166" s="35">
        <f>'1kpi_performance'!T166</f>
        <v>6.622405785</v>
      </c>
      <c r="BE166" s="35">
        <f>'1kpi_performance'!U166</f>
        <v>1.514706085</v>
      </c>
      <c r="BF166" s="47"/>
      <c r="BG166" s="47"/>
      <c r="BH166" s="47"/>
      <c r="BI166" s="47"/>
      <c r="BJ166" s="47"/>
      <c r="BK166" s="47"/>
      <c r="BL166" s="47"/>
      <c r="BM166" s="47"/>
      <c r="BN166" s="47"/>
      <c r="BO166" s="47"/>
      <c r="BP166" s="47"/>
      <c r="BQ166" s="47"/>
      <c r="BR166" s="47"/>
      <c r="BS166" s="47"/>
      <c r="BT166" s="47"/>
    </row>
    <row r="167" ht="11.25" customHeight="1">
      <c r="A167" s="35" t="str">
        <f>'13all_company_profile'!A167</f>
        <v>DISCA</v>
      </c>
      <c r="B167" s="35" t="str">
        <f>'13all_company_profile'!B167</f>
        <v>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v>
      </c>
      <c r="C167" s="44" t="str">
        <f>'13all_company_profile'!C167</f>
        <v>https://financialmodelingprep.com/image-stock/DISCA.png</v>
      </c>
      <c r="D167" s="35" t="str">
        <f>'13all_company_profile'!D167</f>
        <v>Discovery, Inc.</v>
      </c>
      <c r="E167" s="36">
        <f>'13all_company_profile'!E167</f>
        <v>14006047744</v>
      </c>
      <c r="F167" s="37">
        <f>'13all_company_profile'!F167</f>
        <v>10510355</v>
      </c>
      <c r="G167" s="35">
        <f>'13all_company_profile'!G167</f>
        <v>0</v>
      </c>
      <c r="H167" s="38">
        <f>'13all_company_profile'!H167</f>
        <v>44411</v>
      </c>
      <c r="I167" s="35">
        <f>'13all_company_profile'!I167</f>
        <v>25.161146</v>
      </c>
      <c r="J167" s="35">
        <f>'13all_company_profile'!J167</f>
        <v>1.117</v>
      </c>
      <c r="K167" s="42" t="str">
        <f t="shared" si="1"/>
        <v>NaN</v>
      </c>
      <c r="L167" s="35">
        <f>'7company_info'!B167</f>
        <v>28.13</v>
      </c>
      <c r="M167" s="35">
        <f>'7company_info'!C167</f>
        <v>28.22</v>
      </c>
      <c r="N167" s="35">
        <f>'7company_info'!D167</f>
        <v>27.52</v>
      </c>
      <c r="O167" s="35">
        <f>'7company_info'!E167</f>
        <v>0.31</v>
      </c>
      <c r="P167" s="35">
        <f>'7company_info'!F167</f>
        <v>0.0111</v>
      </c>
      <c r="Q167" s="35">
        <f>'7company_info'!G167</f>
        <v>27.88</v>
      </c>
      <c r="R167" s="35">
        <f>'7company_info'!H167</f>
        <v>27.82</v>
      </c>
      <c r="S167" s="35">
        <f>'7company_info'!I167</f>
        <v>19.07</v>
      </c>
      <c r="T167" s="35">
        <f>'7company_info'!J167</f>
        <v>78.14</v>
      </c>
      <c r="U167" s="39">
        <v>28.8733333333333</v>
      </c>
      <c r="V167" s="39">
        <v>29.1966666666666</v>
      </c>
      <c r="W167" s="40">
        <v>29.6533333333333</v>
      </c>
      <c r="X167" s="40">
        <v>30.4333333333333</v>
      </c>
      <c r="Y167" s="40">
        <v>28.4166666666666</v>
      </c>
      <c r="Z167" s="40">
        <v>28.0933333333333</v>
      </c>
      <c r="AA167" s="40">
        <v>27.3133333333333</v>
      </c>
      <c r="AB167" s="40">
        <v>28.28</v>
      </c>
      <c r="AC167" s="40">
        <v>32.76</v>
      </c>
      <c r="AD167" s="40">
        <v>30.109866573024</v>
      </c>
      <c r="AE167" s="40">
        <v>27.2458</v>
      </c>
      <c r="AF167" s="40">
        <v>0.892099999999999</v>
      </c>
      <c r="AG167" s="40">
        <v>78.14</v>
      </c>
      <c r="AH167" s="45">
        <v>44274.0</v>
      </c>
      <c r="AI167" s="44" t="str">
        <f>'6image_RS_benchmark_performance'!B167</f>
        <v>https://3arbzfbsh-cname-us.ngrok.io/Desktop/seabridge%20fintech/image_app/DISCA_resistance_support.jpg</v>
      </c>
      <c r="AJ167" s="44" t="str">
        <f>'6image_RS_benchmark_performance'!C167</f>
        <v>https://3arbzfbsh-cname-us.ngrok.io/Desktop/seabridge%20fintech/profit_graph_app/DISCA_Return.jpg</v>
      </c>
      <c r="AK167" s="46" t="str">
        <f>'5price_action_icon'!B167</f>
        <v>https://3arbzfbsh-cname-us.ngrok.io/Desktop/seabridge%20fintech/icon/DISCA_pa_trend_signal</v>
      </c>
      <c r="AL167" s="42">
        <f>'1kpi_performance'!B167</f>
        <v>0.695159584</v>
      </c>
      <c r="AM167" s="42">
        <f>'1kpi_performance'!C167</f>
        <v>0.8336393836</v>
      </c>
      <c r="AN167" s="42">
        <f>'1kpi_performance'!D167</f>
        <v>0.945277144</v>
      </c>
      <c r="AO167" s="42">
        <f>'1kpi_performance'!E167</f>
        <v>0.07363932519</v>
      </c>
      <c r="AP167" s="42">
        <f>'1kpi_performance'!F167</f>
        <v>0.2717545191</v>
      </c>
      <c r="AQ167" s="42">
        <f>'1kpi_performance'!G167</f>
        <v>0.2666676763</v>
      </c>
      <c r="AR167" s="42">
        <f>'1kpi_performance'!H167</f>
        <v>0.277992997</v>
      </c>
      <c r="AS167" s="42">
        <f>'1kpi_performance'!I167</f>
        <v>0.4056583437</v>
      </c>
      <c r="AT167" s="35">
        <f>'1kpi_performance'!J167</f>
        <v>2.466047616</v>
      </c>
      <c r="AU167" s="35">
        <f>'1kpi_performance'!K167</f>
        <v>3.032386207</v>
      </c>
      <c r="AV167" s="35">
        <f>'1kpi_performance'!L167</f>
        <v>3.310432831</v>
      </c>
      <c r="AW167" s="35">
        <f>'1kpi_performance'!M167</f>
        <v>0.1199021934</v>
      </c>
      <c r="AX167" s="42">
        <f>'1kpi_performance'!N167</f>
        <v>0.1848205753</v>
      </c>
      <c r="AY167" s="42">
        <f>'1kpi_performance'!O167</f>
        <v>0.106160249</v>
      </c>
      <c r="AZ167" s="42">
        <f>'1kpi_performance'!P167</f>
        <v>0.3056307764</v>
      </c>
      <c r="BA167" s="42">
        <f>'1kpi_performance'!Q167</f>
        <v>0.6477006408</v>
      </c>
      <c r="BB167" s="35">
        <f>'1kpi_performance'!R167</f>
        <v>5.267293456</v>
      </c>
      <c r="BC167" s="35">
        <f>'1kpi_performance'!S167</f>
        <v>6.881581441</v>
      </c>
      <c r="BD167" s="35">
        <f>'1kpi_performance'!T167</f>
        <v>7.273056909</v>
      </c>
      <c r="BE167" s="35">
        <f>'1kpi_performance'!U167</f>
        <v>0.2259781354</v>
      </c>
      <c r="BF167" s="47"/>
      <c r="BG167" s="47"/>
      <c r="BH167" s="47"/>
      <c r="BI167" s="47"/>
      <c r="BJ167" s="47"/>
      <c r="BK167" s="47"/>
      <c r="BL167" s="47"/>
      <c r="BM167" s="47"/>
      <c r="BN167" s="47"/>
      <c r="BO167" s="47"/>
      <c r="BP167" s="47"/>
      <c r="BQ167" s="47"/>
      <c r="BR167" s="47"/>
      <c r="BS167" s="47"/>
      <c r="BT167" s="47"/>
    </row>
    <row r="168" ht="11.25" customHeight="1">
      <c r="A168" s="35" t="str">
        <f>'13all_company_profile'!A168</f>
        <v>DISH</v>
      </c>
      <c r="B168" s="35" t="str">
        <f>'13all_company_profile'!B168</f>
        <v>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v>
      </c>
      <c r="C168" s="44" t="str">
        <f>'13all_company_profile'!C168</f>
        <v>https://financialmodelingprep.com/image-stock/DISH.png</v>
      </c>
      <c r="D168" s="35" t="str">
        <f>'13all_company_profile'!D168</f>
        <v>DISH Network Corporation</v>
      </c>
      <c r="E168" s="36">
        <f>'13all_company_profile'!E168</f>
        <v>21060706304</v>
      </c>
      <c r="F168" s="37">
        <f>'13all_company_profile'!F168</f>
        <v>3212180</v>
      </c>
      <c r="G168" s="35">
        <f>'13all_company_profile'!G168</f>
        <v>0</v>
      </c>
      <c r="H168" s="38">
        <f>'13all_company_profile'!H168</f>
        <v>44413</v>
      </c>
      <c r="I168" s="35">
        <f>'13all_company_profile'!I168</f>
        <v>10.143152</v>
      </c>
      <c r="J168" s="35">
        <f>'13all_company_profile'!J168</f>
        <v>3.877</v>
      </c>
      <c r="K168" s="42" t="str">
        <f t="shared" si="1"/>
        <v>NaN</v>
      </c>
      <c r="L168" s="35">
        <f>'7company_info'!B168</f>
        <v>40.87</v>
      </c>
      <c r="M168" s="35">
        <f>'7company_info'!C168</f>
        <v>41.52</v>
      </c>
      <c r="N168" s="35">
        <f>'7company_info'!D168</f>
        <v>39.04</v>
      </c>
      <c r="O168" s="35">
        <f>'7company_info'!E168</f>
        <v>1.83</v>
      </c>
      <c r="P168" s="35">
        <f>'7company_info'!F168</f>
        <v>0.0469</v>
      </c>
      <c r="Q168" s="35">
        <f>'7company_info'!G168</f>
        <v>39.1</v>
      </c>
      <c r="R168" s="35">
        <f>'7company_info'!H168</f>
        <v>39.04</v>
      </c>
      <c r="S168" s="35">
        <f>'7company_info'!I168</f>
        <v>24.51</v>
      </c>
      <c r="T168" s="35">
        <f>'7company_info'!J168</f>
        <v>47.05</v>
      </c>
      <c r="U168" s="39">
        <v>40.44</v>
      </c>
      <c r="V168" s="39">
        <v>40.72</v>
      </c>
      <c r="W168" s="40">
        <v>41.05</v>
      </c>
      <c r="X168" s="40">
        <v>41.66</v>
      </c>
      <c r="Y168" s="40">
        <v>40.11</v>
      </c>
      <c r="Z168" s="40">
        <v>39.83</v>
      </c>
      <c r="AA168" s="40">
        <v>39.2199999999999</v>
      </c>
      <c r="AB168" s="40">
        <v>42.08</v>
      </c>
      <c r="AC168" s="40">
        <v>41.3</v>
      </c>
      <c r="AD168" s="40">
        <v>41.4132757894056</v>
      </c>
      <c r="AE168" s="40">
        <v>38.12822</v>
      </c>
      <c r="AF168" s="40">
        <v>1.05539</v>
      </c>
      <c r="AG168" s="40">
        <v>47.05</v>
      </c>
      <c r="AH168" s="45">
        <v>44326.0</v>
      </c>
      <c r="AI168" s="44" t="str">
        <f>'6image_RS_benchmark_performance'!B168</f>
        <v>https://3arbzfbsh-cname-us.ngrok.io/Desktop/seabridge%20fintech/image_app/DISH_resistance_support.jpg</v>
      </c>
      <c r="AJ168" s="44" t="str">
        <f>'6image_RS_benchmark_performance'!C168</f>
        <v>https://3arbzfbsh-cname-us.ngrok.io/Desktop/seabridge%20fintech/profit_graph_app/DISH_Return.jpg</v>
      </c>
      <c r="AK168" s="46" t="str">
        <f>'5price_action_icon'!B168</f>
        <v>https://3arbzfbsh-cname-us.ngrok.io/Desktop/seabridge%20fintech/icon/DISH_pa_trend_signal</v>
      </c>
      <c r="AL168" s="42">
        <f>'1kpi_performance'!B168</f>
        <v>0.7167554872</v>
      </c>
      <c r="AM168" s="42">
        <f>'1kpi_performance'!C168</f>
        <v>0.8863690041</v>
      </c>
      <c r="AN168" s="42">
        <f>'1kpi_performance'!D168</f>
        <v>0.6751107965</v>
      </c>
      <c r="AO168" s="42">
        <f>'1kpi_performance'!E168</f>
        <v>0.09828745043</v>
      </c>
      <c r="AP168" s="42">
        <f>'1kpi_performance'!F168</f>
        <v>0.2884261707</v>
      </c>
      <c r="AQ168" s="42">
        <f>'1kpi_performance'!G168</f>
        <v>0.2818812351</v>
      </c>
      <c r="AR168" s="42">
        <f>'1kpi_performance'!H168</f>
        <v>0.2805919381</v>
      </c>
      <c r="AS168" s="42">
        <f>'1kpi_performance'!I168</f>
        <v>0.4287059841</v>
      </c>
      <c r="AT168" s="35">
        <f>'1kpi_performance'!J168</f>
        <v>2.39837975</v>
      </c>
      <c r="AU168" s="35">
        <f>'1kpi_performance'!K168</f>
        <v>3.055786966</v>
      </c>
      <c r="AV168" s="35">
        <f>'1kpi_performance'!L168</f>
        <v>2.316926141</v>
      </c>
      <c r="AW168" s="35">
        <f>'1kpi_performance'!M168</f>
        <v>0.1709503789</v>
      </c>
      <c r="AX168" s="42">
        <f>'1kpi_performance'!N168</f>
        <v>0.2285406362</v>
      </c>
      <c r="AY168" s="42">
        <f>'1kpi_performance'!O168</f>
        <v>0.1157392847</v>
      </c>
      <c r="AZ168" s="42">
        <f>'1kpi_performance'!P168</f>
        <v>0.3416423297</v>
      </c>
      <c r="BA168" s="42">
        <f>'1kpi_performance'!Q168</f>
        <v>0.7705259192</v>
      </c>
      <c r="BB168" s="35">
        <f>'1kpi_performance'!R168</f>
        <v>5.297548707</v>
      </c>
      <c r="BC168" s="35">
        <f>'1kpi_performance'!S168</f>
        <v>7.412019237</v>
      </c>
      <c r="BD168" s="35">
        <f>'1kpi_performance'!T168</f>
        <v>5.113234105</v>
      </c>
      <c r="BE168" s="35">
        <f>'1kpi_performance'!U168</f>
        <v>0.3361559187</v>
      </c>
      <c r="BF168" s="47"/>
      <c r="BG168" s="47"/>
      <c r="BH168" s="47"/>
      <c r="BI168" s="47"/>
      <c r="BJ168" s="47"/>
      <c r="BK168" s="47"/>
      <c r="BL168" s="47"/>
      <c r="BM168" s="47"/>
      <c r="BN168" s="47"/>
      <c r="BO168" s="47"/>
      <c r="BP168" s="47"/>
      <c r="BQ168" s="47"/>
      <c r="BR168" s="47"/>
      <c r="BS168" s="47"/>
      <c r="BT168" s="47"/>
    </row>
    <row r="169" ht="11.25" customHeight="1">
      <c r="A169" s="35" t="str">
        <f>'13all_company_profile'!A169</f>
        <v>DKNG</v>
      </c>
      <c r="B169" s="35" t="str">
        <f>'13all_company_profile'!B169</f>
        <v>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v>
      </c>
      <c r="C169" s="44" t="str">
        <f>'13all_company_profile'!C169</f>
        <v>https://financialmodelingprep.com/image-stock/DKNG.png</v>
      </c>
      <c r="D169" s="35" t="str">
        <f>'13all_company_profile'!D169</f>
        <v>DraftKings Inc.</v>
      </c>
      <c r="E169" s="36">
        <f>'13all_company_profile'!E169</f>
        <v>18005700608</v>
      </c>
      <c r="F169" s="37">
        <f>'13all_company_profile'!F169</f>
        <v>16051609</v>
      </c>
      <c r="G169" s="35">
        <f>'13all_company_profile'!G169</f>
        <v>0</v>
      </c>
      <c r="H169" s="38" t="str">
        <f>'13all_company_profile'!H169</f>
        <v>not avaiable</v>
      </c>
      <c r="I169" s="35" t="str">
        <f>'13all_company_profile'!I169</f>
        <v>NaN</v>
      </c>
      <c r="J169" s="35">
        <f>'13all_company_profile'!J169</f>
        <v>-4.207</v>
      </c>
      <c r="K169" s="42" t="str">
        <f t="shared" si="1"/>
        <v>NaN</v>
      </c>
      <c r="L169" s="35">
        <f>'7company_info'!B169</f>
        <v>45.82</v>
      </c>
      <c r="M169" s="35">
        <f>'7company_info'!C169</f>
        <v>46.12</v>
      </c>
      <c r="N169" s="35">
        <f>'7company_info'!D169</f>
        <v>43.84</v>
      </c>
      <c r="O169" s="35">
        <f>'7company_info'!E169</f>
        <v>1.16</v>
      </c>
      <c r="P169" s="35">
        <f>'7company_info'!F169</f>
        <v>0.026</v>
      </c>
      <c r="Q169" s="35">
        <f>'7company_info'!G169</f>
        <v>44.76</v>
      </c>
      <c r="R169" s="35">
        <f>'7company_info'!H169</f>
        <v>44.66</v>
      </c>
      <c r="S169" s="35">
        <f>'7company_info'!I169</f>
        <v>30.51</v>
      </c>
      <c r="T169" s="35">
        <f>'7company_info'!J169</f>
        <v>74.38</v>
      </c>
      <c r="U169" s="39">
        <v>45.8154666666666</v>
      </c>
      <c r="V169" s="39">
        <v>47.1109333333333</v>
      </c>
      <c r="W169" s="40">
        <v>49.3718666666666</v>
      </c>
      <c r="X169" s="40">
        <v>52.9282666666666</v>
      </c>
      <c r="Y169" s="40">
        <v>43.5545333333333</v>
      </c>
      <c r="Z169" s="40">
        <v>42.2590666666666</v>
      </c>
      <c r="AA169" s="40">
        <v>38.7026666666666</v>
      </c>
      <c r="AB169" s="40">
        <v>47.02</v>
      </c>
      <c r="AC169" s="40">
        <v>51.17</v>
      </c>
      <c r="AD169" s="40">
        <v>49.6308673714772</v>
      </c>
      <c r="AE169" s="40">
        <v>43.45425</v>
      </c>
      <c r="AF169" s="40">
        <v>2.01719499999999</v>
      </c>
      <c r="AG169" s="40">
        <v>74.38</v>
      </c>
      <c r="AH169" s="45">
        <v>44277.0</v>
      </c>
      <c r="AI169" s="44" t="str">
        <f>'6image_RS_benchmark_performance'!B169</f>
        <v>https://3arbzfbsh-cname-us.ngrok.io/Desktop/seabridge%20fintech/image_app/DKNG_resistance_support.jpg</v>
      </c>
      <c r="AJ169" s="44" t="str">
        <f>'6image_RS_benchmark_performance'!C169</f>
        <v>https://3arbzfbsh-cname-us.ngrok.io/Desktop/seabridge%20fintech/profit_graph_app/DKNG_Return.jpg</v>
      </c>
      <c r="AK169" s="46" t="str">
        <f>'5price_action_icon'!B169</f>
        <v>https://3arbzfbsh-cname-us.ngrok.io/Desktop/seabridge%20fintech/icon/DKNG_pa_trend_signal</v>
      </c>
      <c r="AL169" s="42">
        <f>'1kpi_performance'!B169</f>
        <v>6.762883226</v>
      </c>
      <c r="AM169" s="42">
        <f>'1kpi_performance'!C169</f>
        <v>6.134279433</v>
      </c>
      <c r="AN169" s="42">
        <f>'1kpi_performance'!D169</f>
        <v>1.991762976</v>
      </c>
      <c r="AO169" s="42">
        <f>'1kpi_performance'!E169</f>
        <v>2.461093762</v>
      </c>
      <c r="AP169" s="42">
        <f>'1kpi_performance'!F169</f>
        <v>0.5711716979</v>
      </c>
      <c r="AQ169" s="42">
        <f>'1kpi_performance'!G169</f>
        <v>0.6609488248</v>
      </c>
      <c r="AR169" s="42">
        <f>'1kpi_performance'!H169</f>
        <v>0.6163397744</v>
      </c>
      <c r="AS169" s="42">
        <f>'1kpi_performance'!I169</f>
        <v>0.8306391134</v>
      </c>
      <c r="AT169" s="35">
        <f>'1kpi_performance'!J169</f>
        <v>11.79659856</v>
      </c>
      <c r="AU169" s="35">
        <f>'1kpi_performance'!K169</f>
        <v>9.243195848</v>
      </c>
      <c r="AV169" s="35">
        <f>'1kpi_performance'!L169</f>
        <v>3.191036922</v>
      </c>
      <c r="AW169" s="35">
        <f>'1kpi_performance'!M169</f>
        <v>2.932794426</v>
      </c>
      <c r="AX169" s="42">
        <f>'1kpi_performance'!N169</f>
        <v>0.1428709995</v>
      </c>
      <c r="AY169" s="42">
        <f>'1kpi_performance'!O169</f>
        <v>0.1748530437</v>
      </c>
      <c r="AZ169" s="42">
        <f>'1kpi_performance'!P169</f>
        <v>0.4023542001</v>
      </c>
      <c r="BA169" s="42">
        <f>'1kpi_performance'!Q169</f>
        <v>0.4449670743</v>
      </c>
      <c r="BB169" s="35">
        <f>'1kpi_performance'!R169</f>
        <v>32.75406493</v>
      </c>
      <c r="BC169" s="35">
        <f>'1kpi_performance'!S169</f>
        <v>24.94984568</v>
      </c>
      <c r="BD169" s="35">
        <f>'1kpi_performance'!T169</f>
        <v>6.67750987</v>
      </c>
      <c r="BE169" s="35">
        <f>'1kpi_performance'!U169</f>
        <v>6.541414216</v>
      </c>
      <c r="BF169" s="47"/>
      <c r="BG169" s="47"/>
      <c r="BH169" s="47"/>
      <c r="BI169" s="47"/>
      <c r="BJ169" s="47"/>
      <c r="BK169" s="47"/>
      <c r="BL169" s="47"/>
      <c r="BM169" s="47"/>
      <c r="BN169" s="47"/>
      <c r="BO169" s="47"/>
      <c r="BP169" s="47"/>
      <c r="BQ169" s="47"/>
      <c r="BR169" s="47"/>
      <c r="BS169" s="47"/>
      <c r="BT169" s="47"/>
    </row>
    <row r="170" ht="11.25" customHeight="1">
      <c r="A170" s="35" t="str">
        <f>'13all_company_profile'!A170</f>
        <v>DLR</v>
      </c>
      <c r="B170" s="35" t="str">
        <f>'13all_company_profile'!B170</f>
        <v>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v>
      </c>
      <c r="C170" s="44" t="str">
        <f>'13all_company_profile'!C170</f>
        <v>https://financialmodelingprep.com/image-stock/DLR.png</v>
      </c>
      <c r="D170" s="35" t="str">
        <f>'13all_company_profile'!D170</f>
        <v>Digital Realty Trust, Inc.</v>
      </c>
      <c r="E170" s="36">
        <f>'13all_company_profile'!E170</f>
        <v>44206501888</v>
      </c>
      <c r="F170" s="37">
        <f>'13all_company_profile'!F170</f>
        <v>1283380</v>
      </c>
      <c r="G170" s="35">
        <f>'13all_company_profile'!G170</f>
        <v>4.56</v>
      </c>
      <c r="H170" s="38">
        <f>'13all_company_profile'!H170</f>
        <v>44406</v>
      </c>
      <c r="I170" s="35">
        <f>'13all_company_profile'!I170</f>
        <v>101.00512</v>
      </c>
      <c r="J170" s="35">
        <f>'13all_company_profile'!J170</f>
        <v>1.562</v>
      </c>
      <c r="K170" s="42">
        <f t="shared" si="1"/>
        <v>0.02904458599</v>
      </c>
      <c r="L170" s="35">
        <f>'7company_info'!B170</f>
        <v>157</v>
      </c>
      <c r="M170" s="35">
        <f>'7company_info'!C170</f>
        <v>157.8</v>
      </c>
      <c r="N170" s="35">
        <f>'7company_info'!D170</f>
        <v>156.25</v>
      </c>
      <c r="O170" s="35">
        <f>'7company_info'!E170</f>
        <v>0.68</v>
      </c>
      <c r="P170" s="35">
        <f>'7company_info'!F170</f>
        <v>0.0044</v>
      </c>
      <c r="Q170" s="35">
        <f>'7company_info'!G170</f>
        <v>156.62</v>
      </c>
      <c r="R170" s="35">
        <f>'7company_info'!H170</f>
        <v>156.32</v>
      </c>
      <c r="S170" s="35">
        <f>'7company_info'!I170</f>
        <v>124.65</v>
      </c>
      <c r="T170" s="35">
        <f>'7company_info'!J170</f>
        <v>165.49</v>
      </c>
      <c r="U170" s="39">
        <v>156.743333333333</v>
      </c>
      <c r="V170" s="39">
        <v>158.366666666666</v>
      </c>
      <c r="W170" s="40">
        <v>159.373333333333</v>
      </c>
      <c r="X170" s="40">
        <v>162.003333333333</v>
      </c>
      <c r="Y170" s="40">
        <v>155.736666666666</v>
      </c>
      <c r="Z170" s="40">
        <v>154.113333333333</v>
      </c>
      <c r="AA170" s="40">
        <v>151.483333333333</v>
      </c>
      <c r="AB170" s="40">
        <v>153.105</v>
      </c>
      <c r="AC170" s="40">
        <v>164.04</v>
      </c>
      <c r="AD170" s="40">
        <v>154.454553823172</v>
      </c>
      <c r="AE170" s="40">
        <v>149.92618</v>
      </c>
      <c r="AF170" s="40">
        <v>2.75491</v>
      </c>
      <c r="AG170" s="40">
        <v>164.04</v>
      </c>
      <c r="AH170" s="45">
        <v>44357.0</v>
      </c>
      <c r="AI170" s="44" t="str">
        <f>'6image_RS_benchmark_performance'!B170</f>
        <v>https://3arbzfbsh-cname-us.ngrok.io/Desktop/seabridge%20fintech/image_app/DLR_resistance_support.jpg</v>
      </c>
      <c r="AJ170" s="44" t="str">
        <f>'6image_RS_benchmark_performance'!C170</f>
        <v>https://3arbzfbsh-cname-us.ngrok.io/Desktop/seabridge%20fintech/profit_graph_app/DLR_Return.jpg</v>
      </c>
      <c r="AK170" s="46" t="str">
        <f>'5price_action_icon'!B170</f>
        <v>https://3arbzfbsh-cname-us.ngrok.io/Desktop/seabridge%20fintech/icon/DLR_pa_trend_signal</v>
      </c>
      <c r="AL170" s="42">
        <f>'1kpi_performance'!B170</f>
        <v>0.4589984525</v>
      </c>
      <c r="AM170" s="42">
        <f>'1kpi_performance'!C170</f>
        <v>0.6120813429</v>
      </c>
      <c r="AN170" s="42">
        <f>'1kpi_performance'!D170</f>
        <v>0.5937385262</v>
      </c>
      <c r="AO170" s="42">
        <f>'1kpi_performance'!E170</f>
        <v>0.1522330199</v>
      </c>
      <c r="AP170" s="42">
        <f>'1kpi_performance'!F170</f>
        <v>0.1975116045</v>
      </c>
      <c r="AQ170" s="42">
        <f>'1kpi_performance'!G170</f>
        <v>0.2215478347</v>
      </c>
      <c r="AR170" s="42">
        <f>'1kpi_performance'!H170</f>
        <v>0.1884269036</v>
      </c>
      <c r="AS170" s="42">
        <f>'1kpi_performance'!I170</f>
        <v>0.3106063955</v>
      </c>
      <c r="AT170" s="35">
        <f>'1kpi_performance'!J170</f>
        <v>2.19733141</v>
      </c>
      <c r="AU170" s="35">
        <f>'1kpi_performance'!K170</f>
        <v>2.649907834</v>
      </c>
      <c r="AV170" s="35">
        <f>'1kpi_performance'!L170</f>
        <v>3.018350965</v>
      </c>
      <c r="AW170" s="35">
        <f>'1kpi_performance'!M170</f>
        <v>0.4096278175</v>
      </c>
      <c r="AX170" s="42">
        <f>'1kpi_performance'!N170</f>
        <v>0.1330259246</v>
      </c>
      <c r="AY170" s="42">
        <f>'1kpi_performance'!O170</f>
        <v>0.1544579322</v>
      </c>
      <c r="AZ170" s="42">
        <f>'1kpi_performance'!P170</f>
        <v>0.2513468663</v>
      </c>
      <c r="BA170" s="42">
        <f>'1kpi_performance'!Q170</f>
        <v>0.4455235961</v>
      </c>
      <c r="BB170" s="35">
        <f>'1kpi_performance'!R170</f>
        <v>4.288211004</v>
      </c>
      <c r="BC170" s="35">
        <f>'1kpi_performance'!S170</f>
        <v>5.674745691</v>
      </c>
      <c r="BD170" s="35">
        <f>'1kpi_performance'!T170</f>
        <v>6.327084092</v>
      </c>
      <c r="BE170" s="35">
        <f>'1kpi_performance'!U170</f>
        <v>0.7692672268</v>
      </c>
      <c r="BF170" s="47"/>
      <c r="BG170" s="47"/>
      <c r="BH170" s="47"/>
      <c r="BI170" s="47"/>
      <c r="BJ170" s="47"/>
      <c r="BK170" s="47"/>
      <c r="BL170" s="47"/>
      <c r="BM170" s="47"/>
      <c r="BN170" s="47"/>
      <c r="BO170" s="47"/>
      <c r="BP170" s="47"/>
      <c r="BQ170" s="47"/>
      <c r="BR170" s="47"/>
      <c r="BS170" s="47"/>
      <c r="BT170" s="47"/>
    </row>
    <row r="171" ht="11.25" customHeight="1">
      <c r="A171" s="35" t="str">
        <f>'13all_company_profile'!A171</f>
        <v>DLTR</v>
      </c>
      <c r="B171" s="35" t="str">
        <f>'13all_company_profile'!B171</f>
        <v>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v>
      </c>
      <c r="C171" s="44" t="str">
        <f>'13all_company_profile'!C171</f>
        <v>https://financialmodelingprep.com/image-stock/DLTR.png</v>
      </c>
      <c r="D171" s="35" t="str">
        <f>'13all_company_profile'!D171</f>
        <v>Dollar Tree, Inc.</v>
      </c>
      <c r="E171" s="36">
        <f>'13all_company_profile'!E171</f>
        <v>22889220096</v>
      </c>
      <c r="F171" s="37">
        <f>'13all_company_profile'!F171</f>
        <v>2268063</v>
      </c>
      <c r="G171" s="35">
        <f>'13all_company_profile'!G171</f>
        <v>0</v>
      </c>
      <c r="H171" s="38" t="str">
        <f>'13all_company_profile'!H171</f>
        <v>not avaiable</v>
      </c>
      <c r="I171" s="35">
        <f>'13all_company_profile'!I171</f>
        <v>15.787439</v>
      </c>
      <c r="J171" s="35">
        <f>'13all_company_profile'!J171</f>
        <v>6.21</v>
      </c>
      <c r="K171" s="42" t="str">
        <f t="shared" si="1"/>
        <v>NaN</v>
      </c>
      <c r="L171" s="35">
        <f>'7company_info'!B171</f>
        <v>99.01</v>
      </c>
      <c r="M171" s="35">
        <f>'7company_info'!C171</f>
        <v>99.68</v>
      </c>
      <c r="N171" s="35">
        <f>'7company_info'!D171</f>
        <v>97.81</v>
      </c>
      <c r="O171" s="35">
        <f>'7company_info'!E171</f>
        <v>1.01</v>
      </c>
      <c r="P171" s="35">
        <f>'7company_info'!F171</f>
        <v>0.0103</v>
      </c>
      <c r="Q171" s="35">
        <f>'7company_info'!G171</f>
        <v>97.81</v>
      </c>
      <c r="R171" s="35">
        <f>'7company_info'!H171</f>
        <v>98</v>
      </c>
      <c r="S171" s="35">
        <f>'7company_info'!I171</f>
        <v>84.41</v>
      </c>
      <c r="T171" s="35">
        <f>'7company_info'!J171</f>
        <v>120.37</v>
      </c>
      <c r="U171" s="39">
        <v>98.7036999999999</v>
      </c>
      <c r="V171" s="39">
        <v>99.3073999999999</v>
      </c>
      <c r="W171" s="40">
        <v>99.7248</v>
      </c>
      <c r="X171" s="40">
        <v>100.7459</v>
      </c>
      <c r="Y171" s="40">
        <v>98.2862999999999</v>
      </c>
      <c r="Z171" s="40">
        <v>97.6825999999999</v>
      </c>
      <c r="AA171" s="40">
        <v>96.6614999999999</v>
      </c>
      <c r="AB171" s="40">
        <v>97.66</v>
      </c>
      <c r="AC171" s="40">
        <v>102.62</v>
      </c>
      <c r="AD171" s="40">
        <v>99.8667766913927</v>
      </c>
      <c r="AE171" s="40">
        <v>94.93167</v>
      </c>
      <c r="AF171" s="40">
        <v>1.47322</v>
      </c>
      <c r="AG171" s="40">
        <v>120.37</v>
      </c>
      <c r="AH171" s="45">
        <v>44292.0</v>
      </c>
      <c r="AI171" s="44" t="str">
        <f>'6image_RS_benchmark_performance'!B171</f>
        <v>https://3arbzfbsh-cname-us.ngrok.io/Desktop/seabridge%20fintech/image_app/DLTR_resistance_support.jpg</v>
      </c>
      <c r="AJ171" s="44" t="str">
        <f>'6image_RS_benchmark_performance'!C171</f>
        <v>https://3arbzfbsh-cname-us.ngrok.io/Desktop/seabridge%20fintech/profit_graph_app/DLTR_Return.jpg</v>
      </c>
      <c r="AK171" s="46" t="str">
        <f>'5price_action_icon'!B171</f>
        <v>https://3arbzfbsh-cname-us.ngrok.io/Desktop/seabridge%20fintech/icon/DLTR_pa_trend_signal</v>
      </c>
      <c r="AL171" s="42">
        <f>'1kpi_performance'!B171</f>
        <v>0.6103236112</v>
      </c>
      <c r="AM171" s="42">
        <f>'1kpi_performance'!C171</f>
        <v>0.8166008995</v>
      </c>
      <c r="AN171" s="42">
        <f>'1kpi_performance'!D171</f>
        <v>0.4960169375</v>
      </c>
      <c r="AO171" s="42">
        <f>'1kpi_performance'!E171</f>
        <v>0.2505868216</v>
      </c>
      <c r="AP171" s="42">
        <f>'1kpi_performance'!F171</f>
        <v>0.2267812261</v>
      </c>
      <c r="AQ171" s="42">
        <f>'1kpi_performance'!G171</f>
        <v>0.2301150765</v>
      </c>
      <c r="AR171" s="42">
        <f>'1kpi_performance'!H171</f>
        <v>0.2471220653</v>
      </c>
      <c r="AS171" s="42">
        <f>'1kpi_performance'!I171</f>
        <v>0.3417556432</v>
      </c>
      <c r="AT171" s="35">
        <f>'1kpi_performance'!J171</f>
        <v>2.581005586</v>
      </c>
      <c r="AU171" s="35">
        <f>'1kpi_performance'!K171</f>
        <v>3.440021886</v>
      </c>
      <c r="AV171" s="35">
        <f>'1kpi_performance'!L171</f>
        <v>1.90600923</v>
      </c>
      <c r="AW171" s="35">
        <f>'1kpi_performance'!M171</f>
        <v>0.6600822138</v>
      </c>
      <c r="AX171" s="42">
        <f>'1kpi_performance'!N171</f>
        <v>0.1444550146</v>
      </c>
      <c r="AY171" s="42">
        <f>'1kpi_performance'!O171</f>
        <v>0.1211182866</v>
      </c>
      <c r="AZ171" s="42">
        <f>'1kpi_performance'!P171</f>
        <v>0.3285447447</v>
      </c>
      <c r="BA171" s="42">
        <f>'1kpi_performance'!Q171</f>
        <v>0.446386356</v>
      </c>
      <c r="BB171" s="35">
        <f>'1kpi_performance'!R171</f>
        <v>6.080861853</v>
      </c>
      <c r="BC171" s="35">
        <f>'1kpi_performance'!S171</f>
        <v>8.927019809</v>
      </c>
      <c r="BD171" s="35">
        <f>'1kpi_performance'!T171</f>
        <v>3.673351729</v>
      </c>
      <c r="BE171" s="35">
        <f>'1kpi_performance'!U171</f>
        <v>1.253341498</v>
      </c>
      <c r="BF171" s="47"/>
      <c r="BG171" s="47"/>
      <c r="BH171" s="47"/>
      <c r="BI171" s="47"/>
      <c r="BJ171" s="47"/>
      <c r="BK171" s="47"/>
      <c r="BL171" s="47"/>
      <c r="BM171" s="47"/>
      <c r="BN171" s="47"/>
      <c r="BO171" s="47"/>
      <c r="BP171" s="47"/>
      <c r="BQ171" s="47"/>
      <c r="BR171" s="47"/>
      <c r="BS171" s="47"/>
      <c r="BT171" s="47"/>
    </row>
    <row r="172" ht="11.25" customHeight="1">
      <c r="A172" s="35" t="str">
        <f>'13all_company_profile'!A172</f>
        <v>DOCU</v>
      </c>
      <c r="B172" s="35" t="str">
        <f>'13all_company_profile'!B172</f>
        <v>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v>
      </c>
      <c r="C172" s="44" t="str">
        <f>'13all_company_profile'!C172</f>
        <v>https://financialmodelingprep.com/image-stock/DOCU.png</v>
      </c>
      <c r="D172" s="35" t="str">
        <f>'13all_company_profile'!D172</f>
        <v>DocuSign, Inc.</v>
      </c>
      <c r="E172" s="36">
        <f>'13all_company_profile'!E172</f>
        <v>53971247104</v>
      </c>
      <c r="F172" s="37">
        <f>'13all_company_profile'!F172</f>
        <v>2873749</v>
      </c>
      <c r="G172" s="35">
        <f>'13all_company_profile'!G172</f>
        <v>0</v>
      </c>
      <c r="H172" s="38" t="str">
        <f>'13all_company_profile'!H172</f>
        <v>not avaiable</v>
      </c>
      <c r="I172" s="35" t="str">
        <f>'13all_company_profile'!I172</f>
        <v>NaN</v>
      </c>
      <c r="J172" s="35">
        <f>'13all_company_profile'!J172</f>
        <v>-1.081</v>
      </c>
      <c r="K172" s="42" t="str">
        <f t="shared" si="1"/>
        <v>NaN</v>
      </c>
      <c r="L172" s="35">
        <f>'7company_info'!B172</f>
        <v>301.27</v>
      </c>
      <c r="M172" s="35">
        <f>'7company_info'!C172</f>
        <v>306</v>
      </c>
      <c r="N172" s="35">
        <f>'7company_info'!D172</f>
        <v>290.5</v>
      </c>
      <c r="O172" s="35">
        <f>'7company_info'!E172</f>
        <v>11.79</v>
      </c>
      <c r="P172" s="35">
        <f>'7company_info'!F172</f>
        <v>0.0407</v>
      </c>
      <c r="Q172" s="35">
        <f>'7company_info'!G172</f>
        <v>291.6</v>
      </c>
      <c r="R172" s="35">
        <f>'7company_info'!H172</f>
        <v>289.48</v>
      </c>
      <c r="S172" s="35">
        <f>'7company_info'!I172</f>
        <v>179.49</v>
      </c>
      <c r="T172" s="35">
        <f>'7company_info'!J172</f>
        <v>306</v>
      </c>
      <c r="U172" s="39">
        <v>278.476633333333</v>
      </c>
      <c r="V172" s="39">
        <v>282.933266666666</v>
      </c>
      <c r="W172" s="40">
        <v>290.436533333333</v>
      </c>
      <c r="X172" s="40">
        <v>302.396433333333</v>
      </c>
      <c r="Y172" s="40">
        <v>270.973366666666</v>
      </c>
      <c r="Z172" s="40">
        <v>266.516733333333</v>
      </c>
      <c r="AA172" s="40">
        <v>254.556833333333</v>
      </c>
      <c r="AB172" s="40">
        <v>281.83</v>
      </c>
      <c r="AC172" s="40">
        <v>298.7499</v>
      </c>
      <c r="AD172" s="40">
        <v>273.017247269442</v>
      </c>
      <c r="AE172" s="40">
        <v>266.30587</v>
      </c>
      <c r="AF172" s="40">
        <v>8.815565</v>
      </c>
      <c r="AG172" s="40">
        <v>275.46</v>
      </c>
      <c r="AH172" s="45">
        <v>44243.0</v>
      </c>
      <c r="AI172" s="44" t="str">
        <f>'6image_RS_benchmark_performance'!B172</f>
        <v>https://3arbzfbsh-cname-us.ngrok.io/Desktop/seabridge%20fintech/image_app/DOCU_resistance_support.jpg</v>
      </c>
      <c r="AJ172" s="44" t="str">
        <f>'6image_RS_benchmark_performance'!C172</f>
        <v>https://3arbzfbsh-cname-us.ngrok.io/Desktop/seabridge%20fintech/profit_graph_app/DOCU_Return.jpg</v>
      </c>
      <c r="AK172" s="46" t="str">
        <f>'5price_action_icon'!B172</f>
        <v>https://3arbzfbsh-cname-us.ngrok.io/Desktop/seabridge%20fintech/icon/DOCU_pa_trend_signal</v>
      </c>
      <c r="AL172" s="42">
        <f>'1kpi_performance'!B172</f>
        <v>1.754784533</v>
      </c>
      <c r="AM172" s="42">
        <f>'1kpi_performance'!C172</f>
        <v>3.155134587</v>
      </c>
      <c r="AN172" s="42">
        <f>'1kpi_performance'!D172</f>
        <v>2.32228066</v>
      </c>
      <c r="AO172" s="42">
        <f>'1kpi_performance'!E172</f>
        <v>1.369491489</v>
      </c>
      <c r="AP172" s="42">
        <f>'1kpi_performance'!F172</f>
        <v>0.4702073421</v>
      </c>
      <c r="AQ172" s="42">
        <f>'1kpi_performance'!G172</f>
        <v>0.4519181619</v>
      </c>
      <c r="AR172" s="42">
        <f>'1kpi_performance'!H172</f>
        <v>0.4495807777</v>
      </c>
      <c r="AS172" s="42">
        <f>'1kpi_performance'!I172</f>
        <v>0.6397050381</v>
      </c>
      <c r="AT172" s="35">
        <f>'1kpi_performance'!J172</f>
        <v>3.678769722</v>
      </c>
      <c r="AU172" s="35">
        <f>'1kpi_performance'!K172</f>
        <v>6.926330587</v>
      </c>
      <c r="AV172" s="35">
        <f>'1kpi_performance'!L172</f>
        <v>5.109828475</v>
      </c>
      <c r="AW172" s="35">
        <f>'1kpi_performance'!M172</f>
        <v>2.101736596</v>
      </c>
      <c r="AX172" s="42">
        <f>'1kpi_performance'!N172</f>
        <v>0.2606770008</v>
      </c>
      <c r="AY172" s="42">
        <f>'1kpi_performance'!O172</f>
        <v>0.1549706863</v>
      </c>
      <c r="AZ172" s="42">
        <f>'1kpi_performance'!P172</f>
        <v>0.2330541597</v>
      </c>
      <c r="BA172" s="42">
        <f>'1kpi_performance'!Q172</f>
        <v>0.4487991749</v>
      </c>
      <c r="BB172" s="35">
        <f>'1kpi_performance'!R172</f>
        <v>8.330154039</v>
      </c>
      <c r="BC172" s="35">
        <f>'1kpi_performance'!S172</f>
        <v>18.37779952</v>
      </c>
      <c r="BD172" s="35">
        <f>'1kpi_performance'!T172</f>
        <v>12.07103493</v>
      </c>
      <c r="BE172" s="35">
        <f>'1kpi_performance'!U172</f>
        <v>4.510143705</v>
      </c>
      <c r="BF172" s="47"/>
      <c r="BG172" s="47"/>
      <c r="BH172" s="47"/>
      <c r="BI172" s="47"/>
      <c r="BJ172" s="47"/>
      <c r="BK172" s="47"/>
      <c r="BL172" s="47"/>
      <c r="BM172" s="47"/>
      <c r="BN172" s="47"/>
      <c r="BO172" s="47"/>
      <c r="BP172" s="47"/>
      <c r="BQ172" s="47"/>
      <c r="BR172" s="47"/>
      <c r="BS172" s="47"/>
      <c r="BT172" s="47"/>
    </row>
    <row r="173" ht="11.25" customHeight="1">
      <c r="A173" s="35" t="str">
        <f>'13all_company_profile'!A173</f>
        <v>DOV</v>
      </c>
      <c r="B173" s="35" t="str">
        <f>'13all_company_profile'!B173</f>
        <v>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v>
      </c>
      <c r="C173" s="44" t="str">
        <f>'13all_company_profile'!C173</f>
        <v>https://financialmodelingprep.com/image-stock/DOV.png</v>
      </c>
      <c r="D173" s="35" t="str">
        <f>'13all_company_profile'!D173</f>
        <v>Dover Corporation</v>
      </c>
      <c r="E173" s="36">
        <f>'13all_company_profile'!E173</f>
        <v>22379210752</v>
      </c>
      <c r="F173" s="37">
        <f>'13all_company_profile'!F173</f>
        <v>660603</v>
      </c>
      <c r="G173" s="35">
        <f>'13all_company_profile'!G173</f>
        <v>1.98</v>
      </c>
      <c r="H173" s="38">
        <f>'13all_company_profile'!H173</f>
        <v>44397</v>
      </c>
      <c r="I173" s="35">
        <f>'13all_company_profile'!I173</f>
        <v>30.439302</v>
      </c>
      <c r="J173" s="35">
        <f>'13all_company_profile'!J173</f>
        <v>5.099</v>
      </c>
      <c r="K173" s="42">
        <f t="shared" si="1"/>
        <v>0.01221166893</v>
      </c>
      <c r="L173" s="35">
        <f>'7company_info'!B173</f>
        <v>162.14</v>
      </c>
      <c r="M173" s="35">
        <f>'7company_info'!C173</f>
        <v>163.74</v>
      </c>
      <c r="N173" s="35">
        <f>'7company_info'!D173</f>
        <v>152.53</v>
      </c>
      <c r="O173" s="35">
        <f>'7company_info'!E173</f>
        <v>10.17</v>
      </c>
      <c r="P173" s="35">
        <f>'7company_info'!F173</f>
        <v>0.0669</v>
      </c>
      <c r="Q173" s="35">
        <f>'7company_info'!G173</f>
        <v>152.53</v>
      </c>
      <c r="R173" s="35">
        <f>'7company_info'!H173</f>
        <v>151.97</v>
      </c>
      <c r="S173" s="35">
        <f>'7company_info'!I173</f>
        <v>101.54</v>
      </c>
      <c r="T173" s="35">
        <f>'7company_info'!J173</f>
        <v>163.74</v>
      </c>
      <c r="U173" s="39">
        <v>155.16</v>
      </c>
      <c r="V173" s="39">
        <v>155.97</v>
      </c>
      <c r="W173" s="40">
        <v>156.64</v>
      </c>
      <c r="X173" s="40">
        <v>158.12</v>
      </c>
      <c r="Y173" s="40">
        <v>154.489999999999</v>
      </c>
      <c r="Z173" s="40">
        <v>153.679999999999</v>
      </c>
      <c r="AA173" s="40">
        <v>152.199999999999</v>
      </c>
      <c r="AB173" s="40">
        <v>145.91</v>
      </c>
      <c r="AC173" s="40">
        <v>155.83</v>
      </c>
      <c r="AD173" s="40">
        <v>151.391987629627</v>
      </c>
      <c r="AE173" s="40">
        <v>149.50443</v>
      </c>
      <c r="AF173" s="40">
        <v>2.425285</v>
      </c>
      <c r="AG173" s="40">
        <v>155.77</v>
      </c>
      <c r="AH173" s="45">
        <v>44326.0</v>
      </c>
      <c r="AI173" s="44" t="str">
        <f>'6image_RS_benchmark_performance'!B173</f>
        <v>https://3arbzfbsh-cname-us.ngrok.io/Desktop/seabridge%20fintech/image_app/DOV_resistance_support.jpg</v>
      </c>
      <c r="AJ173" s="44" t="str">
        <f>'6image_RS_benchmark_performance'!C173</f>
        <v>https://3arbzfbsh-cname-us.ngrok.io/Desktop/seabridge%20fintech/profit_graph_app/DOV_Return.jpg</v>
      </c>
      <c r="AK173" s="46" t="str">
        <f>'5price_action_icon'!B173</f>
        <v>https://3arbzfbsh-cname-us.ngrok.io/Desktop/seabridge%20fintech/icon/DOV_pa_trend_signal</v>
      </c>
      <c r="AL173" s="42">
        <f>'1kpi_performance'!B173</f>
        <v>0.5817537816</v>
      </c>
      <c r="AM173" s="42">
        <f>'1kpi_performance'!C173</f>
        <v>0.8243722954</v>
      </c>
      <c r="AN173" s="42">
        <f>'1kpi_performance'!D173</f>
        <v>0.6383914445</v>
      </c>
      <c r="AO173" s="42">
        <f>'1kpi_performance'!E173</f>
        <v>0.2272309239</v>
      </c>
      <c r="AP173" s="42">
        <f>'1kpi_performance'!F173</f>
        <v>0.2139824715</v>
      </c>
      <c r="AQ173" s="42">
        <f>'1kpi_performance'!G173</f>
        <v>0.2298589951</v>
      </c>
      <c r="AR173" s="42">
        <f>'1kpi_performance'!H173</f>
        <v>0.2038070924</v>
      </c>
      <c r="AS173" s="42">
        <f>'1kpi_performance'!I173</f>
        <v>0.3267613092</v>
      </c>
      <c r="AT173" s="35">
        <f>'1kpi_performance'!J173</f>
        <v>2.601866302</v>
      </c>
      <c r="AU173" s="35">
        <f>'1kpi_performance'!K173</f>
        <v>3.477663753</v>
      </c>
      <c r="AV173" s="35">
        <f>'1kpi_performance'!L173</f>
        <v>3.009666824</v>
      </c>
      <c r="AW173" s="35">
        <f>'1kpi_performance'!M173</f>
        <v>0.6188949493</v>
      </c>
      <c r="AX173" s="42">
        <f>'1kpi_performance'!N173</f>
        <v>0.1642285987</v>
      </c>
      <c r="AY173" s="42">
        <f>'1kpi_performance'!O173</f>
        <v>0.1426533552</v>
      </c>
      <c r="AZ173" s="42">
        <f>'1kpi_performance'!P173</f>
        <v>0.2278319406</v>
      </c>
      <c r="BA173" s="42">
        <f>'1kpi_performance'!Q173</f>
        <v>0.4548865911</v>
      </c>
      <c r="BB173" s="35">
        <f>'1kpi_performance'!R173</f>
        <v>5.58377383</v>
      </c>
      <c r="BC173" s="35">
        <f>'1kpi_performance'!S173</f>
        <v>8.216000342</v>
      </c>
      <c r="BD173" s="35">
        <f>'1kpi_performance'!T173</f>
        <v>6.649114727</v>
      </c>
      <c r="BE173" s="35">
        <f>'1kpi_performance'!U173</f>
        <v>1.204262271</v>
      </c>
      <c r="BF173" s="47"/>
      <c r="BG173" s="47"/>
      <c r="BH173" s="47"/>
      <c r="BI173" s="47"/>
      <c r="BJ173" s="47"/>
      <c r="BK173" s="47"/>
      <c r="BL173" s="47"/>
      <c r="BM173" s="47"/>
      <c r="BN173" s="47"/>
      <c r="BO173" s="47"/>
      <c r="BP173" s="47"/>
      <c r="BQ173" s="47"/>
      <c r="BR173" s="47"/>
      <c r="BS173" s="47"/>
      <c r="BT173" s="47"/>
    </row>
    <row r="174" ht="11.25" customHeight="1">
      <c r="A174" s="35" t="str">
        <f>'13all_company_profile'!A174</f>
        <v>DOW</v>
      </c>
      <c r="B174" s="35" t="str">
        <f>'13all_company_profile'!B174</f>
        <v>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v>
      </c>
      <c r="C174" s="44" t="str">
        <f>'13all_company_profile'!C174</f>
        <v>https://financialmodelingprep.com/image-stock/DOW.png</v>
      </c>
      <c r="D174" s="35" t="str">
        <f>'13all_company_profile'!D174</f>
        <v>Dow Inc.</v>
      </c>
      <c r="E174" s="36">
        <f>'13all_company_profile'!E174</f>
        <v>46290907136</v>
      </c>
      <c r="F174" s="37">
        <f>'13all_company_profile'!F174</f>
        <v>4396619</v>
      </c>
      <c r="G174" s="35">
        <f>'13all_company_profile'!G174</f>
        <v>2.8</v>
      </c>
      <c r="H174" s="38">
        <f>'13all_company_profile'!H174</f>
        <v>44399</v>
      </c>
      <c r="I174" s="35">
        <f>'13all_company_profile'!I174</f>
        <v>22.644503</v>
      </c>
      <c r="J174" s="35">
        <f>'13all_company_profile'!J174</f>
        <v>2.647</v>
      </c>
      <c r="K174" s="42">
        <f t="shared" si="1"/>
        <v>0.04776526783</v>
      </c>
      <c r="L174" s="35">
        <f>'7company_info'!B174</f>
        <v>58.62</v>
      </c>
      <c r="M174" s="35">
        <f>'7company_info'!C174</f>
        <v>59.19</v>
      </c>
      <c r="N174" s="35">
        <f>'7company_info'!D174</f>
        <v>57.63</v>
      </c>
      <c r="O174" s="35">
        <f>'7company_info'!E174</f>
        <v>0.83</v>
      </c>
      <c r="P174" s="35">
        <f>'7company_info'!F174</f>
        <v>0.0144</v>
      </c>
      <c r="Q174" s="35">
        <f>'7company_info'!G174</f>
        <v>58.14</v>
      </c>
      <c r="R174" s="35">
        <f>'7company_info'!H174</f>
        <v>57.79</v>
      </c>
      <c r="S174" s="35">
        <f>'7company_info'!I174</f>
        <v>39.9</v>
      </c>
      <c r="T174" s="35">
        <f>'7company_info'!J174</f>
        <v>71.38</v>
      </c>
      <c r="U174" s="39">
        <v>62.7116666666666</v>
      </c>
      <c r="V174" s="39">
        <v>63.2533333333333</v>
      </c>
      <c r="W174" s="40">
        <v>64.1866666666666</v>
      </c>
      <c r="X174" s="40">
        <v>65.6616666666666</v>
      </c>
      <c r="Y174" s="40">
        <v>61.7783333333333</v>
      </c>
      <c r="Z174" s="40">
        <v>61.2366666666666</v>
      </c>
      <c r="AA174" s="40">
        <v>59.7616666666666</v>
      </c>
      <c r="AB174" s="40">
        <v>68.21</v>
      </c>
      <c r="AC174" s="40">
        <v>63.8698</v>
      </c>
      <c r="AD174" s="40">
        <v>63.6468903751416</v>
      </c>
      <c r="AE174" s="40">
        <v>59.70604</v>
      </c>
      <c r="AF174" s="40">
        <v>1.52148</v>
      </c>
      <c r="AG174" s="40">
        <v>71.38</v>
      </c>
      <c r="AH174" s="45">
        <v>44334.0</v>
      </c>
      <c r="AI174" s="44" t="str">
        <f>'6image_RS_benchmark_performance'!B174</f>
        <v>https://3arbzfbsh-cname-us.ngrok.io/Desktop/seabridge%20fintech/image_app/DOW_resistance_support.jpg</v>
      </c>
      <c r="AJ174" s="44" t="str">
        <f>'6image_RS_benchmark_performance'!C174</f>
        <v>https://3arbzfbsh-cname-us.ngrok.io/Desktop/seabridge%20fintech/profit_graph_app/DOW_Return.jpg</v>
      </c>
      <c r="AK174" s="46" t="str">
        <f>'5price_action_icon'!B174</f>
        <v>https://3arbzfbsh-cname-us.ngrok.io/Desktop/seabridge%20fintech/icon/DOW_pa_trend_signal</v>
      </c>
      <c r="AL174" s="42">
        <f>'1kpi_performance'!B174</f>
        <v>1.013568892</v>
      </c>
      <c r="AM174" s="42">
        <f>'1kpi_performance'!C174</f>
        <v>1.317594996</v>
      </c>
      <c r="AN174" s="42">
        <f>'1kpi_performance'!D174</f>
        <v>1.130535023</v>
      </c>
      <c r="AO174" s="42">
        <f>'1kpi_performance'!E174</f>
        <v>0.1482591791</v>
      </c>
      <c r="AP174" s="42">
        <f>'1kpi_performance'!F174</f>
        <v>0.3667970587</v>
      </c>
      <c r="AQ174" s="42">
        <f>'1kpi_performance'!G174</f>
        <v>0.3383000322</v>
      </c>
      <c r="AR174" s="42">
        <f>'1kpi_performance'!H174</f>
        <v>0.3073208365</v>
      </c>
      <c r="AS174" s="42">
        <f>'1kpi_performance'!I174</f>
        <v>0.5689914401</v>
      </c>
      <c r="AT174" s="35">
        <f>'1kpi_performance'!J174</f>
        <v>2.695138548</v>
      </c>
      <c r="AU174" s="35">
        <f>'1kpi_performance'!K174</f>
        <v>3.820853895</v>
      </c>
      <c r="AV174" s="35">
        <f>'1kpi_performance'!L174</f>
        <v>3.597331817</v>
      </c>
      <c r="AW174" s="35">
        <f>'1kpi_performance'!M174</f>
        <v>0.2166274753</v>
      </c>
      <c r="AX174" s="42">
        <f>'1kpi_performance'!N174</f>
        <v>0.1553610503</v>
      </c>
      <c r="AY174" s="42">
        <f>'1kpi_performance'!O174</f>
        <v>0.1553610503</v>
      </c>
      <c r="AZ174" s="42">
        <f>'1kpi_performance'!P174</f>
        <v>0.1399972474</v>
      </c>
      <c r="BA174" s="42">
        <f>'1kpi_performance'!Q174</f>
        <v>0.6315525038</v>
      </c>
      <c r="BB174" s="35">
        <f>'1kpi_performance'!R174</f>
        <v>5.669249318</v>
      </c>
      <c r="BC174" s="35">
        <f>'1kpi_performance'!S174</f>
        <v>8.885934102</v>
      </c>
      <c r="BD174" s="35">
        <f>'1kpi_performance'!T174</f>
        <v>8.263456245</v>
      </c>
      <c r="BE174" s="35">
        <f>'1kpi_performance'!U174</f>
        <v>0.4063023357</v>
      </c>
      <c r="BF174" s="47"/>
      <c r="BG174" s="47"/>
      <c r="BH174" s="47"/>
      <c r="BI174" s="47"/>
      <c r="BJ174" s="47"/>
      <c r="BK174" s="47"/>
      <c r="BL174" s="47"/>
      <c r="BM174" s="47"/>
      <c r="BN174" s="47"/>
      <c r="BO174" s="47"/>
      <c r="BP174" s="47"/>
      <c r="BQ174" s="47"/>
      <c r="BR174" s="47"/>
      <c r="BS174" s="47"/>
      <c r="BT174" s="47"/>
    </row>
    <row r="175" ht="11.25" customHeight="1">
      <c r="A175" s="35" t="str">
        <f>'13all_company_profile'!A175</f>
        <v>DPZ</v>
      </c>
      <c r="B175" s="35" t="str">
        <f>'13all_company_profile'!B175</f>
        <v>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v>
      </c>
      <c r="C175" s="44" t="str">
        <f>'13all_company_profile'!C175</f>
        <v>https://financialmodelingprep.com/image-stock/DPZ.png</v>
      </c>
      <c r="D175" s="35" t="str">
        <f>'13all_company_profile'!D175</f>
        <v>Domino's Pizza, Inc.</v>
      </c>
      <c r="E175" s="36">
        <f>'13all_company_profile'!E175</f>
        <v>18848858112</v>
      </c>
      <c r="F175" s="37">
        <f>'13all_company_profile'!F175</f>
        <v>584579</v>
      </c>
      <c r="G175" s="35">
        <f>'13all_company_profile'!G175</f>
        <v>3.44</v>
      </c>
      <c r="H175" s="38">
        <f>'13all_company_profile'!H175</f>
        <v>44399</v>
      </c>
      <c r="I175" s="35">
        <f>'13all_company_profile'!I175</f>
        <v>39.183506</v>
      </c>
      <c r="J175" s="35">
        <f>'13all_company_profile'!J175</f>
        <v>12.321</v>
      </c>
      <c r="K175" s="42">
        <f t="shared" si="1"/>
        <v>0.007242562688</v>
      </c>
      <c r="L175" s="35">
        <f>'7company_info'!B175</f>
        <v>474.97</v>
      </c>
      <c r="M175" s="35">
        <f>'7company_info'!C175</f>
        <v>478.55</v>
      </c>
      <c r="N175" s="35">
        <f>'7company_info'!D175</f>
        <v>471.28</v>
      </c>
      <c r="O175" s="35">
        <f>'7company_info'!E175</f>
        <v>-3.52</v>
      </c>
      <c r="P175" s="35">
        <f>'7company_info'!F175</f>
        <v>-0.0074</v>
      </c>
      <c r="Q175" s="35">
        <f>'7company_info'!G175</f>
        <v>475.83</v>
      </c>
      <c r="R175" s="35">
        <f>'7company_info'!H175</f>
        <v>478.49</v>
      </c>
      <c r="S175" s="35">
        <f>'7company_info'!I175</f>
        <v>319.71</v>
      </c>
      <c r="T175" s="35">
        <f>'7company_info'!J175</f>
        <v>491.42</v>
      </c>
      <c r="U175" s="39">
        <v>485.443</v>
      </c>
      <c r="V175" s="39">
        <v>488.097</v>
      </c>
      <c r="W175" s="40">
        <v>490.874</v>
      </c>
      <c r="X175" s="40">
        <v>496.305</v>
      </c>
      <c r="Y175" s="40">
        <v>482.666</v>
      </c>
      <c r="Z175" s="40">
        <v>480.012</v>
      </c>
      <c r="AA175" s="40">
        <v>474.580999999999</v>
      </c>
      <c r="AB175" s="40">
        <v>469.88</v>
      </c>
      <c r="AC175" s="40">
        <v>491.42</v>
      </c>
      <c r="AD175" s="40">
        <v>467.143936955618</v>
      </c>
      <c r="AE175" s="40">
        <v>470.98703</v>
      </c>
      <c r="AF175" s="40">
        <v>7.318045</v>
      </c>
      <c r="AG175" s="40">
        <v>447.5</v>
      </c>
      <c r="AH175" s="45">
        <v>44328.0</v>
      </c>
      <c r="AI175" s="44" t="str">
        <f>'6image_RS_benchmark_performance'!B175</f>
        <v>https://3arbzfbsh-cname-us.ngrok.io/Desktop/seabridge%20fintech/image_app/DPZ_resistance_support.jpg</v>
      </c>
      <c r="AJ175" s="44" t="str">
        <f>'6image_RS_benchmark_performance'!C175</f>
        <v>https://3arbzfbsh-cname-us.ngrok.io/Desktop/seabridge%20fintech/profit_graph_app/DPZ_Return.jpg</v>
      </c>
      <c r="AK175" s="46" t="str">
        <f>'5price_action_icon'!B175</f>
        <v>https://3arbzfbsh-cname-us.ngrok.io/Desktop/seabridge%20fintech/icon/DPZ_pa_trend_signal</v>
      </c>
      <c r="AL175" s="42">
        <f>'1kpi_performance'!B175</f>
        <v>0.8861728418</v>
      </c>
      <c r="AM175" s="42">
        <f>'1kpi_performance'!C175</f>
        <v>1.178611086</v>
      </c>
      <c r="AN175" s="42">
        <f>'1kpi_performance'!D175</f>
        <v>1.07315233</v>
      </c>
      <c r="AO175" s="42">
        <f>'1kpi_performance'!E175</f>
        <v>0.6024762837</v>
      </c>
      <c r="AP175" s="42">
        <f>'1kpi_performance'!F175</f>
        <v>0.2485561992</v>
      </c>
      <c r="AQ175" s="42">
        <f>'1kpi_performance'!G175</f>
        <v>0.2631337518</v>
      </c>
      <c r="AR175" s="42">
        <f>'1kpi_performance'!H175</f>
        <v>0.2419017441</v>
      </c>
      <c r="AS175" s="42">
        <f>'1kpi_performance'!I175</f>
        <v>0.3540486869</v>
      </c>
      <c r="AT175" s="35">
        <f>'1kpi_performance'!J175</f>
        <v>3.464700717</v>
      </c>
      <c r="AU175" s="35">
        <f>'1kpi_performance'!K175</f>
        <v>4.384124339</v>
      </c>
      <c r="AV175" s="35">
        <f>'1kpi_performance'!L175</f>
        <v>4.332967229</v>
      </c>
      <c r="AW175" s="35">
        <f>'1kpi_performance'!M175</f>
        <v>1.631064611</v>
      </c>
      <c r="AX175" s="42">
        <f>'1kpi_performance'!N175</f>
        <v>0.1158668482</v>
      </c>
      <c r="AY175" s="42">
        <f>'1kpi_performance'!O175</f>
        <v>0.08787843726</v>
      </c>
      <c r="AZ175" s="42">
        <f>'1kpi_performance'!P175</f>
        <v>0.2114777924</v>
      </c>
      <c r="BA175" s="42">
        <f>'1kpi_performance'!Q175</f>
        <v>0.3199257426</v>
      </c>
      <c r="BB175" s="35">
        <f>'1kpi_performance'!R175</f>
        <v>8.808343125</v>
      </c>
      <c r="BC175" s="35">
        <f>'1kpi_performance'!S175</f>
        <v>11.62269427</v>
      </c>
      <c r="BD175" s="35">
        <f>'1kpi_performance'!T175</f>
        <v>11.35204311</v>
      </c>
      <c r="BE175" s="35">
        <f>'1kpi_performance'!U175</f>
        <v>3.363434765</v>
      </c>
      <c r="BF175" s="47"/>
      <c r="BG175" s="47"/>
      <c r="BH175" s="47"/>
      <c r="BI175" s="47"/>
      <c r="BJ175" s="47"/>
      <c r="BK175" s="47"/>
      <c r="BL175" s="47"/>
      <c r="BM175" s="47"/>
      <c r="BN175" s="47"/>
      <c r="BO175" s="47"/>
      <c r="BP175" s="47"/>
      <c r="BQ175" s="47"/>
      <c r="BR175" s="47"/>
      <c r="BS175" s="47"/>
      <c r="BT175" s="47"/>
    </row>
    <row r="176" ht="11.25" customHeight="1">
      <c r="A176" s="35" t="str">
        <f>'13all_company_profile'!A176</f>
        <v>DRE</v>
      </c>
      <c r="B176" s="35" t="str">
        <f>'13all_company_profile'!B176</f>
        <v>Duke Realty Corporation owns and operates approximately 156 million rentable square feet of industrial assets in 20 major logistics markets. Duke Realty Corporation is publicly traded on the NYSE under the symbol DRE and is a member of the S&amp;P 500 Index.</v>
      </c>
      <c r="C176" s="44" t="str">
        <f>'13all_company_profile'!C176</f>
        <v>https://financialmodelingprep.com/image-stock/DRE.png</v>
      </c>
      <c r="D176" s="35" t="str">
        <f>'13all_company_profile'!D176</f>
        <v>Duke Realty Corporation</v>
      </c>
      <c r="E176" s="36">
        <f>'13all_company_profile'!E176</f>
        <v>18854244352</v>
      </c>
      <c r="F176" s="37">
        <f>'13all_company_profile'!F176</f>
        <v>1897169</v>
      </c>
      <c r="G176" s="35">
        <f>'13all_company_profile'!G176</f>
        <v>1</v>
      </c>
      <c r="H176" s="38">
        <f>'13all_company_profile'!H176</f>
        <v>44404</v>
      </c>
      <c r="I176" s="35">
        <f>'13all_company_profile'!I176</f>
        <v>52.502598</v>
      </c>
      <c r="J176" s="35">
        <f>'13all_company_profile'!J176</f>
        <v>0.963</v>
      </c>
      <c r="K176" s="42">
        <f t="shared" si="1"/>
        <v>0.0195809673</v>
      </c>
      <c r="L176" s="35">
        <f>'7company_info'!B176</f>
        <v>51.07</v>
      </c>
      <c r="M176" s="35">
        <f>'7company_info'!C176</f>
        <v>51.4</v>
      </c>
      <c r="N176" s="35">
        <f>'7company_info'!D176</f>
        <v>50.18</v>
      </c>
      <c r="O176" s="35">
        <f>'7company_info'!E176</f>
        <v>0.89</v>
      </c>
      <c r="P176" s="35">
        <f>'7company_info'!F176</f>
        <v>0.0177</v>
      </c>
      <c r="Q176" s="35">
        <f>'7company_info'!G176</f>
        <v>50.49</v>
      </c>
      <c r="R176" s="35">
        <f>'7company_info'!H176</f>
        <v>50.18</v>
      </c>
      <c r="S176" s="35">
        <f>'7company_info'!I176</f>
        <v>35.37</v>
      </c>
      <c r="T176" s="35">
        <f>'7company_info'!J176</f>
        <v>51.4</v>
      </c>
      <c r="U176" s="39">
        <v>49.9166666666666</v>
      </c>
      <c r="V176" s="39">
        <v>50.4933333333333</v>
      </c>
      <c r="W176" s="40">
        <v>50.8966666666666</v>
      </c>
      <c r="X176" s="40">
        <v>51.8766666666666</v>
      </c>
      <c r="Y176" s="40">
        <v>49.5133333333333</v>
      </c>
      <c r="Z176" s="40">
        <v>48.9366666666666</v>
      </c>
      <c r="AA176" s="40">
        <v>47.9566666666666</v>
      </c>
      <c r="AB176" s="40">
        <v>49.34</v>
      </c>
      <c r="AC176" s="40">
        <v>50.61</v>
      </c>
      <c r="AD176" s="40">
        <v>48.6663955432472</v>
      </c>
      <c r="AE176" s="40">
        <v>48.0586</v>
      </c>
      <c r="AF176" s="40">
        <v>0.843699999999999</v>
      </c>
      <c r="AG176" s="40">
        <v>49.715</v>
      </c>
      <c r="AH176" s="45">
        <v>44357.0</v>
      </c>
      <c r="AI176" s="44" t="str">
        <f>'6image_RS_benchmark_performance'!B176</f>
        <v>https://3arbzfbsh-cname-us.ngrok.io/Desktop/seabridge%20fintech/image_app/DRE_resistance_support.jpg</v>
      </c>
      <c r="AJ176" s="44" t="str">
        <f>'6image_RS_benchmark_performance'!C176</f>
        <v>https://3arbzfbsh-cname-us.ngrok.io/Desktop/seabridge%20fintech/profit_graph_app/DRE_Return.jpg</v>
      </c>
      <c r="AK176" s="46" t="str">
        <f>'5price_action_icon'!B176</f>
        <v>https://3arbzfbsh-cname-us.ngrok.io/Desktop/seabridge%20fintech/icon/DRE_pa_trend_signal</v>
      </c>
      <c r="AL176" s="42">
        <f>'1kpi_performance'!B176</f>
        <v>0.5278007677</v>
      </c>
      <c r="AM176" s="42">
        <f>'1kpi_performance'!C176</f>
        <v>0.6252847572</v>
      </c>
      <c r="AN176" s="42">
        <f>'1kpi_performance'!D176</f>
        <v>0.60757139</v>
      </c>
      <c r="AO176" s="42">
        <f>'1kpi_performance'!E176</f>
        <v>0.1937369601</v>
      </c>
      <c r="AP176" s="42">
        <f>'1kpi_performance'!F176</f>
        <v>0.2049551119</v>
      </c>
      <c r="AQ176" s="42">
        <f>'1kpi_performance'!G176</f>
        <v>0.2361544685</v>
      </c>
      <c r="AR176" s="42">
        <f>'1kpi_performance'!H176</f>
        <v>0.1900181153</v>
      </c>
      <c r="AS176" s="42">
        <f>'1kpi_performance'!I176</f>
        <v>0.3190963845</v>
      </c>
      <c r="AT176" s="35">
        <f>'1kpi_performance'!J176</f>
        <v>2.453223846</v>
      </c>
      <c r="AU176" s="35">
        <f>'1kpi_performance'!K176</f>
        <v>2.541915726</v>
      </c>
      <c r="AV176" s="35">
        <f>'1kpi_performance'!L176</f>
        <v>3.065872899</v>
      </c>
      <c r="AW176" s="35">
        <f>'1kpi_performance'!M176</f>
        <v>0.5287962142</v>
      </c>
      <c r="AX176" s="42">
        <f>'1kpi_performance'!N176</f>
        <v>0.1639141537</v>
      </c>
      <c r="AY176" s="42">
        <f>'1kpi_performance'!O176</f>
        <v>0.1797365119</v>
      </c>
      <c r="AZ176" s="42">
        <f>'1kpi_performance'!P176</f>
        <v>0.1652317258</v>
      </c>
      <c r="BA176" s="42">
        <f>'1kpi_performance'!Q176</f>
        <v>0.3745989556</v>
      </c>
      <c r="BB176" s="35">
        <f>'1kpi_performance'!R176</f>
        <v>5.092452807</v>
      </c>
      <c r="BC176" s="35">
        <f>'1kpi_performance'!S176</f>
        <v>5.398333141</v>
      </c>
      <c r="BD176" s="35">
        <f>'1kpi_performance'!T176</f>
        <v>6.395134818</v>
      </c>
      <c r="BE176" s="35">
        <f>'1kpi_performance'!U176</f>
        <v>1.012126572</v>
      </c>
      <c r="BF176" s="47"/>
      <c r="BG176" s="47"/>
      <c r="BH176" s="47"/>
      <c r="BI176" s="47"/>
      <c r="BJ176" s="47"/>
      <c r="BK176" s="47"/>
      <c r="BL176" s="47"/>
      <c r="BM176" s="47"/>
      <c r="BN176" s="47"/>
      <c r="BO176" s="47"/>
      <c r="BP176" s="47"/>
      <c r="BQ176" s="47"/>
      <c r="BR176" s="47"/>
      <c r="BS176" s="47"/>
      <c r="BT176" s="47"/>
    </row>
    <row r="177" ht="11.25" customHeight="1">
      <c r="A177" s="35" t="str">
        <f>'13all_company_profile'!A177</f>
        <v>DRI</v>
      </c>
      <c r="B177" s="35" t="str">
        <f>'13all_company_profile'!B177</f>
        <v>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v>
      </c>
      <c r="C177" s="44" t="str">
        <f>'13all_company_profile'!C177</f>
        <v>https://financialmodelingprep.com/image-stock/DRI.png</v>
      </c>
      <c r="D177" s="35" t="str">
        <f>'13all_company_profile'!D177</f>
        <v>Darden Restaurants, Inc.</v>
      </c>
      <c r="E177" s="36">
        <f>'13all_company_profile'!E177</f>
        <v>18960459776</v>
      </c>
      <c r="F177" s="37">
        <f>'13all_company_profile'!F177</f>
        <v>1477373</v>
      </c>
      <c r="G177" s="35">
        <f>'13all_company_profile'!G177</f>
        <v>2.65</v>
      </c>
      <c r="H177" s="38" t="str">
        <f>'13all_company_profile'!H177</f>
        <v>not avaiable</v>
      </c>
      <c r="I177" s="35">
        <f>'13all_company_profile'!I177</f>
        <v>29.74665</v>
      </c>
      <c r="J177" s="35">
        <f>'13all_company_profile'!J177</f>
        <v>4.776</v>
      </c>
      <c r="K177" s="42">
        <f t="shared" si="1"/>
        <v>0.01867907239</v>
      </c>
      <c r="L177" s="35">
        <f>'7company_info'!B177</f>
        <v>141.87</v>
      </c>
      <c r="M177" s="35">
        <f>'7company_info'!C177</f>
        <v>142.58</v>
      </c>
      <c r="N177" s="35">
        <f>'7company_info'!D177</f>
        <v>135.49</v>
      </c>
      <c r="O177" s="35">
        <f>'7company_info'!E177</f>
        <v>7.05</v>
      </c>
      <c r="P177" s="35">
        <f>'7company_info'!F177</f>
        <v>0.0523</v>
      </c>
      <c r="Q177" s="35">
        <f>'7company_info'!G177</f>
        <v>135.49</v>
      </c>
      <c r="R177" s="35">
        <f>'7company_info'!H177</f>
        <v>134.82</v>
      </c>
      <c r="S177" s="35">
        <f>'7company_info'!I177</f>
        <v>73.04</v>
      </c>
      <c r="T177" s="35">
        <f>'7company_info'!J177</f>
        <v>150.2</v>
      </c>
      <c r="U177" s="39">
        <v>148.18</v>
      </c>
      <c r="V177" s="39">
        <v>149.25</v>
      </c>
      <c r="W177" s="40">
        <v>151.14</v>
      </c>
      <c r="X177" s="40">
        <v>154.099999999999</v>
      </c>
      <c r="Y177" s="40">
        <v>146.29</v>
      </c>
      <c r="Z177" s="40">
        <v>145.22</v>
      </c>
      <c r="AA177" s="40">
        <v>142.26</v>
      </c>
      <c r="AB177" s="40">
        <v>130.69</v>
      </c>
      <c r="AC177" s="40">
        <v>150.2</v>
      </c>
      <c r="AD177" s="40">
        <v>144.179550029887</v>
      </c>
      <c r="AE177" s="40">
        <v>139.84872</v>
      </c>
      <c r="AF177" s="40">
        <v>3.80813999999999</v>
      </c>
      <c r="AG177" s="40">
        <v>150.2</v>
      </c>
      <c r="AH177" s="45">
        <v>44384.0</v>
      </c>
      <c r="AI177" s="44" t="str">
        <f>'6image_RS_benchmark_performance'!B177</f>
        <v>https://3arbzfbsh-cname-us.ngrok.io/Desktop/seabridge%20fintech/image_app/DRI_resistance_support.jpg</v>
      </c>
      <c r="AJ177" s="44" t="str">
        <f>'6image_RS_benchmark_performance'!C177</f>
        <v>https://3arbzfbsh-cname-us.ngrok.io/Desktop/seabridge%20fintech/profit_graph_app/DRI_Return.jpg</v>
      </c>
      <c r="AK177" s="46" t="str">
        <f>'5price_action_icon'!B177</f>
        <v>https://3arbzfbsh-cname-us.ngrok.io/Desktop/seabridge%20fintech/icon/DRI_pa_trend_signal</v>
      </c>
      <c r="AL177" s="42">
        <f>'1kpi_performance'!B177</f>
        <v>0.6891070822</v>
      </c>
      <c r="AM177" s="42">
        <f>'1kpi_performance'!C177</f>
        <v>0.8343789974</v>
      </c>
      <c r="AN177" s="42">
        <f>'1kpi_performance'!D177</f>
        <v>0.5964647888</v>
      </c>
      <c r="AO177" s="42">
        <f>'1kpi_performance'!E177</f>
        <v>0.2062338958</v>
      </c>
      <c r="AP177" s="42">
        <f>'1kpi_performance'!F177</f>
        <v>0.2848586932</v>
      </c>
      <c r="AQ177" s="42">
        <f>'1kpi_performance'!G177</f>
        <v>0.2866996582</v>
      </c>
      <c r="AR177" s="42">
        <f>'1kpi_performance'!H177</f>
        <v>0.2202522777</v>
      </c>
      <c r="AS177" s="42">
        <f>'1kpi_performance'!I177</f>
        <v>0.4028446414</v>
      </c>
      <c r="AT177" s="35">
        <f>'1kpi_performance'!J177</f>
        <v>2.331356206</v>
      </c>
      <c r="AU177" s="35">
        <f>'1kpi_performance'!K177</f>
        <v>2.823090207</v>
      </c>
      <c r="AV177" s="35">
        <f>'1kpi_performance'!L177</f>
        <v>2.594591959</v>
      </c>
      <c r="AW177" s="35">
        <f>'1kpi_performance'!M177</f>
        <v>0.4498853334</v>
      </c>
      <c r="AX177" s="42">
        <f>'1kpi_performance'!N177</f>
        <v>0.26832893</v>
      </c>
      <c r="AY177" s="42">
        <f>'1kpi_performance'!O177</f>
        <v>0.26832893</v>
      </c>
      <c r="AZ177" s="42">
        <f>'1kpi_performance'!P177</f>
        <v>0.131898045</v>
      </c>
      <c r="BA177" s="42">
        <f>'1kpi_performance'!Q177</f>
        <v>0.7322254449</v>
      </c>
      <c r="BB177" s="35">
        <f>'1kpi_performance'!R177</f>
        <v>5.56427504</v>
      </c>
      <c r="BC177" s="35">
        <f>'1kpi_performance'!S177</f>
        <v>7.156212208</v>
      </c>
      <c r="BD177" s="35">
        <f>'1kpi_performance'!T177</f>
        <v>5.940294619</v>
      </c>
      <c r="BE177" s="35">
        <f>'1kpi_performance'!U177</f>
        <v>0.8703800973</v>
      </c>
      <c r="BF177" s="47"/>
      <c r="BG177" s="47"/>
      <c r="BH177" s="47"/>
      <c r="BI177" s="47"/>
      <c r="BJ177" s="47"/>
      <c r="BK177" s="47"/>
      <c r="BL177" s="47"/>
      <c r="BM177" s="47"/>
      <c r="BN177" s="47"/>
      <c r="BO177" s="47"/>
      <c r="BP177" s="47"/>
      <c r="BQ177" s="47"/>
      <c r="BR177" s="47"/>
      <c r="BS177" s="47"/>
      <c r="BT177" s="47"/>
    </row>
    <row r="178" ht="11.25" customHeight="1">
      <c r="A178" s="35" t="str">
        <f>'13all_company_profile'!A178</f>
        <v>DTE</v>
      </c>
      <c r="B178" s="35" t="str">
        <f>'13all_company_profile'!B178</f>
        <v>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v>
      </c>
      <c r="C178" s="44" t="str">
        <f>'13all_company_profile'!C178</f>
        <v>https://financialmodelingprep.com/image-stock/DTE.png</v>
      </c>
      <c r="D178" s="35" t="str">
        <f>'13all_company_profile'!D178</f>
        <v>DTE Energy Company</v>
      </c>
      <c r="E178" s="36">
        <f>'13all_company_profile'!E178</f>
        <v>22458771456</v>
      </c>
      <c r="F178" s="37">
        <f>'13all_company_profile'!F178</f>
        <v>1221240</v>
      </c>
      <c r="G178" s="35">
        <f>'13all_company_profile'!G178</f>
        <v>5.54233</v>
      </c>
      <c r="H178" s="38">
        <f>'13all_company_profile'!H178</f>
        <v>44403</v>
      </c>
      <c r="I178" s="35">
        <f>'13all_company_profile'!I178</f>
        <v>15.935588</v>
      </c>
      <c r="J178" s="35">
        <f>'13all_company_profile'!J178</f>
        <v>7.359</v>
      </c>
      <c r="K178" s="42">
        <f t="shared" si="1"/>
        <v>0.04772933173</v>
      </c>
      <c r="L178" s="35">
        <f>'7company_info'!B178</f>
        <v>116.12</v>
      </c>
      <c r="M178" s="35">
        <f>'7company_info'!C178</f>
        <v>116.37</v>
      </c>
      <c r="N178" s="35">
        <f>'7company_info'!D178</f>
        <v>114.03</v>
      </c>
      <c r="O178" s="35">
        <f>'7company_info'!E178</f>
        <v>2.22</v>
      </c>
      <c r="P178" s="35">
        <f>'7company_info'!F178</f>
        <v>0.0195</v>
      </c>
      <c r="Q178" s="35">
        <f>'7company_info'!G178</f>
        <v>114.15</v>
      </c>
      <c r="R178" s="35">
        <f>'7company_info'!H178</f>
        <v>113.9</v>
      </c>
      <c r="S178" s="35">
        <f>'7company_info'!I178</f>
        <v>91.82</v>
      </c>
      <c r="T178" s="35">
        <f>'7company_info'!J178</f>
        <v>123.03</v>
      </c>
      <c r="U178" s="39">
        <v>115.086666666666</v>
      </c>
      <c r="V178" s="39">
        <v>115.613333333333</v>
      </c>
      <c r="W178" s="40">
        <v>116.326666666666</v>
      </c>
      <c r="X178" s="40">
        <v>117.566666666666</v>
      </c>
      <c r="Y178" s="40">
        <v>114.373333333333</v>
      </c>
      <c r="Z178" s="40">
        <v>113.846666666666</v>
      </c>
      <c r="AA178" s="40">
        <v>112.606666666666</v>
      </c>
      <c r="AB178" s="40">
        <v>113.0</v>
      </c>
      <c r="AC178" s="40">
        <v>116.42</v>
      </c>
      <c r="AD178" s="40">
        <v>122.527085915368</v>
      </c>
      <c r="AE178" s="40">
        <v>109.58876</v>
      </c>
      <c r="AF178" s="40">
        <v>2.63112499999999</v>
      </c>
      <c r="AG178" s="40">
        <v>145.43</v>
      </c>
      <c r="AH178" s="45">
        <v>44326.0</v>
      </c>
      <c r="AI178" s="44" t="str">
        <f>'6image_RS_benchmark_performance'!B178</f>
        <v>https://3arbzfbsh-cname-us.ngrok.io/Desktop/seabridge%20fintech/image_app/DTE_resistance_support.jpg</v>
      </c>
      <c r="AJ178" s="44" t="str">
        <f>'6image_RS_benchmark_performance'!C178</f>
        <v>https://3arbzfbsh-cname-us.ngrok.io/Desktop/seabridge%20fintech/profit_graph_app/DTE_Return.jpg</v>
      </c>
      <c r="AK178" s="46" t="str">
        <f>'5price_action_icon'!B178</f>
        <v>https://3arbzfbsh-cname-us.ngrok.io/Desktop/seabridge%20fintech/icon/DTE_pa_trend_signal</v>
      </c>
      <c r="AL178" s="42">
        <f>'1kpi_performance'!B178</f>
        <v>0.3679639202</v>
      </c>
      <c r="AM178" s="42">
        <f>'1kpi_performance'!C178</f>
        <v>0.3861224457</v>
      </c>
      <c r="AN178" s="42">
        <f>'1kpi_performance'!D178</f>
        <v>0.3712563392</v>
      </c>
      <c r="AO178" s="42">
        <f>'1kpi_performance'!E178</f>
        <v>0.1307831799</v>
      </c>
      <c r="AP178" s="42">
        <f>'1kpi_performance'!F178</f>
        <v>0.1664322135</v>
      </c>
      <c r="AQ178" s="42">
        <f>'1kpi_performance'!G178</f>
        <v>0.1640455788</v>
      </c>
      <c r="AR178" s="42">
        <f>'1kpi_performance'!H178</f>
        <v>0.1469476606</v>
      </c>
      <c r="AS178" s="42">
        <f>'1kpi_performance'!I178</f>
        <v>0.2532645455</v>
      </c>
      <c r="AT178" s="35">
        <f>'1kpi_performance'!J178</f>
        <v>2.060682322</v>
      </c>
      <c r="AU178" s="35">
        <f>'1kpi_performance'!K178</f>
        <v>2.201354333</v>
      </c>
      <c r="AV178" s="35">
        <f>'1kpi_performance'!L178</f>
        <v>2.356324271</v>
      </c>
      <c r="AW178" s="35">
        <f>'1kpi_performance'!M178</f>
        <v>0.4176785967</v>
      </c>
      <c r="AX178" s="42">
        <f>'1kpi_performance'!N178</f>
        <v>0.1237051192</v>
      </c>
      <c r="AY178" s="42">
        <f>'1kpi_performance'!O178</f>
        <v>0.1237051192</v>
      </c>
      <c r="AZ178" s="42">
        <f>'1kpi_performance'!P178</f>
        <v>0.1960572703</v>
      </c>
      <c r="BA178" s="42">
        <f>'1kpi_performance'!Q178</f>
        <v>0.4308684055</v>
      </c>
      <c r="BB178" s="35">
        <f>'1kpi_performance'!R178</f>
        <v>4.421573005</v>
      </c>
      <c r="BC178" s="35">
        <f>'1kpi_performance'!S178</f>
        <v>4.722580593</v>
      </c>
      <c r="BD178" s="35">
        <f>'1kpi_performance'!T178</f>
        <v>4.542291728</v>
      </c>
      <c r="BE178" s="35">
        <f>'1kpi_performance'!U178</f>
        <v>0.7538502613</v>
      </c>
      <c r="BF178" s="47"/>
      <c r="BG178" s="47"/>
      <c r="BH178" s="47"/>
      <c r="BI178" s="47"/>
      <c r="BJ178" s="47"/>
      <c r="BK178" s="47"/>
      <c r="BL178" s="47"/>
      <c r="BM178" s="47"/>
      <c r="BN178" s="47"/>
      <c r="BO178" s="47"/>
      <c r="BP178" s="47"/>
      <c r="BQ178" s="47"/>
      <c r="BR178" s="47"/>
      <c r="BS178" s="47"/>
      <c r="BT178" s="47"/>
    </row>
    <row r="179" ht="11.25" customHeight="1">
      <c r="A179" s="35" t="str">
        <f>'13all_company_profile'!A179</f>
        <v>DUK</v>
      </c>
      <c r="B179" s="35" t="str">
        <f>'13all_company_profile'!B179</f>
        <v>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v>
      </c>
      <c r="C179" s="44" t="str">
        <f>'13all_company_profile'!C179</f>
        <v>https://financialmodelingprep.com/image-stock/DUK.png</v>
      </c>
      <c r="D179" s="35" t="str">
        <f>'13all_company_profile'!D179</f>
        <v>Duke Energy Corporation</v>
      </c>
      <c r="E179" s="36">
        <f>'13all_company_profile'!E179</f>
        <v>79875702784</v>
      </c>
      <c r="F179" s="37">
        <f>'13all_company_profile'!F179</f>
        <v>3197455</v>
      </c>
      <c r="G179" s="35">
        <f>'13all_company_profile'!G179</f>
        <v>3.86</v>
      </c>
      <c r="H179" s="38" t="str">
        <f>'13all_company_profile'!H179</f>
        <v>not avaiable</v>
      </c>
      <c r="I179" s="35">
        <f>'13all_company_profile'!I179</f>
        <v>59.47905</v>
      </c>
      <c r="J179" s="35">
        <f>'13all_company_profile'!J179</f>
        <v>1.766</v>
      </c>
      <c r="K179" s="42">
        <f t="shared" si="1"/>
        <v>0.03720840563</v>
      </c>
      <c r="L179" s="35">
        <f>'7company_info'!B179</f>
        <v>103.74</v>
      </c>
      <c r="M179" s="35">
        <f>'7company_info'!C179</f>
        <v>105.42</v>
      </c>
      <c r="N179" s="35">
        <f>'7company_info'!D179</f>
        <v>103.43</v>
      </c>
      <c r="O179" s="35">
        <f>'7company_info'!E179</f>
        <v>-0.15</v>
      </c>
      <c r="P179" s="35">
        <f>'7company_info'!F179</f>
        <v>-0.0014</v>
      </c>
      <c r="Q179" s="35">
        <f>'7company_info'!G179</f>
        <v>104.08</v>
      </c>
      <c r="R179" s="35">
        <f>'7company_info'!H179</f>
        <v>103.89</v>
      </c>
      <c r="S179" s="35">
        <f>'7company_info'!I179</f>
        <v>78.95</v>
      </c>
      <c r="T179" s="35">
        <f>'7company_info'!J179</f>
        <v>108</v>
      </c>
      <c r="U179" s="39">
        <v>102.103333333333</v>
      </c>
      <c r="V179" s="39">
        <v>103.636666666666</v>
      </c>
      <c r="W179" s="40">
        <v>104.573333333333</v>
      </c>
      <c r="X179" s="40">
        <v>107.043333333333</v>
      </c>
      <c r="Y179" s="40">
        <v>101.166666666666</v>
      </c>
      <c r="Z179" s="40">
        <v>99.6333333333333</v>
      </c>
      <c r="AA179" s="40">
        <v>97.1633333333333</v>
      </c>
      <c r="AB179" s="40">
        <v>101.45</v>
      </c>
      <c r="AC179" s="40">
        <v>102.55</v>
      </c>
      <c r="AD179" s="40">
        <v>100.694307525108</v>
      </c>
      <c r="AE179" s="40">
        <v>98.58183</v>
      </c>
      <c r="AF179" s="40">
        <v>1.533085</v>
      </c>
      <c r="AG179" s="40">
        <v>108.0</v>
      </c>
      <c r="AH179" s="45">
        <v>44326.0</v>
      </c>
      <c r="AI179" s="44" t="str">
        <f>'6image_RS_benchmark_performance'!B179</f>
        <v>https://3arbzfbsh-cname-us.ngrok.io/Desktop/seabridge%20fintech/image_app/DUK_resistance_support.jpg</v>
      </c>
      <c r="AJ179" s="44" t="str">
        <f>'6image_RS_benchmark_performance'!C179</f>
        <v>https://3arbzfbsh-cname-us.ngrok.io/Desktop/seabridge%20fintech/profit_graph_app/DUK_Return.jpg</v>
      </c>
      <c r="AK179" s="46" t="str">
        <f>'5price_action_icon'!B179</f>
        <v>https://3arbzfbsh-cname-us.ngrok.io/Desktop/seabridge%20fintech/icon/DUK_pa_trend_signal</v>
      </c>
      <c r="AL179" s="42">
        <f>'1kpi_performance'!B179</f>
        <v>0.3411748227</v>
      </c>
      <c r="AM179" s="42">
        <f>'1kpi_performance'!C179</f>
        <v>0.3567432139</v>
      </c>
      <c r="AN179" s="42">
        <f>'1kpi_performance'!D179</f>
        <v>0.3051920286</v>
      </c>
      <c r="AO179" s="42">
        <f>'1kpi_performance'!E179</f>
        <v>0.09372980947</v>
      </c>
      <c r="AP179" s="42">
        <f>'1kpi_performance'!F179</f>
        <v>0.1427722304</v>
      </c>
      <c r="AQ179" s="42">
        <f>'1kpi_performance'!G179</f>
        <v>0.1521352638</v>
      </c>
      <c r="AR179" s="42">
        <f>'1kpi_performance'!H179</f>
        <v>0.1698433205</v>
      </c>
      <c r="AS179" s="42">
        <f>'1kpi_performance'!I179</f>
        <v>0.2264713675</v>
      </c>
      <c r="AT179" s="35">
        <f>'1kpi_performance'!J179</f>
        <v>2.214540053</v>
      </c>
      <c r="AU179" s="35">
        <f>'1kpi_performance'!K179</f>
        <v>2.18058066</v>
      </c>
      <c r="AV179" s="35">
        <f>'1kpi_performance'!L179</f>
        <v>1.649708848</v>
      </c>
      <c r="AW179" s="35">
        <f>'1kpi_performance'!M179</f>
        <v>0.3034812313</v>
      </c>
      <c r="AX179" s="42">
        <f>'1kpi_performance'!N179</f>
        <v>0.09646744243</v>
      </c>
      <c r="AY179" s="42">
        <f>'1kpi_performance'!O179</f>
        <v>0.08914450036</v>
      </c>
      <c r="AZ179" s="42">
        <f>'1kpi_performance'!P179</f>
        <v>0.3689129365</v>
      </c>
      <c r="BA179" s="42">
        <f>'1kpi_performance'!Q179</f>
        <v>0.3737186371</v>
      </c>
      <c r="BB179" s="35">
        <f>'1kpi_performance'!R179</f>
        <v>4.591336016</v>
      </c>
      <c r="BC179" s="35">
        <f>'1kpi_performance'!S179</f>
        <v>4.724173262</v>
      </c>
      <c r="BD179" s="35">
        <f>'1kpi_performance'!T179</f>
        <v>3.120101603</v>
      </c>
      <c r="BE179" s="35">
        <f>'1kpi_performance'!U179</f>
        <v>0.5754347775</v>
      </c>
      <c r="BF179" s="47"/>
      <c r="BG179" s="47"/>
      <c r="BH179" s="47"/>
      <c r="BI179" s="47"/>
      <c r="BJ179" s="47"/>
      <c r="BK179" s="47"/>
      <c r="BL179" s="47"/>
      <c r="BM179" s="47"/>
      <c r="BN179" s="47"/>
      <c r="BO179" s="47"/>
      <c r="BP179" s="47"/>
      <c r="BQ179" s="47"/>
      <c r="BR179" s="47"/>
      <c r="BS179" s="47"/>
      <c r="BT179" s="47"/>
    </row>
    <row r="180" ht="11.25" customHeight="1">
      <c r="A180" s="35" t="str">
        <f>'13all_company_profile'!A180</f>
        <v>DVA</v>
      </c>
      <c r="B180" s="35" t="str">
        <f>'13all_company_profile'!B180</f>
        <v>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v>
      </c>
      <c r="C180" s="44" t="str">
        <f>'13all_company_profile'!C180</f>
        <v>https://financialmodelingprep.com/image-stock/DVA.png</v>
      </c>
      <c r="D180" s="35" t="str">
        <f>'13all_company_profile'!D180</f>
        <v>DaVita Inc.</v>
      </c>
      <c r="E180" s="36">
        <f>'13all_company_profile'!E180</f>
        <v>12750371840</v>
      </c>
      <c r="F180" s="37">
        <f>'13all_company_profile'!F180</f>
        <v>625826</v>
      </c>
      <c r="G180" s="35">
        <f>'13all_company_profile'!G180</f>
        <v>0</v>
      </c>
      <c r="H180" s="38">
        <f>'13all_company_profile'!H180</f>
        <v>44405</v>
      </c>
      <c r="I180" s="35">
        <f>'13all_company_profile'!I180</f>
        <v>18.54537</v>
      </c>
      <c r="J180" s="35">
        <f>'13all_company_profile'!J180</f>
        <v>6.469</v>
      </c>
      <c r="K180" s="42" t="str">
        <f t="shared" si="1"/>
        <v>NaN</v>
      </c>
      <c r="L180" s="35">
        <f>'7company_info'!B180</f>
        <v>119.41</v>
      </c>
      <c r="M180" s="35">
        <f>'7company_info'!C180</f>
        <v>121.11</v>
      </c>
      <c r="N180" s="35">
        <f>'7company_info'!D180</f>
        <v>118.59</v>
      </c>
      <c r="O180" s="35">
        <f>'7company_info'!E180</f>
        <v>1.59</v>
      </c>
      <c r="P180" s="35">
        <f>'7company_info'!F180</f>
        <v>0.0135</v>
      </c>
      <c r="Q180" s="35">
        <f>'7company_info'!G180</f>
        <v>118.59</v>
      </c>
      <c r="R180" s="35">
        <f>'7company_info'!H180</f>
        <v>117.82</v>
      </c>
      <c r="S180" s="35">
        <f>'7company_info'!I180</f>
        <v>80.85</v>
      </c>
      <c r="T180" s="35">
        <f>'7company_info'!J180</f>
        <v>129.59</v>
      </c>
      <c r="U180" s="39">
        <v>121.076666666666</v>
      </c>
      <c r="V180" s="39">
        <v>121.993333333333</v>
      </c>
      <c r="W180" s="40">
        <v>122.936666666666</v>
      </c>
      <c r="X180" s="40">
        <v>124.796666666666</v>
      </c>
      <c r="Y180" s="40">
        <v>120.133333333333</v>
      </c>
      <c r="Z180" s="40">
        <v>119.216666666666</v>
      </c>
      <c r="AA180" s="40">
        <v>117.356666666666</v>
      </c>
      <c r="AB180" s="40">
        <v>122.68</v>
      </c>
      <c r="AC180" s="40">
        <v>123.7</v>
      </c>
      <c r="AD180" s="40">
        <v>121.705132693472</v>
      </c>
      <c r="AE180" s="40">
        <v>116.68227</v>
      </c>
      <c r="AF180" s="40">
        <v>2.309365</v>
      </c>
      <c r="AG180" s="40">
        <v>129.59</v>
      </c>
      <c r="AH180" s="45">
        <v>44326.0</v>
      </c>
      <c r="AI180" s="44" t="str">
        <f>'6image_RS_benchmark_performance'!B180</f>
        <v>https://3arbzfbsh-cname-us.ngrok.io/Desktop/seabridge%20fintech/image_app/DVA_resistance_support.jpg</v>
      </c>
      <c r="AJ180" s="44" t="str">
        <f>'6image_RS_benchmark_performance'!C180</f>
        <v>https://3arbzfbsh-cname-us.ngrok.io/Desktop/seabridge%20fintech/profit_graph_app/DVA_Return.jpg</v>
      </c>
      <c r="AK180" s="46" t="str">
        <f>'5price_action_icon'!B180</f>
        <v>https://3arbzfbsh-cname-us.ngrok.io/Desktop/seabridge%20fintech/icon/DVA_pa_trend_signal</v>
      </c>
      <c r="AL180" s="42">
        <f>'1kpi_performance'!B180</f>
        <v>0.5367683308</v>
      </c>
      <c r="AM180" s="42">
        <f>'1kpi_performance'!C180</f>
        <v>0.8149736783</v>
      </c>
      <c r="AN180" s="42">
        <f>'1kpi_performance'!D180</f>
        <v>0.828792289</v>
      </c>
      <c r="AO180" s="42">
        <f>'1kpi_performance'!E180</f>
        <v>0.1845527942</v>
      </c>
      <c r="AP180" s="42">
        <f>'1kpi_performance'!F180</f>
        <v>0.2165716357</v>
      </c>
      <c r="AQ180" s="42">
        <f>'1kpi_performance'!G180</f>
        <v>0.2230187886</v>
      </c>
      <c r="AR180" s="42">
        <f>'1kpi_performance'!H180</f>
        <v>0.2252795777</v>
      </c>
      <c r="AS180" s="42">
        <f>'1kpi_performance'!I180</f>
        <v>0.3152510347</v>
      </c>
      <c r="AT180" s="35">
        <f>'1kpi_performance'!J180</f>
        <v>2.363044123</v>
      </c>
      <c r="AU180" s="35">
        <f>'1kpi_performance'!K180</f>
        <v>3.54218442</v>
      </c>
      <c r="AV180" s="35">
        <f>'1kpi_performance'!L180</f>
        <v>3.567976721</v>
      </c>
      <c r="AW180" s="35">
        <f>'1kpi_performance'!M180</f>
        <v>0.5061134672</v>
      </c>
      <c r="AX180" s="42">
        <f>'1kpi_performance'!N180</f>
        <v>0.2015529342</v>
      </c>
      <c r="AY180" s="42">
        <f>'1kpi_performance'!O180</f>
        <v>0.1460920954</v>
      </c>
      <c r="AZ180" s="42">
        <f>'1kpi_performance'!P180</f>
        <v>0.2141475212</v>
      </c>
      <c r="BA180" s="42">
        <f>'1kpi_performance'!Q180</f>
        <v>0.4845067078</v>
      </c>
      <c r="BB180" s="35">
        <f>'1kpi_performance'!R180</f>
        <v>5.205567461</v>
      </c>
      <c r="BC180" s="35">
        <f>'1kpi_performance'!S180</f>
        <v>8.870645798</v>
      </c>
      <c r="BD180" s="35">
        <f>'1kpi_performance'!T180</f>
        <v>8.191078895</v>
      </c>
      <c r="BE180" s="35">
        <f>'1kpi_performance'!U180</f>
        <v>0.9900797264</v>
      </c>
      <c r="BF180" s="47"/>
      <c r="BG180" s="47"/>
      <c r="BH180" s="47"/>
      <c r="BI180" s="47"/>
      <c r="BJ180" s="47"/>
      <c r="BK180" s="47"/>
      <c r="BL180" s="47"/>
      <c r="BM180" s="47"/>
      <c r="BN180" s="47"/>
      <c r="BO180" s="47"/>
      <c r="BP180" s="47"/>
      <c r="BQ180" s="47"/>
      <c r="BR180" s="47"/>
      <c r="BS180" s="47"/>
      <c r="BT180" s="47"/>
    </row>
    <row r="181" ht="11.25" customHeight="1">
      <c r="A181" s="35" t="str">
        <f>'13all_company_profile'!A181</f>
        <v>DVN</v>
      </c>
      <c r="B181" s="35" t="str">
        <f>'13all_company_profile'!B181</f>
        <v>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v>
      </c>
      <c r="C181" s="44" t="str">
        <f>'13all_company_profile'!C181</f>
        <v>https://financialmodelingprep.com/image-stock/DVN.png</v>
      </c>
      <c r="D181" s="35" t="str">
        <f>'13all_company_profile'!D181</f>
        <v>Devon Energy Corporation</v>
      </c>
      <c r="E181" s="36">
        <f>'13all_company_profile'!E181</f>
        <v>18019078144</v>
      </c>
      <c r="F181" s="37">
        <f>'13all_company_profile'!F181</f>
        <v>11119653</v>
      </c>
      <c r="G181" s="35">
        <f>'13all_company_profile'!G181</f>
        <v>1.46</v>
      </c>
      <c r="H181" s="38">
        <f>'13all_company_profile'!H181</f>
        <v>44411</v>
      </c>
      <c r="I181" s="35" t="str">
        <f>'13all_company_profile'!I181</f>
        <v>NaN</v>
      </c>
      <c r="J181" s="35">
        <f>'13all_company_profile'!J181</f>
        <v>-1.487</v>
      </c>
      <c r="K181" s="42">
        <f t="shared" si="1"/>
        <v>0.05763916305</v>
      </c>
      <c r="L181" s="35">
        <f>'7company_info'!B181</f>
        <v>25.33</v>
      </c>
      <c r="M181" s="35">
        <f>'7company_info'!C181</f>
        <v>25.83</v>
      </c>
      <c r="N181" s="35">
        <f>'7company_info'!D181</f>
        <v>24.54</v>
      </c>
      <c r="O181" s="35">
        <f>'7company_info'!E181</f>
        <v>0.4</v>
      </c>
      <c r="P181" s="35">
        <f>'7company_info'!F181</f>
        <v>0.016</v>
      </c>
      <c r="Q181" s="35">
        <f>'7company_info'!G181</f>
        <v>24.95</v>
      </c>
      <c r="R181" s="35">
        <f>'7company_info'!H181</f>
        <v>24.93</v>
      </c>
      <c r="S181" s="35">
        <f>'7company_info'!I181</f>
        <v>7.73</v>
      </c>
      <c r="T181" s="35">
        <f>'7company_info'!J181</f>
        <v>31.99</v>
      </c>
      <c r="U181" s="39">
        <v>27.9916666666666</v>
      </c>
      <c r="V181" s="39">
        <v>29.0133333333333</v>
      </c>
      <c r="W181" s="40">
        <v>30.7266666666666</v>
      </c>
      <c r="X181" s="40">
        <v>33.4616666666666</v>
      </c>
      <c r="Y181" s="40">
        <v>26.2783333333333</v>
      </c>
      <c r="Z181" s="40">
        <v>25.2566666666666</v>
      </c>
      <c r="AA181" s="40">
        <v>22.5216666666666</v>
      </c>
      <c r="AB181" s="40">
        <v>28.32</v>
      </c>
      <c r="AC181" s="40">
        <v>28.9</v>
      </c>
      <c r="AD181" s="40">
        <v>28.4603125660596</v>
      </c>
      <c r="AE181" s="40">
        <v>26.48358</v>
      </c>
      <c r="AF181" s="40">
        <v>1.34195999999999</v>
      </c>
      <c r="AG181" s="40">
        <v>31.99</v>
      </c>
      <c r="AH181" s="45">
        <v>44354.0</v>
      </c>
      <c r="AI181" s="44" t="str">
        <f>'6image_RS_benchmark_performance'!B181</f>
        <v>https://3arbzfbsh-cname-us.ngrok.io/Desktop/seabridge%20fintech/image_app/DVN_resistance_support.jpg</v>
      </c>
      <c r="AJ181" s="44" t="str">
        <f>'6image_RS_benchmark_performance'!C181</f>
        <v>https://3arbzfbsh-cname-us.ngrok.io/Desktop/seabridge%20fintech/profit_graph_app/DVN_Return.jpg</v>
      </c>
      <c r="AK181" s="46" t="str">
        <f>'5price_action_icon'!B181</f>
        <v>https://3arbzfbsh-cname-us.ngrok.io/Desktop/seabridge%20fintech/icon/DVN_pa_trend_signal</v>
      </c>
      <c r="AL181" s="42">
        <f>'1kpi_performance'!B181</f>
        <v>0.7472540087</v>
      </c>
      <c r="AM181" s="42">
        <f>'1kpi_performance'!C181</f>
        <v>1.010181172</v>
      </c>
      <c r="AN181" s="42">
        <f>'1kpi_performance'!D181</f>
        <v>0.3984665616</v>
      </c>
      <c r="AO181" s="42">
        <f>'1kpi_performance'!E181</f>
        <v>-0.1106259172</v>
      </c>
      <c r="AP181" s="42">
        <f>'1kpi_performance'!F181</f>
        <v>0.3814420346</v>
      </c>
      <c r="AQ181" s="42">
        <f>'1kpi_performance'!G181</f>
        <v>0.3647850246</v>
      </c>
      <c r="AR181" s="42">
        <f>'1kpi_performance'!H181</f>
        <v>0.4348065354</v>
      </c>
      <c r="AS181" s="42">
        <f>'1kpi_performance'!I181</f>
        <v>0.5522141566</v>
      </c>
      <c r="AT181" s="35">
        <f>'1kpi_performance'!J181</f>
        <v>1.893483002</v>
      </c>
      <c r="AU181" s="35">
        <f>'1kpi_performance'!K181</f>
        <v>2.70071715</v>
      </c>
      <c r="AV181" s="35">
        <f>'1kpi_performance'!L181</f>
        <v>0.8589258239</v>
      </c>
      <c r="AW181" s="35">
        <f>'1kpi_performance'!M181</f>
        <v>-0.2456038397</v>
      </c>
      <c r="AX181" s="42">
        <f>'1kpi_performance'!N181</f>
        <v>0.3114531391</v>
      </c>
      <c r="AY181" s="42">
        <f>'1kpi_performance'!O181</f>
        <v>0.1717020026</v>
      </c>
      <c r="AZ181" s="42">
        <f>'1kpi_performance'!P181</f>
        <v>0.8298351758</v>
      </c>
      <c r="BA181" s="42">
        <f>'1kpi_performance'!Q181</f>
        <v>0.9418900434</v>
      </c>
      <c r="BB181" s="35">
        <f>'1kpi_performance'!R181</f>
        <v>4.155579908</v>
      </c>
      <c r="BC181" s="35">
        <f>'1kpi_performance'!S181</f>
        <v>6.175461035</v>
      </c>
      <c r="BD181" s="35">
        <f>'1kpi_performance'!T181</f>
        <v>1.58697416</v>
      </c>
      <c r="BE181" s="35">
        <f>'1kpi_performance'!U181</f>
        <v>-0.4774939823</v>
      </c>
      <c r="BF181" s="47"/>
      <c r="BG181" s="47"/>
      <c r="BH181" s="47"/>
      <c r="BI181" s="47"/>
      <c r="BJ181" s="47"/>
      <c r="BK181" s="47"/>
      <c r="BL181" s="47"/>
      <c r="BM181" s="47"/>
      <c r="BN181" s="47"/>
      <c r="BO181" s="47"/>
      <c r="BP181" s="47"/>
      <c r="BQ181" s="47"/>
      <c r="BR181" s="47"/>
      <c r="BS181" s="47"/>
      <c r="BT181" s="47"/>
    </row>
    <row r="182" ht="11.25" customHeight="1">
      <c r="A182" s="35" t="str">
        <f>'13all_company_profile'!A182</f>
        <v>DXC</v>
      </c>
      <c r="B182" s="35" t="str">
        <f>'13all_company_profile'!B182</f>
        <v>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v>
      </c>
      <c r="C182" s="44" t="str">
        <f>'13all_company_profile'!C182</f>
        <v>https://financialmodelingprep.com/image-stock/DXC.png</v>
      </c>
      <c r="D182" s="35" t="str">
        <f>'13all_company_profile'!D182</f>
        <v>DXC Technology Company</v>
      </c>
      <c r="E182" s="36">
        <f>'13all_company_profile'!E182</f>
        <v>10064546816</v>
      </c>
      <c r="F182" s="37">
        <f>'13all_company_profile'!F182</f>
        <v>2341468</v>
      </c>
      <c r="G182" s="35">
        <f>'13all_company_profile'!G182</f>
        <v>0.21</v>
      </c>
      <c r="H182" s="38">
        <f>'13all_company_profile'!H182</f>
        <v>44412</v>
      </c>
      <c r="I182" s="35" t="str">
        <f>'13all_company_profile'!I182</f>
        <v>NaN</v>
      </c>
      <c r="J182" s="35">
        <f>'13all_company_profile'!J182</f>
        <v>-0.59</v>
      </c>
      <c r="K182" s="42">
        <f t="shared" si="1"/>
        <v>0.00543618949</v>
      </c>
      <c r="L182" s="35">
        <f>'7company_info'!B182</f>
        <v>38.63</v>
      </c>
      <c r="M182" s="35">
        <f>'7company_info'!C182</f>
        <v>38.97</v>
      </c>
      <c r="N182" s="35">
        <f>'7company_info'!D182</f>
        <v>37.45</v>
      </c>
      <c r="O182" s="35">
        <f>'7company_info'!E182</f>
        <v>1.06</v>
      </c>
      <c r="P182" s="35">
        <f>'7company_info'!F182</f>
        <v>0.0282</v>
      </c>
      <c r="Q182" s="35">
        <f>'7company_info'!G182</f>
        <v>37.73</v>
      </c>
      <c r="R182" s="35">
        <f>'7company_info'!H182</f>
        <v>37.57</v>
      </c>
      <c r="S182" s="35">
        <f>'7company_info'!I182</f>
        <v>15.64</v>
      </c>
      <c r="T182" s="35">
        <f>'7company_info'!J182</f>
        <v>41.75</v>
      </c>
      <c r="U182" s="39">
        <v>39.7064</v>
      </c>
      <c r="V182" s="39">
        <v>40.1328</v>
      </c>
      <c r="W182" s="40">
        <v>40.8156</v>
      </c>
      <c r="X182" s="40">
        <v>41.9248</v>
      </c>
      <c r="Y182" s="40">
        <v>39.0236</v>
      </c>
      <c r="Z182" s="40">
        <v>38.5972</v>
      </c>
      <c r="AA182" s="40">
        <v>37.488</v>
      </c>
      <c r="AB182" s="40">
        <v>38.8589</v>
      </c>
      <c r="AC182" s="40">
        <v>39.913</v>
      </c>
      <c r="AD182" s="40">
        <v>39.2534066866039</v>
      </c>
      <c r="AE182" s="40">
        <v>37.22955</v>
      </c>
      <c r="AF182" s="40">
        <v>1.28618499999999</v>
      </c>
      <c r="AG182" s="40">
        <v>41.75</v>
      </c>
      <c r="AH182" s="45">
        <v>44361.0</v>
      </c>
      <c r="AI182" s="44" t="str">
        <f>'6image_RS_benchmark_performance'!B182</f>
        <v>https://3arbzfbsh-cname-us.ngrok.io/Desktop/seabridge%20fintech/image_app/DXC_resistance_support.jpg</v>
      </c>
      <c r="AJ182" s="44" t="str">
        <f>'6image_RS_benchmark_performance'!C182</f>
        <v>https://3arbzfbsh-cname-us.ngrok.io/Desktop/seabridge%20fintech/profit_graph_app/DXC_Return.jpg</v>
      </c>
      <c r="AK182" s="46" t="str">
        <f>'5price_action_icon'!B182</f>
        <v>https://3arbzfbsh-cname-us.ngrok.io/Desktop/seabridge%20fintech/icon/DXC_pa_trend_signal</v>
      </c>
      <c r="AL182" s="42">
        <f>'1kpi_performance'!B182</f>
        <v>0.8378774381</v>
      </c>
      <c r="AM182" s="42">
        <f>'1kpi_performance'!C182</f>
        <v>1.21012444</v>
      </c>
      <c r="AN182" s="42">
        <f>'1kpi_performance'!D182</f>
        <v>0.680039325</v>
      </c>
      <c r="AO182" s="42">
        <f>'1kpi_performance'!E182</f>
        <v>0.08807198355</v>
      </c>
      <c r="AP182" s="42">
        <f>'1kpi_performance'!F182</f>
        <v>0.3825908374</v>
      </c>
      <c r="AQ182" s="42">
        <f>'1kpi_performance'!G182</f>
        <v>0.3748784024</v>
      </c>
      <c r="AR182" s="42">
        <f>'1kpi_performance'!H182</f>
        <v>0.4053512308</v>
      </c>
      <c r="AS182" s="42">
        <f>'1kpi_performance'!I182</f>
        <v>0.532417819</v>
      </c>
      <c r="AT182" s="35">
        <f>'1kpi_performance'!J182</f>
        <v>2.1246652</v>
      </c>
      <c r="AU182" s="35">
        <f>'1kpi_performance'!K182</f>
        <v>3.161356943</v>
      </c>
      <c r="AV182" s="35">
        <f>'1kpi_performance'!L182</f>
        <v>1.615979613</v>
      </c>
      <c r="AW182" s="35">
        <f>'1kpi_performance'!M182</f>
        <v>0.118463322</v>
      </c>
      <c r="AX182" s="42">
        <f>'1kpi_performance'!N182</f>
        <v>0.2448875256</v>
      </c>
      <c r="AY182" s="42">
        <f>'1kpi_performance'!O182</f>
        <v>0.2377531025</v>
      </c>
      <c r="AZ182" s="42">
        <f>'1kpi_performance'!P182</f>
        <v>0.7464799867</v>
      </c>
      <c r="BA182" s="42">
        <f>'1kpi_performance'!Q182</f>
        <v>0.9034031957</v>
      </c>
      <c r="BB182" s="35">
        <f>'1kpi_performance'!R182</f>
        <v>5.536276525</v>
      </c>
      <c r="BC182" s="35">
        <f>'1kpi_performance'!S182</f>
        <v>9.531038253</v>
      </c>
      <c r="BD182" s="35">
        <f>'1kpi_performance'!T182</f>
        <v>3.496359704</v>
      </c>
      <c r="BE182" s="35">
        <f>'1kpi_performance'!U182</f>
        <v>0.2337596316</v>
      </c>
      <c r="BF182" s="47"/>
      <c r="BG182" s="47"/>
      <c r="BH182" s="47"/>
      <c r="BI182" s="47"/>
      <c r="BJ182" s="47"/>
      <c r="BK182" s="47"/>
      <c r="BL182" s="47"/>
      <c r="BM182" s="47"/>
      <c r="BN182" s="47"/>
      <c r="BO182" s="47"/>
      <c r="BP182" s="47"/>
      <c r="BQ182" s="47"/>
      <c r="BR182" s="47"/>
      <c r="BS182" s="47"/>
      <c r="BT182" s="47"/>
    </row>
    <row r="183" ht="11.25" customHeight="1">
      <c r="A183" s="35" t="str">
        <f>'13all_company_profile'!A183</f>
        <v>DXCM</v>
      </c>
      <c r="B183" s="35" t="str">
        <f>'13all_company_profile'!B183</f>
        <v>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v>
      </c>
      <c r="C183" s="44" t="str">
        <f>'13all_company_profile'!C183</f>
        <v>https://financialmodelingprep.com/image-stock/DXCM.png</v>
      </c>
      <c r="D183" s="35" t="str">
        <f>'13all_company_profile'!D183</f>
        <v>DexCom, Inc.</v>
      </c>
      <c r="E183" s="36">
        <f>'13all_company_profile'!E183</f>
        <v>42687922176</v>
      </c>
      <c r="F183" s="37">
        <f>'13all_company_profile'!F183</f>
        <v>807744</v>
      </c>
      <c r="G183" s="35">
        <f>'13all_company_profile'!G183</f>
        <v>0</v>
      </c>
      <c r="H183" s="38">
        <f>'13all_company_profile'!H183</f>
        <v>44403</v>
      </c>
      <c r="I183" s="35">
        <f>'13all_company_profile'!I183</f>
        <v>86.20365</v>
      </c>
      <c r="J183" s="35">
        <f>'13all_company_profile'!J183</f>
        <v>5.205</v>
      </c>
      <c r="K183" s="42" t="str">
        <f t="shared" si="1"/>
        <v>NaN</v>
      </c>
      <c r="L183" s="35">
        <f>'7company_info'!B183</f>
        <v>447.7</v>
      </c>
      <c r="M183" s="35">
        <f>'7company_info'!C183</f>
        <v>451.33</v>
      </c>
      <c r="N183" s="35">
        <f>'7company_info'!D183</f>
        <v>431.15</v>
      </c>
      <c r="O183" s="35">
        <f>'7company_info'!E183</f>
        <v>12.65</v>
      </c>
      <c r="P183" s="35">
        <f>'7company_info'!F183</f>
        <v>0.0291</v>
      </c>
      <c r="Q183" s="35">
        <f>'7company_info'!G183</f>
        <v>434.88</v>
      </c>
      <c r="R183" s="35">
        <f>'7company_info'!H183</f>
        <v>435.05</v>
      </c>
      <c r="S183" s="35">
        <f>'7company_info'!I183</f>
        <v>305.63</v>
      </c>
      <c r="T183" s="35">
        <f>'7company_info'!J183</f>
        <v>456.23</v>
      </c>
      <c r="U183" s="39">
        <v>443.024966666666</v>
      </c>
      <c r="V183" s="39">
        <v>447.205033333333</v>
      </c>
      <c r="W183" s="40">
        <v>453.920066666666</v>
      </c>
      <c r="X183" s="40">
        <v>464.815166666666</v>
      </c>
      <c r="Y183" s="40">
        <v>436.309933333333</v>
      </c>
      <c r="Z183" s="40">
        <v>432.129866666666</v>
      </c>
      <c r="AA183" s="40">
        <v>421.234766666666</v>
      </c>
      <c r="AB183" s="40">
        <v>435.42</v>
      </c>
      <c r="AC183" s="40">
        <v>449.82</v>
      </c>
      <c r="AD183" s="40">
        <v>427.841522239399</v>
      </c>
      <c r="AE183" s="40">
        <v>425.0912</v>
      </c>
      <c r="AF183" s="40">
        <v>10.613655</v>
      </c>
      <c r="AG183" s="40">
        <v>439.62</v>
      </c>
      <c r="AH183" s="45">
        <v>44371.0</v>
      </c>
      <c r="AI183" s="44" t="str">
        <f>'6image_RS_benchmark_performance'!B183</f>
        <v>https://3arbzfbsh-cname-us.ngrok.io/Desktop/seabridge%20fintech/image_app/DXCM_resistance_support.jpg</v>
      </c>
      <c r="AJ183" s="44" t="str">
        <f>'6image_RS_benchmark_performance'!C183</f>
        <v>https://3arbzfbsh-cname-us.ngrok.io/Desktop/seabridge%20fintech/profit_graph_app/DXCM_Return.jpg</v>
      </c>
      <c r="AK183" s="46" t="str">
        <f>'5price_action_icon'!B183</f>
        <v>https://3arbzfbsh-cname-us.ngrok.io/Desktop/seabridge%20fintech/icon/DXCM_pa_trend_signal</v>
      </c>
      <c r="AL183" s="42">
        <f>'1kpi_performance'!B183</f>
        <v>1.651703621</v>
      </c>
      <c r="AM183" s="42">
        <f>'1kpi_performance'!C183</f>
        <v>2.08101739</v>
      </c>
      <c r="AN183" s="42">
        <f>'1kpi_performance'!D183</f>
        <v>1.268028711</v>
      </c>
      <c r="AO183" s="42">
        <f>'1kpi_performance'!E183</f>
        <v>0.608027207</v>
      </c>
      <c r="AP183" s="42">
        <f>'1kpi_performance'!F183</f>
        <v>0.3804718987</v>
      </c>
      <c r="AQ183" s="42">
        <f>'1kpi_performance'!G183</f>
        <v>0.4199309581</v>
      </c>
      <c r="AR183" s="42">
        <f>'1kpi_performance'!H183</f>
        <v>0.4170726161</v>
      </c>
      <c r="AS183" s="42">
        <f>'1kpi_performance'!I183</f>
        <v>0.5645987276</v>
      </c>
      <c r="AT183" s="35">
        <f>'1kpi_performance'!J183</f>
        <v>4.275489534</v>
      </c>
      <c r="AU183" s="35">
        <f>'1kpi_performance'!K183</f>
        <v>4.896084346</v>
      </c>
      <c r="AV183" s="35">
        <f>'1kpi_performance'!L183</f>
        <v>2.9803652</v>
      </c>
      <c r="AW183" s="35">
        <f>'1kpi_performance'!M183</f>
        <v>1.032639959</v>
      </c>
      <c r="AX183" s="42">
        <f>'1kpi_performance'!N183</f>
        <v>0.1369355154</v>
      </c>
      <c r="AY183" s="42">
        <f>'1kpi_performance'!O183</f>
        <v>0.1382020973</v>
      </c>
      <c r="AZ183" s="42">
        <f>'1kpi_performance'!P183</f>
        <v>0.4068836713</v>
      </c>
      <c r="BA183" s="42">
        <f>'1kpi_performance'!Q183</f>
        <v>0.586722488</v>
      </c>
      <c r="BB183" s="35">
        <f>'1kpi_performance'!R183</f>
        <v>11.54735673</v>
      </c>
      <c r="BC183" s="35">
        <f>'1kpi_performance'!S183</f>
        <v>13.73066155</v>
      </c>
      <c r="BD183" s="35">
        <f>'1kpi_performance'!T183</f>
        <v>6.347381625</v>
      </c>
      <c r="BE183" s="35">
        <f>'1kpi_performance'!U183</f>
        <v>2.093975341</v>
      </c>
      <c r="BF183" s="47"/>
      <c r="BG183" s="47"/>
      <c r="BH183" s="47"/>
      <c r="BI183" s="47"/>
      <c r="BJ183" s="47"/>
      <c r="BK183" s="47"/>
      <c r="BL183" s="47"/>
      <c r="BM183" s="47"/>
      <c r="BN183" s="47"/>
      <c r="BO183" s="47"/>
      <c r="BP183" s="47"/>
      <c r="BQ183" s="47"/>
      <c r="BR183" s="47"/>
      <c r="BS183" s="47"/>
      <c r="BT183" s="47"/>
    </row>
    <row r="184" ht="11.25" customHeight="1">
      <c r="A184" s="35" t="str">
        <f>'13all_company_profile'!A184</f>
        <v>EA</v>
      </c>
      <c r="B184" s="35" t="str">
        <f>'13all_company_profile'!B184</f>
        <v>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v>
      </c>
      <c r="C184" s="44" t="str">
        <f>'13all_company_profile'!C184</f>
        <v>https://financialmodelingprep.com/image-stock/EA.png</v>
      </c>
      <c r="D184" s="35" t="str">
        <f>'13all_company_profile'!D184</f>
        <v>Electronic Arts Inc.</v>
      </c>
      <c r="E184" s="36">
        <f>'13all_company_profile'!E184</f>
        <v>40762814464</v>
      </c>
      <c r="F184" s="37">
        <f>'13all_company_profile'!F184</f>
        <v>2146419</v>
      </c>
      <c r="G184" s="35">
        <f>'13all_company_profile'!G184</f>
        <v>0.51</v>
      </c>
      <c r="H184" s="38">
        <f>'13all_company_profile'!H184</f>
        <v>44412</v>
      </c>
      <c r="I184" s="35">
        <f>'13all_company_profile'!I184</f>
        <v>49.822304</v>
      </c>
      <c r="J184" s="35">
        <f>'13all_company_profile'!J184</f>
        <v>2.87</v>
      </c>
      <c r="K184" s="42">
        <f t="shared" si="1"/>
        <v>0.003615226483</v>
      </c>
      <c r="L184" s="35">
        <f>'7company_info'!B184</f>
        <v>141.07</v>
      </c>
      <c r="M184" s="35">
        <f>'7company_info'!C184</f>
        <v>141.99</v>
      </c>
      <c r="N184" s="35">
        <f>'7company_info'!D184</f>
        <v>139.88</v>
      </c>
      <c r="O184" s="35">
        <f>'7company_info'!E184</f>
        <v>-0.17</v>
      </c>
      <c r="P184" s="35">
        <f>'7company_info'!F184</f>
        <v>-0.0012</v>
      </c>
      <c r="Q184" s="35">
        <f>'7company_info'!G184</f>
        <v>141.35</v>
      </c>
      <c r="R184" s="35">
        <f>'7company_info'!H184</f>
        <v>141.24</v>
      </c>
      <c r="S184" s="35">
        <f>'7company_info'!I184</f>
        <v>110.15</v>
      </c>
      <c r="T184" s="35">
        <f>'7company_info'!J184</f>
        <v>150.3</v>
      </c>
      <c r="U184" s="39">
        <v>143.549999999999</v>
      </c>
      <c r="V184" s="39">
        <v>144.569999999999</v>
      </c>
      <c r="W184" s="40">
        <v>146.019999999999</v>
      </c>
      <c r="X184" s="40">
        <v>148.489999999999</v>
      </c>
      <c r="Y184" s="40">
        <v>142.099999999999</v>
      </c>
      <c r="Z184" s="40">
        <v>141.079999999999</v>
      </c>
      <c r="AA184" s="40">
        <v>138.61</v>
      </c>
      <c r="AB184" s="40">
        <v>144.31</v>
      </c>
      <c r="AC184" s="40">
        <v>139.72</v>
      </c>
      <c r="AD184" s="40">
        <v>142.307416584632</v>
      </c>
      <c r="AE184" s="40">
        <v>137.72315</v>
      </c>
      <c r="AF184" s="40">
        <v>2.655925</v>
      </c>
      <c r="AG184" s="40">
        <v>150.3</v>
      </c>
      <c r="AH184" s="45">
        <v>44221.0</v>
      </c>
      <c r="AI184" s="44" t="str">
        <f>'6image_RS_benchmark_performance'!B184</f>
        <v>https://3arbzfbsh-cname-us.ngrok.io/Desktop/seabridge%20fintech/image_app/EA_resistance_support.jpg</v>
      </c>
      <c r="AJ184" s="44" t="str">
        <f>'6image_RS_benchmark_performance'!C184</f>
        <v>https://3arbzfbsh-cname-us.ngrok.io/Desktop/seabridge%20fintech/profit_graph_app/EA_Return.jpg</v>
      </c>
      <c r="AK184" s="46" t="str">
        <f>'5price_action_icon'!B184</f>
        <v>https://3arbzfbsh-cname-us.ngrok.io/Desktop/seabridge%20fintech/icon/EA_pa_trend_signal</v>
      </c>
      <c r="AL184" s="42">
        <f>'1kpi_performance'!B184</f>
        <v>0.7746881932</v>
      </c>
      <c r="AM184" s="42">
        <f>'1kpi_performance'!C184</f>
        <v>1.085579801</v>
      </c>
      <c r="AN184" s="42">
        <f>'1kpi_performance'!D184</f>
        <v>0.8042792286</v>
      </c>
      <c r="AO184" s="42">
        <f>'1kpi_performance'!E184</f>
        <v>0.300468262</v>
      </c>
      <c r="AP184" s="42">
        <f>'1kpi_performance'!F184</f>
        <v>0.2846258365</v>
      </c>
      <c r="AQ184" s="42">
        <f>'1kpi_performance'!G184</f>
        <v>0.2945386476</v>
      </c>
      <c r="AR184" s="42">
        <f>'1kpi_performance'!H184</f>
        <v>0.2828176468</v>
      </c>
      <c r="AS184" s="42">
        <f>'1kpi_performance'!I184</f>
        <v>0.4053246908</v>
      </c>
      <c r="AT184" s="35">
        <f>'1kpi_performance'!J184</f>
        <v>2.633942872</v>
      </c>
      <c r="AU184" s="35">
        <f>'1kpi_performance'!K184</f>
        <v>3.600817106</v>
      </c>
      <c r="AV184" s="35">
        <f>'1kpi_performance'!L184</f>
        <v>2.755412321</v>
      </c>
      <c r="AW184" s="35">
        <f>'1kpi_performance'!M184</f>
        <v>0.67962369</v>
      </c>
      <c r="AX184" s="42">
        <f>'1kpi_performance'!N184</f>
        <v>0.2640927708</v>
      </c>
      <c r="AY184" s="42">
        <f>'1kpi_performance'!O184</f>
        <v>0.1400174273</v>
      </c>
      <c r="AZ184" s="42">
        <f>'1kpi_performance'!P184</f>
        <v>0.2619889553</v>
      </c>
      <c r="BA184" s="42">
        <f>'1kpi_performance'!Q184</f>
        <v>0.5656746032</v>
      </c>
      <c r="BB184" s="35">
        <f>'1kpi_performance'!R184</f>
        <v>6.269736854</v>
      </c>
      <c r="BC184" s="35">
        <f>'1kpi_performance'!S184</f>
        <v>9.42107358</v>
      </c>
      <c r="BD184" s="35">
        <f>'1kpi_performance'!T184</f>
        <v>6.104360705</v>
      </c>
      <c r="BE184" s="35">
        <f>'1kpi_performance'!U184</f>
        <v>1.437609561</v>
      </c>
      <c r="BF184" s="47"/>
      <c r="BG184" s="47"/>
      <c r="BH184" s="47"/>
      <c r="BI184" s="47"/>
      <c r="BJ184" s="47"/>
      <c r="BK184" s="47"/>
      <c r="BL184" s="47"/>
      <c r="BM184" s="47"/>
      <c r="BN184" s="47"/>
      <c r="BO184" s="47"/>
      <c r="BP184" s="47"/>
      <c r="BQ184" s="47"/>
      <c r="BR184" s="47"/>
      <c r="BS184" s="47"/>
      <c r="BT184" s="47"/>
    </row>
    <row r="185" ht="11.25" customHeight="1">
      <c r="A185" s="35" t="str">
        <f>'13all_company_profile'!A185</f>
        <v>EBAY</v>
      </c>
      <c r="B185" s="35" t="str">
        <f>'13all_company_profile'!B185</f>
        <v>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v>
      </c>
      <c r="C185" s="44" t="str">
        <f>'13all_company_profile'!C185</f>
        <v>https://financialmodelingprep.com/image-stock/EBAY.png</v>
      </c>
      <c r="D185" s="35" t="str">
        <f>'13all_company_profile'!D185</f>
        <v>eBay Inc.</v>
      </c>
      <c r="E185" s="36">
        <f>'13all_company_profile'!E185</f>
        <v>46421192704</v>
      </c>
      <c r="F185" s="37">
        <f>'13all_company_profile'!F185</f>
        <v>7586346</v>
      </c>
      <c r="G185" s="35">
        <f>'13all_company_profile'!G185</f>
        <v>0.68</v>
      </c>
      <c r="H185" s="38">
        <f>'13all_company_profile'!H185</f>
        <v>44403</v>
      </c>
      <c r="I185" s="35">
        <f>'13all_company_profile'!I185</f>
        <v>16.572884</v>
      </c>
      <c r="J185" s="35">
        <f>'13all_company_profile'!J185</f>
        <v>4.123</v>
      </c>
      <c r="K185" s="42">
        <f t="shared" si="1"/>
        <v>0.009774328015</v>
      </c>
      <c r="L185" s="35">
        <f>'7company_info'!B185</f>
        <v>69.57</v>
      </c>
      <c r="M185" s="35">
        <f>'7company_info'!C185</f>
        <v>69.61</v>
      </c>
      <c r="N185" s="35">
        <f>'7company_info'!D185</f>
        <v>68.58</v>
      </c>
      <c r="O185" s="35">
        <f>'7company_info'!E185</f>
        <v>1.04</v>
      </c>
      <c r="P185" s="35">
        <f>'7company_info'!F185</f>
        <v>0.0152</v>
      </c>
      <c r="Q185" s="35">
        <f>'7company_info'!G185</f>
        <v>68.7</v>
      </c>
      <c r="R185" s="35">
        <f>'7company_info'!H185</f>
        <v>68.53</v>
      </c>
      <c r="S185" s="35">
        <f>'7company_info'!I185</f>
        <v>45.36</v>
      </c>
      <c r="T185" s="35">
        <f>'7company_info'!J185</f>
        <v>70.77</v>
      </c>
      <c r="U185" s="39">
        <v>68.7666666666666</v>
      </c>
      <c r="V185" s="39">
        <v>69.5733333333333</v>
      </c>
      <c r="W185" s="40">
        <v>71.1166666666666</v>
      </c>
      <c r="X185" s="40">
        <v>73.4666666666666</v>
      </c>
      <c r="Y185" s="40">
        <v>67.2233333333333</v>
      </c>
      <c r="Z185" s="40">
        <v>66.4166666666666</v>
      </c>
      <c r="AA185" s="40">
        <v>64.0666666666666</v>
      </c>
      <c r="AB185" s="40">
        <v>67.57</v>
      </c>
      <c r="AC185" s="40">
        <v>69.465</v>
      </c>
      <c r="AD185" s="40">
        <v>67.7837773370941</v>
      </c>
      <c r="AE185" s="40">
        <v>65.9455</v>
      </c>
      <c r="AF185" s="40">
        <v>1.47075</v>
      </c>
      <c r="AG185" s="40">
        <v>70.765</v>
      </c>
      <c r="AH185" s="45">
        <v>44378.0</v>
      </c>
      <c r="AI185" s="44" t="str">
        <f>'6image_RS_benchmark_performance'!B185</f>
        <v>https://3arbzfbsh-cname-us.ngrok.io/Desktop/seabridge%20fintech/image_app/EBAY_resistance_support.jpg</v>
      </c>
      <c r="AJ185" s="44" t="str">
        <f>'6image_RS_benchmark_performance'!C185</f>
        <v>https://3arbzfbsh-cname-us.ngrok.io/Desktop/seabridge%20fintech/profit_graph_app/EBAY_Return.jpg</v>
      </c>
      <c r="AK185" s="46" t="str">
        <f>'5price_action_icon'!B185</f>
        <v>https://3arbzfbsh-cname-us.ngrok.io/Desktop/seabridge%20fintech/icon/EBAY_pa_trend_signal</v>
      </c>
      <c r="AL185" s="42">
        <f>'1kpi_performance'!B185</f>
        <v>0.7888613622</v>
      </c>
      <c r="AM185" s="42">
        <f>'1kpi_performance'!C185</f>
        <v>0.8363819526</v>
      </c>
      <c r="AN185" s="42">
        <f>'1kpi_performance'!D185</f>
        <v>0.7764728396</v>
      </c>
      <c r="AO185" s="42">
        <f>'1kpi_performance'!E185</f>
        <v>0.2674377717</v>
      </c>
      <c r="AP185" s="42">
        <f>'1kpi_performance'!F185</f>
        <v>0.2416093675</v>
      </c>
      <c r="AQ185" s="42">
        <f>'1kpi_performance'!G185</f>
        <v>0.2552262243</v>
      </c>
      <c r="AR185" s="42">
        <f>'1kpi_performance'!H185</f>
        <v>0.2517227523</v>
      </c>
      <c r="AS185" s="42">
        <f>'1kpi_performance'!I185</f>
        <v>0.3523281976</v>
      </c>
      <c r="AT185" s="35">
        <f>'1kpi_performance'!J185</f>
        <v>3.161555241</v>
      </c>
      <c r="AU185" s="35">
        <f>'1kpi_performance'!K185</f>
        <v>3.179069685</v>
      </c>
      <c r="AV185" s="35">
        <f>'1kpi_performance'!L185</f>
        <v>2.985319494</v>
      </c>
      <c r="AW185" s="35">
        <f>'1kpi_performance'!M185</f>
        <v>0.6881020971</v>
      </c>
      <c r="AX185" s="42">
        <f>'1kpi_performance'!N185</f>
        <v>0.1250253061</v>
      </c>
      <c r="AY185" s="42">
        <f>'1kpi_performance'!O185</f>
        <v>0.1519890155</v>
      </c>
      <c r="AZ185" s="42">
        <f>'1kpi_performance'!P185</f>
        <v>0.3156664069</v>
      </c>
      <c r="BA185" s="42">
        <f>'1kpi_performance'!Q185</f>
        <v>0.43407664</v>
      </c>
      <c r="BB185" s="35">
        <f>'1kpi_performance'!R185</f>
        <v>7.570048123</v>
      </c>
      <c r="BC185" s="35">
        <f>'1kpi_performance'!S185</f>
        <v>7.665580154</v>
      </c>
      <c r="BD185" s="35">
        <f>'1kpi_performance'!T185</f>
        <v>6.615180869</v>
      </c>
      <c r="BE185" s="35">
        <f>'1kpi_performance'!U185</f>
        <v>1.382401153</v>
      </c>
      <c r="BF185" s="47"/>
      <c r="BG185" s="47"/>
      <c r="BH185" s="47"/>
      <c r="BI185" s="47"/>
      <c r="BJ185" s="47"/>
      <c r="BK185" s="47"/>
      <c r="BL185" s="47"/>
      <c r="BM185" s="47"/>
      <c r="BN185" s="47"/>
      <c r="BO185" s="47"/>
      <c r="BP185" s="47"/>
      <c r="BQ185" s="47"/>
      <c r="BR185" s="47"/>
      <c r="BS185" s="47"/>
      <c r="BT185" s="47"/>
    </row>
    <row r="186" ht="11.25" customHeight="1">
      <c r="A186" s="35" t="str">
        <f>'13all_company_profile'!A186</f>
        <v>ECL</v>
      </c>
      <c r="B186" s="35" t="str">
        <f>'13all_company_profile'!B186</f>
        <v>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v>
      </c>
      <c r="C186" s="44" t="str">
        <f>'13all_company_profile'!C186</f>
        <v>https://financialmodelingprep.com/image-stock/ECL.png</v>
      </c>
      <c r="D186" s="35" t="str">
        <f>'13all_company_profile'!D186</f>
        <v>Ecolab Inc.</v>
      </c>
      <c r="E186" s="36">
        <f>'13all_company_profile'!E186</f>
        <v>61316329472</v>
      </c>
      <c r="F186" s="37">
        <f>'13all_company_profile'!F186</f>
        <v>1108574</v>
      </c>
      <c r="G186" s="35">
        <f>'13all_company_profile'!G186</f>
        <v>1.91</v>
      </c>
      <c r="H186" s="38">
        <f>'13all_company_profile'!H186</f>
        <v>44404</v>
      </c>
      <c r="I186" s="35" t="str">
        <f>'13all_company_profile'!I186</f>
        <v>NaN</v>
      </c>
      <c r="J186" s="35">
        <f>'13all_company_profile'!J186</f>
        <v>-4.528</v>
      </c>
      <c r="K186" s="42">
        <f t="shared" si="1"/>
        <v>0.008916900093</v>
      </c>
      <c r="L186" s="35">
        <f>'7company_info'!B186</f>
        <v>214.2</v>
      </c>
      <c r="M186" s="35">
        <f>'7company_info'!C186</f>
        <v>215.79</v>
      </c>
      <c r="N186" s="35">
        <f>'7company_info'!D186</f>
        <v>209.55</v>
      </c>
      <c r="O186" s="35">
        <f>'7company_info'!E186</f>
        <v>3.86</v>
      </c>
      <c r="P186" s="35">
        <f>'7company_info'!F186</f>
        <v>0.0184</v>
      </c>
      <c r="Q186" s="35">
        <f>'7company_info'!G186</f>
        <v>209.98</v>
      </c>
      <c r="R186" s="35">
        <f>'7company_info'!H186</f>
        <v>210.34</v>
      </c>
      <c r="S186" s="35">
        <f>'7company_info'!I186</f>
        <v>181.25</v>
      </c>
      <c r="T186" s="35">
        <f>'7company_info'!J186</f>
        <v>230</v>
      </c>
      <c r="U186" s="39">
        <v>213.36</v>
      </c>
      <c r="V186" s="39">
        <v>214.74</v>
      </c>
      <c r="W186" s="40">
        <v>215.73</v>
      </c>
      <c r="X186" s="40">
        <v>218.1</v>
      </c>
      <c r="Y186" s="40">
        <v>212.37</v>
      </c>
      <c r="Z186" s="40">
        <v>210.99</v>
      </c>
      <c r="AA186" s="40">
        <v>208.62</v>
      </c>
      <c r="AB186" s="40">
        <v>209.75</v>
      </c>
      <c r="AC186" s="40">
        <v>210.755</v>
      </c>
      <c r="AD186" s="40">
        <v>211.333000867265</v>
      </c>
      <c r="AE186" s="40">
        <v>205.70994</v>
      </c>
      <c r="AF186" s="40">
        <v>3.43452999999999</v>
      </c>
      <c r="AG186" s="40">
        <v>230.0</v>
      </c>
      <c r="AH186" s="45">
        <v>44326.0</v>
      </c>
      <c r="AI186" s="44" t="str">
        <f>'6image_RS_benchmark_performance'!B186</f>
        <v>https://3arbzfbsh-cname-us.ngrok.io/Desktop/seabridge%20fintech/image_app/ECL_resistance_support.jpg</v>
      </c>
      <c r="AJ186" s="44" t="str">
        <f>'6image_RS_benchmark_performance'!C186</f>
        <v>https://3arbzfbsh-cname-us.ngrok.io/Desktop/seabridge%20fintech/profit_graph_app/ECL_Return.jpg</v>
      </c>
      <c r="AK186" s="46" t="str">
        <f>'5price_action_icon'!B186</f>
        <v>https://3arbzfbsh-cname-us.ngrok.io/Desktop/seabridge%20fintech/icon/ECL_pa_trend_signal</v>
      </c>
      <c r="AL186" s="42">
        <f>'1kpi_performance'!B186</f>
        <v>0.4507127841</v>
      </c>
      <c r="AM186" s="42">
        <f>'1kpi_performance'!C186</f>
        <v>0.5403511198</v>
      </c>
      <c r="AN186" s="42">
        <f>'1kpi_performance'!D186</f>
        <v>0.4363330833</v>
      </c>
      <c r="AO186" s="42">
        <f>'1kpi_performance'!E186</f>
        <v>0.2115957354</v>
      </c>
      <c r="AP186" s="42">
        <f>'1kpi_performance'!F186</f>
        <v>0.1671076489</v>
      </c>
      <c r="AQ186" s="42">
        <f>'1kpi_performance'!G186</f>
        <v>0.1785240343</v>
      </c>
      <c r="AR186" s="42">
        <f>'1kpi_performance'!H186</f>
        <v>0.2069015905</v>
      </c>
      <c r="AS186" s="42">
        <f>'1kpi_performance'!I186</f>
        <v>0.2739329315</v>
      </c>
      <c r="AT186" s="35">
        <f>'1kpi_performance'!J186</f>
        <v>2.547536195</v>
      </c>
      <c r="AU186" s="35">
        <f>'1kpi_performance'!K186</f>
        <v>2.886732433</v>
      </c>
      <c r="AV186" s="35">
        <f>'1kpi_performance'!L186</f>
        <v>1.988061485</v>
      </c>
      <c r="AW186" s="35">
        <f>'1kpi_performance'!M186</f>
        <v>0.6811730681</v>
      </c>
      <c r="AX186" s="42">
        <f>'1kpi_performance'!N186</f>
        <v>0.09107806691</v>
      </c>
      <c r="AY186" s="42">
        <f>'1kpi_performance'!O186</f>
        <v>0.09270826891</v>
      </c>
      <c r="AZ186" s="42">
        <f>'1kpi_performance'!P186</f>
        <v>0.3871978076</v>
      </c>
      <c r="BA186" s="42">
        <f>'1kpi_performance'!Q186</f>
        <v>0.4045932195</v>
      </c>
      <c r="BB186" s="35">
        <f>'1kpi_performance'!R186</f>
        <v>5.368965696</v>
      </c>
      <c r="BC186" s="35">
        <f>'1kpi_performance'!S186</f>
        <v>6.520066261</v>
      </c>
      <c r="BD186" s="35">
        <f>'1kpi_performance'!T186</f>
        <v>4.01185063</v>
      </c>
      <c r="BE186" s="35">
        <f>'1kpi_performance'!U186</f>
        <v>1.303326627</v>
      </c>
      <c r="BF186" s="47"/>
      <c r="BG186" s="47"/>
      <c r="BH186" s="47"/>
      <c r="BI186" s="47"/>
      <c r="BJ186" s="47"/>
      <c r="BK186" s="47"/>
      <c r="BL186" s="47"/>
      <c r="BM186" s="47"/>
      <c r="BN186" s="47"/>
      <c r="BO186" s="47"/>
      <c r="BP186" s="47"/>
      <c r="BQ186" s="47"/>
      <c r="BR186" s="47"/>
      <c r="BS186" s="47"/>
      <c r="BT186" s="47"/>
    </row>
    <row r="187" ht="11.25" customHeight="1">
      <c r="A187" s="35" t="str">
        <f>'13all_company_profile'!A187</f>
        <v>ED</v>
      </c>
      <c r="B187" s="35" t="str">
        <f>'13all_company_profile'!B187</f>
        <v>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v>
      </c>
      <c r="C187" s="44" t="str">
        <f>'13all_company_profile'!C187</f>
        <v>https://financialmodelingprep.com/image-stock/ED.png</v>
      </c>
      <c r="D187" s="35" t="str">
        <f>'13all_company_profile'!D187</f>
        <v>Consolidated Edison, Inc.</v>
      </c>
      <c r="E187" s="36">
        <f>'13all_company_profile'!E187</f>
        <v>26272088064</v>
      </c>
      <c r="F187" s="37">
        <f>'13all_company_profile'!F187</f>
        <v>2024884</v>
      </c>
      <c r="G187" s="35">
        <f>'13all_company_profile'!G187</f>
        <v>3.08</v>
      </c>
      <c r="H187" s="38">
        <f>'13all_company_profile'!H187</f>
        <v>44412</v>
      </c>
      <c r="I187" s="35">
        <f>'13all_company_profile'!I187</f>
        <v>22.154028</v>
      </c>
      <c r="J187" s="35">
        <f>'13all_company_profile'!J187</f>
        <v>3.389</v>
      </c>
      <c r="K187" s="42">
        <f t="shared" si="1"/>
        <v>0.04186489058</v>
      </c>
      <c r="L187" s="35">
        <f>'7company_info'!B187</f>
        <v>73.57</v>
      </c>
      <c r="M187" s="35">
        <f>'7company_info'!C187</f>
        <v>74.63</v>
      </c>
      <c r="N187" s="35">
        <f>'7company_info'!D187</f>
        <v>72.62</v>
      </c>
      <c r="O187" s="35">
        <f>'7company_info'!E187</f>
        <v>-0.2</v>
      </c>
      <c r="P187" s="35">
        <f>'7company_info'!F187</f>
        <v>-0.0027</v>
      </c>
      <c r="Q187" s="35">
        <f>'7company_info'!G187</f>
        <v>72.63</v>
      </c>
      <c r="R187" s="35">
        <f>'7company_info'!H187</f>
        <v>73.77</v>
      </c>
      <c r="S187" s="35">
        <f>'7company_info'!I187</f>
        <v>65.56</v>
      </c>
      <c r="T187" s="35">
        <f>'7company_info'!J187</f>
        <v>83.92</v>
      </c>
      <c r="U187" s="39">
        <v>72.8933333333333</v>
      </c>
      <c r="V187" s="39">
        <v>73.7166666666666</v>
      </c>
      <c r="W187" s="40">
        <v>74.2433333333333</v>
      </c>
      <c r="X187" s="40">
        <v>75.5933333333333</v>
      </c>
      <c r="Y187" s="40">
        <v>72.3666666666666</v>
      </c>
      <c r="Z187" s="40">
        <v>71.5433333333333</v>
      </c>
      <c r="AA187" s="40">
        <v>70.1933333333333</v>
      </c>
      <c r="AB187" s="40">
        <v>72.4</v>
      </c>
      <c r="AC187" s="40">
        <v>72.73</v>
      </c>
      <c r="AD187" s="40">
        <v>73.8771577545857</v>
      </c>
      <c r="AE187" s="40">
        <v>70.4524199999999</v>
      </c>
      <c r="AF187" s="40">
        <v>1.09679</v>
      </c>
      <c r="AG187" s="40">
        <v>80.43</v>
      </c>
      <c r="AH187" s="45">
        <v>44326.0</v>
      </c>
      <c r="AI187" s="44" t="str">
        <f>'6image_RS_benchmark_performance'!B187</f>
        <v>https://3arbzfbsh-cname-us.ngrok.io/Desktop/seabridge%20fintech/image_app/ED_resistance_support.jpg</v>
      </c>
      <c r="AJ187" s="44" t="str">
        <f>'6image_RS_benchmark_performance'!C187</f>
        <v>https://3arbzfbsh-cname-us.ngrok.io/Desktop/seabridge%20fintech/profit_graph_app/ED_Return.jpg</v>
      </c>
      <c r="AK187" s="46" t="str">
        <f>'5price_action_icon'!B187</f>
        <v>https://3arbzfbsh-cname-us.ngrok.io/Desktop/seabridge%20fintech/icon/ED_pa_trend_signal</v>
      </c>
      <c r="AL187" s="42">
        <f>'1kpi_performance'!B187</f>
        <v>0.2750708819</v>
      </c>
      <c r="AM187" s="42">
        <f>'1kpi_performance'!C187</f>
        <v>0.3289134149</v>
      </c>
      <c r="AN187" s="42">
        <f>'1kpi_performance'!D187</f>
        <v>0.3631362456</v>
      </c>
      <c r="AO187" s="42">
        <f>'1kpi_performance'!E187</f>
        <v>0.06070344209</v>
      </c>
      <c r="AP187" s="42">
        <f>'1kpi_performance'!F187</f>
        <v>0.1620578789</v>
      </c>
      <c r="AQ187" s="42">
        <f>'1kpi_performance'!G187</f>
        <v>0.161479411</v>
      </c>
      <c r="AR187" s="42">
        <f>'1kpi_performance'!H187</f>
        <v>0.1755226237</v>
      </c>
      <c r="AS187" s="42">
        <f>'1kpi_performance'!I187</f>
        <v>0.227134718</v>
      </c>
      <c r="AT187" s="35">
        <f>'1kpi_performance'!J187</f>
        <v>1.543096106</v>
      </c>
      <c r="AU187" s="35">
        <f>'1kpi_performance'!K187</f>
        <v>1.882056746</v>
      </c>
      <c r="AV187" s="35">
        <f>'1kpi_performance'!L187</f>
        <v>1.926453915</v>
      </c>
      <c r="AW187" s="35">
        <f>'1kpi_performance'!M187</f>
        <v>0.1571905977</v>
      </c>
      <c r="AX187" s="42">
        <f>'1kpi_performance'!N187</f>
        <v>0.1500655386</v>
      </c>
      <c r="AY187" s="42">
        <f>'1kpi_performance'!O187</f>
        <v>0.1468896464</v>
      </c>
      <c r="AZ187" s="42">
        <f>'1kpi_performance'!P187</f>
        <v>0.3038985939</v>
      </c>
      <c r="BA187" s="42">
        <f>'1kpi_performance'!Q187</f>
        <v>0.3102174372</v>
      </c>
      <c r="BB187" s="35">
        <f>'1kpi_performance'!R187</f>
        <v>3.00508157</v>
      </c>
      <c r="BC187" s="35">
        <f>'1kpi_performance'!S187</f>
        <v>3.783222919</v>
      </c>
      <c r="BD187" s="35">
        <f>'1kpi_performance'!T187</f>
        <v>3.640314772</v>
      </c>
      <c r="BE187" s="35">
        <f>'1kpi_performance'!U187</f>
        <v>0.2919766489</v>
      </c>
      <c r="BF187" s="47"/>
      <c r="BG187" s="47"/>
      <c r="BH187" s="47"/>
      <c r="BI187" s="47"/>
      <c r="BJ187" s="47"/>
      <c r="BK187" s="47"/>
      <c r="BL187" s="47"/>
      <c r="BM187" s="47"/>
      <c r="BN187" s="47"/>
      <c r="BO187" s="47"/>
      <c r="BP187" s="47"/>
      <c r="BQ187" s="47"/>
      <c r="BR187" s="47"/>
      <c r="BS187" s="47"/>
      <c r="BT187" s="47"/>
    </row>
    <row r="188" ht="11.25" customHeight="1">
      <c r="A188" s="35" t="str">
        <f>'13all_company_profile'!A188</f>
        <v>EEM</v>
      </c>
      <c r="B188" s="35" t="str">
        <f>'13all_company_profile'!B188</f>
        <v>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v>
      </c>
      <c r="C188" s="44" t="str">
        <f>'13all_company_profile'!C188</f>
        <v>https://financialmodelingprep.com/image-stock/EEM.png</v>
      </c>
      <c r="D188" s="35" t="str">
        <f>'13all_company_profile'!D188</f>
        <v>iShares MSCI Emerging Markets ETF</v>
      </c>
      <c r="E188" s="36">
        <f>'13all_company_profile'!E188</f>
        <v>40637124608</v>
      </c>
      <c r="F188" s="37">
        <f>'13all_company_profile'!F188</f>
        <v>32617776</v>
      </c>
      <c r="G188" s="35">
        <f>'13all_company_profile'!G188</f>
        <v>0.519</v>
      </c>
      <c r="H188" s="38" t="str">
        <f>'13all_company_profile'!H188</f>
        <v>not avaiable</v>
      </c>
      <c r="I188" s="35">
        <f>'13all_company_profile'!I188</f>
        <v>4.032565</v>
      </c>
      <c r="J188" s="35">
        <f>'13all_company_profile'!J188</f>
        <v>13.275</v>
      </c>
      <c r="K188" s="42">
        <f t="shared" si="1"/>
        <v>0.009818388195</v>
      </c>
      <c r="L188" s="35">
        <f>'7company_info'!B188</f>
        <v>52.86</v>
      </c>
      <c r="M188" s="35">
        <f>'7company_info'!C188</f>
        <v>52.98</v>
      </c>
      <c r="N188" s="35">
        <f>'7company_info'!D188</f>
        <v>52.34</v>
      </c>
      <c r="O188" s="35">
        <f>'7company_info'!E188</f>
        <v>0.17</v>
      </c>
      <c r="P188" s="35">
        <f>'7company_info'!F188</f>
        <v>0.0032</v>
      </c>
      <c r="Q188" s="35">
        <f>'7company_info'!G188</f>
        <v>52.44</v>
      </c>
      <c r="R188" s="35">
        <f>'7company_info'!H188</f>
        <v>52.69</v>
      </c>
      <c r="S188" s="35">
        <f>'7company_info'!I188</f>
        <v>42.29</v>
      </c>
      <c r="T188" s="35">
        <f>'7company_info'!J188</f>
        <v>58.29</v>
      </c>
      <c r="U188" s="39">
        <v>53.9483333333333</v>
      </c>
      <c r="V188" s="39">
        <v>54.1216666666666</v>
      </c>
      <c r="W188" s="40">
        <v>54.3633333333333</v>
      </c>
      <c r="X188" s="40">
        <v>54.7783333333333</v>
      </c>
      <c r="Y188" s="40">
        <v>53.7066666666666</v>
      </c>
      <c r="Z188" s="40">
        <v>53.5333333333333</v>
      </c>
      <c r="AA188" s="40">
        <v>53.1183333333333</v>
      </c>
      <c r="AB188" s="40">
        <v>52.46</v>
      </c>
      <c r="AC188" s="40">
        <v>55.62</v>
      </c>
      <c r="AD188" s="40">
        <v>54.2631008511518</v>
      </c>
      <c r="AE188" s="40">
        <v>52.40801</v>
      </c>
      <c r="AF188" s="40">
        <v>0.622994999999999</v>
      </c>
      <c r="AG188" s="40">
        <v>58.29</v>
      </c>
      <c r="AH188" s="45">
        <v>44243.0</v>
      </c>
      <c r="AI188" s="44" t="str">
        <f>'6image_RS_benchmark_performance'!B188</f>
        <v>https://3arbzfbsh-cname-us.ngrok.io/Desktop/seabridge%20fintech/image_app/EEM_resistance_support.jpg</v>
      </c>
      <c r="AJ188" s="44" t="str">
        <f>'6image_RS_benchmark_performance'!C188</f>
        <v>https://3arbzfbsh-cname-us.ngrok.io/Desktop/seabridge%20fintech/profit_graph_app/EEM_Return.jpg</v>
      </c>
      <c r="AK188" s="46" t="str">
        <f>'5price_action_icon'!B188</f>
        <v>https://3arbzfbsh-cname-us.ngrok.io/Desktop/seabridge%20fintech/icon/EEM_pa_trend_signal</v>
      </c>
      <c r="AL188" s="42">
        <f>'1kpi_performance'!B188</f>
        <v>0.3369679384</v>
      </c>
      <c r="AM188" s="42">
        <f>'1kpi_performance'!C188</f>
        <v>0.5429035826</v>
      </c>
      <c r="AN188" s="42">
        <f>'1kpi_performance'!D188</f>
        <v>0.5136196352</v>
      </c>
      <c r="AO188" s="42">
        <f>'1kpi_performance'!E188</f>
        <v>0.03696419967</v>
      </c>
      <c r="AP188" s="42">
        <f>'1kpi_performance'!F188</f>
        <v>0.1683409262</v>
      </c>
      <c r="AQ188" s="42">
        <f>'1kpi_performance'!G188</f>
        <v>0.1743060279</v>
      </c>
      <c r="AR188" s="42">
        <f>'1kpi_performance'!H188</f>
        <v>0.1690498773</v>
      </c>
      <c r="AS188" s="42">
        <f>'1kpi_performance'!I188</f>
        <v>0.2678872578</v>
      </c>
      <c r="AT188" s="35">
        <f>'1kpi_performance'!J188</f>
        <v>1.853191292</v>
      </c>
      <c r="AU188" s="35">
        <f>'1kpi_performance'!K188</f>
        <v>2.971231626</v>
      </c>
      <c r="AV188" s="35">
        <f>'1kpi_performance'!L188</f>
        <v>2.8903874</v>
      </c>
      <c r="AW188" s="35">
        <f>'1kpi_performance'!M188</f>
        <v>0.04466132421</v>
      </c>
      <c r="AX188" s="42">
        <f>'1kpi_performance'!N188</f>
        <v>0.1235593538</v>
      </c>
      <c r="AY188" s="42">
        <f>'1kpi_performance'!O188</f>
        <v>0.07694247216</v>
      </c>
      <c r="AZ188" s="42">
        <f>'1kpi_performance'!P188</f>
        <v>0.2403779815</v>
      </c>
      <c r="BA188" s="42">
        <f>'1kpi_performance'!Q188</f>
        <v>0.4372512475</v>
      </c>
      <c r="BB188" s="35">
        <f>'1kpi_performance'!R188</f>
        <v>3.679277741</v>
      </c>
      <c r="BC188" s="35">
        <f>'1kpi_performance'!S188</f>
        <v>6.596188486</v>
      </c>
      <c r="BD188" s="35">
        <f>'1kpi_performance'!T188</f>
        <v>6.149644988</v>
      </c>
      <c r="BE188" s="35">
        <f>'1kpi_performance'!U188</f>
        <v>0.08392726171</v>
      </c>
      <c r="BF188" s="47"/>
      <c r="BG188" s="47"/>
      <c r="BH188" s="47"/>
      <c r="BI188" s="47"/>
      <c r="BJ188" s="47"/>
      <c r="BK188" s="47"/>
      <c r="BL188" s="47"/>
      <c r="BM188" s="47"/>
      <c r="BN188" s="47"/>
      <c r="BO188" s="47"/>
      <c r="BP188" s="47"/>
      <c r="BQ188" s="47"/>
      <c r="BR188" s="47"/>
      <c r="BS188" s="47"/>
      <c r="BT188" s="47"/>
    </row>
    <row r="189" ht="11.25" customHeight="1">
      <c r="A189" s="35" t="str">
        <f>'13all_company_profile'!A189</f>
        <v>EFA</v>
      </c>
      <c r="B189" s="35" t="str">
        <f>'13all_company_profile'!B189</f>
        <v>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v>
      </c>
      <c r="C189" s="44" t="str">
        <f>'13all_company_profile'!C189</f>
        <v>https://financialmodelingprep.com/image-stock/EFA.png</v>
      </c>
      <c r="D189" s="35" t="str">
        <f>'13all_company_profile'!D189</f>
        <v>iShares MSCI EAFE ETF</v>
      </c>
      <c r="E189" s="36">
        <f>'13all_company_profile'!E189</f>
        <v>74039762944</v>
      </c>
      <c r="F189" s="37">
        <f>'13all_company_profile'!F189</f>
        <v>20299398</v>
      </c>
      <c r="G189" s="35">
        <f>'13all_company_profile'!G189</f>
        <v>0.694</v>
      </c>
      <c r="H189" s="38" t="str">
        <f>'13all_company_profile'!H189</f>
        <v>not avaiable</v>
      </c>
      <c r="I189" s="35">
        <f>'13all_company_profile'!I189</f>
        <v>29.138123</v>
      </c>
      <c r="J189" s="35">
        <f>'13all_company_profile'!J189</f>
        <v>2.686</v>
      </c>
      <c r="K189" s="42">
        <f t="shared" si="1"/>
        <v>0.008959462949</v>
      </c>
      <c r="L189" s="35">
        <f>'7company_info'!B189</f>
        <v>77.46</v>
      </c>
      <c r="M189" s="35">
        <f>'7company_info'!C189</f>
        <v>77.61</v>
      </c>
      <c r="N189" s="35">
        <f>'7company_info'!D189</f>
        <v>76.63</v>
      </c>
      <c r="O189" s="35">
        <f>'7company_info'!E189</f>
        <v>0.56</v>
      </c>
      <c r="P189" s="35">
        <f>'7company_info'!F189</f>
        <v>0.0073</v>
      </c>
      <c r="Q189" s="35">
        <f>'7company_info'!G189</f>
        <v>76.73</v>
      </c>
      <c r="R189" s="35">
        <f>'7company_info'!H189</f>
        <v>76.9</v>
      </c>
      <c r="S189" s="35">
        <f>'7company_info'!I189</f>
        <v>60.97</v>
      </c>
      <c r="T189" s="35">
        <f>'7company_info'!J189</f>
        <v>82.11</v>
      </c>
      <c r="U189" s="39">
        <v>79.6849999999999</v>
      </c>
      <c r="V189" s="39">
        <v>79.8099999999999</v>
      </c>
      <c r="W189" s="40">
        <v>79.9599999999999</v>
      </c>
      <c r="X189" s="40">
        <v>80.2349999999999</v>
      </c>
      <c r="Y189" s="40">
        <v>79.5349999999999</v>
      </c>
      <c r="Z189" s="40">
        <v>79.41</v>
      </c>
      <c r="AA189" s="40">
        <v>79.135</v>
      </c>
      <c r="AB189" s="40">
        <v>79.145</v>
      </c>
      <c r="AC189" s="40">
        <v>81.27</v>
      </c>
      <c r="AD189" s="40">
        <v>79.5770538864174</v>
      </c>
      <c r="AE189" s="40">
        <v>77.9638</v>
      </c>
      <c r="AF189" s="40">
        <v>0.765749999999999</v>
      </c>
      <c r="AG189" s="40">
        <v>82.11</v>
      </c>
      <c r="AH189" s="45">
        <v>44355.0</v>
      </c>
      <c r="AI189" s="44" t="str">
        <f>'6image_RS_benchmark_performance'!B189</f>
        <v>https://3arbzfbsh-cname-us.ngrok.io/Desktop/seabridge%20fintech/image_app/EFA_resistance_support.jpg</v>
      </c>
      <c r="AJ189" s="44" t="str">
        <f>'6image_RS_benchmark_performance'!C189</f>
        <v>https://3arbzfbsh-cname-us.ngrok.io/Desktop/seabridge%20fintech/profit_graph_app/EFA_Return.jpg</v>
      </c>
      <c r="AK189" s="46" t="str">
        <f>'5price_action_icon'!B189</f>
        <v>https://3arbzfbsh-cname-us.ngrok.io/Desktop/seabridge%20fintech/icon/EFA_pa_trend_signal</v>
      </c>
      <c r="AL189" s="42">
        <f>'1kpi_performance'!B189</f>
        <v>0.2817467192</v>
      </c>
      <c r="AM189" s="42">
        <f>'1kpi_performance'!C189</f>
        <v>0.4506139801</v>
      </c>
      <c r="AN189" s="42">
        <f>'1kpi_performance'!D189</f>
        <v>0.3575906507</v>
      </c>
      <c r="AO189" s="42">
        <f>'1kpi_performance'!E189</f>
        <v>0.04738445573</v>
      </c>
      <c r="AP189" s="42">
        <f>'1kpi_performance'!F189</f>
        <v>0.1433838532</v>
      </c>
      <c r="AQ189" s="42">
        <f>'1kpi_performance'!G189</f>
        <v>0.139400719</v>
      </c>
      <c r="AR189" s="42">
        <f>'1kpi_performance'!H189</f>
        <v>0.1335343152</v>
      </c>
      <c r="AS189" s="42">
        <f>'1kpi_performance'!I189</f>
        <v>0.2296944809</v>
      </c>
      <c r="AT189" s="35">
        <f>'1kpi_performance'!J189</f>
        <v>1.790625049</v>
      </c>
      <c r="AU189" s="35">
        <f>'1kpi_performance'!K189</f>
        <v>3.053169189</v>
      </c>
      <c r="AV189" s="35">
        <f>'1kpi_performance'!L189</f>
        <v>2.490675525</v>
      </c>
      <c r="AW189" s="35">
        <f>'1kpi_performance'!M189</f>
        <v>0.09745317191</v>
      </c>
      <c r="AX189" s="42">
        <f>'1kpi_performance'!N189</f>
        <v>0.09944557272</v>
      </c>
      <c r="AY189" s="42">
        <f>'1kpi_performance'!O189</f>
        <v>0.07463781405</v>
      </c>
      <c r="AZ189" s="42">
        <f>'1kpi_performance'!P189</f>
        <v>0.103407155</v>
      </c>
      <c r="BA189" s="42">
        <f>'1kpi_performance'!Q189</f>
        <v>0.3820598007</v>
      </c>
      <c r="BB189" s="35">
        <f>'1kpi_performance'!R189</f>
        <v>3.551228232</v>
      </c>
      <c r="BC189" s="35">
        <f>'1kpi_performance'!S189</f>
        <v>6.781255629</v>
      </c>
      <c r="BD189" s="35">
        <f>'1kpi_performance'!T189</f>
        <v>5.00716031</v>
      </c>
      <c r="BE189" s="35">
        <f>'1kpi_performance'!U189</f>
        <v>0.1756201438</v>
      </c>
      <c r="BF189" s="47"/>
      <c r="BG189" s="47"/>
      <c r="BH189" s="47"/>
      <c r="BI189" s="47"/>
      <c r="BJ189" s="47"/>
      <c r="BK189" s="47"/>
      <c r="BL189" s="47"/>
      <c r="BM189" s="47"/>
      <c r="BN189" s="47"/>
      <c r="BO189" s="47"/>
      <c r="BP189" s="47"/>
      <c r="BQ189" s="47"/>
      <c r="BR189" s="47"/>
      <c r="BS189" s="47"/>
      <c r="BT189" s="47"/>
    </row>
    <row r="190" ht="11.25" customHeight="1">
      <c r="A190" s="35" t="str">
        <f>'13all_company_profile'!A190</f>
        <v>EFX</v>
      </c>
      <c r="B190" s="35" t="str">
        <f>'13all_company_profile'!B190</f>
        <v>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v>
      </c>
      <c r="C190" s="44" t="str">
        <f>'13all_company_profile'!C190</f>
        <v>https://financialmodelingprep.com/image-stock/EFX.png</v>
      </c>
      <c r="D190" s="35" t="str">
        <f>'13all_company_profile'!D190</f>
        <v>Equifax Inc.</v>
      </c>
      <c r="E190" s="36">
        <f>'13all_company_profile'!E190</f>
        <v>30482950144</v>
      </c>
      <c r="F190" s="37">
        <f>'13all_company_profile'!F190</f>
        <v>725163</v>
      </c>
      <c r="G190" s="35">
        <f>'13all_company_profile'!G190</f>
        <v>1.56</v>
      </c>
      <c r="H190" s="38">
        <f>'13all_company_profile'!H190</f>
        <v>44397</v>
      </c>
      <c r="I190" s="35">
        <f>'13all_company_profile'!I190</f>
        <v>51.443924</v>
      </c>
      <c r="J190" s="35">
        <f>'13all_company_profile'!J190</f>
        <v>4.931</v>
      </c>
      <c r="K190" s="42">
        <f t="shared" si="1"/>
        <v>0.006079975057</v>
      </c>
      <c r="L190" s="35">
        <f>'7company_info'!B190</f>
        <v>256.58</v>
      </c>
      <c r="M190" s="35">
        <f>'7company_info'!C190</f>
        <v>257.65</v>
      </c>
      <c r="N190" s="35">
        <f>'7company_info'!D190</f>
        <v>249.55</v>
      </c>
      <c r="O190" s="35">
        <f>'7company_info'!E190</f>
        <v>7.85</v>
      </c>
      <c r="P190" s="35">
        <f>'7company_info'!F190</f>
        <v>0.0316</v>
      </c>
      <c r="Q190" s="35">
        <f>'7company_info'!G190</f>
        <v>249.94</v>
      </c>
      <c r="R190" s="35">
        <f>'7company_info'!H190</f>
        <v>248.73</v>
      </c>
      <c r="S190" s="35">
        <f>'7company_info'!I190</f>
        <v>135.98</v>
      </c>
      <c r="T190" s="35">
        <f>'7company_info'!J190</f>
        <v>257.65</v>
      </c>
      <c r="U190" s="39">
        <v>247.026666666666</v>
      </c>
      <c r="V190" s="39">
        <v>248.853333333333</v>
      </c>
      <c r="W190" s="40">
        <v>250.406666666666</v>
      </c>
      <c r="X190" s="40">
        <v>253.786666666666</v>
      </c>
      <c r="Y190" s="40">
        <v>245.473333333333</v>
      </c>
      <c r="Z190" s="40">
        <v>243.646666666666</v>
      </c>
      <c r="AA190" s="40">
        <v>240.266666666666</v>
      </c>
      <c r="AB190" s="40">
        <v>241.14</v>
      </c>
      <c r="AC190" s="40">
        <v>248.85</v>
      </c>
      <c r="AD190" s="40">
        <v>241.324249509582</v>
      </c>
      <c r="AE190" s="40">
        <v>237.15645</v>
      </c>
      <c r="AF190" s="40">
        <v>3.895275</v>
      </c>
      <c r="AG190" s="40">
        <v>248.85</v>
      </c>
      <c r="AH190" s="45">
        <v>44384.0</v>
      </c>
      <c r="AI190" s="44" t="str">
        <f>'6image_RS_benchmark_performance'!B190</f>
        <v>https://3arbzfbsh-cname-us.ngrok.io/Desktop/seabridge%20fintech/image_app/EFX_resistance_support.jpg</v>
      </c>
      <c r="AJ190" s="44" t="str">
        <f>'6image_RS_benchmark_performance'!C190</f>
        <v>https://3arbzfbsh-cname-us.ngrok.io/Desktop/seabridge%20fintech/profit_graph_app/EFX_Return.jpg</v>
      </c>
      <c r="AK190" s="46" t="str">
        <f>'5price_action_icon'!B190</f>
        <v>https://3arbzfbsh-cname-us.ngrok.io/Desktop/seabridge%20fintech/icon/EFX_pa_trend_signal</v>
      </c>
      <c r="AL190" s="42">
        <f>'1kpi_performance'!B190</f>
        <v>0.6165494392</v>
      </c>
      <c r="AM190" s="42">
        <f>'1kpi_performance'!C190</f>
        <v>0.804464417</v>
      </c>
      <c r="AN190" s="42">
        <f>'1kpi_performance'!D190</f>
        <v>0.4991142068</v>
      </c>
      <c r="AO190" s="42">
        <f>'1kpi_performance'!E190</f>
        <v>0.2921920224</v>
      </c>
      <c r="AP190" s="42">
        <f>'1kpi_performance'!F190</f>
        <v>0.1902800472</v>
      </c>
      <c r="AQ190" s="42">
        <f>'1kpi_performance'!G190</f>
        <v>0.2025882446</v>
      </c>
      <c r="AR190" s="42">
        <f>'1kpi_performance'!H190</f>
        <v>0.2334180024</v>
      </c>
      <c r="AS190" s="42">
        <f>'1kpi_performance'!I190</f>
        <v>0.3001895222</v>
      </c>
      <c r="AT190" s="35">
        <f>'1kpi_performance'!J190</f>
        <v>3.108835887</v>
      </c>
      <c r="AU190" s="35">
        <f>'1kpi_performance'!K190</f>
        <v>3.847530336</v>
      </c>
      <c r="AV190" s="35">
        <f>'1kpi_performance'!L190</f>
        <v>2.03118098</v>
      </c>
      <c r="AW190" s="35">
        <f>'1kpi_performance'!M190</f>
        <v>0.8900777763</v>
      </c>
      <c r="AX190" s="42">
        <f>'1kpi_performance'!N190</f>
        <v>0.1025369293</v>
      </c>
      <c r="AY190" s="42">
        <f>'1kpi_performance'!O190</f>
        <v>0.07428378709</v>
      </c>
      <c r="AZ190" s="42">
        <f>'1kpi_performance'!P190</f>
        <v>0.3576472033</v>
      </c>
      <c r="BA190" s="42">
        <f>'1kpi_performance'!Q190</f>
        <v>0.3846574593</v>
      </c>
      <c r="BB190" s="35">
        <f>'1kpi_performance'!R190</f>
        <v>7.415220686</v>
      </c>
      <c r="BC190" s="35">
        <f>'1kpi_performance'!S190</f>
        <v>9.784155059</v>
      </c>
      <c r="BD190" s="35">
        <f>'1kpi_performance'!T190</f>
        <v>3.785561066</v>
      </c>
      <c r="BE190" s="35">
        <f>'1kpi_performance'!U190</f>
        <v>1.690619242</v>
      </c>
      <c r="BF190" s="47"/>
      <c r="BG190" s="47"/>
      <c r="BH190" s="47"/>
      <c r="BI190" s="47"/>
      <c r="BJ190" s="47"/>
      <c r="BK190" s="47"/>
      <c r="BL190" s="47"/>
      <c r="BM190" s="47"/>
      <c r="BN190" s="47"/>
      <c r="BO190" s="47"/>
      <c r="BP190" s="47"/>
      <c r="BQ190" s="47"/>
      <c r="BR190" s="47"/>
      <c r="BS190" s="47"/>
      <c r="BT190" s="47"/>
    </row>
    <row r="191" ht="11.25" customHeight="1">
      <c r="A191" s="35" t="str">
        <f>'13all_company_profile'!A191</f>
        <v>EIX</v>
      </c>
      <c r="B191" s="35" t="str">
        <f>'13all_company_profile'!B191</f>
        <v>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v>
      </c>
      <c r="C191" s="44" t="str">
        <f>'13all_company_profile'!C191</f>
        <v>https://financialmodelingprep.com/image-stock/EIX.png</v>
      </c>
      <c r="D191" s="35" t="str">
        <f>'13all_company_profile'!D191</f>
        <v>Edison International</v>
      </c>
      <c r="E191" s="36">
        <f>'13all_company_profile'!E191</f>
        <v>21859424256</v>
      </c>
      <c r="F191" s="37">
        <f>'13all_company_profile'!F191</f>
        <v>1928668</v>
      </c>
      <c r="G191" s="35">
        <f>'13all_company_profile'!G191</f>
        <v>2.626</v>
      </c>
      <c r="H191" s="38">
        <f>'13all_company_profile'!H191</f>
        <v>44406</v>
      </c>
      <c r="I191" s="35">
        <f>'13all_company_profile'!I191</f>
        <v>26.931976</v>
      </c>
      <c r="J191" s="35">
        <f>'13all_company_profile'!J191</f>
        <v>2.161</v>
      </c>
      <c r="K191" s="42">
        <f t="shared" si="1"/>
        <v>0.04619173263</v>
      </c>
      <c r="L191" s="35">
        <f>'7company_info'!B191</f>
        <v>56.85</v>
      </c>
      <c r="M191" s="35">
        <f>'7company_info'!C191</f>
        <v>57.23</v>
      </c>
      <c r="N191" s="35">
        <f>'7company_info'!D191</f>
        <v>56.14</v>
      </c>
      <c r="O191" s="35">
        <f>'7company_info'!E191</f>
        <v>0.66</v>
      </c>
      <c r="P191" s="35">
        <f>'7company_info'!F191</f>
        <v>0.0117</v>
      </c>
      <c r="Q191" s="35">
        <f>'7company_info'!G191</f>
        <v>56.16</v>
      </c>
      <c r="R191" s="35">
        <f>'7company_info'!H191</f>
        <v>56.19</v>
      </c>
      <c r="S191" s="35">
        <f>'7company_info'!I191</f>
        <v>48.47</v>
      </c>
      <c r="T191" s="35">
        <f>'7company_info'!J191</f>
        <v>66.68</v>
      </c>
      <c r="U191" s="39">
        <v>57.0833333333333</v>
      </c>
      <c r="V191" s="39">
        <v>57.6366666666666</v>
      </c>
      <c r="W191" s="40">
        <v>58.0333333333333</v>
      </c>
      <c r="X191" s="40">
        <v>58.9833333333333</v>
      </c>
      <c r="Y191" s="40">
        <v>56.6866666666666</v>
      </c>
      <c r="Z191" s="40">
        <v>56.1333333333333</v>
      </c>
      <c r="AA191" s="40">
        <v>55.1833333333333</v>
      </c>
      <c r="AB191" s="40">
        <v>57.77</v>
      </c>
      <c r="AC191" s="40">
        <v>55.685</v>
      </c>
      <c r="AD191" s="40">
        <v>57.3266400985448</v>
      </c>
      <c r="AE191" s="40">
        <v>55.3452</v>
      </c>
      <c r="AF191" s="40">
        <v>0.993399999999998</v>
      </c>
      <c r="AG191" s="40">
        <v>62.3</v>
      </c>
      <c r="AH191" s="45">
        <v>44215.0</v>
      </c>
      <c r="AI191" s="44" t="str">
        <f>'6image_RS_benchmark_performance'!B191</f>
        <v>https://3arbzfbsh-cname-us.ngrok.io/Desktop/seabridge%20fintech/image_app/EIX_resistance_support.jpg</v>
      </c>
      <c r="AJ191" s="44" t="str">
        <f>'6image_RS_benchmark_performance'!C191</f>
        <v>https://3arbzfbsh-cname-us.ngrok.io/Desktop/seabridge%20fintech/profit_graph_app/EIX_Return.jpg</v>
      </c>
      <c r="AK191" s="46" t="str">
        <f>'5price_action_icon'!B191</f>
        <v>https://3arbzfbsh-cname-us.ngrok.io/Desktop/seabridge%20fintech/icon/EIX_pa_trend_signal</v>
      </c>
      <c r="AL191" s="42">
        <f>'1kpi_performance'!B191</f>
        <v>0.3794472132</v>
      </c>
      <c r="AM191" s="42">
        <f>'1kpi_performance'!C191</f>
        <v>0.3807039443</v>
      </c>
      <c r="AN191" s="42">
        <f>'1kpi_performance'!D191</f>
        <v>0.2916107896</v>
      </c>
      <c r="AO191" s="42">
        <f>'1kpi_performance'!E191</f>
        <v>0.0636313017</v>
      </c>
      <c r="AP191" s="42">
        <f>'1kpi_performance'!F191</f>
        <v>0.1802252122</v>
      </c>
      <c r="AQ191" s="42">
        <f>'1kpi_performance'!G191</f>
        <v>0.1791802714</v>
      </c>
      <c r="AR191" s="42">
        <f>'1kpi_performance'!H191</f>
        <v>0.1942897521</v>
      </c>
      <c r="AS191" s="42">
        <f>'1kpi_performance'!I191</f>
        <v>0.288697152</v>
      </c>
      <c r="AT191" s="35">
        <f>'1kpi_performance'!J191</f>
        <v>1.966690503</v>
      </c>
      <c r="AU191" s="35">
        <f>'1kpi_performance'!K191</f>
        <v>1.985173599</v>
      </c>
      <c r="AV191" s="35">
        <f>'1kpi_performance'!L191</f>
        <v>1.372232898</v>
      </c>
      <c r="AW191" s="35">
        <f>'1kpi_performance'!M191</f>
        <v>0.1338125486</v>
      </c>
      <c r="AX191" s="42">
        <f>'1kpi_performance'!N191</f>
        <v>0.1678758084</v>
      </c>
      <c r="AY191" s="42">
        <f>'1kpi_performance'!O191</f>
        <v>0.1449852763</v>
      </c>
      <c r="AZ191" s="42">
        <f>'1kpi_performance'!P191</f>
        <v>0.3229555237</v>
      </c>
      <c r="BA191" s="42">
        <f>'1kpi_performance'!Q191</f>
        <v>0.4618828654</v>
      </c>
      <c r="BB191" s="35">
        <f>'1kpi_performance'!R191</f>
        <v>3.969387612</v>
      </c>
      <c r="BC191" s="35">
        <f>'1kpi_performance'!S191</f>
        <v>4.155770561</v>
      </c>
      <c r="BD191" s="35">
        <f>'1kpi_performance'!T191</f>
        <v>2.508507232</v>
      </c>
      <c r="BE191" s="35">
        <f>'1kpi_performance'!U191</f>
        <v>0.2429742248</v>
      </c>
      <c r="BF191" s="47"/>
      <c r="BG191" s="47"/>
      <c r="BH191" s="47"/>
      <c r="BI191" s="47"/>
      <c r="BJ191" s="47"/>
      <c r="BK191" s="47"/>
      <c r="BL191" s="47"/>
      <c r="BM191" s="47"/>
      <c r="BN191" s="47"/>
      <c r="BO191" s="47"/>
      <c r="BP191" s="47"/>
      <c r="BQ191" s="47"/>
      <c r="BR191" s="47"/>
      <c r="BS191" s="47"/>
      <c r="BT191" s="47"/>
    </row>
    <row r="192" ht="11.25" customHeight="1">
      <c r="A192" s="35" t="str">
        <f>'13all_company_profile'!A192</f>
        <v>EL</v>
      </c>
      <c r="B192" s="35" t="str">
        <f>'13all_company_profile'!B192</f>
        <v>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v>
      </c>
      <c r="C192" s="44" t="str">
        <f>'13all_company_profile'!C192</f>
        <v>https://financialmodelingprep.com/image-stock/EL.png</v>
      </c>
      <c r="D192" s="35" t="str">
        <f>'13all_company_profile'!D192</f>
        <v>The Estée Lauder Companies Inc.</v>
      </c>
      <c r="E192" s="36">
        <f>'13all_company_profile'!E192</f>
        <v>118595796992</v>
      </c>
      <c r="F192" s="37">
        <f>'13all_company_profile'!F192</f>
        <v>1220650</v>
      </c>
      <c r="G192" s="35">
        <f>'13all_company_profile'!G192</f>
        <v>2.07</v>
      </c>
      <c r="H192" s="38" t="str">
        <f>'13all_company_profile'!H192</f>
        <v>not avaiable</v>
      </c>
      <c r="I192" s="35">
        <f>'13all_company_profile'!I192</f>
        <v>85.89357</v>
      </c>
      <c r="J192" s="35">
        <f>'13all_company_profile'!J192</f>
        <v>3.777</v>
      </c>
      <c r="K192" s="42">
        <f t="shared" si="1"/>
        <v>0.006399752667</v>
      </c>
      <c r="L192" s="35">
        <f>'7company_info'!B192</f>
        <v>323.45</v>
      </c>
      <c r="M192" s="35">
        <f>'7company_info'!C192</f>
        <v>325.02</v>
      </c>
      <c r="N192" s="35">
        <f>'7company_info'!D192</f>
        <v>316.11</v>
      </c>
      <c r="O192" s="35">
        <f>'7company_info'!E192</f>
        <v>7.34</v>
      </c>
      <c r="P192" s="35">
        <f>'7company_info'!F192</f>
        <v>0.0232</v>
      </c>
      <c r="Q192" s="35">
        <f>'7company_info'!G192</f>
        <v>316.54</v>
      </c>
      <c r="R192" s="35">
        <f>'7company_info'!H192</f>
        <v>316.11</v>
      </c>
      <c r="S192" s="35">
        <f>'7company_info'!I192</f>
        <v>187.75</v>
      </c>
      <c r="T192" s="35">
        <f>'7company_info'!J192</f>
        <v>328.65</v>
      </c>
      <c r="U192" s="39">
        <v>325.58</v>
      </c>
      <c r="V192" s="39">
        <v>327.749999999999</v>
      </c>
      <c r="W192" s="40">
        <v>328.939999999999</v>
      </c>
      <c r="X192" s="40">
        <v>332.299999999999</v>
      </c>
      <c r="Y192" s="40">
        <v>324.39</v>
      </c>
      <c r="Z192" s="40">
        <v>322.22</v>
      </c>
      <c r="AA192" s="40">
        <v>318.86</v>
      </c>
      <c r="AB192" s="40">
        <v>299.91</v>
      </c>
      <c r="AC192" s="40">
        <v>326.77</v>
      </c>
      <c r="AD192" s="40">
        <v>314.008085588346</v>
      </c>
      <c r="AE192" s="40">
        <v>310.69478</v>
      </c>
      <c r="AF192" s="40">
        <v>5.08461</v>
      </c>
      <c r="AG192" s="40">
        <v>318.34</v>
      </c>
      <c r="AH192" s="45">
        <v>44315.0</v>
      </c>
      <c r="AI192" s="44" t="str">
        <f>'6image_RS_benchmark_performance'!B192</f>
        <v>https://3arbzfbsh-cname-us.ngrok.io/Desktop/seabridge%20fintech/image_app/EL_resistance_support.jpg</v>
      </c>
      <c r="AJ192" s="44" t="str">
        <f>'6image_RS_benchmark_performance'!C192</f>
        <v>https://3arbzfbsh-cname-us.ngrok.io/Desktop/seabridge%20fintech/profit_graph_app/EL_Return.jpg</v>
      </c>
      <c r="AK192" s="46" t="str">
        <f>'5price_action_icon'!B192</f>
        <v>https://3arbzfbsh-cname-us.ngrok.io/Desktop/seabridge%20fintech/icon/EL_pa_trend_signal</v>
      </c>
      <c r="AL192" s="42">
        <f>'1kpi_performance'!B192</f>
        <v>0.5148980334</v>
      </c>
      <c r="AM192" s="42">
        <f>'1kpi_performance'!C192</f>
        <v>0.7764962084</v>
      </c>
      <c r="AN192" s="42">
        <f>'1kpi_performance'!D192</f>
        <v>0.7397510831</v>
      </c>
      <c r="AO192" s="42">
        <f>'1kpi_performance'!E192</f>
        <v>0.3657663747</v>
      </c>
      <c r="AP192" s="42">
        <f>'1kpi_performance'!F192</f>
        <v>0.2095426284</v>
      </c>
      <c r="AQ192" s="42">
        <f>'1kpi_performance'!G192</f>
        <v>0.2343498726</v>
      </c>
      <c r="AR192" s="42">
        <f>'1kpi_performance'!H192</f>
        <v>0.2230084561</v>
      </c>
      <c r="AS192" s="42">
        <f>'1kpi_performance'!I192</f>
        <v>0.3201589562</v>
      </c>
      <c r="AT192" s="35">
        <f>'1kpi_performance'!J192</f>
        <v>2.337939717</v>
      </c>
      <c r="AU192" s="35">
        <f>'1kpi_performance'!K192</f>
        <v>3.206727617</v>
      </c>
      <c r="AV192" s="35">
        <f>'1kpi_performance'!L192</f>
        <v>3.205040274</v>
      </c>
      <c r="AW192" s="35">
        <f>'1kpi_performance'!M192</f>
        <v>1.06436621</v>
      </c>
      <c r="AX192" s="42">
        <f>'1kpi_performance'!N192</f>
        <v>0.13741473</v>
      </c>
      <c r="AY192" s="42">
        <f>'1kpi_performance'!O192</f>
        <v>0.1201809901</v>
      </c>
      <c r="AZ192" s="42">
        <f>'1kpi_performance'!P192</f>
        <v>0.1977726826</v>
      </c>
      <c r="BA192" s="42">
        <f>'1kpi_performance'!Q192</f>
        <v>0.3433691104</v>
      </c>
      <c r="BB192" s="35">
        <f>'1kpi_performance'!R192</f>
        <v>5.32652042</v>
      </c>
      <c r="BC192" s="35">
        <f>'1kpi_performance'!S192</f>
        <v>8.523763111</v>
      </c>
      <c r="BD192" s="35">
        <f>'1kpi_performance'!T192</f>
        <v>7.851456007</v>
      </c>
      <c r="BE192" s="35">
        <f>'1kpi_performance'!U192</f>
        <v>2.182430054</v>
      </c>
      <c r="BF192" s="47"/>
      <c r="BG192" s="47"/>
      <c r="BH192" s="47"/>
      <c r="BI192" s="47"/>
      <c r="BJ192" s="47"/>
      <c r="BK192" s="47"/>
      <c r="BL192" s="47"/>
      <c r="BM192" s="47"/>
      <c r="BN192" s="47"/>
      <c r="BO192" s="47"/>
      <c r="BP192" s="47"/>
      <c r="BQ192" s="47"/>
      <c r="BR192" s="47"/>
      <c r="BS192" s="47"/>
      <c r="BT192" s="47"/>
    </row>
    <row r="193" ht="11.25" customHeight="1">
      <c r="A193" s="35" t="str">
        <f>'13all_company_profile'!A193</f>
        <v>ELAN</v>
      </c>
      <c r="B193" s="35" t="str">
        <f>'13all_company_profile'!B193</f>
        <v>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v>
      </c>
      <c r="C193" s="44" t="str">
        <f>'13all_company_profile'!C193</f>
        <v>https://financialmodelingprep.com/image-stock/ELAN.png</v>
      </c>
      <c r="D193" s="35" t="str">
        <f>'13all_company_profile'!D193</f>
        <v>Elanco Animal Health Incorporated</v>
      </c>
      <c r="E193" s="36">
        <f>'13all_company_profile'!E193</f>
        <v>16190652416</v>
      </c>
      <c r="F193" s="37">
        <f>'13all_company_profile'!F193</f>
        <v>3510401</v>
      </c>
      <c r="G193" s="35">
        <f>'13all_company_profile'!G193</f>
        <v>0</v>
      </c>
      <c r="H193" s="38">
        <f>'13all_company_profile'!H193</f>
        <v>44405</v>
      </c>
      <c r="I193" s="35" t="str">
        <f>'13all_company_profile'!I193</f>
        <v>NaN</v>
      </c>
      <c r="J193" s="35">
        <f>'13all_company_profile'!J193</f>
        <v>-1.238</v>
      </c>
      <c r="K193" s="42" t="str">
        <f t="shared" si="1"/>
        <v>NaN</v>
      </c>
      <c r="L193" s="35">
        <f>'7company_info'!B193</f>
        <v>35.53</v>
      </c>
      <c r="M193" s="35">
        <f>'7company_info'!C193</f>
        <v>35.95</v>
      </c>
      <c r="N193" s="35">
        <f>'7company_info'!D193</f>
        <v>34.46</v>
      </c>
      <c r="O193" s="35">
        <f>'7company_info'!E193</f>
        <v>1.3</v>
      </c>
      <c r="P193" s="35">
        <f>'7company_info'!F193</f>
        <v>0.038</v>
      </c>
      <c r="Q193" s="35">
        <f>'7company_info'!G193</f>
        <v>34.55</v>
      </c>
      <c r="R193" s="35">
        <f>'7company_info'!H193</f>
        <v>34.23</v>
      </c>
      <c r="S193" s="35">
        <f>'7company_info'!I193</f>
        <v>20.85</v>
      </c>
      <c r="T193" s="35">
        <f>'7company_info'!J193</f>
        <v>36.53</v>
      </c>
      <c r="U193" s="39">
        <v>34.26</v>
      </c>
      <c r="V193" s="39">
        <v>34.41</v>
      </c>
      <c r="W193" s="40">
        <v>34.69</v>
      </c>
      <c r="X193" s="40">
        <v>35.12</v>
      </c>
      <c r="Y193" s="40">
        <v>33.98</v>
      </c>
      <c r="Z193" s="40">
        <v>33.83</v>
      </c>
      <c r="AA193" s="40">
        <v>33.4</v>
      </c>
      <c r="AB193" s="40">
        <v>34.595</v>
      </c>
      <c r="AC193" s="40">
        <v>34.45</v>
      </c>
      <c r="AD193" s="40">
        <v>34.6659985139338</v>
      </c>
      <c r="AE193" s="40">
        <v>32.54777</v>
      </c>
      <c r="AF193" s="40">
        <v>0.714614999999999</v>
      </c>
      <c r="AG193" s="40">
        <v>36.535</v>
      </c>
      <c r="AH193" s="45">
        <v>44337.0</v>
      </c>
      <c r="AI193" s="44" t="str">
        <f>'6image_RS_benchmark_performance'!B193</f>
        <v>https://3arbzfbsh-cname-us.ngrok.io/Desktop/seabridge%20fintech/image_app/ELAN_resistance_support.jpg</v>
      </c>
      <c r="AJ193" s="44" t="str">
        <f>'6image_RS_benchmark_performance'!C193</f>
        <v>https://3arbzfbsh-cname-us.ngrok.io/Desktop/seabridge%20fintech/profit_graph_app/ELAN_Return.jpg</v>
      </c>
      <c r="AK193" s="46" t="str">
        <f>'5price_action_icon'!B193</f>
        <v>https://3arbzfbsh-cname-us.ngrok.io/Desktop/seabridge%20fintech/icon/ELAN_pa_trend_signal</v>
      </c>
      <c r="AL193" s="42">
        <f>'1kpi_performance'!B193</f>
        <v>0.665888887</v>
      </c>
      <c r="AM193" s="42">
        <f>'1kpi_performance'!C193</f>
        <v>0.7010773035</v>
      </c>
      <c r="AN193" s="42">
        <f>'1kpi_performance'!D193</f>
        <v>0.8821514949</v>
      </c>
      <c r="AO193" s="42">
        <f>'1kpi_performance'!E193</f>
        <v>-0.02679594733</v>
      </c>
      <c r="AP193" s="42">
        <f>'1kpi_performance'!F193</f>
        <v>0.3288251094</v>
      </c>
      <c r="AQ193" s="42">
        <f>'1kpi_performance'!G193</f>
        <v>0.3408928402</v>
      </c>
      <c r="AR193" s="42">
        <f>'1kpi_performance'!H193</f>
        <v>0.3383373096</v>
      </c>
      <c r="AS193" s="42">
        <f>'1kpi_performance'!I193</f>
        <v>0.4903451976</v>
      </c>
      <c r="AT193" s="35">
        <f>'1kpi_performance'!J193</f>
        <v>1.949026606</v>
      </c>
      <c r="AU193" s="35">
        <f>'1kpi_performance'!K193</f>
        <v>1.983254629</v>
      </c>
      <c r="AV193" s="35">
        <f>'1kpi_performance'!L193</f>
        <v>2.53342292</v>
      </c>
      <c r="AW193" s="35">
        <f>'1kpi_performance'!M193</f>
        <v>-0.1056315991</v>
      </c>
      <c r="AX193" s="42">
        <f>'1kpi_performance'!N193</f>
        <v>0.1577783918</v>
      </c>
      <c r="AY193" s="42">
        <f>'1kpi_performance'!O193</f>
        <v>0.1734016524</v>
      </c>
      <c r="AZ193" s="42">
        <f>'1kpi_performance'!P193</f>
        <v>0.2386081701</v>
      </c>
      <c r="BA193" s="42">
        <f>'1kpi_performance'!Q193</f>
        <v>0.5390991987</v>
      </c>
      <c r="BB193" s="35">
        <f>'1kpi_performance'!R193</f>
        <v>4.277220881</v>
      </c>
      <c r="BC193" s="35">
        <f>'1kpi_performance'!S193</f>
        <v>4.591138253</v>
      </c>
      <c r="BD193" s="35">
        <f>'1kpi_performance'!T193</f>
        <v>5.625323107</v>
      </c>
      <c r="BE193" s="35">
        <f>'1kpi_performance'!U193</f>
        <v>-0.1997131384</v>
      </c>
      <c r="BF193" s="47"/>
      <c r="BG193" s="47"/>
      <c r="BH193" s="47"/>
      <c r="BI193" s="47"/>
      <c r="BJ193" s="47"/>
      <c r="BK193" s="47"/>
      <c r="BL193" s="47"/>
      <c r="BM193" s="47"/>
      <c r="BN193" s="47"/>
      <c r="BO193" s="47"/>
      <c r="BP193" s="47"/>
      <c r="BQ193" s="47"/>
      <c r="BR193" s="47"/>
      <c r="BS193" s="47"/>
      <c r="BT193" s="47"/>
    </row>
    <row r="194" ht="11.25" customHeight="1">
      <c r="A194" s="35" t="str">
        <f>'13all_company_profile'!A194</f>
        <v>ELY</v>
      </c>
      <c r="B194" s="35" t="str">
        <f>'13all_company_profile'!B194</f>
        <v>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v>
      </c>
      <c r="C194" s="44" t="str">
        <f>'13all_company_profile'!C194</f>
        <v>https://financialmodelingprep.com/image-stock/ELY.png</v>
      </c>
      <c r="D194" s="35" t="str">
        <f>'13all_company_profile'!D194</f>
        <v>Callaway Golf Company</v>
      </c>
      <c r="E194" s="36">
        <f>'13all_company_profile'!E194</f>
        <v>5700824576</v>
      </c>
      <c r="F194" s="37">
        <f>'13all_company_profile'!F194</f>
        <v>2578163</v>
      </c>
      <c r="G194" s="35">
        <f>'13all_company_profile'!G194</f>
        <v>0.01</v>
      </c>
      <c r="H194" s="38">
        <f>'13all_company_profile'!H194</f>
        <v>44412</v>
      </c>
      <c r="I194" s="35">
        <f>'13all_company_profile'!I194</f>
        <v>25.888987</v>
      </c>
      <c r="J194" s="35">
        <f>'13all_company_profile'!J194</f>
        <v>1.153</v>
      </c>
      <c r="K194" s="42">
        <f t="shared" si="1"/>
        <v>0.0003184713376</v>
      </c>
      <c r="L194" s="35">
        <f>'7company_info'!B194</f>
        <v>31.4</v>
      </c>
      <c r="M194" s="35">
        <f>'7company_info'!C194</f>
        <v>31.56</v>
      </c>
      <c r="N194" s="35">
        <f>'7company_info'!D194</f>
        <v>29.42</v>
      </c>
      <c r="O194" s="35">
        <f>'7company_info'!E194</f>
        <v>1.8</v>
      </c>
      <c r="P194" s="35">
        <f>'7company_info'!F194</f>
        <v>0.0608</v>
      </c>
      <c r="Q194" s="35">
        <f>'7company_info'!G194</f>
        <v>29.76</v>
      </c>
      <c r="R194" s="35">
        <f>'7company_info'!H194</f>
        <v>29.6</v>
      </c>
      <c r="S194" s="35">
        <f>'7company_info'!I194</f>
        <v>14.62</v>
      </c>
      <c r="T194" s="35">
        <f>'7company_info'!J194</f>
        <v>37.75</v>
      </c>
      <c r="U194" s="39">
        <v>31.83</v>
      </c>
      <c r="V194" s="39">
        <v>32.36</v>
      </c>
      <c r="W194" s="40">
        <v>33.26</v>
      </c>
      <c r="X194" s="40">
        <v>34.69</v>
      </c>
      <c r="Y194" s="40">
        <v>30.93</v>
      </c>
      <c r="Z194" s="40">
        <v>30.4</v>
      </c>
      <c r="AA194" s="40">
        <v>28.97</v>
      </c>
      <c r="AB194" s="40">
        <v>31.21</v>
      </c>
      <c r="AC194" s="40">
        <v>33.35</v>
      </c>
      <c r="AD194" s="40">
        <v>33.148766944627</v>
      </c>
      <c r="AE194" s="40">
        <v>30.283</v>
      </c>
      <c r="AF194" s="40">
        <v>1.04125</v>
      </c>
      <c r="AG194" s="40">
        <v>37.75</v>
      </c>
      <c r="AH194" s="45">
        <v>44348.0</v>
      </c>
      <c r="AI194" s="44" t="str">
        <f>'6image_RS_benchmark_performance'!B194</f>
        <v>https://3arbzfbsh-cname-us.ngrok.io/Desktop/seabridge%20fintech/image_app/ELY_resistance_support.jpg</v>
      </c>
      <c r="AJ194" s="44" t="str">
        <f>'6image_RS_benchmark_performance'!C194</f>
        <v>https://3arbzfbsh-cname-us.ngrok.io/Desktop/seabridge%20fintech/profit_graph_app/ELY_Return.jpg</v>
      </c>
      <c r="AK194" s="46" t="str">
        <f>'5price_action_icon'!B194</f>
        <v>https://3arbzfbsh-cname-us.ngrok.io/Desktop/seabridge%20fintech/icon/ELY_pa_trend_signal</v>
      </c>
      <c r="AL194" s="42">
        <f>'1kpi_performance'!B194</f>
        <v>0.8061274196</v>
      </c>
      <c r="AM194" s="42">
        <f>'1kpi_performance'!C194</f>
        <v>0.95047766</v>
      </c>
      <c r="AN194" s="42">
        <f>'1kpi_performance'!D194</f>
        <v>0.5524414493</v>
      </c>
      <c r="AO194" s="42">
        <f>'1kpi_performance'!E194</f>
        <v>0.1797356493</v>
      </c>
      <c r="AP194" s="42">
        <f>'1kpi_performance'!F194</f>
        <v>0.3359763197</v>
      </c>
      <c r="AQ194" s="42">
        <f>'1kpi_performance'!G194</f>
        <v>0.3408765848</v>
      </c>
      <c r="AR194" s="42">
        <f>'1kpi_performance'!H194</f>
        <v>0.3932424054</v>
      </c>
      <c r="AS194" s="42">
        <f>'1kpi_performance'!I194</f>
        <v>0.4976355629</v>
      </c>
      <c r="AT194" s="35">
        <f>'1kpi_performance'!J194</f>
        <v>2.324947843</v>
      </c>
      <c r="AU194" s="35">
        <f>'1kpi_performance'!K194</f>
        <v>2.714993347</v>
      </c>
      <c r="AV194" s="35">
        <f>'1kpi_performance'!L194</f>
        <v>1.3412629</v>
      </c>
      <c r="AW194" s="35">
        <f>'1kpi_performance'!M194</f>
        <v>0.3109417028</v>
      </c>
      <c r="AX194" s="42">
        <f>'1kpi_performance'!N194</f>
        <v>0.1919997118</v>
      </c>
      <c r="AY194" s="42">
        <f>'1kpi_performance'!O194</f>
        <v>0.1676963813</v>
      </c>
      <c r="AZ194" s="42">
        <f>'1kpi_performance'!P194</f>
        <v>0.7566089335</v>
      </c>
      <c r="BA194" s="42">
        <f>'1kpi_performance'!Q194</f>
        <v>0.780156443</v>
      </c>
      <c r="BB194" s="35">
        <f>'1kpi_performance'!R194</f>
        <v>5.525244231</v>
      </c>
      <c r="BC194" s="35">
        <f>'1kpi_performance'!S194</f>
        <v>6.838778003</v>
      </c>
      <c r="BD194" s="35">
        <f>'1kpi_performance'!T194</f>
        <v>2.633127752</v>
      </c>
      <c r="BE194" s="35">
        <f>'1kpi_performance'!U194</f>
        <v>0.6158846893</v>
      </c>
      <c r="BF194" s="47"/>
      <c r="BG194" s="47"/>
      <c r="BH194" s="47"/>
      <c r="BI194" s="47"/>
      <c r="BJ194" s="47"/>
      <c r="BK194" s="47"/>
      <c r="BL194" s="47"/>
      <c r="BM194" s="47"/>
      <c r="BN194" s="47"/>
      <c r="BO194" s="47"/>
      <c r="BP194" s="47"/>
      <c r="BQ194" s="47"/>
      <c r="BR194" s="47"/>
      <c r="BS194" s="47"/>
      <c r="BT194" s="47"/>
    </row>
    <row r="195" ht="11.25" customHeight="1">
      <c r="A195" s="35" t="str">
        <f>'13all_company_profile'!A195</f>
        <v>EMB</v>
      </c>
      <c r="B195" s="35" t="str">
        <f>'13all_company_profile'!B195</f>
        <v>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v>
      </c>
      <c r="C195" s="44" t="str">
        <f>'13all_company_profile'!C195</f>
        <v>https://financialmodelingprep.com/image-stock/EMB.jpg</v>
      </c>
      <c r="D195" s="35" t="str">
        <f>'13all_company_profile'!D195</f>
        <v>iShares J.P. Morgan USD Emerging Markets Bond ETF</v>
      </c>
      <c r="E195" s="36">
        <f>'13all_company_profile'!E195</f>
        <v>16484676000</v>
      </c>
      <c r="F195" s="37">
        <f>'13all_company_profile'!F195</f>
        <v>3497830</v>
      </c>
      <c r="G195" s="35">
        <f>'13all_company_profile'!G195</f>
        <v>3.63</v>
      </c>
      <c r="H195" s="38" t="str">
        <f>'13all_company_profile'!H195</f>
        <v>not avaiable</v>
      </c>
      <c r="I195" s="35" t="str">
        <f>'13all_company_profile'!I195</f>
        <v>NaN</v>
      </c>
      <c r="J195" s="35" t="str">
        <f>'13all_company_profile'!J195</f>
        <v>NaN</v>
      </c>
      <c r="K195" s="42">
        <f t="shared" si="1"/>
        <v>0.0321722946</v>
      </c>
      <c r="L195" s="35">
        <f>'7company_info'!B195</f>
        <v>112.83</v>
      </c>
      <c r="M195" s="35">
        <f>'7company_info'!C195</f>
        <v>112.92</v>
      </c>
      <c r="N195" s="35">
        <f>'7company_info'!D195</f>
        <v>112.61</v>
      </c>
      <c r="O195" s="35">
        <f>'7company_info'!E195</f>
        <v>0.31</v>
      </c>
      <c r="P195" s="35">
        <f>'7company_info'!F195</f>
        <v>0.0028</v>
      </c>
      <c r="Q195" s="35">
        <f>'7company_info'!G195</f>
        <v>112.82</v>
      </c>
      <c r="R195" s="35">
        <f>'7company_info'!H195</f>
        <v>112.52</v>
      </c>
      <c r="S195" s="35">
        <f>'7company_info'!I195</f>
        <v>106.7</v>
      </c>
      <c r="T195" s="35">
        <f>'7company_info'!J195</f>
        <v>116.09</v>
      </c>
      <c r="U195" s="39">
        <v>112.276666666666</v>
      </c>
      <c r="V195" s="39">
        <v>112.403333333333</v>
      </c>
      <c r="W195" s="40">
        <v>112.506666666666</v>
      </c>
      <c r="X195" s="40">
        <v>112.736666666666</v>
      </c>
      <c r="Y195" s="40">
        <v>112.173333333333</v>
      </c>
      <c r="Z195" s="40">
        <v>112.046666666666</v>
      </c>
      <c r="AA195" s="40">
        <v>111.816666666666</v>
      </c>
      <c r="AB195" s="40">
        <v>111.92</v>
      </c>
      <c r="AC195" s="40">
        <v>112.41</v>
      </c>
      <c r="AD195" s="40">
        <v>112.13794393012</v>
      </c>
      <c r="AE195" s="40">
        <v>110.851</v>
      </c>
      <c r="AF195" s="40">
        <v>0.481</v>
      </c>
      <c r="AG195" s="40">
        <v>114.46</v>
      </c>
      <c r="AH195" s="45">
        <v>44232.0</v>
      </c>
      <c r="AI195" s="44" t="str">
        <f>'6image_RS_benchmark_performance'!B195</f>
        <v>https://3arbzfbsh-cname-us.ngrok.io/Desktop/seabridge%20fintech/image_app/EMB_resistance_support.jpg</v>
      </c>
      <c r="AJ195" s="44" t="str">
        <f>'6image_RS_benchmark_performance'!C195</f>
        <v>https://3arbzfbsh-cname-us.ngrok.io/Desktop/seabridge%20fintech/profit_graph_app/EMB_Return.jpg</v>
      </c>
      <c r="AK195" s="46" t="str">
        <f>'5price_action_icon'!B195</f>
        <v>https://3arbzfbsh-cname-us.ngrok.io/Desktop/seabridge%20fintech/icon/EMB_pa_trend_signal</v>
      </c>
      <c r="AL195" s="42">
        <f>'1kpi_performance'!B195</f>
        <v>0.1137092196</v>
      </c>
      <c r="AM195" s="42">
        <f>'1kpi_performance'!C195</f>
        <v>0.2013379712</v>
      </c>
      <c r="AN195" s="42">
        <f>'1kpi_performance'!D195</f>
        <v>0.09597915379</v>
      </c>
      <c r="AO195" s="42">
        <f>'1kpi_performance'!E195</f>
        <v>0.01162790066</v>
      </c>
      <c r="AP195" s="42">
        <f>'1kpi_performance'!F195</f>
        <v>0.05878498997</v>
      </c>
      <c r="AQ195" s="42">
        <f>'1kpi_performance'!G195</f>
        <v>0.06233451974</v>
      </c>
      <c r="AR195" s="42">
        <f>'1kpi_performance'!H195</f>
        <v>0.07860435826</v>
      </c>
      <c r="AS195" s="42">
        <f>'1kpi_performance'!I195</f>
        <v>0.1043720691</v>
      </c>
      <c r="AT195" s="35">
        <f>'1kpi_performance'!J195</f>
        <v>1.509045416</v>
      </c>
      <c r="AU195" s="35">
        <f>'1kpi_performance'!K195</f>
        <v>2.828897567</v>
      </c>
      <c r="AV195" s="35">
        <f>'1kpi_performance'!L195</f>
        <v>0.9029925995</v>
      </c>
      <c r="AW195" s="35">
        <f>'1kpi_performance'!M195</f>
        <v>-0.1281195195</v>
      </c>
      <c r="AX195" s="42">
        <f>'1kpi_performance'!N195</f>
        <v>0.05805375022</v>
      </c>
      <c r="AY195" s="42">
        <f>'1kpi_performance'!O195</f>
        <v>0.05773092369</v>
      </c>
      <c r="AZ195" s="42">
        <f>'1kpi_performance'!P195</f>
        <v>0.2654738464</v>
      </c>
      <c r="BA195" s="42">
        <f>'1kpi_performance'!Q195</f>
        <v>0.303345242</v>
      </c>
      <c r="BB195" s="35">
        <f>'1kpi_performance'!R195</f>
        <v>2.923847848</v>
      </c>
      <c r="BC195" s="35">
        <f>'1kpi_performance'!S195</f>
        <v>6.581787361</v>
      </c>
      <c r="BD195" s="35">
        <f>'1kpi_performance'!T195</f>
        <v>1.398336756</v>
      </c>
      <c r="BE195" s="35">
        <f>'1kpi_performance'!U195</f>
        <v>-0.2119851281</v>
      </c>
      <c r="BF195" s="47"/>
      <c r="BG195" s="47"/>
      <c r="BH195" s="47"/>
      <c r="BI195" s="47"/>
      <c r="BJ195" s="47"/>
      <c r="BK195" s="47"/>
      <c r="BL195" s="47"/>
      <c r="BM195" s="47"/>
      <c r="BN195" s="47"/>
      <c r="BO195" s="47"/>
      <c r="BP195" s="47"/>
      <c r="BQ195" s="47"/>
      <c r="BR195" s="47"/>
      <c r="BS195" s="47"/>
      <c r="BT195" s="47"/>
    </row>
    <row r="196" ht="11.25" customHeight="1">
      <c r="A196" s="35" t="str">
        <f>'13all_company_profile'!A196</f>
        <v>EMN</v>
      </c>
      <c r="B196" s="35" t="str">
        <f>'13all_company_profile'!B196</f>
        <v>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v>
      </c>
      <c r="C196" s="44" t="str">
        <f>'13all_company_profile'!C196</f>
        <v>https://financialmodelingprep.com/image-stock/EMN.png</v>
      </c>
      <c r="D196" s="35" t="str">
        <f>'13all_company_profile'!D196</f>
        <v>Eastman Chemical Company</v>
      </c>
      <c r="E196" s="36">
        <f>'13all_company_profile'!E196</f>
        <v>15375983616</v>
      </c>
      <c r="F196" s="37">
        <f>'13all_company_profile'!F196</f>
        <v>710890</v>
      </c>
      <c r="G196" s="35">
        <f>'13all_company_profile'!G196</f>
        <v>2.73</v>
      </c>
      <c r="H196" s="38">
        <f>'13all_company_profile'!H196</f>
        <v>44410</v>
      </c>
      <c r="I196" s="35">
        <f>'13all_company_profile'!I196</f>
        <v>30.207813</v>
      </c>
      <c r="J196" s="35">
        <f>'13all_company_profile'!J196</f>
        <v>3.609</v>
      </c>
      <c r="K196" s="42">
        <f t="shared" si="1"/>
        <v>0.02523338571</v>
      </c>
      <c r="L196" s="35">
        <f>'7company_info'!B196</f>
        <v>108.19</v>
      </c>
      <c r="M196" s="35">
        <f>'7company_info'!C196</f>
        <v>108.71</v>
      </c>
      <c r="N196" s="35">
        <f>'7company_info'!D196</f>
        <v>105.16</v>
      </c>
      <c r="O196" s="35">
        <f>'7company_info'!E196</f>
        <v>2.5</v>
      </c>
      <c r="P196" s="35">
        <f>'7company_info'!F196</f>
        <v>0.0237</v>
      </c>
      <c r="Q196" s="35">
        <f>'7company_info'!G196</f>
        <v>105.75</v>
      </c>
      <c r="R196" s="35">
        <f>'7company_info'!H196</f>
        <v>105.69</v>
      </c>
      <c r="S196" s="35">
        <f>'7company_info'!I196</f>
        <v>69.64</v>
      </c>
      <c r="T196" s="35">
        <f>'7company_info'!J196</f>
        <v>130.47</v>
      </c>
      <c r="U196" s="39">
        <v>113.661666666666</v>
      </c>
      <c r="V196" s="39">
        <v>114.443333333333</v>
      </c>
      <c r="W196" s="40">
        <v>115.516666666666</v>
      </c>
      <c r="X196" s="40">
        <v>117.371666666666</v>
      </c>
      <c r="Y196" s="40">
        <v>112.588333333333</v>
      </c>
      <c r="Z196" s="40">
        <v>111.806666666666</v>
      </c>
      <c r="AA196" s="40">
        <v>109.951666666666</v>
      </c>
      <c r="AB196" s="40">
        <v>115.87</v>
      </c>
      <c r="AC196" s="40">
        <v>114.735</v>
      </c>
      <c r="AD196" s="40">
        <v>116.586933266635</v>
      </c>
      <c r="AE196" s="40">
        <v>107.92893</v>
      </c>
      <c r="AF196" s="40">
        <v>2.801785</v>
      </c>
      <c r="AG196" s="40">
        <v>130.47</v>
      </c>
      <c r="AH196" s="45">
        <v>44348.0</v>
      </c>
      <c r="AI196" s="44" t="str">
        <f>'6image_RS_benchmark_performance'!B196</f>
        <v>https://3arbzfbsh-cname-us.ngrok.io/Desktop/seabridge%20fintech/image_app/EMN_resistance_support.jpg</v>
      </c>
      <c r="AJ196" s="44" t="str">
        <f>'6image_RS_benchmark_performance'!C196</f>
        <v>https://3arbzfbsh-cname-us.ngrok.io/Desktop/seabridge%20fintech/profit_graph_app/EMN_Return.jpg</v>
      </c>
      <c r="AK196" s="46" t="str">
        <f>'5price_action_icon'!B196</f>
        <v>https://3arbzfbsh-cname-us.ngrok.io/Desktop/seabridge%20fintech/icon/EMN_pa_trend_signal</v>
      </c>
      <c r="AL196" s="42">
        <f>'1kpi_performance'!B196</f>
        <v>0.6235235796</v>
      </c>
      <c r="AM196" s="42">
        <f>'1kpi_performance'!C196</f>
        <v>0.8444101916</v>
      </c>
      <c r="AN196" s="42">
        <f>'1kpi_performance'!D196</f>
        <v>0.8767904203</v>
      </c>
      <c r="AO196" s="42">
        <f>'1kpi_performance'!E196</f>
        <v>0.1832775863</v>
      </c>
      <c r="AP196" s="42">
        <f>'1kpi_performance'!F196</f>
        <v>0.2403906677</v>
      </c>
      <c r="AQ196" s="42">
        <f>'1kpi_performance'!G196</f>
        <v>0.2481067158</v>
      </c>
      <c r="AR196" s="42">
        <f>'1kpi_performance'!H196</f>
        <v>0.2436693024</v>
      </c>
      <c r="AS196" s="42">
        <f>'1kpi_performance'!I196</f>
        <v>0.3622828965</v>
      </c>
      <c r="AT196" s="35">
        <f>'1kpi_performance'!J196</f>
        <v>2.489795404</v>
      </c>
      <c r="AU196" s="35">
        <f>'1kpi_performance'!K196</f>
        <v>3.302652204</v>
      </c>
      <c r="AV196" s="35">
        <f>'1kpi_performance'!L196</f>
        <v>3.495682107</v>
      </c>
      <c r="AW196" s="35">
        <f>'1kpi_performance'!M196</f>
        <v>0.4368894802</v>
      </c>
      <c r="AX196" s="42">
        <f>'1kpi_performance'!N196</f>
        <v>0.1920369532</v>
      </c>
      <c r="AY196" s="42">
        <f>'1kpi_performance'!O196</f>
        <v>0.1291240998</v>
      </c>
      <c r="AZ196" s="42">
        <f>'1kpi_performance'!P196</f>
        <v>0.1674203558</v>
      </c>
      <c r="BA196" s="42">
        <f>'1kpi_performance'!Q196</f>
        <v>0.6536448935</v>
      </c>
      <c r="BB196" s="35">
        <f>'1kpi_performance'!R196</f>
        <v>5.47992141</v>
      </c>
      <c r="BC196" s="35">
        <f>'1kpi_performance'!S196</f>
        <v>7.843001434</v>
      </c>
      <c r="BD196" s="35">
        <f>'1kpi_performance'!T196</f>
        <v>8.202811139</v>
      </c>
      <c r="BE196" s="35">
        <f>'1kpi_performance'!U196</f>
        <v>0.8626493141</v>
      </c>
      <c r="BF196" s="47"/>
      <c r="BG196" s="47"/>
      <c r="BH196" s="47"/>
      <c r="BI196" s="47"/>
      <c r="BJ196" s="47"/>
      <c r="BK196" s="47"/>
      <c r="BL196" s="47"/>
      <c r="BM196" s="47"/>
      <c r="BN196" s="47"/>
      <c r="BO196" s="47"/>
      <c r="BP196" s="47"/>
      <c r="BQ196" s="47"/>
      <c r="BR196" s="47"/>
      <c r="BS196" s="47"/>
      <c r="BT196" s="47"/>
    </row>
    <row r="197" ht="11.25" customHeight="1">
      <c r="A197" s="35" t="str">
        <f>'13all_company_profile'!A197</f>
        <v>EMR</v>
      </c>
      <c r="B197" s="35" t="str">
        <f>'13all_company_profile'!B197</f>
        <v>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v>
      </c>
      <c r="C197" s="44" t="str">
        <f>'13all_company_profile'!C197</f>
        <v>https://financialmodelingprep.com/image-stock/EMR.png</v>
      </c>
      <c r="D197" s="35" t="str">
        <f>'13all_company_profile'!D197</f>
        <v>Emerson Electric Co.</v>
      </c>
      <c r="E197" s="36">
        <f>'13all_company_profile'!E197</f>
        <v>59058454528</v>
      </c>
      <c r="F197" s="37">
        <f>'13all_company_profile'!F197</f>
        <v>2523795</v>
      </c>
      <c r="G197" s="35">
        <f>'13all_company_profile'!G197</f>
        <v>2.015</v>
      </c>
      <c r="H197" s="38">
        <f>'13all_company_profile'!H197</f>
        <v>44410</v>
      </c>
      <c r="I197" s="35">
        <f>'13all_company_profile'!I197</f>
        <v>27.472496</v>
      </c>
      <c r="J197" s="35">
        <f>'13all_company_profile'!J197</f>
        <v>3.545</v>
      </c>
      <c r="K197" s="42">
        <f t="shared" si="1"/>
        <v>0.02074539277</v>
      </c>
      <c r="L197" s="35">
        <f>'7company_info'!B197</f>
        <v>97.13</v>
      </c>
      <c r="M197" s="35">
        <f>'7company_info'!C197</f>
        <v>97.35</v>
      </c>
      <c r="N197" s="35">
        <f>'7company_info'!D197</f>
        <v>93.88</v>
      </c>
      <c r="O197" s="35">
        <f>'7company_info'!E197</f>
        <v>3.32</v>
      </c>
      <c r="P197" s="35">
        <f>'7company_info'!F197</f>
        <v>0.0354</v>
      </c>
      <c r="Q197" s="35">
        <f>'7company_info'!G197</f>
        <v>93.94</v>
      </c>
      <c r="R197" s="35">
        <f>'7company_info'!H197</f>
        <v>93.81</v>
      </c>
      <c r="S197" s="35">
        <f>'7company_info'!I197</f>
        <v>60.78</v>
      </c>
      <c r="T197" s="35">
        <f>'7company_info'!J197</f>
        <v>99.09</v>
      </c>
      <c r="U197" s="39">
        <v>98.28</v>
      </c>
      <c r="V197" s="39">
        <v>98.68</v>
      </c>
      <c r="W197" s="40">
        <v>99.3</v>
      </c>
      <c r="X197" s="40">
        <v>100.32</v>
      </c>
      <c r="Y197" s="40">
        <v>97.66</v>
      </c>
      <c r="Z197" s="40">
        <v>97.26</v>
      </c>
      <c r="AA197" s="40">
        <v>96.24</v>
      </c>
      <c r="AB197" s="40">
        <v>93.9636</v>
      </c>
      <c r="AC197" s="40">
        <v>96.58</v>
      </c>
      <c r="AD197" s="40">
        <v>96.6174467542765</v>
      </c>
      <c r="AE197" s="40">
        <v>94.00317</v>
      </c>
      <c r="AF197" s="40">
        <v>1.879915</v>
      </c>
      <c r="AG197" s="40">
        <v>99.09</v>
      </c>
      <c r="AH197" s="45">
        <v>44355.0</v>
      </c>
      <c r="AI197" s="44" t="str">
        <f>'6image_RS_benchmark_performance'!B197</f>
        <v>https://3arbzfbsh-cname-us.ngrok.io/Desktop/seabridge%20fintech/image_app/EMR_resistance_support.jpg</v>
      </c>
      <c r="AJ197" s="44" t="str">
        <f>'6image_RS_benchmark_performance'!C197</f>
        <v>https://3arbzfbsh-cname-us.ngrok.io/Desktop/seabridge%20fintech/profit_graph_app/EMR_Return.jpg</v>
      </c>
      <c r="AK197" s="46" t="str">
        <f>'5price_action_icon'!B197</f>
        <v>https://3arbzfbsh-cname-us.ngrok.io/Desktop/seabridge%20fintech/icon/EMR_pa_trend_signal</v>
      </c>
      <c r="AL197" s="42">
        <f>'1kpi_performance'!B197</f>
        <v>0.4659397037</v>
      </c>
      <c r="AM197" s="42">
        <f>'1kpi_performance'!C197</f>
        <v>0.6184716805</v>
      </c>
      <c r="AN197" s="42">
        <f>'1kpi_performance'!D197</f>
        <v>0.5378325727</v>
      </c>
      <c r="AO197" s="42">
        <f>'1kpi_performance'!E197</f>
        <v>0.1078354243</v>
      </c>
      <c r="AP197" s="42">
        <f>'1kpi_performance'!F197</f>
        <v>0.2159769214</v>
      </c>
      <c r="AQ197" s="42">
        <f>'1kpi_performance'!G197</f>
        <v>0.1982545184</v>
      </c>
      <c r="AR197" s="42">
        <f>'1kpi_performance'!H197</f>
        <v>0.2528227456</v>
      </c>
      <c r="AS197" s="42">
        <f>'1kpi_performance'!I197</f>
        <v>0.3244086659</v>
      </c>
      <c r="AT197" s="35">
        <f>'1kpi_performance'!J197</f>
        <v>2.041605653</v>
      </c>
      <c r="AU197" s="35">
        <f>'1kpi_performance'!K197</f>
        <v>2.993483757</v>
      </c>
      <c r="AV197" s="35">
        <f>'1kpi_performance'!L197</f>
        <v>2.028427354</v>
      </c>
      <c r="AW197" s="35">
        <f>'1kpi_performance'!M197</f>
        <v>0.2553428223</v>
      </c>
      <c r="AX197" s="42">
        <f>'1kpi_performance'!N197</f>
        <v>0.1594472239</v>
      </c>
      <c r="AY197" s="42">
        <f>'1kpi_performance'!O197</f>
        <v>0.09531064838</v>
      </c>
      <c r="AZ197" s="42">
        <f>'1kpi_performance'!P197</f>
        <v>0.4990132877</v>
      </c>
      <c r="BA197" s="42">
        <f>'1kpi_performance'!Q197</f>
        <v>0.5150280183</v>
      </c>
      <c r="BB197" s="35">
        <f>'1kpi_performance'!R197</f>
        <v>4.353122242</v>
      </c>
      <c r="BC197" s="35">
        <f>'1kpi_performance'!S197</f>
        <v>7.01677728</v>
      </c>
      <c r="BD197" s="35">
        <f>'1kpi_performance'!T197</f>
        <v>3.85562329</v>
      </c>
      <c r="BE197" s="35">
        <f>'1kpi_performance'!U197</f>
        <v>0.4873084279</v>
      </c>
      <c r="BF197" s="47"/>
      <c r="BG197" s="47"/>
      <c r="BH197" s="47"/>
      <c r="BI197" s="47"/>
      <c r="BJ197" s="47"/>
      <c r="BK197" s="47"/>
      <c r="BL197" s="47"/>
      <c r="BM197" s="47"/>
      <c r="BN197" s="47"/>
      <c r="BO197" s="47"/>
      <c r="BP197" s="47"/>
      <c r="BQ197" s="47"/>
      <c r="BR197" s="47"/>
      <c r="BS197" s="47"/>
      <c r="BT197" s="47"/>
    </row>
    <row r="198" ht="11.25" customHeight="1">
      <c r="A198" s="35" t="str">
        <f>'13all_company_profile'!A198</f>
        <v>ENPH</v>
      </c>
      <c r="B198" s="35" t="str">
        <f>'13all_company_profile'!B198</f>
        <v>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v>
      </c>
      <c r="C198" s="44" t="str">
        <f>'13all_company_profile'!C198</f>
        <v>https://financialmodelingprep.com/image-stock/ENPH.png</v>
      </c>
      <c r="D198" s="35" t="str">
        <f>'13all_company_profile'!D198</f>
        <v>Enphase Energy, Inc.</v>
      </c>
      <c r="E198" s="36">
        <f>'13all_company_profile'!E198</f>
        <v>22429687808</v>
      </c>
      <c r="F198" s="37">
        <f>'13all_company_profile'!F198</f>
        <v>3106325</v>
      </c>
      <c r="G198" s="35">
        <f>'13all_company_profile'!G198</f>
        <v>0</v>
      </c>
      <c r="H198" s="38">
        <f>'13all_company_profile'!H198</f>
        <v>44410</v>
      </c>
      <c r="I198" s="35">
        <f>'13all_company_profile'!I198</f>
        <v>243.93759</v>
      </c>
      <c r="J198" s="35">
        <f>'13all_company_profile'!J198</f>
        <v>0.673</v>
      </c>
      <c r="K198" s="42" t="str">
        <f t="shared" si="1"/>
        <v>NaN</v>
      </c>
      <c r="L198" s="35">
        <f>'7company_info'!B198</f>
        <v>172.09</v>
      </c>
      <c r="M198" s="35">
        <f>'7company_info'!C198</f>
        <v>173.52</v>
      </c>
      <c r="N198" s="35">
        <f>'7company_info'!D198</f>
        <v>163.93</v>
      </c>
      <c r="O198" s="35">
        <f>'7company_info'!E198</f>
        <v>6.81</v>
      </c>
      <c r="P198" s="35">
        <f>'7company_info'!F198</f>
        <v>0.0412</v>
      </c>
      <c r="Q198" s="35">
        <f>'7company_info'!G198</f>
        <v>167.53</v>
      </c>
      <c r="R198" s="35">
        <f>'7company_info'!H198</f>
        <v>165.28</v>
      </c>
      <c r="S198" s="35">
        <f>'7company_info'!I198</f>
        <v>56.28</v>
      </c>
      <c r="T198" s="35">
        <f>'7company_info'!J198</f>
        <v>229.04</v>
      </c>
      <c r="U198" s="39">
        <v>175.773333333333</v>
      </c>
      <c r="V198" s="39">
        <v>180.936666666666</v>
      </c>
      <c r="W198" s="40">
        <v>191.083333333333</v>
      </c>
      <c r="X198" s="40">
        <v>206.393333333333</v>
      </c>
      <c r="Y198" s="40">
        <v>165.626666666666</v>
      </c>
      <c r="Z198" s="40">
        <v>160.463333333333</v>
      </c>
      <c r="AA198" s="40">
        <v>145.153333333333</v>
      </c>
      <c r="AB198" s="40">
        <v>180.49</v>
      </c>
      <c r="AC198" s="40">
        <v>141.61</v>
      </c>
      <c r="AD198" s="40">
        <v>173.58868566313</v>
      </c>
      <c r="AE198" s="40">
        <v>167.25472</v>
      </c>
      <c r="AF198" s="40">
        <v>8.95363999999999</v>
      </c>
      <c r="AG198" s="40">
        <v>229.04</v>
      </c>
      <c r="AH198" s="45">
        <v>44237.0</v>
      </c>
      <c r="AI198" s="44" t="str">
        <f>'6image_RS_benchmark_performance'!B198</f>
        <v>https://3arbzfbsh-cname-us.ngrok.io/Desktop/seabridge%20fintech/image_app/ENPH_resistance_support.jpg</v>
      </c>
      <c r="AJ198" s="44" t="str">
        <f>'6image_RS_benchmark_performance'!C198</f>
        <v>https://3arbzfbsh-cname-us.ngrok.io/Desktop/seabridge%20fintech/profit_graph_app/ENPH_Return.jpg</v>
      </c>
      <c r="AK198" s="46" t="str">
        <f>'5price_action_icon'!B198</f>
        <v>https://3arbzfbsh-cname-us.ngrok.io/Desktop/seabridge%20fintech/icon/ENPH_pa_trend_signal</v>
      </c>
      <c r="AL198" s="42">
        <f>'1kpi_performance'!B198</f>
        <v>3.217727012</v>
      </c>
      <c r="AM198" s="42">
        <f>'1kpi_performance'!C198</f>
        <v>5.298195098</v>
      </c>
      <c r="AN198" s="42">
        <f>'1kpi_performance'!D198</f>
        <v>3.422877688</v>
      </c>
      <c r="AO198" s="42">
        <f>'1kpi_performance'!E198</f>
        <v>0.6241711987</v>
      </c>
      <c r="AP198" s="42">
        <f>'1kpi_performance'!F198</f>
        <v>0.7423152256</v>
      </c>
      <c r="AQ198" s="42">
        <f>'1kpi_performance'!G198</f>
        <v>0.7384256717</v>
      </c>
      <c r="AR198" s="42">
        <f>'1kpi_performance'!H198</f>
        <v>0.7009349605</v>
      </c>
      <c r="AS198" s="42">
        <f>'1kpi_performance'!I198</f>
        <v>1.018303671</v>
      </c>
      <c r="AT198" s="35">
        <f>'1kpi_performance'!J198</f>
        <v>4.301039372</v>
      </c>
      <c r="AU198" s="35">
        <f>'1kpi_performance'!K198</f>
        <v>7.141131871</v>
      </c>
      <c r="AV198" s="35">
        <f>'1kpi_performance'!L198</f>
        <v>4.847636199</v>
      </c>
      <c r="AW198" s="35">
        <f>'1kpi_performance'!M198</f>
        <v>0.5884012948</v>
      </c>
      <c r="AX198" s="42">
        <f>'1kpi_performance'!N198</f>
        <v>0.4433603496</v>
      </c>
      <c r="AY198" s="42">
        <f>'1kpi_performance'!O198</f>
        <v>0.2941176471</v>
      </c>
      <c r="AZ198" s="42">
        <f>'1kpi_performance'!P198</f>
        <v>0.5788473167</v>
      </c>
      <c r="BA198" s="42">
        <f>'1kpi_performance'!Q198</f>
        <v>0.9598044853</v>
      </c>
      <c r="BB198" s="35">
        <f>'1kpi_performance'!R198</f>
        <v>10.36568865</v>
      </c>
      <c r="BC198" s="35">
        <f>'1kpi_performance'!S198</f>
        <v>19.60854034</v>
      </c>
      <c r="BD198" s="35">
        <f>'1kpi_performance'!T198</f>
        <v>11.42305774</v>
      </c>
      <c r="BE198" s="35">
        <f>'1kpi_performance'!U198</f>
        <v>1.253350601</v>
      </c>
      <c r="BF198" s="47"/>
      <c r="BG198" s="47"/>
      <c r="BH198" s="47"/>
      <c r="BI198" s="47"/>
      <c r="BJ198" s="47"/>
      <c r="BK198" s="47"/>
      <c r="BL198" s="47"/>
      <c r="BM198" s="47"/>
      <c r="BN198" s="47"/>
      <c r="BO198" s="47"/>
      <c r="BP198" s="47"/>
      <c r="BQ198" s="47"/>
      <c r="BR198" s="47"/>
      <c r="BS198" s="47"/>
      <c r="BT198" s="47"/>
    </row>
    <row r="199" ht="11.25" customHeight="1">
      <c r="A199" s="35" t="str">
        <f>'13all_company_profile'!A199</f>
        <v>EOG</v>
      </c>
      <c r="B199" s="35" t="str">
        <f>'13all_company_profile'!B199</f>
        <v>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v>
      </c>
      <c r="C199" s="44" t="str">
        <f>'13all_company_profile'!C199</f>
        <v>https://financialmodelingprep.com/image-stock/EOG.png</v>
      </c>
      <c r="D199" s="35" t="str">
        <f>'13all_company_profile'!D199</f>
        <v>EOG Resources, Inc.</v>
      </c>
      <c r="E199" s="36">
        <f>'13all_company_profile'!E199</f>
        <v>44488212480</v>
      </c>
      <c r="F199" s="37">
        <f>'13all_company_profile'!F199</f>
        <v>4016607</v>
      </c>
      <c r="G199" s="35">
        <f>'13all_company_profile'!G199</f>
        <v>2.951</v>
      </c>
      <c r="H199" s="38">
        <f>'13all_company_profile'!H199</f>
        <v>44412</v>
      </c>
      <c r="I199" s="35">
        <f>'13all_company_profile'!I199</f>
        <v>683.4259</v>
      </c>
      <c r="J199" s="35">
        <f>'13all_company_profile'!J199</f>
        <v>0.108</v>
      </c>
      <c r="K199" s="42">
        <f t="shared" si="1"/>
        <v>0.04127272727</v>
      </c>
      <c r="L199" s="35">
        <f>'7company_info'!B199</f>
        <v>71.5</v>
      </c>
      <c r="M199" s="35">
        <f>'7company_info'!C199</f>
        <v>72.46</v>
      </c>
      <c r="N199" s="35">
        <f>'7company_info'!D199</f>
        <v>69.3</v>
      </c>
      <c r="O199" s="35">
        <f>'7company_info'!E199</f>
        <v>1.16</v>
      </c>
      <c r="P199" s="35">
        <f>'7company_info'!F199</f>
        <v>0.0165</v>
      </c>
      <c r="Q199" s="35">
        <f>'7company_info'!G199</f>
        <v>70</v>
      </c>
      <c r="R199" s="35">
        <f>'7company_info'!H199</f>
        <v>70.34</v>
      </c>
      <c r="S199" s="35">
        <f>'7company_info'!I199</f>
        <v>31.22</v>
      </c>
      <c r="T199" s="35">
        <f>'7company_info'!J199</f>
        <v>87.99</v>
      </c>
      <c r="U199" s="39">
        <v>81.07</v>
      </c>
      <c r="V199" s="39">
        <v>82.92</v>
      </c>
      <c r="W199" s="40">
        <v>86.18</v>
      </c>
      <c r="X199" s="40">
        <v>91.29</v>
      </c>
      <c r="Y199" s="40">
        <v>77.81</v>
      </c>
      <c r="Z199" s="40">
        <v>75.96</v>
      </c>
      <c r="AA199" s="40">
        <v>70.85</v>
      </c>
      <c r="AB199" s="40">
        <v>83.66</v>
      </c>
      <c r="AC199" s="40">
        <v>87.99</v>
      </c>
      <c r="AD199" s="40">
        <v>83.0373270808696</v>
      </c>
      <c r="AE199" s="40">
        <v>76.956</v>
      </c>
      <c r="AF199" s="40">
        <v>3.05175</v>
      </c>
      <c r="AG199" s="40">
        <v>87.99</v>
      </c>
      <c r="AH199" s="45">
        <v>44354.0</v>
      </c>
      <c r="AI199" s="44" t="str">
        <f>'6image_RS_benchmark_performance'!B199</f>
        <v>https://3arbzfbsh-cname-us.ngrok.io/Desktop/seabridge%20fintech/image_app/EOG_resistance_support.jpg</v>
      </c>
      <c r="AJ199" s="44" t="str">
        <f>'6image_RS_benchmark_performance'!C199</f>
        <v>https://3arbzfbsh-cname-us.ngrok.io/Desktop/seabridge%20fintech/profit_graph_app/EOG_Return.jpg</v>
      </c>
      <c r="AK199" s="46" t="str">
        <f>'5price_action_icon'!B199</f>
        <v>https://3arbzfbsh-cname-us.ngrok.io/Desktop/seabridge%20fintech/icon/EOG_pa_trend_signal</v>
      </c>
      <c r="AL199" s="42">
        <f>'1kpi_performance'!B199</f>
        <v>0.6656263644</v>
      </c>
      <c r="AM199" s="42">
        <f>'1kpi_performance'!C199</f>
        <v>0.9040141761</v>
      </c>
      <c r="AN199" s="42">
        <f>'1kpi_performance'!D199</f>
        <v>0.4848492127</v>
      </c>
      <c r="AO199" s="42">
        <f>'1kpi_performance'!E199</f>
        <v>0.06434551203</v>
      </c>
      <c r="AP199" s="42">
        <f>'1kpi_performance'!F199</f>
        <v>0.3171659872</v>
      </c>
      <c r="AQ199" s="42">
        <f>'1kpi_performance'!G199</f>
        <v>0.3249178864</v>
      </c>
      <c r="AR199" s="42">
        <f>'1kpi_performance'!H199</f>
        <v>0.3515363059</v>
      </c>
      <c r="AS199" s="42">
        <f>'1kpi_performance'!I199</f>
        <v>0.4644704823</v>
      </c>
      <c r="AT199" s="35">
        <f>'1kpi_performance'!J199</f>
        <v>2.019845728</v>
      </c>
      <c r="AU199" s="35">
        <f>'1kpi_performance'!K199</f>
        <v>2.705342528</v>
      </c>
      <c r="AV199" s="35">
        <f>'1kpi_performance'!L199</f>
        <v>1.308113003</v>
      </c>
      <c r="AW199" s="35">
        <f>'1kpi_performance'!M199</f>
        <v>0.08471046821</v>
      </c>
      <c r="AX199" s="42">
        <f>'1kpi_performance'!N199</f>
        <v>0.1936409803</v>
      </c>
      <c r="AY199" s="42">
        <f>'1kpi_performance'!O199</f>
        <v>0.1936409803</v>
      </c>
      <c r="AZ199" s="42">
        <f>'1kpi_performance'!P199</f>
        <v>0.6524578885</v>
      </c>
      <c r="BA199" s="42">
        <f>'1kpi_performance'!Q199</f>
        <v>0.7751416698</v>
      </c>
      <c r="BB199" s="35">
        <f>'1kpi_performance'!R199</f>
        <v>4.454224512</v>
      </c>
      <c r="BC199" s="35">
        <f>'1kpi_performance'!S199</f>
        <v>6.290856059</v>
      </c>
      <c r="BD199" s="35">
        <f>'1kpi_performance'!T199</f>
        <v>2.389638642</v>
      </c>
      <c r="BE199" s="35">
        <f>'1kpi_performance'!U199</f>
        <v>0.1659727281</v>
      </c>
      <c r="BF199" s="47"/>
      <c r="BG199" s="47"/>
      <c r="BH199" s="47"/>
      <c r="BI199" s="47"/>
      <c r="BJ199" s="47"/>
      <c r="BK199" s="47"/>
      <c r="BL199" s="47"/>
      <c r="BM199" s="47"/>
      <c r="BN199" s="47"/>
      <c r="BO199" s="47"/>
      <c r="BP199" s="47"/>
      <c r="BQ199" s="47"/>
      <c r="BR199" s="47"/>
      <c r="BS199" s="47"/>
      <c r="BT199" s="47"/>
    </row>
    <row r="200" ht="11.25" customHeight="1">
      <c r="A200" s="35" t="str">
        <f>'13all_company_profile'!A200</f>
        <v>EQH</v>
      </c>
      <c r="B200" s="35" t="str">
        <f>'13all_company_profile'!B200</f>
        <v>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v>
      </c>
      <c r="C200" s="44" t="str">
        <f>'13all_company_profile'!C200</f>
        <v>https://financialmodelingprep.com/image-stock/EQH.png</v>
      </c>
      <c r="D200" s="35" t="str">
        <f>'13all_company_profile'!D200</f>
        <v>Equitable Holdings, Inc.</v>
      </c>
      <c r="E200" s="36">
        <f>'13all_company_profile'!E200</f>
        <v>12621204480</v>
      </c>
      <c r="F200" s="37">
        <f>'13all_company_profile'!F200</f>
        <v>3172084</v>
      </c>
      <c r="G200" s="35">
        <f>'13all_company_profile'!G200</f>
        <v>0.69</v>
      </c>
      <c r="H200" s="38">
        <f>'13all_company_profile'!H200</f>
        <v>44410</v>
      </c>
      <c r="I200" s="35" t="str">
        <f>'13all_company_profile'!I200</f>
        <v>NaN</v>
      </c>
      <c r="J200" s="35">
        <f>'13all_company_profile'!J200</f>
        <v>-17.087</v>
      </c>
      <c r="K200" s="42">
        <f t="shared" si="1"/>
        <v>0.02352540061</v>
      </c>
      <c r="L200" s="35">
        <f>'7company_info'!B200</f>
        <v>29.33</v>
      </c>
      <c r="M200" s="35">
        <f>'7company_info'!C200</f>
        <v>29.65</v>
      </c>
      <c r="N200" s="35">
        <f>'7company_info'!D200</f>
        <v>28.01</v>
      </c>
      <c r="O200" s="35">
        <f>'7company_info'!E200</f>
        <v>1.26</v>
      </c>
      <c r="P200" s="35">
        <f>'7company_info'!F200</f>
        <v>0.0449</v>
      </c>
      <c r="Q200" s="35">
        <f>'7company_info'!G200</f>
        <v>28.02</v>
      </c>
      <c r="R200" s="35">
        <f>'7company_info'!H200</f>
        <v>28.07</v>
      </c>
      <c r="S200" s="35">
        <f>'7company_info'!I200</f>
        <v>17.33</v>
      </c>
      <c r="T200" s="35">
        <f>'7company_info'!J200</f>
        <v>35.46</v>
      </c>
      <c r="U200" s="39">
        <v>29.2283333333333</v>
      </c>
      <c r="V200" s="39">
        <v>29.6116666666666</v>
      </c>
      <c r="W200" s="40">
        <v>29.9833333333333</v>
      </c>
      <c r="X200" s="40">
        <v>30.7383333333333</v>
      </c>
      <c r="Y200" s="40">
        <v>28.8566666666666</v>
      </c>
      <c r="Z200" s="40">
        <v>28.4733333333333</v>
      </c>
      <c r="AA200" s="40">
        <v>27.7183333333333</v>
      </c>
      <c r="AB200" s="40">
        <v>30.625</v>
      </c>
      <c r="AC200" s="40">
        <v>29.7</v>
      </c>
      <c r="AD200" s="40">
        <v>30.1432622464362</v>
      </c>
      <c r="AE200" s="40">
        <v>27.3525</v>
      </c>
      <c r="AF200" s="40">
        <v>0.87625</v>
      </c>
      <c r="AG200" s="40">
        <v>35.46</v>
      </c>
      <c r="AH200" s="45">
        <v>44322.0</v>
      </c>
      <c r="AI200" s="44" t="str">
        <f>'6image_RS_benchmark_performance'!B200</f>
        <v>https://3arbzfbsh-cname-us.ngrok.io/Desktop/seabridge%20fintech/image_app/EQH_resistance_support.jpg</v>
      </c>
      <c r="AJ200" s="44" t="str">
        <f>'6image_RS_benchmark_performance'!C200</f>
        <v>https://3arbzfbsh-cname-us.ngrok.io/Desktop/seabridge%20fintech/profit_graph_app/EQH_Return.jpg</v>
      </c>
      <c r="AK200" s="46" t="str">
        <f>'5price_action_icon'!B200</f>
        <v>https://3arbzfbsh-cname-us.ngrok.io/Desktop/seabridge%20fintech/icon/EQH_pa_trend_signal</v>
      </c>
      <c r="AL200" s="42">
        <f>'1kpi_performance'!B200</f>
        <v>1.020568765</v>
      </c>
      <c r="AM200" s="42">
        <f>'1kpi_performance'!C200</f>
        <v>1.453701702</v>
      </c>
      <c r="AN200" s="42">
        <f>'1kpi_performance'!D200</f>
        <v>0.8952454279</v>
      </c>
      <c r="AO200" s="42">
        <f>'1kpi_performance'!E200</f>
        <v>0.177662008</v>
      </c>
      <c r="AP200" s="42">
        <f>'1kpi_performance'!F200</f>
        <v>0.3482177503</v>
      </c>
      <c r="AQ200" s="42">
        <f>'1kpi_performance'!G200</f>
        <v>0.3362991517</v>
      </c>
      <c r="AR200" s="42">
        <f>'1kpi_performance'!H200</f>
        <v>0.2950546314</v>
      </c>
      <c r="AS200" s="42">
        <f>'1kpi_performance'!I200</f>
        <v>0.5536313759</v>
      </c>
      <c r="AT200" s="35">
        <f>'1kpi_performance'!J200</f>
        <v>2.859040826</v>
      </c>
      <c r="AU200" s="35">
        <f>'1kpi_performance'!K200</f>
        <v>4.248305995</v>
      </c>
      <c r="AV200" s="35">
        <f>'1kpi_performance'!L200</f>
        <v>2.949438291</v>
      </c>
      <c r="AW200" s="35">
        <f>'1kpi_performance'!M200</f>
        <v>0.2757466694</v>
      </c>
      <c r="AX200" s="42">
        <f>'1kpi_performance'!N200</f>
        <v>0.1759493671</v>
      </c>
      <c r="AY200" s="42">
        <f>'1kpi_performance'!O200</f>
        <v>0.1759493671</v>
      </c>
      <c r="AZ200" s="42">
        <f>'1kpi_performance'!P200</f>
        <v>0.1837112448</v>
      </c>
      <c r="BA200" s="42">
        <f>'1kpi_performance'!Q200</f>
        <v>0.6162062615</v>
      </c>
      <c r="BB200" s="35">
        <f>'1kpi_performance'!R200</f>
        <v>6.377226729</v>
      </c>
      <c r="BC200" s="35">
        <f>'1kpi_performance'!S200</f>
        <v>10.55546733</v>
      </c>
      <c r="BD200" s="35">
        <f>'1kpi_performance'!T200</f>
        <v>6.589573886</v>
      </c>
      <c r="BE200" s="35">
        <f>'1kpi_performance'!U200</f>
        <v>0.5494944237</v>
      </c>
      <c r="BF200" s="47"/>
      <c r="BG200" s="47"/>
      <c r="BH200" s="47"/>
      <c r="BI200" s="47"/>
      <c r="BJ200" s="47"/>
      <c r="BK200" s="47"/>
      <c r="BL200" s="47"/>
      <c r="BM200" s="47"/>
      <c r="BN200" s="47"/>
      <c r="BO200" s="47"/>
      <c r="BP200" s="47"/>
      <c r="BQ200" s="47"/>
      <c r="BR200" s="47"/>
      <c r="BS200" s="47"/>
      <c r="BT200" s="47"/>
    </row>
    <row r="201" ht="11.25" customHeight="1">
      <c r="A201" s="35" t="str">
        <f>'13all_company_profile'!A201</f>
        <v>EQIX</v>
      </c>
      <c r="B201" s="35" t="str">
        <f>'13all_company_profile'!B201</f>
        <v>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v>
      </c>
      <c r="C201" s="44" t="str">
        <f>'13all_company_profile'!C201</f>
        <v>https://financialmodelingprep.com/image-stock/EQIX.png</v>
      </c>
      <c r="D201" s="35" t="str">
        <f>'13all_company_profile'!D201</f>
        <v>Equinix, Inc. (REIT)</v>
      </c>
      <c r="E201" s="36">
        <f>'13all_company_profile'!E201</f>
        <v>74713219072</v>
      </c>
      <c r="F201" s="37">
        <f>'13all_company_profile'!F201</f>
        <v>562268</v>
      </c>
      <c r="G201" s="35">
        <f>'13all_company_profile'!G201</f>
        <v>11.06</v>
      </c>
      <c r="H201" s="38">
        <f>'13all_company_profile'!H201</f>
        <v>44405</v>
      </c>
      <c r="I201" s="35">
        <f>'13all_company_profile'!I201</f>
        <v>183.24846</v>
      </c>
      <c r="J201" s="35">
        <f>'13all_company_profile'!J201</f>
        <v>4.556</v>
      </c>
      <c r="K201" s="42">
        <f t="shared" si="1"/>
        <v>0.01328289197</v>
      </c>
      <c r="L201" s="35">
        <f>'7company_info'!B201</f>
        <v>832.65</v>
      </c>
      <c r="M201" s="35">
        <f>'7company_info'!C201</f>
        <v>840</v>
      </c>
      <c r="N201" s="35">
        <f>'7company_info'!D201</f>
        <v>828.18</v>
      </c>
      <c r="O201" s="35">
        <f>'7company_info'!E201</f>
        <v>-1.65</v>
      </c>
      <c r="P201" s="35">
        <f>'7company_info'!F201</f>
        <v>-0.002</v>
      </c>
      <c r="Q201" s="35">
        <f>'7company_info'!G201</f>
        <v>838.5</v>
      </c>
      <c r="R201" s="35">
        <f>'7company_info'!H201</f>
        <v>834.3</v>
      </c>
      <c r="S201" s="35">
        <f>'7company_info'!I201</f>
        <v>586.73</v>
      </c>
      <c r="T201" s="35">
        <f>'7company_info'!J201</f>
        <v>845.62</v>
      </c>
      <c r="U201" s="39">
        <v>828.502433333333</v>
      </c>
      <c r="V201" s="39">
        <v>838.107566666666</v>
      </c>
      <c r="W201" s="40">
        <v>844.375133333333</v>
      </c>
      <c r="X201" s="40">
        <v>860.247833333333</v>
      </c>
      <c r="Y201" s="40">
        <v>822.234866666666</v>
      </c>
      <c r="Z201" s="40">
        <v>812.629733333333</v>
      </c>
      <c r="AA201" s="40">
        <v>796.757033333333</v>
      </c>
      <c r="AB201" s="40">
        <v>795.2</v>
      </c>
      <c r="AC201" s="40">
        <v>835.71</v>
      </c>
      <c r="AD201" s="40">
        <v>809.684377138773</v>
      </c>
      <c r="AE201" s="40">
        <v>787.553609999999</v>
      </c>
      <c r="AF201" s="40">
        <v>17.5743299999999</v>
      </c>
      <c r="AG201" s="40">
        <v>829.61</v>
      </c>
      <c r="AH201" s="45">
        <v>44365.0</v>
      </c>
      <c r="AI201" s="44" t="str">
        <f>'6image_RS_benchmark_performance'!B201</f>
        <v>https://3arbzfbsh-cname-us.ngrok.io/Desktop/seabridge%20fintech/image_app/EQIX_resistance_support.jpg</v>
      </c>
      <c r="AJ201" s="44" t="str">
        <f>'6image_RS_benchmark_performance'!C201</f>
        <v>https://3arbzfbsh-cname-us.ngrok.io/Desktop/seabridge%20fintech/profit_graph_app/EQIX_Return.jpg</v>
      </c>
      <c r="AK201" s="46" t="str">
        <f>'5price_action_icon'!B201</f>
        <v>https://3arbzfbsh-cname-us.ngrok.io/Desktop/seabridge%20fintech/icon/EQIX_pa_trend_signal</v>
      </c>
      <c r="AL201" s="42">
        <f>'1kpi_performance'!B201</f>
        <v>0.5901420975</v>
      </c>
      <c r="AM201" s="42">
        <f>'1kpi_performance'!C201</f>
        <v>0.8244197694</v>
      </c>
      <c r="AN201" s="42">
        <f>'1kpi_performance'!D201</f>
        <v>0.6362365904</v>
      </c>
      <c r="AO201" s="42">
        <f>'1kpi_performance'!E201</f>
        <v>0.3088908422</v>
      </c>
      <c r="AP201" s="42">
        <f>'1kpi_performance'!F201</f>
        <v>0.2076915647</v>
      </c>
      <c r="AQ201" s="42">
        <f>'1kpi_performance'!G201</f>
        <v>0.2400973766</v>
      </c>
      <c r="AR201" s="42">
        <f>'1kpi_performance'!H201</f>
        <v>0.2484603665</v>
      </c>
      <c r="AS201" s="42">
        <f>'1kpi_performance'!I201</f>
        <v>0.3529949998</v>
      </c>
      <c r="AT201" s="35">
        <f>'1kpi_performance'!J201</f>
        <v>2.721064279</v>
      </c>
      <c r="AU201" s="35">
        <f>'1kpi_performance'!K201</f>
        <v>3.329564783</v>
      </c>
      <c r="AV201" s="35">
        <f>'1kpi_performance'!L201</f>
        <v>2.460096953</v>
      </c>
      <c r="AW201" s="35">
        <f>'1kpi_performance'!M201</f>
        <v>0.8042347411</v>
      </c>
      <c r="AX201" s="42">
        <f>'1kpi_performance'!N201</f>
        <v>0.114233494</v>
      </c>
      <c r="AY201" s="42">
        <f>'1kpi_performance'!O201</f>
        <v>0.08490143414</v>
      </c>
      <c r="AZ201" s="42">
        <f>'1kpi_performance'!P201</f>
        <v>0.2422190894</v>
      </c>
      <c r="BA201" s="42">
        <f>'1kpi_performance'!Q201</f>
        <v>0.3306682478</v>
      </c>
      <c r="BB201" s="35">
        <f>'1kpi_performance'!R201</f>
        <v>5.860125035</v>
      </c>
      <c r="BC201" s="35">
        <f>'1kpi_performance'!S201</f>
        <v>7.94040755</v>
      </c>
      <c r="BD201" s="35">
        <f>'1kpi_performance'!T201</f>
        <v>5.273088918</v>
      </c>
      <c r="BE201" s="35">
        <f>'1kpi_performance'!U201</f>
        <v>1.511217198</v>
      </c>
      <c r="BF201" s="47"/>
      <c r="BG201" s="47"/>
      <c r="BH201" s="47"/>
      <c r="BI201" s="47"/>
      <c r="BJ201" s="47"/>
      <c r="BK201" s="47"/>
      <c r="BL201" s="47"/>
      <c r="BM201" s="47"/>
      <c r="BN201" s="47"/>
      <c r="BO201" s="47"/>
      <c r="BP201" s="47"/>
      <c r="BQ201" s="47"/>
      <c r="BR201" s="47"/>
      <c r="BS201" s="47"/>
      <c r="BT201" s="47"/>
    </row>
    <row r="202" ht="11.25" customHeight="1">
      <c r="A202" s="35" t="str">
        <f>'13all_company_profile'!A202</f>
        <v>EQR</v>
      </c>
      <c r="B202" s="35" t="str">
        <f>'13all_company_profile'!B202</f>
        <v>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v>
      </c>
      <c r="C202" s="44" t="str">
        <f>'13all_company_profile'!C202</f>
        <v>https://financialmodelingprep.com/image-stock/EQR.png</v>
      </c>
      <c r="D202" s="35" t="str">
        <f>'13all_company_profile'!D202</f>
        <v>Equity Residential</v>
      </c>
      <c r="E202" s="36">
        <f>'13all_company_profile'!E202</f>
        <v>31143395328</v>
      </c>
      <c r="F202" s="37">
        <f>'13all_company_profile'!F202</f>
        <v>2088420</v>
      </c>
      <c r="G202" s="35">
        <f>'13all_company_profile'!G202</f>
        <v>2.412</v>
      </c>
      <c r="H202" s="38">
        <f>'13all_company_profile'!H202</f>
        <v>44404</v>
      </c>
      <c r="I202" s="35">
        <f>'13all_company_profile'!I202</f>
        <v>47.202484</v>
      </c>
      <c r="J202" s="35">
        <f>'13all_company_profile'!J202</f>
        <v>1.773</v>
      </c>
      <c r="K202" s="42">
        <f t="shared" si="1"/>
        <v>0.02841658812</v>
      </c>
      <c r="L202" s="35">
        <f>'7company_info'!B202</f>
        <v>84.88</v>
      </c>
      <c r="M202" s="35">
        <f>'7company_info'!C202</f>
        <v>85.26</v>
      </c>
      <c r="N202" s="35">
        <f>'7company_info'!D202</f>
        <v>82.45</v>
      </c>
      <c r="O202" s="35">
        <f>'7company_info'!E202</f>
        <v>2.48</v>
      </c>
      <c r="P202" s="35">
        <f>'7company_info'!F202</f>
        <v>0.0301</v>
      </c>
      <c r="Q202" s="35">
        <f>'7company_info'!G202</f>
        <v>82.75</v>
      </c>
      <c r="R202" s="35">
        <f>'7company_info'!H202</f>
        <v>82.4</v>
      </c>
      <c r="S202" s="35">
        <f>'7company_info'!I202</f>
        <v>45.43</v>
      </c>
      <c r="T202" s="35">
        <f>'7company_info'!J202</f>
        <v>85.26</v>
      </c>
      <c r="U202" s="39">
        <v>82.3399999999999</v>
      </c>
      <c r="V202" s="39">
        <v>83.3299999999999</v>
      </c>
      <c r="W202" s="40">
        <v>83.8999999999999</v>
      </c>
      <c r="X202" s="40">
        <v>85.46</v>
      </c>
      <c r="Y202" s="40">
        <v>81.7699999999999</v>
      </c>
      <c r="Z202" s="40">
        <v>80.7799999999999</v>
      </c>
      <c r="AA202" s="40">
        <v>79.2199999999999</v>
      </c>
      <c r="AB202" s="40">
        <v>77.5</v>
      </c>
      <c r="AC202" s="40">
        <v>82.91</v>
      </c>
      <c r="AD202" s="40">
        <v>79.6836521568844</v>
      </c>
      <c r="AE202" s="40">
        <v>78.62401</v>
      </c>
      <c r="AF202" s="40">
        <v>1.33349499999999</v>
      </c>
      <c r="AG202" s="40">
        <v>82.05</v>
      </c>
      <c r="AH202" s="45">
        <v>44357.0</v>
      </c>
      <c r="AI202" s="44" t="str">
        <f>'6image_RS_benchmark_performance'!B202</f>
        <v>https://3arbzfbsh-cname-us.ngrok.io/Desktop/seabridge%20fintech/image_app/EQR_resistance_support.jpg</v>
      </c>
      <c r="AJ202" s="44" t="str">
        <f>'6image_RS_benchmark_performance'!C202</f>
        <v>https://3arbzfbsh-cname-us.ngrok.io/Desktop/seabridge%20fintech/profit_graph_app/EQR_Return.jpg</v>
      </c>
      <c r="AK202" s="46" t="str">
        <f>'5price_action_icon'!B202</f>
        <v>https://3arbzfbsh-cname-us.ngrok.io/Desktop/seabridge%20fintech/icon/EQR_pa_trend_signal</v>
      </c>
      <c r="AL202" s="42">
        <f>'1kpi_performance'!B202</f>
        <v>0.405759692</v>
      </c>
      <c r="AM202" s="42">
        <f>'1kpi_performance'!C202</f>
        <v>0.4492705651</v>
      </c>
      <c r="AN202" s="42">
        <f>'1kpi_performance'!D202</f>
        <v>0.4689715324</v>
      </c>
      <c r="AO202" s="42">
        <f>'1kpi_performance'!E202</f>
        <v>0.1442963324</v>
      </c>
      <c r="AP202" s="42">
        <f>'1kpi_performance'!F202</f>
        <v>0.1951490202</v>
      </c>
      <c r="AQ202" s="42">
        <f>'1kpi_performance'!G202</f>
        <v>0.2058404382</v>
      </c>
      <c r="AR202" s="42">
        <f>'1kpi_performance'!H202</f>
        <v>0.1895671872</v>
      </c>
      <c r="AS202" s="42">
        <f>'1kpi_performance'!I202</f>
        <v>0.298073679</v>
      </c>
      <c r="AT202" s="35">
        <f>'1kpi_performance'!J202</f>
        <v>1.951122745</v>
      </c>
      <c r="AU202" s="35">
        <f>'1kpi_performance'!K202</f>
        <v>2.061162369</v>
      </c>
      <c r="AV202" s="35">
        <f>'1kpi_performance'!L202</f>
        <v>2.342027326</v>
      </c>
      <c r="AW202" s="35">
        <f>'1kpi_performance'!M202</f>
        <v>0.4002243095</v>
      </c>
      <c r="AX202" s="42">
        <f>'1kpi_performance'!N202</f>
        <v>0.1464709622</v>
      </c>
      <c r="AY202" s="42">
        <f>'1kpi_performance'!O202</f>
        <v>0.1387018197</v>
      </c>
      <c r="AZ202" s="42">
        <f>'1kpi_performance'!P202</f>
        <v>0.1566664573</v>
      </c>
      <c r="BA202" s="42">
        <f>'1kpi_performance'!Q202</f>
        <v>0.4795723129</v>
      </c>
      <c r="BB202" s="35">
        <f>'1kpi_performance'!R202</f>
        <v>4.166059759</v>
      </c>
      <c r="BC202" s="35">
        <f>'1kpi_performance'!S202</f>
        <v>4.469985508</v>
      </c>
      <c r="BD202" s="35">
        <f>'1kpi_performance'!T202</f>
        <v>5.07714085</v>
      </c>
      <c r="BE202" s="35">
        <f>'1kpi_performance'!U202</f>
        <v>0.7791772269</v>
      </c>
      <c r="BF202" s="47"/>
      <c r="BG202" s="47"/>
      <c r="BH202" s="47"/>
      <c r="BI202" s="47"/>
      <c r="BJ202" s="47"/>
      <c r="BK202" s="47"/>
      <c r="BL202" s="47"/>
      <c r="BM202" s="47"/>
      <c r="BN202" s="47"/>
      <c r="BO202" s="47"/>
      <c r="BP202" s="47"/>
      <c r="BQ202" s="47"/>
      <c r="BR202" s="47"/>
      <c r="BS202" s="47"/>
      <c r="BT202" s="47"/>
    </row>
    <row r="203" ht="11.25" customHeight="1">
      <c r="A203" s="35" t="str">
        <f>'13all_company_profile'!A203</f>
        <v>ES</v>
      </c>
      <c r="B203" s="35" t="str">
        <f>'13all_company_profile'!B203</f>
        <v>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v>
      </c>
      <c r="C203" s="44" t="str">
        <f>'13all_company_profile'!C203</f>
        <v>https://financialmodelingprep.com/image-stock/ES.png</v>
      </c>
      <c r="D203" s="35" t="str">
        <f>'13all_company_profile'!D203</f>
        <v>Eversource Energy</v>
      </c>
      <c r="E203" s="36">
        <f>'13all_company_profile'!E203</f>
        <v>29606766592</v>
      </c>
      <c r="F203" s="37">
        <f>'13all_company_profile'!F203</f>
        <v>1582961</v>
      </c>
      <c r="G203" s="35">
        <f>'13all_company_profile'!G203</f>
        <v>2.3415</v>
      </c>
      <c r="H203" s="38">
        <f>'13all_company_profile'!H203</f>
        <v>44405</v>
      </c>
      <c r="I203" s="35">
        <f>'13all_company_profile'!I203</f>
        <v>24.267479</v>
      </c>
      <c r="J203" s="35">
        <f>'13all_company_profile'!J203</f>
        <v>3.604</v>
      </c>
      <c r="K203" s="42">
        <f t="shared" si="1"/>
        <v>0.02724575285</v>
      </c>
      <c r="L203" s="35">
        <f>'7company_info'!B203</f>
        <v>85.94</v>
      </c>
      <c r="M203" s="35">
        <f>'7company_info'!C203</f>
        <v>87.79</v>
      </c>
      <c r="N203" s="35">
        <f>'7company_info'!D203</f>
        <v>85.41</v>
      </c>
      <c r="O203" s="35">
        <f>'7company_info'!E203</f>
        <v>-0.29</v>
      </c>
      <c r="P203" s="35">
        <f>'7company_info'!F203</f>
        <v>-0.0034</v>
      </c>
      <c r="Q203" s="35">
        <f>'7company_info'!G203</f>
        <v>86.54</v>
      </c>
      <c r="R203" s="35">
        <f>'7company_info'!H203</f>
        <v>86.23</v>
      </c>
      <c r="S203" s="35">
        <f>'7company_info'!I203</f>
        <v>76.64</v>
      </c>
      <c r="T203" s="35">
        <f>'7company_info'!J203</f>
        <v>96.66</v>
      </c>
      <c r="U203" s="39">
        <v>83.62</v>
      </c>
      <c r="V203" s="39">
        <v>84.88</v>
      </c>
      <c r="W203" s="40">
        <v>85.72</v>
      </c>
      <c r="X203" s="40">
        <v>87.82</v>
      </c>
      <c r="Y203" s="40">
        <v>82.78</v>
      </c>
      <c r="Z203" s="40">
        <v>81.52</v>
      </c>
      <c r="AA203" s="40">
        <v>79.42</v>
      </c>
      <c r="AB203" s="40">
        <v>78.44</v>
      </c>
      <c r="AC203" s="40">
        <v>82.68</v>
      </c>
      <c r="AD203" s="40">
        <v>81.9008988057098</v>
      </c>
      <c r="AE203" s="40">
        <v>79.9925</v>
      </c>
      <c r="AF203" s="40">
        <v>1.4755</v>
      </c>
      <c r="AG203" s="40">
        <v>91.23</v>
      </c>
      <c r="AH203" s="45">
        <v>44224.0</v>
      </c>
      <c r="AI203" s="44" t="str">
        <f>'6image_RS_benchmark_performance'!B203</f>
        <v>https://3arbzfbsh-cname-us.ngrok.io/Desktop/seabridge%20fintech/image_app/ES_resistance_support.jpg</v>
      </c>
      <c r="AJ203" s="44" t="str">
        <f>'6image_RS_benchmark_performance'!C203</f>
        <v>https://3arbzfbsh-cname-us.ngrok.io/Desktop/seabridge%20fintech/profit_graph_app/ES_Return.jpg</v>
      </c>
      <c r="AK203" s="46" t="str">
        <f>'5price_action_icon'!B203</f>
        <v>https://3arbzfbsh-cname-us.ngrok.io/Desktop/seabridge%20fintech/icon/ES_pa_trend_signal</v>
      </c>
      <c r="AL203" s="42">
        <f>'1kpi_performance'!B203</f>
        <v>0.3832612754</v>
      </c>
      <c r="AM203" s="42">
        <f>'1kpi_performance'!C203</f>
        <v>0.452138943</v>
      </c>
      <c r="AN203" s="42">
        <f>'1kpi_performance'!D203</f>
        <v>0.3541552357</v>
      </c>
      <c r="AO203" s="42">
        <f>'1kpi_performance'!E203</f>
        <v>0.1576412691</v>
      </c>
      <c r="AP203" s="42">
        <f>'1kpi_performance'!F203</f>
        <v>0.1548602843</v>
      </c>
      <c r="AQ203" s="42">
        <f>'1kpi_performance'!G203</f>
        <v>0.1679329423</v>
      </c>
      <c r="AR203" s="42">
        <f>'1kpi_performance'!H203</f>
        <v>0.161528071</v>
      </c>
      <c r="AS203" s="42">
        <f>'1kpi_performance'!I203</f>
        <v>0.2505854308</v>
      </c>
      <c r="AT203" s="35">
        <f>'1kpi_performance'!J203</f>
        <v>2.313448389</v>
      </c>
      <c r="AU203" s="35">
        <f>'1kpi_performance'!K203</f>
        <v>2.543508957</v>
      </c>
      <c r="AV203" s="35">
        <f>'1kpi_performance'!L203</f>
        <v>2.037758723</v>
      </c>
      <c r="AW203" s="35">
        <f>'1kpi_performance'!M203</f>
        <v>0.5293255427</v>
      </c>
      <c r="AX203" s="42">
        <f>'1kpi_performance'!N203</f>
        <v>0.1248414095</v>
      </c>
      <c r="AY203" s="42">
        <f>'1kpi_performance'!O203</f>
        <v>0.1186107471</v>
      </c>
      <c r="AZ203" s="42">
        <f>'1kpi_performance'!P203</f>
        <v>0.1442020157</v>
      </c>
      <c r="BA203" s="42">
        <f>'1kpi_performance'!Q203</f>
        <v>0.3684798052</v>
      </c>
      <c r="BB203" s="35">
        <f>'1kpi_performance'!R203</f>
        <v>4.782724518</v>
      </c>
      <c r="BC203" s="35">
        <f>'1kpi_performance'!S203</f>
        <v>5.448387658</v>
      </c>
      <c r="BD203" s="35">
        <f>'1kpi_performance'!T203</f>
        <v>4.134066245</v>
      </c>
      <c r="BE203" s="35">
        <f>'1kpi_performance'!U203</f>
        <v>1.020199945</v>
      </c>
      <c r="BF203" s="47"/>
      <c r="BG203" s="47"/>
      <c r="BH203" s="47"/>
      <c r="BI203" s="47"/>
      <c r="BJ203" s="47"/>
      <c r="BK203" s="47"/>
      <c r="BL203" s="47"/>
      <c r="BM203" s="47"/>
      <c r="BN203" s="47"/>
      <c r="BO203" s="47"/>
      <c r="BP203" s="47"/>
      <c r="BQ203" s="47"/>
      <c r="BR203" s="47"/>
      <c r="BS203" s="47"/>
      <c r="BT203" s="47"/>
    </row>
    <row r="204" ht="11.25" customHeight="1">
      <c r="A204" s="35" t="str">
        <f>'13all_company_profile'!A204</f>
        <v>ESS</v>
      </c>
      <c r="B204" s="35" t="str">
        <f>'13all_company_profile'!B204</f>
        <v>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v>
      </c>
      <c r="C204" s="44" t="str">
        <f>'13all_company_profile'!C204</f>
        <v>https://financialmodelingprep.com/image-stock/ESS.png</v>
      </c>
      <c r="D204" s="35" t="str">
        <f>'13all_company_profile'!D204</f>
        <v>Essex Property Trust, Inc.</v>
      </c>
      <c r="E204" s="36">
        <f>'13all_company_profile'!E204</f>
        <v>21231241216</v>
      </c>
      <c r="F204" s="37">
        <f>'13all_company_profile'!F204</f>
        <v>340377</v>
      </c>
      <c r="G204" s="35">
        <f>'13all_company_profile'!G204</f>
        <v>8.3355</v>
      </c>
      <c r="H204" s="38">
        <f>'13all_company_profile'!H204</f>
        <v>44406</v>
      </c>
      <c r="I204" s="35">
        <f>'13all_company_profile'!I204</f>
        <v>50.710094</v>
      </c>
      <c r="J204" s="35">
        <f>'13all_company_profile'!J204</f>
        <v>6.478</v>
      </c>
      <c r="K204" s="42">
        <f t="shared" si="1"/>
        <v>0.02520333807</v>
      </c>
      <c r="L204" s="35">
        <f>'7company_info'!B204</f>
        <v>330.73</v>
      </c>
      <c r="M204" s="35">
        <f>'7company_info'!C204</f>
        <v>332.55</v>
      </c>
      <c r="N204" s="35">
        <f>'7company_info'!D204</f>
        <v>324.19</v>
      </c>
      <c r="O204" s="35">
        <f>'7company_info'!E204</f>
        <v>8.02</v>
      </c>
      <c r="P204" s="35">
        <f>'7company_info'!F204</f>
        <v>0.0249</v>
      </c>
      <c r="Q204" s="35">
        <f>'7company_info'!G204</f>
        <v>324.19</v>
      </c>
      <c r="R204" s="35">
        <f>'7company_info'!H204</f>
        <v>322.71</v>
      </c>
      <c r="S204" s="35">
        <f>'7company_info'!I204</f>
        <v>186.3</v>
      </c>
      <c r="T204" s="35">
        <f>'7company_info'!J204</f>
        <v>332.55</v>
      </c>
      <c r="U204" s="39">
        <v>323.833333333333</v>
      </c>
      <c r="V204" s="39">
        <v>327.636666666666</v>
      </c>
      <c r="W204" s="40">
        <v>329.773333333333</v>
      </c>
      <c r="X204" s="40">
        <v>335.713333333333</v>
      </c>
      <c r="Y204" s="40">
        <v>321.696666666666</v>
      </c>
      <c r="Z204" s="40">
        <v>317.893333333333</v>
      </c>
      <c r="AA204" s="40">
        <v>311.953333333333</v>
      </c>
      <c r="AB204" s="40">
        <v>315.84</v>
      </c>
      <c r="AC204" s="40">
        <v>325.97</v>
      </c>
      <c r="AD204" s="40">
        <v>311.654139623614</v>
      </c>
      <c r="AE204" s="40">
        <v>309.77091</v>
      </c>
      <c r="AF204" s="40">
        <v>5.419545</v>
      </c>
      <c r="AG204" s="40">
        <v>316.63</v>
      </c>
      <c r="AH204" s="45">
        <v>44357.0</v>
      </c>
      <c r="AI204" s="44" t="str">
        <f>'6image_RS_benchmark_performance'!B204</f>
        <v>https://3arbzfbsh-cname-us.ngrok.io/Desktop/seabridge%20fintech/image_app/ESS_resistance_support.jpg</v>
      </c>
      <c r="AJ204" s="44" t="str">
        <f>'6image_RS_benchmark_performance'!C204</f>
        <v>https://3arbzfbsh-cname-us.ngrok.io/Desktop/seabridge%20fintech/profit_graph_app/ESS_Return.jpg</v>
      </c>
      <c r="AK204" s="46" t="str">
        <f>'5price_action_icon'!B204</f>
        <v>https://3arbzfbsh-cname-us.ngrok.io/Desktop/seabridge%20fintech/icon/ESS_pa_trend_signal</v>
      </c>
      <c r="AL204" s="42">
        <f>'1kpi_performance'!B204</f>
        <v>0.4621776585</v>
      </c>
      <c r="AM204" s="42">
        <f>'1kpi_performance'!C204</f>
        <v>0.5456128781</v>
      </c>
      <c r="AN204" s="42">
        <f>'1kpi_performance'!D204</f>
        <v>0.5337007099</v>
      </c>
      <c r="AO204" s="42">
        <f>'1kpi_performance'!E204</f>
        <v>0.1848241783</v>
      </c>
      <c r="AP204" s="42">
        <f>'1kpi_performance'!F204</f>
        <v>0.1945806689</v>
      </c>
      <c r="AQ204" s="42">
        <f>'1kpi_performance'!G204</f>
        <v>0.2057574289</v>
      </c>
      <c r="AR204" s="42">
        <f>'1kpi_performance'!H204</f>
        <v>0.2011924359</v>
      </c>
      <c r="AS204" s="42">
        <f>'1kpi_performance'!I204</f>
        <v>0.2936958501</v>
      </c>
      <c r="AT204" s="35">
        <f>'1kpi_performance'!J204</f>
        <v>2.246768196</v>
      </c>
      <c r="AU204" s="35">
        <f>'1kpi_performance'!K204</f>
        <v>2.530226398</v>
      </c>
      <c r="AV204" s="35">
        <f>'1kpi_performance'!L204</f>
        <v>2.528428604</v>
      </c>
      <c r="AW204" s="35">
        <f>'1kpi_performance'!M204</f>
        <v>0.5441826238</v>
      </c>
      <c r="AX204" s="42">
        <f>'1kpi_performance'!N204</f>
        <v>0.193308678</v>
      </c>
      <c r="AY204" s="42">
        <f>'1kpi_performance'!O204</f>
        <v>0.1650918635</v>
      </c>
      <c r="AZ204" s="42">
        <f>'1kpi_performance'!P204</f>
        <v>0.1650918635</v>
      </c>
      <c r="BA204" s="42">
        <f>'1kpi_performance'!Q204</f>
        <v>0.4520057737</v>
      </c>
      <c r="BB204" s="35">
        <f>'1kpi_performance'!R204</f>
        <v>4.805010153</v>
      </c>
      <c r="BC204" s="35">
        <f>'1kpi_performance'!S204</f>
        <v>5.632284773</v>
      </c>
      <c r="BD204" s="35">
        <f>'1kpi_performance'!T204</f>
        <v>5.461391302</v>
      </c>
      <c r="BE204" s="35">
        <f>'1kpi_performance'!U204</f>
        <v>1.040174262</v>
      </c>
      <c r="BF204" s="47"/>
      <c r="BG204" s="47"/>
      <c r="BH204" s="47"/>
      <c r="BI204" s="47"/>
      <c r="BJ204" s="47"/>
      <c r="BK204" s="47"/>
      <c r="BL204" s="47"/>
      <c r="BM204" s="47"/>
      <c r="BN204" s="47"/>
      <c r="BO204" s="47"/>
      <c r="BP204" s="47"/>
      <c r="BQ204" s="47"/>
      <c r="BR204" s="47"/>
      <c r="BS204" s="47"/>
      <c r="BT204" s="47"/>
    </row>
    <row r="205" ht="11.25" customHeight="1">
      <c r="A205" s="35" t="str">
        <f>'13all_company_profile'!A205</f>
        <v>ETN</v>
      </c>
      <c r="B205" s="35" t="str">
        <f>'13all_company_profile'!B205</f>
        <v>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v>
      </c>
      <c r="C205" s="44" t="str">
        <f>'13all_company_profile'!C205</f>
        <v>https://financialmodelingprep.com/image-stock/ETN.png</v>
      </c>
      <c r="D205" s="35" t="str">
        <f>'13all_company_profile'!D205</f>
        <v>Eaton Corporation plc</v>
      </c>
      <c r="E205" s="36">
        <f>'13all_company_profile'!E205</f>
        <v>61301256192</v>
      </c>
      <c r="F205" s="37">
        <f>'13all_company_profile'!F205</f>
        <v>1735342</v>
      </c>
      <c r="G205" s="35">
        <f>'13all_company_profile'!G205</f>
        <v>2.98</v>
      </c>
      <c r="H205" s="38">
        <f>'13all_company_profile'!H205</f>
        <v>44404</v>
      </c>
      <c r="I205" s="35">
        <f>'13all_company_profile'!I205</f>
        <v>43.057667</v>
      </c>
      <c r="J205" s="35">
        <f>'13all_company_profile'!J205</f>
        <v>3.555</v>
      </c>
      <c r="K205" s="42">
        <f t="shared" si="1"/>
        <v>0.01933934713</v>
      </c>
      <c r="L205" s="35">
        <f>'7company_info'!B205</f>
        <v>154.09</v>
      </c>
      <c r="M205" s="35">
        <f>'7company_info'!C205</f>
        <v>154.42</v>
      </c>
      <c r="N205" s="35">
        <f>'7company_info'!D205</f>
        <v>149.11</v>
      </c>
      <c r="O205" s="35">
        <f>'7company_info'!E205</f>
        <v>4.9</v>
      </c>
      <c r="P205" s="35">
        <f>'7company_info'!F205</f>
        <v>0.0328</v>
      </c>
      <c r="Q205" s="35">
        <f>'7company_info'!G205</f>
        <v>150.33</v>
      </c>
      <c r="R205" s="35">
        <f>'7company_info'!H205</f>
        <v>149.19</v>
      </c>
      <c r="S205" s="35">
        <f>'7company_info'!I205</f>
        <v>91.72</v>
      </c>
      <c r="T205" s="35">
        <f>'7company_info'!J205</f>
        <v>155.67</v>
      </c>
      <c r="U205" s="39">
        <v>152.460033333333</v>
      </c>
      <c r="V205" s="39">
        <v>156.609966666666</v>
      </c>
      <c r="W205" s="40">
        <v>159.819933333333</v>
      </c>
      <c r="X205" s="40">
        <v>167.179833333333</v>
      </c>
      <c r="Y205" s="40">
        <v>149.250066666666</v>
      </c>
      <c r="Z205" s="40">
        <v>145.100133333333</v>
      </c>
      <c r="AA205" s="40">
        <v>137.740233333333</v>
      </c>
      <c r="AB205" s="40">
        <v>148.3101</v>
      </c>
      <c r="AC205" s="40">
        <v>155.67</v>
      </c>
      <c r="AD205" s="40">
        <v>149.561530390988</v>
      </c>
      <c r="AE205" s="40">
        <v>148.435119999999</v>
      </c>
      <c r="AF205" s="40">
        <v>3.04543999999999</v>
      </c>
      <c r="AG205" s="40">
        <v>149.375</v>
      </c>
      <c r="AH205" s="45">
        <v>44326.0</v>
      </c>
      <c r="AI205" s="44" t="str">
        <f>'6image_RS_benchmark_performance'!B205</f>
        <v>https://3arbzfbsh-cname-us.ngrok.io/Desktop/seabridge%20fintech/image_app/ETN_resistance_support.jpg</v>
      </c>
      <c r="AJ205" s="44" t="str">
        <f>'6image_RS_benchmark_performance'!C205</f>
        <v>https://3arbzfbsh-cname-us.ngrok.io/Desktop/seabridge%20fintech/profit_graph_app/ETN_Return.jpg</v>
      </c>
      <c r="AK205" s="46" t="str">
        <f>'5price_action_icon'!B205</f>
        <v>https://3arbzfbsh-cname-us.ngrok.io/Desktop/seabridge%20fintech/icon/ETN_pa_trend_signal</v>
      </c>
      <c r="AL205" s="42">
        <f>'1kpi_performance'!B205</f>
        <v>0.5969407695</v>
      </c>
      <c r="AM205" s="42">
        <f>'1kpi_performance'!C205</f>
        <v>0.7943048513</v>
      </c>
      <c r="AN205" s="42">
        <f>'1kpi_performance'!D205</f>
        <v>0.6168219076</v>
      </c>
      <c r="AO205" s="42">
        <f>'1kpi_performance'!E205</f>
        <v>0.2093462806</v>
      </c>
      <c r="AP205" s="42">
        <f>'1kpi_performance'!F205</f>
        <v>0.210823772</v>
      </c>
      <c r="AQ205" s="42">
        <f>'1kpi_performance'!G205</f>
        <v>0.2252516535</v>
      </c>
      <c r="AR205" s="42">
        <f>'1kpi_performance'!H205</f>
        <v>0.2325664051</v>
      </c>
      <c r="AS205" s="42">
        <f>'1kpi_performance'!I205</f>
        <v>0.3420177598</v>
      </c>
      <c r="AT205" s="35">
        <f>'1kpi_performance'!J205</f>
        <v>2.712885574</v>
      </c>
      <c r="AU205" s="35">
        <f>'1kpi_performance'!K205</f>
        <v>3.415312782</v>
      </c>
      <c r="AV205" s="35">
        <f>'1kpi_performance'!L205</f>
        <v>2.544743758</v>
      </c>
      <c r="AW205" s="35">
        <f>'1kpi_performance'!M205</f>
        <v>0.5389962227</v>
      </c>
      <c r="AX205" s="42">
        <f>'1kpi_performance'!N205</f>
        <v>0.1557597236</v>
      </c>
      <c r="AY205" s="42">
        <f>'1kpi_performance'!O205</f>
        <v>0.09698272564</v>
      </c>
      <c r="AZ205" s="42">
        <f>'1kpi_performance'!P205</f>
        <v>0.3203854235</v>
      </c>
      <c r="BA205" s="42">
        <f>'1kpi_performance'!Q205</f>
        <v>0.4503330162</v>
      </c>
      <c r="BB205" s="35">
        <f>'1kpi_performance'!R205</f>
        <v>5.922371232</v>
      </c>
      <c r="BC205" s="35">
        <f>'1kpi_performance'!S205</f>
        <v>7.953006947</v>
      </c>
      <c r="BD205" s="35">
        <f>'1kpi_performance'!T205</f>
        <v>5.263035606</v>
      </c>
      <c r="BE205" s="35">
        <f>'1kpi_performance'!U205</f>
        <v>1.068390299</v>
      </c>
      <c r="BF205" s="47"/>
      <c r="BG205" s="47"/>
      <c r="BH205" s="47"/>
      <c r="BI205" s="47"/>
      <c r="BJ205" s="47"/>
      <c r="BK205" s="47"/>
      <c r="BL205" s="47"/>
      <c r="BM205" s="47"/>
      <c r="BN205" s="47"/>
      <c r="BO205" s="47"/>
      <c r="BP205" s="47"/>
      <c r="BQ205" s="47"/>
      <c r="BR205" s="47"/>
      <c r="BS205" s="47"/>
      <c r="BT205" s="47"/>
    </row>
    <row r="206" ht="11.25" customHeight="1">
      <c r="A206" s="35" t="str">
        <f>'13all_company_profile'!A206</f>
        <v>ETR</v>
      </c>
      <c r="B206" s="35" t="str">
        <f>'13all_company_profile'!B206</f>
        <v>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v>
      </c>
      <c r="C206" s="44" t="str">
        <f>'13all_company_profile'!C206</f>
        <v>https://financialmodelingprep.com/image-stock/ETR.png</v>
      </c>
      <c r="D206" s="35" t="str">
        <f>'13all_company_profile'!D206</f>
        <v>Entergy Corporation</v>
      </c>
      <c r="E206" s="36">
        <f>'13all_company_profile'!E206</f>
        <v>20776337408</v>
      </c>
      <c r="F206" s="37">
        <f>'13all_company_profile'!F206</f>
        <v>1024784</v>
      </c>
      <c r="G206" s="35">
        <f>'13all_company_profile'!G206</f>
        <v>3.78</v>
      </c>
      <c r="H206" s="38">
        <f>'13all_company_profile'!H206</f>
        <v>44404</v>
      </c>
      <c r="I206" s="35">
        <f>'13all_company_profile'!I206</f>
        <v>13.185469</v>
      </c>
      <c r="J206" s="35">
        <f>'13all_company_profile'!J206</f>
        <v>7.969</v>
      </c>
      <c r="K206" s="42">
        <f t="shared" si="1"/>
        <v>0.03693209575</v>
      </c>
      <c r="L206" s="35">
        <f>'7company_info'!B206</f>
        <v>102.35</v>
      </c>
      <c r="M206" s="35">
        <f>'7company_info'!C206</f>
        <v>103.34</v>
      </c>
      <c r="N206" s="35">
        <f>'7company_info'!D206</f>
        <v>101.67</v>
      </c>
      <c r="O206" s="35">
        <f>'7company_info'!E206</f>
        <v>0.74</v>
      </c>
      <c r="P206" s="35">
        <f>'7company_info'!F206</f>
        <v>0.0073</v>
      </c>
      <c r="Q206" s="35">
        <f>'7company_info'!G206</f>
        <v>101.67</v>
      </c>
      <c r="R206" s="35">
        <f>'7company_info'!H206</f>
        <v>101.61</v>
      </c>
      <c r="S206" s="35">
        <f>'7company_info'!I206</f>
        <v>85.78</v>
      </c>
      <c r="T206" s="35">
        <f>'7company_info'!J206</f>
        <v>113.36</v>
      </c>
      <c r="U206" s="39">
        <v>102.276666666666</v>
      </c>
      <c r="V206" s="39">
        <v>103.333333333333</v>
      </c>
      <c r="W206" s="40">
        <v>104.136666666666</v>
      </c>
      <c r="X206" s="40">
        <v>105.996666666666</v>
      </c>
      <c r="Y206" s="40">
        <v>101.473333333333</v>
      </c>
      <c r="Z206" s="40">
        <v>100.416666666666</v>
      </c>
      <c r="AA206" s="40">
        <v>98.5566666666666</v>
      </c>
      <c r="AB206" s="40">
        <v>99.27</v>
      </c>
      <c r="AC206" s="40">
        <v>100.82</v>
      </c>
      <c r="AD206" s="40">
        <v>103.029633484462</v>
      </c>
      <c r="AE206" s="40">
        <v>98.19794</v>
      </c>
      <c r="AF206" s="40">
        <v>1.77228</v>
      </c>
      <c r="AG206" s="40">
        <v>110.34</v>
      </c>
      <c r="AH206" s="45">
        <v>44319.0</v>
      </c>
      <c r="AI206" s="44" t="str">
        <f>'6image_RS_benchmark_performance'!B206</f>
        <v>https://3arbzfbsh-cname-us.ngrok.io/Desktop/seabridge%20fintech/image_app/ETR_resistance_support.jpg</v>
      </c>
      <c r="AJ206" s="44" t="str">
        <f>'6image_RS_benchmark_performance'!C206</f>
        <v>https://3arbzfbsh-cname-us.ngrok.io/Desktop/seabridge%20fintech/profit_graph_app/ETR_Return.jpg</v>
      </c>
      <c r="AK206" s="46" t="str">
        <f>'5price_action_icon'!B206</f>
        <v>https://3arbzfbsh-cname-us.ngrok.io/Desktop/seabridge%20fintech/icon/ETR_pa_trend_signal</v>
      </c>
      <c r="AL206" s="42">
        <f>'1kpi_performance'!B206</f>
        <v>0.3417289644</v>
      </c>
      <c r="AM206" s="42">
        <f>'1kpi_performance'!C206</f>
        <v>0.4300073764</v>
      </c>
      <c r="AN206" s="42">
        <f>'1kpi_performance'!D206</f>
        <v>0.3556993999</v>
      </c>
      <c r="AO206" s="42">
        <f>'1kpi_performance'!E206</f>
        <v>0.03180479285</v>
      </c>
      <c r="AP206" s="42">
        <f>'1kpi_performance'!F206</f>
        <v>0.1690215483</v>
      </c>
      <c r="AQ206" s="42">
        <f>'1kpi_performance'!G206</f>
        <v>0.1780581673</v>
      </c>
      <c r="AR206" s="42">
        <f>'1kpi_performance'!H206</f>
        <v>0.1853429662</v>
      </c>
      <c r="AS206" s="42">
        <f>'1kpi_performance'!I206</f>
        <v>0.2590327854</v>
      </c>
      <c r="AT206" s="35">
        <f>'1kpi_performance'!J206</f>
        <v>1.873896954</v>
      </c>
      <c r="AU206" s="35">
        <f>'1kpi_performance'!K206</f>
        <v>2.274579046</v>
      </c>
      <c r="AV206" s="35">
        <f>'1kpi_performance'!L206</f>
        <v>1.784256542</v>
      </c>
      <c r="AW206" s="35">
        <f>'1kpi_performance'!M206</f>
        <v>0.02627000611</v>
      </c>
      <c r="AX206" s="42">
        <f>'1kpi_performance'!N206</f>
        <v>0.1667832517</v>
      </c>
      <c r="AY206" s="42">
        <f>'1kpi_performance'!O206</f>
        <v>0.1706419106</v>
      </c>
      <c r="AZ206" s="42">
        <f>'1kpi_performance'!P206</f>
        <v>0.3909317544</v>
      </c>
      <c r="BA206" s="42">
        <f>'1kpi_performance'!Q206</f>
        <v>0.4199436118</v>
      </c>
      <c r="BB206" s="35">
        <f>'1kpi_performance'!R206</f>
        <v>3.718028061</v>
      </c>
      <c r="BC206" s="35">
        <f>'1kpi_performance'!S206</f>
        <v>4.720423356</v>
      </c>
      <c r="BD206" s="35">
        <f>'1kpi_performance'!T206</f>
        <v>3.31077677</v>
      </c>
      <c r="BE206" s="35">
        <f>'1kpi_performance'!U206</f>
        <v>0.04907496734</v>
      </c>
      <c r="BF206" s="47"/>
      <c r="BG206" s="47"/>
      <c r="BH206" s="47"/>
      <c r="BI206" s="47"/>
      <c r="BJ206" s="47"/>
      <c r="BK206" s="47"/>
      <c r="BL206" s="47"/>
      <c r="BM206" s="47"/>
      <c r="BN206" s="47"/>
      <c r="BO206" s="47"/>
      <c r="BP206" s="47"/>
      <c r="BQ206" s="47"/>
      <c r="BR206" s="47"/>
      <c r="BS206" s="47"/>
      <c r="BT206" s="47"/>
    </row>
    <row r="207" ht="11.25" customHeight="1">
      <c r="A207" s="35" t="str">
        <f>'13all_company_profile'!A207</f>
        <v>ETSY</v>
      </c>
      <c r="B207" s="35" t="str">
        <f>'13all_company_profile'!B207</f>
        <v>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v>
      </c>
      <c r="C207" s="44" t="str">
        <f>'13all_company_profile'!C207</f>
        <v>https://financialmodelingprep.com/image-stock/ETSY.png</v>
      </c>
      <c r="D207" s="35" t="str">
        <f>'13all_company_profile'!D207</f>
        <v>Etsy, Inc.</v>
      </c>
      <c r="E207" s="36">
        <f>'13all_company_profile'!E207</f>
        <v>23170877440</v>
      </c>
      <c r="F207" s="37">
        <f>'13all_company_profile'!F207</f>
        <v>3056582</v>
      </c>
      <c r="G207" s="35">
        <f>'13all_company_profile'!G207</f>
        <v>0</v>
      </c>
      <c r="H207" s="38">
        <f>'13all_company_profile'!H207</f>
        <v>44411</v>
      </c>
      <c r="I207" s="35">
        <f>'13all_company_profile'!I207</f>
        <v>52.232323</v>
      </c>
      <c r="J207" s="35">
        <f>'13all_company_profile'!J207</f>
        <v>3.521</v>
      </c>
      <c r="K207" s="42" t="str">
        <f t="shared" si="1"/>
        <v>NaN</v>
      </c>
      <c r="L207" s="35">
        <f>'7company_info'!B207</f>
        <v>194.87</v>
      </c>
      <c r="M207" s="35">
        <f>'7company_info'!C207</f>
        <v>195.77</v>
      </c>
      <c r="N207" s="35">
        <f>'7company_info'!D207</f>
        <v>187.79</v>
      </c>
      <c r="O207" s="35">
        <f>'7company_info'!E207</f>
        <v>4.54</v>
      </c>
      <c r="P207" s="35">
        <f>'7company_info'!F207</f>
        <v>0.0239</v>
      </c>
      <c r="Q207" s="35">
        <f>'7company_info'!G207</f>
        <v>192.5</v>
      </c>
      <c r="R207" s="35">
        <f>'7company_info'!H207</f>
        <v>190.33</v>
      </c>
      <c r="S207" s="35">
        <f>'7company_info'!I207</f>
        <v>97.5</v>
      </c>
      <c r="T207" s="35">
        <f>'7company_info'!J207</f>
        <v>251.86</v>
      </c>
      <c r="U207" s="39">
        <v>185.250466666666</v>
      </c>
      <c r="V207" s="39">
        <v>188.189533333333</v>
      </c>
      <c r="W207" s="40">
        <v>193.519066666666</v>
      </c>
      <c r="X207" s="40">
        <v>201.787666666666</v>
      </c>
      <c r="Y207" s="40">
        <v>179.920933333333</v>
      </c>
      <c r="Z207" s="40">
        <v>176.981866666666</v>
      </c>
      <c r="AA207" s="40">
        <v>168.713266666666</v>
      </c>
      <c r="AB207" s="40">
        <v>193.08</v>
      </c>
      <c r="AC207" s="40">
        <v>193.99</v>
      </c>
      <c r="AD207" s="40">
        <v>187.585972540474</v>
      </c>
      <c r="AE207" s="40">
        <v>173.94319</v>
      </c>
      <c r="AF207" s="40">
        <v>7.28283499999999</v>
      </c>
      <c r="AG207" s="40">
        <v>251.86</v>
      </c>
      <c r="AH207" s="45">
        <v>44257.0</v>
      </c>
      <c r="AI207" s="44" t="str">
        <f>'6image_RS_benchmark_performance'!B207</f>
        <v>https://3arbzfbsh-cname-us.ngrok.io/Desktop/seabridge%20fintech/image_app/ETSY_resistance_support.jpg</v>
      </c>
      <c r="AJ207" s="44" t="str">
        <f>'6image_RS_benchmark_performance'!C207</f>
        <v>https://3arbzfbsh-cname-us.ngrok.io/Desktop/seabridge%20fintech/profit_graph_app/ETSY_Return.jpg</v>
      </c>
      <c r="AK207" s="46" t="str">
        <f>'5price_action_icon'!B207</f>
        <v>https://3arbzfbsh-cname-us.ngrok.io/Desktop/seabridge%20fintech/icon/ETSY_pa_trend_signal</v>
      </c>
      <c r="AL207" s="42">
        <f>'1kpi_performance'!B207</f>
        <v>1.536273687</v>
      </c>
      <c r="AM207" s="42">
        <f>'1kpi_performance'!C207</f>
        <v>1.74170387</v>
      </c>
      <c r="AN207" s="42">
        <f>'1kpi_performance'!D207</f>
        <v>1.878901849</v>
      </c>
      <c r="AO207" s="42">
        <f>'1kpi_performance'!E207</f>
        <v>0.5127613179</v>
      </c>
      <c r="AP207" s="42">
        <f>'1kpi_performance'!F207</f>
        <v>0.5173269024</v>
      </c>
      <c r="AQ207" s="42">
        <f>'1kpi_performance'!G207</f>
        <v>0.5381555438</v>
      </c>
      <c r="AR207" s="42">
        <f>'1kpi_performance'!H207</f>
        <v>0.5438382335</v>
      </c>
      <c r="AS207" s="42">
        <f>'1kpi_performance'!I207</f>
        <v>0.7193834195</v>
      </c>
      <c r="AT207" s="35">
        <f>'1kpi_performance'!J207</f>
        <v>2.921312772</v>
      </c>
      <c r="AU207" s="35">
        <f>'1kpi_performance'!K207</f>
        <v>3.189977118</v>
      </c>
      <c r="AV207" s="35">
        <f>'1kpi_performance'!L207</f>
        <v>3.408921504</v>
      </c>
      <c r="AW207" s="35">
        <f>'1kpi_performance'!M207</f>
        <v>0.6780269112</v>
      </c>
      <c r="AX207" s="42">
        <f>'1kpi_performance'!N207</f>
        <v>0.5188542422</v>
      </c>
      <c r="AY207" s="42">
        <f>'1kpi_performance'!O207</f>
        <v>0.5188542422</v>
      </c>
      <c r="AZ207" s="42">
        <f>'1kpi_performance'!P207</f>
        <v>0.6002701441</v>
      </c>
      <c r="BA207" s="42">
        <f>'1kpi_performance'!Q207</f>
        <v>0.7693981146</v>
      </c>
      <c r="BB207" s="35">
        <f>'1kpi_performance'!R207</f>
        <v>7.050686211</v>
      </c>
      <c r="BC207" s="35">
        <f>'1kpi_performance'!S207</f>
        <v>7.860966323</v>
      </c>
      <c r="BD207" s="35">
        <f>'1kpi_performance'!T207</f>
        <v>7.83936424</v>
      </c>
      <c r="BE207" s="35">
        <f>'1kpi_performance'!U207</f>
        <v>1.392117503</v>
      </c>
      <c r="BF207" s="47"/>
      <c r="BG207" s="47"/>
      <c r="BH207" s="47"/>
      <c r="BI207" s="47"/>
      <c r="BJ207" s="47"/>
      <c r="BK207" s="47"/>
      <c r="BL207" s="47"/>
      <c r="BM207" s="47"/>
      <c r="BN207" s="47"/>
      <c r="BO207" s="47"/>
      <c r="BP207" s="47"/>
      <c r="BQ207" s="47"/>
      <c r="BR207" s="47"/>
      <c r="BS207" s="47"/>
      <c r="BT207" s="47"/>
    </row>
    <row r="208" ht="11.25" customHeight="1">
      <c r="A208" s="35" t="str">
        <f>'13all_company_profile'!A208</f>
        <v>EVRG</v>
      </c>
      <c r="B208" s="35" t="str">
        <f>'13all_company_profile'!B208</f>
        <v>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v>
      </c>
      <c r="C208" s="44" t="str">
        <f>'13all_company_profile'!C208</f>
        <v>https://financialmodelingprep.com/image-stock/EVRG.png</v>
      </c>
      <c r="D208" s="35" t="str">
        <f>'13all_company_profile'!D208</f>
        <v>Evergy, Inc.</v>
      </c>
      <c r="E208" s="36">
        <f>'13all_company_profile'!E208</f>
        <v>14526420992</v>
      </c>
      <c r="F208" s="37">
        <f>'13all_company_profile'!F208</f>
        <v>1162952</v>
      </c>
      <c r="G208" s="35">
        <f>'13all_company_profile'!G208</f>
        <v>2.11</v>
      </c>
      <c r="H208" s="38">
        <f>'13all_company_profile'!H208</f>
        <v>44411</v>
      </c>
      <c r="I208" s="35">
        <f>'13all_company_profile'!I208</f>
        <v>19.886152</v>
      </c>
      <c r="J208" s="35">
        <f>'13all_company_profile'!J208</f>
        <v>3.25</v>
      </c>
      <c r="K208" s="42">
        <f t="shared" si="1"/>
        <v>0.03296875</v>
      </c>
      <c r="L208" s="35">
        <f>'7company_info'!B208</f>
        <v>64</v>
      </c>
      <c r="M208" s="35">
        <f>'7company_info'!C208</f>
        <v>64.74</v>
      </c>
      <c r="N208" s="35">
        <f>'7company_info'!D208</f>
        <v>63.7</v>
      </c>
      <c r="O208" s="35">
        <f>'7company_info'!E208</f>
        <v>-0.11</v>
      </c>
      <c r="P208" s="35">
        <f>'7company_info'!F208</f>
        <v>-0.0017</v>
      </c>
      <c r="Q208" s="35">
        <f>'7company_info'!G208</f>
        <v>64.41</v>
      </c>
      <c r="R208" s="35">
        <f>'7company_info'!H208</f>
        <v>64.11</v>
      </c>
      <c r="S208" s="35">
        <f>'7company_info'!I208</f>
        <v>48.61</v>
      </c>
      <c r="T208" s="35">
        <f>'7company_info'!J208</f>
        <v>65.64</v>
      </c>
      <c r="U208" s="39">
        <v>62.0633333333333</v>
      </c>
      <c r="V208" s="39">
        <v>63.0266666666666</v>
      </c>
      <c r="W208" s="40">
        <v>63.7433333333333</v>
      </c>
      <c r="X208" s="40">
        <v>65.4233333333333</v>
      </c>
      <c r="Y208" s="40">
        <v>61.3466666666666</v>
      </c>
      <c r="Z208" s="40">
        <v>60.3833333333333</v>
      </c>
      <c r="AA208" s="40">
        <v>58.7033333333333</v>
      </c>
      <c r="AB208" s="40">
        <v>61.45</v>
      </c>
      <c r="AC208" s="40">
        <v>62.25</v>
      </c>
      <c r="AD208" s="40">
        <v>61.9757455970579</v>
      </c>
      <c r="AE208" s="40">
        <v>59.2795</v>
      </c>
      <c r="AF208" s="40">
        <v>1.13375</v>
      </c>
      <c r="AG208" s="40">
        <v>65.64</v>
      </c>
      <c r="AH208" s="45">
        <v>44363.0</v>
      </c>
      <c r="AI208" s="44" t="str">
        <f>'6image_RS_benchmark_performance'!B208</f>
        <v>https://3arbzfbsh-cname-us.ngrok.io/Desktop/seabridge%20fintech/image_app/EVRG_resistance_support.jpg</v>
      </c>
      <c r="AJ208" s="44" t="str">
        <f>'6image_RS_benchmark_performance'!C208</f>
        <v>https://3arbzfbsh-cname-us.ngrok.io/Desktop/seabridge%20fintech/profit_graph_app/EVRG_Return.jpg</v>
      </c>
      <c r="AK208" s="46" t="str">
        <f>'5price_action_icon'!B208</f>
        <v>https://3arbzfbsh-cname-us.ngrok.io/Desktop/seabridge%20fintech/icon/EVRG_pa_trend_signal</v>
      </c>
      <c r="AL208" s="42">
        <f>'1kpi_performance'!B208</f>
        <v>0.3443462937</v>
      </c>
      <c r="AM208" s="42">
        <f>'1kpi_performance'!C208</f>
        <v>0.4374667461</v>
      </c>
      <c r="AN208" s="42">
        <f>'1kpi_performance'!D208</f>
        <v>0.4464041375</v>
      </c>
      <c r="AO208" s="42">
        <f>'1kpi_performance'!E208</f>
        <v>0.1381983811</v>
      </c>
      <c r="AP208" s="42">
        <f>'1kpi_performance'!F208</f>
        <v>0.153982215</v>
      </c>
      <c r="AQ208" s="42">
        <f>'1kpi_performance'!G208</f>
        <v>0.1695212439</v>
      </c>
      <c r="AR208" s="42">
        <f>'1kpi_performance'!H208</f>
        <v>0.1894273621</v>
      </c>
      <c r="AS208" s="42">
        <f>'1kpi_performance'!I208</f>
        <v>0.2559286064</v>
      </c>
      <c r="AT208" s="35">
        <f>'1kpi_performance'!J208</f>
        <v>2.073916742</v>
      </c>
      <c r="AU208" s="35">
        <f>'1kpi_performance'!K208</f>
        <v>2.43312718</v>
      </c>
      <c r="AV208" s="35">
        <f>'1kpi_performance'!L208</f>
        <v>2.224621262</v>
      </c>
      <c r="AW208" s="35">
        <f>'1kpi_performance'!M208</f>
        <v>0.4423045264</v>
      </c>
      <c r="AX208" s="42">
        <f>'1kpi_performance'!N208</f>
        <v>0.1335073301</v>
      </c>
      <c r="AY208" s="42">
        <f>'1kpi_performance'!O208</f>
        <v>0.1294770206</v>
      </c>
      <c r="AZ208" s="42">
        <f>'1kpi_performance'!P208</f>
        <v>0.385331144</v>
      </c>
      <c r="BA208" s="42">
        <f>'1kpi_performance'!Q208</f>
        <v>0.3922337979</v>
      </c>
      <c r="BB208" s="35">
        <f>'1kpi_performance'!R208</f>
        <v>4.247231507</v>
      </c>
      <c r="BC208" s="35">
        <f>'1kpi_performance'!S208</f>
        <v>5.424291795</v>
      </c>
      <c r="BD208" s="35">
        <f>'1kpi_performance'!T208</f>
        <v>4.140824824</v>
      </c>
      <c r="BE208" s="35">
        <f>'1kpi_performance'!U208</f>
        <v>0.8198222197</v>
      </c>
      <c r="BF208" s="47"/>
      <c r="BG208" s="47"/>
      <c r="BH208" s="47"/>
      <c r="BI208" s="47"/>
      <c r="BJ208" s="47"/>
      <c r="BK208" s="47"/>
      <c r="BL208" s="47"/>
      <c r="BM208" s="47"/>
      <c r="BN208" s="47"/>
      <c r="BO208" s="47"/>
      <c r="BP208" s="47"/>
      <c r="BQ208" s="47"/>
      <c r="BR208" s="47"/>
      <c r="BS208" s="47"/>
      <c r="BT208" s="47"/>
    </row>
    <row r="209" ht="11.25" customHeight="1">
      <c r="A209" s="35" t="str">
        <f>'13all_company_profile'!A209</f>
        <v>EW</v>
      </c>
      <c r="B209" s="35" t="str">
        <f>'13all_company_profile'!B209</f>
        <v>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v>
      </c>
      <c r="C209" s="44" t="str">
        <f>'13all_company_profile'!C209</f>
        <v>https://financialmodelingprep.com/image-stock/EW.png</v>
      </c>
      <c r="D209" s="35" t="str">
        <f>'13all_company_profile'!D209</f>
        <v>Edwards Lifesciences Corporation</v>
      </c>
      <c r="E209" s="36">
        <f>'13all_company_profile'!E209</f>
        <v>66092445696</v>
      </c>
      <c r="F209" s="37">
        <f>'13all_company_profile'!F209</f>
        <v>2526338</v>
      </c>
      <c r="G209" s="35">
        <f>'13all_company_profile'!G209</f>
        <v>0</v>
      </c>
      <c r="H209" s="38">
        <f>'13all_company_profile'!H209</f>
        <v>44406</v>
      </c>
      <c r="I209" s="35">
        <f>'13all_company_profile'!I209</f>
        <v>79.406975</v>
      </c>
      <c r="J209" s="35">
        <f>'13all_company_profile'!J209</f>
        <v>1.349</v>
      </c>
      <c r="K209" s="42" t="str">
        <f t="shared" si="1"/>
        <v>NaN</v>
      </c>
      <c r="L209" s="35">
        <f>'7company_info'!B209</f>
        <v>106.58</v>
      </c>
      <c r="M209" s="35">
        <f>'7company_info'!C209</f>
        <v>107.08</v>
      </c>
      <c r="N209" s="35">
        <f>'7company_info'!D209</f>
        <v>103.21</v>
      </c>
      <c r="O209" s="35">
        <f>'7company_info'!E209</f>
        <v>3.67</v>
      </c>
      <c r="P209" s="35">
        <f>'7company_info'!F209</f>
        <v>0.0357</v>
      </c>
      <c r="Q209" s="35">
        <f>'7company_info'!G209</f>
        <v>103.36</v>
      </c>
      <c r="R209" s="35">
        <f>'7company_info'!H209</f>
        <v>102.91</v>
      </c>
      <c r="S209" s="35">
        <f>'7company_info'!I209</f>
        <v>70.92</v>
      </c>
      <c r="T209" s="35">
        <f>'7company_info'!J209</f>
        <v>109.01</v>
      </c>
      <c r="U209" s="39">
        <v>106.953333333333</v>
      </c>
      <c r="V209" s="39">
        <v>107.386666666666</v>
      </c>
      <c r="W209" s="40">
        <v>107.983333333333</v>
      </c>
      <c r="X209" s="40">
        <v>109.013333333333</v>
      </c>
      <c r="Y209" s="40">
        <v>106.356666666666</v>
      </c>
      <c r="Z209" s="40">
        <v>105.923333333333</v>
      </c>
      <c r="AA209" s="40">
        <v>104.893333333333</v>
      </c>
      <c r="AB209" s="40">
        <v>105.06</v>
      </c>
      <c r="AC209" s="40">
        <v>109.01</v>
      </c>
      <c r="AD209" s="40">
        <v>104.278535541864</v>
      </c>
      <c r="AE209" s="40">
        <v>103.32602</v>
      </c>
      <c r="AF209" s="40">
        <v>1.68999</v>
      </c>
      <c r="AG209" s="40">
        <v>105.58</v>
      </c>
      <c r="AH209" s="45">
        <v>44371.0</v>
      </c>
      <c r="AI209" s="44" t="str">
        <f>'6image_RS_benchmark_performance'!B209</f>
        <v>https://3arbzfbsh-cname-us.ngrok.io/Desktop/seabridge%20fintech/image_app/EW_resistance_support.jpg</v>
      </c>
      <c r="AJ209" s="44" t="str">
        <f>'6image_RS_benchmark_performance'!C209</f>
        <v>https://3arbzfbsh-cname-us.ngrok.io/Desktop/seabridge%20fintech/profit_graph_app/EW_Return.jpg</v>
      </c>
      <c r="AK209" s="46" t="str">
        <f>'5price_action_icon'!B209</f>
        <v>https://3arbzfbsh-cname-us.ngrok.io/Desktop/seabridge%20fintech/icon/EW_pa_trend_signal</v>
      </c>
      <c r="AL209" s="42">
        <f>'1kpi_performance'!B209</f>
        <v>0.7967918136</v>
      </c>
      <c r="AM209" s="42">
        <f>'1kpi_performance'!C209</f>
        <v>1.054188599</v>
      </c>
      <c r="AN209" s="42">
        <f>'1kpi_performance'!D209</f>
        <v>0.8065083711</v>
      </c>
      <c r="AO209" s="42">
        <f>'1kpi_performance'!E209</f>
        <v>0.3846530074</v>
      </c>
      <c r="AP209" s="42">
        <f>'1kpi_performance'!F209</f>
        <v>0.2582737816</v>
      </c>
      <c r="AQ209" s="42">
        <f>'1kpi_performance'!G209</f>
        <v>0.268893042</v>
      </c>
      <c r="AR209" s="42">
        <f>'1kpi_performance'!H209</f>
        <v>0.2398478129</v>
      </c>
      <c r="AS209" s="42">
        <f>'1kpi_performance'!I209</f>
        <v>0.3820696618</v>
      </c>
      <c r="AT209" s="35">
        <f>'1kpi_performance'!J209</f>
        <v>2.988270078</v>
      </c>
      <c r="AU209" s="35">
        <f>'1kpi_performance'!K209</f>
        <v>3.827501787</v>
      </c>
      <c r="AV209" s="35">
        <f>'1kpi_performance'!L209</f>
        <v>3.258351043</v>
      </c>
      <c r="AW209" s="35">
        <f>'1kpi_performance'!M209</f>
        <v>0.941328358</v>
      </c>
      <c r="AX209" s="42">
        <f>'1kpi_performance'!N209</f>
        <v>0.1522152532</v>
      </c>
      <c r="AY209" s="42">
        <f>'1kpi_performance'!O209</f>
        <v>0.1344265287</v>
      </c>
      <c r="AZ209" s="42">
        <f>'1kpi_performance'!P209</f>
        <v>0.1344515265</v>
      </c>
      <c r="BA209" s="42">
        <f>'1kpi_performance'!Q209</f>
        <v>0.4401826334</v>
      </c>
      <c r="BB209" s="35">
        <f>'1kpi_performance'!R209</f>
        <v>7.146266851</v>
      </c>
      <c r="BC209" s="35">
        <f>'1kpi_performance'!S209</f>
        <v>9.966753664</v>
      </c>
      <c r="BD209" s="35">
        <f>'1kpi_performance'!T209</f>
        <v>8.118141656</v>
      </c>
      <c r="BE209" s="35">
        <f>'1kpi_performance'!U209</f>
        <v>1.815686092</v>
      </c>
      <c r="BF209" s="47"/>
      <c r="BG209" s="47"/>
      <c r="BH209" s="47"/>
      <c r="BI209" s="47"/>
      <c r="BJ209" s="47"/>
      <c r="BK209" s="47"/>
      <c r="BL209" s="47"/>
      <c r="BM209" s="47"/>
      <c r="BN209" s="47"/>
      <c r="BO209" s="47"/>
      <c r="BP209" s="47"/>
      <c r="BQ209" s="47"/>
      <c r="BR209" s="47"/>
      <c r="BS209" s="47"/>
      <c r="BT209" s="47"/>
    </row>
    <row r="210" ht="11.25" customHeight="1">
      <c r="A210" s="35" t="str">
        <f>'13all_company_profile'!A210</f>
        <v>EWC</v>
      </c>
      <c r="B210" s="35" t="str">
        <f>'13all_company_profile'!B210</f>
        <v>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v>
      </c>
      <c r="C210" s="44" t="str">
        <f>'13all_company_profile'!C210</f>
        <v>https://financialmodelingprep.com/image-stock/EWC.jpg</v>
      </c>
      <c r="D210" s="35" t="str">
        <f>'13all_company_profile'!D210</f>
        <v>iShares MSCI Canada ETF</v>
      </c>
      <c r="E210" s="36">
        <f>'13all_company_profile'!E210</f>
        <v>3483899904</v>
      </c>
      <c r="F210" s="37">
        <f>'13all_company_profile'!F210</f>
        <v>3070774</v>
      </c>
      <c r="G210" s="35">
        <f>'13all_company_profile'!G210</f>
        <v>0.385</v>
      </c>
      <c r="H210" s="38" t="str">
        <f>'13all_company_profile'!H210</f>
        <v>not avaiable</v>
      </c>
      <c r="I210" s="35">
        <f>'13all_company_profile'!I210</f>
        <v>8.40305</v>
      </c>
      <c r="J210" s="35">
        <f>'13all_company_profile'!J210</f>
        <v>4.327</v>
      </c>
      <c r="K210" s="42">
        <f t="shared" si="1"/>
        <v>0.01067369005</v>
      </c>
      <c r="L210" s="35">
        <f>'7company_info'!B210</f>
        <v>36.07</v>
      </c>
      <c r="M210" s="35">
        <f>'7company_info'!C210</f>
        <v>36.14</v>
      </c>
      <c r="N210" s="35">
        <f>'7company_info'!D210</f>
        <v>35.41</v>
      </c>
      <c r="O210" s="35">
        <f>'7company_info'!E210</f>
        <v>0.57</v>
      </c>
      <c r="P210" s="35">
        <f>'7company_info'!F210</f>
        <v>0.0161</v>
      </c>
      <c r="Q210" s="35">
        <f>'7company_info'!G210</f>
        <v>35.52</v>
      </c>
      <c r="R210" s="35">
        <f>'7company_info'!H210</f>
        <v>35.5</v>
      </c>
      <c r="S210" s="35">
        <f>'7company_info'!I210</f>
        <v>26.17</v>
      </c>
      <c r="T210" s="35">
        <f>'7company_info'!J210</f>
        <v>38.35</v>
      </c>
      <c r="U210" s="39">
        <v>37.0566666666666</v>
      </c>
      <c r="V210" s="39">
        <v>37.2533333333333</v>
      </c>
      <c r="W210" s="40">
        <v>37.5866666666666</v>
      </c>
      <c r="X210" s="40">
        <v>38.1166666666666</v>
      </c>
      <c r="Y210" s="40">
        <v>36.7233333333333</v>
      </c>
      <c r="Z210" s="40">
        <v>36.5266666666666</v>
      </c>
      <c r="AA210" s="40">
        <v>35.9966666666666</v>
      </c>
      <c r="AB210" s="40">
        <v>37.15</v>
      </c>
      <c r="AC210" s="40">
        <v>37.24</v>
      </c>
      <c r="AD210" s="40">
        <v>37.3165791616845</v>
      </c>
      <c r="AE210" s="40">
        <v>36.36</v>
      </c>
      <c r="AF210" s="40">
        <v>0.403499999999999</v>
      </c>
      <c r="AG210" s="40">
        <v>38.345</v>
      </c>
      <c r="AH210" s="45">
        <v>44348.0</v>
      </c>
      <c r="AI210" s="44" t="str">
        <f>'6image_RS_benchmark_performance'!B210</f>
        <v>https://3arbzfbsh-cname-us.ngrok.io/Desktop/seabridge%20fintech/image_app/EWC_resistance_support.jpg</v>
      </c>
      <c r="AJ210" s="44" t="str">
        <f>'6image_RS_benchmark_performance'!C210</f>
        <v>https://3arbzfbsh-cname-us.ngrok.io/Desktop/seabridge%20fintech/profit_graph_app/EWC_Return.jpg</v>
      </c>
      <c r="AK210" s="46" t="str">
        <f>'5price_action_icon'!B210</f>
        <v>https://3arbzfbsh-cname-us.ngrok.io/Desktop/seabridge%20fintech/icon/EWC_pa_trend_signal</v>
      </c>
      <c r="AL210" s="42">
        <f>'1kpi_performance'!B210</f>
        <v>0.2985840617</v>
      </c>
      <c r="AM210" s="42">
        <f>'1kpi_performance'!C210</f>
        <v>0.4303182126</v>
      </c>
      <c r="AN210" s="42">
        <f>'1kpi_performance'!D210</f>
        <v>0.3687372951</v>
      </c>
      <c r="AO210" s="42">
        <f>'1kpi_performance'!E210</f>
        <v>0.04668449672</v>
      </c>
      <c r="AP210" s="42">
        <f>'1kpi_performance'!F210</f>
        <v>0.1449815151</v>
      </c>
      <c r="AQ210" s="42">
        <f>'1kpi_performance'!G210</f>
        <v>0.1433415745</v>
      </c>
      <c r="AR210" s="42">
        <f>'1kpi_performance'!H210</f>
        <v>0.1484175093</v>
      </c>
      <c r="AS210" s="42">
        <f>'1kpi_performance'!I210</f>
        <v>0.2333706436</v>
      </c>
      <c r="AT210" s="35">
        <f>'1kpi_performance'!J210</f>
        <v>1.887027194</v>
      </c>
      <c r="AU210" s="35">
        <f>'1kpi_performance'!K210</f>
        <v>2.827638904</v>
      </c>
      <c r="AV210" s="35">
        <f>'1kpi_performance'!L210</f>
        <v>2.31601579</v>
      </c>
      <c r="AW210" s="35">
        <f>'1kpi_performance'!M210</f>
        <v>0.09291869953</v>
      </c>
      <c r="AX210" s="42">
        <f>'1kpi_performance'!N210</f>
        <v>0.09935797827</v>
      </c>
      <c r="AY210" s="42">
        <f>'1kpi_performance'!O210</f>
        <v>0.06292313819</v>
      </c>
      <c r="AZ210" s="42">
        <f>'1kpi_performance'!P210</f>
        <v>0.2642035173</v>
      </c>
      <c r="BA210" s="42">
        <f>'1kpi_performance'!Q210</f>
        <v>0.4852726742</v>
      </c>
      <c r="BB210" s="35">
        <f>'1kpi_performance'!R210</f>
        <v>3.675812299</v>
      </c>
      <c r="BC210" s="35">
        <f>'1kpi_performance'!S210</f>
        <v>6.046805558</v>
      </c>
      <c r="BD210" s="35">
        <f>'1kpi_performance'!T210</f>
        <v>4.655394148</v>
      </c>
      <c r="BE210" s="35">
        <f>'1kpi_performance'!U210</f>
        <v>0.1697126139</v>
      </c>
      <c r="BF210" s="47"/>
      <c r="BG210" s="47"/>
      <c r="BH210" s="47"/>
      <c r="BI210" s="47"/>
      <c r="BJ210" s="47"/>
      <c r="BK210" s="47"/>
      <c r="BL210" s="47"/>
      <c r="BM210" s="47"/>
      <c r="BN210" s="47"/>
      <c r="BO210" s="47"/>
      <c r="BP210" s="47"/>
      <c r="BQ210" s="47"/>
      <c r="BR210" s="47"/>
      <c r="BS210" s="47"/>
      <c r="BT210" s="47"/>
    </row>
    <row r="211" ht="11.25" customHeight="1">
      <c r="A211" s="35" t="str">
        <f>'13all_company_profile'!A211</f>
        <v>EWG</v>
      </c>
      <c r="B211" s="35" t="str">
        <f>'13all_company_profile'!B211</f>
        <v>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v>
      </c>
      <c r="C211" s="44" t="str">
        <f>'13all_company_profile'!C211</f>
        <v>https://financialmodelingprep.com/image-stock/EWG.jpg</v>
      </c>
      <c r="D211" s="35" t="str">
        <f>'13all_company_profile'!D211</f>
        <v>iShares MSCI Germany ETF</v>
      </c>
      <c r="E211" s="36">
        <f>'13all_company_profile'!E211</f>
        <v>2750699776</v>
      </c>
      <c r="F211" s="37">
        <f>'13all_company_profile'!F211</f>
        <v>3074088</v>
      </c>
      <c r="G211" s="35">
        <f>'13all_company_profile'!G211</f>
        <v>0.387</v>
      </c>
      <c r="H211" s="38" t="str">
        <f>'13all_company_profile'!H211</f>
        <v>not avaiable</v>
      </c>
      <c r="I211" s="35">
        <f>'13all_company_profile'!I211</f>
        <v>4.9710064</v>
      </c>
      <c r="J211" s="35">
        <f>'13all_company_profile'!J211</f>
        <v>6.898</v>
      </c>
      <c r="K211" s="42">
        <f t="shared" si="1"/>
        <v>0.01147346576</v>
      </c>
      <c r="L211" s="35">
        <f>'7company_info'!B211</f>
        <v>33.73</v>
      </c>
      <c r="M211" s="35">
        <f>'7company_info'!C211</f>
        <v>33.81</v>
      </c>
      <c r="N211" s="35">
        <f>'7company_info'!D211</f>
        <v>33.34</v>
      </c>
      <c r="O211" s="35">
        <f>'7company_info'!E211</f>
        <v>0.16</v>
      </c>
      <c r="P211" s="35">
        <f>'7company_info'!F211</f>
        <v>0.0048</v>
      </c>
      <c r="Q211" s="35">
        <f>'7company_info'!G211</f>
        <v>33.4</v>
      </c>
      <c r="R211" s="35">
        <f>'7company_info'!H211</f>
        <v>33.57</v>
      </c>
      <c r="S211" s="35">
        <f>'7company_info'!I211</f>
        <v>26.06</v>
      </c>
      <c r="T211" s="35">
        <f>'7company_info'!J211</f>
        <v>36.49</v>
      </c>
      <c r="U211" s="39">
        <v>34.9966666666666</v>
      </c>
      <c r="V211" s="39">
        <v>35.0533333333333</v>
      </c>
      <c r="W211" s="40">
        <v>35.0966666666666</v>
      </c>
      <c r="X211" s="40">
        <v>35.1966666666666</v>
      </c>
      <c r="Y211" s="40">
        <v>34.9533333333333</v>
      </c>
      <c r="Z211" s="40">
        <v>34.8966666666666</v>
      </c>
      <c r="AA211" s="40">
        <v>34.7966666666666</v>
      </c>
      <c r="AB211" s="40">
        <v>34.94</v>
      </c>
      <c r="AC211" s="40">
        <v>35.63</v>
      </c>
      <c r="AD211" s="40">
        <v>34.9488084082867</v>
      </c>
      <c r="AE211" s="40">
        <v>34.09238</v>
      </c>
      <c r="AF211" s="40">
        <v>0.38831</v>
      </c>
      <c r="AG211" s="40">
        <v>36.4857</v>
      </c>
      <c r="AH211" s="45">
        <v>44354.0</v>
      </c>
      <c r="AI211" s="44" t="str">
        <f>'6image_RS_benchmark_performance'!B211</f>
        <v>https://3arbzfbsh-cname-us.ngrok.io/Desktop/seabridge%20fintech/image_app/EWG_resistance_support.jpg</v>
      </c>
      <c r="AJ211" s="44" t="str">
        <f>'6image_RS_benchmark_performance'!C211</f>
        <v>https://3arbzfbsh-cname-us.ngrok.io/Desktop/seabridge%20fintech/profit_graph_app/EWG_Return.jpg</v>
      </c>
      <c r="AK211" s="46" t="str">
        <f>'5price_action_icon'!B211</f>
        <v>https://3arbzfbsh-cname-us.ngrok.io/Desktop/seabridge%20fintech/icon/EWG_pa_trend_signal</v>
      </c>
      <c r="AL211" s="42">
        <f>'1kpi_performance'!B211</f>
        <v>0.3570041608</v>
      </c>
      <c r="AM211" s="42">
        <f>'1kpi_performance'!C211</f>
        <v>0.6338942346</v>
      </c>
      <c r="AN211" s="42">
        <f>'1kpi_performance'!D211</f>
        <v>0.4560600703</v>
      </c>
      <c r="AO211" s="42">
        <f>'1kpi_performance'!E211</f>
        <v>0.06419131544</v>
      </c>
      <c r="AP211" s="42">
        <f>'1kpi_performance'!F211</f>
        <v>0.1807483019</v>
      </c>
      <c r="AQ211" s="42">
        <f>'1kpi_performance'!G211</f>
        <v>0.176052059</v>
      </c>
      <c r="AR211" s="42">
        <f>'1kpi_performance'!H211</f>
        <v>0.1849497019</v>
      </c>
      <c r="AS211" s="42">
        <f>'1kpi_performance'!I211</f>
        <v>0.2816683044</v>
      </c>
      <c r="AT211" s="35">
        <f>'1kpi_performance'!J211</f>
        <v>1.836831424</v>
      </c>
      <c r="AU211" s="35">
        <f>'1kpi_performance'!K211</f>
        <v>3.458603313</v>
      </c>
      <c r="AV211" s="35">
        <f>'1kpi_performance'!L211</f>
        <v>2.330688105</v>
      </c>
      <c r="AW211" s="35">
        <f>'1kpi_performance'!M211</f>
        <v>0.1391399558</v>
      </c>
      <c r="AX211" s="42">
        <f>'1kpi_performance'!N211</f>
        <v>0.2086689298</v>
      </c>
      <c r="AY211" s="42">
        <f>'1kpi_performance'!O211</f>
        <v>0.07504363002</v>
      </c>
      <c r="AZ211" s="42">
        <f>'1kpi_performance'!P211</f>
        <v>0.2029360867</v>
      </c>
      <c r="BA211" s="42">
        <f>'1kpi_performance'!Q211</f>
        <v>0.4942496494</v>
      </c>
      <c r="BB211" s="35">
        <f>'1kpi_performance'!R211</f>
        <v>3.604847497</v>
      </c>
      <c r="BC211" s="35">
        <f>'1kpi_performance'!S211</f>
        <v>7.879698457</v>
      </c>
      <c r="BD211" s="35">
        <f>'1kpi_performance'!T211</f>
        <v>4.64685701</v>
      </c>
      <c r="BE211" s="35">
        <f>'1kpi_performance'!U211</f>
        <v>0.2536677275</v>
      </c>
      <c r="BF211" s="47"/>
      <c r="BG211" s="47"/>
      <c r="BH211" s="47"/>
      <c r="BI211" s="47"/>
      <c r="BJ211" s="47"/>
      <c r="BK211" s="47"/>
      <c r="BL211" s="47"/>
      <c r="BM211" s="47"/>
      <c r="BN211" s="47"/>
      <c r="BO211" s="47"/>
      <c r="BP211" s="47"/>
      <c r="BQ211" s="47"/>
      <c r="BR211" s="47"/>
      <c r="BS211" s="47"/>
      <c r="BT211" s="47"/>
    </row>
    <row r="212" ht="11.25" customHeight="1">
      <c r="A212" s="35" t="str">
        <f>'13all_company_profile'!A212</f>
        <v>EWH</v>
      </c>
      <c r="B212" s="35" t="str">
        <f>'13all_company_profile'!B212</f>
        <v>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v>
      </c>
      <c r="C212" s="44" t="str">
        <f>'13all_company_profile'!C212</f>
        <v>https://financialmodelingprep.com/image-stock/EWH.jpg</v>
      </c>
      <c r="D212" s="35" t="str">
        <f>'13all_company_profile'!D212</f>
        <v>iShares MSCI Hong Kong ETF</v>
      </c>
      <c r="E212" s="36">
        <f>'13all_company_profile'!E212</f>
        <v>2372038656</v>
      </c>
      <c r="F212" s="37">
        <f>'13all_company_profile'!F212</f>
        <v>4340984</v>
      </c>
      <c r="G212" s="35">
        <f>'13all_company_profile'!G212</f>
        <v>0.219</v>
      </c>
      <c r="H212" s="38" t="str">
        <f>'13all_company_profile'!H212</f>
        <v>not avaiable</v>
      </c>
      <c r="I212" s="35">
        <f>'13all_company_profile'!I212</f>
        <v>9.935306</v>
      </c>
      <c r="J212" s="35">
        <f>'13all_company_profile'!J212</f>
        <v>2.705</v>
      </c>
      <c r="K212" s="42">
        <f t="shared" si="1"/>
        <v>0.008279773157</v>
      </c>
      <c r="L212" s="35">
        <f>'7company_info'!B212</f>
        <v>26.45</v>
      </c>
      <c r="M212" s="35">
        <f>'7company_info'!C212</f>
        <v>26.5</v>
      </c>
      <c r="N212" s="35">
        <f>'7company_info'!D212</f>
        <v>26.3</v>
      </c>
      <c r="O212" s="35">
        <f>'7company_info'!E212</f>
        <v>0.1</v>
      </c>
      <c r="P212" s="35">
        <f>'7company_info'!F212</f>
        <v>0.0038</v>
      </c>
      <c r="Q212" s="35">
        <f>'7company_info'!G212</f>
        <v>26.31</v>
      </c>
      <c r="R212" s="35">
        <f>'7company_info'!H212</f>
        <v>26.35</v>
      </c>
      <c r="S212" s="35">
        <f>'7company_info'!I212</f>
        <v>19.77</v>
      </c>
      <c r="T212" s="35">
        <f>'7company_info'!J212</f>
        <v>28.17</v>
      </c>
      <c r="U212" s="39">
        <v>26.6333333333333</v>
      </c>
      <c r="V212" s="39">
        <v>26.6866666666666</v>
      </c>
      <c r="W212" s="40">
        <v>26.7333333333333</v>
      </c>
      <c r="X212" s="40">
        <v>26.8333333333333</v>
      </c>
      <c r="Y212" s="40">
        <v>26.5866666666666</v>
      </c>
      <c r="Z212" s="40">
        <v>26.5333333333333</v>
      </c>
      <c r="AA212" s="40">
        <v>26.4333333333333</v>
      </c>
      <c r="AB212" s="40">
        <v>26.7437</v>
      </c>
      <c r="AC212" s="40">
        <v>26.76</v>
      </c>
      <c r="AD212" s="40">
        <v>26.7818475960336</v>
      </c>
      <c r="AE212" s="40">
        <v>26.36166</v>
      </c>
      <c r="AF212" s="40">
        <v>0.20967</v>
      </c>
      <c r="AG212" s="40">
        <v>28.17</v>
      </c>
      <c r="AH212" s="45">
        <v>44344.0</v>
      </c>
      <c r="AI212" s="44" t="str">
        <f>'6image_RS_benchmark_performance'!B212</f>
        <v>https://3arbzfbsh-cname-us.ngrok.io/Desktop/seabridge%20fintech/image_app/EWH_resistance_support.jpg</v>
      </c>
      <c r="AJ212" s="44" t="str">
        <f>'6image_RS_benchmark_performance'!C212</f>
        <v>https://3arbzfbsh-cname-us.ngrok.io/Desktop/seabridge%20fintech/profit_graph_app/EWH_Return.jpg</v>
      </c>
      <c r="AK212" s="46" t="str">
        <f>'5price_action_icon'!B212</f>
        <v>https://3arbzfbsh-cname-us.ngrok.io/Desktop/seabridge%20fintech/icon/EWH_pa_trend_signal</v>
      </c>
      <c r="AL212" s="42">
        <f>'1kpi_performance'!B212</f>
        <v>0.362558655</v>
      </c>
      <c r="AM212" s="42">
        <f>'1kpi_performance'!C212</f>
        <v>0.6104486711</v>
      </c>
      <c r="AN212" s="42">
        <f>'1kpi_performance'!D212</f>
        <v>0.4900471288</v>
      </c>
      <c r="AO212" s="42">
        <f>'1kpi_performance'!E212</f>
        <v>0.07348350206</v>
      </c>
      <c r="AP212" s="42">
        <f>'1kpi_performance'!F212</f>
        <v>0.147564803</v>
      </c>
      <c r="AQ212" s="42">
        <f>'1kpi_performance'!G212</f>
        <v>0.1492890417</v>
      </c>
      <c r="AR212" s="42">
        <f>'1kpi_performance'!H212</f>
        <v>0.1555034192</v>
      </c>
      <c r="AS212" s="42">
        <f>'1kpi_performance'!I212</f>
        <v>0.228469973</v>
      </c>
      <c r="AT212" s="35">
        <f>'1kpi_performance'!J212</f>
        <v>2.287528246</v>
      </c>
      <c r="AU212" s="35">
        <f>'1kpi_performance'!K212</f>
        <v>3.921578331</v>
      </c>
      <c r="AV212" s="35">
        <f>'1kpi_performance'!L212</f>
        <v>2.990591017</v>
      </c>
      <c r="AW212" s="35">
        <f>'1kpi_performance'!M212</f>
        <v>0.2122095146</v>
      </c>
      <c r="AX212" s="42">
        <f>'1kpi_performance'!N212</f>
        <v>0.07416627387</v>
      </c>
      <c r="AY212" s="42">
        <f>'1kpi_performance'!O212</f>
        <v>0.05631659056</v>
      </c>
      <c r="AZ212" s="42">
        <f>'1kpi_performance'!P212</f>
        <v>0.1897058251</v>
      </c>
      <c r="BA212" s="42">
        <f>'1kpi_performance'!Q212</f>
        <v>0.3290346352</v>
      </c>
      <c r="BB212" s="35">
        <f>'1kpi_performance'!R212</f>
        <v>4.722814189</v>
      </c>
      <c r="BC212" s="35">
        <f>'1kpi_performance'!S212</f>
        <v>9.153265986</v>
      </c>
      <c r="BD212" s="35">
        <f>'1kpi_performance'!T212</f>
        <v>6.293548148</v>
      </c>
      <c r="BE212" s="35">
        <f>'1kpi_performance'!U212</f>
        <v>0.4021792932</v>
      </c>
      <c r="BF212" s="47"/>
      <c r="BG212" s="47"/>
      <c r="BH212" s="47"/>
      <c r="BI212" s="47"/>
      <c r="BJ212" s="47"/>
      <c r="BK212" s="47"/>
      <c r="BL212" s="47"/>
      <c r="BM212" s="47"/>
      <c r="BN212" s="47"/>
      <c r="BO212" s="47"/>
      <c r="BP212" s="47"/>
      <c r="BQ212" s="47"/>
      <c r="BR212" s="47"/>
      <c r="BS212" s="47"/>
      <c r="BT212" s="47"/>
    </row>
    <row r="213" ht="11.25" customHeight="1">
      <c r="A213" s="35" t="str">
        <f>'13all_company_profile'!A213</f>
        <v>EWJ</v>
      </c>
      <c r="B213" s="35" t="str">
        <f>'13all_company_profile'!B213</f>
        <v>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v>
      </c>
      <c r="C213" s="44" t="str">
        <f>'13all_company_profile'!C213</f>
        <v>https://financialmodelingprep.com/image-stock/EWJ.png</v>
      </c>
      <c r="D213" s="35" t="str">
        <f>'13all_company_profile'!D213</f>
        <v>iShares MSCI Japan ETF</v>
      </c>
      <c r="E213" s="36">
        <f>'13all_company_profile'!E213</f>
        <v>15475571712</v>
      </c>
      <c r="F213" s="37">
        <f>'13all_company_profile'!F213</f>
        <v>6140128</v>
      </c>
      <c r="G213" s="35">
        <f>'13all_company_profile'!G213</f>
        <v>0.258</v>
      </c>
      <c r="H213" s="38" t="str">
        <f>'13all_company_profile'!H213</f>
        <v>not avaiable</v>
      </c>
      <c r="I213" s="35">
        <f>'13all_company_profile'!I213</f>
        <v>4.9781437</v>
      </c>
      <c r="J213" s="35">
        <f>'13all_company_profile'!J213</f>
        <v>13.497</v>
      </c>
      <c r="K213" s="42">
        <f t="shared" si="1"/>
        <v>0.00384787472</v>
      </c>
      <c r="L213" s="35">
        <f>'7company_info'!B213</f>
        <v>67.05</v>
      </c>
      <c r="M213" s="35">
        <f>'7company_info'!C213</f>
        <v>67.2</v>
      </c>
      <c r="N213" s="35">
        <f>'7company_info'!D213</f>
        <v>66.45</v>
      </c>
      <c r="O213" s="35">
        <f>'7company_info'!E213</f>
        <v>0.79</v>
      </c>
      <c r="P213" s="35">
        <f>'7company_info'!F213</f>
        <v>0.0119</v>
      </c>
      <c r="Q213" s="35">
        <f>'7company_info'!G213</f>
        <v>66.53</v>
      </c>
      <c r="R213" s="35">
        <f>'7company_info'!H213</f>
        <v>66.26</v>
      </c>
      <c r="S213" s="35">
        <f>'7company_info'!I213</f>
        <v>54.11</v>
      </c>
      <c r="T213" s="35">
        <f>'7company_info'!J213</f>
        <v>72.28</v>
      </c>
      <c r="U213" s="39">
        <v>68.77</v>
      </c>
      <c r="V213" s="39">
        <v>68.91</v>
      </c>
      <c r="W213" s="40">
        <v>69.07</v>
      </c>
      <c r="X213" s="40">
        <v>69.37</v>
      </c>
      <c r="Y213" s="40">
        <v>68.6099999999999</v>
      </c>
      <c r="Z213" s="40">
        <v>68.4699999999999</v>
      </c>
      <c r="AA213" s="40">
        <v>68.1699999999999</v>
      </c>
      <c r="AB213" s="40">
        <v>68.67</v>
      </c>
      <c r="AC213" s="40">
        <v>67.92</v>
      </c>
      <c r="AD213" s="40">
        <v>68.1435537505958</v>
      </c>
      <c r="AE213" s="40">
        <v>67.0519999999999</v>
      </c>
      <c r="AF213" s="40">
        <v>0.687500000000002</v>
      </c>
      <c r="AG213" s="40">
        <v>72.2773</v>
      </c>
      <c r="AH213" s="45">
        <v>44243.0</v>
      </c>
      <c r="AI213" s="44" t="str">
        <f>'6image_RS_benchmark_performance'!B213</f>
        <v>https://3arbzfbsh-cname-us.ngrok.io/Desktop/seabridge%20fintech/image_app/EWJ_resistance_support.jpg</v>
      </c>
      <c r="AJ213" s="44" t="str">
        <f>'6image_RS_benchmark_performance'!C213</f>
        <v>https://3arbzfbsh-cname-us.ngrok.io/Desktop/seabridge%20fintech/profit_graph_app/EWJ_Return.jpg</v>
      </c>
      <c r="AK213" s="46" t="str">
        <f>'5price_action_icon'!B213</f>
        <v>https://3arbzfbsh-cname-us.ngrok.io/Desktop/seabridge%20fintech/icon/EWJ_pa_trend_signal</v>
      </c>
      <c r="AL213" s="42">
        <f>'1kpi_performance'!B213</f>
        <v>0.2704687501</v>
      </c>
      <c r="AM213" s="42">
        <f>'1kpi_performance'!C213</f>
        <v>0.4566541314</v>
      </c>
      <c r="AN213" s="42">
        <f>'1kpi_performance'!D213</f>
        <v>0.2876871097</v>
      </c>
      <c r="AO213" s="42">
        <f>'1kpi_performance'!E213</f>
        <v>0.06614316263</v>
      </c>
      <c r="AP213" s="42">
        <f>'1kpi_performance'!F213</f>
        <v>0.1350189304</v>
      </c>
      <c r="AQ213" s="42">
        <f>'1kpi_performance'!G213</f>
        <v>0.1360627432</v>
      </c>
      <c r="AR213" s="42">
        <f>'1kpi_performance'!H213</f>
        <v>0.1298446681</v>
      </c>
      <c r="AS213" s="42">
        <f>'1kpi_performance'!I213</f>
        <v>0.2122062277</v>
      </c>
      <c r="AT213" s="35">
        <f>'1kpi_performance'!J213</f>
        <v>1.818032104</v>
      </c>
      <c r="AU213" s="35">
        <f>'1kpi_performance'!K213</f>
        <v>3.172463829</v>
      </c>
      <c r="AV213" s="35">
        <f>'1kpi_performance'!L213</f>
        <v>2.023087382</v>
      </c>
      <c r="AW213" s="35">
        <f>'1kpi_performance'!M213</f>
        <v>0.193882918</v>
      </c>
      <c r="AX213" s="42">
        <f>'1kpi_performance'!N213</f>
        <v>0.08308722189</v>
      </c>
      <c r="AY213" s="42">
        <f>'1kpi_performance'!O213</f>
        <v>0.07383343178</v>
      </c>
      <c r="AZ213" s="42">
        <f>'1kpi_performance'!P213</f>
        <v>0.1657235247</v>
      </c>
      <c r="BA213" s="42">
        <f>'1kpi_performance'!Q213</f>
        <v>0.3316839338</v>
      </c>
      <c r="BB213" s="35">
        <f>'1kpi_performance'!R213</f>
        <v>3.624418847</v>
      </c>
      <c r="BC213" s="35">
        <f>'1kpi_performance'!S213</f>
        <v>7.252052166</v>
      </c>
      <c r="BD213" s="35">
        <f>'1kpi_performance'!T213</f>
        <v>4.128568874</v>
      </c>
      <c r="BE213" s="35">
        <f>'1kpi_performance'!U213</f>
        <v>0.3612896306</v>
      </c>
      <c r="BF213" s="47"/>
      <c r="BG213" s="47"/>
      <c r="BH213" s="47"/>
      <c r="BI213" s="47"/>
      <c r="BJ213" s="47"/>
      <c r="BK213" s="47"/>
      <c r="BL213" s="47"/>
      <c r="BM213" s="47"/>
      <c r="BN213" s="47"/>
      <c r="BO213" s="47"/>
      <c r="BP213" s="47"/>
      <c r="BQ213" s="47"/>
      <c r="BR213" s="47"/>
      <c r="BS213" s="47"/>
      <c r="BT213" s="47"/>
    </row>
    <row r="214" ht="11.25" customHeight="1">
      <c r="A214" s="35" t="str">
        <f>'13all_company_profile'!A214</f>
        <v>EWT</v>
      </c>
      <c r="B214" s="35" t="str">
        <f>'13all_company_profile'!B214</f>
        <v>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v>
      </c>
      <c r="C214" s="44" t="str">
        <f>'13all_company_profile'!C214</f>
        <v>https://financialmodelingprep.com/image-stock/EWT.jpg</v>
      </c>
      <c r="D214" s="35" t="str">
        <f>'13all_company_profile'!D214</f>
        <v>iShares MSCI Taiwan ETF</v>
      </c>
      <c r="E214" s="36">
        <f>'13all_company_profile'!E214</f>
        <v>5490149888</v>
      </c>
      <c r="F214" s="37">
        <f>'13all_company_profile'!F214</f>
        <v>3370680</v>
      </c>
      <c r="G214" s="35">
        <f>'13all_company_profile'!G214</f>
        <v>0.973</v>
      </c>
      <c r="H214" s="38" t="str">
        <f>'13all_company_profile'!H214</f>
        <v>not avaiable</v>
      </c>
      <c r="I214" s="35">
        <f>'13all_company_profile'!I214</f>
        <v>3.4262016</v>
      </c>
      <c r="J214" s="35">
        <f>'13all_company_profile'!J214</f>
        <v>18.808</v>
      </c>
      <c r="K214" s="42">
        <f t="shared" si="1"/>
        <v>0.01527712357</v>
      </c>
      <c r="L214" s="35">
        <f>'7company_info'!B214</f>
        <v>63.69</v>
      </c>
      <c r="M214" s="35">
        <f>'7company_info'!C214</f>
        <v>63.82</v>
      </c>
      <c r="N214" s="35">
        <f>'7company_info'!D214</f>
        <v>63.01</v>
      </c>
      <c r="O214" s="35">
        <f>'7company_info'!E214</f>
        <v>0.17</v>
      </c>
      <c r="P214" s="35">
        <f>'7company_info'!F214</f>
        <v>0.0027</v>
      </c>
      <c r="Q214" s="35">
        <f>'7company_info'!G214</f>
        <v>63.26</v>
      </c>
      <c r="R214" s="35">
        <f>'7company_info'!H214</f>
        <v>63.52</v>
      </c>
      <c r="S214" s="35">
        <f>'7company_info'!I214</f>
        <v>42.55</v>
      </c>
      <c r="T214" s="35">
        <f>'7company_info'!J214</f>
        <v>65.58</v>
      </c>
      <c r="U214" s="39">
        <v>64.7866666666666</v>
      </c>
      <c r="V214" s="39">
        <v>64.9433333333333</v>
      </c>
      <c r="W214" s="40">
        <v>65.0866666666666</v>
      </c>
      <c r="X214" s="40">
        <v>65.3866666666667</v>
      </c>
      <c r="Y214" s="40">
        <v>64.6433333333333</v>
      </c>
      <c r="Z214" s="40">
        <v>64.4866666666666</v>
      </c>
      <c r="AA214" s="40">
        <v>64.1866666666666</v>
      </c>
      <c r="AB214" s="40">
        <v>64.08</v>
      </c>
      <c r="AC214" s="40">
        <v>64.18</v>
      </c>
      <c r="AD214" s="40">
        <v>63.8162381663287</v>
      </c>
      <c r="AE214" s="40">
        <v>63.1751899999999</v>
      </c>
      <c r="AF214" s="40">
        <v>0.646405000000002</v>
      </c>
      <c r="AG214" s="40">
        <v>65.585</v>
      </c>
      <c r="AH214" s="45">
        <v>44315.0</v>
      </c>
      <c r="AI214" s="44" t="str">
        <f>'6image_RS_benchmark_performance'!B214</f>
        <v>https://3arbzfbsh-cname-us.ngrok.io/Desktop/seabridge%20fintech/image_app/EWT_resistance_support.jpg</v>
      </c>
      <c r="AJ214" s="44" t="str">
        <f>'6image_RS_benchmark_performance'!C214</f>
        <v>https://3arbzfbsh-cname-us.ngrok.io/Desktop/seabridge%20fintech/profit_graph_app/EWT_Return.jpg</v>
      </c>
      <c r="AK214" s="46" t="str">
        <f>'5price_action_icon'!B214</f>
        <v>https://3arbzfbsh-cname-us.ngrok.io/Desktop/seabridge%20fintech/icon/EWT_pa_trend_signal</v>
      </c>
      <c r="AL214" s="42">
        <f>'1kpi_performance'!B214</f>
        <v>0.3898609912</v>
      </c>
      <c r="AM214" s="42">
        <f>'1kpi_performance'!C214</f>
        <v>0.6732465397</v>
      </c>
      <c r="AN214" s="42">
        <f>'1kpi_performance'!D214</f>
        <v>0.4347100812</v>
      </c>
      <c r="AO214" s="42">
        <f>'1kpi_performance'!E214</f>
        <v>0.1235673621</v>
      </c>
      <c r="AP214" s="42">
        <f>'1kpi_performance'!F214</f>
        <v>0.151945758</v>
      </c>
      <c r="AQ214" s="42">
        <f>'1kpi_performance'!G214</f>
        <v>0.1614718627</v>
      </c>
      <c r="AR214" s="42">
        <f>'1kpi_performance'!H214</f>
        <v>0.1723700353</v>
      </c>
      <c r="AS214" s="42">
        <f>'1kpi_performance'!I214</f>
        <v>0.2469232317</v>
      </c>
      <c r="AT214" s="35">
        <f>'1kpi_performance'!J214</f>
        <v>2.40125816</v>
      </c>
      <c r="AU214" s="35">
        <f>'1kpi_performance'!K214</f>
        <v>4.014609907</v>
      </c>
      <c r="AV214" s="35">
        <f>'1kpi_performance'!L214</f>
        <v>2.376921722</v>
      </c>
      <c r="AW214" s="35">
        <f>'1kpi_performance'!M214</f>
        <v>0.399182213</v>
      </c>
      <c r="AX214" s="42">
        <f>'1kpi_performance'!N214</f>
        <v>0.09504359821</v>
      </c>
      <c r="AY214" s="42">
        <f>'1kpi_performance'!O214</f>
        <v>0.08035230352</v>
      </c>
      <c r="AZ214" s="42">
        <f>'1kpi_performance'!P214</f>
        <v>0.2489171975</v>
      </c>
      <c r="BA214" s="42">
        <f>'1kpi_performance'!Q214</f>
        <v>0.3341162654</v>
      </c>
      <c r="BB214" s="35">
        <f>'1kpi_performance'!R214</f>
        <v>4.996775927</v>
      </c>
      <c r="BC214" s="35">
        <f>'1kpi_performance'!S214</f>
        <v>9.247657684</v>
      </c>
      <c r="BD214" s="35">
        <f>'1kpi_performance'!T214</f>
        <v>4.577663371</v>
      </c>
      <c r="BE214" s="35">
        <f>'1kpi_performance'!U214</f>
        <v>0.758462684</v>
      </c>
      <c r="BF214" s="47"/>
      <c r="BG214" s="47"/>
      <c r="BH214" s="47"/>
      <c r="BI214" s="47"/>
      <c r="BJ214" s="47"/>
      <c r="BK214" s="47"/>
      <c r="BL214" s="47"/>
      <c r="BM214" s="47"/>
      <c r="BN214" s="47"/>
      <c r="BO214" s="47"/>
      <c r="BP214" s="47"/>
      <c r="BQ214" s="47"/>
      <c r="BR214" s="47"/>
      <c r="BS214" s="47"/>
      <c r="BT214" s="47"/>
    </row>
    <row r="215" ht="11.25" customHeight="1">
      <c r="A215" s="35" t="str">
        <f>'13all_company_profile'!A215</f>
        <v>EWU</v>
      </c>
      <c r="B215" s="35" t="str">
        <f>'13all_company_profile'!B215</f>
        <v>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v>
      </c>
      <c r="C215" s="44" t="str">
        <f>'13all_company_profile'!C215</f>
        <v>https://financialmodelingprep.com/image-stock/EWU.jpg</v>
      </c>
      <c r="D215" s="35" t="str">
        <f>'13all_company_profile'!D215</f>
        <v>iShares MSCI United Kingdom ETF</v>
      </c>
      <c r="E215" s="36">
        <f>'13all_company_profile'!E215</f>
        <v>2210279936</v>
      </c>
      <c r="F215" s="37">
        <f>'13all_company_profile'!F215</f>
        <v>2899006</v>
      </c>
      <c r="G215" s="35">
        <f>'13all_company_profile'!G215</f>
        <v>0.332</v>
      </c>
      <c r="H215" s="38" t="str">
        <f>'13all_company_profile'!H215</f>
        <v>not avaiable</v>
      </c>
      <c r="I215" s="35">
        <f>'13all_company_profile'!I215</f>
        <v>14.690488</v>
      </c>
      <c r="J215" s="35">
        <f>'13all_company_profile'!J215</f>
        <v>2.197</v>
      </c>
      <c r="K215" s="42">
        <f t="shared" si="1"/>
        <v>0.01050300538</v>
      </c>
      <c r="L215" s="35">
        <f>'7company_info'!B215</f>
        <v>31.61</v>
      </c>
      <c r="M215" s="35">
        <f>'7company_info'!C215</f>
        <v>31.64</v>
      </c>
      <c r="N215" s="35">
        <f>'7company_info'!D215</f>
        <v>31.13</v>
      </c>
      <c r="O215" s="35">
        <f>'7company_info'!E215</f>
        <v>0.17</v>
      </c>
      <c r="P215" s="35">
        <f>'7company_info'!F215</f>
        <v>0.0054</v>
      </c>
      <c r="Q215" s="35">
        <f>'7company_info'!G215</f>
        <v>31.19</v>
      </c>
      <c r="R215" s="35">
        <f>'7company_info'!H215</f>
        <v>31.44</v>
      </c>
      <c r="S215" s="35">
        <f>'7company_info'!I215</f>
        <v>24.02</v>
      </c>
      <c r="T215" s="35">
        <f>'7company_info'!J215</f>
        <v>34.26</v>
      </c>
      <c r="U215" s="39">
        <v>33.0166666666666</v>
      </c>
      <c r="V215" s="39">
        <v>33.1033333333333</v>
      </c>
      <c r="W215" s="40">
        <v>33.2266666666666</v>
      </c>
      <c r="X215" s="40">
        <v>33.4366666666666</v>
      </c>
      <c r="Y215" s="40">
        <v>32.8933333333333</v>
      </c>
      <c r="Z215" s="40">
        <v>32.8066666666666</v>
      </c>
      <c r="AA215" s="40">
        <v>32.5966666666666</v>
      </c>
      <c r="AB215" s="40">
        <v>32.51</v>
      </c>
      <c r="AC215" s="40">
        <v>32.94</v>
      </c>
      <c r="AD215" s="40">
        <v>33.0977403744339</v>
      </c>
      <c r="AE215" s="40">
        <v>32.29588</v>
      </c>
      <c r="AF215" s="40">
        <v>0.391609999999999</v>
      </c>
      <c r="AG215" s="40">
        <v>34.26</v>
      </c>
      <c r="AH215" s="45">
        <v>44349.0</v>
      </c>
      <c r="AI215" s="44" t="str">
        <f>'6image_RS_benchmark_performance'!B215</f>
        <v>https://3arbzfbsh-cname-us.ngrok.io/Desktop/seabridge%20fintech/image_app/EWU_resistance_support.jpg</v>
      </c>
      <c r="AJ215" s="44" t="str">
        <f>'6image_RS_benchmark_performance'!C215</f>
        <v>https://3arbzfbsh-cname-us.ngrok.io/Desktop/seabridge%20fintech/profit_graph_app/EWU_Return.jpg</v>
      </c>
      <c r="AK215" s="46" t="str">
        <f>'5price_action_icon'!B215</f>
        <v>https://3arbzfbsh-cname-us.ngrok.io/Desktop/seabridge%20fintech/icon/EWU_pa_trend_signal</v>
      </c>
      <c r="AL215" s="42">
        <f>'1kpi_performance'!B215</f>
        <v>0.2944976511</v>
      </c>
      <c r="AM215" s="42">
        <f>'1kpi_performance'!C215</f>
        <v>0.4901384545</v>
      </c>
      <c r="AN215" s="42">
        <f>'1kpi_performance'!D215</f>
        <v>0.3066746286</v>
      </c>
      <c r="AO215" s="42">
        <f>'1kpi_performance'!E215</f>
        <v>0.002676906593</v>
      </c>
      <c r="AP215" s="42">
        <f>'1kpi_performance'!F215</f>
        <v>0.1570750692</v>
      </c>
      <c r="AQ215" s="42">
        <f>'1kpi_performance'!G215</f>
        <v>0.1556754391</v>
      </c>
      <c r="AR215" s="42">
        <f>'1kpi_performance'!H215</f>
        <v>0.1784935769</v>
      </c>
      <c r="AS215" s="42">
        <f>'1kpi_performance'!I215</f>
        <v>0.247842082</v>
      </c>
      <c r="AT215" s="35">
        <f>'1kpi_performance'!J215</f>
        <v>1.715725178</v>
      </c>
      <c r="AU215" s="35">
        <f>'1kpi_performance'!K215</f>
        <v>2.987873085</v>
      </c>
      <c r="AV215" s="35">
        <f>'1kpi_performance'!L215</f>
        <v>1.578065908</v>
      </c>
      <c r="AW215" s="35">
        <f>'1kpi_performance'!M215</f>
        <v>-0.09006982682</v>
      </c>
      <c r="AX215" s="42">
        <f>'1kpi_performance'!N215</f>
        <v>0.09254680325</v>
      </c>
      <c r="AY215" s="42">
        <f>'1kpi_performance'!O215</f>
        <v>0.08354114713</v>
      </c>
      <c r="AZ215" s="42">
        <f>'1kpi_performance'!P215</f>
        <v>0.4244667026</v>
      </c>
      <c r="BA215" s="42">
        <f>'1kpi_performance'!Q215</f>
        <v>0.5535876476</v>
      </c>
      <c r="BB215" s="35">
        <f>'1kpi_performance'!R215</f>
        <v>3.446647881</v>
      </c>
      <c r="BC215" s="35">
        <f>'1kpi_performance'!S215</f>
        <v>6.600149163</v>
      </c>
      <c r="BD215" s="35">
        <f>'1kpi_performance'!T215</f>
        <v>2.873581874</v>
      </c>
      <c r="BE215" s="35">
        <f>'1kpi_performance'!U215</f>
        <v>-0.1604577763</v>
      </c>
      <c r="BF215" s="47"/>
      <c r="BG215" s="47"/>
      <c r="BH215" s="47"/>
      <c r="BI215" s="47"/>
      <c r="BJ215" s="47"/>
      <c r="BK215" s="47"/>
      <c r="BL215" s="47"/>
      <c r="BM215" s="47"/>
      <c r="BN215" s="47"/>
      <c r="BO215" s="47"/>
      <c r="BP215" s="47"/>
      <c r="BQ215" s="47"/>
      <c r="BR215" s="47"/>
      <c r="BS215" s="47"/>
      <c r="BT215" s="47"/>
    </row>
    <row r="216" ht="11.25" customHeight="1">
      <c r="A216" s="35" t="str">
        <f>'13all_company_profile'!A216</f>
        <v>EWY</v>
      </c>
      <c r="B216" s="35" t="str">
        <f>'13all_company_profile'!B216</f>
        <v>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6" s="44" t="str">
        <f>'13all_company_profile'!C216</f>
        <v>https://financialmodelingprep.com/image-stock/EWY.jpg</v>
      </c>
      <c r="D216" s="35" t="str">
        <f>'13all_company_profile'!D216</f>
        <v>iShares MSCI South Korea ETF</v>
      </c>
      <c r="E216" s="36">
        <f>'13all_company_profile'!E216</f>
        <v>6924203520</v>
      </c>
      <c r="F216" s="37">
        <f>'13all_company_profile'!F216</f>
        <v>3309950</v>
      </c>
      <c r="G216" s="35">
        <f>'13all_company_profile'!G216</f>
        <v>0.63</v>
      </c>
      <c r="H216" s="38" t="str">
        <f>'13all_company_profile'!H216</f>
        <v>not avaiable</v>
      </c>
      <c r="I216" s="35">
        <f>'13all_company_profile'!I216</f>
        <v>2.8457997</v>
      </c>
      <c r="J216" s="35">
        <f>'13all_company_profile'!J216</f>
        <v>31.926</v>
      </c>
      <c r="K216" s="42">
        <f t="shared" si="1"/>
        <v>0.00700466978</v>
      </c>
      <c r="L216" s="35">
        <f>'7company_info'!B216</f>
        <v>89.94</v>
      </c>
      <c r="M216" s="35">
        <f>'7company_info'!C216</f>
        <v>90.17</v>
      </c>
      <c r="N216" s="35">
        <f>'7company_info'!D216</f>
        <v>88.93</v>
      </c>
      <c r="O216" s="35">
        <f>'7company_info'!E216</f>
        <v>1.33</v>
      </c>
      <c r="P216" s="35">
        <f>'7company_info'!F216</f>
        <v>0.015</v>
      </c>
      <c r="Q216" s="35">
        <f>'7company_info'!G216</f>
        <v>89.11</v>
      </c>
      <c r="R216" s="35">
        <f>'7company_info'!H216</f>
        <v>88.61</v>
      </c>
      <c r="S216" s="35">
        <f>'7company_info'!I216</f>
        <v>58.66</v>
      </c>
      <c r="T216" s="35">
        <f>'7company_info'!J216</f>
        <v>96.3</v>
      </c>
      <c r="U216" s="39">
        <v>91.1533333333333</v>
      </c>
      <c r="V216" s="39">
        <v>91.5766666666667</v>
      </c>
      <c r="W216" s="40">
        <v>91.8733333333333</v>
      </c>
      <c r="X216" s="40">
        <v>92.5933333333333</v>
      </c>
      <c r="Y216" s="40">
        <v>90.8566666666667</v>
      </c>
      <c r="Z216" s="40">
        <v>90.4333333333333</v>
      </c>
      <c r="AA216" s="40">
        <v>89.7133333333333</v>
      </c>
      <c r="AB216" s="40">
        <v>89.42</v>
      </c>
      <c r="AC216" s="40">
        <v>91.01</v>
      </c>
      <c r="AD216" s="40">
        <v>91.7701733981274</v>
      </c>
      <c r="AE216" s="40">
        <v>88.7485</v>
      </c>
      <c r="AF216" s="40">
        <v>0.97775</v>
      </c>
      <c r="AG216" s="40">
        <v>96.04</v>
      </c>
      <c r="AH216" s="45">
        <v>44217.0</v>
      </c>
      <c r="AI216" s="44" t="str">
        <f>'6image_RS_benchmark_performance'!B216</f>
        <v>https://3arbzfbsh-cname-us.ngrok.io/Desktop/seabridge%20fintech/image_app/EWY_resistance_support.jpg</v>
      </c>
      <c r="AJ216" s="44" t="str">
        <f>'6image_RS_benchmark_performance'!C216</f>
        <v>https://3arbzfbsh-cname-us.ngrok.io/Desktop/seabridge%20fintech/profit_graph_app/EWY_Return.jpg</v>
      </c>
      <c r="AK216" s="46" t="str">
        <f>'5price_action_icon'!B216</f>
        <v>https://3arbzfbsh-cname-us.ngrok.io/Desktop/seabridge%20fintech/icon/EWY_pa_trend_signal</v>
      </c>
      <c r="AL216" s="42">
        <f>'1kpi_performance'!B216</f>
        <v>0.4324903811</v>
      </c>
      <c r="AM216" s="42">
        <f>'1kpi_performance'!C216</f>
        <v>0.7870720981</v>
      </c>
      <c r="AN216" s="42">
        <f>'1kpi_performance'!D216</f>
        <v>0.5846656948</v>
      </c>
      <c r="AO216" s="42">
        <f>'1kpi_performance'!E216</f>
        <v>0.0806056497</v>
      </c>
      <c r="AP216" s="42">
        <f>'1kpi_performance'!F216</f>
        <v>0.1864731532</v>
      </c>
      <c r="AQ216" s="42">
        <f>'1kpi_performance'!G216</f>
        <v>0.1861874465</v>
      </c>
      <c r="AR216" s="42">
        <f>'1kpi_performance'!H216</f>
        <v>0.1819455701</v>
      </c>
      <c r="AS216" s="42">
        <f>'1kpi_performance'!I216</f>
        <v>0.2949896489</v>
      </c>
      <c r="AT216" s="35">
        <f>'1kpi_performance'!J216</f>
        <v>2.185249588</v>
      </c>
      <c r="AU216" s="35">
        <f>'1kpi_performance'!K216</f>
        <v>4.093036948</v>
      </c>
      <c r="AV216" s="35">
        <f>'1kpi_performance'!L216</f>
        <v>3.076006162</v>
      </c>
      <c r="AW216" s="35">
        <f>'1kpi_performance'!M216</f>
        <v>0.188500342</v>
      </c>
      <c r="AX216" s="42">
        <f>'1kpi_performance'!N216</f>
        <v>0.1323889524</v>
      </c>
      <c r="AY216" s="42">
        <f>'1kpi_performance'!O216</f>
        <v>0.08674849178</v>
      </c>
      <c r="AZ216" s="42">
        <f>'1kpi_performance'!P216</f>
        <v>0.1471088435</v>
      </c>
      <c r="BA216" s="42">
        <f>'1kpi_performance'!Q216</f>
        <v>0.506958502</v>
      </c>
      <c r="BB216" s="35">
        <f>'1kpi_performance'!R216</f>
        <v>4.453681601</v>
      </c>
      <c r="BC216" s="35">
        <f>'1kpi_performance'!S216</f>
        <v>9.463279942</v>
      </c>
      <c r="BD216" s="35">
        <f>'1kpi_performance'!T216</f>
        <v>6.547972957</v>
      </c>
      <c r="BE216" s="35">
        <f>'1kpi_performance'!U216</f>
        <v>0.3550310374</v>
      </c>
      <c r="BF216" s="47"/>
      <c r="BG216" s="47"/>
      <c r="BH216" s="47"/>
      <c r="BI216" s="47"/>
      <c r="BJ216" s="47"/>
      <c r="BK216" s="47"/>
      <c r="BL216" s="47"/>
      <c r="BM216" s="47"/>
      <c r="BN216" s="47"/>
      <c r="BO216" s="47"/>
      <c r="BP216" s="47"/>
      <c r="BQ216" s="47"/>
      <c r="BR216" s="47"/>
      <c r="BS216" s="47"/>
      <c r="BT216" s="47"/>
    </row>
    <row r="217" ht="11.25" customHeight="1">
      <c r="A217" s="35" t="str">
        <f>'13all_company_profile'!A217</f>
        <v>EWZ</v>
      </c>
      <c r="B217" s="35" t="str">
        <f>'13all_company_profile'!B217</f>
        <v>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7" s="44" t="str">
        <f>'13all_company_profile'!C217</f>
        <v>https://financialmodelingprep.com/image-stock/EWZ.png</v>
      </c>
      <c r="D217" s="35" t="str">
        <f>'13all_company_profile'!D217</f>
        <v>iShares MSCI Brazil ETF</v>
      </c>
      <c r="E217" s="36">
        <f>'13all_company_profile'!E217</f>
        <v>7983895552</v>
      </c>
      <c r="F217" s="37">
        <f>'13all_company_profile'!F217</f>
        <v>28754196</v>
      </c>
      <c r="G217" s="35">
        <f>'13all_company_profile'!G217</f>
        <v>0.276</v>
      </c>
      <c r="H217" s="38" t="str">
        <f>'13all_company_profile'!H217</f>
        <v>not avaiable</v>
      </c>
      <c r="I217" s="35" t="str">
        <f>'13all_company_profile'!I217</f>
        <v>NaN</v>
      </c>
      <c r="J217" s="35">
        <f>'13all_company_profile'!J217</f>
        <v>-10.17</v>
      </c>
      <c r="K217" s="42">
        <f t="shared" si="1"/>
        <v>0.007230809536</v>
      </c>
      <c r="L217" s="35">
        <f>'7company_info'!B217</f>
        <v>38.17</v>
      </c>
      <c r="M217" s="35">
        <f>'7company_info'!C217</f>
        <v>38.45</v>
      </c>
      <c r="N217" s="35">
        <f>'7company_info'!D217</f>
        <v>37.26</v>
      </c>
      <c r="O217" s="35">
        <f>'7company_info'!E217</f>
        <v>0.34</v>
      </c>
      <c r="P217" s="35">
        <f>'7company_info'!F217</f>
        <v>0.009</v>
      </c>
      <c r="Q217" s="35">
        <f>'7company_info'!G217</f>
        <v>37.39</v>
      </c>
      <c r="R217" s="35">
        <f>'7company_info'!H217</f>
        <v>37.83</v>
      </c>
      <c r="S217" s="35">
        <f>'7company_info'!I217</f>
        <v>26.56</v>
      </c>
      <c r="T217" s="35">
        <f>'7company_info'!J217</f>
        <v>42.05</v>
      </c>
      <c r="U217" s="39">
        <v>40.3133333333333</v>
      </c>
      <c r="V217" s="39">
        <v>40.6066666666666</v>
      </c>
      <c r="W217" s="40">
        <v>40.9333333333333</v>
      </c>
      <c r="X217" s="40">
        <v>41.5533333333333</v>
      </c>
      <c r="Y217" s="40">
        <v>39.9866666666666</v>
      </c>
      <c r="Z217" s="40">
        <v>39.6933333333333</v>
      </c>
      <c r="AA217" s="40">
        <v>39.0733333333333</v>
      </c>
      <c r="AB217" s="40">
        <v>39.45</v>
      </c>
      <c r="AC217" s="40">
        <v>39.66</v>
      </c>
      <c r="AD217" s="40">
        <v>39.7808773884161</v>
      </c>
      <c r="AE217" s="40">
        <v>37.4434</v>
      </c>
      <c r="AF217" s="40">
        <v>1.01929999999999</v>
      </c>
      <c r="AG217" s="40">
        <v>42.05</v>
      </c>
      <c r="AH217" s="45">
        <v>44354.0</v>
      </c>
      <c r="AI217" s="44" t="str">
        <f>'6image_RS_benchmark_performance'!B217</f>
        <v>https://3arbzfbsh-cname-us.ngrok.io/Desktop/seabridge%20fintech/image_app/EWZ_resistance_support.jpg</v>
      </c>
      <c r="AJ217" s="44" t="str">
        <f>'6image_RS_benchmark_performance'!C217</f>
        <v>https://3arbzfbsh-cname-us.ngrok.io/Desktop/seabridge%20fintech/profit_graph_app/EWZ_Return.jpg</v>
      </c>
      <c r="AK217" s="46" t="str">
        <f>'5price_action_icon'!B217</f>
        <v>https://3arbzfbsh-cname-us.ngrok.io/Desktop/seabridge%20fintech/icon/EWZ_pa_trend_signal</v>
      </c>
      <c r="AL217" s="42">
        <f>'1kpi_performance'!B217</f>
        <v>0.546579167</v>
      </c>
      <c r="AM217" s="42">
        <f>'1kpi_performance'!C217</f>
        <v>0.7357255983</v>
      </c>
      <c r="AN217" s="42">
        <f>'1kpi_performance'!D217</f>
        <v>0.4762337037</v>
      </c>
      <c r="AO217" s="42">
        <f>'1kpi_performance'!E217</f>
        <v>-0.06509128251</v>
      </c>
      <c r="AP217" s="42">
        <f>'1kpi_performance'!F217</f>
        <v>0.268495976</v>
      </c>
      <c r="AQ217" s="42">
        <f>'1kpi_performance'!G217</f>
        <v>0.2489855588</v>
      </c>
      <c r="AR217" s="42">
        <f>'1kpi_performance'!H217</f>
        <v>0.3215893632</v>
      </c>
      <c r="AS217" s="42">
        <f>'1kpi_performance'!I217</f>
        <v>0.4159218055</v>
      </c>
      <c r="AT217" s="35">
        <f>'1kpi_performance'!J217</f>
        <v>1.942595844</v>
      </c>
      <c r="AU217" s="35">
        <f>'1kpi_performance'!K217</f>
        <v>2.854485222</v>
      </c>
      <c r="AV217" s="35">
        <f>'1kpi_performance'!L217</f>
        <v>1.403136283</v>
      </c>
      <c r="AW217" s="35">
        <f>'1kpi_performance'!M217</f>
        <v>-0.2166062979</v>
      </c>
      <c r="AX217" s="42">
        <f>'1kpi_performance'!N217</f>
        <v>0.2691822621</v>
      </c>
      <c r="AY217" s="42">
        <f>'1kpi_performance'!O217</f>
        <v>0.134978789</v>
      </c>
      <c r="AZ217" s="42">
        <f>'1kpi_performance'!P217</f>
        <v>0.563358223</v>
      </c>
      <c r="BA217" s="42">
        <f>'1kpi_performance'!Q217</f>
        <v>0.787570483</v>
      </c>
      <c r="BB217" s="35">
        <f>'1kpi_performance'!R217</f>
        <v>3.946683721</v>
      </c>
      <c r="BC217" s="35">
        <f>'1kpi_performance'!S217</f>
        <v>6.321193197</v>
      </c>
      <c r="BD217" s="35">
        <f>'1kpi_performance'!T217</f>
        <v>2.565894895</v>
      </c>
      <c r="BE217" s="35">
        <f>'1kpi_performance'!U217</f>
        <v>-0.4070470649</v>
      </c>
      <c r="BF217" s="47"/>
      <c r="BG217" s="47"/>
      <c r="BH217" s="47"/>
      <c r="BI217" s="47"/>
      <c r="BJ217" s="47"/>
      <c r="BK217" s="47"/>
      <c r="BL217" s="47"/>
      <c r="BM217" s="47"/>
      <c r="BN217" s="47"/>
      <c r="BO217" s="47"/>
      <c r="BP217" s="47"/>
      <c r="BQ217" s="47"/>
      <c r="BR217" s="47"/>
      <c r="BS217" s="47"/>
      <c r="BT217" s="47"/>
    </row>
    <row r="218" ht="11.25" customHeight="1">
      <c r="A218" s="35" t="str">
        <f>'13all_company_profile'!A218</f>
        <v>EXC</v>
      </c>
      <c r="B218" s="35" t="str">
        <f>'13all_company_profile'!B218</f>
        <v>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v>
      </c>
      <c r="C218" s="44" t="str">
        <f>'13all_company_profile'!C218</f>
        <v>https://financialmodelingprep.com/image-stock/EXC.png</v>
      </c>
      <c r="D218" s="35" t="str">
        <f>'13all_company_profile'!D218</f>
        <v>Exelon Corporation</v>
      </c>
      <c r="E218" s="36">
        <f>'13all_company_profile'!E218</f>
        <v>44686213120</v>
      </c>
      <c r="F218" s="37">
        <f>'13all_company_profile'!F218</f>
        <v>5169201</v>
      </c>
      <c r="G218" s="35">
        <f>'13all_company_profile'!G218</f>
        <v>1.5315</v>
      </c>
      <c r="H218" s="38">
        <f>'13all_company_profile'!H218</f>
        <v>44410</v>
      </c>
      <c r="I218" s="35">
        <f>'13all_company_profile'!I218</f>
        <v>41.603603</v>
      </c>
      <c r="J218" s="35">
        <f>'13all_company_profile'!J218</f>
        <v>1.11</v>
      </c>
      <c r="K218" s="42">
        <f t="shared" si="1"/>
        <v>0.03325010855</v>
      </c>
      <c r="L218" s="35">
        <f>'7company_info'!B218</f>
        <v>46.06</v>
      </c>
      <c r="M218" s="35">
        <f>'7company_info'!C218</f>
        <v>46.42</v>
      </c>
      <c r="N218" s="35">
        <f>'7company_info'!D218</f>
        <v>45.3</v>
      </c>
      <c r="O218" s="35">
        <f>'7company_info'!E218</f>
        <v>0.74</v>
      </c>
      <c r="P218" s="35">
        <f>'7company_info'!F218</f>
        <v>0.0163</v>
      </c>
      <c r="Q218" s="35">
        <f>'7company_info'!G218</f>
        <v>45.56</v>
      </c>
      <c r="R218" s="35">
        <f>'7company_info'!H218</f>
        <v>45.32</v>
      </c>
      <c r="S218" s="35">
        <f>'7company_info'!I218</f>
        <v>33.97</v>
      </c>
      <c r="T218" s="35">
        <f>'7company_info'!J218</f>
        <v>47.36</v>
      </c>
      <c r="U218" s="39">
        <v>45.0933333333333</v>
      </c>
      <c r="V218" s="39">
        <v>45.5366666666666</v>
      </c>
      <c r="W218" s="40">
        <v>45.9333333333333</v>
      </c>
      <c r="X218" s="40">
        <v>46.7733333333333</v>
      </c>
      <c r="Y218" s="40">
        <v>44.6966666666666</v>
      </c>
      <c r="Z218" s="40">
        <v>44.2533333333333</v>
      </c>
      <c r="AA218" s="40">
        <v>43.4133333333333</v>
      </c>
      <c r="AB218" s="40">
        <v>46.38</v>
      </c>
      <c r="AC218" s="40">
        <v>44.32</v>
      </c>
      <c r="AD218" s="40">
        <v>45.0503664534598</v>
      </c>
      <c r="AE218" s="40">
        <v>43.45851</v>
      </c>
      <c r="AF218" s="40">
        <v>0.691745</v>
      </c>
      <c r="AG218" s="40">
        <v>47.3649</v>
      </c>
      <c r="AH218" s="45">
        <v>44363.0</v>
      </c>
      <c r="AI218" s="44" t="str">
        <f>'6image_RS_benchmark_performance'!B218</f>
        <v>https://3arbzfbsh-cname-us.ngrok.io/Desktop/seabridge%20fintech/image_app/EXC_resistance_support.jpg</v>
      </c>
      <c r="AJ218" s="44" t="str">
        <f>'6image_RS_benchmark_performance'!C218</f>
        <v>https://3arbzfbsh-cname-us.ngrok.io/Desktop/seabridge%20fintech/profit_graph_app/EXC_Return.jpg</v>
      </c>
      <c r="AK218" s="46" t="str">
        <f>'5price_action_icon'!B218</f>
        <v>https://3arbzfbsh-cname-us.ngrok.io/Desktop/seabridge%20fintech/icon/EXC_pa_trend_signal</v>
      </c>
      <c r="AL218" s="42">
        <f>'1kpi_performance'!B218</f>
        <v>0.3104925133</v>
      </c>
      <c r="AM218" s="42">
        <f>'1kpi_performance'!C218</f>
        <v>0.3782422461</v>
      </c>
      <c r="AN218" s="42">
        <f>'1kpi_performance'!D218</f>
        <v>0.340109589</v>
      </c>
      <c r="AO218" s="42">
        <f>'1kpi_performance'!E218</f>
        <v>-0.007754619459</v>
      </c>
      <c r="AP218" s="42">
        <f>'1kpi_performance'!F218</f>
        <v>0.1793207661</v>
      </c>
      <c r="AQ218" s="42">
        <f>'1kpi_performance'!G218</f>
        <v>0.1681320646</v>
      </c>
      <c r="AR218" s="42">
        <f>'1kpi_performance'!H218</f>
        <v>0.1620860246</v>
      </c>
      <c r="AS218" s="42">
        <f>'1kpi_performance'!I218</f>
        <v>0.2784578929</v>
      </c>
      <c r="AT218" s="35">
        <f>'1kpi_performance'!J218</f>
        <v>1.592077256</v>
      </c>
      <c r="AU218" s="35">
        <f>'1kpi_performance'!K218</f>
        <v>2.100980839</v>
      </c>
      <c r="AV218" s="35">
        <f>'1kpi_performance'!L218</f>
        <v>1.944088577</v>
      </c>
      <c r="AW218" s="35">
        <f>'1kpi_performance'!M218</f>
        <v>-0.1176286264</v>
      </c>
      <c r="AX218" s="42">
        <f>'1kpi_performance'!N218</f>
        <v>0.145719322</v>
      </c>
      <c r="AY218" s="42">
        <f>'1kpi_performance'!O218</f>
        <v>0.0945083014</v>
      </c>
      <c r="AZ218" s="42">
        <f>'1kpi_performance'!P218</f>
        <v>0.1692039756</v>
      </c>
      <c r="BA218" s="42">
        <f>'1kpi_performance'!Q218</f>
        <v>0.4537652864</v>
      </c>
      <c r="BB218" s="35">
        <f>'1kpi_performance'!R218</f>
        <v>3.128435365</v>
      </c>
      <c r="BC218" s="35">
        <f>'1kpi_performance'!S218</f>
        <v>4.449548267</v>
      </c>
      <c r="BD218" s="35">
        <f>'1kpi_performance'!T218</f>
        <v>4.108659589</v>
      </c>
      <c r="BE218" s="35">
        <f>'1kpi_performance'!U218</f>
        <v>-0.2234525906</v>
      </c>
      <c r="BF218" s="47"/>
      <c r="BG218" s="47"/>
      <c r="BH218" s="47"/>
      <c r="BI218" s="47"/>
      <c r="BJ218" s="47"/>
      <c r="BK218" s="47"/>
      <c r="BL218" s="47"/>
      <c r="BM218" s="47"/>
      <c r="BN218" s="47"/>
      <c r="BO218" s="47"/>
      <c r="BP218" s="47"/>
      <c r="BQ218" s="47"/>
      <c r="BR218" s="47"/>
      <c r="BS218" s="47"/>
      <c r="BT218" s="47"/>
    </row>
    <row r="219" ht="11.25" customHeight="1">
      <c r="A219" s="35" t="str">
        <f>'13all_company_profile'!A219</f>
        <v>EXPD</v>
      </c>
      <c r="B219" s="35" t="str">
        <f>'13all_company_profile'!B219</f>
        <v>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v>
      </c>
      <c r="C219" s="44" t="str">
        <f>'13all_company_profile'!C219</f>
        <v>https://financialmodelingprep.com/image-stock/EXPD.png</v>
      </c>
      <c r="D219" s="35" t="str">
        <f>'13all_company_profile'!D219</f>
        <v>Expeditors International of Washington, Inc.</v>
      </c>
      <c r="E219" s="36">
        <f>'13all_company_profile'!E219</f>
        <v>21521143808</v>
      </c>
      <c r="F219" s="37">
        <f>'13all_company_profile'!F219</f>
        <v>1214403</v>
      </c>
      <c r="G219" s="35">
        <f>'13all_company_profile'!G219</f>
        <v>1.1</v>
      </c>
      <c r="H219" s="38">
        <f>'13all_company_profile'!H219</f>
        <v>44411</v>
      </c>
      <c r="I219" s="35">
        <f>'13all_company_profile'!I219</f>
        <v>25.24538</v>
      </c>
      <c r="J219" s="35">
        <f>'13all_company_profile'!J219</f>
        <v>5.033</v>
      </c>
      <c r="K219" s="42">
        <f t="shared" si="1"/>
        <v>0.008552324677</v>
      </c>
      <c r="L219" s="35">
        <f>'7company_info'!B219</f>
        <v>128.62</v>
      </c>
      <c r="M219" s="35">
        <f>'7company_info'!C219</f>
        <v>129.1</v>
      </c>
      <c r="N219" s="35">
        <f>'7company_info'!D219</f>
        <v>126.64</v>
      </c>
      <c r="O219" s="35">
        <f>'7company_info'!E219</f>
        <v>1.94</v>
      </c>
      <c r="P219" s="35">
        <f>'7company_info'!F219</f>
        <v>0.0153</v>
      </c>
      <c r="Q219" s="35">
        <f>'7company_info'!G219</f>
        <v>126.73</v>
      </c>
      <c r="R219" s="35">
        <f>'7company_info'!H219</f>
        <v>126.68</v>
      </c>
      <c r="S219" s="35">
        <f>'7company_info'!I219</f>
        <v>78.93</v>
      </c>
      <c r="T219" s="35">
        <f>'7company_info'!J219</f>
        <v>129.26</v>
      </c>
      <c r="U219" s="39">
        <v>128.236666666666</v>
      </c>
      <c r="V219" s="39">
        <v>128.813333333333</v>
      </c>
      <c r="W219" s="40">
        <v>129.506666666666</v>
      </c>
      <c r="X219" s="40">
        <v>130.776666666666</v>
      </c>
      <c r="Y219" s="40">
        <v>127.543333333333</v>
      </c>
      <c r="Z219" s="40">
        <v>126.966666666666</v>
      </c>
      <c r="AA219" s="40">
        <v>125.696666666666</v>
      </c>
      <c r="AB219" s="40">
        <v>126.22</v>
      </c>
      <c r="AC219" s="40">
        <v>129.26</v>
      </c>
      <c r="AD219" s="40">
        <v>126.318097842067</v>
      </c>
      <c r="AE219" s="40">
        <v>123.41688</v>
      </c>
      <c r="AF219" s="40">
        <v>1.98405999999999</v>
      </c>
      <c r="AG219" s="40">
        <v>129.26</v>
      </c>
      <c r="AH219" s="45">
        <v>44384.0</v>
      </c>
      <c r="AI219" s="44" t="str">
        <f>'6image_RS_benchmark_performance'!B219</f>
        <v>https://3arbzfbsh-cname-us.ngrok.io/Desktop/seabridge%20fintech/image_app/EXPD_resistance_support.jpg</v>
      </c>
      <c r="AJ219" s="44" t="str">
        <f>'6image_RS_benchmark_performance'!C219</f>
        <v>https://3arbzfbsh-cname-us.ngrok.io/Desktop/seabridge%20fintech/profit_graph_app/EXPD_Return.jpg</v>
      </c>
      <c r="AK219" s="46" t="str">
        <f>'5price_action_icon'!B219</f>
        <v>https://3arbzfbsh-cname-us.ngrok.io/Desktop/seabridge%20fintech/icon/EXPD_pa_trend_signal</v>
      </c>
      <c r="AL219" s="42">
        <f>'1kpi_performance'!B219</f>
        <v>0.516020415</v>
      </c>
      <c r="AM219" s="42">
        <f>'1kpi_performance'!C219</f>
        <v>0.6047839356</v>
      </c>
      <c r="AN219" s="42">
        <f>'1kpi_performance'!D219</f>
        <v>0.6907573542</v>
      </c>
      <c r="AO219" s="42">
        <f>'1kpi_performance'!E219</f>
        <v>0.1739957866</v>
      </c>
      <c r="AP219" s="42">
        <f>'1kpi_performance'!F219</f>
        <v>0.1888446207</v>
      </c>
      <c r="AQ219" s="42">
        <f>'1kpi_performance'!G219</f>
        <v>0.1925962689</v>
      </c>
      <c r="AR219" s="42">
        <f>'1kpi_performance'!H219</f>
        <v>0.2023628947</v>
      </c>
      <c r="AS219" s="42">
        <f>'1kpi_performance'!I219</f>
        <v>0.2874436209</v>
      </c>
      <c r="AT219" s="35">
        <f>'1kpi_performance'!J219</f>
        <v>2.600129213</v>
      </c>
      <c r="AU219" s="35">
        <f>'1kpi_performance'!K219</f>
        <v>3.010359125</v>
      </c>
      <c r="AV219" s="35">
        <f>'1kpi_performance'!L219</f>
        <v>3.289918121</v>
      </c>
      <c r="AW219" s="35">
        <f>'1kpi_performance'!M219</f>
        <v>0.5183478629</v>
      </c>
      <c r="AX219" s="42">
        <f>'1kpi_performance'!N219</f>
        <v>0.1138862648</v>
      </c>
      <c r="AY219" s="42">
        <f>'1kpi_performance'!O219</f>
        <v>0.1050799497</v>
      </c>
      <c r="AZ219" s="42">
        <f>'1kpi_performance'!P219</f>
        <v>0.2487351292</v>
      </c>
      <c r="BA219" s="42">
        <f>'1kpi_performance'!Q219</f>
        <v>0.3967696629</v>
      </c>
      <c r="BB219" s="35">
        <f>'1kpi_performance'!R219</f>
        <v>5.439932769</v>
      </c>
      <c r="BC219" s="35">
        <f>'1kpi_performance'!S219</f>
        <v>7.117024236</v>
      </c>
      <c r="BD219" s="35">
        <f>'1kpi_performance'!T219</f>
        <v>7.183827724</v>
      </c>
      <c r="BE219" s="35">
        <f>'1kpi_performance'!U219</f>
        <v>1.011478118</v>
      </c>
      <c r="BF219" s="47"/>
      <c r="BG219" s="47"/>
      <c r="BH219" s="47"/>
      <c r="BI219" s="47"/>
      <c r="BJ219" s="47"/>
      <c r="BK219" s="47"/>
      <c r="BL219" s="47"/>
      <c r="BM219" s="47"/>
      <c r="BN219" s="47"/>
      <c r="BO219" s="47"/>
      <c r="BP219" s="47"/>
      <c r="BQ219" s="47"/>
      <c r="BR219" s="47"/>
      <c r="BS219" s="47"/>
      <c r="BT219" s="47"/>
    </row>
    <row r="220" ht="11.25" customHeight="1">
      <c r="A220" s="35" t="str">
        <f>'13all_company_profile'!A220</f>
        <v>EXPE</v>
      </c>
      <c r="B220" s="35" t="str">
        <f>'13all_company_profile'!B220</f>
        <v>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v>
      </c>
      <c r="C220" s="44" t="str">
        <f>'13all_company_profile'!C220</f>
        <v>https://financialmodelingprep.com/image-stock/EXPE.png</v>
      </c>
      <c r="D220" s="35" t="str">
        <f>'13all_company_profile'!D220</f>
        <v>Expedia Group, Inc.</v>
      </c>
      <c r="E220" s="36">
        <f>'13all_company_profile'!E220</f>
        <v>23411011584</v>
      </c>
      <c r="F220" s="37">
        <f>'13all_company_profile'!F220</f>
        <v>2272561</v>
      </c>
      <c r="G220" s="35">
        <f>'13all_company_profile'!G220</f>
        <v>0.34</v>
      </c>
      <c r="H220" s="38">
        <f>'13all_company_profile'!H220</f>
        <v>44405</v>
      </c>
      <c r="I220" s="35" t="str">
        <f>'13all_company_profile'!I220</f>
        <v>NaN</v>
      </c>
      <c r="J220" s="35">
        <f>'13all_company_profile'!J220</f>
        <v>-13.979</v>
      </c>
      <c r="K220" s="42">
        <f t="shared" si="1"/>
        <v>0.00217781194</v>
      </c>
      <c r="L220" s="35">
        <f>'7company_info'!B220</f>
        <v>156.12</v>
      </c>
      <c r="M220" s="35">
        <f>'7company_info'!C220</f>
        <v>157.61</v>
      </c>
      <c r="N220" s="35">
        <f>'7company_info'!D220</f>
        <v>150.1</v>
      </c>
      <c r="O220" s="35">
        <f>'7company_info'!E220</f>
        <v>4.48</v>
      </c>
      <c r="P220" s="35">
        <f>'7company_info'!F220</f>
        <v>0.0295</v>
      </c>
      <c r="Q220" s="35">
        <f>'7company_info'!G220</f>
        <v>152.62</v>
      </c>
      <c r="R220" s="35">
        <f>'7company_info'!H220</f>
        <v>151.64</v>
      </c>
      <c r="S220" s="35">
        <f>'7company_info'!I220</f>
        <v>76.75</v>
      </c>
      <c r="T220" s="35">
        <f>'7company_info'!J220</f>
        <v>187.93</v>
      </c>
      <c r="U220" s="39">
        <v>162.853333333333</v>
      </c>
      <c r="V220" s="39">
        <v>165.376666666666</v>
      </c>
      <c r="W220" s="40">
        <v>169.763333333333</v>
      </c>
      <c r="X220" s="40">
        <v>176.673333333333</v>
      </c>
      <c r="Y220" s="40">
        <v>158.466666666666</v>
      </c>
      <c r="Z220" s="40">
        <v>155.943333333333</v>
      </c>
      <c r="AA220" s="40">
        <v>149.033333333333</v>
      </c>
      <c r="AB220" s="40">
        <v>161.63</v>
      </c>
      <c r="AC220" s="40">
        <v>168.49</v>
      </c>
      <c r="AD220" s="40">
        <v>165.916028052521</v>
      </c>
      <c r="AE220" s="40">
        <v>152.57845</v>
      </c>
      <c r="AF220" s="40">
        <v>4.923275</v>
      </c>
      <c r="AG220" s="40">
        <v>187.93</v>
      </c>
      <c r="AH220" s="45">
        <v>44273.0</v>
      </c>
      <c r="AI220" s="44" t="str">
        <f>'6image_RS_benchmark_performance'!B220</f>
        <v>https://3arbzfbsh-cname-us.ngrok.io/Desktop/seabridge%20fintech/image_app/EXPE_resistance_support.jpg</v>
      </c>
      <c r="AJ220" s="44" t="str">
        <f>'6image_RS_benchmark_performance'!C220</f>
        <v>https://3arbzfbsh-cname-us.ngrok.io/Desktop/seabridge%20fintech/profit_graph_app/EXPE_Return.jpg</v>
      </c>
      <c r="AK220" s="46" t="str">
        <f>'5price_action_icon'!B220</f>
        <v>https://3arbzfbsh-cname-us.ngrok.io/Desktop/seabridge%20fintech/icon/EXPE_pa_trend_signal</v>
      </c>
      <c r="AL220" s="42">
        <f>'1kpi_performance'!B220</f>
        <v>0.8139578372</v>
      </c>
      <c r="AM220" s="42">
        <f>'1kpi_performance'!C220</f>
        <v>1.076212763</v>
      </c>
      <c r="AN220" s="42">
        <f>'1kpi_performance'!D220</f>
        <v>1.143114507</v>
      </c>
      <c r="AO220" s="42">
        <f>'1kpi_performance'!E220</f>
        <v>0.2896436904</v>
      </c>
      <c r="AP220" s="42">
        <f>'1kpi_performance'!F220</f>
        <v>0.3275528008</v>
      </c>
      <c r="AQ220" s="42">
        <f>'1kpi_performance'!G220</f>
        <v>0.3457484103</v>
      </c>
      <c r="AR220" s="42">
        <f>'1kpi_performance'!H220</f>
        <v>0.3493932475</v>
      </c>
      <c r="AS220" s="42">
        <f>'1kpi_performance'!I220</f>
        <v>0.4824451346</v>
      </c>
      <c r="AT220" s="35">
        <f>'1kpi_performance'!J220</f>
        <v>2.408643234</v>
      </c>
      <c r="AU220" s="35">
        <f>'1kpi_performance'!K220</f>
        <v>3.040397965</v>
      </c>
      <c r="AV220" s="35">
        <f>'1kpi_performance'!L220</f>
        <v>3.200160606</v>
      </c>
      <c r="AW220" s="35">
        <f>'1kpi_performance'!M220</f>
        <v>0.548546708</v>
      </c>
      <c r="AX220" s="42">
        <f>'1kpi_performance'!N220</f>
        <v>0.3356862415</v>
      </c>
      <c r="AY220" s="42">
        <f>'1kpi_performance'!O220</f>
        <v>0.2736378813</v>
      </c>
      <c r="AZ220" s="42">
        <f>'1kpi_performance'!P220</f>
        <v>0.2736378813</v>
      </c>
      <c r="BA220" s="42">
        <f>'1kpi_performance'!Q220</f>
        <v>0.7137931034</v>
      </c>
      <c r="BB220" s="35">
        <f>'1kpi_performance'!R220</f>
        <v>5.935256559</v>
      </c>
      <c r="BC220" s="35">
        <f>'1kpi_performance'!S220</f>
        <v>8.295425605</v>
      </c>
      <c r="BD220" s="35">
        <f>'1kpi_performance'!T220</f>
        <v>7.641199681</v>
      </c>
      <c r="BE220" s="35">
        <f>'1kpi_performance'!U220</f>
        <v>1.065203455</v>
      </c>
      <c r="BF220" s="47"/>
      <c r="BG220" s="47"/>
      <c r="BH220" s="47"/>
      <c r="BI220" s="47"/>
      <c r="BJ220" s="47"/>
      <c r="BK220" s="47"/>
      <c r="BL220" s="47"/>
      <c r="BM220" s="47"/>
      <c r="BN220" s="47"/>
      <c r="BO220" s="47"/>
      <c r="BP220" s="47"/>
      <c r="BQ220" s="47"/>
      <c r="BR220" s="47"/>
      <c r="BS220" s="47"/>
      <c r="BT220" s="47"/>
    </row>
    <row r="221" ht="11.25" customHeight="1">
      <c r="A221" s="35" t="str">
        <f>'13all_company_profile'!A221</f>
        <v>EXR</v>
      </c>
      <c r="B221" s="35" t="str">
        <f>'13all_company_profile'!B221</f>
        <v>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v>
      </c>
      <c r="C221" s="44" t="str">
        <f>'13all_company_profile'!C221</f>
        <v>https://financialmodelingprep.com/image-stock/EXR.png</v>
      </c>
      <c r="D221" s="35" t="str">
        <f>'13all_company_profile'!D221</f>
        <v>Extra Space Storage Inc.</v>
      </c>
      <c r="E221" s="36">
        <f>'13all_company_profile'!E221</f>
        <v>23132268544</v>
      </c>
      <c r="F221" s="37">
        <f>'13all_company_profile'!F221</f>
        <v>706141</v>
      </c>
      <c r="G221" s="35">
        <f>'13all_company_profile'!G221</f>
        <v>3.8</v>
      </c>
      <c r="H221" s="38">
        <f>'13all_company_profile'!H221</f>
        <v>44404</v>
      </c>
      <c r="I221" s="35">
        <f>'13all_company_profile'!I221</f>
        <v>39.013798</v>
      </c>
      <c r="J221" s="35">
        <f>'13all_company_profile'!J221</f>
        <v>4.421</v>
      </c>
      <c r="K221" s="42">
        <f t="shared" si="1"/>
        <v>0.02226779959</v>
      </c>
      <c r="L221" s="35">
        <f>'7company_info'!B221</f>
        <v>170.65</v>
      </c>
      <c r="M221" s="35">
        <f>'7company_info'!C221</f>
        <v>171.74</v>
      </c>
      <c r="N221" s="35">
        <f>'7company_info'!D221</f>
        <v>169.36</v>
      </c>
      <c r="O221" s="35">
        <f>'7company_info'!E221</f>
        <v>2.17</v>
      </c>
      <c r="P221" s="35">
        <f>'7company_info'!F221</f>
        <v>0.0129</v>
      </c>
      <c r="Q221" s="35">
        <f>'7company_info'!G221</f>
        <v>169.36</v>
      </c>
      <c r="R221" s="35">
        <f>'7company_info'!H221</f>
        <v>168.48</v>
      </c>
      <c r="S221" s="35">
        <f>'7company_info'!I221</f>
        <v>94.1</v>
      </c>
      <c r="T221" s="35">
        <f>'7company_info'!J221</f>
        <v>174.89</v>
      </c>
      <c r="U221" s="39">
        <v>172.6</v>
      </c>
      <c r="V221" s="39">
        <v>173.399999999999</v>
      </c>
      <c r="W221" s="40">
        <v>174.439999999999</v>
      </c>
      <c r="X221" s="40">
        <v>176.279999999999</v>
      </c>
      <c r="Y221" s="40">
        <v>171.56</v>
      </c>
      <c r="Z221" s="40">
        <v>170.76</v>
      </c>
      <c r="AA221" s="40">
        <v>168.92</v>
      </c>
      <c r="AB221" s="40">
        <v>169.12</v>
      </c>
      <c r="AC221" s="40">
        <v>174.89</v>
      </c>
      <c r="AD221" s="40">
        <v>166.483987841212</v>
      </c>
      <c r="AE221" s="40">
        <v>165.38714</v>
      </c>
      <c r="AF221" s="40">
        <v>3.12242999999999</v>
      </c>
      <c r="AG221" s="40">
        <v>170.04</v>
      </c>
      <c r="AH221" s="45">
        <v>44372.0</v>
      </c>
      <c r="AI221" s="44" t="str">
        <f>'6image_RS_benchmark_performance'!B221</f>
        <v>https://3arbzfbsh-cname-us.ngrok.io/Desktop/seabridge%20fintech/image_app/EXR_resistance_support.jpg</v>
      </c>
      <c r="AJ221" s="44" t="str">
        <f>'6image_RS_benchmark_performance'!C221</f>
        <v>https://3arbzfbsh-cname-us.ngrok.io/Desktop/seabridge%20fintech/profit_graph_app/EXR_Return.jpg</v>
      </c>
      <c r="AK221" s="46" t="str">
        <f>'5price_action_icon'!B221</f>
        <v>https://3arbzfbsh-cname-us.ngrok.io/Desktop/seabridge%20fintech/icon/EXR_pa_trend_signal</v>
      </c>
      <c r="AL221" s="42">
        <f>'1kpi_performance'!B221</f>
        <v>0.584088566</v>
      </c>
      <c r="AM221" s="42">
        <f>'1kpi_performance'!C221</f>
        <v>0.7206162556</v>
      </c>
      <c r="AN221" s="42">
        <f>'1kpi_performance'!D221</f>
        <v>0.6777301257</v>
      </c>
      <c r="AO221" s="42">
        <f>'1kpi_performance'!E221</f>
        <v>0.4003218626</v>
      </c>
      <c r="AP221" s="42">
        <f>'1kpi_performance'!F221</f>
        <v>0.1907492929</v>
      </c>
      <c r="AQ221" s="42">
        <f>'1kpi_performance'!G221</f>
        <v>0.2048663591</v>
      </c>
      <c r="AR221" s="42">
        <f>'1kpi_performance'!H221</f>
        <v>0.2084749062</v>
      </c>
      <c r="AS221" s="42">
        <f>'1kpi_performance'!I221</f>
        <v>0.2979838109</v>
      </c>
      <c r="AT221" s="35">
        <f>'1kpi_performance'!J221</f>
        <v>2.931012521</v>
      </c>
      <c r="AU221" s="35">
        <f>'1kpi_performance'!K221</f>
        <v>3.395463554</v>
      </c>
      <c r="AV221" s="35">
        <f>'1kpi_performance'!L221</f>
        <v>3.130976949</v>
      </c>
      <c r="AW221" s="35">
        <f>'1kpi_performance'!M221</f>
        <v>1.259537763</v>
      </c>
      <c r="AX221" s="42">
        <f>'1kpi_performance'!N221</f>
        <v>0.2033599734</v>
      </c>
      <c r="AY221" s="42">
        <f>'1kpi_performance'!O221</f>
        <v>0.1126127025</v>
      </c>
      <c r="AZ221" s="42">
        <f>'1kpi_performance'!P221</f>
        <v>0.3251628075</v>
      </c>
      <c r="BA221" s="42">
        <f>'1kpi_performance'!Q221</f>
        <v>0.3959682642</v>
      </c>
      <c r="BB221" s="35">
        <f>'1kpi_performance'!R221</f>
        <v>6.010809787</v>
      </c>
      <c r="BC221" s="35">
        <f>'1kpi_performance'!S221</f>
        <v>7.394471454</v>
      </c>
      <c r="BD221" s="35">
        <f>'1kpi_performance'!T221</f>
        <v>6.085118705</v>
      </c>
      <c r="BE221" s="35">
        <f>'1kpi_performance'!U221</f>
        <v>2.445126188</v>
      </c>
      <c r="BF221" s="47"/>
      <c r="BG221" s="47"/>
      <c r="BH221" s="47"/>
      <c r="BI221" s="47"/>
      <c r="BJ221" s="47"/>
      <c r="BK221" s="47"/>
      <c r="BL221" s="47"/>
      <c r="BM221" s="47"/>
      <c r="BN221" s="47"/>
      <c r="BO221" s="47"/>
      <c r="BP221" s="47"/>
      <c r="BQ221" s="47"/>
      <c r="BR221" s="47"/>
      <c r="BS221" s="47"/>
      <c r="BT221" s="47"/>
    </row>
    <row r="222" ht="11.25" customHeight="1">
      <c r="A222" s="35" t="str">
        <f>'13all_company_profile'!A222</f>
        <v>EZU</v>
      </c>
      <c r="B222" s="35" t="str">
        <f>'13all_company_profile'!B222</f>
        <v>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v>
      </c>
      <c r="C222" s="44" t="str">
        <f>'13all_company_profile'!C222</f>
        <v>https://financialmodelingprep.com/image-stock/EZU.jpg</v>
      </c>
      <c r="D222" s="35" t="str">
        <f>'13all_company_profile'!D222</f>
        <v>iShares MSCI Eurozone ETF</v>
      </c>
      <c r="E222" s="36">
        <f>'13all_company_profile'!E222</f>
        <v>7500369408</v>
      </c>
      <c r="F222" s="37">
        <f>'13all_company_profile'!F222</f>
        <v>4119111</v>
      </c>
      <c r="G222" s="35">
        <f>'13all_company_profile'!G222</f>
        <v>0.623</v>
      </c>
      <c r="H222" s="38" t="str">
        <f>'13all_company_profile'!H222</f>
        <v>not avaiable</v>
      </c>
      <c r="I222" s="35">
        <f>'13all_company_profile'!I222</f>
        <v>7.471167</v>
      </c>
      <c r="J222" s="35">
        <f>'13all_company_profile'!J222</f>
        <v>6.503</v>
      </c>
      <c r="K222" s="42">
        <f t="shared" si="1"/>
        <v>0.01297646324</v>
      </c>
      <c r="L222" s="35">
        <f>'7company_info'!B222</f>
        <v>48.01</v>
      </c>
      <c r="M222" s="35">
        <f>'7company_info'!C222</f>
        <v>48.11</v>
      </c>
      <c r="N222" s="35">
        <f>'7company_info'!D222</f>
        <v>47.35</v>
      </c>
      <c r="O222" s="35">
        <f>'7company_info'!E222</f>
        <v>0.47</v>
      </c>
      <c r="P222" s="35">
        <f>'7company_info'!F222</f>
        <v>0.0099</v>
      </c>
      <c r="Q222" s="35">
        <f>'7company_info'!G222</f>
        <v>47.45</v>
      </c>
      <c r="R222" s="35">
        <f>'7company_info'!H222</f>
        <v>47.54</v>
      </c>
      <c r="S222" s="35">
        <f>'7company_info'!I222</f>
        <v>35.54</v>
      </c>
      <c r="T222" s="35">
        <f>'7company_info'!J222</f>
        <v>51.48</v>
      </c>
      <c r="U222" s="39">
        <v>49.545</v>
      </c>
      <c r="V222" s="39">
        <v>49.6449999999999</v>
      </c>
      <c r="W222" s="40">
        <v>49.73</v>
      </c>
      <c r="X222" s="40">
        <v>49.915</v>
      </c>
      <c r="Y222" s="40">
        <v>49.4599999999999</v>
      </c>
      <c r="Z222" s="40">
        <v>49.3599999999999</v>
      </c>
      <c r="AA222" s="40">
        <v>49.1749999999999</v>
      </c>
      <c r="AB222" s="40">
        <v>49.42</v>
      </c>
      <c r="AC222" s="40">
        <v>49.63</v>
      </c>
      <c r="AD222" s="40">
        <v>49.695290855021</v>
      </c>
      <c r="AE222" s="40">
        <v>48.26109</v>
      </c>
      <c r="AF222" s="40">
        <v>0.542454999999999</v>
      </c>
      <c r="AG222" s="40">
        <v>51.48</v>
      </c>
      <c r="AH222" s="45">
        <v>44355.0</v>
      </c>
      <c r="AI222" s="44" t="str">
        <f>'6image_RS_benchmark_performance'!B222</f>
        <v>https://3arbzfbsh-cname-us.ngrok.io/Desktop/seabridge%20fintech/image_app/EZU_resistance_support.jpg</v>
      </c>
      <c r="AJ222" s="44" t="str">
        <f>'6image_RS_benchmark_performance'!C222</f>
        <v>https://3arbzfbsh-cname-us.ngrok.io/Desktop/seabridge%20fintech/profit_graph_app/EZU_Return.jpg</v>
      </c>
      <c r="AK222" s="46" t="str">
        <f>'5price_action_icon'!B222</f>
        <v>https://3arbzfbsh-cname-us.ngrok.io/Desktop/seabridge%20fintech/icon/EZU_pa_trend_signal</v>
      </c>
      <c r="AL222" s="42">
        <f>'1kpi_performance'!B222</f>
        <v>0.3095586819</v>
      </c>
      <c r="AM222" s="42">
        <f>'1kpi_performance'!C222</f>
        <v>0.6055950713</v>
      </c>
      <c r="AN222" s="42">
        <f>'1kpi_performance'!D222</f>
        <v>0.4205106366</v>
      </c>
      <c r="AO222" s="42">
        <f>'1kpi_performance'!E222</f>
        <v>0.04056564083</v>
      </c>
      <c r="AP222" s="42">
        <f>'1kpi_performance'!F222</f>
        <v>0.1819754224</v>
      </c>
      <c r="AQ222" s="42">
        <f>'1kpi_performance'!G222</f>
        <v>0.181707446</v>
      </c>
      <c r="AR222" s="42">
        <f>'1kpi_performance'!H222</f>
        <v>0.1786340205</v>
      </c>
      <c r="AS222" s="42">
        <f>'1kpi_performance'!I222</f>
        <v>0.2844652066</v>
      </c>
      <c r="AT222" s="35">
        <f>'1kpi_performance'!J222</f>
        <v>1.563720409</v>
      </c>
      <c r="AU222" s="35">
        <f>'1kpi_performance'!K222</f>
        <v>3.19521893</v>
      </c>
      <c r="AV222" s="35">
        <f>'1kpi_performance'!L222</f>
        <v>2.214083497</v>
      </c>
      <c r="AW222" s="35">
        <f>'1kpi_performance'!M222</f>
        <v>0.05471896201</v>
      </c>
      <c r="AX222" s="42">
        <f>'1kpi_performance'!N222</f>
        <v>0.2408043755</v>
      </c>
      <c r="AY222" s="42">
        <f>'1kpi_performance'!O222</f>
        <v>0.1003908211</v>
      </c>
      <c r="AZ222" s="42">
        <f>'1kpi_performance'!P222</f>
        <v>0.1741123936</v>
      </c>
      <c r="BA222" s="42">
        <f>'1kpi_performance'!Q222</f>
        <v>0.4478879219</v>
      </c>
      <c r="BB222" s="35">
        <f>'1kpi_performance'!R222</f>
        <v>3.018509205</v>
      </c>
      <c r="BC222" s="35">
        <f>'1kpi_performance'!S222</f>
        <v>7.134696881</v>
      </c>
      <c r="BD222" s="35">
        <f>'1kpi_performance'!T222</f>
        <v>4.386037821</v>
      </c>
      <c r="BE222" s="35">
        <f>'1kpi_performance'!U222</f>
        <v>0.09909658885</v>
      </c>
      <c r="BF222" s="47"/>
      <c r="BG222" s="47"/>
      <c r="BH222" s="47"/>
      <c r="BI222" s="47"/>
      <c r="BJ222" s="47"/>
      <c r="BK222" s="47"/>
      <c r="BL222" s="47"/>
      <c r="BM222" s="47"/>
      <c r="BN222" s="47"/>
      <c r="BO222" s="47"/>
      <c r="BP222" s="47"/>
      <c r="BQ222" s="47"/>
      <c r="BR222" s="47"/>
      <c r="BS222" s="47"/>
      <c r="BT222" s="47"/>
    </row>
    <row r="223" ht="11.25" customHeight="1">
      <c r="A223" s="35" t="str">
        <f>'13all_company_profile'!A223</f>
        <v>F</v>
      </c>
      <c r="B223" s="35" t="str">
        <f>'13all_company_profile'!B223</f>
        <v>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v>
      </c>
      <c r="C223" s="44" t="str">
        <f>'13all_company_profile'!C223</f>
        <v>https://financialmodelingprep.com/image-stock/F.png</v>
      </c>
      <c r="D223" s="35" t="str">
        <f>'13all_company_profile'!D223</f>
        <v>Ford Motor Company</v>
      </c>
      <c r="E223" s="36">
        <f>'13all_company_profile'!E223</f>
        <v>55922876416</v>
      </c>
      <c r="F223" s="37">
        <f>'13all_company_profile'!F223</f>
        <v>82737903</v>
      </c>
      <c r="G223" s="35">
        <f>'13all_company_profile'!G223</f>
        <v>0.15</v>
      </c>
      <c r="H223" s="38">
        <f>'13all_company_profile'!H223</f>
        <v>44405</v>
      </c>
      <c r="I223" s="35">
        <f>'13all_company_profile'!I223</f>
        <v>13.687122</v>
      </c>
      <c r="J223" s="35">
        <f>'13all_company_profile'!J223</f>
        <v>0.994</v>
      </c>
      <c r="K223" s="42">
        <f t="shared" si="1"/>
        <v>0.01078360891</v>
      </c>
      <c r="L223" s="35">
        <f>'7company_info'!B223</f>
        <v>13.91</v>
      </c>
      <c r="M223" s="35">
        <f>'7company_info'!C223</f>
        <v>13.96</v>
      </c>
      <c r="N223" s="35">
        <f>'7company_info'!D223</f>
        <v>13.28</v>
      </c>
      <c r="O223" s="35">
        <f>'7company_info'!E223</f>
        <v>0.63</v>
      </c>
      <c r="P223" s="35">
        <f>'7company_info'!F223</f>
        <v>0.0474</v>
      </c>
      <c r="Q223" s="35">
        <f>'7company_info'!G223</f>
        <v>13.37</v>
      </c>
      <c r="R223" s="35">
        <f>'7company_info'!H223</f>
        <v>13.28</v>
      </c>
      <c r="S223" s="35">
        <f>'7company_info'!I223</f>
        <v>6.41</v>
      </c>
      <c r="T223" s="35">
        <f>'7company_info'!J223</f>
        <v>16.45</v>
      </c>
      <c r="U223" s="39">
        <v>14.36</v>
      </c>
      <c r="V223" s="39">
        <v>14.52</v>
      </c>
      <c r="W223" s="40">
        <v>14.79</v>
      </c>
      <c r="X223" s="40">
        <v>15.22</v>
      </c>
      <c r="Y223" s="40">
        <v>14.0899999999999</v>
      </c>
      <c r="Z223" s="40">
        <v>13.9299999999999</v>
      </c>
      <c r="AA223" s="40">
        <v>13.4999999999999</v>
      </c>
      <c r="AB223" s="40">
        <v>13.735</v>
      </c>
      <c r="AC223" s="40">
        <v>14.23</v>
      </c>
      <c r="AD223" s="40">
        <v>14.5968612832617</v>
      </c>
      <c r="AE223" s="40">
        <v>13.5965</v>
      </c>
      <c r="AF223" s="40">
        <v>0.413249999999999</v>
      </c>
      <c r="AG223" s="40">
        <v>16.455</v>
      </c>
      <c r="AH223" s="45">
        <v>44351.0</v>
      </c>
      <c r="AI223" s="44" t="str">
        <f>'6image_RS_benchmark_performance'!B223</f>
        <v>https://3arbzfbsh-cname-us.ngrok.io/Desktop/seabridge%20fintech/image_app/F_resistance_support.jpg</v>
      </c>
      <c r="AJ223" s="44" t="str">
        <f>'6image_RS_benchmark_performance'!C223</f>
        <v>https://3arbzfbsh-cname-us.ngrok.io/Desktop/seabridge%20fintech/profit_graph_app/F_Return.jpg</v>
      </c>
      <c r="AK223" s="46" t="str">
        <f>'5price_action_icon'!B223</f>
        <v>https://3arbzfbsh-cname-us.ngrok.io/Desktop/seabridge%20fintech/icon/F_pa_trend_signal</v>
      </c>
      <c r="AL223" s="42">
        <f>'1kpi_performance'!B223</f>
        <v>0.6165604418</v>
      </c>
      <c r="AM223" s="42">
        <f>'1kpi_performance'!C223</f>
        <v>0.7335975149</v>
      </c>
      <c r="AN223" s="42">
        <f>'1kpi_performance'!D223</f>
        <v>0.5643880947</v>
      </c>
      <c r="AO223" s="42">
        <f>'1kpi_performance'!E223</f>
        <v>0.03213879218</v>
      </c>
      <c r="AP223" s="42">
        <f>'1kpi_performance'!F223</f>
        <v>0.2814617418</v>
      </c>
      <c r="AQ223" s="42">
        <f>'1kpi_performance'!G223</f>
        <v>0.2528934502</v>
      </c>
      <c r="AR223" s="42">
        <f>'1kpi_performance'!H223</f>
        <v>0.2876067805</v>
      </c>
      <c r="AS223" s="42">
        <f>'1kpi_performance'!I223</f>
        <v>0.3833004171</v>
      </c>
      <c r="AT223" s="35">
        <f>'1kpi_performance'!J223</f>
        <v>2.101743697</v>
      </c>
      <c r="AU223" s="35">
        <f>'1kpi_performance'!K223</f>
        <v>2.801960724</v>
      </c>
      <c r="AV223" s="35">
        <f>'1kpi_performance'!L223</f>
        <v>1.875435947</v>
      </c>
      <c r="AW223" s="35">
        <f>'1kpi_performance'!M223</f>
        <v>0.0186245354</v>
      </c>
      <c r="AX223" s="42">
        <f>'1kpi_performance'!N223</f>
        <v>0.2133580705</v>
      </c>
      <c r="AY223" s="42">
        <f>'1kpi_performance'!O223</f>
        <v>0.2329068262</v>
      </c>
      <c r="AZ223" s="42">
        <f>'1kpi_performance'!P223</f>
        <v>0.5631808279</v>
      </c>
      <c r="BA223" s="42">
        <f>'1kpi_performance'!Q223</f>
        <v>0.7841800186</v>
      </c>
      <c r="BB223" s="35">
        <f>'1kpi_performance'!R223</f>
        <v>4.595052019</v>
      </c>
      <c r="BC223" s="35">
        <f>'1kpi_performance'!S223</f>
        <v>6.419048927</v>
      </c>
      <c r="BD223" s="35">
        <f>'1kpi_performance'!T223</f>
        <v>3.838177579</v>
      </c>
      <c r="BE223" s="35">
        <f>'1kpi_performance'!U223</f>
        <v>0.03678866921</v>
      </c>
      <c r="BF223" s="47"/>
      <c r="BG223" s="47"/>
      <c r="BH223" s="47"/>
      <c r="BI223" s="47"/>
      <c r="BJ223" s="47"/>
      <c r="BK223" s="47"/>
      <c r="BL223" s="47"/>
      <c r="BM223" s="47"/>
      <c r="BN223" s="47"/>
      <c r="BO223" s="47"/>
      <c r="BP223" s="47"/>
      <c r="BQ223" s="47"/>
      <c r="BR223" s="47"/>
      <c r="BS223" s="47"/>
      <c r="BT223" s="47"/>
    </row>
    <row r="224" ht="11.25" customHeight="1">
      <c r="A224" s="35" t="str">
        <f>'13all_company_profile'!A224</f>
        <v>FANG</v>
      </c>
      <c r="B224" s="35" t="str">
        <f>'13all_company_profile'!B224</f>
        <v>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v>
      </c>
      <c r="C224" s="44" t="str">
        <f>'13all_company_profile'!C224</f>
        <v>https://financialmodelingprep.com/image-stock/FANG.png</v>
      </c>
      <c r="D224" s="35" t="str">
        <f>'13all_company_profile'!D224</f>
        <v>Diamondback Energy, Inc.</v>
      </c>
      <c r="E224" s="36">
        <f>'13all_company_profile'!E224</f>
        <v>14798944256</v>
      </c>
      <c r="F224" s="37">
        <f>'13all_company_profile'!F224</f>
        <v>2394831</v>
      </c>
      <c r="G224" s="35">
        <f>'13all_company_profile'!G224</f>
        <v>1.55</v>
      </c>
      <c r="H224" s="38">
        <f>'13all_company_profile'!H224</f>
        <v>44410</v>
      </c>
      <c r="I224" s="35" t="str">
        <f>'13all_company_profile'!I224</f>
        <v>NaN</v>
      </c>
      <c r="J224" s="35">
        <f>'13all_company_profile'!J224</f>
        <v>-25.244</v>
      </c>
      <c r="K224" s="42">
        <f t="shared" si="1"/>
        <v>0.02068873465</v>
      </c>
      <c r="L224" s="35">
        <f>'7company_info'!B224</f>
        <v>74.92</v>
      </c>
      <c r="M224" s="35">
        <f>'7company_info'!C224</f>
        <v>76.25</v>
      </c>
      <c r="N224" s="35">
        <f>'7company_info'!D224</f>
        <v>71.88</v>
      </c>
      <c r="O224" s="35">
        <f>'7company_info'!E224</f>
        <v>1.73</v>
      </c>
      <c r="P224" s="35">
        <f>'7company_info'!F224</f>
        <v>0.0236</v>
      </c>
      <c r="Q224" s="35">
        <f>'7company_info'!G224</f>
        <v>72.66</v>
      </c>
      <c r="R224" s="35">
        <f>'7company_info'!H224</f>
        <v>73.19</v>
      </c>
      <c r="S224" s="35">
        <f>'7company_info'!I224</f>
        <v>23.63</v>
      </c>
      <c r="T224" s="35">
        <f>'7company_info'!J224</f>
        <v>102.53</v>
      </c>
      <c r="U224" s="39">
        <v>86.6726666666666</v>
      </c>
      <c r="V224" s="39">
        <v>89.2853333333333</v>
      </c>
      <c r="W224" s="40">
        <v>93.9906666666666</v>
      </c>
      <c r="X224" s="40">
        <v>101.308666666666</v>
      </c>
      <c r="Y224" s="40">
        <v>81.9673333333333</v>
      </c>
      <c r="Z224" s="40">
        <v>79.3546666666666</v>
      </c>
      <c r="AA224" s="40">
        <v>72.0366666666666</v>
      </c>
      <c r="AB224" s="40">
        <v>90.97</v>
      </c>
      <c r="AC224" s="40">
        <v>102.53</v>
      </c>
      <c r="AD224" s="40">
        <v>89.8712152627178</v>
      </c>
      <c r="AE224" s="40">
        <v>81.4205</v>
      </c>
      <c r="AF224" s="40">
        <v>4.44065</v>
      </c>
      <c r="AG224" s="40">
        <v>102.53</v>
      </c>
      <c r="AH224" s="45">
        <v>44378.0</v>
      </c>
      <c r="AI224" s="44" t="str">
        <f>'6image_RS_benchmark_performance'!B224</f>
        <v>https://3arbzfbsh-cname-us.ngrok.io/Desktop/seabridge%20fintech/image_app/FANG_resistance_support.jpg</v>
      </c>
      <c r="AJ224" s="44" t="str">
        <f>'6image_RS_benchmark_performance'!C224</f>
        <v>https://3arbzfbsh-cname-us.ngrok.io/Desktop/seabridge%20fintech/profit_graph_app/FANG_Return.jpg</v>
      </c>
      <c r="AK224" s="46" t="str">
        <f>'5price_action_icon'!B224</f>
        <v>https://3arbzfbsh-cname-us.ngrok.io/Desktop/seabridge%20fintech/icon/FANG_pa_trend_signal</v>
      </c>
      <c r="AL224" s="42">
        <f>'1kpi_performance'!B224</f>
        <v>1.109599628</v>
      </c>
      <c r="AM224" s="42">
        <f>'1kpi_performance'!C224</f>
        <v>1.650463419</v>
      </c>
      <c r="AN224" s="42">
        <f>'1kpi_performance'!D224</f>
        <v>0.618626014</v>
      </c>
      <c r="AO224" s="42">
        <f>'1kpi_performance'!E224</f>
        <v>0.2940910955</v>
      </c>
      <c r="AP224" s="42">
        <f>'1kpi_performance'!F224</f>
        <v>0.424977386</v>
      </c>
      <c r="AQ224" s="42">
        <f>'1kpi_performance'!G224</f>
        <v>0.4289183307</v>
      </c>
      <c r="AR224" s="42">
        <f>'1kpi_performance'!H224</f>
        <v>0.4551363654</v>
      </c>
      <c r="AS224" s="42">
        <f>'1kpi_performance'!I224</f>
        <v>0.6163317526</v>
      </c>
      <c r="AT224" s="35">
        <f>'1kpi_performance'!J224</f>
        <v>2.552134922</v>
      </c>
      <c r="AU224" s="35">
        <f>'1kpi_performance'!K224</f>
        <v>3.789680464</v>
      </c>
      <c r="AV224" s="35">
        <f>'1kpi_performance'!L224</f>
        <v>1.304281659</v>
      </c>
      <c r="AW224" s="35">
        <f>'1kpi_performance'!M224</f>
        <v>0.4366010584</v>
      </c>
      <c r="AX224" s="42">
        <f>'1kpi_performance'!N224</f>
        <v>0.4064168865</v>
      </c>
      <c r="AY224" s="42">
        <f>'1kpi_performance'!O224</f>
        <v>0.2521344717</v>
      </c>
      <c r="AZ224" s="42">
        <f>'1kpi_performance'!P224</f>
        <v>0.8037583554</v>
      </c>
      <c r="BA224" s="42">
        <f>'1kpi_performance'!Q224</f>
        <v>0.8887935963</v>
      </c>
      <c r="BB224" s="35">
        <f>'1kpi_performance'!R224</f>
        <v>5.755303446</v>
      </c>
      <c r="BC224" s="35">
        <f>'1kpi_performance'!S224</f>
        <v>9.351180994</v>
      </c>
      <c r="BD224" s="35">
        <f>'1kpi_performance'!T224</f>
        <v>2.345836267</v>
      </c>
      <c r="BE224" s="35">
        <f>'1kpi_performance'!U224</f>
        <v>0.8420221418</v>
      </c>
      <c r="BF224" s="47"/>
      <c r="BG224" s="47"/>
      <c r="BH224" s="47"/>
      <c r="BI224" s="47"/>
      <c r="BJ224" s="47"/>
      <c r="BK224" s="47"/>
      <c r="BL224" s="47"/>
      <c r="BM224" s="47"/>
      <c r="BN224" s="47"/>
      <c r="BO224" s="47"/>
      <c r="BP224" s="47"/>
      <c r="BQ224" s="47"/>
      <c r="BR224" s="47"/>
      <c r="BS224" s="47"/>
      <c r="BT224" s="47"/>
    </row>
    <row r="225" ht="11.25" customHeight="1">
      <c r="A225" s="35" t="str">
        <f>'13all_company_profile'!A225</f>
        <v>FAST</v>
      </c>
      <c r="B225" s="35" t="str">
        <f>'13all_company_profile'!B225</f>
        <v>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v>
      </c>
      <c r="C225" s="44" t="str">
        <f>'13all_company_profile'!C225</f>
        <v>https://financialmodelingprep.com/image-stock/FAST.png</v>
      </c>
      <c r="D225" s="35" t="str">
        <f>'13all_company_profile'!D225</f>
        <v>Fastenal Company</v>
      </c>
      <c r="E225" s="36">
        <f>'13all_company_profile'!E225</f>
        <v>30763958272</v>
      </c>
      <c r="F225" s="37">
        <f>'13all_company_profile'!F225</f>
        <v>3012314</v>
      </c>
      <c r="G225" s="35">
        <f>'13all_company_profile'!G225</f>
        <v>1.74</v>
      </c>
      <c r="H225" s="38" t="str">
        <f>'13all_company_profile'!H225</f>
        <v>not avaiable</v>
      </c>
      <c r="I225" s="35">
        <f>'13all_company_profile'!I225</f>
        <v>35.78</v>
      </c>
      <c r="J225" s="35">
        <f>'13all_company_profile'!J225</f>
        <v>1.5</v>
      </c>
      <c r="K225" s="42">
        <f t="shared" si="1"/>
        <v>0.03213296399</v>
      </c>
      <c r="L225" s="35">
        <f>'7company_info'!B225</f>
        <v>54.15</v>
      </c>
      <c r="M225" s="35">
        <f>'7company_info'!C225</f>
        <v>54.34</v>
      </c>
      <c r="N225" s="35">
        <f>'7company_info'!D225</f>
        <v>53.35</v>
      </c>
      <c r="O225" s="35">
        <f>'7company_info'!E225</f>
        <v>0.65</v>
      </c>
      <c r="P225" s="35">
        <f>'7company_info'!F225</f>
        <v>0.0121</v>
      </c>
      <c r="Q225" s="35">
        <f>'7company_info'!G225</f>
        <v>53.71</v>
      </c>
      <c r="R225" s="35">
        <f>'7company_info'!H225</f>
        <v>53.5</v>
      </c>
      <c r="S225" s="35">
        <f>'7company_info'!I225</f>
        <v>42.57</v>
      </c>
      <c r="T225" s="35">
        <f>'7company_info'!J225</f>
        <v>54.76</v>
      </c>
      <c r="U225" s="39">
        <v>52.9933333333333</v>
      </c>
      <c r="V225" s="39">
        <v>53.6166666666666</v>
      </c>
      <c r="W225" s="40">
        <v>54.0033333333333</v>
      </c>
      <c r="X225" s="40">
        <v>55.0133333333333</v>
      </c>
      <c r="Y225" s="40">
        <v>52.6066666666666</v>
      </c>
      <c r="Z225" s="40">
        <v>51.9833333333333</v>
      </c>
      <c r="AA225" s="40">
        <v>50.9733333333333</v>
      </c>
      <c r="AB225" s="40">
        <v>51.885</v>
      </c>
      <c r="AC225" s="40">
        <v>53.73</v>
      </c>
      <c r="AD225" s="40">
        <v>52.6504768151443</v>
      </c>
      <c r="AE225" s="40">
        <v>51.1715</v>
      </c>
      <c r="AF225" s="40">
        <v>0.95325</v>
      </c>
      <c r="AG225" s="40">
        <v>54.3203</v>
      </c>
      <c r="AH225" s="45">
        <v>44326.0</v>
      </c>
      <c r="AI225" s="44" t="str">
        <f>'6image_RS_benchmark_performance'!B225</f>
        <v>https://3arbzfbsh-cname-us.ngrok.io/Desktop/seabridge%20fintech/image_app/FAST_resistance_support.jpg</v>
      </c>
      <c r="AJ225" s="44" t="str">
        <f>'6image_RS_benchmark_performance'!C225</f>
        <v>https://3arbzfbsh-cname-us.ngrok.io/Desktop/seabridge%20fintech/profit_graph_app/FAST_Return.jpg</v>
      </c>
      <c r="AK225" s="46" t="str">
        <f>'5price_action_icon'!B225</f>
        <v>https://3arbzfbsh-cname-us.ngrok.io/Desktop/seabridge%20fintech/icon/FAST_pa_trend_signal</v>
      </c>
      <c r="AL225" s="42">
        <f>'1kpi_performance'!B225</f>
        <v>0.5734652166</v>
      </c>
      <c r="AM225" s="42">
        <f>'1kpi_performance'!C225</f>
        <v>0.7234311077</v>
      </c>
      <c r="AN225" s="42">
        <f>'1kpi_performance'!D225</f>
        <v>0.5476632765</v>
      </c>
      <c r="AO225" s="42">
        <f>'1kpi_performance'!E225</f>
        <v>0.2200411336</v>
      </c>
      <c r="AP225" s="42">
        <f>'1kpi_performance'!F225</f>
        <v>0.2255857314</v>
      </c>
      <c r="AQ225" s="42">
        <f>'1kpi_performance'!G225</f>
        <v>0.2184878178</v>
      </c>
      <c r="AR225" s="42">
        <f>'1kpi_performance'!H225</f>
        <v>0.2378956078</v>
      </c>
      <c r="AS225" s="42">
        <f>'1kpi_performance'!I225</f>
        <v>0.3278231871</v>
      </c>
      <c r="AT225" s="35">
        <f>'1kpi_performance'!J225</f>
        <v>2.431293918</v>
      </c>
      <c r="AU225" s="35">
        <f>'1kpi_performance'!K225</f>
        <v>3.196659268</v>
      </c>
      <c r="AV225" s="35">
        <f>'1kpi_performance'!L225</f>
        <v>2.197027853</v>
      </c>
      <c r="AW225" s="35">
        <f>'1kpi_performance'!M225</f>
        <v>0.5949583228</v>
      </c>
      <c r="AX225" s="42">
        <f>'1kpi_performance'!N225</f>
        <v>0.1627684197</v>
      </c>
      <c r="AY225" s="42">
        <f>'1kpi_performance'!O225</f>
        <v>0.08698399308</v>
      </c>
      <c r="AZ225" s="42">
        <f>'1kpi_performance'!P225</f>
        <v>0.1958170704</v>
      </c>
      <c r="BA225" s="42">
        <f>'1kpi_performance'!Q225</f>
        <v>0.3504120248</v>
      </c>
      <c r="BB225" s="35">
        <f>'1kpi_performance'!R225</f>
        <v>5.295373256</v>
      </c>
      <c r="BC225" s="35">
        <f>'1kpi_performance'!S225</f>
        <v>7.71991545</v>
      </c>
      <c r="BD225" s="35">
        <f>'1kpi_performance'!T225</f>
        <v>4.687450568</v>
      </c>
      <c r="BE225" s="35">
        <f>'1kpi_performance'!U225</f>
        <v>1.189599024</v>
      </c>
      <c r="BF225" s="47"/>
      <c r="BG225" s="47"/>
      <c r="BH225" s="47"/>
      <c r="BI225" s="47"/>
      <c r="BJ225" s="47"/>
      <c r="BK225" s="47"/>
      <c r="BL225" s="47"/>
      <c r="BM225" s="47"/>
      <c r="BN225" s="47"/>
      <c r="BO225" s="47"/>
      <c r="BP225" s="47"/>
      <c r="BQ225" s="47"/>
      <c r="BR225" s="47"/>
      <c r="BS225" s="47"/>
      <c r="BT225" s="47"/>
    </row>
    <row r="226" ht="11.25" customHeight="1">
      <c r="A226" s="35" t="str">
        <f>'13all_company_profile'!A226</f>
        <v>FB</v>
      </c>
      <c r="B226" s="35" t="str">
        <f>'13all_company_profile'!B226</f>
        <v>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v>
      </c>
      <c r="C226" s="44" t="str">
        <f>'13all_company_profile'!C226</f>
        <v>https://financialmodelingprep.com/image-stock/FB.png</v>
      </c>
      <c r="D226" s="35" t="str">
        <f>'13all_company_profile'!D226</f>
        <v>Facebook, Inc.</v>
      </c>
      <c r="E226" s="36">
        <f>'13all_company_profile'!E226</f>
        <v>976702537728</v>
      </c>
      <c r="F226" s="37">
        <f>'13all_company_profile'!F226</f>
        <v>17037644</v>
      </c>
      <c r="G226" s="35">
        <f>'13all_company_profile'!G226</f>
        <v>0</v>
      </c>
      <c r="H226" s="38">
        <f>'13all_company_profile'!H226</f>
        <v>44405</v>
      </c>
      <c r="I226" s="35">
        <f>'13all_company_profile'!I226</f>
        <v>29.16374</v>
      </c>
      <c r="J226" s="35">
        <f>'13all_company_profile'!J226</f>
        <v>11.671</v>
      </c>
      <c r="K226" s="42" t="str">
        <f t="shared" si="1"/>
        <v>NaN</v>
      </c>
      <c r="L226" s="35">
        <f>'7company_info'!B226</f>
        <v>341.66</v>
      </c>
      <c r="M226" s="35">
        <f>'7company_info'!C226</f>
        <v>343.45</v>
      </c>
      <c r="N226" s="35">
        <f>'7company_info'!D226</f>
        <v>334.5</v>
      </c>
      <c r="O226" s="35">
        <f>'7company_info'!E226</f>
        <v>4.71</v>
      </c>
      <c r="P226" s="35">
        <f>'7company_info'!F226</f>
        <v>0.014</v>
      </c>
      <c r="Q226" s="35">
        <f>'7company_info'!G226</f>
        <v>338.8</v>
      </c>
      <c r="R226" s="35">
        <f>'7company_info'!H226</f>
        <v>336.95</v>
      </c>
      <c r="S226" s="35">
        <f>'7company_info'!I226</f>
        <v>226.9</v>
      </c>
      <c r="T226" s="35">
        <f>'7company_info'!J226</f>
        <v>358.79</v>
      </c>
      <c r="U226" s="39">
        <v>349.853333333333</v>
      </c>
      <c r="V226" s="39">
        <v>352.976666666666</v>
      </c>
      <c r="W226" s="40">
        <v>358.323333333333</v>
      </c>
      <c r="X226" s="40">
        <v>366.793333333333</v>
      </c>
      <c r="Y226" s="40">
        <v>344.506666666666</v>
      </c>
      <c r="Z226" s="40">
        <v>341.383333333333</v>
      </c>
      <c r="AA226" s="40">
        <v>332.913333333333</v>
      </c>
      <c r="AB226" s="40">
        <v>338.2</v>
      </c>
      <c r="AC226" s="40">
        <v>358.79</v>
      </c>
      <c r="AD226" s="40">
        <v>345.240037183116</v>
      </c>
      <c r="AE226" s="40">
        <v>337.90552</v>
      </c>
      <c r="AF226" s="40">
        <v>7.27124</v>
      </c>
      <c r="AG226" s="40">
        <v>358.79</v>
      </c>
      <c r="AH226" s="45">
        <v>44383.0</v>
      </c>
      <c r="AI226" s="44" t="str">
        <f>'6image_RS_benchmark_performance'!B226</f>
        <v>https://3arbzfbsh-cname-us.ngrok.io/Desktop/seabridge%20fintech/image_app/FB_resistance_support.jpg</v>
      </c>
      <c r="AJ226" s="44" t="str">
        <f>'6image_RS_benchmark_performance'!C226</f>
        <v>https://3arbzfbsh-cname-us.ngrok.io/Desktop/seabridge%20fintech/profit_graph_app/FB_Return.jpg</v>
      </c>
      <c r="AK226" s="46" t="str">
        <f>'5price_action_icon'!B226</f>
        <v>https://3arbzfbsh-cname-us.ngrok.io/Desktop/seabridge%20fintech/icon/FB_pa_trend_signal</v>
      </c>
      <c r="AL226" s="42">
        <f>'1kpi_performance'!B226</f>
        <v>0.6964415189</v>
      </c>
      <c r="AM226" s="42">
        <f>'1kpi_performance'!C226</f>
        <v>1.26872695</v>
      </c>
      <c r="AN226" s="42">
        <f>'1kpi_performance'!D226</f>
        <v>1.111432303</v>
      </c>
      <c r="AO226" s="42">
        <f>'1kpi_performance'!E226</f>
        <v>0.4122963852</v>
      </c>
      <c r="AP226" s="42">
        <f>'1kpi_performance'!F226</f>
        <v>0.3275748129</v>
      </c>
      <c r="AQ226" s="42">
        <f>'1kpi_performance'!G226</f>
        <v>0.3256457834</v>
      </c>
      <c r="AR226" s="42">
        <f>'1kpi_performance'!H226</f>
        <v>0.3217828363</v>
      </c>
      <c r="AS226" s="42">
        <f>'1kpi_performance'!I226</f>
        <v>0.4426317326</v>
      </c>
      <c r="AT226" s="35">
        <f>'1kpi_performance'!J226</f>
        <v>2.049734877</v>
      </c>
      <c r="AU226" s="35">
        <f>'1kpi_performance'!K226</f>
        <v>3.81926318</v>
      </c>
      <c r="AV226" s="35">
        <f>'1kpi_performance'!L226</f>
        <v>3.376290406</v>
      </c>
      <c r="AW226" s="35">
        <f>'1kpi_performance'!M226</f>
        <v>0.8749855844</v>
      </c>
      <c r="AX226" s="42">
        <f>'1kpi_performance'!N226</f>
        <v>0.3586578614</v>
      </c>
      <c r="AY226" s="42">
        <f>'1kpi_performance'!O226</f>
        <v>0.2398178078</v>
      </c>
      <c r="AZ226" s="42">
        <f>'1kpi_performance'!P226</f>
        <v>0.4750998036</v>
      </c>
      <c r="BA226" s="42">
        <f>'1kpi_performance'!Q226</f>
        <v>0.4790185131</v>
      </c>
      <c r="BB226" s="35">
        <f>'1kpi_performance'!R226</f>
        <v>4.649186265</v>
      </c>
      <c r="BC226" s="35">
        <f>'1kpi_performance'!S226</f>
        <v>9.924733281</v>
      </c>
      <c r="BD226" s="35">
        <f>'1kpi_performance'!T226</f>
        <v>8.244389701</v>
      </c>
      <c r="BE226" s="35">
        <f>'1kpi_performance'!U226</f>
        <v>1.793053969</v>
      </c>
      <c r="BF226" s="47"/>
      <c r="BG226" s="47"/>
      <c r="BH226" s="47"/>
      <c r="BI226" s="47"/>
      <c r="BJ226" s="47"/>
      <c r="BK226" s="47"/>
      <c r="BL226" s="47"/>
      <c r="BM226" s="47"/>
      <c r="BN226" s="47"/>
      <c r="BO226" s="47"/>
      <c r="BP226" s="47"/>
      <c r="BQ226" s="47"/>
      <c r="BR226" s="47"/>
      <c r="BS226" s="47"/>
      <c r="BT226" s="47"/>
    </row>
    <row r="227" ht="11.25" customHeight="1">
      <c r="A227" s="35" t="str">
        <f>'13all_company_profile'!A227</f>
        <v>FBHS</v>
      </c>
      <c r="B227" s="35" t="str">
        <f>'13all_company_profile'!B227</f>
        <v>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v>
      </c>
      <c r="C227" s="44" t="str">
        <f>'13all_company_profile'!C227</f>
        <v>https://financialmodelingprep.com/image-stock/FBHS.png</v>
      </c>
      <c r="D227" s="35" t="str">
        <f>'13all_company_profile'!D227</f>
        <v>Fortune Brands Home &amp; Security, Inc.</v>
      </c>
      <c r="E227" s="36">
        <f>'13all_company_profile'!E227</f>
        <v>13378865152</v>
      </c>
      <c r="F227" s="37">
        <f>'13all_company_profile'!F227</f>
        <v>835817</v>
      </c>
      <c r="G227" s="35">
        <f>'13all_company_profile'!G227</f>
        <v>1</v>
      </c>
      <c r="H227" s="38">
        <f>'13all_company_profile'!H227</f>
        <v>44404</v>
      </c>
      <c r="I227" s="35">
        <f>'13all_company_profile'!I227</f>
        <v>21.57491</v>
      </c>
      <c r="J227" s="35">
        <f>'13all_company_profile'!J227</f>
        <v>4.432</v>
      </c>
      <c r="K227" s="42">
        <f t="shared" si="1"/>
        <v>0.01042535446</v>
      </c>
      <c r="L227" s="35">
        <f>'7company_info'!B227</f>
        <v>95.92</v>
      </c>
      <c r="M227" s="35">
        <f>'7company_info'!C227</f>
        <v>96.33</v>
      </c>
      <c r="N227" s="35">
        <f>'7company_info'!D227</f>
        <v>94</v>
      </c>
      <c r="O227" s="35">
        <f>'7company_info'!E227</f>
        <v>1.53</v>
      </c>
      <c r="P227" s="35">
        <f>'7company_info'!F227</f>
        <v>0.0162</v>
      </c>
      <c r="Q227" s="35">
        <f>'7company_info'!G227</f>
        <v>94.45</v>
      </c>
      <c r="R227" s="35">
        <f>'7company_info'!H227</f>
        <v>94.39</v>
      </c>
      <c r="S227" s="35">
        <f>'7company_info'!I227</f>
        <v>68.7</v>
      </c>
      <c r="T227" s="35">
        <f>'7company_info'!J227</f>
        <v>114.01</v>
      </c>
      <c r="U227" s="39">
        <v>96.1933333333333</v>
      </c>
      <c r="V227" s="39">
        <v>96.9966666666666</v>
      </c>
      <c r="W227" s="40">
        <v>97.7233333333333</v>
      </c>
      <c r="X227" s="40">
        <v>99.2533333333333</v>
      </c>
      <c r="Y227" s="40">
        <v>95.4666666666666</v>
      </c>
      <c r="Z227" s="40">
        <v>94.6633333333333</v>
      </c>
      <c r="AA227" s="40">
        <v>93.1333333333333</v>
      </c>
      <c r="AB227" s="40">
        <v>95.39</v>
      </c>
      <c r="AC227" s="40">
        <v>100.865</v>
      </c>
      <c r="AD227" s="40">
        <v>98.439949909472</v>
      </c>
      <c r="AE227" s="40">
        <v>92.07254</v>
      </c>
      <c r="AF227" s="40">
        <v>2.06022999999999</v>
      </c>
      <c r="AG227" s="40">
        <v>114.005</v>
      </c>
      <c r="AH227" s="45">
        <v>44326.0</v>
      </c>
      <c r="AI227" s="44" t="str">
        <f>'6image_RS_benchmark_performance'!B227</f>
        <v>https://3arbzfbsh-cname-us.ngrok.io/Desktop/seabridge%20fintech/image_app/FBHS_resistance_support.jpg</v>
      </c>
      <c r="AJ227" s="44" t="str">
        <f>'6image_RS_benchmark_performance'!C227</f>
        <v>https://3arbzfbsh-cname-us.ngrok.io/Desktop/seabridge%20fintech/profit_graph_app/FBHS_Return.jpg</v>
      </c>
      <c r="AK227" s="46" t="str">
        <f>'5price_action_icon'!B227</f>
        <v>https://3arbzfbsh-cname-us.ngrok.io/Desktop/seabridge%20fintech/icon/FBHS_pa_trend_signal</v>
      </c>
      <c r="AL227" s="42">
        <f>'1kpi_performance'!B227</f>
        <v>0.8533984465</v>
      </c>
      <c r="AM227" s="42">
        <f>'1kpi_performance'!C227</f>
        <v>0.9476219034</v>
      </c>
      <c r="AN227" s="42">
        <f>'1kpi_performance'!D227</f>
        <v>0.775614883</v>
      </c>
      <c r="AO227" s="42">
        <f>'1kpi_performance'!E227</f>
        <v>0.343264815</v>
      </c>
      <c r="AP227" s="42">
        <f>'1kpi_performance'!F227</f>
        <v>0.2618212827</v>
      </c>
      <c r="AQ227" s="42">
        <f>'1kpi_performance'!G227</f>
        <v>0.2628229492</v>
      </c>
      <c r="AR227" s="42">
        <f>'1kpi_performance'!H227</f>
        <v>0.2503222898</v>
      </c>
      <c r="AS227" s="42">
        <f>'1kpi_performance'!I227</f>
        <v>0.381699127</v>
      </c>
      <c r="AT227" s="35">
        <f>'1kpi_performance'!J227</f>
        <v>3.163984371</v>
      </c>
      <c r="AU227" s="35">
        <f>'1kpi_performance'!K227</f>
        <v>3.510431285</v>
      </c>
      <c r="AV227" s="35">
        <f>'1kpi_performance'!L227</f>
        <v>2.998593868</v>
      </c>
      <c r="AW227" s="35">
        <f>'1kpi_performance'!M227</f>
        <v>0.8338106965</v>
      </c>
      <c r="AX227" s="42">
        <f>'1kpi_performance'!N227</f>
        <v>0.2112251839</v>
      </c>
      <c r="AY227" s="42">
        <f>'1kpi_performance'!O227</f>
        <v>0.168797954</v>
      </c>
      <c r="AZ227" s="42">
        <f>'1kpi_performance'!P227</f>
        <v>0.2042237699</v>
      </c>
      <c r="BA227" s="42">
        <f>'1kpi_performance'!Q227</f>
        <v>0.5237248735</v>
      </c>
      <c r="BB227" s="35">
        <f>'1kpi_performance'!R227</f>
        <v>7.000581784</v>
      </c>
      <c r="BC227" s="35">
        <f>'1kpi_performance'!S227</f>
        <v>7.999565955</v>
      </c>
      <c r="BD227" s="35">
        <f>'1kpi_performance'!T227</f>
        <v>6.488142594</v>
      </c>
      <c r="BE227" s="35">
        <f>'1kpi_performance'!U227</f>
        <v>1.623519051</v>
      </c>
      <c r="BF227" s="47"/>
      <c r="BG227" s="47"/>
      <c r="BH227" s="47"/>
      <c r="BI227" s="47"/>
      <c r="BJ227" s="47"/>
      <c r="BK227" s="47"/>
      <c r="BL227" s="47"/>
      <c r="BM227" s="47"/>
      <c r="BN227" s="47"/>
      <c r="BO227" s="47"/>
      <c r="BP227" s="47"/>
      <c r="BQ227" s="47"/>
      <c r="BR227" s="47"/>
      <c r="BS227" s="47"/>
      <c r="BT227" s="47"/>
    </row>
    <row r="228" ht="11.25" customHeight="1">
      <c r="A228" s="35" t="str">
        <f>'13all_company_profile'!A228</f>
        <v>FCX</v>
      </c>
      <c r="B228" s="35" t="str">
        <f>'13all_company_profile'!B228</f>
        <v>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v>
      </c>
      <c r="C228" s="44" t="str">
        <f>'13all_company_profile'!C228</f>
        <v>https://financialmodelingprep.com/image-stock/FCX.png</v>
      </c>
      <c r="D228" s="35" t="str">
        <f>'13all_company_profile'!D228</f>
        <v>Freeport-McMoRan Inc.</v>
      </c>
      <c r="E228" s="36">
        <f>'13all_company_profile'!E228</f>
        <v>50428887040</v>
      </c>
      <c r="F228" s="37">
        <f>'13all_company_profile'!F228</f>
        <v>24102522</v>
      </c>
      <c r="G228" s="35">
        <f>'13all_company_profile'!G228</f>
        <v>0.15</v>
      </c>
      <c r="H228" s="38">
        <f>'13all_company_profile'!H228</f>
        <v>44399</v>
      </c>
      <c r="I228" s="35">
        <f>'13all_company_profile'!I228</f>
        <v>26.897392</v>
      </c>
      <c r="J228" s="35">
        <f>'13all_company_profile'!J228</f>
        <v>1.228</v>
      </c>
      <c r="K228" s="42">
        <f t="shared" si="1"/>
        <v>0.004552352049</v>
      </c>
      <c r="L228" s="35">
        <f>'7company_info'!B228</f>
        <v>32.95</v>
      </c>
      <c r="M228" s="35">
        <f>'7company_info'!C228</f>
        <v>33.43</v>
      </c>
      <c r="N228" s="35">
        <f>'7company_info'!D228</f>
        <v>32.09</v>
      </c>
      <c r="O228" s="35">
        <f>'7company_info'!E228</f>
        <v>0.55</v>
      </c>
      <c r="P228" s="35">
        <f>'7company_info'!F228</f>
        <v>0.017</v>
      </c>
      <c r="Q228" s="35">
        <f>'7company_info'!G228</f>
        <v>32.39</v>
      </c>
      <c r="R228" s="35">
        <f>'7company_info'!H228</f>
        <v>32.4</v>
      </c>
      <c r="S228" s="35">
        <f>'7company_info'!I228</f>
        <v>12.44</v>
      </c>
      <c r="T228" s="35">
        <f>'7company_info'!J228</f>
        <v>46.1</v>
      </c>
      <c r="U228" s="39">
        <v>34.99</v>
      </c>
      <c r="V228" s="39">
        <v>35.68</v>
      </c>
      <c r="W228" s="40">
        <v>36.84</v>
      </c>
      <c r="X228" s="40">
        <v>38.69</v>
      </c>
      <c r="Y228" s="40">
        <v>33.83</v>
      </c>
      <c r="Z228" s="40">
        <v>33.14</v>
      </c>
      <c r="AA228" s="40">
        <v>31.29</v>
      </c>
      <c r="AB228" s="40">
        <v>34.45</v>
      </c>
      <c r="AC228" s="40">
        <v>36.31</v>
      </c>
      <c r="AD228" s="40">
        <v>36.8726452700975</v>
      </c>
      <c r="AE228" s="40">
        <v>32.7476299999999</v>
      </c>
      <c r="AF228" s="40">
        <v>1.431435</v>
      </c>
      <c r="AG228" s="40">
        <v>46.1</v>
      </c>
      <c r="AH228" s="45">
        <v>44326.0</v>
      </c>
      <c r="AI228" s="44" t="str">
        <f>'6image_RS_benchmark_performance'!B228</f>
        <v>https://3arbzfbsh-cname-us.ngrok.io/Desktop/seabridge%20fintech/image_app/FCX_resistance_support.jpg</v>
      </c>
      <c r="AJ228" s="44" t="str">
        <f>'6image_RS_benchmark_performance'!C228</f>
        <v>https://3arbzfbsh-cname-us.ngrok.io/Desktop/seabridge%20fintech/profit_graph_app/FCX_Return.jpg</v>
      </c>
      <c r="AK228" s="46" t="str">
        <f>'5price_action_icon'!B228</f>
        <v>https://3arbzfbsh-cname-us.ngrok.io/Desktop/seabridge%20fintech/icon/FCX_pa_trend_signal</v>
      </c>
      <c r="AL228" s="42">
        <f>'1kpi_performance'!B228</f>
        <v>0.9856267177</v>
      </c>
      <c r="AM228" s="42">
        <f>'1kpi_performance'!C228</f>
        <v>1.596509055</v>
      </c>
      <c r="AN228" s="42">
        <f>'1kpi_performance'!D228</f>
        <v>1.152075781</v>
      </c>
      <c r="AO228" s="42">
        <f>'1kpi_performance'!E228</f>
        <v>-0.01153447859</v>
      </c>
      <c r="AP228" s="42">
        <f>'1kpi_performance'!F228</f>
        <v>0.4298490575</v>
      </c>
      <c r="AQ228" s="42">
        <f>'1kpi_performance'!G228</f>
        <v>0.4109265059</v>
      </c>
      <c r="AR228" s="42">
        <f>'1kpi_performance'!H228</f>
        <v>0.4430346473</v>
      </c>
      <c r="AS228" s="42">
        <f>'1kpi_performance'!I228</f>
        <v>0.6134715377</v>
      </c>
      <c r="AT228" s="35">
        <f>'1kpi_performance'!J228</f>
        <v>2.234800102</v>
      </c>
      <c r="AU228" s="35">
        <f>'1kpi_performance'!K228</f>
        <v>3.82430686</v>
      </c>
      <c r="AV228" s="35">
        <f>'1kpi_performance'!L228</f>
        <v>2.543990154</v>
      </c>
      <c r="AW228" s="35">
        <f>'1kpi_performance'!M228</f>
        <v>-0.05955366524</v>
      </c>
      <c r="AX228" s="42">
        <f>'1kpi_performance'!N228</f>
        <v>0.285336856</v>
      </c>
      <c r="AY228" s="42">
        <f>'1kpi_performance'!O228</f>
        <v>0.194778846</v>
      </c>
      <c r="AZ228" s="42">
        <f>'1kpi_performance'!P228</f>
        <v>0.65527827</v>
      </c>
      <c r="BA228" s="42">
        <f>'1kpi_performance'!Q228</f>
        <v>0.9382000517</v>
      </c>
      <c r="BB228" s="35">
        <f>'1kpi_performance'!R228</f>
        <v>4.779785833</v>
      </c>
      <c r="BC228" s="35">
        <f>'1kpi_performance'!S228</f>
        <v>9.139242367</v>
      </c>
      <c r="BD228" s="35">
        <f>'1kpi_performance'!T228</f>
        <v>5.569425791</v>
      </c>
      <c r="BE228" s="35">
        <f>'1kpi_performance'!U228</f>
        <v>-0.1192498206</v>
      </c>
      <c r="BF228" s="47"/>
      <c r="BG228" s="47"/>
      <c r="BH228" s="47"/>
      <c r="BI228" s="47"/>
      <c r="BJ228" s="47"/>
      <c r="BK228" s="47"/>
      <c r="BL228" s="47"/>
      <c r="BM228" s="47"/>
      <c r="BN228" s="47"/>
      <c r="BO228" s="47"/>
      <c r="BP228" s="47"/>
      <c r="BQ228" s="47"/>
      <c r="BR228" s="47"/>
      <c r="BS228" s="47"/>
      <c r="BT228" s="47"/>
    </row>
    <row r="229" ht="11.25" customHeight="1">
      <c r="A229" s="35" t="str">
        <f>'13all_company_profile'!A229</f>
        <v>FDX</v>
      </c>
      <c r="B229" s="35" t="str">
        <f>'13all_company_profile'!B229</f>
        <v>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v>
      </c>
      <c r="C229" s="44" t="str">
        <f>'13all_company_profile'!C229</f>
        <v>https://financialmodelingprep.com/image-stock/FDX.png</v>
      </c>
      <c r="D229" s="35" t="str">
        <f>'13all_company_profile'!D229</f>
        <v>FedEx Corporation</v>
      </c>
      <c r="E229" s="36">
        <f>'13all_company_profile'!E229</f>
        <v>78642061312</v>
      </c>
      <c r="F229" s="37">
        <f>'13all_company_profile'!F229</f>
        <v>2195565</v>
      </c>
      <c r="G229" s="35">
        <f>'13all_company_profile'!G229</f>
        <v>2.7</v>
      </c>
      <c r="H229" s="38" t="str">
        <f>'13all_company_profile'!H229</f>
        <v>not avaiable</v>
      </c>
      <c r="I229" s="35">
        <f>'13all_company_profile'!I229</f>
        <v>15.053471</v>
      </c>
      <c r="J229" s="35">
        <f>'13all_company_profile'!J229</f>
        <v>19.45</v>
      </c>
      <c r="K229" s="42">
        <f t="shared" si="1"/>
        <v>0.009059794645</v>
      </c>
      <c r="L229" s="35">
        <f>'7company_info'!B229</f>
        <v>298.02</v>
      </c>
      <c r="M229" s="35">
        <f>'7company_info'!C229</f>
        <v>299.04</v>
      </c>
      <c r="N229" s="35">
        <f>'7company_info'!D229</f>
        <v>294.45</v>
      </c>
      <c r="O229" s="35">
        <f>'7company_info'!E229</f>
        <v>3.2</v>
      </c>
      <c r="P229" s="35">
        <f>'7company_info'!F229</f>
        <v>0.0109</v>
      </c>
      <c r="Q229" s="35">
        <f>'7company_info'!G229</f>
        <v>295.41</v>
      </c>
      <c r="R229" s="35">
        <f>'7company_info'!H229</f>
        <v>294.82</v>
      </c>
      <c r="S229" s="35">
        <f>'7company_info'!I229</f>
        <v>162.81</v>
      </c>
      <c r="T229" s="35">
        <f>'7company_info'!J229</f>
        <v>319.9</v>
      </c>
      <c r="U229" s="39">
        <v>297.106633333333</v>
      </c>
      <c r="V229" s="39">
        <v>299.613266666666</v>
      </c>
      <c r="W229" s="40">
        <v>303.366533333333</v>
      </c>
      <c r="X229" s="40">
        <v>309.626433333333</v>
      </c>
      <c r="Y229" s="40">
        <v>293.353366666666</v>
      </c>
      <c r="Z229" s="40">
        <v>290.846733333333</v>
      </c>
      <c r="AA229" s="40">
        <v>284.586833333333</v>
      </c>
      <c r="AB229" s="40">
        <v>285.85</v>
      </c>
      <c r="AC229" s="40">
        <v>300.8599</v>
      </c>
      <c r="AD229" s="40">
        <v>297.10962844236</v>
      </c>
      <c r="AE229" s="40">
        <v>285.92884</v>
      </c>
      <c r="AF229" s="40">
        <v>6.54407499999998</v>
      </c>
      <c r="AG229" s="40">
        <v>319.9</v>
      </c>
      <c r="AH229" s="45">
        <v>44343.0</v>
      </c>
      <c r="AI229" s="44" t="str">
        <f>'6image_RS_benchmark_performance'!B229</f>
        <v>https://3arbzfbsh-cname-us.ngrok.io/Desktop/seabridge%20fintech/image_app/FDX_resistance_support.jpg</v>
      </c>
      <c r="AJ229" s="44" t="str">
        <f>'6image_RS_benchmark_performance'!C229</f>
        <v>https://3arbzfbsh-cname-us.ngrok.io/Desktop/seabridge%20fintech/profit_graph_app/FDX_Return.jpg</v>
      </c>
      <c r="AK229" s="46" t="str">
        <f>'5price_action_icon'!B229</f>
        <v>https://3arbzfbsh-cname-us.ngrok.io/Desktop/seabridge%20fintech/icon/FDX_pa_trend_signal</v>
      </c>
      <c r="AL229" s="42">
        <f>'1kpi_performance'!B229</f>
        <v>0.5931251877</v>
      </c>
      <c r="AM229" s="42">
        <f>'1kpi_performance'!C229</f>
        <v>0.8491882107</v>
      </c>
      <c r="AN229" s="42">
        <f>'1kpi_performance'!D229</f>
        <v>0.6114309911</v>
      </c>
      <c r="AO229" s="42">
        <f>'1kpi_performance'!E229</f>
        <v>0.1741042995</v>
      </c>
      <c r="AP229" s="42">
        <f>'1kpi_performance'!F229</f>
        <v>0.2323835675</v>
      </c>
      <c r="AQ229" s="42">
        <f>'1kpi_performance'!G229</f>
        <v>0.2310202048</v>
      </c>
      <c r="AR229" s="42">
        <f>'1kpi_performance'!H229</f>
        <v>0.2138135297</v>
      </c>
      <c r="AS229" s="42">
        <f>'1kpi_performance'!I229</f>
        <v>0.3440886516</v>
      </c>
      <c r="AT229" s="35">
        <f>'1kpi_performance'!J229</f>
        <v>2.444773501</v>
      </c>
      <c r="AU229" s="35">
        <f>'1kpi_performance'!K229</f>
        <v>3.567602286</v>
      </c>
      <c r="AV229" s="35">
        <f>'1kpi_performance'!L229</f>
        <v>2.742721623</v>
      </c>
      <c r="AW229" s="35">
        <f>'1kpi_performance'!M229</f>
        <v>0.4333310581</v>
      </c>
      <c r="AX229" s="42">
        <f>'1kpi_performance'!N229</f>
        <v>0.1377025037</v>
      </c>
      <c r="AY229" s="42">
        <f>'1kpi_performance'!O229</f>
        <v>0.1304140127</v>
      </c>
      <c r="AZ229" s="42">
        <f>'1kpi_performance'!P229</f>
        <v>0.2298373563</v>
      </c>
      <c r="BA229" s="42">
        <f>'1kpi_performance'!Q229</f>
        <v>0.6701297754</v>
      </c>
      <c r="BB229" s="35">
        <f>'1kpi_performance'!R229</f>
        <v>5.087820798</v>
      </c>
      <c r="BC229" s="35">
        <f>'1kpi_performance'!S229</f>
        <v>8.781947918</v>
      </c>
      <c r="BD229" s="35">
        <f>'1kpi_performance'!T229</f>
        <v>5.969466783</v>
      </c>
      <c r="BE229" s="35">
        <f>'1kpi_performance'!U229</f>
        <v>0.830772301</v>
      </c>
      <c r="BF229" s="47"/>
      <c r="BG229" s="47"/>
      <c r="BH229" s="47"/>
      <c r="BI229" s="47"/>
      <c r="BJ229" s="47"/>
      <c r="BK229" s="47"/>
      <c r="BL229" s="47"/>
      <c r="BM229" s="47"/>
      <c r="BN229" s="47"/>
      <c r="BO229" s="47"/>
      <c r="BP229" s="47"/>
      <c r="BQ229" s="47"/>
      <c r="BR229" s="47"/>
      <c r="BS229" s="47"/>
      <c r="BT229" s="47"/>
    </row>
    <row r="230" ht="11.25" customHeight="1">
      <c r="A230" s="35" t="str">
        <f>'13all_company_profile'!A230</f>
        <v>FE</v>
      </c>
      <c r="B230" s="35" t="str">
        <f>'13all_company_profile'!B230</f>
        <v>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v>
      </c>
      <c r="C230" s="44" t="str">
        <f>'13all_company_profile'!C230</f>
        <v>https://financialmodelingprep.com/image-stock/FE.png</v>
      </c>
      <c r="D230" s="35" t="str">
        <f>'13all_company_profile'!D230</f>
        <v>FirstEnergy Corp.</v>
      </c>
      <c r="E230" s="36">
        <f>'13all_company_profile'!E230</f>
        <v>20369055744</v>
      </c>
      <c r="F230" s="37">
        <f>'13all_company_profile'!F230</f>
        <v>2955330</v>
      </c>
      <c r="G230" s="35">
        <f>'13all_company_profile'!G230</f>
        <v>1.56</v>
      </c>
      <c r="H230" s="38">
        <f>'13all_company_profile'!H230</f>
        <v>44398</v>
      </c>
      <c r="I230" s="35">
        <f>'13all_company_profile'!I230</f>
        <v>15.36872</v>
      </c>
      <c r="J230" s="35">
        <f>'13all_company_profile'!J230</f>
        <v>2.468</v>
      </c>
      <c r="K230" s="42">
        <f t="shared" si="1"/>
        <v>0.04146730463</v>
      </c>
      <c r="L230" s="35">
        <f>'7company_info'!B230</f>
        <v>37.62</v>
      </c>
      <c r="M230" s="35">
        <f>'7company_info'!C230</f>
        <v>37.96</v>
      </c>
      <c r="N230" s="35">
        <f>'7company_info'!D230</f>
        <v>37.47</v>
      </c>
      <c r="O230" s="35">
        <f>'7company_info'!E230</f>
        <v>0.26</v>
      </c>
      <c r="P230" s="35">
        <f>'7company_info'!F230</f>
        <v>0.007</v>
      </c>
      <c r="Q230" s="35">
        <f>'7company_info'!G230</f>
        <v>37.49</v>
      </c>
      <c r="R230" s="35">
        <f>'7company_info'!H230</f>
        <v>37.36</v>
      </c>
      <c r="S230" s="35">
        <f>'7company_info'!I230</f>
        <v>22.85</v>
      </c>
      <c r="T230" s="35">
        <f>'7company_info'!J230</f>
        <v>42.02</v>
      </c>
      <c r="U230" s="39">
        <v>37.0533333333333</v>
      </c>
      <c r="V230" s="39">
        <v>37.2366666666666</v>
      </c>
      <c r="W230" s="40">
        <v>37.4233333333333</v>
      </c>
      <c r="X230" s="40">
        <v>37.7933333333333</v>
      </c>
      <c r="Y230" s="40">
        <v>36.8666666666666</v>
      </c>
      <c r="Z230" s="40">
        <v>36.6833333333333</v>
      </c>
      <c r="AA230" s="40">
        <v>36.3133333333333</v>
      </c>
      <c r="AB230" s="40">
        <v>38.01</v>
      </c>
      <c r="AC230" s="40">
        <v>38.25</v>
      </c>
      <c r="AD230" s="40">
        <v>37.5536866002031</v>
      </c>
      <c r="AE230" s="40">
        <v>35.7845</v>
      </c>
      <c r="AF230" s="40">
        <v>0.6125</v>
      </c>
      <c r="AG230" s="40">
        <v>39.225</v>
      </c>
      <c r="AH230" s="45">
        <v>44362.0</v>
      </c>
      <c r="AI230" s="44" t="str">
        <f>'6image_RS_benchmark_performance'!B230</f>
        <v>https://3arbzfbsh-cname-us.ngrok.io/Desktop/seabridge%20fintech/image_app/FE_resistance_support.jpg</v>
      </c>
      <c r="AJ230" s="44" t="str">
        <f>'6image_RS_benchmark_performance'!C230</f>
        <v>https://3arbzfbsh-cname-us.ngrok.io/Desktop/seabridge%20fintech/profit_graph_app/FE_Return.jpg</v>
      </c>
      <c r="AK230" s="46" t="str">
        <f>'5price_action_icon'!B230</f>
        <v>https://3arbzfbsh-cname-us.ngrok.io/Desktop/seabridge%20fintech/icon/FE_pa_trend_signal</v>
      </c>
      <c r="AL230" s="42">
        <f>'1kpi_performance'!B230</f>
        <v>0.3639771614</v>
      </c>
      <c r="AM230" s="42">
        <f>'1kpi_performance'!C230</f>
        <v>0.4538497625</v>
      </c>
      <c r="AN230" s="42">
        <f>'1kpi_performance'!D230</f>
        <v>0.4513278505</v>
      </c>
      <c r="AO230" s="42">
        <f>'1kpi_performance'!E230</f>
        <v>-0.02431027146</v>
      </c>
      <c r="AP230" s="42">
        <f>'1kpi_performance'!F230</f>
        <v>0.182129605</v>
      </c>
      <c r="AQ230" s="42">
        <f>'1kpi_performance'!G230</f>
        <v>0.1822104526</v>
      </c>
      <c r="AR230" s="42">
        <f>'1kpi_performance'!H230</f>
        <v>0.1763874328</v>
      </c>
      <c r="AS230" s="42">
        <f>'1kpi_performance'!I230</f>
        <v>0.2964139205</v>
      </c>
      <c r="AT230" s="35">
        <f>'1kpi_performance'!J230</f>
        <v>1.861186496</v>
      </c>
      <c r="AU230" s="35">
        <f>'1kpi_performance'!K230</f>
        <v>2.353595835</v>
      </c>
      <c r="AV230" s="35">
        <f>'1kpi_performance'!L230</f>
        <v>2.416996743</v>
      </c>
      <c r="AW230" s="35">
        <f>'1kpi_performance'!M230</f>
        <v>-0.1663561258</v>
      </c>
      <c r="AX230" s="42">
        <f>'1kpi_performance'!N230</f>
        <v>0.1806054458</v>
      </c>
      <c r="AY230" s="42">
        <f>'1kpi_performance'!O230</f>
        <v>0.1353956512</v>
      </c>
      <c r="AZ230" s="42">
        <f>'1kpi_performance'!P230</f>
        <v>0.1842484352</v>
      </c>
      <c r="BA230" s="42">
        <f>'1kpi_performance'!Q230</f>
        <v>0.491869141</v>
      </c>
      <c r="BB230" s="35">
        <f>'1kpi_performance'!R230</f>
        <v>3.923902384</v>
      </c>
      <c r="BC230" s="35">
        <f>'1kpi_performance'!S230</f>
        <v>5.24632913</v>
      </c>
      <c r="BD230" s="35">
        <f>'1kpi_performance'!T230</f>
        <v>5.020191767</v>
      </c>
      <c r="BE230" s="35">
        <f>'1kpi_performance'!U230</f>
        <v>-0.2967038349</v>
      </c>
      <c r="BF230" s="47"/>
      <c r="BG230" s="47"/>
      <c r="BH230" s="47"/>
      <c r="BI230" s="47"/>
      <c r="BJ230" s="47"/>
      <c r="BK230" s="47"/>
      <c r="BL230" s="47"/>
      <c r="BM230" s="47"/>
      <c r="BN230" s="47"/>
      <c r="BO230" s="47"/>
      <c r="BP230" s="47"/>
      <c r="BQ230" s="47"/>
      <c r="BR230" s="47"/>
      <c r="BS230" s="47"/>
      <c r="BT230" s="47"/>
    </row>
    <row r="231" ht="11.25" customHeight="1">
      <c r="A231" s="35" t="str">
        <f>'13all_company_profile'!A231</f>
        <v>FFIV</v>
      </c>
      <c r="B231" s="35" t="str">
        <f>'13all_company_profile'!B231</f>
        <v>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v>
      </c>
      <c r="C231" s="44" t="str">
        <f>'13all_company_profile'!C231</f>
        <v>https://financialmodelingprep.com/image-stock/FFIV.png</v>
      </c>
      <c r="D231" s="35" t="str">
        <f>'13all_company_profile'!D231</f>
        <v>F5 Networks, Inc.</v>
      </c>
      <c r="E231" s="36">
        <f>'13all_company_profile'!E231</f>
        <v>11028756480</v>
      </c>
      <c r="F231" s="37">
        <f>'13all_company_profile'!F231</f>
        <v>547684</v>
      </c>
      <c r="G231" s="35">
        <f>'13all_company_profile'!G231</f>
        <v>0</v>
      </c>
      <c r="H231" s="38">
        <f>'13all_company_profile'!H231</f>
        <v>44403</v>
      </c>
      <c r="I231" s="35">
        <f>'13all_company_profile'!I231</f>
        <v>41.345215</v>
      </c>
      <c r="J231" s="35">
        <f>'13all_company_profile'!J231</f>
        <v>4.49</v>
      </c>
      <c r="K231" s="42" t="str">
        <f t="shared" si="1"/>
        <v>NaN</v>
      </c>
      <c r="L231" s="35">
        <f>'7company_info'!B231</f>
        <v>186.68</v>
      </c>
      <c r="M231" s="35">
        <f>'7company_info'!C231</f>
        <v>187.6</v>
      </c>
      <c r="N231" s="35">
        <f>'7company_info'!D231</f>
        <v>182.62</v>
      </c>
      <c r="O231" s="35">
        <f>'7company_info'!E231</f>
        <v>3.73</v>
      </c>
      <c r="P231" s="35">
        <f>'7company_info'!F231</f>
        <v>0.0204</v>
      </c>
      <c r="Q231" s="35">
        <f>'7company_info'!G231</f>
        <v>183.56</v>
      </c>
      <c r="R231" s="35">
        <f>'7company_info'!H231</f>
        <v>182.95</v>
      </c>
      <c r="S231" s="35">
        <f>'7company_info'!I231</f>
        <v>116.79</v>
      </c>
      <c r="T231" s="35">
        <f>'7company_info'!J231</f>
        <v>216.15</v>
      </c>
      <c r="U231" s="39">
        <v>188.543333333333</v>
      </c>
      <c r="V231" s="39">
        <v>190.206666666666</v>
      </c>
      <c r="W231" s="40">
        <v>192.323333333333</v>
      </c>
      <c r="X231" s="40">
        <v>196.103333333333</v>
      </c>
      <c r="Y231" s="40">
        <v>186.426666666666</v>
      </c>
      <c r="Z231" s="40">
        <v>184.763333333333</v>
      </c>
      <c r="AA231" s="40">
        <v>180.983333333333</v>
      </c>
      <c r="AB231" s="40">
        <v>187.64</v>
      </c>
      <c r="AC231" s="40">
        <v>191.43</v>
      </c>
      <c r="AD231" s="40">
        <v>187.624284709376</v>
      </c>
      <c r="AE231" s="40">
        <v>177.74102</v>
      </c>
      <c r="AF231" s="40">
        <v>3.90048999999999</v>
      </c>
      <c r="AG231" s="40">
        <v>216.15</v>
      </c>
      <c r="AH231" s="45">
        <v>44291.0</v>
      </c>
      <c r="AI231" s="44" t="str">
        <f>'6image_RS_benchmark_performance'!B231</f>
        <v>https://3arbzfbsh-cname-us.ngrok.io/Desktop/seabridge%20fintech/image_app/FFIV_resistance_support.jpg</v>
      </c>
      <c r="AJ231" s="44" t="str">
        <f>'6image_RS_benchmark_performance'!C231</f>
        <v>https://3arbzfbsh-cname-us.ngrok.io/Desktop/seabridge%20fintech/profit_graph_app/FFIV_Return.jpg</v>
      </c>
      <c r="AK231" s="46" t="str">
        <f>'5price_action_icon'!B231</f>
        <v>https://3arbzfbsh-cname-us.ngrok.io/Desktop/seabridge%20fintech/icon/FFIV_pa_trend_signal</v>
      </c>
      <c r="AL231" s="42">
        <f>'1kpi_performance'!B231</f>
        <v>0.8840021219</v>
      </c>
      <c r="AM231" s="42">
        <f>'1kpi_performance'!C231</f>
        <v>1.030791346</v>
      </c>
      <c r="AN231" s="42">
        <f>'1kpi_performance'!D231</f>
        <v>0.9816599435</v>
      </c>
      <c r="AO231" s="42">
        <f>'1kpi_performance'!E231</f>
        <v>0.1666149637</v>
      </c>
      <c r="AP231" s="42">
        <f>'1kpi_performance'!F231</f>
        <v>0.2827018449</v>
      </c>
      <c r="AQ231" s="42">
        <f>'1kpi_performance'!G231</f>
        <v>0.2848615813</v>
      </c>
      <c r="AR231" s="42">
        <f>'1kpi_performance'!H231</f>
        <v>0.292034057</v>
      </c>
      <c r="AS231" s="42">
        <f>'1kpi_performance'!I231</f>
        <v>0.4229666723</v>
      </c>
      <c r="AT231" s="35">
        <f>'1kpi_performance'!J231</f>
        <v>3.03854445</v>
      </c>
      <c r="AU231" s="35">
        <f>'1kpi_performance'!K231</f>
        <v>3.530807283</v>
      </c>
      <c r="AV231" s="35">
        <f>'1kpi_performance'!L231</f>
        <v>3.27585061</v>
      </c>
      <c r="AW231" s="35">
        <f>'1kpi_performance'!M231</f>
        <v>0.334813528</v>
      </c>
      <c r="AX231" s="42">
        <f>'1kpi_performance'!N231</f>
        <v>0.1730375826</v>
      </c>
      <c r="AY231" s="42">
        <f>'1kpi_performance'!O231</f>
        <v>0.1385476656</v>
      </c>
      <c r="AZ231" s="42">
        <f>'1kpi_performance'!P231</f>
        <v>0.2114449845</v>
      </c>
      <c r="BA231" s="42">
        <f>'1kpi_performance'!Q231</f>
        <v>0.5459332063</v>
      </c>
      <c r="BB231" s="35">
        <f>'1kpi_performance'!R231</f>
        <v>6.986373098</v>
      </c>
      <c r="BC231" s="35">
        <f>'1kpi_performance'!S231</f>
        <v>8.643835527</v>
      </c>
      <c r="BD231" s="35">
        <f>'1kpi_performance'!T231</f>
        <v>7.014378146</v>
      </c>
      <c r="BE231" s="35">
        <f>'1kpi_performance'!U231</f>
        <v>0.6361292133</v>
      </c>
      <c r="BF231" s="47"/>
      <c r="BG231" s="47"/>
      <c r="BH231" s="47"/>
      <c r="BI231" s="47"/>
      <c r="BJ231" s="47"/>
      <c r="BK231" s="47"/>
      <c r="BL231" s="47"/>
      <c r="BM231" s="47"/>
      <c r="BN231" s="47"/>
      <c r="BO231" s="47"/>
      <c r="BP231" s="47"/>
      <c r="BQ231" s="47"/>
      <c r="BR231" s="47"/>
      <c r="BS231" s="47"/>
      <c r="BT231" s="47"/>
    </row>
    <row r="232" ht="11.25" customHeight="1">
      <c r="A232" s="35" t="str">
        <f>'13all_company_profile'!A232</f>
        <v>FIS</v>
      </c>
      <c r="B232" s="35" t="str">
        <f>'13all_company_profile'!B232</f>
        <v>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v>
      </c>
      <c r="C232" s="44" t="str">
        <f>'13all_company_profile'!C232</f>
        <v>https://financialmodelingprep.com/image-stock/FIS.png</v>
      </c>
      <c r="D232" s="35" t="str">
        <f>'13all_company_profile'!D232</f>
        <v>Fidelity National Information Services, Inc.</v>
      </c>
      <c r="E232" s="36">
        <f>'13all_company_profile'!E232</f>
        <v>92138323968</v>
      </c>
      <c r="F232" s="37">
        <f>'13all_company_profile'!F232</f>
        <v>2531188</v>
      </c>
      <c r="G232" s="35">
        <f>'13all_company_profile'!G232</f>
        <v>1.48</v>
      </c>
      <c r="H232" s="38">
        <f>'13all_company_profile'!H232</f>
        <v>44410</v>
      </c>
      <c r="I232" s="35" t="str">
        <f>'13all_company_profile'!I232</f>
        <v>NaN</v>
      </c>
      <c r="J232" s="35">
        <f>'13all_company_profile'!J232</f>
        <v>-0.371</v>
      </c>
      <c r="K232" s="42">
        <f t="shared" si="1"/>
        <v>0.0102188773</v>
      </c>
      <c r="L232" s="35">
        <f>'7company_info'!B232</f>
        <v>144.83</v>
      </c>
      <c r="M232" s="35">
        <f>'7company_info'!C232</f>
        <v>146.1</v>
      </c>
      <c r="N232" s="35">
        <f>'7company_info'!D232</f>
        <v>142.83</v>
      </c>
      <c r="O232" s="35">
        <f>'7company_info'!E232</f>
        <v>2.39</v>
      </c>
      <c r="P232" s="35">
        <f>'7company_info'!F232</f>
        <v>0.0168</v>
      </c>
      <c r="Q232" s="35">
        <f>'7company_info'!G232</f>
        <v>142.98</v>
      </c>
      <c r="R232" s="35">
        <f>'7company_info'!H232</f>
        <v>142.44</v>
      </c>
      <c r="S232" s="35">
        <f>'7company_info'!I232</f>
        <v>120.17</v>
      </c>
      <c r="T232" s="35">
        <f>'7company_info'!J232</f>
        <v>156.73</v>
      </c>
      <c r="U232" s="39">
        <v>147.566666666666</v>
      </c>
      <c r="V232" s="39">
        <v>148.683333333333</v>
      </c>
      <c r="W232" s="40">
        <v>149.346666666666</v>
      </c>
      <c r="X232" s="40">
        <v>151.126666666666</v>
      </c>
      <c r="Y232" s="40">
        <v>146.903333333333</v>
      </c>
      <c r="Z232" s="40">
        <v>145.786666666666</v>
      </c>
      <c r="AA232" s="40">
        <v>144.006666666666</v>
      </c>
      <c r="AB232" s="40">
        <v>143.3</v>
      </c>
      <c r="AC232" s="40">
        <v>144.69</v>
      </c>
      <c r="AD232" s="40">
        <v>145.397437081902</v>
      </c>
      <c r="AE232" s="40">
        <v>141.802</v>
      </c>
      <c r="AF232" s="40">
        <v>2.231</v>
      </c>
      <c r="AG232" s="40">
        <v>155.96</v>
      </c>
      <c r="AH232" s="45">
        <v>44315.0</v>
      </c>
      <c r="AI232" s="44" t="str">
        <f>'6image_RS_benchmark_performance'!B232</f>
        <v>https://3arbzfbsh-cname-us.ngrok.io/Desktop/seabridge%20fintech/image_app/FIS_resistance_support.jpg</v>
      </c>
      <c r="AJ232" s="44" t="str">
        <f>'6image_RS_benchmark_performance'!C232</f>
        <v>https://3arbzfbsh-cname-us.ngrok.io/Desktop/seabridge%20fintech/profit_graph_app/FIS_Return.jpg</v>
      </c>
      <c r="AK232" s="46" t="str">
        <f>'5price_action_icon'!B232</f>
        <v>https://3arbzfbsh-cname-us.ngrok.io/Desktop/seabridge%20fintech/icon/FIS_pa_trend_signal</v>
      </c>
      <c r="AL232" s="42">
        <f>'1kpi_performance'!B232</f>
        <v>0.4720232734</v>
      </c>
      <c r="AM232" s="42">
        <f>'1kpi_performance'!C232</f>
        <v>0.620012835</v>
      </c>
      <c r="AN232" s="42">
        <f>'1kpi_performance'!D232</f>
        <v>0.4208018896</v>
      </c>
      <c r="AO232" s="42">
        <f>'1kpi_performance'!E232</f>
        <v>0.2522605014</v>
      </c>
      <c r="AP232" s="42">
        <f>'1kpi_performance'!F232</f>
        <v>0.176364337</v>
      </c>
      <c r="AQ232" s="42">
        <f>'1kpi_performance'!G232</f>
        <v>0.188622275</v>
      </c>
      <c r="AR232" s="42">
        <f>'1kpi_performance'!H232</f>
        <v>0.2004941225</v>
      </c>
      <c r="AS232" s="42">
        <f>'1kpi_performance'!I232</f>
        <v>0.2867515975</v>
      </c>
      <c r="AT232" s="35">
        <f>'1kpi_performance'!J232</f>
        <v>2.534657976</v>
      </c>
      <c r="AU232" s="35">
        <f>'1kpi_performance'!K232</f>
        <v>3.154520509</v>
      </c>
      <c r="AV232" s="35">
        <f>'1kpi_performance'!L232</f>
        <v>1.974132133</v>
      </c>
      <c r="AW232" s="35">
        <f>'1kpi_performance'!M232</f>
        <v>0.7925343866</v>
      </c>
      <c r="AX232" s="42">
        <f>'1kpi_performance'!N232</f>
        <v>0.1204871448</v>
      </c>
      <c r="AY232" s="42">
        <f>'1kpi_performance'!O232</f>
        <v>0.1118732316</v>
      </c>
      <c r="AZ232" s="42">
        <f>'1kpi_performance'!P232</f>
        <v>0.3166811179</v>
      </c>
      <c r="BA232" s="42">
        <f>'1kpi_performance'!Q232</f>
        <v>0.3492759146</v>
      </c>
      <c r="BB232" s="35">
        <f>'1kpi_performance'!R232</f>
        <v>5.611451307</v>
      </c>
      <c r="BC232" s="35">
        <f>'1kpi_performance'!S232</f>
        <v>7.353528545</v>
      </c>
      <c r="BD232" s="35">
        <f>'1kpi_performance'!T232</f>
        <v>3.798225665</v>
      </c>
      <c r="BE232" s="35">
        <f>'1kpi_performance'!U232</f>
        <v>1.530475689</v>
      </c>
      <c r="BF232" s="47"/>
      <c r="BG232" s="47"/>
      <c r="BH232" s="47"/>
      <c r="BI232" s="47"/>
      <c r="BJ232" s="47"/>
      <c r="BK232" s="47"/>
      <c r="BL232" s="47"/>
      <c r="BM232" s="47"/>
      <c r="BN232" s="47"/>
      <c r="BO232" s="47"/>
      <c r="BP232" s="47"/>
      <c r="BQ232" s="47"/>
      <c r="BR232" s="47"/>
      <c r="BS232" s="47"/>
      <c r="BT232" s="47"/>
    </row>
    <row r="233" ht="11.25" customHeight="1">
      <c r="A233" s="35" t="str">
        <f>'13all_company_profile'!A233</f>
        <v>FISV</v>
      </c>
      <c r="B233" s="35" t="str">
        <f>'13all_company_profile'!B233</f>
        <v>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v>
      </c>
      <c r="C233" s="44" t="str">
        <f>'13all_company_profile'!C233</f>
        <v>https://financialmodelingprep.com/image-stock/FISV.png</v>
      </c>
      <c r="D233" s="35" t="str">
        <f>'13all_company_profile'!D233</f>
        <v>Fiserv, Inc.</v>
      </c>
      <c r="E233" s="36">
        <f>'13all_company_profile'!E233</f>
        <v>73324011520</v>
      </c>
      <c r="F233" s="37">
        <f>'13all_company_profile'!F233</f>
        <v>4559630</v>
      </c>
      <c r="G233" s="35">
        <f>'13all_company_profile'!G233</f>
        <v>0</v>
      </c>
      <c r="H233" s="38">
        <f>'13all_company_profile'!H233</f>
        <v>44411</v>
      </c>
      <c r="I233" s="35">
        <f>'13all_company_profile'!I233</f>
        <v>87.26097</v>
      </c>
      <c r="J233" s="35">
        <f>'13all_company_profile'!J233</f>
        <v>1.276</v>
      </c>
      <c r="K233" s="42" t="str">
        <f t="shared" si="1"/>
        <v>NaN</v>
      </c>
      <c r="L233" s="35">
        <f>'7company_info'!B233</f>
        <v>108.84</v>
      </c>
      <c r="M233" s="35">
        <f>'7company_info'!C233</f>
        <v>109.73</v>
      </c>
      <c r="N233" s="35">
        <f>'7company_info'!D233</f>
        <v>106.73</v>
      </c>
      <c r="O233" s="35">
        <f>'7company_info'!E233</f>
        <v>2.18</v>
      </c>
      <c r="P233" s="35">
        <f>'7company_info'!F233</f>
        <v>0.0204</v>
      </c>
      <c r="Q233" s="35">
        <f>'7company_info'!G233</f>
        <v>106.87</v>
      </c>
      <c r="R233" s="35">
        <f>'7company_info'!H233</f>
        <v>106.66</v>
      </c>
      <c r="S233" s="35">
        <f>'7company_info'!I233</f>
        <v>92.15</v>
      </c>
      <c r="T233" s="35">
        <f>'7company_info'!J233</f>
        <v>127.34</v>
      </c>
      <c r="U233" s="39">
        <v>109.888333333333</v>
      </c>
      <c r="V233" s="39">
        <v>110.356666666666</v>
      </c>
      <c r="W233" s="40">
        <v>110.973333333333</v>
      </c>
      <c r="X233" s="40">
        <v>112.058333333333</v>
      </c>
      <c r="Y233" s="40">
        <v>109.271666666666</v>
      </c>
      <c r="Z233" s="40">
        <v>108.803333333333</v>
      </c>
      <c r="AA233" s="40">
        <v>107.718333333333</v>
      </c>
      <c r="AB233" s="40">
        <v>107.79</v>
      </c>
      <c r="AC233" s="40">
        <v>107.16</v>
      </c>
      <c r="AD233" s="40">
        <v>109.291120502366</v>
      </c>
      <c r="AE233" s="40">
        <v>106.84288</v>
      </c>
      <c r="AF233" s="40">
        <v>1.60056</v>
      </c>
      <c r="AG233" s="40">
        <v>127.34</v>
      </c>
      <c r="AH233" s="45">
        <v>44312.0</v>
      </c>
      <c r="AI233" s="44" t="str">
        <f>'6image_RS_benchmark_performance'!B233</f>
        <v>https://3arbzfbsh-cname-us.ngrok.io/Desktop/seabridge%20fintech/image_app/FISV_resistance_support.jpg</v>
      </c>
      <c r="AJ233" s="44" t="str">
        <f>'6image_RS_benchmark_performance'!C233</f>
        <v>https://3arbzfbsh-cname-us.ngrok.io/Desktop/seabridge%20fintech/profit_graph_app/FISV_Return.jpg</v>
      </c>
      <c r="AK233" s="46" t="str">
        <f>'5price_action_icon'!B233</f>
        <v>https://3arbzfbsh-cname-us.ngrok.io/Desktop/seabridge%20fintech/icon/FISV_pa_trend_signal</v>
      </c>
      <c r="AL233" s="42">
        <f>'1kpi_performance'!B233</f>
        <v>0.4994091776</v>
      </c>
      <c r="AM233" s="42">
        <f>'1kpi_performance'!C233</f>
        <v>0.5733447678</v>
      </c>
      <c r="AN233" s="42">
        <f>'1kpi_performance'!D233</f>
        <v>0.4641674539</v>
      </c>
      <c r="AO233" s="42">
        <f>'1kpi_performance'!E233</f>
        <v>0.3220855915</v>
      </c>
      <c r="AP233" s="42">
        <f>'1kpi_performance'!F233</f>
        <v>0.1769459295</v>
      </c>
      <c r="AQ233" s="42">
        <f>'1kpi_performance'!G233</f>
        <v>0.1872505357</v>
      </c>
      <c r="AR233" s="42">
        <f>'1kpi_performance'!H233</f>
        <v>0.1500059483</v>
      </c>
      <c r="AS233" s="42">
        <f>'1kpi_performance'!I233</f>
        <v>0.2741247847</v>
      </c>
      <c r="AT233" s="35">
        <f>'1kpi_performance'!J233</f>
        <v>2.681096869</v>
      </c>
      <c r="AU233" s="35">
        <f>'1kpi_performance'!K233</f>
        <v>2.928401597</v>
      </c>
      <c r="AV233" s="35">
        <f>'1kpi_performance'!L233</f>
        <v>2.927666928</v>
      </c>
      <c r="AW233" s="35">
        <f>'1kpi_performance'!M233</f>
        <v>1.083760419</v>
      </c>
      <c r="AX233" s="42">
        <f>'1kpi_performance'!N233</f>
        <v>0.1234618123</v>
      </c>
      <c r="AY233" s="42">
        <f>'1kpi_performance'!O233</f>
        <v>0.1234618123</v>
      </c>
      <c r="AZ233" s="42">
        <f>'1kpi_performance'!P233</f>
        <v>0.1124260355</v>
      </c>
      <c r="BA233" s="42">
        <f>'1kpi_performance'!Q233</f>
        <v>0.3784809105</v>
      </c>
      <c r="BB233" s="35">
        <f>'1kpi_performance'!R233</f>
        <v>5.711751989</v>
      </c>
      <c r="BC233" s="35">
        <f>'1kpi_performance'!S233</f>
        <v>6.390381886</v>
      </c>
      <c r="BD233" s="35">
        <f>'1kpi_performance'!T233</f>
        <v>6.35083589</v>
      </c>
      <c r="BE233" s="35">
        <f>'1kpi_performance'!U233</f>
        <v>2.074663274</v>
      </c>
      <c r="BF233" s="47"/>
      <c r="BG233" s="47"/>
      <c r="BH233" s="47"/>
      <c r="BI233" s="47"/>
      <c r="BJ233" s="47"/>
      <c r="BK233" s="47"/>
      <c r="BL233" s="47"/>
      <c r="BM233" s="47"/>
      <c r="BN233" s="47"/>
      <c r="BO233" s="47"/>
      <c r="BP233" s="47"/>
      <c r="BQ233" s="47"/>
      <c r="BR233" s="47"/>
      <c r="BS233" s="47"/>
      <c r="BT233" s="47"/>
    </row>
    <row r="234" ht="11.25" customHeight="1">
      <c r="A234" s="35" t="str">
        <f>'13all_company_profile'!A234</f>
        <v>FITB</v>
      </c>
      <c r="B234" s="35" t="str">
        <f>'13all_company_profile'!B234</f>
        <v>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v>
      </c>
      <c r="C234" s="44" t="str">
        <f>'13all_company_profile'!C234</f>
        <v>https://financialmodelingprep.com/image-stock/FITB.png</v>
      </c>
      <c r="D234" s="35" t="str">
        <f>'13all_company_profile'!D234</f>
        <v>Fifth Third Bancorp</v>
      </c>
      <c r="E234" s="36">
        <f>'13all_company_profile'!E234</f>
        <v>26518542336</v>
      </c>
      <c r="F234" s="37">
        <f>'13all_company_profile'!F234</f>
        <v>4897969</v>
      </c>
      <c r="G234" s="35">
        <f>'13all_company_profile'!G234</f>
        <v>1.08</v>
      </c>
      <c r="H234" s="38">
        <f>'13all_company_profile'!H234</f>
        <v>44399</v>
      </c>
      <c r="I234" s="35">
        <f>'13all_company_profile'!I234</f>
        <v>13.359663</v>
      </c>
      <c r="J234" s="35">
        <f>'13all_company_profile'!J234</f>
        <v>2.722</v>
      </c>
      <c r="K234" s="42">
        <f t="shared" si="1"/>
        <v>0.03003337041</v>
      </c>
      <c r="L234" s="35">
        <f>'7company_info'!B234</f>
        <v>35.96</v>
      </c>
      <c r="M234" s="35">
        <f>'7company_info'!C234</f>
        <v>36.41</v>
      </c>
      <c r="N234" s="35">
        <f>'7company_info'!D234</f>
        <v>34.37</v>
      </c>
      <c r="O234" s="35">
        <f>'7company_info'!E234</f>
        <v>1.33</v>
      </c>
      <c r="P234" s="35">
        <f>'7company_info'!F234</f>
        <v>0.0384</v>
      </c>
      <c r="Q234" s="35">
        <f>'7company_info'!G234</f>
        <v>34.53</v>
      </c>
      <c r="R234" s="35">
        <f>'7company_info'!H234</f>
        <v>34.63</v>
      </c>
      <c r="S234" s="35">
        <f>'7company_info'!I234</f>
        <v>18.26</v>
      </c>
      <c r="T234" s="35">
        <f>'7company_info'!J234</f>
        <v>43.06</v>
      </c>
      <c r="U234" s="39">
        <v>37.4383333333333</v>
      </c>
      <c r="V234" s="39">
        <v>38.1016666666666</v>
      </c>
      <c r="W234" s="40">
        <v>38.8233333333333</v>
      </c>
      <c r="X234" s="40">
        <v>40.2083333333333</v>
      </c>
      <c r="Y234" s="40">
        <v>36.7166666666666</v>
      </c>
      <c r="Z234" s="40">
        <v>36.0533333333333</v>
      </c>
      <c r="AA234" s="40">
        <v>34.6683333333333</v>
      </c>
      <c r="AB234" s="40">
        <v>41.33</v>
      </c>
      <c r="AC234" s="40">
        <v>36.95</v>
      </c>
      <c r="AD234" s="40">
        <v>38.3888594609876</v>
      </c>
      <c r="AE234" s="40">
        <v>35.4405</v>
      </c>
      <c r="AF234" s="40">
        <v>1.08999999999999</v>
      </c>
      <c r="AG234" s="40">
        <v>43.06</v>
      </c>
      <c r="AH234" s="45">
        <v>44326.0</v>
      </c>
      <c r="AI234" s="44" t="str">
        <f>'6image_RS_benchmark_performance'!B234</f>
        <v>https://3arbzfbsh-cname-us.ngrok.io/Desktop/seabridge%20fintech/image_app/FITB_resistance_support.jpg</v>
      </c>
      <c r="AJ234" s="44" t="str">
        <f>'6image_RS_benchmark_performance'!C234</f>
        <v>https://3arbzfbsh-cname-us.ngrok.io/Desktop/seabridge%20fintech/profit_graph_app/FITB_Return.jpg</v>
      </c>
      <c r="AK234" s="46" t="str">
        <f>'5price_action_icon'!B234</f>
        <v>https://3arbzfbsh-cname-us.ngrok.io/Desktop/seabridge%20fintech/icon/FITB_pa_trend_signal</v>
      </c>
      <c r="AL234" s="42">
        <f>'1kpi_performance'!B234</f>
        <v>0.6510874548</v>
      </c>
      <c r="AM234" s="42">
        <f>'1kpi_performance'!C234</f>
        <v>0.768550297</v>
      </c>
      <c r="AN234" s="42">
        <f>'1kpi_performance'!D234</f>
        <v>0.6963152471</v>
      </c>
      <c r="AO234" s="42">
        <f>'1kpi_performance'!E234</f>
        <v>0.1518607471</v>
      </c>
      <c r="AP234" s="42">
        <f>'1kpi_performance'!F234</f>
        <v>0.2870123582</v>
      </c>
      <c r="AQ234" s="42">
        <f>'1kpi_performance'!G234</f>
        <v>0.2889037454</v>
      </c>
      <c r="AR234" s="42">
        <f>'1kpi_performance'!H234</f>
        <v>0.2484685268</v>
      </c>
      <c r="AS234" s="42">
        <f>'1kpi_performance'!I234</f>
        <v>0.422288921</v>
      </c>
      <c r="AT234" s="35">
        <f>'1kpi_performance'!J234</f>
        <v>2.181395459</v>
      </c>
      <c r="AU234" s="35">
        <f>'1kpi_performance'!K234</f>
        <v>2.573695596</v>
      </c>
      <c r="AV234" s="35">
        <f>'1kpi_performance'!L234</f>
        <v>2.701811999</v>
      </c>
      <c r="AW234" s="35">
        <f>'1kpi_performance'!M234</f>
        <v>0.300412208</v>
      </c>
      <c r="AX234" s="42">
        <f>'1kpi_performance'!N234</f>
        <v>0.2240184758</v>
      </c>
      <c r="AY234" s="42">
        <f>'1kpi_performance'!O234</f>
        <v>0.2240184758</v>
      </c>
      <c r="AZ234" s="42">
        <f>'1kpi_performance'!P234</f>
        <v>0.1786666667</v>
      </c>
      <c r="BA234" s="42">
        <f>'1kpi_performance'!Q234</f>
        <v>0.6602620087</v>
      </c>
      <c r="BB234" s="35">
        <f>'1kpi_performance'!R234</f>
        <v>4.660823164</v>
      </c>
      <c r="BC234" s="35">
        <f>'1kpi_performance'!S234</f>
        <v>5.768258508</v>
      </c>
      <c r="BD234" s="35">
        <f>'1kpi_performance'!T234</f>
        <v>6.047013993</v>
      </c>
      <c r="BE234" s="35">
        <f>'1kpi_performance'!U234</f>
        <v>0.578594031</v>
      </c>
      <c r="BF234" s="47"/>
      <c r="BG234" s="47"/>
      <c r="BH234" s="47"/>
      <c r="BI234" s="47"/>
      <c r="BJ234" s="47"/>
      <c r="BK234" s="47"/>
      <c r="BL234" s="47"/>
      <c r="BM234" s="47"/>
      <c r="BN234" s="47"/>
      <c r="BO234" s="47"/>
      <c r="BP234" s="47"/>
      <c r="BQ234" s="47"/>
      <c r="BR234" s="47"/>
      <c r="BS234" s="47"/>
      <c r="BT234" s="47"/>
    </row>
    <row r="235" ht="11.25" customHeight="1">
      <c r="A235" s="35" t="str">
        <f>'13all_company_profile'!A235</f>
        <v>FLT</v>
      </c>
      <c r="B235" s="35" t="str">
        <f>'13all_company_profile'!B235</f>
        <v>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v>
      </c>
      <c r="C235" s="44" t="str">
        <f>'13all_company_profile'!C235</f>
        <v>https://financialmodelingprep.com/image-stock/FLT.png</v>
      </c>
      <c r="D235" s="35" t="str">
        <f>'13all_company_profile'!D235</f>
        <v>FLEETCOR Technologies, Inc.</v>
      </c>
      <c r="E235" s="36">
        <f>'13all_company_profile'!E235</f>
        <v>21428348928</v>
      </c>
      <c r="F235" s="37">
        <f>'13all_company_profile'!F235</f>
        <v>671758</v>
      </c>
      <c r="G235" s="35">
        <f>'13all_company_profile'!G235</f>
        <v>0</v>
      </c>
      <c r="H235" s="38">
        <f>'13all_company_profile'!H235</f>
        <v>44412</v>
      </c>
      <c r="I235" s="35">
        <f>'13all_company_profile'!I235</f>
        <v>29.621283</v>
      </c>
      <c r="J235" s="35">
        <f>'13all_company_profile'!J235</f>
        <v>8.608</v>
      </c>
      <c r="K235" s="42" t="str">
        <f t="shared" si="1"/>
        <v>NaN</v>
      </c>
      <c r="L235" s="35">
        <f>'7company_info'!B235</f>
        <v>250.59</v>
      </c>
      <c r="M235" s="35">
        <f>'7company_info'!C235</f>
        <v>252.73</v>
      </c>
      <c r="N235" s="35">
        <f>'7company_info'!D235</f>
        <v>246.63</v>
      </c>
      <c r="O235" s="35">
        <f>'7company_info'!E235</f>
        <v>4.99</v>
      </c>
      <c r="P235" s="35">
        <f>'7company_info'!F235</f>
        <v>0.0203</v>
      </c>
      <c r="Q235" s="35">
        <f>'7company_info'!G235</f>
        <v>246.63</v>
      </c>
      <c r="R235" s="35">
        <f>'7company_info'!H235</f>
        <v>245.6</v>
      </c>
      <c r="S235" s="35">
        <f>'7company_info'!I235</f>
        <v>214.88</v>
      </c>
      <c r="T235" s="35">
        <f>'7company_info'!J235</f>
        <v>295.36</v>
      </c>
      <c r="U235" s="39">
        <v>255.958333333333</v>
      </c>
      <c r="V235" s="39">
        <v>259.336666666666</v>
      </c>
      <c r="W235" s="40">
        <v>261.943333333333</v>
      </c>
      <c r="X235" s="40">
        <v>267.928333333333</v>
      </c>
      <c r="Y235" s="40">
        <v>253.351666666666</v>
      </c>
      <c r="Z235" s="40">
        <v>249.973333333333</v>
      </c>
      <c r="AA235" s="40">
        <v>243.988333333333</v>
      </c>
      <c r="AB235" s="40">
        <v>271.63</v>
      </c>
      <c r="AC235" s="40">
        <v>254.25</v>
      </c>
      <c r="AD235" s="40">
        <v>258.57324696351</v>
      </c>
      <c r="AE235" s="40">
        <v>240.615</v>
      </c>
      <c r="AF235" s="40">
        <v>5.47475</v>
      </c>
      <c r="AG235" s="40">
        <v>295.36</v>
      </c>
      <c r="AH235" s="45">
        <v>44315.0</v>
      </c>
      <c r="AI235" s="44" t="str">
        <f>'6image_RS_benchmark_performance'!B235</f>
        <v>https://3arbzfbsh-cname-us.ngrok.io/Desktop/seabridge%20fintech/image_app/FLT_resistance_support.jpg</v>
      </c>
      <c r="AJ235" s="44" t="str">
        <f>'6image_RS_benchmark_performance'!C235</f>
        <v>https://3arbzfbsh-cname-us.ngrok.io/Desktop/seabridge%20fintech/profit_graph_app/FLT_Return.jpg</v>
      </c>
      <c r="AK235" s="46" t="str">
        <f>'5price_action_icon'!B235</f>
        <v>https://3arbzfbsh-cname-us.ngrok.io/Desktop/seabridge%20fintech/icon/FLT_pa_trend_signal</v>
      </c>
      <c r="AL235" s="42">
        <f>'1kpi_performance'!B235</f>
        <v>0.788344886</v>
      </c>
      <c r="AM235" s="42">
        <f>'1kpi_performance'!C235</f>
        <v>1.065469047</v>
      </c>
      <c r="AN235" s="42">
        <f>'1kpi_performance'!D235</f>
        <v>0.5653092277</v>
      </c>
      <c r="AO235" s="42">
        <f>'1kpi_performance'!E235</f>
        <v>0.3545183982</v>
      </c>
      <c r="AP235" s="42">
        <f>'1kpi_performance'!F235</f>
        <v>0.2591451643</v>
      </c>
      <c r="AQ235" s="42">
        <f>'1kpi_performance'!G235</f>
        <v>0.2606491953</v>
      </c>
      <c r="AR235" s="42">
        <f>'1kpi_performance'!H235</f>
        <v>0.2770515681</v>
      </c>
      <c r="AS235" s="42">
        <f>'1kpi_performance'!I235</f>
        <v>0.3688955067</v>
      </c>
      <c r="AT235" s="35">
        <f>'1kpi_performance'!J235</f>
        <v>2.945626588</v>
      </c>
      <c r="AU235" s="35">
        <f>'1kpi_performance'!K235</f>
        <v>3.991836792</v>
      </c>
      <c r="AV235" s="35">
        <f>'1kpi_performance'!L235</f>
        <v>1.950211765</v>
      </c>
      <c r="AW235" s="35">
        <f>'1kpi_performance'!M235</f>
        <v>0.8932567412</v>
      </c>
      <c r="AX235" s="42">
        <f>'1kpi_performance'!N235</f>
        <v>0.1843096628</v>
      </c>
      <c r="AY235" s="42">
        <f>'1kpi_performance'!O235</f>
        <v>0.09195964265</v>
      </c>
      <c r="AZ235" s="42">
        <f>'1kpi_performance'!P235</f>
        <v>0.4652299835</v>
      </c>
      <c r="BA235" s="42">
        <f>'1kpi_performance'!Q235</f>
        <v>0.4778166337</v>
      </c>
      <c r="BB235" s="35">
        <f>'1kpi_performance'!R235</f>
        <v>6.835618424</v>
      </c>
      <c r="BC235" s="35">
        <f>'1kpi_performance'!S235</f>
        <v>10.17976626</v>
      </c>
      <c r="BD235" s="35">
        <f>'1kpi_performance'!T235</f>
        <v>4.086209659</v>
      </c>
      <c r="BE235" s="35">
        <f>'1kpi_performance'!U235</f>
        <v>1.811266155</v>
      </c>
      <c r="BF235" s="47"/>
      <c r="BG235" s="47"/>
      <c r="BH235" s="47"/>
      <c r="BI235" s="47"/>
      <c r="BJ235" s="47"/>
      <c r="BK235" s="47"/>
      <c r="BL235" s="47"/>
      <c r="BM235" s="47"/>
      <c r="BN235" s="47"/>
      <c r="BO235" s="47"/>
      <c r="BP235" s="47"/>
      <c r="BQ235" s="47"/>
      <c r="BR235" s="47"/>
      <c r="BS235" s="47"/>
      <c r="BT235" s="47"/>
    </row>
    <row r="236" ht="11.25" customHeight="1">
      <c r="A236" s="35" t="str">
        <f>'13all_company_profile'!A236</f>
        <v>FMC</v>
      </c>
      <c r="B236" s="35" t="str">
        <f>'13all_company_profile'!B236</f>
        <v>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v>
      </c>
      <c r="C236" s="44" t="str">
        <f>'13all_company_profile'!C236</f>
        <v>https://financialmodelingprep.com/image-stock/FMC.png</v>
      </c>
      <c r="D236" s="35" t="str">
        <f>'13all_company_profile'!D236</f>
        <v>FMC Corporation</v>
      </c>
      <c r="E236" s="36">
        <f>'13all_company_profile'!E236</f>
        <v>13811747840</v>
      </c>
      <c r="F236" s="37">
        <f>'13all_company_profile'!F236</f>
        <v>784526</v>
      </c>
      <c r="G236" s="35">
        <f>'13all_company_profile'!G236</f>
        <v>1.88</v>
      </c>
      <c r="H236" s="38">
        <f>'13all_company_profile'!H236</f>
        <v>44411</v>
      </c>
      <c r="I236" s="35">
        <f>'13all_company_profile'!I236</f>
        <v>26.020306</v>
      </c>
      <c r="J236" s="35">
        <f>'13all_company_profile'!J236</f>
        <v>4.038</v>
      </c>
      <c r="K236" s="42">
        <f t="shared" si="1"/>
        <v>0.01819237469</v>
      </c>
      <c r="L236" s="35">
        <f>'7company_info'!B236</f>
        <v>103.34</v>
      </c>
      <c r="M236" s="35">
        <f>'7company_info'!C236</f>
        <v>104.4</v>
      </c>
      <c r="N236" s="35">
        <f>'7company_info'!D236</f>
        <v>102.45</v>
      </c>
      <c r="O236" s="35">
        <f>'7company_info'!E236</f>
        <v>0.23</v>
      </c>
      <c r="P236" s="35">
        <f>'7company_info'!F236</f>
        <v>0.0022</v>
      </c>
      <c r="Q236" s="35">
        <f>'7company_info'!G236</f>
        <v>102.84</v>
      </c>
      <c r="R236" s="35">
        <f>'7company_info'!H236</f>
        <v>103.11</v>
      </c>
      <c r="S236" s="35">
        <f>'7company_info'!I236</f>
        <v>98.16</v>
      </c>
      <c r="T236" s="35">
        <f>'7company_info'!J236</f>
        <v>123.66</v>
      </c>
      <c r="U236" s="39">
        <v>107.616666666666</v>
      </c>
      <c r="V236" s="39">
        <v>108.213333333333</v>
      </c>
      <c r="W236" s="40">
        <v>109.216666666666</v>
      </c>
      <c r="X236" s="40">
        <v>110.816666666666</v>
      </c>
      <c r="Y236" s="40">
        <v>106.613333333333</v>
      </c>
      <c r="Z236" s="40">
        <v>106.016666666666</v>
      </c>
      <c r="AA236" s="40">
        <v>104.416666666666</v>
      </c>
      <c r="AB236" s="40">
        <v>114.02</v>
      </c>
      <c r="AC236" s="40">
        <v>107.275</v>
      </c>
      <c r="AD236" s="40">
        <v>110.187256307672</v>
      </c>
      <c r="AE236" s="40">
        <v>102.46928</v>
      </c>
      <c r="AF236" s="40">
        <v>2.28686</v>
      </c>
      <c r="AG236" s="40">
        <v>122.5</v>
      </c>
      <c r="AH236" s="45">
        <v>44326.0</v>
      </c>
      <c r="AI236" s="44" t="str">
        <f>'6image_RS_benchmark_performance'!B236</f>
        <v>https://3arbzfbsh-cname-us.ngrok.io/Desktop/seabridge%20fintech/image_app/FMC_resistance_support.jpg</v>
      </c>
      <c r="AJ236" s="44" t="str">
        <f>'6image_RS_benchmark_performance'!C236</f>
        <v>https://3arbzfbsh-cname-us.ngrok.io/Desktop/seabridge%20fintech/profit_graph_app/FMC_Return.jpg</v>
      </c>
      <c r="AK236" s="46" t="str">
        <f>'5price_action_icon'!B236</f>
        <v>https://3arbzfbsh-cname-us.ngrok.io/Desktop/seabridge%20fintech/icon/FMC_pa_trend_signal</v>
      </c>
      <c r="AL236" s="42">
        <f>'1kpi_performance'!B236</f>
        <v>0.5932992555</v>
      </c>
      <c r="AM236" s="42">
        <f>'1kpi_performance'!C236</f>
        <v>0.7620184114</v>
      </c>
      <c r="AN236" s="42">
        <f>'1kpi_performance'!D236</f>
        <v>0.5809065838</v>
      </c>
      <c r="AO236" s="42">
        <f>'1kpi_performance'!E236</f>
        <v>0.2092753441</v>
      </c>
      <c r="AP236" s="42">
        <f>'1kpi_performance'!F236</f>
        <v>0.2370845928</v>
      </c>
      <c r="AQ236" s="42">
        <f>'1kpi_performance'!G236</f>
        <v>0.2440636586</v>
      </c>
      <c r="AR236" s="42">
        <f>'1kpi_performance'!H236</f>
        <v>0.2236048549</v>
      </c>
      <c r="AS236" s="42">
        <f>'1kpi_performance'!I236</f>
        <v>0.3540930895</v>
      </c>
      <c r="AT236" s="35">
        <f>'1kpi_performance'!J236</f>
        <v>2.397031578</v>
      </c>
      <c r="AU236" s="35">
        <f>'1kpi_performance'!K236</f>
        <v>3.019779412</v>
      </c>
      <c r="AV236" s="35">
        <f>'1kpi_performance'!L236</f>
        <v>2.486111423</v>
      </c>
      <c r="AW236" s="35">
        <f>'1kpi_performance'!M236</f>
        <v>0.5204149687</v>
      </c>
      <c r="AX236" s="42">
        <f>'1kpi_performance'!N236</f>
        <v>0.1835583837</v>
      </c>
      <c r="AY236" s="42">
        <f>'1kpi_performance'!O236</f>
        <v>0.142303969</v>
      </c>
      <c r="AZ236" s="42">
        <f>'1kpi_performance'!P236</f>
        <v>0.3383478643</v>
      </c>
      <c r="BA236" s="42">
        <f>'1kpi_performance'!Q236</f>
        <v>0.6037301184</v>
      </c>
      <c r="BB236" s="35">
        <f>'1kpi_performance'!R236</f>
        <v>5.383983013</v>
      </c>
      <c r="BC236" s="35">
        <f>'1kpi_performance'!S236</f>
        <v>7.216752439</v>
      </c>
      <c r="BD236" s="35">
        <f>'1kpi_performance'!T236</f>
        <v>5.297088946</v>
      </c>
      <c r="BE236" s="35">
        <f>'1kpi_performance'!U236</f>
        <v>1.035191746</v>
      </c>
      <c r="BF236" s="47"/>
      <c r="BG236" s="47"/>
      <c r="BH236" s="47"/>
      <c r="BI236" s="47"/>
      <c r="BJ236" s="47"/>
      <c r="BK236" s="47"/>
      <c r="BL236" s="47"/>
      <c r="BM236" s="47"/>
      <c r="BN236" s="47"/>
      <c r="BO236" s="47"/>
      <c r="BP236" s="47"/>
      <c r="BQ236" s="47"/>
      <c r="BR236" s="47"/>
      <c r="BS236" s="47"/>
      <c r="BT236" s="47"/>
    </row>
    <row r="237" ht="11.25" customHeight="1">
      <c r="A237" s="35" t="str">
        <f>'13all_company_profile'!A237</f>
        <v>FOX</v>
      </c>
      <c r="B237" s="35" t="str">
        <f>'13all_company_profile'!B237</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7" s="44" t="str">
        <f>'13all_company_profile'!C237</f>
        <v>https://financialmodelingprep.com/image-stock/FOX.png</v>
      </c>
      <c r="D237" s="35" t="str">
        <f>'13all_company_profile'!D237</f>
        <v>Fox Corporation</v>
      </c>
      <c r="E237" s="36">
        <f>'13all_company_profile'!E237</f>
        <v>20303065088</v>
      </c>
      <c r="F237" s="37">
        <f>'13all_company_profile'!F237</f>
        <v>1037642</v>
      </c>
      <c r="G237" s="35">
        <f>'13all_company_profile'!G237</f>
        <v>0.46</v>
      </c>
      <c r="H237" s="38" t="str">
        <f>'13all_company_profile'!H237</f>
        <v>not avaiable</v>
      </c>
      <c r="I237" s="35">
        <f>'13all_company_profile'!I237</f>
        <v>9.940406</v>
      </c>
      <c r="J237" s="35">
        <f>'13all_company_profile'!J237</f>
        <v>3.356</v>
      </c>
      <c r="K237" s="42">
        <f t="shared" si="1"/>
        <v>0.01399452388</v>
      </c>
      <c r="L237" s="35">
        <f>'7company_info'!B237</f>
        <v>32.87</v>
      </c>
      <c r="M237" s="35">
        <f>'7company_info'!C237</f>
        <v>33</v>
      </c>
      <c r="N237" s="35">
        <f>'7company_info'!D237</f>
        <v>32.37</v>
      </c>
      <c r="O237" s="35">
        <f>'7company_info'!E237</f>
        <v>0.27</v>
      </c>
      <c r="P237" s="35">
        <f>'7company_info'!F237</f>
        <v>0.0083</v>
      </c>
      <c r="Q237" s="35">
        <f>'7company_info'!G237</f>
        <v>32.6</v>
      </c>
      <c r="R237" s="35">
        <f>'7company_info'!H237</f>
        <v>32.6</v>
      </c>
      <c r="S237" s="35">
        <f>'7company_info'!I237</f>
        <v>24.28</v>
      </c>
      <c r="T237" s="35">
        <f>'7company_info'!J237</f>
        <v>42.14</v>
      </c>
      <c r="U237" s="39">
        <v>34.2766666666666</v>
      </c>
      <c r="V237" s="39">
        <v>34.5933333333333</v>
      </c>
      <c r="W237" s="40">
        <v>34.8066666666666</v>
      </c>
      <c r="X237" s="40">
        <v>35.3366666666666</v>
      </c>
      <c r="Y237" s="40">
        <v>34.0633333333333</v>
      </c>
      <c r="Z237" s="40">
        <v>33.7466666666666</v>
      </c>
      <c r="AA237" s="40">
        <v>33.2166666666666</v>
      </c>
      <c r="AB237" s="40">
        <v>35.59</v>
      </c>
      <c r="AC237" s="40">
        <v>35.25</v>
      </c>
      <c r="AD237" s="40">
        <v>35.0981277847753</v>
      </c>
      <c r="AE237" s="40">
        <v>32.34953</v>
      </c>
      <c r="AF237" s="40">
        <v>0.803735</v>
      </c>
      <c r="AG237" s="40">
        <v>42.14</v>
      </c>
      <c r="AH237" s="45">
        <v>44271.0</v>
      </c>
      <c r="AI237" s="44" t="str">
        <f>'6image_RS_benchmark_performance'!B237</f>
        <v>https://3arbzfbsh-cname-us.ngrok.io/Desktop/seabridge%20fintech/image_app/FOX_resistance_support.jpg</v>
      </c>
      <c r="AJ237" s="44" t="str">
        <f>'6image_RS_benchmark_performance'!C237</f>
        <v>https://3arbzfbsh-cname-us.ngrok.io/Desktop/seabridge%20fintech/profit_graph_app/FOX_Return.jpg</v>
      </c>
      <c r="AK237" s="46" t="str">
        <f>'5price_action_icon'!B237</f>
        <v>https://3arbzfbsh-cname-us.ngrok.io/Desktop/seabridge%20fintech/icon/FOX_pa_trend_signal</v>
      </c>
      <c r="AL237" s="42">
        <f>'1kpi_performance'!B237</f>
        <v>0.6383338041</v>
      </c>
      <c r="AM237" s="42">
        <f>'1kpi_performance'!C237</f>
        <v>0.7652306756</v>
      </c>
      <c r="AN237" s="42">
        <f>'1kpi_performance'!D237</f>
        <v>0.8475921642</v>
      </c>
      <c r="AO237" s="42">
        <f>'1kpi_performance'!E237</f>
        <v>-0.07706015549</v>
      </c>
      <c r="AP237" s="42">
        <f>'1kpi_performance'!F237</f>
        <v>0.3443323496</v>
      </c>
      <c r="AQ237" s="42">
        <f>'1kpi_performance'!G237</f>
        <v>0.3275515722</v>
      </c>
      <c r="AR237" s="42">
        <f>'1kpi_performance'!H237</f>
        <v>0.2931824746</v>
      </c>
      <c r="AS237" s="42">
        <f>'1kpi_performance'!I237</f>
        <v>0.4710397054</v>
      </c>
      <c r="AT237" s="35">
        <f>'1kpi_performance'!J237</f>
        <v>1.781226205</v>
      </c>
      <c r="AU237" s="35">
        <f>'1kpi_performance'!K237</f>
        <v>2.259890467</v>
      </c>
      <c r="AV237" s="35">
        <f>'1kpi_performance'!L237</f>
        <v>2.805734433</v>
      </c>
      <c r="AW237" s="35">
        <f>'1kpi_performance'!M237</f>
        <v>-0.2166699629</v>
      </c>
      <c r="AX237" s="42">
        <f>'1kpi_performance'!N237</f>
        <v>0.1466905188</v>
      </c>
      <c r="AY237" s="42">
        <f>'1kpi_performance'!O237</f>
        <v>0.1345685032</v>
      </c>
      <c r="AZ237" s="42">
        <f>'1kpi_performance'!P237</f>
        <v>0.1233739837</v>
      </c>
      <c r="BA237" s="42">
        <f>'1kpi_performance'!Q237</f>
        <v>0.5170648464</v>
      </c>
      <c r="BB237" s="35">
        <f>'1kpi_performance'!R237</f>
        <v>3.6451468</v>
      </c>
      <c r="BC237" s="35">
        <f>'1kpi_performance'!S237</f>
        <v>4.925126653</v>
      </c>
      <c r="BD237" s="35">
        <f>'1kpi_performance'!T237</f>
        <v>6.018239172</v>
      </c>
      <c r="BE237" s="35">
        <f>'1kpi_performance'!U237</f>
        <v>-0.4206430253</v>
      </c>
      <c r="BF237" s="47"/>
      <c r="BG237" s="47"/>
      <c r="BH237" s="47"/>
      <c r="BI237" s="47"/>
      <c r="BJ237" s="47"/>
      <c r="BK237" s="47"/>
      <c r="BL237" s="47"/>
      <c r="BM237" s="47"/>
      <c r="BN237" s="47"/>
      <c r="BO237" s="47"/>
      <c r="BP237" s="47"/>
      <c r="BQ237" s="47"/>
      <c r="BR237" s="47"/>
      <c r="BS237" s="47"/>
      <c r="BT237" s="47"/>
    </row>
    <row r="238" ht="11.25" customHeight="1">
      <c r="A238" s="35" t="str">
        <f>'13all_company_profile'!A238</f>
        <v>FOXA</v>
      </c>
      <c r="B238" s="35" t="str">
        <f>'13all_company_profile'!B238</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8" s="44" t="str">
        <f>'13all_company_profile'!C238</f>
        <v>https://financialmodelingprep.com/image-stock/FOXA.png</v>
      </c>
      <c r="D238" s="35" t="str">
        <f>'13all_company_profile'!D238</f>
        <v>Fox Corporation</v>
      </c>
      <c r="E238" s="36">
        <f>'13all_company_profile'!E238</f>
        <v>20294686720</v>
      </c>
      <c r="F238" s="37">
        <f>'13all_company_profile'!F238</f>
        <v>2912660</v>
      </c>
      <c r="G238" s="35">
        <f>'13all_company_profile'!G238</f>
        <v>0.46</v>
      </c>
      <c r="H238" s="38">
        <f>'13all_company_profile'!H238</f>
        <v>44410</v>
      </c>
      <c r="I238" s="35">
        <f>'13all_company_profile'!I238</f>
        <v>10.508045</v>
      </c>
      <c r="J238" s="35">
        <f>'13all_company_profile'!J238</f>
        <v>3.356</v>
      </c>
      <c r="K238" s="42">
        <f t="shared" si="1"/>
        <v>0.01315413211</v>
      </c>
      <c r="L238" s="35">
        <f>'7company_info'!B238</f>
        <v>34.97</v>
      </c>
      <c r="M238" s="35">
        <f>'7company_info'!C238</f>
        <v>35.1</v>
      </c>
      <c r="N238" s="35">
        <f>'7company_info'!D238</f>
        <v>34.46</v>
      </c>
      <c r="O238" s="35">
        <f>'7company_info'!E238</f>
        <v>0.25</v>
      </c>
      <c r="P238" s="35">
        <f>'7company_info'!F238</f>
        <v>0.0072</v>
      </c>
      <c r="Q238" s="35">
        <f>'7company_info'!G238</f>
        <v>34.9</v>
      </c>
      <c r="R238" s="35">
        <f>'7company_info'!H238</f>
        <v>34.72</v>
      </c>
      <c r="S238" s="35">
        <f>'7company_info'!I238</f>
        <v>24.18</v>
      </c>
      <c r="T238" s="35">
        <f>'7company_info'!J238</f>
        <v>44.8</v>
      </c>
      <c r="U238" s="39">
        <v>36.2933333333333</v>
      </c>
      <c r="V238" s="39">
        <v>36.6066666666666</v>
      </c>
      <c r="W238" s="40">
        <v>36.8533333333333</v>
      </c>
      <c r="X238" s="40">
        <v>37.4133333333333</v>
      </c>
      <c r="Y238" s="40">
        <v>36.0466666666666</v>
      </c>
      <c r="Z238" s="40">
        <v>35.7333333333333</v>
      </c>
      <c r="AA238" s="40">
        <v>35.1733333333333</v>
      </c>
      <c r="AB238" s="40">
        <v>35.69</v>
      </c>
      <c r="AC238" s="40">
        <v>37.02</v>
      </c>
      <c r="AD238" s="40">
        <v>36.9551912501369</v>
      </c>
      <c r="AE238" s="40">
        <v>34.1395</v>
      </c>
      <c r="AF238" s="40">
        <v>0.89575</v>
      </c>
      <c r="AG238" s="40">
        <v>44.73</v>
      </c>
      <c r="AH238" s="45">
        <v>44271.0</v>
      </c>
      <c r="AI238" s="44" t="str">
        <f>'6image_RS_benchmark_performance'!B238</f>
        <v>https://3arbzfbsh-cname-us.ngrok.io/Desktop/seabridge%20fintech/image_app/FOXA_resistance_support.jpg</v>
      </c>
      <c r="AJ238" s="44" t="str">
        <f>'6image_RS_benchmark_performance'!C238</f>
        <v>https://3arbzfbsh-cname-us.ngrok.io/Desktop/seabridge%20fintech/profit_graph_app/FOXA_Return.jpg</v>
      </c>
      <c r="AK238" s="46" t="str">
        <f>'5price_action_icon'!B238</f>
        <v>https://3arbzfbsh-cname-us.ngrok.io/Desktop/seabridge%20fintech/icon/FOXA_pa_trend_signal</v>
      </c>
      <c r="AL238" s="42">
        <f>'1kpi_performance'!B238</f>
        <v>0.7938879725</v>
      </c>
      <c r="AM238" s="42">
        <f>'1kpi_performance'!C238</f>
        <v>0.9939295198</v>
      </c>
      <c r="AN238" s="42">
        <f>'1kpi_performance'!D238</f>
        <v>1.321285832</v>
      </c>
      <c r="AO238" s="42">
        <f>'1kpi_performance'!E238</f>
        <v>-0.02655969944</v>
      </c>
      <c r="AP238" s="42">
        <f>'1kpi_performance'!F238</f>
        <v>0.3705831062</v>
      </c>
      <c r="AQ238" s="42">
        <f>'1kpi_performance'!G238</f>
        <v>0.3052785359</v>
      </c>
      <c r="AR238" s="42">
        <f>'1kpi_performance'!H238</f>
        <v>0.3280510963</v>
      </c>
      <c r="AS238" s="42">
        <f>'1kpi_performance'!I238</f>
        <v>0.4857671669</v>
      </c>
      <c r="AT238" s="35">
        <f>'1kpi_performance'!J238</f>
        <v>2.074805785</v>
      </c>
      <c r="AU238" s="35">
        <f>'1kpi_performance'!K238</f>
        <v>3.173919571</v>
      </c>
      <c r="AV238" s="35">
        <f>'1kpi_performance'!L238</f>
        <v>3.951475385</v>
      </c>
      <c r="AW238" s="35">
        <f>'1kpi_performance'!M238</f>
        <v>-0.1061407665</v>
      </c>
      <c r="AX238" s="42">
        <f>'1kpi_performance'!N238</f>
        <v>0.18441247</v>
      </c>
      <c r="AY238" s="42">
        <f>'1kpi_performance'!O238</f>
        <v>0.1036305957</v>
      </c>
      <c r="AZ238" s="42">
        <f>'1kpi_performance'!P238</f>
        <v>0.1173111861</v>
      </c>
      <c r="BA238" s="42">
        <f>'1kpi_performance'!Q238</f>
        <v>0.51558753</v>
      </c>
      <c r="BB238" s="35">
        <f>'1kpi_performance'!R238</f>
        <v>4.311966272</v>
      </c>
      <c r="BC238" s="35">
        <f>'1kpi_performance'!S238</f>
        <v>7.009770382</v>
      </c>
      <c r="BD238" s="35">
        <f>'1kpi_performance'!T238</f>
        <v>8.732561743</v>
      </c>
      <c r="BE238" s="35">
        <f>'1kpi_performance'!U238</f>
        <v>-0.2077910605</v>
      </c>
      <c r="BF238" s="47"/>
      <c r="BG238" s="47"/>
      <c r="BH238" s="47"/>
      <c r="BI238" s="47"/>
      <c r="BJ238" s="47"/>
      <c r="BK238" s="47"/>
      <c r="BL238" s="47"/>
      <c r="BM238" s="47"/>
      <c r="BN238" s="47"/>
      <c r="BO238" s="47"/>
      <c r="BP238" s="47"/>
      <c r="BQ238" s="47"/>
      <c r="BR238" s="47"/>
      <c r="BS238" s="47"/>
      <c r="BT238" s="47"/>
    </row>
    <row r="239" ht="11.25" customHeight="1">
      <c r="A239" s="35" t="str">
        <f>'13all_company_profile'!A239</f>
        <v>FRC</v>
      </c>
      <c r="B239" s="35" t="str">
        <f>'13all_company_profile'!B239</f>
        <v>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v>
      </c>
      <c r="C239" s="44" t="str">
        <f>'13all_company_profile'!C239</f>
        <v>https://financialmodelingprep.com/image-stock/FRC.png</v>
      </c>
      <c r="D239" s="35" t="str">
        <f>'13all_company_profile'!D239</f>
        <v>First Republic Bank</v>
      </c>
      <c r="E239" s="36">
        <f>'13all_company_profile'!E239</f>
        <v>35275505664</v>
      </c>
      <c r="F239" s="37">
        <f>'13all_company_profile'!F239</f>
        <v>660007</v>
      </c>
      <c r="G239" s="35">
        <f>'13all_company_profile'!G239</f>
        <v>1.04</v>
      </c>
      <c r="H239" s="38" t="str">
        <f>'13all_company_profile'!H239</f>
        <v>not avaiable</v>
      </c>
      <c r="I239" s="35">
        <f>'13all_company_profile'!I239</f>
        <v>28.061531</v>
      </c>
      <c r="J239" s="35">
        <f>'13all_company_profile'!J239</f>
        <v>6.954</v>
      </c>
      <c r="K239" s="42">
        <f t="shared" si="1"/>
        <v>0.005375510415</v>
      </c>
      <c r="L239" s="35">
        <f>'7company_info'!B239</f>
        <v>193.47</v>
      </c>
      <c r="M239" s="35">
        <f>'7company_info'!C239</f>
        <v>196.46</v>
      </c>
      <c r="N239" s="35">
        <f>'7company_info'!D239</f>
        <v>187.79</v>
      </c>
      <c r="O239" s="35">
        <f>'7company_info'!E239</f>
        <v>4.96</v>
      </c>
      <c r="P239" s="35">
        <f>'7company_info'!F239</f>
        <v>0.0263</v>
      </c>
      <c r="Q239" s="35">
        <f>'7company_info'!G239</f>
        <v>187.79</v>
      </c>
      <c r="R239" s="35">
        <f>'7company_info'!H239</f>
        <v>188.51</v>
      </c>
      <c r="S239" s="35">
        <f>'7company_info'!I239</f>
        <v>100.38</v>
      </c>
      <c r="T239" s="35">
        <f>'7company_info'!J239</f>
        <v>202.07</v>
      </c>
      <c r="U239" s="39">
        <v>198.07</v>
      </c>
      <c r="V239" s="39">
        <v>201.13</v>
      </c>
      <c r="W239" s="40">
        <v>205.13</v>
      </c>
      <c r="X239" s="40">
        <v>212.19</v>
      </c>
      <c r="Y239" s="40">
        <v>194.07</v>
      </c>
      <c r="Z239" s="40">
        <v>191.01</v>
      </c>
      <c r="AA239" s="40">
        <v>183.95</v>
      </c>
      <c r="AB239" s="40">
        <v>177.42</v>
      </c>
      <c r="AC239" s="40">
        <v>202.07</v>
      </c>
      <c r="AD239" s="40">
        <v>190.452909527461</v>
      </c>
      <c r="AE239" s="40">
        <v>188.251</v>
      </c>
      <c r="AF239" s="40">
        <v>4.53225</v>
      </c>
      <c r="AG239" s="40">
        <v>197.38</v>
      </c>
      <c r="AH239" s="45">
        <v>44357.0</v>
      </c>
      <c r="AI239" s="44" t="str">
        <f>'6image_RS_benchmark_performance'!B239</f>
        <v>https://3arbzfbsh-cname-us.ngrok.io/Desktop/seabridge%20fintech/image_app/FRC_resistance_support.jpg</v>
      </c>
      <c r="AJ239" s="44" t="str">
        <f>'6image_RS_benchmark_performance'!C239</f>
        <v>https://3arbzfbsh-cname-us.ngrok.io/Desktop/seabridge%20fintech/profit_graph_app/FRC_Return.jpg</v>
      </c>
      <c r="AK239" s="46" t="str">
        <f>'5price_action_icon'!B239</f>
        <v>https://3arbzfbsh-cname-us.ngrok.io/Desktop/seabridge%20fintech/icon/FRC_pa_trend_signal</v>
      </c>
      <c r="AL239" s="42">
        <f>'1kpi_performance'!B239</f>
        <v>0.5925241651</v>
      </c>
      <c r="AM239" s="42">
        <f>'1kpi_performance'!C239</f>
        <v>0.7231188163</v>
      </c>
      <c r="AN239" s="42">
        <f>'1kpi_performance'!D239</f>
        <v>0.609747106</v>
      </c>
      <c r="AO239" s="42">
        <f>'1kpi_performance'!E239</f>
        <v>0.302161054</v>
      </c>
      <c r="AP239" s="42">
        <f>'1kpi_performance'!F239</f>
        <v>0.2328151979</v>
      </c>
      <c r="AQ239" s="42">
        <f>'1kpi_performance'!G239</f>
        <v>0.2172289062</v>
      </c>
      <c r="AR239" s="42">
        <f>'1kpi_performance'!H239</f>
        <v>0.2246650805</v>
      </c>
      <c r="AS239" s="42">
        <f>'1kpi_performance'!I239</f>
        <v>0.3258030522</v>
      </c>
      <c r="AT239" s="35">
        <f>'1kpi_performance'!J239</f>
        <v>2.437659441</v>
      </c>
      <c r="AU239" s="35">
        <f>'1kpi_performance'!K239</f>
        <v>3.213747325</v>
      </c>
      <c r="AV239" s="35">
        <f>'1kpi_performance'!L239</f>
        <v>2.602750302</v>
      </c>
      <c r="AW239" s="35">
        <f>'1kpi_performance'!M239</f>
        <v>0.8507012201</v>
      </c>
      <c r="AX239" s="42">
        <f>'1kpi_performance'!N239</f>
        <v>0.1923076923</v>
      </c>
      <c r="AY239" s="42">
        <f>'1kpi_performance'!O239</f>
        <v>0.08668670616</v>
      </c>
      <c r="AZ239" s="42">
        <f>'1kpi_performance'!P239</f>
        <v>0.1901080577</v>
      </c>
      <c r="BA239" s="42">
        <f>'1kpi_performance'!Q239</f>
        <v>0.3739130435</v>
      </c>
      <c r="BB239" s="35">
        <f>'1kpi_performance'!R239</f>
        <v>5.180508694</v>
      </c>
      <c r="BC239" s="35">
        <f>'1kpi_performance'!S239</f>
        <v>7.811531429</v>
      </c>
      <c r="BD239" s="35">
        <f>'1kpi_performance'!T239</f>
        <v>5.458000725</v>
      </c>
      <c r="BE239" s="35">
        <f>'1kpi_performance'!U239</f>
        <v>1.6809787</v>
      </c>
      <c r="BF239" s="47"/>
      <c r="BG239" s="47"/>
      <c r="BH239" s="47"/>
      <c r="BI239" s="47"/>
      <c r="BJ239" s="47"/>
      <c r="BK239" s="47"/>
      <c r="BL239" s="47"/>
      <c r="BM239" s="47"/>
      <c r="BN239" s="47"/>
      <c r="BO239" s="47"/>
      <c r="BP239" s="47"/>
      <c r="BQ239" s="47"/>
      <c r="BR239" s="47"/>
      <c r="BS239" s="47"/>
      <c r="BT239" s="47"/>
    </row>
    <row r="240" ht="11.25" customHeight="1">
      <c r="A240" s="35" t="str">
        <f>'13all_company_profile'!A240</f>
        <v>FRT</v>
      </c>
      <c r="B240" s="35" t="str">
        <f>'13all_company_profile'!B240</f>
        <v>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v>
      </c>
      <c r="C240" s="44" t="str">
        <f>'13all_company_profile'!C240</f>
        <v>https://financialmodelingprep.com/image-stock/FRT.png</v>
      </c>
      <c r="D240" s="35" t="str">
        <f>'13all_company_profile'!D240</f>
        <v>Federal Realty Investment Trust</v>
      </c>
      <c r="E240" s="36">
        <f>'13all_company_profile'!E240</f>
        <v>9123580928</v>
      </c>
      <c r="F240" s="37">
        <f>'13all_company_profile'!F240</f>
        <v>643519</v>
      </c>
      <c r="G240" s="35">
        <f>'13all_company_profile'!G240</f>
        <v>4.24</v>
      </c>
      <c r="H240" s="38">
        <f>'13all_company_profile'!H240</f>
        <v>44411</v>
      </c>
      <c r="I240" s="35">
        <f>'13all_company_profile'!I240</f>
        <v>76.91804</v>
      </c>
      <c r="J240" s="35">
        <f>'13all_company_profile'!J240</f>
        <v>1.525</v>
      </c>
      <c r="K240" s="42">
        <f t="shared" si="1"/>
        <v>0.03628894214</v>
      </c>
      <c r="L240" s="35">
        <f>'7company_info'!B240</f>
        <v>116.84</v>
      </c>
      <c r="M240" s="35">
        <f>'7company_info'!C240</f>
        <v>116.98</v>
      </c>
      <c r="N240" s="35">
        <f>'7company_info'!D240</f>
        <v>112.84</v>
      </c>
      <c r="O240" s="35">
        <f>'7company_info'!E240</f>
        <v>4.6</v>
      </c>
      <c r="P240" s="35">
        <f>'7company_info'!F240</f>
        <v>0.041</v>
      </c>
      <c r="Q240" s="35">
        <f>'7company_info'!G240</f>
        <v>112.86</v>
      </c>
      <c r="R240" s="35">
        <f>'7company_info'!H240</f>
        <v>112.24</v>
      </c>
      <c r="S240" s="35">
        <f>'7company_info'!I240</f>
        <v>67.01</v>
      </c>
      <c r="T240" s="35">
        <f>'7company_info'!J240</f>
        <v>125</v>
      </c>
      <c r="U240" s="39">
        <v>118.303333333333</v>
      </c>
      <c r="V240" s="39">
        <v>119.186666666666</v>
      </c>
      <c r="W240" s="40">
        <v>120.103333333333</v>
      </c>
      <c r="X240" s="40">
        <v>121.903333333333</v>
      </c>
      <c r="Y240" s="40">
        <v>117.386666666666</v>
      </c>
      <c r="Z240" s="40">
        <v>116.503333333333</v>
      </c>
      <c r="AA240" s="40">
        <v>114.703333333333</v>
      </c>
      <c r="AB240" s="40">
        <v>116.925</v>
      </c>
      <c r="AC240" s="40">
        <v>120.85</v>
      </c>
      <c r="AD240" s="40">
        <v>117.799617640791</v>
      </c>
      <c r="AE240" s="40">
        <v>112.2893</v>
      </c>
      <c r="AF240" s="40">
        <v>2.58284999999999</v>
      </c>
      <c r="AG240" s="40">
        <v>125.0</v>
      </c>
      <c r="AH240" s="45">
        <v>44361.0</v>
      </c>
      <c r="AI240" s="44" t="str">
        <f>'6image_RS_benchmark_performance'!B240</f>
        <v>https://3arbzfbsh-cname-us.ngrok.io/Desktop/seabridge%20fintech/image_app/FRT_resistance_support.jpg</v>
      </c>
      <c r="AJ240" s="44" t="str">
        <f>'6image_RS_benchmark_performance'!C240</f>
        <v>https://3arbzfbsh-cname-us.ngrok.io/Desktop/seabridge%20fintech/profit_graph_app/FRT_Return.jpg</v>
      </c>
      <c r="AK240" s="46" t="str">
        <f>'5price_action_icon'!B240</f>
        <v>https://3arbzfbsh-cname-us.ngrok.io/Desktop/seabridge%20fintech/icon/FRT_pa_trend_signal</v>
      </c>
      <c r="AL240" s="42">
        <f>'1kpi_performance'!B240</f>
        <v>0.4383013307</v>
      </c>
      <c r="AM240" s="42">
        <f>'1kpi_performance'!C240</f>
        <v>0.4120826527</v>
      </c>
      <c r="AN240" s="42">
        <f>'1kpi_performance'!D240</f>
        <v>0.5287986297</v>
      </c>
      <c r="AO240" s="42">
        <f>'1kpi_performance'!E240</f>
        <v>0.07342084667</v>
      </c>
      <c r="AP240" s="42">
        <f>'1kpi_performance'!F240</f>
        <v>0.224588144</v>
      </c>
      <c r="AQ240" s="42">
        <f>'1kpi_performance'!G240</f>
        <v>0.2285573135</v>
      </c>
      <c r="AR240" s="42">
        <f>'1kpi_performance'!H240</f>
        <v>0.2143440663</v>
      </c>
      <c r="AS240" s="42">
        <f>'1kpi_performance'!I240</f>
        <v>0.3234017681</v>
      </c>
      <c r="AT240" s="35">
        <f>'1kpi_performance'!J240</f>
        <v>1.840263352</v>
      </c>
      <c r="AU240" s="35">
        <f>'1kpi_performance'!K240</f>
        <v>1.693591191</v>
      </c>
      <c r="AV240" s="35">
        <f>'1kpi_performance'!L240</f>
        <v>2.350420231</v>
      </c>
      <c r="AW240" s="35">
        <f>'1kpi_performance'!M240</f>
        <v>0.1497235063</v>
      </c>
      <c r="AX240" s="42">
        <f>'1kpi_performance'!N240</f>
        <v>0.2098837209</v>
      </c>
      <c r="AY240" s="42">
        <f>'1kpi_performance'!O240</f>
        <v>0.1768218761</v>
      </c>
      <c r="AZ240" s="42">
        <f>'1kpi_performance'!P240</f>
        <v>0.2094047206</v>
      </c>
      <c r="BA240" s="42">
        <f>'1kpi_performance'!Q240</f>
        <v>0.6136777223</v>
      </c>
      <c r="BB240" s="35">
        <f>'1kpi_performance'!R240</f>
        <v>4.35770186</v>
      </c>
      <c r="BC240" s="35">
        <f>'1kpi_performance'!S240</f>
        <v>4.107900209</v>
      </c>
      <c r="BD240" s="35">
        <f>'1kpi_performance'!T240</f>
        <v>5.97420197</v>
      </c>
      <c r="BE240" s="35">
        <f>'1kpi_performance'!U240</f>
        <v>0.2915586913</v>
      </c>
      <c r="BF240" s="47"/>
      <c r="BG240" s="47"/>
      <c r="BH240" s="47"/>
      <c r="BI240" s="47"/>
      <c r="BJ240" s="47"/>
      <c r="BK240" s="47"/>
      <c r="BL240" s="47"/>
      <c r="BM240" s="47"/>
      <c r="BN240" s="47"/>
      <c r="BO240" s="47"/>
      <c r="BP240" s="47"/>
      <c r="BQ240" s="47"/>
      <c r="BR240" s="47"/>
      <c r="BS240" s="47"/>
      <c r="BT240" s="47"/>
    </row>
    <row r="241" ht="11.25" customHeight="1">
      <c r="A241" s="35" t="str">
        <f>'13all_company_profile'!A241</f>
        <v>FSLR</v>
      </c>
      <c r="B241" s="35" t="str">
        <f>'13all_company_profile'!B241</f>
        <v>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v>
      </c>
      <c r="C241" s="44" t="str">
        <f>'13all_company_profile'!C241</f>
        <v>https://financialmodelingprep.com/image-stock/FSLR.png</v>
      </c>
      <c r="D241" s="35" t="str">
        <f>'13all_company_profile'!D241</f>
        <v>First Solar, Inc.</v>
      </c>
      <c r="E241" s="36">
        <f>'13all_company_profile'!E241</f>
        <v>9100307456</v>
      </c>
      <c r="F241" s="37">
        <f>'13all_company_profile'!F241</f>
        <v>2241361</v>
      </c>
      <c r="G241" s="35">
        <f>'13all_company_profile'!G241</f>
        <v>0</v>
      </c>
      <c r="H241" s="38">
        <f>'13all_company_profile'!H241</f>
        <v>44412</v>
      </c>
      <c r="I241" s="35">
        <f>'13all_company_profile'!I241</f>
        <v>17.247934</v>
      </c>
      <c r="J241" s="35">
        <f>'13all_company_profile'!J241</f>
        <v>4.84</v>
      </c>
      <c r="K241" s="42" t="str">
        <f t="shared" si="1"/>
        <v>NaN</v>
      </c>
      <c r="L241" s="35">
        <f>'7company_info'!B241</f>
        <v>82.68</v>
      </c>
      <c r="M241" s="35">
        <f>'7company_info'!C241</f>
        <v>83.99</v>
      </c>
      <c r="N241" s="35">
        <f>'7company_info'!D241</f>
        <v>81.73</v>
      </c>
      <c r="O241" s="35">
        <f>'7company_info'!E241</f>
        <v>-0.37</v>
      </c>
      <c r="P241" s="35">
        <f>'7company_info'!F241</f>
        <v>-0.0045</v>
      </c>
      <c r="Q241" s="35">
        <f>'7company_info'!G241</f>
        <v>83.71</v>
      </c>
      <c r="R241" s="35">
        <f>'7company_info'!H241</f>
        <v>83.05</v>
      </c>
      <c r="S241" s="35">
        <f>'7company_info'!I241</f>
        <v>58.34</v>
      </c>
      <c r="T241" s="35">
        <f>'7company_info'!J241</f>
        <v>112.5</v>
      </c>
      <c r="U241" s="39">
        <v>91.0066666666666</v>
      </c>
      <c r="V241" s="39">
        <v>92.0633333333333</v>
      </c>
      <c r="W241" s="40">
        <v>94.0866666666666</v>
      </c>
      <c r="X241" s="40">
        <v>97.1666666666666</v>
      </c>
      <c r="Y241" s="40">
        <v>88.9833333333333</v>
      </c>
      <c r="Z241" s="40">
        <v>87.9266666666666</v>
      </c>
      <c r="AA241" s="40">
        <v>84.8466666666666</v>
      </c>
      <c r="AB241" s="40">
        <v>88.32</v>
      </c>
      <c r="AC241" s="40">
        <v>95.64</v>
      </c>
      <c r="AD241" s="40">
        <v>87.6077134774064</v>
      </c>
      <c r="AE241" s="40">
        <v>85.61922</v>
      </c>
      <c r="AF241" s="40">
        <v>3.57139</v>
      </c>
      <c r="AG241" s="40">
        <v>112.5</v>
      </c>
      <c r="AH241" s="45">
        <v>44221.0</v>
      </c>
      <c r="AI241" s="44" t="str">
        <f>'6image_RS_benchmark_performance'!B241</f>
        <v>https://3arbzfbsh-cname-us.ngrok.io/Desktop/seabridge%20fintech/image_app/FSLR_resistance_support.jpg</v>
      </c>
      <c r="AJ241" s="44" t="str">
        <f>'6image_RS_benchmark_performance'!C241</f>
        <v>https://3arbzfbsh-cname-us.ngrok.io/Desktop/seabridge%20fintech/profit_graph_app/FSLR_Return.jpg</v>
      </c>
      <c r="AK241" s="46" t="str">
        <f>'5price_action_icon'!B241</f>
        <v>https://3arbzfbsh-cname-us.ngrok.io/Desktop/seabridge%20fintech/icon/FSLR_pa_trend_signal</v>
      </c>
      <c r="AL241" s="42">
        <f>'1kpi_performance'!B241</f>
        <v>1.220566827</v>
      </c>
      <c r="AM241" s="42">
        <f>'1kpi_performance'!C241</f>
        <v>1.706755563</v>
      </c>
      <c r="AN241" s="42">
        <f>'1kpi_performance'!D241</f>
        <v>0.9797029921</v>
      </c>
      <c r="AO241" s="42">
        <f>'1kpi_performance'!E241</f>
        <v>-0.03427453707</v>
      </c>
      <c r="AP241" s="42">
        <f>'1kpi_performance'!F241</f>
        <v>0.4879553283</v>
      </c>
      <c r="AQ241" s="42">
        <f>'1kpi_performance'!G241</f>
        <v>0.4649474273</v>
      </c>
      <c r="AR241" s="42">
        <f>'1kpi_performance'!H241</f>
        <v>0.4742581821</v>
      </c>
      <c r="AS241" s="42">
        <f>'1kpi_performance'!I241</f>
        <v>0.6476163421</v>
      </c>
      <c r="AT241" s="35">
        <f>'1kpi_performance'!J241</f>
        <v>2.450156311</v>
      </c>
      <c r="AU241" s="35">
        <f>'1kpi_performance'!K241</f>
        <v>3.617087576</v>
      </c>
      <c r="AV241" s="35">
        <f>'1kpi_performance'!L241</f>
        <v>2.013044852</v>
      </c>
      <c r="AW241" s="35">
        <f>'1kpi_performance'!M241</f>
        <v>-0.09152724108</v>
      </c>
      <c r="AX241" s="42">
        <f>'1kpi_performance'!N241</f>
        <v>0.3754918999</v>
      </c>
      <c r="AY241" s="42">
        <f>'1kpi_performance'!O241</f>
        <v>0.1466477042</v>
      </c>
      <c r="AZ241" s="42">
        <f>'1kpi_performance'!P241</f>
        <v>0.635723819</v>
      </c>
      <c r="BA241" s="42">
        <f>'1kpi_performance'!Q241</f>
        <v>0.931088993</v>
      </c>
      <c r="BB241" s="35">
        <f>'1kpi_performance'!R241</f>
        <v>5.676011692</v>
      </c>
      <c r="BC241" s="35">
        <f>'1kpi_performance'!S241</f>
        <v>9.678651395</v>
      </c>
      <c r="BD241" s="35">
        <f>'1kpi_performance'!T241</f>
        <v>4.568278707</v>
      </c>
      <c r="BE241" s="35">
        <f>'1kpi_performance'!U241</f>
        <v>-0.1870876415</v>
      </c>
      <c r="BF241" s="47"/>
      <c r="BG241" s="47"/>
      <c r="BH241" s="47"/>
      <c r="BI241" s="47"/>
      <c r="BJ241" s="47"/>
      <c r="BK241" s="47"/>
      <c r="BL241" s="47"/>
      <c r="BM241" s="47"/>
      <c r="BN241" s="47"/>
      <c r="BO241" s="47"/>
      <c r="BP241" s="47"/>
      <c r="BQ241" s="47"/>
      <c r="BR241" s="47"/>
      <c r="BS241" s="47"/>
      <c r="BT241" s="47"/>
    </row>
    <row r="242" ht="11.25" customHeight="1">
      <c r="A242" s="35" t="str">
        <f>'13all_company_profile'!A242</f>
        <v>FSLY</v>
      </c>
      <c r="B242" s="35" t="str">
        <f>'13all_company_profile'!B242</f>
        <v>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v>
      </c>
      <c r="C242" s="44" t="str">
        <f>'13all_company_profile'!C242</f>
        <v>https://financialmodelingprep.com/image-stock/FSLY.png</v>
      </c>
      <c r="D242" s="35" t="str">
        <f>'13all_company_profile'!D242</f>
        <v>Fastly, Inc.</v>
      </c>
      <c r="E242" s="36">
        <f>'13all_company_profile'!E242</f>
        <v>5679712768</v>
      </c>
      <c r="F242" s="37">
        <f>'13all_company_profile'!F242</f>
        <v>4911133</v>
      </c>
      <c r="G242" s="35">
        <f>'13all_company_profile'!G242</f>
        <v>0</v>
      </c>
      <c r="H242" s="38">
        <f>'13all_company_profile'!H242</f>
        <v>44411</v>
      </c>
      <c r="I242" s="35" t="str">
        <f>'13all_company_profile'!I242</f>
        <v>NaN</v>
      </c>
      <c r="J242" s="35">
        <f>'13all_company_profile'!J242</f>
        <v>-1.244</v>
      </c>
      <c r="K242" s="42" t="str">
        <f t="shared" si="1"/>
        <v>NaN</v>
      </c>
      <c r="L242" s="35">
        <f>'7company_info'!B242</f>
        <v>51.5</v>
      </c>
      <c r="M242" s="35">
        <f>'7company_info'!C242</f>
        <v>52.18</v>
      </c>
      <c r="N242" s="35">
        <f>'7company_info'!D242</f>
        <v>49.87</v>
      </c>
      <c r="O242" s="35">
        <f>'7company_info'!E242</f>
        <v>0.29</v>
      </c>
      <c r="P242" s="35">
        <f>'7company_info'!F242</f>
        <v>0.0057</v>
      </c>
      <c r="Q242" s="35">
        <f>'7company_info'!G242</f>
        <v>51.3</v>
      </c>
      <c r="R242" s="35">
        <f>'7company_info'!H242</f>
        <v>51.21</v>
      </c>
      <c r="S242" s="35">
        <f>'7company_info'!I242</f>
        <v>39.47</v>
      </c>
      <c r="T242" s="35">
        <f>'7company_info'!J242</f>
        <v>136.5</v>
      </c>
      <c r="U242" s="39">
        <v>51.32</v>
      </c>
      <c r="V242" s="39">
        <v>52.8</v>
      </c>
      <c r="W242" s="40">
        <v>55.47</v>
      </c>
      <c r="X242" s="40">
        <v>59.62</v>
      </c>
      <c r="Y242" s="40">
        <v>48.65</v>
      </c>
      <c r="Z242" s="40">
        <v>47.17</v>
      </c>
      <c r="AA242" s="40">
        <v>43.02</v>
      </c>
      <c r="AB242" s="40">
        <v>60.68</v>
      </c>
      <c r="AC242" s="40">
        <v>59.4</v>
      </c>
      <c r="AD242" s="40">
        <v>55.2600021411501</v>
      </c>
      <c r="AE242" s="40">
        <v>47.60704</v>
      </c>
      <c r="AF242" s="40">
        <v>3.06698</v>
      </c>
      <c r="AG242" s="40">
        <v>122.75</v>
      </c>
      <c r="AH242" s="45">
        <v>44223.0</v>
      </c>
      <c r="AI242" s="44" t="str">
        <f>'6image_RS_benchmark_performance'!B242</f>
        <v>https://3arbzfbsh-cname-us.ngrok.io/Desktop/seabridge%20fintech/image_app/FSLY_resistance_support.jpg</v>
      </c>
      <c r="AJ242" s="44" t="str">
        <f>'6image_RS_benchmark_performance'!C242</f>
        <v>https://3arbzfbsh-cname-us.ngrok.io/Desktop/seabridge%20fintech/profit_graph_app/FSLY_Return.jpg</v>
      </c>
      <c r="AK242" s="46" t="str">
        <f>'5price_action_icon'!B242</f>
        <v>https://3arbzfbsh-cname-us.ngrok.io/Desktop/seabridge%20fintech/icon/FSLY_pa_trend_signal</v>
      </c>
      <c r="AL242" s="42">
        <f>'1kpi_performance'!B242</f>
        <v>3.157967625</v>
      </c>
      <c r="AM242" s="42">
        <f>'1kpi_performance'!C242</f>
        <v>8.712341554</v>
      </c>
      <c r="AN242" s="42">
        <f>'1kpi_performance'!D242</f>
        <v>11.24471731</v>
      </c>
      <c r="AO242" s="42">
        <f>'1kpi_performance'!E242</f>
        <v>0.6300443424</v>
      </c>
      <c r="AP242" s="42">
        <f>'1kpi_performance'!F242</f>
        <v>0.8173746282</v>
      </c>
      <c r="AQ242" s="42">
        <f>'1kpi_performance'!G242</f>
        <v>0.7784102192</v>
      </c>
      <c r="AR242" s="42">
        <f>'1kpi_performance'!H242</f>
        <v>0.8974156466</v>
      </c>
      <c r="AS242" s="42">
        <f>'1kpi_performance'!I242</f>
        <v>1.105325839</v>
      </c>
      <c r="AT242" s="35">
        <f>'1kpi_performance'!J242</f>
        <v>3.832964123</v>
      </c>
      <c r="AU242" s="35">
        <f>'1kpi_performance'!K242</f>
        <v>11.16036421</v>
      </c>
      <c r="AV242" s="35">
        <f>'1kpi_performance'!L242</f>
        <v>12.50225283</v>
      </c>
      <c r="AW242" s="35">
        <f>'1kpi_performance'!M242</f>
        <v>0.5473900285</v>
      </c>
      <c r="AX242" s="42">
        <f>'1kpi_performance'!N242</f>
        <v>0.3087565106</v>
      </c>
      <c r="AY242" s="42">
        <f>'1kpi_performance'!O242</f>
        <v>0.2613679764</v>
      </c>
      <c r="AZ242" s="42">
        <f>'1kpi_performance'!P242</f>
        <v>0.5123488143</v>
      </c>
      <c r="BA242" s="42">
        <f>'1kpi_performance'!Q242</f>
        <v>0.6896685555</v>
      </c>
      <c r="BB242" s="35">
        <f>'1kpi_performance'!R242</f>
        <v>8.409623456</v>
      </c>
      <c r="BC242" s="35">
        <f>'1kpi_performance'!S242</f>
        <v>30.289359</v>
      </c>
      <c r="BD242" s="35">
        <f>'1kpi_performance'!T242</f>
        <v>28.58907295</v>
      </c>
      <c r="BE242" s="35">
        <f>'1kpi_performance'!U242</f>
        <v>1.120902732</v>
      </c>
      <c r="BF242" s="47"/>
      <c r="BG242" s="47"/>
      <c r="BH242" s="47"/>
      <c r="BI242" s="47"/>
      <c r="BJ242" s="47"/>
      <c r="BK242" s="47"/>
      <c r="BL242" s="47"/>
      <c r="BM242" s="47"/>
      <c r="BN242" s="47"/>
      <c r="BO242" s="47"/>
      <c r="BP242" s="47"/>
      <c r="BQ242" s="47"/>
      <c r="BR242" s="47"/>
      <c r="BS242" s="47"/>
      <c r="BT242" s="47"/>
    </row>
    <row r="243" ht="11.25" customHeight="1">
      <c r="A243" s="35" t="str">
        <f>'13all_company_profile'!A243</f>
        <v>FTNT</v>
      </c>
      <c r="B243" s="35" t="str">
        <f>'13all_company_profile'!B243</f>
        <v>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v>
      </c>
      <c r="C243" s="44" t="str">
        <f>'13all_company_profile'!C243</f>
        <v>https://financialmodelingprep.com/image-stock/FTNT.png</v>
      </c>
      <c r="D243" s="35" t="str">
        <f>'13all_company_profile'!D243</f>
        <v>Fortinet, Inc.</v>
      </c>
      <c r="E243" s="36">
        <f>'13all_company_profile'!E243</f>
        <v>41858400256</v>
      </c>
      <c r="F243" s="37">
        <f>'13all_company_profile'!F243</f>
        <v>958606</v>
      </c>
      <c r="G243" s="35">
        <f>'13all_company_profile'!G243</f>
        <v>0</v>
      </c>
      <c r="H243" s="38">
        <f>'13all_company_profile'!H243</f>
        <v>44406</v>
      </c>
      <c r="I243" s="35">
        <f>'13all_company_profile'!I243</f>
        <v>87.98207</v>
      </c>
      <c r="J243" s="35">
        <f>'13all_company_profile'!J243</f>
        <v>2.956</v>
      </c>
      <c r="K243" s="42" t="str">
        <f t="shared" si="1"/>
        <v>NaN</v>
      </c>
      <c r="L243" s="35">
        <f>'7company_info'!B243</f>
        <v>263.84</v>
      </c>
      <c r="M243" s="35">
        <f>'7company_info'!C243</f>
        <v>265.15</v>
      </c>
      <c r="N243" s="35">
        <f>'7company_info'!D243</f>
        <v>258</v>
      </c>
      <c r="O243" s="35">
        <f>'7company_info'!E243</f>
        <v>7.21</v>
      </c>
      <c r="P243" s="35">
        <f>'7company_info'!F243</f>
        <v>0.0281</v>
      </c>
      <c r="Q243" s="35">
        <f>'7company_info'!G243</f>
        <v>259.49</v>
      </c>
      <c r="R243" s="35">
        <f>'7company_info'!H243</f>
        <v>256.63</v>
      </c>
      <c r="S243" s="35">
        <f>'7company_info'!I243</f>
        <v>106.75</v>
      </c>
      <c r="T243" s="35">
        <f>'7company_info'!J243</f>
        <v>265.15</v>
      </c>
      <c r="U243" s="39">
        <v>256.045</v>
      </c>
      <c r="V243" s="39">
        <v>258.46</v>
      </c>
      <c r="W243" s="40">
        <v>261.08</v>
      </c>
      <c r="X243" s="40">
        <v>266.115</v>
      </c>
      <c r="Y243" s="40">
        <v>253.425</v>
      </c>
      <c r="Z243" s="40">
        <v>251.01</v>
      </c>
      <c r="AA243" s="40">
        <v>245.975</v>
      </c>
      <c r="AB243" s="40">
        <v>245.616</v>
      </c>
      <c r="AC243" s="40">
        <v>259.47</v>
      </c>
      <c r="AD243" s="40">
        <v>244.783702539238</v>
      </c>
      <c r="AE243" s="40">
        <v>245.62556</v>
      </c>
      <c r="AF243" s="40">
        <v>5.82347</v>
      </c>
      <c r="AG243" s="40">
        <v>212.67</v>
      </c>
      <c r="AH243" s="45">
        <v>44323.0</v>
      </c>
      <c r="AI243" s="44" t="str">
        <f>'6image_RS_benchmark_performance'!B243</f>
        <v>https://3arbzfbsh-cname-us.ngrok.io/Desktop/seabridge%20fintech/image_app/FTNT_resistance_support.jpg</v>
      </c>
      <c r="AJ243" s="44" t="str">
        <f>'6image_RS_benchmark_performance'!C243</f>
        <v>https://3arbzfbsh-cname-us.ngrok.io/Desktop/seabridge%20fintech/profit_graph_app/FTNT_Return.jpg</v>
      </c>
      <c r="AK243" s="46" t="str">
        <f>'5price_action_icon'!B243</f>
        <v>https://3arbzfbsh-cname-us.ngrok.io/Desktop/seabridge%20fintech/icon/FTNT_pa_trend_signal</v>
      </c>
      <c r="AL243" s="42">
        <f>'1kpi_performance'!B243</f>
        <v>1.061494685</v>
      </c>
      <c r="AM243" s="42">
        <f>'1kpi_performance'!C243</f>
        <v>1.508253451</v>
      </c>
      <c r="AN243" s="42">
        <f>'1kpi_performance'!D243</f>
        <v>0.9223114819</v>
      </c>
      <c r="AO243" s="42">
        <f>'1kpi_performance'!E243</f>
        <v>0.5135250788</v>
      </c>
      <c r="AP243" s="42">
        <f>'1kpi_performance'!F243</f>
        <v>0.3306409897</v>
      </c>
      <c r="AQ243" s="42">
        <f>'1kpi_performance'!G243</f>
        <v>0.3454352833</v>
      </c>
      <c r="AR243" s="42">
        <f>'1kpi_performance'!H243</f>
        <v>0.3327283073</v>
      </c>
      <c r="AS243" s="42">
        <f>'1kpi_performance'!I243</f>
        <v>0.4820477094</v>
      </c>
      <c r="AT243" s="35">
        <f>'1kpi_performance'!J243</f>
        <v>3.134803963</v>
      </c>
      <c r="AU243" s="35">
        <f>'1kpi_performance'!K243</f>
        <v>4.293867832</v>
      </c>
      <c r="AV243" s="35">
        <f>'1kpi_performance'!L243</f>
        <v>2.696829402</v>
      </c>
      <c r="AW243" s="35">
        <f>'1kpi_performance'!M243</f>
        <v>1.013437196</v>
      </c>
      <c r="AX243" s="42">
        <f>'1kpi_performance'!N243</f>
        <v>0.2499885519</v>
      </c>
      <c r="AY243" s="42">
        <f>'1kpi_performance'!O243</f>
        <v>0.1587131367</v>
      </c>
      <c r="AZ243" s="42">
        <f>'1kpi_performance'!P243</f>
        <v>0.2855862848</v>
      </c>
      <c r="BA243" s="42">
        <f>'1kpi_performance'!Q243</f>
        <v>0.51198034</v>
      </c>
      <c r="BB243" s="35">
        <f>'1kpi_performance'!R243</f>
        <v>7.48838366</v>
      </c>
      <c r="BC243" s="35">
        <f>'1kpi_performance'!S243</f>
        <v>11.38950284</v>
      </c>
      <c r="BD243" s="35">
        <f>'1kpi_performance'!T243</f>
        <v>5.749357965</v>
      </c>
      <c r="BE243" s="35">
        <f>'1kpi_performance'!U243</f>
        <v>2.015225772</v>
      </c>
      <c r="BF243" s="47"/>
      <c r="BG243" s="47"/>
      <c r="BH243" s="47"/>
      <c r="BI243" s="47"/>
      <c r="BJ243" s="47"/>
      <c r="BK243" s="47"/>
      <c r="BL243" s="47"/>
      <c r="BM243" s="47"/>
      <c r="BN243" s="47"/>
      <c r="BO243" s="47"/>
      <c r="BP243" s="47"/>
      <c r="BQ243" s="47"/>
      <c r="BR243" s="47"/>
      <c r="BS243" s="47"/>
      <c r="BT243" s="47"/>
    </row>
    <row r="244" ht="11.25" customHeight="1">
      <c r="A244" s="35" t="str">
        <f>'13all_company_profile'!A244</f>
        <v>FTV</v>
      </c>
      <c r="B244" s="35" t="str">
        <f>'13all_company_profile'!B244</f>
        <v>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v>
      </c>
      <c r="C244" s="44" t="str">
        <f>'13all_company_profile'!C244</f>
        <v>https://financialmodelingprep.com/image-stock/FTV.png</v>
      </c>
      <c r="D244" s="35" t="str">
        <f>'13all_company_profile'!D244</f>
        <v>Fortive Corporation</v>
      </c>
      <c r="E244" s="36">
        <f>'13all_company_profile'!E244</f>
        <v>23822075904</v>
      </c>
      <c r="F244" s="37">
        <f>'13all_company_profile'!F244</f>
        <v>2712695</v>
      </c>
      <c r="G244" s="35">
        <f>'13all_company_profile'!G244</f>
        <v>0.26858</v>
      </c>
      <c r="H244" s="38">
        <f>'13all_company_profile'!H244</f>
        <v>44403</v>
      </c>
      <c r="I244" s="35">
        <f>'13all_company_profile'!I244</f>
        <v>14.957282</v>
      </c>
      <c r="J244" s="35">
        <f>'13all_company_profile'!J244</f>
        <v>4.682</v>
      </c>
      <c r="K244" s="42">
        <f t="shared" si="1"/>
        <v>0.003847851003</v>
      </c>
      <c r="L244" s="35">
        <f>'7company_info'!B244</f>
        <v>69.8</v>
      </c>
      <c r="M244" s="35">
        <f>'7company_info'!C244</f>
        <v>70.03</v>
      </c>
      <c r="N244" s="35">
        <f>'7company_info'!D244</f>
        <v>68.55</v>
      </c>
      <c r="O244" s="35">
        <f>'7company_info'!E244</f>
        <v>1.43</v>
      </c>
      <c r="P244" s="35">
        <f>'7company_info'!F244</f>
        <v>0.0209</v>
      </c>
      <c r="Q244" s="35">
        <f>'7company_info'!G244</f>
        <v>68.69</v>
      </c>
      <c r="R244" s="35">
        <f>'7company_info'!H244</f>
        <v>68.37</v>
      </c>
      <c r="S244" s="35">
        <f>'7company_info'!I244</f>
        <v>58.93</v>
      </c>
      <c r="T244" s="35">
        <f>'7company_info'!J244</f>
        <v>75</v>
      </c>
      <c r="U244" s="39">
        <v>70.5533333333333</v>
      </c>
      <c r="V244" s="39">
        <v>71.2266666666666</v>
      </c>
      <c r="W244" s="40">
        <v>71.6833333333333</v>
      </c>
      <c r="X244" s="40">
        <v>72.8133333333333</v>
      </c>
      <c r="Y244" s="40">
        <v>70.0966666666666</v>
      </c>
      <c r="Z244" s="40">
        <v>69.4233333333333</v>
      </c>
      <c r="AA244" s="40">
        <v>68.2933333333333</v>
      </c>
      <c r="AB244" s="40">
        <v>68.48</v>
      </c>
      <c r="AC244" s="40">
        <v>70.19</v>
      </c>
      <c r="AD244" s="40">
        <v>70.4322233973456</v>
      </c>
      <c r="AE244" s="40">
        <v>68.3047699999999</v>
      </c>
      <c r="AF244" s="40">
        <v>1.148615</v>
      </c>
      <c r="AG244" s="40">
        <v>75.0</v>
      </c>
      <c r="AH244" s="45">
        <v>44315.0</v>
      </c>
      <c r="AI244" s="44" t="str">
        <f>'6image_RS_benchmark_performance'!B244</f>
        <v>https://3arbzfbsh-cname-us.ngrok.io/Desktop/seabridge%20fintech/image_app/FTV_resistance_support.jpg</v>
      </c>
      <c r="AJ244" s="44" t="str">
        <f>'6image_RS_benchmark_performance'!C244</f>
        <v>https://3arbzfbsh-cname-us.ngrok.io/Desktop/seabridge%20fintech/profit_graph_app/FTV_Return.jpg</v>
      </c>
      <c r="AK244" s="46" t="str">
        <f>'5price_action_icon'!B244</f>
        <v>https://3arbzfbsh-cname-us.ngrok.io/Desktop/seabridge%20fintech/icon/FTV_pa_trend_signal</v>
      </c>
      <c r="AL244" s="42">
        <f>'1kpi_performance'!B244</f>
        <v>0.5491326691</v>
      </c>
      <c r="AM244" s="42">
        <f>'1kpi_performance'!C244</f>
        <v>0.7555290585</v>
      </c>
      <c r="AN244" s="42">
        <f>'1kpi_performance'!D244</f>
        <v>0.5972983658</v>
      </c>
      <c r="AO244" s="42">
        <f>'1kpi_performance'!E244</f>
        <v>0.2103382491</v>
      </c>
      <c r="AP244" s="42">
        <f>'1kpi_performance'!F244</f>
        <v>0.2261379497</v>
      </c>
      <c r="AQ244" s="42">
        <f>'1kpi_performance'!G244</f>
        <v>0.2142985685</v>
      </c>
      <c r="AR244" s="42">
        <f>'1kpi_performance'!H244</f>
        <v>0.200766267</v>
      </c>
      <c r="AS244" s="42">
        <f>'1kpi_performance'!I244</f>
        <v>0.3371693921</v>
      </c>
      <c r="AT244" s="35">
        <f>'1kpi_performance'!J244</f>
        <v>2.317756351</v>
      </c>
      <c r="AU244" s="35">
        <f>'1kpi_performance'!K244</f>
        <v>3.408931117</v>
      </c>
      <c r="AV244" s="35">
        <f>'1kpi_performance'!L244</f>
        <v>2.850570339</v>
      </c>
      <c r="AW244" s="35">
        <f>'1kpi_performance'!M244</f>
        <v>0.5496888313</v>
      </c>
      <c r="AX244" s="42">
        <f>'1kpi_performance'!N244</f>
        <v>0.1311232183</v>
      </c>
      <c r="AY244" s="42">
        <f>'1kpi_performance'!O244</f>
        <v>0.08636171134</v>
      </c>
      <c r="AZ244" s="42">
        <f>'1kpi_performance'!P244</f>
        <v>0.185895665</v>
      </c>
      <c r="BA244" s="42">
        <f>'1kpi_performance'!Q244</f>
        <v>0.5282957046</v>
      </c>
      <c r="BB244" s="35">
        <f>'1kpi_performance'!R244</f>
        <v>4.961884564</v>
      </c>
      <c r="BC244" s="35">
        <f>'1kpi_performance'!S244</f>
        <v>7.989861088</v>
      </c>
      <c r="BD244" s="35">
        <f>'1kpi_performance'!T244</f>
        <v>6.324994554</v>
      </c>
      <c r="BE244" s="35">
        <f>'1kpi_performance'!U244</f>
        <v>1.066758173</v>
      </c>
      <c r="BF244" s="47"/>
      <c r="BG244" s="47"/>
      <c r="BH244" s="47"/>
      <c r="BI244" s="47"/>
      <c r="BJ244" s="47"/>
      <c r="BK244" s="47"/>
      <c r="BL244" s="47"/>
      <c r="BM244" s="47"/>
      <c r="BN244" s="47"/>
      <c r="BO244" s="47"/>
      <c r="BP244" s="47"/>
      <c r="BQ244" s="47"/>
      <c r="BR244" s="47"/>
      <c r="BS244" s="47"/>
      <c r="BT244" s="47"/>
    </row>
    <row r="245" ht="11.25" customHeight="1">
      <c r="A245" s="35" t="str">
        <f>'13all_company_profile'!A245</f>
        <v>FUBO</v>
      </c>
      <c r="B245" s="35" t="str">
        <f>'13all_company_profile'!B245</f>
        <v>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v>
      </c>
      <c r="C245" s="44" t="str">
        <f>'13all_company_profile'!C245</f>
        <v>https://financialmodelingprep.com/image-stock/FUBO.png</v>
      </c>
      <c r="D245" s="35" t="str">
        <f>'13all_company_profile'!D245</f>
        <v>fuboTV Inc.</v>
      </c>
      <c r="E245" s="36">
        <f>'13all_company_profile'!E245</f>
        <v>3609273856</v>
      </c>
      <c r="F245" s="37">
        <f>'13all_company_profile'!F245</f>
        <v>12859204</v>
      </c>
      <c r="G245" s="35">
        <f>'13all_company_profile'!G245</f>
        <v>0</v>
      </c>
      <c r="H245" s="38" t="str">
        <f>'13all_company_profile'!H245</f>
        <v>not avaiable</v>
      </c>
      <c r="I245" s="35" t="str">
        <f>'13all_company_profile'!I245</f>
        <v>NaN</v>
      </c>
      <c r="J245" s="35">
        <f>'13all_company_profile'!J245</f>
        <v>-8.789</v>
      </c>
      <c r="K245" s="42" t="str">
        <f t="shared" si="1"/>
        <v>NaN</v>
      </c>
      <c r="L245" s="35">
        <f>'7company_info'!B245</f>
        <v>26.51</v>
      </c>
      <c r="M245" s="35">
        <f>'7company_info'!C245</f>
        <v>26.8</v>
      </c>
      <c r="N245" s="35">
        <f>'7company_info'!D245</f>
        <v>24.83</v>
      </c>
      <c r="O245" s="35">
        <f>'7company_info'!E245</f>
        <v>0.55</v>
      </c>
      <c r="P245" s="35">
        <f>'7company_info'!F245</f>
        <v>0.0212</v>
      </c>
      <c r="Q245" s="35">
        <f>'7company_info'!G245</f>
        <v>25.95</v>
      </c>
      <c r="R245" s="35">
        <f>'7company_info'!H245</f>
        <v>25.96</v>
      </c>
      <c r="S245" s="35">
        <f>'7company_info'!I245</f>
        <v>8.26</v>
      </c>
      <c r="T245" s="35">
        <f>'7company_info'!J245</f>
        <v>62.29</v>
      </c>
      <c r="U245" s="39">
        <v>26.3048666666666</v>
      </c>
      <c r="V245" s="39">
        <v>27.0997333333333</v>
      </c>
      <c r="W245" s="40">
        <v>28.4994666666666</v>
      </c>
      <c r="X245" s="40">
        <v>30.6940666666666</v>
      </c>
      <c r="Y245" s="40">
        <v>24.9051333333333</v>
      </c>
      <c r="Z245" s="40">
        <v>24.1102666666666</v>
      </c>
      <c r="AA245" s="40">
        <v>21.9156666666666</v>
      </c>
      <c r="AB245" s="40">
        <v>23.11</v>
      </c>
      <c r="AC245" s="40">
        <v>31.23</v>
      </c>
      <c r="AD245" s="40">
        <v>28.9723078174392</v>
      </c>
      <c r="AE245" s="40">
        <v>23.13117</v>
      </c>
      <c r="AF245" s="40">
        <v>2.202145</v>
      </c>
      <c r="AG245" s="40">
        <v>57.47</v>
      </c>
      <c r="AH245" s="45">
        <v>44223.0</v>
      </c>
      <c r="AI245" s="44" t="str">
        <f>'6image_RS_benchmark_performance'!B245</f>
        <v>https://3arbzfbsh-cname-us.ngrok.io/Desktop/seabridge%20fintech/image_app/FUBO_resistance_support.jpg</v>
      </c>
      <c r="AJ245" s="44" t="str">
        <f>'6image_RS_benchmark_performance'!C245</f>
        <v>https://3arbzfbsh-cname-us.ngrok.io/Desktop/seabridge%20fintech/profit_graph_app/FUBO_Return.jpg</v>
      </c>
      <c r="AK245" s="46" t="str">
        <f>'5price_action_icon'!B245</f>
        <v>https://3arbzfbsh-cname-us.ngrok.io/Desktop/seabridge%20fintech/icon/FUBO_pa_trend_signal</v>
      </c>
      <c r="AL245" s="42">
        <f>'1kpi_performance'!B245</f>
        <v>3.192664172</v>
      </c>
      <c r="AM245" s="42">
        <f>'1kpi_performance'!C245</f>
        <v>-0.9531251774</v>
      </c>
      <c r="AN245" s="42">
        <f>'1kpi_performance'!D245</f>
        <v>9.791465817</v>
      </c>
      <c r="AO245" s="42">
        <f>'1kpi_performance'!E245</f>
        <v>-0.9531251774</v>
      </c>
      <c r="AP245" s="42">
        <f>'1kpi_performance'!F245</f>
        <v>6.649473922</v>
      </c>
      <c r="AQ245" s="42">
        <f>'1kpi_performance'!G245</f>
        <v>55.21910851</v>
      </c>
      <c r="AR245" s="42">
        <f>'1kpi_performance'!H245</f>
        <v>55.41089045</v>
      </c>
      <c r="AS245" s="42">
        <f>'1kpi_performance'!I245</f>
        <v>55.21910851</v>
      </c>
      <c r="AT245" s="35">
        <f>'1kpi_performance'!J245</f>
        <v>0.476378163</v>
      </c>
      <c r="AU245" s="35">
        <f>'1kpi_performance'!K245</f>
        <v>-0.01771352714</v>
      </c>
      <c r="AV245" s="35">
        <f>'1kpi_performance'!L245</f>
        <v>0.1762553487</v>
      </c>
      <c r="AW245" s="35">
        <f>'1kpi_performance'!M245</f>
        <v>-0.01771352714</v>
      </c>
      <c r="AX245" s="42">
        <f>'1kpi_performance'!N245</f>
        <v>0.96</v>
      </c>
      <c r="AY245" s="42">
        <f>'1kpi_performance'!O245</f>
        <v>0.999999788</v>
      </c>
      <c r="AZ245" s="42">
        <f>'1kpi_performance'!P245</f>
        <v>0.9964666667</v>
      </c>
      <c r="BA245" s="42">
        <f>'1kpi_performance'!Q245</f>
        <v>0.999999788</v>
      </c>
      <c r="BB245" s="35">
        <f>'1kpi_performance'!R245</f>
        <v>2.502765873</v>
      </c>
      <c r="BC245" s="35">
        <f>'1kpi_performance'!S245</f>
        <v>-0.5601327437</v>
      </c>
      <c r="BD245" s="35">
        <f>'1kpi_performance'!T245</f>
        <v>8.210292649</v>
      </c>
      <c r="BE245" s="35">
        <f>'1kpi_performance'!U245</f>
        <v>-0.5601327437</v>
      </c>
      <c r="BF245" s="47"/>
      <c r="BG245" s="47"/>
      <c r="BH245" s="47"/>
      <c r="BI245" s="47"/>
      <c r="BJ245" s="47"/>
      <c r="BK245" s="47"/>
      <c r="BL245" s="47"/>
      <c r="BM245" s="47"/>
      <c r="BN245" s="47"/>
      <c r="BO245" s="47"/>
      <c r="BP245" s="47"/>
      <c r="BQ245" s="47"/>
      <c r="BR245" s="47"/>
      <c r="BS245" s="47"/>
      <c r="BT245" s="47"/>
    </row>
    <row r="246" ht="11.25" customHeight="1">
      <c r="A246" s="35" t="str">
        <f>'13all_company_profile'!A246</f>
        <v>FXI</v>
      </c>
      <c r="B246" s="35" t="str">
        <f>'13all_company_profile'!B246</f>
        <v>FXI was created on 10/05/04 by Blackrock. The ETF tracks an index of the 50 largest and most liquid Chinese stocks traded on the Hong Kong Stock Exchange.</v>
      </c>
      <c r="C246" s="44" t="str">
        <f>'13all_company_profile'!C246</f>
        <v>https://financialmodelingprep.com/image-stock/FXI.png</v>
      </c>
      <c r="D246" s="35" t="str">
        <f>'13all_company_profile'!D246</f>
        <v>iShares China Large-Cap ETF</v>
      </c>
      <c r="E246" s="36">
        <f>'13all_company_profile'!E246</f>
        <v>5786415104</v>
      </c>
      <c r="F246" s="37">
        <f>'13all_company_profile'!F246</f>
        <v>16810923</v>
      </c>
      <c r="G246" s="35">
        <f>'13all_company_profile'!G246</f>
        <v>0.684</v>
      </c>
      <c r="H246" s="38" t="str">
        <f>'13all_company_profile'!H246</f>
        <v>not avaiable</v>
      </c>
      <c r="I246" s="35">
        <f>'13all_company_profile'!I246</f>
        <v>4.6490307</v>
      </c>
      <c r="J246" s="35">
        <f>'13all_company_profile'!J246</f>
        <v>9.545</v>
      </c>
      <c r="K246" s="42">
        <f t="shared" si="1"/>
        <v>0.0156916724</v>
      </c>
      <c r="L246" s="35">
        <f>'7company_info'!B246</f>
        <v>43.59</v>
      </c>
      <c r="M246" s="35">
        <f>'7company_info'!C246</f>
        <v>43.72</v>
      </c>
      <c r="N246" s="35">
        <f>'7company_info'!D246</f>
        <v>43.23</v>
      </c>
      <c r="O246" s="35">
        <f>'7company_info'!E246</f>
        <v>-0.22</v>
      </c>
      <c r="P246" s="35">
        <f>'7company_info'!F246</f>
        <v>-0.005</v>
      </c>
      <c r="Q246" s="35">
        <f>'7company_info'!G246</f>
        <v>43.32</v>
      </c>
      <c r="R246" s="35">
        <f>'7company_info'!H246</f>
        <v>43.81</v>
      </c>
      <c r="S246" s="35">
        <f>'7company_info'!I246</f>
        <v>40.23</v>
      </c>
      <c r="T246" s="35">
        <f>'7company_info'!J246</f>
        <v>54.53</v>
      </c>
      <c r="U246" s="39">
        <v>44.4366666666666</v>
      </c>
      <c r="V246" s="39">
        <v>44.5633333333333</v>
      </c>
      <c r="W246" s="40">
        <v>44.8166666666666</v>
      </c>
      <c r="X246" s="40">
        <v>45.1966666666666</v>
      </c>
      <c r="Y246" s="40">
        <v>44.1833333333333</v>
      </c>
      <c r="Z246" s="40">
        <v>44.0566666666666</v>
      </c>
      <c r="AA246" s="40">
        <v>43.6766666666666</v>
      </c>
      <c r="AB246" s="40">
        <v>42.72</v>
      </c>
      <c r="AC246" s="40">
        <v>45.84</v>
      </c>
      <c r="AD246" s="40">
        <v>45.113176801587</v>
      </c>
      <c r="AE246" s="40">
        <v>43.052</v>
      </c>
      <c r="AF246" s="40">
        <v>0.708749999999999</v>
      </c>
      <c r="AG246" s="40">
        <v>54.525</v>
      </c>
      <c r="AH246" s="45">
        <v>44244.0</v>
      </c>
      <c r="AI246" s="44" t="str">
        <f>'6image_RS_benchmark_performance'!B246</f>
        <v>https://3arbzfbsh-cname-us.ngrok.io/Desktop/seabridge%20fintech/image_app/FXI_resistance_support.jpg</v>
      </c>
      <c r="AJ246" s="44" t="str">
        <f>'6image_RS_benchmark_performance'!C246</f>
        <v>https://3arbzfbsh-cname-us.ngrok.io/Desktop/seabridge%20fintech/profit_graph_app/FXI_Return.jpg</v>
      </c>
      <c r="AK246" s="46" t="str">
        <f>'5price_action_icon'!B246</f>
        <v>https://3arbzfbsh-cname-us.ngrok.io/Desktop/seabridge%20fintech/icon/FXI_pa_trend_signal</v>
      </c>
      <c r="AL246" s="42">
        <f>'1kpi_performance'!B246</f>
        <v>0.4239410944</v>
      </c>
      <c r="AM246" s="42">
        <f>'1kpi_performance'!C246</f>
        <v>0.6842171789</v>
      </c>
      <c r="AN246" s="42">
        <f>'1kpi_performance'!D246</f>
        <v>0.4568537425</v>
      </c>
      <c r="AO246" s="42">
        <f>'1kpi_performance'!E246</f>
        <v>0.01407050351</v>
      </c>
      <c r="AP246" s="42">
        <f>'1kpi_performance'!F246</f>
        <v>0.1966198834</v>
      </c>
      <c r="AQ246" s="42">
        <f>'1kpi_performance'!G246</f>
        <v>0.1957840627</v>
      </c>
      <c r="AR246" s="42">
        <f>'1kpi_performance'!H246</f>
        <v>0.2021133898</v>
      </c>
      <c r="AS246" s="42">
        <f>'1kpi_performance'!I246</f>
        <v>0.2933896332</v>
      </c>
      <c r="AT246" s="35">
        <f>'1kpi_performance'!J246</f>
        <v>2.028996699</v>
      </c>
      <c r="AU246" s="35">
        <f>'1kpi_performance'!K246</f>
        <v>3.367062516</v>
      </c>
      <c r="AV246" s="35">
        <f>'1kpi_performance'!L246</f>
        <v>2.136690414</v>
      </c>
      <c r="AW246" s="35">
        <f>'1kpi_performance'!M246</f>
        <v>-0.03725249719</v>
      </c>
      <c r="AX246" s="42">
        <f>'1kpi_performance'!N246</f>
        <v>0.1094618721</v>
      </c>
      <c r="AY246" s="42">
        <f>'1kpi_performance'!O246</f>
        <v>0.07086007702</v>
      </c>
      <c r="AZ246" s="42">
        <f>'1kpi_performance'!P246</f>
        <v>0.3492248062</v>
      </c>
      <c r="BA246" s="42">
        <f>'1kpi_performance'!Q246</f>
        <v>0.4604541747</v>
      </c>
      <c r="BB246" s="35">
        <f>'1kpi_performance'!R246</f>
        <v>4.326455302</v>
      </c>
      <c r="BC246" s="35">
        <f>'1kpi_performance'!S246</f>
        <v>7.706010537</v>
      </c>
      <c r="BD246" s="35">
        <f>'1kpi_performance'!T246</f>
        <v>4.391334426</v>
      </c>
      <c r="BE246" s="35">
        <f>'1kpi_performance'!U246</f>
        <v>-0.07297113346</v>
      </c>
      <c r="BF246" s="47"/>
      <c r="BG246" s="47"/>
      <c r="BH246" s="47"/>
      <c r="BI246" s="47"/>
      <c r="BJ246" s="47"/>
      <c r="BK246" s="47"/>
      <c r="BL246" s="47"/>
      <c r="BM246" s="47"/>
      <c r="BN246" s="47"/>
      <c r="BO246" s="47"/>
      <c r="BP246" s="47"/>
      <c r="BQ246" s="47"/>
      <c r="BR246" s="47"/>
      <c r="BS246" s="47"/>
      <c r="BT246" s="47"/>
    </row>
    <row r="247" ht="11.25" customHeight="1">
      <c r="A247" s="35" t="str">
        <f>'13all_company_profile'!A247</f>
        <v>GBTC</v>
      </c>
      <c r="B247" s="35" t="str">
        <f>'13all_company_profile'!B247</f>
        <v>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v>
      </c>
      <c r="C247" s="44" t="str">
        <f>'13all_company_profile'!C247</f>
        <v>https://financialmodelingprep.com/image-stock/GBTC.png</v>
      </c>
      <c r="D247" s="35" t="str">
        <f>'13all_company_profile'!D247</f>
        <v>Grayscale Bitcoin Trust (BTC)</v>
      </c>
      <c r="E247" s="36">
        <f>'13all_company_profile'!E247</f>
        <v>4483382784</v>
      </c>
      <c r="F247" s="37">
        <f>'13all_company_profile'!F247</f>
        <v>9299031</v>
      </c>
      <c r="G247" s="35">
        <f>'13all_company_profile'!G247</f>
        <v>0</v>
      </c>
      <c r="H247" s="38" t="str">
        <f>'13all_company_profile'!H247</f>
        <v>not avaiable</v>
      </c>
      <c r="I247" s="35" t="str">
        <f>'13all_company_profile'!I247</f>
        <v>NaN</v>
      </c>
      <c r="J247" s="35" t="str">
        <f>'13all_company_profile'!J247</f>
        <v>NaN</v>
      </c>
      <c r="K247" s="42" t="str">
        <f t="shared" si="1"/>
        <v>NaN</v>
      </c>
      <c r="L247" s="35">
        <f>'7company_info'!B247</f>
        <v>24.02</v>
      </c>
      <c r="M247" s="35">
        <f>'7company_info'!C247</f>
        <v>24.47</v>
      </c>
      <c r="N247" s="35">
        <f>'7company_info'!D247</f>
        <v>24.01</v>
      </c>
      <c r="O247" s="35">
        <f>'7company_info'!E247</f>
        <v>-1.23</v>
      </c>
      <c r="P247" s="35">
        <f>'7company_info'!F247</f>
        <v>-0.0487</v>
      </c>
      <c r="Q247" s="35">
        <f>'7company_info'!G247</f>
        <v>24.4</v>
      </c>
      <c r="R247" s="35">
        <f>'7company_info'!H247</f>
        <v>25.25</v>
      </c>
      <c r="S247" s="35">
        <f>'7company_info'!I247</f>
        <v>9.25</v>
      </c>
      <c r="T247" s="35">
        <f>'7company_info'!J247</f>
        <v>58.22</v>
      </c>
      <c r="U247" s="39">
        <v>26.6066666666666</v>
      </c>
      <c r="V247" s="39">
        <v>26.8933333333333</v>
      </c>
      <c r="W247" s="40">
        <v>27.3866666666666</v>
      </c>
      <c r="X247" s="40">
        <v>28.1666666666666</v>
      </c>
      <c r="Y247" s="40">
        <v>26.1133333333333</v>
      </c>
      <c r="Z247" s="40">
        <v>25.8266666666666</v>
      </c>
      <c r="AA247" s="40">
        <v>25.0466666666666</v>
      </c>
      <c r="AB247" s="40">
        <v>27.78</v>
      </c>
      <c r="AC247" s="40">
        <v>29.14</v>
      </c>
      <c r="AD247" s="40">
        <v>29.0937141537966</v>
      </c>
      <c r="AE247" s="40">
        <v>23.0301</v>
      </c>
      <c r="AF247" s="40">
        <v>1.80045</v>
      </c>
      <c r="AG247" s="40">
        <v>58.22</v>
      </c>
      <c r="AH247" s="45">
        <v>44246.0</v>
      </c>
      <c r="AI247" s="44" t="str">
        <f>'6image_RS_benchmark_performance'!B247</f>
        <v>https://3arbzfbsh-cname-us.ngrok.io/Desktop/seabridge%20fintech/image_app/GBTC_resistance_support.jpg</v>
      </c>
      <c r="AJ247" s="44" t="str">
        <f>'6image_RS_benchmark_performance'!C247</f>
        <v>https://3arbzfbsh-cname-us.ngrok.io/Desktop/seabridge%20fintech/profit_graph_app/GBTC_Return.jpg</v>
      </c>
      <c r="AK247" s="46" t="str">
        <f>'5price_action_icon'!B247</f>
        <v>https://3arbzfbsh-cname-us.ngrok.io/Desktop/seabridge%20fintech/icon/GBTC_pa_trend_signal</v>
      </c>
      <c r="AL247" s="42">
        <f>'1kpi_performance'!B247</f>
        <v>6.695725112</v>
      </c>
      <c r="AM247" s="42">
        <f>'1kpi_performance'!C247</f>
        <v>9.435580363</v>
      </c>
      <c r="AN247" s="42">
        <f>'1kpi_performance'!D247</f>
        <v>5.243632183</v>
      </c>
      <c r="AO247" s="42">
        <f>'1kpi_performance'!E247</f>
        <v>1.452269737</v>
      </c>
      <c r="AP247" s="42">
        <f>'1kpi_performance'!F247</f>
        <v>0.8193255413</v>
      </c>
      <c r="AQ247" s="42">
        <f>'1kpi_performance'!G247</f>
        <v>0.8275792659</v>
      </c>
      <c r="AR247" s="42">
        <f>'1kpi_performance'!H247</f>
        <v>0.7686052583</v>
      </c>
      <c r="AS247" s="42">
        <f>'1kpi_performance'!I247</f>
        <v>1.132386052</v>
      </c>
      <c r="AT247" s="35">
        <f>'1kpi_performance'!J247</f>
        <v>8.141727282</v>
      </c>
      <c r="AU247" s="35">
        <f>'1kpi_performance'!K247</f>
        <v>11.37121331</v>
      </c>
      <c r="AV247" s="35">
        <f>'1kpi_performance'!L247</f>
        <v>6.789743014</v>
      </c>
      <c r="AW247" s="35">
        <f>'1kpi_performance'!M247</f>
        <v>1.260409147</v>
      </c>
      <c r="AX247" s="42">
        <f>'1kpi_performance'!N247</f>
        <v>0.45636728</v>
      </c>
      <c r="AY247" s="42">
        <f>'1kpi_performance'!O247</f>
        <v>0.45636728</v>
      </c>
      <c r="AZ247" s="42">
        <f>'1kpi_performance'!P247</f>
        <v>0.4398698758</v>
      </c>
      <c r="BA247" s="42">
        <f>'1kpi_performance'!Q247</f>
        <v>0.8990931523</v>
      </c>
      <c r="BB247" s="35">
        <f>'1kpi_performance'!R247</f>
        <v>19.4521559</v>
      </c>
      <c r="BC247" s="35">
        <f>'1kpi_performance'!S247</f>
        <v>29.60875341</v>
      </c>
      <c r="BD247" s="35">
        <f>'1kpi_performance'!T247</f>
        <v>16.62083954</v>
      </c>
      <c r="BE247" s="35">
        <f>'1kpi_performance'!U247</f>
        <v>2.767339272</v>
      </c>
      <c r="BF247" s="47"/>
      <c r="BG247" s="47"/>
      <c r="BH247" s="47"/>
      <c r="BI247" s="47"/>
      <c r="BJ247" s="47"/>
      <c r="BK247" s="47"/>
      <c r="BL247" s="47"/>
      <c r="BM247" s="47"/>
      <c r="BN247" s="47"/>
      <c r="BO247" s="47"/>
      <c r="BP247" s="47"/>
      <c r="BQ247" s="47"/>
      <c r="BR247" s="47"/>
      <c r="BS247" s="47"/>
      <c r="BT247" s="47"/>
    </row>
    <row r="248" ht="11.25" customHeight="1">
      <c r="A248" s="35" t="str">
        <f>'13all_company_profile'!A248</f>
        <v>GD</v>
      </c>
      <c r="B248" s="35" t="str">
        <f>'13all_company_profile'!B248</f>
        <v>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v>
      </c>
      <c r="C248" s="44" t="str">
        <f>'13all_company_profile'!C248</f>
        <v>https://financialmodelingprep.com/image-stock/GD.png</v>
      </c>
      <c r="D248" s="35" t="str">
        <f>'13all_company_profile'!D248</f>
        <v>General Dynamics Corporation</v>
      </c>
      <c r="E248" s="36">
        <f>'13all_company_profile'!E248</f>
        <v>53478850560</v>
      </c>
      <c r="F248" s="37">
        <f>'13all_company_profile'!F248</f>
        <v>1057847</v>
      </c>
      <c r="G248" s="35">
        <f>'13all_company_profile'!G248</f>
        <v>4.58</v>
      </c>
      <c r="H248" s="38">
        <f>'13all_company_profile'!H248</f>
        <v>44404</v>
      </c>
      <c r="I248" s="35">
        <f>'13all_company_profile'!I248</f>
        <v>17.170963</v>
      </c>
      <c r="J248" s="35">
        <f>'13all_company_profile'!J248</f>
        <v>11.055</v>
      </c>
      <c r="K248" s="42">
        <f t="shared" si="1"/>
        <v>0.02410399453</v>
      </c>
      <c r="L248" s="35">
        <f>'7company_info'!B248</f>
        <v>190.01</v>
      </c>
      <c r="M248" s="35">
        <f>'7company_info'!C248</f>
        <v>190.63</v>
      </c>
      <c r="N248" s="35">
        <f>'7company_info'!D248</f>
        <v>185.06</v>
      </c>
      <c r="O248" s="35">
        <f>'7company_info'!E248</f>
        <v>5.92</v>
      </c>
      <c r="P248" s="35">
        <f>'7company_info'!F248</f>
        <v>0.0322</v>
      </c>
      <c r="Q248" s="35">
        <f>'7company_info'!G248</f>
        <v>185.15</v>
      </c>
      <c r="R248" s="35">
        <f>'7company_info'!H248</f>
        <v>184.09</v>
      </c>
      <c r="S248" s="35">
        <f>'7company_info'!I248</f>
        <v>129.17</v>
      </c>
      <c r="T248" s="35">
        <f>'7company_info'!J248</f>
        <v>197.51</v>
      </c>
      <c r="U248" s="39">
        <v>189.293333333333</v>
      </c>
      <c r="V248" s="39">
        <v>190.286666666666</v>
      </c>
      <c r="W248" s="40">
        <v>191.113333333333</v>
      </c>
      <c r="X248" s="40">
        <v>192.933333333333</v>
      </c>
      <c r="Y248" s="40">
        <v>188.466666666666</v>
      </c>
      <c r="Z248" s="40">
        <v>187.473333333333</v>
      </c>
      <c r="AA248" s="40">
        <v>185.653333333333</v>
      </c>
      <c r="AB248" s="40">
        <v>185.89</v>
      </c>
      <c r="AC248" s="40">
        <v>189.09</v>
      </c>
      <c r="AD248" s="40">
        <v>189.032048460783</v>
      </c>
      <c r="AE248" s="40">
        <v>182.91025</v>
      </c>
      <c r="AF248" s="40">
        <v>2.89687499999999</v>
      </c>
      <c r="AG248" s="40">
        <v>197.51</v>
      </c>
      <c r="AH248" s="45">
        <v>44326.0</v>
      </c>
      <c r="AI248" s="44" t="str">
        <f>'6image_RS_benchmark_performance'!B248</f>
        <v>https://3arbzfbsh-cname-us.ngrok.io/Desktop/seabridge%20fintech/image_app/GD_resistance_support.jpg</v>
      </c>
      <c r="AJ248" s="44" t="str">
        <f>'6image_RS_benchmark_performance'!C248</f>
        <v>https://3arbzfbsh-cname-us.ngrok.io/Desktop/seabridge%20fintech/profit_graph_app/GD_Return.jpg</v>
      </c>
      <c r="AK248" s="46" t="str">
        <f>'5price_action_icon'!B248</f>
        <v>https://3arbzfbsh-cname-us.ngrok.io/Desktop/seabridge%20fintech/icon/GD_pa_trend_signal</v>
      </c>
      <c r="AL248" s="42">
        <f>'1kpi_performance'!B248</f>
        <v>0.4680705172</v>
      </c>
      <c r="AM248" s="42">
        <f>'1kpi_performance'!C248</f>
        <v>0.5348281764</v>
      </c>
      <c r="AN248" s="42">
        <f>'1kpi_performance'!D248</f>
        <v>0.6404525185</v>
      </c>
      <c r="AO248" s="42">
        <f>'1kpi_performance'!E248</f>
        <v>0.1359036193</v>
      </c>
      <c r="AP248" s="42">
        <f>'1kpi_performance'!F248</f>
        <v>0.175530669</v>
      </c>
      <c r="AQ248" s="42">
        <f>'1kpi_performance'!G248</f>
        <v>0.1852362525</v>
      </c>
      <c r="AR248" s="42">
        <f>'1kpi_performance'!H248</f>
        <v>0.1765971733</v>
      </c>
      <c r="AS248" s="42">
        <f>'1kpi_performance'!I248</f>
        <v>0.2710804111</v>
      </c>
      <c r="AT248" s="35">
        <f>'1kpi_performance'!J248</f>
        <v>2.524177227</v>
      </c>
      <c r="AU248" s="35">
        <f>'1kpi_performance'!K248</f>
        <v>2.752313166</v>
      </c>
      <c r="AV248" s="35">
        <f>'1kpi_performance'!L248</f>
        <v>3.485064382</v>
      </c>
      <c r="AW248" s="35">
        <f>'1kpi_performance'!M248</f>
        <v>0.4091170545</v>
      </c>
      <c r="AX248" s="42">
        <f>'1kpi_performance'!N248</f>
        <v>0.1171776269</v>
      </c>
      <c r="AY248" s="42">
        <f>'1kpi_performance'!O248</f>
        <v>0.0936812992</v>
      </c>
      <c r="AZ248" s="42">
        <f>'1kpi_performance'!P248</f>
        <v>0.1411565738</v>
      </c>
      <c r="BA248" s="42">
        <f>'1kpi_performance'!Q248</f>
        <v>0.5364209611</v>
      </c>
      <c r="BB248" s="35">
        <f>'1kpi_performance'!R248</f>
        <v>5.538190139</v>
      </c>
      <c r="BC248" s="35">
        <f>'1kpi_performance'!S248</f>
        <v>6.302883203</v>
      </c>
      <c r="BD248" s="35">
        <f>'1kpi_performance'!T248</f>
        <v>8.16539519</v>
      </c>
      <c r="BE248" s="35">
        <f>'1kpi_performance'!U248</f>
        <v>0.7902106347</v>
      </c>
      <c r="BF248" s="47"/>
      <c r="BG248" s="47"/>
      <c r="BH248" s="47"/>
      <c r="BI248" s="47"/>
      <c r="BJ248" s="47"/>
      <c r="BK248" s="47"/>
      <c r="BL248" s="47"/>
      <c r="BM248" s="47"/>
      <c r="BN248" s="47"/>
      <c r="BO248" s="47"/>
      <c r="BP248" s="47"/>
      <c r="BQ248" s="47"/>
      <c r="BR248" s="47"/>
      <c r="BS248" s="47"/>
      <c r="BT248" s="47"/>
    </row>
    <row r="249" ht="11.25" customHeight="1">
      <c r="A249" s="35" t="str">
        <f>'13all_company_profile'!A249</f>
        <v>GDX</v>
      </c>
      <c r="B249" s="35" t="str">
        <f>'13all_company_profile'!B249</f>
        <v>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v>
      </c>
      <c r="C249" s="44" t="str">
        <f>'13all_company_profile'!C249</f>
        <v>https://financialmodelingprep.com/image-stock/GDX.png</v>
      </c>
      <c r="D249" s="35" t="str">
        <f>'13all_company_profile'!D249</f>
        <v>VanEck Vectors Gold Miners ETF</v>
      </c>
      <c r="E249" s="36">
        <f>'13all_company_profile'!E249</f>
        <v>9892389525</v>
      </c>
      <c r="F249" s="37">
        <f>'13all_company_profile'!F249</f>
        <v>20706984</v>
      </c>
      <c r="G249" s="35">
        <f>'13all_company_profile'!G249</f>
        <v>0.19</v>
      </c>
      <c r="H249" s="38" t="str">
        <f>'13all_company_profile'!H249</f>
        <v>not avaiable</v>
      </c>
      <c r="I249" s="35" t="str">
        <f>'13all_company_profile'!I249</f>
        <v>NaN</v>
      </c>
      <c r="J249" s="35" t="str">
        <f>'13all_company_profile'!J249</f>
        <v>NaN</v>
      </c>
      <c r="K249" s="42">
        <f t="shared" si="1"/>
        <v>0.005705705706</v>
      </c>
      <c r="L249" s="35">
        <f>'7company_info'!B249</f>
        <v>33.3</v>
      </c>
      <c r="M249" s="35">
        <f>'7company_info'!C249</f>
        <v>33.81</v>
      </c>
      <c r="N249" s="35">
        <f>'7company_info'!D249</f>
        <v>33.06</v>
      </c>
      <c r="O249" s="35">
        <f>'7company_info'!E249</f>
        <v>0.11</v>
      </c>
      <c r="P249" s="35">
        <f>'7company_info'!F249</f>
        <v>0.0033</v>
      </c>
      <c r="Q249" s="35">
        <f>'7company_info'!G249</f>
        <v>33.39</v>
      </c>
      <c r="R249" s="35">
        <f>'7company_info'!H249</f>
        <v>33.19</v>
      </c>
      <c r="S249" s="35">
        <f>'7company_info'!I249</f>
        <v>30.64</v>
      </c>
      <c r="T249" s="35">
        <f>'7company_info'!J249</f>
        <v>45.78</v>
      </c>
      <c r="U249" s="39">
        <v>34.825</v>
      </c>
      <c r="V249" s="39">
        <v>35.0749999999999</v>
      </c>
      <c r="W249" s="40">
        <v>35.4099999999999</v>
      </c>
      <c r="X249" s="40">
        <v>35.9949999999999</v>
      </c>
      <c r="Y249" s="40">
        <v>34.4899999999999</v>
      </c>
      <c r="Z249" s="40">
        <v>34.24</v>
      </c>
      <c r="AA249" s="40">
        <v>33.655</v>
      </c>
      <c r="AB249" s="40">
        <v>34.17</v>
      </c>
      <c r="AC249" s="40">
        <v>35.05</v>
      </c>
      <c r="AD249" s="40">
        <v>34.9039913309807</v>
      </c>
      <c r="AE249" s="40">
        <v>32.59211</v>
      </c>
      <c r="AF249" s="40">
        <v>0.851950000000001</v>
      </c>
      <c r="AG249" s="40">
        <v>40.13</v>
      </c>
      <c r="AH249" s="45">
        <v>44335.0</v>
      </c>
      <c r="AI249" s="44" t="str">
        <f>'6image_RS_benchmark_performance'!B249</f>
        <v>https://3arbzfbsh-cname-us.ngrok.io/Desktop/seabridge%20fintech/image_app/GDX_resistance_support.jpg</v>
      </c>
      <c r="AJ249" s="44" t="str">
        <f>'6image_RS_benchmark_performance'!C249</f>
        <v>https://3arbzfbsh-cname-us.ngrok.io/Desktop/seabridge%20fintech/profit_graph_app/GDX_Return.jpg</v>
      </c>
      <c r="AK249" s="46" t="str">
        <f>'5price_action_icon'!B249</f>
        <v>https://3arbzfbsh-cname-us.ngrok.io/Desktop/seabridge%20fintech/icon/GDX_pa_trend_signal</v>
      </c>
      <c r="AL249" s="42">
        <f>'1kpi_performance'!B249</f>
        <v>0.6016612683</v>
      </c>
      <c r="AM249" s="42">
        <f>'1kpi_performance'!C249</f>
        <v>0.8737058966</v>
      </c>
      <c r="AN249" s="42">
        <f>'1kpi_performance'!D249</f>
        <v>0.4570788889</v>
      </c>
      <c r="AO249" s="42">
        <f>'1kpi_performance'!E249</f>
        <v>-0.02832625489</v>
      </c>
      <c r="AP249" s="42">
        <f>'1kpi_performance'!F249</f>
        <v>0.3084790297</v>
      </c>
      <c r="AQ249" s="42">
        <f>'1kpi_performance'!G249</f>
        <v>0.3305543428</v>
      </c>
      <c r="AR249" s="42">
        <f>'1kpi_performance'!H249</f>
        <v>0.3542768374</v>
      </c>
      <c r="AS249" s="42">
        <f>'1kpi_performance'!I249</f>
        <v>0.4629303097</v>
      </c>
      <c r="AT249" s="35">
        <f>'1kpi_performance'!J249</f>
        <v>1.869369431</v>
      </c>
      <c r="AU249" s="35">
        <f>'1kpi_performance'!K249</f>
        <v>2.567523056</v>
      </c>
      <c r="AV249" s="35">
        <f>'1kpi_performance'!L249</f>
        <v>1.219608067</v>
      </c>
      <c r="AW249" s="35">
        <f>'1kpi_performance'!M249</f>
        <v>-0.1151928352</v>
      </c>
      <c r="AX249" s="42">
        <f>'1kpi_performance'!N249</f>
        <v>0.2080911932</v>
      </c>
      <c r="AY249" s="42">
        <f>'1kpi_performance'!O249</f>
        <v>0.2282352941</v>
      </c>
      <c r="AZ249" s="42">
        <f>'1kpi_performance'!P249</f>
        <v>0.4532286366</v>
      </c>
      <c r="BA249" s="42">
        <f>'1kpi_performance'!Q249</f>
        <v>0.8128470659</v>
      </c>
      <c r="BB249" s="35">
        <f>'1kpi_performance'!R249</f>
        <v>3.926733653</v>
      </c>
      <c r="BC249" s="35">
        <f>'1kpi_performance'!S249</f>
        <v>5.437057881</v>
      </c>
      <c r="BD249" s="35">
        <f>'1kpi_performance'!T249</f>
        <v>2.379241791</v>
      </c>
      <c r="BE249" s="35">
        <f>'1kpi_performance'!U249</f>
        <v>-0.2288724232</v>
      </c>
      <c r="BF249" s="47"/>
      <c r="BG249" s="47"/>
      <c r="BH249" s="47"/>
      <c r="BI249" s="47"/>
      <c r="BJ249" s="47"/>
      <c r="BK249" s="47"/>
      <c r="BL249" s="47"/>
      <c r="BM249" s="47"/>
      <c r="BN249" s="47"/>
      <c r="BO249" s="47"/>
      <c r="BP249" s="47"/>
      <c r="BQ249" s="47"/>
      <c r="BR249" s="47"/>
      <c r="BS249" s="47"/>
      <c r="BT249" s="47"/>
    </row>
    <row r="250" ht="11.25" customHeight="1">
      <c r="A250" s="35" t="str">
        <f>'13all_company_profile'!A250</f>
        <v>GE</v>
      </c>
      <c r="B250" s="35" t="str">
        <f>'13all_company_profile'!B250</f>
        <v>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v>
      </c>
      <c r="C250" s="44" t="str">
        <f>'13all_company_profile'!C250</f>
        <v>https://financialmodelingprep.com/image-stock/GE.png</v>
      </c>
      <c r="D250" s="35" t="str">
        <f>'13all_company_profile'!D250</f>
        <v>General Electric Company</v>
      </c>
      <c r="E250" s="36">
        <f>'13all_company_profile'!E250</f>
        <v>112191021056</v>
      </c>
      <c r="F250" s="37">
        <f>'13all_company_profile'!F250</f>
        <v>58992573</v>
      </c>
      <c r="G250" s="35">
        <f>'13all_company_profile'!G250</f>
        <v>0.04</v>
      </c>
      <c r="H250" s="38">
        <f>'13all_company_profile'!H250</f>
        <v>44404</v>
      </c>
      <c r="I250" s="35" t="str">
        <f>'13all_company_profile'!I250</f>
        <v>NaN</v>
      </c>
      <c r="J250" s="35">
        <f>'13all_company_profile'!J250</f>
        <v>-0.453</v>
      </c>
      <c r="K250" s="42">
        <f t="shared" si="1"/>
        <v>0.003149606299</v>
      </c>
      <c r="L250" s="35">
        <f>'7company_info'!B250</f>
        <v>12.7</v>
      </c>
      <c r="M250" s="35">
        <f>'7company_info'!C250</f>
        <v>12.74</v>
      </c>
      <c r="N250" s="35">
        <f>'7company_info'!D250</f>
        <v>11.99</v>
      </c>
      <c r="O250" s="35">
        <f>'7company_info'!E250</f>
        <v>0.7</v>
      </c>
      <c r="P250" s="35">
        <f>'7company_info'!F250</f>
        <v>0.0583</v>
      </c>
      <c r="Q250" s="35">
        <f>'7company_info'!G250</f>
        <v>12.01</v>
      </c>
      <c r="R250" s="35">
        <f>'7company_info'!H250</f>
        <v>12</v>
      </c>
      <c r="S250" s="35">
        <f>'7company_info'!I250</f>
        <v>5.93</v>
      </c>
      <c r="T250" s="35">
        <f>'7company_info'!J250</f>
        <v>14.42</v>
      </c>
      <c r="U250" s="39">
        <v>12.8366666666666</v>
      </c>
      <c r="V250" s="39">
        <v>12.9533333333333</v>
      </c>
      <c r="W250" s="40">
        <v>13.0966666666666</v>
      </c>
      <c r="X250" s="40">
        <v>13.3566666666666</v>
      </c>
      <c r="Y250" s="40">
        <v>12.6933333333333</v>
      </c>
      <c r="Z250" s="40">
        <v>12.5766666666666</v>
      </c>
      <c r="AA250" s="40">
        <v>12.3166666666666</v>
      </c>
      <c r="AB250" s="40">
        <v>12.86</v>
      </c>
      <c r="AC250" s="40">
        <v>12.98</v>
      </c>
      <c r="AD250" s="40">
        <v>13.141710101897</v>
      </c>
      <c r="AE250" s="40">
        <v>12.2325</v>
      </c>
      <c r="AF250" s="40">
        <v>0.32875</v>
      </c>
      <c r="AG250" s="40">
        <v>14.415</v>
      </c>
      <c r="AH250" s="45">
        <v>44264.0</v>
      </c>
      <c r="AI250" s="44" t="str">
        <f>'6image_RS_benchmark_performance'!B250</f>
        <v>https://3arbzfbsh-cname-us.ngrok.io/Desktop/seabridge%20fintech/image_app/GE_resistance_support.jpg</v>
      </c>
      <c r="AJ250" s="44" t="str">
        <f>'6image_RS_benchmark_performance'!C250</f>
        <v>https://3arbzfbsh-cname-us.ngrok.io/Desktop/seabridge%20fintech/profit_graph_app/GE_Return.jpg</v>
      </c>
      <c r="AK250" s="46" t="str">
        <f>'5price_action_icon'!B250</f>
        <v>https://3arbzfbsh-cname-us.ngrok.io/Desktop/seabridge%20fintech/icon/GE_pa_trend_signal</v>
      </c>
      <c r="AL250" s="42">
        <f>'1kpi_performance'!B250</f>
        <v>0.4745058291</v>
      </c>
      <c r="AM250" s="42">
        <f>'1kpi_performance'!C250</f>
        <v>0.7022521185</v>
      </c>
      <c r="AN250" s="42">
        <f>'1kpi_performance'!D250</f>
        <v>0.5732875928</v>
      </c>
      <c r="AO250" s="42">
        <f>'1kpi_performance'!E250</f>
        <v>-0.02267838477</v>
      </c>
      <c r="AP250" s="42">
        <f>'1kpi_performance'!F250</f>
        <v>0.260349872</v>
      </c>
      <c r="AQ250" s="42">
        <f>'1kpi_performance'!G250</f>
        <v>0.2406523674</v>
      </c>
      <c r="AR250" s="42">
        <f>'1kpi_performance'!H250</f>
        <v>0.2468262673</v>
      </c>
      <c r="AS250" s="42">
        <f>'1kpi_performance'!I250</f>
        <v>0.379689332</v>
      </c>
      <c r="AT250" s="35">
        <f>'1kpi_performance'!J250</f>
        <v>1.726545228</v>
      </c>
      <c r="AU250" s="35">
        <f>'1kpi_performance'!K250</f>
        <v>2.814234182</v>
      </c>
      <c r="AV250" s="35">
        <f>'1kpi_performance'!L250</f>
        <v>2.22135026</v>
      </c>
      <c r="AW250" s="35">
        <f>'1kpi_performance'!M250</f>
        <v>-0.1255720947</v>
      </c>
      <c r="AX250" s="42">
        <f>'1kpi_performance'!N250</f>
        <v>0.2681547128</v>
      </c>
      <c r="AY250" s="42">
        <f>'1kpi_performance'!O250</f>
        <v>0.171182266</v>
      </c>
      <c r="AZ250" s="42">
        <f>'1kpi_performance'!P250</f>
        <v>0.4112243376</v>
      </c>
      <c r="BA250" s="42">
        <f>'1kpi_performance'!Q250</f>
        <v>0.8265622038</v>
      </c>
      <c r="BB250" s="35">
        <f>'1kpi_performance'!R250</f>
        <v>3.626854345</v>
      </c>
      <c r="BC250" s="35">
        <f>'1kpi_performance'!S250</f>
        <v>6.825669941</v>
      </c>
      <c r="BD250" s="35">
        <f>'1kpi_performance'!T250</f>
        <v>5.01680655</v>
      </c>
      <c r="BE250" s="35">
        <f>'1kpi_performance'!U250</f>
        <v>-0.247042157</v>
      </c>
      <c r="BF250" s="47"/>
      <c r="BG250" s="47"/>
      <c r="BH250" s="47"/>
      <c r="BI250" s="47"/>
      <c r="BJ250" s="47"/>
      <c r="BK250" s="47"/>
      <c r="BL250" s="47"/>
      <c r="BM250" s="47"/>
      <c r="BN250" s="47"/>
      <c r="BO250" s="47"/>
      <c r="BP250" s="47"/>
      <c r="BQ250" s="47"/>
      <c r="BR250" s="47"/>
      <c r="BS250" s="47"/>
      <c r="BT250" s="47"/>
    </row>
    <row r="251" ht="11.25" customHeight="1">
      <c r="A251" s="35" t="str">
        <f>'13all_company_profile'!A251</f>
        <v>GILD</v>
      </c>
      <c r="B251" s="35" t="str">
        <f>'13all_company_profile'!B251</f>
        <v>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v>
      </c>
      <c r="C251" s="44" t="str">
        <f>'13all_company_profile'!C251</f>
        <v>https://financialmodelingprep.com/image-stock/GILD.png</v>
      </c>
      <c r="D251" s="35" t="str">
        <f>'13all_company_profile'!D251</f>
        <v>Gilead Sciences, Inc.</v>
      </c>
      <c r="E251" s="36">
        <f>'13all_company_profile'!E251</f>
        <v>85660491776</v>
      </c>
      <c r="F251" s="37">
        <f>'13all_company_profile'!F251</f>
        <v>6893919</v>
      </c>
      <c r="G251" s="35">
        <f>'13all_company_profile'!G251</f>
        <v>2.78</v>
      </c>
      <c r="H251" s="38">
        <f>'13all_company_profile'!H251</f>
        <v>44405</v>
      </c>
      <c r="I251" s="35">
        <f>'13all_company_profile'!I251</f>
        <v>286.39584</v>
      </c>
      <c r="J251" s="35">
        <f>'13all_company_profile'!J251</f>
        <v>0.24</v>
      </c>
      <c r="K251" s="42">
        <f t="shared" si="1"/>
        <v>0.04019664546</v>
      </c>
      <c r="L251" s="35">
        <f>'7company_info'!B251</f>
        <v>69.16</v>
      </c>
      <c r="M251" s="35">
        <f>'7company_info'!C251</f>
        <v>69.77</v>
      </c>
      <c r="N251" s="35">
        <f>'7company_info'!D251</f>
        <v>68.27</v>
      </c>
      <c r="O251" s="35">
        <f>'7company_info'!E251</f>
        <v>0.93</v>
      </c>
      <c r="P251" s="35">
        <f>'7company_info'!F251</f>
        <v>0.0136</v>
      </c>
      <c r="Q251" s="35">
        <f>'7company_info'!G251</f>
        <v>68.32</v>
      </c>
      <c r="R251" s="35">
        <f>'7company_info'!H251</f>
        <v>68.23</v>
      </c>
      <c r="S251" s="35">
        <f>'7company_info'!I251</f>
        <v>56.56</v>
      </c>
      <c r="T251" s="35">
        <f>'7company_info'!J251</f>
        <v>78.94</v>
      </c>
      <c r="U251" s="39">
        <v>67.8233333333333</v>
      </c>
      <c r="V251" s="39">
        <v>68.2166666666666</v>
      </c>
      <c r="W251" s="40">
        <v>68.5033333333333</v>
      </c>
      <c r="X251" s="40">
        <v>69.1833333333333</v>
      </c>
      <c r="Y251" s="40">
        <v>67.5366666666666</v>
      </c>
      <c r="Z251" s="40">
        <v>67.1433333333333</v>
      </c>
      <c r="AA251" s="40">
        <v>66.4633333333333</v>
      </c>
      <c r="AB251" s="40">
        <v>66.65</v>
      </c>
      <c r="AC251" s="40">
        <v>67.57</v>
      </c>
      <c r="AD251" s="40">
        <v>67.9589297612183</v>
      </c>
      <c r="AE251" s="40">
        <v>65.95488</v>
      </c>
      <c r="AF251" s="40">
        <v>1.02355999999999</v>
      </c>
      <c r="AG251" s="40">
        <v>70.11</v>
      </c>
      <c r="AH251" s="45">
        <v>44337.0</v>
      </c>
      <c r="AI251" s="44" t="str">
        <f>'6image_RS_benchmark_performance'!B251</f>
        <v>https://3arbzfbsh-cname-us.ngrok.io/Desktop/seabridge%20fintech/image_app/GILD_resistance_support.jpg</v>
      </c>
      <c r="AJ251" s="44" t="str">
        <f>'6image_RS_benchmark_performance'!C251</f>
        <v>https://3arbzfbsh-cname-us.ngrok.io/Desktop/seabridge%20fintech/profit_graph_app/GILD_Return.jpg</v>
      </c>
      <c r="AK251" s="46" t="str">
        <f>'5price_action_icon'!B251</f>
        <v>https://3arbzfbsh-cname-us.ngrok.io/Desktop/seabridge%20fintech/icon/GILD_pa_trend_signal</v>
      </c>
      <c r="AL251" s="42">
        <f>'1kpi_performance'!B251</f>
        <v>0.445870218</v>
      </c>
      <c r="AM251" s="42">
        <f>'1kpi_performance'!C251</f>
        <v>0.6651899234</v>
      </c>
      <c r="AN251" s="42">
        <f>'1kpi_performance'!D251</f>
        <v>0.6853232545</v>
      </c>
      <c r="AO251" s="42">
        <f>'1kpi_performance'!E251</f>
        <v>0.1451648658</v>
      </c>
      <c r="AP251" s="42">
        <f>'1kpi_performance'!F251</f>
        <v>0.2307587304</v>
      </c>
      <c r="AQ251" s="42">
        <f>'1kpi_performance'!G251</f>
        <v>0.2346990783</v>
      </c>
      <c r="AR251" s="42">
        <f>'1kpi_performance'!H251</f>
        <v>0.2355819528</v>
      </c>
      <c r="AS251" s="42">
        <f>'1kpi_performance'!I251</f>
        <v>0.3441313292</v>
      </c>
      <c r="AT251" s="35">
        <f>'1kpi_performance'!J251</f>
        <v>1.823853933</v>
      </c>
      <c r="AU251" s="35">
        <f>'1kpi_performance'!K251</f>
        <v>2.727705315</v>
      </c>
      <c r="AV251" s="35">
        <f>'1kpi_performance'!L251</f>
        <v>2.80294499</v>
      </c>
      <c r="AW251" s="35">
        <f>'1kpi_performance'!M251</f>
        <v>0.3491831624</v>
      </c>
      <c r="AX251" s="42">
        <f>'1kpi_performance'!N251</f>
        <v>0.3046920095</v>
      </c>
      <c r="AY251" s="42">
        <f>'1kpi_performance'!O251</f>
        <v>0.1318548462</v>
      </c>
      <c r="AZ251" s="42">
        <f>'1kpi_performance'!P251</f>
        <v>0.2995543562</v>
      </c>
      <c r="BA251" s="42">
        <f>'1kpi_performance'!Q251</f>
        <v>0.5364536454</v>
      </c>
      <c r="BB251" s="35">
        <f>'1kpi_performance'!R251</f>
        <v>3.91672043</v>
      </c>
      <c r="BC251" s="35">
        <f>'1kpi_performance'!S251</f>
        <v>6.513642536</v>
      </c>
      <c r="BD251" s="35">
        <f>'1kpi_performance'!T251</f>
        <v>6.317953527</v>
      </c>
      <c r="BE251" s="35">
        <f>'1kpi_performance'!U251</f>
        <v>0.6856289864</v>
      </c>
      <c r="BF251" s="47"/>
      <c r="BG251" s="47"/>
      <c r="BH251" s="47"/>
      <c r="BI251" s="47"/>
      <c r="BJ251" s="47"/>
      <c r="BK251" s="47"/>
      <c r="BL251" s="47"/>
      <c r="BM251" s="47"/>
      <c r="BN251" s="47"/>
      <c r="BO251" s="47"/>
      <c r="BP251" s="47"/>
      <c r="BQ251" s="47"/>
      <c r="BR251" s="47"/>
      <c r="BS251" s="47"/>
      <c r="BT251" s="47"/>
    </row>
    <row r="252" ht="11.25" customHeight="1">
      <c r="A252" s="35" t="str">
        <f>'13all_company_profile'!A252</f>
        <v>GIS</v>
      </c>
      <c r="B252" s="35" t="str">
        <f>'13all_company_profile'!B252</f>
        <v>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v>
      </c>
      <c r="C252" s="44" t="str">
        <f>'13all_company_profile'!C252</f>
        <v>https://financialmodelingprep.com/image-stock/GIS.png</v>
      </c>
      <c r="D252" s="35" t="str">
        <f>'13all_company_profile'!D252</f>
        <v>General Mills, Inc.</v>
      </c>
      <c r="E252" s="36">
        <f>'13all_company_profile'!E252</f>
        <v>36286869504</v>
      </c>
      <c r="F252" s="37">
        <f>'13all_company_profile'!F252</f>
        <v>3790161</v>
      </c>
      <c r="G252" s="35">
        <f>'13all_company_profile'!G252</f>
        <v>2.04</v>
      </c>
      <c r="H252" s="38" t="str">
        <f>'13all_company_profile'!H252</f>
        <v>not avaiable</v>
      </c>
      <c r="I252" s="35">
        <f>'13all_company_profile'!I252</f>
        <v>15.880952</v>
      </c>
      <c r="J252" s="35">
        <f>'13all_company_profile'!J252</f>
        <v>3.78</v>
      </c>
      <c r="K252" s="42">
        <f t="shared" si="1"/>
        <v>0.03404539386</v>
      </c>
      <c r="L252" s="35">
        <f>'7company_info'!B252</f>
        <v>59.92</v>
      </c>
      <c r="M252" s="35">
        <f>'7company_info'!C252</f>
        <v>61.58</v>
      </c>
      <c r="N252" s="35">
        <f>'7company_info'!D252</f>
        <v>59.88</v>
      </c>
      <c r="O252" s="35">
        <f>'7company_info'!E252</f>
        <v>-0.81</v>
      </c>
      <c r="P252" s="35">
        <f>'7company_info'!F252</f>
        <v>-0.0133</v>
      </c>
      <c r="Q252" s="35">
        <f>'7company_info'!G252</f>
        <v>60.99</v>
      </c>
      <c r="R252" s="35">
        <f>'7company_info'!H252</f>
        <v>60.73</v>
      </c>
      <c r="S252" s="35">
        <f>'7company_info'!I252</f>
        <v>53.96</v>
      </c>
      <c r="T252" s="35">
        <f>'7company_info'!J252</f>
        <v>66.14</v>
      </c>
      <c r="U252" s="39">
        <v>59.0733333333333</v>
      </c>
      <c r="V252" s="39">
        <v>59.6116666666666</v>
      </c>
      <c r="W252" s="40">
        <v>59.9533333333333</v>
      </c>
      <c r="X252" s="40">
        <v>60.8333333333333</v>
      </c>
      <c r="Y252" s="40">
        <v>58.7316666666666</v>
      </c>
      <c r="Z252" s="40">
        <v>58.1933333333333</v>
      </c>
      <c r="AA252" s="40">
        <v>57.3133333333333</v>
      </c>
      <c r="AB252" s="40">
        <v>58.535</v>
      </c>
      <c r="AC252" s="40">
        <v>61.67</v>
      </c>
      <c r="AD252" s="40">
        <v>60.250638432742</v>
      </c>
      <c r="AE252" s="40">
        <v>57.30253</v>
      </c>
      <c r="AF252" s="40">
        <v>0.918735</v>
      </c>
      <c r="AG252" s="40">
        <v>64.6519</v>
      </c>
      <c r="AH252" s="45">
        <v>44329.0</v>
      </c>
      <c r="AI252" s="44" t="str">
        <f>'6image_RS_benchmark_performance'!B252</f>
        <v>https://3arbzfbsh-cname-us.ngrok.io/Desktop/seabridge%20fintech/image_app/GIS_resistance_support.jpg</v>
      </c>
      <c r="AJ252" s="44" t="str">
        <f>'6image_RS_benchmark_performance'!C252</f>
        <v>https://3arbzfbsh-cname-us.ngrok.io/Desktop/seabridge%20fintech/profit_graph_app/GIS_Return.jpg</v>
      </c>
      <c r="AK252" s="46" t="str">
        <f>'5price_action_icon'!B252</f>
        <v>https://3arbzfbsh-cname-us.ngrok.io/Desktop/seabridge%20fintech/icon/GIS_pa_trend_signal</v>
      </c>
      <c r="AL252" s="42">
        <f>'1kpi_performance'!B252</f>
        <v>0.2987978299</v>
      </c>
      <c r="AM252" s="42">
        <f>'1kpi_performance'!C252</f>
        <v>0.3665482716</v>
      </c>
      <c r="AN252" s="42">
        <f>'1kpi_performance'!D252</f>
        <v>0.2881381132</v>
      </c>
      <c r="AO252" s="42">
        <f>'1kpi_performance'!E252</f>
        <v>0.06573136547</v>
      </c>
      <c r="AP252" s="42">
        <f>'1kpi_performance'!F252</f>
        <v>0.1530398379</v>
      </c>
      <c r="AQ252" s="42">
        <f>'1kpi_performance'!G252</f>
        <v>0.1530586073</v>
      </c>
      <c r="AR252" s="42">
        <f>'1kpi_performance'!H252</f>
        <v>0.1407270362</v>
      </c>
      <c r="AS252" s="42">
        <f>'1kpi_performance'!I252</f>
        <v>0.2268950414</v>
      </c>
      <c r="AT252" s="35">
        <f>'1kpi_performance'!J252</f>
        <v>1.789062467</v>
      </c>
      <c r="AU252" s="35">
        <f>'1kpi_performance'!K252</f>
        <v>2.231486863</v>
      </c>
      <c r="AV252" s="35">
        <f>'1kpi_performance'!L252</f>
        <v>1.869847617</v>
      </c>
      <c r="AW252" s="35">
        <f>'1kpi_performance'!M252</f>
        <v>0.1795163315</v>
      </c>
      <c r="AX252" s="42">
        <f>'1kpi_performance'!N252</f>
        <v>0.1055806938</v>
      </c>
      <c r="AY252" s="42">
        <f>'1kpi_performance'!O252</f>
        <v>0.1055806938</v>
      </c>
      <c r="AZ252" s="42">
        <f>'1kpi_performance'!P252</f>
        <v>0.2837508697</v>
      </c>
      <c r="BA252" s="42">
        <f>'1kpi_performance'!Q252</f>
        <v>0.4947687225</v>
      </c>
      <c r="BB252" s="35">
        <f>'1kpi_performance'!R252</f>
        <v>3.642685818</v>
      </c>
      <c r="BC252" s="35">
        <f>'1kpi_performance'!S252</f>
        <v>4.866471827</v>
      </c>
      <c r="BD252" s="35">
        <f>'1kpi_performance'!T252</f>
        <v>3.56413647</v>
      </c>
      <c r="BE252" s="35">
        <f>'1kpi_performance'!U252</f>
        <v>0.3344228092</v>
      </c>
      <c r="BF252" s="47"/>
      <c r="BG252" s="47"/>
      <c r="BH252" s="47"/>
      <c r="BI252" s="47"/>
      <c r="BJ252" s="47"/>
      <c r="BK252" s="47"/>
      <c r="BL252" s="47"/>
      <c r="BM252" s="47"/>
      <c r="BN252" s="47"/>
      <c r="BO252" s="47"/>
      <c r="BP252" s="47"/>
      <c r="BQ252" s="47"/>
      <c r="BR252" s="47"/>
      <c r="BS252" s="47"/>
      <c r="BT252" s="47"/>
    </row>
    <row r="253" ht="11.25" customHeight="1">
      <c r="A253" s="35" t="str">
        <f>'13all_company_profile'!A253</f>
        <v>GL</v>
      </c>
      <c r="B253" s="35" t="str">
        <f>'13all_company_profile'!B253</f>
        <v>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v>
      </c>
      <c r="C253" s="44" t="str">
        <f>'13all_company_profile'!C253</f>
        <v>https://financialmodelingprep.com/image-stock/GL.png</v>
      </c>
      <c r="D253" s="35" t="str">
        <f>'13all_company_profile'!D253</f>
        <v>Globe Life Inc.</v>
      </c>
      <c r="E253" s="36">
        <f>'13all_company_profile'!E253</f>
        <v>9750875136</v>
      </c>
      <c r="F253" s="37">
        <f>'13all_company_profile'!F253</f>
        <v>411096</v>
      </c>
      <c r="G253" s="35">
        <f>'13all_company_profile'!G253</f>
        <v>0.7705</v>
      </c>
      <c r="H253" s="38">
        <f>'13all_company_profile'!H253</f>
        <v>44397</v>
      </c>
      <c r="I253" s="35">
        <f>'13all_company_profile'!I253</f>
        <v>13.406852</v>
      </c>
      <c r="J253" s="35">
        <f>'13all_company_profile'!J253</f>
        <v>7.005</v>
      </c>
      <c r="K253" s="42">
        <f t="shared" si="1"/>
        <v>0.008276047261</v>
      </c>
      <c r="L253" s="35">
        <f>'7company_info'!B253</f>
        <v>93.1</v>
      </c>
      <c r="M253" s="35">
        <f>'7company_info'!C253</f>
        <v>94.03</v>
      </c>
      <c r="N253" s="35">
        <f>'7company_info'!D253</f>
        <v>90.89</v>
      </c>
      <c r="O253" s="35">
        <f>'7company_info'!E253</f>
        <v>2.47</v>
      </c>
      <c r="P253" s="35">
        <f>'7company_info'!F253</f>
        <v>0.0273</v>
      </c>
      <c r="Q253" s="35">
        <f>'7company_info'!G253</f>
        <v>90.89</v>
      </c>
      <c r="R253" s="35">
        <f>'7company_info'!H253</f>
        <v>90.63</v>
      </c>
      <c r="S253" s="35">
        <f>'7company_info'!I253</f>
        <v>73.53</v>
      </c>
      <c r="T253" s="35">
        <f>'7company_info'!J253</f>
        <v>108.22</v>
      </c>
      <c r="U253" s="39">
        <v>94.0427333333333</v>
      </c>
      <c r="V253" s="39">
        <v>94.7954666666666</v>
      </c>
      <c r="W253" s="40">
        <v>95.8209333333333</v>
      </c>
      <c r="X253" s="40">
        <v>97.5991333333333</v>
      </c>
      <c r="Y253" s="40">
        <v>93.0172666666666</v>
      </c>
      <c r="Z253" s="40">
        <v>92.2645333333333</v>
      </c>
      <c r="AA253" s="40">
        <v>90.4863333333333</v>
      </c>
      <c r="AB253" s="40">
        <v>91.2</v>
      </c>
      <c r="AC253" s="40">
        <v>95.0682</v>
      </c>
      <c r="AD253" s="40">
        <v>96.3342560876221</v>
      </c>
      <c r="AE253" s="40">
        <v>89.36291</v>
      </c>
      <c r="AF253" s="40">
        <v>2.342455</v>
      </c>
      <c r="AG253" s="40">
        <v>108.22</v>
      </c>
      <c r="AH253" s="45">
        <v>44326.0</v>
      </c>
      <c r="AI253" s="44" t="str">
        <f>'6image_RS_benchmark_performance'!B253</f>
        <v>https://3arbzfbsh-cname-us.ngrok.io/Desktop/seabridge%20fintech/image_app/GL_resistance_support.jpg</v>
      </c>
      <c r="AJ253" s="44" t="str">
        <f>'6image_RS_benchmark_performance'!C253</f>
        <v>https://3arbzfbsh-cname-us.ngrok.io/Desktop/seabridge%20fintech/profit_graph_app/GL_Return.jpg</v>
      </c>
      <c r="AK253" s="46" t="str">
        <f>'5price_action_icon'!B253</f>
        <v>https://3arbzfbsh-cname-us.ngrok.io/Desktop/seabridge%20fintech/icon/GL_pa_trend_signal</v>
      </c>
      <c r="AL253" s="42">
        <f>'1kpi_performance'!B253</f>
        <v>0.4542947785</v>
      </c>
      <c r="AM253" s="42">
        <f>'1kpi_performance'!C253</f>
        <v>0.4993204448</v>
      </c>
      <c r="AN253" s="42">
        <f>'1kpi_performance'!D253</f>
        <v>0.4649042263</v>
      </c>
      <c r="AO253" s="42">
        <f>'1kpi_performance'!E253</f>
        <v>0.2105211654</v>
      </c>
      <c r="AP253" s="42">
        <f>'1kpi_performance'!F253</f>
        <v>0.186474946</v>
      </c>
      <c r="AQ253" s="42">
        <f>'1kpi_performance'!G253</f>
        <v>0.1921017549</v>
      </c>
      <c r="AR253" s="42">
        <f>'1kpi_performance'!H253</f>
        <v>0.1741196697</v>
      </c>
      <c r="AS253" s="42">
        <f>'1kpi_performance'!I253</f>
        <v>0.2925882738</v>
      </c>
      <c r="AT253" s="35">
        <f>'1kpi_performance'!J253</f>
        <v>2.302157945</v>
      </c>
      <c r="AU253" s="35">
        <f>'1kpi_performance'!K253</f>
        <v>2.46911042</v>
      </c>
      <c r="AV253" s="35">
        <f>'1kpi_performance'!L253</f>
        <v>2.526447627</v>
      </c>
      <c r="AW253" s="35">
        <f>'1kpi_performance'!M253</f>
        <v>0.6340690383</v>
      </c>
      <c r="AX253" s="42">
        <f>'1kpi_performance'!N253</f>
        <v>0.1517652453</v>
      </c>
      <c r="AY253" s="42">
        <f>'1kpi_performance'!O253</f>
        <v>0.1386418755</v>
      </c>
      <c r="AZ253" s="42">
        <f>'1kpi_performance'!P253</f>
        <v>0.2135577151</v>
      </c>
      <c r="BA253" s="42">
        <f>'1kpi_performance'!Q253</f>
        <v>0.4768801727</v>
      </c>
      <c r="BB253" s="35">
        <f>'1kpi_performance'!R253</f>
        <v>4.756024646</v>
      </c>
      <c r="BC253" s="35">
        <f>'1kpi_performance'!S253</f>
        <v>5.426381276</v>
      </c>
      <c r="BD253" s="35">
        <f>'1kpi_performance'!T253</f>
        <v>5.231422489</v>
      </c>
      <c r="BE253" s="35">
        <f>'1kpi_performance'!U253</f>
        <v>1.198266417</v>
      </c>
      <c r="BF253" s="47"/>
      <c r="BG253" s="47"/>
      <c r="BH253" s="47"/>
      <c r="BI253" s="47"/>
      <c r="BJ253" s="47"/>
      <c r="BK253" s="47"/>
      <c r="BL253" s="47"/>
      <c r="BM253" s="47"/>
      <c r="BN253" s="47"/>
      <c r="BO253" s="47"/>
      <c r="BP253" s="47"/>
      <c r="BQ253" s="47"/>
      <c r="BR253" s="47"/>
      <c r="BS253" s="47"/>
      <c r="BT253" s="47"/>
    </row>
    <row r="254" ht="11.25" customHeight="1">
      <c r="A254" s="35" t="str">
        <f>'13all_company_profile'!A254</f>
        <v>GLD</v>
      </c>
      <c r="B254" s="35" t="str">
        <f>'13all_company_profile'!B254</f>
        <v>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v>
      </c>
      <c r="C254" s="44" t="str">
        <f>'13all_company_profile'!C254</f>
        <v>https://financialmodelingprep.com/image-stock/GLD.png</v>
      </c>
      <c r="D254" s="35" t="str">
        <f>'13all_company_profile'!D254</f>
        <v>SPDR Gold Shares</v>
      </c>
      <c r="E254" s="36">
        <f>'13all_company_profile'!E254</f>
        <v>44534726656</v>
      </c>
      <c r="F254" s="37">
        <f>'13all_company_profile'!F254</f>
        <v>8864914</v>
      </c>
      <c r="G254" s="35">
        <f>'13all_company_profile'!G254</f>
        <v>0</v>
      </c>
      <c r="H254" s="38" t="str">
        <f>'13all_company_profile'!H254</f>
        <v>not avaiable</v>
      </c>
      <c r="I254" s="35">
        <f>'13all_company_profile'!I254</f>
        <v>28.506058</v>
      </c>
      <c r="J254" s="35">
        <f>'13all_company_profile'!J254</f>
        <v>5.944</v>
      </c>
      <c r="K254" s="42" t="str">
        <f t="shared" si="1"/>
        <v>NaN</v>
      </c>
      <c r="L254" s="35">
        <f>'7company_info'!B254</f>
        <v>169.39</v>
      </c>
      <c r="M254" s="35">
        <f>'7company_info'!C254</f>
        <v>170.8</v>
      </c>
      <c r="N254" s="35">
        <f>'7company_info'!D254</f>
        <v>168.93</v>
      </c>
      <c r="O254" s="35">
        <f>'7company_info'!E254</f>
        <v>-0.22</v>
      </c>
      <c r="P254" s="35">
        <f>'7company_info'!F254</f>
        <v>-0.0013</v>
      </c>
      <c r="Q254" s="35">
        <f>'7company_info'!G254</f>
        <v>170.48</v>
      </c>
      <c r="R254" s="35">
        <f>'7company_info'!H254</f>
        <v>169.61</v>
      </c>
      <c r="S254" s="35">
        <f>'7company_info'!I254</f>
        <v>157.13</v>
      </c>
      <c r="T254" s="35">
        <f>'7company_info'!J254</f>
        <v>194.45</v>
      </c>
      <c r="U254" s="39">
        <v>170.786666666666</v>
      </c>
      <c r="V254" s="39">
        <v>171.293333333333</v>
      </c>
      <c r="W254" s="40">
        <v>171.546666666666</v>
      </c>
      <c r="X254" s="40">
        <v>172.306666666666</v>
      </c>
      <c r="Y254" s="40">
        <v>170.533333333333</v>
      </c>
      <c r="Z254" s="40">
        <v>170.026666666666</v>
      </c>
      <c r="AA254" s="40">
        <v>169.266666666666</v>
      </c>
      <c r="AB254" s="40">
        <v>172.95</v>
      </c>
      <c r="AC254" s="40">
        <v>168.03</v>
      </c>
      <c r="AD254" s="40">
        <v>169.12909162585</v>
      </c>
      <c r="AE254" s="40">
        <v>165.492069999999</v>
      </c>
      <c r="AF254" s="40">
        <v>1.876215</v>
      </c>
      <c r="AG254" s="40">
        <v>178.85</v>
      </c>
      <c r="AH254" s="45">
        <v>44348.0</v>
      </c>
      <c r="AI254" s="44" t="str">
        <f>'6image_RS_benchmark_performance'!B254</f>
        <v>https://3arbzfbsh-cname-us.ngrok.io/Desktop/seabridge%20fintech/image_app/GLD_resistance_support.jpg</v>
      </c>
      <c r="AJ254" s="44" t="str">
        <f>'6image_RS_benchmark_performance'!C254</f>
        <v>https://3arbzfbsh-cname-us.ngrok.io/Desktop/seabridge%20fintech/profit_graph_app/GLD_Return.jpg</v>
      </c>
      <c r="AK254" s="46" t="str">
        <f>'5price_action_icon'!B254</f>
        <v>https://3arbzfbsh-cname-us.ngrok.io/Desktop/seabridge%20fintech/icon/GLD_pa_trend_signal</v>
      </c>
      <c r="AL254" s="42">
        <f>'1kpi_performance'!B254</f>
        <v>0.3057201483</v>
      </c>
      <c r="AM254" s="42">
        <f>'1kpi_performance'!C254</f>
        <v>0.4618611656</v>
      </c>
      <c r="AN254" s="42">
        <f>'1kpi_performance'!D254</f>
        <v>0.294617813</v>
      </c>
      <c r="AO254" s="42">
        <f>'1kpi_performance'!E254</f>
        <v>0.05973700022</v>
      </c>
      <c r="AP254" s="42">
        <f>'1kpi_performance'!F254</f>
        <v>0.1235110343</v>
      </c>
      <c r="AQ254" s="42">
        <f>'1kpi_performance'!G254</f>
        <v>0.1268732315</v>
      </c>
      <c r="AR254" s="42">
        <f>'1kpi_performance'!H254</f>
        <v>0.1144814335</v>
      </c>
      <c r="AS254" s="42">
        <f>'1kpi_performance'!I254</f>
        <v>0.1891525908</v>
      </c>
      <c r="AT254" s="35">
        <f>'1kpi_performance'!J254</f>
        <v>2.272834569</v>
      </c>
      <c r="AU254" s="35">
        <f>'1kpi_performance'!K254</f>
        <v>3.443288709</v>
      </c>
      <c r="AV254" s="35">
        <f>'1kpi_performance'!L254</f>
        <v>2.355122614</v>
      </c>
      <c r="AW254" s="35">
        <f>'1kpi_performance'!M254</f>
        <v>0.1836453843</v>
      </c>
      <c r="AX254" s="42">
        <f>'1kpi_performance'!N254</f>
        <v>0.07611461016</v>
      </c>
      <c r="AY254" s="42">
        <f>'1kpi_performance'!O254</f>
        <v>0.05060922736</v>
      </c>
      <c r="AZ254" s="42">
        <f>'1kpi_performance'!P254</f>
        <v>0.1169784765</v>
      </c>
      <c r="BA254" s="42">
        <f>'1kpi_performance'!Q254</f>
        <v>0.4555501381</v>
      </c>
      <c r="BB254" s="35">
        <f>'1kpi_performance'!R254</f>
        <v>4.724268082</v>
      </c>
      <c r="BC254" s="35">
        <f>'1kpi_performance'!S254</f>
        <v>8.095593852</v>
      </c>
      <c r="BD254" s="35">
        <f>'1kpi_performance'!T254</f>
        <v>4.970989657</v>
      </c>
      <c r="BE254" s="35">
        <f>'1kpi_performance'!U254</f>
        <v>0.3466258905</v>
      </c>
      <c r="BF254" s="47"/>
      <c r="BG254" s="47"/>
      <c r="BH254" s="47"/>
      <c r="BI254" s="47"/>
      <c r="BJ254" s="47"/>
      <c r="BK254" s="47"/>
      <c r="BL254" s="47"/>
      <c r="BM254" s="47"/>
      <c r="BN254" s="47"/>
      <c r="BO254" s="47"/>
      <c r="BP254" s="47"/>
      <c r="BQ254" s="47"/>
      <c r="BR254" s="47"/>
      <c r="BS254" s="47"/>
      <c r="BT254" s="47"/>
    </row>
    <row r="255" ht="11.25" customHeight="1">
      <c r="A255" s="35" t="str">
        <f>'13all_company_profile'!A255</f>
        <v>GLW</v>
      </c>
      <c r="B255" s="35" t="str">
        <f>'13all_company_profile'!B255</f>
        <v>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v>
      </c>
      <c r="C255" s="44" t="str">
        <f>'13all_company_profile'!C255</f>
        <v>https://financialmodelingprep.com/image-stock/GLW.png</v>
      </c>
      <c r="D255" s="35" t="str">
        <f>'13all_company_profile'!D255</f>
        <v>Corning Incorporated</v>
      </c>
      <c r="E255" s="36">
        <f>'13all_company_profile'!E255</f>
        <v>34522525696</v>
      </c>
      <c r="F255" s="37">
        <f>'13all_company_profile'!F255</f>
        <v>4367742</v>
      </c>
      <c r="G255" s="35">
        <f>'13all_company_profile'!G255</f>
        <v>0.92</v>
      </c>
      <c r="H255" s="38">
        <f>'13all_company_profile'!H255</f>
        <v>44404</v>
      </c>
      <c r="I255" s="35">
        <f>'13all_company_profile'!I255</f>
        <v>28.290781</v>
      </c>
      <c r="J255" s="35">
        <f>'13all_company_profile'!J255</f>
        <v>1.41</v>
      </c>
      <c r="K255" s="42">
        <f t="shared" si="1"/>
        <v>0.02293692346</v>
      </c>
      <c r="L255" s="35">
        <f>'7company_info'!B255</f>
        <v>40.11</v>
      </c>
      <c r="M255" s="35">
        <f>'7company_info'!C255</f>
        <v>40.34</v>
      </c>
      <c r="N255" s="35">
        <f>'7company_info'!D255</f>
        <v>39.45</v>
      </c>
      <c r="O255" s="35">
        <f>'7company_info'!E255</f>
        <v>0.78</v>
      </c>
      <c r="P255" s="35">
        <f>'7company_info'!F255</f>
        <v>0.0198</v>
      </c>
      <c r="Q255" s="35">
        <f>'7company_info'!G255</f>
        <v>39.57</v>
      </c>
      <c r="R255" s="35">
        <f>'7company_info'!H255</f>
        <v>39.33</v>
      </c>
      <c r="S255" s="35">
        <f>'7company_info'!I255</f>
        <v>28.78</v>
      </c>
      <c r="T255" s="35">
        <f>'7company_info'!J255</f>
        <v>46.82</v>
      </c>
      <c r="U255" s="39">
        <v>40.84</v>
      </c>
      <c r="V255" s="39">
        <v>41.17</v>
      </c>
      <c r="W255" s="40">
        <v>41.58</v>
      </c>
      <c r="X255" s="40">
        <v>42.32</v>
      </c>
      <c r="Y255" s="40">
        <v>40.4299999999999</v>
      </c>
      <c r="Z255" s="40">
        <v>40.1</v>
      </c>
      <c r="AA255" s="40">
        <v>39.3599999999999</v>
      </c>
      <c r="AB255" s="40">
        <v>40.16</v>
      </c>
      <c r="AC255" s="40">
        <v>41.09</v>
      </c>
      <c r="AD255" s="40">
        <v>41.0076289281227</v>
      </c>
      <c r="AE255" s="40">
        <v>39.07234</v>
      </c>
      <c r="AF255" s="40">
        <v>0.746829999999999</v>
      </c>
      <c r="AG255" s="40">
        <v>46.82</v>
      </c>
      <c r="AH255" s="45">
        <v>44312.0</v>
      </c>
      <c r="AI255" s="44" t="str">
        <f>'6image_RS_benchmark_performance'!B255</f>
        <v>https://3arbzfbsh-cname-us.ngrok.io/Desktop/seabridge%20fintech/image_app/GLW_resistance_support.jpg</v>
      </c>
      <c r="AJ255" s="44" t="str">
        <f>'6image_RS_benchmark_performance'!C255</f>
        <v>https://3arbzfbsh-cname-us.ngrok.io/Desktop/seabridge%20fintech/profit_graph_app/GLW_Return.jpg</v>
      </c>
      <c r="AK255" s="46" t="str">
        <f>'5price_action_icon'!B255</f>
        <v>https://3arbzfbsh-cname-us.ngrok.io/Desktop/seabridge%20fintech/icon/GLW_pa_trend_signal</v>
      </c>
      <c r="AL255" s="42">
        <f>'1kpi_performance'!B255</f>
        <v>0.5540953039</v>
      </c>
      <c r="AM255" s="42">
        <f>'1kpi_performance'!C255</f>
        <v>0.7853963048</v>
      </c>
      <c r="AN255" s="42">
        <f>'1kpi_performance'!D255</f>
        <v>0.7257924279</v>
      </c>
      <c r="AO255" s="42">
        <f>'1kpi_performance'!E255</f>
        <v>0.09545826337</v>
      </c>
      <c r="AP255" s="42">
        <f>'1kpi_performance'!F255</f>
        <v>0.2616634375</v>
      </c>
      <c r="AQ255" s="42">
        <f>'1kpi_performance'!G255</f>
        <v>0.2385918473</v>
      </c>
      <c r="AR255" s="42">
        <f>'1kpi_performance'!H255</f>
        <v>0.2386715114</v>
      </c>
      <c r="AS255" s="42">
        <f>'1kpi_performance'!I255</f>
        <v>0.3664840022</v>
      </c>
      <c r="AT255" s="35">
        <f>'1kpi_performance'!J255</f>
        <v>2.022045223</v>
      </c>
      <c r="AU255" s="35">
        <f>'1kpi_performance'!K255</f>
        <v>3.187017132</v>
      </c>
      <c r="AV255" s="35">
        <f>'1kpi_performance'!L255</f>
        <v>2.93622152</v>
      </c>
      <c r="AW255" s="35">
        <f>'1kpi_performance'!M255</f>
        <v>0.1922546767</v>
      </c>
      <c r="AX255" s="42">
        <f>'1kpi_performance'!N255</f>
        <v>0.1835404372</v>
      </c>
      <c r="AY255" s="42">
        <f>'1kpi_performance'!O255</f>
        <v>0.1008359457</v>
      </c>
      <c r="AZ255" s="42">
        <f>'1kpi_performance'!P255</f>
        <v>0.2486867325</v>
      </c>
      <c r="BA255" s="42">
        <f>'1kpi_performance'!Q255</f>
        <v>0.5344458708</v>
      </c>
      <c r="BB255" s="35">
        <f>'1kpi_performance'!R255</f>
        <v>4.374900879</v>
      </c>
      <c r="BC255" s="35">
        <f>'1kpi_performance'!S255</f>
        <v>7.709944387</v>
      </c>
      <c r="BD255" s="35">
        <f>'1kpi_performance'!T255</f>
        <v>6.541989894</v>
      </c>
      <c r="BE255" s="35">
        <f>'1kpi_performance'!U255</f>
        <v>0.3708284902</v>
      </c>
      <c r="BF255" s="47"/>
      <c r="BG255" s="47"/>
      <c r="BH255" s="47"/>
      <c r="BI255" s="47"/>
      <c r="BJ255" s="47"/>
      <c r="BK255" s="47"/>
      <c r="BL255" s="47"/>
      <c r="BM255" s="47"/>
      <c r="BN255" s="47"/>
      <c r="BO255" s="47"/>
      <c r="BP255" s="47"/>
      <c r="BQ255" s="47"/>
      <c r="BR255" s="47"/>
      <c r="BS255" s="47"/>
      <c r="BT255" s="47"/>
    </row>
    <row r="256" ht="11.25" customHeight="1">
      <c r="A256" s="35" t="str">
        <f>'13all_company_profile'!A256</f>
        <v>GM</v>
      </c>
      <c r="B256" s="35" t="str">
        <f>'13all_company_profile'!B256</f>
        <v>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v>
      </c>
      <c r="C256" s="44" t="str">
        <f>'13all_company_profile'!C256</f>
        <v>https://financialmodelingprep.com/image-stock/GM.png</v>
      </c>
      <c r="D256" s="35" t="str">
        <f>'13all_company_profile'!D256</f>
        <v>General Motors Company</v>
      </c>
      <c r="E256" s="36">
        <f>'13all_company_profile'!E256</f>
        <v>82644672512</v>
      </c>
      <c r="F256" s="37">
        <f>'13all_company_profile'!F256</f>
        <v>15602441</v>
      </c>
      <c r="G256" s="35">
        <f>'13all_company_profile'!G256</f>
        <v>0.38</v>
      </c>
      <c r="H256" s="38">
        <f>'13all_company_profile'!H256</f>
        <v>44412</v>
      </c>
      <c r="I256" s="35">
        <f>'13all_company_profile'!I256</f>
        <v>8.954802</v>
      </c>
      <c r="J256" s="35">
        <f>'13all_company_profile'!J256</f>
        <v>6.195</v>
      </c>
      <c r="K256" s="42">
        <f t="shared" si="1"/>
        <v>0.006767586821</v>
      </c>
      <c r="L256" s="35">
        <f>'7company_info'!B256</f>
        <v>56.15</v>
      </c>
      <c r="M256" s="35">
        <f>'7company_info'!C256</f>
        <v>56.38</v>
      </c>
      <c r="N256" s="35">
        <f>'7company_info'!D256</f>
        <v>54.12</v>
      </c>
      <c r="O256" s="35">
        <f>'7company_info'!E256</f>
        <v>1.97</v>
      </c>
      <c r="P256" s="35">
        <f>'7company_info'!F256</f>
        <v>0.0364</v>
      </c>
      <c r="Q256" s="35">
        <f>'7company_info'!G256</f>
        <v>54.26</v>
      </c>
      <c r="R256" s="35">
        <f>'7company_info'!H256</f>
        <v>54.18</v>
      </c>
      <c r="S256" s="35">
        <f>'7company_info'!I256</f>
        <v>24.44</v>
      </c>
      <c r="T256" s="35">
        <f>'7company_info'!J256</f>
        <v>64.3</v>
      </c>
      <c r="U256" s="39">
        <v>58.355</v>
      </c>
      <c r="V256" s="39">
        <v>59.005</v>
      </c>
      <c r="W256" s="40">
        <v>60.01</v>
      </c>
      <c r="X256" s="40">
        <v>61.665</v>
      </c>
      <c r="Y256" s="40">
        <v>57.35</v>
      </c>
      <c r="Z256" s="40">
        <v>56.7</v>
      </c>
      <c r="AA256" s="40">
        <v>55.045</v>
      </c>
      <c r="AB256" s="40">
        <v>57.705</v>
      </c>
      <c r="AC256" s="40">
        <v>59.75</v>
      </c>
      <c r="AD256" s="40">
        <v>58.7978177867964</v>
      </c>
      <c r="AE256" s="40">
        <v>55.94313</v>
      </c>
      <c r="AF256" s="40">
        <v>1.419685</v>
      </c>
      <c r="AG256" s="40">
        <v>64.3</v>
      </c>
      <c r="AH256" s="45">
        <v>44354.0</v>
      </c>
      <c r="AI256" s="44" t="str">
        <f>'6image_RS_benchmark_performance'!B256</f>
        <v>https://3arbzfbsh-cname-us.ngrok.io/Desktop/seabridge%20fintech/image_app/GM_resistance_support.jpg</v>
      </c>
      <c r="AJ256" s="44" t="str">
        <f>'6image_RS_benchmark_performance'!C256</f>
        <v>https://3arbzfbsh-cname-us.ngrok.io/Desktop/seabridge%20fintech/profit_graph_app/GM_Return.jpg</v>
      </c>
      <c r="AK256" s="46" t="str">
        <f>'5price_action_icon'!B256</f>
        <v>https://3arbzfbsh-cname-us.ngrok.io/Desktop/seabridge%20fintech/icon/GM_pa_trend_signal</v>
      </c>
      <c r="AL256" s="42">
        <f>'1kpi_performance'!B256</f>
        <v>0.6202863433</v>
      </c>
      <c r="AM256" s="42">
        <f>'1kpi_performance'!C256</f>
        <v>0.8814342072</v>
      </c>
      <c r="AN256" s="42">
        <f>'1kpi_performance'!D256</f>
        <v>0.6366422031</v>
      </c>
      <c r="AO256" s="42">
        <f>'1kpi_performance'!E256</f>
        <v>0.07360307861</v>
      </c>
      <c r="AP256" s="42">
        <f>'1kpi_performance'!F256</f>
        <v>0.2762647072</v>
      </c>
      <c r="AQ256" s="42">
        <f>'1kpi_performance'!G256</f>
        <v>0.2723123804</v>
      </c>
      <c r="AR256" s="42">
        <f>'1kpi_performance'!H256</f>
        <v>0.2753431985</v>
      </c>
      <c r="AS256" s="42">
        <f>'1kpi_performance'!I256</f>
        <v>0.3990452531</v>
      </c>
      <c r="AT256" s="35">
        <f>'1kpi_performance'!J256</f>
        <v>2.154767973</v>
      </c>
      <c r="AU256" s="35">
        <f>'1kpi_performance'!K256</f>
        <v>3.145043226</v>
      </c>
      <c r="AV256" s="35">
        <f>'1kpi_performance'!L256</f>
        <v>2.221381195</v>
      </c>
      <c r="AW256" s="35">
        <f>'1kpi_performance'!M256</f>
        <v>0.1217984132</v>
      </c>
      <c r="AX256" s="42">
        <f>'1kpi_performance'!N256</f>
        <v>0.2138842967</v>
      </c>
      <c r="AY256" s="42">
        <f>'1kpi_performance'!O256</f>
        <v>0.2003546099</v>
      </c>
      <c r="AZ256" s="42">
        <f>'1kpi_performance'!P256</f>
        <v>0.2923144281</v>
      </c>
      <c r="BA256" s="42">
        <f>'1kpi_performance'!Q256</f>
        <v>0.6385542169</v>
      </c>
      <c r="BB256" s="35">
        <f>'1kpi_performance'!R256</f>
        <v>4.70676263</v>
      </c>
      <c r="BC256" s="35">
        <f>'1kpi_performance'!S256</f>
        <v>7.703601023</v>
      </c>
      <c r="BD256" s="35">
        <f>'1kpi_performance'!T256</f>
        <v>4.765881834</v>
      </c>
      <c r="BE256" s="35">
        <f>'1kpi_performance'!U256</f>
        <v>0.2442506766</v>
      </c>
      <c r="BF256" s="47"/>
      <c r="BG256" s="47"/>
      <c r="BH256" s="47"/>
      <c r="BI256" s="47"/>
      <c r="BJ256" s="47"/>
      <c r="BK256" s="47"/>
      <c r="BL256" s="47"/>
      <c r="BM256" s="47"/>
      <c r="BN256" s="47"/>
      <c r="BO256" s="47"/>
      <c r="BP256" s="47"/>
      <c r="BQ256" s="47"/>
      <c r="BR256" s="47"/>
      <c r="BS256" s="47"/>
      <c r="BT256" s="47"/>
    </row>
    <row r="257" ht="11.25" customHeight="1">
      <c r="A257" s="35" t="str">
        <f>'13all_company_profile'!A257</f>
        <v>GME</v>
      </c>
      <c r="B257" s="35" t="str">
        <f>'13all_company_profile'!B257</f>
        <v>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v>
      </c>
      <c r="C257" s="44" t="str">
        <f>'13all_company_profile'!C257</f>
        <v>https://financialmodelingprep.com/image-stock/GME.png</v>
      </c>
      <c r="D257" s="35" t="str">
        <f>'13all_company_profile'!D257</f>
        <v>GameStop Corp.</v>
      </c>
      <c r="E257" s="36">
        <f>'13all_company_profile'!E257</f>
        <v>12437690368</v>
      </c>
      <c r="F257" s="37">
        <f>'13all_company_profile'!F257</f>
        <v>6681412</v>
      </c>
      <c r="G257" s="35">
        <f>'13all_company_profile'!G257</f>
        <v>0</v>
      </c>
      <c r="H257" s="38" t="str">
        <f>'13all_company_profile'!H257</f>
        <v>not avaiable</v>
      </c>
      <c r="I257" s="35" t="str">
        <f>'13all_company_profile'!I257</f>
        <v>NaN</v>
      </c>
      <c r="J257" s="35">
        <f>'13all_company_profile'!J257</f>
        <v>-1.78</v>
      </c>
      <c r="K257" s="42" t="str">
        <f t="shared" si="1"/>
        <v>NaN</v>
      </c>
      <c r="L257" s="35">
        <f>'7company_info'!B257</f>
        <v>191.18</v>
      </c>
      <c r="M257" s="35">
        <f>'7company_info'!C257</f>
        <v>193.64</v>
      </c>
      <c r="N257" s="35">
        <f>'7company_info'!D257</f>
        <v>172.42</v>
      </c>
      <c r="O257" s="35">
        <f>'7company_info'!E257</f>
        <v>17.69</v>
      </c>
      <c r="P257" s="35">
        <f>'7company_info'!F257</f>
        <v>0.102</v>
      </c>
      <c r="Q257" s="35">
        <f>'7company_info'!G257</f>
        <v>173.9</v>
      </c>
      <c r="R257" s="35">
        <f>'7company_info'!H257</f>
        <v>173.49</v>
      </c>
      <c r="S257" s="35">
        <f>'7company_info'!I257</f>
        <v>3.77</v>
      </c>
      <c r="T257" s="35">
        <f>'7company_info'!J257</f>
        <v>483</v>
      </c>
      <c r="U257" s="39">
        <v>171.689999999999</v>
      </c>
      <c r="V257" s="39">
        <v>178.309999999999</v>
      </c>
      <c r="W257" s="40">
        <v>189.0</v>
      </c>
      <c r="X257" s="40">
        <v>206.31</v>
      </c>
      <c r="Y257" s="40">
        <v>160.999999999999</v>
      </c>
      <c r="Z257" s="40">
        <v>154.379999999999</v>
      </c>
      <c r="AA257" s="40">
        <v>137.069999999999</v>
      </c>
      <c r="AB257" s="40">
        <v>202.0</v>
      </c>
      <c r="AC257" s="40">
        <v>224.45</v>
      </c>
      <c r="AD257" s="40">
        <v>201.517594886307</v>
      </c>
      <c r="AE257" s="40">
        <v>151.90889</v>
      </c>
      <c r="AF257" s="40">
        <v>13.869055</v>
      </c>
      <c r="AG257" s="40">
        <v>483.0</v>
      </c>
      <c r="AH257" s="45">
        <v>44224.0</v>
      </c>
      <c r="AI257" s="44" t="str">
        <f>'6image_RS_benchmark_performance'!B257</f>
        <v>https://3arbzfbsh-cname-us.ngrok.io/Desktop/seabridge%20fintech/image_app/GME_resistance_support.jpg</v>
      </c>
      <c r="AJ257" s="44" t="str">
        <f>'6image_RS_benchmark_performance'!C257</f>
        <v>https://3arbzfbsh-cname-us.ngrok.io/Desktop/seabridge%20fintech/profit_graph_app/GME_Return.jpg</v>
      </c>
      <c r="AK257" s="46" t="str">
        <f>'5price_action_icon'!B257</f>
        <v>https://3arbzfbsh-cname-us.ngrok.io/Desktop/seabridge%20fintech/icon/GME_pa_trend_signal</v>
      </c>
      <c r="AL257" s="42">
        <f>'1kpi_performance'!B257</f>
        <v>1.711419991</v>
      </c>
      <c r="AM257" s="42">
        <f>'1kpi_performance'!C257</f>
        <v>2.921531035</v>
      </c>
      <c r="AN257" s="42">
        <f>'1kpi_performance'!D257</f>
        <v>1.731331795</v>
      </c>
      <c r="AO257" s="42">
        <f>'1kpi_performance'!E257</f>
        <v>0.299953262</v>
      </c>
      <c r="AP257" s="42">
        <f>'1kpi_performance'!F257</f>
        <v>0.8438196113</v>
      </c>
      <c r="AQ257" s="42">
        <f>'1kpi_performance'!G257</f>
        <v>0.8384993046</v>
      </c>
      <c r="AR257" s="42">
        <f>'1kpi_performance'!H257</f>
        <v>0.6563459898</v>
      </c>
      <c r="AS257" s="42">
        <f>'1kpi_performance'!I257</f>
        <v>1.130542886</v>
      </c>
      <c r="AT257" s="35">
        <f>'1kpi_performance'!J257</f>
        <v>1.998555103</v>
      </c>
      <c r="AU257" s="35">
        <f>'1kpi_performance'!K257</f>
        <v>3.454422704</v>
      </c>
      <c r="AV257" s="35">
        <f>'1kpi_performance'!L257</f>
        <v>2.599744374</v>
      </c>
      <c r="AW257" s="35">
        <f>'1kpi_performance'!M257</f>
        <v>0.243204628</v>
      </c>
      <c r="AX257" s="42">
        <f>'1kpi_performance'!N257</f>
        <v>0.4428937297</v>
      </c>
      <c r="AY257" s="42">
        <f>'1kpi_performance'!O257</f>
        <v>0.3141509434</v>
      </c>
      <c r="AZ257" s="42">
        <f>'1kpi_performance'!P257</f>
        <v>0.6421404682</v>
      </c>
      <c r="BA257" s="42">
        <f>'1kpi_performance'!Q257</f>
        <v>0.951380448</v>
      </c>
      <c r="BB257" s="35">
        <f>'1kpi_performance'!R257</f>
        <v>6.306458123</v>
      </c>
      <c r="BC257" s="35">
        <f>'1kpi_performance'!S257</f>
        <v>14.57321115</v>
      </c>
      <c r="BD257" s="35">
        <f>'1kpi_performance'!T257</f>
        <v>7.52797975</v>
      </c>
      <c r="BE257" s="35">
        <f>'1kpi_performance'!U257</f>
        <v>0.6135163938</v>
      </c>
      <c r="BF257" s="47"/>
      <c r="BG257" s="47"/>
      <c r="BH257" s="47"/>
      <c r="BI257" s="47"/>
      <c r="BJ257" s="47"/>
      <c r="BK257" s="47"/>
      <c r="BL257" s="47"/>
      <c r="BM257" s="47"/>
      <c r="BN257" s="47"/>
      <c r="BO257" s="47"/>
      <c r="BP257" s="47"/>
      <c r="BQ257" s="47"/>
      <c r="BR257" s="47"/>
      <c r="BS257" s="47"/>
      <c r="BT257" s="47"/>
    </row>
    <row r="258" ht="11.25" customHeight="1">
      <c r="A258" s="35" t="str">
        <f>'13all_company_profile'!A258</f>
        <v>GNRC</v>
      </c>
      <c r="B258" s="35" t="str">
        <f>'13all_company_profile'!B258</f>
        <v>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v>
      </c>
      <c r="C258" s="44" t="str">
        <f>'13all_company_profile'!C258</f>
        <v>https://financialmodelingprep.com/image-stock/GNRC.png</v>
      </c>
      <c r="D258" s="35" t="str">
        <f>'13all_company_profile'!D258</f>
        <v>Generac Holdings Inc.</v>
      </c>
      <c r="E258" s="36">
        <f>'13all_company_profile'!E258</f>
        <v>27294552064</v>
      </c>
      <c r="F258" s="37">
        <f>'13all_company_profile'!F258</f>
        <v>742390</v>
      </c>
      <c r="G258" s="35">
        <f>'13all_company_profile'!G258</f>
        <v>0</v>
      </c>
      <c r="H258" s="38">
        <f>'13all_company_profile'!H258</f>
        <v>44405</v>
      </c>
      <c r="I258" s="35">
        <f>'13all_company_profile'!I258</f>
        <v>60.210526</v>
      </c>
      <c r="J258" s="35">
        <f>'13all_company_profile'!J258</f>
        <v>7.125</v>
      </c>
      <c r="K258" s="42" t="str">
        <f t="shared" si="1"/>
        <v>NaN</v>
      </c>
      <c r="L258" s="35">
        <f>'7company_info'!B258</f>
        <v>436.42</v>
      </c>
      <c r="M258" s="35">
        <f>'7company_info'!C258</f>
        <v>438.49</v>
      </c>
      <c r="N258" s="35">
        <f>'7company_info'!D258</f>
        <v>431.78</v>
      </c>
      <c r="O258" s="35">
        <f>'7company_info'!E258</f>
        <v>2.17</v>
      </c>
      <c r="P258" s="35">
        <f>'7company_info'!F258</f>
        <v>0.005</v>
      </c>
      <c r="Q258" s="35">
        <f>'7company_info'!G258</f>
        <v>436.81</v>
      </c>
      <c r="R258" s="35">
        <f>'7company_info'!H258</f>
        <v>434.25</v>
      </c>
      <c r="S258" s="35">
        <f>'7company_info'!I258</f>
        <v>134.15</v>
      </c>
      <c r="T258" s="35">
        <f>'7company_info'!J258</f>
        <v>452.92</v>
      </c>
      <c r="U258" s="39">
        <v>440.213333333333</v>
      </c>
      <c r="V258" s="39">
        <v>446.426666666666</v>
      </c>
      <c r="W258" s="40">
        <v>456.123333333333</v>
      </c>
      <c r="X258" s="40">
        <v>472.033333333333</v>
      </c>
      <c r="Y258" s="40">
        <v>430.516666666666</v>
      </c>
      <c r="Z258" s="40">
        <v>424.303333333333</v>
      </c>
      <c r="AA258" s="40">
        <v>408.393333333333</v>
      </c>
      <c r="AB258" s="40">
        <v>425.35</v>
      </c>
      <c r="AC258" s="40">
        <v>452.92</v>
      </c>
      <c r="AD258" s="40">
        <v>409.178120552672</v>
      </c>
      <c r="AE258" s="40">
        <v>418.89679</v>
      </c>
      <c r="AF258" s="40">
        <v>13.56536</v>
      </c>
      <c r="AG258" s="40">
        <v>364.0</v>
      </c>
      <c r="AH258" s="45">
        <v>44249.0</v>
      </c>
      <c r="AI258" s="44" t="str">
        <f>'6image_RS_benchmark_performance'!B258</f>
        <v>https://3arbzfbsh-cname-us.ngrok.io/Desktop/seabridge%20fintech/image_app/GNRC_resistance_support.jpg</v>
      </c>
      <c r="AJ258" s="44" t="str">
        <f>'6image_RS_benchmark_performance'!C258</f>
        <v>https://3arbzfbsh-cname-us.ngrok.io/Desktop/seabridge%20fintech/profit_graph_app/GNRC_Return.jpg</v>
      </c>
      <c r="AK258" s="46" t="str">
        <f>'5price_action_icon'!B258</f>
        <v>https://3arbzfbsh-cname-us.ngrok.io/Desktop/seabridge%20fintech/icon/GNRC_pa_trend_signal</v>
      </c>
      <c r="AL258" s="42">
        <f>'1kpi_performance'!B258</f>
        <v>1.08350103</v>
      </c>
      <c r="AM258" s="42">
        <f>'1kpi_performance'!C258</f>
        <v>1.62264467</v>
      </c>
      <c r="AN258" s="42">
        <f>'1kpi_performance'!D258</f>
        <v>1.07263134</v>
      </c>
      <c r="AO258" s="42">
        <f>'1kpi_performance'!E258</f>
        <v>0.5554487262</v>
      </c>
      <c r="AP258" s="42">
        <f>'1kpi_performance'!F258</f>
        <v>0.3371350571</v>
      </c>
      <c r="AQ258" s="42">
        <f>'1kpi_performance'!G258</f>
        <v>0.3429965442</v>
      </c>
      <c r="AR258" s="42">
        <f>'1kpi_performance'!H258</f>
        <v>0.3365653744</v>
      </c>
      <c r="AS258" s="42">
        <f>'1kpi_performance'!I258</f>
        <v>0.4713146317</v>
      </c>
      <c r="AT258" s="35">
        <f>'1kpi_performance'!J258</f>
        <v>3.139694337</v>
      </c>
      <c r="AU258" s="35">
        <f>'1kpi_performance'!K258</f>
        <v>4.657903108</v>
      </c>
      <c r="AV258" s="35">
        <f>'1kpi_performance'!L258</f>
        <v>3.112712774</v>
      </c>
      <c r="AW258" s="35">
        <f>'1kpi_performance'!M258</f>
        <v>1.125466282</v>
      </c>
      <c r="AX258" s="42">
        <f>'1kpi_performance'!N258</f>
        <v>0.3084415584</v>
      </c>
      <c r="AY258" s="42">
        <f>'1kpi_performance'!O258</f>
        <v>0.1248229891</v>
      </c>
      <c r="AZ258" s="42">
        <f>'1kpi_performance'!P258</f>
        <v>0.3914337197</v>
      </c>
      <c r="BA258" s="42">
        <f>'1kpi_performance'!Q258</f>
        <v>0.5605689063</v>
      </c>
      <c r="BB258" s="35">
        <f>'1kpi_performance'!R258</f>
        <v>7.664559804</v>
      </c>
      <c r="BC258" s="35">
        <f>'1kpi_performance'!S258</f>
        <v>12.75387291</v>
      </c>
      <c r="BD258" s="35">
        <f>'1kpi_performance'!T258</f>
        <v>6.6268966</v>
      </c>
      <c r="BE258" s="35">
        <f>'1kpi_performance'!U258</f>
        <v>2.362522998</v>
      </c>
      <c r="BF258" s="47"/>
      <c r="BG258" s="47"/>
      <c r="BH258" s="47"/>
      <c r="BI258" s="47"/>
      <c r="BJ258" s="47"/>
      <c r="BK258" s="47"/>
      <c r="BL258" s="47"/>
      <c r="BM258" s="47"/>
      <c r="BN258" s="47"/>
      <c r="BO258" s="47"/>
      <c r="BP258" s="47"/>
      <c r="BQ258" s="47"/>
      <c r="BR258" s="47"/>
      <c r="BS258" s="47"/>
      <c r="BT258" s="47"/>
    </row>
    <row r="259" ht="11.25" customHeight="1">
      <c r="A259" s="35" t="str">
        <f>'13all_company_profile'!A259</f>
        <v>GOOG</v>
      </c>
      <c r="B259" s="35" t="str">
        <f>'13all_company_profile'!B259</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59" s="44" t="str">
        <f>'13all_company_profile'!C259</f>
        <v>https://financialmodelingprep.com/image-stock/GOOG.png</v>
      </c>
      <c r="D259" s="35" t="str">
        <f>'13all_company_profile'!D259</f>
        <v>Alphabet Inc.</v>
      </c>
      <c r="E259" s="36">
        <f>'13all_company_profile'!E259</f>
        <v>1732909596672</v>
      </c>
      <c r="F259" s="37">
        <f>'13all_company_profile'!F259</f>
        <v>1255473</v>
      </c>
      <c r="G259" s="35">
        <f>'13all_company_profile'!G259</f>
        <v>0</v>
      </c>
      <c r="H259" s="38" t="str">
        <f>'13all_company_profile'!H259</f>
        <v>not avaiable</v>
      </c>
      <c r="I259" s="35">
        <f>'13all_company_profile'!I259</f>
        <v>35.144722</v>
      </c>
      <c r="J259" s="35">
        <f>'13all_company_profile'!J259</f>
        <v>75.04</v>
      </c>
      <c r="K259" s="42" t="str">
        <f t="shared" si="1"/>
        <v>NaN</v>
      </c>
      <c r="L259" s="35">
        <f>'7company_info'!B259</f>
        <v>2622.03</v>
      </c>
      <c r="M259" s="35">
        <f>'7company_info'!C259</f>
        <v>2640.03</v>
      </c>
      <c r="N259" s="35">
        <f>'7company_info'!D259</f>
        <v>2583.77</v>
      </c>
      <c r="O259" s="35">
        <f>'7company_info'!E259</f>
        <v>36.95</v>
      </c>
      <c r="P259" s="35">
        <f>'7company_info'!F259</f>
        <v>0.0143</v>
      </c>
      <c r="Q259" s="35">
        <f>'7company_info'!G259</f>
        <v>2600.08</v>
      </c>
      <c r="R259" s="35">
        <f>'7company_info'!H259</f>
        <v>2585.08</v>
      </c>
      <c r="S259" s="35">
        <f>'7company_info'!I259</f>
        <v>1406.55</v>
      </c>
      <c r="T259" s="35">
        <f>'7company_info'!J259</f>
        <v>2659.92</v>
      </c>
      <c r="U259" s="39">
        <v>2646.50996666666</v>
      </c>
      <c r="V259" s="39">
        <v>2655.05993333333</v>
      </c>
      <c r="W259" s="40">
        <v>2668.46986666666</v>
      </c>
      <c r="X259" s="40">
        <v>2690.42976666666</v>
      </c>
      <c r="Y259" s="40">
        <v>2633.10003333333</v>
      </c>
      <c r="Z259" s="40">
        <v>2624.55006666666</v>
      </c>
      <c r="AA259" s="40">
        <v>2602.59016666666</v>
      </c>
      <c r="AB259" s="40">
        <v>2560.8</v>
      </c>
      <c r="AC259" s="40">
        <v>2659.9199</v>
      </c>
      <c r="AD259" s="40">
        <v>2556.42677104304</v>
      </c>
      <c r="AE259" s="40">
        <v>2559.62719</v>
      </c>
      <c r="AF259" s="40">
        <v>30.9193999999999</v>
      </c>
      <c r="AG259" s="40">
        <v>2555.92</v>
      </c>
      <c r="AH259" s="45">
        <v>44370.0</v>
      </c>
      <c r="AI259" s="44" t="str">
        <f>'6image_RS_benchmark_performance'!B259</f>
        <v>https://3arbzfbsh-cname-us.ngrok.io/Desktop/seabridge%20fintech/image_app/GOOG_resistance_support.jpg</v>
      </c>
      <c r="AJ259" s="44" t="str">
        <f>'6image_RS_benchmark_performance'!C259</f>
        <v>https://3arbzfbsh-cname-us.ngrok.io/Desktop/seabridge%20fintech/profit_graph_app/GOOG_Return.jpg</v>
      </c>
      <c r="AK259" s="46" t="str">
        <f>'5price_action_icon'!B259</f>
        <v>https://3arbzfbsh-cname-us.ngrok.io/Desktop/seabridge%20fintech/icon/GOOG_pa_trend_signal</v>
      </c>
      <c r="AL259" s="42">
        <f>'1kpi_performance'!B259</f>
        <v>0.5606587472</v>
      </c>
      <c r="AM259" s="42">
        <f>'1kpi_performance'!C259</f>
        <v>0.7688574624</v>
      </c>
      <c r="AN259" s="42">
        <f>'1kpi_performance'!D259</f>
        <v>0.6437567001</v>
      </c>
      <c r="AO259" s="42">
        <f>'1kpi_performance'!E259</f>
        <v>0.3567235319</v>
      </c>
      <c r="AP259" s="42">
        <f>'1kpi_performance'!F259</f>
        <v>0.2205849272</v>
      </c>
      <c r="AQ259" s="42">
        <f>'1kpi_performance'!G259</f>
        <v>0.2139542839</v>
      </c>
      <c r="AR259" s="42">
        <f>'1kpi_performance'!H259</f>
        <v>0.1941730154</v>
      </c>
      <c r="AS259" s="42">
        <f>'1kpi_performance'!I259</f>
        <v>0.3140759769</v>
      </c>
      <c r="AT259" s="35">
        <f>'1kpi_performance'!J259</f>
        <v>2.428356071</v>
      </c>
      <c r="AU259" s="35">
        <f>'1kpi_performance'!K259</f>
        <v>3.476712168</v>
      </c>
      <c r="AV259" s="35">
        <f>'1kpi_performance'!L259</f>
        <v>3.186625592</v>
      </c>
      <c r="AW259" s="35">
        <f>'1kpi_performance'!M259</f>
        <v>1.056188809</v>
      </c>
      <c r="AX259" s="42">
        <f>'1kpi_performance'!N259</f>
        <v>0.1148869541</v>
      </c>
      <c r="AY259" s="42">
        <f>'1kpi_performance'!O259</f>
        <v>0.1049251024</v>
      </c>
      <c r="AZ259" s="42">
        <f>'1kpi_performance'!P259</f>
        <v>0.121079238</v>
      </c>
      <c r="BA259" s="42">
        <f>'1kpi_performance'!Q259</f>
        <v>0.3079014076</v>
      </c>
      <c r="BB259" s="35">
        <f>'1kpi_performance'!R259</f>
        <v>5.485796545</v>
      </c>
      <c r="BC259" s="35">
        <f>'1kpi_performance'!S259</f>
        <v>8.611981749</v>
      </c>
      <c r="BD259" s="35">
        <f>'1kpi_performance'!T259</f>
        <v>7.36080576</v>
      </c>
      <c r="BE259" s="35">
        <f>'1kpi_performance'!U259</f>
        <v>2.117675969</v>
      </c>
      <c r="BF259" s="47"/>
      <c r="BG259" s="47"/>
      <c r="BH259" s="47"/>
      <c r="BI259" s="47"/>
      <c r="BJ259" s="47"/>
      <c r="BK259" s="47"/>
      <c r="BL259" s="47"/>
      <c r="BM259" s="47"/>
      <c r="BN259" s="47"/>
      <c r="BO259" s="47"/>
      <c r="BP259" s="47"/>
      <c r="BQ259" s="47"/>
      <c r="BR259" s="47"/>
      <c r="BS259" s="47"/>
      <c r="BT259" s="47"/>
    </row>
    <row r="260" ht="11.25" customHeight="1">
      <c r="A260" s="35" t="str">
        <f>'13all_company_profile'!A260</f>
        <v>GOOGL</v>
      </c>
      <c r="B260" s="35" t="str">
        <f>'13all_company_profile'!B260</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60" s="44" t="str">
        <f>'13all_company_profile'!C260</f>
        <v>https://financialmodelingprep.com/image-stock/GOOGL.png</v>
      </c>
      <c r="D260" s="35" t="str">
        <f>'13all_company_profile'!D260</f>
        <v>Alphabet Inc.</v>
      </c>
      <c r="E260" s="36">
        <f>'13all_company_profile'!E260</f>
        <v>1726930223104</v>
      </c>
      <c r="F260" s="37">
        <f>'13all_company_profile'!F260</f>
        <v>1408017</v>
      </c>
      <c r="G260" s="35">
        <f>'13all_company_profile'!G260</f>
        <v>0</v>
      </c>
      <c r="H260" s="38">
        <f>'13all_company_profile'!H260</f>
        <v>44405</v>
      </c>
      <c r="I260" s="35">
        <f>'13all_company_profile'!I260</f>
        <v>33.834755</v>
      </c>
      <c r="J260" s="35">
        <f>'13all_company_profile'!J260</f>
        <v>75.04</v>
      </c>
      <c r="K260" s="42" t="str">
        <f t="shared" si="1"/>
        <v>NaN</v>
      </c>
      <c r="L260" s="35">
        <f>'7company_info'!B260</f>
        <v>2524.19</v>
      </c>
      <c r="M260" s="35">
        <f>'7company_info'!C260</f>
        <v>2540.86</v>
      </c>
      <c r="N260" s="35">
        <f>'7company_info'!D260</f>
        <v>2487.01</v>
      </c>
      <c r="O260" s="35">
        <f>'7company_info'!E260</f>
        <v>32.63</v>
      </c>
      <c r="P260" s="35">
        <f>'7company_info'!F260</f>
        <v>0.0131</v>
      </c>
      <c r="Q260" s="35">
        <f>'7company_info'!G260</f>
        <v>2510.55</v>
      </c>
      <c r="R260" s="35">
        <f>'7company_info'!H260</f>
        <v>2491.56</v>
      </c>
      <c r="S260" s="35">
        <f>'7company_info'!I260</f>
        <v>1402.15</v>
      </c>
      <c r="T260" s="35">
        <f>'7company_info'!J260</f>
        <v>2586.53</v>
      </c>
      <c r="U260" s="39">
        <v>2569.85193333333</v>
      </c>
      <c r="V260" s="39">
        <v>2581.41466666666</v>
      </c>
      <c r="W260" s="40">
        <v>2598.08933333333</v>
      </c>
      <c r="X260" s="40">
        <v>2626.32673333333</v>
      </c>
      <c r="Y260" s="40">
        <v>2553.17726666666</v>
      </c>
      <c r="Z260" s="40">
        <v>2541.61453333333</v>
      </c>
      <c r="AA260" s="40">
        <v>2513.37713333333</v>
      </c>
      <c r="AB260" s="40">
        <v>2480.44</v>
      </c>
      <c r="AC260" s="40">
        <v>2586.5266</v>
      </c>
      <c r="AD260" s="40">
        <v>2479.74309738389</v>
      </c>
      <c r="AE260" s="40">
        <v>2483.29157</v>
      </c>
      <c r="AF260" s="40">
        <v>32.0345449999999</v>
      </c>
      <c r="AG260" s="40">
        <v>2461.91</v>
      </c>
      <c r="AH260" s="45">
        <v>44370.0</v>
      </c>
      <c r="AI260" s="44" t="str">
        <f>'6image_RS_benchmark_performance'!B260</f>
        <v>https://3arbzfbsh-cname-us.ngrok.io/Desktop/seabridge%20fintech/image_app/GOOGL_resistance_support.jpg</v>
      </c>
      <c r="AJ260" s="44" t="str">
        <f>'6image_RS_benchmark_performance'!C260</f>
        <v>https://3arbzfbsh-cname-us.ngrok.io/Desktop/seabridge%20fintech/profit_graph_app/GOOGL_Return.jpg</v>
      </c>
      <c r="AK260" s="46" t="str">
        <f>'5price_action_icon'!B260</f>
        <v>https://3arbzfbsh-cname-us.ngrok.io/Desktop/seabridge%20fintech/icon/GOOGL_pa_trend_signal</v>
      </c>
      <c r="AL260" s="42">
        <f>'1kpi_performance'!B260</f>
        <v>0.5731467013</v>
      </c>
      <c r="AM260" s="42">
        <f>'1kpi_performance'!C260</f>
        <v>0.8469180926</v>
      </c>
      <c r="AN260" s="42">
        <f>'1kpi_performance'!D260</f>
        <v>0.7099210858</v>
      </c>
      <c r="AO260" s="42">
        <f>'1kpi_performance'!E260</f>
        <v>0.311089187</v>
      </c>
      <c r="AP260" s="42">
        <f>'1kpi_performance'!F260</f>
        <v>0.2192503424</v>
      </c>
      <c r="AQ260" s="42">
        <f>'1kpi_performance'!G260</f>
        <v>0.207781902</v>
      </c>
      <c r="AR260" s="42">
        <f>'1kpi_performance'!H260</f>
        <v>0.2060757221</v>
      </c>
      <c r="AS260" s="42">
        <f>'1kpi_performance'!I260</f>
        <v>0.3105093354</v>
      </c>
      <c r="AT260" s="35">
        <f>'1kpi_performance'!J260</f>
        <v>2.500095075</v>
      </c>
      <c r="AU260" s="35">
        <f>'1kpi_performance'!K260</f>
        <v>3.955677009</v>
      </c>
      <c r="AV260" s="35">
        <f>'1kpi_performance'!L260</f>
        <v>3.323637927</v>
      </c>
      <c r="AW260" s="35">
        <f>'1kpi_performance'!M260</f>
        <v>0.9213545437</v>
      </c>
      <c r="AX260" s="42">
        <f>'1kpi_performance'!N260</f>
        <v>0.135848575</v>
      </c>
      <c r="AY260" s="42">
        <f>'1kpi_performance'!O260</f>
        <v>0.08237257656</v>
      </c>
      <c r="AZ260" s="42">
        <f>'1kpi_performance'!P260</f>
        <v>0.1455212032</v>
      </c>
      <c r="BA260" s="42">
        <f>'1kpi_performance'!Q260</f>
        <v>0.3087082833</v>
      </c>
      <c r="BB260" s="35">
        <f>'1kpi_performance'!R260</f>
        <v>5.755577136</v>
      </c>
      <c r="BC260" s="35">
        <f>'1kpi_performance'!S260</f>
        <v>10.574589</v>
      </c>
      <c r="BD260" s="35">
        <f>'1kpi_performance'!T260</f>
        <v>8.008983164</v>
      </c>
      <c r="BE260" s="35">
        <f>'1kpi_performance'!U260</f>
        <v>1.85019809</v>
      </c>
      <c r="BF260" s="47"/>
      <c r="BG260" s="47"/>
      <c r="BH260" s="47"/>
      <c r="BI260" s="47"/>
      <c r="BJ260" s="47"/>
      <c r="BK260" s="47"/>
      <c r="BL260" s="47"/>
      <c r="BM260" s="47"/>
      <c r="BN260" s="47"/>
      <c r="BO260" s="47"/>
      <c r="BP260" s="47"/>
      <c r="BQ260" s="47"/>
      <c r="BR260" s="47"/>
      <c r="BS260" s="47"/>
      <c r="BT260" s="47"/>
    </row>
    <row r="261" ht="11.25" customHeight="1">
      <c r="A261" s="35" t="str">
        <f>'13all_company_profile'!A261</f>
        <v>GOVT</v>
      </c>
      <c r="B261" s="35" t="str">
        <f>'13all_company_profile'!B261</f>
        <v>GOVT was created on 02/14/12 by Blackrock. The ETF tracks a market-weighted index of fixed-rate nonconvertible U.S. Treasury securities with a remaining maturity of one year or more.</v>
      </c>
      <c r="C261" s="44" t="str">
        <f>'13all_company_profile'!C261</f>
        <v>https://financialmodelingprep.com/image-stock/GOVT.jpg</v>
      </c>
      <c r="D261" s="35" t="str">
        <f>'13all_company_profile'!D261</f>
        <v>iShares U.S. Treasury Bond ETF</v>
      </c>
      <c r="E261" s="36">
        <f>'13all_company_profile'!E261</f>
        <v>9465525000</v>
      </c>
      <c r="F261" s="37">
        <f>'13all_company_profile'!F261</f>
        <v>4871453</v>
      </c>
      <c r="G261" s="35">
        <f>'13all_company_profile'!G261</f>
        <v>0.44</v>
      </c>
      <c r="H261" s="38" t="str">
        <f>'13all_company_profile'!H261</f>
        <v>not avaiable</v>
      </c>
      <c r="I261" s="35" t="str">
        <f>'13all_company_profile'!I261</f>
        <v>NaN</v>
      </c>
      <c r="J261" s="35" t="str">
        <f>'13all_company_profile'!J261</f>
        <v>NaN</v>
      </c>
      <c r="K261" s="42">
        <f t="shared" si="1"/>
        <v>0.08560311284</v>
      </c>
      <c r="L261" s="35">
        <f>'7company_info'!B261</f>
        <v>5.14</v>
      </c>
      <c r="M261" s="35">
        <f>'7company_info'!C261</f>
        <v>5.14</v>
      </c>
      <c r="N261" s="35">
        <f>'7company_info'!D261</f>
        <v>5.14</v>
      </c>
      <c r="O261" s="35">
        <f>'7company_info'!E261</f>
        <v>0</v>
      </c>
      <c r="P261" s="35">
        <f>'7company_info'!F261</f>
        <v>-0.0003</v>
      </c>
      <c r="Q261" s="35">
        <f>'7company_info'!G261</f>
        <v>5.14</v>
      </c>
      <c r="R261" s="35">
        <f>'7company_info'!H261</f>
        <v>5.14</v>
      </c>
      <c r="S261" s="35">
        <f>'7company_info'!I261</f>
        <v>4.97</v>
      </c>
      <c r="T261" s="35">
        <f>'7company_info'!J261</f>
        <v>5.36</v>
      </c>
      <c r="U261" s="39">
        <v>26.6966666666666</v>
      </c>
      <c r="V261" s="39">
        <v>26.7333333333333</v>
      </c>
      <c r="W261" s="40">
        <v>26.7566666666666</v>
      </c>
      <c r="X261" s="40">
        <v>26.8166666666666</v>
      </c>
      <c r="Y261" s="40">
        <v>26.6733333333333</v>
      </c>
      <c r="Z261" s="40">
        <v>26.6366666666666</v>
      </c>
      <c r="AA261" s="40">
        <v>26.5766666666666</v>
      </c>
      <c r="AB261" s="40">
        <v>26.595</v>
      </c>
      <c r="AC261" s="40">
        <v>26.8576</v>
      </c>
      <c r="AD261" s="40">
        <v>26.6030274976641</v>
      </c>
      <c r="AE261" s="40">
        <v>26.43176</v>
      </c>
      <c r="AF261" s="40">
        <v>0.09962</v>
      </c>
      <c r="AG261" s="40">
        <v>27.24</v>
      </c>
      <c r="AH261" s="45">
        <v>44223.0</v>
      </c>
      <c r="AI261" s="44" t="str">
        <f>'6image_RS_benchmark_performance'!B261</f>
        <v>https://3arbzfbsh-cname-us.ngrok.io/Desktop/seabridge%20fintech/image_app/GOVT_resistance_support.jpg</v>
      </c>
      <c r="AJ261" s="44" t="str">
        <f>'6image_RS_benchmark_performance'!C261</f>
        <v>https://3arbzfbsh-cname-us.ngrok.io/Desktop/seabridge%20fintech/profit_graph_app/GOVT_Return.jpg</v>
      </c>
      <c r="AK261" s="46" t="str">
        <f>'5price_action_icon'!B261</f>
        <v>https://3arbzfbsh-cname-us.ngrok.io/Desktop/seabridge%20fintech/icon/GOVT_pa_trend_signal</v>
      </c>
      <c r="AL261" s="42">
        <f>'1kpi_performance'!B261</f>
        <v>0.06054610952</v>
      </c>
      <c r="AM261" s="42">
        <f>'1kpi_performance'!C261</f>
        <v>0.06952853212</v>
      </c>
      <c r="AN261" s="42">
        <f>'1kpi_performance'!D261</f>
        <v>0.04503462001</v>
      </c>
      <c r="AO261" s="42">
        <f>'1kpi_performance'!E261</f>
        <v>0.01129622086</v>
      </c>
      <c r="AP261" s="42">
        <f>'1kpi_performance'!F261</f>
        <v>0.03327421065</v>
      </c>
      <c r="AQ261" s="42">
        <f>'1kpi_performance'!G261</f>
        <v>0.03318993945</v>
      </c>
      <c r="AR261" s="42">
        <f>'1kpi_performance'!H261</f>
        <v>0.0297012318</v>
      </c>
      <c r="AS261" s="42">
        <f>'1kpi_performance'!I261</f>
        <v>0.04811299749</v>
      </c>
      <c r="AT261" s="35">
        <f>'1kpi_performance'!J261</f>
        <v>1.06827807</v>
      </c>
      <c r="AU261" s="35">
        <f>'1kpi_performance'!K261</f>
        <v>1.341627399</v>
      </c>
      <c r="AV261" s="35">
        <f>'1kpi_performance'!L261</f>
        <v>0.6745383539</v>
      </c>
      <c r="AW261" s="35">
        <f>'1kpi_performance'!M261</f>
        <v>-0.2848248885</v>
      </c>
      <c r="AX261" s="42">
        <f>'1kpi_performance'!N261</f>
        <v>0.02510413005</v>
      </c>
      <c r="AY261" s="42">
        <f>'1kpi_performance'!O261</f>
        <v>0.01926163724</v>
      </c>
      <c r="AZ261" s="42">
        <f>'1kpi_performance'!P261</f>
        <v>0.05240041407</v>
      </c>
      <c r="BA261" s="42">
        <f>'1kpi_performance'!Q261</f>
        <v>0.08929247068</v>
      </c>
      <c r="BB261" s="35">
        <f>'1kpi_performance'!R261</f>
        <v>2.176347426</v>
      </c>
      <c r="BC261" s="35">
        <f>'1kpi_performance'!S261</f>
        <v>2.960024246</v>
      </c>
      <c r="BD261" s="35">
        <f>'1kpi_performance'!T261</f>
        <v>1.339021459</v>
      </c>
      <c r="BE261" s="35">
        <f>'1kpi_performance'!U261</f>
        <v>-0.5604538434</v>
      </c>
      <c r="BF261" s="47"/>
      <c r="BG261" s="47"/>
      <c r="BH261" s="47"/>
      <c r="BI261" s="47"/>
      <c r="BJ261" s="47"/>
      <c r="BK261" s="47"/>
      <c r="BL261" s="47"/>
      <c r="BM261" s="47"/>
      <c r="BN261" s="47"/>
      <c r="BO261" s="47"/>
      <c r="BP261" s="47"/>
      <c r="BQ261" s="47"/>
      <c r="BR261" s="47"/>
      <c r="BS261" s="47"/>
      <c r="BT261" s="47"/>
    </row>
    <row r="262" ht="11.25" customHeight="1">
      <c r="A262" s="35" t="str">
        <f>'13all_company_profile'!A262</f>
        <v>GPC</v>
      </c>
      <c r="B262" s="35" t="str">
        <f>'13all_company_profile'!B262</f>
        <v>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v>
      </c>
      <c r="C262" s="44" t="str">
        <f>'13all_company_profile'!C262</f>
        <v>https://financialmodelingprep.com/image-stock/GPC.png</v>
      </c>
      <c r="D262" s="35" t="str">
        <f>'13all_company_profile'!D262</f>
        <v>Genuine Parts Company</v>
      </c>
      <c r="E262" s="36">
        <f>'13all_company_profile'!E262</f>
        <v>18625329152</v>
      </c>
      <c r="F262" s="37">
        <f>'13all_company_profile'!F262</f>
        <v>739693</v>
      </c>
      <c r="G262" s="35">
        <f>'13all_company_profile'!G262</f>
        <v>3.21</v>
      </c>
      <c r="H262" s="38">
        <f>'13all_company_profile'!H262</f>
        <v>44399</v>
      </c>
      <c r="I262" s="35">
        <f>'13all_company_profile'!I262</f>
        <v>349.53424</v>
      </c>
      <c r="J262" s="35">
        <f>'13all_company_profile'!J262</f>
        <v>0.365</v>
      </c>
      <c r="K262" s="42">
        <f t="shared" si="1"/>
        <v>0.02501363672</v>
      </c>
      <c r="L262" s="35">
        <f>'7company_info'!B262</f>
        <v>128.33</v>
      </c>
      <c r="M262" s="35">
        <f>'7company_info'!C262</f>
        <v>129.31</v>
      </c>
      <c r="N262" s="35">
        <f>'7company_info'!D262</f>
        <v>125.4</v>
      </c>
      <c r="O262" s="35">
        <f>'7company_info'!E262</f>
        <v>2.7</v>
      </c>
      <c r="P262" s="35">
        <f>'7company_info'!F262</f>
        <v>0.0215</v>
      </c>
      <c r="Q262" s="35">
        <f>'7company_info'!G262</f>
        <v>126.45</v>
      </c>
      <c r="R262" s="35">
        <f>'7company_info'!H262</f>
        <v>125.63</v>
      </c>
      <c r="S262" s="35">
        <f>'7company_info'!I262</f>
        <v>86.1</v>
      </c>
      <c r="T262" s="35">
        <f>'7company_info'!J262</f>
        <v>135.93</v>
      </c>
      <c r="U262" s="39">
        <v>128.34</v>
      </c>
      <c r="V262" s="39">
        <v>129.33</v>
      </c>
      <c r="W262" s="40">
        <v>129.87</v>
      </c>
      <c r="X262" s="40">
        <v>131.4</v>
      </c>
      <c r="Y262" s="40">
        <v>127.8</v>
      </c>
      <c r="Z262" s="40">
        <v>126.81</v>
      </c>
      <c r="AA262" s="40">
        <v>125.28</v>
      </c>
      <c r="AB262" s="40">
        <v>124.4</v>
      </c>
      <c r="AC262" s="40">
        <v>127.92</v>
      </c>
      <c r="AD262" s="40">
        <v>127.731018652993</v>
      </c>
      <c r="AE262" s="40">
        <v>123.20977</v>
      </c>
      <c r="AF262" s="40">
        <v>2.22161499999999</v>
      </c>
      <c r="AG262" s="40">
        <v>135.93</v>
      </c>
      <c r="AH262" s="45">
        <v>44326.0</v>
      </c>
      <c r="AI262" s="44" t="str">
        <f>'6image_RS_benchmark_performance'!B262</f>
        <v>https://3arbzfbsh-cname-us.ngrok.io/Desktop/seabridge%20fintech/image_app/GPC_resistance_support.jpg</v>
      </c>
      <c r="AJ262" s="44" t="str">
        <f>'6image_RS_benchmark_performance'!C262</f>
        <v>https://3arbzfbsh-cname-us.ngrok.io/Desktop/seabridge%20fintech/profit_graph_app/GPC_Return.jpg</v>
      </c>
      <c r="AK262" s="46" t="str">
        <f>'5price_action_icon'!B262</f>
        <v>https://3arbzfbsh-cname-us.ngrok.io/Desktop/seabridge%20fintech/icon/GPC_pa_trend_signal</v>
      </c>
      <c r="AL262" s="42">
        <f>'1kpi_performance'!B262</f>
        <v>0.4991014928</v>
      </c>
      <c r="AM262" s="42">
        <f>'1kpi_performance'!C262</f>
        <v>0.6344685026</v>
      </c>
      <c r="AN262" s="42">
        <f>'1kpi_performance'!D262</f>
        <v>0.5713965652</v>
      </c>
      <c r="AO262" s="42">
        <f>'1kpi_performance'!E262</f>
        <v>0.163704441</v>
      </c>
      <c r="AP262" s="42">
        <f>'1kpi_performance'!F262</f>
        <v>0.1904263047</v>
      </c>
      <c r="AQ262" s="42">
        <f>'1kpi_performance'!G262</f>
        <v>0.1949656379</v>
      </c>
      <c r="AR262" s="42">
        <f>'1kpi_performance'!H262</f>
        <v>0.1880236123</v>
      </c>
      <c r="AS262" s="42">
        <f>'1kpi_performance'!I262</f>
        <v>0.2935520475</v>
      </c>
      <c r="AT262" s="35">
        <f>'1kpi_performance'!J262</f>
        <v>2.489684886</v>
      </c>
      <c r="AU262" s="35">
        <f>'1kpi_performance'!K262</f>
        <v>3.126030357</v>
      </c>
      <c r="AV262" s="35">
        <f>'1kpi_performance'!L262</f>
        <v>2.905999723</v>
      </c>
      <c r="AW262" s="35">
        <f>'1kpi_performance'!M262</f>
        <v>0.4725037423</v>
      </c>
      <c r="AX262" s="42">
        <f>'1kpi_performance'!N262</f>
        <v>0.1689958234</v>
      </c>
      <c r="AY262" s="42">
        <f>'1kpi_performance'!O262</f>
        <v>0.1543507958</v>
      </c>
      <c r="AZ262" s="42">
        <f>'1kpi_performance'!P262</f>
        <v>0.1457002654</v>
      </c>
      <c r="BA262" s="42">
        <f>'1kpi_performance'!Q262</f>
        <v>0.5632273754</v>
      </c>
      <c r="BB262" s="35">
        <f>'1kpi_performance'!R262</f>
        <v>5.273456514</v>
      </c>
      <c r="BC262" s="35">
        <f>'1kpi_performance'!S262</f>
        <v>7.114243692</v>
      </c>
      <c r="BD262" s="35">
        <f>'1kpi_performance'!T262</f>
        <v>6.505059797</v>
      </c>
      <c r="BE262" s="35">
        <f>'1kpi_performance'!U262</f>
        <v>0.9134792555</v>
      </c>
      <c r="BF262" s="47"/>
      <c r="BG262" s="47"/>
      <c r="BH262" s="47"/>
      <c r="BI262" s="47"/>
      <c r="BJ262" s="47"/>
      <c r="BK262" s="47"/>
      <c r="BL262" s="47"/>
      <c r="BM262" s="47"/>
      <c r="BN262" s="47"/>
      <c r="BO262" s="47"/>
      <c r="BP262" s="47"/>
      <c r="BQ262" s="47"/>
      <c r="BR262" s="47"/>
      <c r="BS262" s="47"/>
      <c r="BT262" s="47"/>
    </row>
    <row r="263" ht="11.25" customHeight="1">
      <c r="A263" s="35" t="str">
        <f>'13all_company_profile'!A263</f>
        <v>GPN</v>
      </c>
      <c r="B263" s="35" t="str">
        <f>'13all_company_profile'!B263</f>
        <v>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v>
      </c>
      <c r="C263" s="44" t="str">
        <f>'13all_company_profile'!C263</f>
        <v>https://financialmodelingprep.com/image-stock/GPN.png</v>
      </c>
      <c r="D263" s="35" t="str">
        <f>'13all_company_profile'!D263</f>
        <v>Global Payments Inc.</v>
      </c>
      <c r="E263" s="36">
        <f>'13all_company_profile'!E263</f>
        <v>57652731904</v>
      </c>
      <c r="F263" s="37">
        <f>'13all_company_profile'!F263</f>
        <v>1468568</v>
      </c>
      <c r="G263" s="35">
        <f>'13all_company_profile'!G263</f>
        <v>0.78</v>
      </c>
      <c r="H263" s="38">
        <f>'13all_company_profile'!H263</f>
        <v>44410</v>
      </c>
      <c r="I263" s="35">
        <f>'13all_company_profile'!I263</f>
        <v>91.733215</v>
      </c>
      <c r="J263" s="35">
        <f>'13all_company_profile'!J263</f>
        <v>2.129</v>
      </c>
      <c r="K263" s="42">
        <f t="shared" si="1"/>
        <v>0.004132450331</v>
      </c>
      <c r="L263" s="35">
        <f>'7company_info'!B263</f>
        <v>188.75</v>
      </c>
      <c r="M263" s="35">
        <f>'7company_info'!C263</f>
        <v>190.43</v>
      </c>
      <c r="N263" s="35">
        <f>'7company_info'!D263</f>
        <v>186.33</v>
      </c>
      <c r="O263" s="35">
        <f>'7company_info'!E263</f>
        <v>2.7</v>
      </c>
      <c r="P263" s="35">
        <f>'7company_info'!F263</f>
        <v>0.0145</v>
      </c>
      <c r="Q263" s="35">
        <f>'7company_info'!G263</f>
        <v>186.62</v>
      </c>
      <c r="R263" s="35">
        <f>'7company_info'!H263</f>
        <v>186.05</v>
      </c>
      <c r="S263" s="35">
        <f>'7company_info'!I263</f>
        <v>153.33</v>
      </c>
      <c r="T263" s="35">
        <f>'7company_info'!J263</f>
        <v>220.81</v>
      </c>
      <c r="U263" s="39">
        <v>192.836666666666</v>
      </c>
      <c r="V263" s="39">
        <v>193.953333333333</v>
      </c>
      <c r="W263" s="40">
        <v>194.886666666666</v>
      </c>
      <c r="X263" s="40">
        <v>196.936666666666</v>
      </c>
      <c r="Y263" s="40">
        <v>191.903333333333</v>
      </c>
      <c r="Z263" s="40">
        <v>190.786666666666</v>
      </c>
      <c r="AA263" s="40">
        <v>188.736666666666</v>
      </c>
      <c r="AB263" s="40">
        <v>191.55</v>
      </c>
      <c r="AC263" s="40">
        <v>190.78</v>
      </c>
      <c r="AD263" s="40">
        <v>191.657249946176</v>
      </c>
      <c r="AE263" s="40">
        <v>184.2045</v>
      </c>
      <c r="AF263" s="40">
        <v>3.37974999999999</v>
      </c>
      <c r="AG263" s="40">
        <v>220.81</v>
      </c>
      <c r="AH263" s="45">
        <v>44312.0</v>
      </c>
      <c r="AI263" s="44" t="str">
        <f>'6image_RS_benchmark_performance'!B263</f>
        <v>https://3arbzfbsh-cname-us.ngrok.io/Desktop/seabridge%20fintech/image_app/GPN_resistance_support.jpg</v>
      </c>
      <c r="AJ263" s="44" t="str">
        <f>'6image_RS_benchmark_performance'!C263</f>
        <v>https://3arbzfbsh-cname-us.ngrok.io/Desktop/seabridge%20fintech/profit_graph_app/GPN_Return.jpg</v>
      </c>
      <c r="AK263" s="46" t="str">
        <f>'5price_action_icon'!B263</f>
        <v>https://3arbzfbsh-cname-us.ngrok.io/Desktop/seabridge%20fintech/icon/GPN_pa_trend_signal</v>
      </c>
      <c r="AL263" s="42">
        <f>'1kpi_performance'!B263</f>
        <v>0.6042825361</v>
      </c>
      <c r="AM263" s="42">
        <f>'1kpi_performance'!C263</f>
        <v>0.8678120374</v>
      </c>
      <c r="AN263" s="42">
        <f>'1kpi_performance'!D263</f>
        <v>0.5356087756</v>
      </c>
      <c r="AO263" s="42">
        <f>'1kpi_performance'!E263</f>
        <v>0.3040003352</v>
      </c>
      <c r="AP263" s="42">
        <f>'1kpi_performance'!F263</f>
        <v>0.2318679948</v>
      </c>
      <c r="AQ263" s="42">
        <f>'1kpi_performance'!G263</f>
        <v>0.2346603556</v>
      </c>
      <c r="AR263" s="42">
        <f>'1kpi_performance'!H263</f>
        <v>0.2089801746</v>
      </c>
      <c r="AS263" s="42">
        <f>'1kpi_performance'!I263</f>
        <v>0.3446085155</v>
      </c>
      <c r="AT263" s="35">
        <f>'1kpi_performance'!J263</f>
        <v>2.498329002</v>
      </c>
      <c r="AU263" s="35">
        <f>'1kpi_performance'!K263</f>
        <v>3.591625161</v>
      </c>
      <c r="AV263" s="35">
        <f>'1kpi_performance'!L263</f>
        <v>2.443335961</v>
      </c>
      <c r="AW263" s="35">
        <f>'1kpi_performance'!M263</f>
        <v>0.8096153249</v>
      </c>
      <c r="AX263" s="42">
        <f>'1kpi_performance'!N263</f>
        <v>0.1738078106</v>
      </c>
      <c r="AY263" s="42">
        <f>'1kpi_performance'!O263</f>
        <v>0.1738078106</v>
      </c>
      <c r="AZ263" s="42">
        <f>'1kpi_performance'!P263</f>
        <v>0.2656403079</v>
      </c>
      <c r="BA263" s="42">
        <f>'1kpi_performance'!Q263</f>
        <v>0.4432292416</v>
      </c>
      <c r="BB263" s="35">
        <f>'1kpi_performance'!R263</f>
        <v>5.420897681</v>
      </c>
      <c r="BC263" s="35">
        <f>'1kpi_performance'!S263</f>
        <v>8.856836062</v>
      </c>
      <c r="BD263" s="35">
        <f>'1kpi_performance'!T263</f>
        <v>5.301642652</v>
      </c>
      <c r="BE263" s="35">
        <f>'1kpi_performance'!U263</f>
        <v>1.582537322</v>
      </c>
      <c r="BF263" s="47"/>
      <c r="BG263" s="47"/>
      <c r="BH263" s="47"/>
      <c r="BI263" s="47"/>
      <c r="BJ263" s="47"/>
      <c r="BK263" s="47"/>
      <c r="BL263" s="47"/>
      <c r="BM263" s="47"/>
      <c r="BN263" s="47"/>
      <c r="BO263" s="47"/>
      <c r="BP263" s="47"/>
      <c r="BQ263" s="47"/>
      <c r="BR263" s="47"/>
      <c r="BS263" s="47"/>
      <c r="BT263" s="47"/>
    </row>
    <row r="264" ht="11.25" customHeight="1">
      <c r="A264" s="35" t="str">
        <f>'13all_company_profile'!A264</f>
        <v>GPS</v>
      </c>
      <c r="B264" s="35" t="str">
        <f>'13all_company_profile'!B264</f>
        <v>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v>
      </c>
      <c r="C264" s="44" t="str">
        <f>'13all_company_profile'!C264</f>
        <v>https://financialmodelingprep.com/image-stock/GPS.png</v>
      </c>
      <c r="D264" s="35" t="str">
        <f>'13all_company_profile'!D264</f>
        <v>The Gap, Inc.</v>
      </c>
      <c r="E264" s="36">
        <f>'13all_company_profile'!E264</f>
        <v>11237435392</v>
      </c>
      <c r="F264" s="37">
        <f>'13all_company_profile'!F264</f>
        <v>6079779</v>
      </c>
      <c r="G264" s="35">
        <f>'13all_company_profile'!G264</f>
        <v>0.3625</v>
      </c>
      <c r="H264" s="38" t="str">
        <f>'13all_company_profile'!H264</f>
        <v>not avaiable</v>
      </c>
      <c r="I264" s="35">
        <f>'13all_company_profile'!I264</f>
        <v>24.712793</v>
      </c>
      <c r="J264" s="35">
        <f>'13all_company_profile'!J264</f>
        <v>1.149</v>
      </c>
      <c r="K264" s="42">
        <f t="shared" si="1"/>
        <v>0.0127148369</v>
      </c>
      <c r="L264" s="35">
        <f>'7company_info'!B264</f>
        <v>28.51</v>
      </c>
      <c r="M264" s="35">
        <f>'7company_info'!C264</f>
        <v>28.74</v>
      </c>
      <c r="N264" s="35">
        <f>'7company_info'!D264</f>
        <v>27.38</v>
      </c>
      <c r="O264" s="35">
        <f>'7company_info'!E264</f>
        <v>0.84</v>
      </c>
      <c r="P264" s="35">
        <f>'7company_info'!F264</f>
        <v>0.0304</v>
      </c>
      <c r="Q264" s="35">
        <f>'7company_info'!G264</f>
        <v>27.74</v>
      </c>
      <c r="R264" s="35">
        <f>'7company_info'!H264</f>
        <v>27.67</v>
      </c>
      <c r="S264" s="35">
        <f>'7company_info'!I264</f>
        <v>11.92</v>
      </c>
      <c r="T264" s="35">
        <f>'7company_info'!J264</f>
        <v>37.63</v>
      </c>
      <c r="U264" s="39">
        <v>31.3966666666666</v>
      </c>
      <c r="V264" s="39">
        <v>31.8633333333333</v>
      </c>
      <c r="W264" s="40">
        <v>32.7266666666666</v>
      </c>
      <c r="X264" s="40">
        <v>34.0566666666666</v>
      </c>
      <c r="Y264" s="40">
        <v>30.5333333333333</v>
      </c>
      <c r="Z264" s="40">
        <v>30.0666666666666</v>
      </c>
      <c r="AA264" s="40">
        <v>28.7366666666666</v>
      </c>
      <c r="AB264" s="40">
        <v>32.77</v>
      </c>
      <c r="AC264" s="40">
        <v>33.45</v>
      </c>
      <c r="AD264" s="40">
        <v>32.2685210199871</v>
      </c>
      <c r="AE264" s="40">
        <v>29.05028</v>
      </c>
      <c r="AF264" s="40">
        <v>1.23136</v>
      </c>
      <c r="AG264" s="40">
        <v>37.63</v>
      </c>
      <c r="AH264" s="45">
        <v>44334.0</v>
      </c>
      <c r="AI264" s="44" t="str">
        <f>'6image_RS_benchmark_performance'!B264</f>
        <v>https://3arbzfbsh-cname-us.ngrok.io/Desktop/seabridge%20fintech/image_app/GPS_resistance_support.jpg</v>
      </c>
      <c r="AJ264" s="44" t="str">
        <f>'6image_RS_benchmark_performance'!C264</f>
        <v>https://3arbzfbsh-cname-us.ngrok.io/Desktop/seabridge%20fintech/profit_graph_app/GPS_Return.jpg</v>
      </c>
      <c r="AK264" s="46" t="str">
        <f>'5price_action_icon'!B264</f>
        <v>https://3arbzfbsh-cname-us.ngrok.io/Desktop/seabridge%20fintech/icon/GPS_pa_trend_signal</v>
      </c>
      <c r="AL264" s="42">
        <f>'1kpi_performance'!B264</f>
        <v>0.8072762652</v>
      </c>
      <c r="AM264" s="42">
        <f>'1kpi_performance'!C264</f>
        <v>1.063457209</v>
      </c>
      <c r="AN264" s="42">
        <f>'1kpi_performance'!D264</f>
        <v>0.6775476131</v>
      </c>
      <c r="AO264" s="42">
        <f>'1kpi_performance'!E264</f>
        <v>0.06158489722</v>
      </c>
      <c r="AP264" s="42">
        <f>'1kpi_performance'!F264</f>
        <v>0.3680684533</v>
      </c>
      <c r="AQ264" s="42">
        <f>'1kpi_performance'!G264</f>
        <v>0.3342234542</v>
      </c>
      <c r="AR264" s="42">
        <f>'1kpi_performance'!H264</f>
        <v>0.3852591299</v>
      </c>
      <c r="AS264" s="42">
        <f>'1kpi_performance'!I264</f>
        <v>0.5144658459</v>
      </c>
      <c r="AT264" s="35">
        <f>'1kpi_performance'!J264</f>
        <v>2.125355374</v>
      </c>
      <c r="AU264" s="35">
        <f>'1kpi_performance'!K264</f>
        <v>3.107074612</v>
      </c>
      <c r="AV264" s="35">
        <f>'1kpi_performance'!L264</f>
        <v>1.693788836</v>
      </c>
      <c r="AW264" s="35">
        <f>'1kpi_performance'!M264</f>
        <v>0.07111239262</v>
      </c>
      <c r="AX264" s="42">
        <f>'1kpi_performance'!N264</f>
        <v>0.3957749658</v>
      </c>
      <c r="AY264" s="42">
        <f>'1kpi_performance'!O264</f>
        <v>0.253533266</v>
      </c>
      <c r="AZ264" s="42">
        <f>'1kpi_performance'!P264</f>
        <v>0.7055674518</v>
      </c>
      <c r="BA264" s="42">
        <f>'1kpi_performance'!Q264</f>
        <v>0.8819489161</v>
      </c>
      <c r="BB264" s="35">
        <f>'1kpi_performance'!R264</f>
        <v>4.538692907</v>
      </c>
      <c r="BC264" s="35">
        <f>'1kpi_performance'!S264</f>
        <v>7.610829162</v>
      </c>
      <c r="BD264" s="35">
        <f>'1kpi_performance'!T264</f>
        <v>3.389251042</v>
      </c>
      <c r="BE264" s="35">
        <f>'1kpi_performance'!U264</f>
        <v>0.1371969457</v>
      </c>
      <c r="BF264" s="47"/>
      <c r="BG264" s="47"/>
      <c r="BH264" s="47"/>
      <c r="BI264" s="47"/>
      <c r="BJ264" s="47"/>
      <c r="BK264" s="47"/>
      <c r="BL264" s="47"/>
      <c r="BM264" s="47"/>
      <c r="BN264" s="47"/>
      <c r="BO264" s="47"/>
      <c r="BP264" s="47"/>
      <c r="BQ264" s="47"/>
      <c r="BR264" s="47"/>
      <c r="BS264" s="47"/>
      <c r="BT264" s="47"/>
    </row>
    <row r="265" ht="11.25" customHeight="1">
      <c r="A265" s="35" t="str">
        <f>'13all_company_profile'!A265</f>
        <v>GRMN</v>
      </c>
      <c r="B265" s="35" t="str">
        <f>'13all_company_profile'!B265</f>
        <v>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v>
      </c>
      <c r="C265" s="44" t="str">
        <f>'13all_company_profile'!C265</f>
        <v>https://financialmodelingprep.com/image-stock/GRMN.png</v>
      </c>
      <c r="D265" s="35" t="str">
        <f>'13all_company_profile'!D265</f>
        <v>Garmin Ltd.</v>
      </c>
      <c r="E265" s="36">
        <f>'13all_company_profile'!E265</f>
        <v>28650739712</v>
      </c>
      <c r="F265" s="37">
        <f>'13all_company_profile'!F265</f>
        <v>620846</v>
      </c>
      <c r="G265" s="35">
        <f>'13all_company_profile'!G265</f>
        <v>2.5</v>
      </c>
      <c r="H265" s="38">
        <f>'13all_company_profile'!H265</f>
        <v>44404</v>
      </c>
      <c r="I265" s="35">
        <f>'13all_company_profile'!I265</f>
        <v>27.357351</v>
      </c>
      <c r="J265" s="35">
        <f>'13all_company_profile'!J265</f>
        <v>5.468</v>
      </c>
      <c r="K265" s="42">
        <f t="shared" si="1"/>
        <v>0.01668780455</v>
      </c>
      <c r="L265" s="35">
        <f>'7company_info'!B265</f>
        <v>149.81</v>
      </c>
      <c r="M265" s="35">
        <f>'7company_info'!C265</f>
        <v>150.17</v>
      </c>
      <c r="N265" s="35">
        <f>'7company_info'!D265</f>
        <v>146.91</v>
      </c>
      <c r="O265" s="35">
        <f>'7company_info'!E265</f>
        <v>2.18</v>
      </c>
      <c r="P265" s="35">
        <f>'7company_info'!F265</f>
        <v>0.0148</v>
      </c>
      <c r="Q265" s="35">
        <f>'7company_info'!G265</f>
        <v>148.1</v>
      </c>
      <c r="R265" s="35">
        <f>'7company_info'!H265</f>
        <v>147.63</v>
      </c>
      <c r="S265" s="35">
        <f>'7company_info'!I265</f>
        <v>91.84</v>
      </c>
      <c r="T265" s="35">
        <f>'7company_info'!J265</f>
        <v>150.17</v>
      </c>
      <c r="U265" s="39">
        <v>149.258333333333</v>
      </c>
      <c r="V265" s="39">
        <v>150.006666666666</v>
      </c>
      <c r="W265" s="40">
        <v>150.643333333333</v>
      </c>
      <c r="X265" s="40">
        <v>152.028333333333</v>
      </c>
      <c r="Y265" s="40">
        <v>148.621666666666</v>
      </c>
      <c r="Z265" s="40">
        <v>147.873333333333</v>
      </c>
      <c r="AA265" s="40">
        <v>146.488333333333</v>
      </c>
      <c r="AB265" s="40">
        <v>146.22</v>
      </c>
      <c r="AC265" s="40">
        <v>149.99</v>
      </c>
      <c r="AD265" s="40">
        <v>145.904451524853</v>
      </c>
      <c r="AE265" s="40">
        <v>145.2892</v>
      </c>
      <c r="AF265" s="40">
        <v>1.89815</v>
      </c>
      <c r="AG265" s="40">
        <v>145.2</v>
      </c>
      <c r="AH265" s="45">
        <v>44326.0</v>
      </c>
      <c r="AI265" s="44" t="str">
        <f>'6image_RS_benchmark_performance'!B265</f>
        <v>https://3arbzfbsh-cname-us.ngrok.io/Desktop/seabridge%20fintech/image_app/GRMN_resistance_support.jpg</v>
      </c>
      <c r="AJ265" s="44" t="str">
        <f>'6image_RS_benchmark_performance'!C265</f>
        <v>https://3arbzfbsh-cname-us.ngrok.io/Desktop/seabridge%20fintech/profit_graph_app/GRMN_Return.jpg</v>
      </c>
      <c r="AK265" s="46" t="str">
        <f>'5price_action_icon'!B265</f>
        <v>https://3arbzfbsh-cname-us.ngrok.io/Desktop/seabridge%20fintech/icon/GRMN_pa_trend_signal</v>
      </c>
      <c r="AL265" s="42">
        <f>'1kpi_performance'!B265</f>
        <v>0.59622872</v>
      </c>
      <c r="AM265" s="42">
        <f>'1kpi_performance'!C265</f>
        <v>0.7652614116</v>
      </c>
      <c r="AN265" s="42">
        <f>'1kpi_performance'!D265</f>
        <v>0.5176437574</v>
      </c>
      <c r="AO265" s="42">
        <f>'1kpi_performance'!E265</f>
        <v>0.2018317648</v>
      </c>
      <c r="AP265" s="42">
        <f>'1kpi_performance'!F265</f>
        <v>0.2424088044</v>
      </c>
      <c r="AQ265" s="42">
        <f>'1kpi_performance'!G265</f>
        <v>0.2337225917</v>
      </c>
      <c r="AR265" s="42">
        <f>'1kpi_performance'!H265</f>
        <v>0.2341118176</v>
      </c>
      <c r="AS265" s="42">
        <f>'1kpi_performance'!I265</f>
        <v>0.328635861</v>
      </c>
      <c r="AT265" s="35">
        <f>'1kpi_performance'!J265</f>
        <v>2.356468534</v>
      </c>
      <c r="AU265" s="35">
        <f>'1kpi_performance'!K265</f>
        <v>3.167265117</v>
      </c>
      <c r="AV265" s="35">
        <f>'1kpi_performance'!L265</f>
        <v>2.104309651</v>
      </c>
      <c r="AW265" s="35">
        <f>'1kpi_performance'!M265</f>
        <v>0.5380781156</v>
      </c>
      <c r="AX265" s="42">
        <f>'1kpi_performance'!N265</f>
        <v>0.2151437317</v>
      </c>
      <c r="AY265" s="42">
        <f>'1kpi_performance'!O265</f>
        <v>0.08960070023</v>
      </c>
      <c r="AZ265" s="42">
        <f>'1kpi_performance'!P265</f>
        <v>0.3862255233</v>
      </c>
      <c r="BA265" s="42">
        <f>'1kpi_performance'!Q265</f>
        <v>0.4767385314</v>
      </c>
      <c r="BB265" s="35">
        <f>'1kpi_performance'!R265</f>
        <v>5.372425771</v>
      </c>
      <c r="BC265" s="35">
        <f>'1kpi_performance'!S265</f>
        <v>8.178328738</v>
      </c>
      <c r="BD265" s="35">
        <f>'1kpi_performance'!T265</f>
        <v>4.507326558</v>
      </c>
      <c r="BE265" s="35">
        <f>'1kpi_performance'!U265</f>
        <v>1.090018795</v>
      </c>
      <c r="BF265" s="47"/>
      <c r="BG265" s="47"/>
      <c r="BH265" s="47"/>
      <c r="BI265" s="47"/>
      <c r="BJ265" s="47"/>
      <c r="BK265" s="47"/>
      <c r="BL265" s="47"/>
      <c r="BM265" s="47"/>
      <c r="BN265" s="47"/>
      <c r="BO265" s="47"/>
      <c r="BP265" s="47"/>
      <c r="BQ265" s="47"/>
      <c r="BR265" s="47"/>
      <c r="BS265" s="47"/>
      <c r="BT265" s="47"/>
    </row>
    <row r="266" ht="11.25" customHeight="1">
      <c r="A266" s="35" t="str">
        <f>'13all_company_profile'!A266</f>
        <v>GS</v>
      </c>
      <c r="B266" s="35" t="str">
        <f>'13all_company_profile'!B266</f>
        <v>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v>
      </c>
      <c r="C266" s="44" t="str">
        <f>'13all_company_profile'!C266</f>
        <v>https://financialmodelingprep.com/image-stock/GS.png</v>
      </c>
      <c r="D266" s="35" t="str">
        <f>'13all_company_profile'!D266</f>
        <v>The Goldman Sachs Group, Inc.</v>
      </c>
      <c r="E266" s="36">
        <f>'13all_company_profile'!E266</f>
        <v>126778793984</v>
      </c>
      <c r="F266" s="37">
        <f>'13all_company_profile'!F266</f>
        <v>2816501</v>
      </c>
      <c r="G266" s="35">
        <f>'13all_company_profile'!G266</f>
        <v>5</v>
      </c>
      <c r="H266" s="38" t="str">
        <f>'13all_company_profile'!H266</f>
        <v>not avaiable</v>
      </c>
      <c r="I266" s="35">
        <f>'13all_company_profile'!I266</f>
        <v>6.6850724</v>
      </c>
      <c r="J266" s="35">
        <f>'13all_company_profile'!J266</f>
        <v>54.461</v>
      </c>
      <c r="K266" s="42">
        <f t="shared" si="1"/>
        <v>0.01370764338</v>
      </c>
      <c r="L266" s="35">
        <f>'7company_info'!B266</f>
        <v>364.76</v>
      </c>
      <c r="M266" s="35">
        <f>'7company_info'!C266</f>
        <v>367.31</v>
      </c>
      <c r="N266" s="35">
        <f>'7company_info'!D266</f>
        <v>351.54</v>
      </c>
      <c r="O266" s="35">
        <f>'7company_info'!E266</f>
        <v>10.04</v>
      </c>
      <c r="P266" s="35">
        <f>'7company_info'!F266</f>
        <v>0.0283</v>
      </c>
      <c r="Q266" s="35">
        <f>'7company_info'!G266</f>
        <v>352.27</v>
      </c>
      <c r="R266" s="35">
        <f>'7company_info'!H266</f>
        <v>354.72</v>
      </c>
      <c r="S266" s="35">
        <f>'7company_info'!I266</f>
        <v>185.52</v>
      </c>
      <c r="T266" s="35">
        <f>'7company_info'!J266</f>
        <v>393.26</v>
      </c>
      <c r="U266" s="39">
        <v>375.853333333333</v>
      </c>
      <c r="V266" s="39">
        <v>380.316666666666</v>
      </c>
      <c r="W266" s="40">
        <v>386.233333333333</v>
      </c>
      <c r="X266" s="40">
        <v>396.613333333333</v>
      </c>
      <c r="Y266" s="40">
        <v>369.936666666666</v>
      </c>
      <c r="Z266" s="40">
        <v>365.473333333333</v>
      </c>
      <c r="AA266" s="40">
        <v>355.093333333333</v>
      </c>
      <c r="AB266" s="40">
        <v>378.88</v>
      </c>
      <c r="AC266" s="40">
        <v>381.77</v>
      </c>
      <c r="AD266" s="40">
        <v>371.022373865237</v>
      </c>
      <c r="AE266" s="40">
        <v>356.79578</v>
      </c>
      <c r="AF266" s="40">
        <v>9.72711</v>
      </c>
      <c r="AG266" s="40">
        <v>393.2603</v>
      </c>
      <c r="AH266" s="45">
        <v>44354.0</v>
      </c>
      <c r="AI266" s="44" t="str">
        <f>'6image_RS_benchmark_performance'!B266</f>
        <v>https://3arbzfbsh-cname-us.ngrok.io/Desktop/seabridge%20fintech/image_app/GS_resistance_support.jpg</v>
      </c>
      <c r="AJ266" s="44" t="str">
        <f>'6image_RS_benchmark_performance'!C266</f>
        <v>https://3arbzfbsh-cname-us.ngrok.io/Desktop/seabridge%20fintech/profit_graph_app/GS_Return.jpg</v>
      </c>
      <c r="AK266" s="46" t="str">
        <f>'5price_action_icon'!B266</f>
        <v>https://3arbzfbsh-cname-us.ngrok.io/Desktop/seabridge%20fintech/icon/GS_pa_trend_signal</v>
      </c>
      <c r="AL266" s="42">
        <f>'1kpi_performance'!B266</f>
        <v>0.6112392337</v>
      </c>
      <c r="AM266" s="42">
        <f>'1kpi_performance'!C266</f>
        <v>0.786111436</v>
      </c>
      <c r="AN266" s="42">
        <f>'1kpi_performance'!D266</f>
        <v>0.640114279</v>
      </c>
      <c r="AO266" s="42">
        <f>'1kpi_performance'!E266</f>
        <v>0.111001739</v>
      </c>
      <c r="AP266" s="42">
        <f>'1kpi_performance'!F266</f>
        <v>0.2332414878</v>
      </c>
      <c r="AQ266" s="42">
        <f>'1kpi_performance'!G266</f>
        <v>0.2066469331</v>
      </c>
      <c r="AR266" s="42">
        <f>'1kpi_performance'!H266</f>
        <v>0.2644479401</v>
      </c>
      <c r="AS266" s="42">
        <f>'1kpi_performance'!I266</f>
        <v>0.3500569954</v>
      </c>
      <c r="AT266" s="35">
        <f>'1kpi_performance'!J266</f>
        <v>2.513443209</v>
      </c>
      <c r="AU266" s="35">
        <f>'1kpi_performance'!K266</f>
        <v>3.683148956</v>
      </c>
      <c r="AV266" s="35">
        <f>'1kpi_performance'!L266</f>
        <v>2.326031652</v>
      </c>
      <c r="AW266" s="35">
        <f>'1kpi_performance'!M266</f>
        <v>0.2456792469</v>
      </c>
      <c r="AX266" s="42">
        <f>'1kpi_performance'!N266</f>
        <v>0.1997422601</v>
      </c>
      <c r="AY266" s="42">
        <f>'1kpi_performance'!O266</f>
        <v>0.09597641016</v>
      </c>
      <c r="AZ266" s="42">
        <f>'1kpi_performance'!P266</f>
        <v>0.451383026</v>
      </c>
      <c r="BA266" s="42">
        <f>'1kpi_performance'!Q266</f>
        <v>0.5257408609</v>
      </c>
      <c r="BB266" s="35">
        <f>'1kpi_performance'!R266</f>
        <v>5.406427053</v>
      </c>
      <c r="BC266" s="35">
        <f>'1kpi_performance'!S266</f>
        <v>8.956629855</v>
      </c>
      <c r="BD266" s="35">
        <f>'1kpi_performance'!T266</f>
        <v>4.653370272</v>
      </c>
      <c r="BE266" s="35">
        <f>'1kpi_performance'!U266</f>
        <v>0.4744805736</v>
      </c>
      <c r="BF266" s="47"/>
      <c r="BG266" s="47"/>
      <c r="BH266" s="47"/>
      <c r="BI266" s="47"/>
      <c r="BJ266" s="47"/>
      <c r="BK266" s="47"/>
      <c r="BL266" s="47"/>
      <c r="BM266" s="47"/>
      <c r="BN266" s="47"/>
      <c r="BO266" s="47"/>
      <c r="BP266" s="47"/>
      <c r="BQ266" s="47"/>
      <c r="BR266" s="47"/>
      <c r="BS266" s="47"/>
      <c r="BT266" s="47"/>
    </row>
    <row r="267" ht="11.25" customHeight="1">
      <c r="A267" s="35" t="str">
        <f>'13all_company_profile'!A267</f>
        <v>GWW</v>
      </c>
      <c r="B267" s="35" t="str">
        <f>'13all_company_profile'!B267</f>
        <v>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v>
      </c>
      <c r="C267" s="44" t="str">
        <f>'13all_company_profile'!C267</f>
        <v>https://financialmodelingprep.com/image-stock/GWW.png</v>
      </c>
      <c r="D267" s="35" t="str">
        <f>'13all_company_profile'!D267</f>
        <v>W.W. Grainger, Inc.</v>
      </c>
      <c r="E267" s="36">
        <f>'13all_company_profile'!E267</f>
        <v>23827865600</v>
      </c>
      <c r="F267" s="37">
        <f>'13all_company_profile'!F267</f>
        <v>235690</v>
      </c>
      <c r="G267" s="35">
        <f>'13all_company_profile'!G267</f>
        <v>6.21</v>
      </c>
      <c r="H267" s="38">
        <f>'13all_company_profile'!H267</f>
        <v>44407</v>
      </c>
      <c r="I267" s="35">
        <f>'13all_company_profile'!I267</f>
        <v>32.206375</v>
      </c>
      <c r="J267" s="35">
        <f>'13all_company_profile'!J267</f>
        <v>14.091</v>
      </c>
      <c r="K267" s="42">
        <f t="shared" si="1"/>
        <v>0.01351380759</v>
      </c>
      <c r="L267" s="35">
        <f>'7company_info'!B267</f>
        <v>459.53</v>
      </c>
      <c r="M267" s="35">
        <f>'7company_info'!C267</f>
        <v>460.24</v>
      </c>
      <c r="N267" s="35">
        <f>'7company_info'!D267</f>
        <v>451.88</v>
      </c>
      <c r="O267" s="35">
        <f>'7company_info'!E267</f>
        <v>10.01</v>
      </c>
      <c r="P267" s="35">
        <f>'7company_info'!F267</f>
        <v>0.0223</v>
      </c>
      <c r="Q267" s="35">
        <f>'7company_info'!G267</f>
        <v>451.88</v>
      </c>
      <c r="R267" s="35">
        <f>'7company_info'!H267</f>
        <v>449.52</v>
      </c>
      <c r="S267" s="35">
        <f>'7company_info'!I267</f>
        <v>325.64</v>
      </c>
      <c r="T267" s="35">
        <f>'7company_info'!J267</f>
        <v>479.87</v>
      </c>
      <c r="U267" s="39">
        <v>456.663333333333</v>
      </c>
      <c r="V267" s="39">
        <v>459.736666666666</v>
      </c>
      <c r="W267" s="40">
        <v>462.283333333333</v>
      </c>
      <c r="X267" s="40">
        <v>467.903333333333</v>
      </c>
      <c r="Y267" s="40">
        <v>454.116666666666</v>
      </c>
      <c r="Z267" s="40">
        <v>451.043333333333</v>
      </c>
      <c r="AA267" s="40">
        <v>445.423333333333</v>
      </c>
      <c r="AB267" s="40">
        <v>445.48</v>
      </c>
      <c r="AC267" s="40">
        <v>451.71</v>
      </c>
      <c r="AD267" s="40">
        <v>451.293426751938</v>
      </c>
      <c r="AE267" s="40">
        <v>438.13925</v>
      </c>
      <c r="AF267" s="40">
        <v>8.41137500000001</v>
      </c>
      <c r="AG267" s="40">
        <v>479.87</v>
      </c>
      <c r="AH267" s="45">
        <v>44326.0</v>
      </c>
      <c r="AI267" s="44" t="str">
        <f>'6image_RS_benchmark_performance'!B267</f>
        <v>https://3arbzfbsh-cname-us.ngrok.io/Desktop/seabridge%20fintech/image_app/GWW_resistance_support.jpg</v>
      </c>
      <c r="AJ267" s="44" t="str">
        <f>'6image_RS_benchmark_performance'!C267</f>
        <v>https://3arbzfbsh-cname-us.ngrok.io/Desktop/seabridge%20fintech/profit_graph_app/GWW_Return.jpg</v>
      </c>
      <c r="AK267" s="46" t="str">
        <f>'5price_action_icon'!B267</f>
        <v>https://3arbzfbsh-cname-us.ngrok.io/Desktop/seabridge%20fintech/icon/GWW_pa_trend_signal</v>
      </c>
      <c r="AL267" s="42">
        <f>'1kpi_performance'!B267</f>
        <v>0.5822603145</v>
      </c>
      <c r="AM267" s="42">
        <f>'1kpi_performance'!C267</f>
        <v>0.701133008</v>
      </c>
      <c r="AN267" s="42">
        <f>'1kpi_performance'!D267</f>
        <v>0.6402335549</v>
      </c>
      <c r="AO267" s="42">
        <f>'1kpi_performance'!E267</f>
        <v>0.2091724711</v>
      </c>
      <c r="AP267" s="42">
        <f>'1kpi_performance'!F267</f>
        <v>0.2195492643</v>
      </c>
      <c r="AQ267" s="42">
        <f>'1kpi_performance'!G267</f>
        <v>0.2266573427</v>
      </c>
      <c r="AR267" s="42">
        <f>'1kpi_performance'!H267</f>
        <v>0.2351625399</v>
      </c>
      <c r="AS267" s="42">
        <f>'1kpi_performance'!I267</f>
        <v>0.3238041284</v>
      </c>
      <c r="AT267" s="35">
        <f>'1kpi_performance'!J267</f>
        <v>2.538201694</v>
      </c>
      <c r="AU267" s="35">
        <f>'1kpi_performance'!K267</f>
        <v>2.983062449</v>
      </c>
      <c r="AV267" s="35">
        <f>'1kpi_performance'!L267</f>
        <v>2.616205604</v>
      </c>
      <c r="AW267" s="35">
        <f>'1kpi_performance'!M267</f>
        <v>0.5687774026</v>
      </c>
      <c r="AX267" s="42">
        <f>'1kpi_performance'!N267</f>
        <v>0.1194603099</v>
      </c>
      <c r="AY267" s="42">
        <f>'1kpi_performance'!O267</f>
        <v>0.101519313</v>
      </c>
      <c r="AZ267" s="42">
        <f>'1kpi_performance'!P267</f>
        <v>0.3278148418</v>
      </c>
      <c r="BA267" s="42">
        <f>'1kpi_performance'!Q267</f>
        <v>0.4325071109</v>
      </c>
      <c r="BB267" s="35">
        <f>'1kpi_performance'!R267</f>
        <v>5.799263374</v>
      </c>
      <c r="BC267" s="35">
        <f>'1kpi_performance'!S267</f>
        <v>7.350952903</v>
      </c>
      <c r="BD267" s="35">
        <f>'1kpi_performance'!T267</f>
        <v>5.647119228</v>
      </c>
      <c r="BE267" s="35">
        <f>'1kpi_performance'!U267</f>
        <v>1.137501798</v>
      </c>
      <c r="BF267" s="47"/>
      <c r="BG267" s="47"/>
      <c r="BH267" s="47"/>
      <c r="BI267" s="47"/>
      <c r="BJ267" s="47"/>
      <c r="BK267" s="47"/>
      <c r="BL267" s="47"/>
      <c r="BM267" s="47"/>
      <c r="BN267" s="47"/>
      <c r="BO267" s="47"/>
      <c r="BP267" s="47"/>
      <c r="BQ267" s="47"/>
      <c r="BR267" s="47"/>
      <c r="BS267" s="47"/>
      <c r="BT267" s="47"/>
    </row>
    <row r="268" ht="11.25" customHeight="1">
      <c r="A268" s="35" t="str">
        <f>'13all_company_profile'!A268</f>
        <v>HAL</v>
      </c>
      <c r="B268" s="35" t="str">
        <f>'13all_company_profile'!B268</f>
        <v>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v>
      </c>
      <c r="C268" s="44" t="str">
        <f>'13all_company_profile'!C268</f>
        <v>https://financialmodelingprep.com/image-stock/HAL.png</v>
      </c>
      <c r="D268" s="35" t="str">
        <f>'13all_company_profile'!D268</f>
        <v>Halliburton Company</v>
      </c>
      <c r="E268" s="36">
        <f>'13all_company_profile'!E268</f>
        <v>18417182720</v>
      </c>
      <c r="F268" s="37">
        <f>'13all_company_profile'!F268</f>
        <v>8701974</v>
      </c>
      <c r="G268" s="35">
        <f>'13all_company_profile'!G268</f>
        <v>0.18</v>
      </c>
      <c r="H268" s="38">
        <f>'13all_company_profile'!H268</f>
        <v>44397</v>
      </c>
      <c r="I268" s="35" t="str">
        <f>'13all_company_profile'!I268</f>
        <v>NaN</v>
      </c>
      <c r="J268" s="35">
        <f>'13all_company_profile'!J268</f>
        <v>-1.989</v>
      </c>
      <c r="K268" s="42">
        <f t="shared" si="1"/>
        <v>0.008968609865</v>
      </c>
      <c r="L268" s="35">
        <f>'7company_info'!B268</f>
        <v>20.07</v>
      </c>
      <c r="M268" s="35">
        <f>'7company_info'!C268</f>
        <v>20.48</v>
      </c>
      <c r="N268" s="35">
        <f>'7company_info'!D268</f>
        <v>19.25</v>
      </c>
      <c r="O268" s="35">
        <f>'7company_info'!E268</f>
        <v>0.71</v>
      </c>
      <c r="P268" s="35">
        <f>'7company_info'!F268</f>
        <v>0.0367</v>
      </c>
      <c r="Q268" s="35">
        <f>'7company_info'!G268</f>
        <v>19.6</v>
      </c>
      <c r="R268" s="35">
        <f>'7company_info'!H268</f>
        <v>19.36</v>
      </c>
      <c r="S268" s="35">
        <f>'7company_info'!I268</f>
        <v>10.6</v>
      </c>
      <c r="T268" s="35">
        <f>'7company_info'!J268</f>
        <v>25</v>
      </c>
      <c r="U268" s="39">
        <v>21.8000333333333</v>
      </c>
      <c r="V268" s="39">
        <v>22.3099666666666</v>
      </c>
      <c r="W268" s="40">
        <v>23.1699333333333</v>
      </c>
      <c r="X268" s="40">
        <v>24.5398333333333</v>
      </c>
      <c r="Y268" s="40">
        <v>20.9400666666666</v>
      </c>
      <c r="Z268" s="40">
        <v>20.4301333333333</v>
      </c>
      <c r="AA268" s="40">
        <v>19.0602333333333</v>
      </c>
      <c r="AB268" s="40">
        <v>22.92</v>
      </c>
      <c r="AC268" s="40">
        <v>23.26</v>
      </c>
      <c r="AD268" s="40">
        <v>22.6865106598878</v>
      </c>
      <c r="AE268" s="40">
        <v>20.27626</v>
      </c>
      <c r="AF268" s="40">
        <v>0.933864999999999</v>
      </c>
      <c r="AG268" s="40">
        <v>25.0</v>
      </c>
      <c r="AH268" s="45">
        <v>44350.0</v>
      </c>
      <c r="AI268" s="44" t="str">
        <f>'6image_RS_benchmark_performance'!B268</f>
        <v>https://3arbzfbsh-cname-us.ngrok.io/Desktop/seabridge%20fintech/image_app/HAL_resistance_support.jpg</v>
      </c>
      <c r="AJ268" s="44" t="str">
        <f>'6image_RS_benchmark_performance'!C268</f>
        <v>https://3arbzfbsh-cname-us.ngrok.io/Desktop/seabridge%20fintech/profit_graph_app/HAL_Return.jpg</v>
      </c>
      <c r="AK268" s="46" t="str">
        <f>'5price_action_icon'!B268</f>
        <v>https://3arbzfbsh-cname-us.ngrok.io/Desktop/seabridge%20fintech/icon/HAL_pa_trend_signal</v>
      </c>
      <c r="AL268" s="42">
        <f>'1kpi_performance'!B268</f>
        <v>0.914125261</v>
      </c>
      <c r="AM268" s="42">
        <f>'1kpi_performance'!C268</f>
        <v>1.020680567</v>
      </c>
      <c r="AN268" s="42">
        <f>'1kpi_performance'!D268</f>
        <v>0.5363081012</v>
      </c>
      <c r="AO268" s="42">
        <f>'1kpi_performance'!E268</f>
        <v>-0.05056916741</v>
      </c>
      <c r="AP268" s="42">
        <f>'1kpi_performance'!F268</f>
        <v>0.351658615</v>
      </c>
      <c r="AQ268" s="42">
        <f>'1kpi_performance'!G268</f>
        <v>0.3284296326</v>
      </c>
      <c r="AR268" s="42">
        <f>'1kpi_performance'!H268</f>
        <v>0.3861175323</v>
      </c>
      <c r="AS268" s="42">
        <f>'1kpi_performance'!I268</f>
        <v>0.5193243962</v>
      </c>
      <c r="AT268" s="35">
        <f>'1kpi_performance'!J268</f>
        <v>2.528376166</v>
      </c>
      <c r="AU268" s="35">
        <f>'1kpi_performance'!K268</f>
        <v>3.031640473</v>
      </c>
      <c r="AV268" s="35">
        <f>'1kpi_performance'!L268</f>
        <v>1.324229175</v>
      </c>
      <c r="AW268" s="35">
        <f>'1kpi_performance'!M268</f>
        <v>-0.1455143798</v>
      </c>
      <c r="AX268" s="42">
        <f>'1kpi_performance'!N268</f>
        <v>0.251791537</v>
      </c>
      <c r="AY268" s="42">
        <f>'1kpi_performance'!O268</f>
        <v>0.2057142857</v>
      </c>
      <c r="AZ268" s="42">
        <f>'1kpi_performance'!P268</f>
        <v>0.7937360179</v>
      </c>
      <c r="BA268" s="42">
        <f>'1kpi_performance'!Q268</f>
        <v>0.9377195353</v>
      </c>
      <c r="BB268" s="35">
        <f>'1kpi_performance'!R268</f>
        <v>5.514721219</v>
      </c>
      <c r="BC268" s="35">
        <f>'1kpi_performance'!S268</f>
        <v>7.111637047</v>
      </c>
      <c r="BD268" s="35">
        <f>'1kpi_performance'!T268</f>
        <v>2.298072251</v>
      </c>
      <c r="BE268" s="35">
        <f>'1kpi_performance'!U268</f>
        <v>-0.2733298504</v>
      </c>
      <c r="BF268" s="47"/>
      <c r="BG268" s="47"/>
      <c r="BH268" s="47"/>
      <c r="BI268" s="47"/>
      <c r="BJ268" s="47"/>
      <c r="BK268" s="47"/>
      <c r="BL268" s="47"/>
      <c r="BM268" s="47"/>
      <c r="BN268" s="47"/>
      <c r="BO268" s="47"/>
      <c r="BP268" s="47"/>
      <c r="BQ268" s="47"/>
      <c r="BR268" s="47"/>
      <c r="BS268" s="47"/>
      <c r="BT268" s="47"/>
    </row>
    <row r="269" ht="11.25" customHeight="1">
      <c r="A269" s="35" t="str">
        <f>'13all_company_profile'!A269</f>
        <v>HAS</v>
      </c>
      <c r="B269" s="35" t="str">
        <f>'13all_company_profile'!B269</f>
        <v>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v>
      </c>
      <c r="C269" s="44" t="str">
        <f>'13all_company_profile'!C269</f>
        <v>https://financialmodelingprep.com/image-stock/HAS.png</v>
      </c>
      <c r="D269" s="35" t="str">
        <f>'13all_company_profile'!D269</f>
        <v>Hasbro, Inc.</v>
      </c>
      <c r="E269" s="36">
        <f>'13all_company_profile'!E269</f>
        <v>13041541120</v>
      </c>
      <c r="F269" s="37">
        <f>'13all_company_profile'!F269</f>
        <v>670328</v>
      </c>
      <c r="G269" s="35">
        <f>'13all_company_profile'!G269</f>
        <v>3.4</v>
      </c>
      <c r="H269" s="38">
        <f>'13all_company_profile'!H269</f>
        <v>44403</v>
      </c>
      <c r="I269" s="35">
        <f>'13all_company_profile'!I269</f>
        <v>31.70263</v>
      </c>
      <c r="J269" s="35">
        <f>'13all_company_profile'!J269</f>
        <v>2.966</v>
      </c>
      <c r="K269" s="42">
        <f t="shared" si="1"/>
        <v>0.03617021277</v>
      </c>
      <c r="L269" s="35">
        <f>'7company_info'!B269</f>
        <v>94</v>
      </c>
      <c r="M269" s="35">
        <f>'7company_info'!C269</f>
        <v>94.39</v>
      </c>
      <c r="N269" s="35">
        <f>'7company_info'!D269</f>
        <v>91.91</v>
      </c>
      <c r="O269" s="35">
        <f>'7company_info'!E269</f>
        <v>2.2</v>
      </c>
      <c r="P269" s="35">
        <f>'7company_info'!F269</f>
        <v>0.024</v>
      </c>
      <c r="Q269" s="35">
        <f>'7company_info'!G269</f>
        <v>92.16</v>
      </c>
      <c r="R269" s="35">
        <f>'7company_info'!H269</f>
        <v>91.8</v>
      </c>
      <c r="S269" s="35">
        <f>'7company_info'!I269</f>
        <v>70.78</v>
      </c>
      <c r="T269" s="35">
        <f>'7company_info'!J269</f>
        <v>101.24</v>
      </c>
      <c r="U269" s="39">
        <v>97.8366666666666</v>
      </c>
      <c r="V269" s="39">
        <v>98.3733333333333</v>
      </c>
      <c r="W269" s="40">
        <v>98.9566666666666</v>
      </c>
      <c r="X269" s="40">
        <v>100.076666666666</v>
      </c>
      <c r="Y269" s="40">
        <v>97.2533333333333</v>
      </c>
      <c r="Z269" s="40">
        <v>96.7166666666666</v>
      </c>
      <c r="AA269" s="40">
        <v>95.5966666666666</v>
      </c>
      <c r="AB269" s="40">
        <v>93.53</v>
      </c>
      <c r="AC269" s="40">
        <v>93.78</v>
      </c>
      <c r="AD269" s="40">
        <v>95.9001726907518</v>
      </c>
      <c r="AE269" s="40">
        <v>94.64956</v>
      </c>
      <c r="AF269" s="40">
        <v>1.46271999999999</v>
      </c>
      <c r="AG269" s="40">
        <v>101.1</v>
      </c>
      <c r="AH269" s="45">
        <v>44326.0</v>
      </c>
      <c r="AI269" s="44" t="str">
        <f>'6image_RS_benchmark_performance'!B269</f>
        <v>https://3arbzfbsh-cname-us.ngrok.io/Desktop/seabridge%20fintech/image_app/HAS_resistance_support.jpg</v>
      </c>
      <c r="AJ269" s="44" t="str">
        <f>'6image_RS_benchmark_performance'!C269</f>
        <v>https://3arbzfbsh-cname-us.ngrok.io/Desktop/seabridge%20fintech/profit_graph_app/HAS_Return.jpg</v>
      </c>
      <c r="AK269" s="46" t="str">
        <f>'5price_action_icon'!B269</f>
        <v>https://3arbzfbsh-cname-us.ngrok.io/Desktop/seabridge%20fintech/icon/HAS_pa_trend_signal</v>
      </c>
      <c r="AL269" s="42">
        <f>'1kpi_performance'!B269</f>
        <v>0.5971759731</v>
      </c>
      <c r="AM269" s="42">
        <f>'1kpi_performance'!C269</f>
        <v>0.7653259396</v>
      </c>
      <c r="AN269" s="42">
        <f>'1kpi_performance'!D269</f>
        <v>0.5449015798</v>
      </c>
      <c r="AO269" s="42">
        <f>'1kpi_performance'!E269</f>
        <v>0.1489080839</v>
      </c>
      <c r="AP269" s="42">
        <f>'1kpi_performance'!F269</f>
        <v>0.2503075202</v>
      </c>
      <c r="AQ269" s="42">
        <f>'1kpi_performance'!G269</f>
        <v>0.2500081711</v>
      </c>
      <c r="AR269" s="42">
        <f>'1kpi_performance'!H269</f>
        <v>0.2643269558</v>
      </c>
      <c r="AS269" s="42">
        <f>'1kpi_performance'!I269</f>
        <v>0.3509743444</v>
      </c>
      <c r="AT269" s="35">
        <f>'1kpi_performance'!J269</f>
        <v>2.285892061</v>
      </c>
      <c r="AU269" s="35">
        <f>'1kpi_performance'!K269</f>
        <v>2.961206973</v>
      </c>
      <c r="AV269" s="35">
        <f>'1kpi_performance'!L269</f>
        <v>1.966888236</v>
      </c>
      <c r="AW269" s="35">
        <f>'1kpi_performance'!M269</f>
        <v>0.3530402887</v>
      </c>
      <c r="AX269" s="42">
        <f>'1kpi_performance'!N269</f>
        <v>0.1530028599</v>
      </c>
      <c r="AY269" s="42">
        <f>'1kpi_performance'!O269</f>
        <v>0.1134474712</v>
      </c>
      <c r="AZ269" s="42">
        <f>'1kpi_performance'!P269</f>
        <v>0.5742838108</v>
      </c>
      <c r="BA269" s="42">
        <f>'1kpi_performance'!Q269</f>
        <v>0.6451971127</v>
      </c>
      <c r="BB269" s="35">
        <f>'1kpi_performance'!R269</f>
        <v>5.497593746</v>
      </c>
      <c r="BC269" s="35">
        <f>'1kpi_performance'!S269</f>
        <v>7.869630089</v>
      </c>
      <c r="BD269" s="35">
        <f>'1kpi_performance'!T269</f>
        <v>4.053224486</v>
      </c>
      <c r="BE269" s="35">
        <f>'1kpi_performance'!U269</f>
        <v>0.6878768976</v>
      </c>
      <c r="BF269" s="47"/>
      <c r="BG269" s="47"/>
      <c r="BH269" s="47"/>
      <c r="BI269" s="47"/>
      <c r="BJ269" s="47"/>
      <c r="BK269" s="47"/>
      <c r="BL269" s="47"/>
      <c r="BM269" s="47"/>
      <c r="BN269" s="47"/>
      <c r="BO269" s="47"/>
      <c r="BP269" s="47"/>
      <c r="BQ269" s="47"/>
      <c r="BR269" s="47"/>
      <c r="BS269" s="47"/>
      <c r="BT269" s="47"/>
    </row>
    <row r="270" ht="11.25" customHeight="1">
      <c r="A270" s="35" t="str">
        <f>'13all_company_profile'!A270</f>
        <v>HBAN</v>
      </c>
      <c r="B270" s="35" t="str">
        <f>'13all_company_profile'!B270</f>
        <v>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v>
      </c>
      <c r="C270" s="44" t="str">
        <f>'13all_company_profile'!C270</f>
        <v>https://financialmodelingprep.com/image-stock/HBAN.png</v>
      </c>
      <c r="D270" s="35" t="str">
        <f>'13all_company_profile'!D270</f>
        <v>Huntington Bancshares Incorporated</v>
      </c>
      <c r="E270" s="36">
        <f>'13all_company_profile'!E270</f>
        <v>21062733824</v>
      </c>
      <c r="F270" s="37">
        <f>'13all_company_profile'!F270</f>
        <v>18463703</v>
      </c>
      <c r="G270" s="35">
        <f>'13all_company_profile'!G270</f>
        <v>0.6</v>
      </c>
      <c r="H270" s="38">
        <f>'13all_company_profile'!H270</f>
        <v>44406</v>
      </c>
      <c r="I270" s="35">
        <f>'13all_company_profile'!I270</f>
        <v>12.105955</v>
      </c>
      <c r="J270" s="35">
        <f>'13all_company_profile'!J270</f>
        <v>1.142</v>
      </c>
      <c r="K270" s="42">
        <f t="shared" si="1"/>
        <v>0.04369992717</v>
      </c>
      <c r="L270" s="35">
        <f>'7company_info'!B270</f>
        <v>13.73</v>
      </c>
      <c r="M270" s="35">
        <f>'7company_info'!C270</f>
        <v>13.89</v>
      </c>
      <c r="N270" s="35">
        <f>'7company_info'!D270</f>
        <v>13.07</v>
      </c>
      <c r="O270" s="35">
        <f>'7company_info'!E270</f>
        <v>0.5</v>
      </c>
      <c r="P270" s="35">
        <f>'7company_info'!F270</f>
        <v>0.0378</v>
      </c>
      <c r="Q270" s="35">
        <f>'7company_info'!G270</f>
        <v>13.19</v>
      </c>
      <c r="R270" s="35">
        <f>'7company_info'!H270</f>
        <v>13.23</v>
      </c>
      <c r="S270" s="35">
        <f>'7company_info'!I270</f>
        <v>8.52</v>
      </c>
      <c r="T270" s="35">
        <f>'7company_info'!J270</f>
        <v>16.91</v>
      </c>
      <c r="U270" s="39">
        <v>14.0933333333333</v>
      </c>
      <c r="V270" s="39">
        <v>14.3366666666666</v>
      </c>
      <c r="W270" s="40">
        <v>14.5833333333333</v>
      </c>
      <c r="X270" s="40">
        <v>15.0733333333333</v>
      </c>
      <c r="Y270" s="40">
        <v>13.8466666666666</v>
      </c>
      <c r="Z270" s="40">
        <v>13.6033333333333</v>
      </c>
      <c r="AA270" s="40">
        <v>13.1133333333333</v>
      </c>
      <c r="AB270" s="40">
        <v>14.17</v>
      </c>
      <c r="AC270" s="40">
        <v>13.9</v>
      </c>
      <c r="AD270" s="40">
        <v>14.2872864536492</v>
      </c>
      <c r="AE270" s="40">
        <v>13.2915</v>
      </c>
      <c r="AF270" s="40">
        <v>0.438</v>
      </c>
      <c r="AG270" s="40">
        <v>16.91</v>
      </c>
      <c r="AH270" s="45">
        <v>44273.0</v>
      </c>
      <c r="AI270" s="44" t="str">
        <f>'6image_RS_benchmark_performance'!B270</f>
        <v>https://3arbzfbsh-cname-us.ngrok.io/Desktop/seabridge%20fintech/image_app/HBAN_resistance_support.jpg</v>
      </c>
      <c r="AJ270" s="44" t="str">
        <f>'6image_RS_benchmark_performance'!C270</f>
        <v>https://3arbzfbsh-cname-us.ngrok.io/Desktop/seabridge%20fintech/profit_graph_app/HBAN_Return.jpg</v>
      </c>
      <c r="AK270" s="46" t="str">
        <f>'5price_action_icon'!B270</f>
        <v>https://3arbzfbsh-cname-us.ngrok.io/Desktop/seabridge%20fintech/icon/HBAN_pa_trend_signal</v>
      </c>
      <c r="AL270" s="42">
        <f>'1kpi_performance'!B270</f>
        <v>0.6550298325</v>
      </c>
      <c r="AM270" s="42">
        <f>'1kpi_performance'!C270</f>
        <v>0.6290528456</v>
      </c>
      <c r="AN270" s="42">
        <f>'1kpi_performance'!D270</f>
        <v>0.7210057072</v>
      </c>
      <c r="AO270" s="42">
        <f>'1kpi_performance'!E270</f>
        <v>0.1518865137</v>
      </c>
      <c r="AP270" s="42">
        <f>'1kpi_performance'!F270</f>
        <v>0.2849390342</v>
      </c>
      <c r="AQ270" s="42">
        <f>'1kpi_performance'!G270</f>
        <v>0.2716363773</v>
      </c>
      <c r="AR270" s="42">
        <f>'1kpi_performance'!H270</f>
        <v>0.2245790447</v>
      </c>
      <c r="AS270" s="42">
        <f>'1kpi_performance'!I270</f>
        <v>0.408450391</v>
      </c>
      <c r="AT270" s="35">
        <f>'1kpi_performance'!J270</f>
        <v>2.21110398</v>
      </c>
      <c r="AU270" s="35">
        <f>'1kpi_performance'!K270</f>
        <v>2.223755344</v>
      </c>
      <c r="AV270" s="35">
        <f>'1kpi_performance'!L270</f>
        <v>3.09915695</v>
      </c>
      <c r="AW270" s="35">
        <f>'1kpi_performance'!M270</f>
        <v>0.310653427</v>
      </c>
      <c r="AX270" s="42">
        <f>'1kpi_performance'!N270</f>
        <v>0.2049861496</v>
      </c>
      <c r="AY270" s="42">
        <f>'1kpi_performance'!O270</f>
        <v>0.2093386932</v>
      </c>
      <c r="AZ270" s="42">
        <f>'1kpi_performance'!P270</f>
        <v>0.1803456995</v>
      </c>
      <c r="BA270" s="42">
        <f>'1kpi_performance'!Q270</f>
        <v>0.5860606061</v>
      </c>
      <c r="BB270" s="35">
        <f>'1kpi_performance'!R270</f>
        <v>4.74483023</v>
      </c>
      <c r="BC270" s="35">
        <f>'1kpi_performance'!S270</f>
        <v>4.98831529</v>
      </c>
      <c r="BD270" s="35">
        <f>'1kpi_performance'!T270</f>
        <v>7.160723284</v>
      </c>
      <c r="BE270" s="35">
        <f>'1kpi_performance'!U270</f>
        <v>0.6162072981</v>
      </c>
      <c r="BF270" s="47"/>
      <c r="BG270" s="47"/>
      <c r="BH270" s="47"/>
      <c r="BI270" s="47"/>
      <c r="BJ270" s="47"/>
      <c r="BK270" s="47"/>
      <c r="BL270" s="47"/>
      <c r="BM270" s="47"/>
      <c r="BN270" s="47"/>
      <c r="BO270" s="47"/>
      <c r="BP270" s="47"/>
      <c r="BQ270" s="47"/>
      <c r="BR270" s="47"/>
      <c r="BS270" s="47"/>
      <c r="BT270" s="47"/>
    </row>
    <row r="271" ht="11.25" customHeight="1">
      <c r="A271" s="35" t="str">
        <f>'13all_company_profile'!A271</f>
        <v>HBI</v>
      </c>
      <c r="B271" s="35" t="str">
        <f>'13all_company_profile'!B271</f>
        <v>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v>
      </c>
      <c r="C271" s="44" t="str">
        <f>'13all_company_profile'!C271</f>
        <v>https://financialmodelingprep.com/image-stock/HBI.png</v>
      </c>
      <c r="D271" s="35" t="str">
        <f>'13all_company_profile'!D271</f>
        <v>Hanesbrands Inc.</v>
      </c>
      <c r="E271" s="36">
        <f>'13all_company_profile'!E271</f>
        <v>6284069888</v>
      </c>
      <c r="F271" s="37">
        <f>'13all_company_profile'!F271</f>
        <v>4278947</v>
      </c>
      <c r="G271" s="35">
        <f>'13all_company_profile'!G271</f>
        <v>0.6</v>
      </c>
      <c r="H271" s="38">
        <f>'13all_company_profile'!H271</f>
        <v>44405</v>
      </c>
      <c r="I271" s="35" t="str">
        <f>'13all_company_profile'!I271</f>
        <v>NaN</v>
      </c>
      <c r="J271" s="35">
        <f>'13all_company_profile'!J271</f>
        <v>-0.944</v>
      </c>
      <c r="K271" s="42">
        <f t="shared" si="1"/>
        <v>0.03372681282</v>
      </c>
      <c r="L271" s="35">
        <f>'7company_info'!B271</f>
        <v>17.79</v>
      </c>
      <c r="M271" s="35">
        <f>'7company_info'!C271</f>
        <v>17.85</v>
      </c>
      <c r="N271" s="35">
        <f>'7company_info'!D271</f>
        <v>17.2</v>
      </c>
      <c r="O271" s="35">
        <f>'7company_info'!E271</f>
        <v>0.48</v>
      </c>
      <c r="P271" s="35">
        <f>'7company_info'!F271</f>
        <v>0.0277</v>
      </c>
      <c r="Q271" s="35">
        <f>'7company_info'!G271</f>
        <v>17.27</v>
      </c>
      <c r="R271" s="35">
        <f>'7company_info'!H271</f>
        <v>17.31</v>
      </c>
      <c r="S271" s="35">
        <f>'7company_info'!I271</f>
        <v>12.28</v>
      </c>
      <c r="T271" s="35">
        <f>'7company_info'!J271</f>
        <v>22.82</v>
      </c>
      <c r="U271" s="39">
        <v>18.1816666666666</v>
      </c>
      <c r="V271" s="39">
        <v>18.2933333333333</v>
      </c>
      <c r="W271" s="40">
        <v>18.4466666666666</v>
      </c>
      <c r="X271" s="40">
        <v>18.7116666666666</v>
      </c>
      <c r="Y271" s="40">
        <v>18.0283333333333</v>
      </c>
      <c r="Z271" s="40">
        <v>17.9166666666666</v>
      </c>
      <c r="AA271" s="40">
        <v>17.6516666666666</v>
      </c>
      <c r="AB271" s="40">
        <v>17.2</v>
      </c>
      <c r="AC271" s="40">
        <v>19.64</v>
      </c>
      <c r="AD271" s="40">
        <v>18.4347933167453</v>
      </c>
      <c r="AE271" s="40">
        <v>17.0965</v>
      </c>
      <c r="AF271" s="40">
        <v>0.523</v>
      </c>
      <c r="AG271" s="40">
        <v>22.815</v>
      </c>
      <c r="AH271" s="45">
        <v>44326.0</v>
      </c>
      <c r="AI271" s="44" t="str">
        <f>'6image_RS_benchmark_performance'!B271</f>
        <v>https://3arbzfbsh-cname-us.ngrok.io/Desktop/seabridge%20fintech/image_app/HBI_resistance_support.jpg</v>
      </c>
      <c r="AJ271" s="44" t="str">
        <f>'6image_RS_benchmark_performance'!C271</f>
        <v>https://3arbzfbsh-cname-us.ngrok.io/Desktop/seabridge%20fintech/profit_graph_app/HBI_Return.jpg</v>
      </c>
      <c r="AK271" s="46" t="str">
        <f>'5price_action_icon'!B271</f>
        <v>https://3arbzfbsh-cname-us.ngrok.io/Desktop/seabridge%20fintech/icon/HBI_pa_trend_signal</v>
      </c>
      <c r="AL271" s="42">
        <f>'1kpi_performance'!B271</f>
        <v>0.7657347826</v>
      </c>
      <c r="AM271" s="42">
        <f>'1kpi_performance'!C271</f>
        <v>0.9604084187</v>
      </c>
      <c r="AN271" s="42">
        <f>'1kpi_performance'!D271</f>
        <v>0.7892361736</v>
      </c>
      <c r="AO271" s="42">
        <f>'1kpi_performance'!E271</f>
        <v>0.1533616995</v>
      </c>
      <c r="AP271" s="42">
        <f>'1kpi_performance'!F271</f>
        <v>0.3074199364</v>
      </c>
      <c r="AQ271" s="42">
        <f>'1kpi_performance'!G271</f>
        <v>0.3113627361</v>
      </c>
      <c r="AR271" s="42">
        <f>'1kpi_performance'!H271</f>
        <v>0.3173917346</v>
      </c>
      <c r="AS271" s="42">
        <f>'1kpi_performance'!I271</f>
        <v>0.4451807512</v>
      </c>
      <c r="AT271" s="35">
        <f>'1kpi_performance'!J271</f>
        <v>2.409520968</v>
      </c>
      <c r="AU271" s="35">
        <f>'1kpi_performance'!K271</f>
        <v>3.004240104</v>
      </c>
      <c r="AV271" s="35">
        <f>'1kpi_performance'!L271</f>
        <v>2.407864132</v>
      </c>
      <c r="AW271" s="35">
        <f>'1kpi_performance'!M271</f>
        <v>0.2883361401</v>
      </c>
      <c r="AX271" s="42">
        <f>'1kpi_performance'!N271</f>
        <v>0.1674687199</v>
      </c>
      <c r="AY271" s="42">
        <f>'1kpi_performance'!O271</f>
        <v>0.1504764879</v>
      </c>
      <c r="AZ271" s="42">
        <f>'1kpi_performance'!P271</f>
        <v>0.2787217899</v>
      </c>
      <c r="BA271" s="42">
        <f>'1kpi_performance'!Q271</f>
        <v>0.7926547137</v>
      </c>
      <c r="BB271" s="35">
        <f>'1kpi_performance'!R271</f>
        <v>5.619735523</v>
      </c>
      <c r="BC271" s="35">
        <f>'1kpi_performance'!S271</f>
        <v>7.429152888</v>
      </c>
      <c r="BD271" s="35">
        <f>'1kpi_performance'!T271</f>
        <v>5.278405454</v>
      </c>
      <c r="BE271" s="35">
        <f>'1kpi_performance'!U271</f>
        <v>0.5626933342</v>
      </c>
      <c r="BF271" s="47"/>
      <c r="BG271" s="47"/>
      <c r="BH271" s="47"/>
      <c r="BI271" s="47"/>
      <c r="BJ271" s="47"/>
      <c r="BK271" s="47"/>
      <c r="BL271" s="47"/>
      <c r="BM271" s="47"/>
      <c r="BN271" s="47"/>
      <c r="BO271" s="47"/>
      <c r="BP271" s="47"/>
      <c r="BQ271" s="47"/>
      <c r="BR271" s="47"/>
      <c r="BS271" s="47"/>
      <c r="BT271" s="47"/>
    </row>
    <row r="272" ht="11.25" customHeight="1">
      <c r="A272" s="35" t="str">
        <f>'13all_company_profile'!A272</f>
        <v>HCA</v>
      </c>
      <c r="B272" s="35" t="str">
        <f>'13all_company_profile'!B272</f>
        <v>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v>
      </c>
      <c r="C272" s="44" t="str">
        <f>'13all_company_profile'!C272</f>
        <v>https://financialmodelingprep.com/image-stock/HCA.png</v>
      </c>
      <c r="D272" s="35" t="str">
        <f>'13all_company_profile'!D272</f>
        <v>HCA Healthcare, Inc.</v>
      </c>
      <c r="E272" s="36">
        <f>'13all_company_profile'!E272</f>
        <v>72906121216</v>
      </c>
      <c r="F272" s="37">
        <f>'13all_company_profile'!F272</f>
        <v>1352350</v>
      </c>
      <c r="G272" s="35">
        <f>'13all_company_profile'!G272</f>
        <v>1.3</v>
      </c>
      <c r="H272" s="38">
        <f>'13all_company_profile'!H272</f>
        <v>44397</v>
      </c>
      <c r="I272" s="35">
        <f>'13all_company_profile'!I272</f>
        <v>16.425049</v>
      </c>
      <c r="J272" s="35">
        <f>'13all_company_profile'!J272</f>
        <v>13.382</v>
      </c>
      <c r="K272" s="42">
        <f t="shared" si="1"/>
        <v>0.005222981117</v>
      </c>
      <c r="L272" s="35">
        <f>'7company_info'!B272</f>
        <v>248.9</v>
      </c>
      <c r="M272" s="35">
        <f>'7company_info'!C272</f>
        <v>252</v>
      </c>
      <c r="N272" s="35">
        <f>'7company_info'!D272</f>
        <v>237.68</v>
      </c>
      <c r="O272" s="35">
        <f>'7company_info'!E272</f>
        <v>31.27</v>
      </c>
      <c r="P272" s="35">
        <f>'7company_info'!F272</f>
        <v>0.1437</v>
      </c>
      <c r="Q272" s="35">
        <f>'7company_info'!G272</f>
        <v>239.1</v>
      </c>
      <c r="R272" s="35">
        <f>'7company_info'!H272</f>
        <v>217.63</v>
      </c>
      <c r="S272" s="35">
        <f>'7company_info'!I272</f>
        <v>103.17</v>
      </c>
      <c r="T272" s="35">
        <f>'7company_info'!J272</f>
        <v>252</v>
      </c>
      <c r="U272" s="39">
        <v>219.1849</v>
      </c>
      <c r="V272" s="39">
        <v>220.3851</v>
      </c>
      <c r="W272" s="40">
        <v>222.0202</v>
      </c>
      <c r="X272" s="40">
        <v>224.8555</v>
      </c>
      <c r="Y272" s="40">
        <v>217.5498</v>
      </c>
      <c r="Z272" s="40">
        <v>216.3496</v>
      </c>
      <c r="AA272" s="40">
        <v>213.5143</v>
      </c>
      <c r="AB272" s="40">
        <v>208.21</v>
      </c>
      <c r="AC272" s="40">
        <v>221.705</v>
      </c>
      <c r="AD272" s="40">
        <v>213.081743370648</v>
      </c>
      <c r="AE272" s="40">
        <v>210.33846</v>
      </c>
      <c r="AF272" s="40">
        <v>4.37276499999999</v>
      </c>
      <c r="AG272" s="40">
        <v>217.36</v>
      </c>
      <c r="AH272" s="45">
        <v>44349.0</v>
      </c>
      <c r="AI272" s="44" t="str">
        <f>'6image_RS_benchmark_performance'!B272</f>
        <v>https://3arbzfbsh-cname-us.ngrok.io/Desktop/seabridge%20fintech/image_app/HCA_resistance_support.jpg</v>
      </c>
      <c r="AJ272" s="44" t="str">
        <f>'6image_RS_benchmark_performance'!C272</f>
        <v>https://3arbzfbsh-cname-us.ngrok.io/Desktop/seabridge%20fintech/profit_graph_app/HCA_Return.jpg</v>
      </c>
      <c r="AK272" s="46" t="str">
        <f>'5price_action_icon'!B272</f>
        <v>https://3arbzfbsh-cname-us.ngrok.io/Desktop/seabridge%20fintech/icon/HCA_pa_trend_signal</v>
      </c>
      <c r="AL272" s="42">
        <f>'1kpi_performance'!B272</f>
        <v>0.8095381632</v>
      </c>
      <c r="AM272" s="42">
        <f>'1kpi_performance'!C272</f>
        <v>0.9275491989</v>
      </c>
      <c r="AN272" s="42">
        <f>'1kpi_performance'!D272</f>
        <v>0.8494294354</v>
      </c>
      <c r="AO272" s="42">
        <f>'1kpi_performance'!E272</f>
        <v>0.3101542167</v>
      </c>
      <c r="AP272" s="42">
        <f>'1kpi_performance'!F272</f>
        <v>0.2746079398</v>
      </c>
      <c r="AQ272" s="42">
        <f>'1kpi_performance'!G272</f>
        <v>0.2856851087</v>
      </c>
      <c r="AR272" s="42">
        <f>'1kpi_performance'!H272</f>
        <v>0.3110635844</v>
      </c>
      <c r="AS272" s="42">
        <f>'1kpi_performance'!I272</f>
        <v>0.4143888667</v>
      </c>
      <c r="AT272" s="35">
        <f>'1kpi_performance'!J272</f>
        <v>2.85693911</v>
      </c>
      <c r="AU272" s="35">
        <f>'1kpi_performance'!K272</f>
        <v>3.159244816</v>
      </c>
      <c r="AV272" s="35">
        <f>'1kpi_performance'!L272</f>
        <v>2.650356637</v>
      </c>
      <c r="AW272" s="35">
        <f>'1kpi_performance'!M272</f>
        <v>0.6881319447</v>
      </c>
      <c r="AX272" s="42">
        <f>'1kpi_performance'!N272</f>
        <v>0.2178919398</v>
      </c>
      <c r="AY272" s="42">
        <f>'1kpi_performance'!O272</f>
        <v>0.1740478299</v>
      </c>
      <c r="AZ272" s="42">
        <f>'1kpi_performance'!P272</f>
        <v>0.4988649262</v>
      </c>
      <c r="BA272" s="42">
        <f>'1kpi_performance'!Q272</f>
        <v>0.5489274364</v>
      </c>
      <c r="BB272" s="35">
        <f>'1kpi_performance'!R272</f>
        <v>6.589337962</v>
      </c>
      <c r="BC272" s="35">
        <f>'1kpi_performance'!S272</f>
        <v>7.634432491</v>
      </c>
      <c r="BD272" s="35">
        <f>'1kpi_performance'!T272</f>
        <v>5.255655079</v>
      </c>
      <c r="BE272" s="35">
        <f>'1kpi_performance'!U272</f>
        <v>1.33320661</v>
      </c>
      <c r="BF272" s="47"/>
      <c r="BG272" s="47"/>
      <c r="BH272" s="47"/>
      <c r="BI272" s="47"/>
      <c r="BJ272" s="47"/>
      <c r="BK272" s="47"/>
      <c r="BL272" s="47"/>
      <c r="BM272" s="47"/>
      <c r="BN272" s="47"/>
      <c r="BO272" s="47"/>
      <c r="BP272" s="47"/>
      <c r="BQ272" s="47"/>
      <c r="BR272" s="47"/>
      <c r="BS272" s="47"/>
      <c r="BT272" s="47"/>
    </row>
    <row r="273" ht="11.25" customHeight="1">
      <c r="A273" s="35" t="str">
        <f>'13all_company_profile'!A273</f>
        <v>HD</v>
      </c>
      <c r="B273" s="35" t="str">
        <f>'13all_company_profile'!B273</f>
        <v>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v>
      </c>
      <c r="C273" s="44" t="str">
        <f>'13all_company_profile'!C273</f>
        <v>https://financialmodelingprep.com/image-stock/HD.png</v>
      </c>
      <c r="D273" s="35" t="str">
        <f>'13all_company_profile'!D273</f>
        <v>The Home Depot, Inc.</v>
      </c>
      <c r="E273" s="36">
        <f>'13all_company_profile'!E273</f>
        <v>343082139648</v>
      </c>
      <c r="F273" s="37">
        <f>'13all_company_profile'!F273</f>
        <v>3885384</v>
      </c>
      <c r="G273" s="35">
        <f>'13all_company_profile'!G273</f>
        <v>6.3</v>
      </c>
      <c r="H273" s="38" t="str">
        <f>'13all_company_profile'!H273</f>
        <v>not avaiable</v>
      </c>
      <c r="I273" s="35">
        <f>'13all_company_profile'!I273</f>
        <v>23.460415</v>
      </c>
      <c r="J273" s="35">
        <f>'13all_company_profile'!J273</f>
        <v>13.718</v>
      </c>
      <c r="K273" s="42">
        <f t="shared" si="1"/>
        <v>0.0193637621</v>
      </c>
      <c r="L273" s="35">
        <f>'7company_info'!B273</f>
        <v>325.35</v>
      </c>
      <c r="M273" s="35">
        <f>'7company_info'!C273</f>
        <v>326.13</v>
      </c>
      <c r="N273" s="35">
        <f>'7company_info'!D273</f>
        <v>318.27</v>
      </c>
      <c r="O273" s="35">
        <f>'7company_info'!E273</f>
        <v>6.48</v>
      </c>
      <c r="P273" s="35">
        <f>'7company_info'!F273</f>
        <v>0.0203</v>
      </c>
      <c r="Q273" s="35">
        <f>'7company_info'!G273</f>
        <v>318.5</v>
      </c>
      <c r="R273" s="35">
        <f>'7company_info'!H273</f>
        <v>318.87</v>
      </c>
      <c r="S273" s="35">
        <f>'7company_info'!I273</f>
        <v>246.59</v>
      </c>
      <c r="T273" s="35">
        <f>'7company_info'!J273</f>
        <v>345.69</v>
      </c>
      <c r="U273" s="39">
        <v>319.0967</v>
      </c>
      <c r="V273" s="39">
        <v>320.1833</v>
      </c>
      <c r="W273" s="40">
        <v>321.1466</v>
      </c>
      <c r="X273" s="40">
        <v>323.1965</v>
      </c>
      <c r="Y273" s="40">
        <v>318.1334</v>
      </c>
      <c r="Z273" s="40">
        <v>317.0468</v>
      </c>
      <c r="AA273" s="40">
        <v>314.9969</v>
      </c>
      <c r="AB273" s="40">
        <v>306.14</v>
      </c>
      <c r="AC273" s="40">
        <v>310.06</v>
      </c>
      <c r="AD273" s="40">
        <v>317.110372530567</v>
      </c>
      <c r="AE273" s="40">
        <v>307.02978</v>
      </c>
      <c r="AF273" s="40">
        <v>4.86886</v>
      </c>
      <c r="AG273" s="40">
        <v>345.69</v>
      </c>
      <c r="AH273" s="45">
        <v>44326.0</v>
      </c>
      <c r="AI273" s="44" t="str">
        <f>'6image_RS_benchmark_performance'!B273</f>
        <v>https://3arbzfbsh-cname-us.ngrok.io/Desktop/seabridge%20fintech/image_app/HD_resistance_support.jpg</v>
      </c>
      <c r="AJ273" s="44" t="str">
        <f>'6image_RS_benchmark_performance'!C273</f>
        <v>https://3arbzfbsh-cname-us.ngrok.io/Desktop/seabridge%20fintech/profit_graph_app/HD_Return.jpg</v>
      </c>
      <c r="AK273" s="46" t="str">
        <f>'5price_action_icon'!B273</f>
        <v>https://3arbzfbsh-cname-us.ngrok.io/Desktop/seabridge%20fintech/icon/HD_pa_trend_signal</v>
      </c>
      <c r="AL273" s="42">
        <f>'1kpi_performance'!B273</f>
        <v>0.6177468621</v>
      </c>
      <c r="AM273" s="42">
        <f>'1kpi_performance'!C273</f>
        <v>0.7526256919</v>
      </c>
      <c r="AN273" s="42">
        <f>'1kpi_performance'!D273</f>
        <v>0.4874195108</v>
      </c>
      <c r="AO273" s="42">
        <f>'1kpi_performance'!E273</f>
        <v>0.3514035649</v>
      </c>
      <c r="AP273" s="42">
        <f>'1kpi_performance'!F273</f>
        <v>0.1665199108</v>
      </c>
      <c r="AQ273" s="42">
        <f>'1kpi_performance'!G273</f>
        <v>0.1839185584</v>
      </c>
      <c r="AR273" s="42">
        <f>'1kpi_performance'!H273</f>
        <v>0.2101426002</v>
      </c>
      <c r="AS273" s="42">
        <f>'1kpi_performance'!I273</f>
        <v>0.2740584483</v>
      </c>
      <c r="AT273" s="35">
        <f>'1kpi_performance'!J273</f>
        <v>3.55961554</v>
      </c>
      <c r="AU273" s="35">
        <f>'1kpi_performance'!K273</f>
        <v>3.956238556</v>
      </c>
      <c r="AV273" s="35">
        <f>'1kpi_performance'!L273</f>
        <v>2.200503422</v>
      </c>
      <c r="AW273" s="35">
        <f>'1kpi_performance'!M273</f>
        <v>1.190999828</v>
      </c>
      <c r="AX273" s="42">
        <f>'1kpi_performance'!N273</f>
        <v>0.1136235235</v>
      </c>
      <c r="AY273" s="42">
        <f>'1kpi_performance'!O273</f>
        <v>0.08908720041</v>
      </c>
      <c r="AZ273" s="42">
        <f>'1kpi_performance'!P273</f>
        <v>0.368881699</v>
      </c>
      <c r="BA273" s="42">
        <f>'1kpi_performance'!Q273</f>
        <v>0.384057971</v>
      </c>
      <c r="BB273" s="35">
        <f>'1kpi_performance'!R273</f>
        <v>7.976329319</v>
      </c>
      <c r="BC273" s="35">
        <f>'1kpi_performance'!S273</f>
        <v>9.274260968</v>
      </c>
      <c r="BD273" s="35">
        <f>'1kpi_performance'!T273</f>
        <v>4.122879182</v>
      </c>
      <c r="BE273" s="35">
        <f>'1kpi_performance'!U273</f>
        <v>2.270867512</v>
      </c>
      <c r="BF273" s="47"/>
      <c r="BG273" s="47"/>
      <c r="BH273" s="47"/>
      <c r="BI273" s="47"/>
      <c r="BJ273" s="47"/>
      <c r="BK273" s="47"/>
      <c r="BL273" s="47"/>
      <c r="BM273" s="47"/>
      <c r="BN273" s="47"/>
      <c r="BO273" s="47"/>
      <c r="BP273" s="47"/>
      <c r="BQ273" s="47"/>
      <c r="BR273" s="47"/>
      <c r="BS273" s="47"/>
      <c r="BT273" s="47"/>
    </row>
    <row r="274" ht="11.25" customHeight="1">
      <c r="A274" s="35" t="str">
        <f>'13all_company_profile'!A274</f>
        <v>HES</v>
      </c>
      <c r="B274" s="35" t="str">
        <f>'13all_company_profile'!B274</f>
        <v>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v>
      </c>
      <c r="C274" s="44" t="str">
        <f>'13all_company_profile'!C274</f>
        <v>https://financialmodelingprep.com/image-stock/HES.png</v>
      </c>
      <c r="D274" s="35" t="str">
        <f>'13all_company_profile'!D274</f>
        <v>Hess Corporation</v>
      </c>
      <c r="E274" s="36">
        <f>'13all_company_profile'!E274</f>
        <v>24198711296</v>
      </c>
      <c r="F274" s="37">
        <f>'13all_company_profile'!F274</f>
        <v>1973939</v>
      </c>
      <c r="G274" s="35">
        <f>'13all_company_profile'!G274</f>
        <v>1</v>
      </c>
      <c r="H274" s="38">
        <f>'13all_company_profile'!H274</f>
        <v>44404</v>
      </c>
      <c r="I274" s="35" t="str">
        <f>'13all_company_profile'!I274</f>
        <v>NaN</v>
      </c>
      <c r="J274" s="35">
        <f>'13all_company_profile'!J274</f>
        <v>-1.341</v>
      </c>
      <c r="K274" s="42">
        <f t="shared" si="1"/>
        <v>0.01346982759</v>
      </c>
      <c r="L274" s="35">
        <f>'7company_info'!B274</f>
        <v>74.24</v>
      </c>
      <c r="M274" s="35">
        <f>'7company_info'!C274</f>
        <v>75.36</v>
      </c>
      <c r="N274" s="35">
        <f>'7company_info'!D274</f>
        <v>72.84</v>
      </c>
      <c r="O274" s="35">
        <f>'7company_info'!E274</f>
        <v>0.59</v>
      </c>
      <c r="P274" s="35">
        <f>'7company_info'!F274</f>
        <v>0.008</v>
      </c>
      <c r="Q274" s="35">
        <f>'7company_info'!G274</f>
        <v>73.56</v>
      </c>
      <c r="R274" s="35">
        <f>'7company_info'!H274</f>
        <v>73.65</v>
      </c>
      <c r="S274" s="35">
        <f>'7company_info'!I274</f>
        <v>34.82</v>
      </c>
      <c r="T274" s="35">
        <f>'7company_info'!J274</f>
        <v>91.09</v>
      </c>
      <c r="U274" s="39">
        <v>82.0416666666666</v>
      </c>
      <c r="V274" s="39">
        <v>84.0533333333333</v>
      </c>
      <c r="W274" s="40">
        <v>87.7166666666666</v>
      </c>
      <c r="X274" s="40">
        <v>93.3916666666666</v>
      </c>
      <c r="Y274" s="40">
        <v>78.3783333333333</v>
      </c>
      <c r="Z274" s="40">
        <v>76.3666666666666</v>
      </c>
      <c r="AA274" s="40">
        <v>70.6916666666666</v>
      </c>
      <c r="AB274" s="40">
        <v>86.13</v>
      </c>
      <c r="AC274" s="40">
        <v>85.72</v>
      </c>
      <c r="AD274" s="40">
        <v>85.3801021524104</v>
      </c>
      <c r="AE274" s="40">
        <v>78.29211</v>
      </c>
      <c r="AF274" s="40">
        <v>2.987695</v>
      </c>
      <c r="AG274" s="40">
        <v>91.09</v>
      </c>
      <c r="AH274" s="45">
        <v>44370.0</v>
      </c>
      <c r="AI274" s="44" t="str">
        <f>'6image_RS_benchmark_performance'!B274</f>
        <v>https://3arbzfbsh-cname-us.ngrok.io/Desktop/seabridge%20fintech/image_app/HES_resistance_support.jpg</v>
      </c>
      <c r="AJ274" s="44" t="str">
        <f>'6image_RS_benchmark_performance'!C274</f>
        <v>https://3arbzfbsh-cname-us.ngrok.io/Desktop/seabridge%20fintech/profit_graph_app/HES_Return.jpg</v>
      </c>
      <c r="AK274" s="46" t="str">
        <f>'5price_action_icon'!B274</f>
        <v>https://3arbzfbsh-cname-us.ngrok.io/Desktop/seabridge%20fintech/icon/HES_pa_trend_signal</v>
      </c>
      <c r="AL274" s="42">
        <f>'1kpi_performance'!B274</f>
        <v>0.731646638</v>
      </c>
      <c r="AM274" s="42">
        <f>'1kpi_performance'!C274</f>
        <v>1.134305999</v>
      </c>
      <c r="AN274" s="42">
        <f>'1kpi_performance'!D274</f>
        <v>0.6412671153</v>
      </c>
      <c r="AO274" s="42">
        <f>'1kpi_performance'!E274</f>
        <v>0.03671831445</v>
      </c>
      <c r="AP274" s="42">
        <f>'1kpi_performance'!F274</f>
        <v>0.3454618695</v>
      </c>
      <c r="AQ274" s="42">
        <f>'1kpi_performance'!G274</f>
        <v>0.3410251659</v>
      </c>
      <c r="AR274" s="42">
        <f>'1kpi_performance'!H274</f>
        <v>0.3195971696</v>
      </c>
      <c r="AS274" s="42">
        <f>'1kpi_performance'!I274</f>
        <v>0.4954645089</v>
      </c>
      <c r="AT274" s="35">
        <f>'1kpi_performance'!J274</f>
        <v>2.04551269</v>
      </c>
      <c r="AU274" s="35">
        <f>'1kpi_performance'!K274</f>
        <v>3.25285671</v>
      </c>
      <c r="AV274" s="35">
        <f>'1kpi_performance'!L274</f>
        <v>1.928262118</v>
      </c>
      <c r="AW274" s="35">
        <f>'1kpi_performance'!M274</f>
        <v>0.02365116823</v>
      </c>
      <c r="AX274" s="42">
        <f>'1kpi_performance'!N274</f>
        <v>0.2212358675</v>
      </c>
      <c r="AY274" s="42">
        <f>'1kpi_performance'!O274</f>
        <v>0.1941555225</v>
      </c>
      <c r="AZ274" s="42">
        <f>'1kpi_performance'!P274</f>
        <v>0.401609724</v>
      </c>
      <c r="BA274" s="42">
        <f>'1kpi_performance'!Q274</f>
        <v>0.7140454995</v>
      </c>
      <c r="BB274" s="35">
        <f>'1kpi_performance'!R274</f>
        <v>4.364473102</v>
      </c>
      <c r="BC274" s="35">
        <f>'1kpi_performance'!S274</f>
        <v>7.50867301</v>
      </c>
      <c r="BD274" s="35">
        <f>'1kpi_performance'!T274</f>
        <v>4.00985042</v>
      </c>
      <c r="BE274" s="35">
        <f>'1kpi_performance'!U274</f>
        <v>0.04660447585</v>
      </c>
      <c r="BF274" s="47"/>
      <c r="BG274" s="47"/>
      <c r="BH274" s="47"/>
      <c r="BI274" s="47"/>
      <c r="BJ274" s="47"/>
      <c r="BK274" s="47"/>
      <c r="BL274" s="47"/>
      <c r="BM274" s="47"/>
      <c r="BN274" s="47"/>
      <c r="BO274" s="47"/>
      <c r="BP274" s="47"/>
      <c r="BQ274" s="47"/>
      <c r="BR274" s="47"/>
      <c r="BS274" s="47"/>
      <c r="BT274" s="47"/>
    </row>
    <row r="275" ht="11.25" customHeight="1">
      <c r="A275" s="35" t="str">
        <f>'13all_company_profile'!A275</f>
        <v>HFC</v>
      </c>
      <c r="B275" s="35" t="str">
        <f>'13all_company_profile'!B275</f>
        <v>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v>
      </c>
      <c r="C275" s="44" t="str">
        <f>'13all_company_profile'!C275</f>
        <v>https://financialmodelingprep.com/image-stock/HFC.png</v>
      </c>
      <c r="D275" s="35" t="str">
        <f>'13all_company_profile'!D275</f>
        <v>HollyFrontier Corporation</v>
      </c>
      <c r="E275" s="36">
        <f>'13all_company_profile'!E275</f>
        <v>4813186048</v>
      </c>
      <c r="F275" s="37">
        <f>'13all_company_profile'!F275</f>
        <v>3299701</v>
      </c>
      <c r="G275" s="35">
        <f>'13all_company_profile'!G275</f>
        <v>1.05</v>
      </c>
      <c r="H275" s="38">
        <f>'13all_company_profile'!H275</f>
        <v>44412</v>
      </c>
      <c r="I275" s="35" t="str">
        <f>'13all_company_profile'!I275</f>
        <v>NaN</v>
      </c>
      <c r="J275" s="35">
        <f>'13all_company_profile'!J275</f>
        <v>-0.94</v>
      </c>
      <c r="K275" s="42">
        <f t="shared" si="1"/>
        <v>0.03785147801</v>
      </c>
      <c r="L275" s="35">
        <f>'7company_info'!B275</f>
        <v>27.74</v>
      </c>
      <c r="M275" s="35">
        <f>'7company_info'!C275</f>
        <v>28.26</v>
      </c>
      <c r="N275" s="35">
        <f>'7company_info'!D275</f>
        <v>27.28</v>
      </c>
      <c r="O275" s="35">
        <f>'7company_info'!E275</f>
        <v>0.15</v>
      </c>
      <c r="P275" s="35">
        <f>'7company_info'!F275</f>
        <v>0.0054</v>
      </c>
      <c r="Q275" s="35">
        <f>'7company_info'!G275</f>
        <v>27.59</v>
      </c>
      <c r="R275" s="35">
        <f>'7company_info'!H275</f>
        <v>27.59</v>
      </c>
      <c r="S275" s="35">
        <f>'7company_info'!I275</f>
        <v>16.81</v>
      </c>
      <c r="T275" s="35">
        <f>'7company_info'!J275</f>
        <v>42.39</v>
      </c>
      <c r="U275" s="39">
        <v>30.4066666666666</v>
      </c>
      <c r="V275" s="39">
        <v>30.8933333333333</v>
      </c>
      <c r="W275" s="40">
        <v>31.7366666666666</v>
      </c>
      <c r="X275" s="40">
        <v>33.0666666666666</v>
      </c>
      <c r="Y275" s="40">
        <v>29.5633333333333</v>
      </c>
      <c r="Z275" s="40">
        <v>29.0766666666666</v>
      </c>
      <c r="AA275" s="40">
        <v>27.7466666666666</v>
      </c>
      <c r="AB275" s="40">
        <v>30.24</v>
      </c>
      <c r="AC275" s="40">
        <v>32.42</v>
      </c>
      <c r="AD275" s="40">
        <v>32.4343186916073</v>
      </c>
      <c r="AE275" s="40">
        <v>28.70958</v>
      </c>
      <c r="AF275" s="40">
        <v>1.25421</v>
      </c>
      <c r="AG275" s="40">
        <v>42.39</v>
      </c>
      <c r="AH275" s="45">
        <v>44266.0</v>
      </c>
      <c r="AI275" s="44" t="str">
        <f>'6image_RS_benchmark_performance'!B275</f>
        <v>https://3arbzfbsh-cname-us.ngrok.io/Desktop/seabridge%20fintech/image_app/HFC_resistance_support.jpg</v>
      </c>
      <c r="AJ275" s="44" t="str">
        <f>'6image_RS_benchmark_performance'!C275</f>
        <v>https://3arbzfbsh-cname-us.ngrok.io/Desktop/seabridge%20fintech/profit_graph_app/HFC_Return.jpg</v>
      </c>
      <c r="AK275" s="46" t="str">
        <f>'5price_action_icon'!B275</f>
        <v>https://3arbzfbsh-cname-us.ngrok.io/Desktop/seabridge%20fintech/icon/HFC_pa_trend_signal</v>
      </c>
      <c r="AL275" s="42">
        <f>'1kpi_performance'!B275</f>
        <v>0.9800962728</v>
      </c>
      <c r="AM275" s="42">
        <f>'1kpi_performance'!C275</f>
        <v>1.328159862</v>
      </c>
      <c r="AN275" s="42">
        <f>'1kpi_performance'!D275</f>
        <v>0.8821611709</v>
      </c>
      <c r="AO275" s="42">
        <f>'1kpi_performance'!E275</f>
        <v>0.1154665832</v>
      </c>
      <c r="AP275" s="42">
        <f>'1kpi_performance'!F275</f>
        <v>0.3891369039</v>
      </c>
      <c r="AQ275" s="42">
        <f>'1kpi_performance'!G275</f>
        <v>0.352157466</v>
      </c>
      <c r="AR275" s="42">
        <f>'1kpi_performance'!H275</f>
        <v>0.3822205367</v>
      </c>
      <c r="AS275" s="42">
        <f>'1kpi_performance'!I275</f>
        <v>0.5270021751</v>
      </c>
      <c r="AT275" s="35">
        <f>'1kpi_performance'!J275</f>
        <v>2.454396546</v>
      </c>
      <c r="AU275" s="35">
        <f>'1kpi_performance'!K275</f>
        <v>3.700503292</v>
      </c>
      <c r="AV275" s="35">
        <f>'1kpi_performance'!L275</f>
        <v>2.24258272</v>
      </c>
      <c r="AW275" s="35">
        <f>'1kpi_performance'!M275</f>
        <v>0.1716626373</v>
      </c>
      <c r="AX275" s="42">
        <f>'1kpi_performance'!N275</f>
        <v>0.2982218837</v>
      </c>
      <c r="AY275" s="42">
        <f>'1kpi_performance'!O275</f>
        <v>0.1648731745</v>
      </c>
      <c r="AZ275" s="42">
        <f>'1kpi_performance'!P275</f>
        <v>0.5865286352</v>
      </c>
      <c r="BA275" s="42">
        <f>'1kpi_performance'!Q275</f>
        <v>0.7889773423</v>
      </c>
      <c r="BB275" s="35">
        <f>'1kpi_performance'!R275</f>
        <v>5.249932277</v>
      </c>
      <c r="BC275" s="35">
        <f>'1kpi_performance'!S275</f>
        <v>9.035178948</v>
      </c>
      <c r="BD275" s="35">
        <f>'1kpi_performance'!T275</f>
        <v>4.740358032</v>
      </c>
      <c r="BE275" s="35">
        <f>'1kpi_performance'!U275</f>
        <v>0.3536237811</v>
      </c>
      <c r="BF275" s="47"/>
      <c r="BG275" s="47"/>
      <c r="BH275" s="47"/>
      <c r="BI275" s="47"/>
      <c r="BJ275" s="47"/>
      <c r="BK275" s="47"/>
      <c r="BL275" s="47"/>
      <c r="BM275" s="47"/>
      <c r="BN275" s="47"/>
      <c r="BO275" s="47"/>
      <c r="BP275" s="47"/>
      <c r="BQ275" s="47"/>
      <c r="BR275" s="47"/>
      <c r="BS275" s="47"/>
      <c r="BT275" s="47"/>
    </row>
    <row r="276" ht="11.25" customHeight="1">
      <c r="A276" s="35" t="str">
        <f>'13all_company_profile'!A276</f>
        <v>HIG</v>
      </c>
      <c r="B276" s="35" t="str">
        <f>'13all_company_profile'!B276</f>
        <v>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v>
      </c>
      <c r="C276" s="44" t="str">
        <f>'13all_company_profile'!C276</f>
        <v>https://financialmodelingprep.com/image-stock/HIG.png</v>
      </c>
      <c r="D276" s="35" t="str">
        <f>'13all_company_profile'!D276</f>
        <v>The Hartford Financial Services Group, Inc.</v>
      </c>
      <c r="E276" s="36">
        <f>'13all_company_profile'!E276</f>
        <v>22617333760</v>
      </c>
      <c r="F276" s="37">
        <f>'13all_company_profile'!F276</f>
        <v>2434193</v>
      </c>
      <c r="G276" s="35">
        <f>'13all_company_profile'!G276</f>
        <v>1.35</v>
      </c>
      <c r="H276" s="38">
        <f>'13all_company_profile'!H276</f>
        <v>44405</v>
      </c>
      <c r="I276" s="35">
        <f>'13all_company_profile'!I276</f>
        <v>13.476962</v>
      </c>
      <c r="J276" s="35">
        <f>'13all_company_profile'!J276</f>
        <v>4.688</v>
      </c>
      <c r="K276" s="42">
        <f t="shared" si="1"/>
        <v>0.02165891224</v>
      </c>
      <c r="L276" s="35">
        <f>'7company_info'!B276</f>
        <v>62.33</v>
      </c>
      <c r="M276" s="35">
        <f>'7company_info'!C276</f>
        <v>63.17</v>
      </c>
      <c r="N276" s="35">
        <f>'7company_info'!D276</f>
        <v>61.21</v>
      </c>
      <c r="O276" s="35">
        <f>'7company_info'!E276</f>
        <v>0.95</v>
      </c>
      <c r="P276" s="35">
        <f>'7company_info'!F276</f>
        <v>0.0155</v>
      </c>
      <c r="Q276" s="35">
        <f>'7company_info'!G276</f>
        <v>61.51</v>
      </c>
      <c r="R276" s="35">
        <f>'7company_info'!H276</f>
        <v>61.38</v>
      </c>
      <c r="S276" s="35">
        <f>'7company_info'!I276</f>
        <v>34.69</v>
      </c>
      <c r="T276" s="35">
        <f>'7company_info'!J276</f>
        <v>69.94</v>
      </c>
      <c r="U276" s="39">
        <v>62.7138666666666</v>
      </c>
      <c r="V276" s="39">
        <v>63.2561333333333</v>
      </c>
      <c r="W276" s="40">
        <v>63.7422666666666</v>
      </c>
      <c r="X276" s="40">
        <v>64.7706666666666</v>
      </c>
      <c r="Y276" s="40">
        <v>62.2277333333333</v>
      </c>
      <c r="Z276" s="40">
        <v>61.6854666666666</v>
      </c>
      <c r="AA276" s="40">
        <v>60.6570666666666</v>
      </c>
      <c r="AB276" s="40">
        <v>62.53</v>
      </c>
      <c r="AC276" s="40">
        <v>63.75</v>
      </c>
      <c r="AD276" s="40">
        <v>62.6472855375857</v>
      </c>
      <c r="AE276" s="40">
        <v>59.8044</v>
      </c>
      <c r="AF276" s="40">
        <v>1.40147</v>
      </c>
      <c r="AG276" s="40">
        <v>69.94</v>
      </c>
      <c r="AH276" s="45">
        <v>44313.0</v>
      </c>
      <c r="AI276" s="44" t="str">
        <f>'6image_RS_benchmark_performance'!B276</f>
        <v>https://3arbzfbsh-cname-us.ngrok.io/Desktop/seabridge%20fintech/image_app/HIG_resistance_support.jpg</v>
      </c>
      <c r="AJ276" s="44" t="str">
        <f>'6image_RS_benchmark_performance'!C276</f>
        <v>https://3arbzfbsh-cname-us.ngrok.io/Desktop/seabridge%20fintech/profit_graph_app/HIG_Return.jpg</v>
      </c>
      <c r="AK276" s="46" t="str">
        <f>'5price_action_icon'!B276</f>
        <v>https://3arbzfbsh-cname-us.ngrok.io/Desktop/seabridge%20fintech/icon/HIG_pa_trend_signal</v>
      </c>
      <c r="AL276" s="42">
        <f>'1kpi_performance'!B276</f>
        <v>0.5595298626</v>
      </c>
      <c r="AM276" s="42">
        <f>'1kpi_performance'!C276</f>
        <v>0.6656164781</v>
      </c>
      <c r="AN276" s="42">
        <f>'1kpi_performance'!D276</f>
        <v>0.4720620083</v>
      </c>
      <c r="AO276" s="42">
        <f>'1kpi_performance'!E276</f>
        <v>0.1184638873</v>
      </c>
      <c r="AP276" s="42">
        <f>'1kpi_performance'!F276</f>
        <v>0.2767744318</v>
      </c>
      <c r="AQ276" s="42">
        <f>'1kpi_performance'!G276</f>
        <v>0.2615305945</v>
      </c>
      <c r="AR276" s="42">
        <f>'1kpi_performance'!H276</f>
        <v>0.3031290826</v>
      </c>
      <c r="AS276" s="42">
        <f>'1kpi_performance'!I276</f>
        <v>0.4079631226</v>
      </c>
      <c r="AT276" s="35">
        <f>'1kpi_performance'!J276</f>
        <v>1.931283389</v>
      </c>
      <c r="AU276" s="35">
        <f>'1kpi_performance'!K276</f>
        <v>2.449489626</v>
      </c>
      <c r="AV276" s="35">
        <f>'1kpi_performance'!L276</f>
        <v>1.474823875</v>
      </c>
      <c r="AW276" s="35">
        <f>'1kpi_performance'!M276</f>
        <v>0.2290988624</v>
      </c>
      <c r="AX276" s="42">
        <f>'1kpi_performance'!N276</f>
        <v>0.2370052598</v>
      </c>
      <c r="AY276" s="42">
        <f>'1kpi_performance'!O276</f>
        <v>0.1523749799</v>
      </c>
      <c r="AZ276" s="42">
        <f>'1kpi_performance'!P276</f>
        <v>0.571218556</v>
      </c>
      <c r="BA276" s="42">
        <f>'1kpi_performance'!Q276</f>
        <v>0.5806039303</v>
      </c>
      <c r="BB276" s="35">
        <f>'1kpi_performance'!R276</f>
        <v>4.085563031</v>
      </c>
      <c r="BC276" s="35">
        <f>'1kpi_performance'!S276</f>
        <v>5.586222369</v>
      </c>
      <c r="BD276" s="35">
        <f>'1kpi_performance'!T276</f>
        <v>2.846682217</v>
      </c>
      <c r="BE276" s="35">
        <f>'1kpi_performance'!U276</f>
        <v>0.4480665191</v>
      </c>
      <c r="BF276" s="47"/>
      <c r="BG276" s="47"/>
      <c r="BH276" s="47"/>
      <c r="BI276" s="47"/>
      <c r="BJ276" s="47"/>
      <c r="BK276" s="47"/>
      <c r="BL276" s="47"/>
      <c r="BM276" s="47"/>
      <c r="BN276" s="47"/>
      <c r="BO276" s="47"/>
      <c r="BP276" s="47"/>
      <c r="BQ276" s="47"/>
      <c r="BR276" s="47"/>
      <c r="BS276" s="47"/>
      <c r="BT276" s="47"/>
    </row>
    <row r="277" ht="11.25" customHeight="1">
      <c r="A277" s="35" t="str">
        <f>'13all_company_profile'!A277</f>
        <v>HII</v>
      </c>
      <c r="B277" s="35" t="str">
        <f>'13all_company_profile'!B277</f>
        <v>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v>
      </c>
      <c r="C277" s="44" t="str">
        <f>'13all_company_profile'!C277</f>
        <v>https://financialmodelingprep.com/image-stock/HII.png</v>
      </c>
      <c r="D277" s="35" t="str">
        <f>'13all_company_profile'!D277</f>
        <v>Huntington Ingalls Industries, Inc.</v>
      </c>
      <c r="E277" s="36">
        <f>'13all_company_profile'!E277</f>
        <v>8091922944</v>
      </c>
      <c r="F277" s="37">
        <f>'13all_company_profile'!F277</f>
        <v>255058</v>
      </c>
      <c r="G277" s="35">
        <f>'13all_company_profile'!G277</f>
        <v>4.45</v>
      </c>
      <c r="H277" s="38">
        <f>'13all_company_profile'!H277</f>
        <v>44412</v>
      </c>
      <c r="I277" s="35">
        <f>'13all_company_profile'!I277</f>
        <v>12.11462</v>
      </c>
      <c r="J277" s="35">
        <f>'13all_company_profile'!J277</f>
        <v>16.594</v>
      </c>
      <c r="K277" s="42">
        <f t="shared" si="1"/>
        <v>0.02193306718</v>
      </c>
      <c r="L277" s="35">
        <f>'7company_info'!B277</f>
        <v>202.89</v>
      </c>
      <c r="M277" s="35">
        <f>'7company_info'!C277</f>
        <v>203.51</v>
      </c>
      <c r="N277" s="35">
        <f>'7company_info'!D277</f>
        <v>196</v>
      </c>
      <c r="O277" s="35">
        <f>'7company_info'!E277</f>
        <v>7.58</v>
      </c>
      <c r="P277" s="35">
        <f>'7company_info'!F277</f>
        <v>0.0388</v>
      </c>
      <c r="Q277" s="35">
        <f>'7company_info'!G277</f>
        <v>196</v>
      </c>
      <c r="R277" s="35">
        <f>'7company_info'!H277</f>
        <v>195.31</v>
      </c>
      <c r="S277" s="35">
        <f>'7company_info'!I277</f>
        <v>136.44</v>
      </c>
      <c r="T277" s="35">
        <f>'7company_info'!J277</f>
        <v>224.13</v>
      </c>
      <c r="U277" s="39">
        <v>201.993333333333</v>
      </c>
      <c r="V277" s="39">
        <v>204.051666666666</v>
      </c>
      <c r="W277" s="40">
        <v>206.443333333333</v>
      </c>
      <c r="X277" s="40">
        <v>210.893333333333</v>
      </c>
      <c r="Y277" s="40">
        <v>199.601666666666</v>
      </c>
      <c r="Z277" s="40">
        <v>197.543333333333</v>
      </c>
      <c r="AA277" s="40">
        <v>193.093333333333</v>
      </c>
      <c r="AB277" s="40">
        <v>204.96</v>
      </c>
      <c r="AC277" s="40">
        <v>211.77</v>
      </c>
      <c r="AD277" s="40">
        <v>208.854134253646</v>
      </c>
      <c r="AE277" s="40">
        <v>194.27156</v>
      </c>
      <c r="AF277" s="40">
        <v>4.33031999999999</v>
      </c>
      <c r="AG277" s="40">
        <v>224.13</v>
      </c>
      <c r="AH277" s="45">
        <v>44357.0</v>
      </c>
      <c r="AI277" s="44" t="str">
        <f>'6image_RS_benchmark_performance'!B277</f>
        <v>https://3arbzfbsh-cname-us.ngrok.io/Desktop/seabridge%20fintech/image_app/HII_resistance_support.jpg</v>
      </c>
      <c r="AJ277" s="44" t="str">
        <f>'6image_RS_benchmark_performance'!C277</f>
        <v>https://3arbzfbsh-cname-us.ngrok.io/Desktop/seabridge%20fintech/profit_graph_app/HII_Return.jpg</v>
      </c>
      <c r="AK277" s="46" t="str">
        <f>'5price_action_icon'!B277</f>
        <v>https://3arbzfbsh-cname-us.ngrok.io/Desktop/seabridge%20fintech/icon/HII_pa_trend_signal</v>
      </c>
      <c r="AL277" s="42">
        <f>'1kpi_performance'!B277</f>
        <v>0.6267349713</v>
      </c>
      <c r="AM277" s="42">
        <f>'1kpi_performance'!C277</f>
        <v>0.8440196058</v>
      </c>
      <c r="AN277" s="42">
        <f>'1kpi_performance'!D277</f>
        <v>0.5688812074</v>
      </c>
      <c r="AO277" s="42">
        <f>'1kpi_performance'!E277</f>
        <v>0.2629012287</v>
      </c>
      <c r="AP277" s="42">
        <f>'1kpi_performance'!F277</f>
        <v>0.23094515</v>
      </c>
      <c r="AQ277" s="42">
        <f>'1kpi_performance'!G277</f>
        <v>0.2274168467</v>
      </c>
      <c r="AR277" s="42">
        <f>'1kpi_performance'!H277</f>
        <v>0.2447654018</v>
      </c>
      <c r="AS277" s="42">
        <f>'1kpi_performance'!I277</f>
        <v>0.3300460681</v>
      </c>
      <c r="AT277" s="35">
        <f>'1kpi_performance'!J277</f>
        <v>2.605531969</v>
      </c>
      <c r="AU277" s="35">
        <f>'1kpi_performance'!K277</f>
        <v>3.601402525</v>
      </c>
      <c r="AV277" s="35">
        <f>'1kpi_performance'!L277</f>
        <v>2.222051007</v>
      </c>
      <c r="AW277" s="35">
        <f>'1kpi_performance'!M277</f>
        <v>0.7208121885</v>
      </c>
      <c r="AX277" s="42">
        <f>'1kpi_performance'!N277</f>
        <v>0.1900459072</v>
      </c>
      <c r="AY277" s="42">
        <f>'1kpi_performance'!O277</f>
        <v>0.1134210661</v>
      </c>
      <c r="AZ277" s="42">
        <f>'1kpi_performance'!P277</f>
        <v>0.4299649453</v>
      </c>
      <c r="BA277" s="42">
        <f>'1kpi_performance'!Q277</f>
        <v>0.5052231037</v>
      </c>
      <c r="BB277" s="35">
        <f>'1kpi_performance'!R277</f>
        <v>5.648303927</v>
      </c>
      <c r="BC277" s="35">
        <f>'1kpi_performance'!S277</f>
        <v>8.459908871</v>
      </c>
      <c r="BD277" s="35">
        <f>'1kpi_performance'!T277</f>
        <v>4.422818198</v>
      </c>
      <c r="BE277" s="35">
        <f>'1kpi_performance'!U277</f>
        <v>1.392970015</v>
      </c>
      <c r="BF277" s="47"/>
      <c r="BG277" s="47"/>
      <c r="BH277" s="47"/>
      <c r="BI277" s="47"/>
      <c r="BJ277" s="47"/>
      <c r="BK277" s="47"/>
      <c r="BL277" s="47"/>
      <c r="BM277" s="47"/>
      <c r="BN277" s="47"/>
      <c r="BO277" s="47"/>
      <c r="BP277" s="47"/>
      <c r="BQ277" s="47"/>
      <c r="BR277" s="47"/>
      <c r="BS277" s="47"/>
      <c r="BT277" s="47"/>
    </row>
    <row r="278" ht="11.25" customHeight="1">
      <c r="A278" s="35" t="str">
        <f>'13all_company_profile'!A278</f>
        <v>HLT</v>
      </c>
      <c r="B278" s="35" t="str">
        <f>'13all_company_profile'!B278</f>
        <v>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v>
      </c>
      <c r="C278" s="44" t="str">
        <f>'13all_company_profile'!C278</f>
        <v>https://financialmodelingprep.com/image-stock/HLT.png</v>
      </c>
      <c r="D278" s="35" t="str">
        <f>'13all_company_profile'!D278</f>
        <v>Hilton Worldwide Holdings Inc.</v>
      </c>
      <c r="E278" s="36">
        <f>'13all_company_profile'!E278</f>
        <v>34279180288</v>
      </c>
      <c r="F278" s="37">
        <f>'13all_company_profile'!F278</f>
        <v>1854619</v>
      </c>
      <c r="G278" s="35">
        <f>'13all_company_profile'!G278</f>
        <v>0.15</v>
      </c>
      <c r="H278" s="38">
        <f>'13all_company_profile'!H278</f>
        <v>44406</v>
      </c>
      <c r="I278" s="35" t="str">
        <f>'13all_company_profile'!I278</f>
        <v>NaN</v>
      </c>
      <c r="J278" s="35">
        <f>'13all_company_profile'!J278</f>
        <v>-3.033</v>
      </c>
      <c r="K278" s="42">
        <f t="shared" si="1"/>
        <v>0.001240694789</v>
      </c>
      <c r="L278" s="35">
        <f>'7company_info'!B278</f>
        <v>120.9</v>
      </c>
      <c r="M278" s="35">
        <f>'7company_info'!C278</f>
        <v>121.42</v>
      </c>
      <c r="N278" s="35">
        <f>'7company_info'!D278</f>
        <v>116.7</v>
      </c>
      <c r="O278" s="35">
        <f>'7company_info'!E278</f>
        <v>3.89</v>
      </c>
      <c r="P278" s="35">
        <f>'7company_info'!F278</f>
        <v>0.0332</v>
      </c>
      <c r="Q278" s="35">
        <f>'7company_info'!G278</f>
        <v>117.34</v>
      </c>
      <c r="R278" s="35">
        <f>'7company_info'!H278</f>
        <v>117.01</v>
      </c>
      <c r="S278" s="35">
        <f>'7company_info'!I278</f>
        <v>73.5</v>
      </c>
      <c r="T278" s="35">
        <f>'7company_info'!J278</f>
        <v>132.69</v>
      </c>
      <c r="U278" s="39">
        <v>124.14</v>
      </c>
      <c r="V278" s="39">
        <v>125.05</v>
      </c>
      <c r="W278" s="40">
        <v>126.23</v>
      </c>
      <c r="X278" s="40">
        <v>128.32</v>
      </c>
      <c r="Y278" s="40">
        <v>122.96</v>
      </c>
      <c r="Z278" s="40">
        <v>122.05</v>
      </c>
      <c r="AA278" s="40">
        <v>119.96</v>
      </c>
      <c r="AB278" s="40">
        <v>121.825</v>
      </c>
      <c r="AC278" s="40">
        <v>123.425</v>
      </c>
      <c r="AD278" s="40">
        <v>124.503762007388</v>
      </c>
      <c r="AE278" s="40">
        <v>117.80672</v>
      </c>
      <c r="AF278" s="40">
        <v>2.83913999999999</v>
      </c>
      <c r="AG278" s="40">
        <v>132.69</v>
      </c>
      <c r="AH278" s="45">
        <v>44315.0</v>
      </c>
      <c r="AI278" s="44" t="str">
        <f>'6image_RS_benchmark_performance'!B278</f>
        <v>https://3arbzfbsh-cname-us.ngrok.io/Desktop/seabridge%20fintech/image_app/HLT_resistance_support.jpg</v>
      </c>
      <c r="AJ278" s="44" t="str">
        <f>'6image_RS_benchmark_performance'!C278</f>
        <v>https://3arbzfbsh-cname-us.ngrok.io/Desktop/seabridge%20fintech/profit_graph_app/HLT_Return.jpg</v>
      </c>
      <c r="AK278" s="46" t="str">
        <f>'5price_action_icon'!B278</f>
        <v>https://3arbzfbsh-cname-us.ngrok.io/Desktop/seabridge%20fintech/icon/HLT_pa_trend_signal</v>
      </c>
      <c r="AL278" s="42">
        <f>'1kpi_performance'!B278</f>
        <v>0.5874798727</v>
      </c>
      <c r="AM278" s="42">
        <f>'1kpi_performance'!C278</f>
        <v>0.7342086779</v>
      </c>
      <c r="AN278" s="42">
        <f>'1kpi_performance'!D278</f>
        <v>0.6064349251</v>
      </c>
      <c r="AO278" s="42">
        <f>'1kpi_performance'!E278</f>
        <v>0.2082355775</v>
      </c>
      <c r="AP278" s="42">
        <f>'1kpi_performance'!F278</f>
        <v>0.2417447049</v>
      </c>
      <c r="AQ278" s="42">
        <f>'1kpi_performance'!G278</f>
        <v>0.250232222</v>
      </c>
      <c r="AR278" s="42">
        <f>'1kpi_performance'!H278</f>
        <v>0.2316960364</v>
      </c>
      <c r="AS278" s="42">
        <f>'1kpi_performance'!I278</f>
        <v>0.3439390273</v>
      </c>
      <c r="AT278" s="35">
        <f>'1kpi_performance'!J278</f>
        <v>2.326751574</v>
      </c>
      <c r="AU278" s="35">
        <f>'1kpi_performance'!K278</f>
        <v>2.834202055</v>
      </c>
      <c r="AV278" s="35">
        <f>'1kpi_performance'!L278</f>
        <v>2.509472904</v>
      </c>
      <c r="AW278" s="35">
        <f>'1kpi_performance'!M278</f>
        <v>0.5327559915</v>
      </c>
      <c r="AX278" s="42">
        <f>'1kpi_performance'!N278</f>
        <v>0.2357923497</v>
      </c>
      <c r="AY278" s="42">
        <f>'1kpi_performance'!O278</f>
        <v>0.2357923497</v>
      </c>
      <c r="AZ278" s="42">
        <f>'1kpi_performance'!P278</f>
        <v>0.2458615528</v>
      </c>
      <c r="BA278" s="42">
        <f>'1kpi_performance'!Q278</f>
        <v>0.5089536517</v>
      </c>
      <c r="BB278" s="35">
        <f>'1kpi_performance'!R278</f>
        <v>4.967585589</v>
      </c>
      <c r="BC278" s="35">
        <f>'1kpi_performance'!S278</f>
        <v>6.500127154</v>
      </c>
      <c r="BD278" s="35">
        <f>'1kpi_performance'!T278</f>
        <v>5.503887099</v>
      </c>
      <c r="BE278" s="35">
        <f>'1kpi_performance'!U278</f>
        <v>1.056955477</v>
      </c>
      <c r="BF278" s="47"/>
      <c r="BG278" s="47"/>
      <c r="BH278" s="47"/>
      <c r="BI278" s="47"/>
      <c r="BJ278" s="47"/>
      <c r="BK278" s="47"/>
      <c r="BL278" s="47"/>
      <c r="BM278" s="47"/>
      <c r="BN278" s="47"/>
      <c r="BO278" s="47"/>
      <c r="BP278" s="47"/>
      <c r="BQ278" s="47"/>
      <c r="BR278" s="47"/>
      <c r="BS278" s="47"/>
      <c r="BT278" s="47"/>
    </row>
    <row r="279" ht="11.25" customHeight="1">
      <c r="A279" s="35" t="str">
        <f>'13all_company_profile'!A279</f>
        <v>HOG</v>
      </c>
      <c r="B279" s="35" t="str">
        <f>'13all_company_profile'!B279</f>
        <v>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v>
      </c>
      <c r="C279" s="44" t="str">
        <f>'13all_company_profile'!C279</f>
        <v>https://financialmodelingprep.com/image-stock/HOG.png</v>
      </c>
      <c r="D279" s="35" t="str">
        <f>'13all_company_profile'!D279</f>
        <v>Harley-Davidson, Inc.</v>
      </c>
      <c r="E279" s="36">
        <f>'13all_company_profile'!E279</f>
        <v>6749010432</v>
      </c>
      <c r="F279" s="37">
        <f>'13all_company_profile'!F279</f>
        <v>2204265</v>
      </c>
      <c r="G279" s="35">
        <f>'13all_company_profile'!G279</f>
        <v>0.34</v>
      </c>
      <c r="H279" s="38">
        <f>'13all_company_profile'!H279</f>
        <v>44398</v>
      </c>
      <c r="I279" s="35">
        <f>'13all_company_profile'!I279</f>
        <v>34.62621</v>
      </c>
      <c r="J279" s="35">
        <f>'13all_company_profile'!J279</f>
        <v>1.244</v>
      </c>
      <c r="K279" s="42">
        <f t="shared" si="1"/>
        <v>0.007762557078</v>
      </c>
      <c r="L279" s="35">
        <f>'7company_info'!B279</f>
        <v>43.8</v>
      </c>
      <c r="M279" s="35">
        <f>'7company_info'!C279</f>
        <v>44.03</v>
      </c>
      <c r="N279" s="35">
        <f>'7company_info'!D279</f>
        <v>41.8</v>
      </c>
      <c r="O279" s="35">
        <f>'7company_info'!E279</f>
        <v>1.88</v>
      </c>
      <c r="P279" s="35">
        <f>'7company_info'!F279</f>
        <v>0.0448</v>
      </c>
      <c r="Q279" s="35">
        <f>'7company_info'!G279</f>
        <v>41.98</v>
      </c>
      <c r="R279" s="35">
        <f>'7company_info'!H279</f>
        <v>41.92</v>
      </c>
      <c r="S279" s="35">
        <f>'7company_info'!I279</f>
        <v>22.56</v>
      </c>
      <c r="T279" s="35">
        <f>'7company_info'!J279</f>
        <v>52.06</v>
      </c>
      <c r="U279" s="39">
        <v>44.7433333333333</v>
      </c>
      <c r="V279" s="39">
        <v>45.0866666666666</v>
      </c>
      <c r="W279" s="40">
        <v>45.6833333333333</v>
      </c>
      <c r="X279" s="40">
        <v>46.6233333333333</v>
      </c>
      <c r="Y279" s="40">
        <v>44.1466666666666</v>
      </c>
      <c r="Z279" s="40">
        <v>43.8033333333333</v>
      </c>
      <c r="AA279" s="40">
        <v>42.8633333333333</v>
      </c>
      <c r="AB279" s="40">
        <v>44.76</v>
      </c>
      <c r="AC279" s="40">
        <v>44.32</v>
      </c>
      <c r="AD279" s="40">
        <v>45.9095619899033</v>
      </c>
      <c r="AE279" s="40">
        <v>41.75116</v>
      </c>
      <c r="AF279" s="40">
        <v>1.41692</v>
      </c>
      <c r="AG279" s="40">
        <v>52.059</v>
      </c>
      <c r="AH279" s="45">
        <v>44334.0</v>
      </c>
      <c r="AI279" s="44" t="str">
        <f>'6image_RS_benchmark_performance'!B279</f>
        <v>https://3arbzfbsh-cname-us.ngrok.io/Desktop/seabridge%20fintech/image_app/HOG_resistance_support.jpg</v>
      </c>
      <c r="AJ279" s="44" t="str">
        <f>'6image_RS_benchmark_performance'!C279</f>
        <v>https://3arbzfbsh-cname-us.ngrok.io/Desktop/seabridge%20fintech/profit_graph_app/HOG_Return.jpg</v>
      </c>
      <c r="AK279" s="46" t="str">
        <f>'5price_action_icon'!B279</f>
        <v>https://3arbzfbsh-cname-us.ngrok.io/Desktop/seabridge%20fintech/icon/HOG_pa_trend_signal</v>
      </c>
      <c r="AL279" s="42">
        <f>'1kpi_performance'!B279</f>
        <v>0.7529882504</v>
      </c>
      <c r="AM279" s="42">
        <f>'1kpi_performance'!C279</f>
        <v>0.839349375</v>
      </c>
      <c r="AN279" s="42">
        <f>'1kpi_performance'!D279</f>
        <v>0.8636380945</v>
      </c>
      <c r="AO279" s="42">
        <f>'1kpi_performance'!E279</f>
        <v>0.07139998102</v>
      </c>
      <c r="AP279" s="42">
        <f>'1kpi_performance'!F279</f>
        <v>0.3399979291</v>
      </c>
      <c r="AQ279" s="42">
        <f>'1kpi_performance'!G279</f>
        <v>0.3214693381</v>
      </c>
      <c r="AR279" s="42">
        <f>'1kpi_performance'!H279</f>
        <v>0.2979083865</v>
      </c>
      <c r="AS279" s="42">
        <f>'1kpi_performance'!I279</f>
        <v>0.4583507017</v>
      </c>
      <c r="AT279" s="35">
        <f>'1kpi_performance'!J279</f>
        <v>2.141154955</v>
      </c>
      <c r="AU279" s="35">
        <f>'1kpi_performance'!K279</f>
        <v>2.533210103</v>
      </c>
      <c r="AV279" s="35">
        <f>'1kpi_performance'!L279</f>
        <v>2.81508723</v>
      </c>
      <c r="AW279" s="35">
        <f>'1kpi_performance'!M279</f>
        <v>0.1012324861</v>
      </c>
      <c r="AX279" s="42">
        <f>'1kpi_performance'!N279</f>
        <v>0.2751807229</v>
      </c>
      <c r="AY279" s="42">
        <f>'1kpi_performance'!O279</f>
        <v>0.3180968733</v>
      </c>
      <c r="AZ279" s="42">
        <f>'1kpi_performance'!P279</f>
        <v>0.3714202221</v>
      </c>
      <c r="BA279" s="42">
        <f>'1kpi_performance'!Q279</f>
        <v>0.7965918312</v>
      </c>
      <c r="BB279" s="35">
        <f>'1kpi_performance'!R279</f>
        <v>4.902217405</v>
      </c>
      <c r="BC279" s="35">
        <f>'1kpi_performance'!S279</f>
        <v>5.848427523</v>
      </c>
      <c r="BD279" s="35">
        <f>'1kpi_performance'!T279</f>
        <v>6.75836394</v>
      </c>
      <c r="BE279" s="35">
        <f>'1kpi_performance'!U279</f>
        <v>0.2049260143</v>
      </c>
      <c r="BF279" s="47"/>
      <c r="BG279" s="47"/>
      <c r="BH279" s="47"/>
      <c r="BI279" s="47"/>
      <c r="BJ279" s="47"/>
      <c r="BK279" s="47"/>
      <c r="BL279" s="47"/>
      <c r="BM279" s="47"/>
      <c r="BN279" s="47"/>
      <c r="BO279" s="47"/>
      <c r="BP279" s="47"/>
      <c r="BQ279" s="47"/>
      <c r="BR279" s="47"/>
      <c r="BS279" s="47"/>
      <c r="BT279" s="47"/>
    </row>
    <row r="280" ht="11.25" customHeight="1">
      <c r="A280" s="35" t="str">
        <f>'13all_company_profile'!A280</f>
        <v>HOLX</v>
      </c>
      <c r="B280" s="35" t="str">
        <f>'13all_company_profile'!B280</f>
        <v>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v>
      </c>
      <c r="C280" s="44" t="str">
        <f>'13all_company_profile'!C280</f>
        <v>https://financialmodelingprep.com/image-stock/HOLX.png</v>
      </c>
      <c r="D280" s="35" t="str">
        <f>'13all_company_profile'!D280</f>
        <v>Hologic, Inc.</v>
      </c>
      <c r="E280" s="36">
        <f>'13all_company_profile'!E280</f>
        <v>17518649344</v>
      </c>
      <c r="F280" s="37">
        <f>'13all_company_profile'!F280</f>
        <v>2571765</v>
      </c>
      <c r="G280" s="35">
        <f>'13all_company_profile'!G280</f>
        <v>0</v>
      </c>
      <c r="H280" s="38">
        <f>'13all_company_profile'!H280</f>
        <v>44405</v>
      </c>
      <c r="I280" s="35">
        <f>'13all_company_profile'!I280</f>
        <v>9.605877</v>
      </c>
      <c r="J280" s="35">
        <f>'13all_company_profile'!J280</f>
        <v>7.282</v>
      </c>
      <c r="K280" s="42" t="str">
        <f t="shared" si="1"/>
        <v>NaN</v>
      </c>
      <c r="L280" s="35">
        <f>'7company_info'!B280</f>
        <v>70.17</v>
      </c>
      <c r="M280" s="35">
        <f>'7company_info'!C280</f>
        <v>71.2</v>
      </c>
      <c r="N280" s="35">
        <f>'7company_info'!D280</f>
        <v>69.97</v>
      </c>
      <c r="O280" s="35">
        <f>'7company_info'!E280</f>
        <v>-0.2</v>
      </c>
      <c r="P280" s="35">
        <f>'7company_info'!F280</f>
        <v>-0.0028</v>
      </c>
      <c r="Q280" s="35">
        <f>'7company_info'!G280</f>
        <v>70.64</v>
      </c>
      <c r="R280" s="35">
        <f>'7company_info'!H280</f>
        <v>70.37</v>
      </c>
      <c r="S280" s="35">
        <f>'7company_info'!I280</f>
        <v>56.81</v>
      </c>
      <c r="T280" s="35">
        <f>'7company_info'!J280</f>
        <v>85</v>
      </c>
      <c r="U280" s="39">
        <v>67.85</v>
      </c>
      <c r="V280" s="39">
        <v>68.56</v>
      </c>
      <c r="W280" s="40">
        <v>69.56</v>
      </c>
      <c r="X280" s="40">
        <v>71.27</v>
      </c>
      <c r="Y280" s="40">
        <v>66.85</v>
      </c>
      <c r="Z280" s="40">
        <v>66.14</v>
      </c>
      <c r="AA280" s="40">
        <v>64.43</v>
      </c>
      <c r="AB280" s="40">
        <v>67.14</v>
      </c>
      <c r="AC280" s="40">
        <v>70.145</v>
      </c>
      <c r="AD280" s="40">
        <v>66.9577370180741</v>
      </c>
      <c r="AE280" s="40">
        <v>65.73873</v>
      </c>
      <c r="AF280" s="40">
        <v>1.43288499999999</v>
      </c>
      <c r="AG280" s="40">
        <v>85.0</v>
      </c>
      <c r="AH280" s="45">
        <v>44229.0</v>
      </c>
      <c r="AI280" s="44" t="str">
        <f>'6image_RS_benchmark_performance'!B280</f>
        <v>https://3arbzfbsh-cname-us.ngrok.io/Desktop/seabridge%20fintech/image_app/HOLX_resistance_support.jpg</v>
      </c>
      <c r="AJ280" s="44" t="str">
        <f>'6image_RS_benchmark_performance'!C280</f>
        <v>https://3arbzfbsh-cname-us.ngrok.io/Desktop/seabridge%20fintech/profit_graph_app/HOLX_Return.jpg</v>
      </c>
      <c r="AK280" s="46" t="str">
        <f>'5price_action_icon'!B280</f>
        <v>https://3arbzfbsh-cname-us.ngrok.io/Desktop/seabridge%20fintech/icon/HOLX_pa_trend_signal</v>
      </c>
      <c r="AL280" s="42">
        <f>'1kpi_performance'!B280</f>
        <v>0.6464317921</v>
      </c>
      <c r="AM280" s="42">
        <f>'1kpi_performance'!C280</f>
        <v>0.7701545485</v>
      </c>
      <c r="AN280" s="42">
        <f>'1kpi_performance'!D280</f>
        <v>0.658273456</v>
      </c>
      <c r="AO280" s="42">
        <f>'1kpi_performance'!E280</f>
        <v>0.1984870344</v>
      </c>
      <c r="AP280" s="42">
        <f>'1kpi_performance'!F280</f>
        <v>0.23757608</v>
      </c>
      <c r="AQ280" s="42">
        <f>'1kpi_performance'!G280</f>
        <v>0.2311392493</v>
      </c>
      <c r="AR280" s="42">
        <f>'1kpi_performance'!H280</f>
        <v>0.2380638162</v>
      </c>
      <c r="AS280" s="42">
        <f>'1kpi_performance'!I280</f>
        <v>0.3491198925</v>
      </c>
      <c r="AT280" s="35">
        <f>'1kpi_performance'!J280</f>
        <v>2.615717003</v>
      </c>
      <c r="AU280" s="35">
        <f>'1kpi_performance'!K280</f>
        <v>3.223833905</v>
      </c>
      <c r="AV280" s="35">
        <f>'1kpi_performance'!L280</f>
        <v>2.660099574</v>
      </c>
      <c r="AW280" s="35">
        <f>'1kpi_performance'!M280</f>
        <v>0.4969268096</v>
      </c>
      <c r="AX280" s="42">
        <f>'1kpi_performance'!N280</f>
        <v>0.1564364372</v>
      </c>
      <c r="AY280" s="42">
        <f>'1kpi_performance'!O280</f>
        <v>0.1007090148</v>
      </c>
      <c r="AZ280" s="42">
        <f>'1kpi_performance'!P280</f>
        <v>0.2425411944</v>
      </c>
      <c r="BA280" s="42">
        <f>'1kpi_performance'!Q280</f>
        <v>0.4623970723</v>
      </c>
      <c r="BB280" s="35">
        <f>'1kpi_performance'!R280</f>
        <v>5.806223994</v>
      </c>
      <c r="BC280" s="35">
        <f>'1kpi_performance'!S280</f>
        <v>7.708133951</v>
      </c>
      <c r="BD280" s="35">
        <f>'1kpi_performance'!T280</f>
        <v>5.398145676</v>
      </c>
      <c r="BE280" s="35">
        <f>'1kpi_performance'!U280</f>
        <v>0.9387053908</v>
      </c>
      <c r="BF280" s="47"/>
      <c r="BG280" s="47"/>
      <c r="BH280" s="47"/>
      <c r="BI280" s="47"/>
      <c r="BJ280" s="47"/>
      <c r="BK280" s="47"/>
      <c r="BL280" s="47"/>
      <c r="BM280" s="47"/>
      <c r="BN280" s="47"/>
      <c r="BO280" s="47"/>
      <c r="BP280" s="47"/>
      <c r="BQ280" s="47"/>
      <c r="BR280" s="47"/>
      <c r="BS280" s="47"/>
      <c r="BT280" s="47"/>
    </row>
    <row r="281" ht="11.25" customHeight="1">
      <c r="A281" s="35" t="str">
        <f>'13all_company_profile'!A281</f>
        <v>HOME</v>
      </c>
      <c r="B281" s="35" t="str">
        <f>'13all_company_profile'!B281</f>
        <v>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v>
      </c>
      <c r="C281" s="44" t="str">
        <f>'13all_company_profile'!C281</f>
        <v>https://financialmodelingprep.com/image-stock/HOME.png</v>
      </c>
      <c r="D281" s="35" t="str">
        <f>'13all_company_profile'!D281</f>
        <v>At Home Group Inc.</v>
      </c>
      <c r="E281" s="36">
        <f>'13all_company_profile'!E281</f>
        <v>2417669120</v>
      </c>
      <c r="F281" s="37">
        <f>'13all_company_profile'!F281</f>
        <v>2012795</v>
      </c>
      <c r="G281" s="35">
        <f>'13all_company_profile'!G281</f>
        <v>0</v>
      </c>
      <c r="H281" s="38" t="str">
        <f>'13all_company_profile'!H281</f>
        <v>not avaiable</v>
      </c>
      <c r="I281" s="35">
        <f>'13all_company_profile'!I281</f>
        <v>9.125865</v>
      </c>
      <c r="J281" s="35">
        <f>'13all_company_profile'!J281</f>
        <v>4.044</v>
      </c>
      <c r="K281" s="42" t="str">
        <f t="shared" si="1"/>
        <v>NaN</v>
      </c>
      <c r="L281" s="35">
        <f>'7company_info'!B281</f>
        <v>36.99</v>
      </c>
      <c r="M281" s="35">
        <f>'7company_info'!C281</f>
        <v>37</v>
      </c>
      <c r="N281" s="35">
        <f>'7company_info'!D281</f>
        <v>36.93</v>
      </c>
      <c r="O281" s="35">
        <f>'7company_info'!E281</f>
        <v>0.03</v>
      </c>
      <c r="P281" s="35">
        <f>'7company_info'!F281</f>
        <v>0.0008</v>
      </c>
      <c r="Q281" s="35">
        <f>'7company_info'!G281</f>
        <v>36.93</v>
      </c>
      <c r="R281" s="35">
        <f>'7company_info'!H281</f>
        <v>36.96</v>
      </c>
      <c r="S281" s="35">
        <f>'7company_info'!I281</f>
        <v>6.35</v>
      </c>
      <c r="T281" s="35">
        <f>'7company_info'!J281</f>
        <v>38.06</v>
      </c>
      <c r="U281" s="39">
        <v>36.8133333333333</v>
      </c>
      <c r="V281" s="39">
        <v>36.8866666666666</v>
      </c>
      <c r="W281" s="40">
        <v>36.9733333333333</v>
      </c>
      <c r="X281" s="40">
        <v>37.1333333333333</v>
      </c>
      <c r="Y281" s="40">
        <v>36.7266666666666</v>
      </c>
      <c r="Z281" s="40">
        <v>36.6533333333333</v>
      </c>
      <c r="AA281" s="40">
        <v>36.4933333333333</v>
      </c>
      <c r="AB281" s="40">
        <v>36.04</v>
      </c>
      <c r="AC281" s="40">
        <v>37.08</v>
      </c>
      <c r="AD281" s="40">
        <v>36.7086100513993</v>
      </c>
      <c r="AE281" s="40">
        <v>36.3214999999999</v>
      </c>
      <c r="AF281" s="40">
        <v>0.20075</v>
      </c>
      <c r="AG281" s="40">
        <v>38.06</v>
      </c>
      <c r="AH281" s="45">
        <v>44333.0</v>
      </c>
      <c r="AI281" s="44" t="str">
        <f>'6image_RS_benchmark_performance'!B281</f>
        <v>https://3arbzfbsh-cname-us.ngrok.io/Desktop/seabridge%20fintech/image_app/HOME_resistance_support.jpg</v>
      </c>
      <c r="AJ281" s="44" t="str">
        <f>'6image_RS_benchmark_performance'!C281</f>
        <v>https://3arbzfbsh-cname-us.ngrok.io/Desktop/seabridge%20fintech/profit_graph_app/HOME_Return.jpg</v>
      </c>
      <c r="AK281" s="46" t="str">
        <f>'5price_action_icon'!B281</f>
        <v>https://3arbzfbsh-cname-us.ngrok.io/Desktop/seabridge%20fintech/icon/HOME_pa_trend_signal</v>
      </c>
      <c r="AL281" s="42">
        <f>'1kpi_performance'!B281</f>
        <v>3.577401506</v>
      </c>
      <c r="AM281" s="42">
        <f>'1kpi_performance'!C281</f>
        <v>5.59391625</v>
      </c>
      <c r="AN281" s="42">
        <f>'1kpi_performance'!D281</f>
        <v>1.959156626</v>
      </c>
      <c r="AO281" s="42">
        <f>'1kpi_performance'!E281</f>
        <v>0.2968269539</v>
      </c>
      <c r="AP281" s="42">
        <f>'1kpi_performance'!F281</f>
        <v>0.6876556657</v>
      </c>
      <c r="AQ281" s="42">
        <f>'1kpi_performance'!G281</f>
        <v>0.6476521161</v>
      </c>
      <c r="AR281" s="42">
        <f>'1kpi_performance'!H281</f>
        <v>0.5776066265</v>
      </c>
      <c r="AS281" s="42">
        <f>'1kpi_performance'!I281</f>
        <v>1.059879669</v>
      </c>
      <c r="AT281" s="35">
        <f>'1kpi_performance'!J281</f>
        <v>5.165959771</v>
      </c>
      <c r="AU281" s="35">
        <f>'1kpi_performance'!K281</f>
        <v>8.598622797</v>
      </c>
      <c r="AV281" s="35">
        <f>'1kpi_performance'!L281</f>
        <v>3.3485707</v>
      </c>
      <c r="AW281" s="35">
        <f>'1kpi_performance'!M281</f>
        <v>0.256469637</v>
      </c>
      <c r="AX281" s="42">
        <f>'1kpi_performance'!N281</f>
        <v>0.3884859823</v>
      </c>
      <c r="AY281" s="42">
        <f>'1kpi_performance'!O281</f>
        <v>0.2457337884</v>
      </c>
      <c r="AZ281" s="42">
        <f>'1kpi_performance'!P281</f>
        <v>0.447826087</v>
      </c>
      <c r="BA281" s="42">
        <f>'1kpi_performance'!Q281</f>
        <v>0.9651619235</v>
      </c>
      <c r="BB281" s="35">
        <f>'1kpi_performance'!R281</f>
        <v>13.31137</v>
      </c>
      <c r="BC281" s="35">
        <f>'1kpi_performance'!S281</f>
        <v>25.11840734</v>
      </c>
      <c r="BD281" s="35">
        <f>'1kpi_performance'!T281</f>
        <v>7.163809773</v>
      </c>
      <c r="BE281" s="35">
        <f>'1kpi_performance'!U281</f>
        <v>0.4796567014</v>
      </c>
      <c r="BF281" s="47"/>
      <c r="BG281" s="47"/>
      <c r="BH281" s="47"/>
      <c r="BI281" s="47"/>
      <c r="BJ281" s="47"/>
      <c r="BK281" s="47"/>
      <c r="BL281" s="47"/>
      <c r="BM281" s="47"/>
      <c r="BN281" s="47"/>
      <c r="BO281" s="47"/>
      <c r="BP281" s="47"/>
      <c r="BQ281" s="47"/>
      <c r="BR281" s="47"/>
      <c r="BS281" s="47"/>
      <c r="BT281" s="47"/>
    </row>
    <row r="282" ht="11.25" customHeight="1">
      <c r="A282" s="35" t="str">
        <f>'13all_company_profile'!A282</f>
        <v>HON</v>
      </c>
      <c r="B282" s="35" t="str">
        <f>'13all_company_profile'!B282</f>
        <v>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v>
      </c>
      <c r="C282" s="44" t="str">
        <f>'13all_company_profile'!C282</f>
        <v>https://financialmodelingprep.com/image-stock/HON.png</v>
      </c>
      <c r="D282" s="35" t="str">
        <f>'13all_company_profile'!D282</f>
        <v>Honeywell International Inc.</v>
      </c>
      <c r="E282" s="36">
        <f>'13all_company_profile'!E282</f>
        <v>161699594240</v>
      </c>
      <c r="F282" s="37">
        <f>'13all_company_profile'!F282</f>
        <v>2562009</v>
      </c>
      <c r="G282" s="35">
        <f>'13all_company_profile'!G282</f>
        <v>3.69</v>
      </c>
      <c r="H282" s="38">
        <f>'13all_company_profile'!H282</f>
        <v>44399</v>
      </c>
      <c r="I282" s="35">
        <f>'13all_company_profile'!I282</f>
        <v>35.237293</v>
      </c>
      <c r="J282" s="35">
        <f>'13all_company_profile'!J282</f>
        <v>6.532</v>
      </c>
      <c r="K282" s="42">
        <f t="shared" si="1"/>
        <v>0.01606722982</v>
      </c>
      <c r="L282" s="35">
        <f>'7company_info'!B282</f>
        <v>229.66</v>
      </c>
      <c r="M282" s="35">
        <f>'7company_info'!C282</f>
        <v>231.27</v>
      </c>
      <c r="N282" s="35">
        <f>'7company_info'!D282</f>
        <v>221.5</v>
      </c>
      <c r="O282" s="35">
        <f>'7company_info'!E282</f>
        <v>9</v>
      </c>
      <c r="P282" s="35">
        <f>'7company_info'!F282</f>
        <v>0.0408</v>
      </c>
      <c r="Q282" s="35">
        <f>'7company_info'!G282</f>
        <v>221.64</v>
      </c>
      <c r="R282" s="35">
        <f>'7company_info'!H282</f>
        <v>220.66</v>
      </c>
      <c r="S282" s="35">
        <f>'7company_info'!I282</f>
        <v>146.21</v>
      </c>
      <c r="T282" s="35">
        <f>'7company_info'!J282</f>
        <v>234.02</v>
      </c>
      <c r="U282" s="39">
        <v>226.8992</v>
      </c>
      <c r="V282" s="39">
        <v>229.6308</v>
      </c>
      <c r="W282" s="40">
        <v>231.4916</v>
      </c>
      <c r="X282" s="40">
        <v>236.084</v>
      </c>
      <c r="Y282" s="40">
        <v>225.0384</v>
      </c>
      <c r="Z282" s="40">
        <v>222.3068</v>
      </c>
      <c r="AA282" s="40">
        <v>217.7144</v>
      </c>
      <c r="AB282" s="40">
        <v>224.1676</v>
      </c>
      <c r="AC282" s="40">
        <v>218.36</v>
      </c>
      <c r="AD282" s="40">
        <v>221.805401000888</v>
      </c>
      <c r="AE282" s="40">
        <v>217.07203</v>
      </c>
      <c r="AF282" s="40">
        <v>3.628485</v>
      </c>
      <c r="AG282" s="40">
        <v>234.02</v>
      </c>
      <c r="AH282" s="45">
        <v>44349.0</v>
      </c>
      <c r="AI282" s="44" t="str">
        <f>'6image_RS_benchmark_performance'!B282</f>
        <v>https://3arbzfbsh-cname-us.ngrok.io/Desktop/seabridge%20fintech/image_app/HON_resistance_support.jpg</v>
      </c>
      <c r="AJ282" s="44" t="str">
        <f>'6image_RS_benchmark_performance'!C282</f>
        <v>https://3arbzfbsh-cname-us.ngrok.io/Desktop/seabridge%20fintech/profit_graph_app/HON_Return.jpg</v>
      </c>
      <c r="AK282" s="46" t="str">
        <f>'5price_action_icon'!B282</f>
        <v>https://3arbzfbsh-cname-us.ngrok.io/Desktop/seabridge%20fintech/icon/HON_pa_trend_signal</v>
      </c>
      <c r="AL282" s="42">
        <f>'1kpi_performance'!B282</f>
        <v>0.4705412536</v>
      </c>
      <c r="AM282" s="42">
        <f>'1kpi_performance'!C282</f>
        <v>0.6144200689</v>
      </c>
      <c r="AN282" s="42">
        <f>'1kpi_performance'!D282</f>
        <v>0.5560013603</v>
      </c>
      <c r="AO282" s="42">
        <f>'1kpi_performance'!E282</f>
        <v>0.2468635673</v>
      </c>
      <c r="AP282" s="42">
        <f>'1kpi_performance'!F282</f>
        <v>0.176437208</v>
      </c>
      <c r="AQ282" s="42">
        <f>'1kpi_performance'!G282</f>
        <v>0.1905082399</v>
      </c>
      <c r="AR282" s="42">
        <f>'1kpi_performance'!H282</f>
        <v>0.180637846</v>
      </c>
      <c r="AS282" s="42">
        <f>'1kpi_performance'!I282</f>
        <v>0.2816254317</v>
      </c>
      <c r="AT282" s="35">
        <f>'1kpi_performance'!J282</f>
        <v>2.525211425</v>
      </c>
      <c r="AU282" s="35">
        <f>'1kpi_performance'!K282</f>
        <v>3.093934777</v>
      </c>
      <c r="AV282" s="35">
        <f>'1kpi_performance'!L282</f>
        <v>2.939590856</v>
      </c>
      <c r="AW282" s="35">
        <f>'1kpi_performance'!M282</f>
        <v>0.7877966345</v>
      </c>
      <c r="AX282" s="42">
        <f>'1kpi_performance'!N282</f>
        <v>0.1221509393</v>
      </c>
      <c r="AY282" s="42">
        <f>'1kpi_performance'!O282</f>
        <v>0.08837725056</v>
      </c>
      <c r="AZ282" s="42">
        <f>'1kpi_performance'!P282</f>
        <v>0.1621022956</v>
      </c>
      <c r="BA282" s="42">
        <f>'1kpi_performance'!Q282</f>
        <v>0.4331714239</v>
      </c>
      <c r="BB282" s="35">
        <f>'1kpi_performance'!R282</f>
        <v>5.355826515</v>
      </c>
      <c r="BC282" s="35">
        <f>'1kpi_performance'!S282</f>
        <v>7.122425703</v>
      </c>
      <c r="BD282" s="35">
        <f>'1kpi_performance'!T282</f>
        <v>6.422235314</v>
      </c>
      <c r="BE282" s="35">
        <f>'1kpi_performance'!U282</f>
        <v>1.541216985</v>
      </c>
      <c r="BF282" s="47"/>
      <c r="BG282" s="47"/>
      <c r="BH282" s="47"/>
      <c r="BI282" s="47"/>
      <c r="BJ282" s="47"/>
      <c r="BK282" s="47"/>
      <c r="BL282" s="47"/>
      <c r="BM282" s="47"/>
      <c r="BN282" s="47"/>
      <c r="BO282" s="47"/>
      <c r="BP282" s="47"/>
      <c r="BQ282" s="47"/>
      <c r="BR282" s="47"/>
      <c r="BS282" s="47"/>
      <c r="BT282" s="47"/>
    </row>
    <row r="283" ht="11.25" customHeight="1">
      <c r="A283" s="35" t="str">
        <f>'13all_company_profile'!A283</f>
        <v>HPE</v>
      </c>
      <c r="B283" s="35" t="str">
        <f>'13all_company_profile'!B283</f>
        <v>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v>
      </c>
      <c r="C283" s="44" t="str">
        <f>'13all_company_profile'!C283</f>
        <v>https://financialmodelingprep.com/image-stock/HPE.png</v>
      </c>
      <c r="D283" s="35" t="str">
        <f>'13all_company_profile'!D283</f>
        <v>Hewlett Packard Enterprise Company</v>
      </c>
      <c r="E283" s="36">
        <f>'13all_company_profile'!E283</f>
        <v>18413613056</v>
      </c>
      <c r="F283" s="37">
        <f>'13all_company_profile'!F283</f>
        <v>10004858</v>
      </c>
      <c r="G283" s="35">
        <f>'13all_company_profile'!G283</f>
        <v>0.48</v>
      </c>
      <c r="H283" s="38" t="str">
        <f>'13all_company_profile'!H283</f>
        <v>not avaiable</v>
      </c>
      <c r="I283" s="35">
        <f>'13all_company_profile'!I283</f>
        <v>28.083164</v>
      </c>
      <c r="J283" s="35">
        <f>'13all_company_profile'!J283</f>
        <v>0.493</v>
      </c>
      <c r="K283" s="42">
        <f t="shared" si="1"/>
        <v>0.03435934145</v>
      </c>
      <c r="L283" s="35">
        <f>'7company_info'!B283</f>
        <v>13.97</v>
      </c>
      <c r="M283" s="35">
        <f>'7company_info'!C283</f>
        <v>14.01</v>
      </c>
      <c r="N283" s="35">
        <f>'7company_info'!D283</f>
        <v>13.67</v>
      </c>
      <c r="O283" s="35">
        <f>'7company_info'!E283</f>
        <v>0.3</v>
      </c>
      <c r="P283" s="35">
        <f>'7company_info'!F283</f>
        <v>0.0219</v>
      </c>
      <c r="Q283" s="35">
        <f>'7company_info'!G283</f>
        <v>13.69</v>
      </c>
      <c r="R283" s="35">
        <f>'7company_info'!H283</f>
        <v>13.67</v>
      </c>
      <c r="S283" s="35">
        <f>'7company_info'!I283</f>
        <v>8.29</v>
      </c>
      <c r="T283" s="35">
        <f>'7company_info'!J283</f>
        <v>16.74</v>
      </c>
      <c r="U283" s="39">
        <v>14.0133333333333</v>
      </c>
      <c r="V283" s="39">
        <v>14.2166666666666</v>
      </c>
      <c r="W283" s="40">
        <v>14.4233333333333</v>
      </c>
      <c r="X283" s="40">
        <v>14.8333333333333</v>
      </c>
      <c r="Y283" s="40">
        <v>13.8066666666666</v>
      </c>
      <c r="Z283" s="40">
        <v>13.6033333333333</v>
      </c>
      <c r="AA283" s="40">
        <v>13.1933333333333</v>
      </c>
      <c r="AB283" s="40">
        <v>14.3</v>
      </c>
      <c r="AC283" s="40">
        <v>16.38</v>
      </c>
      <c r="AD283" s="40">
        <v>14.6475339522958</v>
      </c>
      <c r="AE283" s="40">
        <v>13.09106</v>
      </c>
      <c r="AF283" s="40">
        <v>0.34697</v>
      </c>
      <c r="AG283" s="40">
        <v>16.74</v>
      </c>
      <c r="AH283" s="45">
        <v>44326.0</v>
      </c>
      <c r="AI283" s="44" t="str">
        <f>'6image_RS_benchmark_performance'!B283</f>
        <v>https://3arbzfbsh-cname-us.ngrok.io/Desktop/seabridge%20fintech/image_app/HPE_resistance_support.jpg</v>
      </c>
      <c r="AJ283" s="44" t="str">
        <f>'6image_RS_benchmark_performance'!C283</f>
        <v>https://3arbzfbsh-cname-us.ngrok.io/Desktop/seabridge%20fintech/profit_graph_app/HPE_Return.jpg</v>
      </c>
      <c r="AK283" s="46" t="str">
        <f>'5price_action_icon'!B283</f>
        <v>https://3arbzfbsh-cname-us.ngrok.io/Desktop/seabridge%20fintech/icon/HPE_pa_trend_signal</v>
      </c>
      <c r="AL283" s="42">
        <f>'1kpi_performance'!B283</f>
        <v>0.774699025</v>
      </c>
      <c r="AM283" s="42">
        <f>'1kpi_performance'!C283</f>
        <v>0.9146275887</v>
      </c>
      <c r="AN283" s="42">
        <f>'1kpi_performance'!D283</f>
        <v>0.8033368898</v>
      </c>
      <c r="AO283" s="42">
        <f>'1kpi_performance'!E283</f>
        <v>0.09839347366</v>
      </c>
      <c r="AP283" s="42">
        <f>'1kpi_performance'!F283</f>
        <v>0.3161741718</v>
      </c>
      <c r="AQ283" s="42">
        <f>'1kpi_performance'!G283</f>
        <v>0.2955278746</v>
      </c>
      <c r="AR283" s="42">
        <f>'1kpi_performance'!H283</f>
        <v>0.2995400322</v>
      </c>
      <c r="AS283" s="42">
        <f>'1kpi_performance'!I283</f>
        <v>0.4332216056</v>
      </c>
      <c r="AT283" s="35">
        <f>'1kpi_performance'!J283</f>
        <v>2.371158342</v>
      </c>
      <c r="AU283" s="35">
        <f>'1kpi_performance'!K283</f>
        <v>3.010300094</v>
      </c>
      <c r="AV283" s="35">
        <f>'1kpi_performance'!L283</f>
        <v>2.598440296</v>
      </c>
      <c r="AW283" s="35">
        <f>'1kpi_performance'!M283</f>
        <v>0.169413235</v>
      </c>
      <c r="AX283" s="42">
        <f>'1kpi_performance'!N283</f>
        <v>0.2223560612</v>
      </c>
      <c r="AY283" s="42">
        <f>'1kpi_performance'!O283</f>
        <v>0.2223560612</v>
      </c>
      <c r="AZ283" s="42">
        <f>'1kpi_performance'!P283</f>
        <v>0.2400462032</v>
      </c>
      <c r="BA283" s="42">
        <f>'1kpi_performance'!Q283</f>
        <v>0.5965996909</v>
      </c>
      <c r="BB283" s="35">
        <f>'1kpi_performance'!R283</f>
        <v>4.939091907</v>
      </c>
      <c r="BC283" s="35">
        <f>'1kpi_performance'!S283</f>
        <v>6.851363512</v>
      </c>
      <c r="BD283" s="35">
        <f>'1kpi_performance'!T283</f>
        <v>5.70666245</v>
      </c>
      <c r="BE283" s="35">
        <f>'1kpi_performance'!U283</f>
        <v>0.3196918069</v>
      </c>
      <c r="BF283" s="47"/>
      <c r="BG283" s="47"/>
      <c r="BH283" s="47"/>
      <c r="BI283" s="47"/>
      <c r="BJ283" s="47"/>
      <c r="BK283" s="47"/>
      <c r="BL283" s="47"/>
      <c r="BM283" s="47"/>
      <c r="BN283" s="47"/>
      <c r="BO283" s="47"/>
      <c r="BP283" s="47"/>
      <c r="BQ283" s="47"/>
      <c r="BR283" s="47"/>
      <c r="BS283" s="47"/>
      <c r="BT283" s="47"/>
    </row>
    <row r="284" ht="11.25" customHeight="1">
      <c r="A284" s="35" t="str">
        <f>'13all_company_profile'!A284</f>
        <v>HPQ</v>
      </c>
      <c r="B284" s="35" t="str">
        <f>'13all_company_profile'!B284</f>
        <v>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v>
      </c>
      <c r="C284" s="44" t="str">
        <f>'13all_company_profile'!C284</f>
        <v>https://financialmodelingprep.com/image-stock/HPQ.png</v>
      </c>
      <c r="D284" s="35" t="str">
        <f>'13all_company_profile'!D284</f>
        <v>HP Inc.</v>
      </c>
      <c r="E284" s="36">
        <f>'13all_company_profile'!E284</f>
        <v>33767419904</v>
      </c>
      <c r="F284" s="37">
        <f>'13all_company_profile'!F284</f>
        <v>9868857</v>
      </c>
      <c r="G284" s="35">
        <f>'13all_company_profile'!G284</f>
        <v>0.758</v>
      </c>
      <c r="H284" s="38" t="str">
        <f>'13all_company_profile'!H284</f>
        <v>not avaiable</v>
      </c>
      <c r="I284" s="35">
        <f>'13all_company_profile'!I284</f>
        <v>9.883262</v>
      </c>
      <c r="J284" s="35">
        <f>'13all_company_profile'!J284</f>
        <v>2.784</v>
      </c>
      <c r="K284" s="42">
        <f t="shared" si="1"/>
        <v>0.02686990429</v>
      </c>
      <c r="L284" s="35">
        <f>'7company_info'!B284</f>
        <v>28.21</v>
      </c>
      <c r="M284" s="35">
        <f>'7company_info'!C284</f>
        <v>28.67</v>
      </c>
      <c r="N284" s="35">
        <f>'7company_info'!D284</f>
        <v>27.74</v>
      </c>
      <c r="O284" s="35">
        <f>'7company_info'!E284</f>
        <v>0.62</v>
      </c>
      <c r="P284" s="35">
        <f>'7company_info'!F284</f>
        <v>0.0225</v>
      </c>
      <c r="Q284" s="35">
        <f>'7company_info'!G284</f>
        <v>27.74</v>
      </c>
      <c r="R284" s="35">
        <f>'7company_info'!H284</f>
        <v>27.59</v>
      </c>
      <c r="S284" s="35">
        <f>'7company_info'!I284</f>
        <v>16.66</v>
      </c>
      <c r="T284" s="35">
        <f>'7company_info'!J284</f>
        <v>36</v>
      </c>
      <c r="U284" s="39">
        <v>28.5816666666666</v>
      </c>
      <c r="V284" s="39">
        <v>28.8583333333333</v>
      </c>
      <c r="W284" s="40">
        <v>29.1266666666666</v>
      </c>
      <c r="X284" s="40">
        <v>29.6716666666666</v>
      </c>
      <c r="Y284" s="40">
        <v>28.3133333333333</v>
      </c>
      <c r="Z284" s="40">
        <v>28.0366666666666</v>
      </c>
      <c r="AA284" s="40">
        <v>27.4916666666666</v>
      </c>
      <c r="AB284" s="40">
        <v>28.63</v>
      </c>
      <c r="AC284" s="40">
        <v>30.5</v>
      </c>
      <c r="AD284" s="40">
        <v>29.7266282352878</v>
      </c>
      <c r="AE284" s="40">
        <v>26.90782</v>
      </c>
      <c r="AF284" s="40">
        <v>0.657339999999999</v>
      </c>
      <c r="AG284" s="40">
        <v>36.0</v>
      </c>
      <c r="AH284" s="45">
        <v>44326.0</v>
      </c>
      <c r="AI284" s="44" t="str">
        <f>'6image_RS_benchmark_performance'!B284</f>
        <v>https://3arbzfbsh-cname-us.ngrok.io/Desktop/seabridge%20fintech/image_app/HPQ_resistance_support.jpg</v>
      </c>
      <c r="AJ284" s="44" t="str">
        <f>'6image_RS_benchmark_performance'!C284</f>
        <v>https://3arbzfbsh-cname-us.ngrok.io/Desktop/seabridge%20fintech/profit_graph_app/HPQ_Return.jpg</v>
      </c>
      <c r="AK284" s="46" t="str">
        <f>'5price_action_icon'!B284</f>
        <v>https://3arbzfbsh-cname-us.ngrok.io/Desktop/seabridge%20fintech/icon/HPQ_pa_trend_signal</v>
      </c>
      <c r="AL284" s="42">
        <f>'1kpi_performance'!B284</f>
        <v>0.6212051519</v>
      </c>
      <c r="AM284" s="42">
        <f>'1kpi_performance'!C284</f>
        <v>0.9232026553</v>
      </c>
      <c r="AN284" s="42">
        <f>'1kpi_performance'!D284</f>
        <v>0.7859204782</v>
      </c>
      <c r="AO284" s="42">
        <f>'1kpi_performance'!E284</f>
        <v>0.0259004115</v>
      </c>
      <c r="AP284" s="42">
        <f>'1kpi_performance'!F284</f>
        <v>0.2678360265</v>
      </c>
      <c r="AQ284" s="42">
        <f>'1kpi_performance'!G284</f>
        <v>0.2673969404</v>
      </c>
      <c r="AR284" s="42">
        <f>'1kpi_performance'!H284</f>
        <v>0.2596848005</v>
      </c>
      <c r="AS284" s="42">
        <f>'1kpi_performance'!I284</f>
        <v>0.408192194</v>
      </c>
      <c r="AT284" s="35">
        <f>'1kpi_performance'!J284</f>
        <v>2.226008053</v>
      </c>
      <c r="AU284" s="35">
        <f>'1kpi_performance'!K284</f>
        <v>3.35906108</v>
      </c>
      <c r="AV284" s="35">
        <f>'1kpi_performance'!L284</f>
        <v>2.930169485</v>
      </c>
      <c r="AW284" s="35">
        <f>'1kpi_performance'!M284</f>
        <v>0.002205851837</v>
      </c>
      <c r="AX284" s="42">
        <f>'1kpi_performance'!N284</f>
        <v>0.2462275017</v>
      </c>
      <c r="AY284" s="42">
        <f>'1kpi_performance'!O284</f>
        <v>0.1962095875</v>
      </c>
      <c r="AZ284" s="42">
        <f>'1kpi_performance'!P284</f>
        <v>0.279705917</v>
      </c>
      <c r="BA284" s="42">
        <f>'1kpi_performance'!Q284</f>
        <v>0.7852167871</v>
      </c>
      <c r="BB284" s="35">
        <f>'1kpi_performance'!R284</f>
        <v>4.451889697</v>
      </c>
      <c r="BC284" s="35">
        <f>'1kpi_performance'!S284</f>
        <v>7.78369261</v>
      </c>
      <c r="BD284" s="35">
        <f>'1kpi_performance'!T284</f>
        <v>6.514980036</v>
      </c>
      <c r="BE284" s="35">
        <f>'1kpi_performance'!U284</f>
        <v>0.003962972664</v>
      </c>
      <c r="BF284" s="47"/>
      <c r="BG284" s="47"/>
      <c r="BH284" s="47"/>
      <c r="BI284" s="47"/>
      <c r="BJ284" s="47"/>
      <c r="BK284" s="47"/>
      <c r="BL284" s="47"/>
      <c r="BM284" s="47"/>
      <c r="BN284" s="47"/>
      <c r="BO284" s="47"/>
      <c r="BP284" s="47"/>
      <c r="BQ284" s="47"/>
      <c r="BR284" s="47"/>
      <c r="BS284" s="47"/>
      <c r="BT284" s="47"/>
    </row>
    <row r="285" ht="11.25" customHeight="1">
      <c r="A285" s="35" t="str">
        <f>'13all_company_profile'!A285</f>
        <v>HRL</v>
      </c>
      <c r="B285" s="35" t="str">
        <f>'13all_company_profile'!B285</f>
        <v>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v>
      </c>
      <c r="C285" s="44" t="str">
        <f>'13all_company_profile'!C285</f>
        <v>https://financialmodelingprep.com/image-stock/HRL.png</v>
      </c>
      <c r="D285" s="35" t="str">
        <f>'13all_company_profile'!D285</f>
        <v>Hormel Foods Corporation</v>
      </c>
      <c r="E285" s="36">
        <f>'13all_company_profile'!E285</f>
        <v>25965393920</v>
      </c>
      <c r="F285" s="37">
        <f>'13all_company_profile'!F285</f>
        <v>2017888</v>
      </c>
      <c r="G285" s="35">
        <f>'13all_company_profile'!G285</f>
        <v>0.9675</v>
      </c>
      <c r="H285" s="38" t="str">
        <f>'13all_company_profile'!H285</f>
        <v>not avaiable</v>
      </c>
      <c r="I285" s="35">
        <f>'13all_company_profile'!I285</f>
        <v>29.817902</v>
      </c>
      <c r="J285" s="35">
        <f>'13all_company_profile'!J285</f>
        <v>1.62</v>
      </c>
      <c r="K285" s="42">
        <f t="shared" si="1"/>
        <v>0.02021098809</v>
      </c>
      <c r="L285" s="35">
        <f>'7company_info'!B285</f>
        <v>47.87</v>
      </c>
      <c r="M285" s="35">
        <f>'7company_info'!C285</f>
        <v>48.88</v>
      </c>
      <c r="N285" s="35">
        <f>'7company_info'!D285</f>
        <v>47.8</v>
      </c>
      <c r="O285" s="35">
        <f>'7company_info'!E285</f>
        <v>-0.44</v>
      </c>
      <c r="P285" s="35">
        <f>'7company_info'!F285</f>
        <v>-0.0091</v>
      </c>
      <c r="Q285" s="35">
        <f>'7company_info'!G285</f>
        <v>48.39</v>
      </c>
      <c r="R285" s="35">
        <f>'7company_info'!H285</f>
        <v>48.31</v>
      </c>
      <c r="S285" s="35">
        <f>'7company_info'!I285</f>
        <v>43.45</v>
      </c>
      <c r="T285" s="35">
        <f>'7company_info'!J285</f>
        <v>52.97</v>
      </c>
      <c r="U285" s="39">
        <v>47.086</v>
      </c>
      <c r="V285" s="39">
        <v>47.407</v>
      </c>
      <c r="W285" s="40">
        <v>47.604</v>
      </c>
      <c r="X285" s="40">
        <v>48.122</v>
      </c>
      <c r="Y285" s="40">
        <v>46.889</v>
      </c>
      <c r="Z285" s="40">
        <v>46.568</v>
      </c>
      <c r="AA285" s="40">
        <v>46.05</v>
      </c>
      <c r="AB285" s="40">
        <v>48.33</v>
      </c>
      <c r="AC285" s="40">
        <v>49.295</v>
      </c>
      <c r="AD285" s="40">
        <v>47.6881947127678</v>
      </c>
      <c r="AE285" s="40">
        <v>45.95738</v>
      </c>
      <c r="AF285" s="40">
        <v>0.57751</v>
      </c>
      <c r="AG285" s="40">
        <v>50.86</v>
      </c>
      <c r="AH285" s="45">
        <v>44229.0</v>
      </c>
      <c r="AI285" s="44" t="str">
        <f>'6image_RS_benchmark_performance'!B285</f>
        <v>https://3arbzfbsh-cname-us.ngrok.io/Desktop/seabridge%20fintech/image_app/HRL_resistance_support.jpg</v>
      </c>
      <c r="AJ285" s="44" t="str">
        <f>'6image_RS_benchmark_performance'!C285</f>
        <v>https://3arbzfbsh-cname-us.ngrok.io/Desktop/seabridge%20fintech/profit_graph_app/HRL_Return.jpg</v>
      </c>
      <c r="AK285" s="46" t="str">
        <f>'5price_action_icon'!B285</f>
        <v>https://3arbzfbsh-cname-us.ngrok.io/Desktop/seabridge%20fintech/icon/HRL_pa_trend_signal</v>
      </c>
      <c r="AL285" s="42">
        <f>'1kpi_performance'!B285</f>
        <v>0.3864987189</v>
      </c>
      <c r="AM285" s="42">
        <f>'1kpi_performance'!C285</f>
        <v>0.4480380475</v>
      </c>
      <c r="AN285" s="42">
        <f>'1kpi_performance'!D285</f>
        <v>0.4631168823</v>
      </c>
      <c r="AO285" s="42">
        <f>'1kpi_performance'!E285</f>
        <v>0.2188827004</v>
      </c>
      <c r="AP285" s="42">
        <f>'1kpi_performance'!F285</f>
        <v>0.1790160665</v>
      </c>
      <c r="AQ285" s="42">
        <f>'1kpi_performance'!G285</f>
        <v>0.173237198</v>
      </c>
      <c r="AR285" s="42">
        <f>'1kpi_performance'!H285</f>
        <v>0.1577352503</v>
      </c>
      <c r="AS285" s="42">
        <f>'1kpi_performance'!I285</f>
        <v>0.2421029988</v>
      </c>
      <c r="AT285" s="35">
        <f>'1kpi_performance'!J285</f>
        <v>2.019364664</v>
      </c>
      <c r="AU285" s="35">
        <f>'1kpi_performance'!K285</f>
        <v>2.441958496</v>
      </c>
      <c r="AV285" s="35">
        <f>'1kpi_performance'!L285</f>
        <v>2.777545802</v>
      </c>
      <c r="AW285" s="35">
        <f>'1kpi_performance'!M285</f>
        <v>0.8008273392</v>
      </c>
      <c r="AX285" s="42">
        <f>'1kpi_performance'!N285</f>
        <v>0.1364802588</v>
      </c>
      <c r="AY285" s="42">
        <f>'1kpi_performance'!O285</f>
        <v>0.1054284856</v>
      </c>
      <c r="AZ285" s="42">
        <f>'1kpi_performance'!P285</f>
        <v>0.1590084257</v>
      </c>
      <c r="BA285" s="42">
        <f>'1kpi_performance'!Q285</f>
        <v>0.3220148415</v>
      </c>
      <c r="BB285" s="35">
        <f>'1kpi_performance'!R285</f>
        <v>4.177163837</v>
      </c>
      <c r="BC285" s="35">
        <f>'1kpi_performance'!S285</f>
        <v>5.533021231</v>
      </c>
      <c r="BD285" s="35">
        <f>'1kpi_performance'!T285</f>
        <v>6.264242292</v>
      </c>
      <c r="BE285" s="35">
        <f>'1kpi_performance'!U285</f>
        <v>1.5743525</v>
      </c>
      <c r="BF285" s="47"/>
      <c r="BG285" s="47"/>
      <c r="BH285" s="47"/>
      <c r="BI285" s="47"/>
      <c r="BJ285" s="47"/>
      <c r="BK285" s="47"/>
      <c r="BL285" s="47"/>
      <c r="BM285" s="47"/>
      <c r="BN285" s="47"/>
      <c r="BO285" s="47"/>
      <c r="BP285" s="47"/>
      <c r="BQ285" s="47"/>
      <c r="BR285" s="47"/>
      <c r="BS285" s="47"/>
      <c r="BT285" s="47"/>
    </row>
    <row r="286" ht="11.25" customHeight="1">
      <c r="A286" s="35" t="str">
        <f>'13all_company_profile'!A286</f>
        <v>HSIC</v>
      </c>
      <c r="B286" s="35" t="str">
        <f>'13all_company_profile'!B286</f>
        <v>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v>
      </c>
      <c r="C286" s="44" t="str">
        <f>'13all_company_profile'!C286</f>
        <v>https://financialmodelingprep.com/image-stock/HSIC.png</v>
      </c>
      <c r="D286" s="35" t="str">
        <f>'13all_company_profile'!D286</f>
        <v>Henry Schein, Inc.</v>
      </c>
      <c r="E286" s="36">
        <f>'13all_company_profile'!E286</f>
        <v>10600036352</v>
      </c>
      <c r="F286" s="37">
        <f>'13all_company_profile'!F286</f>
        <v>905479</v>
      </c>
      <c r="G286" s="35">
        <f>'13all_company_profile'!G286</f>
        <v>0</v>
      </c>
      <c r="H286" s="38">
        <f>'13all_company_profile'!H286</f>
        <v>44410</v>
      </c>
      <c r="I286" s="35">
        <f>'13all_company_profile'!I286</f>
        <v>24.568264</v>
      </c>
      <c r="J286" s="35">
        <f>'13all_company_profile'!J286</f>
        <v>3.069</v>
      </c>
      <c r="K286" s="42" t="str">
        <f t="shared" si="1"/>
        <v>NaN</v>
      </c>
      <c r="L286" s="35">
        <f>'7company_info'!B286</f>
        <v>75.77</v>
      </c>
      <c r="M286" s="35">
        <f>'7company_info'!C286</f>
        <v>76.11</v>
      </c>
      <c r="N286" s="35">
        <f>'7company_info'!D286</f>
        <v>74.23</v>
      </c>
      <c r="O286" s="35">
        <f>'7company_info'!E286</f>
        <v>1.97</v>
      </c>
      <c r="P286" s="35">
        <f>'7company_info'!F286</f>
        <v>0.0267</v>
      </c>
      <c r="Q286" s="35">
        <f>'7company_info'!G286</f>
        <v>74.23</v>
      </c>
      <c r="R286" s="35">
        <f>'7company_info'!H286</f>
        <v>73.8</v>
      </c>
      <c r="S286" s="35">
        <f>'7company_info'!I286</f>
        <v>56.31</v>
      </c>
      <c r="T286" s="35">
        <f>'7company_info'!J286</f>
        <v>83.45</v>
      </c>
      <c r="U286" s="39">
        <v>76.6700333333333</v>
      </c>
      <c r="V286" s="39">
        <v>77.2799666666666</v>
      </c>
      <c r="W286" s="40">
        <v>77.7799333333333</v>
      </c>
      <c r="X286" s="40">
        <v>78.8898333333333</v>
      </c>
      <c r="Y286" s="40">
        <v>76.1700666666666</v>
      </c>
      <c r="Z286" s="40">
        <v>75.5601333333333</v>
      </c>
      <c r="AA286" s="40">
        <v>74.4502333333333</v>
      </c>
      <c r="AB286" s="40">
        <v>73.74</v>
      </c>
      <c r="AC286" s="40">
        <v>75.7</v>
      </c>
      <c r="AD286" s="40">
        <v>76.2206290690382</v>
      </c>
      <c r="AE286" s="40">
        <v>73.626</v>
      </c>
      <c r="AF286" s="40">
        <v>1.368995</v>
      </c>
      <c r="AG286" s="40">
        <v>83.45</v>
      </c>
      <c r="AH286" s="45">
        <v>44326.0</v>
      </c>
      <c r="AI286" s="44" t="str">
        <f>'6image_RS_benchmark_performance'!B286</f>
        <v>https://3arbzfbsh-cname-us.ngrok.io/Desktop/seabridge%20fintech/image_app/HSIC_resistance_support.jpg</v>
      </c>
      <c r="AJ286" s="44" t="str">
        <f>'6image_RS_benchmark_performance'!C286</f>
        <v>https://3arbzfbsh-cname-us.ngrok.io/Desktop/seabridge%20fintech/profit_graph_app/HSIC_Return.jpg</v>
      </c>
      <c r="AK286" s="46" t="str">
        <f>'5price_action_icon'!B286</f>
        <v>https://3arbzfbsh-cname-us.ngrok.io/Desktop/seabridge%20fintech/icon/HSIC_pa_trend_signal</v>
      </c>
      <c r="AL286" s="42">
        <f>'1kpi_performance'!B286</f>
        <v>0.4850026581</v>
      </c>
      <c r="AM286" s="42">
        <f>'1kpi_performance'!C286</f>
        <v>0.5548926538</v>
      </c>
      <c r="AN286" s="42">
        <f>'1kpi_performance'!D286</f>
        <v>0.5066985216</v>
      </c>
      <c r="AO286" s="42">
        <f>'1kpi_performance'!E286</f>
        <v>0.1699403329</v>
      </c>
      <c r="AP286" s="42">
        <f>'1kpi_performance'!F286</f>
        <v>0.1995671886</v>
      </c>
      <c r="AQ286" s="42">
        <f>'1kpi_performance'!G286</f>
        <v>0.1932718644</v>
      </c>
      <c r="AR286" s="42">
        <f>'1kpi_performance'!H286</f>
        <v>0.186375498</v>
      </c>
      <c r="AS286" s="42">
        <f>'1kpi_performance'!I286</f>
        <v>0.2889378338</v>
      </c>
      <c r="AT286" s="35">
        <f>'1kpi_performance'!J286</f>
        <v>2.305001445</v>
      </c>
      <c r="AU286" s="35">
        <f>'1kpi_performance'!K286</f>
        <v>2.741695774</v>
      </c>
      <c r="AV286" s="35">
        <f>'1kpi_performance'!L286</f>
        <v>2.584559274</v>
      </c>
      <c r="AW286" s="35">
        <f>'1kpi_performance'!M286</f>
        <v>0.5016315481</v>
      </c>
      <c r="AX286" s="42">
        <f>'1kpi_performance'!N286</f>
        <v>0.1346153846</v>
      </c>
      <c r="AY286" s="42">
        <f>'1kpi_performance'!O286</f>
        <v>0.1346153846</v>
      </c>
      <c r="AZ286" s="42">
        <f>'1kpi_performance'!P286</f>
        <v>0.1510200058</v>
      </c>
      <c r="BA286" s="42">
        <f>'1kpi_performance'!Q286</f>
        <v>0.4141907475</v>
      </c>
      <c r="BB286" s="35">
        <f>'1kpi_performance'!R286</f>
        <v>4.67044694</v>
      </c>
      <c r="BC286" s="35">
        <f>'1kpi_performance'!S286</f>
        <v>6.243904197</v>
      </c>
      <c r="BD286" s="35">
        <f>'1kpi_performance'!T286</f>
        <v>5.572327098</v>
      </c>
      <c r="BE286" s="35">
        <f>'1kpi_performance'!U286</f>
        <v>0.9422139907</v>
      </c>
      <c r="BF286" s="47"/>
      <c r="BG286" s="47"/>
      <c r="BH286" s="47"/>
      <c r="BI286" s="47"/>
      <c r="BJ286" s="47"/>
      <c r="BK286" s="47"/>
      <c r="BL286" s="47"/>
      <c r="BM286" s="47"/>
      <c r="BN286" s="47"/>
      <c r="BO286" s="47"/>
      <c r="BP286" s="47"/>
      <c r="BQ286" s="47"/>
      <c r="BR286" s="47"/>
      <c r="BS286" s="47"/>
      <c r="BT286" s="47"/>
    </row>
    <row r="287" ht="11.25" customHeight="1">
      <c r="A287" s="35" t="str">
        <f>'13all_company_profile'!A287</f>
        <v>HST</v>
      </c>
      <c r="B287" s="35" t="str">
        <f>'13all_company_profile'!B287</f>
        <v>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v>
      </c>
      <c r="C287" s="44" t="str">
        <f>'13all_company_profile'!C287</f>
        <v>https://financialmodelingprep.com/image-stock/HST.png</v>
      </c>
      <c r="D287" s="35" t="str">
        <f>'13all_company_profile'!D287</f>
        <v>Host Hotels &amp; Resorts, Inc.</v>
      </c>
      <c r="E287" s="36">
        <f>'13all_company_profile'!E287</f>
        <v>11551567872</v>
      </c>
      <c r="F287" s="37">
        <f>'13all_company_profile'!F287</f>
        <v>7878196</v>
      </c>
      <c r="G287" s="35">
        <f>'13all_company_profile'!G287</f>
        <v>0.2</v>
      </c>
      <c r="H287" s="38">
        <f>'13all_company_profile'!H287</f>
        <v>44405</v>
      </c>
      <c r="I287" s="35" t="str">
        <f>'13all_company_profile'!I287</f>
        <v>NaN</v>
      </c>
      <c r="J287" s="35">
        <f>'13all_company_profile'!J287</f>
        <v>-1.257</v>
      </c>
      <c r="K287" s="42">
        <f t="shared" si="1"/>
        <v>0.01265822785</v>
      </c>
      <c r="L287" s="35">
        <f>'7company_info'!B287</f>
        <v>15.8</v>
      </c>
      <c r="M287" s="35">
        <f>'7company_info'!C287</f>
        <v>16.02</v>
      </c>
      <c r="N287" s="35">
        <f>'7company_info'!D287</f>
        <v>15.17</v>
      </c>
      <c r="O287" s="35">
        <f>'7company_info'!E287</f>
        <v>0.41</v>
      </c>
      <c r="P287" s="35">
        <f>'7company_info'!F287</f>
        <v>0.0266</v>
      </c>
      <c r="Q287" s="35">
        <f>'7company_info'!G287</f>
        <v>15.5</v>
      </c>
      <c r="R287" s="35">
        <f>'7company_info'!H287</f>
        <v>15.39</v>
      </c>
      <c r="S287" s="35">
        <f>'7company_info'!I287</f>
        <v>10.04</v>
      </c>
      <c r="T287" s="35">
        <f>'7company_info'!J287</f>
        <v>18.52</v>
      </c>
      <c r="U287" s="39">
        <v>16.6433333333333</v>
      </c>
      <c r="V287" s="39">
        <v>16.7966666666666</v>
      </c>
      <c r="W287" s="40">
        <v>17.0333333333333</v>
      </c>
      <c r="X287" s="40">
        <v>17.4233333333333</v>
      </c>
      <c r="Y287" s="40">
        <v>16.4066666666666</v>
      </c>
      <c r="Z287" s="40">
        <v>16.2533333333333</v>
      </c>
      <c r="AA287" s="40">
        <v>15.8633333333333</v>
      </c>
      <c r="AB287" s="40">
        <v>16.825</v>
      </c>
      <c r="AC287" s="40">
        <v>16.88</v>
      </c>
      <c r="AD287" s="40">
        <v>17.0850590375669</v>
      </c>
      <c r="AE287" s="40">
        <v>15.5155</v>
      </c>
      <c r="AF287" s="40">
        <v>0.5165</v>
      </c>
      <c r="AG287" s="40">
        <v>18.52</v>
      </c>
      <c r="AH287" s="45">
        <v>44319.0</v>
      </c>
      <c r="AI287" s="44" t="str">
        <f>'6image_RS_benchmark_performance'!B287</f>
        <v>https://3arbzfbsh-cname-us.ngrok.io/Desktop/seabridge%20fintech/image_app/HST_resistance_support.jpg</v>
      </c>
      <c r="AJ287" s="44" t="str">
        <f>'6image_RS_benchmark_performance'!C287</f>
        <v>https://3arbzfbsh-cname-us.ngrok.io/Desktop/seabridge%20fintech/profit_graph_app/HST_Return.jpg</v>
      </c>
      <c r="AK287" s="46" t="str">
        <f>'5price_action_icon'!B287</f>
        <v>https://3arbzfbsh-cname-us.ngrok.io/Desktop/seabridge%20fintech/icon/HST_pa_trend_signal</v>
      </c>
      <c r="AL287" s="42">
        <f>'1kpi_performance'!B287</f>
        <v>0.534679168</v>
      </c>
      <c r="AM287" s="42">
        <f>'1kpi_performance'!C287</f>
        <v>0.6401671906</v>
      </c>
      <c r="AN287" s="42">
        <f>'1kpi_performance'!D287</f>
        <v>0.6275949486</v>
      </c>
      <c r="AO287" s="42">
        <f>'1kpi_performance'!E287</f>
        <v>0.04674536037</v>
      </c>
      <c r="AP287" s="42">
        <f>'1kpi_performance'!F287</f>
        <v>0.2859114102</v>
      </c>
      <c r="AQ287" s="42">
        <f>'1kpi_performance'!G287</f>
        <v>0.2767363965</v>
      </c>
      <c r="AR287" s="42">
        <f>'1kpi_performance'!H287</f>
        <v>0.2849562991</v>
      </c>
      <c r="AS287" s="42">
        <f>'1kpi_performance'!I287</f>
        <v>0.4009345112</v>
      </c>
      <c r="AT287" s="35">
        <f>'1kpi_performance'!J287</f>
        <v>1.782647176</v>
      </c>
      <c r="AU287" s="35">
        <f>'1kpi_performance'!K287</f>
        <v>2.222935611</v>
      </c>
      <c r="AV287" s="35">
        <f>'1kpi_performance'!L287</f>
        <v>2.1146925</v>
      </c>
      <c r="AW287" s="35">
        <f>'1kpi_performance'!M287</f>
        <v>0.05423668893</v>
      </c>
      <c r="AX287" s="42">
        <f>'1kpi_performance'!N287</f>
        <v>0.2728731942</v>
      </c>
      <c r="AY287" s="42">
        <f>'1kpi_performance'!O287</f>
        <v>0.2262501105</v>
      </c>
      <c r="AZ287" s="42">
        <f>'1kpi_performance'!P287</f>
        <v>0.2240800657</v>
      </c>
      <c r="BA287" s="42">
        <f>'1kpi_performance'!Q287</f>
        <v>0.6226619409</v>
      </c>
      <c r="BB287" s="35">
        <f>'1kpi_performance'!R287</f>
        <v>3.824376807</v>
      </c>
      <c r="BC287" s="35">
        <f>'1kpi_performance'!S287</f>
        <v>5.116231752</v>
      </c>
      <c r="BD287" s="35">
        <f>'1kpi_performance'!T287</f>
        <v>4.819668734</v>
      </c>
      <c r="BE287" s="35">
        <f>'1kpi_performance'!U287</f>
        <v>0.1094293075</v>
      </c>
      <c r="BF287" s="47"/>
      <c r="BG287" s="47"/>
      <c r="BH287" s="47"/>
      <c r="BI287" s="47"/>
      <c r="BJ287" s="47"/>
      <c r="BK287" s="47"/>
      <c r="BL287" s="47"/>
      <c r="BM287" s="47"/>
      <c r="BN287" s="47"/>
      <c r="BO287" s="47"/>
      <c r="BP287" s="47"/>
      <c r="BQ287" s="47"/>
      <c r="BR287" s="47"/>
      <c r="BS287" s="47"/>
      <c r="BT287" s="47"/>
    </row>
    <row r="288" ht="11.25" customHeight="1">
      <c r="A288" s="35" t="str">
        <f>'13all_company_profile'!A288</f>
        <v>HSY</v>
      </c>
      <c r="B288" s="35" t="str">
        <f>'13all_company_profile'!B288</f>
        <v>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v>
      </c>
      <c r="C288" s="44" t="str">
        <f>'13all_company_profile'!C288</f>
        <v>https://financialmodelingprep.com/image-stock/HSY.png</v>
      </c>
      <c r="D288" s="35" t="str">
        <f>'13all_company_profile'!D288</f>
        <v>The Hershey Company</v>
      </c>
      <c r="E288" s="36">
        <f>'13all_company_profile'!E288</f>
        <v>37186830336</v>
      </c>
      <c r="F288" s="37">
        <f>'13all_company_profile'!F288</f>
        <v>932046</v>
      </c>
      <c r="G288" s="35">
        <f>'13all_company_profile'!G288</f>
        <v>3.216</v>
      </c>
      <c r="H288" s="38">
        <f>'13all_company_profile'!H288</f>
        <v>44398</v>
      </c>
      <c r="I288" s="35">
        <f>'13all_company_profile'!I288</f>
        <v>26.80655</v>
      </c>
      <c r="J288" s="35">
        <f>'13all_company_profile'!J288</f>
        <v>6.72</v>
      </c>
      <c r="K288" s="42">
        <f t="shared" si="1"/>
        <v>0.01783891724</v>
      </c>
      <c r="L288" s="35">
        <f>'7company_info'!B288</f>
        <v>180.28</v>
      </c>
      <c r="M288" s="35">
        <f>'7company_info'!C288</f>
        <v>182.24</v>
      </c>
      <c r="N288" s="35">
        <f>'7company_info'!D288</f>
        <v>179.81</v>
      </c>
      <c r="O288" s="35">
        <f>'7company_info'!E288</f>
        <v>0.85</v>
      </c>
      <c r="P288" s="35">
        <f>'7company_info'!F288</f>
        <v>0.0047</v>
      </c>
      <c r="Q288" s="35">
        <f>'7company_info'!G288</f>
        <v>180.28</v>
      </c>
      <c r="R288" s="35">
        <f>'7company_info'!H288</f>
        <v>179.43</v>
      </c>
      <c r="S288" s="35">
        <f>'7company_info'!I288</f>
        <v>134</v>
      </c>
      <c r="T288" s="35">
        <f>'7company_info'!J288</f>
        <v>182.24</v>
      </c>
      <c r="U288" s="39">
        <v>177.026666666666</v>
      </c>
      <c r="V288" s="39">
        <v>178.553333333333</v>
      </c>
      <c r="W288" s="40">
        <v>179.536666666666</v>
      </c>
      <c r="X288" s="40">
        <v>182.046666666666</v>
      </c>
      <c r="Y288" s="40">
        <v>176.043333333333</v>
      </c>
      <c r="Z288" s="40">
        <v>174.516666666666</v>
      </c>
      <c r="AA288" s="40">
        <v>172.006666666666</v>
      </c>
      <c r="AB288" s="40">
        <v>170.33</v>
      </c>
      <c r="AC288" s="40">
        <v>178.36</v>
      </c>
      <c r="AD288" s="40">
        <v>174.714588568797</v>
      </c>
      <c r="AE288" s="40">
        <v>171.30038</v>
      </c>
      <c r="AF288" s="40">
        <v>2.37981</v>
      </c>
      <c r="AG288" s="40">
        <v>178.36</v>
      </c>
      <c r="AH288" s="45">
        <v>44384.0</v>
      </c>
      <c r="AI288" s="44" t="str">
        <f>'6image_RS_benchmark_performance'!B288</f>
        <v>https://3arbzfbsh-cname-us.ngrok.io/Desktop/seabridge%20fintech/image_app/HSY_resistance_support.jpg</v>
      </c>
      <c r="AJ288" s="44" t="str">
        <f>'6image_RS_benchmark_performance'!C288</f>
        <v>https://3arbzfbsh-cname-us.ngrok.io/Desktop/seabridge%20fintech/profit_graph_app/HSY_Return.jpg</v>
      </c>
      <c r="AK288" s="46" t="str">
        <f>'5price_action_icon'!B288</f>
        <v>https://3arbzfbsh-cname-us.ngrok.io/Desktop/seabridge%20fintech/icon/HSY_pa_trend_signal</v>
      </c>
      <c r="AL288" s="42">
        <f>'1kpi_performance'!B288</f>
        <v>0.4008219766</v>
      </c>
      <c r="AM288" s="42">
        <f>'1kpi_performance'!C288</f>
        <v>0.498699471</v>
      </c>
      <c r="AN288" s="42">
        <f>'1kpi_performance'!D288</f>
        <v>0.4145022957</v>
      </c>
      <c r="AO288" s="42">
        <f>'1kpi_performance'!E288</f>
        <v>0.2192103218</v>
      </c>
      <c r="AP288" s="42">
        <f>'1kpi_performance'!F288</f>
        <v>0.1574560142</v>
      </c>
      <c r="AQ288" s="42">
        <f>'1kpi_performance'!G288</f>
        <v>0.1657328841</v>
      </c>
      <c r="AR288" s="42">
        <f>'1kpi_performance'!H288</f>
        <v>0.1746819939</v>
      </c>
      <c r="AS288" s="42">
        <f>'1kpi_performance'!I288</f>
        <v>0.2440392241</v>
      </c>
      <c r="AT288" s="35">
        <f>'1kpi_performance'!J288</f>
        <v>2.386837864</v>
      </c>
      <c r="AU288" s="35">
        <f>'1kpi_performance'!K288</f>
        <v>2.858210509</v>
      </c>
      <c r="AV288" s="35">
        <f>'1kpi_performance'!L288</f>
        <v>2.229779309</v>
      </c>
      <c r="AW288" s="35">
        <f>'1kpi_performance'!M288</f>
        <v>0.7958160107</v>
      </c>
      <c r="AX288" s="42">
        <f>'1kpi_performance'!N288</f>
        <v>0.1007788006</v>
      </c>
      <c r="AY288" s="42">
        <f>'1kpi_performance'!O288</f>
        <v>0.08336747235</v>
      </c>
      <c r="AZ288" s="42">
        <f>'1kpi_performance'!P288</f>
        <v>0.3076731904</v>
      </c>
      <c r="BA288" s="42">
        <f>'1kpi_performance'!Q288</f>
        <v>0.3096034696</v>
      </c>
      <c r="BB288" s="35">
        <f>'1kpi_performance'!R288</f>
        <v>5.744603755</v>
      </c>
      <c r="BC288" s="35">
        <f>'1kpi_performance'!S288</f>
        <v>7.222329658</v>
      </c>
      <c r="BD288" s="35">
        <f>'1kpi_performance'!T288</f>
        <v>4.185381842</v>
      </c>
      <c r="BE288" s="35">
        <f>'1kpi_performance'!U288</f>
        <v>1.546637332</v>
      </c>
      <c r="BF288" s="47"/>
      <c r="BG288" s="47"/>
      <c r="BH288" s="47"/>
      <c r="BI288" s="47"/>
      <c r="BJ288" s="47"/>
      <c r="BK288" s="47"/>
      <c r="BL288" s="47"/>
      <c r="BM288" s="47"/>
      <c r="BN288" s="47"/>
      <c r="BO288" s="47"/>
      <c r="BP288" s="47"/>
      <c r="BQ288" s="47"/>
      <c r="BR288" s="47"/>
      <c r="BS288" s="47"/>
      <c r="BT288" s="47"/>
    </row>
    <row r="289" ht="11.25" customHeight="1">
      <c r="A289" s="35" t="str">
        <f>'13all_company_profile'!A289</f>
        <v>HUM</v>
      </c>
      <c r="B289" s="35" t="str">
        <f>'13all_company_profile'!B289</f>
        <v>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v>
      </c>
      <c r="C289" s="44" t="str">
        <f>'13all_company_profile'!C289</f>
        <v>https://financialmodelingprep.com/image-stock/HUM.png</v>
      </c>
      <c r="D289" s="35" t="str">
        <f>'13all_company_profile'!D289</f>
        <v>Humana Inc.</v>
      </c>
      <c r="E289" s="36">
        <f>'13all_company_profile'!E289</f>
        <v>60203094016</v>
      </c>
      <c r="F289" s="37">
        <f>'13all_company_profile'!F289</f>
        <v>806063</v>
      </c>
      <c r="G289" s="35">
        <f>'13all_company_profile'!G289</f>
        <v>2.65</v>
      </c>
      <c r="H289" s="38">
        <f>'13all_company_profile'!H289</f>
        <v>44405</v>
      </c>
      <c r="I289" s="35">
        <f>'13all_company_profile'!I289</f>
        <v>16.731493</v>
      </c>
      <c r="J289" s="35">
        <f>'13all_company_profile'!J289</f>
        <v>28.152</v>
      </c>
      <c r="K289" s="42">
        <f t="shared" si="1"/>
        <v>0.005754614549</v>
      </c>
      <c r="L289" s="35">
        <f>'7company_info'!B289</f>
        <v>460.5</v>
      </c>
      <c r="M289" s="35">
        <f>'7company_info'!C289</f>
        <v>467.69</v>
      </c>
      <c r="N289" s="35">
        <f>'7company_info'!D289</f>
        <v>459.82</v>
      </c>
      <c r="O289" s="35">
        <f>'7company_info'!E289</f>
        <v>-0.43</v>
      </c>
      <c r="P289" s="35">
        <f>'7company_info'!F289</f>
        <v>-0.0009</v>
      </c>
      <c r="Q289" s="35">
        <f>'7company_info'!G289</f>
        <v>462.92</v>
      </c>
      <c r="R289" s="35">
        <f>'7company_info'!H289</f>
        <v>460.93</v>
      </c>
      <c r="S289" s="35">
        <f>'7company_info'!I289</f>
        <v>370.22</v>
      </c>
      <c r="T289" s="35">
        <f>'7company_info'!J289</f>
        <v>475.44</v>
      </c>
      <c r="U289" s="39">
        <v>459.64</v>
      </c>
      <c r="V289" s="39">
        <v>461.82</v>
      </c>
      <c r="W289" s="40">
        <v>463.53</v>
      </c>
      <c r="X289" s="40">
        <v>467.42</v>
      </c>
      <c r="Y289" s="40">
        <v>457.93</v>
      </c>
      <c r="Z289" s="40">
        <v>455.75</v>
      </c>
      <c r="AA289" s="40">
        <v>451.86</v>
      </c>
      <c r="AB289" s="40">
        <v>445.21</v>
      </c>
      <c r="AC289" s="40">
        <v>422.1</v>
      </c>
      <c r="AD289" s="40">
        <v>447.503818231707</v>
      </c>
      <c r="AE289" s="40">
        <v>447.23339</v>
      </c>
      <c r="AF289" s="40">
        <v>6.155055</v>
      </c>
      <c r="AG289" s="40">
        <v>475.44</v>
      </c>
      <c r="AH289" s="45">
        <v>44326.0</v>
      </c>
      <c r="AI289" s="44" t="str">
        <f>'6image_RS_benchmark_performance'!B289</f>
        <v>https://3arbzfbsh-cname-us.ngrok.io/Desktop/seabridge%20fintech/image_app/HUM_resistance_support.jpg</v>
      </c>
      <c r="AJ289" s="44" t="str">
        <f>'6image_RS_benchmark_performance'!C289</f>
        <v>https://3arbzfbsh-cname-us.ngrok.io/Desktop/seabridge%20fintech/profit_graph_app/HUM_Return.jpg</v>
      </c>
      <c r="AK289" s="46" t="str">
        <f>'5price_action_icon'!B289</f>
        <v>https://3arbzfbsh-cname-us.ngrok.io/Desktop/seabridge%20fintech/icon/HUM_pa_trend_signal</v>
      </c>
      <c r="AL289" s="42">
        <f>'1kpi_performance'!B289</f>
        <v>0.6406850892</v>
      </c>
      <c r="AM289" s="42">
        <f>'1kpi_performance'!C289</f>
        <v>0.8730518958</v>
      </c>
      <c r="AN289" s="42">
        <f>'1kpi_performance'!D289</f>
        <v>0.9491548698</v>
      </c>
      <c r="AO289" s="42">
        <f>'1kpi_performance'!E289</f>
        <v>0.3128904051</v>
      </c>
      <c r="AP289" s="42">
        <f>'1kpi_performance'!F289</f>
        <v>0.2337149117</v>
      </c>
      <c r="AQ289" s="42">
        <f>'1kpi_performance'!G289</f>
        <v>0.2595975319</v>
      </c>
      <c r="AR289" s="42">
        <f>'1kpi_performance'!H289</f>
        <v>0.2648736729</v>
      </c>
      <c r="AS289" s="42">
        <f>'1kpi_performance'!I289</f>
        <v>0.3534614205</v>
      </c>
      <c r="AT289" s="35">
        <f>'1kpi_performance'!J289</f>
        <v>2.634342348</v>
      </c>
      <c r="AU289" s="35">
        <f>'1kpi_performance'!K289</f>
        <v>3.26679491</v>
      </c>
      <c r="AV289" s="35">
        <f>'1kpi_performance'!L289</f>
        <v>3.489040114</v>
      </c>
      <c r="AW289" s="35">
        <f>'1kpi_performance'!M289</f>
        <v>0.8144889044</v>
      </c>
      <c r="AX289" s="42">
        <f>'1kpi_performance'!N289</f>
        <v>0.1819175278</v>
      </c>
      <c r="AY289" s="42">
        <f>'1kpi_performance'!O289</f>
        <v>0.1213636722</v>
      </c>
      <c r="AZ289" s="42">
        <f>'1kpi_performance'!P289</f>
        <v>0.4241016275</v>
      </c>
      <c r="BA289" s="42">
        <f>'1kpi_performance'!Q289</f>
        <v>0.4360073645</v>
      </c>
      <c r="BB289" s="35">
        <f>'1kpi_performance'!R289</f>
        <v>6.11262325</v>
      </c>
      <c r="BC289" s="35">
        <f>'1kpi_performance'!S289</f>
        <v>8.337192501</v>
      </c>
      <c r="BD289" s="35">
        <f>'1kpi_performance'!T289</f>
        <v>8.059263351</v>
      </c>
      <c r="BE289" s="35">
        <f>'1kpi_performance'!U289</f>
        <v>1.655761279</v>
      </c>
      <c r="BF289" s="47"/>
      <c r="BG289" s="47"/>
      <c r="BH289" s="47"/>
      <c r="BI289" s="47"/>
      <c r="BJ289" s="47"/>
      <c r="BK289" s="47"/>
      <c r="BL289" s="47"/>
      <c r="BM289" s="47"/>
      <c r="BN289" s="47"/>
      <c r="BO289" s="47"/>
      <c r="BP289" s="47"/>
      <c r="BQ289" s="47"/>
      <c r="BR289" s="47"/>
      <c r="BS289" s="47"/>
      <c r="BT289" s="47"/>
    </row>
    <row r="290" ht="11.25" customHeight="1">
      <c r="A290" s="35" t="str">
        <f>'13all_company_profile'!A290</f>
        <v>HUN</v>
      </c>
      <c r="B290" s="35" t="str">
        <f>'13all_company_profile'!B290</f>
        <v>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v>
      </c>
      <c r="C290" s="44" t="str">
        <f>'13all_company_profile'!C290</f>
        <v>https://financialmodelingprep.com/image-stock/HUN.png</v>
      </c>
      <c r="D290" s="35" t="str">
        <f>'13all_company_profile'!D290</f>
        <v>Huntsman Corporation</v>
      </c>
      <c r="E290" s="36">
        <f>'13all_company_profile'!E290</f>
        <v>5923476480</v>
      </c>
      <c r="F290" s="37">
        <f>'13all_company_profile'!F290</f>
        <v>2175380</v>
      </c>
      <c r="G290" s="35">
        <f>'13all_company_profile'!G290</f>
        <v>0.6755</v>
      </c>
      <c r="H290" s="38">
        <f>'13all_company_profile'!H290</f>
        <v>44407</v>
      </c>
      <c r="I290" s="35">
        <f>'13all_company_profile'!I290</f>
        <v>13.92742</v>
      </c>
      <c r="J290" s="35">
        <f>'13all_company_profile'!J290</f>
        <v>1.86</v>
      </c>
      <c r="K290" s="42">
        <f t="shared" si="1"/>
        <v>0.02669960474</v>
      </c>
      <c r="L290" s="35">
        <f>'7company_info'!B290</f>
        <v>25.3</v>
      </c>
      <c r="M290" s="35">
        <f>'7company_info'!C290</f>
        <v>25.71</v>
      </c>
      <c r="N290" s="35">
        <f>'7company_info'!D290</f>
        <v>24.98</v>
      </c>
      <c r="O290" s="35">
        <f>'7company_info'!E290</f>
        <v>0.27</v>
      </c>
      <c r="P290" s="35">
        <f>'7company_info'!F290</f>
        <v>0.0108</v>
      </c>
      <c r="Q290" s="35">
        <f>'7company_info'!G290</f>
        <v>25.06</v>
      </c>
      <c r="R290" s="35">
        <f>'7company_info'!H290</f>
        <v>25.03</v>
      </c>
      <c r="S290" s="35">
        <f>'7company_info'!I290</f>
        <v>18.25</v>
      </c>
      <c r="T290" s="35">
        <f>'7company_info'!J290</f>
        <v>32.35</v>
      </c>
      <c r="U290" s="39">
        <v>26.6562333333333</v>
      </c>
      <c r="V290" s="39">
        <v>26.9237666666666</v>
      </c>
      <c r="W290" s="40">
        <v>27.3875333333333</v>
      </c>
      <c r="X290" s="40">
        <v>28.1188333333333</v>
      </c>
      <c r="Y290" s="40">
        <v>26.1924666666666</v>
      </c>
      <c r="Z290" s="40">
        <v>25.9249333333333</v>
      </c>
      <c r="AA290" s="40">
        <v>25.1936333333333</v>
      </c>
      <c r="AB290" s="40">
        <v>25.65</v>
      </c>
      <c r="AC290" s="40">
        <v>27.2699</v>
      </c>
      <c r="AD290" s="40">
        <v>26.7327059239812</v>
      </c>
      <c r="AE290" s="40">
        <v>24.95134</v>
      </c>
      <c r="AF290" s="40">
        <v>0.778395</v>
      </c>
      <c r="AG290" s="40">
        <v>32.35</v>
      </c>
      <c r="AH290" s="45">
        <v>44326.0</v>
      </c>
      <c r="AI290" s="44" t="str">
        <f>'6image_RS_benchmark_performance'!B290</f>
        <v>https://3arbzfbsh-cname-us.ngrok.io/Desktop/seabridge%20fintech/image_app/HUN_resistance_support.jpg</v>
      </c>
      <c r="AJ290" s="44" t="str">
        <f>'6image_RS_benchmark_performance'!C290</f>
        <v>https://3arbzfbsh-cname-us.ngrok.io/Desktop/seabridge%20fintech/profit_graph_app/HUN_Return.jpg</v>
      </c>
      <c r="AK290" s="46" t="str">
        <f>'5price_action_icon'!B290</f>
        <v>https://3arbzfbsh-cname-us.ngrok.io/Desktop/seabridge%20fintech/icon/HUN_pa_trend_signal</v>
      </c>
      <c r="AL290" s="42">
        <f>'1kpi_performance'!B290</f>
        <v>0.8757156018</v>
      </c>
      <c r="AM290" s="42">
        <f>'1kpi_performance'!C290</f>
        <v>1.238191119</v>
      </c>
      <c r="AN290" s="42">
        <f>'1kpi_performance'!D290</f>
        <v>0.9956657834</v>
      </c>
      <c r="AO290" s="42">
        <f>'1kpi_performance'!E290</f>
        <v>0.09784209514</v>
      </c>
      <c r="AP290" s="42">
        <f>'1kpi_performance'!F290</f>
        <v>0.3373297689</v>
      </c>
      <c r="AQ290" s="42">
        <f>'1kpi_performance'!G290</f>
        <v>0.3319829473</v>
      </c>
      <c r="AR290" s="42">
        <f>'1kpi_performance'!H290</f>
        <v>0.3968537932</v>
      </c>
      <c r="AS290" s="42">
        <f>'1kpi_performance'!I290</f>
        <v>0.5119673096</v>
      </c>
      <c r="AT290" s="35">
        <f>'1kpi_performance'!J290</f>
        <v>2.521910843</v>
      </c>
      <c r="AU290" s="35">
        <f>'1kpi_performance'!K290</f>
        <v>3.654377818</v>
      </c>
      <c r="AV290" s="35">
        <f>'1kpi_performance'!L290</f>
        <v>2.445902748</v>
      </c>
      <c r="AW290" s="35">
        <f>'1kpi_performance'!M290</f>
        <v>0.1422788013</v>
      </c>
      <c r="AX290" s="42">
        <f>'1kpi_performance'!N290</f>
        <v>0.1738019169</v>
      </c>
      <c r="AY290" s="42">
        <f>'1kpi_performance'!O290</f>
        <v>0.1727767934</v>
      </c>
      <c r="AZ290" s="42">
        <f>'1kpi_performance'!P290</f>
        <v>0.4596996997</v>
      </c>
      <c r="BA290" s="42">
        <f>'1kpi_performance'!Q290</f>
        <v>0.7261080332</v>
      </c>
      <c r="BB290" s="35">
        <f>'1kpi_performance'!R290</f>
        <v>5.504830589</v>
      </c>
      <c r="BC290" s="35">
        <f>'1kpi_performance'!S290</f>
        <v>8.704287852</v>
      </c>
      <c r="BD290" s="35">
        <f>'1kpi_performance'!T290</f>
        <v>4.824031237</v>
      </c>
      <c r="BE290" s="35">
        <f>'1kpi_performance'!U290</f>
        <v>0.2727564679</v>
      </c>
      <c r="BF290" s="47"/>
      <c r="BG290" s="47"/>
      <c r="BH290" s="47"/>
      <c r="BI290" s="47"/>
      <c r="BJ290" s="47"/>
      <c r="BK290" s="47"/>
      <c r="BL290" s="47"/>
      <c r="BM290" s="47"/>
      <c r="BN290" s="47"/>
      <c r="BO290" s="47"/>
      <c r="BP290" s="47"/>
      <c r="BQ290" s="47"/>
      <c r="BR290" s="47"/>
      <c r="BS290" s="47"/>
      <c r="BT290" s="47"/>
    </row>
    <row r="291" ht="11.25" customHeight="1">
      <c r="A291" s="35" t="str">
        <f>'13all_company_profile'!A291</f>
        <v>HWM</v>
      </c>
      <c r="B291" s="35" t="str">
        <f>'13all_company_profile'!B291</f>
        <v>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v>
      </c>
      <c r="C291" s="44" t="str">
        <f>'13all_company_profile'!C291</f>
        <v>https://financialmodelingprep.com/image-stock/HWM.jpg</v>
      </c>
      <c r="D291" s="35" t="str">
        <f>'13all_company_profile'!D291</f>
        <v>Howmet Aerospace Inc.</v>
      </c>
      <c r="E291" s="36">
        <f>'13all_company_profile'!E291</f>
        <v>13926252544</v>
      </c>
      <c r="F291" s="37">
        <f>'13all_company_profile'!F291</f>
        <v>3147125</v>
      </c>
      <c r="G291" s="35">
        <f>'13all_company_profile'!G291</f>
        <v>0.02</v>
      </c>
      <c r="H291" s="38">
        <f>'13all_company_profile'!H291</f>
        <v>44412</v>
      </c>
      <c r="I291" s="35">
        <f>'13all_company_profile'!I291</f>
        <v>112.375885</v>
      </c>
      <c r="J291" s="35">
        <f>'13all_company_profile'!J291</f>
        <v>0.282</v>
      </c>
      <c r="K291" s="42">
        <f t="shared" si="1"/>
        <v>0.0006271558482</v>
      </c>
      <c r="L291" s="35">
        <f>'7company_info'!B291</f>
        <v>31.89</v>
      </c>
      <c r="M291" s="35">
        <f>'7company_info'!C291</f>
        <v>32.12</v>
      </c>
      <c r="N291" s="35">
        <f>'7company_info'!D291</f>
        <v>30.35</v>
      </c>
      <c r="O291" s="35">
        <f>'7company_info'!E291</f>
        <v>1.4</v>
      </c>
      <c r="P291" s="35">
        <f>'7company_info'!F291</f>
        <v>0.0459</v>
      </c>
      <c r="Q291" s="35">
        <f>'7company_info'!G291</f>
        <v>30.51</v>
      </c>
      <c r="R291" s="35">
        <f>'7company_info'!H291</f>
        <v>30.49</v>
      </c>
      <c r="S291" s="35">
        <f>'7company_info'!I291</f>
        <v>14.52</v>
      </c>
      <c r="T291" s="35">
        <f>'7company_info'!J291</f>
        <v>36.03</v>
      </c>
      <c r="U291" s="39">
        <v>33.0316666666666</v>
      </c>
      <c r="V291" s="39">
        <v>33.3933333333333</v>
      </c>
      <c r="W291" s="40">
        <v>33.9866666666666</v>
      </c>
      <c r="X291" s="40">
        <v>34.9416666666666</v>
      </c>
      <c r="Y291" s="40">
        <v>32.4383333333333</v>
      </c>
      <c r="Z291" s="40">
        <v>32.0766666666666</v>
      </c>
      <c r="AA291" s="40">
        <v>31.1216666666666</v>
      </c>
      <c r="AB291" s="40">
        <v>33.095</v>
      </c>
      <c r="AC291" s="40">
        <v>34.35</v>
      </c>
      <c r="AD291" s="40">
        <v>33.8232795260846</v>
      </c>
      <c r="AE291" s="40">
        <v>31.1354</v>
      </c>
      <c r="AF291" s="40">
        <v>0.9037</v>
      </c>
      <c r="AG291" s="40">
        <v>36.03</v>
      </c>
      <c r="AH291" s="45">
        <v>44355.0</v>
      </c>
      <c r="AI291" s="44" t="str">
        <f>'6image_RS_benchmark_performance'!B291</f>
        <v>https://3arbzfbsh-cname-us.ngrok.io/Desktop/seabridge%20fintech/image_app/HWM_resistance_support.jpg</v>
      </c>
      <c r="AJ291" s="44" t="str">
        <f>'6image_RS_benchmark_performance'!C291</f>
        <v>https://3arbzfbsh-cname-us.ngrok.io/Desktop/seabridge%20fintech/profit_graph_app/HWM_Return.jpg</v>
      </c>
      <c r="AK291" s="46" t="str">
        <f>'5price_action_icon'!B291</f>
        <v>https://3arbzfbsh-cname-us.ngrok.io/Desktop/seabridge%20fintech/icon/HWM_pa_trend_signal</v>
      </c>
      <c r="AL291" s="42">
        <f>'1kpi_performance'!B291</f>
        <v>0.6832863932</v>
      </c>
      <c r="AM291" s="42">
        <f>'1kpi_performance'!C291</f>
        <v>1.110395912</v>
      </c>
      <c r="AN291" s="42">
        <f>'1kpi_performance'!D291</f>
        <v>0.941420991</v>
      </c>
      <c r="AO291" s="42">
        <f>'1kpi_performance'!E291</f>
        <v>0.03668454168</v>
      </c>
      <c r="AP291" s="42">
        <f>'1kpi_performance'!F291</f>
        <v>0.3468185482</v>
      </c>
      <c r="AQ291" s="42">
        <f>'1kpi_performance'!G291</f>
        <v>0.3290968565</v>
      </c>
      <c r="AR291" s="42">
        <f>'1kpi_performance'!H291</f>
        <v>0.3009010777</v>
      </c>
      <c r="AS291" s="42">
        <f>'1kpi_performance'!I291</f>
        <v>0.4844708675</v>
      </c>
      <c r="AT291" s="35">
        <f>'1kpi_performance'!J291</f>
        <v>1.898071475</v>
      </c>
      <c r="AU291" s="35">
        <f>'1kpi_performance'!K291</f>
        <v>3.298104769</v>
      </c>
      <c r="AV291" s="35">
        <f>'1kpi_performance'!L291</f>
        <v>3.04558893</v>
      </c>
      <c r="AW291" s="35">
        <f>'1kpi_performance'!M291</f>
        <v>0.0241181513</v>
      </c>
      <c r="AX291" s="42">
        <f>'1kpi_performance'!N291</f>
        <v>0.2743243745</v>
      </c>
      <c r="AY291" s="42">
        <f>'1kpi_performance'!O291</f>
        <v>0.2236285568</v>
      </c>
      <c r="AZ291" s="42">
        <f>'1kpi_performance'!P291</f>
        <v>0.258966174</v>
      </c>
      <c r="BA291" s="42">
        <f>'1kpi_performance'!Q291</f>
        <v>0.7059363711</v>
      </c>
      <c r="BB291" s="35">
        <f>'1kpi_performance'!R291</f>
        <v>3.911869522</v>
      </c>
      <c r="BC291" s="35">
        <f>'1kpi_performance'!S291</f>
        <v>7.791869992</v>
      </c>
      <c r="BD291" s="35">
        <f>'1kpi_performance'!T291</f>
        <v>7.310159526</v>
      </c>
      <c r="BE291" s="35">
        <f>'1kpi_performance'!U291</f>
        <v>0.0468102734</v>
      </c>
      <c r="BF291" s="47"/>
      <c r="BG291" s="47"/>
      <c r="BH291" s="47"/>
      <c r="BI291" s="47"/>
      <c r="BJ291" s="47"/>
      <c r="BK291" s="47"/>
      <c r="BL291" s="47"/>
      <c r="BM291" s="47"/>
      <c r="BN291" s="47"/>
      <c r="BO291" s="47"/>
      <c r="BP291" s="47"/>
      <c r="BQ291" s="47"/>
      <c r="BR291" s="47"/>
      <c r="BS291" s="47"/>
      <c r="BT291" s="47"/>
    </row>
    <row r="292" ht="11.25" customHeight="1">
      <c r="A292" s="35" t="str">
        <f>'13all_company_profile'!A292</f>
        <v>HYG</v>
      </c>
      <c r="B292" s="35" t="str">
        <f>'13all_company_profile'!B292</f>
        <v>HYG was created on 04/04/07 by Blackrock. The iShares iBoxx $ High Yield Corporate Bond ETF (the “Fund”) seeks to track the investment results of an index composed of U.S. dollar-denominated, high yield corporate bonds.</v>
      </c>
      <c r="C292" s="44" t="str">
        <f>'13all_company_profile'!C292</f>
        <v>https://financialmodelingprep.com/image-stock/HYG.png</v>
      </c>
      <c r="D292" s="35" t="str">
        <f>'13all_company_profile'!D292</f>
        <v>iShares iBoxx $ High Yield Corporate Bond ETF</v>
      </c>
      <c r="E292" s="36">
        <f>'13all_company_profile'!E292</f>
        <v>17173680128</v>
      </c>
      <c r="F292" s="37">
        <f>'13all_company_profile'!F292</f>
        <v>19596358</v>
      </c>
      <c r="G292" s="35">
        <f>'13all_company_profile'!G292</f>
        <v>3.017</v>
      </c>
      <c r="H292" s="38" t="str">
        <f>'13all_company_profile'!H292</f>
        <v>not avaiable</v>
      </c>
      <c r="I292" s="35">
        <f>'13all_company_profile'!I292</f>
        <v>9.197272</v>
      </c>
      <c r="J292" s="35">
        <f>'13all_company_profile'!J292</f>
        <v>9.53</v>
      </c>
      <c r="K292" s="42">
        <f t="shared" si="1"/>
        <v>0.03447212066</v>
      </c>
      <c r="L292" s="35">
        <f>'7company_info'!B292</f>
        <v>87.52</v>
      </c>
      <c r="M292" s="35">
        <f>'7company_info'!C292</f>
        <v>87.53</v>
      </c>
      <c r="N292" s="35">
        <f>'7company_info'!D292</f>
        <v>87.09</v>
      </c>
      <c r="O292" s="35">
        <f>'7company_info'!E292</f>
        <v>0.44</v>
      </c>
      <c r="P292" s="35">
        <f>'7company_info'!F292</f>
        <v>0.0051</v>
      </c>
      <c r="Q292" s="35">
        <f>'7company_info'!G292</f>
        <v>87.16</v>
      </c>
      <c r="R292" s="35">
        <f>'7company_info'!H292</f>
        <v>87.08</v>
      </c>
      <c r="S292" s="35">
        <f>'7company_info'!I292</f>
        <v>82.56</v>
      </c>
      <c r="T292" s="35">
        <f>'7company_info'!J292</f>
        <v>88.1</v>
      </c>
      <c r="U292" s="39">
        <v>87.8233333333333</v>
      </c>
      <c r="V292" s="39">
        <v>87.9066666666666</v>
      </c>
      <c r="W292" s="40">
        <v>87.9633333333333</v>
      </c>
      <c r="X292" s="40">
        <v>88.1033333333333</v>
      </c>
      <c r="Y292" s="40">
        <v>87.7666666666666</v>
      </c>
      <c r="Z292" s="40">
        <v>87.6833333333333</v>
      </c>
      <c r="AA292" s="40">
        <v>87.5433333333333</v>
      </c>
      <c r="AB292" s="40">
        <v>87.7</v>
      </c>
      <c r="AC292" s="40">
        <v>88.1</v>
      </c>
      <c r="AD292" s="40">
        <v>87.7914607500039</v>
      </c>
      <c r="AE292" s="40">
        <v>87.3625</v>
      </c>
      <c r="AF292" s="40">
        <v>0.175999999999999</v>
      </c>
      <c r="AG292" s="40">
        <v>88.1</v>
      </c>
      <c r="AH292" s="45">
        <v>44384.0</v>
      </c>
      <c r="AI292" s="44" t="str">
        <f>'6image_RS_benchmark_performance'!B292</f>
        <v>https://3arbzfbsh-cname-us.ngrok.io/Desktop/seabridge%20fintech/image_app/HYG_resistance_support.jpg</v>
      </c>
      <c r="AJ292" s="44" t="str">
        <f>'6image_RS_benchmark_performance'!C292</f>
        <v>https://3arbzfbsh-cname-us.ngrok.io/Desktop/seabridge%20fintech/profit_graph_app/HYG_Return.jpg</v>
      </c>
      <c r="AK292" s="46" t="str">
        <f>'5price_action_icon'!B292</f>
        <v>https://3arbzfbsh-cname-us.ngrok.io/Desktop/seabridge%20fintech/icon/HYG_pa_trend_signal</v>
      </c>
      <c r="AL292" s="42">
        <f>'1kpi_performance'!B292</f>
        <v>0.0978330382</v>
      </c>
      <c r="AM292" s="42">
        <f>'1kpi_performance'!C292</f>
        <v>0.1615093752</v>
      </c>
      <c r="AN292" s="42">
        <f>'1kpi_performance'!D292</f>
        <v>0.1203962019</v>
      </c>
      <c r="AO292" s="42">
        <f>'1kpi_performance'!E292</f>
        <v>0.0003551804063</v>
      </c>
      <c r="AP292" s="42">
        <f>'1kpi_performance'!F292</f>
        <v>0.06630131428</v>
      </c>
      <c r="AQ292" s="42">
        <f>'1kpi_performance'!G292</f>
        <v>0.06915282727</v>
      </c>
      <c r="AR292" s="42">
        <f>'1kpi_performance'!H292</f>
        <v>0.06099899201</v>
      </c>
      <c r="AS292" s="42">
        <f>'1kpi_performance'!I292</f>
        <v>0.1036543812</v>
      </c>
      <c r="AT292" s="35">
        <f>'1kpi_performance'!J292</f>
        <v>1.098515753</v>
      </c>
      <c r="AU292" s="35">
        <f>'1kpi_performance'!K292</f>
        <v>1.974024499</v>
      </c>
      <c r="AV292" s="35">
        <f>'1kpi_performance'!L292</f>
        <v>1.563898004</v>
      </c>
      <c r="AW292" s="35">
        <f>'1kpi_performance'!M292</f>
        <v>-0.2377595555</v>
      </c>
      <c r="AX292" s="42">
        <f>'1kpi_performance'!N292</f>
        <v>0.05328871155</v>
      </c>
      <c r="AY292" s="42">
        <f>'1kpi_performance'!O292</f>
        <v>0.05328871155</v>
      </c>
      <c r="AZ292" s="42">
        <f>'1kpi_performance'!P292</f>
        <v>0.08791381658</v>
      </c>
      <c r="BA292" s="42">
        <f>'1kpi_performance'!Q292</f>
        <v>0.2872572437</v>
      </c>
      <c r="BB292" s="35">
        <f>'1kpi_performance'!R292</f>
        <v>2.264023499</v>
      </c>
      <c r="BC292" s="35">
        <f>'1kpi_performance'!S292</f>
        <v>4.51675866</v>
      </c>
      <c r="BD292" s="35">
        <f>'1kpi_performance'!T292</f>
        <v>3.220914405</v>
      </c>
      <c r="BE292" s="35">
        <f>'1kpi_performance'!U292</f>
        <v>-0.4332809115</v>
      </c>
      <c r="BF292" s="47"/>
      <c r="BG292" s="47"/>
      <c r="BH292" s="47"/>
      <c r="BI292" s="47"/>
      <c r="BJ292" s="47"/>
      <c r="BK292" s="47"/>
      <c r="BL292" s="47"/>
      <c r="BM292" s="47"/>
      <c r="BN292" s="47"/>
      <c r="BO292" s="47"/>
      <c r="BP292" s="47"/>
      <c r="BQ292" s="47"/>
      <c r="BR292" s="47"/>
      <c r="BS292" s="47"/>
      <c r="BT292" s="47"/>
    </row>
    <row r="293" ht="11.25" customHeight="1">
      <c r="A293" s="35" t="str">
        <f>'13all_company_profile'!A293</f>
        <v>HYLB</v>
      </c>
      <c r="B293" s="35" t="str">
        <f>'13all_company_profile'!B293</f>
        <v>HYLB was created on 12/07/16 by Deutsche Bank. The ETF tracks an index of USD-denominated high-yield corporate bonds with 1 to 15 years remaining to maturity.</v>
      </c>
      <c r="C293" s="44" t="str">
        <f>'13all_company_profile'!C293</f>
        <v>https://financialmodelingprep.com/image-stock/HYLB.jpg</v>
      </c>
      <c r="D293" s="35" t="str">
        <f>'13all_company_profile'!D293</f>
        <v>Xtrackers USD High Yield Corporate Bond ETF</v>
      </c>
      <c r="E293" s="36">
        <f>'13all_company_profile'!E293</f>
        <v>2719674050</v>
      </c>
      <c r="F293" s="37">
        <f>'13all_company_profile'!F293</f>
        <v>2397320</v>
      </c>
      <c r="G293" s="35">
        <f>'13all_company_profile'!G293</f>
        <v>1.5906</v>
      </c>
      <c r="H293" s="38" t="str">
        <f>'13all_company_profile'!H293</f>
        <v>not avaiable</v>
      </c>
      <c r="I293" s="35" t="str">
        <f>'13all_company_profile'!I293</f>
        <v>NaN</v>
      </c>
      <c r="J293" s="35" t="str">
        <f>'13all_company_profile'!J293</f>
        <v>NaN</v>
      </c>
      <c r="K293" s="42">
        <f t="shared" si="1"/>
        <v>0.03967572961</v>
      </c>
      <c r="L293" s="35">
        <f>'7company_info'!B293</f>
        <v>40.09</v>
      </c>
      <c r="M293" s="35">
        <f>'7company_info'!C293</f>
        <v>40.09</v>
      </c>
      <c r="N293" s="35">
        <f>'7company_info'!D293</f>
        <v>39.89</v>
      </c>
      <c r="O293" s="35">
        <f>'7company_info'!E293</f>
        <v>0.2</v>
      </c>
      <c r="P293" s="35">
        <f>'7company_info'!F293</f>
        <v>0.005</v>
      </c>
      <c r="Q293" s="35">
        <f>'7company_info'!G293</f>
        <v>39.89</v>
      </c>
      <c r="R293" s="35">
        <f>'7company_info'!H293</f>
        <v>39.89</v>
      </c>
      <c r="S293" s="35">
        <f>'7company_info'!I293</f>
        <v>37.9</v>
      </c>
      <c r="T293" s="35">
        <f>'7company_info'!J293</f>
        <v>40.36</v>
      </c>
      <c r="U293" s="39">
        <v>40.24</v>
      </c>
      <c r="V293" s="39">
        <v>40.27</v>
      </c>
      <c r="W293" s="40">
        <v>40.3</v>
      </c>
      <c r="X293" s="40">
        <v>40.36</v>
      </c>
      <c r="Y293" s="40">
        <v>40.21</v>
      </c>
      <c r="Z293" s="40">
        <v>40.18</v>
      </c>
      <c r="AA293" s="40">
        <v>40.12</v>
      </c>
      <c r="AB293" s="40">
        <v>40.18</v>
      </c>
      <c r="AC293" s="40">
        <v>40.36</v>
      </c>
      <c r="AD293" s="40">
        <v>40.2287412626555</v>
      </c>
      <c r="AE293" s="40">
        <v>40.06398</v>
      </c>
      <c r="AF293" s="40">
        <v>0.0785099999999992</v>
      </c>
      <c r="AG293" s="40">
        <v>40.36</v>
      </c>
      <c r="AH293" s="45">
        <v>44384.0</v>
      </c>
      <c r="AI293" s="44" t="str">
        <f>'6image_RS_benchmark_performance'!B293</f>
        <v>https://3arbzfbsh-cname-us.ngrok.io/Desktop/seabridge%20fintech/image_app/HYLB_resistance_support.jpg</v>
      </c>
      <c r="AJ293" s="44" t="str">
        <f>'6image_RS_benchmark_performance'!C293</f>
        <v>https://3arbzfbsh-cname-us.ngrok.io/Desktop/seabridge%20fintech/profit_graph_app/HYLB_Return.jpg</v>
      </c>
      <c r="AK293" s="46" t="str">
        <f>'5price_action_icon'!B293</f>
        <v>https://3arbzfbsh-cname-us.ngrok.io/Desktop/seabridge%20fintech/icon/HYLB_pa_trend_signal</v>
      </c>
      <c r="AL293" s="42">
        <f>'1kpi_performance'!B293</f>
        <v>0.0976503302</v>
      </c>
      <c r="AM293" s="42">
        <f>'1kpi_performance'!C293</f>
        <v>0.1566529979</v>
      </c>
      <c r="AN293" s="42">
        <f>'1kpi_performance'!D293</f>
        <v>0.09643159648</v>
      </c>
      <c r="AO293" s="42">
        <f>'1kpi_performance'!E293</f>
        <v>-0.0004367682492</v>
      </c>
      <c r="AP293" s="42">
        <f>'1kpi_performance'!F293</f>
        <v>0.06940145215</v>
      </c>
      <c r="AQ293" s="42">
        <f>'1kpi_performance'!G293</f>
        <v>0.06905312395</v>
      </c>
      <c r="AR293" s="42">
        <f>'1kpi_performance'!H293</f>
        <v>0.05149077593</v>
      </c>
      <c r="AS293" s="42">
        <f>'1kpi_performance'!I293</f>
        <v>0.1071262789</v>
      </c>
      <c r="AT293" s="35">
        <f>'1kpi_performance'!J293</f>
        <v>1.046812825</v>
      </c>
      <c r="AU293" s="35">
        <f>'1kpi_performance'!K293</f>
        <v>1.906546588</v>
      </c>
      <c r="AV293" s="35">
        <f>'1kpi_performance'!L293</f>
        <v>1.387269762</v>
      </c>
      <c r="AW293" s="35">
        <f>'1kpi_performance'!M293</f>
        <v>-0.2374465773</v>
      </c>
      <c r="AX293" s="42">
        <f>'1kpi_performance'!N293</f>
        <v>0.05038409399</v>
      </c>
      <c r="AY293" s="42">
        <f>'1kpi_performance'!O293</f>
        <v>0.05038409399</v>
      </c>
      <c r="AZ293" s="42">
        <f>'1kpi_performance'!P293</f>
        <v>0.05672410401</v>
      </c>
      <c r="BA293" s="42">
        <f>'1kpi_performance'!Q293</f>
        <v>0.2468822126</v>
      </c>
      <c r="BB293" s="35">
        <f>'1kpi_performance'!R293</f>
        <v>2.24722526</v>
      </c>
      <c r="BC293" s="35">
        <f>'1kpi_performance'!S293</f>
        <v>4.429148701</v>
      </c>
      <c r="BD293" s="35">
        <f>'1kpi_performance'!T293</f>
        <v>2.742635495</v>
      </c>
      <c r="BE293" s="35">
        <f>'1kpi_performance'!U293</f>
        <v>-0.4145612816</v>
      </c>
      <c r="BF293" s="47"/>
      <c r="BG293" s="47"/>
      <c r="BH293" s="47"/>
      <c r="BI293" s="47"/>
      <c r="BJ293" s="47"/>
      <c r="BK293" s="47"/>
      <c r="BL293" s="47"/>
      <c r="BM293" s="47"/>
      <c r="BN293" s="47"/>
      <c r="BO293" s="47"/>
      <c r="BP293" s="47"/>
      <c r="BQ293" s="47"/>
      <c r="BR293" s="47"/>
      <c r="BS293" s="47"/>
      <c r="BT293" s="47"/>
    </row>
    <row r="294" ht="11.25" customHeight="1">
      <c r="A294" s="35" t="str">
        <f>'13all_company_profile'!A294</f>
        <v>IAU</v>
      </c>
      <c r="B294" s="35" t="str">
        <f>'13all_company_profile'!B294</f>
        <v>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v>
      </c>
      <c r="C294" s="44" t="str">
        <f>'13all_company_profile'!C294</f>
        <v>https://financialmodelingprep.com/image-stock/IAU.png</v>
      </c>
      <c r="D294" s="35" t="str">
        <f>'13all_company_profile'!D294</f>
        <v>iShares Gold Trust</v>
      </c>
      <c r="E294" s="36">
        <f>'13all_company_profile'!E294</f>
        <v>33780623360</v>
      </c>
      <c r="F294" s="37">
        <f>'13all_company_profile'!F294</f>
        <v>11235884</v>
      </c>
      <c r="G294" s="35">
        <f>'13all_company_profile'!G294</f>
        <v>0</v>
      </c>
      <c r="H294" s="38" t="str">
        <f>'13all_company_profile'!H294</f>
        <v>not avaiable</v>
      </c>
      <c r="I294" s="35">
        <f>'13all_company_profile'!I294</f>
        <v>63.146885</v>
      </c>
      <c r="J294" s="35">
        <f>'13all_company_profile'!J294</f>
        <v>0.546</v>
      </c>
      <c r="K294" s="42" t="str">
        <f t="shared" si="1"/>
        <v>NaN</v>
      </c>
      <c r="L294" s="35">
        <f>'7company_info'!B294</f>
        <v>34.47</v>
      </c>
      <c r="M294" s="35">
        <f>'7company_info'!C294</f>
        <v>34.74</v>
      </c>
      <c r="N294" s="35">
        <f>'7company_info'!D294</f>
        <v>34.38</v>
      </c>
      <c r="O294" s="35">
        <f>'7company_info'!E294</f>
        <v>-0.03</v>
      </c>
      <c r="P294" s="35">
        <f>'7company_info'!F294</f>
        <v>-0.0009</v>
      </c>
      <c r="Q294" s="35">
        <f>'7company_info'!G294</f>
        <v>34.7</v>
      </c>
      <c r="R294" s="35">
        <f>'7company_info'!H294</f>
        <v>34.5</v>
      </c>
      <c r="S294" s="35">
        <f>'7company_info'!I294</f>
        <v>31.94</v>
      </c>
      <c r="T294" s="35">
        <f>'7company_info'!J294</f>
        <v>39.52</v>
      </c>
      <c r="U294" s="39">
        <v>34.7483333333333</v>
      </c>
      <c r="V294" s="39">
        <v>34.8516666666666</v>
      </c>
      <c r="W294" s="40">
        <v>34.9033333333333</v>
      </c>
      <c r="X294" s="40">
        <v>35.0583333333333</v>
      </c>
      <c r="Y294" s="40">
        <v>34.6966666666666</v>
      </c>
      <c r="Z294" s="40">
        <v>34.5933333333333</v>
      </c>
      <c r="AA294" s="40">
        <v>34.4383333333333</v>
      </c>
      <c r="AB294" s="40">
        <v>35.19</v>
      </c>
      <c r="AC294" s="40">
        <v>34.185</v>
      </c>
      <c r="AD294" s="40">
        <v>34.41500971615</v>
      </c>
      <c r="AE294" s="40">
        <v>33.69727</v>
      </c>
      <c r="AF294" s="40">
        <v>0.377865</v>
      </c>
      <c r="AG294" s="40">
        <v>36.375</v>
      </c>
      <c r="AH294" s="45">
        <v>44348.0</v>
      </c>
      <c r="AI294" s="44" t="str">
        <f>'6image_RS_benchmark_performance'!B294</f>
        <v>https://3arbzfbsh-cname-us.ngrok.io/Desktop/seabridge%20fintech/image_app/IAU_resistance_support.jpg</v>
      </c>
      <c r="AJ294" s="44" t="str">
        <f>'6image_RS_benchmark_performance'!C294</f>
        <v>https://3arbzfbsh-cname-us.ngrok.io/Desktop/seabridge%20fintech/profit_graph_app/IAU_Return.jpg</v>
      </c>
      <c r="AK294" s="46" t="str">
        <f>'5price_action_icon'!B294</f>
        <v>https://3arbzfbsh-cname-us.ngrok.io/Desktop/seabridge%20fintech/icon/IAU_pa_trend_signal</v>
      </c>
      <c r="AL294" s="42">
        <f>'1kpi_performance'!B294</f>
        <v>0.300557877</v>
      </c>
      <c r="AM294" s="42">
        <f>'1kpi_performance'!C294</f>
        <v>0.467389909</v>
      </c>
      <c r="AN294" s="42">
        <f>'1kpi_performance'!D294</f>
        <v>0.3190442825</v>
      </c>
      <c r="AO294" s="42">
        <f>'1kpi_performance'!E294</f>
        <v>0.06189431916</v>
      </c>
      <c r="AP294" s="42">
        <f>'1kpi_performance'!F294</f>
        <v>0.1238007177</v>
      </c>
      <c r="AQ294" s="42">
        <f>'1kpi_performance'!G294</f>
        <v>0.1267578578</v>
      </c>
      <c r="AR294" s="42">
        <f>'1kpi_performance'!H294</f>
        <v>0.1165604617</v>
      </c>
      <c r="AS294" s="42">
        <f>'1kpi_performance'!I294</f>
        <v>0.1890945934</v>
      </c>
      <c r="AT294" s="35">
        <f>'1kpi_performance'!J294</f>
        <v>2.225818091</v>
      </c>
      <c r="AU294" s="35">
        <f>'1kpi_performance'!K294</f>
        <v>3.490039328</v>
      </c>
      <c r="AV294" s="35">
        <f>'1kpi_performance'!L294</f>
        <v>2.522676028</v>
      </c>
      <c r="AW294" s="35">
        <f>'1kpi_performance'!M294</f>
        <v>0.1951103862</v>
      </c>
      <c r="AX294" s="42">
        <f>'1kpi_performance'!N294</f>
        <v>0.088497713</v>
      </c>
      <c r="AY294" s="42">
        <f>'1kpi_performance'!O294</f>
        <v>0.04942755823</v>
      </c>
      <c r="AZ294" s="42">
        <f>'1kpi_performance'!P294</f>
        <v>0.117080249</v>
      </c>
      <c r="BA294" s="42">
        <f>'1kpi_performance'!Q294</f>
        <v>0.4513513514</v>
      </c>
      <c r="BB294" s="35">
        <f>'1kpi_performance'!R294</f>
        <v>4.629022266</v>
      </c>
      <c r="BC294" s="35">
        <f>'1kpi_performance'!S294</f>
        <v>8.221422785</v>
      </c>
      <c r="BD294" s="35">
        <f>'1kpi_performance'!T294</f>
        <v>5.363276781</v>
      </c>
      <c r="BE294" s="35">
        <f>'1kpi_performance'!U294</f>
        <v>0.3683466801</v>
      </c>
      <c r="BF294" s="47"/>
      <c r="BG294" s="47"/>
      <c r="BH294" s="47"/>
      <c r="BI294" s="47"/>
      <c r="BJ294" s="47"/>
      <c r="BK294" s="47"/>
      <c r="BL294" s="47"/>
      <c r="BM294" s="47"/>
      <c r="BN294" s="47"/>
      <c r="BO294" s="47"/>
      <c r="BP294" s="47"/>
      <c r="BQ294" s="47"/>
      <c r="BR294" s="47"/>
      <c r="BS294" s="47"/>
      <c r="BT294" s="47"/>
    </row>
    <row r="295" ht="11.25" customHeight="1">
      <c r="A295" s="35" t="str">
        <f>'13all_company_profile'!A295</f>
        <v>IBB</v>
      </c>
      <c r="B295" s="35" t="str">
        <f>'13all_company_profile'!B295</f>
        <v>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v>
      </c>
      <c r="C295" s="44" t="str">
        <f>'13all_company_profile'!C295</f>
        <v>https://financialmodelingprep.com/image-stock/IBB.png</v>
      </c>
      <c r="D295" s="35" t="str">
        <f>'13all_company_profile'!D295</f>
        <v>iShares Nasdaq Biotechnology ETF</v>
      </c>
      <c r="E295" s="36">
        <f>'13all_company_profile'!E295</f>
        <v>11099724800</v>
      </c>
      <c r="F295" s="37">
        <f>'13all_company_profile'!F295</f>
        <v>3302707</v>
      </c>
      <c r="G295" s="35">
        <f>'13all_company_profile'!G295</f>
        <v>0.259</v>
      </c>
      <c r="H295" s="38" t="str">
        <f>'13all_company_profile'!H295</f>
        <v>not avaiable</v>
      </c>
      <c r="I295" s="35">
        <f>'13all_company_profile'!I295</f>
        <v>3.8447752</v>
      </c>
      <c r="J295" s="35">
        <f>'13all_company_profile'!J295</f>
        <v>41.836</v>
      </c>
      <c r="K295" s="42">
        <f t="shared" si="1"/>
        <v>0.001578498294</v>
      </c>
      <c r="L295" s="35">
        <f>'7company_info'!B295</f>
        <v>164.08</v>
      </c>
      <c r="M295" s="35">
        <f>'7company_info'!C295</f>
        <v>165.12</v>
      </c>
      <c r="N295" s="35">
        <f>'7company_info'!D295</f>
        <v>161.92</v>
      </c>
      <c r="O295" s="35">
        <f>'7company_info'!E295</f>
        <v>2.3</v>
      </c>
      <c r="P295" s="35">
        <f>'7company_info'!F295</f>
        <v>0.0142</v>
      </c>
      <c r="Q295" s="35">
        <f>'7company_info'!G295</f>
        <v>162.12</v>
      </c>
      <c r="R295" s="35">
        <f>'7company_info'!H295</f>
        <v>161.78</v>
      </c>
      <c r="S295" s="35">
        <f>'7company_info'!I295</f>
        <v>126</v>
      </c>
      <c r="T295" s="35">
        <f>'7company_info'!J295</f>
        <v>174.04</v>
      </c>
      <c r="U295" s="39">
        <v>159.568333333333</v>
      </c>
      <c r="V295" s="39">
        <v>160.611666666666</v>
      </c>
      <c r="W295" s="40">
        <v>162.333333333333</v>
      </c>
      <c r="X295" s="40">
        <v>165.098333333333</v>
      </c>
      <c r="Y295" s="40">
        <v>157.846666666666</v>
      </c>
      <c r="Z295" s="40">
        <v>156.803333333333</v>
      </c>
      <c r="AA295" s="40">
        <v>154.038333333333</v>
      </c>
      <c r="AB295" s="40">
        <v>161.82</v>
      </c>
      <c r="AC295" s="40">
        <v>165.79</v>
      </c>
      <c r="AD295" s="40">
        <v>160.997749987781</v>
      </c>
      <c r="AE295" s="40">
        <v>155.95778</v>
      </c>
      <c r="AF295" s="40">
        <v>2.48186</v>
      </c>
      <c r="AG295" s="40">
        <v>174.04</v>
      </c>
      <c r="AH295" s="45">
        <v>44237.0</v>
      </c>
      <c r="AI295" s="44" t="str">
        <f>'6image_RS_benchmark_performance'!B295</f>
        <v>https://3arbzfbsh-cname-us.ngrok.io/Desktop/seabridge%20fintech/image_app/IBB_resistance_support.jpg</v>
      </c>
      <c r="AJ295" s="44" t="str">
        <f>'6image_RS_benchmark_performance'!C295</f>
        <v>https://3arbzfbsh-cname-us.ngrok.io/Desktop/seabridge%20fintech/profit_graph_app/IBB_Return.jpg</v>
      </c>
      <c r="AK295" s="46" t="str">
        <f>'5price_action_icon'!B295</f>
        <v>https://3arbzfbsh-cname-us.ngrok.io/Desktop/seabridge%20fintech/icon/IBB_pa_trend_signal</v>
      </c>
      <c r="AL295" s="42">
        <f>'1kpi_performance'!B295</f>
        <v>0.5440747357</v>
      </c>
      <c r="AM295" s="42">
        <f>'1kpi_performance'!C295</f>
        <v>0.6681179087</v>
      </c>
      <c r="AN295" s="42">
        <f>'1kpi_performance'!D295</f>
        <v>0.6334829333</v>
      </c>
      <c r="AO295" s="42">
        <f>'1kpi_performance'!E295</f>
        <v>0.2420780331</v>
      </c>
      <c r="AP295" s="42">
        <f>'1kpi_performance'!F295</f>
        <v>0.1848617402</v>
      </c>
      <c r="AQ295" s="42">
        <f>'1kpi_performance'!G295</f>
        <v>0.196250885</v>
      </c>
      <c r="AR295" s="42">
        <f>'1kpi_performance'!H295</f>
        <v>0.2073739316</v>
      </c>
      <c r="AS295" s="42">
        <f>'1kpi_performance'!I295</f>
        <v>0.2903563161</v>
      </c>
      <c r="AT295" s="35">
        <f>'1kpi_performance'!J295</f>
        <v>2.807907873</v>
      </c>
      <c r="AU295" s="35">
        <f>'1kpi_performance'!K295</f>
        <v>3.277019152</v>
      </c>
      <c r="AV295" s="35">
        <f>'1kpi_performance'!L295</f>
        <v>2.934230588</v>
      </c>
      <c r="AW295" s="35">
        <f>'1kpi_performance'!M295</f>
        <v>0.7476263512</v>
      </c>
      <c r="AX295" s="42">
        <f>'1kpi_performance'!N295</f>
        <v>0.08204989642</v>
      </c>
      <c r="AY295" s="42">
        <f>'1kpi_performance'!O295</f>
        <v>0.08845559035</v>
      </c>
      <c r="AZ295" s="42">
        <f>'1kpi_performance'!P295</f>
        <v>0.2242767916</v>
      </c>
      <c r="BA295" s="42">
        <f>'1kpi_performance'!Q295</f>
        <v>0.3932410987</v>
      </c>
      <c r="BB295" s="35">
        <f>'1kpi_performance'!R295</f>
        <v>5.936467735</v>
      </c>
      <c r="BC295" s="35">
        <f>'1kpi_performance'!S295</f>
        <v>7.281645609</v>
      </c>
      <c r="BD295" s="35">
        <f>'1kpi_performance'!T295</f>
        <v>6.009794762</v>
      </c>
      <c r="BE295" s="35">
        <f>'1kpi_performance'!U295</f>
        <v>1.469357284</v>
      </c>
      <c r="BF295" s="47"/>
      <c r="BG295" s="47"/>
      <c r="BH295" s="47"/>
      <c r="BI295" s="47"/>
      <c r="BJ295" s="47"/>
      <c r="BK295" s="47"/>
      <c r="BL295" s="47"/>
      <c r="BM295" s="47"/>
      <c r="BN295" s="47"/>
      <c r="BO295" s="47"/>
      <c r="BP295" s="47"/>
      <c r="BQ295" s="47"/>
      <c r="BR295" s="47"/>
      <c r="BS295" s="47"/>
      <c r="BT295" s="47"/>
    </row>
    <row r="296" ht="11.25" customHeight="1">
      <c r="A296" s="35" t="str">
        <f>'13all_company_profile'!A296</f>
        <v>IBM</v>
      </c>
      <c r="B296" s="35" t="str">
        <f>'13all_company_profile'!B296</f>
        <v>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v>
      </c>
      <c r="C296" s="44" t="str">
        <f>'13all_company_profile'!C296</f>
        <v>https://financialmodelingprep.com/image-stock/IBM.png</v>
      </c>
      <c r="D296" s="35" t="str">
        <f>'13all_company_profile'!D296</f>
        <v>International Business Machines Corporation</v>
      </c>
      <c r="E296" s="36">
        <f>'13all_company_profile'!E296</f>
        <v>125432766464</v>
      </c>
      <c r="F296" s="37">
        <f>'13all_company_profile'!F296</f>
        <v>5022912</v>
      </c>
      <c r="G296" s="35">
        <f>'13all_company_profile'!G296</f>
        <v>6.53</v>
      </c>
      <c r="H296" s="38">
        <f>'13all_company_profile'!H296</f>
        <v>44396</v>
      </c>
      <c r="I296" s="35">
        <f>'13all_company_profile'!I296</f>
        <v>23.275343</v>
      </c>
      <c r="J296" s="35">
        <f>'13all_company_profile'!J296</f>
        <v>5.978</v>
      </c>
      <c r="K296" s="42">
        <f t="shared" si="1"/>
        <v>0.04665285418</v>
      </c>
      <c r="L296" s="35">
        <f>'7company_info'!B296</f>
        <v>139.97</v>
      </c>
      <c r="M296" s="35">
        <f>'7company_info'!C296</f>
        <v>144.92</v>
      </c>
      <c r="N296" s="35">
        <f>'7company_info'!D296</f>
        <v>138.7</v>
      </c>
      <c r="O296" s="35">
        <f>'7company_info'!E296</f>
        <v>2.05</v>
      </c>
      <c r="P296" s="35">
        <f>'7company_info'!F296</f>
        <v>0.0149</v>
      </c>
      <c r="Q296" s="35">
        <f>'7company_info'!G296</f>
        <v>143</v>
      </c>
      <c r="R296" s="35">
        <f>'7company_info'!H296</f>
        <v>137.92</v>
      </c>
      <c r="S296" s="35">
        <f>'7company_info'!I296</f>
        <v>105.92</v>
      </c>
      <c r="T296" s="35">
        <f>'7company_info'!J296</f>
        <v>152.84</v>
      </c>
      <c r="U296" s="39">
        <v>139.832433333333</v>
      </c>
      <c r="V296" s="39">
        <v>140.737566666666</v>
      </c>
      <c r="W296" s="40">
        <v>141.655133333333</v>
      </c>
      <c r="X296" s="40">
        <v>143.477833333333</v>
      </c>
      <c r="Y296" s="40">
        <v>138.914866666666</v>
      </c>
      <c r="Z296" s="40">
        <v>138.009733333333</v>
      </c>
      <c r="AA296" s="40">
        <v>136.187033333333</v>
      </c>
      <c r="AB296" s="40">
        <v>139.46</v>
      </c>
      <c r="AC296" s="40">
        <v>148.06</v>
      </c>
      <c r="AD296" s="40">
        <v>143.077776249387</v>
      </c>
      <c r="AE296" s="40">
        <v>135.50022</v>
      </c>
      <c r="AF296" s="40">
        <v>2.40952499999999</v>
      </c>
      <c r="AG296" s="40">
        <v>152.84</v>
      </c>
      <c r="AH296" s="45">
        <v>44357.0</v>
      </c>
      <c r="AI296" s="44" t="str">
        <f>'6image_RS_benchmark_performance'!B296</f>
        <v>https://3arbzfbsh-cname-us.ngrok.io/Desktop/seabridge%20fintech/image_app/IBM_resistance_support.jpg</v>
      </c>
      <c r="AJ296" s="44" t="str">
        <f>'6image_RS_benchmark_performance'!C296</f>
        <v>https://3arbzfbsh-cname-us.ngrok.io/Desktop/seabridge%20fintech/profit_graph_app/IBM_Return.jpg</v>
      </c>
      <c r="AK296" s="46" t="str">
        <f>'5price_action_icon'!B296</f>
        <v>https://3arbzfbsh-cname-us.ngrok.io/Desktop/seabridge%20fintech/icon/IBM_pa_trend_signal</v>
      </c>
      <c r="AL296" s="42">
        <f>'1kpi_performance'!B296</f>
        <v>0.37702278</v>
      </c>
      <c r="AM296" s="42">
        <f>'1kpi_performance'!C296</f>
        <v>0.5340804313</v>
      </c>
      <c r="AN296" s="42">
        <f>'1kpi_performance'!D296</f>
        <v>0.442616532</v>
      </c>
      <c r="AO296" s="42">
        <f>'1kpi_performance'!E296</f>
        <v>0.01008710561</v>
      </c>
      <c r="AP296" s="42">
        <f>'1kpi_performance'!F296</f>
        <v>0.1752939422</v>
      </c>
      <c r="AQ296" s="42">
        <f>'1kpi_performance'!G296</f>
        <v>0.1697705307</v>
      </c>
      <c r="AR296" s="42">
        <f>'1kpi_performance'!H296</f>
        <v>0.1661712968</v>
      </c>
      <c r="AS296" s="42">
        <f>'1kpi_performance'!I296</f>
        <v>0.2697041444</v>
      </c>
      <c r="AT296" s="35">
        <f>'1kpi_performance'!J296</f>
        <v>2.008185654</v>
      </c>
      <c r="AU296" s="35">
        <f>'1kpi_performance'!K296</f>
        <v>2.998638392</v>
      </c>
      <c r="AV296" s="35">
        <f>'1kpi_performance'!L296</f>
        <v>2.51316888</v>
      </c>
      <c r="AW296" s="35">
        <f>'1kpi_performance'!M296</f>
        <v>-0.05529353073</v>
      </c>
      <c r="AX296" s="42">
        <f>'1kpi_performance'!N296</f>
        <v>0.1306813996</v>
      </c>
      <c r="AY296" s="42">
        <f>'1kpi_performance'!O296</f>
        <v>0.07225244416</v>
      </c>
      <c r="AZ296" s="42">
        <f>'1kpi_performance'!P296</f>
        <v>0.1178376855</v>
      </c>
      <c r="BA296" s="42">
        <f>'1kpi_performance'!Q296</f>
        <v>0.5608433735</v>
      </c>
      <c r="BB296" s="35">
        <f>'1kpi_performance'!R296</f>
        <v>4.179423434</v>
      </c>
      <c r="BC296" s="35">
        <f>'1kpi_performance'!S296</f>
        <v>7.271134514</v>
      </c>
      <c r="BD296" s="35">
        <f>'1kpi_performance'!T296</f>
        <v>5.322672458</v>
      </c>
      <c r="BE296" s="35">
        <f>'1kpi_performance'!U296</f>
        <v>-0.1017580758</v>
      </c>
      <c r="BF296" s="47"/>
      <c r="BG296" s="47"/>
      <c r="BH296" s="47"/>
      <c r="BI296" s="47"/>
      <c r="BJ296" s="47"/>
      <c r="BK296" s="47"/>
      <c r="BL296" s="47"/>
      <c r="BM296" s="47"/>
      <c r="BN296" s="47"/>
      <c r="BO296" s="47"/>
      <c r="BP296" s="47"/>
      <c r="BQ296" s="47"/>
      <c r="BR296" s="47"/>
      <c r="BS296" s="47"/>
      <c r="BT296" s="47"/>
    </row>
    <row r="297" ht="11.25" customHeight="1">
      <c r="A297" s="35" t="str">
        <f>'13all_company_profile'!A297</f>
        <v>ICE</v>
      </c>
      <c r="B297" s="35" t="str">
        <f>'13all_company_profile'!B297</f>
        <v>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v>
      </c>
      <c r="C297" s="44" t="str">
        <f>'13all_company_profile'!C297</f>
        <v>https://financialmodelingprep.com/image-stock/ICE.png</v>
      </c>
      <c r="D297" s="35" t="str">
        <f>'13all_company_profile'!D297</f>
        <v>Intercontinental Exchange, Inc.</v>
      </c>
      <c r="E297" s="36">
        <f>'13all_company_profile'!E297</f>
        <v>66350112768</v>
      </c>
      <c r="F297" s="37">
        <f>'13all_company_profile'!F297</f>
        <v>2571715</v>
      </c>
      <c r="G297" s="35">
        <f>'13all_company_profile'!G297</f>
        <v>1.26</v>
      </c>
      <c r="H297" s="38">
        <f>'13all_company_profile'!H297</f>
        <v>44406</v>
      </c>
      <c r="I297" s="35">
        <f>'13all_company_profile'!I297</f>
        <v>31.53045</v>
      </c>
      <c r="J297" s="35">
        <f>'13all_company_profile'!J297</f>
        <v>3.744</v>
      </c>
      <c r="K297" s="42">
        <f t="shared" si="1"/>
        <v>0.01057579318</v>
      </c>
      <c r="L297" s="35">
        <f>'7company_info'!B297</f>
        <v>119.14</v>
      </c>
      <c r="M297" s="35">
        <f>'7company_info'!C297</f>
        <v>119.66</v>
      </c>
      <c r="N297" s="35">
        <f>'7company_info'!D297</f>
        <v>117.41</v>
      </c>
      <c r="O297" s="35">
        <f>'7company_info'!E297</f>
        <v>1.78</v>
      </c>
      <c r="P297" s="35">
        <f>'7company_info'!F297</f>
        <v>0.0152</v>
      </c>
      <c r="Q297" s="35">
        <f>'7company_info'!G297</f>
        <v>117.55</v>
      </c>
      <c r="R297" s="35">
        <f>'7company_info'!H297</f>
        <v>117.36</v>
      </c>
      <c r="S297" s="35">
        <f>'7company_info'!I297</f>
        <v>92.41</v>
      </c>
      <c r="T297" s="35">
        <f>'7company_info'!J297</f>
        <v>121.97</v>
      </c>
      <c r="U297" s="39">
        <v>118.111666666666</v>
      </c>
      <c r="V297" s="39">
        <v>118.758333333333</v>
      </c>
      <c r="W297" s="40">
        <v>119.336666666666</v>
      </c>
      <c r="X297" s="40">
        <v>120.561666666666</v>
      </c>
      <c r="Y297" s="40">
        <v>117.533333333333</v>
      </c>
      <c r="Z297" s="40">
        <v>116.886666666666</v>
      </c>
      <c r="AA297" s="40">
        <v>115.661666666666</v>
      </c>
      <c r="AB297" s="40">
        <v>118.26</v>
      </c>
      <c r="AC297" s="40">
        <v>111.95</v>
      </c>
      <c r="AD297" s="40">
        <v>117.19225729549</v>
      </c>
      <c r="AE297" s="40">
        <v>115.94248</v>
      </c>
      <c r="AF297" s="40">
        <v>1.36250999999999</v>
      </c>
      <c r="AG297" s="40">
        <v>121.965</v>
      </c>
      <c r="AH297" s="45">
        <v>44309.0</v>
      </c>
      <c r="AI297" s="44" t="str">
        <f>'6image_RS_benchmark_performance'!B297</f>
        <v>https://3arbzfbsh-cname-us.ngrok.io/Desktop/seabridge%20fintech/image_app/ICE_resistance_support.jpg</v>
      </c>
      <c r="AJ297" s="44" t="str">
        <f>'6image_RS_benchmark_performance'!C297</f>
        <v>https://3arbzfbsh-cname-us.ngrok.io/Desktop/seabridge%20fintech/profit_graph_app/ICE_Return.jpg</v>
      </c>
      <c r="AK297" s="46" t="str">
        <f>'5price_action_icon'!B297</f>
        <v>https://3arbzfbsh-cname-us.ngrok.io/Desktop/seabridge%20fintech/icon/ICE_pa_trend_signal</v>
      </c>
      <c r="AL297" s="42">
        <f>'1kpi_performance'!B297</f>
        <v>0.508221856</v>
      </c>
      <c r="AM297" s="42">
        <f>'1kpi_performance'!C297</f>
        <v>0.5357005231</v>
      </c>
      <c r="AN297" s="42">
        <f>'1kpi_performance'!D297</f>
        <v>0.5769856654</v>
      </c>
      <c r="AO297" s="42">
        <f>'1kpi_performance'!E297</f>
        <v>0.2423550384</v>
      </c>
      <c r="AP297" s="42">
        <f>'1kpi_performance'!F297</f>
        <v>0.1860581955</v>
      </c>
      <c r="AQ297" s="42">
        <f>'1kpi_performance'!G297</f>
        <v>0.1954893314</v>
      </c>
      <c r="AR297" s="42">
        <f>'1kpi_performance'!H297</f>
        <v>0.2087501079</v>
      </c>
      <c r="AS297" s="42">
        <f>'1kpi_performance'!I297</f>
        <v>0.2896896837</v>
      </c>
      <c r="AT297" s="35">
        <f>'1kpi_performance'!J297</f>
        <v>2.597154372</v>
      </c>
      <c r="AU297" s="35">
        <f>'1kpi_performance'!K297</f>
        <v>2.612421453</v>
      </c>
      <c r="AV297" s="35">
        <f>'1kpi_performance'!L297</f>
        <v>2.644241342</v>
      </c>
      <c r="AW297" s="35">
        <f>'1kpi_performance'!M297</f>
        <v>0.7503029989</v>
      </c>
      <c r="AX297" s="42">
        <f>'1kpi_performance'!N297</f>
        <v>0.1446509043</v>
      </c>
      <c r="AY297" s="42">
        <f>'1kpi_performance'!O297</f>
        <v>0.08420659654</v>
      </c>
      <c r="AZ297" s="42">
        <f>'1kpi_performance'!P297</f>
        <v>0.3326345213</v>
      </c>
      <c r="BA297" s="42">
        <f>'1kpi_performance'!Q297</f>
        <v>0.3326345213</v>
      </c>
      <c r="BB297" s="35">
        <f>'1kpi_performance'!R297</f>
        <v>5.615033545</v>
      </c>
      <c r="BC297" s="35">
        <f>'1kpi_performance'!S297</f>
        <v>5.752080825</v>
      </c>
      <c r="BD297" s="35">
        <f>'1kpi_performance'!T297</f>
        <v>5.287715774</v>
      </c>
      <c r="BE297" s="35">
        <f>'1kpi_performance'!U297</f>
        <v>1.493526528</v>
      </c>
      <c r="BF297" s="47"/>
      <c r="BG297" s="47"/>
      <c r="BH297" s="47"/>
      <c r="BI297" s="47"/>
      <c r="BJ297" s="47"/>
      <c r="BK297" s="47"/>
      <c r="BL297" s="47"/>
      <c r="BM297" s="47"/>
      <c r="BN297" s="47"/>
      <c r="BO297" s="47"/>
      <c r="BP297" s="47"/>
      <c r="BQ297" s="47"/>
      <c r="BR297" s="47"/>
      <c r="BS297" s="47"/>
      <c r="BT297" s="47"/>
    </row>
    <row r="298" ht="11.25" customHeight="1">
      <c r="A298" s="35" t="str">
        <f>'13all_company_profile'!A298</f>
        <v>IDXX</v>
      </c>
      <c r="B298" s="35" t="str">
        <f>'13all_company_profile'!B298</f>
        <v>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v>
      </c>
      <c r="C298" s="44" t="str">
        <f>'13all_company_profile'!C298</f>
        <v>https://financialmodelingprep.com/image-stock/IDXX.png</v>
      </c>
      <c r="D298" s="35" t="str">
        <f>'13all_company_profile'!D298</f>
        <v>IDEXX Laboratories, Inc.</v>
      </c>
      <c r="E298" s="36">
        <f>'13all_company_profile'!E298</f>
        <v>56065236992</v>
      </c>
      <c r="F298" s="37">
        <f>'13all_company_profile'!F298</f>
        <v>352466</v>
      </c>
      <c r="G298" s="35">
        <f>'13all_company_profile'!G298</f>
        <v>0</v>
      </c>
      <c r="H298" s="38">
        <f>'13all_company_profile'!H298</f>
        <v>44407</v>
      </c>
      <c r="I298" s="35">
        <f>'13all_company_profile'!I298</f>
        <v>86.08481</v>
      </c>
      <c r="J298" s="35">
        <f>'13all_company_profile'!J298</f>
        <v>7.771</v>
      </c>
      <c r="K298" s="42" t="str">
        <f t="shared" si="1"/>
        <v>NaN</v>
      </c>
      <c r="L298" s="35">
        <f>'7company_info'!B298</f>
        <v>669.39</v>
      </c>
      <c r="M298" s="35">
        <f>'7company_info'!C298</f>
        <v>675.09</v>
      </c>
      <c r="N298" s="35">
        <f>'7company_info'!D298</f>
        <v>663.08</v>
      </c>
      <c r="O298" s="35">
        <f>'7company_info'!E298</f>
        <v>-0.01</v>
      </c>
      <c r="P298" s="35">
        <f>'7company_info'!F298</f>
        <v>0</v>
      </c>
      <c r="Q298" s="35">
        <f>'7company_info'!G298</f>
        <v>670.92</v>
      </c>
      <c r="R298" s="35">
        <f>'7company_info'!H298</f>
        <v>669.4</v>
      </c>
      <c r="S298" s="35">
        <f>'7company_info'!I298</f>
        <v>347.54</v>
      </c>
      <c r="T298" s="35">
        <f>'7company_info'!J298</f>
        <v>675.09</v>
      </c>
      <c r="U298" s="39">
        <v>661.6</v>
      </c>
      <c r="V298" s="39">
        <v>665.24</v>
      </c>
      <c r="W298" s="40">
        <v>670.63</v>
      </c>
      <c r="X298" s="40">
        <v>679.66</v>
      </c>
      <c r="Y298" s="40">
        <v>656.21</v>
      </c>
      <c r="Z298" s="40">
        <v>652.57</v>
      </c>
      <c r="AA298" s="40">
        <v>643.54</v>
      </c>
      <c r="AB298" s="40">
        <v>644.67</v>
      </c>
      <c r="AC298" s="40">
        <v>669.2</v>
      </c>
      <c r="AD298" s="40">
        <v>633.484430083377</v>
      </c>
      <c r="AE298" s="40">
        <v>638.859</v>
      </c>
      <c r="AF298" s="40">
        <v>11.9614999999999</v>
      </c>
      <c r="AG298" s="40">
        <v>573.99</v>
      </c>
      <c r="AH298" s="45">
        <v>44245.0</v>
      </c>
      <c r="AI298" s="44" t="str">
        <f>'6image_RS_benchmark_performance'!B298</f>
        <v>https://3arbzfbsh-cname-us.ngrok.io/Desktop/seabridge%20fintech/image_app/IDXX_resistance_support.jpg</v>
      </c>
      <c r="AJ298" s="44" t="str">
        <f>'6image_RS_benchmark_performance'!C298</f>
        <v>https://3arbzfbsh-cname-us.ngrok.io/Desktop/seabridge%20fintech/profit_graph_app/IDXX_Return.jpg</v>
      </c>
      <c r="AK298" s="46" t="str">
        <f>'5price_action_icon'!B298</f>
        <v>https://3arbzfbsh-cname-us.ngrok.io/Desktop/seabridge%20fintech/icon/IDXX_pa_trend_signal</v>
      </c>
      <c r="AL298" s="42">
        <f>'1kpi_performance'!B298</f>
        <v>0.7971804106</v>
      </c>
      <c r="AM298" s="42">
        <f>'1kpi_performance'!C298</f>
        <v>0.9734295906</v>
      </c>
      <c r="AN298" s="42">
        <f>'1kpi_performance'!D298</f>
        <v>0.7033689242</v>
      </c>
      <c r="AO298" s="42">
        <f>'1kpi_performance'!E298</f>
        <v>0.4749170394</v>
      </c>
      <c r="AP298" s="42">
        <f>'1kpi_performance'!F298</f>
        <v>0.2214760223</v>
      </c>
      <c r="AQ298" s="42">
        <f>'1kpi_performance'!G298</f>
        <v>0.2301350252</v>
      </c>
      <c r="AR298" s="42">
        <f>'1kpi_performance'!H298</f>
        <v>0.2163136283</v>
      </c>
      <c r="AS298" s="42">
        <f>'1kpi_performance'!I298</f>
        <v>0.3292263641</v>
      </c>
      <c r="AT298" s="35">
        <f>'1kpi_performance'!J298</f>
        <v>3.486519229</v>
      </c>
      <c r="AU298" s="35">
        <f>'1kpi_performance'!K298</f>
        <v>4.121187505</v>
      </c>
      <c r="AV298" s="35">
        <f>'1kpi_performance'!L298</f>
        <v>3.136043391</v>
      </c>
      <c r="AW298" s="35">
        <f>'1kpi_performance'!M298</f>
        <v>1.366588732</v>
      </c>
      <c r="AX298" s="42">
        <f>'1kpi_performance'!N298</f>
        <v>0.1386924271</v>
      </c>
      <c r="AY298" s="42">
        <f>'1kpi_performance'!O298</f>
        <v>0.1386924271</v>
      </c>
      <c r="AZ298" s="42">
        <f>'1kpi_performance'!P298</f>
        <v>0.280245505</v>
      </c>
      <c r="BA298" s="42">
        <f>'1kpi_performance'!Q298</f>
        <v>0.3712753892</v>
      </c>
      <c r="BB298" s="35">
        <f>'1kpi_performance'!R298</f>
        <v>8.040429828</v>
      </c>
      <c r="BC298" s="35">
        <f>'1kpi_performance'!S298</f>
        <v>9.733940798</v>
      </c>
      <c r="BD298" s="35">
        <f>'1kpi_performance'!T298</f>
        <v>6.67409597</v>
      </c>
      <c r="BE298" s="35">
        <f>'1kpi_performance'!U298</f>
        <v>2.676679508</v>
      </c>
      <c r="BF298" s="47"/>
      <c r="BG298" s="47"/>
      <c r="BH298" s="47"/>
      <c r="BI298" s="47"/>
      <c r="BJ298" s="47"/>
      <c r="BK298" s="47"/>
      <c r="BL298" s="47"/>
      <c r="BM298" s="47"/>
      <c r="BN298" s="47"/>
      <c r="BO298" s="47"/>
      <c r="BP298" s="47"/>
      <c r="BQ298" s="47"/>
      <c r="BR298" s="47"/>
      <c r="BS298" s="47"/>
      <c r="BT298" s="47"/>
    </row>
    <row r="299" ht="11.25" customHeight="1">
      <c r="A299" s="35" t="str">
        <f>'13all_company_profile'!A299</f>
        <v>IEF</v>
      </c>
      <c r="B299" s="35" t="str">
        <f>'13all_company_profile'!B299</f>
        <v>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v>
      </c>
      <c r="C299" s="44" t="str">
        <f>'13all_company_profile'!C299</f>
        <v>https://financialmodelingprep.com/image-stock/IEF.png</v>
      </c>
      <c r="D299" s="35" t="str">
        <f>'13all_company_profile'!D299</f>
        <v>iShares 7-10 Year Treasury Bond ETF</v>
      </c>
      <c r="E299" s="36">
        <f>'13all_company_profile'!E299</f>
        <v>17079080960</v>
      </c>
      <c r="F299" s="37">
        <f>'13all_company_profile'!F299</f>
        <v>6906000</v>
      </c>
      <c r="G299" s="35">
        <f>'13all_company_profile'!G299</f>
        <v>0.791</v>
      </c>
      <c r="H299" s="38" t="str">
        <f>'13all_company_profile'!H299</f>
        <v>not avaiable</v>
      </c>
      <c r="I299" s="35">
        <f>'13all_company_profile'!I299</f>
        <v>71.23021</v>
      </c>
      <c r="J299" s="35">
        <f>'13all_company_profile'!J299</f>
        <v>1.642</v>
      </c>
      <c r="K299" s="42">
        <f t="shared" si="1"/>
        <v>0.006714200832</v>
      </c>
      <c r="L299" s="35">
        <f>'7company_info'!B299</f>
        <v>117.81</v>
      </c>
      <c r="M299" s="35">
        <f>'7company_info'!C299</f>
        <v>118.52</v>
      </c>
      <c r="N299" s="35">
        <f>'7company_info'!D299</f>
        <v>117.71</v>
      </c>
      <c r="O299" s="35">
        <f>'7company_info'!E299</f>
        <v>-0.15</v>
      </c>
      <c r="P299" s="35">
        <f>'7company_info'!F299</f>
        <v>-0.0013</v>
      </c>
      <c r="Q299" s="35">
        <f>'7company_info'!G299</f>
        <v>118.47</v>
      </c>
      <c r="R299" s="35">
        <f>'7company_info'!H299</f>
        <v>117.96</v>
      </c>
      <c r="S299" s="35">
        <f>'7company_info'!I299</f>
        <v>112.78</v>
      </c>
      <c r="T299" s="35">
        <f>'7company_info'!J299</f>
        <v>123.09</v>
      </c>
      <c r="U299" s="39">
        <v>116.406666666666</v>
      </c>
      <c r="V299" s="39">
        <v>116.603333333333</v>
      </c>
      <c r="W299" s="40">
        <v>116.716666666666</v>
      </c>
      <c r="X299" s="40">
        <v>117.026666666666</v>
      </c>
      <c r="Y299" s="40">
        <v>116.293333333333</v>
      </c>
      <c r="Z299" s="40">
        <v>116.096666666666</v>
      </c>
      <c r="AA299" s="40">
        <v>115.786666666666</v>
      </c>
      <c r="AB299" s="40">
        <v>114.2</v>
      </c>
      <c r="AC299" s="40">
        <v>115.0699</v>
      </c>
      <c r="AD299" s="40">
        <v>115.776351555839</v>
      </c>
      <c r="AE299" s="40">
        <v>115.01499</v>
      </c>
      <c r="AF299" s="40">
        <v>0.506004999999998</v>
      </c>
      <c r="AG299" s="40">
        <v>119.34</v>
      </c>
      <c r="AH299" s="45">
        <v>44223.0</v>
      </c>
      <c r="AI299" s="44" t="str">
        <f>'6image_RS_benchmark_performance'!B299</f>
        <v>https://3arbzfbsh-cname-us.ngrok.io/Desktop/seabridge%20fintech/image_app/IEF_resistance_support.jpg</v>
      </c>
      <c r="AJ299" s="44" t="str">
        <f>'6image_RS_benchmark_performance'!C299</f>
        <v>https://3arbzfbsh-cname-us.ngrok.io/Desktop/seabridge%20fintech/profit_graph_app/IEF_Return.jpg</v>
      </c>
      <c r="AK299" s="46" t="str">
        <f>'5price_action_icon'!B299</f>
        <v>https://3arbzfbsh-cname-us.ngrok.io/Desktop/seabridge%20fintech/icon/IEF_pa_trend_signal</v>
      </c>
      <c r="AL299" s="42">
        <f>'1kpi_performance'!B299</f>
        <v>0.0933770557</v>
      </c>
      <c r="AM299" s="42">
        <f>'1kpi_performance'!C299</f>
        <v>0.134948128</v>
      </c>
      <c r="AN299" s="42">
        <f>'1kpi_performance'!D299</f>
        <v>0.07870766533</v>
      </c>
      <c r="AO299" s="42">
        <f>'1kpi_performance'!E299</f>
        <v>0.03191607278</v>
      </c>
      <c r="AP299" s="42">
        <f>'1kpi_performance'!F299</f>
        <v>0.05015553832</v>
      </c>
      <c r="AQ299" s="42">
        <f>'1kpi_performance'!G299</f>
        <v>0.04963902714</v>
      </c>
      <c r="AR299" s="42">
        <f>'1kpi_performance'!H299</f>
        <v>0.04759326106</v>
      </c>
      <c r="AS299" s="42">
        <f>'1kpi_performance'!I299</f>
        <v>0.07268774707</v>
      </c>
      <c r="AT299" s="35">
        <f>'1kpi_performance'!J299</f>
        <v>1.363300206</v>
      </c>
      <c r="AU299" s="35">
        <f>'1kpi_performance'!K299</f>
        <v>2.21495332</v>
      </c>
      <c r="AV299" s="35">
        <f>'1kpi_performance'!L299</f>
        <v>1.12847206</v>
      </c>
      <c r="AW299" s="35">
        <f>'1kpi_performance'!M299</f>
        <v>0.09514771145</v>
      </c>
      <c r="AX299" s="42">
        <f>'1kpi_performance'!N299</f>
        <v>0.03349626114</v>
      </c>
      <c r="AY299" s="42">
        <f>'1kpi_performance'!O299</f>
        <v>0.01938879598</v>
      </c>
      <c r="AZ299" s="42">
        <f>'1kpi_performance'!P299</f>
        <v>0.06364439205</v>
      </c>
      <c r="BA299" s="42">
        <f>'1kpi_performance'!Q299</f>
        <v>0.1237258348</v>
      </c>
      <c r="BB299" s="35">
        <f>'1kpi_performance'!R299</f>
        <v>2.765999201</v>
      </c>
      <c r="BC299" s="35">
        <f>'1kpi_performance'!S299</f>
        <v>4.88992254</v>
      </c>
      <c r="BD299" s="35">
        <f>'1kpi_performance'!T299</f>
        <v>2.159796291</v>
      </c>
      <c r="BE299" s="35">
        <f>'1kpi_performance'!U299</f>
        <v>0.1891456747</v>
      </c>
      <c r="BF299" s="47"/>
      <c r="BG299" s="47"/>
      <c r="BH299" s="47"/>
      <c r="BI299" s="47"/>
      <c r="BJ299" s="47"/>
      <c r="BK299" s="47"/>
      <c r="BL299" s="47"/>
      <c r="BM299" s="47"/>
      <c r="BN299" s="47"/>
      <c r="BO299" s="47"/>
      <c r="BP299" s="47"/>
      <c r="BQ299" s="47"/>
      <c r="BR299" s="47"/>
      <c r="BS299" s="47"/>
      <c r="BT299" s="47"/>
    </row>
    <row r="300" ht="11.25" customHeight="1">
      <c r="A300" s="35" t="str">
        <f>'13all_company_profile'!A300</f>
        <v>IEFA</v>
      </c>
      <c r="B300" s="35" t="str">
        <f>'13all_company_profile'!B300</f>
        <v>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v>
      </c>
      <c r="C300" s="44" t="str">
        <f>'13all_company_profile'!C300</f>
        <v>https://financialmodelingprep.com/image-stock/IEFA.jpg</v>
      </c>
      <c r="D300" s="35" t="str">
        <f>'13all_company_profile'!D300</f>
        <v>iShares Core MSCI EAFE ETF</v>
      </c>
      <c r="E300" s="36">
        <f>'13all_company_profile'!E300</f>
        <v>62297356000</v>
      </c>
      <c r="F300" s="37">
        <f>'13all_company_profile'!F300</f>
        <v>7524793</v>
      </c>
      <c r="G300" s="35">
        <f>'13all_company_profile'!G300</f>
        <v>0.612</v>
      </c>
      <c r="H300" s="38" t="str">
        <f>'13all_company_profile'!H300</f>
        <v>not avaiable</v>
      </c>
      <c r="I300" s="35" t="str">
        <f>'13all_company_profile'!I300</f>
        <v>NaN</v>
      </c>
      <c r="J300" s="35" t="str">
        <f>'13all_company_profile'!J300</f>
        <v>NaN</v>
      </c>
      <c r="K300" s="42">
        <f t="shared" si="1"/>
        <v>0.008323133415</v>
      </c>
      <c r="L300" s="35">
        <f>'7company_info'!B300</f>
        <v>73.53</v>
      </c>
      <c r="M300" s="35">
        <f>'7company_info'!C300</f>
        <v>73.65</v>
      </c>
      <c r="N300" s="35">
        <f>'7company_info'!D300</f>
        <v>72.72</v>
      </c>
      <c r="O300" s="35">
        <f>'7company_info'!E300</f>
        <v>0.55</v>
      </c>
      <c r="P300" s="35">
        <f>'7company_info'!F300</f>
        <v>0.0075</v>
      </c>
      <c r="Q300" s="35">
        <f>'7company_info'!G300</f>
        <v>72.84</v>
      </c>
      <c r="R300" s="35">
        <f>'7company_info'!H300</f>
        <v>72.98</v>
      </c>
      <c r="S300" s="35">
        <f>'7company_info'!I300</f>
        <v>57.71</v>
      </c>
      <c r="T300" s="35">
        <f>'7company_info'!J300</f>
        <v>78.02</v>
      </c>
      <c r="U300" s="39">
        <v>75.6766666666666</v>
      </c>
      <c r="V300" s="39">
        <v>75.8133333333333</v>
      </c>
      <c r="W300" s="40">
        <v>75.9466666666666</v>
      </c>
      <c r="X300" s="40">
        <v>76.2166666666666</v>
      </c>
      <c r="Y300" s="40">
        <v>75.5433333333333</v>
      </c>
      <c r="Z300" s="40">
        <v>75.4066666666666</v>
      </c>
      <c r="AA300" s="40">
        <v>75.1366666666666</v>
      </c>
      <c r="AB300" s="40">
        <v>76.99</v>
      </c>
      <c r="AC300" s="40">
        <v>75.695</v>
      </c>
      <c r="AD300" s="40">
        <v>75.5607114039084</v>
      </c>
      <c r="AE300" s="40">
        <v>74.06039</v>
      </c>
      <c r="AF300" s="40">
        <v>0.72485</v>
      </c>
      <c r="AG300" s="40">
        <v>78.02</v>
      </c>
      <c r="AH300" s="45">
        <v>44355.0</v>
      </c>
      <c r="AI300" s="44" t="str">
        <f>'6image_RS_benchmark_performance'!B300</f>
        <v>https://3arbzfbsh-cname-us.ngrok.io/Desktop/seabridge%20fintech/image_app/IEFA_resistance_support.jpg</v>
      </c>
      <c r="AJ300" s="44" t="str">
        <f>'6image_RS_benchmark_performance'!C300</f>
        <v>https://3arbzfbsh-cname-us.ngrok.io/Desktop/seabridge%20fintech/profit_graph_app/IEFA_Return.jpg</v>
      </c>
      <c r="AK300" s="46" t="str">
        <f>'5price_action_icon'!B300</f>
        <v>https://3arbzfbsh-cname-us.ngrok.io/Desktop/seabridge%20fintech/icon/IEFA_pa_trend_signal</v>
      </c>
      <c r="AL300" s="42">
        <f>'1kpi_performance'!B300</f>
        <v>0.2856820167</v>
      </c>
      <c r="AM300" s="42">
        <f>'1kpi_performance'!C300</f>
        <v>0.4182031654</v>
      </c>
      <c r="AN300" s="42">
        <f>'1kpi_performance'!D300</f>
        <v>0.3195465432</v>
      </c>
      <c r="AO300" s="42">
        <f>'1kpi_performance'!E300</f>
        <v>0.07595781654</v>
      </c>
      <c r="AP300" s="42">
        <f>'1kpi_performance'!F300</f>
        <v>0.1219624685</v>
      </c>
      <c r="AQ300" s="42">
        <f>'1kpi_performance'!G300</f>
        <v>0.1206761841</v>
      </c>
      <c r="AR300" s="42">
        <f>'1kpi_performance'!H300</f>
        <v>0.12063362</v>
      </c>
      <c r="AS300" s="42">
        <f>'1kpi_performance'!I300</f>
        <v>0.2000041171</v>
      </c>
      <c r="AT300" s="35">
        <f>'1kpi_performance'!J300</f>
        <v>2.13739538</v>
      </c>
      <c r="AU300" s="35">
        <f>'1kpi_performance'!K300</f>
        <v>3.25833277</v>
      </c>
      <c r="AV300" s="35">
        <f>'1kpi_performance'!L300</f>
        <v>2.441662145</v>
      </c>
      <c r="AW300" s="35">
        <f>'1kpi_performance'!M300</f>
        <v>0.2547838378</v>
      </c>
      <c r="AX300" s="42">
        <f>'1kpi_performance'!N300</f>
        <v>0.070781893</v>
      </c>
      <c r="AY300" s="42">
        <f>'1kpi_performance'!O300</f>
        <v>0.06580721756</v>
      </c>
      <c r="AZ300" s="42">
        <f>'1kpi_performance'!P300</f>
        <v>0.1048682284</v>
      </c>
      <c r="BA300" s="42">
        <f>'1kpi_performance'!Q300</f>
        <v>0.3886222473</v>
      </c>
      <c r="BB300" s="35">
        <f>'1kpi_performance'!R300</f>
        <v>4.507945078</v>
      </c>
      <c r="BC300" s="35">
        <f>'1kpi_performance'!S300</f>
        <v>7.203678496</v>
      </c>
      <c r="BD300" s="35">
        <f>'1kpi_performance'!T300</f>
        <v>4.666729887</v>
      </c>
      <c r="BE300" s="35">
        <f>'1kpi_performance'!U300</f>
        <v>0.4483267911</v>
      </c>
      <c r="BF300" s="47"/>
      <c r="BG300" s="47"/>
      <c r="BH300" s="47"/>
      <c r="BI300" s="47"/>
      <c r="BJ300" s="47"/>
      <c r="BK300" s="47"/>
      <c r="BL300" s="47"/>
      <c r="BM300" s="47"/>
      <c r="BN300" s="47"/>
      <c r="BO300" s="47"/>
      <c r="BP300" s="47"/>
      <c r="BQ300" s="47"/>
      <c r="BR300" s="47"/>
      <c r="BS300" s="47"/>
      <c r="BT300" s="47"/>
    </row>
    <row r="301" ht="11.25" customHeight="1">
      <c r="A301" s="35" t="str">
        <f>'13all_company_profile'!A301</f>
        <v>IEMG</v>
      </c>
      <c r="B301" s="35" t="str">
        <f>'13all_company_profile'!B301</f>
        <v>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v>
      </c>
      <c r="C301" s="44" t="str">
        <f>'13all_company_profile'!C301</f>
        <v>https://financialmodelingprep.com/image-stock/IEMG.png</v>
      </c>
      <c r="D301" s="35" t="str">
        <f>'13all_company_profile'!D301</f>
        <v>iShares Core MSCI Emerging Markets ETF</v>
      </c>
      <c r="E301" s="36">
        <f>'13all_company_profile'!E301</f>
        <v>75826208768</v>
      </c>
      <c r="F301" s="37">
        <f>'13all_company_profile'!F301</f>
        <v>8307696</v>
      </c>
      <c r="G301" s="35">
        <f>'13all_company_profile'!G301</f>
        <v>0.723</v>
      </c>
      <c r="H301" s="38" t="str">
        <f>'13all_company_profile'!H301</f>
        <v>not avaiable</v>
      </c>
      <c r="I301" s="35">
        <f>'13all_company_profile'!I301</f>
        <v>4.4232593</v>
      </c>
      <c r="J301" s="35">
        <f>'13all_company_profile'!J301</f>
        <v>14.764</v>
      </c>
      <c r="K301" s="42">
        <f t="shared" si="1"/>
        <v>0.01120061967</v>
      </c>
      <c r="L301" s="35">
        <f>'7company_info'!B301</f>
        <v>64.55</v>
      </c>
      <c r="M301" s="35">
        <f>'7company_info'!C301</f>
        <v>64.7</v>
      </c>
      <c r="N301" s="35">
        <f>'7company_info'!D301</f>
        <v>63.88</v>
      </c>
      <c r="O301" s="35">
        <f>'7company_info'!E301</f>
        <v>0.2</v>
      </c>
      <c r="P301" s="35">
        <f>'7company_info'!F301</f>
        <v>0.0031</v>
      </c>
      <c r="Q301" s="35">
        <f>'7company_info'!G301</f>
        <v>64.08</v>
      </c>
      <c r="R301" s="35">
        <f>'7company_info'!H301</f>
        <v>64.35</v>
      </c>
      <c r="S301" s="35">
        <f>'7company_info'!I301</f>
        <v>50.6</v>
      </c>
      <c r="T301" s="35">
        <f>'7company_info'!J301</f>
        <v>69.87</v>
      </c>
      <c r="U301" s="39">
        <v>65.7766666666666</v>
      </c>
      <c r="V301" s="39">
        <v>65.9933333333333</v>
      </c>
      <c r="W301" s="40">
        <v>66.2766666666666</v>
      </c>
      <c r="X301" s="40">
        <v>66.7766666666666</v>
      </c>
      <c r="Y301" s="40">
        <v>65.4933333333333</v>
      </c>
      <c r="Z301" s="40">
        <v>65.2766666666666</v>
      </c>
      <c r="AA301" s="40">
        <v>64.7766666666666</v>
      </c>
      <c r="AB301" s="40">
        <v>64.98</v>
      </c>
      <c r="AC301" s="40">
        <v>65.43</v>
      </c>
      <c r="AD301" s="40">
        <v>66.0495677107185</v>
      </c>
      <c r="AE301" s="40">
        <v>63.96194</v>
      </c>
      <c r="AF301" s="40">
        <v>0.731029999999999</v>
      </c>
      <c r="AG301" s="40">
        <v>69.87</v>
      </c>
      <c r="AH301" s="45">
        <v>44243.0</v>
      </c>
      <c r="AI301" s="44" t="str">
        <f>'6image_RS_benchmark_performance'!B301</f>
        <v>https://3arbzfbsh-cname-us.ngrok.io/Desktop/seabridge%20fintech/image_app/IEMG_resistance_support.jpg</v>
      </c>
      <c r="AJ301" s="44" t="str">
        <f>'6image_RS_benchmark_performance'!C301</f>
        <v>https://3arbzfbsh-cname-us.ngrok.io/Desktop/seabridge%20fintech/profit_graph_app/IEMG_Return.jpg</v>
      </c>
      <c r="AK301" s="46" t="str">
        <f>'5price_action_icon'!B301</f>
        <v>https://3arbzfbsh-cname-us.ngrok.io/Desktop/seabridge%20fintech/icon/IEMG_pa_trend_signal</v>
      </c>
      <c r="AL301" s="42">
        <f>'1kpi_performance'!B301</f>
        <v>0.3319478974</v>
      </c>
      <c r="AM301" s="42">
        <f>'1kpi_performance'!C301</f>
        <v>0.5134720134</v>
      </c>
      <c r="AN301" s="42">
        <f>'1kpi_performance'!D301</f>
        <v>0.4215978243</v>
      </c>
      <c r="AO301" s="42">
        <f>'1kpi_performance'!E301</f>
        <v>0.04988845401</v>
      </c>
      <c r="AP301" s="42">
        <f>'1kpi_performance'!F301</f>
        <v>0.1473899978</v>
      </c>
      <c r="AQ301" s="42">
        <f>'1kpi_performance'!G301</f>
        <v>0.1554646499</v>
      </c>
      <c r="AR301" s="42">
        <f>'1kpi_performance'!H301</f>
        <v>0.156433243</v>
      </c>
      <c r="AS301" s="42">
        <f>'1kpi_performance'!I301</f>
        <v>0.2406325612</v>
      </c>
      <c r="AT301" s="35">
        <f>'1kpi_performance'!J301</f>
        <v>2.082555818</v>
      </c>
      <c r="AU301" s="35">
        <f>'1kpi_performance'!K301</f>
        <v>3.142013402</v>
      </c>
      <c r="AV301" s="35">
        <f>'1kpi_performance'!L301</f>
        <v>2.535252844</v>
      </c>
      <c r="AW301" s="35">
        <f>'1kpi_performance'!M301</f>
        <v>0.1034292861</v>
      </c>
      <c r="AX301" s="42">
        <f>'1kpi_performance'!N301</f>
        <v>0.1018120208</v>
      </c>
      <c r="AY301" s="42">
        <f>'1kpi_performance'!O301</f>
        <v>0.07525601334</v>
      </c>
      <c r="AZ301" s="42">
        <f>'1kpi_performance'!P301</f>
        <v>0.2403771333</v>
      </c>
      <c r="BA301" s="42">
        <f>'1kpi_performance'!Q301</f>
        <v>0.4190420128</v>
      </c>
      <c r="BB301" s="35">
        <f>'1kpi_performance'!R301</f>
        <v>4.212133243</v>
      </c>
      <c r="BC301" s="35">
        <f>'1kpi_performance'!S301</f>
        <v>6.852863431</v>
      </c>
      <c r="BD301" s="35">
        <f>'1kpi_performance'!T301</f>
        <v>5.042666181</v>
      </c>
      <c r="BE301" s="35">
        <f>'1kpi_performance'!U301</f>
        <v>0.1903452349</v>
      </c>
      <c r="BF301" s="47"/>
      <c r="BG301" s="47"/>
      <c r="BH301" s="47"/>
      <c r="BI301" s="47"/>
      <c r="BJ301" s="47"/>
      <c r="BK301" s="47"/>
      <c r="BL301" s="47"/>
      <c r="BM301" s="47"/>
      <c r="BN301" s="47"/>
      <c r="BO301" s="47"/>
      <c r="BP301" s="47"/>
      <c r="BQ301" s="47"/>
      <c r="BR301" s="47"/>
      <c r="BS301" s="47"/>
      <c r="BT301" s="47"/>
    </row>
    <row r="302" ht="11.25" customHeight="1">
      <c r="A302" s="35" t="str">
        <f>'13all_company_profile'!A302</f>
        <v>IEX</v>
      </c>
      <c r="B302" s="35" t="str">
        <f>'13all_company_profile'!B302</f>
        <v>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v>
      </c>
      <c r="C302" s="44" t="str">
        <f>'13all_company_profile'!C302</f>
        <v>https://financialmodelingprep.com/image-stock/IEX.png</v>
      </c>
      <c r="D302" s="35" t="str">
        <f>'13all_company_profile'!D302</f>
        <v>IDEX Corporation</v>
      </c>
      <c r="E302" s="36">
        <f>'13all_company_profile'!E302</f>
        <v>17054103552</v>
      </c>
      <c r="F302" s="37">
        <f>'13all_company_profile'!F302</f>
        <v>373063</v>
      </c>
      <c r="G302" s="35">
        <f>'13all_company_profile'!G302</f>
        <v>2.58</v>
      </c>
      <c r="H302" s="38">
        <f>'13all_company_profile'!H302</f>
        <v>44404</v>
      </c>
      <c r="I302" s="35">
        <f>'13all_company_profile'!I302</f>
        <v>44.646362</v>
      </c>
      <c r="J302" s="35">
        <f>'13all_company_profile'!J302</f>
        <v>5.09</v>
      </c>
      <c r="K302" s="42">
        <f t="shared" si="1"/>
        <v>0.01130141487</v>
      </c>
      <c r="L302" s="35">
        <f>'7company_info'!B302</f>
        <v>228.29</v>
      </c>
      <c r="M302" s="35">
        <f>'7company_info'!C302</f>
        <v>228.84</v>
      </c>
      <c r="N302" s="35">
        <f>'7company_info'!D302</f>
        <v>223.14</v>
      </c>
      <c r="O302" s="35">
        <f>'7company_info'!E302</f>
        <v>5.94</v>
      </c>
      <c r="P302" s="35">
        <f>'7company_info'!F302</f>
        <v>0.0267</v>
      </c>
      <c r="Q302" s="35">
        <f>'7company_info'!G302</f>
        <v>223.14</v>
      </c>
      <c r="R302" s="35">
        <f>'7company_info'!H302</f>
        <v>222.35</v>
      </c>
      <c r="S302" s="35">
        <f>'7company_info'!I302</f>
        <v>162.6</v>
      </c>
      <c r="T302" s="35">
        <f>'7company_info'!J302</f>
        <v>235.76</v>
      </c>
      <c r="U302" s="39">
        <v>223.396666666666</v>
      </c>
      <c r="V302" s="39">
        <v>225.503333333333</v>
      </c>
      <c r="W302" s="40">
        <v>227.086666666666</v>
      </c>
      <c r="X302" s="40">
        <v>230.776666666666</v>
      </c>
      <c r="Y302" s="40">
        <v>221.813333333333</v>
      </c>
      <c r="Z302" s="40">
        <v>219.706666666666</v>
      </c>
      <c r="AA302" s="40">
        <v>216.016666666666</v>
      </c>
      <c r="AB302" s="40">
        <v>221.29</v>
      </c>
      <c r="AC302" s="40">
        <v>222.23</v>
      </c>
      <c r="AD302" s="40">
        <v>221.351896122181</v>
      </c>
      <c r="AE302" s="40">
        <v>216.1035</v>
      </c>
      <c r="AF302" s="40">
        <v>3.66725</v>
      </c>
      <c r="AG302" s="40">
        <v>235.76</v>
      </c>
      <c r="AH302" s="45">
        <v>44314.0</v>
      </c>
      <c r="AI302" s="44" t="str">
        <f>'6image_RS_benchmark_performance'!B302</f>
        <v>https://3arbzfbsh-cname-us.ngrok.io/Desktop/seabridge%20fintech/image_app/IEX_resistance_support.jpg</v>
      </c>
      <c r="AJ302" s="44" t="str">
        <f>'6image_RS_benchmark_performance'!C302</f>
        <v>https://3arbzfbsh-cname-us.ngrok.io/Desktop/seabridge%20fintech/profit_graph_app/IEX_Return.jpg</v>
      </c>
      <c r="AK302" s="46" t="str">
        <f>'5price_action_icon'!B302</f>
        <v>https://3arbzfbsh-cname-us.ngrok.io/Desktop/seabridge%20fintech/icon/IEX_pa_trend_signal</v>
      </c>
      <c r="AL302" s="42">
        <f>'1kpi_performance'!B302</f>
        <v>0.537018491</v>
      </c>
      <c r="AM302" s="42">
        <f>'1kpi_performance'!C302</f>
        <v>0.6477334157</v>
      </c>
      <c r="AN302" s="42">
        <f>'1kpi_performance'!D302</f>
        <v>0.5252946585</v>
      </c>
      <c r="AO302" s="42">
        <f>'1kpi_performance'!E302</f>
        <v>0.2819445588</v>
      </c>
      <c r="AP302" s="42">
        <f>'1kpi_performance'!F302</f>
        <v>0.184101829</v>
      </c>
      <c r="AQ302" s="42">
        <f>'1kpi_performance'!G302</f>
        <v>0.1951526213</v>
      </c>
      <c r="AR302" s="42">
        <f>'1kpi_performance'!H302</f>
        <v>0.1955908709</v>
      </c>
      <c r="AS302" s="42">
        <f>'1kpi_performance'!I302</f>
        <v>0.2852974037</v>
      </c>
      <c r="AT302" s="35">
        <f>'1kpi_performance'!J302</f>
        <v>2.781170039</v>
      </c>
      <c r="AU302" s="35">
        <f>'1kpi_performance'!K302</f>
        <v>3.191007179</v>
      </c>
      <c r="AV302" s="35">
        <f>'1kpi_performance'!L302</f>
        <v>2.557863035</v>
      </c>
      <c r="AW302" s="35">
        <f>'1kpi_performance'!M302</f>
        <v>0.9006200387</v>
      </c>
      <c r="AX302" s="42">
        <f>'1kpi_performance'!N302</f>
        <v>0.1914055176</v>
      </c>
      <c r="AY302" s="42">
        <f>'1kpi_performance'!O302</f>
        <v>0.1348709152</v>
      </c>
      <c r="AZ302" s="42">
        <f>'1kpi_performance'!P302</f>
        <v>0.3236806251</v>
      </c>
      <c r="BA302" s="42">
        <f>'1kpi_performance'!Q302</f>
        <v>0.3670348343</v>
      </c>
      <c r="BB302" s="35">
        <f>'1kpi_performance'!R302</f>
        <v>6.055836979</v>
      </c>
      <c r="BC302" s="35">
        <f>'1kpi_performance'!S302</f>
        <v>7.179757436</v>
      </c>
      <c r="BD302" s="35">
        <f>'1kpi_performance'!T302</f>
        <v>5.227445496</v>
      </c>
      <c r="BE302" s="35">
        <f>'1kpi_performance'!U302</f>
        <v>1.754210127</v>
      </c>
      <c r="BF302" s="47"/>
      <c r="BG302" s="47"/>
      <c r="BH302" s="47"/>
      <c r="BI302" s="47"/>
      <c r="BJ302" s="47"/>
      <c r="BK302" s="47"/>
      <c r="BL302" s="47"/>
      <c r="BM302" s="47"/>
      <c r="BN302" s="47"/>
      <c r="BO302" s="47"/>
      <c r="BP302" s="47"/>
      <c r="BQ302" s="47"/>
      <c r="BR302" s="47"/>
      <c r="BS302" s="47"/>
      <c r="BT302" s="47"/>
    </row>
    <row r="303" ht="11.25" customHeight="1">
      <c r="A303" s="35" t="str">
        <f>'13all_company_profile'!A303</f>
        <v>IFF</v>
      </c>
      <c r="B303" s="35" t="str">
        <f>'13all_company_profile'!B303</f>
        <v>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v>
      </c>
      <c r="C303" s="44" t="str">
        <f>'13all_company_profile'!C303</f>
        <v>https://financialmodelingprep.com/image-stock/IFF.png</v>
      </c>
      <c r="D303" s="35" t="str">
        <f>'13all_company_profile'!D303</f>
        <v>International Flavors &amp; Fragrances Inc.</v>
      </c>
      <c r="E303" s="36">
        <f>'13all_company_profile'!E303</f>
        <v>35869372416</v>
      </c>
      <c r="F303" s="37">
        <f>'13all_company_profile'!F303</f>
        <v>1255311</v>
      </c>
      <c r="G303" s="35">
        <f>'13all_company_profile'!G303</f>
        <v>3.08</v>
      </c>
      <c r="H303" s="38" t="str">
        <f>'13all_company_profile'!H303</f>
        <v>not avaiable</v>
      </c>
      <c r="I303" s="35">
        <f>'13all_company_profile'!I303</f>
        <v>102.40171</v>
      </c>
      <c r="J303" s="35">
        <f>'13all_company_profile'!J303</f>
        <v>1.399</v>
      </c>
      <c r="K303" s="42">
        <f t="shared" si="1"/>
        <v>0.02142012657</v>
      </c>
      <c r="L303" s="35">
        <f>'7company_info'!B303</f>
        <v>143.79</v>
      </c>
      <c r="M303" s="35">
        <f>'7company_info'!C303</f>
        <v>144.4</v>
      </c>
      <c r="N303" s="35">
        <f>'7company_info'!D303</f>
        <v>140.09</v>
      </c>
      <c r="O303" s="35">
        <f>'7company_info'!E303</f>
        <v>3.68</v>
      </c>
      <c r="P303" s="35">
        <f>'7company_info'!F303</f>
        <v>0.0263</v>
      </c>
      <c r="Q303" s="35">
        <f>'7company_info'!G303</f>
        <v>140.29</v>
      </c>
      <c r="R303" s="35">
        <f>'7company_info'!H303</f>
        <v>140.11</v>
      </c>
      <c r="S303" s="35">
        <f>'7company_info'!I303</f>
        <v>99.54</v>
      </c>
      <c r="T303" s="35">
        <f>'7company_info'!J303</f>
        <v>150.16</v>
      </c>
      <c r="U303" s="39">
        <v>144.823333333333</v>
      </c>
      <c r="V303" s="39">
        <v>145.506666666666</v>
      </c>
      <c r="W303" s="40">
        <v>146.303333333333</v>
      </c>
      <c r="X303" s="40">
        <v>147.783333333333</v>
      </c>
      <c r="Y303" s="40">
        <v>144.026666666666</v>
      </c>
      <c r="Z303" s="40">
        <v>143.343333333333</v>
      </c>
      <c r="AA303" s="40">
        <v>141.863333333333</v>
      </c>
      <c r="AB303" s="40">
        <v>146.25</v>
      </c>
      <c r="AC303" s="40">
        <v>149.1</v>
      </c>
      <c r="AD303" s="40">
        <v>147.236066132933</v>
      </c>
      <c r="AE303" s="40">
        <v>141.0005</v>
      </c>
      <c r="AF303" s="40">
        <v>2.212</v>
      </c>
      <c r="AG303" s="40">
        <v>150.16</v>
      </c>
      <c r="AH303" s="45">
        <v>44378.0</v>
      </c>
      <c r="AI303" s="44" t="str">
        <f>'6image_RS_benchmark_performance'!B303</f>
        <v>https://3arbzfbsh-cname-us.ngrok.io/Desktop/seabridge%20fintech/image_app/IFF_resistance_support.jpg</v>
      </c>
      <c r="AJ303" s="44" t="str">
        <f>'6image_RS_benchmark_performance'!C303</f>
        <v>https://3arbzfbsh-cname-us.ngrok.io/Desktop/seabridge%20fintech/profit_graph_app/IFF_Return.jpg</v>
      </c>
      <c r="AK303" s="46" t="str">
        <f>'5price_action_icon'!B303</f>
        <v>https://3arbzfbsh-cname-us.ngrok.io/Desktop/seabridge%20fintech/icon/IFF_pa_trend_signal</v>
      </c>
      <c r="AL303" s="42">
        <f>'1kpi_performance'!B303</f>
        <v>0.5103923323</v>
      </c>
      <c r="AM303" s="42">
        <f>'1kpi_performance'!C303</f>
        <v>0.583279944</v>
      </c>
      <c r="AN303" s="42">
        <f>'1kpi_performance'!D303</f>
        <v>0.5929168922</v>
      </c>
      <c r="AO303" s="42">
        <f>'1kpi_performance'!E303</f>
        <v>0.1677795119</v>
      </c>
      <c r="AP303" s="42">
        <f>'1kpi_performance'!F303</f>
        <v>0.1980349053</v>
      </c>
      <c r="AQ303" s="42">
        <f>'1kpi_performance'!G303</f>
        <v>0.2030836347</v>
      </c>
      <c r="AR303" s="42">
        <f>'1kpi_performance'!H303</f>
        <v>0.1984578874</v>
      </c>
      <c r="AS303" s="42">
        <f>'1kpi_performance'!I303</f>
        <v>0.2997734889</v>
      </c>
      <c r="AT303" s="35">
        <f>'1kpi_performance'!J303</f>
        <v>2.451044333</v>
      </c>
      <c r="AU303" s="35">
        <f>'1kpi_performance'!K303</f>
        <v>2.74901493</v>
      </c>
      <c r="AV303" s="35">
        <f>'1kpi_performance'!L303</f>
        <v>2.861649389</v>
      </c>
      <c r="AW303" s="35">
        <f>'1kpi_performance'!M303</f>
        <v>0.4762913239</v>
      </c>
      <c r="AX303" s="42">
        <f>'1kpi_performance'!N303</f>
        <v>0.1366215626</v>
      </c>
      <c r="AY303" s="42">
        <f>'1kpi_performance'!O303</f>
        <v>0.1366215626</v>
      </c>
      <c r="AZ303" s="42">
        <f>'1kpi_performance'!P303</f>
        <v>0.2172932623</v>
      </c>
      <c r="BA303" s="42">
        <f>'1kpi_performance'!Q303</f>
        <v>0.3989927966</v>
      </c>
      <c r="BB303" s="35">
        <f>'1kpi_performance'!R303</f>
        <v>5.703832772</v>
      </c>
      <c r="BC303" s="35">
        <f>'1kpi_performance'!S303</f>
        <v>6.596552888</v>
      </c>
      <c r="BD303" s="35">
        <f>'1kpi_performance'!T303</f>
        <v>6.702530082</v>
      </c>
      <c r="BE303" s="35">
        <f>'1kpi_performance'!U303</f>
        <v>0.8911801999</v>
      </c>
      <c r="BF303" s="47"/>
      <c r="BG303" s="47"/>
      <c r="BH303" s="47"/>
      <c r="BI303" s="47"/>
      <c r="BJ303" s="47"/>
      <c r="BK303" s="47"/>
      <c r="BL303" s="47"/>
      <c r="BM303" s="47"/>
      <c r="BN303" s="47"/>
      <c r="BO303" s="47"/>
      <c r="BP303" s="47"/>
      <c r="BQ303" s="47"/>
      <c r="BR303" s="47"/>
      <c r="BS303" s="47"/>
      <c r="BT303" s="47"/>
    </row>
    <row r="304" ht="11.25" customHeight="1">
      <c r="A304" s="35" t="str">
        <f>'13all_company_profile'!A304</f>
        <v>IJR</v>
      </c>
      <c r="B304" s="35" t="str">
        <f>'13all_company_profile'!B304</f>
        <v>IJR was created on 05/22/00 by Blackrock. The iShares Core S&amp;P Small-Cap ETF (the “Fund”) seeks to track the investment results of an index composed of small-capitalization U.S. equities.</v>
      </c>
      <c r="C304" s="44" t="str">
        <f>'13all_company_profile'!C304</f>
        <v>https://financialmodelingprep.com/image-stock/IJR.jpg</v>
      </c>
      <c r="D304" s="35" t="str">
        <f>'13all_company_profile'!D304</f>
        <v>iShares Core S&amp;P Small-Cap ETF</v>
      </c>
      <c r="E304" s="36">
        <f>'13all_company_profile'!E304</f>
        <v>61197176832</v>
      </c>
      <c r="F304" s="37">
        <f>'13all_company_profile'!F304</f>
        <v>3566412</v>
      </c>
      <c r="G304" s="35">
        <f>'13all_company_profile'!G304</f>
        <v>0.803</v>
      </c>
      <c r="H304" s="38" t="str">
        <f>'13all_company_profile'!H304</f>
        <v>not avaiable</v>
      </c>
      <c r="I304" s="35">
        <f>'13all_company_profile'!I304</f>
        <v>2.1439912</v>
      </c>
      <c r="J304" s="35">
        <f>'13all_company_profile'!J304</f>
        <v>49.76</v>
      </c>
      <c r="K304" s="42">
        <f t="shared" si="1"/>
        <v>0.007451053169</v>
      </c>
      <c r="L304" s="35">
        <f>'7company_info'!B304</f>
        <v>107.77</v>
      </c>
      <c r="M304" s="35">
        <f>'7company_info'!C304</f>
        <v>108.49</v>
      </c>
      <c r="N304" s="35">
        <f>'7company_info'!D304</f>
        <v>104.76</v>
      </c>
      <c r="O304" s="35">
        <f>'7company_info'!E304</f>
        <v>3.15</v>
      </c>
      <c r="P304" s="35">
        <f>'7company_info'!F304</f>
        <v>0.0301</v>
      </c>
      <c r="Q304" s="35">
        <f>'7company_info'!G304</f>
        <v>104.93</v>
      </c>
      <c r="R304" s="35">
        <f>'7company_info'!H304</f>
        <v>104.62</v>
      </c>
      <c r="S304" s="35">
        <f>'7company_info'!I304</f>
        <v>66.74</v>
      </c>
      <c r="T304" s="35">
        <f>'7company_info'!J304</f>
        <v>116.74</v>
      </c>
      <c r="U304" s="39">
        <v>109.533333333333</v>
      </c>
      <c r="V304" s="39">
        <v>110.406666666666</v>
      </c>
      <c r="W304" s="40">
        <v>112.083333333333</v>
      </c>
      <c r="X304" s="40">
        <v>114.633333333333</v>
      </c>
      <c r="Y304" s="40">
        <v>107.856666666666</v>
      </c>
      <c r="Z304" s="40">
        <v>106.983333333333</v>
      </c>
      <c r="AA304" s="40">
        <v>104.433333333333</v>
      </c>
      <c r="AB304" s="40">
        <v>113.3705</v>
      </c>
      <c r="AC304" s="40">
        <v>116.74</v>
      </c>
      <c r="AD304" s="40">
        <v>111.622139059715</v>
      </c>
      <c r="AE304" s="40">
        <v>106.03862</v>
      </c>
      <c r="AF304" s="40">
        <v>2.04736499999999</v>
      </c>
      <c r="AG304" s="40">
        <v>116.74</v>
      </c>
      <c r="AH304" s="45">
        <v>44356.0</v>
      </c>
      <c r="AI304" s="44" t="str">
        <f>'6image_RS_benchmark_performance'!B304</f>
        <v>https://3arbzfbsh-cname-us.ngrok.io/Desktop/seabridge%20fintech/image_app/IJR_resistance_support.jpg</v>
      </c>
      <c r="AJ304" s="44" t="str">
        <f>'6image_RS_benchmark_performance'!C304</f>
        <v>https://3arbzfbsh-cname-us.ngrok.io/Desktop/seabridge%20fintech/profit_graph_app/IJR_Return.jpg</v>
      </c>
      <c r="AK304" s="46" t="str">
        <f>'5price_action_icon'!B304</f>
        <v>https://3arbzfbsh-cname-us.ngrok.io/Desktop/seabridge%20fintech/icon/IJR_pa_trend_signal</v>
      </c>
      <c r="AL304" s="42">
        <f>'1kpi_performance'!B304</f>
        <v>0.4090390871</v>
      </c>
      <c r="AM304" s="42">
        <f>'1kpi_performance'!C304</f>
        <v>0.5084985666</v>
      </c>
      <c r="AN304" s="42">
        <f>'1kpi_performance'!D304</f>
        <v>0.5919604695</v>
      </c>
      <c r="AO304" s="42">
        <f>'1kpi_performance'!E304</f>
        <v>0.185828777</v>
      </c>
      <c r="AP304" s="42">
        <f>'1kpi_performance'!F304</f>
        <v>0.1676174848</v>
      </c>
      <c r="AQ304" s="42">
        <f>'1kpi_performance'!G304</f>
        <v>0.1737901539</v>
      </c>
      <c r="AR304" s="42">
        <f>'1kpi_performance'!H304</f>
        <v>0.1714717301</v>
      </c>
      <c r="AS304" s="42">
        <f>'1kpi_performance'!I304</f>
        <v>0.2637275131</v>
      </c>
      <c r="AT304" s="35">
        <f>'1kpi_performance'!J304</f>
        <v>2.291163643</v>
      </c>
      <c r="AU304" s="35">
        <f>'1kpi_performance'!K304</f>
        <v>2.782082619</v>
      </c>
      <c r="AV304" s="35">
        <f>'1kpi_performance'!L304</f>
        <v>3.306436981</v>
      </c>
      <c r="AW304" s="35">
        <f>'1kpi_performance'!M304</f>
        <v>0.6098293465</v>
      </c>
      <c r="AX304" s="42">
        <f>'1kpi_performance'!N304</f>
        <v>0.1492700344</v>
      </c>
      <c r="AY304" s="42">
        <f>'1kpi_performance'!O304</f>
        <v>0.1420054967</v>
      </c>
      <c r="AZ304" s="42">
        <f>'1kpi_performance'!P304</f>
        <v>0.1348829855</v>
      </c>
      <c r="BA304" s="42">
        <f>'1kpi_performance'!Q304</f>
        <v>0.4562064002</v>
      </c>
      <c r="BB304" s="35">
        <f>'1kpi_performance'!R304</f>
        <v>4.671594465</v>
      </c>
      <c r="BC304" s="35">
        <f>'1kpi_performance'!S304</f>
        <v>6.006973388</v>
      </c>
      <c r="BD304" s="35">
        <f>'1kpi_performance'!T304</f>
        <v>7.135901634</v>
      </c>
      <c r="BE304" s="35">
        <f>'1kpi_performance'!U304</f>
        <v>1.15299675</v>
      </c>
      <c r="BF304" s="47"/>
      <c r="BG304" s="47"/>
      <c r="BH304" s="47"/>
      <c r="BI304" s="47"/>
      <c r="BJ304" s="47"/>
      <c r="BK304" s="47"/>
      <c r="BL304" s="47"/>
      <c r="BM304" s="47"/>
      <c r="BN304" s="47"/>
      <c r="BO304" s="47"/>
      <c r="BP304" s="47"/>
      <c r="BQ304" s="47"/>
      <c r="BR304" s="47"/>
      <c r="BS304" s="47"/>
      <c r="BT304" s="47"/>
    </row>
    <row r="305" ht="11.25" customHeight="1">
      <c r="A305" s="35" t="str">
        <f>'13all_company_profile'!A305</f>
        <v>ILMN</v>
      </c>
      <c r="B305" s="35" t="str">
        <f>'13all_company_profile'!B305</f>
        <v>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v>
      </c>
      <c r="C305" s="44" t="str">
        <f>'13all_company_profile'!C305</f>
        <v>https://financialmodelingprep.com/image-stock/ILMN.png</v>
      </c>
      <c r="D305" s="35" t="str">
        <f>'13all_company_profile'!D305</f>
        <v>Illumina, Inc.</v>
      </c>
      <c r="E305" s="36">
        <f>'13all_company_profile'!E305</f>
        <v>67523538944</v>
      </c>
      <c r="F305" s="37">
        <f>'13all_company_profile'!F305</f>
        <v>734139</v>
      </c>
      <c r="G305" s="35">
        <f>'13all_company_profile'!G305</f>
        <v>0</v>
      </c>
      <c r="H305" s="38">
        <f>'13all_company_profile'!H305</f>
        <v>44412</v>
      </c>
      <c r="I305" s="35">
        <f>'13all_company_profile'!I305</f>
        <v>109.107475</v>
      </c>
      <c r="J305" s="35">
        <f>'13all_company_profile'!J305</f>
        <v>4.28</v>
      </c>
      <c r="K305" s="42" t="str">
        <f t="shared" si="1"/>
        <v>NaN</v>
      </c>
      <c r="L305" s="35">
        <f>'7company_info'!B305</f>
        <v>487.25</v>
      </c>
      <c r="M305" s="35">
        <f>'7company_info'!C305</f>
        <v>489.44</v>
      </c>
      <c r="N305" s="35">
        <f>'7company_info'!D305</f>
        <v>468.5</v>
      </c>
      <c r="O305" s="35">
        <f>'7company_info'!E305</f>
        <v>17.51</v>
      </c>
      <c r="P305" s="35">
        <f>'7company_info'!F305</f>
        <v>0.0373</v>
      </c>
      <c r="Q305" s="35">
        <f>'7company_info'!G305</f>
        <v>469.98</v>
      </c>
      <c r="R305" s="35">
        <f>'7company_info'!H305</f>
        <v>469.74</v>
      </c>
      <c r="S305" s="35">
        <f>'7company_info'!I305</f>
        <v>260.42</v>
      </c>
      <c r="T305" s="35">
        <f>'7company_info'!J305</f>
        <v>555.77</v>
      </c>
      <c r="U305" s="39">
        <v>468.688333333333</v>
      </c>
      <c r="V305" s="39">
        <v>477.946666666666</v>
      </c>
      <c r="W305" s="40">
        <v>494.973333333333</v>
      </c>
      <c r="X305" s="40">
        <v>521.258333333333</v>
      </c>
      <c r="Y305" s="40">
        <v>451.661666666666</v>
      </c>
      <c r="Z305" s="40">
        <v>442.403333333333</v>
      </c>
      <c r="AA305" s="40">
        <v>416.118333333333</v>
      </c>
      <c r="AB305" s="40">
        <v>475.56</v>
      </c>
      <c r="AC305" s="40">
        <v>483.38</v>
      </c>
      <c r="AD305" s="40">
        <v>465.28114965924</v>
      </c>
      <c r="AE305" s="40">
        <v>463.85143</v>
      </c>
      <c r="AF305" s="40">
        <v>10.852035</v>
      </c>
      <c r="AG305" s="40">
        <v>555.77</v>
      </c>
      <c r="AH305" s="45">
        <v>44239.0</v>
      </c>
      <c r="AI305" s="44" t="str">
        <f>'6image_RS_benchmark_performance'!B305</f>
        <v>https://3arbzfbsh-cname-us.ngrok.io/Desktop/seabridge%20fintech/image_app/ILMN_resistance_support.jpg</v>
      </c>
      <c r="AJ305" s="44" t="str">
        <f>'6image_RS_benchmark_performance'!C305</f>
        <v>https://3arbzfbsh-cname-us.ngrok.io/Desktop/seabridge%20fintech/profit_graph_app/ILMN_Return.jpg</v>
      </c>
      <c r="AK305" s="46" t="str">
        <f>'5price_action_icon'!B305</f>
        <v>https://3arbzfbsh-cname-us.ngrok.io/Desktop/seabridge%20fintech/icon/ILMN_pa_trend_signal</v>
      </c>
      <c r="AL305" s="42">
        <f>'1kpi_performance'!B305</f>
        <v>1.126428462</v>
      </c>
      <c r="AM305" s="42">
        <f>'1kpi_performance'!C305</f>
        <v>1.41815292</v>
      </c>
      <c r="AN305" s="42">
        <f>'1kpi_performance'!D305</f>
        <v>1.15347967</v>
      </c>
      <c r="AO305" s="42">
        <f>'1kpi_performance'!E305</f>
        <v>0.3668387861</v>
      </c>
      <c r="AP305" s="42">
        <f>'1kpi_performance'!F305</f>
        <v>0.3360181251</v>
      </c>
      <c r="AQ305" s="42">
        <f>'1kpi_performance'!G305</f>
        <v>0.340888656</v>
      </c>
      <c r="AR305" s="42">
        <f>'1kpi_performance'!H305</f>
        <v>0.3422989812</v>
      </c>
      <c r="AS305" s="42">
        <f>'1kpi_performance'!I305</f>
        <v>0.4908488157</v>
      </c>
      <c r="AT305" s="35">
        <f>'1kpi_performance'!J305</f>
        <v>3.277884078</v>
      </c>
      <c r="AU305" s="35">
        <f>'1kpi_performance'!K305</f>
        <v>4.086826872</v>
      </c>
      <c r="AV305" s="35">
        <f>'1kpi_performance'!L305</f>
        <v>3.296766078</v>
      </c>
      <c r="AW305" s="35">
        <f>'1kpi_performance'!M305</f>
        <v>0.6964237769</v>
      </c>
      <c r="AX305" s="42">
        <f>'1kpi_performance'!N305</f>
        <v>0.2216638194</v>
      </c>
      <c r="AY305" s="42">
        <f>'1kpi_performance'!O305</f>
        <v>0.125974805</v>
      </c>
      <c r="AZ305" s="42">
        <f>'1kpi_performance'!P305</f>
        <v>0.3903274214</v>
      </c>
      <c r="BA305" s="42">
        <f>'1kpi_performance'!Q305</f>
        <v>0.6666666667</v>
      </c>
      <c r="BB305" s="35">
        <f>'1kpi_performance'!R305</f>
        <v>8.894463319</v>
      </c>
      <c r="BC305" s="35">
        <f>'1kpi_performance'!S305</f>
        <v>11.77731778</v>
      </c>
      <c r="BD305" s="35">
        <f>'1kpi_performance'!T305</f>
        <v>7.9239942</v>
      </c>
      <c r="BE305" s="35">
        <f>'1kpi_performance'!U305</f>
        <v>1.348669557</v>
      </c>
      <c r="BF305" s="47"/>
      <c r="BG305" s="47"/>
      <c r="BH305" s="47"/>
      <c r="BI305" s="47"/>
      <c r="BJ305" s="47"/>
      <c r="BK305" s="47"/>
      <c r="BL305" s="47"/>
      <c r="BM305" s="47"/>
      <c r="BN305" s="47"/>
      <c r="BO305" s="47"/>
      <c r="BP305" s="47"/>
      <c r="BQ305" s="47"/>
      <c r="BR305" s="47"/>
      <c r="BS305" s="47"/>
      <c r="BT305" s="47"/>
    </row>
    <row r="306" ht="11.25" customHeight="1">
      <c r="A306" s="35" t="str">
        <f>'13all_company_profile'!A306</f>
        <v>INCY</v>
      </c>
      <c r="B306" s="35" t="str">
        <f>'13all_company_profile'!B306</f>
        <v>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v>
      </c>
      <c r="C306" s="44" t="str">
        <f>'13all_company_profile'!C306</f>
        <v>https://financialmodelingprep.com/image-stock/INCY.png</v>
      </c>
      <c r="D306" s="35" t="str">
        <f>'13all_company_profile'!D306</f>
        <v>Incyte Corporation</v>
      </c>
      <c r="E306" s="36">
        <f>'13all_company_profile'!E306</f>
        <v>17591640064</v>
      </c>
      <c r="F306" s="37">
        <f>'13all_company_profile'!F306</f>
        <v>1181306</v>
      </c>
      <c r="G306" s="35">
        <f>'13all_company_profile'!G306</f>
        <v>0</v>
      </c>
      <c r="H306" s="38">
        <f>'13all_company_profile'!H306</f>
        <v>44410</v>
      </c>
      <c r="I306" s="35">
        <f>'13all_company_profile'!I306</f>
        <v>36.185234</v>
      </c>
      <c r="J306" s="35">
        <f>'13all_company_profile'!J306</f>
        <v>2.181</v>
      </c>
      <c r="K306" s="42" t="str">
        <f t="shared" si="1"/>
        <v>NaN</v>
      </c>
      <c r="L306" s="35">
        <f>'7company_info'!B306</f>
        <v>79.21</v>
      </c>
      <c r="M306" s="35">
        <f>'7company_info'!C306</f>
        <v>79.29</v>
      </c>
      <c r="N306" s="35">
        <f>'7company_info'!D306</f>
        <v>78</v>
      </c>
      <c r="O306" s="35">
        <f>'7company_info'!E306</f>
        <v>1.65</v>
      </c>
      <c r="P306" s="35">
        <f>'7company_info'!F306</f>
        <v>0.0213</v>
      </c>
      <c r="Q306" s="35">
        <f>'7company_info'!G306</f>
        <v>78.46</v>
      </c>
      <c r="R306" s="35">
        <f>'7company_info'!H306</f>
        <v>77.56</v>
      </c>
      <c r="S306" s="35">
        <f>'7company_info'!I306</f>
        <v>75.52</v>
      </c>
      <c r="T306" s="35">
        <f>'7company_info'!J306</f>
        <v>110.01</v>
      </c>
      <c r="U306" s="39">
        <v>80.1</v>
      </c>
      <c r="V306" s="39">
        <v>80.67</v>
      </c>
      <c r="W306" s="40">
        <v>81.47</v>
      </c>
      <c r="X306" s="40">
        <v>82.84</v>
      </c>
      <c r="Y306" s="40">
        <v>79.3</v>
      </c>
      <c r="Z306" s="40">
        <v>78.73</v>
      </c>
      <c r="AA306" s="40">
        <v>77.36</v>
      </c>
      <c r="AB306" s="40">
        <v>81.31</v>
      </c>
      <c r="AC306" s="40">
        <v>88.26</v>
      </c>
      <c r="AD306" s="40">
        <v>82.8742287492393</v>
      </c>
      <c r="AE306" s="40">
        <v>77.27871</v>
      </c>
      <c r="AF306" s="40">
        <v>1.688145</v>
      </c>
      <c r="AG306" s="40">
        <v>101.47</v>
      </c>
      <c r="AH306" s="45">
        <v>44221.0</v>
      </c>
      <c r="AI306" s="44" t="str">
        <f>'6image_RS_benchmark_performance'!B306</f>
        <v>https://3arbzfbsh-cname-us.ngrok.io/Desktop/seabridge%20fintech/image_app/INCY_resistance_support.jpg</v>
      </c>
      <c r="AJ306" s="44" t="str">
        <f>'6image_RS_benchmark_performance'!C306</f>
        <v>https://3arbzfbsh-cname-us.ngrok.io/Desktop/seabridge%20fintech/profit_graph_app/INCY_Return.jpg</v>
      </c>
      <c r="AK306" s="46" t="str">
        <f>'5price_action_icon'!B306</f>
        <v>https://3arbzfbsh-cname-us.ngrok.io/Desktop/seabridge%20fintech/icon/INCY_pa_trend_signal</v>
      </c>
      <c r="AL306" s="42">
        <f>'1kpi_performance'!B306</f>
        <v>1.23365616</v>
      </c>
      <c r="AM306" s="42">
        <f>'1kpi_performance'!C306</f>
        <v>1.410381732</v>
      </c>
      <c r="AN306" s="42">
        <f>'1kpi_performance'!D306</f>
        <v>1.485101814</v>
      </c>
      <c r="AO306" s="42">
        <f>'1kpi_performance'!E306</f>
        <v>0.3053818732</v>
      </c>
      <c r="AP306" s="42">
        <f>'1kpi_performance'!F306</f>
        <v>0.3715756502</v>
      </c>
      <c r="AQ306" s="42">
        <f>'1kpi_performance'!G306</f>
        <v>0.3760560784</v>
      </c>
      <c r="AR306" s="42">
        <f>'1kpi_performance'!H306</f>
        <v>0.3854430936</v>
      </c>
      <c r="AS306" s="42">
        <f>'1kpi_performance'!I306</f>
        <v>0.5336218546</v>
      </c>
      <c r="AT306" s="35">
        <f>'1kpi_performance'!J306</f>
        <v>3.252786234</v>
      </c>
      <c r="AU306" s="35">
        <f>'1kpi_performance'!K306</f>
        <v>3.683976438</v>
      </c>
      <c r="AV306" s="35">
        <f>'1kpi_performance'!L306</f>
        <v>3.788112533</v>
      </c>
      <c r="AW306" s="35">
        <f>'1kpi_performance'!M306</f>
        <v>0.5254317656</v>
      </c>
      <c r="AX306" s="42">
        <f>'1kpi_performance'!N306</f>
        <v>0.1711407999</v>
      </c>
      <c r="AY306" s="42">
        <f>'1kpi_performance'!O306</f>
        <v>0.1770381743</v>
      </c>
      <c r="AZ306" s="42">
        <f>'1kpi_performance'!P306</f>
        <v>0.3363104404</v>
      </c>
      <c r="BA306" s="42">
        <f>'1kpi_performance'!Q306</f>
        <v>0.6167954933</v>
      </c>
      <c r="BB306" s="35">
        <f>'1kpi_performance'!R306</f>
        <v>7.795813421</v>
      </c>
      <c r="BC306" s="35">
        <f>'1kpi_performance'!S306</f>
        <v>9.171692037</v>
      </c>
      <c r="BD306" s="35">
        <f>'1kpi_performance'!T306</f>
        <v>8.328129468</v>
      </c>
      <c r="BE306" s="35">
        <f>'1kpi_performance'!U306</f>
        <v>1.098918627</v>
      </c>
      <c r="BF306" s="47"/>
      <c r="BG306" s="47"/>
      <c r="BH306" s="47"/>
      <c r="BI306" s="47"/>
      <c r="BJ306" s="47"/>
      <c r="BK306" s="47"/>
      <c r="BL306" s="47"/>
      <c r="BM306" s="47"/>
      <c r="BN306" s="47"/>
      <c r="BO306" s="47"/>
      <c r="BP306" s="47"/>
      <c r="BQ306" s="47"/>
      <c r="BR306" s="47"/>
      <c r="BS306" s="47"/>
      <c r="BT306" s="47"/>
    </row>
    <row r="307" ht="11.25" customHeight="1">
      <c r="A307" s="35" t="str">
        <f>'13all_company_profile'!A307</f>
        <v>INDA</v>
      </c>
      <c r="B307" s="35" t="str">
        <f>'13all_company_profile'!B307</f>
        <v>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v>
      </c>
      <c r="C307" s="44" t="str">
        <f>'13all_company_profile'!C307</f>
        <v>https://financialmodelingprep.com/image-stock/INDA.jpg</v>
      </c>
      <c r="D307" s="35" t="str">
        <f>'13all_company_profile'!D307</f>
        <v>iShares MSCI India ETF</v>
      </c>
      <c r="E307" s="36">
        <f>'13all_company_profile'!E307</f>
        <v>5060089000</v>
      </c>
      <c r="F307" s="37">
        <f>'13all_company_profile'!F307</f>
        <v>3530982</v>
      </c>
      <c r="G307" s="35">
        <f>'13all_company_profile'!G307</f>
        <v>0.032</v>
      </c>
      <c r="H307" s="38" t="str">
        <f>'13all_company_profile'!H307</f>
        <v>not avaiable</v>
      </c>
      <c r="I307" s="35" t="str">
        <f>'13all_company_profile'!I307</f>
        <v>NaN</v>
      </c>
      <c r="J307" s="35" t="str">
        <f>'13all_company_profile'!J307</f>
        <v>NaN</v>
      </c>
      <c r="K307" s="42">
        <f t="shared" si="1"/>
        <v>0.0007256235828</v>
      </c>
      <c r="L307" s="35">
        <f>'7company_info'!B307</f>
        <v>44.1</v>
      </c>
      <c r="M307" s="35">
        <f>'7company_info'!C307</f>
        <v>44.16</v>
      </c>
      <c r="N307" s="35">
        <f>'7company_info'!D307</f>
        <v>43.67</v>
      </c>
      <c r="O307" s="35">
        <f>'7company_info'!E307</f>
        <v>0.29</v>
      </c>
      <c r="P307" s="35">
        <f>'7company_info'!F307</f>
        <v>0.0066</v>
      </c>
      <c r="Q307" s="35">
        <f>'7company_info'!G307</f>
        <v>43.73</v>
      </c>
      <c r="R307" s="35">
        <f>'7company_info'!H307</f>
        <v>43.81</v>
      </c>
      <c r="S307" s="35">
        <f>'7company_info'!I307</f>
        <v>31.68</v>
      </c>
      <c r="T307" s="35">
        <f>'7company_info'!J307</f>
        <v>45.44</v>
      </c>
      <c r="U307" s="39">
        <v>44.4466666666666</v>
      </c>
      <c r="V307" s="39">
        <v>44.5733333333333</v>
      </c>
      <c r="W307" s="40">
        <v>44.6966666666666</v>
      </c>
      <c r="X307" s="40">
        <v>44.9466666666666</v>
      </c>
      <c r="Y307" s="40">
        <v>44.3233333333333</v>
      </c>
      <c r="Z307" s="40">
        <v>44.1966666666666</v>
      </c>
      <c r="AA307" s="40">
        <v>43.9466666666666</v>
      </c>
      <c r="AB307" s="40">
        <v>44.025</v>
      </c>
      <c r="AC307" s="40">
        <v>44.24</v>
      </c>
      <c r="AD307" s="40">
        <v>44.2978522876186</v>
      </c>
      <c r="AE307" s="40">
        <v>43.422</v>
      </c>
      <c r="AF307" s="40">
        <v>0.384499999999998</v>
      </c>
      <c r="AG307" s="40">
        <v>45.44</v>
      </c>
      <c r="AH307" s="45">
        <v>44355.0</v>
      </c>
      <c r="AI307" s="44" t="str">
        <f>'6image_RS_benchmark_performance'!B307</f>
        <v>https://3arbzfbsh-cname-us.ngrok.io/Desktop/seabridge%20fintech/image_app/INDA_resistance_support.jpg</v>
      </c>
      <c r="AJ307" s="44" t="str">
        <f>'6image_RS_benchmark_performance'!C307</f>
        <v>https://3arbzfbsh-cname-us.ngrok.io/Desktop/seabridge%20fintech/profit_graph_app/INDA_Return.jpg</v>
      </c>
      <c r="AK307" s="46" t="str">
        <f>'5price_action_icon'!B307</f>
        <v>https://3arbzfbsh-cname-us.ngrok.io/Desktop/seabridge%20fintech/icon/INDA_pa_trend_signal</v>
      </c>
      <c r="AL307" s="42">
        <f>'1kpi_performance'!B307</f>
        <v>0.4078726113</v>
      </c>
      <c r="AM307" s="42">
        <f>'1kpi_performance'!C307</f>
        <v>0.784678282</v>
      </c>
      <c r="AN307" s="42">
        <f>'1kpi_performance'!D307</f>
        <v>0.4529204016</v>
      </c>
      <c r="AO307" s="42">
        <f>'1kpi_performance'!E307</f>
        <v>0.08108720799</v>
      </c>
      <c r="AP307" s="42">
        <f>'1kpi_performance'!F307</f>
        <v>0.1929458595</v>
      </c>
      <c r="AQ307" s="42">
        <f>'1kpi_performance'!G307</f>
        <v>0.1954208009</v>
      </c>
      <c r="AR307" s="42">
        <f>'1kpi_performance'!H307</f>
        <v>0.1930832046</v>
      </c>
      <c r="AS307" s="42">
        <f>'1kpi_performance'!I307</f>
        <v>0.2947981464</v>
      </c>
      <c r="AT307" s="35">
        <f>'1kpi_performance'!J307</f>
        <v>1.984352565</v>
      </c>
      <c r="AU307" s="35">
        <f>'1kpi_performance'!K307</f>
        <v>3.88739724</v>
      </c>
      <c r="AV307" s="35">
        <f>'1kpi_performance'!L307</f>
        <v>2.216248703</v>
      </c>
      <c r="AW307" s="35">
        <f>'1kpi_performance'!M307</f>
        <v>0.1902563116</v>
      </c>
      <c r="AX307" s="42">
        <f>'1kpi_performance'!N307</f>
        <v>0.1535184182</v>
      </c>
      <c r="AY307" s="42">
        <f>'1kpi_performance'!O307</f>
        <v>0.1290067273</v>
      </c>
      <c r="AZ307" s="42">
        <f>'1kpi_performance'!P307</f>
        <v>0.1629819776</v>
      </c>
      <c r="BA307" s="42">
        <f>'1kpi_performance'!Q307</f>
        <v>0.4613060045</v>
      </c>
      <c r="BB307" s="35">
        <f>'1kpi_performance'!R307</f>
        <v>4.096912846</v>
      </c>
      <c r="BC307" s="35">
        <f>'1kpi_performance'!S307</f>
        <v>9.154402273</v>
      </c>
      <c r="BD307" s="35">
        <f>'1kpi_performance'!T307</f>
        <v>4.478564565</v>
      </c>
      <c r="BE307" s="35">
        <f>'1kpi_performance'!U307</f>
        <v>0.3559822283</v>
      </c>
      <c r="BF307" s="47"/>
      <c r="BG307" s="47"/>
      <c r="BH307" s="47"/>
      <c r="BI307" s="47"/>
      <c r="BJ307" s="47"/>
      <c r="BK307" s="47"/>
      <c r="BL307" s="47"/>
      <c r="BM307" s="47"/>
      <c r="BN307" s="47"/>
      <c r="BO307" s="47"/>
      <c r="BP307" s="47"/>
      <c r="BQ307" s="47"/>
      <c r="BR307" s="47"/>
      <c r="BS307" s="47"/>
      <c r="BT307" s="47"/>
    </row>
    <row r="308" ht="11.25" customHeight="1">
      <c r="A308" s="35" t="str">
        <f>'13all_company_profile'!A308</f>
        <v>INFO</v>
      </c>
      <c r="B308" s="35" t="str">
        <f>'13all_company_profile'!B308</f>
        <v>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v>
      </c>
      <c r="C308" s="44" t="str">
        <f>'13all_company_profile'!C308</f>
        <v>https://financialmodelingprep.com/image-stock/INFO.png</v>
      </c>
      <c r="D308" s="35" t="str">
        <f>'13all_company_profile'!D308</f>
        <v>IHS Markit Ltd.</v>
      </c>
      <c r="E308" s="36">
        <f>'13all_company_profile'!E308</f>
        <v>45130850304</v>
      </c>
      <c r="F308" s="37">
        <f>'13all_company_profile'!F308</f>
        <v>2451107</v>
      </c>
      <c r="G308" s="35">
        <f>'13all_company_profile'!G308</f>
        <v>0.94</v>
      </c>
      <c r="H308" s="38" t="str">
        <f>'13all_company_profile'!H308</f>
        <v>not avaiable</v>
      </c>
      <c r="I308" s="35">
        <f>'13all_company_profile'!I308</f>
        <v>73.27133</v>
      </c>
      <c r="J308" s="35">
        <f>'13all_company_profile'!J308</f>
        <v>1.559</v>
      </c>
      <c r="K308" s="42">
        <f t="shared" si="1"/>
        <v>0.008183163576</v>
      </c>
      <c r="L308" s="35">
        <f>'7company_info'!B308</f>
        <v>114.87</v>
      </c>
      <c r="M308" s="35">
        <f>'7company_info'!C308</f>
        <v>115.73</v>
      </c>
      <c r="N308" s="35">
        <f>'7company_info'!D308</f>
        <v>112.91</v>
      </c>
      <c r="O308" s="35">
        <f>'7company_info'!E308</f>
        <v>1.98</v>
      </c>
      <c r="P308" s="35">
        <f>'7company_info'!F308</f>
        <v>0.0175</v>
      </c>
      <c r="Q308" s="35">
        <f>'7company_info'!G308</f>
        <v>113.04</v>
      </c>
      <c r="R308" s="35">
        <f>'7company_info'!H308</f>
        <v>112.89</v>
      </c>
      <c r="S308" s="35">
        <f>'7company_info'!I308</f>
        <v>76.05</v>
      </c>
      <c r="T308" s="35">
        <f>'7company_info'!J308</f>
        <v>115.73</v>
      </c>
      <c r="U308" s="39">
        <v>112.086666666666</v>
      </c>
      <c r="V308" s="39">
        <v>112.863333333333</v>
      </c>
      <c r="W308" s="40">
        <v>113.426666666666</v>
      </c>
      <c r="X308" s="40">
        <v>114.766666666666</v>
      </c>
      <c r="Y308" s="40">
        <v>111.523333333333</v>
      </c>
      <c r="Z308" s="40">
        <v>110.746666666666</v>
      </c>
      <c r="AA308" s="40">
        <v>109.406666666666</v>
      </c>
      <c r="AB308" s="40">
        <v>111.79</v>
      </c>
      <c r="AC308" s="40">
        <v>115.48</v>
      </c>
      <c r="AD308" s="40">
        <v>111.817648126424</v>
      </c>
      <c r="AE308" s="40">
        <v>107.87448</v>
      </c>
      <c r="AF308" s="40">
        <v>1.90426</v>
      </c>
      <c r="AG308" s="40">
        <v>115.48</v>
      </c>
      <c r="AH308" s="45">
        <v>44384.0</v>
      </c>
      <c r="AI308" s="44" t="str">
        <f>'6image_RS_benchmark_performance'!B308</f>
        <v>https://3arbzfbsh-cname-us.ngrok.io/Desktop/seabridge%20fintech/image_app/INFO_resistance_support.jpg</v>
      </c>
      <c r="AJ308" s="44" t="str">
        <f>'6image_RS_benchmark_performance'!C308</f>
        <v>https://3arbzfbsh-cname-us.ngrok.io/Desktop/seabridge%20fintech/profit_graph_app/INFO_Return.jpg</v>
      </c>
      <c r="AK308" s="46" t="str">
        <f>'5price_action_icon'!B308</f>
        <v>https://3arbzfbsh-cname-us.ngrok.io/Desktop/seabridge%20fintech/icon/INFO_pa_trend_signal</v>
      </c>
      <c r="AL308" s="42">
        <f>'1kpi_performance'!B308</f>
        <v>0.5920569801</v>
      </c>
      <c r="AM308" s="42">
        <f>'1kpi_performance'!C308</f>
        <v>0.6602749035</v>
      </c>
      <c r="AN308" s="42">
        <f>'1kpi_performance'!D308</f>
        <v>0.3964359894</v>
      </c>
      <c r="AO308" s="42">
        <f>'1kpi_performance'!E308</f>
        <v>0.3373545995</v>
      </c>
      <c r="AP308" s="42">
        <f>'1kpi_performance'!F308</f>
        <v>0.2349437042</v>
      </c>
      <c r="AQ308" s="42">
        <f>'1kpi_performance'!G308</f>
        <v>0.2477148241</v>
      </c>
      <c r="AR308" s="42">
        <f>'1kpi_performance'!H308</f>
        <v>0.1966650259</v>
      </c>
      <c r="AS308" s="42">
        <f>'1kpi_performance'!I308</f>
        <v>0.3051670369</v>
      </c>
      <c r="AT308" s="35">
        <f>'1kpi_performance'!J308</f>
        <v>2.413586617</v>
      </c>
      <c r="AU308" s="35">
        <f>'1kpi_performance'!K308</f>
        <v>2.564541327</v>
      </c>
      <c r="AV308" s="35">
        <f>'1kpi_performance'!L308</f>
        <v>1.88867333</v>
      </c>
      <c r="AW308" s="35">
        <f>'1kpi_performance'!M308</f>
        <v>1.02355288</v>
      </c>
      <c r="AX308" s="42">
        <f>'1kpi_performance'!N308</f>
        <v>0.2201630838</v>
      </c>
      <c r="AY308" s="42">
        <f>'1kpi_performance'!O308</f>
        <v>0.2201630838</v>
      </c>
      <c r="AZ308" s="42">
        <f>'1kpi_performance'!P308</f>
        <v>0.2113943028</v>
      </c>
      <c r="BA308" s="42">
        <f>'1kpi_performance'!Q308</f>
        <v>0.440266305</v>
      </c>
      <c r="BB308" s="35">
        <f>'1kpi_performance'!R308</f>
        <v>6.524591936</v>
      </c>
      <c r="BC308" s="35">
        <f>'1kpi_performance'!S308</f>
        <v>6.94361818</v>
      </c>
      <c r="BD308" s="35">
        <f>'1kpi_performance'!T308</f>
        <v>5.151267914</v>
      </c>
      <c r="BE308" s="35">
        <f>'1kpi_performance'!U308</f>
        <v>2.181901377</v>
      </c>
      <c r="BF308" s="47"/>
      <c r="BG308" s="47"/>
      <c r="BH308" s="47"/>
      <c r="BI308" s="47"/>
      <c r="BJ308" s="47"/>
      <c r="BK308" s="47"/>
      <c r="BL308" s="47"/>
      <c r="BM308" s="47"/>
      <c r="BN308" s="47"/>
      <c r="BO308" s="47"/>
      <c r="BP308" s="47"/>
      <c r="BQ308" s="47"/>
      <c r="BR308" s="47"/>
      <c r="BS308" s="47"/>
      <c r="BT308" s="47"/>
    </row>
    <row r="309" ht="11.25" customHeight="1">
      <c r="A309" s="35" t="str">
        <f>'13all_company_profile'!A309</f>
        <v>INTC</v>
      </c>
      <c r="B309" s="35" t="str">
        <f>'13all_company_profile'!B309</f>
        <v>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v>
      </c>
      <c r="C309" s="44" t="str">
        <f>'13all_company_profile'!C309</f>
        <v>https://financialmodelingprep.com/image-stock/INTC.png</v>
      </c>
      <c r="D309" s="35" t="str">
        <f>'13all_company_profile'!D309</f>
        <v>Intel Corporation</v>
      </c>
      <c r="E309" s="36">
        <f>'13all_company_profile'!E309</f>
        <v>225360789504</v>
      </c>
      <c r="F309" s="37">
        <f>'13all_company_profile'!F309</f>
        <v>24942444</v>
      </c>
      <c r="G309" s="35">
        <f>'13all_company_profile'!G309</f>
        <v>1.3555</v>
      </c>
      <c r="H309" s="38">
        <f>'13all_company_profile'!H309</f>
        <v>44399</v>
      </c>
      <c r="I309" s="35">
        <f>'13all_company_profile'!I309</f>
        <v>12.363107</v>
      </c>
      <c r="J309" s="35">
        <f>'13all_company_profile'!J309</f>
        <v>4.456</v>
      </c>
      <c r="K309" s="42">
        <f t="shared" si="1"/>
        <v>0.02453837799</v>
      </c>
      <c r="L309" s="35">
        <f>'7company_info'!B309</f>
        <v>55.24</v>
      </c>
      <c r="M309" s="35">
        <f>'7company_info'!C309</f>
        <v>55.56</v>
      </c>
      <c r="N309" s="35">
        <f>'7company_info'!D309</f>
        <v>54.27</v>
      </c>
      <c r="O309" s="35">
        <f>'7company_info'!E309</f>
        <v>0.6</v>
      </c>
      <c r="P309" s="35">
        <f>'7company_info'!F309</f>
        <v>0.011</v>
      </c>
      <c r="Q309" s="35">
        <f>'7company_info'!G309</f>
        <v>54.92</v>
      </c>
      <c r="R309" s="35">
        <f>'7company_info'!H309</f>
        <v>54.64</v>
      </c>
      <c r="S309" s="35">
        <f>'7company_info'!I309</f>
        <v>43.61</v>
      </c>
      <c r="T309" s="35">
        <f>'7company_info'!J309</f>
        <v>68.49</v>
      </c>
      <c r="U309" s="39">
        <v>56.7696333333333</v>
      </c>
      <c r="V309" s="39">
        <v>57.2053666666666</v>
      </c>
      <c r="W309" s="40">
        <v>57.8907333333333</v>
      </c>
      <c r="X309" s="40">
        <v>59.0118333333333</v>
      </c>
      <c r="Y309" s="40">
        <v>56.0842666666666</v>
      </c>
      <c r="Z309" s="40">
        <v>55.6485333333333</v>
      </c>
      <c r="AA309" s="40">
        <v>54.5274333333333</v>
      </c>
      <c r="AB309" s="40">
        <v>55.31</v>
      </c>
      <c r="AC309" s="40">
        <v>57.3</v>
      </c>
      <c r="AD309" s="40">
        <v>56.4552320804926</v>
      </c>
      <c r="AE309" s="40">
        <v>54.68912</v>
      </c>
      <c r="AF309" s="40">
        <v>1.11574999999999</v>
      </c>
      <c r="AG309" s="40">
        <v>68.49</v>
      </c>
      <c r="AH309" s="45">
        <v>44298.0</v>
      </c>
      <c r="AI309" s="44" t="str">
        <f>'6image_RS_benchmark_performance'!B309</f>
        <v>https://3arbzfbsh-cname-us.ngrok.io/Desktop/seabridge%20fintech/image_app/INTC_resistance_support.jpg</v>
      </c>
      <c r="AJ309" s="44" t="str">
        <f>'6image_RS_benchmark_performance'!C309</f>
        <v>https://3arbzfbsh-cname-us.ngrok.io/Desktop/seabridge%20fintech/profit_graph_app/INTC_Return.jpg</v>
      </c>
      <c r="AK309" s="46" t="str">
        <f>'5price_action_icon'!B309</f>
        <v>https://3arbzfbsh-cname-us.ngrok.io/Desktop/seabridge%20fintech/icon/INTC_pa_trend_signal</v>
      </c>
      <c r="AL309" s="42">
        <f>'1kpi_performance'!B309</f>
        <v>0.5664689985</v>
      </c>
      <c r="AM309" s="42">
        <f>'1kpi_performance'!C309</f>
        <v>0.7552331447</v>
      </c>
      <c r="AN309" s="42">
        <f>'1kpi_performance'!D309</f>
        <v>0.760819001</v>
      </c>
      <c r="AO309" s="42">
        <f>'1kpi_performance'!E309</f>
        <v>0.1323855597</v>
      </c>
      <c r="AP309" s="42">
        <f>'1kpi_performance'!F309</f>
        <v>0.2261287017</v>
      </c>
      <c r="AQ309" s="42">
        <f>'1kpi_performance'!G309</f>
        <v>0.2499321965</v>
      </c>
      <c r="AR309" s="42">
        <f>'1kpi_performance'!H309</f>
        <v>0.2249281337</v>
      </c>
      <c r="AS309" s="42">
        <f>'1kpi_performance'!I309</f>
        <v>0.3438681452</v>
      </c>
      <c r="AT309" s="35">
        <f>'1kpi_performance'!J309</f>
        <v>2.394516903</v>
      </c>
      <c r="AU309" s="35">
        <f>'1kpi_performance'!K309</f>
        <v>2.921724992</v>
      </c>
      <c r="AV309" s="35">
        <f>'1kpi_performance'!L309</f>
        <v>3.271351559</v>
      </c>
      <c r="AW309" s="35">
        <f>'1kpi_performance'!M309</f>
        <v>0.312287024</v>
      </c>
      <c r="AX309" s="42">
        <f>'1kpi_performance'!N309</f>
        <v>0.1123919308</v>
      </c>
      <c r="AY309" s="42">
        <f>'1kpi_performance'!O309</f>
        <v>0.1804152122</v>
      </c>
      <c r="AZ309" s="42">
        <f>'1kpi_performance'!P309</f>
        <v>0.1378140119</v>
      </c>
      <c r="BA309" s="42">
        <f>'1kpi_performance'!Q309</f>
        <v>0.3557762524</v>
      </c>
      <c r="BB309" s="35">
        <f>'1kpi_performance'!R309</f>
        <v>5.131850173</v>
      </c>
      <c r="BC309" s="35">
        <f>'1kpi_performance'!S309</f>
        <v>6.494736434</v>
      </c>
      <c r="BD309" s="35">
        <f>'1kpi_performance'!T309</f>
        <v>7.392847518</v>
      </c>
      <c r="BE309" s="35">
        <f>'1kpi_performance'!U309</f>
        <v>0.6011096972</v>
      </c>
      <c r="BF309" s="47"/>
      <c r="BG309" s="47"/>
      <c r="BH309" s="47"/>
      <c r="BI309" s="47"/>
      <c r="BJ309" s="47"/>
      <c r="BK309" s="47"/>
      <c r="BL309" s="47"/>
      <c r="BM309" s="47"/>
      <c r="BN309" s="47"/>
      <c r="BO309" s="47"/>
      <c r="BP309" s="47"/>
      <c r="BQ309" s="47"/>
      <c r="BR309" s="47"/>
      <c r="BS309" s="47"/>
      <c r="BT309" s="47"/>
    </row>
    <row r="310" ht="11.25" customHeight="1">
      <c r="A310" s="35" t="str">
        <f>'13all_company_profile'!A310</f>
        <v>INTU</v>
      </c>
      <c r="B310" s="35" t="str">
        <f>'13all_company_profile'!B310</f>
        <v>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v>
      </c>
      <c r="C310" s="44" t="str">
        <f>'13all_company_profile'!C310</f>
        <v>https://financialmodelingprep.com/image-stock/INTU.png</v>
      </c>
      <c r="D310" s="35" t="str">
        <f>'13all_company_profile'!D310</f>
        <v>Intuit Inc.</v>
      </c>
      <c r="E310" s="36">
        <f>'13all_company_profile'!E310</f>
        <v>137495740416</v>
      </c>
      <c r="F310" s="37">
        <f>'13all_company_profile'!F310</f>
        <v>1172850</v>
      </c>
      <c r="G310" s="35">
        <f>'13all_company_profile'!G310</f>
        <v>2.36</v>
      </c>
      <c r="H310" s="38" t="str">
        <f>'13all_company_profile'!H310</f>
        <v>not avaiable</v>
      </c>
      <c r="I310" s="35">
        <f>'13all_company_profile'!I310</f>
        <v>63.647312</v>
      </c>
      <c r="J310" s="35">
        <f>'13all_company_profile'!J310</f>
        <v>7.888</v>
      </c>
      <c r="K310" s="42">
        <f t="shared" si="1"/>
        <v>0.00464055372</v>
      </c>
      <c r="L310" s="35">
        <f>'7company_info'!B310</f>
        <v>508.56</v>
      </c>
      <c r="M310" s="35">
        <f>'7company_info'!C310</f>
        <v>512.67</v>
      </c>
      <c r="N310" s="35">
        <f>'7company_info'!D310</f>
        <v>499.01</v>
      </c>
      <c r="O310" s="35">
        <f>'7company_info'!E310</f>
        <v>9.78</v>
      </c>
      <c r="P310" s="35">
        <f>'7company_info'!F310</f>
        <v>0.0196</v>
      </c>
      <c r="Q310" s="35">
        <f>'7company_info'!G310</f>
        <v>500.06</v>
      </c>
      <c r="R310" s="35">
        <f>'7company_info'!H310</f>
        <v>498.78</v>
      </c>
      <c r="S310" s="35">
        <f>'7company_info'!I310</f>
        <v>286.35</v>
      </c>
      <c r="T310" s="35">
        <f>'7company_info'!J310</f>
        <v>512.67</v>
      </c>
      <c r="U310" s="39">
        <v>507.2786</v>
      </c>
      <c r="V310" s="39">
        <v>509.9714</v>
      </c>
      <c r="W310" s="40">
        <v>514.3828</v>
      </c>
      <c r="X310" s="40">
        <v>521.487</v>
      </c>
      <c r="Y310" s="40">
        <v>502.8672</v>
      </c>
      <c r="Z310" s="40">
        <v>500.1744</v>
      </c>
      <c r="AA310" s="40">
        <v>493.0702</v>
      </c>
      <c r="AB310" s="40">
        <v>484.46</v>
      </c>
      <c r="AC310" s="40">
        <v>511.69</v>
      </c>
      <c r="AD310" s="40">
        <v>489.806230517936</v>
      </c>
      <c r="AE310" s="40">
        <v>491.57725</v>
      </c>
      <c r="AF310" s="40">
        <v>7.444585</v>
      </c>
      <c r="AG310" s="40">
        <v>423.74</v>
      </c>
      <c r="AH310" s="45">
        <v>44243.0</v>
      </c>
      <c r="AI310" s="44" t="str">
        <f>'6image_RS_benchmark_performance'!B310</f>
        <v>https://3arbzfbsh-cname-us.ngrok.io/Desktop/seabridge%20fintech/image_app/INTU_resistance_support.jpg</v>
      </c>
      <c r="AJ310" s="44" t="str">
        <f>'6image_RS_benchmark_performance'!C310</f>
        <v>https://3arbzfbsh-cname-us.ngrok.io/Desktop/seabridge%20fintech/profit_graph_app/INTU_Return.jpg</v>
      </c>
      <c r="AK310" s="46" t="str">
        <f>'5price_action_icon'!B310</f>
        <v>https://3arbzfbsh-cname-us.ngrok.io/Desktop/seabridge%20fintech/icon/INTU_pa_trend_signal</v>
      </c>
      <c r="AL310" s="42">
        <f>'1kpi_performance'!B310</f>
        <v>0.632769815</v>
      </c>
      <c r="AM310" s="42">
        <f>'1kpi_performance'!C310</f>
        <v>0.7659715328</v>
      </c>
      <c r="AN310" s="42">
        <f>'1kpi_performance'!D310</f>
        <v>0.6499177435</v>
      </c>
      <c r="AO310" s="42">
        <f>'1kpi_performance'!E310</f>
        <v>0.4169655585</v>
      </c>
      <c r="AP310" s="42">
        <f>'1kpi_performance'!F310</f>
        <v>0.2098149204</v>
      </c>
      <c r="AQ310" s="42">
        <f>'1kpi_performance'!G310</f>
        <v>0.2340058332</v>
      </c>
      <c r="AR310" s="42">
        <f>'1kpi_performance'!H310</f>
        <v>0.2310513683</v>
      </c>
      <c r="AS310" s="42">
        <f>'1kpi_performance'!I310</f>
        <v>0.3213889978</v>
      </c>
      <c r="AT310" s="35">
        <f>'1kpi_performance'!J310</f>
        <v>2.896694925</v>
      </c>
      <c r="AU310" s="35">
        <f>'1kpi_performance'!K310</f>
        <v>3.166466077</v>
      </c>
      <c r="AV310" s="35">
        <f>'1kpi_performance'!L310</f>
        <v>2.70467017</v>
      </c>
      <c r="AW310" s="35">
        <f>'1kpi_performance'!M310</f>
        <v>1.219598559</v>
      </c>
      <c r="AX310" s="42">
        <f>'1kpi_performance'!N310</f>
        <v>0.1218648094</v>
      </c>
      <c r="AY310" s="42">
        <f>'1kpi_performance'!O310</f>
        <v>0.1218648094</v>
      </c>
      <c r="AZ310" s="42">
        <f>'1kpi_performance'!P310</f>
        <v>0.328963773</v>
      </c>
      <c r="BA310" s="42">
        <f>'1kpi_performance'!Q310</f>
        <v>0.3628480743</v>
      </c>
      <c r="BB310" s="35">
        <f>'1kpi_performance'!R310</f>
        <v>6.493463451</v>
      </c>
      <c r="BC310" s="35">
        <f>'1kpi_performance'!S310</f>
        <v>7.54911878</v>
      </c>
      <c r="BD310" s="35">
        <f>'1kpi_performance'!T310</f>
        <v>5.772593888</v>
      </c>
      <c r="BE310" s="35">
        <f>'1kpi_performance'!U310</f>
        <v>2.431581971</v>
      </c>
      <c r="BF310" s="47"/>
      <c r="BG310" s="47"/>
      <c r="BH310" s="47"/>
      <c r="BI310" s="47"/>
      <c r="BJ310" s="47"/>
      <c r="BK310" s="47"/>
      <c r="BL310" s="47"/>
      <c r="BM310" s="47"/>
      <c r="BN310" s="47"/>
      <c r="BO310" s="47"/>
      <c r="BP310" s="47"/>
      <c r="BQ310" s="47"/>
      <c r="BR310" s="47"/>
      <c r="BS310" s="47"/>
      <c r="BT310" s="47"/>
    </row>
    <row r="311" ht="11.25" customHeight="1">
      <c r="A311" s="35" t="str">
        <f>'13all_company_profile'!A311</f>
        <v>INVH</v>
      </c>
      <c r="B311" s="35" t="str">
        <f>'13all_company_profile'!B311</f>
        <v>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v>
      </c>
      <c r="C311" s="44" t="str">
        <f>'13all_company_profile'!C311</f>
        <v>https://financialmodelingprep.com/image-stock/INVH.png</v>
      </c>
      <c r="D311" s="35" t="str">
        <f>'13all_company_profile'!D311</f>
        <v>Invitation Homes Inc.</v>
      </c>
      <c r="E311" s="36">
        <f>'13all_company_profile'!E311</f>
        <v>22609500160</v>
      </c>
      <c r="F311" s="37">
        <f>'13all_company_profile'!F311</f>
        <v>4015222</v>
      </c>
      <c r="G311" s="35">
        <f>'13all_company_profile'!G311</f>
        <v>0.64</v>
      </c>
      <c r="H311" s="38">
        <f>'13all_company_profile'!H311</f>
        <v>44410</v>
      </c>
      <c r="I311" s="35">
        <f>'13all_company_profile'!I311</f>
        <v>111.20833</v>
      </c>
      <c r="J311" s="35">
        <f>'13all_company_profile'!J311</f>
        <v>0.36</v>
      </c>
      <c r="K311" s="42">
        <f t="shared" si="1"/>
        <v>0.01590062112</v>
      </c>
      <c r="L311" s="35">
        <f>'7company_info'!B311</f>
        <v>40.25</v>
      </c>
      <c r="M311" s="35">
        <f>'7company_info'!C311</f>
        <v>40.52</v>
      </c>
      <c r="N311" s="35">
        <f>'7company_info'!D311</f>
        <v>39.24</v>
      </c>
      <c r="O311" s="35">
        <f>'7company_info'!E311</f>
        <v>1.02</v>
      </c>
      <c r="P311" s="35">
        <f>'7company_info'!F311</f>
        <v>0.026</v>
      </c>
      <c r="Q311" s="35">
        <f>'7company_info'!G311</f>
        <v>39.49</v>
      </c>
      <c r="R311" s="35">
        <f>'7company_info'!H311</f>
        <v>39.23</v>
      </c>
      <c r="S311" s="35">
        <f>'7company_info'!I311</f>
        <v>26.35</v>
      </c>
      <c r="T311" s="35">
        <f>'7company_info'!J311</f>
        <v>40.52</v>
      </c>
      <c r="U311" s="39">
        <v>39.8066666666666</v>
      </c>
      <c r="V311" s="39">
        <v>40.1133333333333</v>
      </c>
      <c r="W311" s="40">
        <v>40.3866666666666</v>
      </c>
      <c r="X311" s="40">
        <v>40.9666666666666</v>
      </c>
      <c r="Y311" s="40">
        <v>39.5333333333333</v>
      </c>
      <c r="Z311" s="40">
        <v>39.2266666666666</v>
      </c>
      <c r="AA311" s="40">
        <v>38.6466666666666</v>
      </c>
      <c r="AB311" s="40">
        <v>39.27</v>
      </c>
      <c r="AC311" s="40">
        <v>40.2</v>
      </c>
      <c r="AD311" s="40">
        <v>38.3932199503346</v>
      </c>
      <c r="AE311" s="40">
        <v>38.32754</v>
      </c>
      <c r="AF311" s="40">
        <v>0.64973</v>
      </c>
      <c r="AG311" s="40">
        <v>38.01</v>
      </c>
      <c r="AH311" s="45">
        <v>44358.0</v>
      </c>
      <c r="AI311" s="44" t="str">
        <f>'6image_RS_benchmark_performance'!B311</f>
        <v>https://3arbzfbsh-cname-us.ngrok.io/Desktop/seabridge%20fintech/image_app/INVH_resistance_support.jpg</v>
      </c>
      <c r="AJ311" s="44" t="str">
        <f>'6image_RS_benchmark_performance'!C311</f>
        <v>https://3arbzfbsh-cname-us.ngrok.io/Desktop/seabridge%20fintech/profit_graph_app/INVH_Return.jpg</v>
      </c>
      <c r="AK311" s="46" t="str">
        <f>'5price_action_icon'!B311</f>
        <v>https://3arbzfbsh-cname-us.ngrok.io/Desktop/seabridge%20fintech/icon/INVH_pa_trend_signal</v>
      </c>
      <c r="AL311" s="42">
        <f>'1kpi_performance'!B311</f>
        <v>0.4425945055</v>
      </c>
      <c r="AM311" s="42">
        <f>'1kpi_performance'!C311</f>
        <v>0.5640519831</v>
      </c>
      <c r="AN311" s="42">
        <f>'1kpi_performance'!D311</f>
        <v>0.5257502912</v>
      </c>
      <c r="AO311" s="42">
        <f>'1kpi_performance'!E311</f>
        <v>0.2482055602</v>
      </c>
      <c r="AP311" s="42">
        <f>'1kpi_performance'!F311</f>
        <v>0.2057178624</v>
      </c>
      <c r="AQ311" s="42">
        <f>'1kpi_performance'!G311</f>
        <v>0.2151173239</v>
      </c>
      <c r="AR311" s="42">
        <f>'1kpi_performance'!H311</f>
        <v>0.1845734213</v>
      </c>
      <c r="AS311" s="42">
        <f>'1kpi_performance'!I311</f>
        <v>0.3321549077</v>
      </c>
      <c r="AT311" s="35">
        <f>'1kpi_performance'!J311</f>
        <v>2.029937996</v>
      </c>
      <c r="AU311" s="35">
        <f>'1kpi_performance'!K311</f>
        <v>2.505851101</v>
      </c>
      <c r="AV311" s="35">
        <f>'1kpi_performance'!L311</f>
        <v>2.713014082</v>
      </c>
      <c r="AW311" s="35">
        <f>'1kpi_performance'!M311</f>
        <v>0.6719923598</v>
      </c>
      <c r="AX311" s="42">
        <f>'1kpi_performance'!N311</f>
        <v>0.129576306</v>
      </c>
      <c r="AY311" s="42">
        <f>'1kpi_performance'!O311</f>
        <v>0.129576306</v>
      </c>
      <c r="AZ311" s="42">
        <f>'1kpi_performance'!P311</f>
        <v>0.1026200873</v>
      </c>
      <c r="BA311" s="42">
        <f>'1kpi_performance'!Q311</f>
        <v>0.505366452</v>
      </c>
      <c r="BB311" s="35">
        <f>'1kpi_performance'!R311</f>
        <v>4.219310378</v>
      </c>
      <c r="BC311" s="35">
        <f>'1kpi_performance'!S311</f>
        <v>5.448077368</v>
      </c>
      <c r="BD311" s="35">
        <f>'1kpi_performance'!T311</f>
        <v>5.764351487</v>
      </c>
      <c r="BE311" s="35">
        <f>'1kpi_performance'!U311</f>
        <v>1.185490186</v>
      </c>
      <c r="BF311" s="47"/>
      <c r="BG311" s="47"/>
      <c r="BH311" s="47"/>
      <c r="BI311" s="47"/>
      <c r="BJ311" s="47"/>
      <c r="BK311" s="47"/>
      <c r="BL311" s="47"/>
      <c r="BM311" s="47"/>
      <c r="BN311" s="47"/>
      <c r="BO311" s="47"/>
      <c r="BP311" s="47"/>
      <c r="BQ311" s="47"/>
      <c r="BR311" s="47"/>
      <c r="BS311" s="47"/>
      <c r="BT311" s="47"/>
    </row>
    <row r="312" ht="11.25" customHeight="1">
      <c r="A312" s="35" t="str">
        <f>'13all_company_profile'!A312</f>
        <v>IP</v>
      </c>
      <c r="B312" s="35" t="str">
        <f>'13all_company_profile'!B312</f>
        <v>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v>
      </c>
      <c r="C312" s="44" t="str">
        <f>'13all_company_profile'!C312</f>
        <v>https://financialmodelingprep.com/image-stock/IP.png</v>
      </c>
      <c r="D312" s="35" t="str">
        <f>'13all_company_profile'!D312</f>
        <v>International Paper Company</v>
      </c>
      <c r="E312" s="36">
        <f>'13all_company_profile'!E312</f>
        <v>23453413376</v>
      </c>
      <c r="F312" s="37">
        <f>'13all_company_profile'!F312</f>
        <v>2513980</v>
      </c>
      <c r="G312" s="35">
        <f>'13all_company_profile'!G312</f>
        <v>2.0515</v>
      </c>
      <c r="H312" s="38">
        <f>'13all_company_profile'!H312</f>
        <v>44406</v>
      </c>
      <c r="I312" s="35">
        <f>'13all_company_profile'!I312</f>
        <v>24.141518</v>
      </c>
      <c r="J312" s="35">
        <f>'13all_company_profile'!J312</f>
        <v>2.452</v>
      </c>
      <c r="K312" s="42">
        <f t="shared" si="1"/>
        <v>0.03521888412</v>
      </c>
      <c r="L312" s="35">
        <f>'7company_info'!B312</f>
        <v>58.25</v>
      </c>
      <c r="M312" s="35">
        <f>'7company_info'!C312</f>
        <v>59.15</v>
      </c>
      <c r="N312" s="35">
        <f>'7company_info'!D312</f>
        <v>57.77</v>
      </c>
      <c r="O312" s="35">
        <f>'7company_info'!E312</f>
        <v>0.48</v>
      </c>
      <c r="P312" s="35">
        <f>'7company_info'!F312</f>
        <v>0.0083</v>
      </c>
      <c r="Q312" s="35">
        <f>'7company_info'!G312</f>
        <v>57.9</v>
      </c>
      <c r="R312" s="35">
        <f>'7company_info'!H312</f>
        <v>57.77</v>
      </c>
      <c r="S312" s="35">
        <f>'7company_info'!I312</f>
        <v>33.92</v>
      </c>
      <c r="T312" s="35">
        <f>'7company_info'!J312</f>
        <v>65.27</v>
      </c>
      <c r="U312" s="39">
        <v>61.6</v>
      </c>
      <c r="V312" s="39">
        <v>61.88</v>
      </c>
      <c r="W312" s="40">
        <v>62.31</v>
      </c>
      <c r="X312" s="40">
        <v>63.02</v>
      </c>
      <c r="Y312" s="40">
        <v>61.17</v>
      </c>
      <c r="Z312" s="40">
        <v>60.89</v>
      </c>
      <c r="AA312" s="40">
        <v>60.18</v>
      </c>
      <c r="AB312" s="40">
        <v>60.35</v>
      </c>
      <c r="AC312" s="40">
        <v>62.03</v>
      </c>
      <c r="AD312" s="40">
        <v>61.536688821562</v>
      </c>
      <c r="AE312" s="40">
        <v>58.82101</v>
      </c>
      <c r="AF312" s="40">
        <v>1.26249999999999</v>
      </c>
      <c r="AG312" s="40">
        <v>65.27</v>
      </c>
      <c r="AH312" s="45">
        <v>44351.0</v>
      </c>
      <c r="AI312" s="44" t="str">
        <f>'6image_RS_benchmark_performance'!B312</f>
        <v>https://3arbzfbsh-cname-us.ngrok.io/Desktop/seabridge%20fintech/image_app/IP_resistance_support.jpg</v>
      </c>
      <c r="AJ312" s="44" t="str">
        <f>'6image_RS_benchmark_performance'!C312</f>
        <v>https://3arbzfbsh-cname-us.ngrok.io/Desktop/seabridge%20fintech/profit_graph_app/IP_Return.jpg</v>
      </c>
      <c r="AK312" s="46" t="str">
        <f>'5price_action_icon'!B312</f>
        <v>https://3arbzfbsh-cname-us.ngrok.io/Desktop/seabridge%20fintech/icon/IP_pa_trend_signal</v>
      </c>
      <c r="AL312" s="42">
        <f>'1kpi_performance'!B312</f>
        <v>0.514217144</v>
      </c>
      <c r="AM312" s="42">
        <f>'1kpi_performance'!C312</f>
        <v>0.6673455193</v>
      </c>
      <c r="AN312" s="42">
        <f>'1kpi_performance'!D312</f>
        <v>0.7287081268</v>
      </c>
      <c r="AO312" s="42">
        <f>'1kpi_performance'!E312</f>
        <v>0.1236847341</v>
      </c>
      <c r="AP312" s="42">
        <f>'1kpi_performance'!F312</f>
        <v>0.2518703378</v>
      </c>
      <c r="AQ312" s="42">
        <f>'1kpi_performance'!G312</f>
        <v>0.2422790477</v>
      </c>
      <c r="AR312" s="42">
        <f>'1kpi_performance'!H312</f>
        <v>0.2400168897</v>
      </c>
      <c r="AS312" s="42">
        <f>'1kpi_performance'!I312</f>
        <v>0.3675687606</v>
      </c>
      <c r="AT312" s="35">
        <f>'1kpi_performance'!J312</f>
        <v>1.942337268</v>
      </c>
      <c r="AU312" s="35">
        <f>'1kpi_performance'!K312</f>
        <v>2.651263183</v>
      </c>
      <c r="AV312" s="35">
        <f>'1kpi_performance'!L312</f>
        <v>2.931910866</v>
      </c>
      <c r="AW312" s="35">
        <f>'1kpi_performance'!M312</f>
        <v>0.2684796552</v>
      </c>
      <c r="AX312" s="42">
        <f>'1kpi_performance'!N312</f>
        <v>0.2096148104</v>
      </c>
      <c r="AY312" s="42">
        <f>'1kpi_performance'!O312</f>
        <v>0.1290322581</v>
      </c>
      <c r="AZ312" s="42">
        <f>'1kpi_performance'!P312</f>
        <v>0.3321688319</v>
      </c>
      <c r="BA312" s="42">
        <f>'1kpi_performance'!Q312</f>
        <v>0.5932698218</v>
      </c>
      <c r="BB312" s="35">
        <f>'1kpi_performance'!R312</f>
        <v>3.975252067</v>
      </c>
      <c r="BC312" s="35">
        <f>'1kpi_performance'!S312</f>
        <v>5.910143636</v>
      </c>
      <c r="BD312" s="35">
        <f>'1kpi_performance'!T312</f>
        <v>6.29055379</v>
      </c>
      <c r="BE312" s="35">
        <f>'1kpi_performance'!U312</f>
        <v>0.5281237746</v>
      </c>
      <c r="BF312" s="47"/>
      <c r="BG312" s="47"/>
      <c r="BH312" s="47"/>
      <c r="BI312" s="47"/>
      <c r="BJ312" s="47"/>
      <c r="BK312" s="47"/>
      <c r="BL312" s="47"/>
      <c r="BM312" s="47"/>
      <c r="BN312" s="47"/>
      <c r="BO312" s="47"/>
      <c r="BP312" s="47"/>
      <c r="BQ312" s="47"/>
      <c r="BR312" s="47"/>
      <c r="BS312" s="47"/>
      <c r="BT312" s="47"/>
    </row>
    <row r="313" ht="11.25" customHeight="1">
      <c r="A313" s="35" t="str">
        <f>'13all_company_profile'!A313</f>
        <v>IPG</v>
      </c>
      <c r="B313" s="35" t="str">
        <f>'13all_company_profile'!B313</f>
        <v>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v>
      </c>
      <c r="C313" s="44" t="str">
        <f>'13all_company_profile'!C313</f>
        <v>https://financialmodelingprep.com/image-stock/IPG.png</v>
      </c>
      <c r="D313" s="35" t="str">
        <f>'13all_company_profile'!D313</f>
        <v>The Interpublic Group of Companies, Inc.</v>
      </c>
      <c r="E313" s="36">
        <f>'13all_company_profile'!E313</f>
        <v>12615568384</v>
      </c>
      <c r="F313" s="37">
        <f>'13all_company_profile'!F313</f>
        <v>3750355</v>
      </c>
      <c r="G313" s="35">
        <f>'13all_company_profile'!G313</f>
        <v>1.05</v>
      </c>
      <c r="H313" s="38">
        <f>'13all_company_profile'!H313</f>
        <v>44404</v>
      </c>
      <c r="I313" s="35">
        <f>'13all_company_profile'!I313</f>
        <v>28.309288</v>
      </c>
      <c r="J313" s="35">
        <f>'13all_company_profile'!J313</f>
        <v>1.109</v>
      </c>
      <c r="K313" s="42">
        <f t="shared" si="1"/>
        <v>0.03357850975</v>
      </c>
      <c r="L313" s="35">
        <f>'7company_info'!B313</f>
        <v>31.27</v>
      </c>
      <c r="M313" s="35">
        <f>'7company_info'!C313</f>
        <v>31.51</v>
      </c>
      <c r="N313" s="35">
        <f>'7company_info'!D313</f>
        <v>30.45</v>
      </c>
      <c r="O313" s="35">
        <f>'7company_info'!E313</f>
        <v>0.37</v>
      </c>
      <c r="P313" s="35">
        <f>'7company_info'!F313</f>
        <v>0.012</v>
      </c>
      <c r="Q313" s="35">
        <f>'7company_info'!G313</f>
        <v>31.2</v>
      </c>
      <c r="R313" s="35">
        <f>'7company_info'!H313</f>
        <v>30.9</v>
      </c>
      <c r="S313" s="35">
        <f>'7company_info'!I313</f>
        <v>15.92</v>
      </c>
      <c r="T313" s="35">
        <f>'7company_info'!J313</f>
        <v>34.43</v>
      </c>
      <c r="U313" s="39">
        <v>32.6416666666666</v>
      </c>
      <c r="V313" s="39">
        <v>32.8683333333333</v>
      </c>
      <c r="W313" s="40">
        <v>33.2466666666666</v>
      </c>
      <c r="X313" s="40">
        <v>33.8516666666666</v>
      </c>
      <c r="Y313" s="40">
        <v>32.2633333333333</v>
      </c>
      <c r="Z313" s="40">
        <v>32.0366666666666</v>
      </c>
      <c r="AA313" s="40">
        <v>31.4316666666666</v>
      </c>
      <c r="AB313" s="40">
        <v>32.23</v>
      </c>
      <c r="AC313" s="40">
        <v>33.45</v>
      </c>
      <c r="AD313" s="40">
        <v>32.6203742071739</v>
      </c>
      <c r="AE313" s="40">
        <v>30.708</v>
      </c>
      <c r="AF313" s="40">
        <v>0.839</v>
      </c>
      <c r="AG313" s="40">
        <v>34.43</v>
      </c>
      <c r="AH313" s="45">
        <v>44361.0</v>
      </c>
      <c r="AI313" s="44" t="str">
        <f>'6image_RS_benchmark_performance'!B313</f>
        <v>https://3arbzfbsh-cname-us.ngrok.io/Desktop/seabridge%20fintech/image_app/IPG_resistance_support.jpg</v>
      </c>
      <c r="AJ313" s="44" t="str">
        <f>'6image_RS_benchmark_performance'!C313</f>
        <v>https://3arbzfbsh-cname-us.ngrok.io/Desktop/seabridge%20fintech/profit_graph_app/IPG_Return.jpg</v>
      </c>
      <c r="AK313" s="46" t="str">
        <f>'5price_action_icon'!B313</f>
        <v>https://3arbzfbsh-cname-us.ngrok.io/Desktop/seabridge%20fintech/icon/IPG_pa_trend_signal</v>
      </c>
      <c r="AL313" s="42">
        <f>'1kpi_performance'!B313</f>
        <v>0.5622162792</v>
      </c>
      <c r="AM313" s="42">
        <f>'1kpi_performance'!C313</f>
        <v>0.8271291725</v>
      </c>
      <c r="AN313" s="42">
        <f>'1kpi_performance'!D313</f>
        <v>0.8659456846</v>
      </c>
      <c r="AO313" s="42">
        <f>'1kpi_performance'!E313</f>
        <v>0.210583091</v>
      </c>
      <c r="AP313" s="42">
        <f>'1kpi_performance'!F313</f>
        <v>0.2790523546</v>
      </c>
      <c r="AQ313" s="42">
        <f>'1kpi_performance'!G313</f>
        <v>0.2774030371</v>
      </c>
      <c r="AR313" s="42">
        <f>'1kpi_performance'!H313</f>
        <v>0.2724104193</v>
      </c>
      <c r="AS313" s="42">
        <f>'1kpi_performance'!I313</f>
        <v>0.3991938251</v>
      </c>
      <c r="AT313" s="35">
        <f>'1kpi_performance'!J313</f>
        <v>1.925145122</v>
      </c>
      <c r="AU313" s="35">
        <f>'1kpi_performance'!K313</f>
        <v>2.891565936</v>
      </c>
      <c r="AV313" s="35">
        <f>'1kpi_performance'!L313</f>
        <v>3.087054037</v>
      </c>
      <c r="AW313" s="35">
        <f>'1kpi_performance'!M313</f>
        <v>0.4648946936</v>
      </c>
      <c r="AX313" s="42">
        <f>'1kpi_performance'!N313</f>
        <v>0.2060396304</v>
      </c>
      <c r="AY313" s="42">
        <f>'1kpi_performance'!O313</f>
        <v>0.1838942308</v>
      </c>
      <c r="AZ313" s="42">
        <f>'1kpi_performance'!P313</f>
        <v>0.2001613994</v>
      </c>
      <c r="BA313" s="42">
        <f>'1kpi_performance'!Q313</f>
        <v>0.5103637075</v>
      </c>
      <c r="BB313" s="35">
        <f>'1kpi_performance'!R313</f>
        <v>4.062101849</v>
      </c>
      <c r="BC313" s="35">
        <f>'1kpi_performance'!S313</f>
        <v>6.688841198</v>
      </c>
      <c r="BD313" s="35">
        <f>'1kpi_performance'!T313</f>
        <v>6.85025165</v>
      </c>
      <c r="BE313" s="35">
        <f>'1kpi_performance'!U313</f>
        <v>0.9138845194</v>
      </c>
      <c r="BF313" s="47"/>
      <c r="BG313" s="47"/>
      <c r="BH313" s="47"/>
      <c r="BI313" s="47"/>
      <c r="BJ313" s="47"/>
      <c r="BK313" s="47"/>
      <c r="BL313" s="47"/>
      <c r="BM313" s="47"/>
      <c r="BN313" s="47"/>
      <c r="BO313" s="47"/>
      <c r="BP313" s="47"/>
      <c r="BQ313" s="47"/>
      <c r="BR313" s="47"/>
      <c r="BS313" s="47"/>
      <c r="BT313" s="47"/>
    </row>
    <row r="314" ht="11.25" customHeight="1">
      <c r="A314" s="35" t="str">
        <f>'13all_company_profile'!A314</f>
        <v>IPGP</v>
      </c>
      <c r="B314" s="35" t="str">
        <f>'13all_company_profile'!B314</f>
        <v>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v>
      </c>
      <c r="C314" s="44" t="str">
        <f>'13all_company_profile'!C314</f>
        <v>https://financialmodelingprep.com/image-stock/IPGP.png</v>
      </c>
      <c r="D314" s="35" t="str">
        <f>'13all_company_profile'!D314</f>
        <v>IPG Photonics Corporation</v>
      </c>
      <c r="E314" s="36">
        <f>'13all_company_profile'!E314</f>
        <v>11125596160</v>
      </c>
      <c r="F314" s="37">
        <f>'13all_company_profile'!F314</f>
        <v>320439</v>
      </c>
      <c r="G314" s="35">
        <f>'13all_company_profile'!G314</f>
        <v>0</v>
      </c>
      <c r="H314" s="38">
        <f>'13all_company_profile'!H314</f>
        <v>44410</v>
      </c>
      <c r="I314" s="35">
        <f>'13all_company_profile'!I314</f>
        <v>57.972973</v>
      </c>
      <c r="J314" s="35">
        <f>'13all_company_profile'!J314</f>
        <v>3.552</v>
      </c>
      <c r="K314" s="42" t="str">
        <f t="shared" si="1"/>
        <v>NaN</v>
      </c>
      <c r="L314" s="35">
        <f>'7company_info'!B314</f>
        <v>208.14</v>
      </c>
      <c r="M314" s="35">
        <f>'7company_info'!C314</f>
        <v>209.38</v>
      </c>
      <c r="N314" s="35">
        <f>'7company_info'!D314</f>
        <v>202.41</v>
      </c>
      <c r="O314" s="35">
        <f>'7company_info'!E314</f>
        <v>6.28</v>
      </c>
      <c r="P314" s="35">
        <f>'7company_info'!F314</f>
        <v>0.0311</v>
      </c>
      <c r="Q314" s="35">
        <f>'7company_info'!G314</f>
        <v>203.01</v>
      </c>
      <c r="R314" s="35">
        <f>'7company_info'!H314</f>
        <v>201.86</v>
      </c>
      <c r="S314" s="35">
        <f>'7company_info'!I314</f>
        <v>149.51</v>
      </c>
      <c r="T314" s="35">
        <f>'7company_info'!J314</f>
        <v>262.55</v>
      </c>
      <c r="U314" s="39">
        <v>209.593333333333</v>
      </c>
      <c r="V314" s="39">
        <v>211.266666666666</v>
      </c>
      <c r="W314" s="40">
        <v>213.643333333333</v>
      </c>
      <c r="X314" s="40">
        <v>217.693333333333</v>
      </c>
      <c r="Y314" s="40">
        <v>207.216666666666</v>
      </c>
      <c r="Z314" s="40">
        <v>205.543333333333</v>
      </c>
      <c r="AA314" s="40">
        <v>201.493333333333</v>
      </c>
      <c r="AB314" s="40">
        <v>206.0</v>
      </c>
      <c r="AC314" s="40">
        <v>200.665</v>
      </c>
      <c r="AD314" s="40">
        <v>208.031759118722</v>
      </c>
      <c r="AE314" s="40">
        <v>197.03737</v>
      </c>
      <c r="AF314" s="40">
        <v>5.448315</v>
      </c>
      <c r="AG314" s="40">
        <v>262.5511</v>
      </c>
      <c r="AH314" s="45">
        <v>44215.0</v>
      </c>
      <c r="AI314" s="44" t="str">
        <f>'6image_RS_benchmark_performance'!B314</f>
        <v>https://3arbzfbsh-cname-us.ngrok.io/Desktop/seabridge%20fintech/image_app/IPGP_resistance_support.jpg</v>
      </c>
      <c r="AJ314" s="44" t="str">
        <f>'6image_RS_benchmark_performance'!C314</f>
        <v>https://3arbzfbsh-cname-us.ngrok.io/Desktop/seabridge%20fintech/profit_graph_app/IPGP_Return.jpg</v>
      </c>
      <c r="AK314" s="46" t="str">
        <f>'5price_action_icon'!B314</f>
        <v>https://3arbzfbsh-cname-us.ngrok.io/Desktop/seabridge%20fintech/icon/IPGP_pa_trend_signal</v>
      </c>
      <c r="AL314" s="42">
        <f>'1kpi_performance'!B314</f>
        <v>1.100292607</v>
      </c>
      <c r="AM314" s="42">
        <f>'1kpi_performance'!C314</f>
        <v>1.609066456</v>
      </c>
      <c r="AN314" s="42">
        <f>'1kpi_performance'!D314</f>
        <v>1.493297054</v>
      </c>
      <c r="AO314" s="42">
        <f>'1kpi_performance'!E314</f>
        <v>0.4052572378</v>
      </c>
      <c r="AP314" s="42">
        <f>'1kpi_performance'!F314</f>
        <v>0.3784241899</v>
      </c>
      <c r="AQ314" s="42">
        <f>'1kpi_performance'!G314</f>
        <v>0.3882261219</v>
      </c>
      <c r="AR314" s="42">
        <f>'1kpi_performance'!H314</f>
        <v>0.3497848718</v>
      </c>
      <c r="AS314" s="42">
        <f>'1kpi_performance'!I314</f>
        <v>0.5313950472</v>
      </c>
      <c r="AT314" s="35">
        <f>'1kpi_performance'!J314</f>
        <v>2.841500718</v>
      </c>
      <c r="AU314" s="35">
        <f>'1kpi_performance'!K314</f>
        <v>4.080267573</v>
      </c>
      <c r="AV314" s="35">
        <f>'1kpi_performance'!L314</f>
        <v>4.197714574</v>
      </c>
      <c r="AW314" s="35">
        <f>'1kpi_performance'!M314</f>
        <v>0.7155829544</v>
      </c>
      <c r="AX314" s="42">
        <f>'1kpi_performance'!N314</f>
        <v>0.2459917741</v>
      </c>
      <c r="AY314" s="42">
        <f>'1kpi_performance'!O314</f>
        <v>0.1900104307</v>
      </c>
      <c r="AZ314" s="42">
        <f>'1kpi_performance'!P314</f>
        <v>0.1951888925</v>
      </c>
      <c r="BA314" s="42">
        <f>'1kpi_performance'!Q314</f>
        <v>0.6098579783</v>
      </c>
      <c r="BB314" s="35">
        <f>'1kpi_performance'!R314</f>
        <v>6.779353338</v>
      </c>
      <c r="BC314" s="35">
        <f>'1kpi_performance'!S314</f>
        <v>10.9320547</v>
      </c>
      <c r="BD314" s="35">
        <f>'1kpi_performance'!T314</f>
        <v>10.09055361</v>
      </c>
      <c r="BE314" s="35">
        <f>'1kpi_performance'!U314</f>
        <v>1.4697391</v>
      </c>
      <c r="BF314" s="47"/>
      <c r="BG314" s="47"/>
      <c r="BH314" s="47"/>
      <c r="BI314" s="47"/>
      <c r="BJ314" s="47"/>
      <c r="BK314" s="47"/>
      <c r="BL314" s="47"/>
      <c r="BM314" s="47"/>
      <c r="BN314" s="47"/>
      <c r="BO314" s="47"/>
      <c r="BP314" s="47"/>
      <c r="BQ314" s="47"/>
      <c r="BR314" s="47"/>
      <c r="BS314" s="47"/>
      <c r="BT314" s="47"/>
    </row>
    <row r="315" ht="11.25" customHeight="1">
      <c r="A315" s="35" t="str">
        <f>'13all_company_profile'!A315</f>
        <v>IQV</v>
      </c>
      <c r="B315" s="35" t="str">
        <f>'13all_company_profile'!B315</f>
        <v>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v>
      </c>
      <c r="C315" s="44" t="str">
        <f>'13all_company_profile'!C315</f>
        <v>https://financialmodelingprep.com/image-stock/IQV.png</v>
      </c>
      <c r="D315" s="35" t="str">
        <f>'13all_company_profile'!D315</f>
        <v>IQVIA Holdings Inc.</v>
      </c>
      <c r="E315" s="36">
        <f>'13all_company_profile'!E315</f>
        <v>47275102208</v>
      </c>
      <c r="F315" s="37">
        <f>'13all_company_profile'!F315</f>
        <v>1081430</v>
      </c>
      <c r="G315" s="35">
        <f>'13all_company_profile'!G315</f>
        <v>0</v>
      </c>
      <c r="H315" s="38">
        <f>'13all_company_profile'!H315</f>
        <v>44397</v>
      </c>
      <c r="I315" s="35">
        <f>'13all_company_profile'!I315</f>
        <v>118.057144</v>
      </c>
      <c r="J315" s="35">
        <f>'13all_company_profile'!J315</f>
        <v>2.1</v>
      </c>
      <c r="K315" s="42" t="str">
        <f t="shared" si="1"/>
        <v>NaN</v>
      </c>
      <c r="L315" s="35">
        <f>'7company_info'!B315</f>
        <v>247.07</v>
      </c>
      <c r="M315" s="35">
        <f>'7company_info'!C315</f>
        <v>247.69</v>
      </c>
      <c r="N315" s="35">
        <f>'7company_info'!D315</f>
        <v>241.48</v>
      </c>
      <c r="O315" s="35">
        <f>'7company_info'!E315</f>
        <v>5.38</v>
      </c>
      <c r="P315" s="35">
        <f>'7company_info'!F315</f>
        <v>0.0223</v>
      </c>
      <c r="Q315" s="35">
        <f>'7company_info'!G315</f>
        <v>242.92</v>
      </c>
      <c r="R315" s="35">
        <f>'7company_info'!H315</f>
        <v>241.69</v>
      </c>
      <c r="S315" s="35">
        <f>'7company_info'!I315</f>
        <v>146</v>
      </c>
      <c r="T315" s="35">
        <f>'7company_info'!J315</f>
        <v>254.05</v>
      </c>
      <c r="U315" s="39">
        <v>247.256666666666</v>
      </c>
      <c r="V315" s="39">
        <v>249.203333333333</v>
      </c>
      <c r="W315" s="40">
        <v>252.406666666666</v>
      </c>
      <c r="X315" s="40">
        <v>257.556666666666</v>
      </c>
      <c r="Y315" s="40">
        <v>244.053333333333</v>
      </c>
      <c r="Z315" s="40">
        <v>242.106666666666</v>
      </c>
      <c r="AA315" s="40">
        <v>236.956666666666</v>
      </c>
      <c r="AB315" s="40">
        <v>245.31</v>
      </c>
      <c r="AC315" s="40">
        <v>254.05</v>
      </c>
      <c r="AD315" s="40">
        <v>245.924337491307</v>
      </c>
      <c r="AE315" s="40">
        <v>241.07244</v>
      </c>
      <c r="AF315" s="40">
        <v>4.37128499999999</v>
      </c>
      <c r="AG315" s="40">
        <v>254.05</v>
      </c>
      <c r="AH315" s="45">
        <v>44384.0</v>
      </c>
      <c r="AI315" s="44" t="str">
        <f>'6image_RS_benchmark_performance'!B315</f>
        <v>https://3arbzfbsh-cname-us.ngrok.io/Desktop/seabridge%20fintech/image_app/IQV_resistance_support.jpg</v>
      </c>
      <c r="AJ315" s="44" t="str">
        <f>'6image_RS_benchmark_performance'!C315</f>
        <v>https://3arbzfbsh-cname-us.ngrok.io/Desktop/seabridge%20fintech/profit_graph_app/IQV_Return.jpg</v>
      </c>
      <c r="AK315" s="46" t="str">
        <f>'5price_action_icon'!B315</f>
        <v>https://3arbzfbsh-cname-us.ngrok.io/Desktop/seabridge%20fintech/icon/IQV_pa_trend_signal</v>
      </c>
      <c r="AL315" s="42">
        <f>'1kpi_performance'!B315</f>
        <v>0.6179551063</v>
      </c>
      <c r="AM315" s="42">
        <f>'1kpi_performance'!C315</f>
        <v>0.7237478501</v>
      </c>
      <c r="AN315" s="42">
        <f>'1kpi_performance'!D315</f>
        <v>0.8840494436</v>
      </c>
      <c r="AO315" s="42">
        <f>'1kpi_performance'!E315</f>
        <v>0.3615237815</v>
      </c>
      <c r="AP315" s="42">
        <f>'1kpi_performance'!F315</f>
        <v>0.2110995375</v>
      </c>
      <c r="AQ315" s="42">
        <f>'1kpi_performance'!G315</f>
        <v>0.2228901934</v>
      </c>
      <c r="AR315" s="42">
        <f>'1kpi_performance'!H315</f>
        <v>0.1973543798</v>
      </c>
      <c r="AS315" s="42">
        <f>'1kpi_performance'!I315</f>
        <v>0.3237698324</v>
      </c>
      <c r="AT315" s="35">
        <f>'1kpi_performance'!J315</f>
        <v>2.808888704</v>
      </c>
      <c r="AU315" s="35">
        <f>'1kpi_performance'!K315</f>
        <v>3.134942096</v>
      </c>
      <c r="AV315" s="35">
        <f>'1kpi_performance'!L315</f>
        <v>4.352826852</v>
      </c>
      <c r="AW315" s="35">
        <f>'1kpi_performance'!M315</f>
        <v>1.039392024</v>
      </c>
      <c r="AX315" s="42">
        <f>'1kpi_performance'!N315</f>
        <v>0.1145335458</v>
      </c>
      <c r="AY315" s="42">
        <f>'1kpi_performance'!O315</f>
        <v>0.1145335458</v>
      </c>
      <c r="AZ315" s="42">
        <f>'1kpi_performance'!P315</f>
        <v>0.1108710748</v>
      </c>
      <c r="BA315" s="42">
        <f>'1kpi_performance'!Q315</f>
        <v>0.4943109987</v>
      </c>
      <c r="BB315" s="35">
        <f>'1kpi_performance'!R315</f>
        <v>6.360756891</v>
      </c>
      <c r="BC315" s="35">
        <f>'1kpi_performance'!S315</f>
        <v>7.349765528</v>
      </c>
      <c r="BD315" s="35">
        <f>'1kpi_performance'!T315</f>
        <v>10.2239787</v>
      </c>
      <c r="BE315" s="35">
        <f>'1kpi_performance'!U315</f>
        <v>2.028004959</v>
      </c>
      <c r="BF315" s="47"/>
      <c r="BG315" s="47"/>
      <c r="BH315" s="47"/>
      <c r="BI315" s="47"/>
      <c r="BJ315" s="47"/>
      <c r="BK315" s="47"/>
      <c r="BL315" s="47"/>
      <c r="BM315" s="47"/>
      <c r="BN315" s="47"/>
      <c r="BO315" s="47"/>
      <c r="BP315" s="47"/>
      <c r="BQ315" s="47"/>
      <c r="BR315" s="47"/>
      <c r="BS315" s="47"/>
      <c r="BT315" s="47"/>
    </row>
    <row r="316" ht="11.25" customHeight="1">
      <c r="A316" s="35" t="str">
        <f>'13all_company_profile'!A316</f>
        <v>IR</v>
      </c>
      <c r="B316" s="35" t="str">
        <f>'13all_company_profile'!B316</f>
        <v>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v>
      </c>
      <c r="C316" s="44" t="str">
        <f>'13all_company_profile'!C316</f>
        <v>https://financialmodelingprep.com/image-stock/IR.png</v>
      </c>
      <c r="D316" s="35" t="str">
        <f>'13all_company_profile'!D316</f>
        <v>Ingersoll Rand Inc.</v>
      </c>
      <c r="E316" s="36">
        <f>'13all_company_profile'!E316</f>
        <v>20179884032</v>
      </c>
      <c r="F316" s="37">
        <f>'13all_company_profile'!F316</f>
        <v>2354890</v>
      </c>
      <c r="G316" s="35">
        <f>'13all_company_profile'!G316</f>
        <v>0.53</v>
      </c>
      <c r="H316" s="38">
        <f>'13all_company_profile'!H316</f>
        <v>44410</v>
      </c>
      <c r="I316" s="35" t="str">
        <f>'13all_company_profile'!I316</f>
        <v>NaN</v>
      </c>
      <c r="J316" s="35">
        <f>'13all_company_profile'!J316</f>
        <v>-0.21</v>
      </c>
      <c r="K316" s="42">
        <f t="shared" si="1"/>
        <v>0.01100726895</v>
      </c>
      <c r="L316" s="35">
        <f>'7company_info'!B316</f>
        <v>48.15</v>
      </c>
      <c r="M316" s="35">
        <f>'7company_info'!C316</f>
        <v>48.24</v>
      </c>
      <c r="N316" s="35">
        <f>'7company_info'!D316</f>
        <v>46.33</v>
      </c>
      <c r="O316" s="35">
        <f>'7company_info'!E316</f>
        <v>1.9</v>
      </c>
      <c r="P316" s="35">
        <f>'7company_info'!F316</f>
        <v>0.0411</v>
      </c>
      <c r="Q316" s="35">
        <f>'7company_info'!G316</f>
        <v>46.5</v>
      </c>
      <c r="R316" s="35">
        <f>'7company_info'!H316</f>
        <v>46.25</v>
      </c>
      <c r="S316" s="35">
        <f>'7company_info'!I316</f>
        <v>30.41</v>
      </c>
      <c r="T316" s="35">
        <f>'7company_info'!J316</f>
        <v>52.12</v>
      </c>
      <c r="U316" s="39">
        <v>48.3299999999999</v>
      </c>
      <c r="V316" s="39">
        <v>48.7499999999999</v>
      </c>
      <c r="W316" s="40">
        <v>49.4299999999999</v>
      </c>
      <c r="X316" s="40">
        <v>50.53</v>
      </c>
      <c r="Y316" s="40">
        <v>47.6499999999999</v>
      </c>
      <c r="Z316" s="40">
        <v>47.2299999999999</v>
      </c>
      <c r="AA316" s="40">
        <v>46.1299999999999</v>
      </c>
      <c r="AB316" s="40">
        <v>48.4</v>
      </c>
      <c r="AC316" s="40">
        <v>49.57</v>
      </c>
      <c r="AD316" s="40">
        <v>48.4215141954926</v>
      </c>
      <c r="AE316" s="40">
        <v>46.38281</v>
      </c>
      <c r="AF316" s="40">
        <v>1.125595</v>
      </c>
      <c r="AG316" s="40">
        <v>52.12</v>
      </c>
      <c r="AH316" s="45">
        <v>44314.0</v>
      </c>
      <c r="AI316" s="44" t="str">
        <f>'6image_RS_benchmark_performance'!B316</f>
        <v>https://3arbzfbsh-cname-us.ngrok.io/Desktop/seabridge%20fintech/image_app/IR_resistance_support.jpg</v>
      </c>
      <c r="AJ316" s="44" t="str">
        <f>'6image_RS_benchmark_performance'!C316</f>
        <v>https://3arbzfbsh-cname-us.ngrok.io/Desktop/seabridge%20fintech/profit_graph_app/IR_Return.jpg</v>
      </c>
      <c r="AK316" s="46" t="str">
        <f>'5price_action_icon'!B316</f>
        <v>https://3arbzfbsh-cname-us.ngrok.io/Desktop/seabridge%20fintech/icon/IR_pa_trend_signal</v>
      </c>
      <c r="AL316" s="42">
        <f>'1kpi_performance'!B316</f>
        <v>0.9880802007</v>
      </c>
      <c r="AM316" s="42">
        <f>'1kpi_performance'!C316</f>
        <v>1.181366767</v>
      </c>
      <c r="AN316" s="42">
        <f>'1kpi_performance'!D316</f>
        <v>1.353478878</v>
      </c>
      <c r="AO316" s="42">
        <f>'1kpi_performance'!E316</f>
        <v>0.3265381156</v>
      </c>
      <c r="AP316" s="42">
        <f>'1kpi_performance'!F316</f>
        <v>0.3068569223</v>
      </c>
      <c r="AQ316" s="42">
        <f>'1kpi_performance'!G316</f>
        <v>0.3156885569</v>
      </c>
      <c r="AR316" s="42">
        <f>'1kpi_performance'!H316</f>
        <v>0.3177700758</v>
      </c>
      <c r="AS316" s="42">
        <f>'1kpi_performance'!I316</f>
        <v>0.4616759699</v>
      </c>
      <c r="AT316" s="35">
        <f>'1kpi_performance'!J316</f>
        <v>3.138531774</v>
      </c>
      <c r="AU316" s="35">
        <f>'1kpi_performance'!K316</f>
        <v>3.662998679</v>
      </c>
      <c r="AV316" s="35">
        <f>'1kpi_performance'!L316</f>
        <v>4.180629264</v>
      </c>
      <c r="AW316" s="35">
        <f>'1kpi_performance'!M316</f>
        <v>0.6531379913</v>
      </c>
      <c r="AX316" s="42">
        <f>'1kpi_performance'!N316</f>
        <v>0.1442307692</v>
      </c>
      <c r="AY316" s="42">
        <f>'1kpi_performance'!O316</f>
        <v>0.1199182076</v>
      </c>
      <c r="AZ316" s="42">
        <f>'1kpi_performance'!P316</f>
        <v>0.2710220756</v>
      </c>
      <c r="BA316" s="42">
        <f>'1kpi_performance'!Q316</f>
        <v>0.5027166882</v>
      </c>
      <c r="BB316" s="35">
        <f>'1kpi_performance'!R316</f>
        <v>6.938076427</v>
      </c>
      <c r="BC316" s="35">
        <f>'1kpi_performance'!S316</f>
        <v>8.668299971</v>
      </c>
      <c r="BD316" s="35">
        <f>'1kpi_performance'!T316</f>
        <v>10.31836235</v>
      </c>
      <c r="BE316" s="35">
        <f>'1kpi_performance'!U316</f>
        <v>1.287926437</v>
      </c>
      <c r="BF316" s="47"/>
      <c r="BG316" s="47"/>
      <c r="BH316" s="47"/>
      <c r="BI316" s="47"/>
      <c r="BJ316" s="47"/>
      <c r="BK316" s="47"/>
      <c r="BL316" s="47"/>
      <c r="BM316" s="47"/>
      <c r="BN316" s="47"/>
      <c r="BO316" s="47"/>
      <c r="BP316" s="47"/>
      <c r="BQ316" s="47"/>
      <c r="BR316" s="47"/>
      <c r="BS316" s="47"/>
      <c r="BT316" s="47"/>
    </row>
    <row r="317" ht="11.25" customHeight="1">
      <c r="A317" s="35" t="str">
        <f>'13all_company_profile'!A317</f>
        <v>IRM</v>
      </c>
      <c r="B317" s="35" t="str">
        <f>'13all_company_profile'!B317</f>
        <v>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v>
      </c>
      <c r="C317" s="44" t="str">
        <f>'13all_company_profile'!C317</f>
        <v>https://financialmodelingprep.com/image-stock/IRM.png</v>
      </c>
      <c r="D317" s="35" t="str">
        <f>'13all_company_profile'!D317</f>
        <v>Iron Mountain Incorporated</v>
      </c>
      <c r="E317" s="36">
        <f>'13all_company_profile'!E317</f>
        <v>12724375552</v>
      </c>
      <c r="F317" s="37">
        <f>'13all_company_profile'!F317</f>
        <v>2369819</v>
      </c>
      <c r="G317" s="35">
        <f>'13all_company_profile'!G317</f>
        <v>2.474</v>
      </c>
      <c r="H317" s="38">
        <f>'13all_company_profile'!H317</f>
        <v>44412</v>
      </c>
      <c r="I317" s="35">
        <f>'13all_company_profile'!I317</f>
        <v>38.55111</v>
      </c>
      <c r="J317" s="35">
        <f>'13all_company_profile'!J317</f>
        <v>1.125</v>
      </c>
      <c r="K317" s="42">
        <f t="shared" si="1"/>
        <v>0.0564969171</v>
      </c>
      <c r="L317" s="35">
        <f>'7company_info'!B317</f>
        <v>43.79</v>
      </c>
      <c r="M317" s="35">
        <f>'7company_info'!C317</f>
        <v>44.04</v>
      </c>
      <c r="N317" s="35">
        <f>'7company_info'!D317</f>
        <v>42.97</v>
      </c>
      <c r="O317" s="35">
        <f>'7company_info'!E317</f>
        <v>1.05</v>
      </c>
      <c r="P317" s="35">
        <f>'7company_info'!F317</f>
        <v>0.0246</v>
      </c>
      <c r="Q317" s="35">
        <f>'7company_info'!G317</f>
        <v>43</v>
      </c>
      <c r="R317" s="35">
        <f>'7company_info'!H317</f>
        <v>42.74</v>
      </c>
      <c r="S317" s="35">
        <f>'7company_info'!I317</f>
        <v>24.85</v>
      </c>
      <c r="T317" s="35">
        <f>'7company_info'!J317</f>
        <v>47.34</v>
      </c>
      <c r="U317" s="39">
        <v>44.26</v>
      </c>
      <c r="V317" s="39">
        <v>44.54</v>
      </c>
      <c r="W317" s="40">
        <v>44.86</v>
      </c>
      <c r="X317" s="40">
        <v>45.46</v>
      </c>
      <c r="Y317" s="40">
        <v>43.94</v>
      </c>
      <c r="Z317" s="40">
        <v>43.66</v>
      </c>
      <c r="AA317" s="40">
        <v>43.06</v>
      </c>
      <c r="AB317" s="40">
        <v>43.66</v>
      </c>
      <c r="AC317" s="40">
        <v>45.0482</v>
      </c>
      <c r="AD317" s="40">
        <v>43.6579736284948</v>
      </c>
      <c r="AE317" s="40">
        <v>42.49532</v>
      </c>
      <c r="AF317" s="40">
        <v>0.86134</v>
      </c>
      <c r="AG317" s="40">
        <v>47.34</v>
      </c>
      <c r="AH317" s="45">
        <v>44356.0</v>
      </c>
      <c r="AI317" s="44" t="str">
        <f>'6image_RS_benchmark_performance'!B317</f>
        <v>https://3arbzfbsh-cname-us.ngrok.io/Desktop/seabridge%20fintech/image_app/IRM_resistance_support.jpg</v>
      </c>
      <c r="AJ317" s="44" t="str">
        <f>'6image_RS_benchmark_performance'!C317</f>
        <v>https://3arbzfbsh-cname-us.ngrok.io/Desktop/seabridge%20fintech/profit_graph_app/IRM_Return.jpg</v>
      </c>
      <c r="AK317" s="46" t="str">
        <f>'5price_action_icon'!B317</f>
        <v>https://3arbzfbsh-cname-us.ngrok.io/Desktop/seabridge%20fintech/icon/IRM_pa_trend_signal</v>
      </c>
      <c r="AL317" s="42">
        <f>'1kpi_performance'!B317</f>
        <v>0.5454057454</v>
      </c>
      <c r="AM317" s="42">
        <f>'1kpi_performance'!C317</f>
        <v>0.8075925561</v>
      </c>
      <c r="AN317" s="42">
        <f>'1kpi_performance'!D317</f>
        <v>0.7521604914</v>
      </c>
      <c r="AO317" s="42">
        <f>'1kpi_performance'!E317</f>
        <v>0.1048018215</v>
      </c>
      <c r="AP317" s="42">
        <f>'1kpi_performance'!F317</f>
        <v>0.2313802461</v>
      </c>
      <c r="AQ317" s="42">
        <f>'1kpi_performance'!G317</f>
        <v>0.224888711</v>
      </c>
      <c r="AR317" s="42">
        <f>'1kpi_performance'!H317</f>
        <v>0.2351316617</v>
      </c>
      <c r="AS317" s="42">
        <f>'1kpi_performance'!I317</f>
        <v>0.337825544</v>
      </c>
      <c r="AT317" s="35">
        <f>'1kpi_performance'!J317</f>
        <v>2.24913645</v>
      </c>
      <c r="AU317" s="35">
        <f>'1kpi_performance'!K317</f>
        <v>3.479910364</v>
      </c>
      <c r="AV317" s="35">
        <f>'1kpi_performance'!L317</f>
        <v>3.092567314</v>
      </c>
      <c r="AW317" s="35">
        <f>'1kpi_performance'!M317</f>
        <v>0.2362219878</v>
      </c>
      <c r="AX317" s="42">
        <f>'1kpi_performance'!N317</f>
        <v>0.1979962871</v>
      </c>
      <c r="AY317" s="42">
        <f>'1kpi_performance'!O317</f>
        <v>0.1320545924</v>
      </c>
      <c r="AZ317" s="42">
        <f>'1kpi_performance'!P317</f>
        <v>0.2371007371</v>
      </c>
      <c r="BA317" s="42">
        <f>'1kpi_performance'!Q317</f>
        <v>0.4806949807</v>
      </c>
      <c r="BB317" s="35">
        <f>'1kpi_performance'!R317</f>
        <v>4.869197891</v>
      </c>
      <c r="BC317" s="35">
        <f>'1kpi_performance'!S317</f>
        <v>8.955248732</v>
      </c>
      <c r="BD317" s="35">
        <f>'1kpi_performance'!T317</f>
        <v>7.01710185</v>
      </c>
      <c r="BE317" s="35">
        <f>'1kpi_performance'!U317</f>
        <v>0.454264247</v>
      </c>
      <c r="BF317" s="47"/>
      <c r="BG317" s="47"/>
      <c r="BH317" s="47"/>
      <c r="BI317" s="47"/>
      <c r="BJ317" s="47"/>
      <c r="BK317" s="47"/>
      <c r="BL317" s="47"/>
      <c r="BM317" s="47"/>
      <c r="BN317" s="47"/>
      <c r="BO317" s="47"/>
      <c r="BP317" s="47"/>
      <c r="BQ317" s="47"/>
      <c r="BR317" s="47"/>
      <c r="BS317" s="47"/>
      <c r="BT317" s="47"/>
    </row>
    <row r="318" ht="11.25" customHeight="1">
      <c r="A318" s="35" t="str">
        <f>'13all_company_profile'!A318</f>
        <v>ISRG</v>
      </c>
      <c r="B318" s="35" t="str">
        <f>'13all_company_profile'!B318</f>
        <v>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v>
      </c>
      <c r="C318" s="44" t="str">
        <f>'13all_company_profile'!C318</f>
        <v>https://financialmodelingprep.com/image-stock/ISRG.png</v>
      </c>
      <c r="D318" s="35" t="str">
        <f>'13all_company_profile'!D318</f>
        <v>Intuitive Surgical, Inc.</v>
      </c>
      <c r="E318" s="36">
        <f>'13all_company_profile'!E318</f>
        <v>112925736960</v>
      </c>
      <c r="F318" s="37">
        <f>'13all_company_profile'!F318</f>
        <v>539879</v>
      </c>
      <c r="G318" s="35">
        <f>'13all_company_profile'!G318</f>
        <v>0</v>
      </c>
      <c r="H318" s="38">
        <f>'13all_company_profile'!H318</f>
        <v>44397</v>
      </c>
      <c r="I318" s="35">
        <f>'13all_company_profile'!I318</f>
        <v>97.93724</v>
      </c>
      <c r="J318" s="35">
        <f>'13all_company_profile'!J318</f>
        <v>9.72</v>
      </c>
      <c r="K318" s="42" t="str">
        <f t="shared" si="1"/>
        <v>NaN</v>
      </c>
      <c r="L318" s="35">
        <f>'7company_info'!B318</f>
        <v>955.05</v>
      </c>
      <c r="M318" s="35">
        <f>'7company_info'!C318</f>
        <v>965.98</v>
      </c>
      <c r="N318" s="35">
        <f>'7company_info'!D318</f>
        <v>928.93</v>
      </c>
      <c r="O318" s="35">
        <f>'7company_info'!E318</f>
        <v>22.86</v>
      </c>
      <c r="P318" s="35">
        <f>'7company_info'!F318</f>
        <v>0.0245</v>
      </c>
      <c r="Q318" s="35">
        <f>'7company_info'!G318</f>
        <v>934.95</v>
      </c>
      <c r="R318" s="35">
        <f>'7company_info'!H318</f>
        <v>932.19</v>
      </c>
      <c r="S318" s="35">
        <f>'7company_info'!I318</f>
        <v>631.57</v>
      </c>
      <c r="T318" s="35">
        <f>'7company_info'!J318</f>
        <v>965.98</v>
      </c>
      <c r="U318" s="39">
        <v>957.403766666666</v>
      </c>
      <c r="V318" s="39">
        <v>962.631233333333</v>
      </c>
      <c r="W318" s="40">
        <v>970.182466666666</v>
      </c>
      <c r="X318" s="40">
        <v>982.961166666666</v>
      </c>
      <c r="Y318" s="40">
        <v>949.852533333333</v>
      </c>
      <c r="Z318" s="40">
        <v>944.625066666666</v>
      </c>
      <c r="AA318" s="40">
        <v>931.846366666666</v>
      </c>
      <c r="AB318" s="40">
        <v>927.47</v>
      </c>
      <c r="AC318" s="40">
        <v>965.05</v>
      </c>
      <c r="AD318" s="40">
        <v>922.047577666599</v>
      </c>
      <c r="AE318" s="40">
        <v>927.3554</v>
      </c>
      <c r="AF318" s="40">
        <v>14.8019849999999</v>
      </c>
      <c r="AG318" s="40">
        <v>893.79</v>
      </c>
      <c r="AH318" s="45">
        <v>44307.0</v>
      </c>
      <c r="AI318" s="44" t="str">
        <f>'6image_RS_benchmark_performance'!B318</f>
        <v>https://3arbzfbsh-cname-us.ngrok.io/Desktop/seabridge%20fintech/image_app/ISRG_resistance_support.jpg</v>
      </c>
      <c r="AJ318" s="44" t="str">
        <f>'6image_RS_benchmark_performance'!C318</f>
        <v>https://3arbzfbsh-cname-us.ngrok.io/Desktop/seabridge%20fintech/profit_graph_app/ISRG_Return.jpg</v>
      </c>
      <c r="AK318" s="46" t="str">
        <f>'5price_action_icon'!B318</f>
        <v>https://3arbzfbsh-cname-us.ngrok.io/Desktop/seabridge%20fintech/icon/ISRG_pa_trend_signal</v>
      </c>
      <c r="AL318" s="42">
        <f>'1kpi_performance'!B318</f>
        <v>0.6895455667</v>
      </c>
      <c r="AM318" s="42">
        <f>'1kpi_performance'!C318</f>
        <v>0.8542941294</v>
      </c>
      <c r="AN318" s="42">
        <f>'1kpi_performance'!D318</f>
        <v>0.7598216864</v>
      </c>
      <c r="AO318" s="42">
        <f>'1kpi_performance'!E318</f>
        <v>0.322267814</v>
      </c>
      <c r="AP318" s="42">
        <f>'1kpi_performance'!F318</f>
        <v>0.2600039456</v>
      </c>
      <c r="AQ318" s="42">
        <f>'1kpi_performance'!G318</f>
        <v>0.2594867194</v>
      </c>
      <c r="AR318" s="42">
        <f>'1kpi_performance'!H318</f>
        <v>0.2817649955</v>
      </c>
      <c r="AS318" s="42">
        <f>'1kpi_performance'!I318</f>
        <v>0.3754136726</v>
      </c>
      <c r="AT318" s="35">
        <f>'1kpi_performance'!J318</f>
        <v>2.5559057</v>
      </c>
      <c r="AU318" s="35">
        <f>'1kpi_performance'!K318</f>
        <v>3.195902015</v>
      </c>
      <c r="AV318" s="35">
        <f>'1kpi_performance'!L318</f>
        <v>2.607923973</v>
      </c>
      <c r="AW318" s="35">
        <f>'1kpi_performance'!M318</f>
        <v>0.79184067</v>
      </c>
      <c r="AX318" s="42">
        <f>'1kpi_performance'!N318</f>
        <v>0.1572798673</v>
      </c>
      <c r="AY318" s="42">
        <f>'1kpi_performance'!O318</f>
        <v>0.1370360542</v>
      </c>
      <c r="AZ318" s="42">
        <f>'1kpi_performance'!P318</f>
        <v>0.3691027621</v>
      </c>
      <c r="BA318" s="42">
        <f>'1kpi_performance'!Q318</f>
        <v>0.4052143816</v>
      </c>
      <c r="BB318" s="35">
        <f>'1kpi_performance'!R318</f>
        <v>6.012818035</v>
      </c>
      <c r="BC318" s="35">
        <f>'1kpi_performance'!S318</f>
        <v>8.054775262</v>
      </c>
      <c r="BD318" s="35">
        <f>'1kpi_performance'!T318</f>
        <v>5.578419841</v>
      </c>
      <c r="BE318" s="35">
        <f>'1kpi_performance'!U318</f>
        <v>1.575244717</v>
      </c>
      <c r="BF318" s="47"/>
      <c r="BG318" s="47"/>
      <c r="BH318" s="47"/>
      <c r="BI318" s="47"/>
      <c r="BJ318" s="47"/>
      <c r="BK318" s="47"/>
      <c r="BL318" s="47"/>
      <c r="BM318" s="47"/>
      <c r="BN318" s="47"/>
      <c r="BO318" s="47"/>
      <c r="BP318" s="47"/>
      <c r="BQ318" s="47"/>
      <c r="BR318" s="47"/>
      <c r="BS318" s="47"/>
      <c r="BT318" s="47"/>
    </row>
    <row r="319" ht="11.25" customHeight="1">
      <c r="A319" s="35" t="str">
        <f>'13all_company_profile'!A319</f>
        <v>IT</v>
      </c>
      <c r="B319" s="35" t="str">
        <f>'13all_company_profile'!B319</f>
        <v>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v>
      </c>
      <c r="C319" s="44" t="str">
        <f>'13all_company_profile'!C319</f>
        <v>https://financialmodelingprep.com/image-stock/IT.png</v>
      </c>
      <c r="D319" s="35" t="str">
        <f>'13all_company_profile'!D319</f>
        <v>Gartner, Inc.</v>
      </c>
      <c r="E319" s="36">
        <f>'13all_company_profile'!E319</f>
        <v>21853962240</v>
      </c>
      <c r="F319" s="37">
        <f>'13all_company_profile'!F319</f>
        <v>661852</v>
      </c>
      <c r="G319" s="35">
        <f>'13all_company_profile'!G319</f>
        <v>0</v>
      </c>
      <c r="H319" s="38">
        <f>'13all_company_profile'!H319</f>
        <v>44410</v>
      </c>
      <c r="I319" s="35">
        <f>'13all_company_profile'!I319</f>
        <v>63.85916</v>
      </c>
      <c r="J319" s="35">
        <f>'13all_company_profile'!J319</f>
        <v>3.962</v>
      </c>
      <c r="K319" s="42" t="str">
        <f t="shared" si="1"/>
        <v>NaN</v>
      </c>
      <c r="L319" s="35">
        <f>'7company_info'!B319</f>
        <v>255.68</v>
      </c>
      <c r="M319" s="35">
        <f>'7company_info'!C319</f>
        <v>256.45</v>
      </c>
      <c r="N319" s="35">
        <f>'7company_info'!D319</f>
        <v>253.55</v>
      </c>
      <c r="O319" s="35">
        <f>'7company_info'!E319</f>
        <v>1.81</v>
      </c>
      <c r="P319" s="35">
        <f>'7company_info'!F319</f>
        <v>0.0071</v>
      </c>
      <c r="Q319" s="35">
        <f>'7company_info'!G319</f>
        <v>254.77</v>
      </c>
      <c r="R319" s="35">
        <f>'7company_info'!H319</f>
        <v>253.87</v>
      </c>
      <c r="S319" s="35">
        <f>'7company_info'!I319</f>
        <v>115.86</v>
      </c>
      <c r="T319" s="35">
        <f>'7company_info'!J319</f>
        <v>258.31</v>
      </c>
      <c r="U319" s="39">
        <v>254.886666666666</v>
      </c>
      <c r="V319" s="39">
        <v>256.233333333333</v>
      </c>
      <c r="W319" s="40">
        <v>258.116666666666</v>
      </c>
      <c r="X319" s="40">
        <v>261.346666666666</v>
      </c>
      <c r="Y319" s="40">
        <v>253.003333333333</v>
      </c>
      <c r="Z319" s="40">
        <v>251.656666666666</v>
      </c>
      <c r="AA319" s="40">
        <v>248.426666666666</v>
      </c>
      <c r="AB319" s="40">
        <v>248.32</v>
      </c>
      <c r="AC319" s="40">
        <v>258.31</v>
      </c>
      <c r="AD319" s="40">
        <v>246.858155422811</v>
      </c>
      <c r="AE319" s="40">
        <v>246.803</v>
      </c>
      <c r="AF319" s="40">
        <v>4.263</v>
      </c>
      <c r="AG319" s="40">
        <v>258.31</v>
      </c>
      <c r="AH319" s="45">
        <v>44384.0</v>
      </c>
      <c r="AI319" s="44" t="str">
        <f>'6image_RS_benchmark_performance'!B319</f>
        <v>https://3arbzfbsh-cname-us.ngrok.io/Desktop/seabridge%20fintech/image_app/IT_resistance_support.jpg</v>
      </c>
      <c r="AJ319" s="44" t="str">
        <f>'6image_RS_benchmark_performance'!C319</f>
        <v>https://3arbzfbsh-cname-us.ngrok.io/Desktop/seabridge%20fintech/profit_graph_app/IT_Return.jpg</v>
      </c>
      <c r="AK319" s="46" t="str">
        <f>'5price_action_icon'!B319</f>
        <v>https://3arbzfbsh-cname-us.ngrok.io/Desktop/seabridge%20fintech/icon/IT_pa_trend_signal</v>
      </c>
      <c r="AL319" s="42">
        <f>'1kpi_performance'!B319</f>
        <v>0.7256847079</v>
      </c>
      <c r="AM319" s="42">
        <f>'1kpi_performance'!C319</f>
        <v>0.8748118727</v>
      </c>
      <c r="AN319" s="42">
        <f>'1kpi_performance'!D319</f>
        <v>0.5870081288</v>
      </c>
      <c r="AO319" s="42">
        <f>'1kpi_performance'!E319</f>
        <v>0.3613149857</v>
      </c>
      <c r="AP319" s="42">
        <f>'1kpi_performance'!F319</f>
        <v>0.2253848427</v>
      </c>
      <c r="AQ319" s="42">
        <f>'1kpi_performance'!G319</f>
        <v>0.228515203</v>
      </c>
      <c r="AR319" s="42">
        <f>'1kpi_performance'!H319</f>
        <v>0.2336173427</v>
      </c>
      <c r="AS319" s="42">
        <f>'1kpi_performance'!I319</f>
        <v>0.3279964195</v>
      </c>
      <c r="AT319" s="35">
        <f>'1kpi_performance'!J319</f>
        <v>3.108836866</v>
      </c>
      <c r="AU319" s="35">
        <f>'1kpi_performance'!K319</f>
        <v>3.718841729</v>
      </c>
      <c r="AV319" s="35">
        <f>'1kpi_performance'!L319</f>
        <v>2.405678116</v>
      </c>
      <c r="AW319" s="35">
        <f>'1kpi_performance'!M319</f>
        <v>1.025361759</v>
      </c>
      <c r="AX319" s="42">
        <f>'1kpi_performance'!N319</f>
        <v>0.1483164827</v>
      </c>
      <c r="AY319" s="42">
        <f>'1kpi_performance'!O319</f>
        <v>0.1483164827</v>
      </c>
      <c r="AZ319" s="42">
        <f>'1kpi_performance'!P319</f>
        <v>0.4645567992</v>
      </c>
      <c r="BA319" s="42">
        <f>'1kpi_performance'!Q319</f>
        <v>0.5133302152</v>
      </c>
      <c r="BB319" s="35">
        <f>'1kpi_performance'!R319</f>
        <v>7.609252795</v>
      </c>
      <c r="BC319" s="35">
        <f>'1kpi_performance'!S319</f>
        <v>9.566025882</v>
      </c>
      <c r="BD319" s="35">
        <f>'1kpi_performance'!T319</f>
        <v>4.877669775</v>
      </c>
      <c r="BE319" s="35">
        <f>'1kpi_performance'!U319</f>
        <v>1.971891581</v>
      </c>
      <c r="BF319" s="47"/>
      <c r="BG319" s="47"/>
      <c r="BH319" s="47"/>
      <c r="BI319" s="47"/>
      <c r="BJ319" s="47"/>
      <c r="BK319" s="47"/>
      <c r="BL319" s="47"/>
      <c r="BM319" s="47"/>
      <c r="BN319" s="47"/>
      <c r="BO319" s="47"/>
      <c r="BP319" s="47"/>
      <c r="BQ319" s="47"/>
      <c r="BR319" s="47"/>
      <c r="BS319" s="47"/>
      <c r="BT319" s="47"/>
    </row>
    <row r="320" ht="11.25" customHeight="1">
      <c r="A320" s="35" t="str">
        <f>'13all_company_profile'!A320</f>
        <v>ITW</v>
      </c>
      <c r="B320" s="35" t="str">
        <f>'13all_company_profile'!B320</f>
        <v>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v>
      </c>
      <c r="C320" s="44" t="str">
        <f>'13all_company_profile'!C320</f>
        <v>https://financialmodelingprep.com/image-stock/ITW.png</v>
      </c>
      <c r="D320" s="35" t="str">
        <f>'13all_company_profile'!D320</f>
        <v>Illinois Tool Works Inc.</v>
      </c>
      <c r="E320" s="36">
        <f>'13all_company_profile'!E320</f>
        <v>72552005632</v>
      </c>
      <c r="F320" s="37">
        <f>'13all_company_profile'!F320</f>
        <v>952641</v>
      </c>
      <c r="G320" s="35">
        <f>'13all_company_profile'!G320</f>
        <v>4.56</v>
      </c>
      <c r="H320" s="38">
        <f>'13all_company_profile'!H320</f>
        <v>44406</v>
      </c>
      <c r="I320" s="35">
        <f>'13all_company_profile'!I320</f>
        <v>32.835415</v>
      </c>
      <c r="J320" s="35">
        <f>'13all_company_profile'!J320</f>
        <v>6.969</v>
      </c>
      <c r="K320" s="42">
        <f t="shared" si="1"/>
        <v>0.01990484089</v>
      </c>
      <c r="L320" s="35">
        <f>'7company_info'!B320</f>
        <v>229.09</v>
      </c>
      <c r="M320" s="35">
        <f>'7company_info'!C320</f>
        <v>229.81</v>
      </c>
      <c r="N320" s="35">
        <f>'7company_info'!D320</f>
        <v>224.56</v>
      </c>
      <c r="O320" s="35">
        <f>'7company_info'!E320</f>
        <v>4.07</v>
      </c>
      <c r="P320" s="35">
        <f>'7company_info'!F320</f>
        <v>0.0181</v>
      </c>
      <c r="Q320" s="35">
        <f>'7company_info'!G320</f>
        <v>225.1</v>
      </c>
      <c r="R320" s="35">
        <f>'7company_info'!H320</f>
        <v>225.02</v>
      </c>
      <c r="S320" s="35">
        <f>'7company_info'!I320</f>
        <v>177.62</v>
      </c>
      <c r="T320" s="35">
        <f>'7company_info'!J320</f>
        <v>242.07</v>
      </c>
      <c r="U320" s="39">
        <v>228.346666666666</v>
      </c>
      <c r="V320" s="39">
        <v>230.033333333333</v>
      </c>
      <c r="W320" s="40">
        <v>231.086666666666</v>
      </c>
      <c r="X320" s="40">
        <v>233.826666666666</v>
      </c>
      <c r="Y320" s="40">
        <v>227.293333333333</v>
      </c>
      <c r="Z320" s="40">
        <v>225.606666666666</v>
      </c>
      <c r="AA320" s="40">
        <v>222.866666666666</v>
      </c>
      <c r="AB320" s="40">
        <v>221.63</v>
      </c>
      <c r="AC320" s="40">
        <v>226.22</v>
      </c>
      <c r="AD320" s="40">
        <v>226.404115838993</v>
      </c>
      <c r="AE320" s="40">
        <v>220.93708</v>
      </c>
      <c r="AF320" s="40">
        <v>3.29146</v>
      </c>
      <c r="AG320" s="40">
        <v>242.065</v>
      </c>
      <c r="AH320" s="45">
        <v>44326.0</v>
      </c>
      <c r="AI320" s="44" t="str">
        <f>'6image_RS_benchmark_performance'!B320</f>
        <v>https://3arbzfbsh-cname-us.ngrok.io/Desktop/seabridge%20fintech/image_app/ITW_resistance_support.jpg</v>
      </c>
      <c r="AJ320" s="44" t="str">
        <f>'6image_RS_benchmark_performance'!C320</f>
        <v>https://3arbzfbsh-cname-us.ngrok.io/Desktop/seabridge%20fintech/profit_graph_app/ITW_Return.jpg</v>
      </c>
      <c r="AK320" s="46" t="str">
        <f>'5price_action_icon'!B320</f>
        <v>https://3arbzfbsh-cname-us.ngrok.io/Desktop/seabridge%20fintech/icon/ITW_pa_trend_signal</v>
      </c>
      <c r="AL320" s="42">
        <f>'1kpi_performance'!B320</f>
        <v>0.500623526</v>
      </c>
      <c r="AM320" s="42">
        <f>'1kpi_performance'!C320</f>
        <v>0.6699403184</v>
      </c>
      <c r="AN320" s="42">
        <f>'1kpi_performance'!D320</f>
        <v>0.701333792</v>
      </c>
      <c r="AO320" s="42">
        <f>'1kpi_performance'!E320</f>
        <v>0.2217330072</v>
      </c>
      <c r="AP320" s="42">
        <f>'1kpi_performance'!F320</f>
        <v>0.1791911599</v>
      </c>
      <c r="AQ320" s="42">
        <f>'1kpi_performance'!G320</f>
        <v>0.182389416</v>
      </c>
      <c r="AR320" s="42">
        <f>'1kpi_performance'!H320</f>
        <v>0.1713138899</v>
      </c>
      <c r="AS320" s="42">
        <f>'1kpi_performance'!I320</f>
        <v>0.28369525</v>
      </c>
      <c r="AT320" s="35">
        <f>'1kpi_performance'!J320</f>
        <v>2.654280079</v>
      </c>
      <c r="AU320" s="35">
        <f>'1kpi_performance'!K320</f>
        <v>3.536062193</v>
      </c>
      <c r="AV320" s="35">
        <f>'1kpi_performance'!L320</f>
        <v>3.947921516</v>
      </c>
      <c r="AW320" s="35">
        <f>'1kpi_performance'!M320</f>
        <v>0.6934659892</v>
      </c>
      <c r="AX320" s="42">
        <f>'1kpi_performance'!N320</f>
        <v>0.1519305679</v>
      </c>
      <c r="AY320" s="42">
        <f>'1kpi_performance'!O320</f>
        <v>0.1152626153</v>
      </c>
      <c r="AZ320" s="42">
        <f>'1kpi_performance'!P320</f>
        <v>0.1594484366</v>
      </c>
      <c r="BA320" s="42">
        <f>'1kpi_performance'!Q320</f>
        <v>0.3784736842</v>
      </c>
      <c r="BB320" s="35">
        <f>'1kpi_performance'!R320</f>
        <v>5.586339097</v>
      </c>
      <c r="BC320" s="35">
        <f>'1kpi_performance'!S320</f>
        <v>8.065297402</v>
      </c>
      <c r="BD320" s="35">
        <f>'1kpi_performance'!T320</f>
        <v>9.154467305</v>
      </c>
      <c r="BE320" s="35">
        <f>'1kpi_performance'!U320</f>
        <v>1.335376595</v>
      </c>
      <c r="BF320" s="47"/>
      <c r="BG320" s="47"/>
      <c r="BH320" s="47"/>
      <c r="BI320" s="47"/>
      <c r="BJ320" s="47"/>
      <c r="BK320" s="47"/>
      <c r="BL320" s="47"/>
      <c r="BM320" s="47"/>
      <c r="BN320" s="47"/>
      <c r="BO320" s="47"/>
      <c r="BP320" s="47"/>
      <c r="BQ320" s="47"/>
      <c r="BR320" s="47"/>
      <c r="BS320" s="47"/>
      <c r="BT320" s="47"/>
    </row>
    <row r="321" ht="11.25" customHeight="1">
      <c r="A321" s="35" t="str">
        <f>'13all_company_profile'!A321</f>
        <v>IVV</v>
      </c>
      <c r="B321" s="35" t="str">
        <f>'13all_company_profile'!B321</f>
        <v>IVV was created on 05/15/00 by Blackrock. The iShares Core S&amp;P 500 ETF (the “Fund”) seeks to track the investment results of an index composed of large-capitalization U.S. equities.</v>
      </c>
      <c r="C321" s="44" t="str">
        <f>'13all_company_profile'!C321</f>
        <v>https://financialmodelingprep.com/image-stock/IVV.png</v>
      </c>
      <c r="D321" s="35" t="str">
        <f>'13all_company_profile'!D321</f>
        <v>iShares Core S&amp;P 500 ETF</v>
      </c>
      <c r="E321" s="36">
        <f>'13all_company_profile'!E321</f>
        <v>271412248576</v>
      </c>
      <c r="F321" s="37">
        <f>'13all_company_profile'!F321</f>
        <v>4419898</v>
      </c>
      <c r="G321" s="35">
        <f>'13all_company_profile'!G321</f>
        <v>4.427</v>
      </c>
      <c r="H321" s="38" t="str">
        <f>'13all_company_profile'!H321</f>
        <v>not avaiable</v>
      </c>
      <c r="I321" s="35">
        <f>'13all_company_profile'!I321</f>
        <v>3.1104174</v>
      </c>
      <c r="J321" s="35">
        <f>'13all_company_profile'!J321</f>
        <v>139.335</v>
      </c>
      <c r="K321" s="42">
        <f t="shared" si="1"/>
        <v>0.0102242546</v>
      </c>
      <c r="L321" s="35">
        <f>'7company_info'!B321</f>
        <v>432.99</v>
      </c>
      <c r="M321" s="35">
        <f>'7company_info'!C321</f>
        <v>434.28</v>
      </c>
      <c r="N321" s="35">
        <f>'7company_info'!D321</f>
        <v>426.71</v>
      </c>
      <c r="O321" s="35">
        <f>'7company_info'!E321</f>
        <v>6.19</v>
      </c>
      <c r="P321" s="35">
        <f>'7company_info'!F321</f>
        <v>0.0145</v>
      </c>
      <c r="Q321" s="35">
        <f>'7company_info'!G321</f>
        <v>427.57</v>
      </c>
      <c r="R321" s="35">
        <f>'7company_info'!H321</f>
        <v>426.8</v>
      </c>
      <c r="S321" s="35">
        <f>'7company_info'!I321</f>
        <v>320.55</v>
      </c>
      <c r="T321" s="35">
        <f>'7company_info'!J321</f>
        <v>439.81</v>
      </c>
      <c r="U321" s="39">
        <v>438.226666666666</v>
      </c>
      <c r="V321" s="39">
        <v>439.653333333333</v>
      </c>
      <c r="W321" s="40">
        <v>441.236666666666</v>
      </c>
      <c r="X321" s="40">
        <v>444.246666666666</v>
      </c>
      <c r="Y321" s="40">
        <v>436.643333333333</v>
      </c>
      <c r="Z321" s="40">
        <v>435.216666666666</v>
      </c>
      <c r="AA321" s="40">
        <v>432.206666666666</v>
      </c>
      <c r="AB321" s="40">
        <v>431.87</v>
      </c>
      <c r="AC321" s="40">
        <v>439.81</v>
      </c>
      <c r="AD321" s="40">
        <v>431.382151361137</v>
      </c>
      <c r="AE321" s="40">
        <v>430.6696</v>
      </c>
      <c r="AF321" s="40">
        <v>3.46363999999999</v>
      </c>
      <c r="AG321" s="40">
        <v>425.94</v>
      </c>
      <c r="AH321" s="45">
        <v>44362.0</v>
      </c>
      <c r="AI321" s="44" t="str">
        <f>'6image_RS_benchmark_performance'!B321</f>
        <v>https://3arbzfbsh-cname-us.ngrok.io/Desktop/seabridge%20fintech/image_app/IVV_resistance_support.jpg</v>
      </c>
      <c r="AJ321" s="44" t="str">
        <f>'6image_RS_benchmark_performance'!C321</f>
        <v>https://3arbzfbsh-cname-us.ngrok.io/Desktop/seabridge%20fintech/profit_graph_app/IVV_Return.jpg</v>
      </c>
      <c r="AK321" s="46" t="str">
        <f>'5price_action_icon'!B321</f>
        <v>https://3arbzfbsh-cname-us.ngrok.io/Desktop/seabridge%20fintech/icon/IVV_pa_trend_signal</v>
      </c>
      <c r="AL321" s="42">
        <f>'1kpi_performance'!B321</f>
        <v>0.3297874255</v>
      </c>
      <c r="AM321" s="42">
        <f>'1kpi_performance'!C321</f>
        <v>0.4866540426</v>
      </c>
      <c r="AN321" s="42">
        <f>'1kpi_performance'!D321</f>
        <v>0.4063991179</v>
      </c>
      <c r="AO321" s="42">
        <f>'1kpi_performance'!E321</f>
        <v>0.1854130088</v>
      </c>
      <c r="AP321" s="42">
        <f>'1kpi_performance'!F321</f>
        <v>0.1167700597</v>
      </c>
      <c r="AQ321" s="42">
        <f>'1kpi_performance'!G321</f>
        <v>0.1286119876</v>
      </c>
      <c r="AR321" s="42">
        <f>'1kpi_performance'!H321</f>
        <v>0.1131294808</v>
      </c>
      <c r="AS321" s="42">
        <f>'1kpi_performance'!I321</f>
        <v>0.2073134374</v>
      </c>
      <c r="AT321" s="35">
        <f>'1kpi_performance'!J321</f>
        <v>2.610150463</v>
      </c>
      <c r="AU321" s="35">
        <f>'1kpi_performance'!K321</f>
        <v>3.58951021</v>
      </c>
      <c r="AV321" s="35">
        <f>'1kpi_performance'!L321</f>
        <v>3.371350379</v>
      </c>
      <c r="AW321" s="35">
        <f>'1kpi_performance'!M321</f>
        <v>0.7737704357</v>
      </c>
      <c r="AX321" s="42">
        <f>'1kpi_performance'!N321</f>
        <v>0.07810280805</v>
      </c>
      <c r="AY321" s="42">
        <f>'1kpi_performance'!O321</f>
        <v>0.05934367496</v>
      </c>
      <c r="AZ321" s="42">
        <f>'1kpi_performance'!P321</f>
        <v>0.1113418619</v>
      </c>
      <c r="BA321" s="42">
        <f>'1kpi_performance'!Q321</f>
        <v>0.3390314229</v>
      </c>
      <c r="BB321" s="35">
        <f>'1kpi_performance'!R321</f>
        <v>5.288620852</v>
      </c>
      <c r="BC321" s="35">
        <f>'1kpi_performance'!S321</f>
        <v>8.043024641</v>
      </c>
      <c r="BD321" s="35">
        <f>'1kpi_performance'!T321</f>
        <v>7.24424704</v>
      </c>
      <c r="BE321" s="35">
        <f>'1kpi_performance'!U321</f>
        <v>1.412795371</v>
      </c>
      <c r="BF321" s="47"/>
      <c r="BG321" s="47"/>
      <c r="BH321" s="47"/>
      <c r="BI321" s="47"/>
      <c r="BJ321" s="47"/>
      <c r="BK321" s="47"/>
      <c r="BL321" s="47"/>
      <c r="BM321" s="47"/>
      <c r="BN321" s="47"/>
      <c r="BO321" s="47"/>
      <c r="BP321" s="47"/>
      <c r="BQ321" s="47"/>
      <c r="BR321" s="47"/>
      <c r="BS321" s="47"/>
      <c r="BT321" s="47"/>
    </row>
    <row r="322" ht="11.25" customHeight="1">
      <c r="A322" s="35" t="str">
        <f>'13all_company_profile'!A322</f>
        <v>IVZ</v>
      </c>
      <c r="B322" s="35" t="str">
        <f>'13all_company_profile'!B322</f>
        <v>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v>
      </c>
      <c r="C322" s="44" t="str">
        <f>'13all_company_profile'!C322</f>
        <v>https://financialmodelingprep.com/image-stock/IVZ.png</v>
      </c>
      <c r="D322" s="35" t="str">
        <f>'13all_company_profile'!D322</f>
        <v>Invesco Ltd.</v>
      </c>
      <c r="E322" s="36">
        <f>'13all_company_profile'!E322</f>
        <v>11914664960</v>
      </c>
      <c r="F322" s="37">
        <f>'13all_company_profile'!F322</f>
        <v>3976153</v>
      </c>
      <c r="G322" s="35">
        <f>'13all_company_profile'!G322</f>
        <v>0.635</v>
      </c>
      <c r="H322" s="38">
        <f>'13all_company_profile'!H322</f>
        <v>44403</v>
      </c>
      <c r="I322" s="35">
        <f>'13all_company_profile'!I322</f>
        <v>16.321125</v>
      </c>
      <c r="J322" s="35">
        <f>'13all_company_profile'!J322</f>
        <v>1.529</v>
      </c>
      <c r="K322" s="42">
        <f t="shared" si="1"/>
        <v>0.02526860326</v>
      </c>
      <c r="L322" s="35">
        <f>'7company_info'!B322</f>
        <v>25.13</v>
      </c>
      <c r="M322" s="35">
        <f>'7company_info'!C322</f>
        <v>25.26</v>
      </c>
      <c r="N322" s="35">
        <f>'7company_info'!D322</f>
        <v>24.06</v>
      </c>
      <c r="O322" s="35">
        <f>'7company_info'!E322</f>
        <v>0.85</v>
      </c>
      <c r="P322" s="35">
        <f>'7company_info'!F322</f>
        <v>0.035</v>
      </c>
      <c r="Q322" s="35">
        <f>'7company_info'!G322</f>
        <v>24.29</v>
      </c>
      <c r="R322" s="35">
        <f>'7company_info'!H322</f>
        <v>24.28</v>
      </c>
      <c r="S322" s="35">
        <f>'7company_info'!I322</f>
        <v>9.72</v>
      </c>
      <c r="T322" s="35">
        <f>'7company_info'!J322</f>
        <v>29.71</v>
      </c>
      <c r="U322" s="39">
        <v>26.32</v>
      </c>
      <c r="V322" s="39">
        <v>26.7299999999999</v>
      </c>
      <c r="W322" s="40">
        <v>27.44</v>
      </c>
      <c r="X322" s="40">
        <v>28.56</v>
      </c>
      <c r="Y322" s="40">
        <v>25.6099999999999</v>
      </c>
      <c r="Z322" s="40">
        <v>25.2</v>
      </c>
      <c r="AA322" s="40">
        <v>24.0799999999999</v>
      </c>
      <c r="AB322" s="40">
        <v>28.48</v>
      </c>
      <c r="AC322" s="40">
        <v>29.71</v>
      </c>
      <c r="AD322" s="40">
        <v>26.7399234155567</v>
      </c>
      <c r="AE322" s="40">
        <v>24.86701</v>
      </c>
      <c r="AF322" s="40">
        <v>0.810815</v>
      </c>
      <c r="AG322" s="40">
        <v>29.71</v>
      </c>
      <c r="AH322" s="45">
        <v>44354.0</v>
      </c>
      <c r="AI322" s="44" t="str">
        <f>'6image_RS_benchmark_performance'!B322</f>
        <v>https://3arbzfbsh-cname-us.ngrok.io/Desktop/seabridge%20fintech/image_app/IVZ_resistance_support.jpg</v>
      </c>
      <c r="AJ322" s="44" t="str">
        <f>'6image_RS_benchmark_performance'!C322</f>
        <v>https://3arbzfbsh-cname-us.ngrok.io/Desktop/seabridge%20fintech/profit_graph_app/IVZ_Return.jpg</v>
      </c>
      <c r="AK322" s="46" t="str">
        <f>'5price_action_icon'!B322</f>
        <v>https://3arbzfbsh-cname-us.ngrok.io/Desktop/seabridge%20fintech/icon/IVZ_pa_trend_signal</v>
      </c>
      <c r="AL322" s="42">
        <f>'1kpi_performance'!B322</f>
        <v>0.5599523069</v>
      </c>
      <c r="AM322" s="42">
        <f>'1kpi_performance'!C322</f>
        <v>0.8215880347</v>
      </c>
      <c r="AN322" s="42">
        <f>'1kpi_performance'!D322</f>
        <v>0.5353717489</v>
      </c>
      <c r="AO322" s="42">
        <f>'1kpi_performance'!E322</f>
        <v>0.02435935007</v>
      </c>
      <c r="AP322" s="42">
        <f>'1kpi_performance'!F322</f>
        <v>0.2915244406</v>
      </c>
      <c r="AQ322" s="42">
        <f>'1kpi_performance'!G322</f>
        <v>0.2617949028</v>
      </c>
      <c r="AR322" s="42">
        <f>'1kpi_performance'!H322</f>
        <v>0.3448587244</v>
      </c>
      <c r="AS322" s="42">
        <f>'1kpi_performance'!I322</f>
        <v>0.4396878055</v>
      </c>
      <c r="AT322" s="35">
        <f>'1kpi_performance'!J322</f>
        <v>1.835017008</v>
      </c>
      <c r="AU322" s="35">
        <f>'1kpi_performance'!K322</f>
        <v>3.042794287</v>
      </c>
      <c r="AV322" s="35">
        <f>'1kpi_performance'!L322</f>
        <v>1.479944432</v>
      </c>
      <c r="AW322" s="35">
        <f>'1kpi_performance'!M322</f>
        <v>-0.001457056393</v>
      </c>
      <c r="AX322" s="42">
        <f>'1kpi_performance'!N322</f>
        <v>0.2657200811</v>
      </c>
      <c r="AY322" s="42">
        <f>'1kpi_performance'!O322</f>
        <v>0.1553711388</v>
      </c>
      <c r="AZ322" s="42">
        <f>'1kpi_performance'!P322</f>
        <v>0.5779256794</v>
      </c>
      <c r="BA322" s="42">
        <f>'1kpi_performance'!Q322</f>
        <v>0.8399044205</v>
      </c>
      <c r="BB322" s="35">
        <f>'1kpi_performance'!R322</f>
        <v>3.600251689</v>
      </c>
      <c r="BC322" s="35">
        <f>'1kpi_performance'!S322</f>
        <v>6.922481118</v>
      </c>
      <c r="BD322" s="35">
        <f>'1kpi_performance'!T322</f>
        <v>2.755693123</v>
      </c>
      <c r="BE322" s="35">
        <f>'1kpi_performance'!U322</f>
        <v>-0.002731716593</v>
      </c>
      <c r="BF322" s="47"/>
      <c r="BG322" s="47"/>
      <c r="BH322" s="47"/>
      <c r="BI322" s="47"/>
      <c r="BJ322" s="47"/>
      <c r="BK322" s="47"/>
      <c r="BL322" s="47"/>
      <c r="BM322" s="47"/>
      <c r="BN322" s="47"/>
      <c r="BO322" s="47"/>
      <c r="BP322" s="47"/>
      <c r="BQ322" s="47"/>
      <c r="BR322" s="47"/>
      <c r="BS322" s="47"/>
      <c r="BT322" s="47"/>
    </row>
    <row r="323" ht="11.25" customHeight="1">
      <c r="A323" s="35" t="str">
        <f>'13all_company_profile'!A323</f>
        <v>IWD</v>
      </c>
      <c r="B323" s="35" t="str">
        <f>'13all_company_profile'!B323</f>
        <v>IWD was created on 05/22/00 by Blackrock. The ETF tracks an index of US large- and midcap value stocks. The index selects from US stocks ranked 1-1,000 by market cap based on 3 style factors.</v>
      </c>
      <c r="C323" s="44" t="str">
        <f>'13all_company_profile'!C323</f>
        <v>https://financialmodelingprep.com/image-stock/IWD.jpg</v>
      </c>
      <c r="D323" s="35" t="str">
        <f>'13all_company_profile'!D323</f>
        <v>iShares Russell 1000 Value ETF</v>
      </c>
      <c r="E323" s="36">
        <f>'13all_company_profile'!E323</f>
        <v>48460869632</v>
      </c>
      <c r="F323" s="37">
        <f>'13all_company_profile'!F323</f>
        <v>2641704</v>
      </c>
      <c r="G323" s="35">
        <f>'13all_company_profile'!G323</f>
        <v>1.93</v>
      </c>
      <c r="H323" s="38" t="str">
        <f>'13all_company_profile'!H323</f>
        <v>not avaiable</v>
      </c>
      <c r="I323" s="35">
        <f>'13all_company_profile'!I323</f>
        <v>3.1214452</v>
      </c>
      <c r="J323" s="35">
        <f>'13all_company_profile'!J323</f>
        <v>50.459</v>
      </c>
      <c r="K323" s="42">
        <f t="shared" si="1"/>
        <v>0.01228282314</v>
      </c>
      <c r="L323" s="35">
        <f>'7company_info'!B323</f>
        <v>157.13</v>
      </c>
      <c r="M323" s="35">
        <f>'7company_info'!C323</f>
        <v>157.7</v>
      </c>
      <c r="N323" s="35">
        <f>'7company_info'!D323</f>
        <v>154.57</v>
      </c>
      <c r="O323" s="35">
        <f>'7company_info'!E323</f>
        <v>2.51</v>
      </c>
      <c r="P323" s="35">
        <f>'7company_info'!F323</f>
        <v>0.0162</v>
      </c>
      <c r="Q323" s="35">
        <f>'7company_info'!G323</f>
        <v>154.8</v>
      </c>
      <c r="R323" s="35">
        <f>'7company_info'!H323</f>
        <v>154.62</v>
      </c>
      <c r="S323" s="35">
        <f>'7company_info'!I323</f>
        <v>113.57</v>
      </c>
      <c r="T323" s="35">
        <f>'7company_info'!J323</f>
        <v>163.39</v>
      </c>
      <c r="U323" s="39">
        <v>159.013333333333</v>
      </c>
      <c r="V323" s="39">
        <v>159.796666666666</v>
      </c>
      <c r="W323" s="40">
        <v>160.793333333333</v>
      </c>
      <c r="X323" s="40">
        <v>162.573333333333</v>
      </c>
      <c r="Y323" s="40">
        <v>158.016666666666</v>
      </c>
      <c r="Z323" s="40">
        <v>157.233333333333</v>
      </c>
      <c r="AA323" s="40">
        <v>155.453333333333</v>
      </c>
      <c r="AB323" s="40">
        <v>158.08</v>
      </c>
      <c r="AC323" s="40">
        <v>160.4202</v>
      </c>
      <c r="AD323" s="40">
        <v>159.021749844962</v>
      </c>
      <c r="AE323" s="40">
        <v>155.45767</v>
      </c>
      <c r="AF323" s="40">
        <v>1.855595</v>
      </c>
      <c r="AG323" s="40">
        <v>163.39</v>
      </c>
      <c r="AH323" s="45">
        <v>44326.0</v>
      </c>
      <c r="AI323" s="44" t="str">
        <f>'6image_RS_benchmark_performance'!B323</f>
        <v>https://3arbzfbsh-cname-us.ngrok.io/Desktop/seabridge%20fintech/image_app/IWD_resistance_support.jpg</v>
      </c>
      <c r="AJ323" s="44" t="str">
        <f>'6image_RS_benchmark_performance'!C323</f>
        <v>https://3arbzfbsh-cname-us.ngrok.io/Desktop/seabridge%20fintech/profit_graph_app/IWD_Return.jpg</v>
      </c>
      <c r="AK323" s="46" t="str">
        <f>'5price_action_icon'!B323</f>
        <v>https://3arbzfbsh-cname-us.ngrok.io/Desktop/seabridge%20fintech/icon/IWD_pa_trend_signal</v>
      </c>
      <c r="AL323" s="42">
        <f>'1kpi_performance'!B323</f>
        <v>0.3043470243</v>
      </c>
      <c r="AM323" s="42">
        <f>'1kpi_performance'!C323</f>
        <v>0.4244574031</v>
      </c>
      <c r="AN323" s="42">
        <f>'1kpi_performance'!D323</f>
        <v>0.4050923224</v>
      </c>
      <c r="AO323" s="42">
        <f>'1kpi_performance'!E323</f>
        <v>0.134179694</v>
      </c>
      <c r="AP323" s="42">
        <f>'1kpi_performance'!F323</f>
        <v>0.1236194622</v>
      </c>
      <c r="AQ323" s="42">
        <f>'1kpi_performance'!G323</f>
        <v>0.1364326595</v>
      </c>
      <c r="AR323" s="42">
        <f>'1kpi_performance'!H323</f>
        <v>0.1198326587</v>
      </c>
      <c r="AS323" s="42">
        <f>'1kpi_performance'!I323</f>
        <v>0.2128404228</v>
      </c>
      <c r="AT323" s="35">
        <f>'1kpi_performance'!J323</f>
        <v>2.259733373</v>
      </c>
      <c r="AU323" s="35">
        <f>'1kpi_performance'!K323</f>
        <v>2.927872289</v>
      </c>
      <c r="AV323" s="35">
        <f>'1kpi_performance'!L323</f>
        <v>3.171859211</v>
      </c>
      <c r="AW323" s="35">
        <f>'1kpi_performance'!M323</f>
        <v>0.5129650307</v>
      </c>
      <c r="AX323" s="42">
        <f>'1kpi_performance'!N323</f>
        <v>0.1035640083</v>
      </c>
      <c r="AY323" s="42">
        <f>'1kpi_performance'!O323</f>
        <v>0.10920294</v>
      </c>
      <c r="AZ323" s="42">
        <f>'1kpi_performance'!P323</f>
        <v>0.1177903063</v>
      </c>
      <c r="BA323" s="42">
        <f>'1kpi_performance'!Q323</f>
        <v>0.3851429396</v>
      </c>
      <c r="BB323" s="35">
        <f>'1kpi_performance'!R323</f>
        <v>4.540894252</v>
      </c>
      <c r="BC323" s="35">
        <f>'1kpi_performance'!S323</f>
        <v>6.343119067</v>
      </c>
      <c r="BD323" s="35">
        <f>'1kpi_performance'!T323</f>
        <v>6.750366266</v>
      </c>
      <c r="BE323" s="35">
        <f>'1kpi_performance'!U323</f>
        <v>0.9335187283</v>
      </c>
      <c r="BF323" s="47"/>
      <c r="BG323" s="47"/>
      <c r="BH323" s="47"/>
      <c r="BI323" s="47"/>
      <c r="BJ323" s="47"/>
      <c r="BK323" s="47"/>
      <c r="BL323" s="47"/>
      <c r="BM323" s="47"/>
      <c r="BN323" s="47"/>
      <c r="BO323" s="47"/>
      <c r="BP323" s="47"/>
      <c r="BQ323" s="47"/>
      <c r="BR323" s="47"/>
      <c r="BS323" s="47"/>
      <c r="BT323" s="47"/>
    </row>
    <row r="324" ht="11.25" customHeight="1">
      <c r="A324" s="35" t="str">
        <f>'13all_company_profile'!A324</f>
        <v>IWM</v>
      </c>
      <c r="B324" s="35" t="str">
        <f>'13all_company_profile'!B324</f>
        <v>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v>
      </c>
      <c r="C324" s="44" t="str">
        <f>'13all_company_profile'!C324</f>
        <v>https://financialmodelingprep.com/image-stock/IWM.png</v>
      </c>
      <c r="D324" s="35" t="str">
        <f>'13all_company_profile'!D324</f>
        <v>iShares Russell 2000 ETF</v>
      </c>
      <c r="E324" s="36">
        <f>'13all_company_profile'!E324</f>
        <v>61181771776</v>
      </c>
      <c r="F324" s="37">
        <f>'13all_company_profile'!F324</f>
        <v>25660328</v>
      </c>
      <c r="G324" s="35">
        <f>'13all_company_profile'!G324</f>
        <v>1.556</v>
      </c>
      <c r="H324" s="38" t="str">
        <f>'13all_company_profile'!H324</f>
        <v>not avaiable</v>
      </c>
      <c r="I324" s="35">
        <f>'13all_company_profile'!I324</f>
        <v>2.3027873</v>
      </c>
      <c r="J324" s="35">
        <f>'13all_company_profile'!J324</f>
        <v>93.313</v>
      </c>
      <c r="K324" s="42">
        <f t="shared" si="1"/>
        <v>0.007127805772</v>
      </c>
      <c r="L324" s="35">
        <f>'7company_info'!B324</f>
        <v>218.3</v>
      </c>
      <c r="M324" s="35">
        <f>'7company_info'!C324</f>
        <v>219.22</v>
      </c>
      <c r="N324" s="35">
        <f>'7company_info'!D324</f>
        <v>211.29</v>
      </c>
      <c r="O324" s="35">
        <f>'7company_info'!E324</f>
        <v>6.57</v>
      </c>
      <c r="P324" s="35">
        <f>'7company_info'!F324</f>
        <v>0.031</v>
      </c>
      <c r="Q324" s="35">
        <f>'7company_info'!G324</f>
        <v>212.13</v>
      </c>
      <c r="R324" s="35">
        <f>'7company_info'!H324</f>
        <v>211.73</v>
      </c>
      <c r="S324" s="35">
        <f>'7company_info'!I324</f>
        <v>142.09</v>
      </c>
      <c r="T324" s="35">
        <f>'7company_info'!J324</f>
        <v>234.53</v>
      </c>
      <c r="U324" s="39">
        <v>220.591666666666</v>
      </c>
      <c r="V324" s="39">
        <v>222.633333333333</v>
      </c>
      <c r="W324" s="40">
        <v>226.396666666666</v>
      </c>
      <c r="X324" s="40">
        <v>232.201666666666</v>
      </c>
      <c r="Y324" s="40">
        <v>216.828333333333</v>
      </c>
      <c r="Z324" s="40">
        <v>214.786666666666</v>
      </c>
      <c r="AA324" s="40">
        <v>208.981666666666</v>
      </c>
      <c r="AB324" s="40">
        <v>229.71</v>
      </c>
      <c r="AC324" s="40">
        <v>225.74</v>
      </c>
      <c r="AD324" s="40">
        <v>226.124340501456</v>
      </c>
      <c r="AE324" s="40">
        <v>214.56419</v>
      </c>
      <c r="AF324" s="40">
        <v>4.00840499999999</v>
      </c>
      <c r="AG324" s="40">
        <v>234.53</v>
      </c>
      <c r="AH324" s="45">
        <v>44270.0</v>
      </c>
      <c r="AI324" s="44" t="str">
        <f>'6image_RS_benchmark_performance'!B324</f>
        <v>https://3arbzfbsh-cname-us.ngrok.io/Desktop/seabridge%20fintech/image_app/IWM_resistance_support.jpg</v>
      </c>
      <c r="AJ324" s="44" t="str">
        <f>'6image_RS_benchmark_performance'!C324</f>
        <v>https://3arbzfbsh-cname-us.ngrok.io/Desktop/seabridge%20fintech/profit_graph_app/IWM_Return.jpg</v>
      </c>
      <c r="AK324" s="46" t="str">
        <f>'5price_action_icon'!B324</f>
        <v>https://3arbzfbsh-cname-us.ngrok.io/Desktop/seabridge%20fintech/icon/IWM_pa_trend_signal</v>
      </c>
      <c r="AL324" s="42">
        <f>'1kpi_performance'!B324</f>
        <v>0.4131500157</v>
      </c>
      <c r="AM324" s="42">
        <f>'1kpi_performance'!C324</f>
        <v>0.5322994378</v>
      </c>
      <c r="AN324" s="42">
        <f>'1kpi_performance'!D324</f>
        <v>0.4809317344</v>
      </c>
      <c r="AO324" s="42">
        <f>'1kpi_performance'!E324</f>
        <v>0.1682012029</v>
      </c>
      <c r="AP324" s="42">
        <f>'1kpi_performance'!F324</f>
        <v>0.1624265567</v>
      </c>
      <c r="AQ324" s="42">
        <f>'1kpi_performance'!G324</f>
        <v>0.1665128232</v>
      </c>
      <c r="AR324" s="42">
        <f>'1kpi_performance'!H324</f>
        <v>0.1706370927</v>
      </c>
      <c r="AS324" s="42">
        <f>'1kpi_performance'!I324</f>
        <v>0.264493711</v>
      </c>
      <c r="AT324" s="35">
        <f>'1kpi_performance'!J324</f>
        <v>2.389695525</v>
      </c>
      <c r="AU324" s="35">
        <f>'1kpi_performance'!K324</f>
        <v>3.046608833</v>
      </c>
      <c r="AV324" s="35">
        <f>'1kpi_performance'!L324</f>
        <v>2.671938013</v>
      </c>
      <c r="AW324" s="35">
        <f>'1kpi_performance'!M324</f>
        <v>0.5414162867</v>
      </c>
      <c r="AX324" s="42">
        <f>'1kpi_performance'!N324</f>
        <v>0.1243887314</v>
      </c>
      <c r="AY324" s="42">
        <f>'1kpi_performance'!O324</f>
        <v>0.1043575036</v>
      </c>
      <c r="AZ324" s="42">
        <f>'1kpi_performance'!P324</f>
        <v>0.2427688824</v>
      </c>
      <c r="BA324" s="42">
        <f>'1kpi_performance'!Q324</f>
        <v>0.4226101029</v>
      </c>
      <c r="BB324" s="35">
        <f>'1kpi_performance'!R324</f>
        <v>4.845113295</v>
      </c>
      <c r="BC324" s="35">
        <f>'1kpi_performance'!S324</f>
        <v>6.699941258</v>
      </c>
      <c r="BD324" s="35">
        <f>'1kpi_performance'!T324</f>
        <v>5.327515001</v>
      </c>
      <c r="BE324" s="35">
        <f>'1kpi_performance'!U324</f>
        <v>1.010577515</v>
      </c>
      <c r="BF324" s="47"/>
      <c r="BG324" s="47"/>
      <c r="BH324" s="47"/>
      <c r="BI324" s="47"/>
      <c r="BJ324" s="47"/>
      <c r="BK324" s="47"/>
      <c r="BL324" s="47"/>
      <c r="BM324" s="47"/>
      <c r="BN324" s="47"/>
      <c r="BO324" s="47"/>
      <c r="BP324" s="47"/>
      <c r="BQ324" s="47"/>
      <c r="BR324" s="47"/>
      <c r="BS324" s="47"/>
      <c r="BT324" s="47"/>
    </row>
    <row r="325" ht="11.25" customHeight="1">
      <c r="A325" s="35" t="str">
        <f>'13all_company_profile'!A325</f>
        <v>IYR</v>
      </c>
      <c r="B325" s="35" t="str">
        <f>'13all_company_profile'!B325</f>
        <v>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v>
      </c>
      <c r="C325" s="44" t="str">
        <f>'13all_company_profile'!C325</f>
        <v>https://financialmodelingprep.com/image-stock/IYR.png</v>
      </c>
      <c r="D325" s="35" t="str">
        <f>'13all_company_profile'!D325</f>
        <v>iShares U.S. Real Estate ETF</v>
      </c>
      <c r="E325" s="36">
        <f>'13all_company_profile'!E325</f>
        <v>5217775616</v>
      </c>
      <c r="F325" s="37">
        <f>'13all_company_profile'!F325</f>
        <v>8183661</v>
      </c>
      <c r="G325" s="35">
        <f>'13all_company_profile'!G325</f>
        <v>1.524</v>
      </c>
      <c r="H325" s="38" t="str">
        <f>'13all_company_profile'!H325</f>
        <v>not avaiable</v>
      </c>
      <c r="I325" s="35">
        <f>'13all_company_profile'!I325</f>
        <v>5.173775</v>
      </c>
      <c r="J325" s="35">
        <f>'13all_company_profile'!J325</f>
        <v>20.515</v>
      </c>
      <c r="K325" s="42">
        <f t="shared" si="1"/>
        <v>0.01434082996</v>
      </c>
      <c r="L325" s="35">
        <f>'7company_info'!B325</f>
        <v>106.27</v>
      </c>
      <c r="M325" s="35">
        <f>'7company_info'!C325</f>
        <v>106.65</v>
      </c>
      <c r="N325" s="35">
        <f>'7company_info'!D325</f>
        <v>104.38</v>
      </c>
      <c r="O325" s="35">
        <f>'7company_info'!E325</f>
        <v>2.34</v>
      </c>
      <c r="P325" s="35">
        <f>'7company_info'!F325</f>
        <v>0.0225</v>
      </c>
      <c r="Q325" s="35">
        <f>'7company_info'!G325</f>
        <v>104.52</v>
      </c>
      <c r="R325" s="35">
        <f>'7company_info'!H325</f>
        <v>103.93</v>
      </c>
      <c r="S325" s="35">
        <f>'7company_info'!I325</f>
        <v>76.33</v>
      </c>
      <c r="T325" s="35">
        <f>'7company_info'!J325</f>
        <v>106.65</v>
      </c>
      <c r="U325" s="39">
        <v>105.266666666666</v>
      </c>
      <c r="V325" s="39">
        <v>106.023333333333</v>
      </c>
      <c r="W325" s="40">
        <v>106.556666666666</v>
      </c>
      <c r="X325" s="40">
        <v>107.846666666666</v>
      </c>
      <c r="Y325" s="40">
        <v>104.733333333333</v>
      </c>
      <c r="Z325" s="40">
        <v>103.976666666666</v>
      </c>
      <c r="AA325" s="40">
        <v>102.686666666666</v>
      </c>
      <c r="AB325" s="40">
        <v>101.38</v>
      </c>
      <c r="AC325" s="40">
        <v>106.33</v>
      </c>
      <c r="AD325" s="40">
        <v>103.590851446584</v>
      </c>
      <c r="AE325" s="40">
        <v>102.08811</v>
      </c>
      <c r="AF325" s="40">
        <v>1.282445</v>
      </c>
      <c r="AG325" s="40">
        <v>105.22</v>
      </c>
      <c r="AH325" s="45">
        <v>44357.0</v>
      </c>
      <c r="AI325" s="44" t="str">
        <f>'6image_RS_benchmark_performance'!B325</f>
        <v>https://3arbzfbsh-cname-us.ngrok.io/Desktop/seabridge%20fintech/image_app/IYR_resistance_support.jpg</v>
      </c>
      <c r="AJ325" s="44" t="str">
        <f>'6image_RS_benchmark_performance'!C325</f>
        <v>https://3arbzfbsh-cname-us.ngrok.io/Desktop/seabridge%20fintech/profit_graph_app/IYR_Return.jpg</v>
      </c>
      <c r="AK325" s="46" t="str">
        <f>'5price_action_icon'!B325</f>
        <v>https://3arbzfbsh-cname-us.ngrok.io/Desktop/seabridge%20fintech/icon/IYR_pa_trend_signal</v>
      </c>
      <c r="AL325" s="42">
        <f>'1kpi_performance'!B325</f>
        <v>0.3528153619</v>
      </c>
      <c r="AM325" s="42">
        <f>'1kpi_performance'!C325</f>
        <v>0.4254913373</v>
      </c>
      <c r="AN325" s="42">
        <f>'1kpi_performance'!D325</f>
        <v>0.3740375705</v>
      </c>
      <c r="AO325" s="42">
        <f>'1kpi_performance'!E325</f>
        <v>0.1125270995</v>
      </c>
      <c r="AP325" s="42">
        <f>'1kpi_performance'!F325</f>
        <v>0.1466043439</v>
      </c>
      <c r="AQ325" s="42">
        <f>'1kpi_performance'!G325</f>
        <v>0.16027724</v>
      </c>
      <c r="AR325" s="42">
        <f>'1kpi_performance'!H325</f>
        <v>0.1463925772</v>
      </c>
      <c r="AS325" s="42">
        <f>'1kpi_performance'!I325</f>
        <v>0.2429457237</v>
      </c>
      <c r="AT325" s="35">
        <f>'1kpi_performance'!J325</f>
        <v>2.236054903</v>
      </c>
      <c r="AU325" s="35">
        <f>'1kpi_performance'!K325</f>
        <v>2.498741164</v>
      </c>
      <c r="AV325" s="35">
        <f>'1kpi_performance'!L325</f>
        <v>2.384257298</v>
      </c>
      <c r="AW325" s="35">
        <f>'1kpi_performance'!M325</f>
        <v>0.3602742958</v>
      </c>
      <c r="AX325" s="42">
        <f>'1kpi_performance'!N325</f>
        <v>0.1027932961</v>
      </c>
      <c r="AY325" s="42">
        <f>'1kpi_performance'!O325</f>
        <v>0.1028963286</v>
      </c>
      <c r="AZ325" s="42">
        <f>'1kpi_performance'!P325</f>
        <v>0.1499382607</v>
      </c>
      <c r="BA325" s="42">
        <f>'1kpi_performance'!Q325</f>
        <v>0.423214998</v>
      </c>
      <c r="BB325" s="35">
        <f>'1kpi_performance'!R325</f>
        <v>4.506148879</v>
      </c>
      <c r="BC325" s="35">
        <f>'1kpi_performance'!S325</f>
        <v>5.373735691</v>
      </c>
      <c r="BD325" s="35">
        <f>'1kpi_performance'!T325</f>
        <v>4.843079963</v>
      </c>
      <c r="BE325" s="35">
        <f>'1kpi_performance'!U325</f>
        <v>0.6526868223</v>
      </c>
      <c r="BF325" s="47"/>
      <c r="BG325" s="47"/>
      <c r="BH325" s="47"/>
      <c r="BI325" s="47"/>
      <c r="BJ325" s="47"/>
      <c r="BK325" s="47"/>
      <c r="BL325" s="47"/>
      <c r="BM325" s="47"/>
      <c r="BN325" s="47"/>
      <c r="BO325" s="47"/>
      <c r="BP325" s="47"/>
      <c r="BQ325" s="47"/>
      <c r="BR325" s="47"/>
      <c r="BS325" s="47"/>
      <c r="BT325" s="47"/>
    </row>
    <row r="326" ht="11.25" customHeight="1">
      <c r="A326" s="35" t="str">
        <f>'13all_company_profile'!A326</f>
        <v>J</v>
      </c>
      <c r="B326" s="35" t="str">
        <f>'13all_company_profile'!B326</f>
        <v>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v>
      </c>
      <c r="C326" s="44" t="str">
        <f>'13all_company_profile'!C326</f>
        <v>https://financialmodelingprep.com/image-stock/J.jpg</v>
      </c>
      <c r="D326" s="35" t="str">
        <f>'13all_company_profile'!D326</f>
        <v>Jacobs Engineering Group Inc.</v>
      </c>
      <c r="E326" s="36">
        <f>'13all_company_profile'!E326</f>
        <v>17257394176</v>
      </c>
      <c r="F326" s="37">
        <f>'13all_company_profile'!F326</f>
        <v>586652</v>
      </c>
      <c r="G326" s="35">
        <f>'13all_company_profile'!G326</f>
        <v>0.8</v>
      </c>
      <c r="H326" s="38">
        <f>'13all_company_profile'!H326</f>
        <v>44410</v>
      </c>
      <c r="I326" s="35">
        <f>'13all_company_profile'!I326</f>
        <v>29.138386</v>
      </c>
      <c r="J326" s="35">
        <f>'13all_company_profile'!J326</f>
        <v>4.538</v>
      </c>
      <c r="K326" s="42">
        <f t="shared" si="1"/>
        <v>0.006050064282</v>
      </c>
      <c r="L326" s="35">
        <f>'7company_info'!B326</f>
        <v>132.23</v>
      </c>
      <c r="M326" s="35">
        <f>'7company_info'!C326</f>
        <v>133.26</v>
      </c>
      <c r="N326" s="35">
        <f>'7company_info'!D326</f>
        <v>128.61</v>
      </c>
      <c r="O326" s="35">
        <f>'7company_info'!E326</f>
        <v>3.66</v>
      </c>
      <c r="P326" s="35">
        <f>'7company_info'!F326</f>
        <v>0.0285</v>
      </c>
      <c r="Q326" s="35">
        <f>'7company_info'!G326</f>
        <v>128.8</v>
      </c>
      <c r="R326" s="35">
        <f>'7company_info'!H326</f>
        <v>128.57</v>
      </c>
      <c r="S326" s="35">
        <f>'7company_info'!I326</f>
        <v>82.42</v>
      </c>
      <c r="T326" s="35">
        <f>'7company_info'!J326</f>
        <v>145.97</v>
      </c>
      <c r="U326" s="39">
        <v>133.303333333333</v>
      </c>
      <c r="V326" s="39">
        <v>134.266666666666</v>
      </c>
      <c r="W326" s="40">
        <v>135.633333333333</v>
      </c>
      <c r="X326" s="40">
        <v>137.963333333333</v>
      </c>
      <c r="Y326" s="40">
        <v>131.936666666666</v>
      </c>
      <c r="Z326" s="40">
        <v>130.973333333333</v>
      </c>
      <c r="AA326" s="40">
        <v>128.643333333333</v>
      </c>
      <c r="AB326" s="40">
        <v>133.49</v>
      </c>
      <c r="AC326" s="40">
        <v>136.99</v>
      </c>
      <c r="AD326" s="40">
        <v>134.444885265916</v>
      </c>
      <c r="AE326" s="40">
        <v>127.113399999999</v>
      </c>
      <c r="AF326" s="40">
        <v>2.92829999999999</v>
      </c>
      <c r="AG326" s="40">
        <v>145.97</v>
      </c>
      <c r="AH326" s="45">
        <v>44326.0</v>
      </c>
      <c r="AI326" s="44" t="str">
        <f>'6image_RS_benchmark_performance'!B326</f>
        <v>https://3arbzfbsh-cname-us.ngrok.io/Desktop/seabridge%20fintech/image_app/J_resistance_support.jpg</v>
      </c>
      <c r="AJ326" s="44" t="str">
        <f>'6image_RS_benchmark_performance'!C326</f>
        <v>https://3arbzfbsh-cname-us.ngrok.io/Desktop/seabridge%20fintech/profit_graph_app/J_Return.jpg</v>
      </c>
      <c r="AK326" s="46" t="str">
        <f>'5price_action_icon'!B326</f>
        <v>https://3arbzfbsh-cname-us.ngrok.io/Desktop/seabridge%20fintech/icon/J_pa_trend_signal</v>
      </c>
      <c r="AL326" s="42">
        <f>'1kpi_performance'!B326</f>
        <v>0.6035501063</v>
      </c>
      <c r="AM326" s="42">
        <f>'1kpi_performance'!C326</f>
        <v>0.8461532293</v>
      </c>
      <c r="AN326" s="42">
        <f>'1kpi_performance'!D326</f>
        <v>0.545211302</v>
      </c>
      <c r="AO326" s="42">
        <f>'1kpi_performance'!E326</f>
        <v>0.1617576064</v>
      </c>
      <c r="AP326" s="42">
        <f>'1kpi_performance'!F326</f>
        <v>0.2221408235</v>
      </c>
      <c r="AQ326" s="42">
        <f>'1kpi_performance'!G326</f>
        <v>0.2384781762</v>
      </c>
      <c r="AR326" s="42">
        <f>'1kpi_performance'!H326</f>
        <v>0.2546782276</v>
      </c>
      <c r="AS326" s="42">
        <f>'1kpi_performance'!I326</f>
        <v>0.3459322896</v>
      </c>
      <c r="AT326" s="35">
        <f>'1kpi_performance'!J326</f>
        <v>2.604429465</v>
      </c>
      <c r="AU326" s="35">
        <f>'1kpi_performance'!K326</f>
        <v>3.443305556</v>
      </c>
      <c r="AV326" s="35">
        <f>'1kpi_performance'!L326</f>
        <v>2.042621809</v>
      </c>
      <c r="AW326" s="35">
        <f>'1kpi_performance'!M326</f>
        <v>0.395330562</v>
      </c>
      <c r="AX326" s="42">
        <f>'1kpi_performance'!N326</f>
        <v>0.1075973619</v>
      </c>
      <c r="AY326" s="42">
        <f>'1kpi_performance'!O326</f>
        <v>0.1006257822</v>
      </c>
      <c r="AZ326" s="42">
        <f>'1kpi_performance'!P326</f>
        <v>0.3779247705</v>
      </c>
      <c r="BA326" s="42">
        <f>'1kpi_performance'!Q326</f>
        <v>0.4752282592</v>
      </c>
      <c r="BB326" s="35">
        <f>'1kpi_performance'!R326</f>
        <v>5.833344376</v>
      </c>
      <c r="BC326" s="35">
        <f>'1kpi_performance'!S326</f>
        <v>8.16396964</v>
      </c>
      <c r="BD326" s="35">
        <f>'1kpi_performance'!T326</f>
        <v>4.091244022</v>
      </c>
      <c r="BE326" s="35">
        <f>'1kpi_performance'!U326</f>
        <v>0.7806344179</v>
      </c>
      <c r="BF326" s="47"/>
      <c r="BG326" s="47"/>
      <c r="BH326" s="47"/>
      <c r="BI326" s="47"/>
      <c r="BJ326" s="47"/>
      <c r="BK326" s="47"/>
      <c r="BL326" s="47"/>
      <c r="BM326" s="47"/>
      <c r="BN326" s="47"/>
      <c r="BO326" s="47"/>
      <c r="BP326" s="47"/>
      <c r="BQ326" s="47"/>
      <c r="BR326" s="47"/>
      <c r="BS326" s="47"/>
      <c r="BT326" s="47"/>
    </row>
    <row r="327" ht="11.25" customHeight="1">
      <c r="A327" s="35" t="str">
        <f>'13all_company_profile'!A327</f>
        <v>JBHT</v>
      </c>
      <c r="B327" s="35" t="str">
        <f>'13all_company_profile'!B327</f>
        <v>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v>
      </c>
      <c r="C327" s="44" t="str">
        <f>'13all_company_profile'!C327</f>
        <v>https://financialmodelingprep.com/image-stock/JBHT.png</v>
      </c>
      <c r="D327" s="35" t="str">
        <f>'13all_company_profile'!D327</f>
        <v>J.B. Hunt Transport Services, Inc.</v>
      </c>
      <c r="E327" s="36">
        <f>'13all_company_profile'!E327</f>
        <v>17727367168</v>
      </c>
      <c r="F327" s="37">
        <f>'13all_company_profile'!F327</f>
        <v>633217</v>
      </c>
      <c r="G327" s="35">
        <f>'13all_company_profile'!G327</f>
        <v>1.12</v>
      </c>
      <c r="H327" s="38">
        <f>'13all_company_profile'!H327</f>
        <v>44396</v>
      </c>
      <c r="I327" s="35">
        <f>'13all_company_profile'!I327</f>
        <v>32.08731</v>
      </c>
      <c r="J327" s="35">
        <f>'13all_company_profile'!J327</f>
        <v>5.131</v>
      </c>
      <c r="K327" s="42">
        <f t="shared" si="1"/>
        <v>0.006815139345</v>
      </c>
      <c r="L327" s="35">
        <f>'7company_info'!B327</f>
        <v>164.34</v>
      </c>
      <c r="M327" s="35">
        <f>'7company_info'!C327</f>
        <v>165.47</v>
      </c>
      <c r="N327" s="35">
        <f>'7company_info'!D327</f>
        <v>159.12</v>
      </c>
      <c r="O327" s="35">
        <f>'7company_info'!E327</f>
        <v>4.66</v>
      </c>
      <c r="P327" s="35">
        <f>'7company_info'!F327</f>
        <v>0.0292</v>
      </c>
      <c r="Q327" s="35">
        <f>'7company_info'!G327</f>
        <v>160.15</v>
      </c>
      <c r="R327" s="35">
        <f>'7company_info'!H327</f>
        <v>159.68</v>
      </c>
      <c r="S327" s="35">
        <f>'7company_info'!I327</f>
        <v>119.22</v>
      </c>
      <c r="T327" s="35">
        <f>'7company_info'!J327</f>
        <v>183.8</v>
      </c>
      <c r="U327" s="39">
        <v>169.696666666666</v>
      </c>
      <c r="V327" s="39">
        <v>172.023333333333</v>
      </c>
      <c r="W327" s="40">
        <v>174.416666666666</v>
      </c>
      <c r="X327" s="40">
        <v>179.136666666666</v>
      </c>
      <c r="Y327" s="40">
        <v>167.303333333333</v>
      </c>
      <c r="Z327" s="40">
        <v>164.976666666666</v>
      </c>
      <c r="AA327" s="40">
        <v>160.256666666666</v>
      </c>
      <c r="AB327" s="40">
        <v>162.99</v>
      </c>
      <c r="AC327" s="40">
        <v>166.07</v>
      </c>
      <c r="AD327" s="40">
        <v>164.958371846038</v>
      </c>
      <c r="AE327" s="40">
        <v>159.69404</v>
      </c>
      <c r="AF327" s="40">
        <v>3.63797999999999</v>
      </c>
      <c r="AG327" s="40">
        <v>183.8</v>
      </c>
      <c r="AH327" s="45">
        <v>44326.0</v>
      </c>
      <c r="AI327" s="44" t="str">
        <f>'6image_RS_benchmark_performance'!B327</f>
        <v>https://3arbzfbsh-cname-us.ngrok.io/Desktop/seabridge%20fintech/image_app/JBHT_resistance_support.jpg</v>
      </c>
      <c r="AJ327" s="44" t="str">
        <f>'6image_RS_benchmark_performance'!C327</f>
        <v>https://3arbzfbsh-cname-us.ngrok.io/Desktop/seabridge%20fintech/profit_graph_app/JBHT_Return.jpg</v>
      </c>
      <c r="AK327" s="46" t="str">
        <f>'5price_action_icon'!B327</f>
        <v>https://3arbzfbsh-cname-us.ngrok.io/Desktop/seabridge%20fintech/icon/JBHT_pa_trend_signal</v>
      </c>
      <c r="AL327" s="42">
        <f>'1kpi_performance'!B327</f>
        <v>0.5508108226</v>
      </c>
      <c r="AM327" s="42">
        <f>'1kpi_performance'!C327</f>
        <v>0.6626906999</v>
      </c>
      <c r="AN327" s="42">
        <f>'1kpi_performance'!D327</f>
        <v>0.6971781121</v>
      </c>
      <c r="AO327" s="42">
        <f>'1kpi_performance'!E327</f>
        <v>0.2266709465</v>
      </c>
      <c r="AP327" s="42">
        <f>'1kpi_performance'!F327</f>
        <v>0.2157550721</v>
      </c>
      <c r="AQ327" s="42">
        <f>'1kpi_performance'!G327</f>
        <v>0.2053150384</v>
      </c>
      <c r="AR327" s="42">
        <f>'1kpi_performance'!H327</f>
        <v>0.2261113245</v>
      </c>
      <c r="AS327" s="42">
        <f>'1kpi_performance'!I327</f>
        <v>0.3012837693</v>
      </c>
      <c r="AT327" s="35">
        <f>'1kpi_performance'!J327</f>
        <v>2.437072823</v>
      </c>
      <c r="AU327" s="35">
        <f>'1kpi_performance'!K327</f>
        <v>3.105913258</v>
      </c>
      <c r="AV327" s="35">
        <f>'1kpi_performance'!L327</f>
        <v>2.972775085</v>
      </c>
      <c r="AW327" s="35">
        <f>'1kpi_performance'!M327</f>
        <v>0.6693720904</v>
      </c>
      <c r="AX327" s="42">
        <f>'1kpi_performance'!N327</f>
        <v>0.1691330703</v>
      </c>
      <c r="AY327" s="42">
        <f>'1kpi_performance'!O327</f>
        <v>0.1017861915</v>
      </c>
      <c r="AZ327" s="42">
        <f>'1kpi_performance'!P327</f>
        <v>0.3401033004</v>
      </c>
      <c r="BA327" s="42">
        <f>'1kpi_performance'!Q327</f>
        <v>0.4237884116</v>
      </c>
      <c r="BB327" s="35">
        <f>'1kpi_performance'!R327</f>
        <v>5.328320524</v>
      </c>
      <c r="BC327" s="35">
        <f>'1kpi_performance'!S327</f>
        <v>7.20724824</v>
      </c>
      <c r="BD327" s="35">
        <f>'1kpi_performance'!T327</f>
        <v>6.367572599</v>
      </c>
      <c r="BE327" s="35">
        <f>'1kpi_performance'!U327</f>
        <v>1.344565762</v>
      </c>
      <c r="BF327" s="47"/>
      <c r="BG327" s="47"/>
      <c r="BH327" s="47"/>
      <c r="BI327" s="47"/>
      <c r="BJ327" s="47"/>
      <c r="BK327" s="47"/>
      <c r="BL327" s="47"/>
      <c r="BM327" s="47"/>
      <c r="BN327" s="47"/>
      <c r="BO327" s="47"/>
      <c r="BP327" s="47"/>
      <c r="BQ327" s="47"/>
      <c r="BR327" s="47"/>
      <c r="BS327" s="47"/>
      <c r="BT327" s="47"/>
    </row>
    <row r="328" ht="11.25" customHeight="1">
      <c r="A328" s="35" t="str">
        <f>'13all_company_profile'!A328</f>
        <v>JCI</v>
      </c>
      <c r="B328" s="35" t="str">
        <f>'13all_company_profile'!B328</f>
        <v>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v>
      </c>
      <c r="C328" s="44" t="str">
        <f>'13all_company_profile'!C328</f>
        <v>https://financialmodelingprep.com/image-stock/JCI.png</v>
      </c>
      <c r="D328" s="35" t="str">
        <f>'13all_company_profile'!D328</f>
        <v>Johnson Controls International plc</v>
      </c>
      <c r="E328" s="36">
        <f>'13all_company_profile'!E328</f>
        <v>50299060224</v>
      </c>
      <c r="F328" s="37">
        <f>'13all_company_profile'!F328</f>
        <v>4372995</v>
      </c>
      <c r="G328" s="35">
        <f>'13all_company_profile'!G328</f>
        <v>1.06</v>
      </c>
      <c r="H328" s="38">
        <f>'13all_company_profile'!H328</f>
        <v>44406</v>
      </c>
      <c r="I328" s="35">
        <f>'13all_company_profile'!I328</f>
        <v>48.302082</v>
      </c>
      <c r="J328" s="35">
        <f>'13all_company_profile'!J328</f>
        <v>1.44</v>
      </c>
      <c r="K328" s="42">
        <f t="shared" si="1"/>
        <v>0.01519931173</v>
      </c>
      <c r="L328" s="35">
        <f>'7company_info'!B328</f>
        <v>69.74</v>
      </c>
      <c r="M328" s="35">
        <f>'7company_info'!C328</f>
        <v>69.95</v>
      </c>
      <c r="N328" s="35">
        <f>'7company_info'!D328</f>
        <v>67.99</v>
      </c>
      <c r="O328" s="35">
        <f>'7company_info'!E328</f>
        <v>1.71</v>
      </c>
      <c r="P328" s="35">
        <f>'7company_info'!F328</f>
        <v>0.0251</v>
      </c>
      <c r="Q328" s="35">
        <f>'7company_info'!G328</f>
        <v>67.99</v>
      </c>
      <c r="R328" s="35">
        <f>'7company_info'!H328</f>
        <v>68.03</v>
      </c>
      <c r="S328" s="35">
        <f>'7company_info'!I328</f>
        <v>36.41</v>
      </c>
      <c r="T328" s="35">
        <f>'7company_info'!J328</f>
        <v>70.81</v>
      </c>
      <c r="U328" s="39">
        <v>70.0033333333333</v>
      </c>
      <c r="V328" s="39">
        <v>70.2966666666666</v>
      </c>
      <c r="W328" s="40">
        <v>70.7433333333333</v>
      </c>
      <c r="X328" s="40">
        <v>71.4833333333333</v>
      </c>
      <c r="Y328" s="40">
        <v>69.5566666666666</v>
      </c>
      <c r="Z328" s="40">
        <v>69.2633333333333</v>
      </c>
      <c r="AA328" s="40">
        <v>68.5233333333333</v>
      </c>
      <c r="AB328" s="40">
        <v>67.57</v>
      </c>
      <c r="AC328" s="40">
        <v>70.81</v>
      </c>
      <c r="AD328" s="40">
        <v>68.3617448354327</v>
      </c>
      <c r="AE328" s="40">
        <v>67.0829</v>
      </c>
      <c r="AF328" s="40">
        <v>1.2398</v>
      </c>
      <c r="AG328" s="40">
        <v>68.33</v>
      </c>
      <c r="AH328" s="45">
        <v>44348.0</v>
      </c>
      <c r="AI328" s="44" t="str">
        <f>'6image_RS_benchmark_performance'!B328</f>
        <v>https://3arbzfbsh-cname-us.ngrok.io/Desktop/seabridge%20fintech/image_app/JCI_resistance_support.jpg</v>
      </c>
      <c r="AJ328" s="44" t="str">
        <f>'6image_RS_benchmark_performance'!C328</f>
        <v>https://3arbzfbsh-cname-us.ngrok.io/Desktop/seabridge%20fintech/profit_graph_app/JCI_Return.jpg</v>
      </c>
      <c r="AK328" s="46" t="str">
        <f>'5price_action_icon'!B328</f>
        <v>https://3arbzfbsh-cname-us.ngrok.io/Desktop/seabridge%20fintech/icon/JCI_pa_trend_signal</v>
      </c>
      <c r="AL328" s="42">
        <f>'1kpi_performance'!B328</f>
        <v>0.4336374274</v>
      </c>
      <c r="AM328" s="42">
        <f>'1kpi_performance'!C328</f>
        <v>0.5653412862</v>
      </c>
      <c r="AN328" s="42">
        <f>'1kpi_performance'!D328</f>
        <v>0.6619235928</v>
      </c>
      <c r="AO328" s="42">
        <f>'1kpi_performance'!E328</f>
        <v>0.1901088682</v>
      </c>
      <c r="AP328" s="42">
        <f>'1kpi_performance'!F328</f>
        <v>0.2013016916</v>
      </c>
      <c r="AQ328" s="42">
        <f>'1kpi_performance'!G328</f>
        <v>0.2051391515</v>
      </c>
      <c r="AR328" s="42">
        <f>'1kpi_performance'!H328</f>
        <v>0.2058642925</v>
      </c>
      <c r="AS328" s="42">
        <f>'1kpi_performance'!I328</f>
        <v>0.2961936425</v>
      </c>
      <c r="AT328" s="35">
        <f>'1kpi_performance'!J328</f>
        <v>2.029975129</v>
      </c>
      <c r="AU328" s="35">
        <f>'1kpi_performance'!K328</f>
        <v>2.634023209</v>
      </c>
      <c r="AV328" s="35">
        <f>'1kpi_performance'!L328</f>
        <v>3.093900283</v>
      </c>
      <c r="AW328" s="35">
        <f>'1kpi_performance'!M328</f>
        <v>0.5574355575</v>
      </c>
      <c r="AX328" s="42">
        <f>'1kpi_performance'!N328</f>
        <v>0.1327185413</v>
      </c>
      <c r="AY328" s="42">
        <f>'1kpi_performance'!O328</f>
        <v>0.1084024871</v>
      </c>
      <c r="AZ328" s="42">
        <f>'1kpi_performance'!P328</f>
        <v>0.1957909694</v>
      </c>
      <c r="BA328" s="42">
        <f>'1kpi_performance'!Q328</f>
        <v>0.4879058618</v>
      </c>
      <c r="BB328" s="35">
        <f>'1kpi_performance'!R328</f>
        <v>4.315580818</v>
      </c>
      <c r="BC328" s="35">
        <f>'1kpi_performance'!S328</f>
        <v>5.895913989</v>
      </c>
      <c r="BD328" s="35">
        <f>'1kpi_performance'!T328</f>
        <v>6.841855007</v>
      </c>
      <c r="BE328" s="35">
        <f>'1kpi_performance'!U328</f>
        <v>1.085850121</v>
      </c>
      <c r="BF328" s="47"/>
      <c r="BG328" s="47"/>
      <c r="BH328" s="47"/>
      <c r="BI328" s="47"/>
      <c r="BJ328" s="47"/>
      <c r="BK328" s="47"/>
      <c r="BL328" s="47"/>
      <c r="BM328" s="47"/>
      <c r="BN328" s="47"/>
      <c r="BO328" s="47"/>
      <c r="BP328" s="47"/>
      <c r="BQ328" s="47"/>
      <c r="BR328" s="47"/>
      <c r="BS328" s="47"/>
      <c r="BT328" s="47"/>
    </row>
    <row r="329" ht="11.25" customHeight="1">
      <c r="A329" s="35" t="str">
        <f>'13all_company_profile'!A329</f>
        <v>JD</v>
      </c>
      <c r="B329" s="35" t="str">
        <f>'13all_company_profile'!B329</f>
        <v>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v>
      </c>
      <c r="C329" s="44" t="str">
        <f>'13all_company_profile'!C329</f>
        <v>https://financialmodelingprep.com/image-stock/JD.png</v>
      </c>
      <c r="D329" s="35" t="str">
        <f>'13all_company_profile'!D329</f>
        <v>JD.com, Inc.</v>
      </c>
      <c r="E329" s="36">
        <f>'13all_company_profile'!E329</f>
        <v>120972263424</v>
      </c>
      <c r="F329" s="37">
        <f>'13all_company_profile'!F329</f>
        <v>11269263</v>
      </c>
      <c r="G329" s="35">
        <f>'13all_company_profile'!G329</f>
        <v>0</v>
      </c>
      <c r="H329" s="38" t="str">
        <f>'13all_company_profile'!H329</f>
        <v>not avaiable</v>
      </c>
      <c r="I329" s="35">
        <f>'13all_company_profile'!I329</f>
        <v>14.867693</v>
      </c>
      <c r="J329" s="35">
        <f>'13all_company_profile'!J329</f>
        <v>5.064</v>
      </c>
      <c r="K329" s="42" t="str">
        <f t="shared" si="1"/>
        <v>NaN</v>
      </c>
      <c r="L329" s="35">
        <f>'7company_info'!B329</f>
        <v>73.87</v>
      </c>
      <c r="M329" s="35">
        <f>'7company_info'!C329</f>
        <v>74.25</v>
      </c>
      <c r="N329" s="35">
        <f>'7company_info'!D329</f>
        <v>72.8</v>
      </c>
      <c r="O329" s="35">
        <f>'7company_info'!E329</f>
        <v>-0.35</v>
      </c>
      <c r="P329" s="35">
        <f>'7company_info'!F329</f>
        <v>-0.0047</v>
      </c>
      <c r="Q329" s="35">
        <f>'7company_info'!G329</f>
        <v>74.16</v>
      </c>
      <c r="R329" s="35">
        <f>'7company_info'!H329</f>
        <v>74.22</v>
      </c>
      <c r="S329" s="35">
        <f>'7company_info'!I329</f>
        <v>58.76</v>
      </c>
      <c r="T329" s="35">
        <f>'7company_info'!J329</f>
        <v>108.29</v>
      </c>
      <c r="U329" s="39">
        <v>75.5333333333333</v>
      </c>
      <c r="V329" s="39">
        <v>76.5466666666666</v>
      </c>
      <c r="W329" s="40">
        <v>77.6433333333333</v>
      </c>
      <c r="X329" s="40">
        <v>79.7533333333333</v>
      </c>
      <c r="Y329" s="40">
        <v>74.4366666666666</v>
      </c>
      <c r="Z329" s="40">
        <v>73.4233333333333</v>
      </c>
      <c r="AA329" s="40">
        <v>71.3133333333333</v>
      </c>
      <c r="AB329" s="40">
        <v>69.83</v>
      </c>
      <c r="AC329" s="40">
        <v>78.5</v>
      </c>
      <c r="AD329" s="40">
        <v>74.5464104548517</v>
      </c>
      <c r="AE329" s="40">
        <v>71.643</v>
      </c>
      <c r="AF329" s="40">
        <v>2.49749999999999</v>
      </c>
      <c r="AG329" s="40">
        <v>108.29</v>
      </c>
      <c r="AH329" s="45">
        <v>44244.0</v>
      </c>
      <c r="AI329" s="44" t="str">
        <f>'6image_RS_benchmark_performance'!B329</f>
        <v>https://3arbzfbsh-cname-us.ngrok.io/Desktop/seabridge%20fintech/image_app/JD_resistance_support.jpg</v>
      </c>
      <c r="AJ329" s="44" t="str">
        <f>'6image_RS_benchmark_performance'!C329</f>
        <v>https://3arbzfbsh-cname-us.ngrok.io/Desktop/seabridge%20fintech/profit_graph_app/JD_Return.jpg</v>
      </c>
      <c r="AK329" s="46" t="str">
        <f>'5price_action_icon'!B329</f>
        <v>https://3arbzfbsh-cname-us.ngrok.io/Desktop/seabridge%20fintech/icon/JD_pa_trend_signal</v>
      </c>
      <c r="AL329" s="42">
        <f>'1kpi_performance'!B329</f>
        <v>0.968908953</v>
      </c>
      <c r="AM329" s="42">
        <f>'1kpi_performance'!C329</f>
        <v>1.338869998</v>
      </c>
      <c r="AN329" s="42">
        <f>'1kpi_performance'!D329</f>
        <v>0.8500681942</v>
      </c>
      <c r="AO329" s="42">
        <f>'1kpi_performance'!E329</f>
        <v>0.2930836522</v>
      </c>
      <c r="AP329" s="42">
        <f>'1kpi_performance'!F329</f>
        <v>0.3696467922</v>
      </c>
      <c r="AQ329" s="42">
        <f>'1kpi_performance'!G329</f>
        <v>0.3599013423</v>
      </c>
      <c r="AR329" s="42">
        <f>'1kpi_performance'!H329</f>
        <v>0.3688597472</v>
      </c>
      <c r="AS329" s="42">
        <f>'1kpi_performance'!I329</f>
        <v>0.5084008079</v>
      </c>
      <c r="AT329" s="35">
        <f>'1kpi_performance'!J329</f>
        <v>2.55354293</v>
      </c>
      <c r="AU329" s="35">
        <f>'1kpi_performance'!K329</f>
        <v>3.650639339</v>
      </c>
      <c r="AV329" s="35">
        <f>'1kpi_performance'!L329</f>
        <v>2.236807351</v>
      </c>
      <c r="AW329" s="35">
        <f>'1kpi_performance'!M329</f>
        <v>0.5273076833</v>
      </c>
      <c r="AX329" s="42">
        <f>'1kpi_performance'!N329</f>
        <v>0.2477960615</v>
      </c>
      <c r="AY329" s="42">
        <f>'1kpi_performance'!O329</f>
        <v>0.1540197864</v>
      </c>
      <c r="AZ329" s="42">
        <f>'1kpi_performance'!P329</f>
        <v>0.4998854812</v>
      </c>
      <c r="BA329" s="42">
        <f>'1kpi_performance'!Q329</f>
        <v>0.6184158416</v>
      </c>
      <c r="BB329" s="35">
        <f>'1kpi_performance'!R329</f>
        <v>5.440685339</v>
      </c>
      <c r="BC329" s="35">
        <f>'1kpi_performance'!S329</f>
        <v>8.70153683</v>
      </c>
      <c r="BD329" s="35">
        <f>'1kpi_performance'!T329</f>
        <v>4.694947155</v>
      </c>
      <c r="BE329" s="35">
        <f>'1kpi_performance'!U329</f>
        <v>1.092409389</v>
      </c>
      <c r="BF329" s="47"/>
      <c r="BG329" s="47"/>
      <c r="BH329" s="47"/>
      <c r="BI329" s="47"/>
      <c r="BJ329" s="47"/>
      <c r="BK329" s="47"/>
      <c r="BL329" s="47"/>
      <c r="BM329" s="47"/>
      <c r="BN329" s="47"/>
      <c r="BO329" s="47"/>
      <c r="BP329" s="47"/>
      <c r="BQ329" s="47"/>
      <c r="BR329" s="47"/>
      <c r="BS329" s="47"/>
      <c r="BT329" s="47"/>
    </row>
    <row r="330" ht="11.25" customHeight="1">
      <c r="A330" s="35" t="str">
        <f>'13all_company_profile'!A330</f>
        <v>JEF</v>
      </c>
      <c r="B330" s="35" t="str">
        <f>'13all_company_profile'!B330</f>
        <v>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v>
      </c>
      <c r="C330" s="44" t="str">
        <f>'13all_company_profile'!C330</f>
        <v>https://financialmodelingprep.com/image-stock/JEF.png</v>
      </c>
      <c r="D330" s="35" t="str">
        <f>'13all_company_profile'!D330</f>
        <v>Jefferies Financial Group Inc.</v>
      </c>
      <c r="E330" s="36">
        <f>'13all_company_profile'!E330</f>
        <v>8393081344</v>
      </c>
      <c r="F330" s="37">
        <f>'13all_company_profile'!F330</f>
        <v>2074776</v>
      </c>
      <c r="G330" s="35">
        <f>'13all_company_profile'!G330</f>
        <v>0.7</v>
      </c>
      <c r="H330" s="38" t="str">
        <f>'13all_company_profile'!H330</f>
        <v>not avaiable</v>
      </c>
      <c r="I330" s="35">
        <f>'13all_company_profile'!I330</f>
        <v>6.0203714</v>
      </c>
      <c r="J330" s="35">
        <f>'13all_company_profile'!J330</f>
        <v>5.547</v>
      </c>
      <c r="K330" s="42">
        <f t="shared" si="1"/>
        <v>0.02123142251</v>
      </c>
      <c r="L330" s="35">
        <f>'7company_info'!B330</f>
        <v>32.97</v>
      </c>
      <c r="M330" s="35">
        <f>'7company_info'!C330</f>
        <v>33.45</v>
      </c>
      <c r="N330" s="35">
        <f>'7company_info'!D330</f>
        <v>32.44</v>
      </c>
      <c r="O330" s="35">
        <f>'7company_info'!E330</f>
        <v>0.81</v>
      </c>
      <c r="P330" s="35">
        <f>'7company_info'!F330</f>
        <v>0.0252</v>
      </c>
      <c r="Q330" s="35">
        <f>'7company_info'!G330</f>
        <v>32.82</v>
      </c>
      <c r="R330" s="35">
        <f>'7company_info'!H330</f>
        <v>32.16</v>
      </c>
      <c r="S330" s="35">
        <f>'7company_info'!I330</f>
        <v>16</v>
      </c>
      <c r="T330" s="35">
        <f>'7company_info'!J330</f>
        <v>35.69</v>
      </c>
      <c r="U330" s="39">
        <v>34.1566666666666</v>
      </c>
      <c r="V330" s="39">
        <v>35.1733333333333</v>
      </c>
      <c r="W330" s="40">
        <v>36.7066666666666</v>
      </c>
      <c r="X330" s="40">
        <v>39.2566666666666</v>
      </c>
      <c r="Y330" s="40">
        <v>32.6233333333333</v>
      </c>
      <c r="Z330" s="40">
        <v>31.6066666666666</v>
      </c>
      <c r="AA330" s="40">
        <v>29.0566666666666</v>
      </c>
      <c r="AB330" s="40">
        <v>30.805</v>
      </c>
      <c r="AC330" s="40">
        <v>35.69</v>
      </c>
      <c r="AD330" s="40">
        <v>32.3153626741835</v>
      </c>
      <c r="AE330" s="40">
        <v>29.76196</v>
      </c>
      <c r="AF330" s="40">
        <v>1.24201999999999</v>
      </c>
      <c r="AG330" s="40">
        <v>34.98</v>
      </c>
      <c r="AH330" s="45">
        <v>44376.0</v>
      </c>
      <c r="AI330" s="44" t="str">
        <f>'6image_RS_benchmark_performance'!B330</f>
        <v>https://3arbzfbsh-cname-us.ngrok.io/Desktop/seabridge%20fintech/image_app/JEF_resistance_support.jpg</v>
      </c>
      <c r="AJ330" s="44" t="str">
        <f>'6image_RS_benchmark_performance'!C330</f>
        <v>https://3arbzfbsh-cname-us.ngrok.io/Desktop/seabridge%20fintech/profit_graph_app/JEF_Return.jpg</v>
      </c>
      <c r="AK330" s="46" t="str">
        <f>'5price_action_icon'!B330</f>
        <v>https://3arbzfbsh-cname-us.ngrok.io/Desktop/seabridge%20fintech/icon/JEF_pa_trend_signal</v>
      </c>
      <c r="AL330" s="42">
        <f>'1kpi_performance'!B330</f>
        <v>0.6247194762</v>
      </c>
      <c r="AM330" s="42">
        <f>'1kpi_performance'!C330</f>
        <v>0.7615679986</v>
      </c>
      <c r="AN330" s="42">
        <f>'1kpi_performance'!D330</f>
        <v>0.664981775</v>
      </c>
      <c r="AO330" s="42">
        <f>'1kpi_performance'!E330</f>
        <v>0.05244437128</v>
      </c>
      <c r="AP330" s="42">
        <f>'1kpi_performance'!F330</f>
        <v>0.252129037</v>
      </c>
      <c r="AQ330" s="42">
        <f>'1kpi_performance'!G330</f>
        <v>0.253967394</v>
      </c>
      <c r="AR330" s="42">
        <f>'1kpi_performance'!H330</f>
        <v>0.2721069946</v>
      </c>
      <c r="AS330" s="42">
        <f>'1kpi_performance'!I330</f>
        <v>0.3833047567</v>
      </c>
      <c r="AT330" s="35">
        <f>'1kpi_performance'!J330</f>
        <v>2.378621214</v>
      </c>
      <c r="AU330" s="35">
        <f>'1kpi_performance'!K330</f>
        <v>2.900246315</v>
      </c>
      <c r="AV330" s="35">
        <f>'1kpi_performance'!L330</f>
        <v>2.351949005</v>
      </c>
      <c r="AW330" s="35">
        <f>'1kpi_performance'!M330</f>
        <v>0.07159934961</v>
      </c>
      <c r="AX330" s="42">
        <f>'1kpi_performance'!N330</f>
        <v>0.2104899036</v>
      </c>
      <c r="AY330" s="42">
        <f>'1kpi_performance'!O330</f>
        <v>0.2051282051</v>
      </c>
      <c r="AZ330" s="42">
        <f>'1kpi_performance'!P330</f>
        <v>0.3961251707</v>
      </c>
      <c r="BA330" s="42">
        <f>'1kpi_performance'!Q330</f>
        <v>0.6597682259</v>
      </c>
      <c r="BB330" s="35">
        <f>'1kpi_performance'!R330</f>
        <v>5.033297703</v>
      </c>
      <c r="BC330" s="35">
        <f>'1kpi_performance'!S330</f>
        <v>6.577238743</v>
      </c>
      <c r="BD330" s="35">
        <f>'1kpi_performance'!T330</f>
        <v>4.708335015</v>
      </c>
      <c r="BE330" s="35">
        <f>'1kpi_performance'!U330</f>
        <v>0.1379634692</v>
      </c>
      <c r="BF330" s="47"/>
      <c r="BG330" s="47"/>
      <c r="BH330" s="47"/>
      <c r="BI330" s="47"/>
      <c r="BJ330" s="47"/>
      <c r="BK330" s="47"/>
      <c r="BL330" s="47"/>
      <c r="BM330" s="47"/>
      <c r="BN330" s="47"/>
      <c r="BO330" s="47"/>
      <c r="BP330" s="47"/>
      <c r="BQ330" s="47"/>
      <c r="BR330" s="47"/>
      <c r="BS330" s="47"/>
      <c r="BT330" s="47"/>
    </row>
    <row r="331" ht="11.25" customHeight="1">
      <c r="A331" s="35" t="str">
        <f>'13all_company_profile'!A331</f>
        <v>JKHY</v>
      </c>
      <c r="B331" s="35" t="str">
        <f>'13all_company_profile'!B331</f>
        <v>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v>
      </c>
      <c r="C331" s="44" t="str">
        <f>'13all_company_profile'!C331</f>
        <v>https://financialmodelingprep.com/image-stock/JKHY.png</v>
      </c>
      <c r="D331" s="35" t="str">
        <f>'13all_company_profile'!D331</f>
        <v>Jack Henry &amp; Associates, Inc.</v>
      </c>
      <c r="E331" s="36">
        <f>'13all_company_profile'!E331</f>
        <v>12659031040</v>
      </c>
      <c r="F331" s="37">
        <f>'13all_company_profile'!F331</f>
        <v>504787</v>
      </c>
      <c r="G331" s="35">
        <f>'13all_company_profile'!G331</f>
        <v>1.78</v>
      </c>
      <c r="H331" s="38" t="str">
        <f>'13all_company_profile'!H331</f>
        <v>not avaiable</v>
      </c>
      <c r="I331" s="35">
        <f>'13all_company_profile'!I331</f>
        <v>44.51779</v>
      </c>
      <c r="J331" s="35">
        <f>'13all_company_profile'!J331</f>
        <v>3.878</v>
      </c>
      <c r="K331" s="42">
        <f t="shared" si="1"/>
        <v>0.01025168462</v>
      </c>
      <c r="L331" s="35">
        <f>'7company_info'!B331</f>
        <v>173.63</v>
      </c>
      <c r="M331" s="35">
        <f>'7company_info'!C331</f>
        <v>173.88</v>
      </c>
      <c r="N331" s="35">
        <f>'7company_info'!D331</f>
        <v>171.04</v>
      </c>
      <c r="O331" s="35">
        <f>'7company_info'!E331</f>
        <v>3.28</v>
      </c>
      <c r="P331" s="35">
        <f>'7company_info'!F331</f>
        <v>0.0193</v>
      </c>
      <c r="Q331" s="35">
        <f>'7company_info'!G331</f>
        <v>171.1</v>
      </c>
      <c r="R331" s="35">
        <f>'7company_info'!H331</f>
        <v>170.35</v>
      </c>
      <c r="S331" s="35">
        <f>'7company_info'!I331</f>
        <v>141.65</v>
      </c>
      <c r="T331" s="35">
        <f>'7company_info'!J331</f>
        <v>200.98</v>
      </c>
      <c r="U331" s="39">
        <v>167.633333333333</v>
      </c>
      <c r="V331" s="39">
        <v>169.026666666666</v>
      </c>
      <c r="W331" s="40">
        <v>169.743333333333</v>
      </c>
      <c r="X331" s="40">
        <v>171.853333333333</v>
      </c>
      <c r="Y331" s="40">
        <v>166.916666666666</v>
      </c>
      <c r="Z331" s="40">
        <v>165.523333333333</v>
      </c>
      <c r="AA331" s="40">
        <v>163.413333333333</v>
      </c>
      <c r="AB331" s="40">
        <v>163.0</v>
      </c>
      <c r="AC331" s="40">
        <v>166.93</v>
      </c>
      <c r="AD331" s="40">
        <v>165.058692054187</v>
      </c>
      <c r="AE331" s="40">
        <v>161.746189999999</v>
      </c>
      <c r="AF331" s="40">
        <v>2.499655</v>
      </c>
      <c r="AG331" s="40">
        <v>170.36</v>
      </c>
      <c r="AH331" s="45">
        <v>44309.0</v>
      </c>
      <c r="AI331" s="44" t="str">
        <f>'6image_RS_benchmark_performance'!B331</f>
        <v>https://3arbzfbsh-cname-us.ngrok.io/Desktop/seabridge%20fintech/image_app/JKHY_resistance_support.jpg</v>
      </c>
      <c r="AJ331" s="44" t="str">
        <f>'6image_RS_benchmark_performance'!C331</f>
        <v>https://3arbzfbsh-cname-us.ngrok.io/Desktop/seabridge%20fintech/profit_graph_app/JKHY_Return.jpg</v>
      </c>
      <c r="AK331" s="46" t="str">
        <f>'5price_action_icon'!B331</f>
        <v>https://3arbzfbsh-cname-us.ngrok.io/Desktop/seabridge%20fintech/icon/JKHY_pa_trend_signal</v>
      </c>
      <c r="AL331" s="42">
        <f>'1kpi_performance'!B331</f>
        <v>0.4253244219</v>
      </c>
      <c r="AM331" s="42">
        <f>'1kpi_performance'!C331</f>
        <v>0.4997550715</v>
      </c>
      <c r="AN331" s="42">
        <f>'1kpi_performance'!D331</f>
        <v>0.3512097594</v>
      </c>
      <c r="AO331" s="42">
        <f>'1kpi_performance'!E331</f>
        <v>0.2822437999</v>
      </c>
      <c r="AP331" s="42">
        <f>'1kpi_performance'!F331</f>
        <v>0.1679800488</v>
      </c>
      <c r="AQ331" s="42">
        <f>'1kpi_performance'!G331</f>
        <v>0.1748803995</v>
      </c>
      <c r="AR331" s="42">
        <f>'1kpi_performance'!H331</f>
        <v>0.1800612066</v>
      </c>
      <c r="AS331" s="42">
        <f>'1kpi_performance'!I331</f>
        <v>0.2561093068</v>
      </c>
      <c r="AT331" s="35">
        <f>'1kpi_performance'!J331</f>
        <v>2.383166482</v>
      </c>
      <c r="AU331" s="35">
        <f>'1kpi_performance'!K331</f>
        <v>2.714741462</v>
      </c>
      <c r="AV331" s="35">
        <f>'1kpi_performance'!L331</f>
        <v>1.81166041</v>
      </c>
      <c r="AW331" s="35">
        <f>'1kpi_performance'!M331</f>
        <v>1.004429722</v>
      </c>
      <c r="AX331" s="42">
        <f>'1kpi_performance'!N331</f>
        <v>0.181601877</v>
      </c>
      <c r="AY331" s="42">
        <f>'1kpi_performance'!O331</f>
        <v>0.08700211128</v>
      </c>
      <c r="AZ331" s="42">
        <f>'1kpi_performance'!P331</f>
        <v>0.2163845224</v>
      </c>
      <c r="BA331" s="42">
        <f>'1kpi_performance'!Q331</f>
        <v>0.2750809061</v>
      </c>
      <c r="BB331" s="35">
        <f>'1kpi_performance'!R331</f>
        <v>4.661996552</v>
      </c>
      <c r="BC331" s="35">
        <f>'1kpi_performance'!S331</f>
        <v>5.818818535</v>
      </c>
      <c r="BD331" s="35">
        <f>'1kpi_performance'!T331</f>
        <v>3.492940705</v>
      </c>
      <c r="BE331" s="35">
        <f>'1kpi_performance'!U331</f>
        <v>1.93783214</v>
      </c>
      <c r="BF331" s="47"/>
      <c r="BG331" s="47"/>
      <c r="BH331" s="47"/>
      <c r="BI331" s="47"/>
      <c r="BJ331" s="47"/>
      <c r="BK331" s="47"/>
      <c r="BL331" s="47"/>
      <c r="BM331" s="47"/>
      <c r="BN331" s="47"/>
      <c r="BO331" s="47"/>
      <c r="BP331" s="47"/>
      <c r="BQ331" s="47"/>
      <c r="BR331" s="47"/>
      <c r="BS331" s="47"/>
      <c r="BT331" s="47"/>
    </row>
    <row r="332" ht="11.25" customHeight="1">
      <c r="A332" s="35" t="str">
        <f>'13all_company_profile'!A332</f>
        <v>JNJ</v>
      </c>
      <c r="B332" s="35" t="str">
        <f>'13all_company_profile'!B332</f>
        <v>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v>
      </c>
      <c r="C332" s="44" t="str">
        <f>'13all_company_profile'!C332</f>
        <v>https://financialmodelingprep.com/image-stock/JNJ.png</v>
      </c>
      <c r="D332" s="35" t="str">
        <f>'13all_company_profile'!D332</f>
        <v>Johnson &amp; Johnson</v>
      </c>
      <c r="E332" s="36">
        <f>'13all_company_profile'!E332</f>
        <v>443359232000</v>
      </c>
      <c r="F332" s="37">
        <f>'13all_company_profile'!F332</f>
        <v>6851338</v>
      </c>
      <c r="G332" s="35">
        <f>'13all_company_profile'!G332</f>
        <v>4.09</v>
      </c>
      <c r="H332" s="38">
        <f>'13all_company_profile'!H332</f>
        <v>44398</v>
      </c>
      <c r="I332" s="35">
        <f>'13all_company_profile'!I332</f>
        <v>29.812756</v>
      </c>
      <c r="J332" s="35">
        <f>'13all_company_profile'!J332</f>
        <v>5.661</v>
      </c>
      <c r="K332" s="42">
        <f t="shared" si="1"/>
        <v>0.02428020184</v>
      </c>
      <c r="L332" s="35">
        <f>'7company_info'!B332</f>
        <v>168.45</v>
      </c>
      <c r="M332" s="35">
        <f>'7company_info'!C332</f>
        <v>170.81</v>
      </c>
      <c r="N332" s="35">
        <f>'7company_info'!D332</f>
        <v>166.84</v>
      </c>
      <c r="O332" s="35">
        <f>'7company_info'!E332</f>
        <v>1.57</v>
      </c>
      <c r="P332" s="35">
        <f>'7company_info'!F332</f>
        <v>0.0094</v>
      </c>
      <c r="Q332" s="35">
        <f>'7company_info'!G332</f>
        <v>166.9</v>
      </c>
      <c r="R332" s="35">
        <f>'7company_info'!H332</f>
        <v>166.88</v>
      </c>
      <c r="S332" s="35">
        <f>'7company_info'!I332</f>
        <v>133.65</v>
      </c>
      <c r="T332" s="35">
        <f>'7company_info'!J332</f>
        <v>173.65</v>
      </c>
      <c r="U332" s="39">
        <v>170.096666666666</v>
      </c>
      <c r="V332" s="39">
        <v>171.153333333333</v>
      </c>
      <c r="W332" s="40">
        <v>171.886666666666</v>
      </c>
      <c r="X332" s="40">
        <v>173.676666666666</v>
      </c>
      <c r="Y332" s="40">
        <v>169.363333333333</v>
      </c>
      <c r="Z332" s="40">
        <v>168.306666666666</v>
      </c>
      <c r="AA332" s="40">
        <v>166.516666666666</v>
      </c>
      <c r="AB332" s="40">
        <v>169.04</v>
      </c>
      <c r="AC332" s="40">
        <v>170.37</v>
      </c>
      <c r="AD332" s="40">
        <v>167.298654959534</v>
      </c>
      <c r="AE332" s="40">
        <v>165.56021</v>
      </c>
      <c r="AF332" s="40">
        <v>1.870895</v>
      </c>
      <c r="AG332" s="40">
        <v>173.65</v>
      </c>
      <c r="AH332" s="45">
        <v>44222.0</v>
      </c>
      <c r="AI332" s="44" t="str">
        <f>'6image_RS_benchmark_performance'!B332</f>
        <v>https://3arbzfbsh-cname-us.ngrok.io/Desktop/seabridge%20fintech/image_app/JNJ_resistance_support.jpg</v>
      </c>
      <c r="AJ332" s="44" t="str">
        <f>'6image_RS_benchmark_performance'!C332</f>
        <v>https://3arbzfbsh-cname-us.ngrok.io/Desktop/seabridge%20fintech/profit_graph_app/JNJ_Return.jpg</v>
      </c>
      <c r="AK332" s="46" t="str">
        <f>'5price_action_icon'!B332</f>
        <v>https://3arbzfbsh-cname-us.ngrok.io/Desktop/seabridge%20fintech/icon/JNJ_pa_trend_signal</v>
      </c>
      <c r="AL332" s="42">
        <f>'1kpi_performance'!B332</f>
        <v>0.307982091</v>
      </c>
      <c r="AM332" s="42">
        <f>'1kpi_performance'!C332</f>
        <v>0.3965337766</v>
      </c>
      <c r="AN332" s="42">
        <f>'1kpi_performance'!D332</f>
        <v>0.3322045858</v>
      </c>
      <c r="AO332" s="42">
        <f>'1kpi_performance'!E332</f>
        <v>0.1298669779</v>
      </c>
      <c r="AP332" s="42">
        <f>'1kpi_performance'!F332</f>
        <v>0.1268509905</v>
      </c>
      <c r="AQ332" s="42">
        <f>'1kpi_performance'!G332</f>
        <v>0.133917155</v>
      </c>
      <c r="AR332" s="42">
        <f>'1kpi_performance'!H332</f>
        <v>0.1405313649</v>
      </c>
      <c r="AS332" s="42">
        <f>'1kpi_performance'!I332</f>
        <v>0.2029199471</v>
      </c>
      <c r="AT332" s="35">
        <f>'1kpi_performance'!J332</f>
        <v>2.230822872</v>
      </c>
      <c r="AU332" s="35">
        <f>'1kpi_performance'!K332</f>
        <v>2.774355359</v>
      </c>
      <c r="AV332" s="35">
        <f>'1kpi_performance'!L332</f>
        <v>2.186021506</v>
      </c>
      <c r="AW332" s="35">
        <f>'1kpi_performance'!M332</f>
        <v>0.5167898939</v>
      </c>
      <c r="AX332" s="42">
        <f>'1kpi_performance'!N332</f>
        <v>0.1012379564</v>
      </c>
      <c r="AY332" s="42">
        <f>'1kpi_performance'!O332</f>
        <v>0.0852086604</v>
      </c>
      <c r="AZ332" s="42">
        <f>'1kpi_performance'!P332</f>
        <v>0.1863240354</v>
      </c>
      <c r="BA332" s="42">
        <f>'1kpi_performance'!Q332</f>
        <v>0.2782648224</v>
      </c>
      <c r="BB332" s="35">
        <f>'1kpi_performance'!R332</f>
        <v>4.691695272</v>
      </c>
      <c r="BC332" s="35">
        <f>'1kpi_performance'!S332</f>
        <v>6.54517079</v>
      </c>
      <c r="BD332" s="35">
        <f>'1kpi_performance'!T332</f>
        <v>4.580727634</v>
      </c>
      <c r="BE332" s="35">
        <f>'1kpi_performance'!U332</f>
        <v>0.9854786656</v>
      </c>
      <c r="BF332" s="47"/>
      <c r="BG332" s="47"/>
      <c r="BH332" s="47"/>
      <c r="BI332" s="47"/>
      <c r="BJ332" s="47"/>
      <c r="BK332" s="47"/>
      <c r="BL332" s="47"/>
      <c r="BM332" s="47"/>
      <c r="BN332" s="47"/>
      <c r="BO332" s="47"/>
      <c r="BP332" s="47"/>
      <c r="BQ332" s="47"/>
      <c r="BR332" s="47"/>
      <c r="BS332" s="47"/>
      <c r="BT332" s="47"/>
    </row>
    <row r="333" ht="11.25" customHeight="1">
      <c r="A333" s="35" t="str">
        <f>'13all_company_profile'!A333</f>
        <v>JNK</v>
      </c>
      <c r="B333" s="35" t="str">
        <f>'13all_company_profile'!B333</f>
        <v>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v>
      </c>
      <c r="C333" s="44" t="str">
        <f>'13all_company_profile'!C333</f>
        <v>https://financialmodelingprep.com/image-stock/JNK.jpg</v>
      </c>
      <c r="D333" s="35" t="str">
        <f>'13all_company_profile'!D333</f>
        <v>SPDR Bloomberg Barclays High Yield Bond ETF</v>
      </c>
      <c r="E333" s="36">
        <f>'13all_company_profile'!E333</f>
        <v>9796994048</v>
      </c>
      <c r="F333" s="37">
        <f>'13all_company_profile'!F333</f>
        <v>7349631</v>
      </c>
      <c r="G333" s="35">
        <f>'13all_company_profile'!G333</f>
        <v>3.851</v>
      </c>
      <c r="H333" s="38" t="str">
        <f>'13all_company_profile'!H333</f>
        <v>not avaiable</v>
      </c>
      <c r="I333" s="35">
        <f>'13all_company_profile'!I333</f>
        <v>10.510459</v>
      </c>
      <c r="J333" s="35">
        <f>'13all_company_profile'!J333</f>
        <v>10.422</v>
      </c>
      <c r="K333" s="42">
        <f t="shared" si="1"/>
        <v>0.03523652667</v>
      </c>
      <c r="L333" s="35">
        <f>'7company_info'!B333</f>
        <v>109.29</v>
      </c>
      <c r="M333" s="35">
        <f>'7company_info'!C333</f>
        <v>109.34</v>
      </c>
      <c r="N333" s="35">
        <f>'7company_info'!D333</f>
        <v>108.78</v>
      </c>
      <c r="O333" s="35">
        <f>'7company_info'!E333</f>
        <v>0.47</v>
      </c>
      <c r="P333" s="35">
        <f>'7company_info'!F333</f>
        <v>0.0043</v>
      </c>
      <c r="Q333" s="35">
        <f>'7company_info'!G333</f>
        <v>108.87</v>
      </c>
      <c r="R333" s="35">
        <f>'7company_info'!H333</f>
        <v>108.82</v>
      </c>
      <c r="S333" s="35">
        <f>'7company_info'!I333</f>
        <v>102.66</v>
      </c>
      <c r="T333" s="35">
        <f>'7company_info'!J333</f>
        <v>110.1</v>
      </c>
      <c r="U333" s="39">
        <v>109.753333333333</v>
      </c>
      <c r="V333" s="39">
        <v>109.846666666666</v>
      </c>
      <c r="W333" s="40">
        <v>109.923333333333</v>
      </c>
      <c r="X333" s="40">
        <v>110.093333333333</v>
      </c>
      <c r="Y333" s="40">
        <v>109.676666666666</v>
      </c>
      <c r="Z333" s="40">
        <v>109.583333333333</v>
      </c>
      <c r="AA333" s="40">
        <v>109.413333333333</v>
      </c>
      <c r="AB333" s="40">
        <v>109.75</v>
      </c>
      <c r="AC333" s="40">
        <v>110.095</v>
      </c>
      <c r="AD333" s="40">
        <v>109.692230203992</v>
      </c>
      <c r="AE333" s="40">
        <v>109.19857</v>
      </c>
      <c r="AF333" s="40">
        <v>0.224714999999999</v>
      </c>
      <c r="AG333" s="40">
        <v>110.095</v>
      </c>
      <c r="AH333" s="45">
        <v>44384.0</v>
      </c>
      <c r="AI333" s="44" t="str">
        <f>'6image_RS_benchmark_performance'!B333</f>
        <v>https://3arbzfbsh-cname-us.ngrok.io/Desktop/seabridge%20fintech/image_app/JNK_resistance_support.jpg</v>
      </c>
      <c r="AJ333" s="44" t="str">
        <f>'6image_RS_benchmark_performance'!C333</f>
        <v>https://3arbzfbsh-cname-us.ngrok.io/Desktop/seabridge%20fintech/profit_graph_app/JNK_Return.jpg</v>
      </c>
      <c r="AK333" s="46" t="str">
        <f>'5price_action_icon'!B333</f>
        <v>https://3arbzfbsh-cname-us.ngrok.io/Desktop/seabridge%20fintech/icon/JNK_pa_trend_signal</v>
      </c>
      <c r="AL333" s="42">
        <f>'1kpi_performance'!B333</f>
        <v>0.1037951776</v>
      </c>
      <c r="AM333" s="42">
        <f>'1kpi_performance'!C333</f>
        <v>0.1692634587</v>
      </c>
      <c r="AN333" s="42">
        <f>'1kpi_performance'!D333</f>
        <v>0.1216255614</v>
      </c>
      <c r="AO333" s="42">
        <f>'1kpi_performance'!E333</f>
        <v>-0.007885285545</v>
      </c>
      <c r="AP333" s="42">
        <f>'1kpi_performance'!F333</f>
        <v>0.06639940097</v>
      </c>
      <c r="AQ333" s="42">
        <f>'1kpi_performance'!G333</f>
        <v>0.06863640903</v>
      </c>
      <c r="AR333" s="42">
        <f>'1kpi_performance'!H333</f>
        <v>0.06260824887</v>
      </c>
      <c r="AS333" s="42">
        <f>'1kpi_performance'!I333</f>
        <v>0.1046631396</v>
      </c>
      <c r="AT333" s="35">
        <f>'1kpi_performance'!J333</f>
        <v>1.186685067</v>
      </c>
      <c r="AU333" s="35">
        <f>'1kpi_performance'!K333</f>
        <v>2.101850325</v>
      </c>
      <c r="AV333" s="35">
        <f>'1kpi_performance'!L333</f>
        <v>1.543335953</v>
      </c>
      <c r="AW333" s="35">
        <f>'1kpi_performance'!M333</f>
        <v>-0.3142012143</v>
      </c>
      <c r="AX333" s="42">
        <f>'1kpi_performance'!N333</f>
        <v>0.05172885609</v>
      </c>
      <c r="AY333" s="42">
        <f>'1kpi_performance'!O333</f>
        <v>0.05066902794</v>
      </c>
      <c r="AZ333" s="42">
        <f>'1kpi_performance'!P333</f>
        <v>0.1231237388</v>
      </c>
      <c r="BA333" s="42">
        <f>'1kpi_performance'!Q333</f>
        <v>0.3278493085</v>
      </c>
      <c r="BB333" s="35">
        <f>'1kpi_performance'!R333</f>
        <v>2.429602405</v>
      </c>
      <c r="BC333" s="35">
        <f>'1kpi_performance'!S333</f>
        <v>4.733852222</v>
      </c>
      <c r="BD333" s="35">
        <f>'1kpi_performance'!T333</f>
        <v>3.096562936</v>
      </c>
      <c r="BE333" s="35">
        <f>'1kpi_performance'!U333</f>
        <v>-0.5622466477</v>
      </c>
      <c r="BF333" s="47"/>
      <c r="BG333" s="47"/>
      <c r="BH333" s="47"/>
      <c r="BI333" s="47"/>
      <c r="BJ333" s="47"/>
      <c r="BK333" s="47"/>
      <c r="BL333" s="47"/>
      <c r="BM333" s="47"/>
      <c r="BN333" s="47"/>
      <c r="BO333" s="47"/>
      <c r="BP333" s="47"/>
      <c r="BQ333" s="47"/>
      <c r="BR333" s="47"/>
      <c r="BS333" s="47"/>
      <c r="BT333" s="47"/>
    </row>
    <row r="334" ht="11.25" customHeight="1">
      <c r="A334" s="35" t="str">
        <f>'13all_company_profile'!A334</f>
        <v>JNPR</v>
      </c>
      <c r="B334" s="35" t="str">
        <f>'13all_company_profile'!B334</f>
        <v>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v>
      </c>
      <c r="C334" s="44" t="str">
        <f>'13all_company_profile'!C334</f>
        <v>https://financialmodelingprep.com/image-stock/JNPR.png</v>
      </c>
      <c r="D334" s="35" t="str">
        <f>'13all_company_profile'!D334</f>
        <v>Juniper Networks, Inc.</v>
      </c>
      <c r="E334" s="36">
        <f>'13all_company_profile'!E334</f>
        <v>9209494528</v>
      </c>
      <c r="F334" s="37">
        <f>'13all_company_profile'!F334</f>
        <v>3725300</v>
      </c>
      <c r="G334" s="35">
        <f>'13all_company_profile'!G334</f>
        <v>0.8</v>
      </c>
      <c r="H334" s="38">
        <f>'13all_company_profile'!H334</f>
        <v>44404</v>
      </c>
      <c r="I334" s="35">
        <f>'13all_company_profile'!I334</f>
        <v>44.773098</v>
      </c>
      <c r="J334" s="35">
        <f>'13all_company_profile'!J334</f>
        <v>0.617</v>
      </c>
      <c r="K334" s="42">
        <f t="shared" si="1"/>
        <v>0.02949852507</v>
      </c>
      <c r="L334" s="35">
        <f>'7company_info'!B334</f>
        <v>27.12</v>
      </c>
      <c r="M334" s="35">
        <f>'7company_info'!C334</f>
        <v>27.34</v>
      </c>
      <c r="N334" s="35">
        <f>'7company_info'!D334</f>
        <v>26.6</v>
      </c>
      <c r="O334" s="35">
        <f>'7company_info'!E334</f>
        <v>0.51</v>
      </c>
      <c r="P334" s="35">
        <f>'7company_info'!F334</f>
        <v>0.0192</v>
      </c>
      <c r="Q334" s="35">
        <f>'7company_info'!G334</f>
        <v>26.78</v>
      </c>
      <c r="R334" s="35">
        <f>'7company_info'!H334</f>
        <v>26.61</v>
      </c>
      <c r="S334" s="35">
        <f>'7company_info'!I334</f>
        <v>19.51</v>
      </c>
      <c r="T334" s="35">
        <f>'7company_info'!J334</f>
        <v>29.08</v>
      </c>
      <c r="U334" s="39">
        <v>28.0234333333333</v>
      </c>
      <c r="V334" s="39">
        <v>28.2268666666666</v>
      </c>
      <c r="W334" s="40">
        <v>28.4037333333333</v>
      </c>
      <c r="X334" s="40">
        <v>28.7840333333333</v>
      </c>
      <c r="Y334" s="40">
        <v>27.8465666666666</v>
      </c>
      <c r="Z334" s="40">
        <v>27.6431333333333</v>
      </c>
      <c r="AA334" s="40">
        <v>27.2628333333333</v>
      </c>
      <c r="AB334" s="40">
        <v>26.805</v>
      </c>
      <c r="AC334" s="40">
        <v>29.08</v>
      </c>
      <c r="AD334" s="40">
        <v>27.4810267798992</v>
      </c>
      <c r="AE334" s="40">
        <v>26.56528</v>
      </c>
      <c r="AF334" s="40">
        <v>0.458875</v>
      </c>
      <c r="AG334" s="40">
        <v>29.08</v>
      </c>
      <c r="AH334" s="45">
        <v>44358.0</v>
      </c>
      <c r="AI334" s="44" t="str">
        <f>'6image_RS_benchmark_performance'!B334</f>
        <v>https://3arbzfbsh-cname-us.ngrok.io/Desktop/seabridge%20fintech/image_app/JNPR_resistance_support.jpg</v>
      </c>
      <c r="AJ334" s="44" t="str">
        <f>'6image_RS_benchmark_performance'!C334</f>
        <v>https://3arbzfbsh-cname-us.ngrok.io/Desktop/seabridge%20fintech/profit_graph_app/JNPR_Return.jpg</v>
      </c>
      <c r="AK334" s="46" t="str">
        <f>'5price_action_icon'!B334</f>
        <v>https://3arbzfbsh-cname-us.ngrok.io/Desktop/seabridge%20fintech/icon/JNPR_pa_trend_signal</v>
      </c>
      <c r="AL334" s="42">
        <f>'1kpi_performance'!B334</f>
        <v>0.5660318456</v>
      </c>
      <c r="AM334" s="42">
        <f>'1kpi_performance'!C334</f>
        <v>0.8254390891</v>
      </c>
      <c r="AN334" s="42">
        <f>'1kpi_performance'!D334</f>
        <v>0.5671197178</v>
      </c>
      <c r="AO334" s="42">
        <f>'1kpi_performance'!E334</f>
        <v>0.008922728402</v>
      </c>
      <c r="AP334" s="42">
        <f>'1kpi_performance'!F334</f>
        <v>0.2562802148</v>
      </c>
      <c r="AQ334" s="42">
        <f>'1kpi_performance'!G334</f>
        <v>0.2500122193</v>
      </c>
      <c r="AR334" s="42">
        <f>'1kpi_performance'!H334</f>
        <v>0.2989307614</v>
      </c>
      <c r="AS334" s="42">
        <f>'1kpi_performance'!I334</f>
        <v>0.3894088437</v>
      </c>
      <c r="AT334" s="35">
        <f>'1kpi_performance'!J334</f>
        <v>2.111094865</v>
      </c>
      <c r="AU334" s="35">
        <f>'1kpi_performance'!K334</f>
        <v>3.201599872</v>
      </c>
      <c r="AV334" s="35">
        <f>'1kpi_performance'!L334</f>
        <v>1.813529378</v>
      </c>
      <c r="AW334" s="35">
        <f>'1kpi_performance'!M334</f>
        <v>-0.04128635458</v>
      </c>
      <c r="AX334" s="42">
        <f>'1kpi_performance'!N334</f>
        <v>0.1912523318</v>
      </c>
      <c r="AY334" s="42">
        <f>'1kpi_performance'!O334</f>
        <v>0.1408494131</v>
      </c>
      <c r="AZ334" s="42">
        <f>'1kpi_performance'!P334</f>
        <v>0.3757567636</v>
      </c>
      <c r="BA334" s="42">
        <f>'1kpi_performance'!Q334</f>
        <v>0.6790373369</v>
      </c>
      <c r="BB334" s="35">
        <f>'1kpi_performance'!R334</f>
        <v>4.336793968</v>
      </c>
      <c r="BC334" s="35">
        <f>'1kpi_performance'!S334</f>
        <v>7.389901294</v>
      </c>
      <c r="BD334" s="35">
        <f>'1kpi_performance'!T334</f>
        <v>3.443877578</v>
      </c>
      <c r="BE334" s="35">
        <f>'1kpi_performance'!U334</f>
        <v>-0.07683569307</v>
      </c>
      <c r="BF334" s="47"/>
      <c r="BG334" s="47"/>
      <c r="BH334" s="47"/>
      <c r="BI334" s="47"/>
      <c r="BJ334" s="47"/>
      <c r="BK334" s="47"/>
      <c r="BL334" s="47"/>
      <c r="BM334" s="47"/>
      <c r="BN334" s="47"/>
      <c r="BO334" s="47"/>
      <c r="BP334" s="47"/>
      <c r="BQ334" s="47"/>
      <c r="BR334" s="47"/>
      <c r="BS334" s="47"/>
      <c r="BT334" s="47"/>
    </row>
    <row r="335" ht="11.25" customHeight="1">
      <c r="A335" s="35" t="str">
        <f>'13all_company_profile'!A335</f>
        <v>JPM</v>
      </c>
      <c r="B335" s="35" t="str">
        <f>'13all_company_profile'!B335</f>
        <v>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v>
      </c>
      <c r="C335" s="44" t="str">
        <f>'13all_company_profile'!C335</f>
        <v>https://financialmodelingprep.com/image-stock/JPM.png</v>
      </c>
      <c r="D335" s="35" t="str">
        <f>'13all_company_profile'!D335</f>
        <v>JPMorgan Chase &amp; Co.</v>
      </c>
      <c r="E335" s="36">
        <f>'13all_company_profile'!E335</f>
        <v>464545579008</v>
      </c>
      <c r="F335" s="37">
        <f>'13all_company_profile'!F335</f>
        <v>14278563</v>
      </c>
      <c r="G335" s="35">
        <f>'13all_company_profile'!G335</f>
        <v>3.6</v>
      </c>
      <c r="H335" s="38" t="str">
        <f>'13all_company_profile'!H335</f>
        <v>not avaiable</v>
      </c>
      <c r="I335" s="35">
        <f>'13all_company_profile'!I335</f>
        <v>10.087397</v>
      </c>
      <c r="J335" s="35">
        <f>'13all_company_profile'!J335</f>
        <v>14.989</v>
      </c>
      <c r="K335" s="42">
        <f t="shared" si="1"/>
        <v>0.02404648988</v>
      </c>
      <c r="L335" s="35">
        <f>'7company_info'!B335</f>
        <v>149.71</v>
      </c>
      <c r="M335" s="35">
        <f>'7company_info'!C335</f>
        <v>151.12</v>
      </c>
      <c r="N335" s="35">
        <f>'7company_info'!D335</f>
        <v>146.33</v>
      </c>
      <c r="O335" s="35">
        <f>'7company_info'!E335</f>
        <v>2.74</v>
      </c>
      <c r="P335" s="35">
        <f>'7company_info'!F335</f>
        <v>0.0186</v>
      </c>
      <c r="Q335" s="35">
        <f>'7company_info'!G335</f>
        <v>146.52</v>
      </c>
      <c r="R335" s="35">
        <f>'7company_info'!H335</f>
        <v>146.97</v>
      </c>
      <c r="S335" s="35">
        <f>'7company_info'!I335</f>
        <v>91.38</v>
      </c>
      <c r="T335" s="35">
        <f>'7company_info'!J335</f>
        <v>167.44</v>
      </c>
      <c r="U335" s="39">
        <v>155.116666666666</v>
      </c>
      <c r="V335" s="39">
        <v>157.283333333333</v>
      </c>
      <c r="W335" s="40">
        <v>159.446666666666</v>
      </c>
      <c r="X335" s="40">
        <v>163.776666666666</v>
      </c>
      <c r="Y335" s="40">
        <v>152.953333333333</v>
      </c>
      <c r="Z335" s="40">
        <v>150.786666666666</v>
      </c>
      <c r="AA335" s="40">
        <v>146.456666666666</v>
      </c>
      <c r="AB335" s="40">
        <v>152.95</v>
      </c>
      <c r="AC335" s="40">
        <v>151.202</v>
      </c>
      <c r="AD335" s="40">
        <v>155.438276868065</v>
      </c>
      <c r="AE335" s="40">
        <v>148.97576</v>
      </c>
      <c r="AF335" s="40">
        <v>3.38162</v>
      </c>
      <c r="AG335" s="40">
        <v>167.44</v>
      </c>
      <c r="AH335" s="45">
        <v>44349.0</v>
      </c>
      <c r="AI335" s="44" t="str">
        <f>'6image_RS_benchmark_performance'!B335</f>
        <v>https://3arbzfbsh-cname-us.ngrok.io/Desktop/seabridge%20fintech/image_app/JPM_resistance_support.jpg</v>
      </c>
      <c r="AJ335" s="44" t="str">
        <f>'6image_RS_benchmark_performance'!C335</f>
        <v>https://3arbzfbsh-cname-us.ngrok.io/Desktop/seabridge%20fintech/profit_graph_app/JPM_Return.jpg</v>
      </c>
      <c r="AK335" s="46" t="str">
        <f>'5price_action_icon'!B335</f>
        <v>https://3arbzfbsh-cname-us.ngrok.io/Desktop/seabridge%20fintech/icon/JPM_pa_trend_signal</v>
      </c>
      <c r="AL335" s="42">
        <f>'1kpi_performance'!B335</f>
        <v>0.5370902596</v>
      </c>
      <c r="AM335" s="42">
        <f>'1kpi_performance'!C335</f>
        <v>0.718077228</v>
      </c>
      <c r="AN335" s="42">
        <f>'1kpi_performance'!D335</f>
        <v>0.6169462498</v>
      </c>
      <c r="AO335" s="42">
        <f>'1kpi_performance'!E335</f>
        <v>0.1820097683</v>
      </c>
      <c r="AP335" s="42">
        <f>'1kpi_performance'!F335</f>
        <v>0.2386076043</v>
      </c>
      <c r="AQ335" s="42">
        <f>'1kpi_performance'!G335</f>
        <v>0.2223924905</v>
      </c>
      <c r="AR335" s="42">
        <f>'1kpi_performance'!H335</f>
        <v>0.2136494919</v>
      </c>
      <c r="AS335" s="42">
        <f>'1kpi_performance'!I335</f>
        <v>0.3425342894</v>
      </c>
      <c r="AT335" s="35">
        <f>'1kpi_performance'!J335</f>
        <v>2.146160686</v>
      </c>
      <c r="AU335" s="35">
        <f>'1kpi_performance'!K335</f>
        <v>3.116459673</v>
      </c>
      <c r="AV335" s="35">
        <f>'1kpi_performance'!L335</f>
        <v>2.770641973</v>
      </c>
      <c r="AW335" s="35">
        <f>'1kpi_performance'!M335</f>
        <v>0.4583767908</v>
      </c>
      <c r="AX335" s="42">
        <f>'1kpi_performance'!N335</f>
        <v>0.1704796474</v>
      </c>
      <c r="AY335" s="42">
        <f>'1kpi_performance'!O335</f>
        <v>0.1501557026</v>
      </c>
      <c r="AZ335" s="42">
        <f>'1kpi_performance'!P335</f>
        <v>0.3290628578</v>
      </c>
      <c r="BA335" s="42">
        <f>'1kpi_performance'!Q335</f>
        <v>0.4398610816</v>
      </c>
      <c r="BB335" s="35">
        <f>'1kpi_performance'!R335</f>
        <v>4.532101834</v>
      </c>
      <c r="BC335" s="35">
        <f>'1kpi_performance'!S335</f>
        <v>7.337864061</v>
      </c>
      <c r="BD335" s="35">
        <f>'1kpi_performance'!T335</f>
        <v>6.024793616</v>
      </c>
      <c r="BE335" s="35">
        <f>'1kpi_performance'!U335</f>
        <v>0.9080429817</v>
      </c>
      <c r="BF335" s="47"/>
      <c r="BG335" s="47"/>
      <c r="BH335" s="47"/>
      <c r="BI335" s="47"/>
      <c r="BJ335" s="47"/>
      <c r="BK335" s="47"/>
      <c r="BL335" s="47"/>
      <c r="BM335" s="47"/>
      <c r="BN335" s="47"/>
      <c r="BO335" s="47"/>
      <c r="BP335" s="47"/>
      <c r="BQ335" s="47"/>
      <c r="BR335" s="47"/>
      <c r="BS335" s="47"/>
      <c r="BT335" s="47"/>
    </row>
    <row r="336" ht="11.25" customHeight="1">
      <c r="A336" s="35" t="str">
        <f>'13all_company_profile'!A336</f>
        <v>JPST</v>
      </c>
      <c r="B336" s="35" t="str">
        <f>'13all_company_profile'!B336</f>
        <v>JPST was created on 05/17/17 by JPMorgan Chase. The Fund seeks to provide current income while seeking to maintain a low volatility of principal.</v>
      </c>
      <c r="C336" s="44" t="str">
        <f>'13all_company_profile'!C336</f>
        <v>https://financialmodelingprep.com/image-stock/JPST.png</v>
      </c>
      <c r="D336" s="35" t="str">
        <f>'13all_company_profile'!D336</f>
        <v>JPMorgan Ultra-Short Income ETF</v>
      </c>
      <c r="E336" s="36">
        <f>'13all_company_profile'!E336</f>
        <v>7526106112</v>
      </c>
      <c r="F336" s="37">
        <f>'13all_company_profile'!F336</f>
        <v>2344117</v>
      </c>
      <c r="G336" s="35">
        <f>'13all_company_profile'!G336</f>
        <v>0.359</v>
      </c>
      <c r="H336" s="38" t="str">
        <f>'13all_company_profile'!H336</f>
        <v>not avaiable</v>
      </c>
      <c r="I336" s="35" t="str">
        <f>'13all_company_profile'!I336</f>
        <v>NaN</v>
      </c>
      <c r="J336" s="35" t="str">
        <f>'13all_company_profile'!J336</f>
        <v>NaN</v>
      </c>
      <c r="K336" s="42">
        <f t="shared" si="1"/>
        <v>0.00355339998</v>
      </c>
      <c r="L336" s="35">
        <f>'7company_info'!B336</f>
        <v>101.03</v>
      </c>
      <c r="M336" s="35">
        <f>'7company_info'!C336</f>
        <v>101.07</v>
      </c>
      <c r="N336" s="35">
        <f>'7company_info'!D336</f>
        <v>101.03</v>
      </c>
      <c r="O336" s="35">
        <f>'7company_info'!E336</f>
        <v>0.03</v>
      </c>
      <c r="P336" s="35">
        <f>'7company_info'!F336</f>
        <v>0.0003</v>
      </c>
      <c r="Q336" s="35">
        <f>'7company_info'!G336</f>
        <v>101.04</v>
      </c>
      <c r="R336" s="35">
        <f>'7company_info'!H336</f>
        <v>101</v>
      </c>
      <c r="S336" s="35">
        <f>'7company_info'!I336</f>
        <v>100.57</v>
      </c>
      <c r="T336" s="35">
        <f>'7company_info'!J336</f>
        <v>101.92</v>
      </c>
      <c r="U336" s="39">
        <v>50.7166666666666</v>
      </c>
      <c r="V336" s="39">
        <v>50.7233333333333</v>
      </c>
      <c r="W336" s="40">
        <v>50.7266666666666</v>
      </c>
      <c r="X336" s="40">
        <v>50.7366666666666</v>
      </c>
      <c r="Y336" s="40">
        <v>50.7133333333333</v>
      </c>
      <c r="Z336" s="40">
        <v>50.7066666666666</v>
      </c>
      <c r="AA336" s="40">
        <v>50.6966666666666</v>
      </c>
      <c r="AB336" s="40">
        <v>50.76</v>
      </c>
      <c r="AC336" s="40">
        <v>50.77</v>
      </c>
      <c r="AD336" s="40">
        <v>50.7248800973225</v>
      </c>
      <c r="AE336" s="40">
        <v>50.6755</v>
      </c>
      <c r="AF336" s="40">
        <v>0.0172499999999992</v>
      </c>
      <c r="AG336" s="40">
        <v>50.82</v>
      </c>
      <c r="AH336" s="45">
        <v>44222.0</v>
      </c>
      <c r="AI336" s="44" t="str">
        <f>'6image_RS_benchmark_performance'!B336</f>
        <v>https://3arbzfbsh-cname-us.ngrok.io/Desktop/seabridge%20fintech/image_app/JPST_resistance_support.jpg</v>
      </c>
      <c r="AJ336" s="44" t="str">
        <f>'6image_RS_benchmark_performance'!C336</f>
        <v>https://3arbzfbsh-cname-us.ngrok.io/Desktop/seabridge%20fintech/profit_graph_app/JPST_Return.jpg</v>
      </c>
      <c r="AK336" s="46" t="str">
        <f>'5price_action_icon'!B336</f>
        <v>https://3arbzfbsh-cname-us.ngrok.io/Desktop/seabridge%20fintech/icon/JPST_pa_trend_signal</v>
      </c>
      <c r="AL336" s="42">
        <f>'1kpi_performance'!B336</f>
        <v>0.01115076304</v>
      </c>
      <c r="AM336" s="42">
        <f>'1kpi_performance'!C336</f>
        <v>0.01761260238</v>
      </c>
      <c r="AN336" s="42">
        <f>'1kpi_performance'!D336</f>
        <v>0.02646064244</v>
      </c>
      <c r="AO336" s="42">
        <f>'1kpi_performance'!E336</f>
        <v>0.004665201613</v>
      </c>
      <c r="AP336" s="42">
        <f>'1kpi_performance'!F336</f>
        <v>0.006223266447</v>
      </c>
      <c r="AQ336" s="42">
        <f>'1kpi_performance'!G336</f>
        <v>0.004694956024</v>
      </c>
      <c r="AR336" s="42">
        <f>'1kpi_performance'!H336</f>
        <v>0.004911611522</v>
      </c>
      <c r="AS336" s="42">
        <f>'1kpi_performance'!I336</f>
        <v>0.0157103407</v>
      </c>
      <c r="AT336" s="35">
        <f>'1kpi_performance'!J336</f>
        <v>-2.225396755</v>
      </c>
      <c r="AU336" s="35">
        <f>'1kpi_performance'!K336</f>
        <v>-1.57347536</v>
      </c>
      <c r="AV336" s="35">
        <f>'1kpi_performance'!L336</f>
        <v>0.2973855796</v>
      </c>
      <c r="AW336" s="35">
        <f>'1kpi_performance'!M336</f>
        <v>-1.294357569</v>
      </c>
      <c r="AX336" s="42">
        <f>'1kpi_performance'!N336</f>
        <v>0.003743625646</v>
      </c>
      <c r="AY336" s="42">
        <f>'1kpi_performance'!O336</f>
        <v>0.002915210663</v>
      </c>
      <c r="AZ336" s="42">
        <f>'1kpi_performance'!P336</f>
        <v>0.00138148806</v>
      </c>
      <c r="BA336" s="42">
        <f>'1kpi_performance'!Q336</f>
        <v>0.03300395257</v>
      </c>
      <c r="BB336" s="35">
        <f>'1kpi_performance'!R336</f>
        <v>-3.851940659</v>
      </c>
      <c r="BC336" s="35">
        <f>'1kpi_performance'!S336</f>
        <v>-3.402205086</v>
      </c>
      <c r="BD336" s="35">
        <f>'1kpi_performance'!T336</f>
        <v>0.885106305</v>
      </c>
      <c r="BE336" s="35">
        <f>'1kpi_performance'!U336</f>
        <v>-1.883481121</v>
      </c>
      <c r="BF336" s="47"/>
      <c r="BG336" s="47"/>
      <c r="BH336" s="47"/>
      <c r="BI336" s="47"/>
      <c r="BJ336" s="47"/>
      <c r="BK336" s="47"/>
      <c r="BL336" s="47"/>
      <c r="BM336" s="47"/>
      <c r="BN336" s="47"/>
      <c r="BO336" s="47"/>
      <c r="BP336" s="47"/>
      <c r="BQ336" s="47"/>
      <c r="BR336" s="47"/>
      <c r="BS336" s="47"/>
      <c r="BT336" s="47"/>
    </row>
    <row r="337" ht="11.25" customHeight="1">
      <c r="A337" s="35" t="str">
        <f>'13all_company_profile'!A337</f>
        <v>JWN</v>
      </c>
      <c r="B337" s="35" t="str">
        <f>'13all_company_profile'!B337</f>
        <v>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v>
      </c>
      <c r="C337" s="44" t="str">
        <f>'13all_company_profile'!C337</f>
        <v>https://financialmodelingprep.com/image-stock/JWN.png</v>
      </c>
      <c r="D337" s="35" t="str">
        <f>'13all_company_profile'!D337</f>
        <v>Nordstrom, Inc.</v>
      </c>
      <c r="E337" s="36">
        <f>'13all_company_profile'!E337</f>
        <v>5281803264</v>
      </c>
      <c r="F337" s="37">
        <f>'13all_company_profile'!F337</f>
        <v>3317328</v>
      </c>
      <c r="G337" s="35">
        <f>'13all_company_profile'!G337</f>
        <v>0.37</v>
      </c>
      <c r="H337" s="38" t="str">
        <f>'13all_company_profile'!H337</f>
        <v>not avaiable</v>
      </c>
      <c r="I337" s="35" t="str">
        <f>'13all_company_profile'!I337</f>
        <v>NaN</v>
      </c>
      <c r="J337" s="35">
        <f>'13all_company_profile'!J337</f>
        <v>-2.129</v>
      </c>
      <c r="K337" s="42">
        <f t="shared" si="1"/>
        <v>0.01118838827</v>
      </c>
      <c r="L337" s="35">
        <f>'7company_info'!B337</f>
        <v>33.07</v>
      </c>
      <c r="M337" s="35">
        <f>'7company_info'!C337</f>
        <v>33.27</v>
      </c>
      <c r="N337" s="35">
        <f>'7company_info'!D337</f>
        <v>31.42</v>
      </c>
      <c r="O337" s="35">
        <f>'7company_info'!E337</f>
        <v>1.49</v>
      </c>
      <c r="P337" s="35">
        <f>'7company_info'!F337</f>
        <v>0.0472</v>
      </c>
      <c r="Q337" s="35">
        <f>'7company_info'!G337</f>
        <v>31.77</v>
      </c>
      <c r="R337" s="35">
        <f>'7company_info'!H337</f>
        <v>31.58</v>
      </c>
      <c r="S337" s="35">
        <f>'7company_info'!I337</f>
        <v>11.72</v>
      </c>
      <c r="T337" s="35">
        <f>'7company_info'!J337</f>
        <v>46.45</v>
      </c>
      <c r="U337" s="39">
        <v>34.62</v>
      </c>
      <c r="V337" s="39">
        <v>35.26</v>
      </c>
      <c r="W337" s="40">
        <v>36.49</v>
      </c>
      <c r="X337" s="40">
        <v>38.36</v>
      </c>
      <c r="Y337" s="40">
        <v>33.3899999999999</v>
      </c>
      <c r="Z337" s="40">
        <v>32.7499999999999</v>
      </c>
      <c r="AA337" s="40">
        <v>30.8799999999999</v>
      </c>
      <c r="AB337" s="40">
        <v>32.5523</v>
      </c>
      <c r="AC337" s="40">
        <v>36.043</v>
      </c>
      <c r="AD337" s="40">
        <v>35.3320159488726</v>
      </c>
      <c r="AE337" s="40">
        <v>32.01661</v>
      </c>
      <c r="AF337" s="40">
        <v>1.44269499999999</v>
      </c>
      <c r="AG337" s="40">
        <v>46.45</v>
      </c>
      <c r="AH337" s="45">
        <v>44270.0</v>
      </c>
      <c r="AI337" s="44" t="str">
        <f>'6image_RS_benchmark_performance'!B337</f>
        <v>https://3arbzfbsh-cname-us.ngrok.io/Desktop/seabridge%20fintech/image_app/JWN_resistance_support.jpg</v>
      </c>
      <c r="AJ337" s="44" t="str">
        <f>'6image_RS_benchmark_performance'!C337</f>
        <v>https://3arbzfbsh-cname-us.ngrok.io/Desktop/seabridge%20fintech/profit_graph_app/JWN_Return.jpg</v>
      </c>
      <c r="AK337" s="46" t="str">
        <f>'5price_action_icon'!B337</f>
        <v>https://3arbzfbsh-cname-us.ngrok.io/Desktop/seabridge%20fintech/icon/JWN_pa_trend_signal</v>
      </c>
      <c r="AL337" s="42">
        <f>'1kpi_performance'!B337</f>
        <v>0.7592617506</v>
      </c>
      <c r="AM337" s="42">
        <f>'1kpi_performance'!C337</f>
        <v>0.8699777001</v>
      </c>
      <c r="AN337" s="42">
        <f>'1kpi_performance'!D337</f>
        <v>0.7408864323</v>
      </c>
      <c r="AO337" s="42">
        <f>'1kpi_performance'!E337</f>
        <v>0.006014858115</v>
      </c>
      <c r="AP337" s="42">
        <f>'1kpi_performance'!F337</f>
        <v>0.3778253629</v>
      </c>
      <c r="AQ337" s="42">
        <f>'1kpi_performance'!G337</f>
        <v>0.3505231684</v>
      </c>
      <c r="AR337" s="42">
        <f>'1kpi_performance'!H337</f>
        <v>0.3418240806</v>
      </c>
      <c r="AS337" s="42">
        <f>'1kpi_performance'!I337</f>
        <v>0.5142417293</v>
      </c>
      <c r="AT337" s="35">
        <f>'1kpi_performance'!J337</f>
        <v>1.943389255</v>
      </c>
      <c r="AU337" s="35">
        <f>'1kpi_performance'!K337</f>
        <v>2.410618687</v>
      </c>
      <c r="AV337" s="35">
        <f>'1kpi_performance'!L337</f>
        <v>2.094312463</v>
      </c>
      <c r="AW337" s="35">
        <f>'1kpi_performance'!M337</f>
        <v>-0.03691871119</v>
      </c>
      <c r="AX337" s="42">
        <f>'1kpi_performance'!N337</f>
        <v>0.3329897456</v>
      </c>
      <c r="AY337" s="42">
        <f>'1kpi_performance'!O337</f>
        <v>0.234521576</v>
      </c>
      <c r="AZ337" s="42">
        <f>'1kpi_performance'!P337</f>
        <v>0.4775549687</v>
      </c>
      <c r="BA337" s="42">
        <f>'1kpi_performance'!Q337</f>
        <v>0.8466259664</v>
      </c>
      <c r="BB337" s="35">
        <f>'1kpi_performance'!R337</f>
        <v>4.398363936</v>
      </c>
      <c r="BC337" s="35">
        <f>'1kpi_performance'!S337</f>
        <v>5.796590901</v>
      </c>
      <c r="BD337" s="35">
        <f>'1kpi_performance'!T337</f>
        <v>4.617656645</v>
      </c>
      <c r="BE337" s="35">
        <f>'1kpi_performance'!U337</f>
        <v>-0.07244636502</v>
      </c>
      <c r="BF337" s="47"/>
      <c r="BG337" s="47"/>
      <c r="BH337" s="47"/>
      <c r="BI337" s="47"/>
      <c r="BJ337" s="47"/>
      <c r="BK337" s="47"/>
      <c r="BL337" s="47"/>
      <c r="BM337" s="47"/>
      <c r="BN337" s="47"/>
      <c r="BO337" s="47"/>
      <c r="BP337" s="47"/>
      <c r="BQ337" s="47"/>
      <c r="BR337" s="47"/>
      <c r="BS337" s="47"/>
      <c r="BT337" s="47"/>
    </row>
    <row r="338" ht="11.25" customHeight="1">
      <c r="A338" s="35" t="str">
        <f>'13all_company_profile'!A338</f>
        <v>K</v>
      </c>
      <c r="B338" s="35" t="str">
        <f>'13all_company_profile'!B338</f>
        <v>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v>
      </c>
      <c r="C338" s="44" t="str">
        <f>'13all_company_profile'!C338</f>
        <v>https://financialmodelingprep.com/image-stock/K.png</v>
      </c>
      <c r="D338" s="35" t="str">
        <f>'13all_company_profile'!D338</f>
        <v>Kellogg Company</v>
      </c>
      <c r="E338" s="36">
        <f>'13all_company_profile'!E338</f>
        <v>21767909376</v>
      </c>
      <c r="F338" s="37">
        <f>'13all_company_profile'!F338</f>
        <v>2415698</v>
      </c>
      <c r="G338" s="35">
        <f>'13all_company_profile'!G338</f>
        <v>2.29</v>
      </c>
      <c r="H338" s="38">
        <f>'13all_company_profile'!H338</f>
        <v>44413</v>
      </c>
      <c r="I338" s="35">
        <f>'13all_company_profile'!I338</f>
        <v>17.424118</v>
      </c>
      <c r="J338" s="35">
        <f>'13all_company_profile'!J338</f>
        <v>3.69</v>
      </c>
      <c r="K338" s="42">
        <f t="shared" si="1"/>
        <v>0.03555900621</v>
      </c>
      <c r="L338" s="35">
        <f>'7company_info'!B338</f>
        <v>64.4</v>
      </c>
      <c r="M338" s="35">
        <f>'7company_info'!C338</f>
        <v>65.6</v>
      </c>
      <c r="N338" s="35">
        <f>'7company_info'!D338</f>
        <v>64.33</v>
      </c>
      <c r="O338" s="35">
        <f>'7company_info'!E338</f>
        <v>-0.41</v>
      </c>
      <c r="P338" s="35">
        <f>'7company_info'!F338</f>
        <v>-0.0063</v>
      </c>
      <c r="Q338" s="35">
        <f>'7company_info'!G338</f>
        <v>64.97</v>
      </c>
      <c r="R338" s="35">
        <f>'7company_info'!H338</f>
        <v>64.81</v>
      </c>
      <c r="S338" s="35">
        <f>'7company_info'!I338</f>
        <v>56.61</v>
      </c>
      <c r="T338" s="35">
        <f>'7company_info'!J338</f>
        <v>72.88</v>
      </c>
      <c r="U338" s="39">
        <v>63.0666666666666</v>
      </c>
      <c r="V338" s="39">
        <v>63.6233333333333</v>
      </c>
      <c r="W338" s="40">
        <v>64.0366666666666</v>
      </c>
      <c r="X338" s="40">
        <v>65.0066666666666</v>
      </c>
      <c r="Y338" s="40">
        <v>62.6533333333333</v>
      </c>
      <c r="Z338" s="40">
        <v>62.0966666666666</v>
      </c>
      <c r="AA338" s="40">
        <v>61.1266666666666</v>
      </c>
      <c r="AB338" s="40">
        <v>65.83</v>
      </c>
      <c r="AC338" s="40">
        <v>64.3</v>
      </c>
      <c r="AD338" s="40">
        <v>64.0924553522135</v>
      </c>
      <c r="AE338" s="40">
        <v>61.53835</v>
      </c>
      <c r="AF338" s="40">
        <v>0.820824999999999</v>
      </c>
      <c r="AG338" s="40">
        <v>68.6</v>
      </c>
      <c r="AH338" s="45">
        <v>44330.0</v>
      </c>
      <c r="AI338" s="44" t="str">
        <f>'6image_RS_benchmark_performance'!B338</f>
        <v>https://3arbzfbsh-cname-us.ngrok.io/Desktop/seabridge%20fintech/image_app/K_resistance_support.jpg</v>
      </c>
      <c r="AJ338" s="44" t="str">
        <f>'6image_RS_benchmark_performance'!C338</f>
        <v>https://3arbzfbsh-cname-us.ngrok.io/Desktop/seabridge%20fintech/profit_graph_app/K_Return.jpg</v>
      </c>
      <c r="AK338" s="46" t="str">
        <f>'5price_action_icon'!B338</f>
        <v>https://3arbzfbsh-cname-us.ngrok.io/Desktop/seabridge%20fintech/icon/K_pa_trend_signal</v>
      </c>
      <c r="AL338" s="42">
        <f>'1kpi_performance'!B338</f>
        <v>0.2186109896</v>
      </c>
      <c r="AM338" s="42">
        <f>'1kpi_performance'!C338</f>
        <v>0.3439823587</v>
      </c>
      <c r="AN338" s="42">
        <f>'1kpi_performance'!D338</f>
        <v>0.2846887223</v>
      </c>
      <c r="AO338" s="42">
        <f>'1kpi_performance'!E338</f>
        <v>0.02114290042</v>
      </c>
      <c r="AP338" s="42">
        <f>'1kpi_performance'!F338</f>
        <v>0.1706890533</v>
      </c>
      <c r="AQ338" s="42">
        <f>'1kpi_performance'!G338</f>
        <v>0.1668703137</v>
      </c>
      <c r="AR338" s="42">
        <f>'1kpi_performance'!H338</f>
        <v>0.1538575988</v>
      </c>
      <c r="AS338" s="42">
        <f>'1kpi_performance'!I338</f>
        <v>0.2327078448</v>
      </c>
      <c r="AT338" s="35">
        <f>'1kpi_performance'!J338</f>
        <v>1.134290606</v>
      </c>
      <c r="AU338" s="35">
        <f>'1kpi_performance'!K338</f>
        <v>1.911558453</v>
      </c>
      <c r="AV338" s="35">
        <f>'1kpi_performance'!L338</f>
        <v>1.687851132</v>
      </c>
      <c r="AW338" s="35">
        <f>'1kpi_performance'!M338</f>
        <v>-0.01657485842</v>
      </c>
      <c r="AX338" s="42">
        <f>'1kpi_performance'!N338</f>
        <v>0.1937301358</v>
      </c>
      <c r="AY338" s="42">
        <f>'1kpi_performance'!O338</f>
        <v>0.1125397284</v>
      </c>
      <c r="AZ338" s="42">
        <f>'1kpi_performance'!P338</f>
        <v>0.146191794</v>
      </c>
      <c r="BA338" s="42">
        <f>'1kpi_performance'!Q338</f>
        <v>0.4011266958</v>
      </c>
      <c r="BB338" s="35">
        <f>'1kpi_performance'!R338</f>
        <v>2.19880841</v>
      </c>
      <c r="BC338" s="35">
        <f>'1kpi_performance'!S338</f>
        <v>4.199418955</v>
      </c>
      <c r="BD338" s="35">
        <f>'1kpi_performance'!T338</f>
        <v>3.662139595</v>
      </c>
      <c r="BE338" s="35">
        <f>'1kpi_performance'!U338</f>
        <v>-0.03129029407</v>
      </c>
      <c r="BF338" s="47"/>
      <c r="BG338" s="47"/>
      <c r="BH338" s="47"/>
      <c r="BI338" s="47"/>
      <c r="BJ338" s="47"/>
      <c r="BK338" s="47"/>
      <c r="BL338" s="47"/>
      <c r="BM338" s="47"/>
      <c r="BN338" s="47"/>
      <c r="BO338" s="47"/>
      <c r="BP338" s="47"/>
      <c r="BQ338" s="47"/>
      <c r="BR338" s="47"/>
      <c r="BS338" s="47"/>
      <c r="BT338" s="47"/>
    </row>
    <row r="339" ht="11.25" customHeight="1">
      <c r="A339" s="35" t="str">
        <f>'13all_company_profile'!A339</f>
        <v>KBE</v>
      </c>
      <c r="B339" s="35" t="str">
        <f>'13all_company_profile'!B339</f>
        <v>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v>
      </c>
      <c r="C339" s="44" t="str">
        <f>'13all_company_profile'!C339</f>
        <v>https://financialmodelingprep.com/image-stock/KBE.png</v>
      </c>
      <c r="D339" s="35" t="str">
        <f>'13all_company_profile'!D339</f>
        <v>SPDR S&amp;P Bank ETF</v>
      </c>
      <c r="E339" s="36">
        <f>'13all_company_profile'!E339</f>
        <v>2269313000</v>
      </c>
      <c r="F339" s="37">
        <f>'13all_company_profile'!F339</f>
        <v>2874004</v>
      </c>
      <c r="G339" s="35">
        <f>'13all_company_profile'!G339</f>
        <v>0.9</v>
      </c>
      <c r="H339" s="38" t="str">
        <f>'13all_company_profile'!H339</f>
        <v>not avaiable</v>
      </c>
      <c r="I339" s="35" t="str">
        <f>'13all_company_profile'!I339</f>
        <v>NaN</v>
      </c>
      <c r="J339" s="35" t="str">
        <f>'13all_company_profile'!J339</f>
        <v>NaN</v>
      </c>
      <c r="K339" s="42">
        <f t="shared" si="1"/>
        <v>0.01854522975</v>
      </c>
      <c r="L339" s="35">
        <f>'7company_info'!B339</f>
        <v>48.53</v>
      </c>
      <c r="M339" s="35">
        <f>'7company_info'!C339</f>
        <v>49.45</v>
      </c>
      <c r="N339" s="35">
        <f>'7company_info'!D339</f>
        <v>47.05</v>
      </c>
      <c r="O339" s="35">
        <f>'7company_info'!E339</f>
        <v>1.33</v>
      </c>
      <c r="P339" s="35">
        <f>'7company_info'!F339</f>
        <v>0.0282</v>
      </c>
      <c r="Q339" s="35">
        <f>'7company_info'!G339</f>
        <v>47.18</v>
      </c>
      <c r="R339" s="35">
        <f>'7company_info'!H339</f>
        <v>47.2</v>
      </c>
      <c r="S339" s="35">
        <f>'7company_info'!I339</f>
        <v>27.79</v>
      </c>
      <c r="T339" s="35">
        <f>'7company_info'!J339</f>
        <v>56.5</v>
      </c>
      <c r="U339" s="39">
        <v>49.8033333333333</v>
      </c>
      <c r="V339" s="39">
        <v>50.4966666666666</v>
      </c>
      <c r="W339" s="40">
        <v>51.3233333333333</v>
      </c>
      <c r="X339" s="40">
        <v>52.8433333333333</v>
      </c>
      <c r="Y339" s="40">
        <v>48.9766666666666</v>
      </c>
      <c r="Z339" s="40">
        <v>48.2833333333333</v>
      </c>
      <c r="AA339" s="40">
        <v>46.7633333333333</v>
      </c>
      <c r="AB339" s="40">
        <v>49.11</v>
      </c>
      <c r="AC339" s="40">
        <v>51.19</v>
      </c>
      <c r="AD339" s="40">
        <v>51.2173815709469</v>
      </c>
      <c r="AE339" s="40">
        <v>47.20349</v>
      </c>
      <c r="AF339" s="40">
        <v>1.32900499999999</v>
      </c>
      <c r="AG339" s="40">
        <v>56.495</v>
      </c>
      <c r="AH339" s="45">
        <v>44273.0</v>
      </c>
      <c r="AI339" s="44" t="str">
        <f>'6image_RS_benchmark_performance'!B339</f>
        <v>https://3arbzfbsh-cname-us.ngrok.io/Desktop/seabridge%20fintech/image_app/KBE_resistance_support.jpg</v>
      </c>
      <c r="AJ339" s="44" t="str">
        <f>'6image_RS_benchmark_performance'!C339</f>
        <v>https://3arbzfbsh-cname-us.ngrok.io/Desktop/seabridge%20fintech/profit_graph_app/KBE_Return.jpg</v>
      </c>
      <c r="AK339" s="46" t="str">
        <f>'5price_action_icon'!B339</f>
        <v>https://3arbzfbsh-cname-us.ngrok.io/Desktop/seabridge%20fintech/icon/KBE_pa_trend_signal</v>
      </c>
      <c r="AL339" s="42">
        <f>'1kpi_performance'!B339</f>
        <v>0.5266479757</v>
      </c>
      <c r="AM339" s="42">
        <f>'1kpi_performance'!C339</f>
        <v>0.6177588383</v>
      </c>
      <c r="AN339" s="42">
        <f>'1kpi_performance'!D339</f>
        <v>0.44237033</v>
      </c>
      <c r="AO339" s="42">
        <f>'1kpi_performance'!E339</f>
        <v>0.09676009091</v>
      </c>
      <c r="AP339" s="42">
        <f>'1kpi_performance'!F339</f>
        <v>0.2264442335</v>
      </c>
      <c r="AQ339" s="42">
        <f>'1kpi_performance'!G339</f>
        <v>0.2014275698</v>
      </c>
      <c r="AR339" s="42">
        <f>'1kpi_performance'!H339</f>
        <v>0.2134196065</v>
      </c>
      <c r="AS339" s="42">
        <f>'1kpi_performance'!I339</f>
        <v>0.3346737384</v>
      </c>
      <c r="AT339" s="35">
        <f>'1kpi_performance'!J339</f>
        <v>2.215326785</v>
      </c>
      <c r="AU339" s="35">
        <f>'1kpi_performance'!K339</f>
        <v>2.942789008</v>
      </c>
      <c r="AV339" s="35">
        <f>'1kpi_performance'!L339</f>
        <v>1.955632553</v>
      </c>
      <c r="AW339" s="35">
        <f>'1kpi_performance'!M339</f>
        <v>0.2144180516</v>
      </c>
      <c r="AX339" s="42">
        <f>'1kpi_performance'!N339</f>
        <v>0.1682959049</v>
      </c>
      <c r="AY339" s="42">
        <f>'1kpi_performance'!O339</f>
        <v>0.147873034</v>
      </c>
      <c r="AZ339" s="42">
        <f>'1kpi_performance'!P339</f>
        <v>0.1866987479</v>
      </c>
      <c r="BA339" s="42">
        <f>'1kpi_performance'!Q339</f>
        <v>0.5539915156</v>
      </c>
      <c r="BB339" s="35">
        <f>'1kpi_performance'!R339</f>
        <v>4.708695891</v>
      </c>
      <c r="BC339" s="35">
        <f>'1kpi_performance'!S339</f>
        <v>6.815313752</v>
      </c>
      <c r="BD339" s="35">
        <f>'1kpi_performance'!T339</f>
        <v>4.014215084</v>
      </c>
      <c r="BE339" s="35">
        <f>'1kpi_performance'!U339</f>
        <v>0.4096244341</v>
      </c>
      <c r="BF339" s="47"/>
      <c r="BG339" s="47"/>
      <c r="BH339" s="47"/>
      <c r="BI339" s="47"/>
      <c r="BJ339" s="47"/>
      <c r="BK339" s="47"/>
      <c r="BL339" s="47"/>
      <c r="BM339" s="47"/>
      <c r="BN339" s="47"/>
      <c r="BO339" s="47"/>
      <c r="BP339" s="47"/>
      <c r="BQ339" s="47"/>
      <c r="BR339" s="47"/>
      <c r="BS339" s="47"/>
      <c r="BT339" s="47"/>
    </row>
    <row r="340" ht="11.25" customHeight="1">
      <c r="A340" s="35" t="str">
        <f>'13all_company_profile'!A340</f>
        <v>KDP</v>
      </c>
      <c r="B340" s="35" t="str">
        <f>'13all_company_profile'!B340</f>
        <v>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v>
      </c>
      <c r="C340" s="44" t="str">
        <f>'13all_company_profile'!C340</f>
        <v>https://financialmodelingprep.com/image-stock/KDP.png</v>
      </c>
      <c r="D340" s="35" t="str">
        <f>'13all_company_profile'!D340</f>
        <v>Keurig Dr Pepper Inc.</v>
      </c>
      <c r="E340" s="36">
        <f>'13all_company_profile'!E340</f>
        <v>51041292288</v>
      </c>
      <c r="F340" s="37">
        <f>'13all_company_profile'!F340</f>
        <v>5049979</v>
      </c>
      <c r="G340" s="35">
        <f>'13all_company_profile'!G340</f>
        <v>0.638</v>
      </c>
      <c r="H340" s="38">
        <f>'13all_company_profile'!H340</f>
        <v>44405</v>
      </c>
      <c r="I340" s="35">
        <f>'13all_company_profile'!I340</f>
        <v>34.214287</v>
      </c>
      <c r="J340" s="35">
        <f>'13all_company_profile'!J340</f>
        <v>1.05</v>
      </c>
      <c r="K340" s="42">
        <f t="shared" si="1"/>
        <v>0.01777653943</v>
      </c>
      <c r="L340" s="35">
        <f>'7company_info'!B340</f>
        <v>35.89</v>
      </c>
      <c r="M340" s="35">
        <f>'7company_info'!C340</f>
        <v>36.16</v>
      </c>
      <c r="N340" s="35">
        <f>'7company_info'!D340</f>
        <v>35.51</v>
      </c>
      <c r="O340" s="35">
        <f>'7company_info'!E340</f>
        <v>0.31</v>
      </c>
      <c r="P340" s="35">
        <f>'7company_info'!F340</f>
        <v>0.0087</v>
      </c>
      <c r="Q340" s="35">
        <f>'7company_info'!G340</f>
        <v>35.68</v>
      </c>
      <c r="R340" s="35">
        <f>'7company_info'!H340</f>
        <v>35.58</v>
      </c>
      <c r="S340" s="35">
        <f>'7company_info'!I340</f>
        <v>26.67</v>
      </c>
      <c r="T340" s="35">
        <f>'7company_info'!J340</f>
        <v>37.11</v>
      </c>
      <c r="U340" s="39">
        <v>35.3483666666666</v>
      </c>
      <c r="V340" s="39">
        <v>35.7466333333333</v>
      </c>
      <c r="W340" s="40">
        <v>35.9932666666666</v>
      </c>
      <c r="X340" s="40">
        <v>36.6381666666666</v>
      </c>
      <c r="Y340" s="40">
        <v>35.1017333333333</v>
      </c>
      <c r="Z340" s="40">
        <v>34.7034666666666</v>
      </c>
      <c r="AA340" s="40">
        <v>34.0585666666666</v>
      </c>
      <c r="AB340" s="40">
        <v>34.72</v>
      </c>
      <c r="AC340" s="40">
        <v>35.37</v>
      </c>
      <c r="AD340" s="40">
        <v>35.1065103885526</v>
      </c>
      <c r="AE340" s="40">
        <v>34.12047</v>
      </c>
      <c r="AF340" s="40">
        <v>0.452759999999999</v>
      </c>
      <c r="AG340" s="40">
        <v>37.11</v>
      </c>
      <c r="AH340" s="45">
        <v>44343.0</v>
      </c>
      <c r="AI340" s="44" t="str">
        <f>'6image_RS_benchmark_performance'!B340</f>
        <v>https://3arbzfbsh-cname-us.ngrok.io/Desktop/seabridge%20fintech/image_app/KDP_resistance_support.jpg</v>
      </c>
      <c r="AJ340" s="44" t="str">
        <f>'6image_RS_benchmark_performance'!C340</f>
        <v>https://3arbzfbsh-cname-us.ngrok.io/Desktop/seabridge%20fintech/profit_graph_app/KDP_Return.jpg</v>
      </c>
      <c r="AK340" s="46" t="str">
        <f>'5price_action_icon'!B340</f>
        <v>https://3arbzfbsh-cname-us.ngrok.io/Desktop/seabridge%20fintech/icon/KDP_pa_trend_signal</v>
      </c>
      <c r="AL340" s="42">
        <f>'1kpi_performance'!B340</f>
        <v>0.5064839254</v>
      </c>
      <c r="AM340" s="42">
        <f>'1kpi_performance'!C340</f>
        <v>0.6405524701</v>
      </c>
      <c r="AN340" s="42">
        <f>'1kpi_performance'!D340</f>
        <v>0.543982617</v>
      </c>
      <c r="AO340" s="42">
        <f>'1kpi_performance'!E340</f>
        <v>0.2946879254</v>
      </c>
      <c r="AP340" s="42">
        <f>'1kpi_performance'!F340</f>
        <v>0.1947549236</v>
      </c>
      <c r="AQ340" s="42">
        <f>'1kpi_performance'!G340</f>
        <v>0.2162676882</v>
      </c>
      <c r="AR340" s="42">
        <f>'1kpi_performance'!H340</f>
        <v>0.1606645012</v>
      </c>
      <c r="AS340" s="42">
        <f>'1kpi_performance'!I340</f>
        <v>0.2728093623</v>
      </c>
      <c r="AT340" s="35">
        <f>'1kpi_performance'!J340</f>
        <v>2.472255471</v>
      </c>
      <c r="AU340" s="35">
        <f>'1kpi_performance'!K340</f>
        <v>2.846252602</v>
      </c>
      <c r="AV340" s="35">
        <f>'1kpi_performance'!L340</f>
        <v>3.2302258</v>
      </c>
      <c r="AW340" s="35">
        <f>'1kpi_performance'!M340</f>
        <v>0.9885581751</v>
      </c>
      <c r="AX340" s="42">
        <f>'1kpi_performance'!N340</f>
        <v>0.1061225165</v>
      </c>
      <c r="AY340" s="42">
        <f>'1kpi_performance'!O340</f>
        <v>0.08048054834</v>
      </c>
      <c r="AZ340" s="42">
        <f>'1kpi_performance'!P340</f>
        <v>0.1329629322</v>
      </c>
      <c r="BA340" s="42">
        <f>'1kpi_performance'!Q340</f>
        <v>0.3719961551</v>
      </c>
      <c r="BB340" s="35">
        <f>'1kpi_performance'!R340</f>
        <v>6.217407506</v>
      </c>
      <c r="BC340" s="35">
        <f>'1kpi_performance'!S340</f>
        <v>7.998525708</v>
      </c>
      <c r="BD340" s="35">
        <f>'1kpi_performance'!T340</f>
        <v>7.535901785</v>
      </c>
      <c r="BE340" s="35">
        <f>'1kpi_performance'!U340</f>
        <v>2.128876012</v>
      </c>
      <c r="BF340" s="47"/>
      <c r="BG340" s="47"/>
      <c r="BH340" s="47"/>
      <c r="BI340" s="47"/>
      <c r="BJ340" s="47"/>
      <c r="BK340" s="47"/>
      <c r="BL340" s="47"/>
      <c r="BM340" s="47"/>
      <c r="BN340" s="47"/>
      <c r="BO340" s="47"/>
      <c r="BP340" s="47"/>
      <c r="BQ340" s="47"/>
      <c r="BR340" s="47"/>
      <c r="BS340" s="47"/>
      <c r="BT340" s="47"/>
    </row>
    <row r="341" ht="11.25" customHeight="1">
      <c r="A341" s="35" t="str">
        <f>'13all_company_profile'!A341</f>
        <v>KEY</v>
      </c>
      <c r="B341" s="35" t="str">
        <f>'13all_company_profile'!B341</f>
        <v>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v>
      </c>
      <c r="C341" s="44" t="str">
        <f>'13all_company_profile'!C341</f>
        <v>https://financialmodelingprep.com/image-stock/KEY.png</v>
      </c>
      <c r="D341" s="35" t="str">
        <f>'13all_company_profile'!D341</f>
        <v>KeyCorp</v>
      </c>
      <c r="E341" s="36">
        <f>'13all_company_profile'!E341</f>
        <v>19536545792</v>
      </c>
      <c r="F341" s="37">
        <f>'13all_company_profile'!F341</f>
        <v>7283852</v>
      </c>
      <c r="G341" s="35">
        <f>'13all_company_profile'!G341</f>
        <v>0.74</v>
      </c>
      <c r="H341" s="38">
        <f>'13all_company_profile'!H341</f>
        <v>44397</v>
      </c>
      <c r="I341" s="35">
        <f>'13all_company_profile'!I341</f>
        <v>10.938914</v>
      </c>
      <c r="J341" s="35">
        <f>'13all_company_profile'!J341</f>
        <v>1.768</v>
      </c>
      <c r="K341" s="42">
        <f t="shared" si="1"/>
        <v>0.0387434555</v>
      </c>
      <c r="L341" s="35">
        <f>'7company_info'!B341</f>
        <v>19.1</v>
      </c>
      <c r="M341" s="35">
        <f>'7company_info'!C341</f>
        <v>19.4</v>
      </c>
      <c r="N341" s="35">
        <f>'7company_info'!D341</f>
        <v>17.9</v>
      </c>
      <c r="O341" s="35">
        <f>'7company_info'!E341</f>
        <v>0.61</v>
      </c>
      <c r="P341" s="35">
        <f>'7company_info'!F341</f>
        <v>0.033</v>
      </c>
      <c r="Q341" s="35">
        <f>'7company_info'!G341</f>
        <v>17.96</v>
      </c>
      <c r="R341" s="35">
        <f>'7company_info'!H341</f>
        <v>18.49</v>
      </c>
      <c r="S341" s="35">
        <f>'7company_info'!I341</f>
        <v>11.33</v>
      </c>
      <c r="T341" s="35">
        <f>'7company_info'!J341</f>
        <v>23.65</v>
      </c>
      <c r="U341" s="39">
        <v>20.02</v>
      </c>
      <c r="V341" s="39">
        <v>20.365</v>
      </c>
      <c r="W341" s="40">
        <v>20.74</v>
      </c>
      <c r="X341" s="40">
        <v>21.46</v>
      </c>
      <c r="Y341" s="40">
        <v>19.645</v>
      </c>
      <c r="Z341" s="40">
        <v>19.3</v>
      </c>
      <c r="AA341" s="40">
        <v>18.58</v>
      </c>
      <c r="AB341" s="40">
        <v>20.53</v>
      </c>
      <c r="AC341" s="40">
        <v>21.02</v>
      </c>
      <c r="AD341" s="40">
        <v>20.6342645164356</v>
      </c>
      <c r="AE341" s="40">
        <v>18.874</v>
      </c>
      <c r="AF341" s="40">
        <v>0.611249999999999</v>
      </c>
      <c r="AG341" s="40">
        <v>23.645</v>
      </c>
      <c r="AH341" s="45">
        <v>44334.0</v>
      </c>
      <c r="AI341" s="44" t="str">
        <f>'6image_RS_benchmark_performance'!B341</f>
        <v>https://3arbzfbsh-cname-us.ngrok.io/Desktop/seabridge%20fintech/image_app/KEY_resistance_support.jpg</v>
      </c>
      <c r="AJ341" s="44" t="str">
        <f>'6image_RS_benchmark_performance'!C341</f>
        <v>https://3arbzfbsh-cname-us.ngrok.io/Desktop/seabridge%20fintech/profit_graph_app/KEY_Return.jpg</v>
      </c>
      <c r="AK341" s="46" t="str">
        <f>'5price_action_icon'!B341</f>
        <v>https://3arbzfbsh-cname-us.ngrok.io/Desktop/seabridge%20fintech/icon/KEY_pa_trend_signal</v>
      </c>
      <c r="AL341" s="42">
        <f>'1kpi_performance'!B341</f>
        <v>0.709479242</v>
      </c>
      <c r="AM341" s="42">
        <f>'1kpi_performance'!C341</f>
        <v>0.6523146451</v>
      </c>
      <c r="AN341" s="42">
        <f>'1kpi_performance'!D341</f>
        <v>0.7055201668</v>
      </c>
      <c r="AO341" s="42">
        <f>'1kpi_performance'!E341</f>
        <v>0.1329745484</v>
      </c>
      <c r="AP341" s="42">
        <f>'1kpi_performance'!F341</f>
        <v>0.2873517701</v>
      </c>
      <c r="AQ341" s="42">
        <f>'1kpi_performance'!G341</f>
        <v>0.2609228217</v>
      </c>
      <c r="AR341" s="42">
        <f>'1kpi_performance'!H341</f>
        <v>0.2850581468</v>
      </c>
      <c r="AS341" s="42">
        <f>'1kpi_performance'!I341</f>
        <v>0.4296951044</v>
      </c>
      <c r="AT341" s="35">
        <f>'1kpi_performance'!J341</f>
        <v>2.382025494</v>
      </c>
      <c r="AU341" s="35">
        <f>'1kpi_performance'!K341</f>
        <v>2.404215319</v>
      </c>
      <c r="AV341" s="35">
        <f>'1kpi_performance'!L341</f>
        <v>2.387302992</v>
      </c>
      <c r="AW341" s="35">
        <f>'1kpi_performance'!M341</f>
        <v>0.2512817746</v>
      </c>
      <c r="AX341" s="42">
        <f>'1kpi_performance'!N341</f>
        <v>0.2085514834</v>
      </c>
      <c r="AY341" s="42">
        <f>'1kpi_performance'!O341</f>
        <v>0.2235478606</v>
      </c>
      <c r="AZ341" s="42">
        <f>'1kpi_performance'!P341</f>
        <v>0.2566935406</v>
      </c>
      <c r="BA341" s="42">
        <f>'1kpi_performance'!Q341</f>
        <v>0.6316027088</v>
      </c>
      <c r="BB341" s="35">
        <f>'1kpi_performance'!R341</f>
        <v>5.298564787</v>
      </c>
      <c r="BC341" s="35">
        <f>'1kpi_performance'!S341</f>
        <v>5.387553548</v>
      </c>
      <c r="BD341" s="35">
        <f>'1kpi_performance'!T341</f>
        <v>5.332139745</v>
      </c>
      <c r="BE341" s="35">
        <f>'1kpi_performance'!U341</f>
        <v>0.4871814659</v>
      </c>
      <c r="BF341" s="47"/>
      <c r="BG341" s="47"/>
      <c r="BH341" s="47"/>
      <c r="BI341" s="47"/>
      <c r="BJ341" s="47"/>
      <c r="BK341" s="47"/>
      <c r="BL341" s="47"/>
      <c r="BM341" s="47"/>
      <c r="BN341" s="47"/>
      <c r="BO341" s="47"/>
      <c r="BP341" s="47"/>
      <c r="BQ341" s="47"/>
      <c r="BR341" s="47"/>
      <c r="BS341" s="47"/>
      <c r="BT341" s="47"/>
    </row>
    <row r="342" ht="11.25" customHeight="1">
      <c r="A342" s="35" t="str">
        <f>'13all_company_profile'!A342</f>
        <v>KEYS</v>
      </c>
      <c r="B342" s="35" t="str">
        <f>'13all_company_profile'!B342</f>
        <v>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v>
      </c>
      <c r="C342" s="44" t="str">
        <f>'13all_company_profile'!C342</f>
        <v>https://financialmodelingprep.com/image-stock/KEYS.png</v>
      </c>
      <c r="D342" s="35" t="str">
        <f>'13all_company_profile'!D342</f>
        <v>Keysight Technologies, Inc.</v>
      </c>
      <c r="E342" s="36">
        <f>'13all_company_profile'!E342</f>
        <v>28875583488</v>
      </c>
      <c r="F342" s="37">
        <f>'13all_company_profile'!F342</f>
        <v>887828</v>
      </c>
      <c r="G342" s="35">
        <f>'13all_company_profile'!G342</f>
        <v>0</v>
      </c>
      <c r="H342" s="38" t="str">
        <f>'13all_company_profile'!H342</f>
        <v>not avaiable</v>
      </c>
      <c r="I342" s="35">
        <f>'13all_company_profile'!I342</f>
        <v>38.836044</v>
      </c>
      <c r="J342" s="35">
        <f>'13all_company_profile'!J342</f>
        <v>3.995</v>
      </c>
      <c r="K342" s="42" t="str">
        <f t="shared" si="1"/>
        <v>NaN</v>
      </c>
      <c r="L342" s="35">
        <f>'7company_info'!B342</f>
        <v>156.59</v>
      </c>
      <c r="M342" s="35">
        <f>'7company_info'!C342</f>
        <v>157.44</v>
      </c>
      <c r="N342" s="35">
        <f>'7company_info'!D342</f>
        <v>155.02</v>
      </c>
      <c r="O342" s="35">
        <f>'7company_info'!E342</f>
        <v>1.81</v>
      </c>
      <c r="P342" s="35">
        <f>'7company_info'!F342</f>
        <v>0.0117</v>
      </c>
      <c r="Q342" s="35">
        <f>'7company_info'!G342</f>
        <v>155.6</v>
      </c>
      <c r="R342" s="35">
        <f>'7company_info'!H342</f>
        <v>154.78</v>
      </c>
      <c r="S342" s="35">
        <f>'7company_info'!I342</f>
        <v>90.62</v>
      </c>
      <c r="T342" s="35">
        <f>'7company_info'!J342</f>
        <v>158.82</v>
      </c>
      <c r="U342" s="39">
        <v>158.013333333333</v>
      </c>
      <c r="V342" s="39">
        <v>158.726666666666</v>
      </c>
      <c r="W342" s="40">
        <v>159.533333333333</v>
      </c>
      <c r="X342" s="40">
        <v>161.053333333333</v>
      </c>
      <c r="Y342" s="40">
        <v>157.206666666666</v>
      </c>
      <c r="Z342" s="40">
        <v>156.493333333333</v>
      </c>
      <c r="AA342" s="40">
        <v>154.973333333333</v>
      </c>
      <c r="AB342" s="40">
        <v>152.6965</v>
      </c>
      <c r="AC342" s="40">
        <v>158.82</v>
      </c>
      <c r="AD342" s="40">
        <v>153.283777749799</v>
      </c>
      <c r="AE342" s="40">
        <v>152.767049999999</v>
      </c>
      <c r="AF342" s="40">
        <v>2.25798</v>
      </c>
      <c r="AG342" s="40">
        <v>155.88</v>
      </c>
      <c r="AH342" s="45">
        <v>44376.0</v>
      </c>
      <c r="AI342" s="44" t="str">
        <f>'6image_RS_benchmark_performance'!B342</f>
        <v>https://3arbzfbsh-cname-us.ngrok.io/Desktop/seabridge%20fintech/image_app/KEYS_resistance_support.jpg</v>
      </c>
      <c r="AJ342" s="44" t="str">
        <f>'6image_RS_benchmark_performance'!C342</f>
        <v>https://3arbzfbsh-cname-us.ngrok.io/Desktop/seabridge%20fintech/profit_graph_app/KEYS_Return.jpg</v>
      </c>
      <c r="AK342" s="46" t="str">
        <f>'5price_action_icon'!B342</f>
        <v>https://3arbzfbsh-cname-us.ngrok.io/Desktop/seabridge%20fintech/icon/KEYS_pa_trend_signal</v>
      </c>
      <c r="AL342" s="42">
        <f>'1kpi_performance'!B342</f>
        <v>0.8158837865</v>
      </c>
      <c r="AM342" s="42">
        <f>'1kpi_performance'!C342</f>
        <v>1.035573106</v>
      </c>
      <c r="AN342" s="42">
        <f>'1kpi_performance'!D342</f>
        <v>0.7188912936</v>
      </c>
      <c r="AO342" s="42">
        <f>'1kpi_performance'!E342</f>
        <v>0.4415758579</v>
      </c>
      <c r="AP342" s="42">
        <f>'1kpi_performance'!F342</f>
        <v>0.264915534</v>
      </c>
      <c r="AQ342" s="42">
        <f>'1kpi_performance'!G342</f>
        <v>0.2496948611</v>
      </c>
      <c r="AR342" s="42">
        <f>'1kpi_performance'!H342</f>
        <v>0.2779140165</v>
      </c>
      <c r="AS342" s="42">
        <f>'1kpi_performance'!I342</f>
        <v>0.367159642</v>
      </c>
      <c r="AT342" s="35">
        <f>'1kpi_performance'!J342</f>
        <v>2.98541869</v>
      </c>
      <c r="AU342" s="35">
        <f>'1kpi_performance'!K342</f>
        <v>4.047232298</v>
      </c>
      <c r="AV342" s="35">
        <f>'1kpi_performance'!L342</f>
        <v>2.496784086</v>
      </c>
      <c r="AW342" s="35">
        <f>'1kpi_performance'!M342</f>
        <v>1.134590544</v>
      </c>
      <c r="AX342" s="42">
        <f>'1kpi_performance'!N342</f>
        <v>0.1377952329</v>
      </c>
      <c r="AY342" s="42">
        <f>'1kpi_performance'!O342</f>
        <v>0.08983748366</v>
      </c>
      <c r="AZ342" s="42">
        <f>'1kpi_performance'!P342</f>
        <v>0.2060851927</v>
      </c>
      <c r="BA342" s="42">
        <f>'1kpi_performance'!Q342</f>
        <v>0.4553869889</v>
      </c>
      <c r="BB342" s="35">
        <f>'1kpi_performance'!R342</f>
        <v>6.821322566</v>
      </c>
      <c r="BC342" s="35">
        <f>'1kpi_performance'!S342</f>
        <v>10.27738376</v>
      </c>
      <c r="BD342" s="35">
        <f>'1kpi_performance'!T342</f>
        <v>5.510039819</v>
      </c>
      <c r="BE342" s="35">
        <f>'1kpi_performance'!U342</f>
        <v>2.35997887</v>
      </c>
      <c r="BF342" s="47"/>
      <c r="BG342" s="47"/>
      <c r="BH342" s="47"/>
      <c r="BI342" s="47"/>
      <c r="BJ342" s="47"/>
      <c r="BK342" s="47"/>
      <c r="BL342" s="47"/>
      <c r="BM342" s="47"/>
      <c r="BN342" s="47"/>
      <c r="BO342" s="47"/>
      <c r="BP342" s="47"/>
      <c r="BQ342" s="47"/>
      <c r="BR342" s="47"/>
      <c r="BS342" s="47"/>
      <c r="BT342" s="47"/>
    </row>
    <row r="343" ht="11.25" customHeight="1">
      <c r="A343" s="35" t="str">
        <f>'13all_company_profile'!A343</f>
        <v>KHC</v>
      </c>
      <c r="B343" s="35" t="str">
        <f>'13all_company_profile'!B343</f>
        <v>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v>
      </c>
      <c r="C343" s="44" t="str">
        <f>'13all_company_profile'!C343</f>
        <v>https://financialmodelingprep.com/image-stock/KHC.png</v>
      </c>
      <c r="D343" s="35" t="str">
        <f>'13all_company_profile'!D343</f>
        <v>The Kraft Heinz Company</v>
      </c>
      <c r="E343" s="36">
        <f>'13all_company_profile'!E343</f>
        <v>48228802560</v>
      </c>
      <c r="F343" s="37">
        <f>'13all_company_profile'!F343</f>
        <v>4980253</v>
      </c>
      <c r="G343" s="35">
        <f>'13all_company_profile'!G343</f>
        <v>1.6</v>
      </c>
      <c r="H343" s="38">
        <f>'13all_company_profile'!H343</f>
        <v>44405</v>
      </c>
      <c r="I343" s="35">
        <f>'13all_company_profile'!I343</f>
        <v>88.88009</v>
      </c>
      <c r="J343" s="35">
        <f>'13all_company_profile'!J343</f>
        <v>0.442</v>
      </c>
      <c r="K343" s="42">
        <f t="shared" si="1"/>
        <v>0.04060913706</v>
      </c>
      <c r="L343" s="35">
        <f>'7company_info'!B343</f>
        <v>39.4</v>
      </c>
      <c r="M343" s="35">
        <f>'7company_info'!C343</f>
        <v>39.91</v>
      </c>
      <c r="N343" s="35">
        <f>'7company_info'!D343</f>
        <v>39.28</v>
      </c>
      <c r="O343" s="35">
        <f>'7company_info'!E343</f>
        <v>0.06</v>
      </c>
      <c r="P343" s="35">
        <f>'7company_info'!F343</f>
        <v>0.0015</v>
      </c>
      <c r="Q343" s="35">
        <f>'7company_info'!G343</f>
        <v>39.48</v>
      </c>
      <c r="R343" s="35">
        <f>'7company_info'!H343</f>
        <v>39.34</v>
      </c>
      <c r="S343" s="35">
        <f>'7company_info'!I343</f>
        <v>28.56</v>
      </c>
      <c r="T343" s="35">
        <f>'7company_info'!J343</f>
        <v>44.95</v>
      </c>
      <c r="U343" s="39">
        <v>38.9433</v>
      </c>
      <c r="V343" s="39">
        <v>39.2967</v>
      </c>
      <c r="W343" s="40">
        <v>39.6034</v>
      </c>
      <c r="X343" s="40">
        <v>40.2635</v>
      </c>
      <c r="Y343" s="40">
        <v>38.6366</v>
      </c>
      <c r="Z343" s="40">
        <v>38.2832</v>
      </c>
      <c r="AA343" s="40">
        <v>37.6231</v>
      </c>
      <c r="AB343" s="40">
        <v>38.5899</v>
      </c>
      <c r="AC343" s="40">
        <v>42.68</v>
      </c>
      <c r="AD343" s="40">
        <v>40.4995356469061</v>
      </c>
      <c r="AE343" s="40">
        <v>37.90912</v>
      </c>
      <c r="AF343" s="40">
        <v>0.635445</v>
      </c>
      <c r="AG343" s="40">
        <v>44.95</v>
      </c>
      <c r="AH343" s="45">
        <v>44340.0</v>
      </c>
      <c r="AI343" s="44" t="str">
        <f>'6image_RS_benchmark_performance'!B343</f>
        <v>https://3arbzfbsh-cname-us.ngrok.io/Desktop/seabridge%20fintech/image_app/KHC_resistance_support.jpg</v>
      </c>
      <c r="AJ343" s="44" t="str">
        <f>'6image_RS_benchmark_performance'!C343</f>
        <v>https://3arbzfbsh-cname-us.ngrok.io/Desktop/seabridge%20fintech/profit_graph_app/KHC_Return.jpg</v>
      </c>
      <c r="AK343" s="46" t="str">
        <f>'5price_action_icon'!B343</f>
        <v>https://3arbzfbsh-cname-us.ngrok.io/Desktop/seabridge%20fintech/icon/KHC_pa_trend_signal</v>
      </c>
      <c r="AL343" s="42">
        <f>'1kpi_performance'!B343</f>
        <v>0.4294366844</v>
      </c>
      <c r="AM343" s="42">
        <f>'1kpi_performance'!C343</f>
        <v>0.6290889123</v>
      </c>
      <c r="AN343" s="42">
        <f>'1kpi_performance'!D343</f>
        <v>0.3711883281</v>
      </c>
      <c r="AO343" s="42">
        <f>'1kpi_performance'!E343</f>
        <v>-0.1381725525</v>
      </c>
      <c r="AP343" s="42">
        <f>'1kpi_performance'!F343</f>
        <v>0.2553704655</v>
      </c>
      <c r="AQ343" s="42">
        <f>'1kpi_performance'!G343</f>
        <v>0.2551213959</v>
      </c>
      <c r="AR343" s="42">
        <f>'1kpi_performance'!H343</f>
        <v>0.2589959912</v>
      </c>
      <c r="AS343" s="42">
        <f>'1kpi_performance'!I343</f>
        <v>0.3606496699</v>
      </c>
      <c r="AT343" s="35">
        <f>'1kpi_performance'!J343</f>
        <v>1.583725368</v>
      </c>
      <c r="AU343" s="35">
        <f>'1kpi_performance'!K343</f>
        <v>2.367848883</v>
      </c>
      <c r="AV343" s="35">
        <f>'1kpi_performance'!L343</f>
        <v>1.33665516</v>
      </c>
      <c r="AW343" s="35">
        <f>'1kpi_performance'!M343</f>
        <v>-0.4524405985</v>
      </c>
      <c r="AX343" s="42">
        <f>'1kpi_performance'!N343</f>
        <v>0.1335002086</v>
      </c>
      <c r="AY343" s="42">
        <f>'1kpi_performance'!O343</f>
        <v>0.1335002086</v>
      </c>
      <c r="AZ343" s="42">
        <f>'1kpi_performance'!P343</f>
        <v>0.3677907343</v>
      </c>
      <c r="BA343" s="42">
        <f>'1kpi_performance'!Q343</f>
        <v>0.7924469736</v>
      </c>
      <c r="BB343" s="35">
        <f>'1kpi_performance'!R343</f>
        <v>3.600451543</v>
      </c>
      <c r="BC343" s="35">
        <f>'1kpi_performance'!S343</f>
        <v>5.956859221</v>
      </c>
      <c r="BD343" s="35">
        <f>'1kpi_performance'!T343</f>
        <v>2.749553774</v>
      </c>
      <c r="BE343" s="35">
        <f>'1kpi_performance'!U343</f>
        <v>-0.8057904892</v>
      </c>
      <c r="BF343" s="47"/>
      <c r="BG343" s="47"/>
      <c r="BH343" s="47"/>
      <c r="BI343" s="47"/>
      <c r="BJ343" s="47"/>
      <c r="BK343" s="47"/>
      <c r="BL343" s="47"/>
      <c r="BM343" s="47"/>
      <c r="BN343" s="47"/>
      <c r="BO343" s="47"/>
      <c r="BP343" s="47"/>
      <c r="BQ343" s="47"/>
      <c r="BR343" s="47"/>
      <c r="BS343" s="47"/>
      <c r="BT343" s="47"/>
    </row>
    <row r="344" ht="11.25" customHeight="1">
      <c r="A344" s="35" t="str">
        <f>'13all_company_profile'!A344</f>
        <v>KIM</v>
      </c>
      <c r="B344" s="35" t="str">
        <f>'13all_company_profile'!B344</f>
        <v>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v>
      </c>
      <c r="C344" s="44" t="str">
        <f>'13all_company_profile'!C344</f>
        <v>https://financialmodelingprep.com/image-stock/KIM.png</v>
      </c>
      <c r="D344" s="35" t="str">
        <f>'13all_company_profile'!D344</f>
        <v>Kimco Realty Corporation</v>
      </c>
      <c r="E344" s="36">
        <f>'13all_company_profile'!E344</f>
        <v>9194873856</v>
      </c>
      <c r="F344" s="37">
        <f>'13all_company_profile'!F344</f>
        <v>5017784</v>
      </c>
      <c r="G344" s="35">
        <f>'13all_company_profile'!G344</f>
        <v>0.6</v>
      </c>
      <c r="H344" s="38">
        <f>'13all_company_profile'!H344</f>
        <v>44406</v>
      </c>
      <c r="I344" s="35">
        <f>'13all_company_profile'!I344</f>
        <v>8.979678</v>
      </c>
      <c r="J344" s="35">
        <f>'13all_company_profile'!J344</f>
        <v>2.362</v>
      </c>
      <c r="K344" s="42">
        <f t="shared" si="1"/>
        <v>0.02879078695</v>
      </c>
      <c r="L344" s="35">
        <f>'7company_info'!B344</f>
        <v>20.84</v>
      </c>
      <c r="M344" s="35">
        <f>'7company_info'!C344</f>
        <v>21.01</v>
      </c>
      <c r="N344" s="35">
        <f>'7company_info'!D344</f>
        <v>19.61</v>
      </c>
      <c r="O344" s="35">
        <f>'7company_info'!E344</f>
        <v>1.27</v>
      </c>
      <c r="P344" s="35">
        <f>'7company_info'!F344</f>
        <v>0.0649</v>
      </c>
      <c r="Q344" s="35">
        <f>'7company_info'!G344</f>
        <v>19.68</v>
      </c>
      <c r="R344" s="35">
        <f>'7company_info'!H344</f>
        <v>19.57</v>
      </c>
      <c r="S344" s="35">
        <f>'7company_info'!I344</f>
        <v>10.04</v>
      </c>
      <c r="T344" s="35">
        <f>'7company_info'!J344</f>
        <v>22.31</v>
      </c>
      <c r="U344" s="39">
        <v>21.2566666666666</v>
      </c>
      <c r="V344" s="39">
        <v>21.5583333333333</v>
      </c>
      <c r="W344" s="40">
        <v>21.7266666666666</v>
      </c>
      <c r="X344" s="40">
        <v>22.1966666666666</v>
      </c>
      <c r="Y344" s="40">
        <v>21.0883333333333</v>
      </c>
      <c r="Z344" s="40">
        <v>20.7866666666666</v>
      </c>
      <c r="AA344" s="40">
        <v>20.3166666666666</v>
      </c>
      <c r="AB344" s="40">
        <v>20.69</v>
      </c>
      <c r="AC344" s="40">
        <v>21.18</v>
      </c>
      <c r="AD344" s="40">
        <v>21.0372322116029</v>
      </c>
      <c r="AE344" s="40">
        <v>19.93151</v>
      </c>
      <c r="AF344" s="40">
        <v>0.518245</v>
      </c>
      <c r="AG344" s="40">
        <v>22.31</v>
      </c>
      <c r="AH344" s="45">
        <v>44349.0</v>
      </c>
      <c r="AI344" s="44" t="str">
        <f>'6image_RS_benchmark_performance'!B344</f>
        <v>https://3arbzfbsh-cname-us.ngrok.io/Desktop/seabridge%20fintech/image_app/KIM_resistance_support.jpg</v>
      </c>
      <c r="AJ344" s="44" t="str">
        <f>'6image_RS_benchmark_performance'!C344</f>
        <v>https://3arbzfbsh-cname-us.ngrok.io/Desktop/seabridge%20fintech/profit_graph_app/KIM_Return.jpg</v>
      </c>
      <c r="AK344" s="46" t="str">
        <f>'5price_action_icon'!B344</f>
        <v>https://3arbzfbsh-cname-us.ngrok.io/Desktop/seabridge%20fintech/icon/KIM_pa_trend_signal</v>
      </c>
      <c r="AL344" s="42">
        <f>'1kpi_performance'!B344</f>
        <v>0.5154356683</v>
      </c>
      <c r="AM344" s="42">
        <f>'1kpi_performance'!C344</f>
        <v>0.6024011145</v>
      </c>
      <c r="AN344" s="42">
        <f>'1kpi_performance'!D344</f>
        <v>0.6552755278</v>
      </c>
      <c r="AO344" s="42">
        <f>'1kpi_performance'!E344</f>
        <v>0.06129652663</v>
      </c>
      <c r="AP344" s="42">
        <f>'1kpi_performance'!F344</f>
        <v>0.2889164994</v>
      </c>
      <c r="AQ344" s="42">
        <f>'1kpi_performance'!G344</f>
        <v>0.2678077451</v>
      </c>
      <c r="AR344" s="42">
        <f>'1kpi_performance'!H344</f>
        <v>0.2739096188</v>
      </c>
      <c r="AS344" s="42">
        <f>'1kpi_performance'!I344</f>
        <v>0.3916700842</v>
      </c>
      <c r="AT344" s="35">
        <f>'1kpi_performance'!J344</f>
        <v>1.697499691</v>
      </c>
      <c r="AU344" s="35">
        <f>'1kpi_performance'!K344</f>
        <v>2.156028439</v>
      </c>
      <c r="AV344" s="35">
        <f>'1kpi_performance'!L344</f>
        <v>2.301034665</v>
      </c>
      <c r="AW344" s="35">
        <f>'1kpi_performance'!M344</f>
        <v>0.09267117428</v>
      </c>
      <c r="AX344" s="42">
        <f>'1kpi_performance'!N344</f>
        <v>0.3446711721</v>
      </c>
      <c r="AY344" s="42">
        <f>'1kpi_performance'!O344</f>
        <v>0.1706673465</v>
      </c>
      <c r="AZ344" s="42">
        <f>'1kpi_performance'!P344</f>
        <v>0.2866529923</v>
      </c>
      <c r="BA344" s="42">
        <f>'1kpi_performance'!Q344</f>
        <v>0.759092322</v>
      </c>
      <c r="BB344" s="35">
        <f>'1kpi_performance'!R344</f>
        <v>3.604261077</v>
      </c>
      <c r="BC344" s="35">
        <f>'1kpi_performance'!S344</f>
        <v>5.001138823</v>
      </c>
      <c r="BD344" s="35">
        <f>'1kpi_performance'!T344</f>
        <v>5.370246803</v>
      </c>
      <c r="BE344" s="35">
        <f>'1kpi_performance'!U344</f>
        <v>0.1795674902</v>
      </c>
      <c r="BF344" s="47"/>
      <c r="BG344" s="47"/>
      <c r="BH344" s="47"/>
      <c r="BI344" s="47"/>
      <c r="BJ344" s="47"/>
      <c r="BK344" s="47"/>
      <c r="BL344" s="47"/>
      <c r="BM344" s="47"/>
      <c r="BN344" s="47"/>
      <c r="BO344" s="47"/>
      <c r="BP344" s="47"/>
      <c r="BQ344" s="47"/>
      <c r="BR344" s="47"/>
      <c r="BS344" s="47"/>
      <c r="BT344" s="47"/>
    </row>
    <row r="345" ht="11.25" customHeight="1">
      <c r="A345" s="35" t="str">
        <f>'13all_company_profile'!A345</f>
        <v>KKR</v>
      </c>
      <c r="B345" s="35" t="str">
        <f>'13all_company_profile'!B345</f>
        <v>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v>
      </c>
      <c r="C345" s="44" t="str">
        <f>'13all_company_profile'!C345</f>
        <v>https://financialmodelingprep.com/image-stock/KKR.png</v>
      </c>
      <c r="D345" s="35" t="str">
        <f>'13all_company_profile'!D345</f>
        <v>KKR &amp; Co. Inc.</v>
      </c>
      <c r="E345" s="36">
        <f>'13all_company_profile'!E345</f>
        <v>34220240896</v>
      </c>
      <c r="F345" s="37">
        <f>'13all_company_profile'!F345</f>
        <v>2543400</v>
      </c>
      <c r="G345" s="35">
        <f>'13all_company_profile'!G345</f>
        <v>0.55</v>
      </c>
      <c r="H345" s="38">
        <f>'13all_company_profile'!H345</f>
        <v>44410</v>
      </c>
      <c r="I345" s="35">
        <f>'13all_company_profile'!I345</f>
        <v>7.1007795</v>
      </c>
      <c r="J345" s="35">
        <f>'13all_company_profile'!J345</f>
        <v>8.216</v>
      </c>
      <c r="K345" s="42">
        <f t="shared" si="1"/>
        <v>0.009392076503</v>
      </c>
      <c r="L345" s="35">
        <f>'7company_info'!B345</f>
        <v>58.56</v>
      </c>
      <c r="M345" s="35">
        <f>'7company_info'!C345</f>
        <v>58.97</v>
      </c>
      <c r="N345" s="35">
        <f>'7company_info'!D345</f>
        <v>57.44</v>
      </c>
      <c r="O345" s="35">
        <f>'7company_info'!E345</f>
        <v>1.19</v>
      </c>
      <c r="P345" s="35">
        <f>'7company_info'!F345</f>
        <v>0.0207</v>
      </c>
      <c r="Q345" s="35">
        <f>'7company_info'!G345</f>
        <v>57.74</v>
      </c>
      <c r="R345" s="35">
        <f>'7company_info'!H345</f>
        <v>57.37</v>
      </c>
      <c r="S345" s="35">
        <f>'7company_info'!I345</f>
        <v>32.73</v>
      </c>
      <c r="T345" s="35">
        <f>'7company_info'!J345</f>
        <v>61.47</v>
      </c>
      <c r="U345" s="39">
        <v>59.0766666666666</v>
      </c>
      <c r="V345" s="39">
        <v>59.5133333333333</v>
      </c>
      <c r="W345" s="40">
        <v>60.1166666666666</v>
      </c>
      <c r="X345" s="40">
        <v>61.1566666666666</v>
      </c>
      <c r="Y345" s="40">
        <v>58.4733333333333</v>
      </c>
      <c r="Z345" s="40">
        <v>58.0366666666666</v>
      </c>
      <c r="AA345" s="40">
        <v>56.9966666666666</v>
      </c>
      <c r="AB345" s="40">
        <v>58.64</v>
      </c>
      <c r="AC345" s="40">
        <v>61.47</v>
      </c>
      <c r="AD345" s="40">
        <v>58.750175559936</v>
      </c>
      <c r="AE345" s="40">
        <v>56.94281</v>
      </c>
      <c r="AF345" s="40">
        <v>1.228595</v>
      </c>
      <c r="AG345" s="40">
        <v>61.05</v>
      </c>
      <c r="AH345" s="45">
        <v>44372.0</v>
      </c>
      <c r="AI345" s="44" t="str">
        <f>'6image_RS_benchmark_performance'!B345</f>
        <v>https://3arbzfbsh-cname-us.ngrok.io/Desktop/seabridge%20fintech/image_app/KKR_resistance_support.jpg</v>
      </c>
      <c r="AJ345" s="44" t="str">
        <f>'6image_RS_benchmark_performance'!C345</f>
        <v>https://3arbzfbsh-cname-us.ngrok.io/Desktop/seabridge%20fintech/profit_graph_app/KKR_Return.jpg</v>
      </c>
      <c r="AK345" s="46" t="str">
        <f>'5price_action_icon'!B345</f>
        <v>https://3arbzfbsh-cname-us.ngrok.io/Desktop/seabridge%20fintech/icon/KKR_pa_trend_signal</v>
      </c>
      <c r="AL345" s="42">
        <f>'1kpi_performance'!B345</f>
        <v>0.5995928639</v>
      </c>
      <c r="AM345" s="42">
        <f>'1kpi_performance'!C345</f>
        <v>0.8050858406</v>
      </c>
      <c r="AN345" s="42">
        <f>'1kpi_performance'!D345</f>
        <v>0.6531654332</v>
      </c>
      <c r="AO345" s="42">
        <f>'1kpi_performance'!E345</f>
        <v>0.2561762355</v>
      </c>
      <c r="AP345" s="42">
        <f>'1kpi_performance'!F345</f>
        <v>0.273772681</v>
      </c>
      <c r="AQ345" s="42">
        <f>'1kpi_performance'!G345</f>
        <v>0.2798547924</v>
      </c>
      <c r="AR345" s="42">
        <f>'1kpi_performance'!H345</f>
        <v>0.2414527026</v>
      </c>
      <c r="AS345" s="42">
        <f>'1kpi_performance'!I345</f>
        <v>0.4024632088</v>
      </c>
      <c r="AT345" s="35">
        <f>'1kpi_performance'!J345</f>
        <v>2.098795475</v>
      </c>
      <c r="AU345" s="35">
        <f>'1kpi_performance'!K345</f>
        <v>2.787466435</v>
      </c>
      <c r="AV345" s="35">
        <f>'1kpi_performance'!L345</f>
        <v>2.601608623</v>
      </c>
      <c r="AW345" s="35">
        <f>'1kpi_performance'!M345</f>
        <v>0.5744034</v>
      </c>
      <c r="AX345" s="42">
        <f>'1kpi_performance'!N345</f>
        <v>0.2477096788</v>
      </c>
      <c r="AY345" s="42">
        <f>'1kpi_performance'!O345</f>
        <v>0.1626294662</v>
      </c>
      <c r="AZ345" s="42">
        <f>'1kpi_performance'!P345</f>
        <v>0.3261164582</v>
      </c>
      <c r="BA345" s="42">
        <f>'1kpi_performance'!Q345</f>
        <v>0.5768060837</v>
      </c>
      <c r="BB345" s="35">
        <f>'1kpi_performance'!R345</f>
        <v>4.193653939</v>
      </c>
      <c r="BC345" s="35">
        <f>'1kpi_performance'!S345</f>
        <v>5.90946017</v>
      </c>
      <c r="BD345" s="35">
        <f>'1kpi_performance'!T345</f>
        <v>5.475773368</v>
      </c>
      <c r="BE345" s="35">
        <f>'1kpi_performance'!U345</f>
        <v>1.136681737</v>
      </c>
      <c r="BF345" s="47"/>
      <c r="BG345" s="47"/>
      <c r="BH345" s="47"/>
      <c r="BI345" s="47"/>
      <c r="BJ345" s="47"/>
      <c r="BK345" s="47"/>
      <c r="BL345" s="47"/>
      <c r="BM345" s="47"/>
      <c r="BN345" s="47"/>
      <c r="BO345" s="47"/>
      <c r="BP345" s="47"/>
      <c r="BQ345" s="47"/>
      <c r="BR345" s="47"/>
      <c r="BS345" s="47"/>
      <c r="BT345" s="47"/>
    </row>
    <row r="346" ht="11.25" customHeight="1">
      <c r="A346" s="35" t="str">
        <f>'13all_company_profile'!A346</f>
        <v>KLAC</v>
      </c>
      <c r="B346" s="35" t="str">
        <f>'13all_company_profile'!B346</f>
        <v>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v>
      </c>
      <c r="C346" s="44" t="str">
        <f>'13all_company_profile'!C346</f>
        <v>https://financialmodelingprep.com/image-stock/KLAC.png</v>
      </c>
      <c r="D346" s="35" t="str">
        <f>'13all_company_profile'!D346</f>
        <v>KLA Corporation</v>
      </c>
      <c r="E346" s="36">
        <f>'13all_company_profile'!E346</f>
        <v>46559408128</v>
      </c>
      <c r="F346" s="37">
        <f>'13all_company_profile'!F346</f>
        <v>1110782</v>
      </c>
      <c r="G346" s="35">
        <f>'13all_company_profile'!G346</f>
        <v>3.6</v>
      </c>
      <c r="H346" s="38">
        <f>'13all_company_profile'!H346</f>
        <v>44406</v>
      </c>
      <c r="I346" s="35">
        <f>'13all_company_profile'!I346</f>
        <v>24.65866</v>
      </c>
      <c r="J346" s="35">
        <f>'13all_company_profile'!J346</f>
        <v>11.909</v>
      </c>
      <c r="K346" s="42">
        <f t="shared" si="1"/>
        <v>0.01189021369</v>
      </c>
      <c r="L346" s="35">
        <f>'7company_info'!B346</f>
        <v>302.77</v>
      </c>
      <c r="M346" s="35">
        <f>'7company_info'!C346</f>
        <v>304.83</v>
      </c>
      <c r="N346" s="35">
        <f>'7company_info'!D346</f>
        <v>292.68</v>
      </c>
      <c r="O346" s="35">
        <f>'7company_info'!E346</f>
        <v>8.44</v>
      </c>
      <c r="P346" s="35">
        <f>'7company_info'!F346</f>
        <v>0.0287</v>
      </c>
      <c r="Q346" s="35">
        <f>'7company_info'!G346</f>
        <v>295.3</v>
      </c>
      <c r="R346" s="35">
        <f>'7company_info'!H346</f>
        <v>294.33</v>
      </c>
      <c r="S346" s="35">
        <f>'7company_info'!I346</f>
        <v>171.31</v>
      </c>
      <c r="T346" s="35">
        <f>'7company_info'!J346</f>
        <v>359.69</v>
      </c>
      <c r="U346" s="39">
        <v>311.96</v>
      </c>
      <c r="V346" s="39">
        <v>315.46</v>
      </c>
      <c r="W346" s="40">
        <v>321.8</v>
      </c>
      <c r="X346" s="40">
        <v>331.64</v>
      </c>
      <c r="Y346" s="40">
        <v>305.619999999999</v>
      </c>
      <c r="Z346" s="40">
        <v>302.119999999999</v>
      </c>
      <c r="AA346" s="40">
        <v>292.279999999999</v>
      </c>
      <c r="AB346" s="40">
        <v>311.53</v>
      </c>
      <c r="AC346" s="40">
        <v>316.2833</v>
      </c>
      <c r="AD346" s="40">
        <v>312.7176188574</v>
      </c>
      <c r="AE346" s="40">
        <v>296.50586</v>
      </c>
      <c r="AF346" s="40">
        <v>7.67892999999999</v>
      </c>
      <c r="AG346" s="40">
        <v>359.69</v>
      </c>
      <c r="AH346" s="45">
        <v>44291.0</v>
      </c>
      <c r="AI346" s="44" t="str">
        <f>'6image_RS_benchmark_performance'!B346</f>
        <v>https://3arbzfbsh-cname-us.ngrok.io/Desktop/seabridge%20fintech/image_app/KLAC_resistance_support.jpg</v>
      </c>
      <c r="AJ346" s="44" t="str">
        <f>'6image_RS_benchmark_performance'!C346</f>
        <v>https://3arbzfbsh-cname-us.ngrok.io/Desktop/seabridge%20fintech/profit_graph_app/KLAC_Return.jpg</v>
      </c>
      <c r="AK346" s="46" t="str">
        <f>'5price_action_icon'!B346</f>
        <v>https://3arbzfbsh-cname-us.ngrok.io/Desktop/seabridge%20fintech/icon/KLAC_pa_trend_signal</v>
      </c>
      <c r="AL346" s="42">
        <f>'1kpi_performance'!B346</f>
        <v>0.8481389653</v>
      </c>
      <c r="AM346" s="42">
        <f>'1kpi_performance'!C346</f>
        <v>1.061874857</v>
      </c>
      <c r="AN346" s="42">
        <f>'1kpi_performance'!D346</f>
        <v>0.809354637</v>
      </c>
      <c r="AO346" s="42">
        <f>'1kpi_performance'!E346</f>
        <v>0.3587093262</v>
      </c>
      <c r="AP346" s="42">
        <f>'1kpi_performance'!F346</f>
        <v>0.2839341974</v>
      </c>
      <c r="AQ346" s="42">
        <f>'1kpi_performance'!G346</f>
        <v>0.2793991532</v>
      </c>
      <c r="AR346" s="42">
        <f>'1kpi_performance'!H346</f>
        <v>0.2852135531</v>
      </c>
      <c r="AS346" s="42">
        <f>'1kpi_performance'!I346</f>
        <v>0.4079479889</v>
      </c>
      <c r="AT346" s="35">
        <f>'1kpi_performance'!J346</f>
        <v>2.899048346</v>
      </c>
      <c r="AU346" s="35">
        <f>'1kpi_performance'!K346</f>
        <v>3.711088044</v>
      </c>
      <c r="AV346" s="35">
        <f>'1kpi_performance'!L346</f>
        <v>2.750060888</v>
      </c>
      <c r="AW346" s="35">
        <f>'1kpi_performance'!M346</f>
        <v>0.8180192946</v>
      </c>
      <c r="AX346" s="42">
        <f>'1kpi_performance'!N346</f>
        <v>0.1930181655</v>
      </c>
      <c r="AY346" s="42">
        <f>'1kpi_performance'!O346</f>
        <v>0.2013779967</v>
      </c>
      <c r="AZ346" s="42">
        <f>'1kpi_performance'!P346</f>
        <v>0.2905233028</v>
      </c>
      <c r="BA346" s="42">
        <f>'1kpi_performance'!Q346</f>
        <v>0.3754724215</v>
      </c>
      <c r="BB346" s="35">
        <f>'1kpi_performance'!R346</f>
        <v>6.500105262</v>
      </c>
      <c r="BC346" s="35">
        <f>'1kpi_performance'!S346</f>
        <v>8.519147366</v>
      </c>
      <c r="BD346" s="35">
        <f>'1kpi_performance'!T346</f>
        <v>5.734965348</v>
      </c>
      <c r="BE346" s="35">
        <f>'1kpi_performance'!U346</f>
        <v>1.624678809</v>
      </c>
      <c r="BF346" s="47"/>
      <c r="BG346" s="47"/>
      <c r="BH346" s="47"/>
      <c r="BI346" s="47"/>
      <c r="BJ346" s="47"/>
      <c r="BK346" s="47"/>
      <c r="BL346" s="47"/>
      <c r="BM346" s="47"/>
      <c r="BN346" s="47"/>
      <c r="BO346" s="47"/>
      <c r="BP346" s="47"/>
      <c r="BQ346" s="47"/>
      <c r="BR346" s="47"/>
      <c r="BS346" s="47"/>
      <c r="BT346" s="47"/>
    </row>
    <row r="347" ht="11.25" customHeight="1">
      <c r="A347" s="35" t="str">
        <f>'13all_company_profile'!A347</f>
        <v>KMB</v>
      </c>
      <c r="B347" s="35" t="str">
        <f>'13all_company_profile'!B347</f>
        <v>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v>
      </c>
      <c r="C347" s="44" t="str">
        <f>'13all_company_profile'!C347</f>
        <v>https://financialmodelingprep.com/image-stock/KMB.png</v>
      </c>
      <c r="D347" s="35" t="str">
        <f>'13all_company_profile'!D347</f>
        <v>Kimberly-Clark Corporation</v>
      </c>
      <c r="E347" s="36">
        <f>'13all_company_profile'!E347</f>
        <v>45961613312</v>
      </c>
      <c r="F347" s="37">
        <f>'13all_company_profile'!F347</f>
        <v>2551871</v>
      </c>
      <c r="G347" s="35">
        <f>'13all_company_profile'!G347</f>
        <v>4.42</v>
      </c>
      <c r="H347" s="38">
        <f>'13all_company_profile'!H347</f>
        <v>44400</v>
      </c>
      <c r="I347" s="35">
        <f>'13all_company_profile'!I347</f>
        <v>20.784342</v>
      </c>
      <c r="J347" s="35">
        <f>'13all_company_profile'!J347</f>
        <v>6.668</v>
      </c>
      <c r="K347" s="42">
        <f t="shared" si="1"/>
        <v>0.03209177376</v>
      </c>
      <c r="L347" s="35">
        <f>'7company_info'!B347</f>
        <v>137.73</v>
      </c>
      <c r="M347" s="35">
        <f>'7company_info'!C347</f>
        <v>140.8</v>
      </c>
      <c r="N347" s="35">
        <f>'7company_info'!D347</f>
        <v>137.54</v>
      </c>
      <c r="O347" s="35">
        <f>'7company_info'!E347</f>
        <v>-1.31</v>
      </c>
      <c r="P347" s="35">
        <f>'7company_info'!F347</f>
        <v>-0.0094</v>
      </c>
      <c r="Q347" s="35">
        <f>'7company_info'!G347</f>
        <v>139.29</v>
      </c>
      <c r="R347" s="35">
        <f>'7company_info'!H347</f>
        <v>139.04</v>
      </c>
      <c r="S347" s="35">
        <f>'7company_info'!I347</f>
        <v>128.02</v>
      </c>
      <c r="T347" s="35">
        <f>'7company_info'!J347</f>
        <v>160.16</v>
      </c>
      <c r="U347" s="39">
        <v>134.836666666666</v>
      </c>
      <c r="V347" s="39">
        <v>135.973333333333</v>
      </c>
      <c r="W347" s="40">
        <v>136.706666666666</v>
      </c>
      <c r="X347" s="40">
        <v>138.576666666666</v>
      </c>
      <c r="Y347" s="40">
        <v>134.103333333333</v>
      </c>
      <c r="Z347" s="40">
        <v>132.966666666666</v>
      </c>
      <c r="AA347" s="40">
        <v>131.096666666666</v>
      </c>
      <c r="AB347" s="40">
        <v>132.93</v>
      </c>
      <c r="AC347" s="40">
        <v>135.68</v>
      </c>
      <c r="AD347" s="40">
        <v>133.296294056044</v>
      </c>
      <c r="AE347" s="40">
        <v>131.42605</v>
      </c>
      <c r="AF347" s="40">
        <v>1.50647499999999</v>
      </c>
      <c r="AG347" s="40">
        <v>143.37</v>
      </c>
      <c r="AH347" s="45">
        <v>44307.0</v>
      </c>
      <c r="AI347" s="44" t="str">
        <f>'6image_RS_benchmark_performance'!B347</f>
        <v>https://3arbzfbsh-cname-us.ngrok.io/Desktop/seabridge%20fintech/image_app/KMB_resistance_support.jpg</v>
      </c>
      <c r="AJ347" s="44" t="str">
        <f>'6image_RS_benchmark_performance'!C347</f>
        <v>https://3arbzfbsh-cname-us.ngrok.io/Desktop/seabridge%20fintech/profit_graph_app/KMB_Return.jpg</v>
      </c>
      <c r="AK347" s="46" t="str">
        <f>'5price_action_icon'!B347</f>
        <v>https://3arbzfbsh-cname-us.ngrok.io/Desktop/seabridge%20fintech/icon/KMB_pa_trend_signal</v>
      </c>
      <c r="AL347" s="42">
        <f>'1kpi_performance'!B347</f>
        <v>0.2862813305</v>
      </c>
      <c r="AM347" s="42">
        <f>'1kpi_performance'!C347</f>
        <v>0.3292867948</v>
      </c>
      <c r="AN347" s="42">
        <f>'1kpi_performance'!D347</f>
        <v>0.3651940227</v>
      </c>
      <c r="AO347" s="42">
        <f>'1kpi_performance'!E347</f>
        <v>0.1099090805</v>
      </c>
      <c r="AP347" s="42">
        <f>'1kpi_performance'!F347</f>
        <v>0.1353161139</v>
      </c>
      <c r="AQ347" s="42">
        <f>'1kpi_performance'!G347</f>
        <v>0.1501448675</v>
      </c>
      <c r="AR347" s="42">
        <f>'1kpi_performance'!H347</f>
        <v>0.1572008318</v>
      </c>
      <c r="AS347" s="42">
        <f>'1kpi_performance'!I347</f>
        <v>0.2188825228</v>
      </c>
      <c r="AT347" s="35">
        <f>'1kpi_performance'!J347</f>
        <v>1.930895907</v>
      </c>
      <c r="AU347" s="35">
        <f>'1kpi_performance'!K347</f>
        <v>2.026621355</v>
      </c>
      <c r="AV347" s="35">
        <f>'1kpi_performance'!L347</f>
        <v>2.164072663</v>
      </c>
      <c r="AW347" s="35">
        <f>'1kpi_performance'!M347</f>
        <v>0.3879207869</v>
      </c>
      <c r="AX347" s="42">
        <f>'1kpi_performance'!N347</f>
        <v>0.1338602206</v>
      </c>
      <c r="AY347" s="42">
        <f>'1kpi_performance'!O347</f>
        <v>0.1225793017</v>
      </c>
      <c r="AZ347" s="42">
        <f>'1kpi_performance'!P347</f>
        <v>0.220240161</v>
      </c>
      <c r="BA347" s="42">
        <f>'1kpi_performance'!Q347</f>
        <v>0.2867588504</v>
      </c>
      <c r="BB347" s="35">
        <f>'1kpi_performance'!R347</f>
        <v>4.044022481</v>
      </c>
      <c r="BC347" s="35">
        <f>'1kpi_performance'!S347</f>
        <v>4.330269094</v>
      </c>
      <c r="BD347" s="35">
        <f>'1kpi_performance'!T347</f>
        <v>4.217141048</v>
      </c>
      <c r="BE347" s="35">
        <f>'1kpi_performance'!U347</f>
        <v>0.7328663431</v>
      </c>
      <c r="BF347" s="47"/>
      <c r="BG347" s="47"/>
      <c r="BH347" s="47"/>
      <c r="BI347" s="47"/>
      <c r="BJ347" s="47"/>
      <c r="BK347" s="47"/>
      <c r="BL347" s="47"/>
      <c r="BM347" s="47"/>
      <c r="BN347" s="47"/>
      <c r="BO347" s="47"/>
      <c r="BP347" s="47"/>
      <c r="BQ347" s="47"/>
      <c r="BR347" s="47"/>
      <c r="BS347" s="47"/>
      <c r="BT347" s="47"/>
    </row>
    <row r="348" ht="11.25" customHeight="1">
      <c r="A348" s="35" t="str">
        <f>'13all_company_profile'!A348</f>
        <v>KMI</v>
      </c>
      <c r="B348" s="35" t="str">
        <f>'13all_company_profile'!B348</f>
        <v>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v>
      </c>
      <c r="C348" s="44" t="str">
        <f>'13all_company_profile'!C348</f>
        <v>https://financialmodelingprep.com/image-stock/KMI.png</v>
      </c>
      <c r="D348" s="35" t="str">
        <f>'13all_company_profile'!D348</f>
        <v>Kinder Morgan, Inc.</v>
      </c>
      <c r="E348" s="36">
        <f>'13all_company_profile'!E348</f>
        <v>40490688512</v>
      </c>
      <c r="F348" s="37">
        <f>'13all_company_profile'!F348</f>
        <v>14546539</v>
      </c>
      <c r="G348" s="35">
        <f>'13all_company_profile'!G348</f>
        <v>1.0585</v>
      </c>
      <c r="H348" s="38">
        <f>'13all_company_profile'!H348</f>
        <v>44397</v>
      </c>
      <c r="I348" s="35">
        <f>'13all_company_profile'!I348</f>
        <v>21.917809</v>
      </c>
      <c r="J348" s="35">
        <f>'13all_company_profile'!J348</f>
        <v>0.803</v>
      </c>
      <c r="K348" s="42">
        <f t="shared" si="1"/>
        <v>0.06058958214</v>
      </c>
      <c r="L348" s="35">
        <f>'7company_info'!B348</f>
        <v>17.47</v>
      </c>
      <c r="M348" s="35">
        <f>'7company_info'!C348</f>
        <v>17.57</v>
      </c>
      <c r="N348" s="35">
        <f>'7company_info'!D348</f>
        <v>17.16</v>
      </c>
      <c r="O348" s="35">
        <f>'7company_info'!E348</f>
        <v>0.29</v>
      </c>
      <c r="P348" s="35">
        <f>'7company_info'!F348</f>
        <v>0.0169</v>
      </c>
      <c r="Q348" s="35">
        <f>'7company_info'!G348</f>
        <v>17.32</v>
      </c>
      <c r="R348" s="35">
        <f>'7company_info'!H348</f>
        <v>17.18</v>
      </c>
      <c r="S348" s="35">
        <f>'7company_info'!I348</f>
        <v>11.45</v>
      </c>
      <c r="T348" s="35">
        <f>'7company_info'!J348</f>
        <v>19.29</v>
      </c>
      <c r="U348" s="39">
        <v>18.0616666666666</v>
      </c>
      <c r="V348" s="39">
        <v>18.2583333333333</v>
      </c>
      <c r="W348" s="40">
        <v>18.5866666666666</v>
      </c>
      <c r="X348" s="40">
        <v>19.1116666666666</v>
      </c>
      <c r="Y348" s="40">
        <v>17.7333333333333</v>
      </c>
      <c r="Z348" s="40">
        <v>17.5366666666666</v>
      </c>
      <c r="AA348" s="40">
        <v>17.0116666666666</v>
      </c>
      <c r="AB348" s="40">
        <v>18.07</v>
      </c>
      <c r="AC348" s="40">
        <v>18.39</v>
      </c>
      <c r="AD348" s="40">
        <v>18.3286124869847</v>
      </c>
      <c r="AE348" s="40">
        <v>17.51862</v>
      </c>
      <c r="AF348" s="40">
        <v>0.391939999999999</v>
      </c>
      <c r="AG348" s="40">
        <v>19.29</v>
      </c>
      <c r="AH348" s="45">
        <v>44358.0</v>
      </c>
      <c r="AI348" s="44" t="str">
        <f>'6image_RS_benchmark_performance'!B348</f>
        <v>https://3arbzfbsh-cname-us.ngrok.io/Desktop/seabridge%20fintech/image_app/KMI_resistance_support.jpg</v>
      </c>
      <c r="AJ348" s="44" t="str">
        <f>'6image_RS_benchmark_performance'!C348</f>
        <v>https://3arbzfbsh-cname-us.ngrok.io/Desktop/seabridge%20fintech/profit_graph_app/KMI_Return.jpg</v>
      </c>
      <c r="AK348" s="46" t="str">
        <f>'5price_action_icon'!B348</f>
        <v>https://3arbzfbsh-cname-us.ngrok.io/Desktop/seabridge%20fintech/icon/KMI_pa_trend_signal</v>
      </c>
      <c r="AL348" s="42">
        <f>'1kpi_performance'!B348</f>
        <v>0.3313950395</v>
      </c>
      <c r="AM348" s="42">
        <f>'1kpi_performance'!C348</f>
        <v>0.4859330826</v>
      </c>
      <c r="AN348" s="42">
        <f>'1kpi_performance'!D348</f>
        <v>0.3147627432</v>
      </c>
      <c r="AO348" s="42">
        <f>'1kpi_performance'!E348</f>
        <v>-0.07264914374</v>
      </c>
      <c r="AP348" s="42">
        <f>'1kpi_performance'!F348</f>
        <v>0.2524822559</v>
      </c>
      <c r="AQ348" s="42">
        <f>'1kpi_performance'!G348</f>
        <v>0.2364456722</v>
      </c>
      <c r="AR348" s="42">
        <f>'1kpi_performance'!H348</f>
        <v>0.2643394139</v>
      </c>
      <c r="AS348" s="42">
        <f>'1kpi_performance'!I348</f>
        <v>0.371197164</v>
      </c>
      <c r="AT348" s="35">
        <f>'1kpi_performance'!J348</f>
        <v>1.21353098</v>
      </c>
      <c r="AU348" s="35">
        <f>'1kpi_performance'!K348</f>
        <v>1.949424907</v>
      </c>
      <c r="AV348" s="35">
        <f>'1kpi_performance'!L348</f>
        <v>1.096176839</v>
      </c>
      <c r="AW348" s="35">
        <f>'1kpi_performance'!M348</f>
        <v>-0.2630654359</v>
      </c>
      <c r="AX348" s="42">
        <f>'1kpi_performance'!N348</f>
        <v>0.4220476279</v>
      </c>
      <c r="AY348" s="42">
        <f>'1kpi_performance'!O348</f>
        <v>0.1513677812</v>
      </c>
      <c r="AZ348" s="42">
        <f>'1kpi_performance'!P348</f>
        <v>0.6052198027</v>
      </c>
      <c r="BA348" s="42">
        <f>'1kpi_performance'!Q348</f>
        <v>0.7760825667</v>
      </c>
      <c r="BB348" s="35">
        <f>'1kpi_performance'!R348</f>
        <v>2.448134914</v>
      </c>
      <c r="BC348" s="35">
        <f>'1kpi_performance'!S348</f>
        <v>4.186150323</v>
      </c>
      <c r="BD348" s="35">
        <f>'1kpi_performance'!T348</f>
        <v>2.160917936</v>
      </c>
      <c r="BE348" s="35">
        <f>'1kpi_performance'!U348</f>
        <v>-0.4966320408</v>
      </c>
      <c r="BF348" s="47"/>
      <c r="BG348" s="47"/>
      <c r="BH348" s="47"/>
      <c r="BI348" s="47"/>
      <c r="BJ348" s="47"/>
      <c r="BK348" s="47"/>
      <c r="BL348" s="47"/>
      <c r="BM348" s="47"/>
      <c r="BN348" s="47"/>
      <c r="BO348" s="47"/>
      <c r="BP348" s="47"/>
      <c r="BQ348" s="47"/>
      <c r="BR348" s="47"/>
      <c r="BS348" s="47"/>
      <c r="BT348" s="47"/>
    </row>
    <row r="349" ht="11.25" customHeight="1">
      <c r="A349" s="35" t="str">
        <f>'13all_company_profile'!A349</f>
        <v>KMX</v>
      </c>
      <c r="B349" s="35" t="str">
        <f>'13all_company_profile'!B349</f>
        <v>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v>
      </c>
      <c r="C349" s="44" t="str">
        <f>'13all_company_profile'!C349</f>
        <v>https://financialmodelingprep.com/image-stock/KMX.png</v>
      </c>
      <c r="D349" s="35" t="str">
        <f>'13all_company_profile'!D349</f>
        <v>CarMax, Inc.</v>
      </c>
      <c r="E349" s="36">
        <f>'13all_company_profile'!E349</f>
        <v>21357520896</v>
      </c>
      <c r="F349" s="37">
        <f>'13all_company_profile'!F349</f>
        <v>1144479</v>
      </c>
      <c r="G349" s="35">
        <f>'13all_company_profile'!G349</f>
        <v>0</v>
      </c>
      <c r="H349" s="38" t="str">
        <f>'13all_company_profile'!H349</f>
        <v>not avaiable</v>
      </c>
      <c r="I349" s="35">
        <f>'13all_company_profile'!I349</f>
        <v>18.428751</v>
      </c>
      <c r="J349" s="35">
        <f>'13all_company_profile'!J349</f>
        <v>7.109</v>
      </c>
      <c r="K349" s="42" t="str">
        <f t="shared" si="1"/>
        <v>NaN</v>
      </c>
      <c r="L349" s="35">
        <f>'7company_info'!B349</f>
        <v>134.38</v>
      </c>
      <c r="M349" s="35">
        <f>'7company_info'!C349</f>
        <v>134.8</v>
      </c>
      <c r="N349" s="35">
        <f>'7company_info'!D349</f>
        <v>129.12</v>
      </c>
      <c r="O349" s="35">
        <f>'7company_info'!E349</f>
        <v>5.83</v>
      </c>
      <c r="P349" s="35">
        <f>'7company_info'!F349</f>
        <v>0.0454</v>
      </c>
      <c r="Q349" s="35">
        <f>'7company_info'!G349</f>
        <v>129.12</v>
      </c>
      <c r="R349" s="35">
        <f>'7company_info'!H349</f>
        <v>128.55</v>
      </c>
      <c r="S349" s="35">
        <f>'7company_info'!I349</f>
        <v>84.7</v>
      </c>
      <c r="T349" s="35">
        <f>'7company_info'!J349</f>
        <v>138.77</v>
      </c>
      <c r="U349" s="39">
        <v>133.523333333333</v>
      </c>
      <c r="V349" s="39">
        <v>135.136666666666</v>
      </c>
      <c r="W349" s="40">
        <v>136.083333333333</v>
      </c>
      <c r="X349" s="40">
        <v>138.643333333333</v>
      </c>
      <c r="Y349" s="40">
        <v>132.576666666666</v>
      </c>
      <c r="Z349" s="40">
        <v>130.963333333333</v>
      </c>
      <c r="AA349" s="40">
        <v>128.403333333333</v>
      </c>
      <c r="AB349" s="40">
        <v>115.4</v>
      </c>
      <c r="AC349" s="40">
        <v>135.66</v>
      </c>
      <c r="AD349" s="40">
        <v>128.435645834588</v>
      </c>
      <c r="AE349" s="40">
        <v>124.75214</v>
      </c>
      <c r="AF349" s="40">
        <v>3.54742999999999</v>
      </c>
      <c r="AG349" s="40">
        <v>138.77</v>
      </c>
      <c r="AH349" s="45">
        <v>44321.0</v>
      </c>
      <c r="AI349" s="44" t="str">
        <f>'6image_RS_benchmark_performance'!B349</f>
        <v>https://3arbzfbsh-cname-us.ngrok.io/Desktop/seabridge%20fintech/image_app/KMX_resistance_support.jpg</v>
      </c>
      <c r="AJ349" s="44" t="str">
        <f>'6image_RS_benchmark_performance'!C349</f>
        <v>https://3arbzfbsh-cname-us.ngrok.io/Desktop/seabridge%20fintech/profit_graph_app/KMX_Return.jpg</v>
      </c>
      <c r="AK349" s="46" t="str">
        <f>'5price_action_icon'!B349</f>
        <v>https://3arbzfbsh-cname-us.ngrok.io/Desktop/seabridge%20fintech/icon/KMX_pa_trend_signal</v>
      </c>
      <c r="AL349" s="42">
        <f>'1kpi_performance'!B349</f>
        <v>0.8506888006</v>
      </c>
      <c r="AM349" s="42">
        <f>'1kpi_performance'!C349</f>
        <v>1.07677952</v>
      </c>
      <c r="AN349" s="42">
        <f>'1kpi_performance'!D349</f>
        <v>0.8416664521</v>
      </c>
      <c r="AO349" s="42">
        <f>'1kpi_performance'!E349</f>
        <v>0.2552327684</v>
      </c>
      <c r="AP349" s="42">
        <f>'1kpi_performance'!F349</f>
        <v>0.2850881903</v>
      </c>
      <c r="AQ349" s="42">
        <f>'1kpi_performance'!G349</f>
        <v>0.2914873595</v>
      </c>
      <c r="AR349" s="42">
        <f>'1kpi_performance'!H349</f>
        <v>0.2894704643</v>
      </c>
      <c r="AS349" s="42">
        <f>'1kpi_performance'!I349</f>
        <v>0.4063795086</v>
      </c>
      <c r="AT349" s="35">
        <f>'1kpi_performance'!J349</f>
        <v>2.896257469</v>
      </c>
      <c r="AU349" s="35">
        <f>'1kpi_performance'!K349</f>
        <v>3.608319489</v>
      </c>
      <c r="AV349" s="35">
        <f>'1kpi_performance'!L349</f>
        <v>2.821242762</v>
      </c>
      <c r="AW349" s="35">
        <f>'1kpi_performance'!M349</f>
        <v>0.5665462051</v>
      </c>
      <c r="AX349" s="42">
        <f>'1kpi_performance'!N349</f>
        <v>0.2724229004</v>
      </c>
      <c r="AY349" s="42">
        <f>'1kpi_performance'!O349</f>
        <v>0.2391984972</v>
      </c>
      <c r="AZ349" s="42">
        <f>'1kpi_performance'!P349</f>
        <v>0.2667938931</v>
      </c>
      <c r="BA349" s="42">
        <f>'1kpi_performance'!Q349</f>
        <v>0.5655544652</v>
      </c>
      <c r="BB349" s="35">
        <f>'1kpi_performance'!R349</f>
        <v>6.686355151</v>
      </c>
      <c r="BC349" s="35">
        <f>'1kpi_performance'!S349</f>
        <v>9.039791712</v>
      </c>
      <c r="BD349" s="35">
        <f>'1kpi_performance'!T349</f>
        <v>6.305531018</v>
      </c>
      <c r="BE349" s="35">
        <f>'1kpi_performance'!U349</f>
        <v>1.134805116</v>
      </c>
      <c r="BF349" s="47"/>
      <c r="BG349" s="47"/>
      <c r="BH349" s="47"/>
      <c r="BI349" s="47"/>
      <c r="BJ349" s="47"/>
      <c r="BK349" s="47"/>
      <c r="BL349" s="47"/>
      <c r="BM349" s="47"/>
      <c r="BN349" s="47"/>
      <c r="BO349" s="47"/>
      <c r="BP349" s="47"/>
      <c r="BQ349" s="47"/>
      <c r="BR349" s="47"/>
      <c r="BS349" s="47"/>
      <c r="BT349" s="47"/>
    </row>
    <row r="350" ht="11.25" customHeight="1">
      <c r="A350" s="35" t="str">
        <f>'13all_company_profile'!A350</f>
        <v>KO</v>
      </c>
      <c r="B350" s="35" t="str">
        <f>'13all_company_profile'!B350</f>
        <v>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v>
      </c>
      <c r="C350" s="44" t="str">
        <f>'13all_company_profile'!C350</f>
        <v>https://financialmodelingprep.com/image-stock/KO.png</v>
      </c>
      <c r="D350" s="35" t="str">
        <f>'13all_company_profile'!D350</f>
        <v>The Coca-Cola Company</v>
      </c>
      <c r="E350" s="36">
        <f>'13all_company_profile'!E350</f>
        <v>243264978944</v>
      </c>
      <c r="F350" s="37">
        <f>'13all_company_profile'!F350</f>
        <v>14401073</v>
      </c>
      <c r="G350" s="35">
        <f>'13all_company_profile'!G350</f>
        <v>1.66</v>
      </c>
      <c r="H350" s="38">
        <f>'13all_company_profile'!H350</f>
        <v>44398</v>
      </c>
      <c r="I350" s="35">
        <f>'13all_company_profile'!I350</f>
        <v>33.763474</v>
      </c>
      <c r="J350" s="35">
        <f>'13all_company_profile'!J350</f>
        <v>1.67</v>
      </c>
      <c r="K350" s="42">
        <f t="shared" si="1"/>
        <v>0.0297331184</v>
      </c>
      <c r="L350" s="35">
        <f>'7company_info'!B350</f>
        <v>55.83</v>
      </c>
      <c r="M350" s="35">
        <f>'7company_info'!C350</f>
        <v>56.33</v>
      </c>
      <c r="N350" s="35">
        <f>'7company_info'!D350</f>
        <v>55.52</v>
      </c>
      <c r="O350" s="35">
        <f>'7company_info'!E350</f>
        <v>0.1</v>
      </c>
      <c r="P350" s="35">
        <f>'7company_info'!F350</f>
        <v>0.0018</v>
      </c>
      <c r="Q350" s="35">
        <f>'7company_info'!G350</f>
        <v>55.73</v>
      </c>
      <c r="R350" s="35">
        <f>'7company_info'!H350</f>
        <v>55.73</v>
      </c>
      <c r="S350" s="35">
        <f>'7company_info'!I350</f>
        <v>45.85</v>
      </c>
      <c r="T350" s="35">
        <f>'7company_info'!J350</f>
        <v>56.68</v>
      </c>
      <c r="U350" s="39">
        <v>55.8566333333333</v>
      </c>
      <c r="V350" s="39">
        <v>56.7532666666666</v>
      </c>
      <c r="W350" s="40">
        <v>57.2465333333333</v>
      </c>
      <c r="X350" s="40">
        <v>58.6364333333333</v>
      </c>
      <c r="Y350" s="40">
        <v>55.3633666666666</v>
      </c>
      <c r="Z350" s="40">
        <v>54.4667333333333</v>
      </c>
      <c r="AA350" s="40">
        <v>53.0768333333333</v>
      </c>
      <c r="AB350" s="40">
        <v>54.96</v>
      </c>
      <c r="AC350" s="40">
        <v>55.15</v>
      </c>
      <c r="AD350" s="40">
        <v>54.6500087524638</v>
      </c>
      <c r="AE350" s="40">
        <v>53.849</v>
      </c>
      <c r="AF350" s="40">
        <v>0.624995</v>
      </c>
      <c r="AG350" s="40">
        <v>56.48</v>
      </c>
      <c r="AH350" s="45">
        <v>44351.0</v>
      </c>
      <c r="AI350" s="44" t="str">
        <f>'6image_RS_benchmark_performance'!B350</f>
        <v>https://3arbzfbsh-cname-us.ngrok.io/Desktop/seabridge%20fintech/image_app/KO_resistance_support.jpg</v>
      </c>
      <c r="AJ350" s="44" t="str">
        <f>'6image_RS_benchmark_performance'!C350</f>
        <v>https://3arbzfbsh-cname-us.ngrok.io/Desktop/seabridge%20fintech/profit_graph_app/KO_Return.jpg</v>
      </c>
      <c r="AK350" s="46" t="str">
        <f>'5price_action_icon'!B350</f>
        <v>https://3arbzfbsh-cname-us.ngrok.io/Desktop/seabridge%20fintech/icon/KO_pa_trend_signal</v>
      </c>
      <c r="AL350" s="42">
        <f>'1kpi_performance'!B350</f>
        <v>0.2716148868</v>
      </c>
      <c r="AM350" s="42">
        <f>'1kpi_performance'!C350</f>
        <v>0.350467598</v>
      </c>
      <c r="AN350" s="42">
        <f>'1kpi_performance'!D350</f>
        <v>0.3033282582</v>
      </c>
      <c r="AO350" s="42">
        <f>'1kpi_performance'!E350</f>
        <v>0.09486556371</v>
      </c>
      <c r="AP350" s="42">
        <f>'1kpi_performance'!F350</f>
        <v>0.1332059462</v>
      </c>
      <c r="AQ350" s="42">
        <f>'1kpi_performance'!G350</f>
        <v>0.1453076622</v>
      </c>
      <c r="AR350" s="42">
        <f>'1kpi_performance'!H350</f>
        <v>0.1523895295</v>
      </c>
      <c r="AS350" s="42">
        <f>'1kpi_performance'!I350</f>
        <v>0.2093834495</v>
      </c>
      <c r="AT350" s="35">
        <f>'1kpi_performance'!J350</f>
        <v>1.851380467</v>
      </c>
      <c r="AU350" s="35">
        <f>'1kpi_performance'!K350</f>
        <v>2.239851588</v>
      </c>
      <c r="AV350" s="35">
        <f>'1kpi_performance'!L350</f>
        <v>1.826426389</v>
      </c>
      <c r="AW350" s="35">
        <f>'1kpi_performance'!M350</f>
        <v>0.3336728088</v>
      </c>
      <c r="AX350" s="42">
        <f>'1kpi_performance'!N350</f>
        <v>0.08645937813</v>
      </c>
      <c r="AY350" s="42">
        <f>'1kpi_performance'!O350</f>
        <v>0.08979591837</v>
      </c>
      <c r="AZ350" s="42">
        <f>'1kpi_performance'!P350</f>
        <v>0.3625254582</v>
      </c>
      <c r="BA350" s="42">
        <f>'1kpi_performance'!Q350</f>
        <v>0.375353401</v>
      </c>
      <c r="BB350" s="35">
        <f>'1kpi_performance'!R350</f>
        <v>3.793395631</v>
      </c>
      <c r="BC350" s="35">
        <f>'1kpi_performance'!S350</f>
        <v>4.986821948</v>
      </c>
      <c r="BD350" s="35">
        <f>'1kpi_performance'!T350</f>
        <v>3.425710417</v>
      </c>
      <c r="BE350" s="35">
        <f>'1kpi_performance'!U350</f>
        <v>0.6188832531</v>
      </c>
      <c r="BF350" s="47"/>
      <c r="BG350" s="47"/>
      <c r="BH350" s="47"/>
      <c r="BI350" s="47"/>
      <c r="BJ350" s="47"/>
      <c r="BK350" s="47"/>
      <c r="BL350" s="47"/>
      <c r="BM350" s="47"/>
      <c r="BN350" s="47"/>
      <c r="BO350" s="47"/>
      <c r="BP350" s="47"/>
      <c r="BQ350" s="47"/>
      <c r="BR350" s="47"/>
      <c r="BS350" s="47"/>
      <c r="BT350" s="47"/>
    </row>
    <row r="351" ht="11.25" customHeight="1">
      <c r="A351" s="35" t="str">
        <f>'13all_company_profile'!A351</f>
        <v>KR</v>
      </c>
      <c r="B351" s="35" t="str">
        <f>'13all_company_profile'!B351</f>
        <v>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v>
      </c>
      <c r="C351" s="44" t="str">
        <f>'13all_company_profile'!C351</f>
        <v>https://financialmodelingprep.com/image-stock/KR.png</v>
      </c>
      <c r="D351" s="35" t="str">
        <f>'13all_company_profile'!D351</f>
        <v>The Kroger Co.</v>
      </c>
      <c r="E351" s="36">
        <f>'13all_company_profile'!E351</f>
        <v>29067560960</v>
      </c>
      <c r="F351" s="37">
        <f>'13all_company_profile'!F351</f>
        <v>7707765</v>
      </c>
      <c r="G351" s="35">
        <f>'13all_company_profile'!G351</f>
        <v>0.72</v>
      </c>
      <c r="H351" s="38" t="str">
        <f>'13all_company_profile'!H351</f>
        <v>not avaiable</v>
      </c>
      <c r="I351" s="35">
        <f>'13all_company_profile'!I351</f>
        <v>20.414722</v>
      </c>
      <c r="J351" s="35">
        <f>'13all_company_profile'!J351</f>
        <v>1.929</v>
      </c>
      <c r="K351" s="42">
        <f t="shared" si="1"/>
        <v>0.01774710377</v>
      </c>
      <c r="L351" s="35">
        <f>'7company_info'!B351</f>
        <v>40.57</v>
      </c>
      <c r="M351" s="35">
        <f>'7company_info'!C351</f>
        <v>41.5</v>
      </c>
      <c r="N351" s="35">
        <f>'7company_info'!D351</f>
        <v>40.22</v>
      </c>
      <c r="O351" s="35">
        <f>'7company_info'!E351</f>
        <v>-0.5</v>
      </c>
      <c r="P351" s="35">
        <f>'7company_info'!F351</f>
        <v>-0.0122</v>
      </c>
      <c r="Q351" s="35">
        <f>'7company_info'!G351</f>
        <v>41.01</v>
      </c>
      <c r="R351" s="35">
        <f>'7company_info'!H351</f>
        <v>41.07</v>
      </c>
      <c r="S351" s="35">
        <f>'7company_info'!I351</f>
        <v>30.35</v>
      </c>
      <c r="T351" s="35">
        <f>'7company_info'!J351</f>
        <v>42.99</v>
      </c>
      <c r="U351" s="39">
        <v>38.2783333333333</v>
      </c>
      <c r="V351" s="39">
        <v>38.6366666666666</v>
      </c>
      <c r="W351" s="40">
        <v>38.9533333333333</v>
      </c>
      <c r="X351" s="40">
        <v>39.6283333333333</v>
      </c>
      <c r="Y351" s="40">
        <v>37.9616666666666</v>
      </c>
      <c r="Z351" s="40">
        <v>37.6033333333333</v>
      </c>
      <c r="AA351" s="40">
        <v>36.9283333333333</v>
      </c>
      <c r="AB351" s="40">
        <v>38.445</v>
      </c>
      <c r="AC351" s="40">
        <v>38.6</v>
      </c>
      <c r="AD351" s="40">
        <v>38.2968225696839</v>
      </c>
      <c r="AE351" s="40">
        <v>36.40458</v>
      </c>
      <c r="AF351" s="40">
        <v>0.825745</v>
      </c>
      <c r="AG351" s="40">
        <v>42.99</v>
      </c>
      <c r="AH351" s="45">
        <v>44223.0</v>
      </c>
      <c r="AI351" s="44" t="str">
        <f>'6image_RS_benchmark_performance'!B351</f>
        <v>https://3arbzfbsh-cname-us.ngrok.io/Desktop/seabridge%20fintech/image_app/KR_resistance_support.jpg</v>
      </c>
      <c r="AJ351" s="44" t="str">
        <f>'6image_RS_benchmark_performance'!C351</f>
        <v>https://3arbzfbsh-cname-us.ngrok.io/Desktop/seabridge%20fintech/profit_graph_app/KR_Return.jpg</v>
      </c>
      <c r="AK351" s="46" t="str">
        <f>'5price_action_icon'!B351</f>
        <v>https://3arbzfbsh-cname-us.ngrok.io/Desktop/seabridge%20fintech/icon/KR_pa_trend_signal</v>
      </c>
      <c r="AL351" s="42">
        <f>'1kpi_performance'!B351</f>
        <v>0.4729956158</v>
      </c>
      <c r="AM351" s="42">
        <f>'1kpi_performance'!C351</f>
        <v>0.701311026</v>
      </c>
      <c r="AN351" s="42">
        <f>'1kpi_performance'!D351</f>
        <v>0.4883756642</v>
      </c>
      <c r="AO351" s="42">
        <f>'1kpi_performance'!E351</f>
        <v>0.1714853205</v>
      </c>
      <c r="AP351" s="42">
        <f>'1kpi_performance'!F351</f>
        <v>0.205917978</v>
      </c>
      <c r="AQ351" s="42">
        <f>'1kpi_performance'!G351</f>
        <v>0.2089648863</v>
      </c>
      <c r="AR351" s="42">
        <f>'1kpi_performance'!H351</f>
        <v>0.2040623739</v>
      </c>
      <c r="AS351" s="42">
        <f>'1kpi_performance'!I351</f>
        <v>0.3062515074</v>
      </c>
      <c r="AT351" s="35">
        <f>'1kpi_performance'!J351</f>
        <v>2.175602248</v>
      </c>
      <c r="AU351" s="35">
        <f>'1kpi_performance'!K351</f>
        <v>3.236481679</v>
      </c>
      <c r="AV351" s="35">
        <f>'1kpi_performance'!L351</f>
        <v>2.270755041</v>
      </c>
      <c r="AW351" s="35">
        <f>'1kpi_performance'!M351</f>
        <v>0.4783170596</v>
      </c>
      <c r="AX351" s="42">
        <f>'1kpi_performance'!N351</f>
        <v>0.1594499671</v>
      </c>
      <c r="AY351" s="42">
        <f>'1kpi_performance'!O351</f>
        <v>0.1564433297</v>
      </c>
      <c r="AZ351" s="42">
        <f>'1kpi_performance'!P351</f>
        <v>0.1795787219</v>
      </c>
      <c r="BA351" s="42">
        <f>'1kpi_performance'!Q351</f>
        <v>0.5323639775</v>
      </c>
      <c r="BB351" s="35">
        <f>'1kpi_performance'!R351</f>
        <v>4.447014362</v>
      </c>
      <c r="BC351" s="35">
        <f>'1kpi_performance'!S351</f>
        <v>7.6475872</v>
      </c>
      <c r="BD351" s="35">
        <f>'1kpi_performance'!T351</f>
        <v>4.75976445</v>
      </c>
      <c r="BE351" s="35">
        <f>'1kpi_performance'!U351</f>
        <v>0.8838003383</v>
      </c>
      <c r="BF351" s="47"/>
      <c r="BG351" s="47"/>
      <c r="BH351" s="47"/>
      <c r="BI351" s="47"/>
      <c r="BJ351" s="47"/>
      <c r="BK351" s="47"/>
      <c r="BL351" s="47"/>
      <c r="BM351" s="47"/>
      <c r="BN351" s="47"/>
      <c r="BO351" s="47"/>
      <c r="BP351" s="47"/>
      <c r="BQ351" s="47"/>
      <c r="BR351" s="47"/>
      <c r="BS351" s="47"/>
      <c r="BT351" s="47"/>
    </row>
    <row r="352" ht="11.25" customHeight="1">
      <c r="A352" s="35" t="str">
        <f>'13all_company_profile'!A352</f>
        <v>KRE</v>
      </c>
      <c r="B352" s="35" t="str">
        <f>'13all_company_profile'!B352</f>
        <v>KRE was created on 06/19/06 by State Street Global Advisors. The ETF tracks an equal-weighted index of US regional banking stocks.</v>
      </c>
      <c r="C352" s="44" t="str">
        <f>'13all_company_profile'!C352</f>
        <v>https://financialmodelingprep.com/image-stock/KRE.png</v>
      </c>
      <c r="D352" s="35" t="str">
        <f>'13all_company_profile'!D352</f>
        <v>SPDR S&amp;P Regional Banking ETF</v>
      </c>
      <c r="E352" s="36">
        <f>'13all_company_profile'!E352</f>
        <v>2541834000</v>
      </c>
      <c r="F352" s="37">
        <f>'13all_company_profile'!F352</f>
        <v>9034942</v>
      </c>
      <c r="G352" s="35">
        <f>'13all_company_profile'!G352</f>
        <v>1.091</v>
      </c>
      <c r="H352" s="38" t="str">
        <f>'13all_company_profile'!H352</f>
        <v>not avaiable</v>
      </c>
      <c r="I352" s="35" t="str">
        <f>'13all_company_profile'!I352</f>
        <v>NaN</v>
      </c>
      <c r="J352" s="35" t="str">
        <f>'13all_company_profile'!J352</f>
        <v>NaN</v>
      </c>
      <c r="K352" s="42">
        <f t="shared" si="1"/>
        <v>0.0177398374</v>
      </c>
      <c r="L352" s="35">
        <f>'7company_info'!B352</f>
        <v>61.5</v>
      </c>
      <c r="M352" s="35">
        <f>'7company_info'!C352</f>
        <v>62.86</v>
      </c>
      <c r="N352" s="35">
        <f>'7company_info'!D352</f>
        <v>59.72</v>
      </c>
      <c r="O352" s="35">
        <f>'7company_info'!E352</f>
        <v>1.63</v>
      </c>
      <c r="P352" s="35">
        <f>'7company_info'!F352</f>
        <v>0.0272</v>
      </c>
      <c r="Q352" s="35">
        <f>'7company_info'!G352</f>
        <v>59.72</v>
      </c>
      <c r="R352" s="35">
        <f>'7company_info'!H352</f>
        <v>59.87</v>
      </c>
      <c r="S352" s="35">
        <f>'7company_info'!I352</f>
        <v>33.48</v>
      </c>
      <c r="T352" s="35">
        <f>'7company_info'!J352</f>
        <v>72.9</v>
      </c>
      <c r="U352" s="39">
        <v>63.4533333333333</v>
      </c>
      <c r="V352" s="39">
        <v>64.3266666666666</v>
      </c>
      <c r="W352" s="40">
        <v>65.4633333333333</v>
      </c>
      <c r="X352" s="40">
        <v>67.4733333333333</v>
      </c>
      <c r="Y352" s="40">
        <v>62.3166666666666</v>
      </c>
      <c r="Z352" s="40">
        <v>61.4433333333333</v>
      </c>
      <c r="AA352" s="40">
        <v>59.4333333333333</v>
      </c>
      <c r="AB352" s="40">
        <v>62.58</v>
      </c>
      <c r="AC352" s="40">
        <v>68.94</v>
      </c>
      <c r="AD352" s="40">
        <v>65.3621279374107</v>
      </c>
      <c r="AE352" s="40">
        <v>59.9285</v>
      </c>
      <c r="AF352" s="40">
        <v>1.80174999999999</v>
      </c>
      <c r="AG352" s="40">
        <v>72.9</v>
      </c>
      <c r="AH352" s="45">
        <v>44273.0</v>
      </c>
      <c r="AI352" s="44" t="str">
        <f>'6image_RS_benchmark_performance'!B352</f>
        <v>https://3arbzfbsh-cname-us.ngrok.io/Desktop/seabridge%20fintech/image_app/KRE_resistance_support.jpg</v>
      </c>
      <c r="AJ352" s="44" t="str">
        <f>'6image_RS_benchmark_performance'!C352</f>
        <v>https://3arbzfbsh-cname-us.ngrok.io/Desktop/seabridge%20fintech/profit_graph_app/KRE_Return.jpg</v>
      </c>
      <c r="AK352" s="46" t="str">
        <f>'5price_action_icon'!B352</f>
        <v>https://3arbzfbsh-cname-us.ngrok.io/Desktop/seabridge%20fintech/icon/KRE_pa_trend_signal</v>
      </c>
      <c r="AL352" s="42">
        <f>'1kpi_performance'!B352</f>
        <v>0.5709899646</v>
      </c>
      <c r="AM352" s="42">
        <f>'1kpi_performance'!C352</f>
        <v>0.6172106035</v>
      </c>
      <c r="AN352" s="42">
        <f>'1kpi_performance'!D352</f>
        <v>0.4121848051</v>
      </c>
      <c r="AO352" s="42">
        <f>'1kpi_performance'!E352</f>
        <v>0.1228803128</v>
      </c>
      <c r="AP352" s="42">
        <f>'1kpi_performance'!F352</f>
        <v>0.2363626832</v>
      </c>
      <c r="AQ352" s="42">
        <f>'1kpi_performance'!G352</f>
        <v>0.2150692173</v>
      </c>
      <c r="AR352" s="42">
        <f>'1kpi_performance'!H352</f>
        <v>0.2355166512</v>
      </c>
      <c r="AS352" s="42">
        <f>'1kpi_performance'!I352</f>
        <v>0.3480155276</v>
      </c>
      <c r="AT352" s="35">
        <f>'1kpi_performance'!J352</f>
        <v>2.309966857</v>
      </c>
      <c r="AU352" s="35">
        <f>'1kpi_performance'!K352</f>
        <v>2.753581432</v>
      </c>
      <c r="AV352" s="35">
        <f>'1kpi_performance'!L352</f>
        <v>1.643980598</v>
      </c>
      <c r="AW352" s="35">
        <f>'1kpi_performance'!M352</f>
        <v>0.2812527173</v>
      </c>
      <c r="AX352" s="42">
        <f>'1kpi_performance'!N352</f>
        <v>0.1740547588</v>
      </c>
      <c r="AY352" s="42">
        <f>'1kpi_performance'!O352</f>
        <v>0.1342964152</v>
      </c>
      <c r="AZ352" s="42">
        <f>'1kpi_performance'!P352</f>
        <v>0.2906188477</v>
      </c>
      <c r="BA352" s="42">
        <f>'1kpi_performance'!Q352</f>
        <v>0.5721022209</v>
      </c>
      <c r="BB352" s="35">
        <f>'1kpi_performance'!R352</f>
        <v>5.036249283</v>
      </c>
      <c r="BC352" s="35">
        <f>'1kpi_performance'!S352</f>
        <v>6.407987466</v>
      </c>
      <c r="BD352" s="35">
        <f>'1kpi_performance'!T352</f>
        <v>3.256359014</v>
      </c>
      <c r="BE352" s="35">
        <f>'1kpi_performance'!U352</f>
        <v>0.544978733</v>
      </c>
      <c r="BF352" s="47"/>
      <c r="BG352" s="47"/>
      <c r="BH352" s="47"/>
      <c r="BI352" s="47"/>
      <c r="BJ352" s="47"/>
      <c r="BK352" s="47"/>
      <c r="BL352" s="47"/>
      <c r="BM352" s="47"/>
      <c r="BN352" s="47"/>
      <c r="BO352" s="47"/>
      <c r="BP352" s="47"/>
      <c r="BQ352" s="47"/>
      <c r="BR352" s="47"/>
      <c r="BS352" s="47"/>
      <c r="BT352" s="47"/>
    </row>
    <row r="353" ht="11.25" customHeight="1">
      <c r="A353" s="35" t="str">
        <f>'13all_company_profile'!A353</f>
        <v>KSS</v>
      </c>
      <c r="B353" s="35" t="str">
        <f>'13all_company_profile'!B353</f>
        <v>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v>
      </c>
      <c r="C353" s="44" t="str">
        <f>'13all_company_profile'!C353</f>
        <v>https://financialmodelingprep.com/image-stock/KSS.png</v>
      </c>
      <c r="D353" s="35" t="str">
        <f>'13all_company_profile'!D353</f>
        <v>Kohl's Corporation</v>
      </c>
      <c r="E353" s="36">
        <f>'13all_company_profile'!E353</f>
        <v>7971007488</v>
      </c>
      <c r="F353" s="37">
        <f>'13all_company_profile'!F353</f>
        <v>3429393</v>
      </c>
      <c r="G353" s="35">
        <f>'13all_company_profile'!G353</f>
        <v>0.5</v>
      </c>
      <c r="H353" s="38" t="str">
        <f>'13all_company_profile'!H353</f>
        <v>not avaiable</v>
      </c>
      <c r="I353" s="35">
        <f>'13all_company_profile'!I353</f>
        <v>19.394455</v>
      </c>
      <c r="J353" s="35">
        <f>'13all_company_profile'!J353</f>
        <v>2.543</v>
      </c>
      <c r="K353" s="42">
        <f t="shared" si="1"/>
        <v>0.01007049345</v>
      </c>
      <c r="L353" s="35">
        <f>'7company_info'!B353</f>
        <v>49.65</v>
      </c>
      <c r="M353" s="35">
        <f>'7company_info'!C353</f>
        <v>49.91</v>
      </c>
      <c r="N353" s="35">
        <f>'7company_info'!D353</f>
        <v>47</v>
      </c>
      <c r="O353" s="35">
        <f>'7company_info'!E353</f>
        <v>1.86</v>
      </c>
      <c r="P353" s="35">
        <f>'7company_info'!F353</f>
        <v>0.0389</v>
      </c>
      <c r="Q353" s="35">
        <f>'7company_info'!G353</f>
        <v>47.86</v>
      </c>
      <c r="R353" s="35">
        <f>'7company_info'!H353</f>
        <v>47.79</v>
      </c>
      <c r="S353" s="35">
        <f>'7company_info'!I353</f>
        <v>18.28</v>
      </c>
      <c r="T353" s="35">
        <f>'7company_info'!J353</f>
        <v>64.8</v>
      </c>
      <c r="U353" s="39">
        <v>52.53</v>
      </c>
      <c r="V353" s="39">
        <v>53.29</v>
      </c>
      <c r="W353" s="40">
        <v>54.7</v>
      </c>
      <c r="X353" s="40">
        <v>56.8699999999999</v>
      </c>
      <c r="Y353" s="40">
        <v>51.12</v>
      </c>
      <c r="Z353" s="40">
        <v>50.36</v>
      </c>
      <c r="AA353" s="40">
        <v>48.19</v>
      </c>
      <c r="AB353" s="40">
        <v>52.4</v>
      </c>
      <c r="AC353" s="40">
        <v>51.79</v>
      </c>
      <c r="AD353" s="40">
        <v>53.8638857127521</v>
      </c>
      <c r="AE353" s="40">
        <v>48.96431</v>
      </c>
      <c r="AF353" s="40">
        <v>1.84684499999999</v>
      </c>
      <c r="AG353" s="40">
        <v>64.8</v>
      </c>
      <c r="AH353" s="45">
        <v>44334.0</v>
      </c>
      <c r="AI353" s="44" t="str">
        <f>'6image_RS_benchmark_performance'!B353</f>
        <v>https://3arbzfbsh-cname-us.ngrok.io/Desktop/seabridge%20fintech/image_app/KSS_resistance_support.jpg</v>
      </c>
      <c r="AJ353" s="44" t="str">
        <f>'6image_RS_benchmark_performance'!C353</f>
        <v>https://3arbzfbsh-cname-us.ngrok.io/Desktop/seabridge%20fintech/profit_graph_app/KSS_Return.jpg</v>
      </c>
      <c r="AK353" s="46" t="str">
        <f>'5price_action_icon'!B353</f>
        <v>https://3arbzfbsh-cname-us.ngrok.io/Desktop/seabridge%20fintech/icon/KSS_pa_trend_signal</v>
      </c>
      <c r="AL353" s="42">
        <f>'1kpi_performance'!B353</f>
        <v>0.7184616037</v>
      </c>
      <c r="AM353" s="42">
        <f>'1kpi_performance'!C353</f>
        <v>0.9620385442</v>
      </c>
      <c r="AN353" s="42">
        <f>'1kpi_performance'!D353</f>
        <v>0.5614301141</v>
      </c>
      <c r="AO353" s="42">
        <f>'1kpi_performance'!E353</f>
        <v>0.001474927591</v>
      </c>
      <c r="AP353" s="42">
        <f>'1kpi_performance'!F353</f>
        <v>0.3670142081</v>
      </c>
      <c r="AQ353" s="42">
        <f>'1kpi_performance'!G353</f>
        <v>0.3379485229</v>
      </c>
      <c r="AR353" s="42">
        <f>'1kpi_performance'!H353</f>
        <v>0.3603094304</v>
      </c>
      <c r="AS353" s="42">
        <f>'1kpi_performance'!I353</f>
        <v>0.5186578208</v>
      </c>
      <c r="AT353" s="35">
        <f>'1kpi_performance'!J353</f>
        <v>1.889468005</v>
      </c>
      <c r="AU353" s="35">
        <f>'1kpi_performance'!K353</f>
        <v>2.772725669</v>
      </c>
      <c r="AV353" s="35">
        <f>'1kpi_performance'!L353</f>
        <v>1.48880398</v>
      </c>
      <c r="AW353" s="35">
        <f>'1kpi_performance'!M353</f>
        <v>-0.04535759698</v>
      </c>
      <c r="AX353" s="42">
        <f>'1kpi_performance'!N353</f>
        <v>0.3749564523</v>
      </c>
      <c r="AY353" s="42">
        <f>'1kpi_performance'!O353</f>
        <v>0.2270215972</v>
      </c>
      <c r="AZ353" s="42">
        <f>'1kpi_performance'!P353</f>
        <v>0.7501627957</v>
      </c>
      <c r="BA353" s="42">
        <f>'1kpi_performance'!Q353</f>
        <v>0.8597196831</v>
      </c>
      <c r="BB353" s="35">
        <f>'1kpi_performance'!R353</f>
        <v>4.07174373</v>
      </c>
      <c r="BC353" s="35">
        <f>'1kpi_performance'!S353</f>
        <v>6.729121701</v>
      </c>
      <c r="BD353" s="35">
        <f>'1kpi_performance'!T353</f>
        <v>2.895890895</v>
      </c>
      <c r="BE353" s="35">
        <f>'1kpi_performance'!U353</f>
        <v>-0.08624532806</v>
      </c>
      <c r="BF353" s="47"/>
      <c r="BG353" s="47"/>
      <c r="BH353" s="47"/>
      <c r="BI353" s="47"/>
      <c r="BJ353" s="47"/>
      <c r="BK353" s="47"/>
      <c r="BL353" s="47"/>
      <c r="BM353" s="47"/>
      <c r="BN353" s="47"/>
      <c r="BO353" s="47"/>
      <c r="BP353" s="47"/>
      <c r="BQ353" s="47"/>
      <c r="BR353" s="47"/>
      <c r="BS353" s="47"/>
      <c r="BT353" s="47"/>
    </row>
    <row r="354" ht="11.25" customHeight="1">
      <c r="A354" s="35" t="str">
        <f>'13all_company_profile'!A354</f>
        <v>KSU</v>
      </c>
      <c r="B354" s="35" t="str">
        <f>'13all_company_profile'!B354</f>
        <v>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v>
      </c>
      <c r="C354" s="44" t="str">
        <f>'13all_company_profile'!C354</f>
        <v>https://financialmodelingprep.com/image-stock/KSU.png</v>
      </c>
      <c r="D354" s="35" t="str">
        <f>'13all_company_profile'!D354</f>
        <v>Kansas City Southern</v>
      </c>
      <c r="E354" s="36">
        <f>'13all_company_profile'!E354</f>
        <v>24529268736</v>
      </c>
      <c r="F354" s="37">
        <f>'13all_company_profile'!F354</f>
        <v>1291506</v>
      </c>
      <c r="G354" s="35">
        <f>'13all_company_profile'!G354</f>
        <v>1.92</v>
      </c>
      <c r="H354" s="38">
        <f>'13all_company_profile'!H354</f>
        <v>44393</v>
      </c>
      <c r="I354" s="35">
        <f>'13all_company_profile'!I354</f>
        <v>40.2605</v>
      </c>
      <c r="J354" s="35">
        <f>'13all_company_profile'!J354</f>
        <v>6.641</v>
      </c>
      <c r="K354" s="42">
        <f t="shared" si="1"/>
        <v>0.007219402143</v>
      </c>
      <c r="L354" s="35">
        <f>'7company_info'!B354</f>
        <v>265.95</v>
      </c>
      <c r="M354" s="35">
        <f>'7company_info'!C354</f>
        <v>268.08</v>
      </c>
      <c r="N354" s="35">
        <f>'7company_info'!D354</f>
        <v>263.1</v>
      </c>
      <c r="O354" s="35">
        <f>'7company_info'!E354</f>
        <v>3.08</v>
      </c>
      <c r="P354" s="35">
        <f>'7company_info'!F354</f>
        <v>0.0117</v>
      </c>
      <c r="Q354" s="35">
        <f>'7company_info'!G354</f>
        <v>263.1</v>
      </c>
      <c r="R354" s="35">
        <f>'7company_info'!H354</f>
        <v>262.87</v>
      </c>
      <c r="S354" s="35">
        <f>'7company_info'!I354</f>
        <v>152.18</v>
      </c>
      <c r="T354" s="35">
        <f>'7company_info'!J354</f>
        <v>315.39</v>
      </c>
      <c r="U354" s="39">
        <v>267.701666666666</v>
      </c>
      <c r="V354" s="39">
        <v>269.518333333333</v>
      </c>
      <c r="W354" s="40">
        <v>271.766666666666</v>
      </c>
      <c r="X354" s="40">
        <v>275.831666666666</v>
      </c>
      <c r="Y354" s="40">
        <v>265.453333333333</v>
      </c>
      <c r="Z354" s="40">
        <v>263.636666666666</v>
      </c>
      <c r="AA354" s="40">
        <v>259.571666666666</v>
      </c>
      <c r="AB354" s="40">
        <v>265.5</v>
      </c>
      <c r="AC354" s="40">
        <v>275.72</v>
      </c>
      <c r="AD354" s="40">
        <v>280.113606000138</v>
      </c>
      <c r="AE354" s="40">
        <v>258.952</v>
      </c>
      <c r="AF354" s="40">
        <v>4.86974999999999</v>
      </c>
      <c r="AG354" s="40">
        <v>315.39</v>
      </c>
      <c r="AH354" s="45">
        <v>44329.0</v>
      </c>
      <c r="AI354" s="44" t="str">
        <f>'6image_RS_benchmark_performance'!B354</f>
        <v>https://3arbzfbsh-cname-us.ngrok.io/Desktop/seabridge%20fintech/image_app/KSU_resistance_support.jpg</v>
      </c>
      <c r="AJ354" s="44" t="str">
        <f>'6image_RS_benchmark_performance'!C354</f>
        <v>https://3arbzfbsh-cname-us.ngrok.io/Desktop/seabridge%20fintech/profit_graph_app/KSU_Return.jpg</v>
      </c>
      <c r="AK354" s="46" t="str">
        <f>'5price_action_icon'!B354</f>
        <v>https://3arbzfbsh-cname-us.ngrok.io/Desktop/seabridge%20fintech/icon/KSU_pa_trend_signal</v>
      </c>
      <c r="AL354" s="42">
        <f>'1kpi_performance'!B354</f>
        <v>0.7238589745</v>
      </c>
      <c r="AM354" s="42">
        <f>'1kpi_performance'!C354</f>
        <v>0.7984414303</v>
      </c>
      <c r="AN354" s="42">
        <f>'1kpi_performance'!D354</f>
        <v>0.7513067588</v>
      </c>
      <c r="AO354" s="42">
        <f>'1kpi_performance'!E354</f>
        <v>0.3052208062</v>
      </c>
      <c r="AP354" s="42">
        <f>'1kpi_performance'!F354</f>
        <v>0.2525586959</v>
      </c>
      <c r="AQ354" s="42">
        <f>'1kpi_performance'!G354</f>
        <v>0.2506430722</v>
      </c>
      <c r="AR354" s="42">
        <f>'1kpi_performance'!H354</f>
        <v>0.238243888</v>
      </c>
      <c r="AS354" s="42">
        <f>'1kpi_performance'!I354</f>
        <v>0.3786852076</v>
      </c>
      <c r="AT354" s="35">
        <f>'1kpi_performance'!J354</f>
        <v>2.767115074</v>
      </c>
      <c r="AU354" s="35">
        <f>'1kpi_performance'!K354</f>
        <v>3.08582808</v>
      </c>
      <c r="AV354" s="35">
        <f>'1kpi_performance'!L354</f>
        <v>3.048585065</v>
      </c>
      <c r="AW354" s="35">
        <f>'1kpi_performance'!M354</f>
        <v>0.7399835022</v>
      </c>
      <c r="AX354" s="42">
        <f>'1kpi_performance'!N354</f>
        <v>0.09830972424</v>
      </c>
      <c r="AY354" s="42">
        <f>'1kpi_performance'!O354</f>
        <v>0.1140491719</v>
      </c>
      <c r="AZ354" s="42">
        <f>'1kpi_performance'!P354</f>
        <v>0.1788646912</v>
      </c>
      <c r="BA354" s="42">
        <f>'1kpi_performance'!Q354</f>
        <v>0.4887988561</v>
      </c>
      <c r="BB354" s="35">
        <f>'1kpi_performance'!R354</f>
        <v>6.581156853</v>
      </c>
      <c r="BC354" s="35">
        <f>'1kpi_performance'!S354</f>
        <v>7.205682906</v>
      </c>
      <c r="BD354" s="35">
        <f>'1kpi_performance'!T354</f>
        <v>6.382819799</v>
      </c>
      <c r="BE354" s="35">
        <f>'1kpi_performance'!U354</f>
        <v>1.452104116</v>
      </c>
      <c r="BF354" s="47"/>
      <c r="BG354" s="47"/>
      <c r="BH354" s="47"/>
      <c r="BI354" s="47"/>
      <c r="BJ354" s="47"/>
      <c r="BK354" s="47"/>
      <c r="BL354" s="47"/>
      <c r="BM354" s="47"/>
      <c r="BN354" s="47"/>
      <c r="BO354" s="47"/>
      <c r="BP354" s="47"/>
      <c r="BQ354" s="47"/>
      <c r="BR354" s="47"/>
      <c r="BS354" s="47"/>
      <c r="BT354" s="47"/>
    </row>
    <row r="355" ht="11.25" customHeight="1">
      <c r="A355" s="35" t="str">
        <f>'13all_company_profile'!A355</f>
        <v>KWEB</v>
      </c>
      <c r="B355" s="35" t="str">
        <f>'13all_company_profile'!B355</f>
        <v>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v>
      </c>
      <c r="C355" s="44" t="str">
        <f>'13all_company_profile'!C355</f>
        <v>https://financialmodelingprep.com/image-stock/KWEB.jpg</v>
      </c>
      <c r="D355" s="35" t="str">
        <f>'13all_company_profile'!D355</f>
        <v>KraneShares CSI China Internet ETF</v>
      </c>
      <c r="E355" s="36">
        <f>'13all_company_profile'!E355</f>
        <v>2184779029</v>
      </c>
      <c r="F355" s="37">
        <f>'13all_company_profile'!F355</f>
        <v>4039836</v>
      </c>
      <c r="G355" s="35">
        <f>'13all_company_profile'!G355</f>
        <v>0.221</v>
      </c>
      <c r="H355" s="38" t="str">
        <f>'13all_company_profile'!H355</f>
        <v>not avaiable</v>
      </c>
      <c r="I355" s="35" t="str">
        <f>'13all_company_profile'!I355</f>
        <v>NaN</v>
      </c>
      <c r="J355" s="35" t="str">
        <f>'13all_company_profile'!J355</f>
        <v>NaN</v>
      </c>
      <c r="K355" s="42">
        <f t="shared" si="1"/>
        <v>0.003645661498</v>
      </c>
      <c r="L355" s="35">
        <f>'7company_info'!B355</f>
        <v>60.62</v>
      </c>
      <c r="M355" s="35">
        <f>'7company_info'!C355</f>
        <v>60.87</v>
      </c>
      <c r="N355" s="35">
        <f>'7company_info'!D355</f>
        <v>59.24</v>
      </c>
      <c r="O355" s="35">
        <f>'7company_info'!E355</f>
        <v>0.06</v>
      </c>
      <c r="P355" s="35">
        <f>'7company_info'!F355</f>
        <v>0.001</v>
      </c>
      <c r="Q355" s="35">
        <f>'7company_info'!G355</f>
        <v>60.31</v>
      </c>
      <c r="R355" s="35">
        <f>'7company_info'!H355</f>
        <v>60.56</v>
      </c>
      <c r="S355" s="35">
        <f>'7company_info'!I355</f>
        <v>58.9</v>
      </c>
      <c r="T355" s="35">
        <f>'7company_info'!J355</f>
        <v>104.94</v>
      </c>
      <c r="U355" s="39">
        <v>63.7400333333333</v>
      </c>
      <c r="V355" s="39">
        <v>64.2599666666666</v>
      </c>
      <c r="W355" s="40">
        <v>65.0399333333333</v>
      </c>
      <c r="X355" s="40">
        <v>66.3398333333333</v>
      </c>
      <c r="Y355" s="40">
        <v>62.9600666666666</v>
      </c>
      <c r="Z355" s="40">
        <v>62.4401333333333</v>
      </c>
      <c r="AA355" s="40">
        <v>61.1402333333333</v>
      </c>
      <c r="AB355" s="40">
        <v>58.9</v>
      </c>
      <c r="AC355" s="40">
        <v>66.745</v>
      </c>
      <c r="AD355" s="40">
        <v>65.8946009493555</v>
      </c>
      <c r="AE355" s="40">
        <v>60.12097</v>
      </c>
      <c r="AF355" s="40">
        <v>1.81150999999999</v>
      </c>
      <c r="AG355" s="40">
        <v>104.94</v>
      </c>
      <c r="AH355" s="45">
        <v>44244.0</v>
      </c>
      <c r="AI355" s="44" t="str">
        <f>'6image_RS_benchmark_performance'!B355</f>
        <v>https://3arbzfbsh-cname-us.ngrok.io/Desktop/seabridge%20fintech/image_app/KWEB_resistance_support.jpg</v>
      </c>
      <c r="AJ355" s="44" t="str">
        <f>'6image_RS_benchmark_performance'!C355</f>
        <v>https://3arbzfbsh-cname-us.ngrok.io/Desktop/seabridge%20fintech/profit_graph_app/KWEB_Return.jpg</v>
      </c>
      <c r="AK355" s="46" t="str">
        <f>'5price_action_icon'!B355</f>
        <v>https://3arbzfbsh-cname-us.ngrok.io/Desktop/seabridge%20fintech/icon/KWEB_pa_trend_signal</v>
      </c>
      <c r="AL355" s="42">
        <f>'1kpi_performance'!B355</f>
        <v>0.7648441054</v>
      </c>
      <c r="AM355" s="42">
        <f>'1kpi_performance'!C355</f>
        <v>1.183136496</v>
      </c>
      <c r="AN355" s="42">
        <f>'1kpi_performance'!D355</f>
        <v>0.5787834249</v>
      </c>
      <c r="AO355" s="42">
        <f>'1kpi_performance'!E355</f>
        <v>0.1725990254</v>
      </c>
      <c r="AP355" s="42">
        <f>'1kpi_performance'!F355</f>
        <v>0.2324145674</v>
      </c>
      <c r="AQ355" s="42">
        <f>'1kpi_performance'!G355</f>
        <v>0.2351530439</v>
      </c>
      <c r="AR355" s="42">
        <f>'1kpi_performance'!H355</f>
        <v>0.2375843256</v>
      </c>
      <c r="AS355" s="42">
        <f>'1kpi_performance'!I355</f>
        <v>0.3613848636</v>
      </c>
      <c r="AT355" s="35">
        <f>'1kpi_performance'!J355</f>
        <v>3.183294893</v>
      </c>
      <c r="AU355" s="35">
        <f>'1kpi_performance'!K355</f>
        <v>4.925032978</v>
      </c>
      <c r="AV355" s="35">
        <f>'1kpi_performance'!L355</f>
        <v>2.330892088</v>
      </c>
      <c r="AW355" s="35">
        <f>'1kpi_performance'!M355</f>
        <v>0.4084261414</v>
      </c>
      <c r="AX355" s="42">
        <f>'1kpi_performance'!N355</f>
        <v>0.1406721939</v>
      </c>
      <c r="AY355" s="42">
        <f>'1kpi_performance'!O355</f>
        <v>0.08518753973</v>
      </c>
      <c r="AZ355" s="42">
        <f>'1kpi_performance'!P355</f>
        <v>0.2340064773</v>
      </c>
      <c r="BA355" s="42">
        <f>'1kpi_performance'!Q355</f>
        <v>0.4702955809</v>
      </c>
      <c r="BB355" s="35">
        <f>'1kpi_performance'!R355</f>
        <v>6.853446939</v>
      </c>
      <c r="BC355" s="35">
        <f>'1kpi_performance'!S355</f>
        <v>11.5548483</v>
      </c>
      <c r="BD355" s="35">
        <f>'1kpi_performance'!T355</f>
        <v>4.584546362</v>
      </c>
      <c r="BE355" s="35">
        <f>'1kpi_performance'!U355</f>
        <v>0.7990693757</v>
      </c>
      <c r="BF355" s="47"/>
      <c r="BG355" s="47"/>
      <c r="BH355" s="47"/>
      <c r="BI355" s="47"/>
      <c r="BJ355" s="47"/>
      <c r="BK355" s="47"/>
      <c r="BL355" s="47"/>
      <c r="BM355" s="47"/>
      <c r="BN355" s="47"/>
      <c r="BO355" s="47"/>
      <c r="BP355" s="47"/>
      <c r="BQ355" s="47"/>
      <c r="BR355" s="47"/>
      <c r="BS355" s="47"/>
      <c r="BT355" s="47"/>
    </row>
    <row r="356" ht="11.25" customHeight="1">
      <c r="A356" s="35" t="str">
        <f>'13all_company_profile'!A356</f>
        <v>L</v>
      </c>
      <c r="B356" s="35" t="str">
        <f>'13all_company_profile'!B356</f>
        <v>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v>
      </c>
      <c r="C356" s="44" t="str">
        <f>'13all_company_profile'!C356</f>
        <v>https://financialmodelingprep.com/image-stock/L.png</v>
      </c>
      <c r="D356" s="35" t="str">
        <f>'13all_company_profile'!D356</f>
        <v>Loews Corporation</v>
      </c>
      <c r="E356" s="36">
        <f>'13all_company_profile'!E356</f>
        <v>14358883328</v>
      </c>
      <c r="F356" s="37">
        <f>'13all_company_profile'!F356</f>
        <v>831828</v>
      </c>
      <c r="G356" s="35">
        <f>'13all_company_profile'!G356</f>
        <v>0.2515</v>
      </c>
      <c r="H356" s="38">
        <f>'13all_company_profile'!H356</f>
        <v>44410</v>
      </c>
      <c r="I356" s="35" t="str">
        <f>'13all_company_profile'!I356</f>
        <v>NaN</v>
      </c>
      <c r="J356" s="35">
        <f>'13all_company_profile'!J356</f>
        <v>-0.143</v>
      </c>
      <c r="K356" s="42">
        <f t="shared" si="1"/>
        <v>0.004715919745</v>
      </c>
      <c r="L356" s="35">
        <f>'7company_info'!B356</f>
        <v>53.33</v>
      </c>
      <c r="M356" s="35">
        <f>'7company_info'!C356</f>
        <v>53.98</v>
      </c>
      <c r="N356" s="35">
        <f>'7company_info'!D356</f>
        <v>51.69</v>
      </c>
      <c r="O356" s="35">
        <f>'7company_info'!E356</f>
        <v>1.57</v>
      </c>
      <c r="P356" s="35">
        <f>'7company_info'!F356</f>
        <v>0.0303</v>
      </c>
      <c r="Q356" s="35">
        <f>'7company_info'!G356</f>
        <v>51.7</v>
      </c>
      <c r="R356" s="35">
        <f>'7company_info'!H356</f>
        <v>51.76</v>
      </c>
      <c r="S356" s="35">
        <f>'7company_info'!I356</f>
        <v>32.75</v>
      </c>
      <c r="T356" s="35">
        <f>'7company_info'!J356</f>
        <v>59.39</v>
      </c>
      <c r="U356" s="39">
        <v>54.56</v>
      </c>
      <c r="V356" s="39">
        <v>54.97</v>
      </c>
      <c r="W356" s="40">
        <v>55.54</v>
      </c>
      <c r="X356" s="40">
        <v>56.52</v>
      </c>
      <c r="Y356" s="40">
        <v>53.99</v>
      </c>
      <c r="Z356" s="40">
        <v>53.58</v>
      </c>
      <c r="AA356" s="40">
        <v>52.6</v>
      </c>
      <c r="AB356" s="40">
        <v>54.72</v>
      </c>
      <c r="AC356" s="40">
        <v>54.67</v>
      </c>
      <c r="AD356" s="40">
        <v>54.8516343440556</v>
      </c>
      <c r="AE356" s="40">
        <v>52.0314</v>
      </c>
      <c r="AF356" s="40">
        <v>1.10155</v>
      </c>
      <c r="AG356" s="40">
        <v>59.39</v>
      </c>
      <c r="AH356" s="45">
        <v>44326.0</v>
      </c>
      <c r="AI356" s="44" t="str">
        <f>'6image_RS_benchmark_performance'!B356</f>
        <v>https://3arbzfbsh-cname-us.ngrok.io/Desktop/seabridge%20fintech/image_app/L_resistance_support.jpg</v>
      </c>
      <c r="AJ356" s="44" t="str">
        <f>'6image_RS_benchmark_performance'!C356</f>
        <v>https://3arbzfbsh-cname-us.ngrok.io/Desktop/seabridge%20fintech/profit_graph_app/L_Return.jpg</v>
      </c>
      <c r="AK356" s="46" t="str">
        <f>'5price_action_icon'!B356</f>
        <v>https://3arbzfbsh-cname-us.ngrok.io/Desktop/seabridge%20fintech/icon/L_pa_trend_signal</v>
      </c>
      <c r="AL356" s="42">
        <f>'1kpi_performance'!B356</f>
        <v>0.2703232015</v>
      </c>
      <c r="AM356" s="42">
        <f>'1kpi_performance'!C356</f>
        <v>0.398736768</v>
      </c>
      <c r="AN356" s="42">
        <f>'1kpi_performance'!D356</f>
        <v>0.3212631421</v>
      </c>
      <c r="AO356" s="42">
        <f>'1kpi_performance'!E356</f>
        <v>0.04853340369</v>
      </c>
      <c r="AP356" s="42">
        <f>'1kpi_performance'!F356</f>
        <v>0.1895507576</v>
      </c>
      <c r="AQ356" s="42">
        <f>'1kpi_performance'!G356</f>
        <v>0.1750253336</v>
      </c>
      <c r="AR356" s="42">
        <f>'1kpi_performance'!H356</f>
        <v>0.1823447886</v>
      </c>
      <c r="AS356" s="42">
        <f>'1kpi_performance'!I356</f>
        <v>0.2932375852</v>
      </c>
      <c r="AT356" s="35">
        <f>'1kpi_performance'!J356</f>
        <v>1.294234877</v>
      </c>
      <c r="AU356" s="35">
        <f>'1kpi_performance'!K356</f>
        <v>2.135329556</v>
      </c>
      <c r="AV356" s="35">
        <f>'1kpi_performance'!L356</f>
        <v>1.624741482</v>
      </c>
      <c r="AW356" s="35">
        <f>'1kpi_performance'!M356</f>
        <v>0.08025370852</v>
      </c>
      <c r="AX356" s="42">
        <f>'1kpi_performance'!N356</f>
        <v>0.2166901339</v>
      </c>
      <c r="AY356" s="42">
        <f>'1kpi_performance'!O356</f>
        <v>0.1698128036</v>
      </c>
      <c r="AZ356" s="42">
        <f>'1kpi_performance'!P356</f>
        <v>0.2152588556</v>
      </c>
      <c r="BA356" s="42">
        <f>'1kpi_performance'!Q356</f>
        <v>0.4871794872</v>
      </c>
      <c r="BB356" s="35">
        <f>'1kpi_performance'!R356</f>
        <v>2.55669185</v>
      </c>
      <c r="BC356" s="35">
        <f>'1kpi_performance'!S356</f>
        <v>4.710902963</v>
      </c>
      <c r="BD356" s="35">
        <f>'1kpi_performance'!T356</f>
        <v>3.303124</v>
      </c>
      <c r="BE356" s="35">
        <f>'1kpi_performance'!U356</f>
        <v>0.1488276141</v>
      </c>
      <c r="BF356" s="47"/>
      <c r="BG356" s="47"/>
      <c r="BH356" s="47"/>
      <c r="BI356" s="47"/>
      <c r="BJ356" s="47"/>
      <c r="BK356" s="47"/>
      <c r="BL356" s="47"/>
      <c r="BM356" s="47"/>
      <c r="BN356" s="47"/>
      <c r="BO356" s="47"/>
      <c r="BP356" s="47"/>
      <c r="BQ356" s="47"/>
      <c r="BR356" s="47"/>
      <c r="BS356" s="47"/>
      <c r="BT356" s="47"/>
    </row>
    <row r="357" ht="11.25" customHeight="1">
      <c r="A357" s="35" t="str">
        <f>'13all_company_profile'!A357</f>
        <v>LB</v>
      </c>
      <c r="B357" s="35" t="str">
        <f>'13all_company_profile'!B357</f>
        <v>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v>
      </c>
      <c r="C357" s="44" t="str">
        <f>'13all_company_profile'!C357</f>
        <v>https://financialmodelingprep.com/image-stock/LB.png</v>
      </c>
      <c r="D357" s="35" t="str">
        <f>'13all_company_profile'!D357</f>
        <v>L Brands, Inc.</v>
      </c>
      <c r="E357" s="36">
        <f>'13all_company_profile'!E357</f>
        <v>20320434176</v>
      </c>
      <c r="F357" s="37">
        <f>'13all_company_profile'!F357</f>
        <v>4035525</v>
      </c>
      <c r="G357" s="35">
        <f>'13all_company_profile'!G357</f>
        <v>0.15</v>
      </c>
      <c r="H357" s="38" t="str">
        <f>'13all_company_profile'!H357</f>
        <v>not avaiable</v>
      </c>
      <c r="I357" s="35">
        <f>'13all_company_profile'!I357</f>
        <v>14.644284</v>
      </c>
      <c r="J357" s="35">
        <f>'13all_company_profile'!J357</f>
        <v>5.004</v>
      </c>
      <c r="K357" s="42">
        <f t="shared" si="1"/>
        <v>0.002014504432</v>
      </c>
      <c r="L357" s="35">
        <f>'7company_info'!B357</f>
        <v>74.46</v>
      </c>
      <c r="M357" s="35">
        <f>'7company_info'!C357</f>
        <v>74.77</v>
      </c>
      <c r="N357" s="35">
        <f>'7company_info'!D357</f>
        <v>70.39</v>
      </c>
      <c r="O357" s="35">
        <f>'7company_info'!E357</f>
        <v>4.44</v>
      </c>
      <c r="P357" s="35">
        <f>'7company_info'!F357</f>
        <v>0.0634</v>
      </c>
      <c r="Q357" s="35">
        <f>'7company_info'!G357</f>
        <v>70.65</v>
      </c>
      <c r="R357" s="35">
        <f>'7company_info'!H357</f>
        <v>70.02</v>
      </c>
      <c r="S357" s="35">
        <f>'7company_info'!I357</f>
        <v>17.77</v>
      </c>
      <c r="T357" s="35">
        <f>'7company_info'!J357</f>
        <v>77.87</v>
      </c>
      <c r="U357" s="39">
        <v>75.8433333333333</v>
      </c>
      <c r="V357" s="39">
        <v>76.9366666666666</v>
      </c>
      <c r="W357" s="40">
        <v>78.7533333333333</v>
      </c>
      <c r="X357" s="40">
        <v>81.6633333333333</v>
      </c>
      <c r="Y357" s="40">
        <v>74.0266666666666</v>
      </c>
      <c r="Z357" s="40">
        <v>72.9333333333333</v>
      </c>
      <c r="AA357" s="40">
        <v>70.0233333333333</v>
      </c>
      <c r="AB357" s="40">
        <v>70.93</v>
      </c>
      <c r="AC357" s="40">
        <v>77.87</v>
      </c>
      <c r="AD357" s="40">
        <v>71.6446016969786</v>
      </c>
      <c r="AE357" s="40">
        <v>69.07661</v>
      </c>
      <c r="AF357" s="40">
        <v>2.57619499999999</v>
      </c>
      <c r="AG357" s="40">
        <v>71.99</v>
      </c>
      <c r="AH357" s="45">
        <v>44334.0</v>
      </c>
      <c r="AI357" s="44" t="str">
        <f>'6image_RS_benchmark_performance'!B357</f>
        <v>https://3arbzfbsh-cname-us.ngrok.io/Desktop/seabridge%20fintech/image_app/LB_resistance_support.jpg</v>
      </c>
      <c r="AJ357" s="44" t="str">
        <f>'6image_RS_benchmark_performance'!C357</f>
        <v>https://3arbzfbsh-cname-us.ngrok.io/Desktop/seabridge%20fintech/profit_graph_app/LB_Return.jpg</v>
      </c>
      <c r="AK357" s="46" t="str">
        <f>'5price_action_icon'!B357</f>
        <v>https://3arbzfbsh-cname-us.ngrok.io/Desktop/seabridge%20fintech/icon/LB_pa_trend_signal</v>
      </c>
      <c r="AL357" s="42">
        <f>'1kpi_performance'!B357</f>
        <v>1.056595543</v>
      </c>
      <c r="AM357" s="42">
        <f>'1kpi_performance'!C357</f>
        <v>1.324582302</v>
      </c>
      <c r="AN357" s="42">
        <f>'1kpi_performance'!D357</f>
        <v>0.7126929054</v>
      </c>
      <c r="AO357" s="42">
        <f>'1kpi_performance'!E357</f>
        <v>0.1989189736</v>
      </c>
      <c r="AP357" s="42">
        <f>'1kpi_performance'!F357</f>
        <v>0.357444837</v>
      </c>
      <c r="AQ357" s="42">
        <f>'1kpi_performance'!G357</f>
        <v>0.349898873</v>
      </c>
      <c r="AR357" s="42">
        <f>'1kpi_performance'!H357</f>
        <v>0.4192492837</v>
      </c>
      <c r="AS357" s="42">
        <f>'1kpi_performance'!I357</f>
        <v>0.5248813009</v>
      </c>
      <c r="AT357" s="35">
        <f>'1kpi_performance'!J357</f>
        <v>2.886027258</v>
      </c>
      <c r="AU357" s="35">
        <f>'1kpi_performance'!K357</f>
        <v>3.71416544</v>
      </c>
      <c r="AV357" s="35">
        <f>'1kpi_performance'!L357</f>
        <v>1.640295958</v>
      </c>
      <c r="AW357" s="35">
        <f>'1kpi_performance'!M357</f>
        <v>0.3313491513</v>
      </c>
      <c r="AX357" s="42">
        <f>'1kpi_performance'!N357</f>
        <v>0.3174815807</v>
      </c>
      <c r="AY357" s="42">
        <f>'1kpi_performance'!O357</f>
        <v>0.2725772034</v>
      </c>
      <c r="AZ357" s="42">
        <f>'1kpi_performance'!P357</f>
        <v>0.7349634258</v>
      </c>
      <c r="BA357" s="42">
        <f>'1kpi_performance'!Q357</f>
        <v>0.906250639</v>
      </c>
      <c r="BB357" s="35">
        <f>'1kpi_performance'!R357</f>
        <v>6.814222968</v>
      </c>
      <c r="BC357" s="35">
        <f>'1kpi_performance'!S357</f>
        <v>9.484744772</v>
      </c>
      <c r="BD357" s="35">
        <f>'1kpi_performance'!T357</f>
        <v>3.392856573</v>
      </c>
      <c r="BE357" s="35">
        <f>'1kpi_performance'!U357</f>
        <v>0.6584323437</v>
      </c>
      <c r="BF357" s="47"/>
      <c r="BG357" s="47"/>
      <c r="BH357" s="47"/>
      <c r="BI357" s="47"/>
      <c r="BJ357" s="47"/>
      <c r="BK357" s="47"/>
      <c r="BL357" s="47"/>
      <c r="BM357" s="47"/>
      <c r="BN357" s="47"/>
      <c r="BO357" s="47"/>
      <c r="BP357" s="47"/>
      <c r="BQ357" s="47"/>
      <c r="BR357" s="47"/>
      <c r="BS357" s="47"/>
      <c r="BT357" s="47"/>
    </row>
    <row r="358" ht="11.25" customHeight="1">
      <c r="A358" s="35" t="str">
        <f>'13all_company_profile'!A358</f>
        <v>LDOS</v>
      </c>
      <c r="B358" s="35" t="str">
        <f>'13all_company_profile'!B358</f>
        <v>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v>
      </c>
      <c r="C358" s="44" t="str">
        <f>'13all_company_profile'!C358</f>
        <v>https://financialmodelingprep.com/image-stock/LDOS.png</v>
      </c>
      <c r="D358" s="35" t="str">
        <f>'13all_company_profile'!D358</f>
        <v>Leidos Holdings, Inc.</v>
      </c>
      <c r="E358" s="36">
        <f>'13all_company_profile'!E358</f>
        <v>14905668608</v>
      </c>
      <c r="F358" s="37">
        <f>'13all_company_profile'!F358</f>
        <v>689479</v>
      </c>
      <c r="G358" s="35">
        <f>'13all_company_profile'!G358</f>
        <v>1.36</v>
      </c>
      <c r="H358" s="38">
        <f>'13all_company_profile'!H358</f>
        <v>44411</v>
      </c>
      <c r="I358" s="35">
        <f>'13all_company_profile'!I358</f>
        <v>21.391565</v>
      </c>
      <c r="J358" s="35">
        <f>'13all_company_profile'!J358</f>
        <v>4.98</v>
      </c>
      <c r="K358" s="42">
        <f t="shared" si="1"/>
        <v>0.01295855169</v>
      </c>
      <c r="L358" s="35">
        <f>'7company_info'!B358</f>
        <v>104.95</v>
      </c>
      <c r="M358" s="35">
        <f>'7company_info'!C358</f>
        <v>105.79</v>
      </c>
      <c r="N358" s="35">
        <f>'7company_info'!D358</f>
        <v>103.41</v>
      </c>
      <c r="O358" s="35">
        <f>'7company_info'!E358</f>
        <v>1.7</v>
      </c>
      <c r="P358" s="35">
        <f>'7company_info'!F358</f>
        <v>0.0165</v>
      </c>
      <c r="Q358" s="35">
        <f>'7company_info'!G358</f>
        <v>103.89</v>
      </c>
      <c r="R358" s="35">
        <f>'7company_info'!H358</f>
        <v>103.25</v>
      </c>
      <c r="S358" s="35">
        <f>'7company_info'!I358</f>
        <v>79.15</v>
      </c>
      <c r="T358" s="35">
        <f>'7company_info'!J358</f>
        <v>113.75</v>
      </c>
      <c r="U358" s="39">
        <v>104.043333333333</v>
      </c>
      <c r="V358" s="39">
        <v>105.346666666666</v>
      </c>
      <c r="W358" s="40">
        <v>106.153333333333</v>
      </c>
      <c r="X358" s="40">
        <v>108.263333333333</v>
      </c>
      <c r="Y358" s="40">
        <v>103.236666666666</v>
      </c>
      <c r="Z358" s="40">
        <v>101.933333333333</v>
      </c>
      <c r="AA358" s="40">
        <v>99.8233333333333</v>
      </c>
      <c r="AB358" s="40">
        <v>105.14</v>
      </c>
      <c r="AC358" s="40">
        <v>102.43</v>
      </c>
      <c r="AD358" s="40">
        <v>103.838889951838</v>
      </c>
      <c r="AE358" s="40">
        <v>101.115</v>
      </c>
      <c r="AF358" s="40">
        <v>1.848</v>
      </c>
      <c r="AG358" s="40">
        <v>113.75</v>
      </c>
      <c r="AH358" s="45">
        <v>44221.0</v>
      </c>
      <c r="AI358" s="44" t="str">
        <f>'6image_RS_benchmark_performance'!B358</f>
        <v>https://3arbzfbsh-cname-us.ngrok.io/Desktop/seabridge%20fintech/image_app/LDOS_resistance_support.jpg</v>
      </c>
      <c r="AJ358" s="44" t="str">
        <f>'6image_RS_benchmark_performance'!C358</f>
        <v>https://3arbzfbsh-cname-us.ngrok.io/Desktop/seabridge%20fintech/profit_graph_app/LDOS_Return.jpg</v>
      </c>
      <c r="AK358" s="46" t="str">
        <f>'5price_action_icon'!B358</f>
        <v>https://3arbzfbsh-cname-us.ngrok.io/Desktop/seabridge%20fintech/icon/LDOS_pa_trend_signal</v>
      </c>
      <c r="AL358" s="42">
        <f>'1kpi_performance'!B358</f>
        <v>0.5768050579</v>
      </c>
      <c r="AM358" s="42">
        <f>'1kpi_performance'!C358</f>
        <v>0.7728573185</v>
      </c>
      <c r="AN358" s="42">
        <f>'1kpi_performance'!D358</f>
        <v>0.5652247492</v>
      </c>
      <c r="AO358" s="42">
        <f>'1kpi_performance'!E358</f>
        <v>0.1352794904</v>
      </c>
      <c r="AP358" s="42">
        <f>'1kpi_performance'!F358</f>
        <v>0.2086456621</v>
      </c>
      <c r="AQ358" s="42">
        <f>'1kpi_performance'!G358</f>
        <v>0.2106379622</v>
      </c>
      <c r="AR358" s="42">
        <f>'1kpi_performance'!H358</f>
        <v>0.22752129</v>
      </c>
      <c r="AS358" s="42">
        <f>'1kpi_performance'!I358</f>
        <v>0.3256666018</v>
      </c>
      <c r="AT358" s="35">
        <f>'1kpi_performance'!J358</f>
        <v>2.644699402</v>
      </c>
      <c r="AU358" s="35">
        <f>'1kpi_performance'!K358</f>
        <v>3.550439392</v>
      </c>
      <c r="AV358" s="35">
        <f>'1kpi_performance'!L358</f>
        <v>2.374392081</v>
      </c>
      <c r="AW358" s="35">
        <f>'1kpi_performance'!M358</f>
        <v>0.3386269572</v>
      </c>
      <c r="AX358" s="42">
        <f>'1kpi_performance'!N358</f>
        <v>0.1373413794</v>
      </c>
      <c r="AY358" s="42">
        <f>'1kpi_performance'!O358</f>
        <v>0.08589875069</v>
      </c>
      <c r="AZ358" s="42">
        <f>'1kpi_performance'!P358</f>
        <v>0.2740695074</v>
      </c>
      <c r="BA358" s="42">
        <f>'1kpi_performance'!Q358</f>
        <v>0.4730947114</v>
      </c>
      <c r="BB358" s="35">
        <f>'1kpi_performance'!R358</f>
        <v>5.593199318</v>
      </c>
      <c r="BC358" s="35">
        <f>'1kpi_performance'!S358</f>
        <v>8.615424711</v>
      </c>
      <c r="BD358" s="35">
        <f>'1kpi_performance'!T358</f>
        <v>4.620923261</v>
      </c>
      <c r="BE358" s="35">
        <f>'1kpi_performance'!U358</f>
        <v>0.6108597039</v>
      </c>
      <c r="BF358" s="47"/>
      <c r="BG358" s="47"/>
      <c r="BH358" s="47"/>
      <c r="BI358" s="47"/>
      <c r="BJ358" s="47"/>
      <c r="BK358" s="47"/>
      <c r="BL358" s="47"/>
      <c r="BM358" s="47"/>
      <c r="BN358" s="47"/>
      <c r="BO358" s="47"/>
      <c r="BP358" s="47"/>
      <c r="BQ358" s="47"/>
      <c r="BR358" s="47"/>
      <c r="BS358" s="47"/>
      <c r="BT358" s="47"/>
    </row>
    <row r="359" ht="11.25" customHeight="1">
      <c r="A359" s="35" t="str">
        <f>'13all_company_profile'!A359</f>
        <v>LEG</v>
      </c>
      <c r="B359" s="35" t="str">
        <f>'13all_company_profile'!B359</f>
        <v>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v>
      </c>
      <c r="C359" s="44" t="str">
        <f>'13all_company_profile'!C359</f>
        <v>https://financialmodelingprep.com/image-stock/LEG.png</v>
      </c>
      <c r="D359" s="35" t="str">
        <f>'13all_company_profile'!D359</f>
        <v>Leggett &amp; Platt, Incorporated</v>
      </c>
      <c r="E359" s="36">
        <f>'13all_company_profile'!E359</f>
        <v>6517757952</v>
      </c>
      <c r="F359" s="37">
        <f>'13all_company_profile'!F359</f>
        <v>755623</v>
      </c>
      <c r="G359" s="35">
        <f>'13all_company_profile'!G359</f>
        <v>1.62</v>
      </c>
      <c r="H359" s="38">
        <f>'13all_company_profile'!H359</f>
        <v>44410</v>
      </c>
      <c r="I359" s="35">
        <f>'13all_company_profile'!I359</f>
        <v>22.699528</v>
      </c>
      <c r="J359" s="35">
        <f>'13all_company_profile'!J359</f>
        <v>2.13</v>
      </c>
      <c r="K359" s="42">
        <f t="shared" si="1"/>
        <v>0.03339517625</v>
      </c>
      <c r="L359" s="35">
        <f>'7company_info'!B359</f>
        <v>48.51</v>
      </c>
      <c r="M359" s="35">
        <f>'7company_info'!C359</f>
        <v>48.61</v>
      </c>
      <c r="N359" s="35">
        <f>'7company_info'!D359</f>
        <v>47.15</v>
      </c>
      <c r="O359" s="35">
        <f>'7company_info'!E359</f>
        <v>1.52</v>
      </c>
      <c r="P359" s="35">
        <f>'7company_info'!F359</f>
        <v>0.0323</v>
      </c>
      <c r="Q359" s="35">
        <f>'7company_info'!G359</f>
        <v>47.15</v>
      </c>
      <c r="R359" s="35">
        <f>'7company_info'!H359</f>
        <v>46.99</v>
      </c>
      <c r="S359" s="35">
        <f>'7company_info'!I359</f>
        <v>35.28</v>
      </c>
      <c r="T359" s="35">
        <f>'7company_info'!J359</f>
        <v>59.16</v>
      </c>
      <c r="U359" s="39">
        <v>49.73</v>
      </c>
      <c r="V359" s="39">
        <v>50.1099999999999</v>
      </c>
      <c r="W359" s="40">
        <v>50.72</v>
      </c>
      <c r="X359" s="40">
        <v>51.71</v>
      </c>
      <c r="Y359" s="40">
        <v>49.1199999999999</v>
      </c>
      <c r="Z359" s="40">
        <v>48.74</v>
      </c>
      <c r="AA359" s="40">
        <v>47.7499999999999</v>
      </c>
      <c r="AB359" s="40">
        <v>48.9</v>
      </c>
      <c r="AC359" s="40">
        <v>52.4402</v>
      </c>
      <c r="AD359" s="40">
        <v>51.0822928144198</v>
      </c>
      <c r="AE359" s="40">
        <v>47.23015</v>
      </c>
      <c r="AF359" s="40">
        <v>1.242925</v>
      </c>
      <c r="AG359" s="40">
        <v>59.16</v>
      </c>
      <c r="AH359" s="45">
        <v>44326.0</v>
      </c>
      <c r="AI359" s="44" t="str">
        <f>'6image_RS_benchmark_performance'!B359</f>
        <v>https://3arbzfbsh-cname-us.ngrok.io/Desktop/seabridge%20fintech/image_app/LEG_resistance_support.jpg</v>
      </c>
      <c r="AJ359" s="44" t="str">
        <f>'6image_RS_benchmark_performance'!C359</f>
        <v>https://3arbzfbsh-cname-us.ngrok.io/Desktop/seabridge%20fintech/profit_graph_app/LEG_Return.jpg</v>
      </c>
      <c r="AK359" s="46" t="str">
        <f>'5price_action_icon'!B359</f>
        <v>https://3arbzfbsh-cname-us.ngrok.io/Desktop/seabridge%20fintech/icon/LEG_pa_trend_signal</v>
      </c>
      <c r="AL359" s="42">
        <f>'1kpi_performance'!B359</f>
        <v>0.5894848848</v>
      </c>
      <c r="AM359" s="42">
        <f>'1kpi_performance'!C359</f>
        <v>0.6776144952</v>
      </c>
      <c r="AN359" s="42">
        <f>'1kpi_performance'!D359</f>
        <v>0.70155687</v>
      </c>
      <c r="AO359" s="42">
        <f>'1kpi_performance'!E359</f>
        <v>0.1170643291</v>
      </c>
      <c r="AP359" s="42">
        <f>'1kpi_performance'!F359</f>
        <v>0.2614494749</v>
      </c>
      <c r="AQ359" s="42">
        <f>'1kpi_performance'!G359</f>
        <v>0.233430207</v>
      </c>
      <c r="AR359" s="42">
        <f>'1kpi_performance'!H359</f>
        <v>0.2374213638</v>
      </c>
      <c r="AS359" s="42">
        <f>'1kpi_performance'!I359</f>
        <v>0.3647351702</v>
      </c>
      <c r="AT359" s="35">
        <f>'1kpi_performance'!J359</f>
        <v>2.159059164</v>
      </c>
      <c r="AU359" s="35">
        <f>'1kpi_performance'!K359</f>
        <v>2.795758542</v>
      </c>
      <c r="AV359" s="35">
        <f>'1kpi_performance'!L359</f>
        <v>2.849604009</v>
      </c>
      <c r="AW359" s="35">
        <f>'1kpi_performance'!M359</f>
        <v>0.2524141806</v>
      </c>
      <c r="AX359" s="42">
        <f>'1kpi_performance'!N359</f>
        <v>0.2540255414</v>
      </c>
      <c r="AY359" s="42">
        <f>'1kpi_performance'!O359</f>
        <v>0.2504124051</v>
      </c>
      <c r="AZ359" s="42">
        <f>'1kpi_performance'!P359</f>
        <v>0.2504124051</v>
      </c>
      <c r="BA359" s="42">
        <f>'1kpi_performance'!Q359</f>
        <v>0.5927872418</v>
      </c>
      <c r="BB359" s="35">
        <f>'1kpi_performance'!R359</f>
        <v>4.365612199</v>
      </c>
      <c r="BC359" s="35">
        <f>'1kpi_performance'!S359</f>
        <v>6.20596126</v>
      </c>
      <c r="BD359" s="35">
        <f>'1kpi_performance'!T359</f>
        <v>6.274895042</v>
      </c>
      <c r="BE359" s="35">
        <f>'1kpi_performance'!U359</f>
        <v>0.4804046687</v>
      </c>
      <c r="BF359" s="47"/>
      <c r="BG359" s="47"/>
      <c r="BH359" s="47"/>
      <c r="BI359" s="47"/>
      <c r="BJ359" s="47"/>
      <c r="BK359" s="47"/>
      <c r="BL359" s="47"/>
      <c r="BM359" s="47"/>
      <c r="BN359" s="47"/>
      <c r="BO359" s="47"/>
      <c r="BP359" s="47"/>
      <c r="BQ359" s="47"/>
      <c r="BR359" s="47"/>
      <c r="BS359" s="47"/>
      <c r="BT359" s="47"/>
    </row>
    <row r="360" ht="11.25" customHeight="1">
      <c r="A360" s="35" t="str">
        <f>'13all_company_profile'!A360</f>
        <v>LEN</v>
      </c>
      <c r="B360" s="35" t="str">
        <f>'13all_company_profile'!B360</f>
        <v>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v>
      </c>
      <c r="C360" s="44" t="str">
        <f>'13all_company_profile'!C360</f>
        <v>https://financialmodelingprep.com/image-stock/LEN.png</v>
      </c>
      <c r="D360" s="35" t="str">
        <f>'13all_company_profile'!D360</f>
        <v>Lennar Corporation</v>
      </c>
      <c r="E360" s="36">
        <f>'13all_company_profile'!E360</f>
        <v>29676132352</v>
      </c>
      <c r="F360" s="37">
        <f>'13all_company_profile'!F360</f>
        <v>2468830</v>
      </c>
      <c r="G360" s="35">
        <f>'13all_company_profile'!G360</f>
        <v>1</v>
      </c>
      <c r="H360" s="38" t="str">
        <f>'13all_company_profile'!H360</f>
        <v>not avaiable</v>
      </c>
      <c r="I360" s="35">
        <f>'13all_company_profile'!I360</f>
        <v>8.914434</v>
      </c>
      <c r="J360" s="35">
        <f>'13all_company_profile'!J360</f>
        <v>10.787</v>
      </c>
      <c r="K360" s="42">
        <f t="shared" si="1"/>
        <v>0.01015228426</v>
      </c>
      <c r="L360" s="35">
        <f>'7company_info'!B360</f>
        <v>98.5</v>
      </c>
      <c r="M360" s="35">
        <f>'7company_info'!C360</f>
        <v>98.98</v>
      </c>
      <c r="N360" s="35">
        <f>'7company_info'!D360</f>
        <v>95.99</v>
      </c>
      <c r="O360" s="35">
        <f>'7company_info'!E360</f>
        <v>2.34</v>
      </c>
      <c r="P360" s="35">
        <f>'7company_info'!F360</f>
        <v>0.0243</v>
      </c>
      <c r="Q360" s="35">
        <f>'7company_info'!G360</f>
        <v>96.44</v>
      </c>
      <c r="R360" s="35">
        <f>'7company_info'!H360</f>
        <v>96.16</v>
      </c>
      <c r="S360" s="35">
        <f>'7company_info'!I360</f>
        <v>67.37</v>
      </c>
      <c r="T360" s="35">
        <f>'7company_info'!J360</f>
        <v>110.61</v>
      </c>
      <c r="U360" s="39">
        <v>96.5033333333333</v>
      </c>
      <c r="V360" s="39">
        <v>97.2066666666666</v>
      </c>
      <c r="W360" s="40">
        <v>98.0833333333333</v>
      </c>
      <c r="X360" s="40">
        <v>99.6633333333333</v>
      </c>
      <c r="Y360" s="40">
        <v>95.6266666666666</v>
      </c>
      <c r="Z360" s="40">
        <v>94.9233333333333</v>
      </c>
      <c r="AA360" s="40">
        <v>93.3433333333333</v>
      </c>
      <c r="AB360" s="40">
        <v>96.52</v>
      </c>
      <c r="AC360" s="40">
        <v>100.77</v>
      </c>
      <c r="AD360" s="40">
        <v>98.0245605537343</v>
      </c>
      <c r="AE360" s="40">
        <v>90.45703</v>
      </c>
      <c r="AF360" s="40">
        <v>2.651485</v>
      </c>
      <c r="AG360" s="40">
        <v>110.61</v>
      </c>
      <c r="AH360" s="45">
        <v>44326.0</v>
      </c>
      <c r="AI360" s="44" t="str">
        <f>'6image_RS_benchmark_performance'!B360</f>
        <v>https://3arbzfbsh-cname-us.ngrok.io/Desktop/seabridge%20fintech/image_app/LEN_resistance_support.jpg</v>
      </c>
      <c r="AJ360" s="44" t="str">
        <f>'6image_RS_benchmark_performance'!C360</f>
        <v>https://3arbzfbsh-cname-us.ngrok.io/Desktop/seabridge%20fintech/profit_graph_app/LEN_Return.jpg</v>
      </c>
      <c r="AK360" s="46" t="str">
        <f>'5price_action_icon'!B360</f>
        <v>https://3arbzfbsh-cname-us.ngrok.io/Desktop/seabridge%20fintech/icon/LEN_pa_trend_signal</v>
      </c>
      <c r="AL360" s="42">
        <f>'1kpi_performance'!B360</f>
        <v>0.8660907966</v>
      </c>
      <c r="AM360" s="42">
        <f>'1kpi_performance'!C360</f>
        <v>0.9486906856</v>
      </c>
      <c r="AN360" s="42">
        <f>'1kpi_performance'!D360</f>
        <v>1.022222037</v>
      </c>
      <c r="AO360" s="42">
        <f>'1kpi_performance'!E360</f>
        <v>0.2602821291</v>
      </c>
      <c r="AP360" s="42">
        <f>'1kpi_performance'!F360</f>
        <v>0.3153899863</v>
      </c>
      <c r="AQ360" s="42">
        <f>'1kpi_performance'!G360</f>
        <v>0.3273808355</v>
      </c>
      <c r="AR360" s="42">
        <f>'1kpi_performance'!H360</f>
        <v>0.2883481949</v>
      </c>
      <c r="AS360" s="42">
        <f>'1kpi_performance'!I360</f>
        <v>0.4562060749</v>
      </c>
      <c r="AT360" s="35">
        <f>'1kpi_performance'!J360</f>
        <v>2.666827842</v>
      </c>
      <c r="AU360" s="35">
        <f>'1kpi_performance'!K360</f>
        <v>2.821456192</v>
      </c>
      <c r="AV360" s="35">
        <f>'1kpi_performance'!L360</f>
        <v>3.458395284</v>
      </c>
      <c r="AW360" s="35">
        <f>'1kpi_performance'!M360</f>
        <v>0.5157365103</v>
      </c>
      <c r="AX360" s="42">
        <f>'1kpi_performance'!N360</f>
        <v>0.2250285686</v>
      </c>
      <c r="AY360" s="42">
        <f>'1kpi_performance'!O360</f>
        <v>0.2128712871</v>
      </c>
      <c r="AZ360" s="42">
        <f>'1kpi_performance'!P360</f>
        <v>0.2513369092</v>
      </c>
      <c r="BA360" s="42">
        <f>'1kpi_performance'!Q360</f>
        <v>0.5913394598</v>
      </c>
      <c r="BB360" s="35">
        <f>'1kpi_performance'!R360</f>
        <v>6.028356283</v>
      </c>
      <c r="BC360" s="35">
        <f>'1kpi_performance'!S360</f>
        <v>6.621532433</v>
      </c>
      <c r="BD360" s="35">
        <f>'1kpi_performance'!T360</f>
        <v>7.973379769</v>
      </c>
      <c r="BE360" s="35">
        <f>'1kpi_performance'!U360</f>
        <v>1.062089383</v>
      </c>
      <c r="BF360" s="47"/>
      <c r="BG360" s="47"/>
      <c r="BH360" s="47"/>
      <c r="BI360" s="47"/>
      <c r="BJ360" s="47"/>
      <c r="BK360" s="47"/>
      <c r="BL360" s="47"/>
      <c r="BM360" s="47"/>
      <c r="BN360" s="47"/>
      <c r="BO360" s="47"/>
      <c r="BP360" s="47"/>
      <c r="BQ360" s="47"/>
      <c r="BR360" s="47"/>
      <c r="BS360" s="47"/>
      <c r="BT360" s="47"/>
    </row>
    <row r="361" ht="11.25" customHeight="1">
      <c r="A361" s="35" t="str">
        <f>'13all_company_profile'!A361</f>
        <v>LESL</v>
      </c>
      <c r="B361" s="35" t="str">
        <f>'13all_company_profile'!B361</f>
        <v>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v>
      </c>
      <c r="C361" s="44" t="str">
        <f>'13all_company_profile'!C361</f>
        <v>https://financialmodelingprep.com/image-stock/LESL.png</v>
      </c>
      <c r="D361" s="35" t="str">
        <f>'13all_company_profile'!D361</f>
        <v>Leslie's, Inc.</v>
      </c>
      <c r="E361" s="36">
        <f>'13all_company_profile'!E361</f>
        <v>4756731904</v>
      </c>
      <c r="F361" s="37">
        <f>'13all_company_profile'!F361</f>
        <v>2163865</v>
      </c>
      <c r="G361" s="35">
        <f>'13all_company_profile'!G361</f>
        <v>0</v>
      </c>
      <c r="H361" s="38" t="str">
        <f>'13all_company_profile'!H361</f>
        <v>not avaiable</v>
      </c>
      <c r="I361" s="35">
        <f>'13all_company_profile'!I361</f>
        <v>53.95652</v>
      </c>
      <c r="J361" s="35">
        <f>'13all_company_profile'!J361</f>
        <v>0.46</v>
      </c>
      <c r="K361" s="42" t="str">
        <f t="shared" si="1"/>
        <v>NaN</v>
      </c>
      <c r="L361" s="35">
        <f>'7company_info'!B361</f>
        <v>25.33</v>
      </c>
      <c r="M361" s="35">
        <f>'7company_info'!C361</f>
        <v>25.42</v>
      </c>
      <c r="N361" s="35">
        <f>'7company_info'!D361</f>
        <v>24.24</v>
      </c>
      <c r="O361" s="35">
        <f>'7company_info'!E361</f>
        <v>0.79</v>
      </c>
      <c r="P361" s="35">
        <f>'7company_info'!F361</f>
        <v>0.0322</v>
      </c>
      <c r="Q361" s="35">
        <f>'7company_info'!G361</f>
        <v>24.51</v>
      </c>
      <c r="R361" s="35">
        <f>'7company_info'!H361</f>
        <v>24.54</v>
      </c>
      <c r="S361" s="35">
        <f>'7company_info'!I361</f>
        <v>19.15</v>
      </c>
      <c r="T361" s="35">
        <f>'7company_info'!J361</f>
        <v>32.84</v>
      </c>
      <c r="U361" s="39">
        <v>25.33</v>
      </c>
      <c r="V361" s="39">
        <v>25.55</v>
      </c>
      <c r="W361" s="40">
        <v>25.87</v>
      </c>
      <c r="X361" s="40">
        <v>26.41</v>
      </c>
      <c r="Y361" s="40">
        <v>25.01</v>
      </c>
      <c r="Z361" s="40">
        <v>24.79</v>
      </c>
      <c r="AA361" s="40">
        <v>24.25</v>
      </c>
      <c r="AB361" s="40">
        <v>24.915</v>
      </c>
      <c r="AC361" s="40">
        <v>30.0</v>
      </c>
      <c r="AD361" s="40">
        <v>26.6232430025488</v>
      </c>
      <c r="AE361" s="40">
        <v>23.3611</v>
      </c>
      <c r="AF361" s="40">
        <v>1.02195</v>
      </c>
      <c r="AG361" s="40">
        <v>32.79</v>
      </c>
      <c r="AH361" s="45">
        <v>44223.0</v>
      </c>
      <c r="AI361" s="44" t="str">
        <f>'6image_RS_benchmark_performance'!B361</f>
        <v>https://3arbzfbsh-cname-us.ngrok.io/Desktop/seabridge%20fintech/image_app/LESL_resistance_support.jpg</v>
      </c>
      <c r="AJ361" s="44" t="str">
        <f>'6image_RS_benchmark_performance'!C361</f>
        <v>https://3arbzfbsh-cname-us.ngrok.io/Desktop/seabridge%20fintech/profit_graph_app/LESL_Return.jpg</v>
      </c>
      <c r="AK361" s="46" t="str">
        <f>'5price_action_icon'!B361</f>
        <v>https://3arbzfbsh-cname-us.ngrok.io/Desktop/seabridge%20fintech/icon/LESL_pa_trend_signal</v>
      </c>
      <c r="AL361" s="42">
        <f>'1kpi_performance'!B361</f>
        <v>1.444710436</v>
      </c>
      <c r="AM361" s="42">
        <f>'1kpi_performance'!C361</f>
        <v>1.64535277</v>
      </c>
      <c r="AN361" s="42">
        <f>'1kpi_performance'!D361</f>
        <v>3.159248971</v>
      </c>
      <c r="AO361" s="42">
        <f>'1kpi_performance'!E361</f>
        <v>0.3611010688</v>
      </c>
      <c r="AP361" s="42">
        <f>'1kpi_performance'!F361</f>
        <v>0.507247459</v>
      </c>
      <c r="AQ361" s="42">
        <f>'1kpi_performance'!G361</f>
        <v>0.4780707712</v>
      </c>
      <c r="AR361" s="42">
        <f>'1kpi_performance'!H361</f>
        <v>0.4100778659</v>
      </c>
      <c r="AS361" s="42">
        <f>'1kpi_performance'!I361</f>
        <v>0.6393060003</v>
      </c>
      <c r="AT361" s="35">
        <f>'1kpi_performance'!J361</f>
        <v>2.798851744</v>
      </c>
      <c r="AU361" s="35">
        <f>'1kpi_performance'!K361</f>
        <v>3.389357535</v>
      </c>
      <c r="AV361" s="35">
        <f>'1kpi_performance'!L361</f>
        <v>7.64305814</v>
      </c>
      <c r="AW361" s="35">
        <f>'1kpi_performance'!M361</f>
        <v>0.525728006</v>
      </c>
      <c r="AX361" s="42">
        <f>'1kpi_performance'!N361</f>
        <v>0.2059533387</v>
      </c>
      <c r="AY361" s="42">
        <f>'1kpi_performance'!O361</f>
        <v>0.1351568785</v>
      </c>
      <c r="AZ361" s="42">
        <f>'1kpi_performance'!P361</f>
        <v>0.1027272727</v>
      </c>
      <c r="BA361" s="42">
        <f>'1kpi_performance'!Q361</f>
        <v>0.3321633695</v>
      </c>
      <c r="BB361" s="35">
        <f>'1kpi_performance'!R361</f>
        <v>5.554662077</v>
      </c>
      <c r="BC361" s="35">
        <f>'1kpi_performance'!S361</f>
        <v>6.688644265</v>
      </c>
      <c r="BD361" s="35">
        <f>'1kpi_performance'!T361</f>
        <v>19.00675197</v>
      </c>
      <c r="BE361" s="35">
        <f>'1kpi_performance'!U361</f>
        <v>1.075276437</v>
      </c>
      <c r="BF361" s="47"/>
      <c r="BG361" s="47"/>
      <c r="BH361" s="47"/>
      <c r="BI361" s="47"/>
      <c r="BJ361" s="47"/>
      <c r="BK361" s="47"/>
      <c r="BL361" s="47"/>
      <c r="BM361" s="47"/>
      <c r="BN361" s="47"/>
      <c r="BO361" s="47"/>
      <c r="BP361" s="47"/>
      <c r="BQ361" s="47"/>
      <c r="BR361" s="47"/>
      <c r="BS361" s="47"/>
      <c r="BT361" s="47"/>
    </row>
    <row r="362" ht="11.25" customHeight="1">
      <c r="A362" s="35" t="str">
        <f>'13all_company_profile'!A362</f>
        <v>LH</v>
      </c>
      <c r="B362" s="35" t="str">
        <f>'13all_company_profile'!B362</f>
        <v>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v>
      </c>
      <c r="C362" s="44" t="str">
        <f>'13all_company_profile'!C362</f>
        <v>https://financialmodelingprep.com/image-stock/LH.png</v>
      </c>
      <c r="D362" s="35" t="str">
        <f>'13all_company_profile'!D362</f>
        <v>Laboratory Corporation of America Holdings</v>
      </c>
      <c r="E362" s="36">
        <f>'13all_company_profile'!E362</f>
        <v>27071692800</v>
      </c>
      <c r="F362" s="37">
        <f>'13all_company_profile'!F362</f>
        <v>643477</v>
      </c>
      <c r="G362" s="35">
        <f>'13all_company_profile'!G362</f>
        <v>0</v>
      </c>
      <c r="H362" s="38">
        <f>'13all_company_profile'!H362</f>
        <v>44406</v>
      </c>
      <c r="I362" s="35">
        <f>'13all_company_profile'!I362</f>
        <v>10.3145685</v>
      </c>
      <c r="J362" s="35">
        <f>'13all_company_profile'!J362</f>
        <v>26.894</v>
      </c>
      <c r="K362" s="42" t="str">
        <f t="shared" si="1"/>
        <v>NaN</v>
      </c>
      <c r="L362" s="35">
        <f>'7company_info'!B362</f>
        <v>276.78</v>
      </c>
      <c r="M362" s="35">
        <f>'7company_info'!C362</f>
        <v>279.78</v>
      </c>
      <c r="N362" s="35">
        <f>'7company_info'!D362</f>
        <v>274.48</v>
      </c>
      <c r="O362" s="35">
        <f>'7company_info'!E362</f>
        <v>1.96</v>
      </c>
      <c r="P362" s="35">
        <f>'7company_info'!F362</f>
        <v>0.0071</v>
      </c>
      <c r="Q362" s="35">
        <f>'7company_info'!G362</f>
        <v>275</v>
      </c>
      <c r="R362" s="35">
        <f>'7company_info'!H362</f>
        <v>274.82</v>
      </c>
      <c r="S362" s="35">
        <f>'7company_info'!I362</f>
        <v>170.05</v>
      </c>
      <c r="T362" s="35">
        <f>'7company_info'!J362</f>
        <v>284.17</v>
      </c>
      <c r="U362" s="39">
        <v>277.708333333333</v>
      </c>
      <c r="V362" s="39">
        <v>280.706666666666</v>
      </c>
      <c r="W362" s="40">
        <v>284.173333333333</v>
      </c>
      <c r="X362" s="40">
        <v>290.638333333333</v>
      </c>
      <c r="Y362" s="40">
        <v>274.241666666666</v>
      </c>
      <c r="Z362" s="40">
        <v>271.243333333333</v>
      </c>
      <c r="AA362" s="40">
        <v>264.778333333333</v>
      </c>
      <c r="AB362" s="40">
        <v>267.96</v>
      </c>
      <c r="AC362" s="40">
        <v>284.17</v>
      </c>
      <c r="AD362" s="40">
        <v>273.950507163734</v>
      </c>
      <c r="AE362" s="40">
        <v>271.93051</v>
      </c>
      <c r="AF362" s="40">
        <v>4.067995</v>
      </c>
      <c r="AG362" s="40">
        <v>280.69</v>
      </c>
      <c r="AH362" s="45">
        <v>44326.0</v>
      </c>
      <c r="AI362" s="44" t="str">
        <f>'6image_RS_benchmark_performance'!B362</f>
        <v>https://3arbzfbsh-cname-us.ngrok.io/Desktop/seabridge%20fintech/image_app/LH_resistance_support.jpg</v>
      </c>
      <c r="AJ362" s="44" t="str">
        <f>'6image_RS_benchmark_performance'!C362</f>
        <v>https://3arbzfbsh-cname-us.ngrok.io/Desktop/seabridge%20fintech/profit_graph_app/LH_Return.jpg</v>
      </c>
      <c r="AK362" s="46" t="str">
        <f>'5price_action_icon'!B362</f>
        <v>https://3arbzfbsh-cname-us.ngrok.io/Desktop/seabridge%20fintech/icon/LH_pa_trend_signal</v>
      </c>
      <c r="AL362" s="42">
        <f>'1kpi_performance'!B362</f>
        <v>0.5138123729</v>
      </c>
      <c r="AM362" s="42">
        <f>'1kpi_performance'!C362</f>
        <v>0.5377269826</v>
      </c>
      <c r="AN362" s="42">
        <f>'1kpi_performance'!D362</f>
        <v>0.4108668616</v>
      </c>
      <c r="AO362" s="42">
        <f>'1kpi_performance'!E362</f>
        <v>0.1777215575</v>
      </c>
      <c r="AP362" s="42">
        <f>'1kpi_performance'!F362</f>
        <v>0.1865771125</v>
      </c>
      <c r="AQ362" s="42">
        <f>'1kpi_performance'!G362</f>
        <v>0.1899189658</v>
      </c>
      <c r="AR362" s="42">
        <f>'1kpi_performance'!H362</f>
        <v>0.232215325</v>
      </c>
      <c r="AS362" s="42">
        <f>'1kpi_performance'!I362</f>
        <v>0.293420717</v>
      </c>
      <c r="AT362" s="35">
        <f>'1kpi_performance'!J362</f>
        <v>2.619894618</v>
      </c>
      <c r="AU362" s="35">
        <f>'1kpi_performance'!K362</f>
        <v>2.699714484</v>
      </c>
      <c r="AV362" s="35">
        <f>'1kpi_performance'!L362</f>
        <v>1.661676987</v>
      </c>
      <c r="AW362" s="35">
        <f>'1kpi_performance'!M362</f>
        <v>0.5204866209</v>
      </c>
      <c r="AX362" s="42">
        <f>'1kpi_performance'!N362</f>
        <v>0.1454354305</v>
      </c>
      <c r="AY362" s="42">
        <f>'1kpi_performance'!O362</f>
        <v>0.173221452</v>
      </c>
      <c r="AZ362" s="42">
        <f>'1kpi_performance'!P362</f>
        <v>0.4544788998</v>
      </c>
      <c r="BA362" s="42">
        <f>'1kpi_performance'!Q362</f>
        <v>0.4657927079</v>
      </c>
      <c r="BB362" s="35">
        <f>'1kpi_performance'!R362</f>
        <v>5.641920043</v>
      </c>
      <c r="BC362" s="35">
        <f>'1kpi_performance'!S362</f>
        <v>6.213053183</v>
      </c>
      <c r="BD362" s="35">
        <f>'1kpi_performance'!T362</f>
        <v>2.999258402</v>
      </c>
      <c r="BE362" s="35">
        <f>'1kpi_performance'!U362</f>
        <v>0.9444080507</v>
      </c>
      <c r="BF362" s="47"/>
      <c r="BG362" s="47"/>
      <c r="BH362" s="47"/>
      <c r="BI362" s="47"/>
      <c r="BJ362" s="47"/>
      <c r="BK362" s="47"/>
      <c r="BL362" s="47"/>
      <c r="BM362" s="47"/>
      <c r="BN362" s="47"/>
      <c r="BO362" s="47"/>
      <c r="BP362" s="47"/>
      <c r="BQ362" s="47"/>
      <c r="BR362" s="47"/>
      <c r="BS362" s="47"/>
      <c r="BT362" s="47"/>
    </row>
    <row r="363" ht="11.25" customHeight="1">
      <c r="A363" s="35" t="str">
        <f>'13all_company_profile'!A363</f>
        <v>LHX</v>
      </c>
      <c r="B363" s="35" t="str">
        <f>'13all_company_profile'!B363</f>
        <v>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v>
      </c>
      <c r="C363" s="44" t="str">
        <f>'13all_company_profile'!C363</f>
        <v>https://financialmodelingprep.com/image-stock/LHX.png</v>
      </c>
      <c r="D363" s="35" t="str">
        <f>'13all_company_profile'!D363</f>
        <v>L3Harris Technologies, Inc.</v>
      </c>
      <c r="E363" s="36">
        <f>'13all_company_profile'!E363</f>
        <v>45924614144</v>
      </c>
      <c r="F363" s="37">
        <f>'13all_company_profile'!F363</f>
        <v>1096247</v>
      </c>
      <c r="G363" s="35">
        <f>'13all_company_profile'!G363</f>
        <v>3.74</v>
      </c>
      <c r="H363" s="38">
        <f>'13all_company_profile'!H363</f>
        <v>44411</v>
      </c>
      <c r="I363" s="35">
        <f>'13all_company_profile'!I363</f>
        <v>34.814873</v>
      </c>
      <c r="J363" s="35">
        <f>'13all_company_profile'!J363</f>
        <v>6.428</v>
      </c>
      <c r="K363" s="42">
        <f t="shared" si="1"/>
        <v>0.01658463039</v>
      </c>
      <c r="L363" s="35">
        <f>'7company_info'!B363</f>
        <v>225.51</v>
      </c>
      <c r="M363" s="35">
        <f>'7company_info'!C363</f>
        <v>225.64</v>
      </c>
      <c r="N363" s="35">
        <f>'7company_info'!D363</f>
        <v>218.94</v>
      </c>
      <c r="O363" s="35">
        <f>'7company_info'!E363</f>
        <v>7.28</v>
      </c>
      <c r="P363" s="35">
        <f>'7company_info'!F363</f>
        <v>0.0334</v>
      </c>
      <c r="Q363" s="35">
        <f>'7company_info'!G363</f>
        <v>218.94</v>
      </c>
      <c r="R363" s="35">
        <f>'7company_info'!H363</f>
        <v>218.23</v>
      </c>
      <c r="S363" s="35">
        <f>'7company_info'!I363</f>
        <v>158.09</v>
      </c>
      <c r="T363" s="35">
        <f>'7company_info'!J363</f>
        <v>225.95</v>
      </c>
      <c r="U363" s="39">
        <v>224.101666666666</v>
      </c>
      <c r="V363" s="39">
        <v>225.058333333333</v>
      </c>
      <c r="W363" s="40">
        <v>226.146666666666</v>
      </c>
      <c r="X363" s="40">
        <v>228.191666666666</v>
      </c>
      <c r="Y363" s="40">
        <v>223.013333333333</v>
      </c>
      <c r="Z363" s="40">
        <v>222.056666666666</v>
      </c>
      <c r="AA363" s="40">
        <v>220.011666666666</v>
      </c>
      <c r="AB363" s="40">
        <v>220.82</v>
      </c>
      <c r="AC363" s="40">
        <v>225.95</v>
      </c>
      <c r="AD363" s="40">
        <v>221.225732617969</v>
      </c>
      <c r="AE363" s="40">
        <v>218.26288</v>
      </c>
      <c r="AF363" s="40">
        <v>3.13962499999999</v>
      </c>
      <c r="AG363" s="40">
        <v>224.6037</v>
      </c>
      <c r="AH363" s="45">
        <v>44362.0</v>
      </c>
      <c r="AI363" s="44" t="str">
        <f>'6image_RS_benchmark_performance'!B363</f>
        <v>https://3arbzfbsh-cname-us.ngrok.io/Desktop/seabridge%20fintech/image_app/LHX_resistance_support.jpg</v>
      </c>
      <c r="AJ363" s="44" t="str">
        <f>'6image_RS_benchmark_performance'!C363</f>
        <v>https://3arbzfbsh-cname-us.ngrok.io/Desktop/seabridge%20fintech/profit_graph_app/LHX_Return.jpg</v>
      </c>
      <c r="AK363" s="46" t="str">
        <f>'5price_action_icon'!B363</f>
        <v>https://3arbzfbsh-cname-us.ngrok.io/Desktop/seabridge%20fintech/icon/LHX_pa_trend_signal</v>
      </c>
      <c r="AL363" s="42">
        <f>'1kpi_performance'!B363</f>
        <v>0.5309907303</v>
      </c>
      <c r="AM363" s="42">
        <f>'1kpi_performance'!C363</f>
        <v>0.6608760893</v>
      </c>
      <c r="AN363" s="42">
        <f>'1kpi_performance'!D363</f>
        <v>0.5120935808</v>
      </c>
      <c r="AO363" s="42">
        <f>'1kpi_performance'!E363</f>
        <v>0.2140087082</v>
      </c>
      <c r="AP363" s="42">
        <f>'1kpi_performance'!F363</f>
        <v>0.197738098</v>
      </c>
      <c r="AQ363" s="42">
        <f>'1kpi_performance'!G363</f>
        <v>0.2088985133</v>
      </c>
      <c r="AR363" s="42">
        <f>'1kpi_performance'!H363</f>
        <v>0.2032442161</v>
      </c>
      <c r="AS363" s="42">
        <f>'1kpi_performance'!I363</f>
        <v>0.306082677</v>
      </c>
      <c r="AT363" s="35">
        <f>'1kpi_performance'!J363</f>
        <v>2.558893482</v>
      </c>
      <c r="AU363" s="35">
        <f>'1kpi_performance'!K363</f>
        <v>3.043947414</v>
      </c>
      <c r="AV363" s="35">
        <f>'1kpi_performance'!L363</f>
        <v>2.396592583</v>
      </c>
      <c r="AW363" s="35">
        <f>'1kpi_performance'!M363</f>
        <v>0.6175086747</v>
      </c>
      <c r="AX363" s="42">
        <f>'1kpi_performance'!N363</f>
        <v>0.1198710467</v>
      </c>
      <c r="AY363" s="42">
        <f>'1kpi_performance'!O363</f>
        <v>0.09512739323</v>
      </c>
      <c r="AZ363" s="42">
        <f>'1kpi_performance'!P363</f>
        <v>0.276898955</v>
      </c>
      <c r="BA363" s="42">
        <f>'1kpi_performance'!Q363</f>
        <v>0.3892666789</v>
      </c>
      <c r="BB363" s="35">
        <f>'1kpi_performance'!R363</f>
        <v>5.668374558</v>
      </c>
      <c r="BC363" s="35">
        <f>'1kpi_performance'!S363</f>
        <v>7.318714117</v>
      </c>
      <c r="BD363" s="35">
        <f>'1kpi_performance'!T363</f>
        <v>5.086171486</v>
      </c>
      <c r="BE363" s="35">
        <f>'1kpi_performance'!U363</f>
        <v>1.201834464</v>
      </c>
      <c r="BF363" s="47"/>
      <c r="BG363" s="47"/>
      <c r="BH363" s="47"/>
      <c r="BI363" s="47"/>
      <c r="BJ363" s="47"/>
      <c r="BK363" s="47"/>
      <c r="BL363" s="47"/>
      <c r="BM363" s="47"/>
      <c r="BN363" s="47"/>
      <c r="BO363" s="47"/>
      <c r="BP363" s="47"/>
      <c r="BQ363" s="47"/>
      <c r="BR363" s="47"/>
      <c r="BS363" s="47"/>
      <c r="BT363" s="47"/>
    </row>
    <row r="364" ht="11.25" customHeight="1">
      <c r="A364" s="35" t="str">
        <f>'13all_company_profile'!A364</f>
        <v>LIN</v>
      </c>
      <c r="B364" s="35" t="str">
        <f>'13all_company_profile'!B364</f>
        <v>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v>
      </c>
      <c r="C364" s="44" t="str">
        <f>'13all_company_profile'!C364</f>
        <v>https://financialmodelingprep.com/image-stock/LIN.png</v>
      </c>
      <c r="D364" s="35" t="str">
        <f>'13all_company_profile'!D364</f>
        <v>Linde plc</v>
      </c>
      <c r="E364" s="36">
        <f>'13all_company_profile'!E364</f>
        <v>151796760576</v>
      </c>
      <c r="F364" s="37">
        <f>'13all_company_profile'!F364</f>
        <v>2004261</v>
      </c>
      <c r="G364" s="35">
        <f>'13all_company_profile'!G364</f>
        <v>4.046</v>
      </c>
      <c r="H364" s="38" t="str">
        <f>'13all_company_profile'!H364</f>
        <v>not avaiable</v>
      </c>
      <c r="I364" s="35">
        <f>'13all_company_profile'!I364</f>
        <v>52.872227</v>
      </c>
      <c r="J364" s="35">
        <f>'13all_company_profile'!J364</f>
        <v>5.494</v>
      </c>
      <c r="K364" s="42">
        <f t="shared" si="1"/>
        <v>0.01393394634</v>
      </c>
      <c r="L364" s="35">
        <f>'7company_info'!B364</f>
        <v>290.37</v>
      </c>
      <c r="M364" s="35">
        <f>'7company_info'!C364</f>
        <v>291.52</v>
      </c>
      <c r="N364" s="35">
        <f>'7company_info'!D364</f>
        <v>284.63</v>
      </c>
      <c r="O364" s="35">
        <f>'7company_info'!E364</f>
        <v>5.7</v>
      </c>
      <c r="P364" s="35">
        <f>'7company_info'!F364</f>
        <v>0.02</v>
      </c>
      <c r="Q364" s="35">
        <f>'7company_info'!G364</f>
        <v>285.26</v>
      </c>
      <c r="R364" s="35">
        <f>'7company_info'!H364</f>
        <v>284.67</v>
      </c>
      <c r="S364" s="35">
        <f>'7company_info'!I364</f>
        <v>214.14</v>
      </c>
      <c r="T364" s="35">
        <f>'7company_info'!J364</f>
        <v>305.71</v>
      </c>
      <c r="U364" s="39">
        <v>290.903333333333</v>
      </c>
      <c r="V364" s="39">
        <v>292.306666666666</v>
      </c>
      <c r="W364" s="40">
        <v>293.523333333333</v>
      </c>
      <c r="X364" s="40">
        <v>296.143333333333</v>
      </c>
      <c r="Y364" s="40">
        <v>289.686666666666</v>
      </c>
      <c r="Z364" s="40">
        <v>288.283333333333</v>
      </c>
      <c r="AA364" s="40">
        <v>285.663333333333</v>
      </c>
      <c r="AB364" s="40">
        <v>284.71</v>
      </c>
      <c r="AC364" s="40">
        <v>294.98</v>
      </c>
      <c r="AD364" s="40">
        <v>290.471301252597</v>
      </c>
      <c r="AE364" s="40">
        <v>280.931</v>
      </c>
      <c r="AF364" s="40">
        <v>4.287</v>
      </c>
      <c r="AG364" s="40">
        <v>305.71</v>
      </c>
      <c r="AH364" s="45">
        <v>44348.0</v>
      </c>
      <c r="AI364" s="44" t="str">
        <f>'6image_RS_benchmark_performance'!B364</f>
        <v>https://3arbzfbsh-cname-us.ngrok.io/Desktop/seabridge%20fintech/image_app/LIN_resistance_support.jpg</v>
      </c>
      <c r="AJ364" s="44" t="str">
        <f>'6image_RS_benchmark_performance'!C364</f>
        <v>https://3arbzfbsh-cname-us.ngrok.io/Desktop/seabridge%20fintech/profit_graph_app/LIN_Return.jpg</v>
      </c>
      <c r="AK364" s="46" t="str">
        <f>'5price_action_icon'!B364</f>
        <v>https://3arbzfbsh-cname-us.ngrok.io/Desktop/seabridge%20fintech/icon/LIN_pa_trend_signal</v>
      </c>
      <c r="AL364" s="42">
        <f>'1kpi_performance'!B364</f>
        <v>0.5777785086</v>
      </c>
      <c r="AM364" s="42">
        <f>'1kpi_performance'!C364</f>
        <v>0.8216706768</v>
      </c>
      <c r="AN364" s="42">
        <f>'1kpi_performance'!D364</f>
        <v>0.8377468685</v>
      </c>
      <c r="AO364" s="42">
        <f>'1kpi_performance'!E364</f>
        <v>0.3658058673</v>
      </c>
      <c r="AP364" s="42">
        <f>'1kpi_performance'!F364</f>
        <v>0.2239335324</v>
      </c>
      <c r="AQ364" s="42">
        <f>'1kpi_performance'!G364</f>
        <v>0.2379330469</v>
      </c>
      <c r="AR364" s="42">
        <f>'1kpi_performance'!H364</f>
        <v>0.1922152735</v>
      </c>
      <c r="AS364" s="42">
        <f>'1kpi_performance'!I364</f>
        <v>0.3456573037</v>
      </c>
      <c r="AT364" s="35">
        <f>'1kpi_performance'!J364</f>
        <v>2.468493676</v>
      </c>
      <c r="AU364" s="35">
        <f>'1kpi_performance'!K364</f>
        <v>3.348297712</v>
      </c>
      <c r="AV364" s="35">
        <f>'1kpi_performance'!L364</f>
        <v>4.228315752</v>
      </c>
      <c r="AW364" s="35">
        <f>'1kpi_performance'!M364</f>
        <v>0.9859646062</v>
      </c>
      <c r="AX364" s="42">
        <f>'1kpi_performance'!N364</f>
        <v>0.1001898048</v>
      </c>
      <c r="AY364" s="42">
        <f>'1kpi_performance'!O364</f>
        <v>0.1041235548</v>
      </c>
      <c r="AZ364" s="42">
        <f>'1kpi_performance'!P364</f>
        <v>0.07940178335</v>
      </c>
      <c r="BA364" s="42">
        <f>'1kpi_performance'!Q364</f>
        <v>0.3290091702</v>
      </c>
      <c r="BB364" s="35">
        <f>'1kpi_performance'!R364</f>
        <v>5.283653629</v>
      </c>
      <c r="BC364" s="35">
        <f>'1kpi_performance'!S364</f>
        <v>7.628761383</v>
      </c>
      <c r="BD364" s="35">
        <f>'1kpi_performance'!T364</f>
        <v>11.00205975</v>
      </c>
      <c r="BE364" s="35">
        <f>'1kpi_performance'!U364</f>
        <v>1.980512824</v>
      </c>
      <c r="BF364" s="47"/>
      <c r="BG364" s="47"/>
      <c r="BH364" s="47"/>
      <c r="BI364" s="47"/>
      <c r="BJ364" s="47"/>
      <c r="BK364" s="47"/>
      <c r="BL364" s="47"/>
      <c r="BM364" s="47"/>
      <c r="BN364" s="47"/>
      <c r="BO364" s="47"/>
      <c r="BP364" s="47"/>
      <c r="BQ364" s="47"/>
      <c r="BR364" s="47"/>
      <c r="BS364" s="47"/>
      <c r="BT364" s="47"/>
    </row>
    <row r="365" ht="11.25" customHeight="1">
      <c r="A365" s="35" t="str">
        <f>'13all_company_profile'!A365</f>
        <v>LKQ</v>
      </c>
      <c r="B365" s="35" t="str">
        <f>'13all_company_profile'!B365</f>
        <v>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v>
      </c>
      <c r="C365" s="44" t="str">
        <f>'13all_company_profile'!C365</f>
        <v>https://financialmodelingprep.com/image-stock/LKQ.png</v>
      </c>
      <c r="D365" s="35" t="str">
        <f>'13all_company_profile'!D365</f>
        <v>LKQ Corporation</v>
      </c>
      <c r="E365" s="36">
        <f>'13all_company_profile'!E365</f>
        <v>15098935296</v>
      </c>
      <c r="F365" s="37">
        <f>'13all_company_profile'!F365</f>
        <v>1806168</v>
      </c>
      <c r="G365" s="35">
        <f>'13all_company_profile'!G365</f>
        <v>0</v>
      </c>
      <c r="H365" s="38">
        <f>'13all_company_profile'!H365</f>
        <v>44406</v>
      </c>
      <c r="I365" s="35">
        <f>'13all_company_profile'!I365</f>
        <v>19.855595</v>
      </c>
      <c r="J365" s="35">
        <f>'13all_company_profile'!J365</f>
        <v>2.493</v>
      </c>
      <c r="K365" s="42" t="str">
        <f t="shared" si="1"/>
        <v>NaN</v>
      </c>
      <c r="L365" s="35">
        <f>'7company_info'!B365</f>
        <v>50.05</v>
      </c>
      <c r="M365" s="35">
        <f>'7company_info'!C365</f>
        <v>50.18</v>
      </c>
      <c r="N365" s="35">
        <f>'7company_info'!D365</f>
        <v>48.36</v>
      </c>
      <c r="O365" s="35">
        <f>'7company_info'!E365</f>
        <v>1.48</v>
      </c>
      <c r="P365" s="35">
        <f>'7company_info'!F365</f>
        <v>0.0305</v>
      </c>
      <c r="Q365" s="35">
        <f>'7company_info'!G365</f>
        <v>48.57</v>
      </c>
      <c r="R365" s="35">
        <f>'7company_info'!H365</f>
        <v>48.57</v>
      </c>
      <c r="S365" s="35">
        <f>'7company_info'!I365</f>
        <v>26.73</v>
      </c>
      <c r="T365" s="35">
        <f>'7company_info'!J365</f>
        <v>51.68</v>
      </c>
      <c r="U365" s="39">
        <v>50.78</v>
      </c>
      <c r="V365" s="39">
        <v>51.21</v>
      </c>
      <c r="W365" s="40">
        <v>51.66</v>
      </c>
      <c r="X365" s="40">
        <v>52.5399999999999</v>
      </c>
      <c r="Y365" s="40">
        <v>50.33</v>
      </c>
      <c r="Z365" s="40">
        <v>49.9</v>
      </c>
      <c r="AA365" s="40">
        <v>49.02</v>
      </c>
      <c r="AB365" s="40">
        <v>49.72</v>
      </c>
      <c r="AC365" s="40">
        <v>47.2</v>
      </c>
      <c r="AD365" s="40">
        <v>49.8370187450452</v>
      </c>
      <c r="AE365" s="40">
        <v>48.1195</v>
      </c>
      <c r="AF365" s="40">
        <v>1.18925</v>
      </c>
      <c r="AG365" s="40">
        <v>51.68</v>
      </c>
      <c r="AH365" s="45">
        <v>44349.0</v>
      </c>
      <c r="AI365" s="44" t="str">
        <f>'6image_RS_benchmark_performance'!B365</f>
        <v>https://3arbzfbsh-cname-us.ngrok.io/Desktop/seabridge%20fintech/image_app/LKQ_resistance_support.jpg</v>
      </c>
      <c r="AJ365" s="44" t="str">
        <f>'6image_RS_benchmark_performance'!C365</f>
        <v>https://3arbzfbsh-cname-us.ngrok.io/Desktop/seabridge%20fintech/profit_graph_app/LKQ_Return.jpg</v>
      </c>
      <c r="AK365" s="46" t="str">
        <f>'5price_action_icon'!B365</f>
        <v>https://3arbzfbsh-cname-us.ngrok.io/Desktop/seabridge%20fintech/icon/LKQ_pa_trend_signal</v>
      </c>
      <c r="AL365" s="42">
        <f>'1kpi_performance'!B365</f>
        <v>0.7137777851</v>
      </c>
      <c r="AM365" s="42">
        <f>'1kpi_performance'!C365</f>
        <v>0.8932329136</v>
      </c>
      <c r="AN365" s="42">
        <f>'1kpi_performance'!D365</f>
        <v>0.6105883621</v>
      </c>
      <c r="AO365" s="42">
        <f>'1kpi_performance'!E365</f>
        <v>0.2255269844</v>
      </c>
      <c r="AP365" s="42">
        <f>'1kpi_performance'!F365</f>
        <v>0.2615747507</v>
      </c>
      <c r="AQ365" s="42">
        <f>'1kpi_performance'!G365</f>
        <v>0.2735448759</v>
      </c>
      <c r="AR365" s="42">
        <f>'1kpi_performance'!H365</f>
        <v>0.288994035</v>
      </c>
      <c r="AS365" s="42">
        <f>'1kpi_performance'!I365</f>
        <v>0.3897459556</v>
      </c>
      <c r="AT365" s="35">
        <f>'1kpi_performance'!J365</f>
        <v>2.633196757</v>
      </c>
      <c r="AU365" s="35">
        <f>'1kpi_performance'!K365</f>
        <v>3.174005401</v>
      </c>
      <c r="AV365" s="35">
        <f>'1kpi_performance'!L365</f>
        <v>2.026299131</v>
      </c>
      <c r="AW365" s="35">
        <f>'1kpi_performance'!M365</f>
        <v>0.5145069026</v>
      </c>
      <c r="AX365" s="42">
        <f>'1kpi_performance'!N365</f>
        <v>0.2202247191</v>
      </c>
      <c r="AY365" s="42">
        <f>'1kpi_performance'!O365</f>
        <v>0.2202247191</v>
      </c>
      <c r="AZ365" s="42">
        <f>'1kpi_performance'!P365</f>
        <v>0.5920164367</v>
      </c>
      <c r="BA365" s="42">
        <f>'1kpi_performance'!Q365</f>
        <v>0.6802392455</v>
      </c>
      <c r="BB365" s="35">
        <f>'1kpi_performance'!R365</f>
        <v>6.224008544</v>
      </c>
      <c r="BC365" s="35">
        <f>'1kpi_performance'!S365</f>
        <v>7.861294011</v>
      </c>
      <c r="BD365" s="35">
        <f>'1kpi_performance'!T365</f>
        <v>4.029420542</v>
      </c>
      <c r="BE365" s="35">
        <f>'1kpi_performance'!U365</f>
        <v>1.007331793</v>
      </c>
      <c r="BF365" s="47"/>
      <c r="BG365" s="47"/>
      <c r="BH365" s="47"/>
      <c r="BI365" s="47"/>
      <c r="BJ365" s="47"/>
      <c r="BK365" s="47"/>
      <c r="BL365" s="47"/>
      <c r="BM365" s="47"/>
      <c r="BN365" s="47"/>
      <c r="BO365" s="47"/>
      <c r="BP365" s="47"/>
      <c r="BQ365" s="47"/>
      <c r="BR365" s="47"/>
      <c r="BS365" s="47"/>
      <c r="BT365" s="47"/>
    </row>
    <row r="366" ht="11.25" customHeight="1">
      <c r="A366" s="35" t="str">
        <f>'13all_company_profile'!A366</f>
        <v>LLY</v>
      </c>
      <c r="B366" s="35" t="str">
        <f>'13all_company_profile'!B366</f>
        <v>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v>
      </c>
      <c r="C366" s="44" t="str">
        <f>'13all_company_profile'!C366</f>
        <v>https://financialmodelingprep.com/image-stock/LLY.png</v>
      </c>
      <c r="D366" s="35" t="str">
        <f>'13all_company_profile'!D366</f>
        <v>Eli Lilly and Company</v>
      </c>
      <c r="E366" s="36">
        <f>'13all_company_profile'!E366</f>
        <v>221937565696</v>
      </c>
      <c r="F366" s="37">
        <f>'13all_company_profile'!F366</f>
        <v>3479211</v>
      </c>
      <c r="G366" s="35">
        <f>'13all_company_profile'!G366</f>
        <v>3.18</v>
      </c>
      <c r="H366" s="38">
        <f>'13all_company_profile'!H366</f>
        <v>44411</v>
      </c>
      <c r="I366" s="35">
        <f>'13all_company_profile'!I366</f>
        <v>34.81587</v>
      </c>
      <c r="J366" s="35">
        <f>'13all_company_profile'!J366</f>
        <v>6.68</v>
      </c>
      <c r="K366" s="42">
        <f t="shared" si="1"/>
        <v>0.01353076334</v>
      </c>
      <c r="L366" s="35">
        <f>'7company_info'!B366</f>
        <v>235.02</v>
      </c>
      <c r="M366" s="35">
        <f>'7company_info'!C366</f>
        <v>237.75</v>
      </c>
      <c r="N366" s="35">
        <f>'7company_info'!D366</f>
        <v>233.94</v>
      </c>
      <c r="O366" s="35">
        <f>'7company_info'!E366</f>
        <v>0.88</v>
      </c>
      <c r="P366" s="35">
        <f>'7company_info'!F366</f>
        <v>0.0038</v>
      </c>
      <c r="Q366" s="35">
        <f>'7company_info'!G366</f>
        <v>235</v>
      </c>
      <c r="R366" s="35">
        <f>'7company_info'!H366</f>
        <v>234.14</v>
      </c>
      <c r="S366" s="35">
        <f>'7company_info'!I366</f>
        <v>129.21</v>
      </c>
      <c r="T366" s="35">
        <f>'7company_info'!J366</f>
        <v>239.37</v>
      </c>
      <c r="U366" s="39">
        <v>236.103333333333</v>
      </c>
      <c r="V366" s="39">
        <v>237.476666666666</v>
      </c>
      <c r="W366" s="40">
        <v>238.603333333333</v>
      </c>
      <c r="X366" s="40">
        <v>241.103333333333</v>
      </c>
      <c r="Y366" s="40">
        <v>234.976666666666</v>
      </c>
      <c r="Z366" s="40">
        <v>233.603333333333</v>
      </c>
      <c r="AA366" s="40">
        <v>231.103333333333</v>
      </c>
      <c r="AB366" s="40">
        <v>217.0</v>
      </c>
      <c r="AC366" s="40">
        <v>234.21</v>
      </c>
      <c r="AD366" s="40">
        <v>229.138212308932</v>
      </c>
      <c r="AE366" s="40">
        <v>226.13438</v>
      </c>
      <c r="AF366" s="40">
        <v>4.51831</v>
      </c>
      <c r="AG366" s="40">
        <v>239.37</v>
      </c>
      <c r="AH366" s="45">
        <v>44371.0</v>
      </c>
      <c r="AI366" s="44" t="str">
        <f>'6image_RS_benchmark_performance'!B366</f>
        <v>https://3arbzfbsh-cname-us.ngrok.io/Desktop/seabridge%20fintech/image_app/LLY_resistance_support.jpg</v>
      </c>
      <c r="AJ366" s="44" t="str">
        <f>'6image_RS_benchmark_performance'!C366</f>
        <v>https://3arbzfbsh-cname-us.ngrok.io/Desktop/seabridge%20fintech/profit_graph_app/LLY_Return.jpg</v>
      </c>
      <c r="AK366" s="46" t="str">
        <f>'5price_action_icon'!B366</f>
        <v>https://3arbzfbsh-cname-us.ngrok.io/Desktop/seabridge%20fintech/icon/LLY_pa_trend_signal</v>
      </c>
      <c r="AL366" s="42">
        <f>'1kpi_performance'!B366</f>
        <v>0.5543466145</v>
      </c>
      <c r="AM366" s="42">
        <f>'1kpi_performance'!C366</f>
        <v>0.6609093716</v>
      </c>
      <c r="AN366" s="42">
        <f>'1kpi_performance'!D366</f>
        <v>0.6050256015</v>
      </c>
      <c r="AO366" s="42">
        <f>'1kpi_performance'!E366</f>
        <v>0.2637852601</v>
      </c>
      <c r="AP366" s="42">
        <f>'1kpi_performance'!F366</f>
        <v>0.1961941454</v>
      </c>
      <c r="AQ366" s="42">
        <f>'1kpi_performance'!G366</f>
        <v>0.2040112218</v>
      </c>
      <c r="AR366" s="42">
        <f>'1kpi_performance'!H366</f>
        <v>0.2212432058</v>
      </c>
      <c r="AS366" s="42">
        <f>'1kpi_performance'!I366</f>
        <v>0.2830427588</v>
      </c>
      <c r="AT366" s="35">
        <f>'1kpi_performance'!J366</f>
        <v>2.698075487</v>
      </c>
      <c r="AU366" s="35">
        <f>'1kpi_performance'!K366</f>
        <v>3.117031339</v>
      </c>
      <c r="AV366" s="35">
        <f>'1kpi_performance'!L366</f>
        <v>2.621665146</v>
      </c>
      <c r="AW366" s="35">
        <f>'1kpi_performance'!M366</f>
        <v>0.8436367041</v>
      </c>
      <c r="AX366" s="42">
        <f>'1kpi_performance'!N366</f>
        <v>0.1221280203</v>
      </c>
      <c r="AY366" s="42">
        <f>'1kpi_performance'!O366</f>
        <v>0.07268276053</v>
      </c>
      <c r="AZ366" s="42">
        <f>'1kpi_performance'!P366</f>
        <v>0.1848333237</v>
      </c>
      <c r="BA366" s="42">
        <f>'1kpi_performance'!Q366</f>
        <v>0.2668370749</v>
      </c>
      <c r="BB366" s="35">
        <f>'1kpi_performance'!R366</f>
        <v>6.342385884</v>
      </c>
      <c r="BC366" s="35">
        <f>'1kpi_performance'!S366</f>
        <v>8.029174172</v>
      </c>
      <c r="BD366" s="35">
        <f>'1kpi_performance'!T366</f>
        <v>5.834269034</v>
      </c>
      <c r="BE366" s="35">
        <f>'1kpi_performance'!U366</f>
        <v>1.737610176</v>
      </c>
      <c r="BF366" s="47"/>
      <c r="BG366" s="47"/>
      <c r="BH366" s="47"/>
      <c r="BI366" s="47"/>
      <c r="BJ366" s="47"/>
      <c r="BK366" s="47"/>
      <c r="BL366" s="47"/>
      <c r="BM366" s="47"/>
      <c r="BN366" s="47"/>
      <c r="BO366" s="47"/>
      <c r="BP366" s="47"/>
      <c r="BQ366" s="47"/>
      <c r="BR366" s="47"/>
      <c r="BS366" s="47"/>
      <c r="BT366" s="47"/>
    </row>
    <row r="367" ht="11.25" customHeight="1">
      <c r="A367" s="35" t="str">
        <f>'13all_company_profile'!A367</f>
        <v>LMND</v>
      </c>
      <c r="B367" s="35" t="str">
        <f>'13all_company_profile'!B367</f>
        <v>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v>
      </c>
      <c r="C367" s="44" t="str">
        <f>'13all_company_profile'!C367</f>
        <v>https://financialmodelingprep.com/image-stock/LMND.png</v>
      </c>
      <c r="D367" s="35" t="str">
        <f>'13all_company_profile'!D367</f>
        <v>Lemonade, Inc.</v>
      </c>
      <c r="E367" s="36">
        <f>'13all_company_profile'!E367</f>
        <v>5331564032</v>
      </c>
      <c r="F367" s="37">
        <f>'13all_company_profile'!F367</f>
        <v>2096674</v>
      </c>
      <c r="G367" s="35">
        <f>'13all_company_profile'!G367</f>
        <v>0</v>
      </c>
      <c r="H367" s="38" t="str">
        <f>'13all_company_profile'!H367</f>
        <v>not avaiable</v>
      </c>
      <c r="I367" s="35" t="str">
        <f>'13all_company_profile'!I367</f>
        <v>NaN</v>
      </c>
      <c r="J367" s="35">
        <f>'13all_company_profile'!J367</f>
        <v>-2.942</v>
      </c>
      <c r="K367" s="42" t="str">
        <f t="shared" si="1"/>
        <v>NaN</v>
      </c>
      <c r="L367" s="35">
        <f>'7company_info'!B367</f>
        <v>86.59</v>
      </c>
      <c r="M367" s="35">
        <f>'7company_info'!C367</f>
        <v>88.26</v>
      </c>
      <c r="N367" s="35">
        <f>'7company_info'!D367</f>
        <v>83.08</v>
      </c>
      <c r="O367" s="35">
        <f>'7company_info'!E367</f>
        <v>2.35</v>
      </c>
      <c r="P367" s="35">
        <f>'7company_info'!F367</f>
        <v>0.0279</v>
      </c>
      <c r="Q367" s="35">
        <f>'7company_info'!G367</f>
        <v>85.55</v>
      </c>
      <c r="R367" s="35">
        <f>'7company_info'!H367</f>
        <v>84.24</v>
      </c>
      <c r="S367" s="35">
        <f>'7company_info'!I367</f>
        <v>44.11</v>
      </c>
      <c r="T367" s="35">
        <f>'7company_info'!J367</f>
        <v>188.3</v>
      </c>
      <c r="U367" s="39">
        <v>88.9033333333333</v>
      </c>
      <c r="V367" s="39">
        <v>90.9866666666666</v>
      </c>
      <c r="W367" s="40">
        <v>94.6833333333333</v>
      </c>
      <c r="X367" s="40">
        <v>100.463333333333</v>
      </c>
      <c r="Y367" s="40">
        <v>85.2066666666666</v>
      </c>
      <c r="Z367" s="40">
        <v>83.1233333333333</v>
      </c>
      <c r="AA367" s="40">
        <v>77.3433333333333</v>
      </c>
      <c r="AB367" s="40">
        <v>107.25</v>
      </c>
      <c r="AC367" s="40">
        <v>102.28</v>
      </c>
      <c r="AD367" s="40">
        <v>99.4642791684301</v>
      </c>
      <c r="AE367" s="40">
        <v>80.0526</v>
      </c>
      <c r="AF367" s="40">
        <v>5.66069999999999</v>
      </c>
      <c r="AG367" s="40">
        <v>182.9</v>
      </c>
      <c r="AH367" s="45">
        <v>44223.0</v>
      </c>
      <c r="AI367" s="44" t="str">
        <f>'6image_RS_benchmark_performance'!B367</f>
        <v>https://3arbzfbsh-cname-us.ngrok.io/Desktop/seabridge%20fintech/image_app/LMND_resistance_support.jpg</v>
      </c>
      <c r="AJ367" s="44" t="str">
        <f>'6image_RS_benchmark_performance'!C367</f>
        <v>https://3arbzfbsh-cname-us.ngrok.io/Desktop/seabridge%20fintech/profit_graph_app/LMND_Return.jpg</v>
      </c>
      <c r="AK367" s="46" t="str">
        <f>'5price_action_icon'!B367</f>
        <v>https://3arbzfbsh-cname-us.ngrok.io/Desktop/seabridge%20fintech/icon/LMND_pa_trend_signal</v>
      </c>
      <c r="AL367" s="42">
        <f>'1kpi_performance'!B367</f>
        <v>2.660770311</v>
      </c>
      <c r="AM367" s="42">
        <f>'1kpi_performance'!C367</f>
        <v>4.833130597</v>
      </c>
      <c r="AN367" s="42">
        <f>'1kpi_performance'!D367</f>
        <v>-0.2871818097</v>
      </c>
      <c r="AO367" s="42">
        <f>'1kpi_performance'!E367</f>
        <v>0.3751819422</v>
      </c>
      <c r="AP367" s="42">
        <f>'1kpi_performance'!F367</f>
        <v>0.9167822724</v>
      </c>
      <c r="AQ367" s="42">
        <f>'1kpi_performance'!G367</f>
        <v>0.9387101128</v>
      </c>
      <c r="AR367" s="42">
        <f>'1kpi_performance'!H367</f>
        <v>0.6902546705</v>
      </c>
      <c r="AS367" s="42">
        <f>'1kpi_performance'!I367</f>
        <v>1.150912148</v>
      </c>
      <c r="AT367" s="35">
        <f>'1kpi_performance'!J367</f>
        <v>2.875023209</v>
      </c>
      <c r="AU367" s="35">
        <f>'1kpi_performance'!K367</f>
        <v>5.122061146</v>
      </c>
      <c r="AV367" s="35">
        <f>'1kpi_performance'!L367</f>
        <v>-0.4522704779</v>
      </c>
      <c r="AW367" s="35">
        <f>'1kpi_performance'!M367</f>
        <v>0.3042647025</v>
      </c>
      <c r="AX367" s="42">
        <f>'1kpi_performance'!N367</f>
        <v>0.4510420305</v>
      </c>
      <c r="AY367" s="42">
        <f>'1kpi_performance'!O367</f>
        <v>0.4510420305</v>
      </c>
      <c r="AZ367" s="42">
        <f>'1kpi_performance'!P367</f>
        <v>0.5604471839</v>
      </c>
      <c r="BA367" s="42">
        <f>'1kpi_performance'!Q367</f>
        <v>0.6716686675</v>
      </c>
      <c r="BB367" s="35">
        <f>'1kpi_performance'!R367</f>
        <v>6.495521052</v>
      </c>
      <c r="BC367" s="35">
        <f>'1kpi_performance'!S367</f>
        <v>12.42400603</v>
      </c>
      <c r="BD367" s="35">
        <f>'1kpi_performance'!T367</f>
        <v>-0.8213423601</v>
      </c>
      <c r="BE367" s="35">
        <f>'1kpi_performance'!U367</f>
        <v>0.6984789518</v>
      </c>
      <c r="BF367" s="47"/>
      <c r="BG367" s="47"/>
      <c r="BH367" s="47"/>
      <c r="BI367" s="47"/>
      <c r="BJ367" s="47"/>
      <c r="BK367" s="47"/>
      <c r="BL367" s="47"/>
      <c r="BM367" s="47"/>
      <c r="BN367" s="47"/>
      <c r="BO367" s="47"/>
      <c r="BP367" s="47"/>
      <c r="BQ367" s="47"/>
      <c r="BR367" s="47"/>
      <c r="BS367" s="47"/>
      <c r="BT367" s="47"/>
    </row>
    <row r="368" ht="11.25" customHeight="1">
      <c r="A368" s="35" t="str">
        <f>'13all_company_profile'!A368</f>
        <v>LMT</v>
      </c>
      <c r="B368" s="35" t="str">
        <f>'13all_company_profile'!B368</f>
        <v>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v>
      </c>
      <c r="C368" s="44" t="str">
        <f>'13all_company_profile'!C368</f>
        <v>https://financialmodelingprep.com/image-stock/LMT.png</v>
      </c>
      <c r="D368" s="35" t="str">
        <f>'13all_company_profile'!D368</f>
        <v>Lockheed Martin Corporation</v>
      </c>
      <c r="E368" s="36">
        <f>'13all_company_profile'!E368</f>
        <v>105139658752</v>
      </c>
      <c r="F368" s="37">
        <f>'13all_company_profile'!F368</f>
        <v>1200020</v>
      </c>
      <c r="G368" s="35">
        <f>'13all_company_profile'!G368</f>
        <v>10.2</v>
      </c>
      <c r="H368" s="38">
        <f>'13all_company_profile'!H368</f>
        <v>44403</v>
      </c>
      <c r="I368" s="35">
        <f>'13all_company_profile'!I368</f>
        <v>15.221724</v>
      </c>
      <c r="J368" s="35">
        <f>'13all_company_profile'!J368</f>
        <v>24.783</v>
      </c>
      <c r="K368" s="42">
        <f t="shared" si="1"/>
        <v>0.02684351808</v>
      </c>
      <c r="L368" s="35">
        <f>'7company_info'!B368</f>
        <v>379.98</v>
      </c>
      <c r="M368" s="35">
        <f>'7company_info'!C368</f>
        <v>380.64</v>
      </c>
      <c r="N368" s="35">
        <f>'7company_info'!D368</f>
        <v>373</v>
      </c>
      <c r="O368" s="35">
        <f>'7company_info'!E368</f>
        <v>7.96</v>
      </c>
      <c r="P368" s="35">
        <f>'7company_info'!F368</f>
        <v>0.0214</v>
      </c>
      <c r="Q368" s="35">
        <f>'7company_info'!G368</f>
        <v>373.01</v>
      </c>
      <c r="R368" s="35">
        <f>'7company_info'!H368</f>
        <v>372.02</v>
      </c>
      <c r="S368" s="35">
        <f>'7company_info'!I368</f>
        <v>319.81</v>
      </c>
      <c r="T368" s="35">
        <f>'7company_info'!J368</f>
        <v>402.38</v>
      </c>
      <c r="U368" s="39">
        <v>376.807133333333</v>
      </c>
      <c r="V368" s="39">
        <v>378.404266666666</v>
      </c>
      <c r="W368" s="40">
        <v>379.988533333333</v>
      </c>
      <c r="X368" s="40">
        <v>383.169933333333</v>
      </c>
      <c r="Y368" s="40">
        <v>375.222866666666</v>
      </c>
      <c r="Z368" s="40">
        <v>373.625733333333</v>
      </c>
      <c r="AA368" s="40">
        <v>370.444333333333</v>
      </c>
      <c r="AB368" s="40">
        <v>377.93</v>
      </c>
      <c r="AC368" s="40">
        <v>384.6</v>
      </c>
      <c r="AD368" s="40">
        <v>380.801427828382</v>
      </c>
      <c r="AE368" s="40">
        <v>367.18846</v>
      </c>
      <c r="AF368" s="40">
        <v>5.33558999999999</v>
      </c>
      <c r="AG368" s="40">
        <v>396.99</v>
      </c>
      <c r="AH368" s="45">
        <v>44326.0</v>
      </c>
      <c r="AI368" s="44" t="str">
        <f>'6image_RS_benchmark_performance'!B368</f>
        <v>https://3arbzfbsh-cname-us.ngrok.io/Desktop/seabridge%20fintech/image_app/LMT_resistance_support.jpg</v>
      </c>
      <c r="AJ368" s="44" t="str">
        <f>'6image_RS_benchmark_performance'!C368</f>
        <v>https://3arbzfbsh-cname-us.ngrok.io/Desktop/seabridge%20fintech/profit_graph_app/LMT_Return.jpg</v>
      </c>
      <c r="AK368" s="46" t="str">
        <f>'5price_action_icon'!B368</f>
        <v>https://3arbzfbsh-cname-us.ngrok.io/Desktop/seabridge%20fintech/icon/LMT_pa_trend_signal</v>
      </c>
      <c r="AL368" s="42">
        <f>'1kpi_performance'!B368</f>
        <v>0.4610405441</v>
      </c>
      <c r="AM368" s="42">
        <f>'1kpi_performance'!C368</f>
        <v>0.5695996349</v>
      </c>
      <c r="AN368" s="42">
        <f>'1kpi_performance'!D368</f>
        <v>0.4915900783</v>
      </c>
      <c r="AO368" s="42">
        <f>'1kpi_performance'!E368</f>
        <v>0.2188518146</v>
      </c>
      <c r="AP368" s="42">
        <f>'1kpi_performance'!F368</f>
        <v>0.163446233</v>
      </c>
      <c r="AQ368" s="42">
        <f>'1kpi_performance'!G368</f>
        <v>0.1667738801</v>
      </c>
      <c r="AR368" s="42">
        <f>'1kpi_performance'!H368</f>
        <v>0.1594015518</v>
      </c>
      <c r="AS368" s="42">
        <f>'1kpi_performance'!I368</f>
        <v>0.2491826819</v>
      </c>
      <c r="AT368" s="35">
        <f>'1kpi_performance'!J368</f>
        <v>2.667791946</v>
      </c>
      <c r="AU368" s="35">
        <f>'1kpi_performance'!K368</f>
        <v>3.265497179</v>
      </c>
      <c r="AV368" s="35">
        <f>'1kpi_performance'!L368</f>
        <v>2.927136361</v>
      </c>
      <c r="AW368" s="35">
        <f>'1kpi_performance'!M368</f>
        <v>0.7779505905</v>
      </c>
      <c r="AX368" s="42">
        <f>'1kpi_performance'!N368</f>
        <v>0.09755463084</v>
      </c>
      <c r="AY368" s="42">
        <f>'1kpi_performance'!O368</f>
        <v>0.09297402306</v>
      </c>
      <c r="AZ368" s="42">
        <f>'1kpi_performance'!P368</f>
        <v>0.2023847028</v>
      </c>
      <c r="BA368" s="42">
        <f>'1kpi_performance'!Q368</f>
        <v>0.370694555</v>
      </c>
      <c r="BB368" s="35">
        <f>'1kpi_performance'!R368</f>
        <v>5.891828351</v>
      </c>
      <c r="BC368" s="35">
        <f>'1kpi_performance'!S368</f>
        <v>7.56919309</v>
      </c>
      <c r="BD368" s="35">
        <f>'1kpi_performance'!T368</f>
        <v>6.458538327</v>
      </c>
      <c r="BE368" s="35">
        <f>'1kpi_performance'!U368</f>
        <v>1.492410408</v>
      </c>
      <c r="BF368" s="47"/>
      <c r="BG368" s="47"/>
      <c r="BH368" s="47"/>
      <c r="BI368" s="47"/>
      <c r="BJ368" s="47"/>
      <c r="BK368" s="47"/>
      <c r="BL368" s="47"/>
      <c r="BM368" s="47"/>
      <c r="BN368" s="47"/>
      <c r="BO368" s="47"/>
      <c r="BP368" s="47"/>
      <c r="BQ368" s="47"/>
      <c r="BR368" s="47"/>
      <c r="BS368" s="47"/>
      <c r="BT368" s="47"/>
    </row>
    <row r="369" ht="11.25" customHeight="1">
      <c r="A369" s="35" t="str">
        <f>'13all_company_profile'!A369</f>
        <v>LNC</v>
      </c>
      <c r="B369" s="35" t="str">
        <f>'13all_company_profile'!B369</f>
        <v>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v>
      </c>
      <c r="C369" s="44" t="str">
        <f>'13all_company_profile'!C369</f>
        <v>https://financialmodelingprep.com/image-stock/LNC.png</v>
      </c>
      <c r="D369" s="35" t="str">
        <f>'13all_company_profile'!D369</f>
        <v>Lincoln National Corporation</v>
      </c>
      <c r="E369" s="36">
        <f>'13all_company_profile'!E369</f>
        <v>11757435904</v>
      </c>
      <c r="F369" s="37">
        <f>'13all_company_profile'!F369</f>
        <v>1327847</v>
      </c>
      <c r="G369" s="35">
        <f>'13all_company_profile'!G369</f>
        <v>2.06</v>
      </c>
      <c r="H369" s="38">
        <f>'13all_company_profile'!H369</f>
        <v>44412</v>
      </c>
      <c r="I369" s="35">
        <f>'13all_company_profile'!I369</f>
        <v>17.099827</v>
      </c>
      <c r="J369" s="35">
        <f>'13all_company_profile'!J369</f>
        <v>3.486</v>
      </c>
      <c r="K369" s="42">
        <f t="shared" si="1"/>
        <v>0.03468597407</v>
      </c>
      <c r="L369" s="35">
        <f>'7company_info'!B369</f>
        <v>59.39</v>
      </c>
      <c r="M369" s="35">
        <f>'7company_info'!C369</f>
        <v>60.25</v>
      </c>
      <c r="N369" s="35">
        <f>'7company_info'!D369</f>
        <v>56.81</v>
      </c>
      <c r="O369" s="35">
        <f>'7company_info'!E369</f>
        <v>2.39</v>
      </c>
      <c r="P369" s="35">
        <f>'7company_info'!F369</f>
        <v>0.0419</v>
      </c>
      <c r="Q369" s="35">
        <f>'7company_info'!G369</f>
        <v>57.06</v>
      </c>
      <c r="R369" s="35">
        <f>'7company_info'!H369</f>
        <v>57</v>
      </c>
      <c r="S369" s="35">
        <f>'7company_info'!I369</f>
        <v>29.42</v>
      </c>
      <c r="T369" s="35">
        <f>'7company_info'!J369</f>
        <v>71.68</v>
      </c>
      <c r="U369" s="39">
        <v>62.2395333333333</v>
      </c>
      <c r="V369" s="39">
        <v>63.4090666666666</v>
      </c>
      <c r="W369" s="40">
        <v>65.0481333333333</v>
      </c>
      <c r="X369" s="40">
        <v>67.8567333333333</v>
      </c>
      <c r="Y369" s="40">
        <v>60.6004666666666</v>
      </c>
      <c r="Z369" s="40">
        <v>59.4309333333333</v>
      </c>
      <c r="AA369" s="40">
        <v>56.6223333333333</v>
      </c>
      <c r="AB369" s="40">
        <v>67.84</v>
      </c>
      <c r="AC369" s="40">
        <v>71.68</v>
      </c>
      <c r="AD369" s="40">
        <v>63.3795131141393</v>
      </c>
      <c r="AE369" s="40">
        <v>57.8848</v>
      </c>
      <c r="AF369" s="40">
        <v>2.42103</v>
      </c>
      <c r="AG369" s="40">
        <v>71.68</v>
      </c>
      <c r="AH369" s="45">
        <v>44354.0</v>
      </c>
      <c r="AI369" s="44" t="str">
        <f>'6image_RS_benchmark_performance'!B369</f>
        <v>https://3arbzfbsh-cname-us.ngrok.io/Desktop/seabridge%20fintech/image_app/LNC_resistance_support.jpg</v>
      </c>
      <c r="AJ369" s="44" t="str">
        <f>'6image_RS_benchmark_performance'!C369</f>
        <v>https://3arbzfbsh-cname-us.ngrok.io/Desktop/seabridge%20fintech/profit_graph_app/LNC_Return.jpg</v>
      </c>
      <c r="AK369" s="46" t="str">
        <f>'5price_action_icon'!B369</f>
        <v>https://3arbzfbsh-cname-us.ngrok.io/Desktop/seabridge%20fintech/icon/LNC_pa_trend_signal</v>
      </c>
      <c r="AL369" s="42">
        <f>'1kpi_performance'!B369</f>
        <v>0.8231319959</v>
      </c>
      <c r="AM369" s="42">
        <f>'1kpi_performance'!C369</f>
        <v>1.185656291</v>
      </c>
      <c r="AN369" s="42">
        <f>'1kpi_performance'!D369</f>
        <v>0.5870954957</v>
      </c>
      <c r="AO369" s="42">
        <f>'1kpi_performance'!E369</f>
        <v>0.1138029914</v>
      </c>
      <c r="AP369" s="42">
        <f>'1kpi_performance'!F369</f>
        <v>0.3385443797</v>
      </c>
      <c r="AQ369" s="42">
        <f>'1kpi_performance'!G369</f>
        <v>0.316914748</v>
      </c>
      <c r="AR369" s="42">
        <f>'1kpi_performance'!H369</f>
        <v>0.3323425526</v>
      </c>
      <c r="AS369" s="42">
        <f>'1kpi_performance'!I369</f>
        <v>0.5125593504</v>
      </c>
      <c r="AT369" s="35">
        <f>'1kpi_performance'!J369</f>
        <v>2.357540233</v>
      </c>
      <c r="AU369" s="35">
        <f>'1kpi_performance'!K369</f>
        <v>3.662361243</v>
      </c>
      <c r="AV369" s="35">
        <f>'1kpi_performance'!L369</f>
        <v>1.69131365</v>
      </c>
      <c r="AW369" s="35">
        <f>'1kpi_performance'!M369</f>
        <v>0.1732540657</v>
      </c>
      <c r="AX369" s="42">
        <f>'1kpi_performance'!N369</f>
        <v>0.2643721823</v>
      </c>
      <c r="AY369" s="42">
        <f>'1kpi_performance'!O369</f>
        <v>0.1845672576</v>
      </c>
      <c r="AZ369" s="42">
        <f>'1kpi_performance'!P369</f>
        <v>0.5347901196</v>
      </c>
      <c r="BA369" s="42">
        <f>'1kpi_performance'!Q369</f>
        <v>0.8014200908</v>
      </c>
      <c r="BB369" s="35">
        <f>'1kpi_performance'!R369</f>
        <v>5.109033157</v>
      </c>
      <c r="BC369" s="35">
        <f>'1kpi_performance'!S369</f>
        <v>8.820450277</v>
      </c>
      <c r="BD369" s="35">
        <f>'1kpi_performance'!T369</f>
        <v>3.312652262</v>
      </c>
      <c r="BE369" s="35">
        <f>'1kpi_performance'!U369</f>
        <v>0.3342978158</v>
      </c>
      <c r="BF369" s="47"/>
      <c r="BG369" s="47"/>
      <c r="BH369" s="47"/>
      <c r="BI369" s="47"/>
      <c r="BJ369" s="47"/>
      <c r="BK369" s="47"/>
      <c r="BL369" s="47"/>
      <c r="BM369" s="47"/>
      <c r="BN369" s="47"/>
      <c r="BO369" s="47"/>
      <c r="BP369" s="47"/>
      <c r="BQ369" s="47"/>
      <c r="BR369" s="47"/>
      <c r="BS369" s="47"/>
      <c r="BT369" s="47"/>
    </row>
    <row r="370" ht="11.25" customHeight="1">
      <c r="A370" s="35" t="str">
        <f>'13all_company_profile'!A370</f>
        <v>LNT</v>
      </c>
      <c r="B370" s="35" t="str">
        <f>'13all_company_profile'!B370</f>
        <v>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v>
      </c>
      <c r="C370" s="44" t="str">
        <f>'13all_company_profile'!C370</f>
        <v>https://financialmodelingprep.com/image-stock/LNT.png</v>
      </c>
      <c r="D370" s="35" t="str">
        <f>'13all_company_profile'!D370</f>
        <v>Alliant Energy Corporation</v>
      </c>
      <c r="E370" s="36">
        <f>'13all_company_profile'!E370</f>
        <v>14460305408</v>
      </c>
      <c r="F370" s="37">
        <f>'13all_company_profile'!F370</f>
        <v>1374968</v>
      </c>
      <c r="G370" s="35">
        <f>'13all_company_profile'!G370</f>
        <v>1.5655</v>
      </c>
      <c r="H370" s="38">
        <f>'13all_company_profile'!H370</f>
        <v>44412</v>
      </c>
      <c r="I370" s="35">
        <f>'13all_company_profile'!I370</f>
        <v>23.98858</v>
      </c>
      <c r="J370" s="35">
        <f>'13all_company_profile'!J370</f>
        <v>2.452</v>
      </c>
      <c r="K370" s="42">
        <f t="shared" si="1"/>
        <v>0.02684788201</v>
      </c>
      <c r="L370" s="35">
        <f>'7company_info'!B370</f>
        <v>58.31</v>
      </c>
      <c r="M370" s="35">
        <f>'7company_info'!C370</f>
        <v>59.23</v>
      </c>
      <c r="N370" s="35">
        <f>'7company_info'!D370</f>
        <v>58.09</v>
      </c>
      <c r="O370" s="35">
        <f>'7company_info'!E370</f>
        <v>0.26</v>
      </c>
      <c r="P370" s="35">
        <f>'7company_info'!F370</f>
        <v>0.0045</v>
      </c>
      <c r="Q370" s="35">
        <f>'7company_info'!G370</f>
        <v>58.16</v>
      </c>
      <c r="R370" s="35">
        <f>'7company_info'!H370</f>
        <v>58.05</v>
      </c>
      <c r="S370" s="35">
        <f>'7company_info'!I370</f>
        <v>45.99</v>
      </c>
      <c r="T370" s="35">
        <f>'7company_info'!J370</f>
        <v>59.23</v>
      </c>
      <c r="U370" s="39">
        <v>56.9866666666666</v>
      </c>
      <c r="V370" s="39">
        <v>57.6433333333333</v>
      </c>
      <c r="W370" s="40">
        <v>58.0566666666666</v>
      </c>
      <c r="X370" s="40">
        <v>59.1266666666666</v>
      </c>
      <c r="Y370" s="40">
        <v>56.5733333333333</v>
      </c>
      <c r="Z370" s="40">
        <v>55.9166666666666</v>
      </c>
      <c r="AA370" s="40">
        <v>54.8466666666666</v>
      </c>
      <c r="AB370" s="40">
        <v>57.54</v>
      </c>
      <c r="AC370" s="40">
        <v>57.33</v>
      </c>
      <c r="AD370" s="40">
        <v>56.8890290457082</v>
      </c>
      <c r="AE370" s="40">
        <v>54.576</v>
      </c>
      <c r="AF370" s="40">
        <v>0.98725</v>
      </c>
      <c r="AG370" s="40">
        <v>59.1</v>
      </c>
      <c r="AH370" s="45">
        <v>44362.0</v>
      </c>
      <c r="AI370" s="44" t="str">
        <f>'6image_RS_benchmark_performance'!B370</f>
        <v>https://3arbzfbsh-cname-us.ngrok.io/Desktop/seabridge%20fintech/image_app/LNT_resistance_support.jpg</v>
      </c>
      <c r="AJ370" s="44" t="str">
        <f>'6image_RS_benchmark_performance'!C370</f>
        <v>https://3arbzfbsh-cname-us.ngrok.io/Desktop/seabridge%20fintech/profit_graph_app/LNT_Return.jpg</v>
      </c>
      <c r="AK370" s="46" t="str">
        <f>'5price_action_icon'!B370</f>
        <v>https://3arbzfbsh-cname-us.ngrok.io/Desktop/seabridge%20fintech/icon/LNT_pa_trend_signal</v>
      </c>
      <c r="AL370" s="42">
        <f>'1kpi_performance'!B370</f>
        <v>0.3522507968</v>
      </c>
      <c r="AM370" s="42">
        <f>'1kpi_performance'!C370</f>
        <v>0.4528401019</v>
      </c>
      <c r="AN370" s="42">
        <f>'1kpi_performance'!D370</f>
        <v>0.3819574477</v>
      </c>
      <c r="AO370" s="42">
        <f>'1kpi_performance'!E370</f>
        <v>0.1685661081</v>
      </c>
      <c r="AP370" s="42">
        <f>'1kpi_performance'!F370</f>
        <v>0.155616567</v>
      </c>
      <c r="AQ370" s="42">
        <f>'1kpi_performance'!G370</f>
        <v>0.1707008505</v>
      </c>
      <c r="AR370" s="42">
        <f>'1kpi_performance'!H370</f>
        <v>0.1723860453</v>
      </c>
      <c r="AS370" s="42">
        <f>'1kpi_performance'!I370</f>
        <v>0.2369682908</v>
      </c>
      <c r="AT370" s="35">
        <f>'1kpi_performance'!J370</f>
        <v>2.102930318</v>
      </c>
      <c r="AU370" s="35">
        <f>'1kpi_performance'!K370</f>
        <v>2.506373581</v>
      </c>
      <c r="AV370" s="35">
        <f>'1kpi_performance'!L370</f>
        <v>2.070686447</v>
      </c>
      <c r="AW370" s="35">
        <f>'1kpi_performance'!M370</f>
        <v>0.6058452279</v>
      </c>
      <c r="AX370" s="42">
        <f>'1kpi_performance'!N370</f>
        <v>0.1107375915</v>
      </c>
      <c r="AY370" s="42">
        <f>'1kpi_performance'!O370</f>
        <v>0.1187989556</v>
      </c>
      <c r="AZ370" s="42">
        <f>'1kpi_performance'!P370</f>
        <v>0.3088489457</v>
      </c>
      <c r="BA370" s="42">
        <f>'1kpi_performance'!Q370</f>
        <v>0.3353278484</v>
      </c>
      <c r="BB370" s="35">
        <f>'1kpi_performance'!R370</f>
        <v>4.119027535</v>
      </c>
      <c r="BC370" s="35">
        <f>'1kpi_performance'!S370</f>
        <v>5.215339562</v>
      </c>
      <c r="BD370" s="35">
        <f>'1kpi_performance'!T370</f>
        <v>3.984838744</v>
      </c>
      <c r="BE370" s="35">
        <f>'1kpi_performance'!U370</f>
        <v>1.153091013</v>
      </c>
      <c r="BF370" s="47"/>
      <c r="BG370" s="47"/>
      <c r="BH370" s="47"/>
      <c r="BI370" s="47"/>
      <c r="BJ370" s="47"/>
      <c r="BK370" s="47"/>
      <c r="BL370" s="47"/>
      <c r="BM370" s="47"/>
      <c r="BN370" s="47"/>
      <c r="BO370" s="47"/>
      <c r="BP370" s="47"/>
      <c r="BQ370" s="47"/>
      <c r="BR370" s="47"/>
      <c r="BS370" s="47"/>
      <c r="BT370" s="47"/>
    </row>
    <row r="371" ht="11.25" customHeight="1">
      <c r="A371" s="35" t="str">
        <f>'13all_company_profile'!A371</f>
        <v>LOW</v>
      </c>
      <c r="B371" s="35" t="str">
        <f>'13all_company_profile'!B371</f>
        <v>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v>
      </c>
      <c r="C371" s="44" t="str">
        <f>'13all_company_profile'!C371</f>
        <v>https://financialmodelingprep.com/image-stock/LOW.png</v>
      </c>
      <c r="D371" s="35" t="str">
        <f>'13all_company_profile'!D371</f>
        <v>Lowe's Companies, Inc.</v>
      </c>
      <c r="E371" s="36">
        <f>'13all_company_profile'!E371</f>
        <v>138394927104</v>
      </c>
      <c r="F371" s="37">
        <f>'13all_company_profile'!F371</f>
        <v>3921542</v>
      </c>
      <c r="G371" s="35">
        <f>'13all_company_profile'!G371</f>
        <v>3.15</v>
      </c>
      <c r="H371" s="38" t="str">
        <f>'13all_company_profile'!H371</f>
        <v>not avaiable</v>
      </c>
      <c r="I371" s="35">
        <f>'13all_company_profile'!I371</f>
        <v>21.404886</v>
      </c>
      <c r="J371" s="35">
        <f>'13all_company_profile'!J371</f>
        <v>9.168</v>
      </c>
      <c r="K371" s="42">
        <f t="shared" si="1"/>
        <v>0.01622791201</v>
      </c>
      <c r="L371" s="35">
        <f>'7company_info'!B371</f>
        <v>194.11</v>
      </c>
      <c r="M371" s="35">
        <f>'7company_info'!C371</f>
        <v>195.41</v>
      </c>
      <c r="N371" s="35">
        <f>'7company_info'!D371</f>
        <v>191.17</v>
      </c>
      <c r="O371" s="35">
        <f>'7company_info'!E371</f>
        <v>2.01</v>
      </c>
      <c r="P371" s="35">
        <f>'7company_info'!F371</f>
        <v>0.0105</v>
      </c>
      <c r="Q371" s="35">
        <f>'7company_info'!G371</f>
        <v>191.68</v>
      </c>
      <c r="R371" s="35">
        <f>'7company_info'!H371</f>
        <v>192.1</v>
      </c>
      <c r="S371" s="35">
        <f>'7company_info'!I371</f>
        <v>142.9</v>
      </c>
      <c r="T371" s="35">
        <f>'7company_info'!J371</f>
        <v>215.22</v>
      </c>
      <c r="U371" s="39">
        <v>193.58</v>
      </c>
      <c r="V371" s="39">
        <v>194.56</v>
      </c>
      <c r="W371" s="40">
        <v>196.38</v>
      </c>
      <c r="X371" s="40">
        <v>199.18</v>
      </c>
      <c r="Y371" s="40">
        <v>191.76</v>
      </c>
      <c r="Z371" s="40">
        <v>190.78</v>
      </c>
      <c r="AA371" s="40">
        <v>187.98</v>
      </c>
      <c r="AB371" s="40">
        <v>184.4649</v>
      </c>
      <c r="AC371" s="40">
        <v>188.2</v>
      </c>
      <c r="AD371" s="40">
        <v>193.353706190684</v>
      </c>
      <c r="AE371" s="40">
        <v>188.6024</v>
      </c>
      <c r="AF371" s="40">
        <v>2.83329999999999</v>
      </c>
      <c r="AG371" s="40">
        <v>215.22</v>
      </c>
      <c r="AH371" s="45">
        <v>44326.0</v>
      </c>
      <c r="AI371" s="44" t="str">
        <f>'6image_RS_benchmark_performance'!B371</f>
        <v>https://3arbzfbsh-cname-us.ngrok.io/Desktop/seabridge%20fintech/image_app/LOW_resistance_support.jpg</v>
      </c>
      <c r="AJ371" s="44" t="str">
        <f>'6image_RS_benchmark_performance'!C371</f>
        <v>https://3arbzfbsh-cname-us.ngrok.io/Desktop/seabridge%20fintech/profit_graph_app/LOW_Return.jpg</v>
      </c>
      <c r="AK371" s="46" t="str">
        <f>'5price_action_icon'!B371</f>
        <v>https://3arbzfbsh-cname-us.ngrok.io/Desktop/seabridge%20fintech/icon/LOW_pa_trend_signal</v>
      </c>
      <c r="AL371" s="42">
        <f>'1kpi_performance'!B371</f>
        <v>0.6720232569</v>
      </c>
      <c r="AM371" s="42">
        <f>'1kpi_performance'!C371</f>
        <v>0.835758427</v>
      </c>
      <c r="AN371" s="42">
        <f>'1kpi_performance'!D371</f>
        <v>0.5807142943</v>
      </c>
      <c r="AO371" s="42">
        <f>'1kpi_performance'!E371</f>
        <v>0.3040835849</v>
      </c>
      <c r="AP371" s="42">
        <f>'1kpi_performance'!F371</f>
        <v>0.2144019165</v>
      </c>
      <c r="AQ371" s="42">
        <f>'1kpi_performance'!G371</f>
        <v>0.2171601545</v>
      </c>
      <c r="AR371" s="42">
        <f>'1kpi_performance'!H371</f>
        <v>0.2192344861</v>
      </c>
      <c r="AS371" s="42">
        <f>'1kpi_performance'!I371</f>
        <v>0.3323892433</v>
      </c>
      <c r="AT371" s="35">
        <f>'1kpi_performance'!J371</f>
        <v>3.017805379</v>
      </c>
      <c r="AU371" s="35">
        <f>'1kpi_performance'!K371</f>
        <v>3.733458511</v>
      </c>
      <c r="AV371" s="35">
        <f>'1kpi_performance'!L371</f>
        <v>2.534794157</v>
      </c>
      <c r="AW371" s="35">
        <f>'1kpi_performance'!M371</f>
        <v>0.8396288102</v>
      </c>
      <c r="AX371" s="42">
        <f>'1kpi_performance'!N371</f>
        <v>0.1135216202</v>
      </c>
      <c r="AY371" s="42">
        <f>'1kpi_performance'!O371</f>
        <v>0.1019635015</v>
      </c>
      <c r="AZ371" s="42">
        <f>'1kpi_performance'!P371</f>
        <v>0.2662544428</v>
      </c>
      <c r="BA371" s="42">
        <f>'1kpi_performance'!Q371</f>
        <v>0.4862921703</v>
      </c>
      <c r="BB371" s="35">
        <f>'1kpi_performance'!R371</f>
        <v>6.743800844</v>
      </c>
      <c r="BC371" s="35">
        <f>'1kpi_performance'!S371</f>
        <v>8.960286413</v>
      </c>
      <c r="BD371" s="35">
        <f>'1kpi_performance'!T371</f>
        <v>5.130167332</v>
      </c>
      <c r="BE371" s="35">
        <f>'1kpi_performance'!U371</f>
        <v>1.5748388</v>
      </c>
      <c r="BF371" s="47"/>
      <c r="BG371" s="47"/>
      <c r="BH371" s="47"/>
      <c r="BI371" s="47"/>
      <c r="BJ371" s="47"/>
      <c r="BK371" s="47"/>
      <c r="BL371" s="47"/>
      <c r="BM371" s="47"/>
      <c r="BN371" s="47"/>
      <c r="BO371" s="47"/>
      <c r="BP371" s="47"/>
      <c r="BQ371" s="47"/>
      <c r="BR371" s="47"/>
      <c r="BS371" s="47"/>
      <c r="BT371" s="47"/>
    </row>
    <row r="372" ht="11.25" customHeight="1">
      <c r="A372" s="35" t="str">
        <f>'13all_company_profile'!A372</f>
        <v>LPX</v>
      </c>
      <c r="B372" s="35" t="str">
        <f>'13all_company_profile'!B372</f>
        <v>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v>
      </c>
      <c r="C372" s="44" t="str">
        <f>'13all_company_profile'!C372</f>
        <v>https://financialmodelingprep.com/image-stock/LPX.png</v>
      </c>
      <c r="D372" s="35" t="str">
        <f>'13all_company_profile'!D372</f>
        <v>Louisiana-Pacific Corporation</v>
      </c>
      <c r="E372" s="36">
        <f>'13all_company_profile'!E372</f>
        <v>5656635904</v>
      </c>
      <c r="F372" s="37">
        <f>'13all_company_profile'!F372</f>
        <v>2536622</v>
      </c>
      <c r="G372" s="35">
        <f>'13all_company_profile'!G372</f>
        <v>0.61</v>
      </c>
      <c r="H372" s="38">
        <f>'13all_company_profile'!H372</f>
        <v>44410</v>
      </c>
      <c r="I372" s="35">
        <f>'13all_company_profile'!I372</f>
        <v>7.461074</v>
      </c>
      <c r="J372" s="35">
        <f>'13all_company_profile'!J372</f>
        <v>7.129</v>
      </c>
      <c r="K372" s="42">
        <f t="shared" si="1"/>
        <v>0.01163234172</v>
      </c>
      <c r="L372" s="35">
        <f>'7company_info'!B372</f>
        <v>52.44</v>
      </c>
      <c r="M372" s="35">
        <f>'7company_info'!C372</f>
        <v>53.4</v>
      </c>
      <c r="N372" s="35">
        <f>'7company_info'!D372</f>
        <v>50.89</v>
      </c>
      <c r="O372" s="35">
        <f>'7company_info'!E372</f>
        <v>1.13</v>
      </c>
      <c r="P372" s="35">
        <f>'7company_info'!F372</f>
        <v>0.022</v>
      </c>
      <c r="Q372" s="35">
        <f>'7company_info'!G372</f>
        <v>51.32</v>
      </c>
      <c r="R372" s="35">
        <f>'7company_info'!H372</f>
        <v>51.31</v>
      </c>
      <c r="S372" s="35">
        <f>'7company_info'!I372</f>
        <v>27.01</v>
      </c>
      <c r="T372" s="35">
        <f>'7company_info'!J372</f>
        <v>76.35</v>
      </c>
      <c r="U372" s="39">
        <v>57.3673333333333</v>
      </c>
      <c r="V372" s="39">
        <v>57.9646666666666</v>
      </c>
      <c r="W372" s="40">
        <v>58.9593333333333</v>
      </c>
      <c r="X372" s="40">
        <v>60.5513333333333</v>
      </c>
      <c r="Y372" s="40">
        <v>56.3726666666666</v>
      </c>
      <c r="Z372" s="40">
        <v>55.7753333333333</v>
      </c>
      <c r="AA372" s="40">
        <v>54.1833333333333</v>
      </c>
      <c r="AB372" s="40">
        <v>58.5</v>
      </c>
      <c r="AC372" s="40">
        <v>58.96</v>
      </c>
      <c r="AD372" s="40">
        <v>59.101279946223</v>
      </c>
      <c r="AE372" s="40">
        <v>53.4785</v>
      </c>
      <c r="AF372" s="40">
        <v>1.89735</v>
      </c>
      <c r="AG372" s="40">
        <v>76.35</v>
      </c>
      <c r="AH372" s="45">
        <v>44326.0</v>
      </c>
      <c r="AI372" s="44" t="str">
        <f>'6image_RS_benchmark_performance'!B372</f>
        <v>https://3arbzfbsh-cname-us.ngrok.io/Desktop/seabridge%20fintech/image_app/LPX_resistance_support.jpg</v>
      </c>
      <c r="AJ372" s="44" t="str">
        <f>'6image_RS_benchmark_performance'!C372</f>
        <v>https://3arbzfbsh-cname-us.ngrok.io/Desktop/seabridge%20fintech/profit_graph_app/LPX_Return.jpg</v>
      </c>
      <c r="AK372" s="46" t="str">
        <f>'5price_action_icon'!B372</f>
        <v>https://3arbzfbsh-cname-us.ngrok.io/Desktop/seabridge%20fintech/icon/LPX_pa_trend_signal</v>
      </c>
      <c r="AL372" s="42">
        <f>'1kpi_performance'!B372</f>
        <v>1.079070665</v>
      </c>
      <c r="AM372" s="42">
        <f>'1kpi_performance'!C372</f>
        <v>1.083474013</v>
      </c>
      <c r="AN372" s="42">
        <f>'1kpi_performance'!D372</f>
        <v>1.203529387</v>
      </c>
      <c r="AO372" s="42">
        <f>'1kpi_performance'!E372</f>
        <v>0.2861718309</v>
      </c>
      <c r="AP372" s="42">
        <f>'1kpi_performance'!F372</f>
        <v>0.3425855009</v>
      </c>
      <c r="AQ372" s="42">
        <f>'1kpi_performance'!G372</f>
        <v>0.3461168857</v>
      </c>
      <c r="AR372" s="42">
        <f>'1kpi_performance'!H372</f>
        <v>0.3337978063</v>
      </c>
      <c r="AS372" s="42">
        <f>'1kpi_performance'!I372</f>
        <v>0.5132603333</v>
      </c>
      <c r="AT372" s="35">
        <f>'1kpi_performance'!J372</f>
        <v>3.076810496</v>
      </c>
      <c r="AU372" s="35">
        <f>'1kpi_performance'!K372</f>
        <v>3.058140349</v>
      </c>
      <c r="AV372" s="35">
        <f>'1kpi_performance'!L372</f>
        <v>3.530668462</v>
      </c>
      <c r="AW372" s="35">
        <f>'1kpi_performance'!M372</f>
        <v>0.5088486562</v>
      </c>
      <c r="AX372" s="42">
        <f>'1kpi_performance'!N372</f>
        <v>0.2823253942</v>
      </c>
      <c r="AY372" s="42">
        <f>'1kpi_performance'!O372</f>
        <v>0.3065533388</v>
      </c>
      <c r="AZ372" s="42">
        <f>'1kpi_performance'!P372</f>
        <v>0.2964547082</v>
      </c>
      <c r="BA372" s="42">
        <f>'1kpi_performance'!Q372</f>
        <v>0.6399688958</v>
      </c>
      <c r="BB372" s="35">
        <f>'1kpi_performance'!R372</f>
        <v>6.676303922</v>
      </c>
      <c r="BC372" s="35">
        <f>'1kpi_performance'!S372</f>
        <v>6.749658129</v>
      </c>
      <c r="BD372" s="35">
        <f>'1kpi_performance'!T372</f>
        <v>7.716636404</v>
      </c>
      <c r="BE372" s="35">
        <f>'1kpi_performance'!U372</f>
        <v>1.023989542</v>
      </c>
      <c r="BF372" s="47"/>
      <c r="BG372" s="47"/>
      <c r="BH372" s="47"/>
      <c r="BI372" s="47"/>
      <c r="BJ372" s="47"/>
      <c r="BK372" s="47"/>
      <c r="BL372" s="47"/>
      <c r="BM372" s="47"/>
      <c r="BN372" s="47"/>
      <c r="BO372" s="47"/>
      <c r="BP372" s="47"/>
      <c r="BQ372" s="47"/>
      <c r="BR372" s="47"/>
      <c r="BS372" s="47"/>
      <c r="BT372" s="47"/>
    </row>
    <row r="373" ht="11.25" customHeight="1">
      <c r="A373" s="35" t="str">
        <f>'13all_company_profile'!A373</f>
        <v>LQD</v>
      </c>
      <c r="B373" s="35" t="str">
        <f>'13all_company_profile'!B373</f>
        <v>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v>
      </c>
      <c r="C373" s="44" t="str">
        <f>'13all_company_profile'!C373</f>
        <v>https://financialmodelingprep.com/image-stock/LQD.jpg</v>
      </c>
      <c r="D373" s="35" t="str">
        <f>'13all_company_profile'!D373</f>
        <v>iShares iBoxx $ Investment Grade Corporate Bond ETF</v>
      </c>
      <c r="E373" s="36">
        <f>'13all_company_profile'!E373</f>
        <v>39666524160</v>
      </c>
      <c r="F373" s="37">
        <f>'13all_company_profile'!F373</f>
        <v>12819122</v>
      </c>
      <c r="G373" s="35">
        <f>'13all_company_profile'!G373</f>
        <v>2.513</v>
      </c>
      <c r="H373" s="38" t="str">
        <f>'13all_company_profile'!H373</f>
        <v>not avaiable</v>
      </c>
      <c r="I373" s="35">
        <f>'13all_company_profile'!I373</f>
        <v>14.550669</v>
      </c>
      <c r="J373" s="35">
        <f>'13all_company_profile'!J373</f>
        <v>9.278</v>
      </c>
      <c r="K373" s="42">
        <f t="shared" si="1"/>
        <v>0.01851197053</v>
      </c>
      <c r="L373" s="35">
        <f>'7company_info'!B373</f>
        <v>135.75</v>
      </c>
      <c r="M373" s="35">
        <f>'7company_info'!C373</f>
        <v>136.53</v>
      </c>
      <c r="N373" s="35">
        <f>'7company_info'!D373</f>
        <v>135.57</v>
      </c>
      <c r="O373" s="35">
        <f>'7company_info'!E373</f>
        <v>-0.19</v>
      </c>
      <c r="P373" s="35">
        <f>'7company_info'!F373</f>
        <v>-0.0014</v>
      </c>
      <c r="Q373" s="35">
        <f>'7company_info'!G373</f>
        <v>136.37</v>
      </c>
      <c r="R373" s="35">
        <f>'7company_info'!H373</f>
        <v>135.94</v>
      </c>
      <c r="S373" s="35">
        <f>'7company_info'!I373</f>
        <v>127.91</v>
      </c>
      <c r="T373" s="35">
        <f>'7company_info'!J373</f>
        <v>139.38</v>
      </c>
      <c r="U373" s="39">
        <v>134.796666666666</v>
      </c>
      <c r="V373" s="39">
        <v>134.973333333333</v>
      </c>
      <c r="W373" s="40">
        <v>135.076666666666</v>
      </c>
      <c r="X373" s="40">
        <v>135.356666666666</v>
      </c>
      <c r="Y373" s="40">
        <v>134.693333333333</v>
      </c>
      <c r="Z373" s="40">
        <v>134.516666666666</v>
      </c>
      <c r="AA373" s="40">
        <v>134.236666666666</v>
      </c>
      <c r="AB373" s="40">
        <v>135.16</v>
      </c>
      <c r="AC373" s="40">
        <v>135.595</v>
      </c>
      <c r="AD373" s="40">
        <v>134.130036935985</v>
      </c>
      <c r="AE373" s="40">
        <v>132.92831</v>
      </c>
      <c r="AF373" s="40">
        <v>0.67569</v>
      </c>
      <c r="AG373" s="40">
        <v>136.51</v>
      </c>
      <c r="AH373" s="45">
        <v>44211.0</v>
      </c>
      <c r="AI373" s="44" t="str">
        <f>'6image_RS_benchmark_performance'!B373</f>
        <v>https://3arbzfbsh-cname-us.ngrok.io/Desktop/seabridge%20fintech/image_app/LQD_resistance_support.jpg</v>
      </c>
      <c r="AJ373" s="44" t="str">
        <f>'6image_RS_benchmark_performance'!C373</f>
        <v>https://3arbzfbsh-cname-us.ngrok.io/Desktop/seabridge%20fintech/profit_graph_app/LQD_Return.jpg</v>
      </c>
      <c r="AK373" s="46" t="str">
        <f>'5price_action_icon'!B373</f>
        <v>https://3arbzfbsh-cname-us.ngrok.io/Desktop/seabridge%20fintech/icon/LQD_pa_trend_signal</v>
      </c>
      <c r="AL373" s="42">
        <f>'1kpi_performance'!B373</f>
        <v>0.1073804784</v>
      </c>
      <c r="AM373" s="42">
        <f>'1kpi_performance'!C373</f>
        <v>0.1438114686</v>
      </c>
      <c r="AN373" s="42">
        <f>'1kpi_performance'!D373</f>
        <v>0.0908161032</v>
      </c>
      <c r="AO373" s="42">
        <f>'1kpi_performance'!E373</f>
        <v>0.03076133732</v>
      </c>
      <c r="AP373" s="42">
        <f>'1kpi_performance'!F373</f>
        <v>0.05002339812</v>
      </c>
      <c r="AQ373" s="42">
        <f>'1kpi_performance'!G373</f>
        <v>0.05310255794</v>
      </c>
      <c r="AR373" s="42">
        <f>'1kpi_performance'!H373</f>
        <v>0.04942119794</v>
      </c>
      <c r="AS373" s="42">
        <f>'1kpi_performance'!I373</f>
        <v>0.08603783403</v>
      </c>
      <c r="AT373" s="35">
        <f>'1kpi_performance'!J373</f>
        <v>1.646838909</v>
      </c>
      <c r="AU373" s="35">
        <f>'1kpi_performance'!K373</f>
        <v>2.237396336</v>
      </c>
      <c r="AV373" s="35">
        <f>'1kpi_performance'!L373</f>
        <v>1.331738322</v>
      </c>
      <c r="AW373" s="35">
        <f>'1kpi_performance'!M373</f>
        <v>0.06696283542</v>
      </c>
      <c r="AX373" s="42">
        <f>'1kpi_performance'!N373</f>
        <v>0.02736292906</v>
      </c>
      <c r="AY373" s="42">
        <f>'1kpi_performance'!O373</f>
        <v>0.03921717363</v>
      </c>
      <c r="AZ373" s="42">
        <f>'1kpi_performance'!P373</f>
        <v>0.05752861755</v>
      </c>
      <c r="BA373" s="42">
        <f>'1kpi_performance'!Q373</f>
        <v>0.217621211</v>
      </c>
      <c r="BB373" s="35">
        <f>'1kpi_performance'!R373</f>
        <v>3.460027518</v>
      </c>
      <c r="BC373" s="35">
        <f>'1kpi_performance'!S373</f>
        <v>5.251952133</v>
      </c>
      <c r="BD373" s="35">
        <f>'1kpi_performance'!T373</f>
        <v>2.970347744</v>
      </c>
      <c r="BE373" s="35">
        <f>'1kpi_performance'!U373</f>
        <v>0.1243515428</v>
      </c>
      <c r="BF373" s="47"/>
      <c r="BG373" s="47"/>
      <c r="BH373" s="47"/>
      <c r="BI373" s="47"/>
      <c r="BJ373" s="47"/>
      <c r="BK373" s="47"/>
      <c r="BL373" s="47"/>
      <c r="BM373" s="47"/>
      <c r="BN373" s="47"/>
      <c r="BO373" s="47"/>
      <c r="BP373" s="47"/>
      <c r="BQ373" s="47"/>
      <c r="BR373" s="47"/>
      <c r="BS373" s="47"/>
      <c r="BT373" s="47"/>
    </row>
    <row r="374" ht="11.25" customHeight="1">
      <c r="A374" s="35" t="str">
        <f>'13all_company_profile'!A374</f>
        <v>LRCX</v>
      </c>
      <c r="B374" s="35" t="str">
        <f>'13all_company_profile'!B374</f>
        <v>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v>
      </c>
      <c r="C374" s="44" t="str">
        <f>'13all_company_profile'!C374</f>
        <v>https://financialmodelingprep.com/image-stock/LRCX.png</v>
      </c>
      <c r="D374" s="35" t="str">
        <f>'13all_company_profile'!D374</f>
        <v>Lam Research Corporation</v>
      </c>
      <c r="E374" s="36">
        <f>'13all_company_profile'!E374</f>
        <v>87103127552</v>
      </c>
      <c r="F374" s="37">
        <f>'13all_company_profile'!F374</f>
        <v>1268387</v>
      </c>
      <c r="G374" s="35">
        <f>'13all_company_profile'!G374</f>
        <v>5.2</v>
      </c>
      <c r="H374" s="38">
        <f>'13all_company_profile'!H374</f>
        <v>44404</v>
      </c>
      <c r="I374" s="35">
        <f>'13all_company_profile'!I374</f>
        <v>24.975475</v>
      </c>
      <c r="J374" s="35">
        <f>'13all_company_profile'!J374</f>
        <v>23.652</v>
      </c>
      <c r="K374" s="42">
        <f t="shared" si="1"/>
        <v>0.00856545158</v>
      </c>
      <c r="L374" s="35">
        <f>'7company_info'!B374</f>
        <v>607.09</v>
      </c>
      <c r="M374" s="35">
        <f>'7company_info'!C374</f>
        <v>611.78</v>
      </c>
      <c r="N374" s="35">
        <f>'7company_info'!D374</f>
        <v>588.19</v>
      </c>
      <c r="O374" s="35">
        <f>'7company_info'!E374</f>
        <v>15.57</v>
      </c>
      <c r="P374" s="35">
        <f>'7company_info'!F374</f>
        <v>0.0263</v>
      </c>
      <c r="Q374" s="35">
        <f>'7company_info'!G374</f>
        <v>595.94</v>
      </c>
      <c r="R374" s="35">
        <f>'7company_info'!H374</f>
        <v>591.52</v>
      </c>
      <c r="S374" s="35">
        <f>'7company_info'!I374</f>
        <v>292.28</v>
      </c>
      <c r="T374" s="35">
        <f>'7company_info'!J374</f>
        <v>673.8</v>
      </c>
      <c r="U374" s="39">
        <v>624.91</v>
      </c>
      <c r="V374" s="39">
        <v>633.469999999999</v>
      </c>
      <c r="W374" s="40">
        <v>649.06</v>
      </c>
      <c r="X374" s="40">
        <v>673.209999999999</v>
      </c>
      <c r="Y374" s="40">
        <v>609.319999999999</v>
      </c>
      <c r="Z374" s="40">
        <v>600.76</v>
      </c>
      <c r="AA374" s="40">
        <v>576.61</v>
      </c>
      <c r="AB374" s="40">
        <v>615.55</v>
      </c>
      <c r="AC374" s="40">
        <v>637.71</v>
      </c>
      <c r="AD374" s="40">
        <v>626.857488117866</v>
      </c>
      <c r="AE374" s="40">
        <v>592.68039</v>
      </c>
      <c r="AF374" s="40">
        <v>16.592805</v>
      </c>
      <c r="AG374" s="40">
        <v>673.8</v>
      </c>
      <c r="AH374" s="45">
        <v>44348.0</v>
      </c>
      <c r="AI374" s="44" t="str">
        <f>'6image_RS_benchmark_performance'!B374</f>
        <v>https://3arbzfbsh-cname-us.ngrok.io/Desktop/seabridge%20fintech/image_app/LRCX_resistance_support.jpg</v>
      </c>
      <c r="AJ374" s="44" t="str">
        <f>'6image_RS_benchmark_performance'!C374</f>
        <v>https://3arbzfbsh-cname-us.ngrok.io/Desktop/seabridge%20fintech/profit_graph_app/LRCX_Return.jpg</v>
      </c>
      <c r="AK374" s="46" t="str">
        <f>'5price_action_icon'!B374</f>
        <v>https://3arbzfbsh-cname-us.ngrok.io/Desktop/seabridge%20fintech/icon/LRCX_pa_trend_signal</v>
      </c>
      <c r="AL374" s="42">
        <f>'1kpi_performance'!B374</f>
        <v>0.872458434</v>
      </c>
      <c r="AM374" s="42">
        <f>'1kpi_performance'!C374</f>
        <v>1.268353952</v>
      </c>
      <c r="AN374" s="42">
        <f>'1kpi_performance'!D374</f>
        <v>0.8422967508</v>
      </c>
      <c r="AO374" s="42">
        <f>'1kpi_performance'!E374</f>
        <v>0.4226982811</v>
      </c>
      <c r="AP374" s="42">
        <f>'1kpi_performance'!F374</f>
        <v>0.3008304068</v>
      </c>
      <c r="AQ374" s="42">
        <f>'1kpi_performance'!G374</f>
        <v>0.3088036774</v>
      </c>
      <c r="AR374" s="42">
        <f>'1kpi_performance'!H374</f>
        <v>0.2771186818</v>
      </c>
      <c r="AS374" s="42">
        <f>'1kpi_performance'!I374</f>
        <v>0.4406748282</v>
      </c>
      <c r="AT374" s="35">
        <f>'1kpi_performance'!J374</f>
        <v>2.81706375</v>
      </c>
      <c r="AU374" s="35">
        <f>'1kpi_performance'!K374</f>
        <v>4.026357335</v>
      </c>
      <c r="AV374" s="35">
        <f>'1kpi_performance'!L374</f>
        <v>2.949266161</v>
      </c>
      <c r="AW374" s="35">
        <f>'1kpi_performance'!M374</f>
        <v>0.9024756025</v>
      </c>
      <c r="AX374" s="42">
        <f>'1kpi_performance'!N374</f>
        <v>0.1968507797</v>
      </c>
      <c r="AY374" s="42">
        <f>'1kpi_performance'!O374</f>
        <v>0.1620573097</v>
      </c>
      <c r="AZ374" s="42">
        <f>'1kpi_performance'!P374</f>
        <v>0.2471539525</v>
      </c>
      <c r="BA374" s="42">
        <f>'1kpi_performance'!Q374</f>
        <v>0.4639493064</v>
      </c>
      <c r="BB374" s="35">
        <f>'1kpi_performance'!R374</f>
        <v>6.090067217</v>
      </c>
      <c r="BC374" s="35">
        <f>'1kpi_performance'!S374</f>
        <v>9.402038899</v>
      </c>
      <c r="BD374" s="35">
        <f>'1kpi_performance'!T374</f>
        <v>6.404013747</v>
      </c>
      <c r="BE374" s="35">
        <f>'1kpi_performance'!U374</f>
        <v>1.817370407</v>
      </c>
      <c r="BF374" s="47"/>
      <c r="BG374" s="47"/>
      <c r="BH374" s="47"/>
      <c r="BI374" s="47"/>
      <c r="BJ374" s="47"/>
      <c r="BK374" s="47"/>
      <c r="BL374" s="47"/>
      <c r="BM374" s="47"/>
      <c r="BN374" s="47"/>
      <c r="BO374" s="47"/>
      <c r="BP374" s="47"/>
      <c r="BQ374" s="47"/>
      <c r="BR374" s="47"/>
      <c r="BS374" s="47"/>
      <c r="BT374" s="47"/>
    </row>
    <row r="375" ht="11.25" customHeight="1">
      <c r="A375" s="35" t="str">
        <f>'13all_company_profile'!A375</f>
        <v>LULU</v>
      </c>
      <c r="B375" s="35" t="str">
        <f>'13all_company_profile'!B375</f>
        <v>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v>
      </c>
      <c r="C375" s="44" t="str">
        <f>'13all_company_profile'!C375</f>
        <v>https://financialmodelingprep.com/image-stock/LULU.png</v>
      </c>
      <c r="D375" s="35" t="str">
        <f>'13all_company_profile'!D375</f>
        <v>Lululemon Athletica Inc.</v>
      </c>
      <c r="E375" s="36">
        <f>'13all_company_profile'!E375</f>
        <v>50917621760</v>
      </c>
      <c r="F375" s="37">
        <f>'13all_company_profile'!F375</f>
        <v>1038630</v>
      </c>
      <c r="G375" s="35">
        <f>'13all_company_profile'!G375</f>
        <v>0</v>
      </c>
      <c r="H375" s="38" t="str">
        <f>'13all_company_profile'!H375</f>
        <v>not avaiable</v>
      </c>
      <c r="I375" s="35">
        <f>'13all_company_profile'!I375</f>
        <v>68.97755</v>
      </c>
      <c r="J375" s="35">
        <f>'13all_company_profile'!J375</f>
        <v>5.389</v>
      </c>
      <c r="K375" s="42" t="str">
        <f t="shared" si="1"/>
        <v>NaN</v>
      </c>
      <c r="L375" s="35">
        <f>'7company_info'!B375</f>
        <v>383.3</v>
      </c>
      <c r="M375" s="35">
        <f>'7company_info'!C375</f>
        <v>387.92</v>
      </c>
      <c r="N375" s="35">
        <f>'7company_info'!D375</f>
        <v>373.56</v>
      </c>
      <c r="O375" s="35">
        <f>'7company_info'!E375</f>
        <v>10.26</v>
      </c>
      <c r="P375" s="35">
        <f>'7company_info'!F375</f>
        <v>0.0275</v>
      </c>
      <c r="Q375" s="35">
        <f>'7company_info'!G375</f>
        <v>375.27</v>
      </c>
      <c r="R375" s="35">
        <f>'7company_info'!H375</f>
        <v>373.04</v>
      </c>
      <c r="S375" s="35">
        <f>'7company_info'!I375</f>
        <v>269.28</v>
      </c>
      <c r="T375" s="35">
        <f>'7company_info'!J375</f>
        <v>399.9</v>
      </c>
      <c r="U375" s="39">
        <v>379.571666666666</v>
      </c>
      <c r="V375" s="39">
        <v>383.318333333333</v>
      </c>
      <c r="W375" s="40">
        <v>389.646666666666</v>
      </c>
      <c r="X375" s="40">
        <v>399.721666666666</v>
      </c>
      <c r="Y375" s="40">
        <v>373.243333333333</v>
      </c>
      <c r="Z375" s="40">
        <v>369.496666666666</v>
      </c>
      <c r="AA375" s="40">
        <v>359.421666666666</v>
      </c>
      <c r="AB375" s="40">
        <v>357.02</v>
      </c>
      <c r="AC375" s="40">
        <v>385.9</v>
      </c>
      <c r="AD375" s="40">
        <v>362.223311222532</v>
      </c>
      <c r="AE375" s="40">
        <v>356.58825</v>
      </c>
      <c r="AF375" s="40">
        <v>7.637165</v>
      </c>
      <c r="AG375" s="40">
        <v>371.0</v>
      </c>
      <c r="AH375" s="45">
        <v>44372.0</v>
      </c>
      <c r="AI375" s="44" t="str">
        <f>'6image_RS_benchmark_performance'!B375</f>
        <v>https://3arbzfbsh-cname-us.ngrok.io/Desktop/seabridge%20fintech/image_app/LULU_resistance_support.jpg</v>
      </c>
      <c r="AJ375" s="44" t="str">
        <f>'6image_RS_benchmark_performance'!C375</f>
        <v>https://3arbzfbsh-cname-us.ngrok.io/Desktop/seabridge%20fintech/profit_graph_app/LULU_Return.jpg</v>
      </c>
      <c r="AK375" s="46" t="str">
        <f>'5price_action_icon'!B375</f>
        <v>https://3arbzfbsh-cname-us.ngrok.io/Desktop/seabridge%20fintech/icon/LULU_pa_trend_signal</v>
      </c>
      <c r="AL375" s="42">
        <f>'1kpi_performance'!B375</f>
        <v>1.319916894</v>
      </c>
      <c r="AM375" s="42">
        <f>'1kpi_performance'!C375</f>
        <v>1.528389705</v>
      </c>
      <c r="AN375" s="42">
        <f>'1kpi_performance'!D375</f>
        <v>1.086213716</v>
      </c>
      <c r="AO375" s="42">
        <f>'1kpi_performance'!E375</f>
        <v>0.4854612562</v>
      </c>
      <c r="AP375" s="42">
        <f>'1kpi_performance'!F375</f>
        <v>0.3405032954</v>
      </c>
      <c r="AQ375" s="42">
        <f>'1kpi_performance'!G375</f>
        <v>0.347525548</v>
      </c>
      <c r="AR375" s="42">
        <f>'1kpi_performance'!H375</f>
        <v>0.3644363521</v>
      </c>
      <c r="AS375" s="42">
        <f>'1kpi_performance'!I375</f>
        <v>0.4921639663</v>
      </c>
      <c r="AT375" s="35">
        <f>'1kpi_performance'!J375</f>
        <v>3.802949668</v>
      </c>
      <c r="AU375" s="35">
        <f>'1kpi_performance'!K375</f>
        <v>4.325983266</v>
      </c>
      <c r="AV375" s="35">
        <f>'1kpi_performance'!L375</f>
        <v>2.911931562</v>
      </c>
      <c r="AW375" s="35">
        <f>'1kpi_performance'!M375</f>
        <v>0.9355850645</v>
      </c>
      <c r="AX375" s="42">
        <f>'1kpi_performance'!N375</f>
        <v>0.1932277226</v>
      </c>
      <c r="AY375" s="42">
        <f>'1kpi_performance'!O375</f>
        <v>0.1732183284</v>
      </c>
      <c r="AZ375" s="42">
        <f>'1kpi_performance'!P375</f>
        <v>0.3218587313</v>
      </c>
      <c r="BA375" s="42">
        <f>'1kpi_performance'!Q375</f>
        <v>0.5472775887</v>
      </c>
      <c r="BB375" s="35">
        <f>'1kpi_performance'!R375</f>
        <v>9.153247704</v>
      </c>
      <c r="BC375" s="35">
        <f>'1kpi_performance'!S375</f>
        <v>11.24313587</v>
      </c>
      <c r="BD375" s="35">
        <f>'1kpi_performance'!T375</f>
        <v>6.030948395</v>
      </c>
      <c r="BE375" s="35">
        <f>'1kpi_performance'!U375</f>
        <v>1.827748599</v>
      </c>
      <c r="BF375" s="47"/>
      <c r="BG375" s="47"/>
      <c r="BH375" s="47"/>
      <c r="BI375" s="47"/>
      <c r="BJ375" s="47"/>
      <c r="BK375" s="47"/>
      <c r="BL375" s="47"/>
      <c r="BM375" s="47"/>
      <c r="BN375" s="47"/>
      <c r="BO375" s="47"/>
      <c r="BP375" s="47"/>
      <c r="BQ375" s="47"/>
      <c r="BR375" s="47"/>
      <c r="BS375" s="47"/>
      <c r="BT375" s="47"/>
    </row>
    <row r="376" ht="11.25" customHeight="1">
      <c r="A376" s="35" t="str">
        <f>'13all_company_profile'!A376</f>
        <v>LUMN</v>
      </c>
      <c r="B376" s="35" t="str">
        <f>'13all_company_profile'!B376</f>
        <v>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v>
      </c>
      <c r="C376" s="44" t="str">
        <f>'13all_company_profile'!C376</f>
        <v>https://financialmodelingprep.com/image-stock/LUMN.png</v>
      </c>
      <c r="D376" s="35" t="str">
        <f>'13all_company_profile'!D376</f>
        <v>Lumen Technologies, Inc.</v>
      </c>
      <c r="E376" s="36">
        <f>'13all_company_profile'!E376</f>
        <v>14601144320</v>
      </c>
      <c r="F376" s="37">
        <f>'13all_company_profile'!F376</f>
        <v>8717550</v>
      </c>
      <c r="G376" s="35">
        <f>'13all_company_profile'!G376</f>
        <v>1</v>
      </c>
      <c r="H376" s="38">
        <f>'13all_company_profile'!H376</f>
        <v>44412</v>
      </c>
      <c r="I376" s="35" t="str">
        <f>'13all_company_profile'!I376</f>
        <v>NaN</v>
      </c>
      <c r="J376" s="35">
        <f>'13all_company_profile'!J376</f>
        <v>-0.991</v>
      </c>
      <c r="K376" s="42">
        <f t="shared" si="1"/>
        <v>0.07782101167</v>
      </c>
      <c r="L376" s="35">
        <f>'7company_info'!B376</f>
        <v>12.85</v>
      </c>
      <c r="M376" s="35">
        <f>'7company_info'!C376</f>
        <v>13.02</v>
      </c>
      <c r="N376" s="35">
        <f>'7company_info'!D376</f>
        <v>12.64</v>
      </c>
      <c r="O376" s="35">
        <f>'7company_info'!E376</f>
        <v>0.22</v>
      </c>
      <c r="P376" s="35">
        <f>'7company_info'!F376</f>
        <v>0.0174</v>
      </c>
      <c r="Q376" s="35">
        <f>'7company_info'!G376</f>
        <v>12.73</v>
      </c>
      <c r="R376" s="35">
        <f>'7company_info'!H376</f>
        <v>12.63</v>
      </c>
      <c r="S376" s="35">
        <f>'7company_info'!I376</f>
        <v>8.51</v>
      </c>
      <c r="T376" s="35">
        <f>'7company_info'!J376</f>
        <v>16.6</v>
      </c>
      <c r="U376" s="39">
        <v>13.3266666666666</v>
      </c>
      <c r="V376" s="39">
        <v>13.4533333333333</v>
      </c>
      <c r="W376" s="40">
        <v>13.6966666666666</v>
      </c>
      <c r="X376" s="40">
        <v>14.0666666666666</v>
      </c>
      <c r="Y376" s="40">
        <v>13.0833333333333</v>
      </c>
      <c r="Z376" s="40">
        <v>12.9566666666666</v>
      </c>
      <c r="AA376" s="40">
        <v>12.5866666666666</v>
      </c>
      <c r="AB376" s="40">
        <v>14.59</v>
      </c>
      <c r="AC376" s="40">
        <v>15.105</v>
      </c>
      <c r="AD376" s="40">
        <v>13.7213522148827</v>
      </c>
      <c r="AE376" s="40">
        <v>12.65725</v>
      </c>
      <c r="AF376" s="40">
        <v>0.332625</v>
      </c>
      <c r="AG376" s="40">
        <v>16.6</v>
      </c>
      <c r="AH376" s="45">
        <v>44223.0</v>
      </c>
      <c r="AI376" s="44" t="str">
        <f>'6image_RS_benchmark_performance'!B376</f>
        <v>https://3arbzfbsh-cname-us.ngrok.io/Desktop/seabridge%20fintech/image_app/LUMN_resistance_support.jpg</v>
      </c>
      <c r="AJ376" s="44" t="str">
        <f>'6image_RS_benchmark_performance'!C376</f>
        <v>https://3arbzfbsh-cname-us.ngrok.io/Desktop/seabridge%20fintech/profit_graph_app/LUMN_Return.jpg</v>
      </c>
      <c r="AK376" s="46" t="str">
        <f>'5price_action_icon'!B376</f>
        <v>https://3arbzfbsh-cname-us.ngrok.io/Desktop/seabridge%20fintech/icon/LUMN_pa_trend_signal</v>
      </c>
      <c r="AL376" s="42">
        <f>'1kpi_performance'!B376</f>
        <v>0.5056353297</v>
      </c>
      <c r="AM376" s="42">
        <f>'1kpi_performance'!C376</f>
        <v>0.7263758095</v>
      </c>
      <c r="AN376" s="42">
        <f>'1kpi_performance'!D376</f>
        <v>0.5622559543</v>
      </c>
      <c r="AO376" s="42">
        <f>'1kpi_performance'!E376</f>
        <v>-0.1125217232</v>
      </c>
      <c r="AP376" s="42">
        <f>'1kpi_performance'!F376</f>
        <v>0.2932797215</v>
      </c>
      <c r="AQ376" s="42">
        <f>'1kpi_performance'!G376</f>
        <v>0.2506223853</v>
      </c>
      <c r="AR376" s="42">
        <f>'1kpi_performance'!H376</f>
        <v>0.2712796217</v>
      </c>
      <c r="AS376" s="42">
        <f>'1kpi_performance'!I376</f>
        <v>0.4027951284</v>
      </c>
      <c r="AT376" s="35">
        <f>'1kpi_performance'!J376</f>
        <v>1.638829058</v>
      </c>
      <c r="AU376" s="35">
        <f>'1kpi_performance'!K376</f>
        <v>2.798536166</v>
      </c>
      <c r="AV376" s="35">
        <f>'1kpi_performance'!L376</f>
        <v>1.980450839</v>
      </c>
      <c r="AW376" s="35">
        <f>'1kpi_performance'!M376</f>
        <v>-0.3414185363</v>
      </c>
      <c r="AX376" s="42">
        <f>'1kpi_performance'!N376</f>
        <v>0.2367452882</v>
      </c>
      <c r="AY376" s="42">
        <f>'1kpi_performance'!O376</f>
        <v>0.1095729469</v>
      </c>
      <c r="AZ376" s="42">
        <f>'1kpi_performance'!P376</f>
        <v>0.2827804107</v>
      </c>
      <c r="BA376" s="42">
        <f>'1kpi_performance'!Q376</f>
        <v>0.8158119658</v>
      </c>
      <c r="BB376" s="35">
        <f>'1kpi_performance'!R376</f>
        <v>3.382138041</v>
      </c>
      <c r="BC376" s="35">
        <f>'1kpi_performance'!S376</f>
        <v>7.382298375</v>
      </c>
      <c r="BD376" s="35">
        <f>'1kpi_performance'!T376</f>
        <v>4.147692952</v>
      </c>
      <c r="BE376" s="35">
        <f>'1kpi_performance'!U376</f>
        <v>-0.6310856015</v>
      </c>
      <c r="BF376" s="47"/>
      <c r="BG376" s="47"/>
      <c r="BH376" s="47"/>
      <c r="BI376" s="47"/>
      <c r="BJ376" s="47"/>
      <c r="BK376" s="47"/>
      <c r="BL376" s="47"/>
      <c r="BM376" s="47"/>
      <c r="BN376" s="47"/>
      <c r="BO376" s="47"/>
      <c r="BP376" s="47"/>
      <c r="BQ376" s="47"/>
      <c r="BR376" s="47"/>
      <c r="BS376" s="47"/>
      <c r="BT376" s="47"/>
    </row>
    <row r="377" ht="11.25" customHeight="1">
      <c r="A377" s="35" t="str">
        <f>'13all_company_profile'!A377</f>
        <v>LUV</v>
      </c>
      <c r="B377" s="35" t="str">
        <f>'13all_company_profile'!B377</f>
        <v>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v>
      </c>
      <c r="C377" s="44" t="str">
        <f>'13all_company_profile'!C377</f>
        <v>https://financialmodelingprep.com/image-stock/LUV.png</v>
      </c>
      <c r="D377" s="35" t="str">
        <f>'13all_company_profile'!D377</f>
        <v>Southwest Airlines Co.</v>
      </c>
      <c r="E377" s="36">
        <f>'13all_company_profile'!E377</f>
        <v>30645157888</v>
      </c>
      <c r="F377" s="37">
        <f>'13all_company_profile'!F377</f>
        <v>6129196</v>
      </c>
      <c r="G377" s="35">
        <f>'13all_company_profile'!G377</f>
        <v>0.18</v>
      </c>
      <c r="H377" s="38">
        <f>'13all_company_profile'!H377</f>
        <v>44399</v>
      </c>
      <c r="I377" s="35" t="str">
        <f>'13all_company_profile'!I377</f>
        <v>NaN</v>
      </c>
      <c r="J377" s="35">
        <f>'13all_company_profile'!J377</f>
        <v>-4.906</v>
      </c>
      <c r="K377" s="42">
        <f t="shared" si="1"/>
        <v>0.00349990278</v>
      </c>
      <c r="L377" s="35">
        <f>'7company_info'!B377</f>
        <v>51.43</v>
      </c>
      <c r="M377" s="35">
        <f>'7company_info'!C377</f>
        <v>51.59</v>
      </c>
      <c r="N377" s="35">
        <f>'7company_info'!D377</f>
        <v>48.56</v>
      </c>
      <c r="O377" s="35">
        <f>'7company_info'!E377</f>
        <v>2.93</v>
      </c>
      <c r="P377" s="35">
        <f>'7company_info'!F377</f>
        <v>0.0604</v>
      </c>
      <c r="Q377" s="35">
        <f>'7company_info'!G377</f>
        <v>48.86</v>
      </c>
      <c r="R377" s="35">
        <f>'7company_info'!H377</f>
        <v>48.5</v>
      </c>
      <c r="S377" s="35">
        <f>'7company_info'!I377</f>
        <v>30.24</v>
      </c>
      <c r="T377" s="35">
        <f>'7company_info'!J377</f>
        <v>64.75</v>
      </c>
      <c r="U377" s="39">
        <v>52.0433333333333</v>
      </c>
      <c r="V377" s="39">
        <v>52.5166666666666</v>
      </c>
      <c r="W377" s="40">
        <v>53.0533333333333</v>
      </c>
      <c r="X377" s="40">
        <v>54.0633333333333</v>
      </c>
      <c r="Y377" s="40">
        <v>51.5066666666666</v>
      </c>
      <c r="Z377" s="40">
        <v>51.0333333333333</v>
      </c>
      <c r="AA377" s="40">
        <v>50.0233333333333</v>
      </c>
      <c r="AB377" s="40">
        <v>51.72</v>
      </c>
      <c r="AC377" s="40">
        <v>58.07</v>
      </c>
      <c r="AD377" s="40">
        <v>53.9428048937531</v>
      </c>
      <c r="AE377" s="40">
        <v>49.02871</v>
      </c>
      <c r="AF377" s="40">
        <v>1.267145</v>
      </c>
      <c r="AG377" s="40">
        <v>64.75</v>
      </c>
      <c r="AH377" s="45">
        <v>44300.0</v>
      </c>
      <c r="AI377" s="44" t="str">
        <f>'6image_RS_benchmark_performance'!B377</f>
        <v>https://3arbzfbsh-cname-us.ngrok.io/Desktop/seabridge%20fintech/image_app/LUV_resistance_support.jpg</v>
      </c>
      <c r="AJ377" s="44" t="str">
        <f>'6image_RS_benchmark_performance'!C377</f>
        <v>https://3arbzfbsh-cname-us.ngrok.io/Desktop/seabridge%20fintech/profit_graph_app/LUV_Return.jpg</v>
      </c>
      <c r="AK377" s="46" t="str">
        <f>'5price_action_icon'!B377</f>
        <v>https://3arbzfbsh-cname-us.ngrok.io/Desktop/seabridge%20fintech/icon/LUV_pa_trend_signal</v>
      </c>
      <c r="AL377" s="42">
        <f>'1kpi_performance'!B377</f>
        <v>0.8279560295</v>
      </c>
      <c r="AM377" s="42">
        <f>'1kpi_performance'!C377</f>
        <v>0.9991662883</v>
      </c>
      <c r="AN377" s="42">
        <f>'1kpi_performance'!D377</f>
        <v>0.8613368746</v>
      </c>
      <c r="AO377" s="42">
        <f>'1kpi_performance'!E377</f>
        <v>0.2044719469</v>
      </c>
      <c r="AP377" s="42">
        <f>'1kpi_performance'!F377</f>
        <v>0.2712219165</v>
      </c>
      <c r="AQ377" s="42">
        <f>'1kpi_performance'!G377</f>
        <v>0.2507642345</v>
      </c>
      <c r="AR377" s="42">
        <f>'1kpi_performance'!H377</f>
        <v>0.2636094055</v>
      </c>
      <c r="AS377" s="42">
        <f>'1kpi_performance'!I377</f>
        <v>0.3889117569</v>
      </c>
      <c r="AT377" s="35">
        <f>'1kpi_performance'!J377</f>
        <v>2.960513073</v>
      </c>
      <c r="AU377" s="35">
        <f>'1kpi_performance'!K377</f>
        <v>3.884789592</v>
      </c>
      <c r="AV377" s="35">
        <f>'1kpi_performance'!L377</f>
        <v>3.172636701</v>
      </c>
      <c r="AW377" s="35">
        <f>'1kpi_performance'!M377</f>
        <v>0.4614721559</v>
      </c>
      <c r="AX377" s="42">
        <f>'1kpi_performance'!N377</f>
        <v>0.2803049247</v>
      </c>
      <c r="AY377" s="42">
        <f>'1kpi_performance'!O377</f>
        <v>0.148678147</v>
      </c>
      <c r="AZ377" s="42">
        <f>'1kpi_performance'!P377</f>
        <v>0.4210526316</v>
      </c>
      <c r="BA377" s="42">
        <f>'1kpi_performance'!Q377</f>
        <v>0.6399155227</v>
      </c>
      <c r="BB377" s="35">
        <f>'1kpi_performance'!R377</f>
        <v>6.277930001</v>
      </c>
      <c r="BC377" s="35">
        <f>'1kpi_performance'!S377</f>
        <v>9.10580182</v>
      </c>
      <c r="BD377" s="35">
        <f>'1kpi_performance'!T377</f>
        <v>6.960745846</v>
      </c>
      <c r="BE377" s="35">
        <f>'1kpi_performance'!U377</f>
        <v>0.9012968744</v>
      </c>
      <c r="BF377" s="47"/>
      <c r="BG377" s="47"/>
      <c r="BH377" s="47"/>
      <c r="BI377" s="47"/>
      <c r="BJ377" s="47"/>
      <c r="BK377" s="47"/>
      <c r="BL377" s="47"/>
      <c r="BM377" s="47"/>
      <c r="BN377" s="47"/>
      <c r="BO377" s="47"/>
      <c r="BP377" s="47"/>
      <c r="BQ377" s="47"/>
      <c r="BR377" s="47"/>
      <c r="BS377" s="47"/>
      <c r="BT377" s="47"/>
    </row>
    <row r="378" ht="11.25" customHeight="1">
      <c r="A378" s="35" t="str">
        <f>'13all_company_profile'!A378</f>
        <v>LVS</v>
      </c>
      <c r="B378" s="35" t="str">
        <f>'13all_company_profile'!B378</f>
        <v>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v>
      </c>
      <c r="C378" s="44" t="str">
        <f>'13all_company_profile'!C378</f>
        <v>https://financialmodelingprep.com/image-stock/LVS.png</v>
      </c>
      <c r="D378" s="35" t="str">
        <f>'13all_company_profile'!D378</f>
        <v>Las Vegas Sands Corp.</v>
      </c>
      <c r="E378" s="36">
        <f>'13all_company_profile'!E378</f>
        <v>37741109248</v>
      </c>
      <c r="F378" s="37">
        <f>'13all_company_profile'!F378</f>
        <v>5839950</v>
      </c>
      <c r="G378" s="35">
        <f>'13all_company_profile'!G378</f>
        <v>0.79</v>
      </c>
      <c r="H378" s="38">
        <f>'13all_company_profile'!H378</f>
        <v>44397</v>
      </c>
      <c r="I378" s="35" t="str">
        <f>'13all_company_profile'!I378</f>
        <v>NaN</v>
      </c>
      <c r="J378" s="35">
        <f>'13all_company_profile'!J378</f>
        <v>-2.575</v>
      </c>
      <c r="K378" s="42">
        <f t="shared" si="1"/>
        <v>0.01653411469</v>
      </c>
      <c r="L378" s="35">
        <f>'7company_info'!B378</f>
        <v>47.78</v>
      </c>
      <c r="M378" s="35">
        <f>'7company_info'!C378</f>
        <v>48.2</v>
      </c>
      <c r="N378" s="35">
        <f>'7company_info'!D378</f>
        <v>46.79</v>
      </c>
      <c r="O378" s="35">
        <f>'7company_info'!E378</f>
        <v>0.44</v>
      </c>
      <c r="P378" s="35">
        <f>'7company_info'!F378</f>
        <v>0.0093</v>
      </c>
      <c r="Q378" s="35">
        <f>'7company_info'!G378</f>
        <v>47.17</v>
      </c>
      <c r="R378" s="35">
        <f>'7company_info'!H378</f>
        <v>47.34</v>
      </c>
      <c r="S378" s="35">
        <f>'7company_info'!I378</f>
        <v>42.58</v>
      </c>
      <c r="T378" s="35">
        <f>'7company_info'!J378</f>
        <v>66.77</v>
      </c>
      <c r="U378" s="39">
        <v>50.38</v>
      </c>
      <c r="V378" s="39">
        <v>50.81</v>
      </c>
      <c r="W378" s="40">
        <v>51.5</v>
      </c>
      <c r="X378" s="40">
        <v>52.62</v>
      </c>
      <c r="Y378" s="40">
        <v>49.69</v>
      </c>
      <c r="Z378" s="40">
        <v>49.26</v>
      </c>
      <c r="AA378" s="40">
        <v>48.14</v>
      </c>
      <c r="AB378" s="40">
        <v>51.35</v>
      </c>
      <c r="AC378" s="40">
        <v>52.0</v>
      </c>
      <c r="AD378" s="40">
        <v>52.3725408391253</v>
      </c>
      <c r="AE378" s="40">
        <v>47.851</v>
      </c>
      <c r="AF378" s="40">
        <v>1.33349999999999</v>
      </c>
      <c r="AG378" s="40">
        <v>66.765</v>
      </c>
      <c r="AH378" s="45">
        <v>44258.0</v>
      </c>
      <c r="AI378" s="44" t="str">
        <f>'6image_RS_benchmark_performance'!B378</f>
        <v>https://3arbzfbsh-cname-us.ngrok.io/Desktop/seabridge%20fintech/image_app/LVS_resistance_support.jpg</v>
      </c>
      <c r="AJ378" s="44" t="str">
        <f>'6image_RS_benchmark_performance'!C378</f>
        <v>https://3arbzfbsh-cname-us.ngrok.io/Desktop/seabridge%20fintech/profit_graph_app/LVS_Return.jpg</v>
      </c>
      <c r="AK378" s="46" t="str">
        <f>'5price_action_icon'!B378</f>
        <v>https://3arbzfbsh-cname-us.ngrok.io/Desktop/seabridge%20fintech/icon/LVS_pa_trend_signal</v>
      </c>
      <c r="AL378" s="42">
        <f>'1kpi_performance'!B378</f>
        <v>0.8023890825</v>
      </c>
      <c r="AM378" s="42">
        <f>'1kpi_performance'!C378</f>
        <v>1.091874534</v>
      </c>
      <c r="AN378" s="42">
        <f>'1kpi_performance'!D378</f>
        <v>0.7897758693</v>
      </c>
      <c r="AO378" s="42">
        <f>'1kpi_performance'!E378</f>
        <v>0.1440599587</v>
      </c>
      <c r="AP378" s="42">
        <f>'1kpi_performance'!F378</f>
        <v>0.3168588837</v>
      </c>
      <c r="AQ378" s="42">
        <f>'1kpi_performance'!G378</f>
        <v>0.3283509981</v>
      </c>
      <c r="AR378" s="42">
        <f>'1kpi_performance'!H378</f>
        <v>0.2788822635</v>
      </c>
      <c r="AS378" s="42">
        <f>'1kpi_performance'!I378</f>
        <v>0.4529862338</v>
      </c>
      <c r="AT378" s="35">
        <f>'1kpi_performance'!J378</f>
        <v>2.453423661</v>
      </c>
      <c r="AU378" s="35">
        <f>'1kpi_performance'!K378</f>
        <v>3.249189253</v>
      </c>
      <c r="AV378" s="35">
        <f>'1kpi_performance'!L378</f>
        <v>2.742289379</v>
      </c>
      <c r="AW378" s="35">
        <f>'1kpi_performance'!M378</f>
        <v>0.2628335031</v>
      </c>
      <c r="AX378" s="42">
        <f>'1kpi_performance'!N378</f>
        <v>0.2158808933</v>
      </c>
      <c r="AY378" s="42">
        <f>'1kpi_performance'!O378</f>
        <v>0.2721140409</v>
      </c>
      <c r="AZ378" s="42">
        <f>'1kpi_performance'!P378</f>
        <v>0.2641014319</v>
      </c>
      <c r="BA378" s="42">
        <f>'1kpi_performance'!Q378</f>
        <v>0.5789773374</v>
      </c>
      <c r="BB378" s="35">
        <f>'1kpi_performance'!R378</f>
        <v>5.214616335</v>
      </c>
      <c r="BC378" s="35">
        <f>'1kpi_performance'!S378</f>
        <v>7.346146385</v>
      </c>
      <c r="BD378" s="35">
        <f>'1kpi_performance'!T378</f>
        <v>6.043946731</v>
      </c>
      <c r="BE378" s="35">
        <f>'1kpi_performance'!U378</f>
        <v>0.5268066913</v>
      </c>
      <c r="BF378" s="47"/>
      <c r="BG378" s="47"/>
      <c r="BH378" s="47"/>
      <c r="BI378" s="47"/>
      <c r="BJ378" s="47"/>
      <c r="BK378" s="47"/>
      <c r="BL378" s="47"/>
      <c r="BM378" s="47"/>
      <c r="BN378" s="47"/>
      <c r="BO378" s="47"/>
      <c r="BP378" s="47"/>
      <c r="BQ378" s="47"/>
      <c r="BR378" s="47"/>
      <c r="BS378" s="47"/>
      <c r="BT378" s="47"/>
    </row>
    <row r="379" ht="11.25" customHeight="1">
      <c r="A379" s="35" t="str">
        <f>'13all_company_profile'!A379</f>
        <v>LW</v>
      </c>
      <c r="B379" s="35" t="str">
        <f>'13all_company_profile'!B379</f>
        <v>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v>
      </c>
      <c r="C379" s="44" t="str">
        <f>'13all_company_profile'!C379</f>
        <v>https://financialmodelingprep.com/image-stock/LW.png</v>
      </c>
      <c r="D379" s="35" t="str">
        <f>'13all_company_profile'!D379</f>
        <v>Lamb Weston Holdings, Inc.</v>
      </c>
      <c r="E379" s="36">
        <f>'13all_company_profile'!E379</f>
        <v>11494840320</v>
      </c>
      <c r="F379" s="37">
        <f>'13all_company_profile'!F379</f>
        <v>767652</v>
      </c>
      <c r="G379" s="35">
        <f>'13all_company_profile'!G379</f>
        <v>0.93</v>
      </c>
      <c r="H379" s="38">
        <f>'13all_company_profile'!H379</f>
        <v>44404</v>
      </c>
      <c r="I379" s="35">
        <f>'13all_company_profile'!I379</f>
        <v>45.584793</v>
      </c>
      <c r="J379" s="35">
        <f>'13all_company_profile'!J379</f>
        <v>1.71</v>
      </c>
      <c r="K379" s="42">
        <f t="shared" si="1"/>
        <v>0.01224006317</v>
      </c>
      <c r="L379" s="35">
        <f>'7company_info'!B379</f>
        <v>75.98</v>
      </c>
      <c r="M379" s="35">
        <f>'7company_info'!C379</f>
        <v>76.34</v>
      </c>
      <c r="N379" s="35">
        <f>'7company_info'!D379</f>
        <v>74.09</v>
      </c>
      <c r="O379" s="35">
        <f>'7company_info'!E379</f>
        <v>1.88</v>
      </c>
      <c r="P379" s="35">
        <f>'7company_info'!F379</f>
        <v>0.0254</v>
      </c>
      <c r="Q379" s="35">
        <f>'7company_info'!G379</f>
        <v>74.09</v>
      </c>
      <c r="R379" s="35">
        <f>'7company_info'!H379</f>
        <v>74.1</v>
      </c>
      <c r="S379" s="35">
        <f>'7company_info'!I379</f>
        <v>58.68</v>
      </c>
      <c r="T379" s="35">
        <f>'7company_info'!J379</f>
        <v>86.41</v>
      </c>
      <c r="U379" s="39">
        <v>77.8533333333333</v>
      </c>
      <c r="V379" s="39">
        <v>78.3666666666666</v>
      </c>
      <c r="W379" s="40">
        <v>78.7333333333333</v>
      </c>
      <c r="X379" s="40">
        <v>79.6133333333333</v>
      </c>
      <c r="Y379" s="40">
        <v>77.4866666666666</v>
      </c>
      <c r="Z379" s="40">
        <v>76.9733333333333</v>
      </c>
      <c r="AA379" s="40">
        <v>76.0933333333333</v>
      </c>
      <c r="AB379" s="40">
        <v>79.85</v>
      </c>
      <c r="AC379" s="40">
        <v>79.65</v>
      </c>
      <c r="AD379" s="40">
        <v>79.9386541725237</v>
      </c>
      <c r="AE379" s="40">
        <v>75.1270199999999</v>
      </c>
      <c r="AF379" s="40">
        <v>1.39048999999999</v>
      </c>
      <c r="AG379" s="40">
        <v>86.41</v>
      </c>
      <c r="AH379" s="45">
        <v>44263.0</v>
      </c>
      <c r="AI379" s="44" t="str">
        <f>'6image_RS_benchmark_performance'!B379</f>
        <v>https://3arbzfbsh-cname-us.ngrok.io/Desktop/seabridge%20fintech/image_app/LW_resistance_support.jpg</v>
      </c>
      <c r="AJ379" s="44" t="str">
        <f>'6image_RS_benchmark_performance'!C379</f>
        <v>https://3arbzfbsh-cname-us.ngrok.io/Desktop/seabridge%20fintech/profit_graph_app/LW_Return.jpg</v>
      </c>
      <c r="AK379" s="46" t="str">
        <f>'5price_action_icon'!B379</f>
        <v>https://3arbzfbsh-cname-us.ngrok.io/Desktop/seabridge%20fintech/icon/LW_pa_trend_signal</v>
      </c>
      <c r="AL379" s="42">
        <f>'1kpi_performance'!B379</f>
        <v>0.6587599483</v>
      </c>
      <c r="AM379" s="42">
        <f>'1kpi_performance'!C379</f>
        <v>0.9031037182</v>
      </c>
      <c r="AN379" s="42">
        <f>'1kpi_performance'!D379</f>
        <v>0.7024929847</v>
      </c>
      <c r="AO379" s="42">
        <f>'1kpi_performance'!E379</f>
        <v>0.288303969</v>
      </c>
      <c r="AP379" s="42">
        <f>'1kpi_performance'!F379</f>
        <v>0.2902065243</v>
      </c>
      <c r="AQ379" s="42">
        <f>'1kpi_performance'!G379</f>
        <v>0.2673182267</v>
      </c>
      <c r="AR379" s="42">
        <f>'1kpi_performance'!H379</f>
        <v>0.2341696576</v>
      </c>
      <c r="AS379" s="42">
        <f>'1kpi_performance'!I379</f>
        <v>0.4003734223</v>
      </c>
      <c r="AT379" s="35">
        <f>'1kpi_performance'!J379</f>
        <v>2.183823916</v>
      </c>
      <c r="AU379" s="35">
        <f>'1kpi_performance'!K379</f>
        <v>3.284862873</v>
      </c>
      <c r="AV379" s="35">
        <f>'1kpi_performance'!L379</f>
        <v>2.893171523</v>
      </c>
      <c r="AW379" s="35">
        <f>'1kpi_performance'!M379</f>
        <v>0.6576459733</v>
      </c>
      <c r="AX379" s="42">
        <f>'1kpi_performance'!N379</f>
        <v>0.1745451439</v>
      </c>
      <c r="AY379" s="42">
        <f>'1kpi_performance'!O379</f>
        <v>0.1522773623</v>
      </c>
      <c r="AZ379" s="42">
        <f>'1kpi_performance'!P379</f>
        <v>0.1570046701</v>
      </c>
      <c r="BA379" s="42">
        <f>'1kpi_performance'!Q379</f>
        <v>0.5305100657</v>
      </c>
      <c r="BB379" s="35">
        <f>'1kpi_performance'!R379</f>
        <v>4.308760175</v>
      </c>
      <c r="BC379" s="35">
        <f>'1kpi_performance'!S379</f>
        <v>7.235160867</v>
      </c>
      <c r="BD379" s="35">
        <f>'1kpi_performance'!T379</f>
        <v>6.470131107</v>
      </c>
      <c r="BE379" s="35">
        <f>'1kpi_performance'!U379</f>
        <v>1.208694237</v>
      </c>
      <c r="BF379" s="47"/>
      <c r="BG379" s="47"/>
      <c r="BH379" s="47"/>
      <c r="BI379" s="47"/>
      <c r="BJ379" s="47"/>
      <c r="BK379" s="47"/>
      <c r="BL379" s="47"/>
      <c r="BM379" s="47"/>
      <c r="BN379" s="47"/>
      <c r="BO379" s="47"/>
      <c r="BP379" s="47"/>
      <c r="BQ379" s="47"/>
      <c r="BR379" s="47"/>
      <c r="BS379" s="47"/>
      <c r="BT379" s="47"/>
    </row>
    <row r="380" ht="11.25" customHeight="1">
      <c r="A380" s="35" t="str">
        <f>'13all_company_profile'!A380</f>
        <v>LYB</v>
      </c>
      <c r="B380" s="35" t="str">
        <f>'13all_company_profile'!B380</f>
        <v>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v>
      </c>
      <c r="C380" s="44" t="str">
        <f>'13all_company_profile'!C380</f>
        <v>https://financialmodelingprep.com/image-stock/LYB.png</v>
      </c>
      <c r="D380" s="35" t="str">
        <f>'13all_company_profile'!D380</f>
        <v>LyondellBasell Industries N.V.</v>
      </c>
      <c r="E380" s="36">
        <f>'13all_company_profile'!E380</f>
        <v>33789812736</v>
      </c>
      <c r="F380" s="37">
        <f>'13all_company_profile'!F380</f>
        <v>1578298</v>
      </c>
      <c r="G380" s="35">
        <f>'13all_company_profile'!G380</f>
        <v>4.28</v>
      </c>
      <c r="H380" s="38">
        <f>'13all_company_profile'!H380</f>
        <v>44406</v>
      </c>
      <c r="I380" s="35">
        <f>'13all_company_profile'!I380</f>
        <v>13.713061</v>
      </c>
      <c r="J380" s="35">
        <f>'13all_company_profile'!J380</f>
        <v>7.005</v>
      </c>
      <c r="K380" s="42">
        <f t="shared" si="1"/>
        <v>0.04505263158</v>
      </c>
      <c r="L380" s="35">
        <f>'7company_info'!B380</f>
        <v>95</v>
      </c>
      <c r="M380" s="35">
        <f>'7company_info'!C380</f>
        <v>95.94</v>
      </c>
      <c r="N380" s="35">
        <f>'7company_info'!D380</f>
        <v>92.59</v>
      </c>
      <c r="O380" s="35">
        <f>'7company_info'!E380</f>
        <v>2.71</v>
      </c>
      <c r="P380" s="35">
        <f>'7company_info'!F380</f>
        <v>0.0294</v>
      </c>
      <c r="Q380" s="35">
        <f>'7company_info'!G380</f>
        <v>92.84</v>
      </c>
      <c r="R380" s="35">
        <f>'7company_info'!H380</f>
        <v>92.29</v>
      </c>
      <c r="S380" s="35">
        <f>'7company_info'!I380</f>
        <v>61.52</v>
      </c>
      <c r="T380" s="35">
        <f>'7company_info'!J380</f>
        <v>118.02</v>
      </c>
      <c r="U380" s="39">
        <v>102.253333333333</v>
      </c>
      <c r="V380" s="39">
        <v>103.316666666666</v>
      </c>
      <c r="W380" s="40">
        <v>105.213333333333</v>
      </c>
      <c r="X380" s="40">
        <v>108.173333333333</v>
      </c>
      <c r="Y380" s="40">
        <v>100.356666666666</v>
      </c>
      <c r="Z380" s="40">
        <v>99.2933333333333</v>
      </c>
      <c r="AA380" s="40">
        <v>96.3333333333333</v>
      </c>
      <c r="AB380" s="40">
        <v>99.11</v>
      </c>
      <c r="AC380" s="40">
        <v>100.902</v>
      </c>
      <c r="AD380" s="40">
        <v>103.380884580866</v>
      </c>
      <c r="AE380" s="40">
        <v>96.61307</v>
      </c>
      <c r="AF380" s="40">
        <v>2.730965</v>
      </c>
      <c r="AG380" s="40">
        <v>118.015</v>
      </c>
      <c r="AH380" s="45">
        <v>44350.0</v>
      </c>
      <c r="AI380" s="44" t="str">
        <f>'6image_RS_benchmark_performance'!B380</f>
        <v>https://3arbzfbsh-cname-us.ngrok.io/Desktop/seabridge%20fintech/image_app/LYB_resistance_support.jpg</v>
      </c>
      <c r="AJ380" s="44" t="str">
        <f>'6image_RS_benchmark_performance'!C380</f>
        <v>https://3arbzfbsh-cname-us.ngrok.io/Desktop/seabridge%20fintech/profit_graph_app/LYB_Return.jpg</v>
      </c>
      <c r="AK380" s="46" t="str">
        <f>'5price_action_icon'!B380</f>
        <v>https://3arbzfbsh-cname-us.ngrok.io/Desktop/seabridge%20fintech/icon/LYB_pa_trend_signal</v>
      </c>
      <c r="AL380" s="42">
        <f>'1kpi_performance'!B380</f>
        <v>0.6988048387</v>
      </c>
      <c r="AM380" s="42">
        <f>'1kpi_performance'!C380</f>
        <v>0.9280063473</v>
      </c>
      <c r="AN380" s="42">
        <f>'1kpi_performance'!D380</f>
        <v>0.5351832991</v>
      </c>
      <c r="AO380" s="42">
        <f>'1kpi_performance'!E380</f>
        <v>0.2152558761</v>
      </c>
      <c r="AP380" s="42">
        <f>'1kpi_performance'!F380</f>
        <v>0.3019455304</v>
      </c>
      <c r="AQ380" s="42">
        <f>'1kpi_performance'!G380</f>
        <v>0.3059489629</v>
      </c>
      <c r="AR380" s="42">
        <f>'1kpi_performance'!H380</f>
        <v>0.285777795</v>
      </c>
      <c r="AS380" s="42">
        <f>'1kpi_performance'!I380</f>
        <v>0.448462722</v>
      </c>
      <c r="AT380" s="35">
        <f>'1kpi_performance'!J380</f>
        <v>2.231544338</v>
      </c>
      <c r="AU380" s="35">
        <f>'1kpi_performance'!K380</f>
        <v>2.951493409</v>
      </c>
      <c r="AV380" s="35">
        <f>'1kpi_performance'!L380</f>
        <v>1.785244718</v>
      </c>
      <c r="AW380" s="35">
        <f>'1kpi_performance'!M380</f>
        <v>0.4242401135</v>
      </c>
      <c r="AX380" s="42">
        <f>'1kpi_performance'!N380</f>
        <v>0.347826087</v>
      </c>
      <c r="AY380" s="42">
        <f>'1kpi_performance'!O380</f>
        <v>0.347826087</v>
      </c>
      <c r="AZ380" s="42">
        <f>'1kpi_performance'!P380</f>
        <v>0.3062236548</v>
      </c>
      <c r="BA380" s="42">
        <f>'1kpi_performance'!Q380</f>
        <v>0.7127335583</v>
      </c>
      <c r="BB380" s="35">
        <f>'1kpi_performance'!R380</f>
        <v>4.536501137</v>
      </c>
      <c r="BC380" s="35">
        <f>'1kpi_performance'!S380</f>
        <v>6.50676979</v>
      </c>
      <c r="BD380" s="35">
        <f>'1kpi_performance'!T380</f>
        <v>3.546688506</v>
      </c>
      <c r="BE380" s="35">
        <f>'1kpi_performance'!U380</f>
        <v>0.797701682</v>
      </c>
      <c r="BF380" s="47"/>
      <c r="BG380" s="47"/>
      <c r="BH380" s="47"/>
      <c r="BI380" s="47"/>
      <c r="BJ380" s="47"/>
      <c r="BK380" s="47"/>
      <c r="BL380" s="47"/>
      <c r="BM380" s="47"/>
      <c r="BN380" s="47"/>
      <c r="BO380" s="47"/>
      <c r="BP380" s="47"/>
      <c r="BQ380" s="47"/>
      <c r="BR380" s="47"/>
      <c r="BS380" s="47"/>
      <c r="BT380" s="47"/>
    </row>
    <row r="381" ht="11.25" customHeight="1">
      <c r="A381" s="35" t="str">
        <f>'13all_company_profile'!A381</f>
        <v>LYFT</v>
      </c>
      <c r="B381" s="35" t="str">
        <f>'13all_company_profile'!B381</f>
        <v>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v>
      </c>
      <c r="C381" s="44" t="str">
        <f>'13all_company_profile'!C381</f>
        <v>https://financialmodelingprep.com/image-stock/LYFT.png</v>
      </c>
      <c r="D381" s="35" t="str">
        <f>'13all_company_profile'!D381</f>
        <v>Lyft, Inc.</v>
      </c>
      <c r="E381" s="36">
        <f>'13all_company_profile'!E381</f>
        <v>18026528768</v>
      </c>
      <c r="F381" s="37">
        <f>'13all_company_profile'!F381</f>
        <v>6733088</v>
      </c>
      <c r="G381" s="35">
        <f>'13all_company_profile'!G381</f>
        <v>0</v>
      </c>
      <c r="H381" s="38" t="str">
        <f>'13all_company_profile'!H381</f>
        <v>not avaiable</v>
      </c>
      <c r="I381" s="35" t="str">
        <f>'13all_company_profile'!I381</f>
        <v>NaN</v>
      </c>
      <c r="J381" s="35">
        <f>'13all_company_profile'!J381</f>
        <v>-5.611</v>
      </c>
      <c r="K381" s="42" t="str">
        <f t="shared" si="1"/>
        <v>NaN</v>
      </c>
      <c r="L381" s="35">
        <f>'7company_info'!B381</f>
        <v>52.95</v>
      </c>
      <c r="M381" s="35">
        <f>'7company_info'!C381</f>
        <v>53.06</v>
      </c>
      <c r="N381" s="35">
        <f>'7company_info'!D381</f>
        <v>50.78</v>
      </c>
      <c r="O381" s="35">
        <f>'7company_info'!E381</f>
        <v>1.23</v>
      </c>
      <c r="P381" s="35">
        <f>'7company_info'!F381</f>
        <v>0.0238</v>
      </c>
      <c r="Q381" s="35">
        <f>'7company_info'!G381</f>
        <v>52.01</v>
      </c>
      <c r="R381" s="35">
        <f>'7company_info'!H381</f>
        <v>51.72</v>
      </c>
      <c r="S381" s="35">
        <f>'7company_info'!I381</f>
        <v>21.34</v>
      </c>
      <c r="T381" s="35">
        <f>'7company_info'!J381</f>
        <v>68.28</v>
      </c>
      <c r="U381" s="39">
        <v>56.3283333333333</v>
      </c>
      <c r="V381" s="39">
        <v>57.2316666666666</v>
      </c>
      <c r="W381" s="40">
        <v>58.6333333333333</v>
      </c>
      <c r="X381" s="40">
        <v>60.9383333333333</v>
      </c>
      <c r="Y381" s="40">
        <v>54.9266666666666</v>
      </c>
      <c r="Z381" s="40">
        <v>54.0233333333333</v>
      </c>
      <c r="AA381" s="40">
        <v>51.7183333333333</v>
      </c>
      <c r="AB381" s="40">
        <v>60.66</v>
      </c>
      <c r="AC381" s="40">
        <v>60.3</v>
      </c>
      <c r="AD381" s="40">
        <v>58.7592602341387</v>
      </c>
      <c r="AE381" s="40">
        <v>52.8171</v>
      </c>
      <c r="AF381" s="40">
        <v>2.1562</v>
      </c>
      <c r="AG381" s="40">
        <v>68.28</v>
      </c>
      <c r="AH381" s="45">
        <v>44273.0</v>
      </c>
      <c r="AI381" s="44" t="str">
        <f>'6image_RS_benchmark_performance'!B381</f>
        <v>https://3arbzfbsh-cname-us.ngrok.io/Desktop/seabridge%20fintech/image_app/LYFT_resistance_support.jpg</v>
      </c>
      <c r="AJ381" s="44" t="str">
        <f>'6image_RS_benchmark_performance'!C381</f>
        <v>https://3arbzfbsh-cname-us.ngrok.io/Desktop/seabridge%20fintech/profit_graph_app/LYFT_Return.jpg</v>
      </c>
      <c r="AK381" s="46" t="str">
        <f>'5price_action_icon'!B381</f>
        <v>https://3arbzfbsh-cname-us.ngrok.io/Desktop/seabridge%20fintech/icon/LYFT_pa_trend_signal</v>
      </c>
      <c r="AL381" s="42">
        <f>'1kpi_performance'!B381</f>
        <v>0.9064129629</v>
      </c>
      <c r="AM381" s="42">
        <f>'1kpi_performance'!C381</f>
        <v>2.033549139</v>
      </c>
      <c r="AN381" s="42">
        <f>'1kpi_performance'!D381</f>
        <v>1.20772798</v>
      </c>
      <c r="AO381" s="42">
        <f>'1kpi_performance'!E381</f>
        <v>-0.1901867315</v>
      </c>
      <c r="AP381" s="42">
        <f>'1kpi_performance'!F381</f>
        <v>0.5963488862</v>
      </c>
      <c r="AQ381" s="42">
        <f>'1kpi_performance'!G381</f>
        <v>0.6247556626</v>
      </c>
      <c r="AR381" s="42">
        <f>'1kpi_performance'!H381</f>
        <v>0.532075518</v>
      </c>
      <c r="AS381" s="42">
        <f>'1kpi_performance'!I381</f>
        <v>0.8227747004</v>
      </c>
      <c r="AT381" s="35">
        <f>'1kpi_performance'!J381</f>
        <v>1.47801561</v>
      </c>
      <c r="AU381" s="35">
        <f>'1kpi_performance'!K381</f>
        <v>3.214935469</v>
      </c>
      <c r="AV381" s="35">
        <f>'1kpi_performance'!L381</f>
        <v>2.222857358</v>
      </c>
      <c r="AW381" s="35">
        <f>'1kpi_performance'!M381</f>
        <v>-0.2615378565</v>
      </c>
      <c r="AX381" s="42">
        <f>'1kpi_performance'!N381</f>
        <v>0.3532572196</v>
      </c>
      <c r="AY381" s="42">
        <f>'1kpi_performance'!O381</f>
        <v>0.3532572196</v>
      </c>
      <c r="AZ381" s="42">
        <f>'1kpi_performance'!P381</f>
        <v>0.2935910563</v>
      </c>
      <c r="BA381" s="42">
        <f>'1kpi_performance'!Q381</f>
        <v>0.7844190732</v>
      </c>
      <c r="BB381" s="35">
        <f>'1kpi_performance'!R381</f>
        <v>3.085712038</v>
      </c>
      <c r="BC381" s="35">
        <f>'1kpi_performance'!S381</f>
        <v>7.391288813</v>
      </c>
      <c r="BD381" s="35">
        <f>'1kpi_performance'!T381</f>
        <v>5.37115008</v>
      </c>
      <c r="BE381" s="35">
        <f>'1kpi_performance'!U381</f>
        <v>-0.546349935</v>
      </c>
      <c r="BF381" s="47"/>
      <c r="BG381" s="47"/>
      <c r="BH381" s="47"/>
      <c r="BI381" s="47"/>
      <c r="BJ381" s="47"/>
      <c r="BK381" s="47"/>
      <c r="BL381" s="47"/>
      <c r="BM381" s="47"/>
      <c r="BN381" s="47"/>
      <c r="BO381" s="47"/>
      <c r="BP381" s="47"/>
      <c r="BQ381" s="47"/>
      <c r="BR381" s="47"/>
      <c r="BS381" s="47"/>
      <c r="BT381" s="47"/>
    </row>
    <row r="382" ht="11.25" customHeight="1">
      <c r="A382" s="35" t="str">
        <f>'13all_company_profile'!A382</f>
        <v>LYV</v>
      </c>
      <c r="B382" s="35" t="str">
        <f>'13all_company_profile'!B382</f>
        <v>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v>
      </c>
      <c r="C382" s="44" t="str">
        <f>'13all_company_profile'!C382</f>
        <v>https://financialmodelingprep.com/image-stock/LYV.png</v>
      </c>
      <c r="D382" s="35" t="str">
        <f>'13all_company_profile'!D382</f>
        <v>Live Nation Entertainment, Inc.</v>
      </c>
      <c r="E382" s="36">
        <f>'13all_company_profile'!E382</f>
        <v>17531815936</v>
      </c>
      <c r="F382" s="37">
        <f>'13all_company_profile'!F382</f>
        <v>2114049</v>
      </c>
      <c r="G382" s="35">
        <f>'13all_company_profile'!G382</f>
        <v>0</v>
      </c>
      <c r="H382" s="38">
        <f>'13all_company_profile'!H382</f>
        <v>44411</v>
      </c>
      <c r="I382" s="35" t="str">
        <f>'13all_company_profile'!I382</f>
        <v>NaN</v>
      </c>
      <c r="J382" s="35">
        <f>'13all_company_profile'!J382</f>
        <v>-8.596</v>
      </c>
      <c r="K382" s="42" t="str">
        <f t="shared" si="1"/>
        <v>NaN</v>
      </c>
      <c r="L382" s="35">
        <f>'7company_info'!B382</f>
        <v>76.99</v>
      </c>
      <c r="M382" s="35">
        <f>'7company_info'!C382</f>
        <v>77.5</v>
      </c>
      <c r="N382" s="35">
        <f>'7company_info'!D382</f>
        <v>74.5</v>
      </c>
      <c r="O382" s="35">
        <f>'7company_info'!E382</f>
        <v>2.2</v>
      </c>
      <c r="P382" s="35">
        <f>'7company_info'!F382</f>
        <v>0.0294</v>
      </c>
      <c r="Q382" s="35">
        <f>'7company_info'!G382</f>
        <v>75.41</v>
      </c>
      <c r="R382" s="35">
        <f>'7company_info'!H382</f>
        <v>74.79</v>
      </c>
      <c r="S382" s="35">
        <f>'7company_info'!I382</f>
        <v>44.95</v>
      </c>
      <c r="T382" s="35">
        <f>'7company_info'!J382</f>
        <v>94.63</v>
      </c>
      <c r="U382" s="39">
        <v>81.2683333333333</v>
      </c>
      <c r="V382" s="39">
        <v>82.0166666666666</v>
      </c>
      <c r="W382" s="40">
        <v>83.0933333333333</v>
      </c>
      <c r="X382" s="40">
        <v>84.9183333333333</v>
      </c>
      <c r="Y382" s="40">
        <v>80.1916666666666</v>
      </c>
      <c r="Z382" s="40">
        <v>79.4433333333333</v>
      </c>
      <c r="AA382" s="40">
        <v>77.6183333333333</v>
      </c>
      <c r="AB382" s="40">
        <v>83.55</v>
      </c>
      <c r="AC382" s="40">
        <v>89.97</v>
      </c>
      <c r="AD382" s="40">
        <v>85.7778276975527</v>
      </c>
      <c r="AE382" s="40">
        <v>76.30753</v>
      </c>
      <c r="AF382" s="40">
        <v>2.728485</v>
      </c>
      <c r="AG382" s="40">
        <v>94.63</v>
      </c>
      <c r="AH382" s="45">
        <v>44258.0</v>
      </c>
      <c r="AI382" s="44" t="str">
        <f>'6image_RS_benchmark_performance'!B382</f>
        <v>https://3arbzfbsh-cname-us.ngrok.io/Desktop/seabridge%20fintech/image_app/LYV_resistance_support.jpg</v>
      </c>
      <c r="AJ382" s="44" t="str">
        <f>'6image_RS_benchmark_performance'!C382</f>
        <v>https://3arbzfbsh-cname-us.ngrok.io/Desktop/seabridge%20fintech/profit_graph_app/LYV_Return.jpg</v>
      </c>
      <c r="AK382" s="46" t="str">
        <f>'5price_action_icon'!B382</f>
        <v>https://3arbzfbsh-cname-us.ngrok.io/Desktop/seabridge%20fintech/icon/LYV_pa_trend_signal</v>
      </c>
      <c r="AL382" s="42">
        <f>'1kpi_performance'!B382</f>
        <v>0.7793688279</v>
      </c>
      <c r="AM382" s="42">
        <f>'1kpi_performance'!C382</f>
        <v>1.054749255</v>
      </c>
      <c r="AN382" s="42">
        <f>'1kpi_performance'!D382</f>
        <v>1.002553319</v>
      </c>
      <c r="AO382" s="42">
        <f>'1kpi_performance'!E382</f>
        <v>0.3112308972</v>
      </c>
      <c r="AP382" s="42">
        <f>'1kpi_performance'!F382</f>
        <v>0.3312039551</v>
      </c>
      <c r="AQ382" s="42">
        <f>'1kpi_performance'!G382</f>
        <v>0.3198829163</v>
      </c>
      <c r="AR382" s="42">
        <f>'1kpi_performance'!H382</f>
        <v>0.3112235315</v>
      </c>
      <c r="AS382" s="42">
        <f>'1kpi_performance'!I382</f>
        <v>0.4574913379</v>
      </c>
      <c r="AT382" s="35">
        <f>'1kpi_performance'!J382</f>
        <v>2.27765646</v>
      </c>
      <c r="AU382" s="35">
        <f>'1kpi_performance'!K382</f>
        <v>3.219144262</v>
      </c>
      <c r="AV382" s="35">
        <f>'1kpi_performance'!L382</f>
        <v>3.141000665</v>
      </c>
      <c r="AW382" s="35">
        <f>'1kpi_performance'!M382</f>
        <v>0.625653151</v>
      </c>
      <c r="AX382" s="42">
        <f>'1kpi_performance'!N382</f>
        <v>0.2880169671</v>
      </c>
      <c r="AY382" s="42">
        <f>'1kpi_performance'!O382</f>
        <v>0.2099442061</v>
      </c>
      <c r="AZ382" s="42">
        <f>'1kpi_performance'!P382</f>
        <v>0.3166671716</v>
      </c>
      <c r="BA382" s="42">
        <f>'1kpi_performance'!Q382</f>
        <v>0.6122502629</v>
      </c>
      <c r="BB382" s="35">
        <f>'1kpi_performance'!R382</f>
        <v>4.997679548</v>
      </c>
      <c r="BC382" s="35">
        <f>'1kpi_performance'!S382</f>
        <v>7.828186997</v>
      </c>
      <c r="BD382" s="35">
        <f>'1kpi_performance'!T382</f>
        <v>7.18266896</v>
      </c>
      <c r="BE382" s="35">
        <f>'1kpi_performance'!U382</f>
        <v>1.258360991</v>
      </c>
      <c r="BF382" s="47"/>
      <c r="BG382" s="47"/>
      <c r="BH382" s="47"/>
      <c r="BI382" s="47"/>
      <c r="BJ382" s="47"/>
      <c r="BK382" s="47"/>
      <c r="BL382" s="47"/>
      <c r="BM382" s="47"/>
      <c r="BN382" s="47"/>
      <c r="BO382" s="47"/>
      <c r="BP382" s="47"/>
      <c r="BQ382" s="47"/>
      <c r="BR382" s="47"/>
      <c r="BS382" s="47"/>
      <c r="BT382" s="47"/>
    </row>
    <row r="383" ht="11.25" customHeight="1">
      <c r="A383" s="35" t="str">
        <f>'13all_company_profile'!A383</f>
        <v>MA</v>
      </c>
      <c r="B383" s="35" t="str">
        <f>'13all_company_profile'!B383</f>
        <v>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v>
      </c>
      <c r="C383" s="44" t="str">
        <f>'13all_company_profile'!C383</f>
        <v>https://financialmodelingprep.com/image-stock/MA.png</v>
      </c>
      <c r="D383" s="35" t="str">
        <f>'13all_company_profile'!D383</f>
        <v>Mastercard Incorporated</v>
      </c>
      <c r="E383" s="36">
        <f>'13all_company_profile'!E383</f>
        <v>386567766016</v>
      </c>
      <c r="F383" s="37">
        <f>'13all_company_profile'!F383</f>
        <v>3214171</v>
      </c>
      <c r="G383" s="35">
        <f>'13all_company_profile'!G383</f>
        <v>1.72</v>
      </c>
      <c r="H383" s="38">
        <f>'13all_company_profile'!H383</f>
        <v>44405</v>
      </c>
      <c r="I383" s="35">
        <f>'13all_company_profile'!I383</f>
        <v>59.401653</v>
      </c>
      <c r="J383" s="35">
        <f>'13all_company_profile'!J383</f>
        <v>6.518</v>
      </c>
      <c r="K383" s="42">
        <f t="shared" si="1"/>
        <v>0.004594139801</v>
      </c>
      <c r="L383" s="35">
        <f>'7company_info'!B383</f>
        <v>374.39</v>
      </c>
      <c r="M383" s="35">
        <f>'7company_info'!C383</f>
        <v>376.6</v>
      </c>
      <c r="N383" s="35">
        <f>'7company_info'!D383</f>
        <v>365.27</v>
      </c>
      <c r="O383" s="35">
        <f>'7company_info'!E383</f>
        <v>8.94</v>
      </c>
      <c r="P383" s="35">
        <f>'7company_info'!F383</f>
        <v>0.0245</v>
      </c>
      <c r="Q383" s="35">
        <f>'7company_info'!G383</f>
        <v>367</v>
      </c>
      <c r="R383" s="35">
        <f>'7company_info'!H383</f>
        <v>365.45</v>
      </c>
      <c r="S383" s="35">
        <f>'7company_info'!I383</f>
        <v>281.2</v>
      </c>
      <c r="T383" s="35">
        <f>'7company_info'!J383</f>
        <v>401.5</v>
      </c>
      <c r="U383" s="39">
        <v>388.47</v>
      </c>
      <c r="V383" s="39">
        <v>393.96</v>
      </c>
      <c r="W383" s="40">
        <v>397.12</v>
      </c>
      <c r="X383" s="40">
        <v>405.77</v>
      </c>
      <c r="Y383" s="40">
        <v>385.31</v>
      </c>
      <c r="Z383" s="40">
        <v>379.82</v>
      </c>
      <c r="AA383" s="40">
        <v>371.17</v>
      </c>
      <c r="AB383" s="40">
        <v>371.5</v>
      </c>
      <c r="AC383" s="40">
        <v>378.76</v>
      </c>
      <c r="AD383" s="40">
        <v>374.106614188085</v>
      </c>
      <c r="AE383" s="40">
        <v>369.61291</v>
      </c>
      <c r="AF383" s="40">
        <v>7.180545</v>
      </c>
      <c r="AG383" s="40">
        <v>401.5</v>
      </c>
      <c r="AH383" s="45">
        <v>44314.0</v>
      </c>
      <c r="AI383" s="44" t="str">
        <f>'6image_RS_benchmark_performance'!B383</f>
        <v>https://3arbzfbsh-cname-us.ngrok.io/Desktop/seabridge%20fintech/image_app/MA_resistance_support.jpg</v>
      </c>
      <c r="AJ383" s="44" t="str">
        <f>'6image_RS_benchmark_performance'!C383</f>
        <v>https://3arbzfbsh-cname-us.ngrok.io/Desktop/seabridge%20fintech/profit_graph_app/MA_Return.jpg</v>
      </c>
      <c r="AK383" s="46" t="str">
        <f>'5price_action_icon'!B383</f>
        <v>https://3arbzfbsh-cname-us.ngrok.io/Desktop/seabridge%20fintech/icon/MA_pa_trend_signal</v>
      </c>
      <c r="AL383" s="42">
        <f>'1kpi_performance'!B383</f>
        <v>0.5925603894</v>
      </c>
      <c r="AM383" s="42">
        <f>'1kpi_performance'!C383</f>
        <v>0.7931983477</v>
      </c>
      <c r="AN383" s="42">
        <f>'1kpi_performance'!D383</f>
        <v>0.6188354907</v>
      </c>
      <c r="AO383" s="42">
        <f>'1kpi_performance'!E383</f>
        <v>0.4027340944</v>
      </c>
      <c r="AP383" s="42">
        <f>'1kpi_performance'!F383</f>
        <v>0.213212982</v>
      </c>
      <c r="AQ383" s="42">
        <f>'1kpi_performance'!G383</f>
        <v>0.2349664001</v>
      </c>
      <c r="AR383" s="42">
        <f>'1kpi_performance'!H383</f>
        <v>0.20137912</v>
      </c>
      <c r="AS383" s="42">
        <f>'1kpi_performance'!I383</f>
        <v>0.3367145075</v>
      </c>
      <c r="AT383" s="35">
        <f>'1kpi_performance'!J383</f>
        <v>2.661941051</v>
      </c>
      <c r="AU383" s="35">
        <f>'1kpi_performance'!K383</f>
        <v>3.269396592</v>
      </c>
      <c r="AV383" s="35">
        <f>'1kpi_performance'!L383</f>
        <v>2.948843409</v>
      </c>
      <c r="AW383" s="35">
        <f>'1kpi_performance'!M383</f>
        <v>1.121823046</v>
      </c>
      <c r="AX383" s="42">
        <f>'1kpi_performance'!N383</f>
        <v>0.1662425177</v>
      </c>
      <c r="AY383" s="42">
        <f>'1kpi_performance'!O383</f>
        <v>0.1388444583</v>
      </c>
      <c r="AZ383" s="42">
        <f>'1kpi_performance'!P383</f>
        <v>0.1374124738</v>
      </c>
      <c r="BA383" s="42">
        <f>'1kpi_performance'!Q383</f>
        <v>0.4099721384</v>
      </c>
      <c r="BB383" s="35">
        <f>'1kpi_performance'!R383</f>
        <v>5.707023516</v>
      </c>
      <c r="BC383" s="35">
        <f>'1kpi_performance'!S383</f>
        <v>7.418282331</v>
      </c>
      <c r="BD383" s="35">
        <f>'1kpi_performance'!T383</f>
        <v>6.72427401</v>
      </c>
      <c r="BE383" s="35">
        <f>'1kpi_performance'!U383</f>
        <v>2.228519351</v>
      </c>
      <c r="BF383" s="47"/>
      <c r="BG383" s="47"/>
      <c r="BH383" s="47"/>
      <c r="BI383" s="47"/>
      <c r="BJ383" s="47"/>
      <c r="BK383" s="47"/>
      <c r="BL383" s="47"/>
      <c r="BM383" s="47"/>
      <c r="BN383" s="47"/>
      <c r="BO383" s="47"/>
      <c r="BP383" s="47"/>
      <c r="BQ383" s="47"/>
      <c r="BR383" s="47"/>
      <c r="BS383" s="47"/>
      <c r="BT383" s="47"/>
    </row>
    <row r="384" ht="11.25" customHeight="1">
      <c r="A384" s="35" t="str">
        <f>'13all_company_profile'!A384</f>
        <v>MAA</v>
      </c>
      <c r="B384" s="35" t="str">
        <f>'13all_company_profile'!B384</f>
        <v>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v>
      </c>
      <c r="C384" s="44" t="str">
        <f>'13all_company_profile'!C384</f>
        <v>https://financialmodelingprep.com/image-stock/MAA.png</v>
      </c>
      <c r="D384" s="35" t="str">
        <f>'13all_company_profile'!D384</f>
        <v>Mid-America Apartment Communities, Inc.</v>
      </c>
      <c r="E384" s="36">
        <f>'13all_company_profile'!E384</f>
        <v>21004929024</v>
      </c>
      <c r="F384" s="37">
        <f>'13all_company_profile'!F384</f>
        <v>598634</v>
      </c>
      <c r="G384" s="35">
        <f>'13all_company_profile'!G384</f>
        <v>5.1375</v>
      </c>
      <c r="H384" s="38">
        <f>'13all_company_profile'!H384</f>
        <v>44404</v>
      </c>
      <c r="I384" s="35">
        <f>'13all_company_profile'!I384</f>
        <v>81.047676</v>
      </c>
      <c r="J384" s="35">
        <f>'13all_company_profile'!J384</f>
        <v>2.286</v>
      </c>
      <c r="K384" s="42">
        <f t="shared" si="1"/>
        <v>0.02752772866</v>
      </c>
      <c r="L384" s="35">
        <f>'7company_info'!B384</f>
        <v>186.63</v>
      </c>
      <c r="M384" s="35">
        <f>'7company_info'!C384</f>
        <v>187.35</v>
      </c>
      <c r="N384" s="35">
        <f>'7company_info'!D384</f>
        <v>182.18</v>
      </c>
      <c r="O384" s="35">
        <f>'7company_info'!E384</f>
        <v>3.64</v>
      </c>
      <c r="P384" s="35">
        <f>'7company_info'!F384</f>
        <v>0.0199</v>
      </c>
      <c r="Q384" s="35">
        <f>'7company_info'!G384</f>
        <v>184.08</v>
      </c>
      <c r="R384" s="35">
        <f>'7company_info'!H384</f>
        <v>182.99</v>
      </c>
      <c r="S384" s="35">
        <f>'7company_info'!I384</f>
        <v>108.63</v>
      </c>
      <c r="T384" s="35">
        <f>'7company_info'!J384</f>
        <v>187.35</v>
      </c>
      <c r="U384" s="39">
        <v>181.516666666666</v>
      </c>
      <c r="V384" s="39">
        <v>183.403333333333</v>
      </c>
      <c r="W384" s="40">
        <v>184.396666666666</v>
      </c>
      <c r="X384" s="40">
        <v>187.276666666666</v>
      </c>
      <c r="Y384" s="40">
        <v>180.523333333333</v>
      </c>
      <c r="Z384" s="40">
        <v>178.636666666666</v>
      </c>
      <c r="AA384" s="40">
        <v>175.756666666666</v>
      </c>
      <c r="AB384" s="40">
        <v>175.04</v>
      </c>
      <c r="AC384" s="40">
        <v>182.76</v>
      </c>
      <c r="AD384" s="40">
        <v>173.804978812231</v>
      </c>
      <c r="AE384" s="40">
        <v>175.5995</v>
      </c>
      <c r="AF384" s="40">
        <v>2.59674999999999</v>
      </c>
      <c r="AG384" s="40">
        <v>172.33</v>
      </c>
      <c r="AH384" s="45">
        <v>44357.0</v>
      </c>
      <c r="AI384" s="44" t="str">
        <f>'6image_RS_benchmark_performance'!B384</f>
        <v>https://3arbzfbsh-cname-us.ngrok.io/Desktop/seabridge%20fintech/image_app/MAA_resistance_support.jpg</v>
      </c>
      <c r="AJ384" s="44" t="str">
        <f>'6image_RS_benchmark_performance'!C384</f>
        <v>https://3arbzfbsh-cname-us.ngrok.io/Desktop/seabridge%20fintech/profit_graph_app/MAA_Return.jpg</v>
      </c>
      <c r="AK384" s="46" t="str">
        <f>'5price_action_icon'!B384</f>
        <v>https://3arbzfbsh-cname-us.ngrok.io/Desktop/seabridge%20fintech/icon/MAA_pa_trend_signal</v>
      </c>
      <c r="AL384" s="42">
        <f>'1kpi_performance'!B384</f>
        <v>0.4376348701</v>
      </c>
      <c r="AM384" s="42">
        <f>'1kpi_performance'!C384</f>
        <v>0.5392313774</v>
      </c>
      <c r="AN384" s="42">
        <f>'1kpi_performance'!D384</f>
        <v>0.5080532503</v>
      </c>
      <c r="AO384" s="42">
        <f>'1kpi_performance'!E384</f>
        <v>0.1854917229</v>
      </c>
      <c r="AP384" s="42">
        <f>'1kpi_performance'!F384</f>
        <v>0.1769759101</v>
      </c>
      <c r="AQ384" s="42">
        <f>'1kpi_performance'!G384</f>
        <v>0.1864917816</v>
      </c>
      <c r="AR384" s="42">
        <f>'1kpi_performance'!H384</f>
        <v>0.2044970517</v>
      </c>
      <c r="AS384" s="42">
        <f>'1kpi_performance'!I384</f>
        <v>0.2786260898</v>
      </c>
      <c r="AT384" s="35">
        <f>'1kpi_performance'!J384</f>
        <v>2.331587784</v>
      </c>
      <c r="AU384" s="35">
        <f>'1kpi_performance'!K384</f>
        <v>2.75739431</v>
      </c>
      <c r="AV384" s="35">
        <f>'1kpi_performance'!L384</f>
        <v>2.362152639</v>
      </c>
      <c r="AW384" s="35">
        <f>'1kpi_performance'!M384</f>
        <v>0.5760111085</v>
      </c>
      <c r="AX384" s="42">
        <f>'1kpi_performance'!N384</f>
        <v>0.1117173763</v>
      </c>
      <c r="AY384" s="42">
        <f>'1kpi_performance'!O384</f>
        <v>0.124070632</v>
      </c>
      <c r="AZ384" s="42">
        <f>'1kpi_performance'!P384</f>
        <v>0.4160689655</v>
      </c>
      <c r="BA384" s="42">
        <f>'1kpi_performance'!Q384</f>
        <v>0.4270149557</v>
      </c>
      <c r="BB384" s="35">
        <f>'1kpi_performance'!R384</f>
        <v>4.825493436</v>
      </c>
      <c r="BC384" s="35">
        <f>'1kpi_performance'!S384</f>
        <v>6.035427246</v>
      </c>
      <c r="BD384" s="35">
        <f>'1kpi_performance'!T384</f>
        <v>4.334654479</v>
      </c>
      <c r="BE384" s="35">
        <f>'1kpi_performance'!U384</f>
        <v>1.063161479</v>
      </c>
      <c r="BF384" s="47"/>
      <c r="BG384" s="47"/>
      <c r="BH384" s="47"/>
      <c r="BI384" s="47"/>
      <c r="BJ384" s="47"/>
      <c r="BK384" s="47"/>
      <c r="BL384" s="47"/>
      <c r="BM384" s="47"/>
      <c r="BN384" s="47"/>
      <c r="BO384" s="47"/>
      <c r="BP384" s="47"/>
      <c r="BQ384" s="47"/>
      <c r="BR384" s="47"/>
      <c r="BS384" s="47"/>
      <c r="BT384" s="47"/>
    </row>
    <row r="385" ht="11.25" customHeight="1">
      <c r="A385" s="35" t="str">
        <f>'13all_company_profile'!A385</f>
        <v>MAR</v>
      </c>
      <c r="B385" s="35" t="str">
        <f>'13all_company_profile'!B385</f>
        <v>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v>
      </c>
      <c r="C385" s="44" t="str">
        <f>'13all_company_profile'!C385</f>
        <v>https://financialmodelingprep.com/image-stock/MAR.png</v>
      </c>
      <c r="D385" s="35" t="str">
        <f>'13all_company_profile'!D385</f>
        <v>Marriott International, Inc.</v>
      </c>
      <c r="E385" s="36">
        <f>'13all_company_profile'!E385</f>
        <v>45436411904</v>
      </c>
      <c r="F385" s="37">
        <f>'13all_company_profile'!F385</f>
        <v>2038576</v>
      </c>
      <c r="G385" s="35">
        <f>'13all_company_profile'!G385</f>
        <v>0.48</v>
      </c>
      <c r="H385" s="38" t="str">
        <f>'13all_company_profile'!H385</f>
        <v>not avaiable</v>
      </c>
      <c r="I385" s="35" t="str">
        <f>'13all_company_profile'!I385</f>
        <v>NaN</v>
      </c>
      <c r="J385" s="35">
        <f>'13all_company_profile'!J385</f>
        <v>-0.947</v>
      </c>
      <c r="K385" s="42">
        <f t="shared" si="1"/>
        <v>0.003554765608</v>
      </c>
      <c r="L385" s="35">
        <f>'7company_info'!B385</f>
        <v>135.03</v>
      </c>
      <c r="M385" s="35">
        <f>'7company_info'!C385</f>
        <v>135.92</v>
      </c>
      <c r="N385" s="35">
        <f>'7company_info'!D385</f>
        <v>130.34</v>
      </c>
      <c r="O385" s="35">
        <f>'7company_info'!E385</f>
        <v>4.18</v>
      </c>
      <c r="P385" s="35">
        <f>'7company_info'!F385</f>
        <v>0.0319</v>
      </c>
      <c r="Q385" s="35">
        <f>'7company_info'!G385</f>
        <v>131.28</v>
      </c>
      <c r="R385" s="35">
        <f>'7company_info'!H385</f>
        <v>130.85</v>
      </c>
      <c r="S385" s="35">
        <f>'7company_info'!I385</f>
        <v>81.3</v>
      </c>
      <c r="T385" s="35">
        <f>'7company_info'!J385</f>
        <v>159.98</v>
      </c>
      <c r="U385" s="39">
        <v>139.17</v>
      </c>
      <c r="V385" s="39">
        <v>141.129999999999</v>
      </c>
      <c r="W385" s="40">
        <v>142.629999999999</v>
      </c>
      <c r="X385" s="40">
        <v>146.089999999999</v>
      </c>
      <c r="Y385" s="40">
        <v>137.67</v>
      </c>
      <c r="Z385" s="40">
        <v>135.71</v>
      </c>
      <c r="AA385" s="40">
        <v>132.25</v>
      </c>
      <c r="AB385" s="40">
        <v>134.42</v>
      </c>
      <c r="AC385" s="40">
        <v>145.71</v>
      </c>
      <c r="AD385" s="40">
        <v>140.254986447705</v>
      </c>
      <c r="AE385" s="40">
        <v>132.1206</v>
      </c>
      <c r="AF385" s="40">
        <v>3.23845</v>
      </c>
      <c r="AG385" s="40">
        <v>159.98</v>
      </c>
      <c r="AH385" s="45">
        <v>44252.0</v>
      </c>
      <c r="AI385" s="44" t="str">
        <f>'6image_RS_benchmark_performance'!B385</f>
        <v>https://3arbzfbsh-cname-us.ngrok.io/Desktop/seabridge%20fintech/image_app/MAR_resistance_support.jpg</v>
      </c>
      <c r="AJ385" s="44" t="str">
        <f>'6image_RS_benchmark_performance'!C385</f>
        <v>https://3arbzfbsh-cname-us.ngrok.io/Desktop/seabridge%20fintech/profit_graph_app/MAR_Return.jpg</v>
      </c>
      <c r="AK385" s="46" t="str">
        <f>'5price_action_icon'!B385</f>
        <v>https://3arbzfbsh-cname-us.ngrok.io/Desktop/seabridge%20fintech/icon/MAR_pa_trend_signal</v>
      </c>
      <c r="AL385" s="42">
        <f>'1kpi_performance'!B385</f>
        <v>0.6939688576</v>
      </c>
      <c r="AM385" s="42">
        <f>'1kpi_performance'!C385</f>
        <v>0.8313510167</v>
      </c>
      <c r="AN385" s="42">
        <f>'1kpi_performance'!D385</f>
        <v>0.779907533</v>
      </c>
      <c r="AO385" s="42">
        <f>'1kpi_performance'!E385</f>
        <v>0.2299995014</v>
      </c>
      <c r="AP385" s="42">
        <f>'1kpi_performance'!F385</f>
        <v>0.2661873668</v>
      </c>
      <c r="AQ385" s="42">
        <f>'1kpi_performance'!G385</f>
        <v>0.250617256</v>
      </c>
      <c r="AR385" s="42">
        <f>'1kpi_performance'!H385</f>
        <v>0.2374564917</v>
      </c>
      <c r="AS385" s="42">
        <f>'1kpi_performance'!I385</f>
        <v>0.3745545524</v>
      </c>
      <c r="AT385" s="35">
        <f>'1kpi_performance'!J385</f>
        <v>2.513150289</v>
      </c>
      <c r="AU385" s="35">
        <f>'1kpi_performance'!K385</f>
        <v>3.21746008</v>
      </c>
      <c r="AV385" s="35">
        <f>'1kpi_performance'!L385</f>
        <v>3.179140429</v>
      </c>
      <c r="AW385" s="35">
        <f>'1kpi_performance'!M385</f>
        <v>0.5473154714</v>
      </c>
      <c r="AX385" s="42">
        <f>'1kpi_performance'!N385</f>
        <v>0.3069794721</v>
      </c>
      <c r="AY385" s="42">
        <f>'1kpi_performance'!O385</f>
        <v>0.2609970674</v>
      </c>
      <c r="AZ385" s="42">
        <f>'1kpi_performance'!P385</f>
        <v>0.1530905371</v>
      </c>
      <c r="BA385" s="42">
        <f>'1kpi_performance'!Q385</f>
        <v>0.6141840266</v>
      </c>
      <c r="BB385" s="35">
        <f>'1kpi_performance'!R385</f>
        <v>5.431657049</v>
      </c>
      <c r="BC385" s="35">
        <f>'1kpi_performance'!S385</f>
        <v>7.400445196</v>
      </c>
      <c r="BD385" s="35">
        <f>'1kpi_performance'!T385</f>
        <v>7.306657804</v>
      </c>
      <c r="BE385" s="35">
        <f>'1kpi_performance'!U385</f>
        <v>1.075988169</v>
      </c>
      <c r="BF385" s="47"/>
      <c r="BG385" s="47"/>
      <c r="BH385" s="47"/>
      <c r="BI385" s="47"/>
      <c r="BJ385" s="47"/>
      <c r="BK385" s="47"/>
      <c r="BL385" s="47"/>
      <c r="BM385" s="47"/>
      <c r="BN385" s="47"/>
      <c r="BO385" s="47"/>
      <c r="BP385" s="47"/>
      <c r="BQ385" s="47"/>
      <c r="BR385" s="47"/>
      <c r="BS385" s="47"/>
      <c r="BT385" s="47"/>
    </row>
    <row r="386" ht="11.25" customHeight="1">
      <c r="A386" s="35" t="str">
        <f>'13all_company_profile'!A386</f>
        <v>MARA</v>
      </c>
      <c r="B386" s="35" t="str">
        <f>'13all_company_profile'!B386</f>
        <v>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v>
      </c>
      <c r="C386" s="44" t="str">
        <f>'13all_company_profile'!C386</f>
        <v>https://financialmodelingprep.com/image-stock/MARA.png</v>
      </c>
      <c r="D386" s="35" t="str">
        <f>'13all_company_profile'!D386</f>
        <v>Marathon Digital Holdings, Inc.</v>
      </c>
      <c r="E386" s="36">
        <f>'13all_company_profile'!E386</f>
        <v>2435370752</v>
      </c>
      <c r="F386" s="37">
        <f>'13all_company_profile'!F386</f>
        <v>15681807</v>
      </c>
      <c r="G386" s="35">
        <f>'13all_company_profile'!G386</f>
        <v>0</v>
      </c>
      <c r="H386" s="38" t="str">
        <f>'13all_company_profile'!H386</f>
        <v>not avaiable</v>
      </c>
      <c r="I386" s="35">
        <f>'13all_company_profile'!I386</f>
        <v>32.517384</v>
      </c>
      <c r="J386" s="35">
        <f>'13all_company_profile'!J386</f>
        <v>0.719</v>
      </c>
      <c r="K386" s="42" t="str">
        <f t="shared" si="1"/>
        <v>NaN</v>
      </c>
      <c r="L386" s="35">
        <f>'7company_info'!B386</f>
        <v>22.63</v>
      </c>
      <c r="M386" s="35">
        <f>'7company_info'!C386</f>
        <v>22.9</v>
      </c>
      <c r="N386" s="35">
        <f>'7company_info'!D386</f>
        <v>20.61</v>
      </c>
      <c r="O386" s="35">
        <f>'7company_info'!E386</f>
        <v>0.28</v>
      </c>
      <c r="P386" s="35">
        <f>'7company_info'!F386</f>
        <v>0.0125</v>
      </c>
      <c r="Q386" s="35">
        <f>'7company_info'!G386</f>
        <v>21.95</v>
      </c>
      <c r="R386" s="35">
        <f>'7company_info'!H386</f>
        <v>22.35</v>
      </c>
      <c r="S386" s="35">
        <f>'7company_info'!I386</f>
        <v>0.9</v>
      </c>
      <c r="T386" s="35">
        <f>'7company_info'!J386</f>
        <v>57.75</v>
      </c>
      <c r="U386" s="39">
        <v>25.2766666666666</v>
      </c>
      <c r="V386" s="39">
        <v>25.9833333333333</v>
      </c>
      <c r="W386" s="40">
        <v>27.3266666666666</v>
      </c>
      <c r="X386" s="40">
        <v>29.3766666666666</v>
      </c>
      <c r="Y386" s="40">
        <v>23.9333333333333</v>
      </c>
      <c r="Z386" s="40">
        <v>23.2266666666666</v>
      </c>
      <c r="AA386" s="40">
        <v>21.1766666666666</v>
      </c>
      <c r="AB386" s="40">
        <v>27.42</v>
      </c>
      <c r="AC386" s="40">
        <v>33.72</v>
      </c>
      <c r="AD386" s="40">
        <v>28.0070101868064</v>
      </c>
      <c r="AE386" s="40">
        <v>21.90857</v>
      </c>
      <c r="AF386" s="40">
        <v>1.994215</v>
      </c>
      <c r="AG386" s="40">
        <v>57.75</v>
      </c>
      <c r="AH386" s="45">
        <v>44292.0</v>
      </c>
      <c r="AI386" s="44" t="str">
        <f>'6image_RS_benchmark_performance'!B386</f>
        <v>https://3arbzfbsh-cname-us.ngrok.io/Desktop/seabridge%20fintech/image_app/MARA_resistance_support.jpg</v>
      </c>
      <c r="AJ386" s="44" t="str">
        <f>'6image_RS_benchmark_performance'!C386</f>
        <v>https://3arbzfbsh-cname-us.ngrok.io/Desktop/seabridge%20fintech/profit_graph_app/MARA_Return.jpg</v>
      </c>
      <c r="AK386" s="46" t="str">
        <f>'5price_action_icon'!B386</f>
        <v>https://3arbzfbsh-cname-us.ngrok.io/Desktop/seabridge%20fintech/icon/MARA_pa_trend_signal</v>
      </c>
      <c r="AL386" s="42">
        <f>'1kpi_performance'!B386</f>
        <v>5.003134764</v>
      </c>
      <c r="AM386" s="42">
        <f>'1kpi_performance'!C386</f>
        <v>4.71710857</v>
      </c>
      <c r="AN386" s="42">
        <f>'1kpi_performance'!D386</f>
        <v>1.093586401</v>
      </c>
      <c r="AO386" s="42">
        <f>'1kpi_performance'!E386</f>
        <v>-0.2145025975</v>
      </c>
      <c r="AP386" s="42">
        <f>'1kpi_performance'!F386</f>
        <v>1.915724464</v>
      </c>
      <c r="AQ386" s="42">
        <f>'1kpi_performance'!G386</f>
        <v>1.4703718</v>
      </c>
      <c r="AR386" s="42">
        <f>'1kpi_performance'!H386</f>
        <v>1.619394096</v>
      </c>
      <c r="AS386" s="42">
        <f>'1kpi_performance'!I386</f>
        <v>2.342661089</v>
      </c>
      <c r="AT386" s="35">
        <f>'1kpi_performance'!J386</f>
        <v>2.598565116</v>
      </c>
      <c r="AU386" s="35">
        <f>'1kpi_performance'!K386</f>
        <v>3.191103482</v>
      </c>
      <c r="AV386" s="35">
        <f>'1kpi_performance'!L386</f>
        <v>0.6598680359</v>
      </c>
      <c r="AW386" s="35">
        <f>'1kpi_performance'!M386</f>
        <v>-0.1022352736</v>
      </c>
      <c r="AX386" s="42">
        <f>'1kpi_performance'!N386</f>
        <v>0.6177611899</v>
      </c>
      <c r="AY386" s="42">
        <f>'1kpi_performance'!O386</f>
        <v>0.4888888889</v>
      </c>
      <c r="AZ386" s="42">
        <f>'1kpi_performance'!P386</f>
        <v>0.9276995305</v>
      </c>
      <c r="BA386" s="42">
        <f>'1kpi_performance'!Q386</f>
        <v>0.9983064103</v>
      </c>
      <c r="BB386" s="35">
        <f>'1kpi_performance'!R386</f>
        <v>9.352950374</v>
      </c>
      <c r="BC386" s="35">
        <f>'1kpi_performance'!S386</f>
        <v>11.11122347</v>
      </c>
      <c r="BD386" s="35">
        <f>'1kpi_performance'!T386</f>
        <v>1.785651617</v>
      </c>
      <c r="BE386" s="35">
        <f>'1kpi_performance'!U386</f>
        <v>-0.3056000512</v>
      </c>
      <c r="BF386" s="47"/>
      <c r="BG386" s="47"/>
      <c r="BH386" s="47"/>
      <c r="BI386" s="47"/>
      <c r="BJ386" s="47"/>
      <c r="BK386" s="47"/>
      <c r="BL386" s="47"/>
      <c r="BM386" s="47"/>
      <c r="BN386" s="47"/>
      <c r="BO386" s="47"/>
      <c r="BP386" s="47"/>
      <c r="BQ386" s="47"/>
      <c r="BR386" s="47"/>
      <c r="BS386" s="47"/>
      <c r="BT386" s="47"/>
    </row>
    <row r="387" ht="11.25" customHeight="1">
      <c r="A387" s="35" t="str">
        <f>'13all_company_profile'!A387</f>
        <v>MAS</v>
      </c>
      <c r="B387" s="35" t="str">
        <f>'13all_company_profile'!B387</f>
        <v>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v>
      </c>
      <c r="C387" s="44" t="str">
        <f>'13all_company_profile'!C387</f>
        <v>https://financialmodelingprep.com/image-stock/MAS.png</v>
      </c>
      <c r="D387" s="35" t="str">
        <f>'13all_company_profile'!D387</f>
        <v>Masco Corporation</v>
      </c>
      <c r="E387" s="36">
        <f>'13all_company_profile'!E387</f>
        <v>14864245760</v>
      </c>
      <c r="F387" s="37">
        <f>'13all_company_profile'!F387</f>
        <v>2074200</v>
      </c>
      <c r="G387" s="35">
        <f>'13all_company_profile'!G387</f>
        <v>0.515</v>
      </c>
      <c r="H387" s="38">
        <f>'13all_company_profile'!H387</f>
        <v>44406</v>
      </c>
      <c r="I387" s="35">
        <f>'13all_company_profile'!I387</f>
        <v>19.847878</v>
      </c>
      <c r="J387" s="35">
        <f>'13all_company_profile'!J387</f>
        <v>2.991</v>
      </c>
      <c r="K387" s="42">
        <f t="shared" si="1"/>
        <v>0.008709622865</v>
      </c>
      <c r="L387" s="35">
        <f>'7company_info'!B387</f>
        <v>59.13</v>
      </c>
      <c r="M387" s="35">
        <f>'7company_info'!C387</f>
        <v>59.48</v>
      </c>
      <c r="N387" s="35">
        <f>'7company_info'!D387</f>
        <v>58.63</v>
      </c>
      <c r="O387" s="35">
        <f>'7company_info'!E387</f>
        <v>0.05</v>
      </c>
      <c r="P387" s="35">
        <f>'7company_info'!F387</f>
        <v>0.0008</v>
      </c>
      <c r="Q387" s="35">
        <f>'7company_info'!G387</f>
        <v>59.38</v>
      </c>
      <c r="R387" s="35">
        <f>'7company_info'!H387</f>
        <v>59.08</v>
      </c>
      <c r="S387" s="35">
        <f>'7company_info'!I387</f>
        <v>51.53</v>
      </c>
      <c r="T387" s="35">
        <f>'7company_info'!J387</f>
        <v>68.54</v>
      </c>
      <c r="U387" s="39">
        <v>58.3066666666666</v>
      </c>
      <c r="V387" s="39">
        <v>58.8133333333333</v>
      </c>
      <c r="W387" s="40">
        <v>59.1766666666666</v>
      </c>
      <c r="X387" s="40">
        <v>60.0466666666666</v>
      </c>
      <c r="Y387" s="40">
        <v>57.9433333333333</v>
      </c>
      <c r="Z387" s="40">
        <v>57.4366666666666</v>
      </c>
      <c r="AA387" s="40">
        <v>56.5666666666666</v>
      </c>
      <c r="AB387" s="40">
        <v>57.55</v>
      </c>
      <c r="AC387" s="40">
        <v>58.76</v>
      </c>
      <c r="AD387" s="40">
        <v>58.6171427877438</v>
      </c>
      <c r="AE387" s="40">
        <v>56.18694</v>
      </c>
      <c r="AF387" s="40">
        <v>1.08178</v>
      </c>
      <c r="AG387" s="40">
        <v>68.54</v>
      </c>
      <c r="AH387" s="45">
        <v>44326.0</v>
      </c>
      <c r="AI387" s="44" t="str">
        <f>'6image_RS_benchmark_performance'!B387</f>
        <v>https://3arbzfbsh-cname-us.ngrok.io/Desktop/seabridge%20fintech/image_app/MAS_resistance_support.jpg</v>
      </c>
      <c r="AJ387" s="44" t="str">
        <f>'6image_RS_benchmark_performance'!C387</f>
        <v>https://3arbzfbsh-cname-us.ngrok.io/Desktop/seabridge%20fintech/profit_graph_app/MAS_Return.jpg</v>
      </c>
      <c r="AK387" s="46" t="str">
        <f>'5price_action_icon'!B387</f>
        <v>https://3arbzfbsh-cname-us.ngrok.io/Desktop/seabridge%20fintech/icon/MAS_pa_trend_signal</v>
      </c>
      <c r="AL387" s="42">
        <f>'1kpi_performance'!B387</f>
        <v>0.6853963101</v>
      </c>
      <c r="AM387" s="42">
        <f>'1kpi_performance'!C387</f>
        <v>0.884973691</v>
      </c>
      <c r="AN387" s="42">
        <f>'1kpi_performance'!D387</f>
        <v>0.7041895516</v>
      </c>
      <c r="AO387" s="42">
        <f>'1kpi_performance'!E387</f>
        <v>0.2091079207</v>
      </c>
      <c r="AP387" s="42">
        <f>'1kpi_performance'!F387</f>
        <v>0.2710646122</v>
      </c>
      <c r="AQ387" s="42">
        <f>'1kpi_performance'!G387</f>
        <v>0.2609149628</v>
      </c>
      <c r="AR387" s="42">
        <f>'1kpi_performance'!H387</f>
        <v>0.2896011432</v>
      </c>
      <c r="AS387" s="42">
        <f>'1kpi_performance'!I387</f>
        <v>0.4007930232</v>
      </c>
      <c r="AT387" s="35">
        <f>'1kpi_performance'!J387</f>
        <v>2.436305886</v>
      </c>
      <c r="AU387" s="35">
        <f>'1kpi_performance'!K387</f>
        <v>3.295992233</v>
      </c>
      <c r="AV387" s="35">
        <f>'1kpi_performance'!L387</f>
        <v>2.34525853</v>
      </c>
      <c r="AW387" s="35">
        <f>'1kpi_performance'!M387</f>
        <v>0.4593590956</v>
      </c>
      <c r="AX387" s="42">
        <f>'1kpi_performance'!N387</f>
        <v>0.2293465585</v>
      </c>
      <c r="AY387" s="42">
        <f>'1kpi_performance'!O387</f>
        <v>0.1150682789</v>
      </c>
      <c r="AZ387" s="42">
        <f>'1kpi_performance'!P387</f>
        <v>0.4051539864</v>
      </c>
      <c r="BA387" s="42">
        <f>'1kpi_performance'!Q387</f>
        <v>0.623434361</v>
      </c>
      <c r="BB387" s="35">
        <f>'1kpi_performance'!R387</f>
        <v>5.221909183</v>
      </c>
      <c r="BC387" s="35">
        <f>'1kpi_performance'!S387</f>
        <v>7.720797488</v>
      </c>
      <c r="BD387" s="35">
        <f>'1kpi_performance'!T387</f>
        <v>4.715361383</v>
      </c>
      <c r="BE387" s="35">
        <f>'1kpi_performance'!U387</f>
        <v>0.8915635551</v>
      </c>
      <c r="BF387" s="47"/>
      <c r="BG387" s="47"/>
      <c r="BH387" s="47"/>
      <c r="BI387" s="47"/>
      <c r="BJ387" s="47"/>
      <c r="BK387" s="47"/>
      <c r="BL387" s="47"/>
      <c r="BM387" s="47"/>
      <c r="BN387" s="47"/>
      <c r="BO387" s="47"/>
      <c r="BP387" s="47"/>
      <c r="BQ387" s="47"/>
      <c r="BR387" s="47"/>
      <c r="BS387" s="47"/>
      <c r="BT387" s="47"/>
    </row>
    <row r="388" ht="11.25" customHeight="1">
      <c r="A388" s="35" t="str">
        <f>'13all_company_profile'!A388</f>
        <v>MCD</v>
      </c>
      <c r="B388" s="35" t="str">
        <f>'13all_company_profile'!B388</f>
        <v>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v>
      </c>
      <c r="C388" s="44" t="str">
        <f>'13all_company_profile'!C388</f>
        <v>https://financialmodelingprep.com/image-stock/MCD.png</v>
      </c>
      <c r="D388" s="35" t="str">
        <f>'13all_company_profile'!D388</f>
        <v>McDonald's Corporation</v>
      </c>
      <c r="E388" s="36">
        <f>'13all_company_profile'!E388</f>
        <v>176656695296</v>
      </c>
      <c r="F388" s="37">
        <f>'13all_company_profile'!F388</f>
        <v>2366825</v>
      </c>
      <c r="G388" s="35">
        <f>'13all_company_profile'!G388</f>
        <v>5.12</v>
      </c>
      <c r="H388" s="38">
        <f>'13all_company_profile'!H388</f>
        <v>44405</v>
      </c>
      <c r="I388" s="35">
        <f>'13all_company_profile'!I388</f>
        <v>34.154697</v>
      </c>
      <c r="J388" s="35">
        <f>'13all_company_profile'!J388</f>
        <v>6.891</v>
      </c>
      <c r="K388" s="42">
        <f t="shared" si="1"/>
        <v>0.02185512443</v>
      </c>
      <c r="L388" s="35">
        <f>'7company_info'!B388</f>
        <v>234.27</v>
      </c>
      <c r="M388" s="35">
        <f>'7company_info'!C388</f>
        <v>235.52</v>
      </c>
      <c r="N388" s="35">
        <f>'7company_info'!D388</f>
        <v>230.21</v>
      </c>
      <c r="O388" s="35">
        <f>'7company_info'!E388</f>
        <v>5.01</v>
      </c>
      <c r="P388" s="35">
        <f>'7company_info'!F388</f>
        <v>0.0219</v>
      </c>
      <c r="Q388" s="35">
        <f>'7company_info'!G388</f>
        <v>230.65</v>
      </c>
      <c r="R388" s="35">
        <f>'7company_info'!H388</f>
        <v>229.26</v>
      </c>
      <c r="S388" s="35">
        <f>'7company_info'!I388</f>
        <v>190.37</v>
      </c>
      <c r="T388" s="35">
        <f>'7company_info'!J388</f>
        <v>239.05</v>
      </c>
      <c r="U388" s="39">
        <v>237.6067</v>
      </c>
      <c r="V388" s="39">
        <v>238.5733</v>
      </c>
      <c r="W388" s="40">
        <v>240.0166</v>
      </c>
      <c r="X388" s="40">
        <v>242.4265</v>
      </c>
      <c r="Y388" s="40">
        <v>236.1634</v>
      </c>
      <c r="Z388" s="40">
        <v>235.1968</v>
      </c>
      <c r="AA388" s="40">
        <v>232.7869</v>
      </c>
      <c r="AB388" s="40">
        <v>233.78</v>
      </c>
      <c r="AC388" s="40">
        <v>239.05</v>
      </c>
      <c r="AD388" s="40">
        <v>233.962734551935</v>
      </c>
      <c r="AE388" s="40">
        <v>231.05381</v>
      </c>
      <c r="AF388" s="40">
        <v>2.5946</v>
      </c>
      <c r="AG388" s="40">
        <v>238.18</v>
      </c>
      <c r="AH388" s="45">
        <v>44319.0</v>
      </c>
      <c r="AI388" s="44" t="str">
        <f>'6image_RS_benchmark_performance'!B388</f>
        <v>https://3arbzfbsh-cname-us.ngrok.io/Desktop/seabridge%20fintech/image_app/MCD_resistance_support.jpg</v>
      </c>
      <c r="AJ388" s="44" t="str">
        <f>'6image_RS_benchmark_performance'!C388</f>
        <v>https://3arbzfbsh-cname-us.ngrok.io/Desktop/seabridge%20fintech/profit_graph_app/MCD_Return.jpg</v>
      </c>
      <c r="AK388" s="46" t="str">
        <f>'5price_action_icon'!B388</f>
        <v>https://3arbzfbsh-cname-us.ngrok.io/Desktop/seabridge%20fintech/icon/MCD_pa_trend_signal</v>
      </c>
      <c r="AL388" s="42">
        <f>'1kpi_performance'!B388</f>
        <v>0.343927238</v>
      </c>
      <c r="AM388" s="42">
        <f>'1kpi_performance'!C388</f>
        <v>0.4508945063</v>
      </c>
      <c r="AN388" s="42">
        <f>'1kpi_performance'!D388</f>
        <v>0.4611298301</v>
      </c>
      <c r="AO388" s="42">
        <f>'1kpi_performance'!E388</f>
        <v>0.1791255573</v>
      </c>
      <c r="AP388" s="42">
        <f>'1kpi_performance'!F388</f>
        <v>0.1391710472</v>
      </c>
      <c r="AQ388" s="42">
        <f>'1kpi_performance'!G388</f>
        <v>0.1621414338</v>
      </c>
      <c r="AR388" s="42">
        <f>'1kpi_performance'!H388</f>
        <v>0.1453059369</v>
      </c>
      <c r="AS388" s="42">
        <f>'1kpi_performance'!I388</f>
        <v>0.2283200765</v>
      </c>
      <c r="AT388" s="35">
        <f>'1kpi_performance'!J388</f>
        <v>2.291620595</v>
      </c>
      <c r="AU388" s="35">
        <f>'1kpi_performance'!K388</f>
        <v>2.626685211</v>
      </c>
      <c r="AV388" s="35">
        <f>'1kpi_performance'!L388</f>
        <v>3.001459125</v>
      </c>
      <c r="AW388" s="35">
        <f>'1kpi_performance'!M388</f>
        <v>0.675041633</v>
      </c>
      <c r="AX388" s="42">
        <f>'1kpi_performance'!N388</f>
        <v>0.09794565863</v>
      </c>
      <c r="AY388" s="42">
        <f>'1kpi_performance'!O388</f>
        <v>0.06143299728</v>
      </c>
      <c r="AZ388" s="42">
        <f>'1kpi_performance'!P388</f>
        <v>0.1196066807</v>
      </c>
      <c r="BA388" s="42">
        <f>'1kpi_performance'!Q388</f>
        <v>0.3800587836</v>
      </c>
      <c r="BB388" s="35">
        <f>'1kpi_performance'!R388</f>
        <v>5.132294081</v>
      </c>
      <c r="BC388" s="35">
        <f>'1kpi_performance'!S388</f>
        <v>6.741439422</v>
      </c>
      <c r="BD388" s="35">
        <f>'1kpi_performance'!T388</f>
        <v>6.829905749</v>
      </c>
      <c r="BE388" s="35">
        <f>'1kpi_performance'!U388</f>
        <v>1.31514507</v>
      </c>
      <c r="BF388" s="47"/>
      <c r="BG388" s="47"/>
      <c r="BH388" s="47"/>
      <c r="BI388" s="47"/>
      <c r="BJ388" s="47"/>
      <c r="BK388" s="47"/>
      <c r="BL388" s="47"/>
      <c r="BM388" s="47"/>
      <c r="BN388" s="47"/>
      <c r="BO388" s="47"/>
      <c r="BP388" s="47"/>
      <c r="BQ388" s="47"/>
      <c r="BR388" s="47"/>
      <c r="BS388" s="47"/>
      <c r="BT388" s="47"/>
    </row>
    <row r="389" ht="11.25" customHeight="1">
      <c r="A389" s="35" t="str">
        <f>'13all_company_profile'!A389</f>
        <v>MCHI</v>
      </c>
      <c r="B389" s="35" t="str">
        <f>'13all_company_profile'!B389</f>
        <v>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v>
      </c>
      <c r="C389" s="44" t="str">
        <f>'13all_company_profile'!C389</f>
        <v>https://financialmodelingprep.com/image-stock/MCHI.png</v>
      </c>
      <c r="D389" s="35" t="str">
        <f>'13all_company_profile'!D389</f>
        <v>iShares MSCI China ETF</v>
      </c>
      <c r="E389" s="36">
        <f>'13all_company_profile'!E389</f>
        <v>5375719400</v>
      </c>
      <c r="F389" s="37">
        <f>'13all_company_profile'!F389</f>
        <v>2851993</v>
      </c>
      <c r="G389" s="35">
        <f>'13all_company_profile'!G389</f>
        <v>0.781</v>
      </c>
      <c r="H389" s="38" t="str">
        <f>'13all_company_profile'!H389</f>
        <v>not avaiable</v>
      </c>
      <c r="I389" s="35" t="str">
        <f>'13all_company_profile'!I389</f>
        <v>NaN</v>
      </c>
      <c r="J389" s="35" t="str">
        <f>'13all_company_profile'!J389</f>
        <v>NaN</v>
      </c>
      <c r="K389" s="42">
        <f t="shared" si="1"/>
        <v>0.0101639771</v>
      </c>
      <c r="L389" s="35">
        <f>'7company_info'!B389</f>
        <v>76.84</v>
      </c>
      <c r="M389" s="35">
        <f>'7company_info'!C389</f>
        <v>77.09</v>
      </c>
      <c r="N389" s="35">
        <f>'7company_info'!D389</f>
        <v>76.12</v>
      </c>
      <c r="O389" s="35">
        <f>'7company_info'!E389</f>
        <v>-0.13</v>
      </c>
      <c r="P389" s="35">
        <f>'7company_info'!F389</f>
        <v>-0.0017</v>
      </c>
      <c r="Q389" s="35">
        <f>'7company_info'!G389</f>
        <v>76.36</v>
      </c>
      <c r="R389" s="35">
        <f>'7company_info'!H389</f>
        <v>76.97</v>
      </c>
      <c r="S389" s="35">
        <f>'7company_info'!I389</f>
        <v>69.78</v>
      </c>
      <c r="T389" s="35">
        <f>'7company_info'!J389</f>
        <v>97.55</v>
      </c>
      <c r="U389" s="39">
        <v>78.4566666666666</v>
      </c>
      <c r="V389" s="39">
        <v>78.7833333333333</v>
      </c>
      <c r="W389" s="40">
        <v>79.3366666666666</v>
      </c>
      <c r="X389" s="40">
        <v>80.2166666666666</v>
      </c>
      <c r="Y389" s="40">
        <v>77.9033333333333</v>
      </c>
      <c r="Z389" s="40">
        <v>77.5766666666666</v>
      </c>
      <c r="AA389" s="40">
        <v>76.6966666666666</v>
      </c>
      <c r="AB389" s="40">
        <v>75.185</v>
      </c>
      <c r="AC389" s="40">
        <v>80.82</v>
      </c>
      <c r="AD389" s="40">
        <v>79.6756525630657</v>
      </c>
      <c r="AE389" s="40">
        <v>75.65222</v>
      </c>
      <c r="AF389" s="40">
        <v>1.32188999999999</v>
      </c>
      <c r="AG389" s="40">
        <v>97.55</v>
      </c>
      <c r="AH389" s="45">
        <v>44244.0</v>
      </c>
      <c r="AI389" s="44" t="str">
        <f>'6image_RS_benchmark_performance'!B389</f>
        <v>https://3arbzfbsh-cname-us.ngrok.io/Desktop/seabridge%20fintech/image_app/MCHI_resistance_support.jpg</v>
      </c>
      <c r="AJ389" s="44" t="str">
        <f>'6image_RS_benchmark_performance'!C389</f>
        <v>https://3arbzfbsh-cname-us.ngrok.io/Desktop/seabridge%20fintech/profit_graph_app/MCHI_Return.jpg</v>
      </c>
      <c r="AK389" s="46" t="str">
        <f>'5price_action_icon'!B389</f>
        <v>https://3arbzfbsh-cname-us.ngrok.io/Desktop/seabridge%20fintech/icon/MCHI_pa_trend_signal</v>
      </c>
      <c r="AL389" s="42">
        <f>'1kpi_performance'!B389</f>
        <v>0.4206067266</v>
      </c>
      <c r="AM389" s="42">
        <f>'1kpi_performance'!C389</f>
        <v>0.7465284447</v>
      </c>
      <c r="AN389" s="42">
        <f>'1kpi_performance'!D389</f>
        <v>0.4882609081</v>
      </c>
      <c r="AO389" s="42">
        <f>'1kpi_performance'!E389</f>
        <v>0.05890333328</v>
      </c>
      <c r="AP389" s="42">
        <f>'1kpi_performance'!F389</f>
        <v>0.1964737396</v>
      </c>
      <c r="AQ389" s="42">
        <f>'1kpi_performance'!G389</f>
        <v>0.1929010812</v>
      </c>
      <c r="AR389" s="42">
        <f>'1kpi_performance'!H389</f>
        <v>0.2087375898</v>
      </c>
      <c r="AS389" s="42">
        <f>'1kpi_performance'!I389</f>
        <v>0.2909217358</v>
      </c>
      <c r="AT389" s="35">
        <f>'1kpi_performance'!J389</f>
        <v>2.013534874</v>
      </c>
      <c r="AU389" s="35">
        <f>'1kpi_performance'!K389</f>
        <v>3.74040643</v>
      </c>
      <c r="AV389" s="35">
        <f>'1kpi_performance'!L389</f>
        <v>2.219345872</v>
      </c>
      <c r="AW389" s="35">
        <f>'1kpi_performance'!M389</f>
        <v>0.1165376426</v>
      </c>
      <c r="AX389" s="42">
        <f>'1kpi_performance'!N389</f>
        <v>0.1288964782</v>
      </c>
      <c r="AY389" s="42">
        <f>'1kpi_performance'!O389</f>
        <v>0.0847035382</v>
      </c>
      <c r="AZ389" s="42">
        <f>'1kpi_performance'!P389</f>
        <v>0.3131039721</v>
      </c>
      <c r="BA389" s="42">
        <f>'1kpi_performance'!Q389</f>
        <v>0.4459102902</v>
      </c>
      <c r="BB389" s="35">
        <f>'1kpi_performance'!R389</f>
        <v>4.260888859</v>
      </c>
      <c r="BC389" s="35">
        <f>'1kpi_performance'!S389</f>
        <v>8.798013356</v>
      </c>
      <c r="BD389" s="35">
        <f>'1kpi_performance'!T389</f>
        <v>4.37887124</v>
      </c>
      <c r="BE389" s="35">
        <f>'1kpi_performance'!U389</f>
        <v>0.227526419</v>
      </c>
      <c r="BF389" s="47"/>
      <c r="BG389" s="47"/>
      <c r="BH389" s="47"/>
      <c r="BI389" s="47"/>
      <c r="BJ389" s="47"/>
      <c r="BK389" s="47"/>
      <c r="BL389" s="47"/>
      <c r="BM389" s="47"/>
      <c r="BN389" s="47"/>
      <c r="BO389" s="47"/>
      <c r="BP389" s="47"/>
      <c r="BQ389" s="47"/>
      <c r="BR389" s="47"/>
      <c r="BS389" s="47"/>
      <c r="BT389" s="47"/>
    </row>
    <row r="390" ht="11.25" customHeight="1">
      <c r="A390" s="35" t="str">
        <f>'13all_company_profile'!A390</f>
        <v>MCHP</v>
      </c>
      <c r="B390" s="35" t="str">
        <f>'13all_company_profile'!B390</f>
        <v>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v>
      </c>
      <c r="C390" s="44" t="str">
        <f>'13all_company_profile'!C390</f>
        <v>https://financialmodelingprep.com/image-stock/MCHP.png</v>
      </c>
      <c r="D390" s="35" t="str">
        <f>'13all_company_profile'!D390</f>
        <v>Microchip Technology Incorporated</v>
      </c>
      <c r="E390" s="36">
        <f>'13all_company_profile'!E390</f>
        <v>37596835840</v>
      </c>
      <c r="F390" s="37">
        <f>'13all_company_profile'!F390</f>
        <v>1720058</v>
      </c>
      <c r="G390" s="35">
        <f>'13all_company_profile'!G390</f>
        <v>1.54</v>
      </c>
      <c r="H390" s="38">
        <f>'13all_company_profile'!H390</f>
        <v>44410</v>
      </c>
      <c r="I390" s="35">
        <f>'13all_company_profile'!I390</f>
        <v>103.94574</v>
      </c>
      <c r="J390" s="35">
        <f>'13all_company_profile'!J390</f>
        <v>1.29</v>
      </c>
      <c r="K390" s="42">
        <f t="shared" si="1"/>
        <v>0.01123841495</v>
      </c>
      <c r="L390" s="35">
        <f>'7company_info'!B390</f>
        <v>137.03</v>
      </c>
      <c r="M390" s="35">
        <f>'7company_info'!C390</f>
        <v>138.31</v>
      </c>
      <c r="N390" s="35">
        <f>'7company_info'!D390</f>
        <v>131.83</v>
      </c>
      <c r="O390" s="35">
        <f>'7company_info'!E390</f>
        <v>5.05</v>
      </c>
      <c r="P390" s="35">
        <f>'7company_info'!F390</f>
        <v>0.0383</v>
      </c>
      <c r="Q390" s="35">
        <f>'7company_info'!G390</f>
        <v>132.34</v>
      </c>
      <c r="R390" s="35">
        <f>'7company_info'!H390</f>
        <v>131.98</v>
      </c>
      <c r="S390" s="35">
        <f>'7company_info'!I390</f>
        <v>95.53</v>
      </c>
      <c r="T390" s="35">
        <f>'7company_info'!J390</f>
        <v>166.67</v>
      </c>
      <c r="U390" s="39">
        <v>144.523333333333</v>
      </c>
      <c r="V390" s="39">
        <v>145.796666666666</v>
      </c>
      <c r="W390" s="40">
        <v>148.053333333333</v>
      </c>
      <c r="X390" s="40">
        <v>151.583333333333</v>
      </c>
      <c r="Y390" s="40">
        <v>142.266666666666</v>
      </c>
      <c r="Z390" s="40">
        <v>140.993333333333</v>
      </c>
      <c r="AA390" s="40">
        <v>137.463333333333</v>
      </c>
      <c r="AB390" s="40">
        <v>143.6</v>
      </c>
      <c r="AC390" s="40">
        <v>152.85</v>
      </c>
      <c r="AD390" s="40">
        <v>147.186984404893</v>
      </c>
      <c r="AE390" s="40">
        <v>136.54451</v>
      </c>
      <c r="AF390" s="40">
        <v>3.71874499999999</v>
      </c>
      <c r="AG390" s="40">
        <v>166.67</v>
      </c>
      <c r="AH390" s="45">
        <v>44244.0</v>
      </c>
      <c r="AI390" s="44" t="str">
        <f>'6image_RS_benchmark_performance'!B390</f>
        <v>https://3arbzfbsh-cname-us.ngrok.io/Desktop/seabridge%20fintech/image_app/MCHP_resistance_support.jpg</v>
      </c>
      <c r="AJ390" s="44" t="str">
        <f>'6image_RS_benchmark_performance'!C390</f>
        <v>https://3arbzfbsh-cname-us.ngrok.io/Desktop/seabridge%20fintech/profit_graph_app/MCHP_Return.jpg</v>
      </c>
      <c r="AK390" s="46" t="str">
        <f>'5price_action_icon'!B390</f>
        <v>https://3arbzfbsh-cname-us.ngrok.io/Desktop/seabridge%20fintech/icon/MCHP_pa_trend_signal</v>
      </c>
      <c r="AL390" s="42">
        <f>'1kpi_performance'!B390</f>
        <v>0.7285991578</v>
      </c>
      <c r="AM390" s="42">
        <f>'1kpi_performance'!C390</f>
        <v>0.8575613249</v>
      </c>
      <c r="AN390" s="42">
        <f>'1kpi_performance'!D390</f>
        <v>0.6586961145</v>
      </c>
      <c r="AO390" s="42">
        <f>'1kpi_performance'!E390</f>
        <v>0.2301541583</v>
      </c>
      <c r="AP390" s="42">
        <f>'1kpi_performance'!F390</f>
        <v>0.2570774918</v>
      </c>
      <c r="AQ390" s="42">
        <f>'1kpi_performance'!G390</f>
        <v>0.2611693156</v>
      </c>
      <c r="AR390" s="42">
        <f>'1kpi_performance'!H390</f>
        <v>0.2252845531</v>
      </c>
      <c r="AS390" s="42">
        <f>'1kpi_performance'!I390</f>
        <v>0.383020441</v>
      </c>
      <c r="AT390" s="35">
        <f>'1kpi_performance'!J390</f>
        <v>2.736914667</v>
      </c>
      <c r="AU390" s="35">
        <f>'1kpi_performance'!K390</f>
        <v>3.187822133</v>
      </c>
      <c r="AV390" s="35">
        <f>'1kpi_performance'!L390</f>
        <v>2.812869794</v>
      </c>
      <c r="AW390" s="35">
        <f>'1kpi_performance'!M390</f>
        <v>0.5356219574</v>
      </c>
      <c r="AX390" s="42">
        <f>'1kpi_performance'!N390</f>
        <v>0.1707606973</v>
      </c>
      <c r="AY390" s="42">
        <f>'1kpi_performance'!O390</f>
        <v>0.1707606973</v>
      </c>
      <c r="AZ390" s="42">
        <f>'1kpi_performance'!P390</f>
        <v>0.1643760308</v>
      </c>
      <c r="BA390" s="42">
        <f>'1kpi_performance'!Q390</f>
        <v>0.4985163205</v>
      </c>
      <c r="BB390" s="35">
        <f>'1kpi_performance'!R390</f>
        <v>6.237300358</v>
      </c>
      <c r="BC390" s="35">
        <f>'1kpi_performance'!S390</f>
        <v>7.576225948</v>
      </c>
      <c r="BD390" s="35">
        <f>'1kpi_performance'!T390</f>
        <v>6.196359396</v>
      </c>
      <c r="BE390" s="35">
        <f>'1kpi_performance'!U390</f>
        <v>1.034881858</v>
      </c>
      <c r="BF390" s="47"/>
      <c r="BG390" s="47"/>
      <c r="BH390" s="47"/>
      <c r="BI390" s="47"/>
      <c r="BJ390" s="47"/>
      <c r="BK390" s="47"/>
      <c r="BL390" s="47"/>
      <c r="BM390" s="47"/>
      <c r="BN390" s="47"/>
      <c r="BO390" s="47"/>
      <c r="BP390" s="47"/>
      <c r="BQ390" s="47"/>
      <c r="BR390" s="47"/>
      <c r="BS390" s="47"/>
      <c r="BT390" s="47"/>
    </row>
    <row r="391" ht="11.25" customHeight="1">
      <c r="A391" s="35" t="str">
        <f>'13all_company_profile'!A391</f>
        <v>MCK</v>
      </c>
      <c r="B391" s="35" t="str">
        <f>'13all_company_profile'!B391</f>
        <v>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v>
      </c>
      <c r="C391" s="44" t="str">
        <f>'13all_company_profile'!C391</f>
        <v>https://financialmodelingprep.com/image-stock/MCK.png</v>
      </c>
      <c r="D391" s="35" t="str">
        <f>'13all_company_profile'!D391</f>
        <v>McKesson Corporation</v>
      </c>
      <c r="E391" s="36">
        <f>'13all_company_profile'!E391</f>
        <v>29326411776</v>
      </c>
      <c r="F391" s="37">
        <f>'13all_company_profile'!F391</f>
        <v>1167752</v>
      </c>
      <c r="G391" s="35">
        <f>'13all_company_profile'!G391</f>
        <v>1.68</v>
      </c>
      <c r="H391" s="38">
        <f>'13all_company_profile'!H391</f>
        <v>44412</v>
      </c>
      <c r="I391" s="35" t="str">
        <f>'13all_company_profile'!I391</f>
        <v>NaN</v>
      </c>
      <c r="J391" s="35">
        <f>'13all_company_profile'!J391</f>
        <v>-28.266</v>
      </c>
      <c r="K391" s="42">
        <f t="shared" si="1"/>
        <v>0.008643753859</v>
      </c>
      <c r="L391" s="35">
        <f>'7company_info'!B391</f>
        <v>194.36</v>
      </c>
      <c r="M391" s="35">
        <f>'7company_info'!C391</f>
        <v>201.63</v>
      </c>
      <c r="N391" s="35">
        <f>'7company_info'!D391</f>
        <v>193.27</v>
      </c>
      <c r="O391" s="35">
        <f>'7company_info'!E391</f>
        <v>5.94</v>
      </c>
      <c r="P391" s="35">
        <f>'7company_info'!F391</f>
        <v>0.0315</v>
      </c>
      <c r="Q391" s="35">
        <f>'7company_info'!G391</f>
        <v>198.01</v>
      </c>
      <c r="R391" s="35">
        <f>'7company_info'!H391</f>
        <v>188.42</v>
      </c>
      <c r="S391" s="35">
        <f>'7company_info'!I391</f>
        <v>141.32</v>
      </c>
      <c r="T391" s="35">
        <f>'7company_info'!J391</f>
        <v>204.66</v>
      </c>
      <c r="U391" s="39">
        <v>188.813333333333</v>
      </c>
      <c r="V391" s="39">
        <v>189.796666666666</v>
      </c>
      <c r="W391" s="40">
        <v>190.493333333333</v>
      </c>
      <c r="X391" s="40">
        <v>192.173333333333</v>
      </c>
      <c r="Y391" s="40">
        <v>188.116666666666</v>
      </c>
      <c r="Z391" s="40">
        <v>187.133333333333</v>
      </c>
      <c r="AA391" s="40">
        <v>185.453333333333</v>
      </c>
      <c r="AB391" s="40">
        <v>184.43</v>
      </c>
      <c r="AC391" s="40">
        <v>190.14</v>
      </c>
      <c r="AD391" s="40">
        <v>190.594464869475</v>
      </c>
      <c r="AE391" s="40">
        <v>182.91198</v>
      </c>
      <c r="AF391" s="40">
        <v>3.14951</v>
      </c>
      <c r="AG391" s="40">
        <v>204.6597</v>
      </c>
      <c r="AH391" s="45">
        <v>44326.0</v>
      </c>
      <c r="AI391" s="44" t="str">
        <f>'6image_RS_benchmark_performance'!B391</f>
        <v>https://3arbzfbsh-cname-us.ngrok.io/Desktop/seabridge%20fintech/image_app/MCK_resistance_support.jpg</v>
      </c>
      <c r="AJ391" s="44" t="str">
        <f>'6image_RS_benchmark_performance'!C391</f>
        <v>https://3arbzfbsh-cname-us.ngrok.io/Desktop/seabridge%20fintech/profit_graph_app/MCK_Return.jpg</v>
      </c>
      <c r="AK391" s="46" t="str">
        <f>'5price_action_icon'!B391</f>
        <v>https://3arbzfbsh-cname-us.ngrok.io/Desktop/seabridge%20fintech/icon/MCK_pa_trend_signal</v>
      </c>
      <c r="AL391" s="42">
        <f>'1kpi_performance'!B391</f>
        <v>0.4686760455</v>
      </c>
      <c r="AM391" s="42">
        <f>'1kpi_performance'!C391</f>
        <v>0.6331766438</v>
      </c>
      <c r="AN391" s="42">
        <f>'1kpi_performance'!D391</f>
        <v>0.7453050209</v>
      </c>
      <c r="AO391" s="42">
        <f>'1kpi_performance'!E391</f>
        <v>0.1506331785</v>
      </c>
      <c r="AP391" s="42">
        <f>'1kpi_performance'!F391</f>
        <v>0.2129921815</v>
      </c>
      <c r="AQ391" s="42">
        <f>'1kpi_performance'!G391</f>
        <v>0.2104604351</v>
      </c>
      <c r="AR391" s="42">
        <f>'1kpi_performance'!H391</f>
        <v>0.2191888699</v>
      </c>
      <c r="AS391" s="42">
        <f>'1kpi_performance'!I391</f>
        <v>0.3261769182</v>
      </c>
      <c r="AT391" s="35">
        <f>'1kpi_performance'!J391</f>
        <v>2.083062592</v>
      </c>
      <c r="AU391" s="35">
        <f>'1kpi_performance'!K391</f>
        <v>2.889743356</v>
      </c>
      <c r="AV391" s="35">
        <f>'1kpi_performance'!L391</f>
        <v>3.286229914</v>
      </c>
      <c r="AW391" s="35">
        <f>'1kpi_performance'!M391</f>
        <v>0.3851688192</v>
      </c>
      <c r="AX391" s="42">
        <f>'1kpi_performance'!N391</f>
        <v>0.1198185014</v>
      </c>
      <c r="AY391" s="42">
        <f>'1kpi_performance'!O391</f>
        <v>0.09192748645</v>
      </c>
      <c r="AZ391" s="42">
        <f>'1kpi_performance'!P391</f>
        <v>0.170072417</v>
      </c>
      <c r="BA391" s="42">
        <f>'1kpi_performance'!Q391</f>
        <v>0.5541503605</v>
      </c>
      <c r="BB391" s="35">
        <f>'1kpi_performance'!R391</f>
        <v>4.430108895</v>
      </c>
      <c r="BC391" s="35">
        <f>'1kpi_performance'!S391</f>
        <v>6.726960807</v>
      </c>
      <c r="BD391" s="35">
        <f>'1kpi_performance'!T391</f>
        <v>7.746405566</v>
      </c>
      <c r="BE391" s="35">
        <f>'1kpi_performance'!U391</f>
        <v>0.7376726953</v>
      </c>
      <c r="BF391" s="47"/>
      <c r="BG391" s="47"/>
      <c r="BH391" s="47"/>
      <c r="BI391" s="47"/>
      <c r="BJ391" s="47"/>
      <c r="BK391" s="47"/>
      <c r="BL391" s="47"/>
      <c r="BM391" s="47"/>
      <c r="BN391" s="47"/>
      <c r="BO391" s="47"/>
      <c r="BP391" s="47"/>
      <c r="BQ391" s="47"/>
      <c r="BR391" s="47"/>
      <c r="BS391" s="47"/>
      <c r="BT391" s="47"/>
    </row>
    <row r="392" ht="11.25" customHeight="1">
      <c r="A392" s="35" t="str">
        <f>'13all_company_profile'!A392</f>
        <v>MCO</v>
      </c>
      <c r="B392" s="35" t="str">
        <f>'13all_company_profile'!B392</f>
        <v>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v>
      </c>
      <c r="C392" s="44" t="str">
        <f>'13all_company_profile'!C392</f>
        <v>https://financialmodelingprep.com/image-stock/MCO.png</v>
      </c>
      <c r="D392" s="35" t="str">
        <f>'13all_company_profile'!D392</f>
        <v>Moody's Corporation</v>
      </c>
      <c r="E392" s="36">
        <f>'13all_company_profile'!E392</f>
        <v>70070829056</v>
      </c>
      <c r="F392" s="37">
        <f>'13all_company_profile'!F392</f>
        <v>668071</v>
      </c>
      <c r="G392" s="35">
        <f>'13all_company_profile'!G392</f>
        <v>2.36</v>
      </c>
      <c r="H392" s="38">
        <f>'13all_company_profile'!H392</f>
        <v>44405</v>
      </c>
      <c r="I392" s="35">
        <f>'13all_company_profile'!I392</f>
        <v>35.288353</v>
      </c>
      <c r="J392" s="35">
        <f>'13all_company_profile'!J392</f>
        <v>10.716</v>
      </c>
      <c r="K392" s="42">
        <f t="shared" si="1"/>
        <v>0.006254803742</v>
      </c>
      <c r="L392" s="35">
        <f>'7company_info'!B392</f>
        <v>377.31</v>
      </c>
      <c r="M392" s="35">
        <f>'7company_info'!C392</f>
        <v>379.31</v>
      </c>
      <c r="N392" s="35">
        <f>'7company_info'!D392</f>
        <v>371.03</v>
      </c>
      <c r="O392" s="35">
        <f>'7company_info'!E392</f>
        <v>5.48</v>
      </c>
      <c r="P392" s="35">
        <f>'7company_info'!F392</f>
        <v>0.0147</v>
      </c>
      <c r="Q392" s="35">
        <f>'7company_info'!G392</f>
        <v>372.41</v>
      </c>
      <c r="R392" s="35">
        <f>'7company_info'!H392</f>
        <v>371.83</v>
      </c>
      <c r="S392" s="35">
        <f>'7company_info'!I392</f>
        <v>253.17</v>
      </c>
      <c r="T392" s="35">
        <f>'7company_info'!J392</f>
        <v>379.88</v>
      </c>
      <c r="U392" s="39">
        <v>374.936666666666</v>
      </c>
      <c r="V392" s="39">
        <v>376.683333333333</v>
      </c>
      <c r="W392" s="40">
        <v>377.766666666666</v>
      </c>
      <c r="X392" s="40">
        <v>380.596666666666</v>
      </c>
      <c r="Y392" s="40">
        <v>373.853333333333</v>
      </c>
      <c r="Z392" s="40">
        <v>372.106666666666</v>
      </c>
      <c r="AA392" s="40">
        <v>369.276666666666</v>
      </c>
      <c r="AB392" s="40">
        <v>365.17</v>
      </c>
      <c r="AC392" s="40">
        <v>377.94</v>
      </c>
      <c r="AD392" s="40">
        <v>364.376573933929</v>
      </c>
      <c r="AE392" s="40">
        <v>362.4355</v>
      </c>
      <c r="AF392" s="40">
        <v>6.09675</v>
      </c>
      <c r="AG392" s="40">
        <v>340.16</v>
      </c>
      <c r="AH392" s="45">
        <v>44314.0</v>
      </c>
      <c r="AI392" s="44" t="str">
        <f>'6image_RS_benchmark_performance'!B392</f>
        <v>https://3arbzfbsh-cname-us.ngrok.io/Desktop/seabridge%20fintech/image_app/MCO_resistance_support.jpg</v>
      </c>
      <c r="AJ392" s="44" t="str">
        <f>'6image_RS_benchmark_performance'!C392</f>
        <v>https://3arbzfbsh-cname-us.ngrok.io/Desktop/seabridge%20fintech/profit_graph_app/MCO_Return.jpg</v>
      </c>
      <c r="AK392" s="46" t="str">
        <f>'5price_action_icon'!B392</f>
        <v>https://3arbzfbsh-cname-us.ngrok.io/Desktop/seabridge%20fintech/icon/MCO_pa_trend_signal</v>
      </c>
      <c r="AL392" s="42">
        <f>'1kpi_performance'!B392</f>
        <v>0.6970861053</v>
      </c>
      <c r="AM392" s="42">
        <f>'1kpi_performance'!C392</f>
        <v>0.9278902081</v>
      </c>
      <c r="AN392" s="42">
        <f>'1kpi_performance'!D392</f>
        <v>0.4580596794</v>
      </c>
      <c r="AO392" s="42">
        <f>'1kpi_performance'!E392</f>
        <v>0.3862366262</v>
      </c>
      <c r="AP392" s="42">
        <f>'1kpi_performance'!F392</f>
        <v>0.2234079947</v>
      </c>
      <c r="AQ392" s="42">
        <f>'1kpi_performance'!G392</f>
        <v>0.2367296362</v>
      </c>
      <c r="AR392" s="42">
        <f>'1kpi_performance'!H392</f>
        <v>0.263998312</v>
      </c>
      <c r="AS392" s="42">
        <f>'1kpi_performance'!I392</f>
        <v>0.3518138751</v>
      </c>
      <c r="AT392" s="35">
        <f>'1kpi_performance'!J392</f>
        <v>3.00833507</v>
      </c>
      <c r="AU392" s="35">
        <f>'1kpi_performance'!K392</f>
        <v>3.814014259</v>
      </c>
      <c r="AV392" s="35">
        <f>'1kpi_performance'!L392</f>
        <v>1.640388062</v>
      </c>
      <c r="AW392" s="35">
        <f>'1kpi_performance'!M392</f>
        <v>1.026783341</v>
      </c>
      <c r="AX392" s="42">
        <f>'1kpi_performance'!N392</f>
        <v>0.1193777025</v>
      </c>
      <c r="AY392" s="42">
        <f>'1kpi_performance'!O392</f>
        <v>0.1193777025</v>
      </c>
      <c r="AZ392" s="42">
        <f>'1kpi_performance'!P392</f>
        <v>0.3876029379</v>
      </c>
      <c r="BA392" s="42">
        <f>'1kpi_performance'!Q392</f>
        <v>0.4213662332</v>
      </c>
      <c r="BB392" s="35">
        <f>'1kpi_performance'!R392</f>
        <v>6.594493962</v>
      </c>
      <c r="BC392" s="35">
        <f>'1kpi_performance'!S392</f>
        <v>8.916182149</v>
      </c>
      <c r="BD392" s="35">
        <f>'1kpi_performance'!T392</f>
        <v>3.047106554</v>
      </c>
      <c r="BE392" s="35">
        <f>'1kpi_performance'!U392</f>
        <v>1.976495154</v>
      </c>
      <c r="BF392" s="47"/>
      <c r="BG392" s="47"/>
      <c r="BH392" s="47"/>
      <c r="BI392" s="47"/>
      <c r="BJ392" s="47"/>
      <c r="BK392" s="47"/>
      <c r="BL392" s="47"/>
      <c r="BM392" s="47"/>
      <c r="BN392" s="47"/>
      <c r="BO392" s="47"/>
      <c r="BP392" s="47"/>
      <c r="BQ392" s="47"/>
      <c r="BR392" s="47"/>
      <c r="BS392" s="47"/>
      <c r="BT392" s="47"/>
    </row>
    <row r="393" ht="11.25" customHeight="1">
      <c r="A393" s="35" t="str">
        <f>'13all_company_profile'!A393</f>
        <v>MDLZ</v>
      </c>
      <c r="B393" s="35" t="str">
        <f>'13all_company_profile'!B393</f>
        <v>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v>
      </c>
      <c r="C393" s="44" t="str">
        <f>'13all_company_profile'!C393</f>
        <v>https://financialmodelingprep.com/image-stock/MDLZ.png</v>
      </c>
      <c r="D393" s="35" t="str">
        <f>'13all_company_profile'!D393</f>
        <v>Mondelez International, Inc.</v>
      </c>
      <c r="E393" s="36">
        <f>'13all_company_profile'!E393</f>
        <v>90070007808</v>
      </c>
      <c r="F393" s="37">
        <f>'13all_company_profile'!F393</f>
        <v>6729315</v>
      </c>
      <c r="G393" s="35">
        <f>'13all_company_profile'!G393</f>
        <v>1.26</v>
      </c>
      <c r="H393" s="38">
        <f>'13all_company_profile'!H393</f>
        <v>44403</v>
      </c>
      <c r="I393" s="35">
        <f>'13all_company_profile'!I393</f>
        <v>24.339014</v>
      </c>
      <c r="J393" s="35">
        <f>'13all_company_profile'!J393</f>
        <v>2.64</v>
      </c>
      <c r="K393" s="42">
        <f t="shared" si="1"/>
        <v>0.01956217979</v>
      </c>
      <c r="L393" s="35">
        <f>'7company_info'!B393</f>
        <v>64.41</v>
      </c>
      <c r="M393" s="35">
        <f>'7company_info'!C393</f>
        <v>64.91</v>
      </c>
      <c r="N393" s="35">
        <f>'7company_info'!D393</f>
        <v>64.26</v>
      </c>
      <c r="O393" s="35">
        <f>'7company_info'!E393</f>
        <v>0.39</v>
      </c>
      <c r="P393" s="35">
        <f>'7company_info'!F393</f>
        <v>0.0061</v>
      </c>
      <c r="Q393" s="35">
        <f>'7company_info'!G393</f>
        <v>64.26</v>
      </c>
      <c r="R393" s="35">
        <f>'7company_info'!H393</f>
        <v>64.02</v>
      </c>
      <c r="S393" s="35">
        <f>'7company_info'!I393</f>
        <v>52.51</v>
      </c>
      <c r="T393" s="35">
        <f>'7company_info'!J393</f>
        <v>64.97</v>
      </c>
      <c r="U393" s="39">
        <v>63.4133333333333</v>
      </c>
      <c r="V393" s="39">
        <v>63.8266666666666</v>
      </c>
      <c r="W393" s="40">
        <v>64.1433333333333</v>
      </c>
      <c r="X393" s="40">
        <v>64.8733333333333</v>
      </c>
      <c r="Y393" s="40">
        <v>63.0966666666666</v>
      </c>
      <c r="Z393" s="40">
        <v>62.6833333333333</v>
      </c>
      <c r="AA393" s="40">
        <v>61.9533333333333</v>
      </c>
      <c r="AB393" s="40">
        <v>63.0</v>
      </c>
      <c r="AC393" s="40">
        <v>62.8</v>
      </c>
      <c r="AD393" s="40">
        <v>62.9156918595183</v>
      </c>
      <c r="AE393" s="40">
        <v>61.64833</v>
      </c>
      <c r="AF393" s="40">
        <v>0.726834999999999</v>
      </c>
      <c r="AG393" s="40">
        <v>64.37</v>
      </c>
      <c r="AH393" s="45">
        <v>44351.0</v>
      </c>
      <c r="AI393" s="44" t="str">
        <f>'6image_RS_benchmark_performance'!B393</f>
        <v>https://3arbzfbsh-cname-us.ngrok.io/Desktop/seabridge%20fintech/image_app/MDLZ_resistance_support.jpg</v>
      </c>
      <c r="AJ393" s="44" t="str">
        <f>'6image_RS_benchmark_performance'!C393</f>
        <v>https://3arbzfbsh-cname-us.ngrok.io/Desktop/seabridge%20fintech/profit_graph_app/MDLZ_Return.jpg</v>
      </c>
      <c r="AK393" s="46" t="str">
        <f>'5price_action_icon'!B393</f>
        <v>https://3arbzfbsh-cname-us.ngrok.io/Desktop/seabridge%20fintech/icon/MDLZ_pa_trend_signal</v>
      </c>
      <c r="AL393" s="42">
        <f>'1kpi_performance'!B393</f>
        <v>0.3895177498</v>
      </c>
      <c r="AM393" s="42">
        <f>'1kpi_performance'!C393</f>
        <v>0.4899631102</v>
      </c>
      <c r="AN393" s="42">
        <f>'1kpi_performance'!D393</f>
        <v>0.4589663405</v>
      </c>
      <c r="AO393" s="42">
        <f>'1kpi_performance'!E393</f>
        <v>0.1663202603</v>
      </c>
      <c r="AP393" s="42">
        <f>'1kpi_performance'!F393</f>
        <v>0.1557297823</v>
      </c>
      <c r="AQ393" s="42">
        <f>'1kpi_performance'!G393</f>
        <v>0.1691444902</v>
      </c>
      <c r="AR393" s="42">
        <f>'1kpi_performance'!H393</f>
        <v>0.1771627621</v>
      </c>
      <c r="AS393" s="42">
        <f>'1kpi_performance'!I393</f>
        <v>0.2440029462</v>
      </c>
      <c r="AT393" s="35">
        <f>'1kpi_performance'!J393</f>
        <v>2.340706733</v>
      </c>
      <c r="AU393" s="35">
        <f>'1kpi_performance'!K393</f>
        <v>2.748910766</v>
      </c>
      <c r="AV393" s="35">
        <f>'1kpi_performance'!L393</f>
        <v>2.449534741</v>
      </c>
      <c r="AW393" s="35">
        <f>'1kpi_performance'!M393</f>
        <v>0.5791744012</v>
      </c>
      <c r="AX393" s="42">
        <f>'1kpi_performance'!N393</f>
        <v>0.08979118329</v>
      </c>
      <c r="AY393" s="42">
        <f>'1kpi_performance'!O393</f>
        <v>0.08163639699</v>
      </c>
      <c r="AZ393" s="42">
        <f>'1kpi_performance'!P393</f>
        <v>0.2771935873</v>
      </c>
      <c r="BA393" s="42">
        <f>'1kpi_performance'!Q393</f>
        <v>0.297419571</v>
      </c>
      <c r="BB393" s="35">
        <f>'1kpi_performance'!R393</f>
        <v>5.175768332</v>
      </c>
      <c r="BC393" s="35">
        <f>'1kpi_performance'!S393</f>
        <v>6.727168938</v>
      </c>
      <c r="BD393" s="35">
        <f>'1kpi_performance'!T393</f>
        <v>5.133672539</v>
      </c>
      <c r="BE393" s="35">
        <f>'1kpi_performance'!U393</f>
        <v>1.165823715</v>
      </c>
      <c r="BF393" s="47"/>
      <c r="BG393" s="47"/>
      <c r="BH393" s="47"/>
      <c r="BI393" s="47"/>
      <c r="BJ393" s="47"/>
      <c r="BK393" s="47"/>
      <c r="BL393" s="47"/>
      <c r="BM393" s="47"/>
      <c r="BN393" s="47"/>
      <c r="BO393" s="47"/>
      <c r="BP393" s="47"/>
      <c r="BQ393" s="47"/>
      <c r="BR393" s="47"/>
      <c r="BS393" s="47"/>
      <c r="BT393" s="47"/>
    </row>
    <row r="394" ht="11.25" customHeight="1">
      <c r="A394" s="35" t="str">
        <f>'13all_company_profile'!A394</f>
        <v>MDT</v>
      </c>
      <c r="B394" s="35" t="str">
        <f>'13all_company_profile'!B394</f>
        <v>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v>
      </c>
      <c r="C394" s="44" t="str">
        <f>'13all_company_profile'!C394</f>
        <v>https://financialmodelingprep.com/image-stock/MDT.png</v>
      </c>
      <c r="D394" s="35" t="str">
        <f>'13all_company_profile'!D394</f>
        <v>Medtronic plc</v>
      </c>
      <c r="E394" s="36">
        <f>'13all_company_profile'!E394</f>
        <v>168551940096</v>
      </c>
      <c r="F394" s="37">
        <f>'13all_company_profile'!F394</f>
        <v>4381166</v>
      </c>
      <c r="G394" s="35">
        <f>'13all_company_profile'!G394</f>
        <v>2.95</v>
      </c>
      <c r="H394" s="38" t="str">
        <f>'13all_company_profile'!H394</f>
        <v>not avaiable</v>
      </c>
      <c r="I394" s="35">
        <f>'13all_company_profile'!I394</f>
        <v>47.370296</v>
      </c>
      <c r="J394" s="35">
        <f>'13all_company_profile'!J394</f>
        <v>2.66</v>
      </c>
      <c r="K394" s="42">
        <f t="shared" si="1"/>
        <v>0.02350410326</v>
      </c>
      <c r="L394" s="35">
        <f>'7company_info'!B394</f>
        <v>125.51</v>
      </c>
      <c r="M394" s="35">
        <f>'7company_info'!C394</f>
        <v>126.12</v>
      </c>
      <c r="N394" s="35">
        <f>'7company_info'!D394</f>
        <v>122.76</v>
      </c>
      <c r="O394" s="35">
        <f>'7company_info'!E394</f>
        <v>2.76</v>
      </c>
      <c r="P394" s="35">
        <f>'7company_info'!F394</f>
        <v>0.0225</v>
      </c>
      <c r="Q394" s="35">
        <f>'7company_info'!G394</f>
        <v>122.76</v>
      </c>
      <c r="R394" s="35">
        <f>'7company_info'!H394</f>
        <v>122.75</v>
      </c>
      <c r="S394" s="35">
        <f>'7company_info'!I394</f>
        <v>94.64</v>
      </c>
      <c r="T394" s="35">
        <f>'7company_info'!J394</f>
        <v>132.3</v>
      </c>
      <c r="U394" s="39">
        <v>127.616666666666</v>
      </c>
      <c r="V394" s="39">
        <v>128.193333333333</v>
      </c>
      <c r="W394" s="40">
        <v>128.646666666666</v>
      </c>
      <c r="X394" s="40">
        <v>129.676666666666</v>
      </c>
      <c r="Y394" s="40">
        <v>127.163333333333</v>
      </c>
      <c r="Z394" s="40">
        <v>126.586666666666</v>
      </c>
      <c r="AA394" s="40">
        <v>125.556666666666</v>
      </c>
      <c r="AB394" s="40">
        <v>125.61</v>
      </c>
      <c r="AC394" s="40">
        <v>127.65</v>
      </c>
      <c r="AD394" s="40">
        <v>126.359936597168</v>
      </c>
      <c r="AE394" s="40">
        <v>124.38775</v>
      </c>
      <c r="AF394" s="40">
        <v>1.48713499999999</v>
      </c>
      <c r="AG394" s="40">
        <v>132.3</v>
      </c>
      <c r="AH394" s="45">
        <v>44315.0</v>
      </c>
      <c r="AI394" s="44" t="str">
        <f>'6image_RS_benchmark_performance'!B394</f>
        <v>https://3arbzfbsh-cname-us.ngrok.io/Desktop/seabridge%20fintech/image_app/MDT_resistance_support.jpg</v>
      </c>
      <c r="AJ394" s="44" t="str">
        <f>'6image_RS_benchmark_performance'!C394</f>
        <v>https://3arbzfbsh-cname-us.ngrok.io/Desktop/seabridge%20fintech/profit_graph_app/MDT_Return.jpg</v>
      </c>
      <c r="AK394" s="46" t="str">
        <f>'5price_action_icon'!B394</f>
        <v>https://3arbzfbsh-cname-us.ngrok.io/Desktop/seabridge%20fintech/icon/MDT_pa_trend_signal</v>
      </c>
      <c r="AL394" s="42">
        <f>'1kpi_performance'!B394</f>
        <v>0.4174890156</v>
      </c>
      <c r="AM394" s="42">
        <f>'1kpi_performance'!C394</f>
        <v>0.4896083532</v>
      </c>
      <c r="AN394" s="42">
        <f>'1kpi_performance'!D394</f>
        <v>0.3632685129</v>
      </c>
      <c r="AO394" s="42">
        <f>'1kpi_performance'!E394</f>
        <v>0.1417432434</v>
      </c>
      <c r="AP394" s="42">
        <f>'1kpi_performance'!F394</f>
        <v>0.1784619989</v>
      </c>
      <c r="AQ394" s="42">
        <f>'1kpi_performance'!G394</f>
        <v>0.1837677201</v>
      </c>
      <c r="AR394" s="42">
        <f>'1kpi_performance'!H394</f>
        <v>0.2063188254</v>
      </c>
      <c r="AS394" s="42">
        <f>'1kpi_performance'!I394</f>
        <v>0.268623349</v>
      </c>
      <c r="AT394" s="35">
        <f>'1kpi_performance'!J394</f>
        <v>2.199286223</v>
      </c>
      <c r="AU394" s="35">
        <f>'1kpi_performance'!K394</f>
        <v>2.528237022</v>
      </c>
      <c r="AV394" s="35">
        <f>'1kpi_performance'!L394</f>
        <v>1.639542646</v>
      </c>
      <c r="AW394" s="35">
        <f>'1kpi_performance'!M394</f>
        <v>0.4345982724</v>
      </c>
      <c r="AX394" s="42">
        <f>'1kpi_performance'!N394</f>
        <v>0.08625746877</v>
      </c>
      <c r="AY394" s="42">
        <f>'1kpi_performance'!O394</f>
        <v>0.09726120197</v>
      </c>
      <c r="AZ394" s="42">
        <f>'1kpi_performance'!P394</f>
        <v>0.3988458368</v>
      </c>
      <c r="BA394" s="42">
        <f>'1kpi_performance'!Q394</f>
        <v>0.3988458368</v>
      </c>
      <c r="BB394" s="35">
        <f>'1kpi_performance'!R394</f>
        <v>4.743079151</v>
      </c>
      <c r="BC394" s="35">
        <f>'1kpi_performance'!S394</f>
        <v>5.747976394</v>
      </c>
      <c r="BD394" s="35">
        <f>'1kpi_performance'!T394</f>
        <v>3.158357016</v>
      </c>
      <c r="BE394" s="35">
        <f>'1kpi_performance'!U394</f>
        <v>0.8285922195</v>
      </c>
      <c r="BF394" s="47"/>
      <c r="BG394" s="47"/>
      <c r="BH394" s="47"/>
      <c r="BI394" s="47"/>
      <c r="BJ394" s="47"/>
      <c r="BK394" s="47"/>
      <c r="BL394" s="47"/>
      <c r="BM394" s="47"/>
      <c r="BN394" s="47"/>
      <c r="BO394" s="47"/>
      <c r="BP394" s="47"/>
      <c r="BQ394" s="47"/>
      <c r="BR394" s="47"/>
      <c r="BS394" s="47"/>
      <c r="BT394" s="47"/>
    </row>
    <row r="395" ht="11.25" customHeight="1">
      <c r="A395" s="35" t="str">
        <f>'13all_company_profile'!A395</f>
        <v>MELI</v>
      </c>
      <c r="B395" s="35" t="str">
        <f>'13all_company_profile'!B395</f>
        <v>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v>
      </c>
      <c r="C395" s="44" t="str">
        <f>'13all_company_profile'!C395</f>
        <v>https://financialmodelingprep.com/image-stock/MELI.png</v>
      </c>
      <c r="D395" s="35" t="str">
        <f>'13all_company_profile'!D395</f>
        <v>MercadoLibre, Inc.</v>
      </c>
      <c r="E395" s="36">
        <f>'13all_company_profile'!E395</f>
        <v>75201200128</v>
      </c>
      <c r="F395" s="37">
        <f>'13all_company_profile'!F395</f>
        <v>409068</v>
      </c>
      <c r="G395" s="35">
        <f>'13all_company_profile'!G395</f>
        <v>0</v>
      </c>
      <c r="H395" s="38" t="str">
        <f>'13all_company_profile'!H395</f>
        <v>not avaiable</v>
      </c>
      <c r="I395" s="35" t="str">
        <f>'13all_company_profile'!I395</f>
        <v>NaN</v>
      </c>
      <c r="J395" s="35">
        <f>'13all_company_profile'!J395</f>
        <v>-0.322</v>
      </c>
      <c r="K395" s="42" t="str">
        <f t="shared" si="1"/>
        <v>NaN</v>
      </c>
      <c r="L395" s="35">
        <f>'7company_info'!B395</f>
        <v>1542.15</v>
      </c>
      <c r="M395" s="35">
        <f>'7company_info'!C395</f>
        <v>1553.97</v>
      </c>
      <c r="N395" s="35">
        <f>'7company_info'!D395</f>
        <v>1483.42</v>
      </c>
      <c r="O395" s="35">
        <f>'7company_info'!E395</f>
        <v>44.88</v>
      </c>
      <c r="P395" s="35">
        <f>'7company_info'!F395</f>
        <v>0.03</v>
      </c>
      <c r="Q395" s="35">
        <f>'7company_info'!G395</f>
        <v>1507.19</v>
      </c>
      <c r="R395" s="35">
        <f>'7company_info'!H395</f>
        <v>1497.27</v>
      </c>
      <c r="S395" s="35">
        <f>'7company_info'!I395</f>
        <v>952.22</v>
      </c>
      <c r="T395" s="35">
        <f>'7company_info'!J395</f>
        <v>2020</v>
      </c>
      <c r="U395" s="39">
        <v>1530.65666666666</v>
      </c>
      <c r="V395" s="39">
        <v>1555.37333333333</v>
      </c>
      <c r="W395" s="40">
        <v>1603.73666666666</v>
      </c>
      <c r="X395" s="40">
        <v>1676.81666666666</v>
      </c>
      <c r="Y395" s="40">
        <v>1482.29333333333</v>
      </c>
      <c r="Z395" s="40">
        <v>1457.57666666666</v>
      </c>
      <c r="AA395" s="40">
        <v>1384.49666666666</v>
      </c>
      <c r="AB395" s="40">
        <v>1525.0</v>
      </c>
      <c r="AC395" s="40">
        <v>1361.03</v>
      </c>
      <c r="AD395" s="40">
        <v>1511.13702746498</v>
      </c>
      <c r="AE395" s="40">
        <v>1462.15291</v>
      </c>
      <c r="AF395" s="40">
        <v>43.891045</v>
      </c>
      <c r="AG395" s="40">
        <v>2020.0</v>
      </c>
      <c r="AH395" s="45">
        <v>44217.0</v>
      </c>
      <c r="AI395" s="44" t="str">
        <f>'6image_RS_benchmark_performance'!B395</f>
        <v>https://3arbzfbsh-cname-us.ngrok.io/Desktop/seabridge%20fintech/image_app/MELI_resistance_support.jpg</v>
      </c>
      <c r="AJ395" s="44" t="str">
        <f>'6image_RS_benchmark_performance'!C395</f>
        <v>https://3arbzfbsh-cname-us.ngrok.io/Desktop/seabridge%20fintech/profit_graph_app/MELI_Return.jpg</v>
      </c>
      <c r="AK395" s="46" t="str">
        <f>'5price_action_icon'!B395</f>
        <v>https://3arbzfbsh-cname-us.ngrok.io/Desktop/seabridge%20fintech/icon/MELI_pa_trend_signal</v>
      </c>
      <c r="AL395" s="42">
        <f>'1kpi_performance'!B395</f>
        <v>1.403196707</v>
      </c>
      <c r="AM395" s="42">
        <f>'1kpi_performance'!C395</f>
        <v>1.793989717</v>
      </c>
      <c r="AN395" s="42">
        <f>'1kpi_performance'!D395</f>
        <v>1.149789744</v>
      </c>
      <c r="AO395" s="42">
        <f>'1kpi_performance'!E395</f>
        <v>0.5652034371</v>
      </c>
      <c r="AP395" s="42">
        <f>'1kpi_performance'!F395</f>
        <v>0.3921616241</v>
      </c>
      <c r="AQ395" s="42">
        <f>'1kpi_performance'!G395</f>
        <v>0.3970631899</v>
      </c>
      <c r="AR395" s="42">
        <f>'1kpi_performance'!H395</f>
        <v>0.3670324978</v>
      </c>
      <c r="AS395" s="42">
        <f>'1kpi_performance'!I395</f>
        <v>0.5374633783</v>
      </c>
      <c r="AT395" s="35">
        <f>'1kpi_performance'!J395</f>
        <v>3.514358933</v>
      </c>
      <c r="AU395" s="35">
        <f>'1kpi_performance'!K395</f>
        <v>4.455184368</v>
      </c>
      <c r="AV395" s="35">
        <f>'1kpi_performance'!L395</f>
        <v>3.064550824</v>
      </c>
      <c r="AW395" s="35">
        <f>'1kpi_performance'!M395</f>
        <v>1.005098131</v>
      </c>
      <c r="AX395" s="42">
        <f>'1kpi_performance'!N395</f>
        <v>0.223020543</v>
      </c>
      <c r="AY395" s="42">
        <f>'1kpi_performance'!O395</f>
        <v>0.1559042971</v>
      </c>
      <c r="AZ395" s="42">
        <f>'1kpi_performance'!P395</f>
        <v>0.4907419946</v>
      </c>
      <c r="BA395" s="42">
        <f>'1kpi_performance'!Q395</f>
        <v>0.4627982646</v>
      </c>
      <c r="BB395" s="35">
        <f>'1kpi_performance'!R395</f>
        <v>8.798379306</v>
      </c>
      <c r="BC395" s="35">
        <f>'1kpi_performance'!S395</f>
        <v>11.84080922</v>
      </c>
      <c r="BD395" s="35">
        <f>'1kpi_performance'!T395</f>
        <v>6.993060843</v>
      </c>
      <c r="BE395" s="35">
        <f>'1kpi_performance'!U395</f>
        <v>2.157353053</v>
      </c>
      <c r="BF395" s="47"/>
      <c r="BG395" s="47"/>
      <c r="BH395" s="47"/>
      <c r="BI395" s="47"/>
      <c r="BJ395" s="47"/>
      <c r="BK395" s="47"/>
      <c r="BL395" s="47"/>
      <c r="BM395" s="47"/>
      <c r="BN395" s="47"/>
      <c r="BO395" s="47"/>
      <c r="BP395" s="47"/>
      <c r="BQ395" s="47"/>
      <c r="BR395" s="47"/>
      <c r="BS395" s="47"/>
      <c r="BT395" s="47"/>
    </row>
    <row r="396" ht="11.25" customHeight="1">
      <c r="A396" s="35" t="str">
        <f>'13all_company_profile'!A396</f>
        <v>MET</v>
      </c>
      <c r="B396" s="35" t="str">
        <f>'13all_company_profile'!B396</f>
        <v>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v>
      </c>
      <c r="C396" s="44" t="str">
        <f>'13all_company_profile'!C396</f>
        <v>https://financialmodelingprep.com/image-stock/MET.png</v>
      </c>
      <c r="D396" s="35" t="str">
        <f>'13all_company_profile'!D396</f>
        <v>MetLife, Inc.</v>
      </c>
      <c r="E396" s="36">
        <f>'13all_company_profile'!E396</f>
        <v>51299315712</v>
      </c>
      <c r="F396" s="37">
        <f>'13all_company_profile'!F396</f>
        <v>4848993</v>
      </c>
      <c r="G396" s="35">
        <f>'13all_company_profile'!G396</f>
        <v>1.86</v>
      </c>
      <c r="H396" s="38">
        <f>'13all_company_profile'!H396</f>
        <v>44411</v>
      </c>
      <c r="I396" s="35">
        <f>'13all_company_profile'!I396</f>
        <v>46.81077</v>
      </c>
      <c r="J396" s="35">
        <f>'13all_company_profile'!J396</f>
        <v>1.226</v>
      </c>
      <c r="K396" s="42">
        <f t="shared" si="1"/>
        <v>0.03223570191</v>
      </c>
      <c r="L396" s="35">
        <f>'7company_info'!B396</f>
        <v>57.7</v>
      </c>
      <c r="M396" s="35">
        <f>'7company_info'!C396</f>
        <v>58.23</v>
      </c>
      <c r="N396" s="35">
        <f>'7company_info'!D396</f>
        <v>55.55</v>
      </c>
      <c r="O396" s="35">
        <f>'7company_info'!E396</f>
        <v>1.84</v>
      </c>
      <c r="P396" s="35">
        <f>'7company_info'!F396</f>
        <v>0.0329</v>
      </c>
      <c r="Q396" s="35">
        <f>'7company_info'!G396</f>
        <v>55.65</v>
      </c>
      <c r="R396" s="35">
        <f>'7company_info'!H396</f>
        <v>55.86</v>
      </c>
      <c r="S396" s="35">
        <f>'7company_info'!I396</f>
        <v>35.19</v>
      </c>
      <c r="T396" s="35">
        <f>'7company_info'!J396</f>
        <v>67.68</v>
      </c>
      <c r="U396" s="39">
        <v>58.4716666666666</v>
      </c>
      <c r="V396" s="39">
        <v>59.1633333333333</v>
      </c>
      <c r="W396" s="40">
        <v>60.0866666666666</v>
      </c>
      <c r="X396" s="40">
        <v>61.7016666666666</v>
      </c>
      <c r="Y396" s="40">
        <v>57.5483333333333</v>
      </c>
      <c r="Z396" s="40">
        <v>56.8566666666666</v>
      </c>
      <c r="AA396" s="40">
        <v>55.2416666666666</v>
      </c>
      <c r="AB396" s="40">
        <v>58.09</v>
      </c>
      <c r="AC396" s="40">
        <v>60.58</v>
      </c>
      <c r="AD396" s="40">
        <v>60.0359897319153</v>
      </c>
      <c r="AE396" s="40">
        <v>55.63</v>
      </c>
      <c r="AF396" s="40">
        <v>1.54875</v>
      </c>
      <c r="AG396" s="40">
        <v>67.68</v>
      </c>
      <c r="AH396" s="45">
        <v>44326.0</v>
      </c>
      <c r="AI396" s="44" t="str">
        <f>'6image_RS_benchmark_performance'!B396</f>
        <v>https://3arbzfbsh-cname-us.ngrok.io/Desktop/seabridge%20fintech/image_app/MET_resistance_support.jpg</v>
      </c>
      <c r="AJ396" s="44" t="str">
        <f>'6image_RS_benchmark_performance'!C396</f>
        <v>https://3arbzfbsh-cname-us.ngrok.io/Desktop/seabridge%20fintech/profit_graph_app/MET_Return.jpg</v>
      </c>
      <c r="AK396" s="46" t="str">
        <f>'5price_action_icon'!B396</f>
        <v>https://3arbzfbsh-cname-us.ngrok.io/Desktop/seabridge%20fintech/icon/MET_pa_trend_signal</v>
      </c>
      <c r="AL396" s="42">
        <f>'1kpi_performance'!B396</f>
        <v>0.5256876706</v>
      </c>
      <c r="AM396" s="42">
        <f>'1kpi_performance'!C396</f>
        <v>0.7816459487</v>
      </c>
      <c r="AN396" s="42">
        <f>'1kpi_performance'!D396</f>
        <v>0.7142091369</v>
      </c>
      <c r="AO396" s="42">
        <f>'1kpi_performance'!E396</f>
        <v>0.07220572843</v>
      </c>
      <c r="AP396" s="42">
        <f>'1kpi_performance'!F396</f>
        <v>0.2505033632</v>
      </c>
      <c r="AQ396" s="42">
        <f>'1kpi_performance'!G396</f>
        <v>0.2447142693</v>
      </c>
      <c r="AR396" s="42">
        <f>'1kpi_performance'!H396</f>
        <v>0.2628851622</v>
      </c>
      <c r="AS396" s="42">
        <f>'1kpi_performance'!I396</f>
        <v>0.3884625211</v>
      </c>
      <c r="AT396" s="35">
        <f>'1kpi_performance'!J396</f>
        <v>1.998726341</v>
      </c>
      <c r="AU396" s="35">
        <f>'1kpi_performance'!K396</f>
        <v>3.091956799</v>
      </c>
      <c r="AV396" s="35">
        <f>'1kpi_performance'!L396</f>
        <v>2.621711819</v>
      </c>
      <c r="AW396" s="35">
        <f>'1kpi_performance'!M396</f>
        <v>0.1215193895</v>
      </c>
      <c r="AX396" s="42">
        <f>'1kpi_performance'!N396</f>
        <v>0.2030373075</v>
      </c>
      <c r="AY396" s="42">
        <f>'1kpi_performance'!O396</f>
        <v>0.1478635106</v>
      </c>
      <c r="AZ396" s="42">
        <f>'1kpi_performance'!P396</f>
        <v>0.3586472498</v>
      </c>
      <c r="BA396" s="42">
        <f>'1kpi_performance'!Q396</f>
        <v>0.5777857527</v>
      </c>
      <c r="BB396" s="35">
        <f>'1kpi_performance'!R396</f>
        <v>4.122364752</v>
      </c>
      <c r="BC396" s="35">
        <f>'1kpi_performance'!S396</f>
        <v>7.090438787</v>
      </c>
      <c r="BD396" s="35">
        <f>'1kpi_performance'!T396</f>
        <v>5.294281816</v>
      </c>
      <c r="BE396" s="35">
        <f>'1kpi_performance'!U396</f>
        <v>0.2301563402</v>
      </c>
      <c r="BF396" s="47"/>
      <c r="BG396" s="47"/>
      <c r="BH396" s="47"/>
      <c r="BI396" s="47"/>
      <c r="BJ396" s="47"/>
      <c r="BK396" s="47"/>
      <c r="BL396" s="47"/>
      <c r="BM396" s="47"/>
      <c r="BN396" s="47"/>
      <c r="BO396" s="47"/>
      <c r="BP396" s="47"/>
      <c r="BQ396" s="47"/>
      <c r="BR396" s="47"/>
      <c r="BS396" s="47"/>
      <c r="BT396" s="47"/>
    </row>
    <row r="397" ht="11.25" customHeight="1">
      <c r="A397" s="35" t="str">
        <f>'13all_company_profile'!A397</f>
        <v>MGM</v>
      </c>
      <c r="B397" s="35" t="str">
        <f>'13all_company_profile'!B397</f>
        <v>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v>
      </c>
      <c r="C397" s="44" t="str">
        <f>'13all_company_profile'!C397</f>
        <v>https://financialmodelingprep.com/image-stock/MGM.png</v>
      </c>
      <c r="D397" s="35" t="str">
        <f>'13all_company_profile'!D397</f>
        <v>MGM Resorts International</v>
      </c>
      <c r="E397" s="36">
        <f>'13all_company_profile'!E397</f>
        <v>19233916928</v>
      </c>
      <c r="F397" s="37">
        <f>'13all_company_profile'!F397</f>
        <v>6698114</v>
      </c>
      <c r="G397" s="35">
        <f>'13all_company_profile'!G397</f>
        <v>0.01</v>
      </c>
      <c r="H397" s="38">
        <f>'13all_company_profile'!H397</f>
        <v>44412</v>
      </c>
      <c r="I397" s="35" t="str">
        <f>'13all_company_profile'!I397</f>
        <v>NaN</v>
      </c>
      <c r="J397" s="35">
        <f>'13all_company_profile'!J397</f>
        <v>-4.362</v>
      </c>
      <c r="K397" s="42">
        <f t="shared" si="1"/>
        <v>0.0002604845012</v>
      </c>
      <c r="L397" s="35">
        <f>'7company_info'!B397</f>
        <v>38.39</v>
      </c>
      <c r="M397" s="35">
        <f>'7company_info'!C397</f>
        <v>38.78</v>
      </c>
      <c r="N397" s="35">
        <f>'7company_info'!D397</f>
        <v>36.37</v>
      </c>
      <c r="O397" s="35">
        <f>'7company_info'!E397</f>
        <v>1.76</v>
      </c>
      <c r="P397" s="35">
        <f>'7company_info'!F397</f>
        <v>0.048</v>
      </c>
      <c r="Q397" s="35">
        <f>'7company_info'!G397</f>
        <v>36.69</v>
      </c>
      <c r="R397" s="35">
        <f>'7company_info'!H397</f>
        <v>36.63</v>
      </c>
      <c r="S397" s="35">
        <f>'7company_info'!I397</f>
        <v>14.65</v>
      </c>
      <c r="T397" s="35">
        <f>'7company_info'!J397</f>
        <v>45.34</v>
      </c>
      <c r="U397" s="39">
        <v>40.35</v>
      </c>
      <c r="V397" s="39">
        <v>40.92</v>
      </c>
      <c r="W397" s="40">
        <v>41.87</v>
      </c>
      <c r="X397" s="40">
        <v>43.3899999999999</v>
      </c>
      <c r="Y397" s="40">
        <v>39.4</v>
      </c>
      <c r="Z397" s="40">
        <v>38.83</v>
      </c>
      <c r="AA397" s="40">
        <v>37.31</v>
      </c>
      <c r="AB397" s="40">
        <v>40.35</v>
      </c>
      <c r="AC397" s="40">
        <v>41.65</v>
      </c>
      <c r="AD397" s="40">
        <v>41.7174274133671</v>
      </c>
      <c r="AE397" s="40">
        <v>38.06852</v>
      </c>
      <c r="AF397" s="40">
        <v>1.33123999999999</v>
      </c>
      <c r="AG397" s="40">
        <v>45.34</v>
      </c>
      <c r="AH397" s="45">
        <v>44371.0</v>
      </c>
      <c r="AI397" s="44" t="str">
        <f>'6image_RS_benchmark_performance'!B397</f>
        <v>https://3arbzfbsh-cname-us.ngrok.io/Desktop/seabridge%20fintech/image_app/MGM_resistance_support.jpg</v>
      </c>
      <c r="AJ397" s="44" t="str">
        <f>'6image_RS_benchmark_performance'!C397</f>
        <v>https://3arbzfbsh-cname-us.ngrok.io/Desktop/seabridge%20fintech/profit_graph_app/MGM_Return.jpg</v>
      </c>
      <c r="AK397" s="46" t="str">
        <f>'5price_action_icon'!B397</f>
        <v>https://3arbzfbsh-cname-us.ngrok.io/Desktop/seabridge%20fintech/icon/MGM_pa_trend_signal</v>
      </c>
      <c r="AL397" s="42">
        <f>'1kpi_performance'!B397</f>
        <v>0.9969010974</v>
      </c>
      <c r="AM397" s="42">
        <f>'1kpi_performance'!C397</f>
        <v>1.301102567</v>
      </c>
      <c r="AN397" s="42">
        <f>'1kpi_performance'!D397</f>
        <v>1.249588211</v>
      </c>
      <c r="AO397" s="42">
        <f>'1kpi_performance'!E397</f>
        <v>0.1702337341</v>
      </c>
      <c r="AP397" s="42">
        <f>'1kpi_performance'!F397</f>
        <v>0.3631928923</v>
      </c>
      <c r="AQ397" s="42">
        <f>'1kpi_performance'!G397</f>
        <v>0.3718797477</v>
      </c>
      <c r="AR397" s="42">
        <f>'1kpi_performance'!H397</f>
        <v>0.3620275221</v>
      </c>
      <c r="AS397" s="42">
        <f>'1kpi_performance'!I397</f>
        <v>0.5541873285</v>
      </c>
      <c r="AT397" s="35">
        <f>'1kpi_performance'!J397</f>
        <v>2.675991513</v>
      </c>
      <c r="AU397" s="35">
        <f>'1kpi_performance'!K397</f>
        <v>3.431492504</v>
      </c>
      <c r="AV397" s="35">
        <f>'1kpi_performance'!L397</f>
        <v>3.38258319</v>
      </c>
      <c r="AW397" s="35">
        <f>'1kpi_performance'!M397</f>
        <v>0.2620661401</v>
      </c>
      <c r="AX397" s="42">
        <f>'1kpi_performance'!N397</f>
        <v>0.2548014486</v>
      </c>
      <c r="AY397" s="42">
        <f>'1kpi_performance'!O397</f>
        <v>0.2133828996</v>
      </c>
      <c r="AZ397" s="42">
        <f>'1kpi_performance'!P397</f>
        <v>0.2579022989</v>
      </c>
      <c r="BA397" s="42">
        <f>'1kpi_performance'!Q397</f>
        <v>0.8122534841</v>
      </c>
      <c r="BB397" s="35">
        <f>'1kpi_performance'!R397</f>
        <v>5.94417257</v>
      </c>
      <c r="BC397" s="35">
        <f>'1kpi_performance'!S397</f>
        <v>8.135275199</v>
      </c>
      <c r="BD397" s="35">
        <f>'1kpi_performance'!T397</f>
        <v>7.865083497</v>
      </c>
      <c r="BE397" s="35">
        <f>'1kpi_performance'!U397</f>
        <v>0.5163209476</v>
      </c>
      <c r="BF397" s="47"/>
      <c r="BG397" s="47"/>
      <c r="BH397" s="47"/>
      <c r="BI397" s="47"/>
      <c r="BJ397" s="47"/>
      <c r="BK397" s="47"/>
      <c r="BL397" s="47"/>
      <c r="BM397" s="47"/>
      <c r="BN397" s="47"/>
      <c r="BO397" s="47"/>
      <c r="BP397" s="47"/>
      <c r="BQ397" s="47"/>
      <c r="BR397" s="47"/>
      <c r="BS397" s="47"/>
      <c r="BT397" s="47"/>
    </row>
    <row r="398" ht="11.25" customHeight="1">
      <c r="A398" s="35" t="str">
        <f>'13all_company_profile'!A398</f>
        <v>MGNI</v>
      </c>
      <c r="B398" s="35" t="str">
        <f>'13all_company_profile'!B398</f>
        <v>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v>
      </c>
      <c r="C398" s="44" t="str">
        <f>'13all_company_profile'!C398</f>
        <v>https://financialmodelingprep.com/image-stock/MGNI.jpg</v>
      </c>
      <c r="D398" s="35" t="str">
        <f>'13all_company_profile'!D398</f>
        <v>Magnite, Inc.</v>
      </c>
      <c r="E398" s="36">
        <f>'13all_company_profile'!E398</f>
        <v>3792320512</v>
      </c>
      <c r="F398" s="37">
        <f>'13all_company_profile'!F398</f>
        <v>2658538</v>
      </c>
      <c r="G398" s="35">
        <f>'13all_company_profile'!G398</f>
        <v>0</v>
      </c>
      <c r="H398" s="38" t="str">
        <f>'13all_company_profile'!H398</f>
        <v>not avaiable</v>
      </c>
      <c r="I398" s="35" t="str">
        <f>'13all_company_profile'!I398</f>
        <v>NaN</v>
      </c>
      <c r="J398" s="35">
        <f>'13all_company_profile'!J398</f>
        <v>-0.507</v>
      </c>
      <c r="K398" s="42" t="str">
        <f t="shared" si="1"/>
        <v>NaN</v>
      </c>
      <c r="L398" s="35">
        <f>'7company_info'!B398</f>
        <v>29.98</v>
      </c>
      <c r="M398" s="35">
        <f>'7company_info'!C398</f>
        <v>30.33</v>
      </c>
      <c r="N398" s="35">
        <f>'7company_info'!D398</f>
        <v>28.11</v>
      </c>
      <c r="O398" s="35">
        <f>'7company_info'!E398</f>
        <v>1.5</v>
      </c>
      <c r="P398" s="35">
        <f>'7company_info'!F398</f>
        <v>0.0527</v>
      </c>
      <c r="Q398" s="35">
        <f>'7company_info'!G398</f>
        <v>28.45</v>
      </c>
      <c r="R398" s="35">
        <f>'7company_info'!H398</f>
        <v>28.48</v>
      </c>
      <c r="S398" s="35">
        <f>'7company_info'!I398</f>
        <v>5.57</v>
      </c>
      <c r="T398" s="35">
        <f>'7company_info'!J398</f>
        <v>64.39</v>
      </c>
      <c r="U398" s="39">
        <v>30.2433333333333</v>
      </c>
      <c r="V398" s="39">
        <v>31.1166666666666</v>
      </c>
      <c r="W398" s="40">
        <v>32.6433333333333</v>
      </c>
      <c r="X398" s="40">
        <v>35.0433333333333</v>
      </c>
      <c r="Y398" s="40">
        <v>28.7166666666666</v>
      </c>
      <c r="Z398" s="40">
        <v>27.8433333333333</v>
      </c>
      <c r="AA398" s="40">
        <v>25.4433333333333</v>
      </c>
      <c r="AB398" s="40">
        <v>33.81</v>
      </c>
      <c r="AC398" s="40">
        <v>32.38</v>
      </c>
      <c r="AD398" s="40">
        <v>32.6608970349475</v>
      </c>
      <c r="AE398" s="40">
        <v>26.82273</v>
      </c>
      <c r="AF398" s="40">
        <v>2.144135</v>
      </c>
      <c r="AG398" s="40">
        <v>64.39</v>
      </c>
      <c r="AH398" s="45">
        <v>44236.0</v>
      </c>
      <c r="AI398" s="44" t="str">
        <f>'6image_RS_benchmark_performance'!B398</f>
        <v>https://3arbzfbsh-cname-us.ngrok.io/Desktop/seabridge%20fintech/image_app/MGNI_resistance_support.jpg</v>
      </c>
      <c r="AJ398" s="44" t="str">
        <f>'6image_RS_benchmark_performance'!C398</f>
        <v>https://3arbzfbsh-cname-us.ngrok.io/Desktop/seabridge%20fintech/profit_graph_app/MGNI_Return.jpg</v>
      </c>
      <c r="AK398" s="46" t="str">
        <f>'5price_action_icon'!B398</f>
        <v>https://3arbzfbsh-cname-us.ngrok.io/Desktop/seabridge%20fintech/icon/MGNI_pa_trend_signal</v>
      </c>
      <c r="AL398" s="42">
        <f>'1kpi_performance'!B398</f>
        <v>1.811008848</v>
      </c>
      <c r="AM398" s="42">
        <f>'1kpi_performance'!C398</f>
        <v>3.067207377</v>
      </c>
      <c r="AN398" s="42">
        <f>'1kpi_performance'!D398</f>
        <v>1.654937469</v>
      </c>
      <c r="AO398" s="42">
        <f>'1kpi_performance'!E398</f>
        <v>0.07901504817</v>
      </c>
      <c r="AP398" s="42">
        <f>'1kpi_performance'!F398</f>
        <v>0.5765726119</v>
      </c>
      <c r="AQ398" s="42">
        <f>'1kpi_performance'!G398</f>
        <v>0.6014819078</v>
      </c>
      <c r="AR398" s="42">
        <f>'1kpi_performance'!H398</f>
        <v>0.6351513467</v>
      </c>
      <c r="AS398" s="42">
        <f>'1kpi_performance'!I398</f>
        <v>0.8591442385</v>
      </c>
      <c r="AT398" s="35">
        <f>'1kpi_performance'!J398</f>
        <v>3.097630396</v>
      </c>
      <c r="AU398" s="35">
        <f>'1kpi_performance'!K398</f>
        <v>5.057853508</v>
      </c>
      <c r="AV398" s="35">
        <f>'1kpi_performance'!L398</f>
        <v>2.566219025</v>
      </c>
      <c r="AW398" s="35">
        <f>'1kpi_performance'!M398</f>
        <v>0.06287075645</v>
      </c>
      <c r="AX398" s="42">
        <f>'1kpi_performance'!N398</f>
        <v>0.376332609</v>
      </c>
      <c r="AY398" s="42">
        <f>'1kpi_performance'!O398</f>
        <v>0.4887589928</v>
      </c>
      <c r="AZ398" s="42">
        <f>'1kpi_performance'!P398</f>
        <v>0.7482566815</v>
      </c>
      <c r="BA398" s="42">
        <f>'1kpi_performance'!Q398</f>
        <v>0.9330035971</v>
      </c>
      <c r="BB398" s="35">
        <f>'1kpi_performance'!R398</f>
        <v>7.587411434</v>
      </c>
      <c r="BC398" s="35">
        <f>'1kpi_performance'!S398</f>
        <v>13.21727861</v>
      </c>
      <c r="BD398" s="35">
        <f>'1kpi_performance'!T398</f>
        <v>5.331735374</v>
      </c>
      <c r="BE398" s="35">
        <f>'1kpi_performance'!U398</f>
        <v>0.1248323339</v>
      </c>
      <c r="BF398" s="47"/>
      <c r="BG398" s="47"/>
      <c r="BH398" s="47"/>
      <c r="BI398" s="47"/>
      <c r="BJ398" s="47"/>
      <c r="BK398" s="47"/>
      <c r="BL398" s="47"/>
      <c r="BM398" s="47"/>
      <c r="BN398" s="47"/>
      <c r="BO398" s="47"/>
      <c r="BP398" s="47"/>
      <c r="BQ398" s="47"/>
      <c r="BR398" s="47"/>
      <c r="BS398" s="47"/>
      <c r="BT398" s="47"/>
    </row>
    <row r="399" ht="11.25" customHeight="1">
      <c r="A399" s="35" t="str">
        <f>'13all_company_profile'!A399</f>
        <v>MHK</v>
      </c>
      <c r="B399" s="35" t="str">
        <f>'13all_company_profile'!B399</f>
        <v>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v>
      </c>
      <c r="C399" s="44" t="str">
        <f>'13all_company_profile'!C399</f>
        <v>https://financialmodelingprep.com/image-stock/MHK.png</v>
      </c>
      <c r="D399" s="35" t="str">
        <f>'13all_company_profile'!D399</f>
        <v>Mohawk Industries, Inc.</v>
      </c>
      <c r="E399" s="36">
        <f>'13all_company_profile'!E399</f>
        <v>13288436736</v>
      </c>
      <c r="F399" s="37">
        <f>'13all_company_profile'!F399</f>
        <v>540525</v>
      </c>
      <c r="G399" s="35">
        <f>'13all_company_profile'!G399</f>
        <v>0</v>
      </c>
      <c r="H399" s="38">
        <f>'13all_company_profile'!H399</f>
        <v>44406</v>
      </c>
      <c r="I399" s="35">
        <f>'13all_company_profile'!I399</f>
        <v>3.726895</v>
      </c>
      <c r="J399" s="35">
        <f>'13all_company_profile'!J399</f>
        <v>49.89534</v>
      </c>
      <c r="K399" s="42" t="str">
        <f t="shared" si="1"/>
        <v>NaN</v>
      </c>
      <c r="L399" s="35">
        <f>'7company_info'!B399</f>
        <v>186.52</v>
      </c>
      <c r="M399" s="35">
        <f>'7company_info'!C399</f>
        <v>187.34</v>
      </c>
      <c r="N399" s="35">
        <f>'7company_info'!D399</f>
        <v>178.73</v>
      </c>
      <c r="O399" s="35">
        <f>'7company_info'!E399</f>
        <v>5.9</v>
      </c>
      <c r="P399" s="35">
        <f>'7company_info'!F399</f>
        <v>0.0327</v>
      </c>
      <c r="Q399" s="35">
        <f>'7company_info'!G399</f>
        <v>180.76</v>
      </c>
      <c r="R399" s="35">
        <f>'7company_info'!H399</f>
        <v>180.62</v>
      </c>
      <c r="S399" s="35">
        <f>'7company_info'!I399</f>
        <v>77.19</v>
      </c>
      <c r="T399" s="35">
        <f>'7company_info'!J399</f>
        <v>231.8</v>
      </c>
      <c r="U399" s="39">
        <v>194.451666666666</v>
      </c>
      <c r="V399" s="39">
        <v>196.703333333333</v>
      </c>
      <c r="W399" s="40">
        <v>199.086666666666</v>
      </c>
      <c r="X399" s="40">
        <v>203.721666666666</v>
      </c>
      <c r="Y399" s="40">
        <v>192.068333333333</v>
      </c>
      <c r="Z399" s="40">
        <v>189.816666666666</v>
      </c>
      <c r="AA399" s="40">
        <v>185.181666666666</v>
      </c>
      <c r="AB399" s="40">
        <v>189.15</v>
      </c>
      <c r="AC399" s="40">
        <v>199.51</v>
      </c>
      <c r="AD399" s="40">
        <v>194.969515988071</v>
      </c>
      <c r="AE399" s="40">
        <v>183.31887</v>
      </c>
      <c r="AF399" s="40">
        <v>5.653065</v>
      </c>
      <c r="AG399" s="40">
        <v>231.8</v>
      </c>
      <c r="AH399" s="45">
        <v>44326.0</v>
      </c>
      <c r="AI399" s="44" t="str">
        <f>'6image_RS_benchmark_performance'!B399</f>
        <v>https://3arbzfbsh-cname-us.ngrok.io/Desktop/seabridge%20fintech/image_app/MHK_resistance_support.jpg</v>
      </c>
      <c r="AJ399" s="44" t="str">
        <f>'6image_RS_benchmark_performance'!C399</f>
        <v>https://3arbzfbsh-cname-us.ngrok.io/Desktop/seabridge%20fintech/profit_graph_app/MHK_Return.jpg</v>
      </c>
      <c r="AK399" s="46" t="str">
        <f>'5price_action_icon'!B399</f>
        <v>https://3arbzfbsh-cname-us.ngrok.io/Desktop/seabridge%20fintech/icon/MHK_pa_trend_signal</v>
      </c>
      <c r="AL399" s="42">
        <f>'1kpi_performance'!B399</f>
        <v>0.6360694622</v>
      </c>
      <c r="AM399" s="42">
        <f>'1kpi_performance'!C399</f>
        <v>0.9561227907</v>
      </c>
      <c r="AN399" s="42">
        <f>'1kpi_performance'!D399</f>
        <v>0.8283590595</v>
      </c>
      <c r="AO399" s="42">
        <f>'1kpi_performance'!E399</f>
        <v>0.199360362</v>
      </c>
      <c r="AP399" s="42">
        <f>'1kpi_performance'!F399</f>
        <v>0.286192091</v>
      </c>
      <c r="AQ399" s="42">
        <f>'1kpi_performance'!G399</f>
        <v>0.2975938179</v>
      </c>
      <c r="AR399" s="42">
        <f>'1kpi_performance'!H399</f>
        <v>0.3334716941</v>
      </c>
      <c r="AS399" s="42">
        <f>'1kpi_performance'!I399</f>
        <v>0.4405279067</v>
      </c>
      <c r="AT399" s="35">
        <f>'1kpi_performance'!J399</f>
        <v>2.135172429</v>
      </c>
      <c r="AU399" s="35">
        <f>'1kpi_performance'!K399</f>
        <v>3.128837814</v>
      </c>
      <c r="AV399" s="35">
        <f>'1kpi_performance'!L399</f>
        <v>2.409077213</v>
      </c>
      <c r="AW399" s="35">
        <f>'1kpi_performance'!M399</f>
        <v>0.3957986755</v>
      </c>
      <c r="AX399" s="42">
        <f>'1kpi_performance'!N399</f>
        <v>0.3061943566</v>
      </c>
      <c r="AY399" s="42">
        <f>'1kpi_performance'!O399</f>
        <v>0.2199189254</v>
      </c>
      <c r="AZ399" s="42">
        <f>'1kpi_performance'!P399</f>
        <v>0.5748659226</v>
      </c>
      <c r="BA399" s="42">
        <f>'1kpi_performance'!Q399</f>
        <v>0.794045362</v>
      </c>
      <c r="BB399" s="35">
        <f>'1kpi_performance'!R399</f>
        <v>4.584744019</v>
      </c>
      <c r="BC399" s="35">
        <f>'1kpi_performance'!S399</f>
        <v>7.17407566</v>
      </c>
      <c r="BD399" s="35">
        <f>'1kpi_performance'!T399</f>
        <v>4.750050116</v>
      </c>
      <c r="BE399" s="35">
        <f>'1kpi_performance'!U399</f>
        <v>0.7431843146</v>
      </c>
      <c r="BF399" s="47"/>
      <c r="BG399" s="47"/>
      <c r="BH399" s="47"/>
      <c r="BI399" s="47"/>
      <c r="BJ399" s="47"/>
      <c r="BK399" s="47"/>
      <c r="BL399" s="47"/>
      <c r="BM399" s="47"/>
      <c r="BN399" s="47"/>
      <c r="BO399" s="47"/>
      <c r="BP399" s="47"/>
      <c r="BQ399" s="47"/>
      <c r="BR399" s="47"/>
      <c r="BS399" s="47"/>
      <c r="BT399" s="47"/>
    </row>
    <row r="400" ht="11.25" customHeight="1">
      <c r="A400" s="35" t="str">
        <f>'13all_company_profile'!A400</f>
        <v>MKC</v>
      </c>
      <c r="B400" s="35" t="str">
        <f>'13all_company_profile'!B400</f>
        <v>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v>
      </c>
      <c r="C400" s="44" t="str">
        <f>'13all_company_profile'!C400</f>
        <v>https://financialmodelingprep.com/image-stock/MKC.png</v>
      </c>
      <c r="D400" s="35" t="str">
        <f>'13all_company_profile'!D400</f>
        <v>McCormick &amp; Company, Incorporated</v>
      </c>
      <c r="E400" s="36">
        <f>'13all_company_profile'!E400</f>
        <v>23276544000</v>
      </c>
      <c r="F400" s="37">
        <f>'13all_company_profile'!F400</f>
        <v>1287487</v>
      </c>
      <c r="G400" s="35">
        <f>'13all_company_profile'!G400</f>
        <v>1.33</v>
      </c>
      <c r="H400" s="38" t="str">
        <f>'13all_company_profile'!H400</f>
        <v>not avaiable</v>
      </c>
      <c r="I400" s="35">
        <f>'13all_company_profile'!I400</f>
        <v>31.444962</v>
      </c>
      <c r="J400" s="35">
        <f>'13all_company_profile'!J400</f>
        <v>2.789</v>
      </c>
      <c r="K400" s="42">
        <f t="shared" si="1"/>
        <v>0.01516533637</v>
      </c>
      <c r="L400" s="35">
        <f>'7company_info'!B400</f>
        <v>87.7</v>
      </c>
      <c r="M400" s="35">
        <f>'7company_info'!C400</f>
        <v>89.53</v>
      </c>
      <c r="N400" s="35">
        <f>'7company_info'!D400</f>
        <v>87.62</v>
      </c>
      <c r="O400" s="35">
        <f>'7company_info'!E400</f>
        <v>-0.91</v>
      </c>
      <c r="P400" s="35">
        <f>'7company_info'!F400</f>
        <v>-0.0103</v>
      </c>
      <c r="Q400" s="35">
        <f>'7company_info'!G400</f>
        <v>88.65</v>
      </c>
      <c r="R400" s="35">
        <f>'7company_info'!H400</f>
        <v>88.61</v>
      </c>
      <c r="S400" s="35">
        <f>'7company_info'!I400</f>
        <v>82.03</v>
      </c>
      <c r="T400" s="35">
        <f>'7company_info'!J400</f>
        <v>105.54</v>
      </c>
      <c r="U400" s="39">
        <v>85.97</v>
      </c>
      <c r="V400" s="39">
        <v>86.65</v>
      </c>
      <c r="W400" s="40">
        <v>87.12</v>
      </c>
      <c r="X400" s="40">
        <v>88.27</v>
      </c>
      <c r="Y400" s="40">
        <v>85.5</v>
      </c>
      <c r="Z400" s="40">
        <v>84.82</v>
      </c>
      <c r="AA400" s="40">
        <v>83.67</v>
      </c>
      <c r="AB400" s="40">
        <v>88.19</v>
      </c>
      <c r="AC400" s="40">
        <v>88.78</v>
      </c>
      <c r="AD400" s="40">
        <v>87.4676618400988</v>
      </c>
      <c r="AE400" s="40">
        <v>83.13134</v>
      </c>
      <c r="AF400" s="40">
        <v>1.29732999999999</v>
      </c>
      <c r="AG400" s="40">
        <v>98.8</v>
      </c>
      <c r="AH400" s="45">
        <v>44223.0</v>
      </c>
      <c r="AI400" s="44" t="str">
        <f>'6image_RS_benchmark_performance'!B400</f>
        <v>https://3arbzfbsh-cname-us.ngrok.io/Desktop/seabridge%20fintech/image_app/MKC_resistance_support.jpg</v>
      </c>
      <c r="AJ400" s="44" t="str">
        <f>'6image_RS_benchmark_performance'!C400</f>
        <v>https://3arbzfbsh-cname-us.ngrok.io/Desktop/seabridge%20fintech/profit_graph_app/MKC_Return.jpg</v>
      </c>
      <c r="AK400" s="46" t="str">
        <f>'5price_action_icon'!B400</f>
        <v>https://3arbzfbsh-cname-us.ngrok.io/Desktop/seabridge%20fintech/icon/MKC_pa_trend_signal</v>
      </c>
      <c r="AL400" s="42">
        <f>'1kpi_performance'!B400</f>
        <v>0.4067796244</v>
      </c>
      <c r="AM400" s="42">
        <f>'1kpi_performance'!C400</f>
        <v>0.4857854673</v>
      </c>
      <c r="AN400" s="42">
        <f>'1kpi_performance'!D400</f>
        <v>0.5288390157</v>
      </c>
      <c r="AO400" s="42">
        <f>'1kpi_performance'!E400</f>
        <v>0.2111854783</v>
      </c>
      <c r="AP400" s="42">
        <f>'1kpi_performance'!F400</f>
        <v>0.15846275</v>
      </c>
      <c r="AQ400" s="42">
        <f>'1kpi_performance'!G400</f>
        <v>0.1667916675</v>
      </c>
      <c r="AR400" s="42">
        <f>'1kpi_performance'!H400</f>
        <v>0.1497363721</v>
      </c>
      <c r="AS400" s="42">
        <f>'1kpi_performance'!I400</f>
        <v>0.2387765159</v>
      </c>
      <c r="AT400" s="35">
        <f>'1kpi_performance'!J400</f>
        <v>2.409270471</v>
      </c>
      <c r="AU400" s="35">
        <f>'1kpi_performance'!K400</f>
        <v>2.76264081</v>
      </c>
      <c r="AV400" s="35">
        <f>'1kpi_performance'!L400</f>
        <v>3.364840544</v>
      </c>
      <c r="AW400" s="35">
        <f>'1kpi_performance'!M400</f>
        <v>0.7797478642</v>
      </c>
      <c r="AX400" s="42">
        <f>'1kpi_performance'!N400</f>
        <v>0.1550466618</v>
      </c>
      <c r="AY400" s="42">
        <f>'1kpi_performance'!O400</f>
        <v>0.1169254768</v>
      </c>
      <c r="AZ400" s="42">
        <f>'1kpi_performance'!P400</f>
        <v>0.1372671454</v>
      </c>
      <c r="BA400" s="42">
        <f>'1kpi_performance'!Q400</f>
        <v>0.3411471899</v>
      </c>
      <c r="BB400" s="35">
        <f>'1kpi_performance'!R400</f>
        <v>5.126200796</v>
      </c>
      <c r="BC400" s="35">
        <f>'1kpi_performance'!S400</f>
        <v>6.380622179</v>
      </c>
      <c r="BD400" s="35">
        <f>'1kpi_performance'!T400</f>
        <v>7.725656625</v>
      </c>
      <c r="BE400" s="35">
        <f>'1kpi_performance'!U400</f>
        <v>1.47943694</v>
      </c>
      <c r="BF400" s="47"/>
      <c r="BG400" s="47"/>
      <c r="BH400" s="47"/>
      <c r="BI400" s="47"/>
      <c r="BJ400" s="47"/>
      <c r="BK400" s="47"/>
      <c r="BL400" s="47"/>
      <c r="BM400" s="47"/>
      <c r="BN400" s="47"/>
      <c r="BO400" s="47"/>
      <c r="BP400" s="47"/>
      <c r="BQ400" s="47"/>
      <c r="BR400" s="47"/>
      <c r="BS400" s="47"/>
      <c r="BT400" s="47"/>
    </row>
    <row r="401" ht="11.25" customHeight="1">
      <c r="A401" s="35" t="str">
        <f>'13all_company_profile'!A401</f>
        <v>MKTX</v>
      </c>
      <c r="B401" s="35" t="str">
        <f>'13all_company_profile'!B401</f>
        <v>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v>
      </c>
      <c r="C401" s="44" t="str">
        <f>'13all_company_profile'!C401</f>
        <v>https://financialmodelingprep.com/image-stock/MKTX.png</v>
      </c>
      <c r="D401" s="35" t="str">
        <f>'13all_company_profile'!D401</f>
        <v>MarketAxess Holdings Inc.</v>
      </c>
      <c r="E401" s="36">
        <f>'13all_company_profile'!E401</f>
        <v>17269594112</v>
      </c>
      <c r="F401" s="37">
        <f>'13all_company_profile'!F401</f>
        <v>284022</v>
      </c>
      <c r="G401" s="35">
        <f>'13all_company_profile'!G401</f>
        <v>2.52</v>
      </c>
      <c r="H401" s="38">
        <f>'13all_company_profile'!H401</f>
        <v>44397</v>
      </c>
      <c r="I401" s="35">
        <f>'13all_company_profile'!I401</f>
        <v>57.35875</v>
      </c>
      <c r="J401" s="35">
        <f>'13all_company_profile'!J401</f>
        <v>8</v>
      </c>
      <c r="K401" s="42">
        <f t="shared" si="1"/>
        <v>0.005472312704</v>
      </c>
      <c r="L401" s="35">
        <f>'7company_info'!B401</f>
        <v>460.5</v>
      </c>
      <c r="M401" s="35">
        <f>'7company_info'!C401</f>
        <v>465.53</v>
      </c>
      <c r="N401" s="35">
        <f>'7company_info'!D401</f>
        <v>459.08</v>
      </c>
      <c r="O401" s="35">
        <f>'7company_info'!E401</f>
        <v>-2.18</v>
      </c>
      <c r="P401" s="35">
        <f>'7company_info'!F401</f>
        <v>-0.0047</v>
      </c>
      <c r="Q401" s="35">
        <f>'7company_info'!G401</f>
        <v>462.22</v>
      </c>
      <c r="R401" s="35">
        <f>'7company_info'!H401</f>
        <v>462.68</v>
      </c>
      <c r="S401" s="35">
        <f>'7company_info'!I401</f>
        <v>431.19</v>
      </c>
      <c r="T401" s="35">
        <f>'7company_info'!J401</f>
        <v>606.45</v>
      </c>
      <c r="U401" s="39">
        <v>458.476666666666</v>
      </c>
      <c r="V401" s="39">
        <v>463.203333333333</v>
      </c>
      <c r="W401" s="40">
        <v>466.946666666666</v>
      </c>
      <c r="X401" s="40">
        <v>475.416666666666</v>
      </c>
      <c r="Y401" s="40">
        <v>454.733333333333</v>
      </c>
      <c r="Z401" s="40">
        <v>450.006666666666</v>
      </c>
      <c r="AA401" s="40">
        <v>441.536666666666</v>
      </c>
      <c r="AB401" s="40">
        <v>465.96</v>
      </c>
      <c r="AC401" s="40">
        <v>450.755</v>
      </c>
      <c r="AD401" s="40">
        <v>459.887052425059</v>
      </c>
      <c r="AE401" s="40">
        <v>436.67623</v>
      </c>
      <c r="AF401" s="40">
        <v>11.2853849999999</v>
      </c>
      <c r="AG401" s="40">
        <v>589.25</v>
      </c>
      <c r="AH401" s="45">
        <v>44229.0</v>
      </c>
      <c r="AI401" s="44" t="str">
        <f>'6image_RS_benchmark_performance'!B401</f>
        <v>https://3arbzfbsh-cname-us.ngrok.io/Desktop/seabridge%20fintech/image_app/MKTX_resistance_support.jpg</v>
      </c>
      <c r="AJ401" s="44" t="str">
        <f>'6image_RS_benchmark_performance'!C401</f>
        <v>https://3arbzfbsh-cname-us.ngrok.io/Desktop/seabridge%20fintech/profit_graph_app/MKTX_Return.jpg</v>
      </c>
      <c r="AK401" s="46" t="str">
        <f>'5price_action_icon'!B401</f>
        <v>https://3arbzfbsh-cname-us.ngrok.io/Desktop/seabridge%20fintech/icon/MKTX_pa_trend_signal</v>
      </c>
      <c r="AL401" s="42">
        <f>'1kpi_performance'!B401</f>
        <v>0.9423969105</v>
      </c>
      <c r="AM401" s="42">
        <f>'1kpi_performance'!C401</f>
        <v>1.179857377</v>
      </c>
      <c r="AN401" s="42">
        <f>'1kpi_performance'!D401</f>
        <v>1.109216936</v>
      </c>
      <c r="AO401" s="42">
        <f>'1kpi_performance'!E401</f>
        <v>0.5414475276</v>
      </c>
      <c r="AP401" s="42">
        <f>'1kpi_performance'!F401</f>
        <v>0.2659903952</v>
      </c>
      <c r="AQ401" s="42">
        <f>'1kpi_performance'!G401</f>
        <v>0.284346379</v>
      </c>
      <c r="AR401" s="42">
        <f>'1kpi_performance'!H401</f>
        <v>0.2471335135</v>
      </c>
      <c r="AS401" s="42">
        <f>'1kpi_performance'!I401</f>
        <v>0.388320433</v>
      </c>
      <c r="AT401" s="35">
        <f>'1kpi_performance'!J401</f>
        <v>3.448985102</v>
      </c>
      <c r="AU401" s="35">
        <f>'1kpi_performance'!K401</f>
        <v>4.061445697</v>
      </c>
      <c r="AV401" s="35">
        <f>'1kpi_performance'!L401</f>
        <v>4.387170808</v>
      </c>
      <c r="AW401" s="35">
        <f>'1kpi_performance'!M401</f>
        <v>1.329951977</v>
      </c>
      <c r="AX401" s="42">
        <f>'1kpi_performance'!N401</f>
        <v>0.1663443965</v>
      </c>
      <c r="AY401" s="42">
        <f>'1kpi_performance'!O401</f>
        <v>0.1115565315</v>
      </c>
      <c r="AZ401" s="42">
        <f>'1kpi_performance'!P401</f>
        <v>0.1547630216</v>
      </c>
      <c r="BA401" s="42">
        <f>'1kpi_performance'!Q401</f>
        <v>0.3292560801</v>
      </c>
      <c r="BB401" s="35">
        <f>'1kpi_performance'!R401</f>
        <v>7.587358461</v>
      </c>
      <c r="BC401" s="35">
        <f>'1kpi_performance'!S401</f>
        <v>9.413576982</v>
      </c>
      <c r="BD401" s="35">
        <f>'1kpi_performance'!T401</f>
        <v>10.43874369</v>
      </c>
      <c r="BE401" s="35">
        <f>'1kpi_performance'!U401</f>
        <v>2.690806302</v>
      </c>
      <c r="BF401" s="47"/>
      <c r="BG401" s="47"/>
      <c r="BH401" s="47"/>
      <c r="BI401" s="47"/>
      <c r="BJ401" s="47"/>
      <c r="BK401" s="47"/>
      <c r="BL401" s="47"/>
      <c r="BM401" s="47"/>
      <c r="BN401" s="47"/>
      <c r="BO401" s="47"/>
      <c r="BP401" s="47"/>
      <c r="BQ401" s="47"/>
      <c r="BR401" s="47"/>
      <c r="BS401" s="47"/>
      <c r="BT401" s="47"/>
    </row>
    <row r="402" ht="11.25" customHeight="1">
      <c r="A402" s="35" t="str">
        <f>'13all_company_profile'!A402</f>
        <v>MLM</v>
      </c>
      <c r="B402" s="35" t="str">
        <f>'13all_company_profile'!B402</f>
        <v>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v>
      </c>
      <c r="C402" s="44" t="str">
        <f>'13all_company_profile'!C402</f>
        <v>https://financialmodelingprep.com/image-stock/MLM.png</v>
      </c>
      <c r="D402" s="35" t="str">
        <f>'13all_company_profile'!D402</f>
        <v>Martin Marietta Materials, Inc.</v>
      </c>
      <c r="E402" s="36">
        <f>'13all_company_profile'!E402</f>
        <v>22280665088</v>
      </c>
      <c r="F402" s="37">
        <f>'13all_company_profile'!F402</f>
        <v>367226</v>
      </c>
      <c r="G402" s="35">
        <f>'13all_company_profile'!G402</f>
        <v>2.28</v>
      </c>
      <c r="H402" s="38">
        <f>'13all_company_profile'!H402</f>
        <v>44403</v>
      </c>
      <c r="I402" s="35">
        <f>'13all_company_profile'!I402</f>
        <v>28.96886</v>
      </c>
      <c r="J402" s="35">
        <f>'13all_company_profile'!J402</f>
        <v>12.171</v>
      </c>
      <c r="K402" s="42">
        <f t="shared" si="1"/>
        <v>0.006570794547</v>
      </c>
      <c r="L402" s="35">
        <f>'7company_info'!B402</f>
        <v>346.99</v>
      </c>
      <c r="M402" s="35">
        <f>'7company_info'!C402</f>
        <v>350.43</v>
      </c>
      <c r="N402" s="35">
        <f>'7company_info'!D402</f>
        <v>340.1</v>
      </c>
      <c r="O402" s="35">
        <f>'7company_info'!E402</f>
        <v>7.25</v>
      </c>
      <c r="P402" s="35">
        <f>'7company_info'!F402</f>
        <v>0.0213</v>
      </c>
      <c r="Q402" s="35">
        <f>'7company_info'!G402</f>
        <v>340.5</v>
      </c>
      <c r="R402" s="35">
        <f>'7company_info'!H402</f>
        <v>339.74</v>
      </c>
      <c r="S402" s="35">
        <f>'7company_info'!I402</f>
        <v>201.04</v>
      </c>
      <c r="T402" s="35">
        <f>'7company_info'!J402</f>
        <v>383.71</v>
      </c>
      <c r="U402" s="39">
        <v>354.153333333333</v>
      </c>
      <c r="V402" s="39">
        <v>358.046666666666</v>
      </c>
      <c r="W402" s="40">
        <v>360.393333333333</v>
      </c>
      <c r="X402" s="40">
        <v>366.633333333333</v>
      </c>
      <c r="Y402" s="40">
        <v>351.806666666666</v>
      </c>
      <c r="Z402" s="40">
        <v>347.913333333333</v>
      </c>
      <c r="AA402" s="40">
        <v>341.673333333333</v>
      </c>
      <c r="AB402" s="40">
        <v>346.44</v>
      </c>
      <c r="AC402" s="40">
        <v>346.26</v>
      </c>
      <c r="AD402" s="40">
        <v>353.25652483734</v>
      </c>
      <c r="AE402" s="40">
        <v>335.7456</v>
      </c>
      <c r="AF402" s="40">
        <v>8.1847</v>
      </c>
      <c r="AG402" s="40">
        <v>383.71</v>
      </c>
      <c r="AH402" s="45">
        <v>44326.0</v>
      </c>
      <c r="AI402" s="44" t="str">
        <f>'6image_RS_benchmark_performance'!B402</f>
        <v>https://3arbzfbsh-cname-us.ngrok.io/Desktop/seabridge%20fintech/image_app/MLM_resistance_support.jpg</v>
      </c>
      <c r="AJ402" s="44" t="str">
        <f>'6image_RS_benchmark_performance'!C402</f>
        <v>https://3arbzfbsh-cname-us.ngrok.io/Desktop/seabridge%20fintech/profit_graph_app/MLM_Return.jpg</v>
      </c>
      <c r="AK402" s="46" t="str">
        <f>'5price_action_icon'!B402</f>
        <v>https://3arbzfbsh-cname-us.ngrok.io/Desktop/seabridge%20fintech/icon/MLM_pa_trend_signal</v>
      </c>
      <c r="AL402" s="42">
        <f>'1kpi_performance'!B402</f>
        <v>0.6898051221</v>
      </c>
      <c r="AM402" s="42">
        <f>'1kpi_performance'!C402</f>
        <v>0.763068132</v>
      </c>
      <c r="AN402" s="42">
        <f>'1kpi_performance'!D402</f>
        <v>0.5908119323</v>
      </c>
      <c r="AO402" s="42">
        <f>'1kpi_performance'!E402</f>
        <v>0.1958671632</v>
      </c>
      <c r="AP402" s="42">
        <f>'1kpi_performance'!F402</f>
        <v>0.2651916071</v>
      </c>
      <c r="AQ402" s="42">
        <f>'1kpi_performance'!G402</f>
        <v>0.2578573038</v>
      </c>
      <c r="AR402" s="42">
        <f>'1kpi_performance'!H402</f>
        <v>0.2717337299</v>
      </c>
      <c r="AS402" s="42">
        <f>'1kpi_performance'!I402</f>
        <v>0.3778036789</v>
      </c>
      <c r="AT402" s="35">
        <f>'1kpi_performance'!J402</f>
        <v>2.506885981</v>
      </c>
      <c r="AU402" s="35">
        <f>'1kpi_performance'!K402</f>
        <v>2.862312299</v>
      </c>
      <c r="AV402" s="35">
        <f>'1kpi_performance'!L402</f>
        <v>2.082229293</v>
      </c>
      <c r="AW402" s="35">
        <f>'1kpi_performance'!M402</f>
        <v>0.4522644239</v>
      </c>
      <c r="AX402" s="42">
        <f>'1kpi_performance'!N402</f>
        <v>0.1620902276</v>
      </c>
      <c r="AY402" s="42">
        <f>'1kpi_performance'!O402</f>
        <v>0.1618713675</v>
      </c>
      <c r="AZ402" s="42">
        <f>'1kpi_performance'!P402</f>
        <v>0.4297922849</v>
      </c>
      <c r="BA402" s="42">
        <f>'1kpi_performance'!Q402</f>
        <v>0.4846230868</v>
      </c>
      <c r="BB402" s="35">
        <f>'1kpi_performance'!R402</f>
        <v>5.53262795</v>
      </c>
      <c r="BC402" s="35">
        <f>'1kpi_performance'!S402</f>
        <v>6.653654705</v>
      </c>
      <c r="BD402" s="35">
        <f>'1kpi_performance'!T402</f>
        <v>4.273526353</v>
      </c>
      <c r="BE402" s="35">
        <f>'1kpi_performance'!U402</f>
        <v>0.9105686488</v>
      </c>
      <c r="BF402" s="47"/>
      <c r="BG402" s="47"/>
      <c r="BH402" s="47"/>
      <c r="BI402" s="47"/>
      <c r="BJ402" s="47"/>
      <c r="BK402" s="47"/>
      <c r="BL402" s="47"/>
      <c r="BM402" s="47"/>
      <c r="BN402" s="47"/>
      <c r="BO402" s="47"/>
      <c r="BP402" s="47"/>
      <c r="BQ402" s="47"/>
      <c r="BR402" s="47"/>
      <c r="BS402" s="47"/>
      <c r="BT402" s="47"/>
    </row>
    <row r="403" ht="11.25" customHeight="1">
      <c r="A403" s="35" t="str">
        <f>'13all_company_profile'!A403</f>
        <v>MMC</v>
      </c>
      <c r="B403" s="35" t="str">
        <f>'13all_company_profile'!B403</f>
        <v>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v>
      </c>
      <c r="C403" s="44" t="str">
        <f>'13all_company_profile'!C403</f>
        <v>https://financialmodelingprep.com/image-stock/MMC.png</v>
      </c>
      <c r="D403" s="35" t="str">
        <f>'13all_company_profile'!D403</f>
        <v>Marsh &amp; McLennan Companies, Inc.</v>
      </c>
      <c r="E403" s="36">
        <f>'13all_company_profile'!E403</f>
        <v>71692836864</v>
      </c>
      <c r="F403" s="37">
        <f>'13all_company_profile'!F403</f>
        <v>1836641</v>
      </c>
      <c r="G403" s="35">
        <f>'13all_company_profile'!G403</f>
        <v>1.86</v>
      </c>
      <c r="H403" s="38">
        <f>'13all_company_profile'!H403</f>
        <v>44399</v>
      </c>
      <c r="I403" s="35">
        <f>'13all_company_profile'!I403</f>
        <v>32.285713</v>
      </c>
      <c r="J403" s="35">
        <f>'13all_company_profile'!J403</f>
        <v>4.375</v>
      </c>
      <c r="K403" s="42">
        <f t="shared" si="1"/>
        <v>0.01312632322</v>
      </c>
      <c r="L403" s="35">
        <f>'7company_info'!B403</f>
        <v>141.7</v>
      </c>
      <c r="M403" s="35">
        <f>'7company_info'!C403</f>
        <v>142.27</v>
      </c>
      <c r="N403" s="35">
        <f>'7company_info'!D403</f>
        <v>139.12</v>
      </c>
      <c r="O403" s="35">
        <f>'7company_info'!E403</f>
        <v>2.66</v>
      </c>
      <c r="P403" s="35">
        <f>'7company_info'!F403</f>
        <v>0.0191</v>
      </c>
      <c r="Q403" s="35">
        <f>'7company_info'!G403</f>
        <v>139.58</v>
      </c>
      <c r="R403" s="35">
        <f>'7company_info'!H403</f>
        <v>139.04</v>
      </c>
      <c r="S403" s="35">
        <f>'7company_info'!I403</f>
        <v>102.11</v>
      </c>
      <c r="T403" s="35">
        <f>'7company_info'!J403</f>
        <v>142.94</v>
      </c>
      <c r="U403" s="39">
        <v>140.705</v>
      </c>
      <c r="V403" s="39">
        <v>141.485</v>
      </c>
      <c r="W403" s="40">
        <v>142.01</v>
      </c>
      <c r="X403" s="40">
        <v>143.314999999999</v>
      </c>
      <c r="Y403" s="40">
        <v>140.18</v>
      </c>
      <c r="Z403" s="40">
        <v>139.4</v>
      </c>
      <c r="AA403" s="40">
        <v>138.095</v>
      </c>
      <c r="AB403" s="40">
        <v>139.925</v>
      </c>
      <c r="AC403" s="40">
        <v>142.94</v>
      </c>
      <c r="AD403" s="40">
        <v>140.306907934468</v>
      </c>
      <c r="AE403" s="40">
        <v>137.5051</v>
      </c>
      <c r="AF403" s="40">
        <v>1.75025</v>
      </c>
      <c r="AG403" s="40">
        <v>142.94</v>
      </c>
      <c r="AH403" s="45">
        <v>44379.0</v>
      </c>
      <c r="AI403" s="44" t="str">
        <f>'6image_RS_benchmark_performance'!B403</f>
        <v>https://3arbzfbsh-cname-us.ngrok.io/Desktop/seabridge%20fintech/image_app/MMC_resistance_support.jpg</v>
      </c>
      <c r="AJ403" s="44" t="str">
        <f>'6image_RS_benchmark_performance'!C403</f>
        <v>https://3arbzfbsh-cname-us.ngrok.io/Desktop/seabridge%20fintech/profit_graph_app/MMC_Return.jpg</v>
      </c>
      <c r="AK403" s="46" t="str">
        <f>'5price_action_icon'!B403</f>
        <v>https://3arbzfbsh-cname-us.ngrok.io/Desktop/seabridge%20fintech/icon/MMC_pa_trend_signal</v>
      </c>
      <c r="AL403" s="42">
        <f>'1kpi_performance'!B403</f>
        <v>0.4225843117</v>
      </c>
      <c r="AM403" s="42">
        <f>'1kpi_performance'!C403</f>
        <v>0.4778627236</v>
      </c>
      <c r="AN403" s="42">
        <f>'1kpi_performance'!D403</f>
        <v>0.4818769122</v>
      </c>
      <c r="AO403" s="42">
        <f>'1kpi_performance'!E403</f>
        <v>0.2612212905</v>
      </c>
      <c r="AP403" s="42">
        <f>'1kpi_performance'!F403</f>
        <v>0.1440322476</v>
      </c>
      <c r="AQ403" s="42">
        <f>'1kpi_performance'!G403</f>
        <v>0.1498016513</v>
      </c>
      <c r="AR403" s="42">
        <f>'1kpi_performance'!H403</f>
        <v>0.1508718463</v>
      </c>
      <c r="AS403" s="42">
        <f>'1kpi_performance'!I403</f>
        <v>0.23878002</v>
      </c>
      <c r="AT403" s="35">
        <f>'1kpi_performance'!J403</f>
        <v>2.760383999</v>
      </c>
      <c r="AU403" s="35">
        <f>'1kpi_performance'!K403</f>
        <v>3.02308232</v>
      </c>
      <c r="AV403" s="35">
        <f>'1kpi_performance'!L403</f>
        <v>3.028244986</v>
      </c>
      <c r="AW403" s="35">
        <f>'1kpi_performance'!M403</f>
        <v>0.9892841558</v>
      </c>
      <c r="AX403" s="42">
        <f>'1kpi_performance'!N403</f>
        <v>0.1077610274</v>
      </c>
      <c r="AY403" s="42">
        <f>'1kpi_performance'!O403</f>
        <v>0.06987629393</v>
      </c>
      <c r="AZ403" s="42">
        <f>'1kpi_performance'!P403</f>
        <v>0.1277953295</v>
      </c>
      <c r="BA403" s="42">
        <f>'1kpi_performance'!Q403</f>
        <v>0.3579740477</v>
      </c>
      <c r="BB403" s="35">
        <f>'1kpi_performance'!R403</f>
        <v>6.25289601</v>
      </c>
      <c r="BC403" s="35">
        <f>'1kpi_performance'!S403</f>
        <v>7.017972595</v>
      </c>
      <c r="BD403" s="35">
        <f>'1kpi_performance'!T403</f>
        <v>6.732070944</v>
      </c>
      <c r="BE403" s="35">
        <f>'1kpi_performance'!U403</f>
        <v>1.938645917</v>
      </c>
      <c r="BF403" s="47"/>
      <c r="BG403" s="47"/>
      <c r="BH403" s="47"/>
      <c r="BI403" s="47"/>
      <c r="BJ403" s="47"/>
      <c r="BK403" s="47"/>
      <c r="BL403" s="47"/>
      <c r="BM403" s="47"/>
      <c r="BN403" s="47"/>
      <c r="BO403" s="47"/>
      <c r="BP403" s="47"/>
      <c r="BQ403" s="47"/>
      <c r="BR403" s="47"/>
      <c r="BS403" s="47"/>
      <c r="BT403" s="47"/>
    </row>
    <row r="404" ht="11.25" customHeight="1">
      <c r="A404" s="35" t="str">
        <f>'13all_company_profile'!A404</f>
        <v>MMM</v>
      </c>
      <c r="B404" s="35" t="str">
        <f>'13all_company_profile'!B404</f>
        <v>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v>
      </c>
      <c r="C404" s="44" t="str">
        <f>'13all_company_profile'!C404</f>
        <v>https://financialmodelingprep.com/image-stock/MMM.png</v>
      </c>
      <c r="D404" s="35" t="str">
        <f>'13all_company_profile'!D404</f>
        <v>3M Company</v>
      </c>
      <c r="E404" s="36">
        <f>'13all_company_profile'!E404</f>
        <v>117540700160</v>
      </c>
      <c r="F404" s="37">
        <f>'13all_company_profile'!F404</f>
        <v>2183574</v>
      </c>
      <c r="G404" s="35">
        <f>'13all_company_profile'!G404</f>
        <v>5.9</v>
      </c>
      <c r="H404" s="38">
        <f>'13all_company_profile'!H404</f>
        <v>44404</v>
      </c>
      <c r="I404" s="35">
        <f>'13all_company_profile'!I404</f>
        <v>20.41445</v>
      </c>
      <c r="J404" s="35">
        <f>'13all_company_profile'!J404</f>
        <v>9.772</v>
      </c>
      <c r="K404" s="42">
        <f t="shared" si="1"/>
        <v>0.02937954387</v>
      </c>
      <c r="L404" s="35">
        <f>'7company_info'!B404</f>
        <v>200.82</v>
      </c>
      <c r="M404" s="35">
        <f>'7company_info'!C404</f>
        <v>202.22</v>
      </c>
      <c r="N404" s="35">
        <f>'7company_info'!D404</f>
        <v>198.07</v>
      </c>
      <c r="O404" s="35">
        <f>'7company_info'!E404</f>
        <v>3.26</v>
      </c>
      <c r="P404" s="35">
        <f>'7company_info'!F404</f>
        <v>0.0165</v>
      </c>
      <c r="Q404" s="35">
        <f>'7company_info'!G404</f>
        <v>198.34</v>
      </c>
      <c r="R404" s="35">
        <f>'7company_info'!H404</f>
        <v>197.56</v>
      </c>
      <c r="S404" s="35">
        <f>'7company_info'!I404</f>
        <v>148.8</v>
      </c>
      <c r="T404" s="35">
        <f>'7company_info'!J404</f>
        <v>208.95</v>
      </c>
      <c r="U404" s="39">
        <v>202.006666666666</v>
      </c>
      <c r="V404" s="39">
        <v>204.003333333333</v>
      </c>
      <c r="W404" s="40">
        <v>205.176666666666</v>
      </c>
      <c r="X404" s="40">
        <v>208.346666666666</v>
      </c>
      <c r="Y404" s="40">
        <v>200.833333333333</v>
      </c>
      <c r="Z404" s="40">
        <v>198.836666666666</v>
      </c>
      <c r="AA404" s="40">
        <v>195.666666666666</v>
      </c>
      <c r="AB404" s="40">
        <v>193.3</v>
      </c>
      <c r="AC404" s="40">
        <v>203.18</v>
      </c>
      <c r="AD404" s="40">
        <v>199.040173301006</v>
      </c>
      <c r="AE404" s="40">
        <v>193.396</v>
      </c>
      <c r="AF404" s="40">
        <v>3.1645</v>
      </c>
      <c r="AG404" s="40">
        <v>208.95</v>
      </c>
      <c r="AH404" s="45">
        <v>44326.0</v>
      </c>
      <c r="AI404" s="44" t="str">
        <f>'6image_RS_benchmark_performance'!B404</f>
        <v>https://3arbzfbsh-cname-us.ngrok.io/Desktop/seabridge%20fintech/image_app/MMM_resistance_support.jpg</v>
      </c>
      <c r="AJ404" s="44" t="str">
        <f>'6image_RS_benchmark_performance'!C404</f>
        <v>https://3arbzfbsh-cname-us.ngrok.io/Desktop/seabridge%20fintech/profit_graph_app/MMM_Return.jpg</v>
      </c>
      <c r="AK404" s="46" t="str">
        <f>'5price_action_icon'!B404</f>
        <v>https://3arbzfbsh-cname-us.ngrok.io/Desktop/seabridge%20fintech/icon/MMM_pa_trend_signal</v>
      </c>
      <c r="AL404" s="42">
        <f>'1kpi_performance'!B404</f>
        <v>0.388913432</v>
      </c>
      <c r="AM404" s="42">
        <f>'1kpi_performance'!C404</f>
        <v>0.5093672461</v>
      </c>
      <c r="AN404" s="42">
        <f>'1kpi_performance'!D404</f>
        <v>0.4689530466</v>
      </c>
      <c r="AO404" s="42">
        <f>'1kpi_performance'!E404</f>
        <v>0.1182827129</v>
      </c>
      <c r="AP404" s="42">
        <f>'1kpi_performance'!F404</f>
        <v>0.1815771977</v>
      </c>
      <c r="AQ404" s="42">
        <f>'1kpi_performance'!G404</f>
        <v>0.1604465201</v>
      </c>
      <c r="AR404" s="42">
        <f>'1kpi_performance'!H404</f>
        <v>0.1842872961</v>
      </c>
      <c r="AS404" s="42">
        <f>'1kpi_performance'!I404</f>
        <v>0.2585015826</v>
      </c>
      <c r="AT404" s="35">
        <f>'1kpi_performance'!J404</f>
        <v>2.004180241</v>
      </c>
      <c r="AU404" s="35">
        <f>'1kpi_performance'!K404</f>
        <v>3.018870374</v>
      </c>
      <c r="AV404" s="35">
        <f>'1kpi_performance'!L404</f>
        <v>2.409026862</v>
      </c>
      <c r="AW404" s="35">
        <f>'1kpi_performance'!M404</f>
        <v>0.3608593493</v>
      </c>
      <c r="AX404" s="42">
        <f>'1kpi_performance'!N404</f>
        <v>0.188920639</v>
      </c>
      <c r="AY404" s="42">
        <f>'1kpi_performance'!O404</f>
        <v>0.07289443971</v>
      </c>
      <c r="AZ404" s="42">
        <f>'1kpi_performance'!P404</f>
        <v>0.2804029304</v>
      </c>
      <c r="BA404" s="42">
        <f>'1kpi_performance'!Q404</f>
        <v>0.5442524069</v>
      </c>
      <c r="BB404" s="35">
        <f>'1kpi_performance'!R404</f>
        <v>3.946287165</v>
      </c>
      <c r="BC404" s="35">
        <f>'1kpi_performance'!S404</f>
        <v>6.75256827</v>
      </c>
      <c r="BD404" s="35">
        <f>'1kpi_performance'!T404</f>
        <v>4.781292855</v>
      </c>
      <c r="BE404" s="35">
        <f>'1kpi_performance'!U404</f>
        <v>0.6622875688</v>
      </c>
      <c r="BF404" s="47"/>
      <c r="BG404" s="47"/>
      <c r="BH404" s="47"/>
      <c r="BI404" s="47"/>
      <c r="BJ404" s="47"/>
      <c r="BK404" s="47"/>
      <c r="BL404" s="47"/>
      <c r="BM404" s="47"/>
      <c r="BN404" s="47"/>
      <c r="BO404" s="47"/>
      <c r="BP404" s="47"/>
      <c r="BQ404" s="47"/>
      <c r="BR404" s="47"/>
      <c r="BS404" s="47"/>
      <c r="BT404" s="47"/>
    </row>
    <row r="405" ht="11.25" customHeight="1">
      <c r="A405" s="35" t="str">
        <f>'13all_company_profile'!A405</f>
        <v>MNST</v>
      </c>
      <c r="B405" s="35" t="str">
        <f>'13all_company_profile'!B405</f>
        <v>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v>
      </c>
      <c r="C405" s="44" t="str">
        <f>'13all_company_profile'!C405</f>
        <v>https://financialmodelingprep.com/image-stock/MNST.png</v>
      </c>
      <c r="D405" s="35" t="str">
        <f>'13all_company_profile'!D405</f>
        <v>Monster Beverage Corporation</v>
      </c>
      <c r="E405" s="36">
        <f>'13all_company_profile'!E405</f>
        <v>49483972608</v>
      </c>
      <c r="F405" s="37">
        <f>'13all_company_profile'!F405</f>
        <v>1984498</v>
      </c>
      <c r="G405" s="35">
        <f>'13all_company_profile'!G405</f>
        <v>0</v>
      </c>
      <c r="H405" s="38">
        <f>'13all_company_profile'!H405</f>
        <v>44410</v>
      </c>
      <c r="I405" s="35">
        <f>'13all_company_profile'!I405</f>
        <v>34.40081</v>
      </c>
      <c r="J405" s="35">
        <f>'13all_company_profile'!J405</f>
        <v>2.712</v>
      </c>
      <c r="K405" s="42" t="str">
        <f t="shared" si="1"/>
        <v>NaN</v>
      </c>
      <c r="L405" s="35">
        <f>'7company_info'!B405</f>
        <v>93.71</v>
      </c>
      <c r="M405" s="35">
        <f>'7company_info'!C405</f>
        <v>94.16</v>
      </c>
      <c r="N405" s="35">
        <f>'7company_info'!D405</f>
        <v>92.21</v>
      </c>
      <c r="O405" s="35">
        <f>'7company_info'!E405</f>
        <v>1.46</v>
      </c>
      <c r="P405" s="35">
        <f>'7company_info'!F405</f>
        <v>0.0158</v>
      </c>
      <c r="Q405" s="35">
        <f>'7company_info'!G405</f>
        <v>92.44</v>
      </c>
      <c r="R405" s="35">
        <f>'7company_info'!H405</f>
        <v>92.25</v>
      </c>
      <c r="S405" s="35">
        <f>'7company_info'!I405</f>
        <v>73.59</v>
      </c>
      <c r="T405" s="35">
        <f>'7company_info'!J405</f>
        <v>99.24</v>
      </c>
      <c r="U405" s="39">
        <v>92.8733333333333</v>
      </c>
      <c r="V405" s="39">
        <v>93.6266666666666</v>
      </c>
      <c r="W405" s="40">
        <v>94.2533333333333</v>
      </c>
      <c r="X405" s="40">
        <v>95.6333333333333</v>
      </c>
      <c r="Y405" s="40">
        <v>92.2466666666666</v>
      </c>
      <c r="Z405" s="40">
        <v>91.4933333333333</v>
      </c>
      <c r="AA405" s="40">
        <v>90.1133333333333</v>
      </c>
      <c r="AB405" s="40">
        <v>90.96</v>
      </c>
      <c r="AC405" s="40">
        <v>94.5</v>
      </c>
      <c r="AD405" s="40">
        <v>91.6261020360861</v>
      </c>
      <c r="AE405" s="40">
        <v>89.1280099999999</v>
      </c>
      <c r="AF405" s="40">
        <v>1.431995</v>
      </c>
      <c r="AG405" s="40">
        <v>99.2399</v>
      </c>
      <c r="AH405" s="45">
        <v>44309.0</v>
      </c>
      <c r="AI405" s="44" t="str">
        <f>'6image_RS_benchmark_performance'!B405</f>
        <v>https://3arbzfbsh-cname-us.ngrok.io/Desktop/seabridge%20fintech/image_app/MNST_resistance_support.jpg</v>
      </c>
      <c r="AJ405" s="44" t="str">
        <f>'6image_RS_benchmark_performance'!C405</f>
        <v>https://3arbzfbsh-cname-us.ngrok.io/Desktop/seabridge%20fintech/profit_graph_app/MNST_Return.jpg</v>
      </c>
      <c r="AK405" s="46" t="str">
        <f>'5price_action_icon'!B405</f>
        <v>https://3arbzfbsh-cname-us.ngrok.io/Desktop/seabridge%20fintech/icon/MNST_pa_trend_signal</v>
      </c>
      <c r="AL405" s="42">
        <f>'1kpi_performance'!B405</f>
        <v>0.7947192607</v>
      </c>
      <c r="AM405" s="42">
        <f>'1kpi_performance'!C405</f>
        <v>0.9884678365</v>
      </c>
      <c r="AN405" s="42">
        <f>'1kpi_performance'!D405</f>
        <v>0.6476644711</v>
      </c>
      <c r="AO405" s="42">
        <f>'1kpi_performance'!E405</f>
        <v>0.3864807767</v>
      </c>
      <c r="AP405" s="42">
        <f>'1kpi_performance'!F405</f>
        <v>0.2635895805</v>
      </c>
      <c r="AQ405" s="42">
        <f>'1kpi_performance'!G405</f>
        <v>0.2800852477</v>
      </c>
      <c r="AR405" s="42">
        <f>'1kpi_performance'!H405</f>
        <v>0.2880076657</v>
      </c>
      <c r="AS405" s="42">
        <f>'1kpi_performance'!I405</f>
        <v>0.3903311504</v>
      </c>
      <c r="AT405" s="35">
        <f>'1kpi_performance'!J405</f>
        <v>2.920142971</v>
      </c>
      <c r="AU405" s="35">
        <f>'1kpi_performance'!K405</f>
        <v>3.439909257</v>
      </c>
      <c r="AV405" s="35">
        <f>'1kpi_performance'!L405</f>
        <v>2.161971868</v>
      </c>
      <c r="AW405" s="35">
        <f>'1kpi_performance'!M405</f>
        <v>0.9260874423</v>
      </c>
      <c r="AX405" s="42">
        <f>'1kpi_performance'!N405</f>
        <v>0.1009522731</v>
      </c>
      <c r="AY405" s="42">
        <f>'1kpi_performance'!O405</f>
        <v>0.1039248475</v>
      </c>
      <c r="AZ405" s="42">
        <f>'1kpi_performance'!P405</f>
        <v>0.3218487204</v>
      </c>
      <c r="BA405" s="42">
        <f>'1kpi_performance'!Q405</f>
        <v>0.4781497436</v>
      </c>
      <c r="BB405" s="35">
        <f>'1kpi_performance'!R405</f>
        <v>8.017983188</v>
      </c>
      <c r="BC405" s="35">
        <f>'1kpi_performance'!S405</f>
        <v>9.733537389</v>
      </c>
      <c r="BD405" s="35">
        <f>'1kpi_performance'!T405</f>
        <v>4.983506885</v>
      </c>
      <c r="BE405" s="35">
        <f>'1kpi_performance'!U405</f>
        <v>1.944268633</v>
      </c>
      <c r="BF405" s="47"/>
      <c r="BG405" s="47"/>
      <c r="BH405" s="47"/>
      <c r="BI405" s="47"/>
      <c r="BJ405" s="47"/>
      <c r="BK405" s="47"/>
      <c r="BL405" s="47"/>
      <c r="BM405" s="47"/>
      <c r="BN405" s="47"/>
      <c r="BO405" s="47"/>
      <c r="BP405" s="47"/>
      <c r="BQ405" s="47"/>
      <c r="BR405" s="47"/>
      <c r="BS405" s="47"/>
      <c r="BT405" s="47"/>
    </row>
    <row r="406" ht="11.25" customHeight="1">
      <c r="A406" s="35" t="str">
        <f>'13all_company_profile'!A406</f>
        <v>MO</v>
      </c>
      <c r="B406" s="35" t="str">
        <f>'13all_company_profile'!B406</f>
        <v>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v>
      </c>
      <c r="C406" s="44" t="str">
        <f>'13all_company_profile'!C406</f>
        <v>https://financialmodelingprep.com/image-stock/MO.png</v>
      </c>
      <c r="D406" s="35" t="str">
        <f>'13all_company_profile'!D406</f>
        <v>Altria Group, Inc.</v>
      </c>
      <c r="E406" s="36">
        <f>'13all_company_profile'!E406</f>
        <v>87942414336</v>
      </c>
      <c r="F406" s="37">
        <f>'13all_company_profile'!F406</f>
        <v>8879384</v>
      </c>
      <c r="G406" s="35">
        <f>'13all_company_profile'!G406</f>
        <v>3.44</v>
      </c>
      <c r="H406" s="38">
        <f>'13all_company_profile'!H406</f>
        <v>44406</v>
      </c>
      <c r="I406" s="35">
        <f>'13all_company_profile'!I406</f>
        <v>20.253067</v>
      </c>
      <c r="J406" s="35">
        <f>'13all_company_profile'!J406</f>
        <v>2.331</v>
      </c>
      <c r="K406" s="42">
        <f t="shared" si="1"/>
        <v>0.07286591824</v>
      </c>
      <c r="L406" s="35">
        <f>'7company_info'!B406</f>
        <v>47.21</v>
      </c>
      <c r="M406" s="35">
        <f>'7company_info'!C406</f>
        <v>47.43</v>
      </c>
      <c r="N406" s="35">
        <f>'7company_info'!D406</f>
        <v>46.44</v>
      </c>
      <c r="O406" s="35">
        <f>'7company_info'!E406</f>
        <v>0.42</v>
      </c>
      <c r="P406" s="35">
        <f>'7company_info'!F406</f>
        <v>0.009</v>
      </c>
      <c r="Q406" s="35">
        <f>'7company_info'!G406</f>
        <v>46.81</v>
      </c>
      <c r="R406" s="35">
        <f>'7company_info'!H406</f>
        <v>46.79</v>
      </c>
      <c r="S406" s="35">
        <f>'7company_info'!I406</f>
        <v>35.83</v>
      </c>
      <c r="T406" s="35">
        <f>'7company_info'!J406</f>
        <v>52.59</v>
      </c>
      <c r="U406" s="39">
        <v>47.32</v>
      </c>
      <c r="V406" s="39">
        <v>47.89</v>
      </c>
      <c r="W406" s="40">
        <v>48.22</v>
      </c>
      <c r="X406" s="40">
        <v>49.12</v>
      </c>
      <c r="Y406" s="40">
        <v>46.99</v>
      </c>
      <c r="Z406" s="40">
        <v>46.42</v>
      </c>
      <c r="AA406" s="40">
        <v>45.52</v>
      </c>
      <c r="AB406" s="40">
        <v>47.3</v>
      </c>
      <c r="AC406" s="40">
        <v>48.01</v>
      </c>
      <c r="AD406" s="40">
        <v>47.5136414196201</v>
      </c>
      <c r="AE406" s="40">
        <v>45.32902</v>
      </c>
      <c r="AF406" s="40">
        <v>0.76599</v>
      </c>
      <c r="AG406" s="40">
        <v>52.59</v>
      </c>
      <c r="AH406" s="45">
        <v>44281.0</v>
      </c>
      <c r="AI406" s="44" t="str">
        <f>'6image_RS_benchmark_performance'!B406</f>
        <v>https://3arbzfbsh-cname-us.ngrok.io/Desktop/seabridge%20fintech/image_app/MO_resistance_support.jpg</v>
      </c>
      <c r="AJ406" s="44" t="str">
        <f>'6image_RS_benchmark_performance'!C406</f>
        <v>https://3arbzfbsh-cname-us.ngrok.io/Desktop/seabridge%20fintech/profit_graph_app/MO_Return.jpg</v>
      </c>
      <c r="AK406" s="46" t="str">
        <f>'5price_action_icon'!B406</f>
        <v>https://3arbzfbsh-cname-us.ngrok.io/Desktop/seabridge%20fintech/icon/MO_pa_trend_signal</v>
      </c>
      <c r="AL406" s="42">
        <f>'1kpi_performance'!B406</f>
        <v>0.4399228942</v>
      </c>
      <c r="AM406" s="42">
        <f>'1kpi_performance'!C406</f>
        <v>0.5629983888</v>
      </c>
      <c r="AN406" s="42">
        <f>'1kpi_performance'!D406</f>
        <v>0.3774635927</v>
      </c>
      <c r="AO406" s="42">
        <f>'1kpi_performance'!E406</f>
        <v>0.1147524877</v>
      </c>
      <c r="AP406" s="42">
        <f>'1kpi_performance'!F406</f>
        <v>0.1759862932</v>
      </c>
      <c r="AQ406" s="42">
        <f>'1kpi_performance'!G406</f>
        <v>0.1609867457</v>
      </c>
      <c r="AR406" s="42">
        <f>'1kpi_performance'!H406</f>
        <v>0.1703279511</v>
      </c>
      <c r="AS406" s="42">
        <f>'1kpi_performance'!I406</f>
        <v>0.2453330889</v>
      </c>
      <c r="AT406" s="35">
        <f>'1kpi_performance'!J406</f>
        <v>2.357700061</v>
      </c>
      <c r="AU406" s="35">
        <f>'1kpi_performance'!K406</f>
        <v>3.341880018</v>
      </c>
      <c r="AV406" s="35">
        <f>'1kpi_performance'!L406</f>
        <v>2.06932327</v>
      </c>
      <c r="AW406" s="35">
        <f>'1kpi_performance'!M406</f>
        <v>0.3658393089</v>
      </c>
      <c r="AX406" s="42">
        <f>'1kpi_performance'!N406</f>
        <v>0.2856817664</v>
      </c>
      <c r="AY406" s="42">
        <f>'1kpi_performance'!O406</f>
        <v>0.105454372</v>
      </c>
      <c r="AZ406" s="42">
        <f>'1kpi_performance'!P406</f>
        <v>0.321754834</v>
      </c>
      <c r="BA406" s="42">
        <f>'1kpi_performance'!Q406</f>
        <v>0.5961909664</v>
      </c>
      <c r="BB406" s="35">
        <f>'1kpi_performance'!R406</f>
        <v>4.561012092</v>
      </c>
      <c r="BC406" s="35">
        <f>'1kpi_performance'!S406</f>
        <v>7.205748902</v>
      </c>
      <c r="BD406" s="35">
        <f>'1kpi_performance'!T406</f>
        <v>3.807701734</v>
      </c>
      <c r="BE406" s="35">
        <f>'1kpi_performance'!U406</f>
        <v>0.6688428182</v>
      </c>
      <c r="BF406" s="47"/>
      <c r="BG406" s="47"/>
      <c r="BH406" s="47"/>
      <c r="BI406" s="47"/>
      <c r="BJ406" s="47"/>
      <c r="BK406" s="47"/>
      <c r="BL406" s="47"/>
      <c r="BM406" s="47"/>
      <c r="BN406" s="47"/>
      <c r="BO406" s="47"/>
      <c r="BP406" s="47"/>
      <c r="BQ406" s="47"/>
      <c r="BR406" s="47"/>
      <c r="BS406" s="47"/>
      <c r="BT406" s="47"/>
    </row>
    <row r="407" ht="11.25" customHeight="1">
      <c r="A407" s="35" t="str">
        <f>'13all_company_profile'!A407</f>
        <v>MOS</v>
      </c>
      <c r="B407" s="35" t="str">
        <f>'13all_company_profile'!B407</f>
        <v>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v>
      </c>
      <c r="C407" s="44" t="str">
        <f>'13all_company_profile'!C407</f>
        <v>https://financialmodelingprep.com/image-stock/MOS.png</v>
      </c>
      <c r="D407" s="35" t="str">
        <f>'13all_company_profile'!D407</f>
        <v>The Mosaic Company</v>
      </c>
      <c r="E407" s="36">
        <f>'13all_company_profile'!E407</f>
        <v>11579674624</v>
      </c>
      <c r="F407" s="37">
        <f>'13all_company_profile'!F407</f>
        <v>5422882</v>
      </c>
      <c r="G407" s="35">
        <f>'13all_company_profile'!G407</f>
        <v>0.225</v>
      </c>
      <c r="H407" s="38">
        <f>'13all_company_profile'!H407</f>
        <v>44410</v>
      </c>
      <c r="I407" s="35">
        <f>'13all_company_profile'!I407</f>
        <v>10.925306</v>
      </c>
      <c r="J407" s="35">
        <f>'13all_company_profile'!J407</f>
        <v>2.691</v>
      </c>
      <c r="K407" s="42">
        <f t="shared" si="1"/>
        <v>0.007575757576</v>
      </c>
      <c r="L407" s="35">
        <f>'7company_info'!B407</f>
        <v>29.7</v>
      </c>
      <c r="M407" s="35">
        <f>'7company_info'!C407</f>
        <v>29.94</v>
      </c>
      <c r="N407" s="35">
        <f>'7company_info'!D407</f>
        <v>28.73</v>
      </c>
      <c r="O407" s="35">
        <f>'7company_info'!E407</f>
        <v>0.91</v>
      </c>
      <c r="P407" s="35">
        <f>'7company_info'!F407</f>
        <v>0.0316</v>
      </c>
      <c r="Q407" s="35">
        <f>'7company_info'!G407</f>
        <v>28.9</v>
      </c>
      <c r="R407" s="35">
        <f>'7company_info'!H407</f>
        <v>28.79</v>
      </c>
      <c r="S407" s="35">
        <f>'7company_info'!I407</f>
        <v>12.84</v>
      </c>
      <c r="T407" s="35">
        <f>'7company_info'!J407</f>
        <v>38.23</v>
      </c>
      <c r="U407" s="39">
        <v>31.4696666666666</v>
      </c>
      <c r="V407" s="39">
        <v>31.9393333333333</v>
      </c>
      <c r="W407" s="40">
        <v>32.7986666666666</v>
      </c>
      <c r="X407" s="40">
        <v>34.1276666666666</v>
      </c>
      <c r="Y407" s="40">
        <v>30.6103333333333</v>
      </c>
      <c r="Z407" s="40">
        <v>30.1406666666666</v>
      </c>
      <c r="AA407" s="40">
        <v>28.8116666666666</v>
      </c>
      <c r="AB407" s="40">
        <v>31.68</v>
      </c>
      <c r="AC407" s="40">
        <v>31.92</v>
      </c>
      <c r="AD407" s="40">
        <v>31.7556343370166</v>
      </c>
      <c r="AE407" s="40">
        <v>29.04</v>
      </c>
      <c r="AF407" s="40">
        <v>1.13895</v>
      </c>
      <c r="AG407" s="40">
        <v>38.23</v>
      </c>
      <c r="AH407" s="45">
        <v>44334.0</v>
      </c>
      <c r="AI407" s="44" t="str">
        <f>'6image_RS_benchmark_performance'!B407</f>
        <v>https://3arbzfbsh-cname-us.ngrok.io/Desktop/seabridge%20fintech/image_app/MOS_resistance_support.jpg</v>
      </c>
      <c r="AJ407" s="44" t="str">
        <f>'6image_RS_benchmark_performance'!C407</f>
        <v>https://3arbzfbsh-cname-us.ngrok.io/Desktop/seabridge%20fintech/profit_graph_app/MOS_Return.jpg</v>
      </c>
      <c r="AK407" s="46" t="str">
        <f>'5price_action_icon'!B407</f>
        <v>https://3arbzfbsh-cname-us.ngrok.io/Desktop/seabridge%20fintech/icon/MOS_pa_trend_signal</v>
      </c>
      <c r="AL407" s="42">
        <f>'1kpi_performance'!B407</f>
        <v>0.6289289424</v>
      </c>
      <c r="AM407" s="42">
        <f>'1kpi_performance'!C407</f>
        <v>0.9904116409</v>
      </c>
      <c r="AN407" s="42">
        <f>'1kpi_performance'!D407</f>
        <v>0.6501915634</v>
      </c>
      <c r="AO407" s="42">
        <f>'1kpi_performance'!E407</f>
        <v>-0.07883089926</v>
      </c>
      <c r="AP407" s="42">
        <f>'1kpi_performance'!F407</f>
        <v>0.3280997573</v>
      </c>
      <c r="AQ407" s="42">
        <f>'1kpi_performance'!G407</f>
        <v>0.3160106326</v>
      </c>
      <c r="AR407" s="42">
        <f>'1kpi_performance'!H407</f>
        <v>0.3288339088</v>
      </c>
      <c r="AS407" s="42">
        <f>'1kpi_performance'!I407</f>
        <v>0.4897191497</v>
      </c>
      <c r="AT407" s="35">
        <f>'1kpi_performance'!J407</f>
        <v>1.840686952</v>
      </c>
      <c r="AU407" s="35">
        <f>'1kpi_performance'!K407</f>
        <v>3.054997337</v>
      </c>
      <c r="AV407" s="35">
        <f>'1kpi_performance'!L407</f>
        <v>1.901238122</v>
      </c>
      <c r="AW407" s="35">
        <f>'1kpi_performance'!M407</f>
        <v>-0.2120213174</v>
      </c>
      <c r="AX407" s="42">
        <f>'1kpi_performance'!N407</f>
        <v>0.167309175</v>
      </c>
      <c r="AY407" s="42">
        <f>'1kpi_performance'!O407</f>
        <v>0.167309175</v>
      </c>
      <c r="AZ407" s="42">
        <f>'1kpi_performance'!P407</f>
        <v>0.4006839587</v>
      </c>
      <c r="BA407" s="42">
        <f>'1kpi_performance'!Q407</f>
        <v>0.9212890186</v>
      </c>
      <c r="BB407" s="35">
        <f>'1kpi_performance'!R407</f>
        <v>3.899407097</v>
      </c>
      <c r="BC407" s="35">
        <f>'1kpi_performance'!S407</f>
        <v>6.988584308</v>
      </c>
      <c r="BD407" s="35">
        <f>'1kpi_performance'!T407</f>
        <v>3.939389244</v>
      </c>
      <c r="BE407" s="35">
        <f>'1kpi_performance'!U407</f>
        <v>-0.4059884353</v>
      </c>
      <c r="BF407" s="47"/>
      <c r="BG407" s="47"/>
      <c r="BH407" s="47"/>
      <c r="BI407" s="47"/>
      <c r="BJ407" s="47"/>
      <c r="BK407" s="47"/>
      <c r="BL407" s="47"/>
      <c r="BM407" s="47"/>
      <c r="BN407" s="47"/>
      <c r="BO407" s="47"/>
      <c r="BP407" s="47"/>
      <c r="BQ407" s="47"/>
      <c r="BR407" s="47"/>
      <c r="BS407" s="47"/>
      <c r="BT407" s="47"/>
    </row>
    <row r="408" ht="11.25" customHeight="1">
      <c r="A408" s="35" t="str">
        <f>'13all_company_profile'!A408</f>
        <v>MP</v>
      </c>
      <c r="B408" s="35" t="str">
        <f>'13all_company_profile'!B408</f>
        <v>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v>
      </c>
      <c r="C408" s="44" t="str">
        <f>'13all_company_profile'!C408</f>
        <v>https://financialmodelingprep.com/image-stock/MP.png</v>
      </c>
      <c r="D408" s="35" t="str">
        <f>'13all_company_profile'!D408</f>
        <v>MP Materials Corp.</v>
      </c>
      <c r="E408" s="36">
        <f>'13all_company_profile'!E408</f>
        <v>5902689280</v>
      </c>
      <c r="F408" s="37">
        <f>'13all_company_profile'!F408</f>
        <v>3789153</v>
      </c>
      <c r="G408" s="35">
        <f>'13all_company_profile'!G408</f>
        <v>0</v>
      </c>
      <c r="H408" s="38" t="str">
        <f>'13all_company_profile'!H408</f>
        <v>not avaiable</v>
      </c>
      <c r="I408" s="35" t="str">
        <f>'13all_company_profile'!I408</f>
        <v>NaN</v>
      </c>
      <c r="J408" s="35">
        <f>'13all_company_profile'!J408</f>
        <v>-0.072</v>
      </c>
      <c r="K408" s="42" t="str">
        <f t="shared" si="1"/>
        <v>NaN</v>
      </c>
      <c r="L408" s="35">
        <f>'7company_info'!B408</f>
        <v>33.53</v>
      </c>
      <c r="M408" s="35">
        <f>'7company_info'!C408</f>
        <v>33.88</v>
      </c>
      <c r="N408" s="35">
        <f>'7company_info'!D408</f>
        <v>31.6</v>
      </c>
      <c r="O408" s="35">
        <f>'7company_info'!E408</f>
        <v>0.91</v>
      </c>
      <c r="P408" s="35">
        <f>'7company_info'!F408</f>
        <v>0.0279</v>
      </c>
      <c r="Q408" s="35">
        <f>'7company_info'!G408</f>
        <v>32.5</v>
      </c>
      <c r="R408" s="35">
        <f>'7company_info'!H408</f>
        <v>32.62</v>
      </c>
      <c r="S408" s="35">
        <f>'7company_info'!I408</f>
        <v>10.8</v>
      </c>
      <c r="T408" s="35">
        <f>'7company_info'!J408</f>
        <v>51.77</v>
      </c>
      <c r="U408" s="39">
        <v>35.3466666666666</v>
      </c>
      <c r="V408" s="39">
        <v>36.5333333333333</v>
      </c>
      <c r="W408" s="40">
        <v>38.0466666666666</v>
      </c>
      <c r="X408" s="40">
        <v>40.7466666666666</v>
      </c>
      <c r="Y408" s="40">
        <v>33.8333333333333</v>
      </c>
      <c r="Z408" s="40">
        <v>32.6466666666666</v>
      </c>
      <c r="AA408" s="40">
        <v>29.9466666666666</v>
      </c>
      <c r="AB408" s="40">
        <v>36.2</v>
      </c>
      <c r="AC408" s="40">
        <v>38.64</v>
      </c>
      <c r="AD408" s="40">
        <v>35.1756781488366</v>
      </c>
      <c r="AE408" s="40">
        <v>31.7498</v>
      </c>
      <c r="AF408" s="40">
        <v>2.0226</v>
      </c>
      <c r="AG408" s="40">
        <v>51.77</v>
      </c>
      <c r="AH408" s="45">
        <v>44257.0</v>
      </c>
      <c r="AI408" s="44" t="str">
        <f>'6image_RS_benchmark_performance'!B408</f>
        <v>https://3arbzfbsh-cname-us.ngrok.io/Desktop/seabridge%20fintech/image_app/MP_resistance_support.jpg</v>
      </c>
      <c r="AJ408" s="44" t="str">
        <f>'6image_RS_benchmark_performance'!C408</f>
        <v>https://3arbzfbsh-cname-us.ngrok.io/Desktop/seabridge%20fintech/profit_graph_app/MP_Return.jpg</v>
      </c>
      <c r="AK408" s="46" t="str">
        <f>'5price_action_icon'!B408</f>
        <v>https://3arbzfbsh-cname-us.ngrok.io/Desktop/seabridge%20fintech/icon/MP_pa_trend_signal</v>
      </c>
      <c r="AL408" s="42">
        <f>'1kpi_performance'!B408</f>
        <v>12.50617251</v>
      </c>
      <c r="AM408" s="42">
        <f>'1kpi_performance'!C408</f>
        <v>9.287423794</v>
      </c>
      <c r="AN408" s="42">
        <f>'1kpi_performance'!D408</f>
        <v>6.276575324</v>
      </c>
      <c r="AO408" s="42">
        <f>'1kpi_performance'!E408</f>
        <v>4.418878389</v>
      </c>
      <c r="AP408" s="42">
        <f>'1kpi_performance'!F408</f>
        <v>0.7530383308</v>
      </c>
      <c r="AQ408" s="42">
        <f>'1kpi_performance'!G408</f>
        <v>0.8126435008</v>
      </c>
      <c r="AR408" s="42">
        <f>'1kpi_performance'!H408</f>
        <v>0.9509268489</v>
      </c>
      <c r="AS408" s="42">
        <f>'1kpi_performance'!I408</f>
        <v>1.004810162</v>
      </c>
      <c r="AT408" s="35">
        <f>'1kpi_performance'!J408</f>
        <v>16.57441859</v>
      </c>
      <c r="AU408" s="35">
        <f>'1kpi_performance'!K408</f>
        <v>11.39789315</v>
      </c>
      <c r="AV408" s="35">
        <f>'1kpi_performance'!L408</f>
        <v>6.574191624</v>
      </c>
      <c r="AW408" s="35">
        <f>'1kpi_performance'!M408</f>
        <v>4.3728443</v>
      </c>
      <c r="AX408" s="42">
        <f>'1kpi_performance'!N408</f>
        <v>0.2184139785</v>
      </c>
      <c r="AY408" s="42">
        <f>'1kpi_performance'!O408</f>
        <v>0.1715210356</v>
      </c>
      <c r="AZ408" s="42">
        <f>'1kpi_performance'!P408</f>
        <v>0.4648836704</v>
      </c>
      <c r="BA408" s="42">
        <f>'1kpi_performance'!Q408</f>
        <v>0.5022249191</v>
      </c>
      <c r="BB408" s="35">
        <f>'1kpi_performance'!R408</f>
        <v>49.45317081</v>
      </c>
      <c r="BC408" s="35">
        <f>'1kpi_performance'!S408</f>
        <v>33.15490808</v>
      </c>
      <c r="BD408" s="35">
        <f>'1kpi_performance'!T408</f>
        <v>16.68777968</v>
      </c>
      <c r="BE408" s="35">
        <f>'1kpi_performance'!U408</f>
        <v>10.92843425</v>
      </c>
      <c r="BF408" s="47"/>
      <c r="BG408" s="47"/>
      <c r="BH408" s="47"/>
      <c r="BI408" s="47"/>
      <c r="BJ408" s="47"/>
      <c r="BK408" s="47"/>
      <c r="BL408" s="47"/>
      <c r="BM408" s="47"/>
      <c r="BN408" s="47"/>
      <c r="BO408" s="47"/>
      <c r="BP408" s="47"/>
      <c r="BQ408" s="47"/>
      <c r="BR408" s="47"/>
      <c r="BS408" s="47"/>
      <c r="BT408" s="47"/>
    </row>
    <row r="409" ht="11.25" customHeight="1">
      <c r="A409" s="35" t="str">
        <f>'13all_company_profile'!A409</f>
        <v>MPC</v>
      </c>
      <c r="B409" s="35" t="str">
        <f>'13all_company_profile'!B409</f>
        <v>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v>
      </c>
      <c r="C409" s="44" t="str">
        <f>'13all_company_profile'!C409</f>
        <v>https://financialmodelingprep.com/image-stock/MPC.png</v>
      </c>
      <c r="D409" s="35" t="str">
        <f>'13all_company_profile'!D409</f>
        <v>Marathon Petroleum Corporation</v>
      </c>
      <c r="E409" s="36">
        <f>'13all_company_profile'!E409</f>
        <v>35393208320</v>
      </c>
      <c r="F409" s="37">
        <f>'13all_company_profile'!F409</f>
        <v>7126204</v>
      </c>
      <c r="G409" s="35">
        <f>'13all_company_profile'!G409</f>
        <v>2.32</v>
      </c>
      <c r="H409" s="38">
        <f>'13all_company_profile'!H409</f>
        <v>44412</v>
      </c>
      <c r="I409" s="35" t="str">
        <f>'13all_company_profile'!I409</f>
        <v>NaN</v>
      </c>
      <c r="J409" s="35">
        <f>'13all_company_profile'!J409</f>
        <v>-1.285</v>
      </c>
      <c r="K409" s="42">
        <f t="shared" si="1"/>
        <v>0.04451266309</v>
      </c>
      <c r="L409" s="35">
        <f>'7company_info'!B409</f>
        <v>52.12</v>
      </c>
      <c r="M409" s="35">
        <f>'7company_info'!C409</f>
        <v>52.27</v>
      </c>
      <c r="N409" s="35">
        <f>'7company_info'!D409</f>
        <v>50.46</v>
      </c>
      <c r="O409" s="35">
        <f>'7company_info'!E409</f>
        <v>1.24</v>
      </c>
      <c r="P409" s="35">
        <f>'7company_info'!F409</f>
        <v>0.0244</v>
      </c>
      <c r="Q409" s="35">
        <f>'7company_info'!G409</f>
        <v>51.07</v>
      </c>
      <c r="R409" s="35">
        <f>'7company_info'!H409</f>
        <v>50.88</v>
      </c>
      <c r="S409" s="35">
        <f>'7company_info'!I409</f>
        <v>26.56</v>
      </c>
      <c r="T409" s="35">
        <f>'7company_info'!J409</f>
        <v>64.84</v>
      </c>
      <c r="U409" s="39">
        <v>55.9916666666666</v>
      </c>
      <c r="V409" s="39">
        <v>56.9683333333333</v>
      </c>
      <c r="W409" s="40">
        <v>58.8166666666666</v>
      </c>
      <c r="X409" s="40">
        <v>61.6416666666666</v>
      </c>
      <c r="Y409" s="40">
        <v>54.1433333333333</v>
      </c>
      <c r="Z409" s="40">
        <v>53.1666666666666</v>
      </c>
      <c r="AA409" s="40">
        <v>50.3416666666666</v>
      </c>
      <c r="AB409" s="40">
        <v>57.16</v>
      </c>
      <c r="AC409" s="40">
        <v>62.53</v>
      </c>
      <c r="AD409" s="40">
        <v>59.493529906244</v>
      </c>
      <c r="AE409" s="40">
        <v>54.24416</v>
      </c>
      <c r="AF409" s="40">
        <v>1.65442</v>
      </c>
      <c r="AG409" s="40">
        <v>64.84</v>
      </c>
      <c r="AH409" s="45">
        <v>44357.0</v>
      </c>
      <c r="AI409" s="44" t="str">
        <f>'6image_RS_benchmark_performance'!B409</f>
        <v>https://3arbzfbsh-cname-us.ngrok.io/Desktop/seabridge%20fintech/image_app/MPC_resistance_support.jpg</v>
      </c>
      <c r="AJ409" s="44" t="str">
        <f>'6image_RS_benchmark_performance'!C409</f>
        <v>https://3arbzfbsh-cname-us.ngrok.io/Desktop/seabridge%20fintech/profit_graph_app/MPC_Return.jpg</v>
      </c>
      <c r="AK409" s="46" t="str">
        <f>'5price_action_icon'!B409</f>
        <v>https://3arbzfbsh-cname-us.ngrok.io/Desktop/seabridge%20fintech/icon/MPC_pa_trend_signal</v>
      </c>
      <c r="AL409" s="42">
        <f>'1kpi_performance'!B409</f>
        <v>1.043328076</v>
      </c>
      <c r="AM409" s="42">
        <f>'1kpi_performance'!C409</f>
        <v>1.24436882</v>
      </c>
      <c r="AN409" s="42">
        <f>'1kpi_performance'!D409</f>
        <v>0.9191654639</v>
      </c>
      <c r="AO409" s="42">
        <f>'1kpi_performance'!E409</f>
        <v>0.1593457818</v>
      </c>
      <c r="AP409" s="42">
        <f>'1kpi_performance'!F409</f>
        <v>0.3521671081</v>
      </c>
      <c r="AQ409" s="42">
        <f>'1kpi_performance'!G409</f>
        <v>0.325560903</v>
      </c>
      <c r="AR409" s="42">
        <f>'1kpi_performance'!H409</f>
        <v>0.2933301266</v>
      </c>
      <c r="AS409" s="42">
        <f>'1kpi_performance'!I409</f>
        <v>0.5011406322</v>
      </c>
      <c r="AT409" s="35">
        <f>'1kpi_performance'!J409</f>
        <v>2.891604731</v>
      </c>
      <c r="AU409" s="35">
        <f>'1kpi_performance'!K409</f>
        <v>3.745439974</v>
      </c>
      <c r="AV409" s="35">
        <f>'1kpi_performance'!L409</f>
        <v>3.048324678</v>
      </c>
      <c r="AW409" s="35">
        <f>'1kpi_performance'!M409</f>
        <v>0.2680800023</v>
      </c>
      <c r="AX409" s="42">
        <f>'1kpi_performance'!N409</f>
        <v>0.2810762731</v>
      </c>
      <c r="AY409" s="42">
        <f>'1kpi_performance'!O409</f>
        <v>0.1653992395</v>
      </c>
      <c r="AZ409" s="42">
        <f>'1kpi_performance'!P409</f>
        <v>0.2969383785</v>
      </c>
      <c r="BA409" s="42">
        <f>'1kpi_performance'!Q409</f>
        <v>0.8076166223</v>
      </c>
      <c r="BB409" s="35">
        <f>'1kpi_performance'!R409</f>
        <v>6.268761859</v>
      </c>
      <c r="BC409" s="35">
        <f>'1kpi_performance'!S409</f>
        <v>8.894750025</v>
      </c>
      <c r="BD409" s="35">
        <f>'1kpi_performance'!T409</f>
        <v>6.592463526</v>
      </c>
      <c r="BE409" s="35">
        <f>'1kpi_performance'!U409</f>
        <v>0.5140475426</v>
      </c>
      <c r="BF409" s="47"/>
      <c r="BG409" s="47"/>
      <c r="BH409" s="47"/>
      <c r="BI409" s="47"/>
      <c r="BJ409" s="47"/>
      <c r="BK409" s="47"/>
      <c r="BL409" s="47"/>
      <c r="BM409" s="47"/>
      <c r="BN409" s="47"/>
      <c r="BO409" s="47"/>
      <c r="BP409" s="47"/>
      <c r="BQ409" s="47"/>
      <c r="BR409" s="47"/>
      <c r="BS409" s="47"/>
      <c r="BT409" s="47"/>
    </row>
    <row r="410" ht="11.25" customHeight="1">
      <c r="A410" s="35" t="str">
        <f>'13all_company_profile'!A410</f>
        <v>MPLX</v>
      </c>
      <c r="B410" s="35" t="str">
        <f>'13all_company_profile'!B410</f>
        <v>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v>
      </c>
      <c r="C410" s="44" t="str">
        <f>'13all_company_profile'!C410</f>
        <v>https://financialmodelingprep.com/image-stock/MPLX.png</v>
      </c>
      <c r="D410" s="35" t="str">
        <f>'13all_company_profile'!D410</f>
        <v>MPLX LP</v>
      </c>
      <c r="E410" s="36">
        <f>'13all_company_profile'!E410</f>
        <v>28795953152</v>
      </c>
      <c r="F410" s="37">
        <f>'13all_company_profile'!F410</f>
        <v>2174117</v>
      </c>
      <c r="G410" s="35">
        <f>'13all_company_profile'!G410</f>
        <v>2.7515</v>
      </c>
      <c r="H410" s="38">
        <f>'13all_company_profile'!H410</f>
        <v>44412</v>
      </c>
      <c r="I410" s="35">
        <f>'13all_company_profile'!I410</f>
        <v>10.943624</v>
      </c>
      <c r="J410" s="35">
        <f>'13all_company_profile'!J410</f>
        <v>2.501</v>
      </c>
      <c r="K410" s="42">
        <f t="shared" si="1"/>
        <v>0.09965592177</v>
      </c>
      <c r="L410" s="35">
        <f>'7company_info'!B410</f>
        <v>27.61</v>
      </c>
      <c r="M410" s="35">
        <f>'7company_info'!C410</f>
        <v>27.61</v>
      </c>
      <c r="N410" s="35">
        <f>'7company_info'!D410</f>
        <v>26.28</v>
      </c>
      <c r="O410" s="35">
        <f>'7company_info'!E410</f>
        <v>1.41</v>
      </c>
      <c r="P410" s="35">
        <f>'7company_info'!F410</f>
        <v>0.0538</v>
      </c>
      <c r="Q410" s="35">
        <f>'7company_info'!G410</f>
        <v>26.47</v>
      </c>
      <c r="R410" s="35">
        <f>'7company_info'!H410</f>
        <v>26.2</v>
      </c>
      <c r="S410" s="35">
        <f>'7company_info'!I410</f>
        <v>15.05</v>
      </c>
      <c r="T410" s="35">
        <f>'7company_info'!J410</f>
        <v>31.4</v>
      </c>
      <c r="U410" s="39">
        <v>28.7316666666666</v>
      </c>
      <c r="V410" s="39">
        <v>29.0283333333333</v>
      </c>
      <c r="W410" s="40">
        <v>29.5266666666666</v>
      </c>
      <c r="X410" s="40">
        <v>30.3216666666666</v>
      </c>
      <c r="Y410" s="40">
        <v>28.2333333333333</v>
      </c>
      <c r="Z410" s="40">
        <v>27.9366666666666</v>
      </c>
      <c r="AA410" s="40">
        <v>27.1416666666666</v>
      </c>
      <c r="AB410" s="40">
        <v>29.17</v>
      </c>
      <c r="AC410" s="40">
        <v>29.07</v>
      </c>
      <c r="AD410" s="40">
        <v>29.3931852359933</v>
      </c>
      <c r="AE410" s="40">
        <v>27.33875</v>
      </c>
      <c r="AF410" s="40">
        <v>0.721385</v>
      </c>
      <c r="AG410" s="40">
        <v>31.3998</v>
      </c>
      <c r="AH410" s="45">
        <v>44362.0</v>
      </c>
      <c r="AI410" s="44" t="str">
        <f>'6image_RS_benchmark_performance'!B410</f>
        <v>https://3arbzfbsh-cname-us.ngrok.io/Desktop/seabridge%20fintech/image_app/MPLX_resistance_support.jpg</v>
      </c>
      <c r="AJ410" s="44" t="str">
        <f>'6image_RS_benchmark_performance'!C410</f>
        <v>https://3arbzfbsh-cname-us.ngrok.io/Desktop/seabridge%20fintech/profit_graph_app/MPLX_Return.jpg</v>
      </c>
      <c r="AK410" s="46" t="str">
        <f>'5price_action_icon'!B410</f>
        <v>https://3arbzfbsh-cname-us.ngrok.io/Desktop/seabridge%20fintech/icon/MPLX_pa_trend_signal</v>
      </c>
      <c r="AL410" s="42">
        <f>'1kpi_performance'!B410</f>
        <v>0.58259176</v>
      </c>
      <c r="AM410" s="42">
        <f>'1kpi_performance'!C410</f>
        <v>0.6934381389</v>
      </c>
      <c r="AN410" s="42">
        <f>'1kpi_performance'!D410</f>
        <v>0.8125586938</v>
      </c>
      <c r="AO410" s="42">
        <f>'1kpi_performance'!E410</f>
        <v>0.007878411033</v>
      </c>
      <c r="AP410" s="42">
        <f>'1kpi_performance'!F410</f>
        <v>0.2965763292</v>
      </c>
      <c r="AQ410" s="42">
        <f>'1kpi_performance'!G410</f>
        <v>0.2970185444</v>
      </c>
      <c r="AR410" s="42">
        <f>'1kpi_performance'!H410</f>
        <v>0.3344751732</v>
      </c>
      <c r="AS410" s="42">
        <f>'1kpi_performance'!I410</f>
        <v>0.4923982421</v>
      </c>
      <c r="AT410" s="35">
        <f>'1kpi_performance'!J410</f>
        <v>1.880095291</v>
      </c>
      <c r="AU410" s="35">
        <f>'1kpi_performance'!K410</f>
        <v>2.250492946</v>
      </c>
      <c r="AV410" s="35">
        <f>'1kpi_performance'!L410</f>
        <v>2.354610317</v>
      </c>
      <c r="AW410" s="35">
        <f>'1kpi_performance'!M410</f>
        <v>-0.03477183203</v>
      </c>
      <c r="AX410" s="42">
        <f>'1kpi_performance'!N410</f>
        <v>0.2202373885</v>
      </c>
      <c r="AY410" s="42">
        <f>'1kpi_performance'!O410</f>
        <v>0.1990749181</v>
      </c>
      <c r="AZ410" s="42">
        <f>'1kpi_performance'!P410</f>
        <v>0.5282707211</v>
      </c>
      <c r="BA410" s="42">
        <f>'1kpi_performance'!Q410</f>
        <v>0.8980783264</v>
      </c>
      <c r="BB410" s="35">
        <f>'1kpi_performance'!R410</f>
        <v>4.006504</v>
      </c>
      <c r="BC410" s="35">
        <f>'1kpi_performance'!S410</f>
        <v>4.927587937</v>
      </c>
      <c r="BD410" s="35">
        <f>'1kpi_performance'!T410</f>
        <v>4.662342231</v>
      </c>
      <c r="BE410" s="35">
        <f>'1kpi_performance'!U410</f>
        <v>-0.06759000384</v>
      </c>
      <c r="BF410" s="47"/>
      <c r="BG410" s="47"/>
      <c r="BH410" s="47"/>
      <c r="BI410" s="47"/>
      <c r="BJ410" s="47"/>
      <c r="BK410" s="47"/>
      <c r="BL410" s="47"/>
      <c r="BM410" s="47"/>
      <c r="BN410" s="47"/>
      <c r="BO410" s="47"/>
      <c r="BP410" s="47"/>
      <c r="BQ410" s="47"/>
      <c r="BR410" s="47"/>
      <c r="BS410" s="47"/>
      <c r="BT410" s="47"/>
    </row>
    <row r="411" ht="11.25" customHeight="1">
      <c r="A411" s="35" t="str">
        <f>'13all_company_profile'!A411</f>
        <v>MPWR</v>
      </c>
      <c r="B411" s="35" t="str">
        <f>'13all_company_profile'!B411</f>
        <v>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v>
      </c>
      <c r="C411" s="44" t="str">
        <f>'13all_company_profile'!C411</f>
        <v>https://financialmodelingprep.com/image-stock/MPWR.png</v>
      </c>
      <c r="D411" s="35" t="str">
        <f>'13all_company_profile'!D411</f>
        <v>Monolithic Power Systems, Inc.</v>
      </c>
      <c r="E411" s="36">
        <f>'13all_company_profile'!E411</f>
        <v>17364101120</v>
      </c>
      <c r="F411" s="37">
        <f>'13all_company_profile'!F411</f>
        <v>342457</v>
      </c>
      <c r="G411" s="35">
        <f>'13all_company_profile'!G411</f>
        <v>2.2</v>
      </c>
      <c r="H411" s="38">
        <f>'13all_company_profile'!H411</f>
        <v>44403</v>
      </c>
      <c r="I411" s="35">
        <f>'13all_company_profile'!I411</f>
        <v>103.26448</v>
      </c>
      <c r="J411" s="35">
        <f>'13all_company_profile'!J411</f>
        <v>3.679</v>
      </c>
      <c r="K411" s="42">
        <f t="shared" si="1"/>
        <v>0.005607095525</v>
      </c>
      <c r="L411" s="35">
        <f>'7company_info'!B411</f>
        <v>392.36</v>
      </c>
      <c r="M411" s="35">
        <f>'7company_info'!C411</f>
        <v>394.35</v>
      </c>
      <c r="N411" s="35">
        <f>'7company_info'!D411</f>
        <v>379.9</v>
      </c>
      <c r="O411" s="35">
        <f>'7company_info'!E411</f>
        <v>11.62</v>
      </c>
      <c r="P411" s="35">
        <f>'7company_info'!F411</f>
        <v>0.0305</v>
      </c>
      <c r="Q411" s="35">
        <f>'7company_info'!G411</f>
        <v>382.77</v>
      </c>
      <c r="R411" s="35">
        <f>'7company_info'!H411</f>
        <v>380.74</v>
      </c>
      <c r="S411" s="35">
        <f>'7company_info'!I411</f>
        <v>235.62</v>
      </c>
      <c r="T411" s="35">
        <f>'7company_info'!J411</f>
        <v>406.75</v>
      </c>
      <c r="U411" s="39">
        <v>386.84</v>
      </c>
      <c r="V411" s="39">
        <v>392.35</v>
      </c>
      <c r="W411" s="40">
        <v>401.83</v>
      </c>
      <c r="X411" s="40">
        <v>416.82</v>
      </c>
      <c r="Y411" s="40">
        <v>377.36</v>
      </c>
      <c r="Z411" s="40">
        <v>371.85</v>
      </c>
      <c r="AA411" s="40">
        <v>356.86</v>
      </c>
      <c r="AB411" s="40">
        <v>339.0</v>
      </c>
      <c r="AC411" s="40">
        <v>373.44</v>
      </c>
      <c r="AD411" s="40">
        <v>370.093050655575</v>
      </c>
      <c r="AE411" s="40">
        <v>369.302</v>
      </c>
      <c r="AF411" s="40">
        <v>9.45</v>
      </c>
      <c r="AG411" s="40">
        <v>406.75</v>
      </c>
      <c r="AH411" s="45">
        <v>44221.0</v>
      </c>
      <c r="AI411" s="44" t="str">
        <f>'6image_RS_benchmark_performance'!B411</f>
        <v>https://3arbzfbsh-cname-us.ngrok.io/Desktop/seabridge%20fintech/image_app/MPWR_resistance_support.jpg</v>
      </c>
      <c r="AJ411" s="44" t="str">
        <f>'6image_RS_benchmark_performance'!C411</f>
        <v>https://3arbzfbsh-cname-us.ngrok.io/Desktop/seabridge%20fintech/profit_graph_app/MPWR_Return.jpg</v>
      </c>
      <c r="AK411" s="46" t="str">
        <f>'5price_action_icon'!B411</f>
        <v>https://3arbzfbsh-cname-us.ngrok.io/Desktop/seabridge%20fintech/icon/MPWR_pa_trend_signal</v>
      </c>
      <c r="AL411" s="42">
        <f>'1kpi_performance'!B411</f>
        <v>0.8884228575</v>
      </c>
      <c r="AM411" s="42">
        <f>'1kpi_performance'!C411</f>
        <v>1.178686954</v>
      </c>
      <c r="AN411" s="42">
        <f>'1kpi_performance'!D411</f>
        <v>0.8627967686</v>
      </c>
      <c r="AO411" s="42">
        <f>'1kpi_performance'!E411</f>
        <v>0.4275636182</v>
      </c>
      <c r="AP411" s="42">
        <f>'1kpi_performance'!F411</f>
        <v>0.3042486336</v>
      </c>
      <c r="AQ411" s="42">
        <f>'1kpi_performance'!G411</f>
        <v>0.2996040268</v>
      </c>
      <c r="AR411" s="42">
        <f>'1kpi_performance'!H411</f>
        <v>0.3120855856</v>
      </c>
      <c r="AS411" s="42">
        <f>'1kpi_performance'!I411</f>
        <v>0.4438859987</v>
      </c>
      <c r="AT411" s="35">
        <f>'1kpi_performance'!J411</f>
        <v>2.837885736</v>
      </c>
      <c r="AU411" s="35">
        <f>'1kpi_performance'!K411</f>
        <v>3.850705769</v>
      </c>
      <c r="AV411" s="35">
        <f>'1kpi_performance'!L411</f>
        <v>2.684509658</v>
      </c>
      <c r="AW411" s="35">
        <f>'1kpi_performance'!M411</f>
        <v>0.9069076732</v>
      </c>
      <c r="AX411" s="42">
        <f>'1kpi_performance'!N411</f>
        <v>0.2424717447</v>
      </c>
      <c r="AY411" s="42">
        <f>'1kpi_performance'!O411</f>
        <v>0.1237303786</v>
      </c>
      <c r="AZ411" s="42">
        <f>'1kpi_performance'!P411</f>
        <v>0.2706305544</v>
      </c>
      <c r="BA411" s="42">
        <f>'1kpi_performance'!Q411</f>
        <v>0.611802489</v>
      </c>
      <c r="BB411" s="35">
        <f>'1kpi_performance'!R411</f>
        <v>5.981381595</v>
      </c>
      <c r="BC411" s="35">
        <f>'1kpi_performance'!S411</f>
        <v>9.143767762</v>
      </c>
      <c r="BD411" s="35">
        <f>'1kpi_performance'!T411</f>
        <v>5.489571337</v>
      </c>
      <c r="BE411" s="35">
        <f>'1kpi_performance'!U411</f>
        <v>1.806226918</v>
      </c>
      <c r="BF411" s="47"/>
      <c r="BG411" s="47"/>
      <c r="BH411" s="47"/>
      <c r="BI411" s="47"/>
      <c r="BJ411" s="47"/>
      <c r="BK411" s="47"/>
      <c r="BL411" s="47"/>
      <c r="BM411" s="47"/>
      <c r="BN411" s="47"/>
      <c r="BO411" s="47"/>
      <c r="BP411" s="47"/>
      <c r="BQ411" s="47"/>
      <c r="BR411" s="47"/>
      <c r="BS411" s="47"/>
      <c r="BT411" s="47"/>
    </row>
    <row r="412" ht="11.25" customHeight="1">
      <c r="A412" s="35" t="str">
        <f>'13all_company_profile'!A412</f>
        <v>MRNA</v>
      </c>
      <c r="B412" s="35" t="str">
        <f>'13all_company_profile'!B412</f>
        <v>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v>
      </c>
      <c r="C412" s="44" t="str">
        <f>'13all_company_profile'!C412</f>
        <v>https://financialmodelingprep.com/image-stock/MRNA.png</v>
      </c>
      <c r="D412" s="35" t="str">
        <f>'13all_company_profile'!D412</f>
        <v>Moderna, Inc.</v>
      </c>
      <c r="E412" s="36">
        <f>'13all_company_profile'!E412</f>
        <v>104266776576</v>
      </c>
      <c r="F412" s="37">
        <f>'13all_company_profile'!F412</f>
        <v>9328073</v>
      </c>
      <c r="G412" s="35">
        <f>'13all_company_profile'!G412</f>
        <v>0</v>
      </c>
      <c r="H412" s="38">
        <f>'13all_company_profile'!H412</f>
        <v>44411</v>
      </c>
      <c r="I412" s="35">
        <f>'13all_company_profile'!I412</f>
        <v>190.43567</v>
      </c>
      <c r="J412" s="35">
        <f>'13all_company_profile'!J412</f>
        <v>1.492</v>
      </c>
      <c r="K412" s="42" t="str">
        <f t="shared" si="1"/>
        <v>NaN</v>
      </c>
      <c r="L412" s="35">
        <f>'7company_info'!B412</f>
        <v>307.33</v>
      </c>
      <c r="M412" s="35">
        <f>'7company_info'!C412</f>
        <v>342.51</v>
      </c>
      <c r="N412" s="35">
        <f>'7company_info'!D412</f>
        <v>292</v>
      </c>
      <c r="O412" s="35">
        <f>'7company_info'!E412</f>
        <v>-6.26</v>
      </c>
      <c r="P412" s="35">
        <f>'7company_info'!F412</f>
        <v>-0.02</v>
      </c>
      <c r="Q412" s="35">
        <f>'7company_info'!G412</f>
        <v>318.22</v>
      </c>
      <c r="R412" s="35">
        <f>'7company_info'!H412</f>
        <v>313.59</v>
      </c>
      <c r="S412" s="35">
        <f>'7company_info'!I412</f>
        <v>54.21</v>
      </c>
      <c r="T412" s="35">
        <f>'7company_info'!J412</f>
        <v>342.51</v>
      </c>
      <c r="U412" s="39">
        <v>244.6</v>
      </c>
      <c r="V412" s="39">
        <v>251.98</v>
      </c>
      <c r="W412" s="40">
        <v>257.299999999999</v>
      </c>
      <c r="X412" s="40">
        <v>270.0</v>
      </c>
      <c r="Y412" s="40">
        <v>239.28</v>
      </c>
      <c r="Z412" s="40">
        <v>231.9</v>
      </c>
      <c r="AA412" s="40">
        <v>219.2</v>
      </c>
      <c r="AB412" s="40">
        <v>229.2</v>
      </c>
      <c r="AC412" s="40">
        <v>249.92</v>
      </c>
      <c r="AD412" s="40">
        <v>224.79112043633</v>
      </c>
      <c r="AE412" s="40">
        <v>212.14658</v>
      </c>
      <c r="AF412" s="40">
        <v>11.80771</v>
      </c>
      <c r="AG412" s="40">
        <v>245.7</v>
      </c>
      <c r="AH412" s="45">
        <v>44377.0</v>
      </c>
      <c r="AI412" s="44" t="str">
        <f>'6image_RS_benchmark_performance'!B412</f>
        <v>https://3arbzfbsh-cname-us.ngrok.io/Desktop/seabridge%20fintech/image_app/MRNA_resistance_support.jpg</v>
      </c>
      <c r="AJ412" s="44" t="str">
        <f>'6image_RS_benchmark_performance'!C412</f>
        <v>https://3arbzfbsh-cname-us.ngrok.io/Desktop/seabridge%20fintech/profit_graph_app/MRNA_Return.jpg</v>
      </c>
      <c r="AK412" s="46" t="str">
        <f>'5price_action_icon'!B412</f>
        <v>https://3arbzfbsh-cname-us.ngrok.io/Desktop/seabridge%20fintech/icon/MRNA_pa_trend_signal</v>
      </c>
      <c r="AL412" s="42">
        <f>'1kpi_performance'!B412</f>
        <v>4.906518507</v>
      </c>
      <c r="AM412" s="42">
        <f>'1kpi_performance'!C412</f>
        <v>8.107763712</v>
      </c>
      <c r="AN412" s="42">
        <f>'1kpi_performance'!D412</f>
        <v>7.941007639</v>
      </c>
      <c r="AO412" s="42">
        <f>'1kpi_performance'!E412</f>
        <v>3.15798993</v>
      </c>
      <c r="AP412" s="42">
        <f>'1kpi_performance'!F412</f>
        <v>0.7257894511</v>
      </c>
      <c r="AQ412" s="42">
        <f>'1kpi_performance'!G412</f>
        <v>0.7886734792</v>
      </c>
      <c r="AR412" s="42">
        <f>'1kpi_performance'!H412</f>
        <v>0.7275143187</v>
      </c>
      <c r="AS412" s="42">
        <f>'1kpi_performance'!I412</f>
        <v>0.9640897693</v>
      </c>
      <c r="AT412" s="35">
        <f>'1kpi_performance'!J412</f>
        <v>6.725805259</v>
      </c>
      <c r="AU412" s="35">
        <f>'1kpi_performance'!K412</f>
        <v>10.24855523</v>
      </c>
      <c r="AV412" s="35">
        <f>'1kpi_performance'!L412</f>
        <v>10.880896</v>
      </c>
      <c r="AW412" s="35">
        <f>'1kpi_performance'!M412</f>
        <v>3.249686937</v>
      </c>
      <c r="AX412" s="42">
        <f>'1kpi_performance'!N412</f>
        <v>0.2808510638</v>
      </c>
      <c r="AY412" s="42">
        <f>'1kpi_performance'!O412</f>
        <v>0.2808510638</v>
      </c>
      <c r="AZ412" s="42">
        <f>'1kpi_performance'!P412</f>
        <v>0.3485750569</v>
      </c>
      <c r="BA412" s="42">
        <f>'1kpi_performance'!Q412</f>
        <v>0.5673959068</v>
      </c>
      <c r="BB412" s="35">
        <f>'1kpi_performance'!R412</f>
        <v>16.04950475</v>
      </c>
      <c r="BC412" s="35">
        <f>'1kpi_performance'!S412</f>
        <v>25.55702821</v>
      </c>
      <c r="BD412" s="35">
        <f>'1kpi_performance'!T412</f>
        <v>28.31010879</v>
      </c>
      <c r="BE412" s="35">
        <f>'1kpi_performance'!U412</f>
        <v>7.669136704</v>
      </c>
      <c r="BF412" s="47"/>
      <c r="BG412" s="47"/>
      <c r="BH412" s="47"/>
      <c r="BI412" s="47"/>
      <c r="BJ412" s="47"/>
      <c r="BK412" s="47"/>
      <c r="BL412" s="47"/>
      <c r="BM412" s="47"/>
      <c r="BN412" s="47"/>
      <c r="BO412" s="47"/>
      <c r="BP412" s="47"/>
      <c r="BQ412" s="47"/>
      <c r="BR412" s="47"/>
      <c r="BS412" s="47"/>
      <c r="BT412" s="47"/>
    </row>
    <row r="413" ht="11.25" customHeight="1">
      <c r="A413" s="35" t="str">
        <f>'13all_company_profile'!A413</f>
        <v>MRO</v>
      </c>
      <c r="B413" s="35" t="str">
        <f>'13all_company_profile'!B413</f>
        <v>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v>
      </c>
      <c r="C413" s="44" t="str">
        <f>'13all_company_profile'!C413</f>
        <v>https://financialmodelingprep.com/image-stock/MRO.png</v>
      </c>
      <c r="D413" s="35" t="str">
        <f>'13all_company_profile'!D413</f>
        <v>Marathon Oil Corporation</v>
      </c>
      <c r="E413" s="36">
        <f>'13all_company_profile'!E413</f>
        <v>9662755840</v>
      </c>
      <c r="F413" s="37">
        <f>'13all_company_profile'!F413</f>
        <v>18676733</v>
      </c>
      <c r="G413" s="35">
        <f>'13all_company_profile'!G413</f>
        <v>0.1</v>
      </c>
      <c r="H413" s="38">
        <f>'13all_company_profile'!H413</f>
        <v>44412</v>
      </c>
      <c r="I413" s="35" t="str">
        <f>'13all_company_profile'!I413</f>
        <v>NaN</v>
      </c>
      <c r="J413" s="35">
        <f>'13all_company_profile'!J413</f>
        <v>-1.654</v>
      </c>
      <c r="K413" s="42">
        <f t="shared" si="1"/>
        <v>0.008818342152</v>
      </c>
      <c r="L413" s="35">
        <f>'7company_info'!B413</f>
        <v>11.34</v>
      </c>
      <c r="M413" s="35">
        <f>'7company_info'!C413</f>
        <v>11.51</v>
      </c>
      <c r="N413" s="35">
        <f>'7company_info'!D413</f>
        <v>10.93</v>
      </c>
      <c r="O413" s="35">
        <f>'7company_info'!E413</f>
        <v>0.22</v>
      </c>
      <c r="P413" s="35">
        <f>'7company_info'!F413</f>
        <v>0.0198</v>
      </c>
      <c r="Q413" s="35">
        <f>'7company_info'!G413</f>
        <v>11.16</v>
      </c>
      <c r="R413" s="35">
        <f>'7company_info'!H413</f>
        <v>11.12</v>
      </c>
      <c r="S413" s="35">
        <f>'7company_info'!I413</f>
        <v>3.73</v>
      </c>
      <c r="T413" s="35">
        <f>'7company_info'!J413</f>
        <v>14.33</v>
      </c>
      <c r="U413" s="39">
        <v>12.79</v>
      </c>
      <c r="V413" s="39">
        <v>13.2</v>
      </c>
      <c r="W413" s="40">
        <v>13.88</v>
      </c>
      <c r="X413" s="40">
        <v>14.97</v>
      </c>
      <c r="Y413" s="40">
        <v>12.11</v>
      </c>
      <c r="Z413" s="40">
        <v>11.7</v>
      </c>
      <c r="AA413" s="40">
        <v>10.61</v>
      </c>
      <c r="AB413" s="40">
        <v>12.38</v>
      </c>
      <c r="AC413" s="40">
        <v>14.33</v>
      </c>
      <c r="AD413" s="40">
        <v>13.225494859732</v>
      </c>
      <c r="AE413" s="40">
        <v>12.00253</v>
      </c>
      <c r="AF413" s="40">
        <v>0.590734999999999</v>
      </c>
      <c r="AG413" s="40">
        <v>14.33</v>
      </c>
      <c r="AH413" s="45">
        <v>44378.0</v>
      </c>
      <c r="AI413" s="44" t="str">
        <f>'6image_RS_benchmark_performance'!B413</f>
        <v>https://3arbzfbsh-cname-us.ngrok.io/Desktop/seabridge%20fintech/image_app/MRO_resistance_support.jpg</v>
      </c>
      <c r="AJ413" s="44" t="str">
        <f>'6image_RS_benchmark_performance'!C413</f>
        <v>https://3arbzfbsh-cname-us.ngrok.io/Desktop/seabridge%20fintech/profit_graph_app/MRO_Return.jpg</v>
      </c>
      <c r="AK413" s="46" t="str">
        <f>'5price_action_icon'!B413</f>
        <v>https://3arbzfbsh-cname-us.ngrok.io/Desktop/seabridge%20fintech/icon/MRO_pa_trend_signal</v>
      </c>
      <c r="AL413" s="42">
        <f>'1kpi_performance'!B413</f>
        <v>0.9726225907</v>
      </c>
      <c r="AM413" s="42">
        <f>'1kpi_performance'!C413</f>
        <v>1.108348102</v>
      </c>
      <c r="AN413" s="42">
        <f>'1kpi_performance'!D413</f>
        <v>0.5352192889</v>
      </c>
      <c r="AO413" s="42">
        <f>'1kpi_performance'!E413</f>
        <v>-0.05140881344</v>
      </c>
      <c r="AP413" s="42">
        <f>'1kpi_performance'!F413</f>
        <v>0.4007524601</v>
      </c>
      <c r="AQ413" s="42">
        <f>'1kpi_performance'!G413</f>
        <v>0.3891781444</v>
      </c>
      <c r="AR413" s="42">
        <f>'1kpi_performance'!H413</f>
        <v>0.4473425665</v>
      </c>
      <c r="AS413" s="42">
        <f>'1kpi_performance'!I413</f>
        <v>0.577304257</v>
      </c>
      <c r="AT413" s="35">
        <f>'1kpi_performance'!J413</f>
        <v>2.364608293</v>
      </c>
      <c r="AU413" s="35">
        <f>'1kpi_performance'!K413</f>
        <v>2.783681761</v>
      </c>
      <c r="AV413" s="35">
        <f>'1kpi_performance'!L413</f>
        <v>1.140556091</v>
      </c>
      <c r="AW413" s="35">
        <f>'1kpi_performance'!M413</f>
        <v>-0.1323544951</v>
      </c>
      <c r="AX413" s="42">
        <f>'1kpi_performance'!N413</f>
        <v>0.3227019907</v>
      </c>
      <c r="AY413" s="42">
        <f>'1kpi_performance'!O413</f>
        <v>0.2098356601</v>
      </c>
      <c r="AZ413" s="42">
        <f>'1kpi_performance'!P413</f>
        <v>0.7434210526</v>
      </c>
      <c r="BA413" s="42">
        <f>'1kpi_performance'!Q413</f>
        <v>0.9251619093</v>
      </c>
      <c r="BB413" s="35">
        <f>'1kpi_performance'!R413</f>
        <v>5.220319741</v>
      </c>
      <c r="BC413" s="35">
        <f>'1kpi_performance'!S413</f>
        <v>6.591494025</v>
      </c>
      <c r="BD413" s="35">
        <f>'1kpi_performance'!T413</f>
        <v>2.075777164</v>
      </c>
      <c r="BE413" s="35">
        <f>'1kpi_performance'!U413</f>
        <v>-0.2564608719</v>
      </c>
      <c r="BF413" s="47"/>
      <c r="BG413" s="47"/>
      <c r="BH413" s="47"/>
      <c r="BI413" s="47"/>
      <c r="BJ413" s="47"/>
      <c r="BK413" s="47"/>
      <c r="BL413" s="47"/>
      <c r="BM413" s="47"/>
      <c r="BN413" s="47"/>
      <c r="BO413" s="47"/>
      <c r="BP413" s="47"/>
      <c r="BQ413" s="47"/>
      <c r="BR413" s="47"/>
      <c r="BS413" s="47"/>
      <c r="BT413" s="47"/>
    </row>
    <row r="414" ht="11.25" customHeight="1">
      <c r="A414" s="35" t="str">
        <f>'13all_company_profile'!A414</f>
        <v>MRVL</v>
      </c>
      <c r="B414" s="35" t="str">
        <f>'13all_company_profile'!B414</f>
        <v>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v>
      </c>
      <c r="C414" s="44" t="str">
        <f>'13all_company_profile'!C414</f>
        <v>https://financialmodelingprep.com/image-stock/MRVL.png</v>
      </c>
      <c r="D414" s="35" t="str">
        <f>'13all_company_profile'!D414</f>
        <v>Marvell Technology, Inc.</v>
      </c>
      <c r="E414" s="36">
        <f>'13all_company_profile'!E414</f>
        <v>45646151680</v>
      </c>
      <c r="F414" s="37">
        <f>'13all_company_profile'!F414</f>
        <v>8348788</v>
      </c>
      <c r="G414" s="35">
        <f>'13all_company_profile'!G414</f>
        <v>0.24</v>
      </c>
      <c r="H414" s="38" t="str">
        <f>'13all_company_profile'!H414</f>
        <v>not avaiable</v>
      </c>
      <c r="I414" s="35" t="str">
        <f>'13all_company_profile'!I414</f>
        <v>NaN</v>
      </c>
      <c r="J414" s="35">
        <f>'13all_company_profile'!J414</f>
        <v>-0.373</v>
      </c>
      <c r="K414" s="42">
        <f t="shared" si="1"/>
        <v>0.004243281471</v>
      </c>
      <c r="L414" s="35">
        <f>'7company_info'!B414</f>
        <v>56.56</v>
      </c>
      <c r="M414" s="35">
        <f>'7company_info'!C414</f>
        <v>57.03</v>
      </c>
      <c r="N414" s="35">
        <f>'7company_info'!D414</f>
        <v>54.45</v>
      </c>
      <c r="O414" s="35">
        <f>'7company_info'!E414</f>
        <v>1.76</v>
      </c>
      <c r="P414" s="35">
        <f>'7company_info'!F414</f>
        <v>0.0321</v>
      </c>
      <c r="Q414" s="35">
        <f>'7company_info'!G414</f>
        <v>54.85</v>
      </c>
      <c r="R414" s="35">
        <f>'7company_info'!H414</f>
        <v>54.8</v>
      </c>
      <c r="S414" s="35">
        <f>'7company_info'!I414</f>
        <v>32.53</v>
      </c>
      <c r="T414" s="35">
        <f>'7company_info'!J414</f>
        <v>58.95</v>
      </c>
      <c r="U414" s="39">
        <v>56.5</v>
      </c>
      <c r="V414" s="39">
        <v>57.09</v>
      </c>
      <c r="W414" s="40">
        <v>58.17</v>
      </c>
      <c r="X414" s="40">
        <v>59.84</v>
      </c>
      <c r="Y414" s="40">
        <v>55.42</v>
      </c>
      <c r="Z414" s="40">
        <v>54.83</v>
      </c>
      <c r="AA414" s="40">
        <v>53.16</v>
      </c>
      <c r="AB414" s="40">
        <v>55.0</v>
      </c>
      <c r="AC414" s="40">
        <v>57.99</v>
      </c>
      <c r="AD414" s="40">
        <v>55.5927253069607</v>
      </c>
      <c r="AE414" s="40">
        <v>54.1355</v>
      </c>
      <c r="AF414" s="40">
        <v>1.36175</v>
      </c>
      <c r="AG414" s="40">
        <v>58.95</v>
      </c>
      <c r="AH414" s="45">
        <v>44376.0</v>
      </c>
      <c r="AI414" s="44" t="str">
        <f>'6image_RS_benchmark_performance'!B414</f>
        <v>https://3arbzfbsh-cname-us.ngrok.io/Desktop/seabridge%20fintech/image_app/MRVL_resistance_support.jpg</v>
      </c>
      <c r="AJ414" s="44" t="str">
        <f>'6image_RS_benchmark_performance'!C414</f>
        <v>https://3arbzfbsh-cname-us.ngrok.io/Desktop/seabridge%20fintech/profit_graph_app/MRVL_Return.jpg</v>
      </c>
      <c r="AK414" s="46" t="str">
        <f>'5price_action_icon'!B414</f>
        <v>https://3arbzfbsh-cname-us.ngrok.io/Desktop/seabridge%20fintech/icon/MRVL_pa_trend_signal</v>
      </c>
      <c r="AL414" s="42">
        <f>'1kpi_performance'!B414</f>
        <v>0.6132974101</v>
      </c>
      <c r="AM414" s="42">
        <f>'1kpi_performance'!C414</f>
        <v>1.026097221</v>
      </c>
      <c r="AN414" s="42">
        <f>'1kpi_performance'!D414</f>
        <v>0.6466581054</v>
      </c>
      <c r="AO414" s="42">
        <f>'1kpi_performance'!E414</f>
        <v>0.1365673202</v>
      </c>
      <c r="AP414" s="42">
        <f>'1kpi_performance'!F414</f>
        <v>0.3155491547</v>
      </c>
      <c r="AQ414" s="42">
        <f>'1kpi_performance'!G414</f>
        <v>0.2988112943</v>
      </c>
      <c r="AR414" s="42">
        <f>'1kpi_performance'!H414</f>
        <v>0.3371292975</v>
      </c>
      <c r="AS414" s="42">
        <f>'1kpi_performance'!I414</f>
        <v>0.4508369418</v>
      </c>
      <c r="AT414" s="35">
        <f>'1kpi_performance'!J414</f>
        <v>1.864360596</v>
      </c>
      <c r="AU414" s="35">
        <f>'1kpi_performance'!K414</f>
        <v>3.35026567</v>
      </c>
      <c r="AV414" s="35">
        <f>'1kpi_performance'!L414</f>
        <v>1.843975323</v>
      </c>
      <c r="AW414" s="35">
        <f>'1kpi_performance'!M414</f>
        <v>0.2474671213</v>
      </c>
      <c r="AX414" s="42">
        <f>'1kpi_performance'!N414</f>
        <v>0.2373159355</v>
      </c>
      <c r="AY414" s="42">
        <f>'1kpi_performance'!O414</f>
        <v>0.1106709727</v>
      </c>
      <c r="AZ414" s="42">
        <f>'1kpi_performance'!P414</f>
        <v>0.4342147436</v>
      </c>
      <c r="BA414" s="42">
        <f>'1kpi_performance'!Q414</f>
        <v>0.6837909655</v>
      </c>
      <c r="BB414" s="35">
        <f>'1kpi_performance'!R414</f>
        <v>3.938764059</v>
      </c>
      <c r="BC414" s="35">
        <f>'1kpi_performance'!S414</f>
        <v>8.394860468</v>
      </c>
      <c r="BD414" s="35">
        <f>'1kpi_performance'!T414</f>
        <v>3.657410942</v>
      </c>
      <c r="BE414" s="35">
        <f>'1kpi_performance'!U414</f>
        <v>0.4917107762</v>
      </c>
      <c r="BF414" s="47"/>
      <c r="BG414" s="47"/>
      <c r="BH414" s="47"/>
      <c r="BI414" s="47"/>
      <c r="BJ414" s="47"/>
      <c r="BK414" s="47"/>
      <c r="BL414" s="47"/>
      <c r="BM414" s="47"/>
      <c r="BN414" s="47"/>
      <c r="BO414" s="47"/>
      <c r="BP414" s="47"/>
      <c r="BQ414" s="47"/>
      <c r="BR414" s="47"/>
      <c r="BS414" s="47"/>
      <c r="BT414" s="47"/>
    </row>
    <row r="415" ht="11.25" customHeight="1">
      <c r="A415" s="35" t="str">
        <f>'13all_company_profile'!A415</f>
        <v>MS</v>
      </c>
      <c r="B415" s="35" t="str">
        <f>'13all_company_profile'!B415</f>
        <v>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v>
      </c>
      <c r="C415" s="44" t="str">
        <f>'13all_company_profile'!C415</f>
        <v>https://financialmodelingprep.com/image-stock/MS.png</v>
      </c>
      <c r="D415" s="35" t="str">
        <f>'13all_company_profile'!D415</f>
        <v>Morgan Stanley</v>
      </c>
      <c r="E415" s="36">
        <f>'13all_company_profile'!E415</f>
        <v>172346441728</v>
      </c>
      <c r="F415" s="37">
        <f>'13all_company_profile'!F415</f>
        <v>9852115</v>
      </c>
      <c r="G415" s="35">
        <f>'13all_company_profile'!G415</f>
        <v>1.4</v>
      </c>
      <c r="H415" s="38" t="str">
        <f>'13all_company_profile'!H415</f>
        <v>not avaiable</v>
      </c>
      <c r="I415" s="35">
        <f>'13all_company_profile'!I415</f>
        <v>12.101669</v>
      </c>
      <c r="J415" s="35">
        <f>'13all_company_profile'!J415</f>
        <v>7.544</v>
      </c>
      <c r="K415" s="42">
        <f t="shared" si="1"/>
        <v>0.01516464471</v>
      </c>
      <c r="L415" s="35">
        <f>'7company_info'!B415</f>
        <v>92.32</v>
      </c>
      <c r="M415" s="35">
        <f>'7company_info'!C415</f>
        <v>93.6</v>
      </c>
      <c r="N415" s="35">
        <f>'7company_info'!D415</f>
        <v>89</v>
      </c>
      <c r="O415" s="35">
        <f>'7company_info'!E415</f>
        <v>2.97</v>
      </c>
      <c r="P415" s="35">
        <f>'7company_info'!F415</f>
        <v>0.0332</v>
      </c>
      <c r="Q415" s="35">
        <f>'7company_info'!G415</f>
        <v>89.14</v>
      </c>
      <c r="R415" s="35">
        <f>'7company_info'!H415</f>
        <v>89.35</v>
      </c>
      <c r="S415" s="35">
        <f>'7company_info'!I415</f>
        <v>45.86</v>
      </c>
      <c r="T415" s="35">
        <f>'7company_info'!J415</f>
        <v>94.27</v>
      </c>
      <c r="U415" s="39">
        <v>92.5766666666666</v>
      </c>
      <c r="V415" s="39">
        <v>93.7133333333333</v>
      </c>
      <c r="W415" s="40">
        <v>94.9666666666666</v>
      </c>
      <c r="X415" s="40">
        <v>97.3566666666666</v>
      </c>
      <c r="Y415" s="40">
        <v>91.3233333333333</v>
      </c>
      <c r="Z415" s="40">
        <v>90.1866666666666</v>
      </c>
      <c r="AA415" s="40">
        <v>87.7966666666666</v>
      </c>
      <c r="AB415" s="40">
        <v>91.0473</v>
      </c>
      <c r="AC415" s="40">
        <v>92.23</v>
      </c>
      <c r="AD415" s="40">
        <v>90.2992247481198</v>
      </c>
      <c r="AE415" s="40">
        <v>88.6638299999999</v>
      </c>
      <c r="AF415" s="40">
        <v>2.327585</v>
      </c>
      <c r="AG415" s="40">
        <v>94.27</v>
      </c>
      <c r="AH415" s="45">
        <v>44354.0</v>
      </c>
      <c r="AI415" s="44" t="str">
        <f>'6image_RS_benchmark_performance'!B415</f>
        <v>https://3arbzfbsh-cname-us.ngrok.io/Desktop/seabridge%20fintech/image_app/MS_resistance_support.jpg</v>
      </c>
      <c r="AJ415" s="44" t="str">
        <f>'6image_RS_benchmark_performance'!C415</f>
        <v>https://3arbzfbsh-cname-us.ngrok.io/Desktop/seabridge%20fintech/profit_graph_app/MS_Return.jpg</v>
      </c>
      <c r="AK415" s="46" t="str">
        <f>'5price_action_icon'!B415</f>
        <v>https://3arbzfbsh-cname-us.ngrok.io/Desktop/seabridge%20fintech/icon/MS_pa_trend_signal</v>
      </c>
      <c r="AL415" s="42">
        <f>'1kpi_performance'!B415</f>
        <v>0.6973548557</v>
      </c>
      <c r="AM415" s="42">
        <f>'1kpi_performance'!C415</f>
        <v>0.9851926116</v>
      </c>
      <c r="AN415" s="42">
        <f>'1kpi_performance'!D415</f>
        <v>0.6501653793</v>
      </c>
      <c r="AO415" s="42">
        <f>'1kpi_performance'!E415</f>
        <v>0.1537656499</v>
      </c>
      <c r="AP415" s="42">
        <f>'1kpi_performance'!F415</f>
        <v>0.2995492443</v>
      </c>
      <c r="AQ415" s="42">
        <f>'1kpi_performance'!G415</f>
        <v>0.2726032659</v>
      </c>
      <c r="AR415" s="42">
        <f>'1kpi_performance'!H415</f>
        <v>0.2918255654</v>
      </c>
      <c r="AS415" s="42">
        <f>'1kpi_performance'!I415</f>
        <v>0.424764142</v>
      </c>
      <c r="AT415" s="35">
        <f>'1kpi_performance'!J415</f>
        <v>2.244555339</v>
      </c>
      <c r="AU415" s="35">
        <f>'1kpi_performance'!K415</f>
        <v>3.522307807</v>
      </c>
      <c r="AV415" s="35">
        <f>'1kpi_performance'!L415</f>
        <v>2.142257065</v>
      </c>
      <c r="AW415" s="35">
        <f>'1kpi_performance'!M415</f>
        <v>0.3031462339</v>
      </c>
      <c r="AX415" s="42">
        <f>'1kpi_performance'!N415</f>
        <v>0.3423848125</v>
      </c>
      <c r="AY415" s="42">
        <f>'1kpi_performance'!O415</f>
        <v>0.1482741358</v>
      </c>
      <c r="AZ415" s="42">
        <f>'1kpi_performance'!P415</f>
        <v>0.3379864402</v>
      </c>
      <c r="BA415" s="42">
        <f>'1kpi_performance'!Q415</f>
        <v>0.6130244208</v>
      </c>
      <c r="BB415" s="35">
        <f>'1kpi_performance'!R415</f>
        <v>4.917981327</v>
      </c>
      <c r="BC415" s="35">
        <f>'1kpi_performance'!S415</f>
        <v>8.320237361</v>
      </c>
      <c r="BD415" s="35">
        <f>'1kpi_performance'!T415</f>
        <v>4.387256641</v>
      </c>
      <c r="BE415" s="35">
        <f>'1kpi_performance'!U415</f>
        <v>0.6023943329</v>
      </c>
      <c r="BF415" s="47"/>
      <c r="BG415" s="47"/>
      <c r="BH415" s="47"/>
      <c r="BI415" s="47"/>
      <c r="BJ415" s="47"/>
      <c r="BK415" s="47"/>
      <c r="BL415" s="47"/>
      <c r="BM415" s="47"/>
      <c r="BN415" s="47"/>
      <c r="BO415" s="47"/>
      <c r="BP415" s="47"/>
      <c r="BQ415" s="47"/>
      <c r="BR415" s="47"/>
      <c r="BS415" s="47"/>
      <c r="BT415" s="47"/>
    </row>
    <row r="416" ht="11.25" customHeight="1">
      <c r="A416" s="35" t="str">
        <f>'13all_company_profile'!A416</f>
        <v>MSCI</v>
      </c>
      <c r="B416" s="35" t="str">
        <f>'13all_company_profile'!B416</f>
        <v>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v>
      </c>
      <c r="C416" s="44" t="str">
        <f>'13all_company_profile'!C416</f>
        <v>https://financialmodelingprep.com/image-stock/MSCI.png</v>
      </c>
      <c r="D416" s="35" t="str">
        <f>'13all_company_profile'!D416</f>
        <v>MSCI Inc.</v>
      </c>
      <c r="E416" s="36">
        <f>'13all_company_profile'!E416</f>
        <v>46085775360</v>
      </c>
      <c r="F416" s="37">
        <f>'13all_company_profile'!F416</f>
        <v>343273</v>
      </c>
      <c r="G416" s="35">
        <f>'13all_company_profile'!G416</f>
        <v>3.12</v>
      </c>
      <c r="H416" s="38">
        <f>'13all_company_profile'!H416</f>
        <v>44403</v>
      </c>
      <c r="I416" s="35">
        <f>'13all_company_profile'!I416</f>
        <v>73.09604</v>
      </c>
      <c r="J416" s="35">
        <f>'13all_company_profile'!J416</f>
        <v>7.747</v>
      </c>
      <c r="K416" s="42">
        <f t="shared" si="1"/>
        <v>0.005536135706</v>
      </c>
      <c r="L416" s="35">
        <f>'7company_info'!B416</f>
        <v>563.57</v>
      </c>
      <c r="M416" s="35">
        <f>'7company_info'!C416</f>
        <v>567.25</v>
      </c>
      <c r="N416" s="35">
        <f>'7company_info'!D416</f>
        <v>556.81</v>
      </c>
      <c r="O416" s="35">
        <f>'7company_info'!E416</f>
        <v>6.73</v>
      </c>
      <c r="P416" s="35">
        <f>'7company_info'!F416</f>
        <v>0.0121</v>
      </c>
      <c r="Q416" s="35">
        <f>'7company_info'!G416</f>
        <v>559.61</v>
      </c>
      <c r="R416" s="35">
        <f>'7company_info'!H416</f>
        <v>556.84</v>
      </c>
      <c r="S416" s="35">
        <f>'7company_info'!I416</f>
        <v>336.03</v>
      </c>
      <c r="T416" s="35">
        <f>'7company_info'!J416</f>
        <v>571.95</v>
      </c>
      <c r="U416" s="39">
        <v>555.626666666666</v>
      </c>
      <c r="V416" s="39">
        <v>559.353333333333</v>
      </c>
      <c r="W416" s="40">
        <v>563.516666666666</v>
      </c>
      <c r="X416" s="40">
        <v>571.406666666666</v>
      </c>
      <c r="Y416" s="40">
        <v>551.463333333333</v>
      </c>
      <c r="Z416" s="40">
        <v>547.736666666666</v>
      </c>
      <c r="AA416" s="40">
        <v>539.846666666666</v>
      </c>
      <c r="AB416" s="40">
        <v>541.39</v>
      </c>
      <c r="AC416" s="40">
        <v>567.01</v>
      </c>
      <c r="AD416" s="40">
        <v>533.672918158196</v>
      </c>
      <c r="AE416" s="40">
        <v>537.7105</v>
      </c>
      <c r="AF416" s="40">
        <v>9.732</v>
      </c>
      <c r="AG416" s="40">
        <v>495.16</v>
      </c>
      <c r="AH416" s="45">
        <v>44315.0</v>
      </c>
      <c r="AI416" s="44" t="str">
        <f>'6image_RS_benchmark_performance'!B416</f>
        <v>https://3arbzfbsh-cname-us.ngrok.io/Desktop/seabridge%20fintech/image_app/MSCI_resistance_support.jpg</v>
      </c>
      <c r="AJ416" s="44" t="str">
        <f>'6image_RS_benchmark_performance'!C416</f>
        <v>https://3arbzfbsh-cname-us.ngrok.io/Desktop/seabridge%20fintech/profit_graph_app/MSCI_Return.jpg</v>
      </c>
      <c r="AK416" s="46" t="str">
        <f>'5price_action_icon'!B416</f>
        <v>https://3arbzfbsh-cname-us.ngrok.io/Desktop/seabridge%20fintech/icon/MSCI_pa_trend_signal</v>
      </c>
      <c r="AL416" s="42">
        <f>'1kpi_performance'!B416</f>
        <v>0.7549404852</v>
      </c>
      <c r="AM416" s="42">
        <f>'1kpi_performance'!C416</f>
        <v>0.8404219724</v>
      </c>
      <c r="AN416" s="42">
        <f>'1kpi_performance'!D416</f>
        <v>0.6681897488</v>
      </c>
      <c r="AO416" s="42">
        <f>'1kpi_performance'!E416</f>
        <v>0.4322702451</v>
      </c>
      <c r="AP416" s="42">
        <f>'1kpi_performance'!F416</f>
        <v>0.2345186443</v>
      </c>
      <c r="AQ416" s="42">
        <f>'1kpi_performance'!G416</f>
        <v>0.2488439252</v>
      </c>
      <c r="AR416" s="42">
        <f>'1kpi_performance'!H416</f>
        <v>0.2879738658</v>
      </c>
      <c r="AS416" s="42">
        <f>'1kpi_performance'!I416</f>
        <v>0.3546767377</v>
      </c>
      <c r="AT416" s="35">
        <f>'1kpi_performance'!J416</f>
        <v>3.112505137</v>
      </c>
      <c r="AU416" s="35">
        <f>'1kpi_performance'!K416</f>
        <v>3.276840983</v>
      </c>
      <c r="AV416" s="35">
        <f>'1kpi_performance'!L416</f>
        <v>2.233500415</v>
      </c>
      <c r="AW416" s="35">
        <f>'1kpi_performance'!M416</f>
        <v>1.148285754</v>
      </c>
      <c r="AX416" s="42">
        <f>'1kpi_performance'!N416</f>
        <v>0.1404577152</v>
      </c>
      <c r="AY416" s="42">
        <f>'1kpi_performance'!O416</f>
        <v>0.1305575159</v>
      </c>
      <c r="AZ416" s="42">
        <f>'1kpi_performance'!P416</f>
        <v>0.2945960373</v>
      </c>
      <c r="BA416" s="42">
        <f>'1kpi_performance'!Q416</f>
        <v>0.3605697151</v>
      </c>
      <c r="BB416" s="35">
        <f>'1kpi_performance'!R416</f>
        <v>6.721609921</v>
      </c>
      <c r="BC416" s="35">
        <f>'1kpi_performance'!S416</f>
        <v>7.133975657</v>
      </c>
      <c r="BD416" s="35">
        <f>'1kpi_performance'!T416</f>
        <v>4.103498855</v>
      </c>
      <c r="BE416" s="35">
        <f>'1kpi_performance'!U416</f>
        <v>2.197288752</v>
      </c>
      <c r="BF416" s="47"/>
      <c r="BG416" s="47"/>
      <c r="BH416" s="47"/>
      <c r="BI416" s="47"/>
      <c r="BJ416" s="47"/>
      <c r="BK416" s="47"/>
      <c r="BL416" s="47"/>
      <c r="BM416" s="47"/>
      <c r="BN416" s="47"/>
      <c r="BO416" s="47"/>
      <c r="BP416" s="47"/>
      <c r="BQ416" s="47"/>
      <c r="BR416" s="47"/>
      <c r="BS416" s="47"/>
      <c r="BT416" s="47"/>
    </row>
    <row r="417" ht="11.25" customHeight="1">
      <c r="A417" s="35" t="str">
        <f>'13all_company_profile'!A417</f>
        <v>MSFT</v>
      </c>
      <c r="B417" s="35" t="str">
        <f>'13all_company_profile'!B417</f>
        <v>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v>
      </c>
      <c r="C417" s="44" t="str">
        <f>'13all_company_profile'!C417</f>
        <v>https://financialmodelingprep.com/image-stock/MSFT.png</v>
      </c>
      <c r="D417" s="35" t="str">
        <f>'13all_company_profile'!D417</f>
        <v>Microsoft Corporation</v>
      </c>
      <c r="E417" s="36">
        <f>'13all_company_profile'!E417</f>
        <v>2116597186560</v>
      </c>
      <c r="F417" s="37">
        <f>'13all_company_profile'!F417</f>
        <v>24636503</v>
      </c>
      <c r="G417" s="35">
        <f>'13all_company_profile'!G417</f>
        <v>2.19</v>
      </c>
      <c r="H417" s="38">
        <f>'13all_company_profile'!H417</f>
        <v>44404</v>
      </c>
      <c r="I417" s="35">
        <f>'13all_company_profile'!I417</f>
        <v>38.33061</v>
      </c>
      <c r="J417" s="35">
        <f>'13all_company_profile'!J417</f>
        <v>7.338</v>
      </c>
      <c r="K417" s="42">
        <f t="shared" si="1"/>
        <v>0.007840469712</v>
      </c>
      <c r="L417" s="35">
        <f>'7company_info'!B417</f>
        <v>279.32</v>
      </c>
      <c r="M417" s="35">
        <f>'7company_info'!C417</f>
        <v>280.97</v>
      </c>
      <c r="N417" s="35">
        <f>'7company_info'!D417</f>
        <v>276.26</v>
      </c>
      <c r="O417" s="35">
        <f>'7company_info'!E417</f>
        <v>2.31</v>
      </c>
      <c r="P417" s="35">
        <f>'7company_info'!F417</f>
        <v>0.0083</v>
      </c>
      <c r="Q417" s="35">
        <f>'7company_info'!G417</f>
        <v>278.03</v>
      </c>
      <c r="R417" s="35">
        <f>'7company_info'!H417</f>
        <v>277.01</v>
      </c>
      <c r="S417" s="35">
        <f>'7company_info'!I417</f>
        <v>196.25</v>
      </c>
      <c r="T417" s="35">
        <f>'7company_info'!J417</f>
        <v>284.1</v>
      </c>
      <c r="U417" s="39">
        <v>282.24</v>
      </c>
      <c r="V417" s="39">
        <v>283.93</v>
      </c>
      <c r="W417" s="40">
        <v>285.35</v>
      </c>
      <c r="X417" s="40">
        <v>288.46</v>
      </c>
      <c r="Y417" s="40">
        <v>280.82</v>
      </c>
      <c r="Z417" s="40">
        <v>279.13</v>
      </c>
      <c r="AA417" s="40">
        <v>276.02</v>
      </c>
      <c r="AB417" s="40">
        <v>272.5</v>
      </c>
      <c r="AC417" s="40">
        <v>283.66</v>
      </c>
      <c r="AD417" s="40">
        <v>271.292376680205</v>
      </c>
      <c r="AE417" s="40">
        <v>273.24773</v>
      </c>
      <c r="AF417" s="40">
        <v>3.90613499999999</v>
      </c>
      <c r="AG417" s="40">
        <v>263.19</v>
      </c>
      <c r="AH417" s="45">
        <v>44313.0</v>
      </c>
      <c r="AI417" s="44" t="str">
        <f>'6image_RS_benchmark_performance'!B417</f>
        <v>https://3arbzfbsh-cname-us.ngrok.io/Desktop/seabridge%20fintech/image_app/MSFT_resistance_support.jpg</v>
      </c>
      <c r="AJ417" s="44" t="str">
        <f>'6image_RS_benchmark_performance'!C417</f>
        <v>https://3arbzfbsh-cname-us.ngrok.io/Desktop/seabridge%20fintech/profit_graph_app/MSFT_Return.jpg</v>
      </c>
      <c r="AK417" s="46" t="str">
        <f>'5price_action_icon'!B417</f>
        <v>https://3arbzfbsh-cname-us.ngrok.io/Desktop/seabridge%20fintech/icon/MSFT_pa_trend_signal</v>
      </c>
      <c r="AL417" s="42">
        <f>'1kpi_performance'!B417</f>
        <v>0.5135459357</v>
      </c>
      <c r="AM417" s="42">
        <f>'1kpi_performance'!C417</f>
        <v>0.7193106267</v>
      </c>
      <c r="AN417" s="42">
        <f>'1kpi_performance'!D417</f>
        <v>0.4378189625</v>
      </c>
      <c r="AO417" s="42">
        <f>'1kpi_performance'!E417</f>
        <v>0.3223358906</v>
      </c>
      <c r="AP417" s="42">
        <f>'1kpi_performance'!F417</f>
        <v>0.1954044478</v>
      </c>
      <c r="AQ417" s="42">
        <f>'1kpi_performance'!G417</f>
        <v>0.2080398261</v>
      </c>
      <c r="AR417" s="42">
        <f>'1kpi_performance'!H417</f>
        <v>0.179263416</v>
      </c>
      <c r="AS417" s="42">
        <f>'1kpi_performance'!I417</f>
        <v>0.3022730877</v>
      </c>
      <c r="AT417" s="35">
        <f>'1kpi_performance'!J417</f>
        <v>2.500178174</v>
      </c>
      <c r="AU417" s="35">
        <f>'1kpi_performance'!K417</f>
        <v>3.337392844</v>
      </c>
      <c r="AV417" s="35">
        <f>'1kpi_performance'!L417</f>
        <v>2.302862301</v>
      </c>
      <c r="AW417" s="35">
        <f>'1kpi_performance'!M417</f>
        <v>0.9836664351</v>
      </c>
      <c r="AX417" s="42">
        <f>'1kpi_performance'!N417</f>
        <v>0.1023021583</v>
      </c>
      <c r="AY417" s="42">
        <f>'1kpi_performance'!O417</f>
        <v>0.06572295248</v>
      </c>
      <c r="AZ417" s="42">
        <f>'1kpi_performance'!P417</f>
        <v>0.1510821601</v>
      </c>
      <c r="BA417" s="42">
        <f>'1kpi_performance'!Q417</f>
        <v>0.2823529412</v>
      </c>
      <c r="BB417" s="35">
        <f>'1kpi_performance'!R417</f>
        <v>5.514527013</v>
      </c>
      <c r="BC417" s="35">
        <f>'1kpi_performance'!S417</f>
        <v>7.879949703</v>
      </c>
      <c r="BD417" s="35">
        <f>'1kpi_performance'!T417</f>
        <v>5.035443046</v>
      </c>
      <c r="BE417" s="35">
        <f>'1kpi_performance'!U417</f>
        <v>1.962472589</v>
      </c>
      <c r="BF417" s="47"/>
      <c r="BG417" s="47"/>
      <c r="BH417" s="47"/>
      <c r="BI417" s="47"/>
      <c r="BJ417" s="47"/>
      <c r="BK417" s="47"/>
      <c r="BL417" s="47"/>
      <c r="BM417" s="47"/>
      <c r="BN417" s="47"/>
      <c r="BO417" s="47"/>
      <c r="BP417" s="47"/>
      <c r="BQ417" s="47"/>
      <c r="BR417" s="47"/>
      <c r="BS417" s="47"/>
      <c r="BT417" s="47"/>
    </row>
    <row r="418" ht="11.25" customHeight="1">
      <c r="A418" s="35" t="str">
        <f>'13all_company_profile'!A418</f>
        <v>MSI</v>
      </c>
      <c r="B418" s="35" t="str">
        <f>'13all_company_profile'!B418</f>
        <v>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v>
      </c>
      <c r="C418" s="44" t="str">
        <f>'13all_company_profile'!C418</f>
        <v>https://financialmodelingprep.com/image-stock/MSI.png</v>
      </c>
      <c r="D418" s="35" t="str">
        <f>'13all_company_profile'!D418</f>
        <v>Motorola Solutions, Inc.</v>
      </c>
      <c r="E418" s="36">
        <f>'13all_company_profile'!E418</f>
        <v>37751128064</v>
      </c>
      <c r="F418" s="37">
        <f>'13all_company_profile'!F418</f>
        <v>665374</v>
      </c>
      <c r="G418" s="35">
        <f>'13all_company_profile'!G418</f>
        <v>2.77</v>
      </c>
      <c r="H418" s="38">
        <f>'13all_company_profile'!H418</f>
        <v>44412</v>
      </c>
      <c r="I418" s="35">
        <f>'13all_company_profile'!I418</f>
        <v>38.34233</v>
      </c>
      <c r="J418" s="35">
        <f>'13all_company_profile'!J418</f>
        <v>5.743</v>
      </c>
      <c r="K418" s="42">
        <f t="shared" si="1"/>
        <v>0.01267270565</v>
      </c>
      <c r="L418" s="35">
        <f>'7company_info'!B418</f>
        <v>218.58</v>
      </c>
      <c r="M418" s="35">
        <f>'7company_info'!C418</f>
        <v>219.54</v>
      </c>
      <c r="N418" s="35">
        <f>'7company_info'!D418</f>
        <v>217.08</v>
      </c>
      <c r="O418" s="35">
        <f>'7company_info'!E418</f>
        <v>1.98</v>
      </c>
      <c r="P418" s="35">
        <f>'7company_info'!F418</f>
        <v>0.0091</v>
      </c>
      <c r="Q418" s="35">
        <f>'7company_info'!G418</f>
        <v>217.82</v>
      </c>
      <c r="R418" s="35">
        <f>'7company_info'!H418</f>
        <v>216.6</v>
      </c>
      <c r="S418" s="35">
        <f>'7company_info'!I418</f>
        <v>134.72</v>
      </c>
      <c r="T418" s="35">
        <f>'7company_info'!J418</f>
        <v>225.01</v>
      </c>
      <c r="U418" s="39">
        <v>223.346666666666</v>
      </c>
      <c r="V418" s="39">
        <v>224.203333333333</v>
      </c>
      <c r="W418" s="40">
        <v>225.496666666666</v>
      </c>
      <c r="X418" s="40">
        <v>227.646666666666</v>
      </c>
      <c r="Y418" s="40">
        <v>222.053333333333</v>
      </c>
      <c r="Z418" s="40">
        <v>221.196666666666</v>
      </c>
      <c r="AA418" s="40">
        <v>219.046666666666</v>
      </c>
      <c r="AB418" s="40">
        <v>218.85</v>
      </c>
      <c r="AC418" s="40">
        <v>225.01</v>
      </c>
      <c r="AD418" s="40">
        <v>217.840111209691</v>
      </c>
      <c r="AE418" s="40">
        <v>216.25305</v>
      </c>
      <c r="AF418" s="40">
        <v>3.00497499999999</v>
      </c>
      <c r="AG418" s="40">
        <v>213.71</v>
      </c>
      <c r="AH418" s="45">
        <v>44358.0</v>
      </c>
      <c r="AI418" s="44" t="str">
        <f>'6image_RS_benchmark_performance'!B418</f>
        <v>https://3arbzfbsh-cname-us.ngrok.io/Desktop/seabridge%20fintech/image_app/MSI_resistance_support.jpg</v>
      </c>
      <c r="AJ418" s="44" t="str">
        <f>'6image_RS_benchmark_performance'!C418</f>
        <v>https://3arbzfbsh-cname-us.ngrok.io/Desktop/seabridge%20fintech/profit_graph_app/MSI_Return.jpg</v>
      </c>
      <c r="AK418" s="46" t="str">
        <f>'5price_action_icon'!B418</f>
        <v>https://3arbzfbsh-cname-us.ngrok.io/Desktop/seabridge%20fintech/icon/MSI_pa_trend_signal</v>
      </c>
      <c r="AL418" s="42">
        <f>'1kpi_performance'!B418</f>
        <v>0.5061560897</v>
      </c>
      <c r="AM418" s="42">
        <f>'1kpi_performance'!C418</f>
        <v>0.6772647167</v>
      </c>
      <c r="AN418" s="42">
        <f>'1kpi_performance'!D418</f>
        <v>0.5443590488</v>
      </c>
      <c r="AO418" s="42">
        <f>'1kpi_performance'!E418</f>
        <v>0.2829388344</v>
      </c>
      <c r="AP418" s="42">
        <f>'1kpi_performance'!F418</f>
        <v>0.2106037651</v>
      </c>
      <c r="AQ418" s="42">
        <f>'1kpi_performance'!G418</f>
        <v>0.2185503362</v>
      </c>
      <c r="AR418" s="42">
        <f>'1kpi_performance'!H418</f>
        <v>0.2247234103</v>
      </c>
      <c r="AS418" s="42">
        <f>'1kpi_performance'!I418</f>
        <v>0.3020819996</v>
      </c>
      <c r="AT418" s="35">
        <f>'1kpi_performance'!J418</f>
        <v>2.284650939</v>
      </c>
      <c r="AU418" s="35">
        <f>'1kpi_performance'!K418</f>
        <v>2.984505666</v>
      </c>
      <c r="AV418" s="35">
        <f>'1kpi_performance'!L418</f>
        <v>2.311103449</v>
      </c>
      <c r="AW418" s="35">
        <f>'1kpi_performance'!M418</f>
        <v>0.8538702561</v>
      </c>
      <c r="AX418" s="42">
        <f>'1kpi_performance'!N418</f>
        <v>0.1689109597</v>
      </c>
      <c r="AY418" s="42">
        <f>'1kpi_performance'!O418</f>
        <v>0.1689109597</v>
      </c>
      <c r="AZ418" s="42">
        <f>'1kpi_performance'!P418</f>
        <v>0.3171427005</v>
      </c>
      <c r="BA418" s="42">
        <f>'1kpi_performance'!Q418</f>
        <v>0.330754352</v>
      </c>
      <c r="BB418" s="35">
        <f>'1kpi_performance'!R418</f>
        <v>4.851464291</v>
      </c>
      <c r="BC418" s="35">
        <f>'1kpi_performance'!S418</f>
        <v>6.574256307</v>
      </c>
      <c r="BD418" s="35">
        <f>'1kpi_performance'!T418</f>
        <v>4.678762601</v>
      </c>
      <c r="BE418" s="35">
        <f>'1kpi_performance'!U418</f>
        <v>1.66066912</v>
      </c>
      <c r="BF418" s="47"/>
      <c r="BG418" s="47"/>
      <c r="BH418" s="47"/>
      <c r="BI418" s="47"/>
      <c r="BJ418" s="47"/>
      <c r="BK418" s="47"/>
      <c r="BL418" s="47"/>
      <c r="BM418" s="47"/>
      <c r="BN418" s="47"/>
      <c r="BO418" s="47"/>
      <c r="BP418" s="47"/>
      <c r="BQ418" s="47"/>
      <c r="BR418" s="47"/>
      <c r="BS418" s="47"/>
      <c r="BT418" s="47"/>
    </row>
    <row r="419" ht="11.25" customHeight="1">
      <c r="A419" s="35" t="str">
        <f>'13all_company_profile'!A419</f>
        <v>MTB</v>
      </c>
      <c r="B419" s="35" t="str">
        <f>'13all_company_profile'!B419</f>
        <v>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v>
      </c>
      <c r="C419" s="44" t="str">
        <f>'13all_company_profile'!C419</f>
        <v>https://financialmodelingprep.com/image-stock/MTB.png</v>
      </c>
      <c r="D419" s="35" t="str">
        <f>'13all_company_profile'!D419</f>
        <v>M&amp;T Bank Corporation</v>
      </c>
      <c r="E419" s="36">
        <f>'13all_company_profile'!E419</f>
        <v>18151792640</v>
      </c>
      <c r="F419" s="37">
        <f>'13all_company_profile'!F419</f>
        <v>875300</v>
      </c>
      <c r="G419" s="35">
        <f>'13all_company_profile'!G419</f>
        <v>4.4</v>
      </c>
      <c r="H419" s="38">
        <f>'13all_company_profile'!H419</f>
        <v>44398</v>
      </c>
      <c r="I419" s="35">
        <f>'13all_company_profile'!I419</f>
        <v>12.040663</v>
      </c>
      <c r="J419" s="35">
        <f>'13all_company_profile'!J419</f>
        <v>11.342</v>
      </c>
      <c r="K419" s="42">
        <f t="shared" si="1"/>
        <v>0.03258293839</v>
      </c>
      <c r="L419" s="35">
        <f>'7company_info'!B419</f>
        <v>135.04</v>
      </c>
      <c r="M419" s="35">
        <f>'7company_info'!C419</f>
        <v>137.18</v>
      </c>
      <c r="N419" s="35">
        <f>'7company_info'!D419</f>
        <v>130.33</v>
      </c>
      <c r="O419" s="35">
        <f>'7company_info'!E419</f>
        <v>3.84</v>
      </c>
      <c r="P419" s="35">
        <f>'7company_info'!F419</f>
        <v>0.0293</v>
      </c>
      <c r="Q419" s="35">
        <f>'7company_info'!G419</f>
        <v>130.64</v>
      </c>
      <c r="R419" s="35">
        <f>'7company_info'!H419</f>
        <v>131.2</v>
      </c>
      <c r="S419" s="35">
        <f>'7company_info'!I419</f>
        <v>88.48</v>
      </c>
      <c r="T419" s="35">
        <f>'7company_info'!J419</f>
        <v>168.27</v>
      </c>
      <c r="U419" s="39">
        <v>140.296666666666</v>
      </c>
      <c r="V419" s="39">
        <v>142.683333333333</v>
      </c>
      <c r="W419" s="40">
        <v>145.316666666666</v>
      </c>
      <c r="X419" s="40">
        <v>150.336666666666</v>
      </c>
      <c r="Y419" s="40">
        <v>137.663333333333</v>
      </c>
      <c r="Z419" s="40">
        <v>135.276666666666</v>
      </c>
      <c r="AA419" s="40">
        <v>130.256666666666</v>
      </c>
      <c r="AB419" s="40">
        <v>137.91</v>
      </c>
      <c r="AC419" s="40">
        <v>143.09</v>
      </c>
      <c r="AD419" s="40">
        <v>145.893157718122</v>
      </c>
      <c r="AE419" s="40">
        <v>132.93764</v>
      </c>
      <c r="AF419" s="40">
        <v>4.17868</v>
      </c>
      <c r="AG419" s="40">
        <v>168.27</v>
      </c>
      <c r="AH419" s="45">
        <v>44334.0</v>
      </c>
      <c r="AI419" s="44" t="str">
        <f>'6image_RS_benchmark_performance'!B419</f>
        <v>https://3arbzfbsh-cname-us.ngrok.io/Desktop/seabridge%20fintech/image_app/MTB_resistance_support.jpg</v>
      </c>
      <c r="AJ419" s="44" t="str">
        <f>'6image_RS_benchmark_performance'!C419</f>
        <v>https://3arbzfbsh-cname-us.ngrok.io/Desktop/seabridge%20fintech/profit_graph_app/MTB_Return.jpg</v>
      </c>
      <c r="AK419" s="46" t="str">
        <f>'5price_action_icon'!B419</f>
        <v>https://3arbzfbsh-cname-us.ngrok.io/Desktop/seabridge%20fintech/icon/MTB_pa_trend_signal</v>
      </c>
      <c r="AL419" s="42">
        <f>'1kpi_performance'!B419</f>
        <v>0.5111033867</v>
      </c>
      <c r="AM419" s="42">
        <f>'1kpi_performance'!C419</f>
        <v>0.5842427167</v>
      </c>
      <c r="AN419" s="42">
        <f>'1kpi_performance'!D419</f>
        <v>0.5235369793</v>
      </c>
      <c r="AO419" s="42">
        <f>'1kpi_performance'!E419</f>
        <v>0.07464932291</v>
      </c>
      <c r="AP419" s="42">
        <f>'1kpi_performance'!F419</f>
        <v>0.2535424082</v>
      </c>
      <c r="AQ419" s="42">
        <f>'1kpi_performance'!G419</f>
        <v>0.2377112427</v>
      </c>
      <c r="AR419" s="42">
        <f>'1kpi_performance'!H419</f>
        <v>0.2131502665</v>
      </c>
      <c r="AS419" s="42">
        <f>'1kpi_performance'!I419</f>
        <v>0.353505462</v>
      </c>
      <c r="AT419" s="35">
        <f>'1kpi_performance'!J419</f>
        <v>1.917246863</v>
      </c>
      <c r="AU419" s="35">
        <f>'1kpi_performance'!K419</f>
        <v>2.35261366</v>
      </c>
      <c r="AV419" s="35">
        <f>'1kpi_performance'!L419</f>
        <v>2.338899161</v>
      </c>
      <c r="AW419" s="35">
        <f>'1kpi_performance'!M419</f>
        <v>0.1404485312</v>
      </c>
      <c r="AX419" s="42">
        <f>'1kpi_performance'!N419</f>
        <v>0.1719808509</v>
      </c>
      <c r="AY419" s="42">
        <f>'1kpi_performance'!O419</f>
        <v>0.1608714597</v>
      </c>
      <c r="AZ419" s="42">
        <f>'1kpi_performance'!P419</f>
        <v>0.1875918881</v>
      </c>
      <c r="BA419" s="42">
        <f>'1kpi_performance'!Q419</f>
        <v>0.5523601443</v>
      </c>
      <c r="BB419" s="35">
        <f>'1kpi_performance'!R419</f>
        <v>4.278178192</v>
      </c>
      <c r="BC419" s="35">
        <f>'1kpi_performance'!S419</f>
        <v>5.664775085</v>
      </c>
      <c r="BD419" s="35">
        <f>'1kpi_performance'!T419</f>
        <v>4.9999392</v>
      </c>
      <c r="BE419" s="35">
        <f>'1kpi_performance'!U419</f>
        <v>0.2792671167</v>
      </c>
      <c r="BF419" s="47"/>
      <c r="BG419" s="47"/>
      <c r="BH419" s="47"/>
      <c r="BI419" s="47"/>
      <c r="BJ419" s="47"/>
      <c r="BK419" s="47"/>
      <c r="BL419" s="47"/>
      <c r="BM419" s="47"/>
      <c r="BN419" s="47"/>
      <c r="BO419" s="47"/>
      <c r="BP419" s="47"/>
      <c r="BQ419" s="47"/>
      <c r="BR419" s="47"/>
      <c r="BS419" s="47"/>
      <c r="BT419" s="47"/>
    </row>
    <row r="420" ht="11.25" customHeight="1">
      <c r="A420" s="35" t="str">
        <f>'13all_company_profile'!A420</f>
        <v>MTCH</v>
      </c>
      <c r="B420" s="35" t="str">
        <f>'13all_company_profile'!B420</f>
        <v>Match Group, Inc. provides dating products worldwide. Its portfolio of brands include Tinder, Match, Meetic, OkCupid, Hinge, Pairs, PlentyOfFish, and OurTime, as well as a various other brands. The company is based in Dallas, Texas.</v>
      </c>
      <c r="C420" s="44" t="str">
        <f>'13all_company_profile'!C420</f>
        <v>https://financialmodelingprep.com/image-stock/MTCH.png</v>
      </c>
      <c r="D420" s="35" t="str">
        <f>'13all_company_profile'!D420</f>
        <v>Match Group, Inc.</v>
      </c>
      <c r="E420" s="36">
        <f>'13all_company_profile'!E420</f>
        <v>45020540928</v>
      </c>
      <c r="F420" s="37">
        <f>'13all_company_profile'!F420</f>
        <v>1991466</v>
      </c>
      <c r="G420" s="35">
        <f>'13all_company_profile'!G420</f>
        <v>0</v>
      </c>
      <c r="H420" s="38">
        <f>'13all_company_profile'!H420</f>
        <v>44410</v>
      </c>
      <c r="I420" s="35">
        <f>'13all_company_profile'!I420</f>
        <v>86.7388</v>
      </c>
      <c r="J420" s="35">
        <f>'13all_company_profile'!J420</f>
        <v>1.861</v>
      </c>
      <c r="K420" s="42" t="str">
        <f t="shared" si="1"/>
        <v>NaN</v>
      </c>
      <c r="L420" s="35">
        <f>'7company_info'!B420</f>
        <v>153.77</v>
      </c>
      <c r="M420" s="35">
        <f>'7company_info'!C420</f>
        <v>155.59</v>
      </c>
      <c r="N420" s="35">
        <f>'7company_info'!D420</f>
        <v>153.07</v>
      </c>
      <c r="O420" s="35">
        <f>'7company_info'!E420</f>
        <v>0.44</v>
      </c>
      <c r="P420" s="35">
        <f>'7company_info'!F420</f>
        <v>0.0029</v>
      </c>
      <c r="Q420" s="35">
        <f>'7company_info'!G420</f>
        <v>153.51</v>
      </c>
      <c r="R420" s="35">
        <f>'7company_info'!H420</f>
        <v>153.33</v>
      </c>
      <c r="S420" s="35">
        <f>'7company_info'!I420</f>
        <v>87.56</v>
      </c>
      <c r="T420" s="35">
        <f>'7company_info'!J420</f>
        <v>174.68</v>
      </c>
      <c r="U420" s="39">
        <v>162.86</v>
      </c>
      <c r="V420" s="39">
        <v>165.459999999999</v>
      </c>
      <c r="W420" s="40">
        <v>169.39</v>
      </c>
      <c r="X420" s="40">
        <v>175.92</v>
      </c>
      <c r="Y420" s="40">
        <v>158.929999999999</v>
      </c>
      <c r="Z420" s="40">
        <v>156.329999999999</v>
      </c>
      <c r="AA420" s="40">
        <v>149.799999999999</v>
      </c>
      <c r="AB420" s="40">
        <v>159.28</v>
      </c>
      <c r="AC420" s="40">
        <v>164.3035</v>
      </c>
      <c r="AD420" s="40">
        <v>157.920720693267</v>
      </c>
      <c r="AE420" s="40">
        <v>155.23534</v>
      </c>
      <c r="AF420" s="40">
        <v>4.90333</v>
      </c>
      <c r="AG420" s="40">
        <v>174.68</v>
      </c>
      <c r="AH420" s="45">
        <v>44238.0</v>
      </c>
      <c r="AI420" s="44" t="str">
        <f>'6image_RS_benchmark_performance'!B420</f>
        <v>https://3arbzfbsh-cname-us.ngrok.io/Desktop/seabridge%20fintech/image_app/MTCH_resistance_support.jpg</v>
      </c>
      <c r="AJ420" s="44" t="str">
        <f>'6image_RS_benchmark_performance'!C420</f>
        <v>https://3arbzfbsh-cname-us.ngrok.io/Desktop/seabridge%20fintech/profit_graph_app/MTCH_Return.jpg</v>
      </c>
      <c r="AK420" s="46" t="str">
        <f>'5price_action_icon'!B420</f>
        <v>https://3arbzfbsh-cname-us.ngrok.io/Desktop/seabridge%20fintech/icon/MTCH_pa_trend_signal</v>
      </c>
      <c r="AL420" s="42">
        <f>'1kpi_performance'!B420</f>
        <v>1.378902755</v>
      </c>
      <c r="AM420" s="42">
        <f>'1kpi_performance'!C420</f>
        <v>1.586597836</v>
      </c>
      <c r="AN420" s="42">
        <f>'1kpi_performance'!D420</f>
        <v>1.175102778</v>
      </c>
      <c r="AO420" s="42">
        <f>'1kpi_performance'!E420</f>
        <v>0.8579898297</v>
      </c>
      <c r="AP420" s="42">
        <f>'1kpi_performance'!F420</f>
        <v>0.4148869234</v>
      </c>
      <c r="AQ420" s="42">
        <f>'1kpi_performance'!G420</f>
        <v>0.4411182445</v>
      </c>
      <c r="AR420" s="42">
        <f>'1kpi_performance'!H420</f>
        <v>0.4014118035</v>
      </c>
      <c r="AS420" s="42">
        <f>'1kpi_performance'!I420</f>
        <v>0.5682421341</v>
      </c>
      <c r="AT420" s="35">
        <f>'1kpi_performance'!J420</f>
        <v>3.263305443</v>
      </c>
      <c r="AU420" s="35">
        <f>'1kpi_performance'!K420</f>
        <v>3.54008898</v>
      </c>
      <c r="AV420" s="35">
        <f>'1kpi_performance'!L420</f>
        <v>2.865144392</v>
      </c>
      <c r="AW420" s="35">
        <f>'1kpi_performance'!M420</f>
        <v>1.465906485</v>
      </c>
      <c r="AX420" s="42">
        <f>'1kpi_performance'!N420</f>
        <v>0.3999986175</v>
      </c>
      <c r="AY420" s="42">
        <f>'1kpi_performance'!O420</f>
        <v>0.3999986175</v>
      </c>
      <c r="AZ420" s="42">
        <f>'1kpi_performance'!P420</f>
        <v>0.365529819</v>
      </c>
      <c r="BA420" s="42">
        <f>'1kpi_performance'!Q420</f>
        <v>0.4878312601</v>
      </c>
      <c r="BB420" s="35">
        <f>'1kpi_performance'!R420</f>
        <v>8.062147447</v>
      </c>
      <c r="BC420" s="35">
        <f>'1kpi_performance'!S420</f>
        <v>8.405343442</v>
      </c>
      <c r="BD420" s="35">
        <f>'1kpi_performance'!T420</f>
        <v>6.321050257</v>
      </c>
      <c r="BE420" s="35">
        <f>'1kpi_performance'!U420</f>
        <v>3.086180116</v>
      </c>
      <c r="BF420" s="47"/>
      <c r="BG420" s="47"/>
      <c r="BH420" s="47"/>
      <c r="BI420" s="47"/>
      <c r="BJ420" s="47"/>
      <c r="BK420" s="47"/>
      <c r="BL420" s="47"/>
      <c r="BM420" s="47"/>
      <c r="BN420" s="47"/>
      <c r="BO420" s="47"/>
      <c r="BP420" s="47"/>
      <c r="BQ420" s="47"/>
      <c r="BR420" s="47"/>
      <c r="BS420" s="47"/>
      <c r="BT420" s="47"/>
    </row>
    <row r="421" ht="11.25" customHeight="1">
      <c r="A421" s="35" t="str">
        <f>'13all_company_profile'!A421</f>
        <v>MTD</v>
      </c>
      <c r="B421" s="35" t="str">
        <f>'13all_company_profile'!B421</f>
        <v>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v>
      </c>
      <c r="C421" s="44" t="str">
        <f>'13all_company_profile'!C421</f>
        <v>https://financialmodelingprep.com/image-stock/MTD.png</v>
      </c>
      <c r="D421" s="35" t="str">
        <f>'13all_company_profile'!D421</f>
        <v>Mettler-Toledo International Inc.</v>
      </c>
      <c r="E421" s="36">
        <f>'13all_company_profile'!E421</f>
        <v>33346447360</v>
      </c>
      <c r="F421" s="37">
        <f>'13all_company_profile'!F421</f>
        <v>108111</v>
      </c>
      <c r="G421" s="35">
        <f>'13all_company_profile'!G421</f>
        <v>0</v>
      </c>
      <c r="H421" s="38">
        <f>'13all_company_profile'!H421</f>
        <v>44406</v>
      </c>
      <c r="I421" s="35">
        <f>'13all_company_profile'!I421</f>
        <v>53.314236</v>
      </c>
      <c r="J421" s="35">
        <f>'13all_company_profile'!J421</f>
        <v>27.228</v>
      </c>
      <c r="K421" s="42" t="str">
        <f t="shared" si="1"/>
        <v>NaN</v>
      </c>
      <c r="L421" s="35">
        <f>'7company_info'!B421</f>
        <v>1443.41</v>
      </c>
      <c r="M421" s="35">
        <f>'7company_info'!C421</f>
        <v>1463.08</v>
      </c>
      <c r="N421" s="35">
        <f>'7company_info'!D421</f>
        <v>1430.31</v>
      </c>
      <c r="O421" s="35">
        <f>'7company_info'!E421</f>
        <v>4.75</v>
      </c>
      <c r="P421" s="35">
        <f>'7company_info'!F421</f>
        <v>0.0033</v>
      </c>
      <c r="Q421" s="35">
        <f>'7company_info'!G421</f>
        <v>1445.01</v>
      </c>
      <c r="R421" s="35">
        <f>'7company_info'!H421</f>
        <v>1438.66</v>
      </c>
      <c r="S421" s="35">
        <f>'7company_info'!I421</f>
        <v>853.02</v>
      </c>
      <c r="T421" s="35">
        <f>'7company_info'!J421</f>
        <v>1463.08</v>
      </c>
      <c r="U421" s="39">
        <v>1441.19166666666</v>
      </c>
      <c r="V421" s="39">
        <v>1449.14333333333</v>
      </c>
      <c r="W421" s="40">
        <v>1462.72666666666</v>
      </c>
      <c r="X421" s="40">
        <v>1484.26166666666</v>
      </c>
      <c r="Y421" s="40">
        <v>1427.60833333333</v>
      </c>
      <c r="Z421" s="40">
        <v>1419.65666666666</v>
      </c>
      <c r="AA421" s="40">
        <v>1398.12166666666</v>
      </c>
      <c r="AB421" s="40">
        <v>1402.0</v>
      </c>
      <c r="AC421" s="40">
        <v>1454.775</v>
      </c>
      <c r="AD421" s="40">
        <v>1391.22607126229</v>
      </c>
      <c r="AE421" s="40">
        <v>1395.691</v>
      </c>
      <c r="AF421" s="40">
        <v>23.661</v>
      </c>
      <c r="AG421" s="40">
        <v>1339.38</v>
      </c>
      <c r="AH421" s="45">
        <v>44309.0</v>
      </c>
      <c r="AI421" s="44" t="str">
        <f>'6image_RS_benchmark_performance'!B421</f>
        <v>https://3arbzfbsh-cname-us.ngrok.io/Desktop/seabridge%20fintech/image_app/MTD_resistance_support.jpg</v>
      </c>
      <c r="AJ421" s="44" t="str">
        <f>'6image_RS_benchmark_performance'!C421</f>
        <v>https://3arbzfbsh-cname-us.ngrok.io/Desktop/seabridge%20fintech/profit_graph_app/MTD_Return.jpg</v>
      </c>
      <c r="AK421" s="46" t="str">
        <f>'5price_action_icon'!B421</f>
        <v>https://3arbzfbsh-cname-us.ngrok.io/Desktop/seabridge%20fintech/icon/MTD_pa_trend_signal</v>
      </c>
      <c r="AL421" s="42">
        <f>'1kpi_performance'!B421</f>
        <v>0.7084257284</v>
      </c>
      <c r="AM421" s="42">
        <f>'1kpi_performance'!C421</f>
        <v>0.7953457863</v>
      </c>
      <c r="AN421" s="42">
        <f>'1kpi_performance'!D421</f>
        <v>0.6707135614</v>
      </c>
      <c r="AO421" s="42">
        <f>'1kpi_performance'!E421</f>
        <v>0.3934301176</v>
      </c>
      <c r="AP421" s="42">
        <f>'1kpi_performance'!F421</f>
        <v>0.2238931942</v>
      </c>
      <c r="AQ421" s="42">
        <f>'1kpi_performance'!G421</f>
        <v>0.216892016</v>
      </c>
      <c r="AR421" s="42">
        <f>'1kpi_performance'!H421</f>
        <v>0.222616789</v>
      </c>
      <c r="AS421" s="42">
        <f>'1kpi_performance'!I421</f>
        <v>0.31289773</v>
      </c>
      <c r="AT421" s="35">
        <f>'1kpi_performance'!J421</f>
        <v>3.052463165</v>
      </c>
      <c r="AU421" s="35">
        <f>'1kpi_performance'!K421</f>
        <v>3.551748011</v>
      </c>
      <c r="AV421" s="35">
        <f>'1kpi_performance'!L421</f>
        <v>2.900560934</v>
      </c>
      <c r="AW421" s="35">
        <f>'1kpi_performance'!M421</f>
        <v>1.177477758</v>
      </c>
      <c r="AX421" s="42">
        <f>'1kpi_performance'!N421</f>
        <v>0.1829976574</v>
      </c>
      <c r="AY421" s="42">
        <f>'1kpi_performance'!O421</f>
        <v>0.1581150904</v>
      </c>
      <c r="AZ421" s="42">
        <f>'1kpi_performance'!P421</f>
        <v>0.2383801315</v>
      </c>
      <c r="BA421" s="42">
        <f>'1kpi_performance'!Q421</f>
        <v>0.3244197375</v>
      </c>
      <c r="BB421" s="35">
        <f>'1kpi_performance'!R421</f>
        <v>6.202182702</v>
      </c>
      <c r="BC421" s="35">
        <f>'1kpi_performance'!S421</f>
        <v>7.655685535</v>
      </c>
      <c r="BD421" s="35">
        <f>'1kpi_performance'!T421</f>
        <v>5.888819452</v>
      </c>
      <c r="BE421" s="35">
        <f>'1kpi_performance'!U421</f>
        <v>2.305824823</v>
      </c>
      <c r="BF421" s="47"/>
      <c r="BG421" s="47"/>
      <c r="BH421" s="47"/>
      <c r="BI421" s="47"/>
      <c r="BJ421" s="47"/>
      <c r="BK421" s="47"/>
      <c r="BL421" s="47"/>
      <c r="BM421" s="47"/>
      <c r="BN421" s="47"/>
      <c r="BO421" s="47"/>
      <c r="BP421" s="47"/>
      <c r="BQ421" s="47"/>
      <c r="BR421" s="47"/>
      <c r="BS421" s="47"/>
      <c r="BT421" s="47"/>
    </row>
    <row r="422" ht="11.25" customHeight="1">
      <c r="A422" s="35" t="str">
        <f>'13all_company_profile'!A422</f>
        <v>MU</v>
      </c>
      <c r="B422" s="35" t="str">
        <f>'13all_company_profile'!B422</f>
        <v>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v>
      </c>
      <c r="C422" s="44" t="str">
        <f>'13all_company_profile'!C422</f>
        <v>https://financialmodelingprep.com/image-stock/MU.png</v>
      </c>
      <c r="D422" s="35" t="str">
        <f>'13all_company_profile'!D422</f>
        <v>Micron Technology, Inc.</v>
      </c>
      <c r="E422" s="36">
        <f>'13all_company_profile'!E422</f>
        <v>86592692224</v>
      </c>
      <c r="F422" s="37">
        <f>'13all_company_profile'!F422</f>
        <v>19123758</v>
      </c>
      <c r="G422" s="35">
        <f>'13all_company_profile'!G422</f>
        <v>0</v>
      </c>
      <c r="H422" s="38" t="str">
        <f>'13all_company_profile'!H422</f>
        <v>not avaiable</v>
      </c>
      <c r="I422" s="35">
        <f>'13all_company_profile'!I422</f>
        <v>20.716059</v>
      </c>
      <c r="J422" s="35">
        <f>'13all_company_profile'!J422</f>
        <v>3.624</v>
      </c>
      <c r="K422" s="42" t="str">
        <f t="shared" si="1"/>
        <v>NaN</v>
      </c>
      <c r="L422" s="35">
        <f>'7company_info'!B422</f>
        <v>75.39</v>
      </c>
      <c r="M422" s="35">
        <f>'7company_info'!C422</f>
        <v>75.92</v>
      </c>
      <c r="N422" s="35">
        <f>'7company_info'!D422</f>
        <v>73.77</v>
      </c>
      <c r="O422" s="35">
        <f>'7company_info'!E422</f>
        <v>0.81</v>
      </c>
      <c r="P422" s="35">
        <f>'7company_info'!F422</f>
        <v>0.0109</v>
      </c>
      <c r="Q422" s="35">
        <f>'7company_info'!G422</f>
        <v>74.66</v>
      </c>
      <c r="R422" s="35">
        <f>'7company_info'!H422</f>
        <v>74.58</v>
      </c>
      <c r="S422" s="35">
        <f>'7company_info'!I422</f>
        <v>42.25</v>
      </c>
      <c r="T422" s="35">
        <f>'7company_info'!J422</f>
        <v>96.96</v>
      </c>
      <c r="U422" s="39">
        <v>79.19</v>
      </c>
      <c r="V422" s="39">
        <v>80.06</v>
      </c>
      <c r="W422" s="40">
        <v>81.63</v>
      </c>
      <c r="X422" s="40">
        <v>84.07</v>
      </c>
      <c r="Y422" s="40">
        <v>77.6199999999999</v>
      </c>
      <c r="Z422" s="40">
        <v>76.7499999999999</v>
      </c>
      <c r="AA422" s="40">
        <v>74.3099999999999</v>
      </c>
      <c r="AB422" s="40">
        <v>77.71</v>
      </c>
      <c r="AC422" s="40">
        <v>78.9499</v>
      </c>
      <c r="AD422" s="40">
        <v>79.992891750476</v>
      </c>
      <c r="AE422" s="40">
        <v>73.60929</v>
      </c>
      <c r="AF422" s="40">
        <v>2.392855</v>
      </c>
      <c r="AG422" s="40">
        <v>96.96</v>
      </c>
      <c r="AH422" s="45">
        <v>44298.0</v>
      </c>
      <c r="AI422" s="44" t="str">
        <f>'6image_RS_benchmark_performance'!B422</f>
        <v>https://3arbzfbsh-cname-us.ngrok.io/Desktop/seabridge%20fintech/image_app/MU_resistance_support.jpg</v>
      </c>
      <c r="AJ422" s="44" t="str">
        <f>'6image_RS_benchmark_performance'!C422</f>
        <v>https://3arbzfbsh-cname-us.ngrok.io/Desktop/seabridge%20fintech/profit_graph_app/MU_Return.jpg</v>
      </c>
      <c r="AK422" s="46" t="str">
        <f>'5price_action_icon'!B422</f>
        <v>https://3arbzfbsh-cname-us.ngrok.io/Desktop/seabridge%20fintech/icon/MU_pa_trend_signal</v>
      </c>
      <c r="AL422" s="42">
        <f>'1kpi_performance'!B422</f>
        <v>1.010517335</v>
      </c>
      <c r="AM422" s="42">
        <f>'1kpi_performance'!C422</f>
        <v>1.895851278</v>
      </c>
      <c r="AN422" s="42">
        <f>'1kpi_performance'!D422</f>
        <v>1.695280402</v>
      </c>
      <c r="AO422" s="42">
        <f>'1kpi_performance'!E422</f>
        <v>0.295975129</v>
      </c>
      <c r="AP422" s="42">
        <f>'1kpi_performance'!F422</f>
        <v>0.3957540281</v>
      </c>
      <c r="AQ422" s="42">
        <f>'1kpi_performance'!G422</f>
        <v>0.3941821182</v>
      </c>
      <c r="AR422" s="42">
        <f>'1kpi_performance'!H422</f>
        <v>0.3974676514</v>
      </c>
      <c r="AS422" s="42">
        <f>'1kpi_performance'!I422</f>
        <v>0.5751610926</v>
      </c>
      <c r="AT422" s="35">
        <f>'1kpi_performance'!J422</f>
        <v>2.49022692</v>
      </c>
      <c r="AU422" s="35">
        <f>'1kpi_performance'!K422</f>
        <v>4.746159686</v>
      </c>
      <c r="AV422" s="35">
        <f>'1kpi_performance'!L422</f>
        <v>4.20230526</v>
      </c>
      <c r="AW422" s="35">
        <f>'1kpi_performance'!M422</f>
        <v>0.4711291019</v>
      </c>
      <c r="AX422" s="42">
        <f>'1kpi_performance'!N422</f>
        <v>0.3220831172</v>
      </c>
      <c r="AY422" s="42">
        <f>'1kpi_performance'!O422</f>
        <v>0.1528189911</v>
      </c>
      <c r="AZ422" s="42">
        <f>'1kpi_performance'!P422</f>
        <v>0.4093922704</v>
      </c>
      <c r="BA422" s="42">
        <f>'1kpi_performance'!Q422</f>
        <v>0.7380104138</v>
      </c>
      <c r="BB422" s="35">
        <f>'1kpi_performance'!R422</f>
        <v>5.34452179</v>
      </c>
      <c r="BC422" s="35">
        <f>'1kpi_performance'!S422</f>
        <v>11.5647434</v>
      </c>
      <c r="BD422" s="35">
        <f>'1kpi_performance'!T422</f>
        <v>9.850026633</v>
      </c>
      <c r="BE422" s="35">
        <f>'1kpi_performance'!U422</f>
        <v>0.9531175785</v>
      </c>
      <c r="BF422" s="47"/>
      <c r="BG422" s="47"/>
      <c r="BH422" s="47"/>
      <c r="BI422" s="47"/>
      <c r="BJ422" s="47"/>
      <c r="BK422" s="47"/>
      <c r="BL422" s="47"/>
      <c r="BM422" s="47"/>
      <c r="BN422" s="47"/>
      <c r="BO422" s="47"/>
      <c r="BP422" s="47"/>
      <c r="BQ422" s="47"/>
      <c r="BR422" s="47"/>
      <c r="BS422" s="47"/>
      <c r="BT422" s="47"/>
    </row>
    <row r="423" ht="11.25" customHeight="1">
      <c r="A423" s="35" t="str">
        <f>'13all_company_profile'!A423</f>
        <v>MXIM</v>
      </c>
      <c r="B423" s="35" t="str">
        <f>'13all_company_profile'!B423</f>
        <v>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v>
      </c>
      <c r="C423" s="44" t="str">
        <f>'13all_company_profile'!C423</f>
        <v>https://financialmodelingprep.com/image-stock/MXIM.png</v>
      </c>
      <c r="D423" s="35" t="str">
        <f>'13all_company_profile'!D423</f>
        <v>Maxim Integrated Products, Inc.</v>
      </c>
      <c r="E423" s="36">
        <f>'13all_company_profile'!E423</f>
        <v>26511679488</v>
      </c>
      <c r="F423" s="37">
        <f>'13all_company_profile'!F423</f>
        <v>2533517</v>
      </c>
      <c r="G423" s="35">
        <f>'13all_company_profile'!G423</f>
        <v>0.48</v>
      </c>
      <c r="H423" s="38">
        <f>'13all_company_profile'!H423</f>
        <v>44403</v>
      </c>
      <c r="I423" s="35">
        <f>'13all_company_profile'!I423</f>
        <v>33.634163</v>
      </c>
      <c r="J423" s="35">
        <f>'13all_company_profile'!J423</f>
        <v>2.892</v>
      </c>
      <c r="K423" s="42">
        <f t="shared" si="1"/>
        <v>0.004922067268</v>
      </c>
      <c r="L423" s="35">
        <f>'7company_info'!B423</f>
        <v>97.52</v>
      </c>
      <c r="M423" s="35">
        <f>'7company_info'!C423</f>
        <v>98.05</v>
      </c>
      <c r="N423" s="35">
        <f>'7company_info'!D423</f>
        <v>95.58</v>
      </c>
      <c r="O423" s="35">
        <f>'7company_info'!E423</f>
        <v>1.4</v>
      </c>
      <c r="P423" s="35">
        <f>'7company_info'!F423</f>
        <v>0.0146</v>
      </c>
      <c r="Q423" s="35">
        <f>'7company_info'!G423</f>
        <v>96.04</v>
      </c>
      <c r="R423" s="35">
        <f>'7company_info'!H423</f>
        <v>96.12</v>
      </c>
      <c r="S423" s="35">
        <f>'7company_info'!I423</f>
        <v>63.74</v>
      </c>
      <c r="T423" s="35">
        <f>'7company_info'!J423</f>
        <v>105.49</v>
      </c>
      <c r="U423" s="39">
        <v>100.826666666666</v>
      </c>
      <c r="V423" s="39">
        <v>101.803333333333</v>
      </c>
      <c r="W423" s="40">
        <v>103.526666666666</v>
      </c>
      <c r="X423" s="40">
        <v>106.226666666666</v>
      </c>
      <c r="Y423" s="40">
        <v>99.1033333333333</v>
      </c>
      <c r="Z423" s="40">
        <v>98.1266666666666</v>
      </c>
      <c r="AA423" s="40">
        <v>95.4266666666666</v>
      </c>
      <c r="AB423" s="40">
        <v>102.93</v>
      </c>
      <c r="AC423" s="40">
        <v>105.49</v>
      </c>
      <c r="AD423" s="40">
        <v>101.351968266436</v>
      </c>
      <c r="AE423" s="40">
        <v>96.33626</v>
      </c>
      <c r="AF423" s="40">
        <v>2.21637</v>
      </c>
      <c r="AG423" s="40">
        <v>105.49</v>
      </c>
      <c r="AH423" s="45">
        <v>44377.0</v>
      </c>
      <c r="AI423" s="44" t="str">
        <f>'6image_RS_benchmark_performance'!B423</f>
        <v>https://3arbzfbsh-cname-us.ngrok.io/Desktop/seabridge%20fintech/image_app/MXIM_resistance_support.jpg</v>
      </c>
      <c r="AJ423" s="44" t="str">
        <f>'6image_RS_benchmark_performance'!C423</f>
        <v>https://3arbzfbsh-cname-us.ngrok.io/Desktop/seabridge%20fintech/profit_graph_app/MXIM_Return.jpg</v>
      </c>
      <c r="AK423" s="46" t="str">
        <f>'5price_action_icon'!B423</f>
        <v>https://3arbzfbsh-cname-us.ngrok.io/Desktop/seabridge%20fintech/icon/MXIM_pa_trend_signal</v>
      </c>
      <c r="AL423" s="42">
        <f>'1kpi_performance'!B423</f>
        <v>0.6350478535</v>
      </c>
      <c r="AM423" s="42">
        <f>'1kpi_performance'!C423</f>
        <v>0.7506748619</v>
      </c>
      <c r="AN423" s="42">
        <f>'1kpi_performance'!D423</f>
        <v>0.5909034495</v>
      </c>
      <c r="AO423" s="42">
        <f>'1kpi_performance'!E423</f>
        <v>0.2321508731</v>
      </c>
      <c r="AP423" s="42">
        <f>'1kpi_performance'!F423</f>
        <v>0.2336373167</v>
      </c>
      <c r="AQ423" s="42">
        <f>'1kpi_performance'!G423</f>
        <v>0.2434921464</v>
      </c>
      <c r="AR423" s="42">
        <f>'1kpi_performance'!H423</f>
        <v>0.2175406849</v>
      </c>
      <c r="AS423" s="42">
        <f>'1kpi_performance'!I423</f>
        <v>0.3436815999</v>
      </c>
      <c r="AT423" s="35">
        <f>'1kpi_performance'!J423</f>
        <v>2.61108911</v>
      </c>
      <c r="AU423" s="35">
        <f>'1kpi_performance'!K423</f>
        <v>2.98028036</v>
      </c>
      <c r="AV423" s="35">
        <f>'1kpi_performance'!L423</f>
        <v>2.601368336</v>
      </c>
      <c r="AW423" s="35">
        <f>'1kpi_performance'!M423</f>
        <v>0.6027406564</v>
      </c>
      <c r="AX423" s="42">
        <f>'1kpi_performance'!N423</f>
        <v>0.1165236079</v>
      </c>
      <c r="AY423" s="42">
        <f>'1kpi_performance'!O423</f>
        <v>0.1267310575</v>
      </c>
      <c r="AZ423" s="42">
        <f>'1kpi_performance'!P423</f>
        <v>0.2526979127</v>
      </c>
      <c r="BA423" s="42">
        <f>'1kpi_performance'!Q423</f>
        <v>0.3586841708</v>
      </c>
      <c r="BB423" s="35">
        <f>'1kpi_performance'!R423</f>
        <v>5.847994088</v>
      </c>
      <c r="BC423" s="35">
        <f>'1kpi_performance'!S423</f>
        <v>7.0529992</v>
      </c>
      <c r="BD423" s="35">
        <f>'1kpi_performance'!T423</f>
        <v>5.452203379</v>
      </c>
      <c r="BE423" s="35">
        <f>'1kpi_performance'!U423</f>
        <v>1.203756211</v>
      </c>
      <c r="BF423" s="47"/>
      <c r="BG423" s="47"/>
      <c r="BH423" s="47"/>
      <c r="BI423" s="47"/>
      <c r="BJ423" s="47"/>
      <c r="BK423" s="47"/>
      <c r="BL423" s="47"/>
      <c r="BM423" s="47"/>
      <c r="BN423" s="47"/>
      <c r="BO423" s="47"/>
      <c r="BP423" s="47"/>
      <c r="BQ423" s="47"/>
      <c r="BR423" s="47"/>
      <c r="BS423" s="47"/>
      <c r="BT423" s="47"/>
    </row>
    <row r="424" ht="11.25" customHeight="1">
      <c r="A424" s="35" t="str">
        <f>'13all_company_profile'!A424</f>
        <v>NCLH</v>
      </c>
      <c r="B424" s="35" t="str">
        <f>'13all_company_profile'!B424</f>
        <v>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v>
      </c>
      <c r="C424" s="44" t="str">
        <f>'13all_company_profile'!C424</f>
        <v>https://financialmodelingprep.com/image-stock/NCLH.png</v>
      </c>
      <c r="D424" s="35" t="str">
        <f>'13all_company_profile'!D424</f>
        <v>Norwegian Cruise Line Holdings Ltd.</v>
      </c>
      <c r="E424" s="36">
        <f>'13all_company_profile'!E424</f>
        <v>9078156288</v>
      </c>
      <c r="F424" s="37">
        <f>'13all_company_profile'!F424</f>
        <v>16439434</v>
      </c>
      <c r="G424" s="35">
        <f>'13all_company_profile'!G424</f>
        <v>0</v>
      </c>
      <c r="H424" s="38">
        <f>'13all_company_profile'!H424</f>
        <v>44412</v>
      </c>
      <c r="I424" s="35" t="str">
        <f>'13all_company_profile'!I424</f>
        <v>NaN</v>
      </c>
      <c r="J424" s="35">
        <f>'13all_company_profile'!J424</f>
        <v>-12.346</v>
      </c>
      <c r="K424" s="42" t="str">
        <f t="shared" si="1"/>
        <v>NaN</v>
      </c>
      <c r="L424" s="35">
        <f>'7company_info'!B424</f>
        <v>23.68</v>
      </c>
      <c r="M424" s="35">
        <f>'7company_info'!C424</f>
        <v>23.94</v>
      </c>
      <c r="N424" s="35">
        <f>'7company_info'!D424</f>
        <v>21.81</v>
      </c>
      <c r="O424" s="35">
        <f>'7company_info'!E424</f>
        <v>1.81</v>
      </c>
      <c r="P424" s="35">
        <f>'7company_info'!F424</f>
        <v>0.0828</v>
      </c>
      <c r="Q424" s="35">
        <f>'7company_info'!G424</f>
        <v>22.01</v>
      </c>
      <c r="R424" s="35">
        <f>'7company_info'!H424</f>
        <v>21.87</v>
      </c>
      <c r="S424" s="35">
        <f>'7company_info'!I424</f>
        <v>12.56</v>
      </c>
      <c r="T424" s="35">
        <f>'7company_info'!J424</f>
        <v>34.49</v>
      </c>
      <c r="U424" s="39">
        <v>25.6566666666666</v>
      </c>
      <c r="V424" s="39">
        <v>26.2133333333333</v>
      </c>
      <c r="W424" s="40">
        <v>27.2266666666666</v>
      </c>
      <c r="X424" s="40">
        <v>28.7966666666666</v>
      </c>
      <c r="Y424" s="40">
        <v>24.6433333333333</v>
      </c>
      <c r="Z424" s="40">
        <v>24.0866666666666</v>
      </c>
      <c r="AA424" s="40">
        <v>22.5166666666666</v>
      </c>
      <c r="AB424" s="40">
        <v>30.48</v>
      </c>
      <c r="AC424" s="40">
        <v>31.79</v>
      </c>
      <c r="AD424" s="40">
        <v>28.6065557943525</v>
      </c>
      <c r="AE424" s="40">
        <v>23.94421</v>
      </c>
      <c r="AF424" s="40">
        <v>1.10789499999999</v>
      </c>
      <c r="AG424" s="40">
        <v>34.485</v>
      </c>
      <c r="AH424" s="45">
        <v>44259.0</v>
      </c>
      <c r="AI424" s="44" t="str">
        <f>'6image_RS_benchmark_performance'!B424</f>
        <v>https://3arbzfbsh-cname-us.ngrok.io/Desktop/seabridge%20fintech/image_app/NCLH_resistance_support.jpg</v>
      </c>
      <c r="AJ424" s="44" t="str">
        <f>'6image_RS_benchmark_performance'!C424</f>
        <v>https://3arbzfbsh-cname-us.ngrok.io/Desktop/seabridge%20fintech/profit_graph_app/NCLH_Return.jpg</v>
      </c>
      <c r="AK424" s="46" t="str">
        <f>'5price_action_icon'!B424</f>
        <v>https://3arbzfbsh-cname-us.ngrok.io/Desktop/seabridge%20fintech/icon/NCLH_pa_trend_signal</v>
      </c>
      <c r="AL424" s="42">
        <f>'1kpi_performance'!B424</f>
        <v>1.010935165</v>
      </c>
      <c r="AM424" s="42">
        <f>'1kpi_performance'!C424</f>
        <v>1.111510339</v>
      </c>
      <c r="AN424" s="42">
        <f>'1kpi_performance'!D424</f>
        <v>0.5969333575</v>
      </c>
      <c r="AO424" s="42">
        <f>'1kpi_performance'!E424</f>
        <v>0.002769783559</v>
      </c>
      <c r="AP424" s="42">
        <f>'1kpi_performance'!F424</f>
        <v>0.4900080416</v>
      </c>
      <c r="AQ424" s="42">
        <f>'1kpi_performance'!G424</f>
        <v>0.4053216122</v>
      </c>
      <c r="AR424" s="42">
        <f>'1kpi_performance'!H424</f>
        <v>0.5306887784</v>
      </c>
      <c r="AS424" s="42">
        <f>'1kpi_performance'!I424</f>
        <v>0.6494188325</v>
      </c>
      <c r="AT424" s="35">
        <f>'1kpi_performance'!J424</f>
        <v>2.01207956</v>
      </c>
      <c r="AU424" s="35">
        <f>'1kpi_performance'!K424</f>
        <v>2.680612891</v>
      </c>
      <c r="AV424" s="35">
        <f>'1kpi_performance'!L424</f>
        <v>1.077718958</v>
      </c>
      <c r="AW424" s="35">
        <f>'1kpi_performance'!M424</f>
        <v>-0.034230939</v>
      </c>
      <c r="AX424" s="42">
        <f>'1kpi_performance'!N424</f>
        <v>0.5047169811</v>
      </c>
      <c r="AY424" s="42">
        <f>'1kpi_performance'!O424</f>
        <v>0.3702830189</v>
      </c>
      <c r="AZ424" s="42">
        <f>'1kpi_performance'!P424</f>
        <v>0.8697401509</v>
      </c>
      <c r="BA424" s="42">
        <f>'1kpi_performance'!Q424</f>
        <v>0.8781367629</v>
      </c>
      <c r="BB424" s="35">
        <f>'1kpi_performance'!R424</f>
        <v>4.365522815</v>
      </c>
      <c r="BC424" s="35">
        <f>'1kpi_performance'!S424</f>
        <v>5.995865538</v>
      </c>
      <c r="BD424" s="35">
        <f>'1kpi_performance'!T424</f>
        <v>1.981229449</v>
      </c>
      <c r="BE424" s="35">
        <f>'1kpi_performance'!U424</f>
        <v>-0.06403827566</v>
      </c>
      <c r="BF424" s="47"/>
      <c r="BG424" s="47"/>
      <c r="BH424" s="47"/>
      <c r="BI424" s="47"/>
      <c r="BJ424" s="47"/>
      <c r="BK424" s="47"/>
      <c r="BL424" s="47"/>
      <c r="BM424" s="47"/>
      <c r="BN424" s="47"/>
      <c r="BO424" s="47"/>
      <c r="BP424" s="47"/>
      <c r="BQ424" s="47"/>
      <c r="BR424" s="47"/>
      <c r="BS424" s="47"/>
      <c r="BT424" s="47"/>
    </row>
    <row r="425" ht="11.25" customHeight="1">
      <c r="A425" s="35" t="str">
        <f>'13all_company_profile'!A425</f>
        <v>NDAQ</v>
      </c>
      <c r="B425" s="35" t="str">
        <f>'13all_company_profile'!B425</f>
        <v>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v>
      </c>
      <c r="C425" s="44" t="str">
        <f>'13all_company_profile'!C425</f>
        <v>https://financialmodelingprep.com/image-stock/NDAQ.png</v>
      </c>
      <c r="D425" s="35" t="str">
        <f>'13all_company_profile'!D425</f>
        <v>Nasdaq, Inc.</v>
      </c>
      <c r="E425" s="36">
        <f>'13all_company_profile'!E425</f>
        <v>30422841344</v>
      </c>
      <c r="F425" s="37">
        <f>'13all_company_profile'!F425</f>
        <v>761215</v>
      </c>
      <c r="G425" s="35">
        <f>'13all_company_profile'!G425</f>
        <v>2.01</v>
      </c>
      <c r="H425" s="38">
        <f>'13all_company_profile'!H425</f>
        <v>44398</v>
      </c>
      <c r="I425" s="35">
        <f>'13all_company_profile'!I425</f>
        <v>29.043901</v>
      </c>
      <c r="J425" s="35">
        <f>'13all_company_profile'!J425</f>
        <v>6.15</v>
      </c>
      <c r="K425" s="42">
        <f t="shared" si="1"/>
        <v>0.01111111111</v>
      </c>
      <c r="L425" s="35">
        <f>'7company_info'!B425</f>
        <v>180.9</v>
      </c>
      <c r="M425" s="35">
        <f>'7company_info'!C425</f>
        <v>182.72</v>
      </c>
      <c r="N425" s="35">
        <f>'7company_info'!D425</f>
        <v>176.62</v>
      </c>
      <c r="O425" s="35">
        <f>'7company_info'!E425</f>
        <v>3.75</v>
      </c>
      <c r="P425" s="35">
        <f>'7company_info'!F425</f>
        <v>0.0212</v>
      </c>
      <c r="Q425" s="35">
        <f>'7company_info'!G425</f>
        <v>177.77</v>
      </c>
      <c r="R425" s="35">
        <f>'7company_info'!H425</f>
        <v>177.15</v>
      </c>
      <c r="S425" s="35">
        <f>'7company_info'!I425</f>
        <v>118.01</v>
      </c>
      <c r="T425" s="35">
        <f>'7company_info'!J425</f>
        <v>182.72</v>
      </c>
      <c r="U425" s="39">
        <v>177.9</v>
      </c>
      <c r="V425" s="39">
        <v>179.55</v>
      </c>
      <c r="W425" s="40">
        <v>181.02</v>
      </c>
      <c r="X425" s="40">
        <v>184.14</v>
      </c>
      <c r="Y425" s="40">
        <v>176.43</v>
      </c>
      <c r="Z425" s="40">
        <v>174.78</v>
      </c>
      <c r="AA425" s="40">
        <v>171.66</v>
      </c>
      <c r="AB425" s="40">
        <v>173.57</v>
      </c>
      <c r="AC425" s="40">
        <v>181.0</v>
      </c>
      <c r="AD425" s="40">
        <v>175.93067209584</v>
      </c>
      <c r="AE425" s="40">
        <v>174.04524</v>
      </c>
      <c r="AF425" s="40">
        <v>2.55437999999999</v>
      </c>
      <c r="AG425" s="40">
        <v>180.53</v>
      </c>
      <c r="AH425" s="45">
        <v>44364.0</v>
      </c>
      <c r="AI425" s="44" t="str">
        <f>'6image_RS_benchmark_performance'!B425</f>
        <v>https://3arbzfbsh-cname-us.ngrok.io/Desktop/seabridge%20fintech/image_app/NDAQ_resistance_support.jpg</v>
      </c>
      <c r="AJ425" s="44" t="str">
        <f>'6image_RS_benchmark_performance'!C425</f>
        <v>https://3arbzfbsh-cname-us.ngrok.io/Desktop/seabridge%20fintech/profit_graph_app/NDAQ_Return.jpg</v>
      </c>
      <c r="AK425" s="46" t="str">
        <f>'5price_action_icon'!B425</f>
        <v>https://3arbzfbsh-cname-us.ngrok.io/Desktop/seabridge%20fintech/icon/NDAQ_pa_trend_signal</v>
      </c>
      <c r="AL425" s="42">
        <f>'1kpi_performance'!B425</f>
        <v>0.632362572</v>
      </c>
      <c r="AM425" s="42">
        <f>'1kpi_performance'!C425</f>
        <v>0.6779927713</v>
      </c>
      <c r="AN425" s="42">
        <f>'1kpi_performance'!D425</f>
        <v>0.4103547179</v>
      </c>
      <c r="AO425" s="42">
        <f>'1kpi_performance'!E425</f>
        <v>0.3218730823</v>
      </c>
      <c r="AP425" s="42">
        <f>'1kpi_performance'!F425</f>
        <v>0.1998426759</v>
      </c>
      <c r="AQ425" s="42">
        <f>'1kpi_performance'!G425</f>
        <v>0.2061999607</v>
      </c>
      <c r="AR425" s="42">
        <f>'1kpi_performance'!H425</f>
        <v>0.2129402525</v>
      </c>
      <c r="AS425" s="42">
        <f>'1kpi_performance'!I425</f>
        <v>0.307132511</v>
      </c>
      <c r="AT425" s="35">
        <f>'1kpi_performance'!J425</f>
        <v>3.03920356</v>
      </c>
      <c r="AU425" s="35">
        <f>'1kpi_performance'!K425</f>
        <v>3.166793868</v>
      </c>
      <c r="AV425" s="35">
        <f>'1kpi_performance'!L425</f>
        <v>1.809684704</v>
      </c>
      <c r="AW425" s="35">
        <f>'1kpi_performance'!M425</f>
        <v>0.9665960838</v>
      </c>
      <c r="AX425" s="42">
        <f>'1kpi_performance'!N425</f>
        <v>0.1916775532</v>
      </c>
      <c r="AY425" s="42">
        <f>'1kpi_performance'!O425</f>
        <v>0.1024555461</v>
      </c>
      <c r="AZ425" s="42">
        <f>'1kpi_performance'!P425</f>
        <v>0.3738936152</v>
      </c>
      <c r="BA425" s="42">
        <f>'1kpi_performance'!Q425</f>
        <v>0.3860284823</v>
      </c>
      <c r="BB425" s="35">
        <f>'1kpi_performance'!R425</f>
        <v>6.636175431</v>
      </c>
      <c r="BC425" s="35">
        <f>'1kpi_performance'!S425</f>
        <v>7.287385121</v>
      </c>
      <c r="BD425" s="35">
        <f>'1kpi_performance'!T425</f>
        <v>3.620753002</v>
      </c>
      <c r="BE425" s="35">
        <f>'1kpi_performance'!U425</f>
        <v>1.927385175</v>
      </c>
      <c r="BF425" s="47"/>
      <c r="BG425" s="47"/>
      <c r="BH425" s="47"/>
      <c r="BI425" s="47"/>
      <c r="BJ425" s="47"/>
      <c r="BK425" s="47"/>
      <c r="BL425" s="47"/>
      <c r="BM425" s="47"/>
      <c r="BN425" s="47"/>
      <c r="BO425" s="47"/>
      <c r="BP425" s="47"/>
      <c r="BQ425" s="47"/>
      <c r="BR425" s="47"/>
      <c r="BS425" s="47"/>
      <c r="BT425" s="47"/>
    </row>
    <row r="426" ht="11.25" customHeight="1">
      <c r="A426" s="35" t="str">
        <f>'13all_company_profile'!A426</f>
        <v>NEE</v>
      </c>
      <c r="B426" s="35" t="str">
        <f>'13all_company_profile'!B426</f>
        <v>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v>
      </c>
      <c r="C426" s="44" t="str">
        <f>'13all_company_profile'!C426</f>
        <v>https://financialmodelingprep.com/image-stock/NEE.png</v>
      </c>
      <c r="D426" s="35" t="str">
        <f>'13all_company_profile'!D426</f>
        <v>NextEra Energy, Inc.</v>
      </c>
      <c r="E426" s="36">
        <f>'13all_company_profile'!E426</f>
        <v>150698213376</v>
      </c>
      <c r="F426" s="37">
        <f>'13all_company_profile'!F426</f>
        <v>7547461</v>
      </c>
      <c r="G426" s="35">
        <f>'13all_company_profile'!G426</f>
        <v>1.47</v>
      </c>
      <c r="H426" s="38">
        <f>'13all_company_profile'!H426</f>
        <v>44399</v>
      </c>
      <c r="I426" s="35">
        <f>'13all_company_profile'!I426</f>
        <v>37.037918</v>
      </c>
      <c r="J426" s="35">
        <f>'13all_company_profile'!J426</f>
        <v>2.11</v>
      </c>
      <c r="K426" s="42">
        <f t="shared" si="1"/>
        <v>0.01904885318</v>
      </c>
      <c r="L426" s="35">
        <f>'7company_info'!B426</f>
        <v>77.17</v>
      </c>
      <c r="M426" s="35">
        <f>'7company_info'!C426</f>
        <v>77.7</v>
      </c>
      <c r="N426" s="35">
        <f>'7company_info'!D426</f>
        <v>76.86</v>
      </c>
      <c r="O426" s="35">
        <f>'7company_info'!E426</f>
        <v>0.18</v>
      </c>
      <c r="P426" s="35">
        <f>'7company_info'!F426</f>
        <v>0.0023</v>
      </c>
      <c r="Q426" s="35">
        <f>'7company_info'!G426</f>
        <v>77.02</v>
      </c>
      <c r="R426" s="35">
        <f>'7company_info'!H426</f>
        <v>76.99</v>
      </c>
      <c r="S426" s="35">
        <f>'7company_info'!I426</f>
        <v>66.79</v>
      </c>
      <c r="T426" s="35">
        <f>'7company_info'!J426</f>
        <v>87.69</v>
      </c>
      <c r="U426" s="39">
        <v>75.5033</v>
      </c>
      <c r="V426" s="39">
        <v>76.3666</v>
      </c>
      <c r="W426" s="40">
        <v>77.0332</v>
      </c>
      <c r="X426" s="40">
        <v>78.5631</v>
      </c>
      <c r="Y426" s="40">
        <v>74.8367</v>
      </c>
      <c r="Z426" s="40">
        <v>73.9734</v>
      </c>
      <c r="AA426" s="40">
        <v>72.4435</v>
      </c>
      <c r="AB426" s="40">
        <v>71.82</v>
      </c>
      <c r="AC426" s="40">
        <v>75.65</v>
      </c>
      <c r="AD426" s="40">
        <v>74.4538036632416</v>
      </c>
      <c r="AE426" s="40">
        <v>72.2323299999999</v>
      </c>
      <c r="AF426" s="40">
        <v>1.34008</v>
      </c>
      <c r="AG426" s="40">
        <v>87.69</v>
      </c>
      <c r="AH426" s="45">
        <v>44221.0</v>
      </c>
      <c r="AI426" s="44" t="str">
        <f>'6image_RS_benchmark_performance'!B426</f>
        <v>https://3arbzfbsh-cname-us.ngrok.io/Desktop/seabridge%20fintech/image_app/NEE_resistance_support.jpg</v>
      </c>
      <c r="AJ426" s="44" t="str">
        <f>'6image_RS_benchmark_performance'!C426</f>
        <v>https://3arbzfbsh-cname-us.ngrok.io/Desktop/seabridge%20fintech/profit_graph_app/NEE_Return.jpg</v>
      </c>
      <c r="AK426" s="46" t="str">
        <f>'5price_action_icon'!B426</f>
        <v>https://3arbzfbsh-cname-us.ngrok.io/Desktop/seabridge%20fintech/icon/NEE_pa_trend_signal</v>
      </c>
      <c r="AL426" s="42">
        <f>'1kpi_performance'!B426</f>
        <v>0.3981130926</v>
      </c>
      <c r="AM426" s="42">
        <f>'1kpi_performance'!C426</f>
        <v>0.4729056928</v>
      </c>
      <c r="AN426" s="42">
        <f>'1kpi_performance'!D426</f>
        <v>0.4673098146</v>
      </c>
      <c r="AO426" s="42">
        <f>'1kpi_performance'!E426</f>
        <v>0.2546680664</v>
      </c>
      <c r="AP426" s="42">
        <f>'1kpi_performance'!F426</f>
        <v>0.1588240847</v>
      </c>
      <c r="AQ426" s="42">
        <f>'1kpi_performance'!G426</f>
        <v>0.17404216</v>
      </c>
      <c r="AR426" s="42">
        <f>'1kpi_performance'!H426</f>
        <v>0.1865702813</v>
      </c>
      <c r="AS426" s="42">
        <f>'1kpi_performance'!I426</f>
        <v>0.2406877276</v>
      </c>
      <c r="AT426" s="35">
        <f>'1kpi_performance'!J426</f>
        <v>2.349222369</v>
      </c>
      <c r="AU426" s="35">
        <f>'1kpi_performance'!K426</f>
        <v>2.573547081</v>
      </c>
      <c r="AV426" s="35">
        <f>'1kpi_performance'!L426</f>
        <v>2.370740996</v>
      </c>
      <c r="AW426" s="35">
        <f>'1kpi_performance'!M426</f>
        <v>0.9542159409</v>
      </c>
      <c r="AX426" s="42">
        <f>'1kpi_performance'!N426</f>
        <v>0.1228913826</v>
      </c>
      <c r="AY426" s="42">
        <f>'1kpi_performance'!O426</f>
        <v>0.1129222389</v>
      </c>
      <c r="AZ426" s="42">
        <f>'1kpi_performance'!P426</f>
        <v>0.3563177663</v>
      </c>
      <c r="BA426" s="42">
        <f>'1kpi_performance'!Q426</f>
        <v>0.3563177663</v>
      </c>
      <c r="BB426" s="35">
        <f>'1kpi_performance'!R426</f>
        <v>4.823575578</v>
      </c>
      <c r="BC426" s="35">
        <f>'1kpi_performance'!S426</f>
        <v>5.592023776</v>
      </c>
      <c r="BD426" s="35">
        <f>'1kpi_performance'!T426</f>
        <v>4.672578553</v>
      </c>
      <c r="BE426" s="35">
        <f>'1kpi_performance'!U426</f>
        <v>1.867249786</v>
      </c>
      <c r="BF426" s="47"/>
      <c r="BG426" s="47"/>
      <c r="BH426" s="47"/>
      <c r="BI426" s="47"/>
      <c r="BJ426" s="47"/>
      <c r="BK426" s="47"/>
      <c r="BL426" s="47"/>
      <c r="BM426" s="47"/>
      <c r="BN426" s="47"/>
      <c r="BO426" s="47"/>
      <c r="BP426" s="47"/>
      <c r="BQ426" s="47"/>
      <c r="BR426" s="47"/>
      <c r="BS426" s="47"/>
      <c r="BT426" s="47"/>
    </row>
    <row r="427" ht="11.25" customHeight="1">
      <c r="A427" s="35" t="str">
        <f>'13all_company_profile'!A427</f>
        <v>NEM</v>
      </c>
      <c r="B427" s="35" t="str">
        <f>'13all_company_profile'!B427</f>
        <v>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v>
      </c>
      <c r="C427" s="44" t="str">
        <f>'13all_company_profile'!C427</f>
        <v>https://financialmodelingprep.com/image-stock/NEM.png</v>
      </c>
      <c r="D427" s="35" t="str">
        <f>'13all_company_profile'!D427</f>
        <v>Newmont Corporation</v>
      </c>
      <c r="E427" s="36">
        <f>'13all_company_profile'!E427</f>
        <v>50833727488</v>
      </c>
      <c r="F427" s="37">
        <f>'13all_company_profile'!F427</f>
        <v>6711639</v>
      </c>
      <c r="G427" s="35">
        <f>'13all_company_profile'!G427</f>
        <v>1.75</v>
      </c>
      <c r="H427" s="38">
        <f>'13all_company_profile'!H427</f>
        <v>44399</v>
      </c>
      <c r="I427" s="35">
        <f>'13all_company_profile'!I427</f>
        <v>19.268904</v>
      </c>
      <c r="J427" s="35">
        <f>'13all_company_profile'!J427</f>
        <v>3.187</v>
      </c>
      <c r="K427" s="42">
        <f t="shared" si="1"/>
        <v>0.02895433488</v>
      </c>
      <c r="L427" s="35">
        <f>'7company_info'!B427</f>
        <v>60.44</v>
      </c>
      <c r="M427" s="35">
        <f>'7company_info'!C427</f>
        <v>61.88</v>
      </c>
      <c r="N427" s="35">
        <f>'7company_info'!D427</f>
        <v>60.01</v>
      </c>
      <c r="O427" s="35">
        <f>'7company_info'!E427</f>
        <v>-0.25</v>
      </c>
      <c r="P427" s="35">
        <f>'7company_info'!F427</f>
        <v>-0.0041</v>
      </c>
      <c r="Q427" s="35">
        <f>'7company_info'!G427</f>
        <v>61</v>
      </c>
      <c r="R427" s="35">
        <f>'7company_info'!H427</f>
        <v>60.69</v>
      </c>
      <c r="S427" s="35">
        <f>'7company_info'!I427</f>
        <v>54.18</v>
      </c>
      <c r="T427" s="35">
        <f>'7company_info'!J427</f>
        <v>75.31</v>
      </c>
      <c r="U427" s="39">
        <v>63.7866666666666</v>
      </c>
      <c r="V427" s="39">
        <v>64.2833333333333</v>
      </c>
      <c r="W427" s="40">
        <v>65.2066666666666</v>
      </c>
      <c r="X427" s="40">
        <v>66.6266666666666</v>
      </c>
      <c r="Y427" s="40">
        <v>62.8633333333333</v>
      </c>
      <c r="Z427" s="40">
        <v>62.3666666666666</v>
      </c>
      <c r="AA427" s="40">
        <v>60.9466666666666</v>
      </c>
      <c r="AB427" s="40">
        <v>62.9885</v>
      </c>
      <c r="AC427" s="40">
        <v>63.88</v>
      </c>
      <c r="AD427" s="40">
        <v>64.4054969750924</v>
      </c>
      <c r="AE427" s="40">
        <v>60.47256</v>
      </c>
      <c r="AF427" s="40">
        <v>1.45122</v>
      </c>
      <c r="AG427" s="40">
        <v>75.31</v>
      </c>
      <c r="AH427" s="45">
        <v>44335.0</v>
      </c>
      <c r="AI427" s="44" t="str">
        <f>'6image_RS_benchmark_performance'!B427</f>
        <v>https://3arbzfbsh-cname-us.ngrok.io/Desktop/seabridge%20fintech/image_app/NEM_resistance_support.jpg</v>
      </c>
      <c r="AJ427" s="44" t="str">
        <f>'6image_RS_benchmark_performance'!C427</f>
        <v>https://3arbzfbsh-cname-us.ngrok.io/Desktop/seabridge%20fintech/profit_graph_app/NEM_Return.jpg</v>
      </c>
      <c r="AK427" s="46" t="str">
        <f>'5price_action_icon'!B427</f>
        <v>https://3arbzfbsh-cname-us.ngrok.io/Desktop/seabridge%20fintech/icon/NEM_pa_trend_signal</v>
      </c>
      <c r="AL427" s="42">
        <f>'1kpi_performance'!B427</f>
        <v>0.6270946498</v>
      </c>
      <c r="AM427" s="42">
        <f>'1kpi_performance'!C427</f>
        <v>0.8385287675</v>
      </c>
      <c r="AN427" s="42">
        <f>'1kpi_performance'!D427</f>
        <v>0.7307487923</v>
      </c>
      <c r="AO427" s="42">
        <f>'1kpi_performance'!E427</f>
        <v>0.04840259931</v>
      </c>
      <c r="AP427" s="42">
        <f>'1kpi_performance'!F427</f>
        <v>0.2888467385</v>
      </c>
      <c r="AQ427" s="42">
        <f>'1kpi_performance'!G427</f>
        <v>0.2906193412</v>
      </c>
      <c r="AR427" s="42">
        <f>'1kpi_performance'!H427</f>
        <v>0.2824801499</v>
      </c>
      <c r="AS427" s="42">
        <f>'1kpi_performance'!I427</f>
        <v>0.424029033</v>
      </c>
      <c r="AT427" s="35">
        <f>'1kpi_performance'!J427</f>
        <v>2.084477924</v>
      </c>
      <c r="AU427" s="35">
        <f>'1kpi_performance'!K427</f>
        <v>2.799293275</v>
      </c>
      <c r="AV427" s="35">
        <f>'1kpi_performance'!L427</f>
        <v>2.498401366</v>
      </c>
      <c r="AW427" s="35">
        <f>'1kpi_performance'!M427</f>
        <v>0.05519103055</v>
      </c>
      <c r="AX427" s="42">
        <f>'1kpi_performance'!N427</f>
        <v>0.2059298144</v>
      </c>
      <c r="AY427" s="42">
        <f>'1kpi_performance'!O427</f>
        <v>0.1068388568</v>
      </c>
      <c r="AZ427" s="42">
        <f>'1kpi_performance'!P427</f>
        <v>0.3418233961</v>
      </c>
      <c r="BA427" s="42">
        <f>'1kpi_performance'!Q427</f>
        <v>0.7844166474</v>
      </c>
      <c r="BB427" s="35">
        <f>'1kpi_performance'!R427</f>
        <v>4.527463598</v>
      </c>
      <c r="BC427" s="35">
        <f>'1kpi_performance'!S427</f>
        <v>6.503809397</v>
      </c>
      <c r="BD427" s="35">
        <f>'1kpi_performance'!T427</f>
        <v>5.636757346</v>
      </c>
      <c r="BE427" s="35">
        <f>'1kpi_performance'!U427</f>
        <v>0.1102535469</v>
      </c>
      <c r="BF427" s="47"/>
      <c r="BG427" s="47"/>
      <c r="BH427" s="47"/>
      <c r="BI427" s="47"/>
      <c r="BJ427" s="47"/>
      <c r="BK427" s="47"/>
      <c r="BL427" s="47"/>
      <c r="BM427" s="47"/>
      <c r="BN427" s="47"/>
      <c r="BO427" s="47"/>
      <c r="BP427" s="47"/>
      <c r="BQ427" s="47"/>
      <c r="BR427" s="47"/>
      <c r="BS427" s="47"/>
      <c r="BT427" s="47"/>
    </row>
    <row r="428" ht="11.25" customHeight="1">
      <c r="A428" s="35" t="str">
        <f>'13all_company_profile'!A428</f>
        <v>NET</v>
      </c>
      <c r="B428" s="35" t="str">
        <f>'13all_company_profile'!B428</f>
        <v>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v>
      </c>
      <c r="C428" s="44" t="str">
        <f>'13all_company_profile'!C428</f>
        <v>https://financialmodelingprep.com/image-stock/NET.png</v>
      </c>
      <c r="D428" s="35" t="str">
        <f>'13all_company_profile'!D428</f>
        <v>Cloudflare, Inc.</v>
      </c>
      <c r="E428" s="36">
        <f>'13all_company_profile'!E428</f>
        <v>31907502080</v>
      </c>
      <c r="F428" s="37">
        <f>'13all_company_profile'!F428</f>
        <v>3877266</v>
      </c>
      <c r="G428" s="35">
        <f>'13all_company_profile'!G428</f>
        <v>0</v>
      </c>
      <c r="H428" s="38">
        <f>'13all_company_profile'!H428</f>
        <v>44412</v>
      </c>
      <c r="I428" s="35" t="str">
        <f>'13all_company_profile'!I428</f>
        <v>NaN</v>
      </c>
      <c r="J428" s="35">
        <f>'13all_company_profile'!J428</f>
        <v>-0.419</v>
      </c>
      <c r="K428" s="42" t="str">
        <f t="shared" si="1"/>
        <v>NaN</v>
      </c>
      <c r="L428" s="35">
        <f>'7company_info'!B428</f>
        <v>107.68</v>
      </c>
      <c r="M428" s="35">
        <f>'7company_info'!C428</f>
        <v>108.66</v>
      </c>
      <c r="N428" s="35">
        <f>'7company_info'!D428</f>
        <v>102.3</v>
      </c>
      <c r="O428" s="35">
        <f>'7company_info'!E428</f>
        <v>2.16</v>
      </c>
      <c r="P428" s="35">
        <f>'7company_info'!F428</f>
        <v>0.0205</v>
      </c>
      <c r="Q428" s="35">
        <f>'7company_info'!G428</f>
        <v>104.49</v>
      </c>
      <c r="R428" s="35">
        <f>'7company_info'!H428</f>
        <v>105.52</v>
      </c>
      <c r="S428" s="35">
        <f>'7company_info'!I428</f>
        <v>32.7</v>
      </c>
      <c r="T428" s="35">
        <f>'7company_info'!J428</f>
        <v>111.97</v>
      </c>
      <c r="U428" s="39">
        <v>105.62</v>
      </c>
      <c r="V428" s="39">
        <v>107.54</v>
      </c>
      <c r="W428" s="40">
        <v>110.7</v>
      </c>
      <c r="X428" s="40">
        <v>115.78</v>
      </c>
      <c r="Y428" s="40">
        <v>102.46</v>
      </c>
      <c r="Z428" s="40">
        <v>100.54</v>
      </c>
      <c r="AA428" s="40">
        <v>95.46</v>
      </c>
      <c r="AB428" s="40">
        <v>103.7</v>
      </c>
      <c r="AC428" s="40">
        <v>111.9699</v>
      </c>
      <c r="AD428" s="40">
        <v>102.917619919852</v>
      </c>
      <c r="AE428" s="40">
        <v>98.62446</v>
      </c>
      <c r="AF428" s="40">
        <v>4.04576999999999</v>
      </c>
      <c r="AG428" s="40">
        <v>109.98</v>
      </c>
      <c r="AH428" s="45">
        <v>44371.0</v>
      </c>
      <c r="AI428" s="44" t="str">
        <f>'6image_RS_benchmark_performance'!B428</f>
        <v>https://3arbzfbsh-cname-us.ngrok.io/Desktop/seabridge%20fintech/image_app/NET_resistance_support.jpg</v>
      </c>
      <c r="AJ428" s="44" t="str">
        <f>'6image_RS_benchmark_performance'!C428</f>
        <v>https://3arbzfbsh-cname-us.ngrok.io/Desktop/seabridge%20fintech/profit_graph_app/NET_Return.jpg</v>
      </c>
      <c r="AK428" s="46" t="str">
        <f>'5price_action_icon'!B428</f>
        <v>https://3arbzfbsh-cname-us.ngrok.io/Desktop/seabridge%20fintech/icon/NET_pa_trend_signal</v>
      </c>
      <c r="AL428" s="42">
        <f>'1kpi_performance'!B428</f>
        <v>2.773168723</v>
      </c>
      <c r="AM428" s="42">
        <f>'1kpi_performance'!C428</f>
        <v>4.380247524</v>
      </c>
      <c r="AN428" s="42">
        <f>'1kpi_performance'!D428</f>
        <v>5.555783553</v>
      </c>
      <c r="AO428" s="42">
        <f>'1kpi_performance'!E428</f>
        <v>2.945521273</v>
      </c>
      <c r="AP428" s="42">
        <f>'1kpi_performance'!F428</f>
        <v>0.5704844475</v>
      </c>
      <c r="AQ428" s="42">
        <f>'1kpi_performance'!G428</f>
        <v>0.6327901586</v>
      </c>
      <c r="AR428" s="42">
        <f>'1kpi_performance'!H428</f>
        <v>0.5660326306</v>
      </c>
      <c r="AS428" s="42">
        <f>'1kpi_performance'!I428</f>
        <v>0.7694243988</v>
      </c>
      <c r="AT428" s="35">
        <f>'1kpi_performance'!J428</f>
        <v>4.817254415</v>
      </c>
      <c r="AU428" s="35">
        <f>'1kpi_performance'!K428</f>
        <v>6.882609447</v>
      </c>
      <c r="AV428" s="35">
        <f>'1kpi_performance'!L428</f>
        <v>9.771139071</v>
      </c>
      <c r="AW428" s="35">
        <f>'1kpi_performance'!M428</f>
        <v>3.795722202</v>
      </c>
      <c r="AX428" s="42">
        <f>'1kpi_performance'!N428</f>
        <v>0.302480916</v>
      </c>
      <c r="AY428" s="42">
        <f>'1kpi_performance'!O428</f>
        <v>0.302480916</v>
      </c>
      <c r="AZ428" s="42">
        <f>'1kpi_performance'!P428</f>
        <v>0.2099375776</v>
      </c>
      <c r="BA428" s="42">
        <f>'1kpi_performance'!Q428</f>
        <v>0.3390755403</v>
      </c>
      <c r="BB428" s="35">
        <f>'1kpi_performance'!R428</f>
        <v>11.37326737</v>
      </c>
      <c r="BC428" s="35">
        <f>'1kpi_performance'!S428</f>
        <v>16.83880603</v>
      </c>
      <c r="BD428" s="35">
        <f>'1kpi_performance'!T428</f>
        <v>25.56294923</v>
      </c>
      <c r="BE428" s="35">
        <f>'1kpi_performance'!U428</f>
        <v>8.634279279</v>
      </c>
      <c r="BF428" s="47"/>
      <c r="BG428" s="47"/>
      <c r="BH428" s="47"/>
      <c r="BI428" s="47"/>
      <c r="BJ428" s="47"/>
      <c r="BK428" s="47"/>
      <c r="BL428" s="47"/>
      <c r="BM428" s="47"/>
      <c r="BN428" s="47"/>
      <c r="BO428" s="47"/>
      <c r="BP428" s="47"/>
      <c r="BQ428" s="47"/>
      <c r="BR428" s="47"/>
      <c r="BS428" s="47"/>
      <c r="BT428" s="47"/>
    </row>
    <row r="429" ht="11.25" customHeight="1">
      <c r="A429" s="35" t="str">
        <f>'13all_company_profile'!A429</f>
        <v>NFLX</v>
      </c>
      <c r="B429" s="35" t="str">
        <f>'13all_company_profile'!B429</f>
        <v>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v>
      </c>
      <c r="C429" s="44" t="str">
        <f>'13all_company_profile'!C429</f>
        <v>https://financialmodelingprep.com/image-stock/NFLX.png</v>
      </c>
      <c r="D429" s="35" t="str">
        <f>'13all_company_profile'!D429</f>
        <v>Netflix, Inc.</v>
      </c>
      <c r="E429" s="36">
        <f>'13all_company_profile'!E429</f>
        <v>240745660416</v>
      </c>
      <c r="F429" s="37">
        <f>'13all_company_profile'!F429</f>
        <v>4014958</v>
      </c>
      <c r="G429" s="35">
        <f>'13all_company_profile'!G429</f>
        <v>0</v>
      </c>
      <c r="H429" s="38">
        <f>'13all_company_profile'!H429</f>
        <v>44397</v>
      </c>
      <c r="I429" s="35">
        <f>'13all_company_profile'!I429</f>
        <v>64.04212</v>
      </c>
      <c r="J429" s="35">
        <f>'13all_company_profile'!J429</f>
        <v>8.263</v>
      </c>
      <c r="K429" s="42" t="str">
        <f t="shared" si="1"/>
        <v>NaN</v>
      </c>
      <c r="L429" s="35">
        <f>'7company_info'!B429</f>
        <v>531.05</v>
      </c>
      <c r="M429" s="35">
        <f>'7company_info'!C429</f>
        <v>536.64</v>
      </c>
      <c r="N429" s="35">
        <f>'7company_info'!D429</f>
        <v>520.3</v>
      </c>
      <c r="O429" s="35">
        <f>'7company_info'!E429</f>
        <v>-1.23</v>
      </c>
      <c r="P429" s="35">
        <f>'7company_info'!F429</f>
        <v>-0.0023</v>
      </c>
      <c r="Q429" s="35">
        <f>'7company_info'!G429</f>
        <v>526.07</v>
      </c>
      <c r="R429" s="35">
        <f>'7company_info'!H429</f>
        <v>532.28</v>
      </c>
      <c r="S429" s="35">
        <f>'7company_info'!I429</f>
        <v>458.6</v>
      </c>
      <c r="T429" s="35">
        <f>'7company_info'!J429</f>
        <v>593.29</v>
      </c>
      <c r="U429" s="39">
        <v>547.686666666666</v>
      </c>
      <c r="V429" s="39">
        <v>554.363333333333</v>
      </c>
      <c r="W429" s="40">
        <v>560.776666666666</v>
      </c>
      <c r="X429" s="40">
        <v>573.866666666666</v>
      </c>
      <c r="Y429" s="40">
        <v>541.273333333333</v>
      </c>
      <c r="Z429" s="40">
        <v>534.596666666666</v>
      </c>
      <c r="AA429" s="40">
        <v>521.506666666666</v>
      </c>
      <c r="AB429" s="40">
        <v>528.57</v>
      </c>
      <c r="AC429" s="40">
        <v>545.33</v>
      </c>
      <c r="AD429" s="40">
        <v>526.319551730879</v>
      </c>
      <c r="AE429" s="40">
        <v>520.40603</v>
      </c>
      <c r="AF429" s="40">
        <v>10.266485</v>
      </c>
      <c r="AG429" s="40">
        <v>593.2877</v>
      </c>
      <c r="AH429" s="45">
        <v>44216.0</v>
      </c>
      <c r="AI429" s="44" t="str">
        <f>'6image_RS_benchmark_performance'!B429</f>
        <v>https://3arbzfbsh-cname-us.ngrok.io/Desktop/seabridge%20fintech/image_app/NFLX_resistance_support.jpg</v>
      </c>
      <c r="AJ429" s="44" t="str">
        <f>'6image_RS_benchmark_performance'!C429</f>
        <v>https://3arbzfbsh-cname-us.ngrok.io/Desktop/seabridge%20fintech/profit_graph_app/NFLX_Return.jpg</v>
      </c>
      <c r="AK429" s="46" t="str">
        <f>'5price_action_icon'!B429</f>
        <v>https://3arbzfbsh-cname-us.ngrok.io/Desktop/seabridge%20fintech/icon/NFLX_pa_trend_signal</v>
      </c>
      <c r="AL429" s="42">
        <f>'1kpi_performance'!B429</f>
        <v>1.717794826</v>
      </c>
      <c r="AM429" s="42">
        <f>'1kpi_performance'!C429</f>
        <v>2.389353564</v>
      </c>
      <c r="AN429" s="42">
        <f>'1kpi_performance'!D429</f>
        <v>1.471989931</v>
      </c>
      <c r="AO429" s="42">
        <f>'1kpi_performance'!E429</f>
        <v>0.7123862221</v>
      </c>
      <c r="AP429" s="42">
        <f>'1kpi_performance'!F429</f>
        <v>0.4633715171</v>
      </c>
      <c r="AQ429" s="42">
        <f>'1kpi_performance'!G429</f>
        <v>0.4498559002</v>
      </c>
      <c r="AR429" s="42">
        <f>'1kpi_performance'!H429</f>
        <v>0.431040233</v>
      </c>
      <c r="AS429" s="42">
        <f>'1kpi_performance'!I429</f>
        <v>0.6099095689</v>
      </c>
      <c r="AT429" s="35">
        <f>'1kpi_performance'!J429</f>
        <v>3.653212947</v>
      </c>
      <c r="AU429" s="35">
        <f>'1kpi_performance'!K429</f>
        <v>5.255802054</v>
      </c>
      <c r="AV429" s="35">
        <f>'1kpi_performance'!L429</f>
        <v>3.356971856</v>
      </c>
      <c r="AW429" s="35">
        <f>'1kpi_performance'!M429</f>
        <v>1.127029739</v>
      </c>
      <c r="AX429" s="42">
        <f>'1kpi_performance'!N429</f>
        <v>0.4286207258</v>
      </c>
      <c r="AY429" s="42">
        <f>'1kpi_performance'!O429</f>
        <v>0.1145378031</v>
      </c>
      <c r="AZ429" s="42">
        <f>'1kpi_performance'!P429</f>
        <v>0.7297359866</v>
      </c>
      <c r="BA429" s="42">
        <f>'1kpi_performance'!Q429</f>
        <v>0.8199040805</v>
      </c>
      <c r="BB429" s="35">
        <f>'1kpi_performance'!R429</f>
        <v>9.026937411</v>
      </c>
      <c r="BC429" s="35">
        <f>'1kpi_performance'!S429</f>
        <v>16.49695869</v>
      </c>
      <c r="BD429" s="35">
        <f>'1kpi_performance'!T429</f>
        <v>7.134235692</v>
      </c>
      <c r="BE429" s="35">
        <f>'1kpi_performance'!U429</f>
        <v>2.375793081</v>
      </c>
      <c r="BF429" s="47"/>
      <c r="BG429" s="47"/>
      <c r="BH429" s="47"/>
      <c r="BI429" s="47"/>
      <c r="BJ429" s="47"/>
      <c r="BK429" s="47"/>
      <c r="BL429" s="47"/>
      <c r="BM429" s="47"/>
      <c r="BN429" s="47"/>
      <c r="BO429" s="47"/>
      <c r="BP429" s="47"/>
      <c r="BQ429" s="47"/>
      <c r="BR429" s="47"/>
      <c r="BS429" s="47"/>
      <c r="BT429" s="47"/>
    </row>
    <row r="430" ht="11.25" customHeight="1">
      <c r="A430" s="35" t="str">
        <f>'13all_company_profile'!A430</f>
        <v>NI</v>
      </c>
      <c r="B430" s="35" t="str">
        <f>'13all_company_profile'!B430</f>
        <v>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v>
      </c>
      <c r="C430" s="44" t="str">
        <f>'13all_company_profile'!C430</f>
        <v>https://financialmodelingprep.com/image-stock/NI.png</v>
      </c>
      <c r="D430" s="35" t="str">
        <f>'13all_company_profile'!D430</f>
        <v>NiSource Inc.</v>
      </c>
      <c r="E430" s="36">
        <f>'13all_company_profile'!E430</f>
        <v>10013299712</v>
      </c>
      <c r="F430" s="37">
        <f>'13all_company_profile'!F430</f>
        <v>3540385</v>
      </c>
      <c r="G430" s="35">
        <f>'13all_company_profile'!G430</f>
        <v>1.08</v>
      </c>
      <c r="H430" s="38">
        <f>'13all_company_profile'!H430</f>
        <v>44411</v>
      </c>
      <c r="I430" s="35">
        <f>'13all_company_profile'!I430</f>
        <v>67.62402</v>
      </c>
      <c r="J430" s="35">
        <f>'13all_company_profile'!J430</f>
        <v>0.383</v>
      </c>
      <c r="K430" s="42">
        <f t="shared" si="1"/>
        <v>0.04290822408</v>
      </c>
      <c r="L430" s="35">
        <f>'7company_info'!B430</f>
        <v>25.17</v>
      </c>
      <c r="M430" s="35">
        <f>'7company_info'!C430</f>
        <v>25.45</v>
      </c>
      <c r="N430" s="35">
        <f>'7company_info'!D430</f>
        <v>24.99</v>
      </c>
      <c r="O430" s="35">
        <f>'7company_info'!E430</f>
        <v>0.21</v>
      </c>
      <c r="P430" s="35">
        <f>'7company_info'!F430</f>
        <v>0.0084</v>
      </c>
      <c r="Q430" s="35">
        <f>'7company_info'!G430</f>
        <v>25.01</v>
      </c>
      <c r="R430" s="35">
        <f>'7company_info'!H430</f>
        <v>24.96</v>
      </c>
      <c r="S430" s="35">
        <f>'7company_info'!I430</f>
        <v>21.09</v>
      </c>
      <c r="T430" s="35">
        <f>'7company_info'!J430</f>
        <v>26.6</v>
      </c>
      <c r="U430" s="39">
        <v>25.0583333333333</v>
      </c>
      <c r="V430" s="39">
        <v>25.3766666666666</v>
      </c>
      <c r="W430" s="40">
        <v>25.5733333333333</v>
      </c>
      <c r="X430" s="40">
        <v>26.0883333333333</v>
      </c>
      <c r="Y430" s="40">
        <v>24.8616666666666</v>
      </c>
      <c r="Z430" s="40">
        <v>24.5433333333333</v>
      </c>
      <c r="AA430" s="40">
        <v>24.0283333333333</v>
      </c>
      <c r="AB430" s="40">
        <v>24.34</v>
      </c>
      <c r="AC430" s="40">
        <v>25.12</v>
      </c>
      <c r="AD430" s="40">
        <v>25.121059701623</v>
      </c>
      <c r="AE430" s="40">
        <v>24.1415</v>
      </c>
      <c r="AF430" s="40">
        <v>0.422749999999999</v>
      </c>
      <c r="AG430" s="40">
        <v>26.6</v>
      </c>
      <c r="AH430" s="45">
        <v>44326.0</v>
      </c>
      <c r="AI430" s="44" t="str">
        <f>'6image_RS_benchmark_performance'!B430</f>
        <v>https://3arbzfbsh-cname-us.ngrok.io/Desktop/seabridge%20fintech/image_app/NI_resistance_support.jpg</v>
      </c>
      <c r="AJ430" s="44" t="str">
        <f>'6image_RS_benchmark_performance'!C430</f>
        <v>https://3arbzfbsh-cname-us.ngrok.io/Desktop/seabridge%20fintech/profit_graph_app/NI_Return.jpg</v>
      </c>
      <c r="AK430" s="46" t="str">
        <f>'5price_action_icon'!B430</f>
        <v>https://3arbzfbsh-cname-us.ngrok.io/Desktop/seabridge%20fintech/icon/NI_pa_trend_signal</v>
      </c>
      <c r="AL430" s="42">
        <f>'1kpi_performance'!B430</f>
        <v>0.3694283806</v>
      </c>
      <c r="AM430" s="42">
        <f>'1kpi_performance'!C430</f>
        <v>0.4829713125</v>
      </c>
      <c r="AN430" s="42">
        <f>'1kpi_performance'!D430</f>
        <v>0.3663510041</v>
      </c>
      <c r="AO430" s="42">
        <f>'1kpi_performance'!E430</f>
        <v>0.1996447374</v>
      </c>
      <c r="AP430" s="42">
        <f>'1kpi_performance'!F430</f>
        <v>0.1722848706</v>
      </c>
      <c r="AQ430" s="42">
        <f>'1kpi_performance'!G430</f>
        <v>0.1804487117</v>
      </c>
      <c r="AR430" s="42">
        <f>'1kpi_performance'!H430</f>
        <v>0.2018675379</v>
      </c>
      <c r="AS430" s="42">
        <f>'1kpi_performance'!I430</f>
        <v>0.2683332911</v>
      </c>
      <c r="AT430" s="35">
        <f>'1kpi_performance'!J430</f>
        <v>1.999179495</v>
      </c>
      <c r="AU430" s="35">
        <f>'1kpi_performance'!K430</f>
        <v>2.537958338</v>
      </c>
      <c r="AV430" s="35">
        <f>'1kpi_performance'!L430</f>
        <v>1.690965311</v>
      </c>
      <c r="AW430" s="35">
        <f>'1kpi_performance'!M430</f>
        <v>0.6508500554</v>
      </c>
      <c r="AX430" s="42">
        <f>'1kpi_performance'!N430</f>
        <v>0.1376533742</v>
      </c>
      <c r="AY430" s="42">
        <f>'1kpi_performance'!O430</f>
        <v>0.1376533742</v>
      </c>
      <c r="AZ430" s="42">
        <f>'1kpi_performance'!P430</f>
        <v>0.3124907301</v>
      </c>
      <c r="BA430" s="42">
        <f>'1kpi_performance'!Q430</f>
        <v>0.317408377</v>
      </c>
      <c r="BB430" s="35">
        <f>'1kpi_performance'!R430</f>
        <v>3.954245357</v>
      </c>
      <c r="BC430" s="35">
        <f>'1kpi_performance'!S430</f>
        <v>5.32322152</v>
      </c>
      <c r="BD430" s="35">
        <f>'1kpi_performance'!T430</f>
        <v>3.147993419</v>
      </c>
      <c r="BE430" s="35">
        <f>'1kpi_performance'!U430</f>
        <v>1.219887199</v>
      </c>
      <c r="BF430" s="47"/>
      <c r="BG430" s="47"/>
      <c r="BH430" s="47"/>
      <c r="BI430" s="47"/>
      <c r="BJ430" s="47"/>
      <c r="BK430" s="47"/>
      <c r="BL430" s="47"/>
      <c r="BM430" s="47"/>
      <c r="BN430" s="47"/>
      <c r="BO430" s="47"/>
      <c r="BP430" s="47"/>
      <c r="BQ430" s="47"/>
      <c r="BR430" s="47"/>
      <c r="BS430" s="47"/>
      <c r="BT430" s="47"/>
    </row>
    <row r="431" ht="11.25" customHeight="1">
      <c r="A431" s="35" t="str">
        <f>'13all_company_profile'!A431</f>
        <v>NKE</v>
      </c>
      <c r="B431" s="35" t="str">
        <f>'13all_company_profile'!B431</f>
        <v>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v>
      </c>
      <c r="C431" s="44" t="str">
        <f>'13all_company_profile'!C431</f>
        <v>https://financialmodelingprep.com/image-stock/NKE.png</v>
      </c>
      <c r="D431" s="35" t="str">
        <f>'13all_company_profile'!D431</f>
        <v>NIKE, Inc.</v>
      </c>
      <c r="E431" s="36">
        <f>'13all_company_profile'!E431</f>
        <v>255354748928</v>
      </c>
      <c r="F431" s="37">
        <f>'13all_company_profile'!F431</f>
        <v>7259293</v>
      </c>
      <c r="G431" s="35">
        <f>'13all_company_profile'!G431</f>
        <v>1.07</v>
      </c>
      <c r="H431" s="38" t="str">
        <f>'13all_company_profile'!H431</f>
        <v>not avaiable</v>
      </c>
      <c r="I431" s="35">
        <f>'13all_company_profile'!I431</f>
        <v>44.935394</v>
      </c>
      <c r="J431" s="35">
        <f>'13all_company_profile'!J431</f>
        <v>3.56</v>
      </c>
      <c r="K431" s="42">
        <f t="shared" si="1"/>
        <v>0.006698384875</v>
      </c>
      <c r="L431" s="35">
        <f>'7company_info'!B431</f>
        <v>159.74</v>
      </c>
      <c r="M431" s="35">
        <f>'7company_info'!C431</f>
        <v>160.43</v>
      </c>
      <c r="N431" s="35">
        <f>'7company_info'!D431</f>
        <v>156.58</v>
      </c>
      <c r="O431" s="35">
        <f>'7company_info'!E431</f>
        <v>1.87</v>
      </c>
      <c r="P431" s="35">
        <f>'7company_info'!F431</f>
        <v>0.0118</v>
      </c>
      <c r="Q431" s="35">
        <f>'7company_info'!G431</f>
        <v>157.26</v>
      </c>
      <c r="R431" s="35">
        <f>'7company_info'!H431</f>
        <v>157.87</v>
      </c>
      <c r="S431" s="35">
        <f>'7company_info'!I431</f>
        <v>95.11</v>
      </c>
      <c r="T431" s="35">
        <f>'7company_info'!J431</f>
        <v>162.73</v>
      </c>
      <c r="U431" s="39">
        <v>161.87</v>
      </c>
      <c r="V431" s="39">
        <v>162.4</v>
      </c>
      <c r="W431" s="40">
        <v>163.26</v>
      </c>
      <c r="X431" s="40">
        <v>164.649999999999</v>
      </c>
      <c r="Y431" s="40">
        <v>161.01</v>
      </c>
      <c r="Z431" s="40">
        <v>160.48</v>
      </c>
      <c r="AA431" s="40">
        <v>159.09</v>
      </c>
      <c r="AB431" s="40">
        <v>157.35</v>
      </c>
      <c r="AC431" s="40">
        <v>162.73</v>
      </c>
      <c r="AD431" s="40">
        <v>151.635466591531</v>
      </c>
      <c r="AE431" s="40">
        <v>154.84625</v>
      </c>
      <c r="AF431" s="40">
        <v>3.34537499999999</v>
      </c>
      <c r="AG431" s="40">
        <v>146.66</v>
      </c>
      <c r="AH431" s="45">
        <v>44273.0</v>
      </c>
      <c r="AI431" s="44" t="str">
        <f>'6image_RS_benchmark_performance'!B431</f>
        <v>https://3arbzfbsh-cname-us.ngrok.io/Desktop/seabridge%20fintech/image_app/NKE_resistance_support.jpg</v>
      </c>
      <c r="AJ431" s="44" t="str">
        <f>'6image_RS_benchmark_performance'!C431</f>
        <v>https://3arbzfbsh-cname-us.ngrok.io/Desktop/seabridge%20fintech/profit_graph_app/NKE_Return.jpg</v>
      </c>
      <c r="AK431" s="46" t="str">
        <f>'5price_action_icon'!B431</f>
        <v>https://3arbzfbsh-cname-us.ngrok.io/Desktop/seabridge%20fintech/icon/NKE_pa_trend_signal</v>
      </c>
      <c r="AL431" s="42">
        <f>'1kpi_performance'!B431</f>
        <v>0.632908965</v>
      </c>
      <c r="AM431" s="42">
        <f>'1kpi_performance'!C431</f>
        <v>0.8341535177</v>
      </c>
      <c r="AN431" s="42">
        <f>'1kpi_performance'!D431</f>
        <v>0.6822502599</v>
      </c>
      <c r="AO431" s="42">
        <f>'1kpi_performance'!E431</f>
        <v>0.3348555002</v>
      </c>
      <c r="AP431" s="42">
        <f>'1kpi_performance'!F431</f>
        <v>0.2070217365</v>
      </c>
      <c r="AQ431" s="42">
        <f>'1kpi_performance'!G431</f>
        <v>0.2253554675</v>
      </c>
      <c r="AR431" s="42">
        <f>'1kpi_performance'!H431</f>
        <v>0.2111183375</v>
      </c>
      <c r="AS431" s="42">
        <f>'1kpi_performance'!I431</f>
        <v>0.3129155312</v>
      </c>
      <c r="AT431" s="35">
        <f>'1kpi_performance'!J431</f>
        <v>2.936449937</v>
      </c>
      <c r="AU431" s="35">
        <f>'1kpi_performance'!K431</f>
        <v>3.590565282</v>
      </c>
      <c r="AV431" s="35">
        <f>'1kpi_performance'!L431</f>
        <v>3.113184139</v>
      </c>
      <c r="AW431" s="35">
        <f>'1kpi_performance'!M431</f>
        <v>0.990220904</v>
      </c>
      <c r="AX431" s="42">
        <f>'1kpi_performance'!N431</f>
        <v>0.09916590553</v>
      </c>
      <c r="AY431" s="42">
        <f>'1kpi_performance'!O431</f>
        <v>0.08301105346</v>
      </c>
      <c r="AZ431" s="42">
        <f>'1kpi_performance'!P431</f>
        <v>0.1732388073</v>
      </c>
      <c r="BA431" s="42">
        <f>'1kpi_performance'!Q431</f>
        <v>0.399502773</v>
      </c>
      <c r="BB431" s="35">
        <f>'1kpi_performance'!R431</f>
        <v>7.292002873</v>
      </c>
      <c r="BC431" s="35">
        <f>'1kpi_performance'!S431</f>
        <v>9.603295409</v>
      </c>
      <c r="BD431" s="35">
        <f>'1kpi_performance'!T431</f>
        <v>7.632415379</v>
      </c>
      <c r="BE431" s="35">
        <f>'1kpi_performance'!U431</f>
        <v>2.059698823</v>
      </c>
      <c r="BF431" s="47"/>
      <c r="BG431" s="47"/>
      <c r="BH431" s="47"/>
      <c r="BI431" s="47"/>
      <c r="BJ431" s="47"/>
      <c r="BK431" s="47"/>
      <c r="BL431" s="47"/>
      <c r="BM431" s="47"/>
      <c r="BN431" s="47"/>
      <c r="BO431" s="47"/>
      <c r="BP431" s="47"/>
      <c r="BQ431" s="47"/>
      <c r="BR431" s="47"/>
      <c r="BS431" s="47"/>
      <c r="BT431" s="47"/>
    </row>
    <row r="432" ht="11.25" customHeight="1">
      <c r="A432" s="35" t="str">
        <f>'13all_company_profile'!A432</f>
        <v>NLOK</v>
      </c>
      <c r="B432" s="35" t="str">
        <f>'13all_company_profile'!B432</f>
        <v>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v>
      </c>
      <c r="C432" s="44" t="str">
        <f>'13all_company_profile'!C432</f>
        <v>https://financialmodelingprep.com/image-stock/NLOK.png</v>
      </c>
      <c r="D432" s="35" t="str">
        <f>'13all_company_profile'!D432</f>
        <v>NortonLifeLock Inc.</v>
      </c>
      <c r="E432" s="36">
        <f>'13all_company_profile'!E432</f>
        <v>14997379072</v>
      </c>
      <c r="F432" s="37">
        <f>'13all_company_profile'!F432</f>
        <v>5537103</v>
      </c>
      <c r="G432" s="35">
        <f>'13all_company_profile'!G432</f>
        <v>0.5</v>
      </c>
      <c r="H432" s="38">
        <f>'13all_company_profile'!H432</f>
        <v>44412</v>
      </c>
      <c r="I432" s="35">
        <f>'13all_company_profile'!I432</f>
        <v>28.228603</v>
      </c>
      <c r="J432" s="35">
        <f>'13all_company_profile'!J432</f>
        <v>0.923</v>
      </c>
      <c r="K432" s="42">
        <f t="shared" si="1"/>
        <v>0.0193723363</v>
      </c>
      <c r="L432" s="35">
        <f>'7company_info'!B432</f>
        <v>25.81</v>
      </c>
      <c r="M432" s="35">
        <f>'7company_info'!C432</f>
        <v>26.18</v>
      </c>
      <c r="N432" s="35">
        <f>'7company_info'!D432</f>
        <v>25.74</v>
      </c>
      <c r="O432" s="35">
        <f>'7company_info'!E432</f>
        <v>-0.23</v>
      </c>
      <c r="P432" s="35">
        <f>'7company_info'!F432</f>
        <v>-0.0088</v>
      </c>
      <c r="Q432" s="35">
        <f>'7company_info'!G432</f>
        <v>26.1</v>
      </c>
      <c r="R432" s="35">
        <f>'7company_info'!H432</f>
        <v>26.04</v>
      </c>
      <c r="S432" s="35">
        <f>'7company_info'!I432</f>
        <v>17.98</v>
      </c>
      <c r="T432" s="35">
        <f>'7company_info'!J432</f>
        <v>28.92</v>
      </c>
      <c r="U432" s="39">
        <v>27.2233333333333</v>
      </c>
      <c r="V432" s="39">
        <v>28.3666666666666</v>
      </c>
      <c r="W432" s="40">
        <v>29.8233333333333</v>
      </c>
      <c r="X432" s="40">
        <v>32.4233333333333</v>
      </c>
      <c r="Y432" s="40">
        <v>25.7666666666666</v>
      </c>
      <c r="Z432" s="40">
        <v>24.6233333333333</v>
      </c>
      <c r="AA432" s="40">
        <v>22.0233333333333</v>
      </c>
      <c r="AB432" s="40">
        <v>27.5217</v>
      </c>
      <c r="AC432" s="40">
        <v>27.595</v>
      </c>
      <c r="AD432" s="40">
        <v>27.3056491370808</v>
      </c>
      <c r="AE432" s="40">
        <v>26.15797</v>
      </c>
      <c r="AF432" s="40">
        <v>0.616264999999999</v>
      </c>
      <c r="AG432" s="40">
        <v>28.917</v>
      </c>
      <c r="AH432" s="45">
        <v>44357.0</v>
      </c>
      <c r="AI432" s="44" t="str">
        <f>'6image_RS_benchmark_performance'!B432</f>
        <v>https://3arbzfbsh-cname-us.ngrok.io/Desktop/seabridge%20fintech/image_app/NLOK_resistance_support.jpg</v>
      </c>
      <c r="AJ432" s="44" t="str">
        <f>'6image_RS_benchmark_performance'!C432</f>
        <v>https://3arbzfbsh-cname-us.ngrok.io/Desktop/seabridge%20fintech/profit_graph_app/NLOK_Return.jpg</v>
      </c>
      <c r="AK432" s="46" t="str">
        <f>'5price_action_icon'!B432</f>
        <v>https://3arbzfbsh-cname-us.ngrok.io/Desktop/seabridge%20fintech/icon/NLOK_pa_trend_signal</v>
      </c>
      <c r="AL432" s="42">
        <f>'1kpi_performance'!B432</f>
        <v>0.6769289136</v>
      </c>
      <c r="AM432" s="42">
        <f>'1kpi_performance'!C432</f>
        <v>0.8175661469</v>
      </c>
      <c r="AN432" s="42">
        <f>'1kpi_performance'!D432</f>
        <v>0.8159830852</v>
      </c>
      <c r="AO432" s="42">
        <f>'1kpi_performance'!E432</f>
        <v>0.1516575879</v>
      </c>
      <c r="AP432" s="42">
        <f>'1kpi_performance'!F432</f>
        <v>0.234017268</v>
      </c>
      <c r="AQ432" s="42">
        <f>'1kpi_performance'!G432</f>
        <v>0.2434461572</v>
      </c>
      <c r="AR432" s="42">
        <f>'1kpi_performance'!H432</f>
        <v>0.2615868888</v>
      </c>
      <c r="AS432" s="42">
        <f>'1kpi_performance'!I432</f>
        <v>0.3720315993</v>
      </c>
      <c r="AT432" s="35">
        <f>'1kpi_performance'!J432</f>
        <v>2.785815419</v>
      </c>
      <c r="AU432" s="35">
        <f>'1kpi_performance'!K432</f>
        <v>3.255611656</v>
      </c>
      <c r="AV432" s="35">
        <f>'1kpi_performance'!L432</f>
        <v>3.023787196</v>
      </c>
      <c r="AW432" s="35">
        <f>'1kpi_performance'!M432</f>
        <v>0.3404484676</v>
      </c>
      <c r="AX432" s="42">
        <f>'1kpi_performance'!N432</f>
        <v>0.1147300135</v>
      </c>
      <c r="AY432" s="42">
        <f>'1kpi_performance'!O432</f>
        <v>0.1606578552</v>
      </c>
      <c r="AZ432" s="42">
        <f>'1kpi_performance'!P432</f>
        <v>0.2253410202</v>
      </c>
      <c r="BA432" s="42">
        <f>'1kpi_performance'!Q432</f>
        <v>0.48243854</v>
      </c>
      <c r="BB432" s="35">
        <f>'1kpi_performance'!R432</f>
        <v>6.334815353</v>
      </c>
      <c r="BC432" s="35">
        <f>'1kpi_performance'!S432</f>
        <v>8.325544592</v>
      </c>
      <c r="BD432" s="35">
        <f>'1kpi_performance'!T432</f>
        <v>6.533345775</v>
      </c>
      <c r="BE432" s="35">
        <f>'1kpi_performance'!U432</f>
        <v>0.6183562963</v>
      </c>
      <c r="BF432" s="47"/>
      <c r="BG432" s="47"/>
      <c r="BH432" s="47"/>
      <c r="BI432" s="47"/>
      <c r="BJ432" s="47"/>
      <c r="BK432" s="47"/>
      <c r="BL432" s="47"/>
      <c r="BM432" s="47"/>
      <c r="BN432" s="47"/>
      <c r="BO432" s="47"/>
      <c r="BP432" s="47"/>
      <c r="BQ432" s="47"/>
      <c r="BR432" s="47"/>
      <c r="BS432" s="47"/>
      <c r="BT432" s="47"/>
    </row>
    <row r="433" ht="11.25" customHeight="1">
      <c r="A433" s="35" t="str">
        <f>'13all_company_profile'!A433</f>
        <v>NLSN</v>
      </c>
      <c r="B433" s="35" t="str">
        <f>'13all_company_profile'!B433</f>
        <v>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v>
      </c>
      <c r="C433" s="44" t="str">
        <f>'13all_company_profile'!C433</f>
        <v>https://financialmodelingprep.com/image-stock/NLSN.png</v>
      </c>
      <c r="D433" s="35" t="str">
        <f>'13all_company_profile'!D433</f>
        <v>Nielsen Holdings plc</v>
      </c>
      <c r="E433" s="36">
        <f>'13all_company_profile'!E433</f>
        <v>8578832896</v>
      </c>
      <c r="F433" s="37">
        <f>'13all_company_profile'!F433</f>
        <v>2880925</v>
      </c>
      <c r="G433" s="35">
        <f>'13all_company_profile'!G433</f>
        <v>0.24</v>
      </c>
      <c r="H433" s="38">
        <f>'13all_company_profile'!H433</f>
        <v>44411</v>
      </c>
      <c r="I433" s="35">
        <f>'13all_company_profile'!I433</f>
        <v>14.621072</v>
      </c>
      <c r="J433" s="35">
        <f>'13all_company_profile'!J433</f>
        <v>1.623</v>
      </c>
      <c r="K433" s="42">
        <f t="shared" si="1"/>
        <v>0.009954375778</v>
      </c>
      <c r="L433" s="35">
        <f>'7company_info'!B433</f>
        <v>24.11</v>
      </c>
      <c r="M433" s="35">
        <f>'7company_info'!C433</f>
        <v>24.15</v>
      </c>
      <c r="N433" s="35">
        <f>'7company_info'!D433</f>
        <v>23.23</v>
      </c>
      <c r="O433" s="35">
        <f>'7company_info'!E433</f>
        <v>0.9</v>
      </c>
      <c r="P433" s="35">
        <f>'7company_info'!F433</f>
        <v>0.0388</v>
      </c>
      <c r="Q433" s="35">
        <f>'7company_info'!G433</f>
        <v>23.3</v>
      </c>
      <c r="R433" s="35">
        <f>'7company_info'!H433</f>
        <v>23.21</v>
      </c>
      <c r="S433" s="35">
        <f>'7company_info'!I433</f>
        <v>13.13</v>
      </c>
      <c r="T433" s="35">
        <f>'7company_info'!J433</f>
        <v>28.42</v>
      </c>
      <c r="U433" s="39">
        <v>23.94</v>
      </c>
      <c r="V433" s="39">
        <v>24.19</v>
      </c>
      <c r="W433" s="40">
        <v>24.37</v>
      </c>
      <c r="X433" s="40">
        <v>24.8</v>
      </c>
      <c r="Y433" s="40">
        <v>23.76</v>
      </c>
      <c r="Z433" s="40">
        <v>23.51</v>
      </c>
      <c r="AA433" s="40">
        <v>23.08</v>
      </c>
      <c r="AB433" s="40">
        <v>26.52</v>
      </c>
      <c r="AC433" s="40">
        <v>24.45</v>
      </c>
      <c r="AD433" s="40">
        <v>24.7239832991016</v>
      </c>
      <c r="AE433" s="40">
        <v>22.623</v>
      </c>
      <c r="AF433" s="40">
        <v>0.5415</v>
      </c>
      <c r="AG433" s="40">
        <v>28.42</v>
      </c>
      <c r="AH433" s="45">
        <v>44326.0</v>
      </c>
      <c r="AI433" s="44" t="str">
        <f>'6image_RS_benchmark_performance'!B433</f>
        <v>https://3arbzfbsh-cname-us.ngrok.io/Desktop/seabridge%20fintech/image_app/NLSN_resistance_support.jpg</v>
      </c>
      <c r="AJ433" s="44" t="str">
        <f>'6image_RS_benchmark_performance'!C433</f>
        <v>https://3arbzfbsh-cname-us.ngrok.io/Desktop/seabridge%20fintech/profit_graph_app/NLSN_Return.jpg</v>
      </c>
      <c r="AK433" s="46" t="str">
        <f>'5price_action_icon'!B433</f>
        <v>https://3arbzfbsh-cname-us.ngrok.io/Desktop/seabridge%20fintech/icon/NLSN_pa_trend_signal</v>
      </c>
      <c r="AL433" s="42">
        <f>'1kpi_performance'!B433</f>
        <v>0.3470104412</v>
      </c>
      <c r="AM433" s="42">
        <f>'1kpi_performance'!C433</f>
        <v>0.5355776751</v>
      </c>
      <c r="AN433" s="42">
        <f>'1kpi_performance'!D433</f>
        <v>0.6325746067</v>
      </c>
      <c r="AO433" s="42">
        <f>'1kpi_performance'!E433</f>
        <v>-0.005509245641</v>
      </c>
      <c r="AP433" s="42">
        <f>'1kpi_performance'!F433</f>
        <v>0.2511380187</v>
      </c>
      <c r="AQ433" s="42">
        <f>'1kpi_performance'!G433</f>
        <v>0.2355141593</v>
      </c>
      <c r="AR433" s="42">
        <f>'1kpi_performance'!H433</f>
        <v>0.2314040137</v>
      </c>
      <c r="AS433" s="42">
        <f>'1kpi_performance'!I433</f>
        <v>0.3713405541</v>
      </c>
      <c r="AT433" s="35">
        <f>'1kpi_performance'!J433</f>
        <v>1.282205071</v>
      </c>
      <c r="AU433" s="35">
        <f>'1kpi_performance'!K433</f>
        <v>2.167927723</v>
      </c>
      <c r="AV433" s="35">
        <f>'1kpi_performance'!L433</f>
        <v>2.625600986</v>
      </c>
      <c r="AW433" s="35">
        <f>'1kpi_performance'!M433</f>
        <v>-0.0821597461</v>
      </c>
      <c r="AX433" s="42">
        <f>'1kpi_performance'!N433</f>
        <v>0.219551275</v>
      </c>
      <c r="AY433" s="42">
        <f>'1kpi_performance'!O433</f>
        <v>0.1832846427</v>
      </c>
      <c r="AZ433" s="42">
        <f>'1kpi_performance'!P433</f>
        <v>0.1793061648</v>
      </c>
      <c r="BA433" s="42">
        <f>'1kpi_performance'!Q433</f>
        <v>0.7876724601</v>
      </c>
      <c r="BB433" s="35">
        <f>'1kpi_performance'!R433</f>
        <v>2.58710806</v>
      </c>
      <c r="BC433" s="35">
        <f>'1kpi_performance'!S433</f>
        <v>4.937716681</v>
      </c>
      <c r="BD433" s="35">
        <f>'1kpi_performance'!T433</f>
        <v>5.844508913</v>
      </c>
      <c r="BE433" s="35">
        <f>'1kpi_performance'!U433</f>
        <v>-0.1513736728</v>
      </c>
      <c r="BF433" s="47"/>
      <c r="BG433" s="47"/>
      <c r="BH433" s="47"/>
      <c r="BI433" s="47"/>
      <c r="BJ433" s="47"/>
      <c r="BK433" s="47"/>
      <c r="BL433" s="47"/>
      <c r="BM433" s="47"/>
      <c r="BN433" s="47"/>
      <c r="BO433" s="47"/>
      <c r="BP433" s="47"/>
      <c r="BQ433" s="47"/>
      <c r="BR433" s="47"/>
      <c r="BS433" s="47"/>
      <c r="BT433" s="47"/>
    </row>
    <row r="434" ht="11.25" customHeight="1">
      <c r="A434" s="35" t="str">
        <f>'13all_company_profile'!A434</f>
        <v>NOC</v>
      </c>
      <c r="B434" s="35" t="str">
        <f>'13all_company_profile'!B434</f>
        <v>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v>
      </c>
      <c r="C434" s="44" t="str">
        <f>'13all_company_profile'!C434</f>
        <v>https://financialmodelingprep.com/image-stock/NOC.png</v>
      </c>
      <c r="D434" s="35" t="str">
        <f>'13all_company_profile'!D434</f>
        <v>Northrop Grumman Corporation</v>
      </c>
      <c r="E434" s="36">
        <f>'13all_company_profile'!E434</f>
        <v>58578534400</v>
      </c>
      <c r="F434" s="37">
        <f>'13all_company_profile'!F434</f>
        <v>862552</v>
      </c>
      <c r="G434" s="35">
        <f>'13all_company_profile'!G434</f>
        <v>5.92</v>
      </c>
      <c r="H434" s="38">
        <f>'13all_company_profile'!H434</f>
        <v>44406</v>
      </c>
      <c r="I434" s="35">
        <f>'13all_company_profile'!I434</f>
        <v>13.397532</v>
      </c>
      <c r="J434" s="35">
        <f>'13all_company_profile'!J434</f>
        <v>27.155</v>
      </c>
      <c r="K434" s="42">
        <f t="shared" si="1"/>
        <v>0.01644581493</v>
      </c>
      <c r="L434" s="35">
        <f>'7company_info'!B434</f>
        <v>359.97</v>
      </c>
      <c r="M434" s="35">
        <f>'7company_info'!C434</f>
        <v>362.74</v>
      </c>
      <c r="N434" s="35">
        <f>'7company_info'!D434</f>
        <v>355.64</v>
      </c>
      <c r="O434" s="35">
        <f>'7company_info'!E434</f>
        <v>4.97</v>
      </c>
      <c r="P434" s="35">
        <f>'7company_info'!F434</f>
        <v>0.014</v>
      </c>
      <c r="Q434" s="35">
        <f>'7company_info'!G434</f>
        <v>355.64</v>
      </c>
      <c r="R434" s="35">
        <f>'7company_info'!H434</f>
        <v>355</v>
      </c>
      <c r="S434" s="35">
        <f>'7company_info'!I434</f>
        <v>282.88</v>
      </c>
      <c r="T434" s="35">
        <f>'7company_info'!J434</f>
        <v>379.03</v>
      </c>
      <c r="U434" s="39">
        <v>365.336666666666</v>
      </c>
      <c r="V434" s="39">
        <v>367.053333333333</v>
      </c>
      <c r="W434" s="40">
        <v>370.166666666666</v>
      </c>
      <c r="X434" s="40">
        <v>374.996666666666</v>
      </c>
      <c r="Y434" s="40">
        <v>362.223333333333</v>
      </c>
      <c r="Z434" s="40">
        <v>360.506666666666</v>
      </c>
      <c r="AA434" s="40">
        <v>355.676666666666</v>
      </c>
      <c r="AB434" s="40">
        <v>365.8</v>
      </c>
      <c r="AC434" s="40">
        <v>379.0299</v>
      </c>
      <c r="AD434" s="40">
        <v>368.734641988544</v>
      </c>
      <c r="AE434" s="40">
        <v>355.9547</v>
      </c>
      <c r="AF434" s="40">
        <v>5.70214999999999</v>
      </c>
      <c r="AG434" s="40">
        <v>379.0299</v>
      </c>
      <c r="AH434" s="45">
        <v>44351.0</v>
      </c>
      <c r="AI434" s="44" t="str">
        <f>'6image_RS_benchmark_performance'!B434</f>
        <v>https://3arbzfbsh-cname-us.ngrok.io/Desktop/seabridge%20fintech/image_app/NOC_resistance_support.jpg</v>
      </c>
      <c r="AJ434" s="44" t="str">
        <f>'6image_RS_benchmark_performance'!C434</f>
        <v>https://3arbzfbsh-cname-us.ngrok.io/Desktop/seabridge%20fintech/profit_graph_app/NOC_Return.jpg</v>
      </c>
      <c r="AK434" s="46" t="str">
        <f>'5price_action_icon'!B434</f>
        <v>https://3arbzfbsh-cname-us.ngrok.io/Desktop/seabridge%20fintech/icon/NOC_pa_trend_signal</v>
      </c>
      <c r="AL434" s="42">
        <f>'1kpi_performance'!B434</f>
        <v>0.5243748124</v>
      </c>
      <c r="AM434" s="42">
        <f>'1kpi_performance'!C434</f>
        <v>0.6346554656</v>
      </c>
      <c r="AN434" s="42">
        <f>'1kpi_performance'!D434</f>
        <v>0.5245775963</v>
      </c>
      <c r="AO434" s="42">
        <f>'1kpi_performance'!E434</f>
        <v>0.2761670311</v>
      </c>
      <c r="AP434" s="42">
        <f>'1kpi_performance'!F434</f>
        <v>0.1819125909</v>
      </c>
      <c r="AQ434" s="42">
        <f>'1kpi_performance'!G434</f>
        <v>0.1820638704</v>
      </c>
      <c r="AR434" s="42">
        <f>'1kpi_performance'!H434</f>
        <v>0.1933394528</v>
      </c>
      <c r="AS434" s="42">
        <f>'1kpi_performance'!I434</f>
        <v>0.2695680396</v>
      </c>
      <c r="AT434" s="35">
        <f>'1kpi_performance'!J434</f>
        <v>2.745136057</v>
      </c>
      <c r="AU434" s="35">
        <f>'1kpi_performance'!K434</f>
        <v>3.348580168</v>
      </c>
      <c r="AV434" s="35">
        <f>'1kpi_performance'!L434</f>
        <v>2.583940262</v>
      </c>
      <c r="AW434" s="35">
        <f>'1kpi_performance'!M434</f>
        <v>0.9317389089</v>
      </c>
      <c r="AX434" s="42">
        <f>'1kpi_performance'!N434</f>
        <v>0.1645201238</v>
      </c>
      <c r="AY434" s="42">
        <f>'1kpi_performance'!O434</f>
        <v>0.07953518533</v>
      </c>
      <c r="AZ434" s="42">
        <f>'1kpi_performance'!P434</f>
        <v>0.2753880028</v>
      </c>
      <c r="BA434" s="42">
        <f>'1kpi_performance'!Q434</f>
        <v>0.371635697</v>
      </c>
      <c r="BB434" s="35">
        <f>'1kpi_performance'!R434</f>
        <v>6.048684247</v>
      </c>
      <c r="BC434" s="35">
        <f>'1kpi_performance'!S434</f>
        <v>7.792500484</v>
      </c>
      <c r="BD434" s="35">
        <f>'1kpi_performance'!T434</f>
        <v>5.363931083</v>
      </c>
      <c r="BE434" s="35">
        <f>'1kpi_performance'!U434</f>
        <v>1.828998629</v>
      </c>
      <c r="BF434" s="47"/>
      <c r="BG434" s="47"/>
      <c r="BH434" s="47"/>
      <c r="BI434" s="47"/>
      <c r="BJ434" s="47"/>
      <c r="BK434" s="47"/>
      <c r="BL434" s="47"/>
      <c r="BM434" s="47"/>
      <c r="BN434" s="47"/>
      <c r="BO434" s="47"/>
      <c r="BP434" s="47"/>
      <c r="BQ434" s="47"/>
      <c r="BR434" s="47"/>
      <c r="BS434" s="47"/>
      <c r="BT434" s="47"/>
    </row>
    <row r="435" ht="11.25" customHeight="1">
      <c r="A435" s="35" t="str">
        <f>'13all_company_profile'!A435</f>
        <v>NOV</v>
      </c>
      <c r="B435" s="35" t="str">
        <f>'13all_company_profile'!B435</f>
        <v>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v>
      </c>
      <c r="C435" s="44" t="str">
        <f>'13all_company_profile'!C435</f>
        <v>https://financialmodelingprep.com/image-stock/NOV.png</v>
      </c>
      <c r="D435" s="35" t="str">
        <f>'13all_company_profile'!D435</f>
        <v>NOV Inc.</v>
      </c>
      <c r="E435" s="36">
        <f>'13all_company_profile'!E435</f>
        <v>5402592768</v>
      </c>
      <c r="F435" s="37">
        <f>'13all_company_profile'!F435</f>
        <v>4682503</v>
      </c>
      <c r="G435" s="35">
        <f>'13all_company_profile'!G435</f>
        <v>0.05</v>
      </c>
      <c r="H435" s="38">
        <f>'13all_company_profile'!H435</f>
        <v>44404</v>
      </c>
      <c r="I435" s="35" t="str">
        <f>'13all_company_profile'!I435</f>
        <v>NaN</v>
      </c>
      <c r="J435" s="35">
        <f>'13all_company_profile'!J435</f>
        <v>-1.593</v>
      </c>
      <c r="K435" s="42">
        <f t="shared" si="1"/>
        <v>0.0036900369</v>
      </c>
      <c r="L435" s="35">
        <f>'7company_info'!B435</f>
        <v>13.55</v>
      </c>
      <c r="M435" s="35">
        <f>'7company_info'!C435</f>
        <v>13.72</v>
      </c>
      <c r="N435" s="35">
        <f>'7company_info'!D435</f>
        <v>13.09</v>
      </c>
      <c r="O435" s="35">
        <f>'7company_info'!E435</f>
        <v>0.31</v>
      </c>
      <c r="P435" s="35">
        <f>'7company_info'!F435</f>
        <v>0.0234</v>
      </c>
      <c r="Q435" s="35">
        <f>'7company_info'!G435</f>
        <v>13.2</v>
      </c>
      <c r="R435" s="35">
        <f>'7company_info'!H435</f>
        <v>13.24</v>
      </c>
      <c r="S435" s="35">
        <f>'7company_info'!I435</f>
        <v>7.7</v>
      </c>
      <c r="T435" s="35">
        <f>'7company_info'!J435</f>
        <v>18.02</v>
      </c>
      <c r="U435" s="39">
        <v>14.65</v>
      </c>
      <c r="V435" s="39">
        <v>15.07</v>
      </c>
      <c r="W435" s="40">
        <v>15.75</v>
      </c>
      <c r="X435" s="40">
        <v>16.85</v>
      </c>
      <c r="Y435" s="40">
        <v>13.97</v>
      </c>
      <c r="Z435" s="40">
        <v>13.55</v>
      </c>
      <c r="AA435" s="40">
        <v>12.45</v>
      </c>
      <c r="AB435" s="40">
        <v>13.811</v>
      </c>
      <c r="AC435" s="40">
        <v>14.45</v>
      </c>
      <c r="AD435" s="40">
        <v>15.2938974889809</v>
      </c>
      <c r="AE435" s="40">
        <v>13.39409</v>
      </c>
      <c r="AF435" s="40">
        <v>0.774955</v>
      </c>
      <c r="AG435" s="40">
        <v>18.02</v>
      </c>
      <c r="AH435" s="45">
        <v>44334.0</v>
      </c>
      <c r="AI435" s="44" t="str">
        <f>'6image_RS_benchmark_performance'!B435</f>
        <v>https://3arbzfbsh-cname-us.ngrok.io/Desktop/seabridge%20fintech/image_app/NOV_resistance_support.jpg</v>
      </c>
      <c r="AJ435" s="44" t="str">
        <f>'6image_RS_benchmark_performance'!C435</f>
        <v>https://3arbzfbsh-cname-us.ngrok.io/Desktop/seabridge%20fintech/profit_graph_app/NOV_Return.jpg</v>
      </c>
      <c r="AK435" s="46" t="str">
        <f>'5price_action_icon'!B435</f>
        <v>https://3arbzfbsh-cname-us.ngrok.io/Desktop/seabridge%20fintech/icon/NOV_pa_trend_signal</v>
      </c>
      <c r="AL435" s="42">
        <f>'1kpi_performance'!B435</f>
        <v>0.6295982759</v>
      </c>
      <c r="AM435" s="42">
        <f>'1kpi_performance'!C435</f>
        <v>0.8976145468</v>
      </c>
      <c r="AN435" s="42">
        <f>'1kpi_performance'!D435</f>
        <v>0.820611075</v>
      </c>
      <c r="AO435" s="42">
        <f>'1kpi_performance'!E435</f>
        <v>-0.1196277026</v>
      </c>
      <c r="AP435" s="42">
        <f>'1kpi_performance'!F435</f>
        <v>0.3610362674</v>
      </c>
      <c r="AQ435" s="42">
        <f>'1kpi_performance'!G435</f>
        <v>0.3342688393</v>
      </c>
      <c r="AR435" s="42">
        <f>'1kpi_performance'!H435</f>
        <v>0.3373310169</v>
      </c>
      <c r="AS435" s="42">
        <f>'1kpi_performance'!I435</f>
        <v>0.5133501312</v>
      </c>
      <c r="AT435" s="35">
        <f>'1kpi_performance'!J435</f>
        <v>1.674619229</v>
      </c>
      <c r="AU435" s="35">
        <f>'1kpi_performance'!K435</f>
        <v>2.610517177</v>
      </c>
      <c r="AV435" s="35">
        <f>'1kpi_performance'!L435</f>
        <v>2.358547051</v>
      </c>
      <c r="AW435" s="35">
        <f>'1kpi_performance'!M435</f>
        <v>-0.2817330586</v>
      </c>
      <c r="AX435" s="42">
        <f>'1kpi_performance'!N435</f>
        <v>0.274417192</v>
      </c>
      <c r="AY435" s="42">
        <f>'1kpi_performance'!O435</f>
        <v>0.1488561534</v>
      </c>
      <c r="AZ435" s="42">
        <f>'1kpi_performance'!P435</f>
        <v>0.3213157429</v>
      </c>
      <c r="BA435" s="42">
        <f>'1kpi_performance'!Q435</f>
        <v>0.9073238459</v>
      </c>
      <c r="BB435" s="35">
        <f>'1kpi_performance'!R435</f>
        <v>3.567647743</v>
      </c>
      <c r="BC435" s="35">
        <f>'1kpi_performance'!S435</f>
        <v>6.217348298</v>
      </c>
      <c r="BD435" s="35">
        <f>'1kpi_performance'!T435</f>
        <v>5.316653294</v>
      </c>
      <c r="BE435" s="35">
        <f>'1kpi_performance'!U435</f>
        <v>-0.5496908905</v>
      </c>
      <c r="BF435" s="47"/>
      <c r="BG435" s="47"/>
      <c r="BH435" s="47"/>
      <c r="BI435" s="47"/>
      <c r="BJ435" s="47"/>
      <c r="BK435" s="47"/>
      <c r="BL435" s="47"/>
      <c r="BM435" s="47"/>
      <c r="BN435" s="47"/>
      <c r="BO435" s="47"/>
      <c r="BP435" s="47"/>
      <c r="BQ435" s="47"/>
      <c r="BR435" s="47"/>
      <c r="BS435" s="47"/>
      <c r="BT435" s="47"/>
    </row>
    <row r="436" ht="11.25" customHeight="1">
      <c r="A436" s="35" t="str">
        <f>'13all_company_profile'!A436</f>
        <v>NOVA</v>
      </c>
      <c r="B436" s="35" t="str">
        <f>'13all_company_profile'!B436</f>
        <v>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v>
      </c>
      <c r="C436" s="44" t="str">
        <f>'13all_company_profile'!C436</f>
        <v>https://financialmodelingprep.com/image-stock/NOVA.png</v>
      </c>
      <c r="D436" s="35" t="str">
        <f>'13all_company_profile'!D436</f>
        <v>Sunnova Energy International Inc.</v>
      </c>
      <c r="E436" s="36">
        <f>'13all_company_profile'!E436</f>
        <v>3753234432</v>
      </c>
      <c r="F436" s="37">
        <f>'13all_company_profile'!F436</f>
        <v>2567887</v>
      </c>
      <c r="G436" s="35">
        <f>'13all_company_profile'!G436</f>
        <v>0</v>
      </c>
      <c r="H436" s="38">
        <f>'13all_company_profile'!H436</f>
        <v>44404</v>
      </c>
      <c r="I436" s="35" t="str">
        <f>'13all_company_profile'!I436</f>
        <v>NaN</v>
      </c>
      <c r="J436" s="35">
        <f>'13all_company_profile'!J436</f>
        <v>-2.292</v>
      </c>
      <c r="K436" s="42" t="str">
        <f t="shared" si="1"/>
        <v>NaN</v>
      </c>
      <c r="L436" s="35">
        <f>'7company_info'!B436</f>
        <v>35.02</v>
      </c>
      <c r="M436" s="35">
        <f>'7company_info'!C436</f>
        <v>35.67</v>
      </c>
      <c r="N436" s="35">
        <f>'7company_info'!D436</f>
        <v>32.9</v>
      </c>
      <c r="O436" s="35">
        <f>'7company_info'!E436</f>
        <v>1.37</v>
      </c>
      <c r="P436" s="35">
        <f>'7company_info'!F436</f>
        <v>0.0407</v>
      </c>
      <c r="Q436" s="35">
        <f>'7company_info'!G436</f>
        <v>34.39</v>
      </c>
      <c r="R436" s="35">
        <f>'7company_info'!H436</f>
        <v>33.65</v>
      </c>
      <c r="S436" s="35">
        <f>'7company_info'!I436</f>
        <v>18.82</v>
      </c>
      <c r="T436" s="35">
        <f>'7company_info'!J436</f>
        <v>57.7</v>
      </c>
      <c r="U436" s="39">
        <v>35.4466666666666</v>
      </c>
      <c r="V436" s="39">
        <v>36.8833333333333</v>
      </c>
      <c r="W436" s="40">
        <v>39.3366666666666</v>
      </c>
      <c r="X436" s="40">
        <v>43.2266666666666</v>
      </c>
      <c r="Y436" s="40">
        <v>32.9933333333333</v>
      </c>
      <c r="Z436" s="40">
        <v>31.5566666666666</v>
      </c>
      <c r="AA436" s="40">
        <v>27.6666666666666</v>
      </c>
      <c r="AB436" s="40">
        <v>36.03</v>
      </c>
      <c r="AC436" s="40">
        <v>34.46</v>
      </c>
      <c r="AD436" s="40">
        <v>35.8261043104075</v>
      </c>
      <c r="AE436" s="40">
        <v>32.52605</v>
      </c>
      <c r="AF436" s="40">
        <v>2.46639999999999</v>
      </c>
      <c r="AG436" s="40">
        <v>55.55</v>
      </c>
      <c r="AH436" s="45">
        <v>44237.0</v>
      </c>
      <c r="AI436" s="44" t="str">
        <f>'6image_RS_benchmark_performance'!B436</f>
        <v>https://3arbzfbsh-cname-us.ngrok.io/Desktop/seabridge%20fintech/image_app/NOVA_resistance_support.jpg</v>
      </c>
      <c r="AJ436" s="44" t="str">
        <f>'6image_RS_benchmark_performance'!C436</f>
        <v>https://3arbzfbsh-cname-us.ngrok.io/Desktop/seabridge%20fintech/profit_graph_app/NOVA_Return.jpg</v>
      </c>
      <c r="AK436" s="46" t="str">
        <f>'5price_action_icon'!B436</f>
        <v>https://3arbzfbsh-cname-us.ngrok.io/Desktop/seabridge%20fintech/icon/NOVA_pa_trend_signal</v>
      </c>
      <c r="AL436" s="42">
        <f>'1kpi_performance'!B436</f>
        <v>3.531218281</v>
      </c>
      <c r="AM436" s="42">
        <f>'1kpi_performance'!C436</f>
        <v>5.16465059</v>
      </c>
      <c r="AN436" s="42">
        <f>'1kpi_performance'!D436</f>
        <v>5.134166378</v>
      </c>
      <c r="AO436" s="42">
        <f>'1kpi_performance'!E436</f>
        <v>1.252088871</v>
      </c>
      <c r="AP436" s="42">
        <f>'1kpi_performance'!F436</f>
        <v>0.6410608775</v>
      </c>
      <c r="AQ436" s="42">
        <f>'1kpi_performance'!G436</f>
        <v>0.7153760446</v>
      </c>
      <c r="AR436" s="42">
        <f>'1kpi_performance'!H436</f>
        <v>0.7118484316</v>
      </c>
      <c r="AS436" s="42">
        <f>'1kpi_performance'!I436</f>
        <v>1.038599178</v>
      </c>
      <c r="AT436" s="35">
        <f>'1kpi_performance'!J436</f>
        <v>5.469399871</v>
      </c>
      <c r="AU436" s="35">
        <f>'1kpi_performance'!K436</f>
        <v>7.184543889</v>
      </c>
      <c r="AV436" s="35">
        <f>'1kpi_performance'!L436</f>
        <v>7.177323361</v>
      </c>
      <c r="AW436" s="35">
        <f>'1kpi_performance'!M436</f>
        <v>1.181484539</v>
      </c>
      <c r="AX436" s="42">
        <f>'1kpi_performance'!N436</f>
        <v>0.2734899329</v>
      </c>
      <c r="AY436" s="42">
        <f>'1kpi_performance'!O436</f>
        <v>0.2815226011</v>
      </c>
      <c r="AZ436" s="42">
        <f>'1kpi_performance'!P436</f>
        <v>0.3269467421</v>
      </c>
      <c r="BA436" s="42">
        <f>'1kpi_performance'!Q436</f>
        <v>0.655342196</v>
      </c>
      <c r="BB436" s="35">
        <f>'1kpi_performance'!R436</f>
        <v>11.94562494</v>
      </c>
      <c r="BC436" s="35">
        <f>'1kpi_performance'!S436</f>
        <v>15.95233689</v>
      </c>
      <c r="BD436" s="35">
        <f>'1kpi_performance'!T436</f>
        <v>16.10868072</v>
      </c>
      <c r="BE436" s="35">
        <f>'1kpi_performance'!U436</f>
        <v>2.381068933</v>
      </c>
      <c r="BF436" s="47"/>
      <c r="BG436" s="47"/>
      <c r="BH436" s="47"/>
      <c r="BI436" s="47"/>
      <c r="BJ436" s="47"/>
      <c r="BK436" s="47"/>
      <c r="BL436" s="47"/>
      <c r="BM436" s="47"/>
      <c r="BN436" s="47"/>
      <c r="BO436" s="47"/>
      <c r="BP436" s="47"/>
      <c r="BQ436" s="47"/>
      <c r="BR436" s="47"/>
      <c r="BS436" s="47"/>
      <c r="BT436" s="47"/>
    </row>
    <row r="437" ht="11.25" customHeight="1">
      <c r="A437" s="35" t="str">
        <f>'13all_company_profile'!A437</f>
        <v>NOW</v>
      </c>
      <c r="B437" s="35" t="str">
        <f>'13all_company_profile'!B437</f>
        <v>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v>
      </c>
      <c r="C437" s="44" t="str">
        <f>'13all_company_profile'!C437</f>
        <v>https://financialmodelingprep.com/image-stock/NOW.png</v>
      </c>
      <c r="D437" s="35" t="str">
        <f>'13all_company_profile'!D437</f>
        <v>ServiceNow, Inc.</v>
      </c>
      <c r="E437" s="36">
        <f>'13all_company_profile'!E437</f>
        <v>110288527360</v>
      </c>
      <c r="F437" s="37">
        <f>'13all_company_profile'!F437</f>
        <v>1545415</v>
      </c>
      <c r="G437" s="35">
        <f>'13all_company_profile'!G437</f>
        <v>0</v>
      </c>
      <c r="H437" s="38">
        <f>'13all_company_profile'!H437</f>
        <v>44404</v>
      </c>
      <c r="I437" s="35">
        <f>'13all_company_profile'!I437</f>
        <v>732.2894</v>
      </c>
      <c r="J437" s="35">
        <f>'13all_company_profile'!J437</f>
        <v>0.76</v>
      </c>
      <c r="K437" s="42" t="str">
        <f t="shared" si="1"/>
        <v>NaN</v>
      </c>
      <c r="L437" s="35">
        <f>'7company_info'!B437</f>
        <v>565.25</v>
      </c>
      <c r="M437" s="35">
        <f>'7company_info'!C437</f>
        <v>569.16</v>
      </c>
      <c r="N437" s="35">
        <f>'7company_info'!D437</f>
        <v>554.61</v>
      </c>
      <c r="O437" s="35">
        <f>'7company_info'!E437</f>
        <v>10.16</v>
      </c>
      <c r="P437" s="35">
        <f>'7company_info'!F437</f>
        <v>0.0183</v>
      </c>
      <c r="Q437" s="35">
        <f>'7company_info'!G437</f>
        <v>560</v>
      </c>
      <c r="R437" s="35">
        <f>'7company_info'!H437</f>
        <v>555.09</v>
      </c>
      <c r="S437" s="35">
        <f>'7company_info'!I437</f>
        <v>414.6</v>
      </c>
      <c r="T437" s="35">
        <f>'7company_info'!J437</f>
        <v>598.37</v>
      </c>
      <c r="U437" s="39">
        <v>563.006666666666</v>
      </c>
      <c r="V437" s="39">
        <v>567.233333333333</v>
      </c>
      <c r="W437" s="40">
        <v>571.526666666666</v>
      </c>
      <c r="X437" s="40">
        <v>580.046666666666</v>
      </c>
      <c r="Y437" s="40">
        <v>558.713333333333</v>
      </c>
      <c r="Z437" s="40">
        <v>554.486666666666</v>
      </c>
      <c r="AA437" s="40">
        <v>545.966666666666</v>
      </c>
      <c r="AB437" s="40">
        <v>555.0</v>
      </c>
      <c r="AC437" s="40">
        <v>573.6699</v>
      </c>
      <c r="AD437" s="40">
        <v>544.090287960816</v>
      </c>
      <c r="AE437" s="40">
        <v>535.14708</v>
      </c>
      <c r="AF437" s="40">
        <v>12.0959599999999</v>
      </c>
      <c r="AG437" s="40">
        <v>598.37</v>
      </c>
      <c r="AH437" s="45">
        <v>44235.0</v>
      </c>
      <c r="AI437" s="44" t="str">
        <f>'6image_RS_benchmark_performance'!B437</f>
        <v>https://3arbzfbsh-cname-us.ngrok.io/Desktop/seabridge%20fintech/image_app/NOW_resistance_support.jpg</v>
      </c>
      <c r="AJ437" s="44" t="str">
        <f>'6image_RS_benchmark_performance'!C437</f>
        <v>https://3arbzfbsh-cname-us.ngrok.io/Desktop/seabridge%20fintech/profit_graph_app/NOW_Return.jpg</v>
      </c>
      <c r="AK437" s="46" t="str">
        <f>'5price_action_icon'!B437</f>
        <v>https://3arbzfbsh-cname-us.ngrok.io/Desktop/seabridge%20fintech/icon/NOW_pa_trend_signal</v>
      </c>
      <c r="AL437" s="42">
        <f>'1kpi_performance'!B437</f>
        <v>1.211373507</v>
      </c>
      <c r="AM437" s="42">
        <f>'1kpi_performance'!C437</f>
        <v>1.462289114</v>
      </c>
      <c r="AN437" s="42">
        <f>'1kpi_performance'!D437</f>
        <v>1.011453913</v>
      </c>
      <c r="AO437" s="42">
        <f>'1kpi_performance'!E437</f>
        <v>0.6418112918</v>
      </c>
      <c r="AP437" s="42">
        <f>'1kpi_performance'!F437</f>
        <v>0.3222643339</v>
      </c>
      <c r="AQ437" s="42">
        <f>'1kpi_performance'!G437</f>
        <v>0.3368053463</v>
      </c>
      <c r="AR437" s="42">
        <f>'1kpi_performance'!H437</f>
        <v>0.3651697327</v>
      </c>
      <c r="AS437" s="42">
        <f>'1kpi_performance'!I437</f>
        <v>0.4844258377</v>
      </c>
      <c r="AT437" s="35">
        <f>'1kpi_performance'!J437</f>
        <v>3.681367691</v>
      </c>
      <c r="AU437" s="35">
        <f>'1kpi_performance'!K437</f>
        <v>4.267417752</v>
      </c>
      <c r="AV437" s="35">
        <f>'1kpi_performance'!L437</f>
        <v>2.701357273</v>
      </c>
      <c r="AW437" s="35">
        <f>'1kpi_performance'!M437</f>
        <v>1.273283223</v>
      </c>
      <c r="AX437" s="42">
        <f>'1kpi_performance'!N437</f>
        <v>0.1919803925</v>
      </c>
      <c r="AY437" s="42">
        <f>'1kpi_performance'!O437</f>
        <v>0.1139857758</v>
      </c>
      <c r="AZ437" s="42">
        <f>'1kpi_performance'!P437</f>
        <v>0.3953309389</v>
      </c>
      <c r="BA437" s="42">
        <f>'1kpi_performance'!Q437</f>
        <v>0.4761640182</v>
      </c>
      <c r="BB437" s="35">
        <f>'1kpi_performance'!R437</f>
        <v>8.64451644</v>
      </c>
      <c r="BC437" s="35">
        <f>'1kpi_performance'!S437</f>
        <v>10.50036533</v>
      </c>
      <c r="BD437" s="35">
        <f>'1kpi_performance'!T437</f>
        <v>5.434058287</v>
      </c>
      <c r="BE437" s="35">
        <f>'1kpi_performance'!U437</f>
        <v>2.585035239</v>
      </c>
      <c r="BF437" s="47"/>
      <c r="BG437" s="47"/>
      <c r="BH437" s="47"/>
      <c r="BI437" s="47"/>
      <c r="BJ437" s="47"/>
      <c r="BK437" s="47"/>
      <c r="BL437" s="47"/>
      <c r="BM437" s="47"/>
      <c r="BN437" s="47"/>
      <c r="BO437" s="47"/>
      <c r="BP437" s="47"/>
      <c r="BQ437" s="47"/>
      <c r="BR437" s="47"/>
      <c r="BS437" s="47"/>
      <c r="BT437" s="47"/>
    </row>
    <row r="438" ht="11.25" customHeight="1">
      <c r="A438" s="35" t="str">
        <f>'13all_company_profile'!A438</f>
        <v>NRG</v>
      </c>
      <c r="B438" s="35" t="str">
        <f>'13all_company_profile'!B438</f>
        <v>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v>
      </c>
      <c r="C438" s="44" t="str">
        <f>'13all_company_profile'!C438</f>
        <v>https://financialmodelingprep.com/image-stock/NRG.png</v>
      </c>
      <c r="D438" s="35" t="str">
        <f>'13all_company_profile'!D438</f>
        <v>NRG Energy, Inc.</v>
      </c>
      <c r="E438" s="36">
        <f>'13all_company_profile'!E438</f>
        <v>9846453248</v>
      </c>
      <c r="F438" s="37">
        <f>'13all_company_profile'!F438</f>
        <v>3061239</v>
      </c>
      <c r="G438" s="35">
        <f>'13all_company_profile'!G438</f>
        <v>1.25</v>
      </c>
      <c r="H438" s="38">
        <f>'13all_company_profile'!H438</f>
        <v>44412</v>
      </c>
      <c r="I438" s="35">
        <f>'13all_company_profile'!I438</f>
        <v>32.464</v>
      </c>
      <c r="J438" s="35">
        <f>'13all_company_profile'!J438</f>
        <v>1.25</v>
      </c>
      <c r="K438" s="42">
        <f t="shared" si="1"/>
        <v>0.03168567807</v>
      </c>
      <c r="L438" s="35">
        <f>'7company_info'!B438</f>
        <v>39.45</v>
      </c>
      <c r="M438" s="35">
        <f>'7company_info'!C438</f>
        <v>39.67</v>
      </c>
      <c r="N438" s="35">
        <f>'7company_info'!D438</f>
        <v>38.93</v>
      </c>
      <c r="O438" s="35">
        <f>'7company_info'!E438</f>
        <v>0.43</v>
      </c>
      <c r="P438" s="35">
        <f>'7company_info'!F438</f>
        <v>0.011</v>
      </c>
      <c r="Q438" s="35">
        <f>'7company_info'!G438</f>
        <v>39.02</v>
      </c>
      <c r="R438" s="35">
        <f>'7company_info'!H438</f>
        <v>39.02</v>
      </c>
      <c r="S438" s="35">
        <f>'7company_info'!I438</f>
        <v>28.22</v>
      </c>
      <c r="T438" s="35">
        <f>'7company_info'!J438</f>
        <v>44.08</v>
      </c>
      <c r="U438" s="39">
        <v>40.76</v>
      </c>
      <c r="V438" s="39">
        <v>41.06</v>
      </c>
      <c r="W438" s="40">
        <v>41.51</v>
      </c>
      <c r="X438" s="40">
        <v>42.26</v>
      </c>
      <c r="Y438" s="40">
        <v>40.31</v>
      </c>
      <c r="Z438" s="40">
        <v>40.01</v>
      </c>
      <c r="AA438" s="40">
        <v>39.26</v>
      </c>
      <c r="AB438" s="40">
        <v>31.94</v>
      </c>
      <c r="AC438" s="40">
        <v>40.78</v>
      </c>
      <c r="AD438" s="40">
        <v>39.5364508405869</v>
      </c>
      <c r="AE438" s="40">
        <v>38.23695</v>
      </c>
      <c r="AF438" s="40">
        <v>1.17824499999999</v>
      </c>
      <c r="AG438" s="40">
        <v>44.075</v>
      </c>
      <c r="AH438" s="45">
        <v>44270.0</v>
      </c>
      <c r="AI438" s="44" t="str">
        <f>'6image_RS_benchmark_performance'!B438</f>
        <v>https://3arbzfbsh-cname-us.ngrok.io/Desktop/seabridge%20fintech/image_app/NRG_resistance_support.jpg</v>
      </c>
      <c r="AJ438" s="44" t="str">
        <f>'6image_RS_benchmark_performance'!C438</f>
        <v>https://3arbzfbsh-cname-us.ngrok.io/Desktop/seabridge%20fintech/profit_graph_app/NRG_Return.jpg</v>
      </c>
      <c r="AK438" s="46" t="str">
        <f>'5price_action_icon'!B438</f>
        <v>https://3arbzfbsh-cname-us.ngrok.io/Desktop/seabridge%20fintech/icon/NRG_pa_trend_signal</v>
      </c>
      <c r="AL438" s="42">
        <f>'1kpi_performance'!B438</f>
        <v>0.5243949952</v>
      </c>
      <c r="AM438" s="42">
        <f>'1kpi_performance'!C438</f>
        <v>0.9198153581</v>
      </c>
      <c r="AN438" s="42">
        <f>'1kpi_performance'!D438</f>
        <v>0.7068658018</v>
      </c>
      <c r="AO438" s="42">
        <f>'1kpi_performance'!E438</f>
        <v>0.06773571349</v>
      </c>
      <c r="AP438" s="42">
        <f>'1kpi_performance'!F438</f>
        <v>0.3065146374</v>
      </c>
      <c r="AQ438" s="42">
        <f>'1kpi_performance'!G438</f>
        <v>0.2974270556</v>
      </c>
      <c r="AR438" s="42">
        <f>'1kpi_performance'!H438</f>
        <v>0.3090491505</v>
      </c>
      <c r="AS438" s="42">
        <f>'1kpi_performance'!I438</f>
        <v>0.431049783</v>
      </c>
      <c r="AT438" s="35">
        <f>'1kpi_performance'!J438</f>
        <v>1.629269647</v>
      </c>
      <c r="AU438" s="35">
        <f>'1kpi_performance'!K438</f>
        <v>3.008520379</v>
      </c>
      <c r="AV438" s="35">
        <f>'1kpi_performance'!L438</f>
        <v>2.206334496</v>
      </c>
      <c r="AW438" s="35">
        <f>'1kpi_performance'!M438</f>
        <v>0.09914333605</v>
      </c>
      <c r="AX438" s="42">
        <f>'1kpi_performance'!N438</f>
        <v>0.5238614276</v>
      </c>
      <c r="AY438" s="42">
        <f>'1kpi_performance'!O438</f>
        <v>0.1703942547</v>
      </c>
      <c r="AZ438" s="42">
        <f>'1kpi_performance'!P438</f>
        <v>0.5762711864</v>
      </c>
      <c r="BA438" s="42">
        <f>'1kpi_performance'!Q438</f>
        <v>0.7615507169</v>
      </c>
      <c r="BB438" s="35">
        <f>'1kpi_performance'!R438</f>
        <v>3.316783072</v>
      </c>
      <c r="BC438" s="35">
        <f>'1kpi_performance'!S438</f>
        <v>6.96166796</v>
      </c>
      <c r="BD438" s="35">
        <f>'1kpi_performance'!T438</f>
        <v>4.617817191</v>
      </c>
      <c r="BE438" s="35">
        <f>'1kpi_performance'!U438</f>
        <v>0.1931891347</v>
      </c>
      <c r="BF438" s="47"/>
      <c r="BG438" s="47"/>
      <c r="BH438" s="47"/>
      <c r="BI438" s="47"/>
      <c r="BJ438" s="47"/>
      <c r="BK438" s="47"/>
      <c r="BL438" s="47"/>
      <c r="BM438" s="47"/>
      <c r="BN438" s="47"/>
      <c r="BO438" s="47"/>
      <c r="BP438" s="47"/>
      <c r="BQ438" s="47"/>
      <c r="BR438" s="47"/>
      <c r="BS438" s="47"/>
      <c r="BT438" s="47"/>
    </row>
    <row r="439" ht="11.25" customHeight="1">
      <c r="A439" s="35" t="str">
        <f>'13all_company_profile'!A439</f>
        <v>NSC</v>
      </c>
      <c r="B439" s="35" t="str">
        <f>'13all_company_profile'!B439</f>
        <v>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v>
      </c>
      <c r="C439" s="44" t="str">
        <f>'13all_company_profile'!C439</f>
        <v>https://financialmodelingprep.com/image-stock/NSC.png</v>
      </c>
      <c r="D439" s="35" t="str">
        <f>'13all_company_profile'!D439</f>
        <v>Norfolk Southern Corporation</v>
      </c>
      <c r="E439" s="36">
        <f>'13all_company_profile'!E439</f>
        <v>65870938112</v>
      </c>
      <c r="F439" s="37">
        <f>'13all_company_profile'!F439</f>
        <v>1214042</v>
      </c>
      <c r="G439" s="35">
        <f>'13all_company_profile'!G439</f>
        <v>3.86</v>
      </c>
      <c r="H439" s="38">
        <f>'13all_company_profile'!H439</f>
        <v>44405</v>
      </c>
      <c r="I439" s="35">
        <f>'13all_company_profile'!I439</f>
        <v>28.937113</v>
      </c>
      <c r="J439" s="35">
        <f>'13all_company_profile'!J439</f>
        <v>9.032</v>
      </c>
      <c r="K439" s="42">
        <f t="shared" si="1"/>
        <v>0.01502939688</v>
      </c>
      <c r="L439" s="35">
        <f>'7company_info'!B439</f>
        <v>256.83</v>
      </c>
      <c r="M439" s="35">
        <f>'7company_info'!C439</f>
        <v>258.49</v>
      </c>
      <c r="N439" s="35">
        <f>'7company_info'!D439</f>
        <v>254.29</v>
      </c>
      <c r="O439" s="35">
        <f>'7company_info'!E439</f>
        <v>3.01</v>
      </c>
      <c r="P439" s="35">
        <f>'7company_info'!F439</f>
        <v>0.0119</v>
      </c>
      <c r="Q439" s="35">
        <f>'7company_info'!G439</f>
        <v>254.29</v>
      </c>
      <c r="R439" s="35">
        <f>'7company_info'!H439</f>
        <v>253.82</v>
      </c>
      <c r="S439" s="35">
        <f>'7company_info'!I439</f>
        <v>184.21</v>
      </c>
      <c r="T439" s="35">
        <f>'7company_info'!J439</f>
        <v>295.14</v>
      </c>
      <c r="U439" s="39">
        <v>262.286666666666</v>
      </c>
      <c r="V439" s="39">
        <v>263.153333333333</v>
      </c>
      <c r="W439" s="40">
        <v>264.546666666666</v>
      </c>
      <c r="X439" s="40">
        <v>266.806666666666</v>
      </c>
      <c r="Y439" s="40">
        <v>260.893333333333</v>
      </c>
      <c r="Z439" s="40">
        <v>260.026666666666</v>
      </c>
      <c r="AA439" s="40">
        <v>257.766666666666</v>
      </c>
      <c r="AB439" s="40">
        <v>261.15</v>
      </c>
      <c r="AC439" s="40">
        <v>269.42</v>
      </c>
      <c r="AD439" s="40">
        <v>266.142197661887</v>
      </c>
      <c r="AE439" s="40">
        <v>250.8215</v>
      </c>
      <c r="AF439" s="40">
        <v>5.16725</v>
      </c>
      <c r="AG439" s="40">
        <v>295.14</v>
      </c>
      <c r="AH439" s="45">
        <v>44326.0</v>
      </c>
      <c r="AI439" s="44" t="str">
        <f>'6image_RS_benchmark_performance'!B439</f>
        <v>https://3arbzfbsh-cname-us.ngrok.io/Desktop/seabridge%20fintech/image_app/NSC_resistance_support.jpg</v>
      </c>
      <c r="AJ439" s="44" t="str">
        <f>'6image_RS_benchmark_performance'!C439</f>
        <v>https://3arbzfbsh-cname-us.ngrok.io/Desktop/seabridge%20fintech/profit_graph_app/NSC_Return.jpg</v>
      </c>
      <c r="AK439" s="46" t="str">
        <f>'5price_action_icon'!B439</f>
        <v>https://3arbzfbsh-cname-us.ngrok.io/Desktop/seabridge%20fintech/icon/NSC_pa_trend_signal</v>
      </c>
      <c r="AL439" s="42">
        <f>'1kpi_performance'!B439</f>
        <v>0.6375565032</v>
      </c>
      <c r="AM439" s="42">
        <f>'1kpi_performance'!C439</f>
        <v>0.7428028584</v>
      </c>
      <c r="AN439" s="42">
        <f>'1kpi_performance'!D439</f>
        <v>0.6602201524</v>
      </c>
      <c r="AO439" s="42">
        <f>'1kpi_performance'!E439</f>
        <v>0.2278787469</v>
      </c>
      <c r="AP439" s="42">
        <f>'1kpi_performance'!F439</f>
        <v>0.2245041855</v>
      </c>
      <c r="AQ439" s="42">
        <f>'1kpi_performance'!G439</f>
        <v>0.2143863615</v>
      </c>
      <c r="AR439" s="42">
        <f>'1kpi_performance'!H439</f>
        <v>0.2024961762</v>
      </c>
      <c r="AS439" s="42">
        <f>'1kpi_performance'!I439</f>
        <v>0.329372703</v>
      </c>
      <c r="AT439" s="35">
        <f>'1kpi_performance'!J439</f>
        <v>2.728485894</v>
      </c>
      <c r="AU439" s="35">
        <f>'1kpi_performance'!K439</f>
        <v>3.348174079</v>
      </c>
      <c r="AV439" s="35">
        <f>'1kpi_performance'!L439</f>
        <v>3.136948877</v>
      </c>
      <c r="AW439" s="35">
        <f>'1kpi_performance'!M439</f>
        <v>0.6159549502</v>
      </c>
      <c r="AX439" s="42">
        <f>'1kpi_performance'!N439</f>
        <v>0.1465358328</v>
      </c>
      <c r="AY439" s="42">
        <f>'1kpi_performance'!O439</f>
        <v>0.08169740234</v>
      </c>
      <c r="AZ439" s="42">
        <f>'1kpi_performance'!P439</f>
        <v>0.1573804816</v>
      </c>
      <c r="BA439" s="42">
        <f>'1kpi_performance'!Q439</f>
        <v>0.4466322208</v>
      </c>
      <c r="BB439" s="35">
        <f>'1kpi_performance'!R439</f>
        <v>6.276802719</v>
      </c>
      <c r="BC439" s="35">
        <f>'1kpi_performance'!S439</f>
        <v>8.092899397</v>
      </c>
      <c r="BD439" s="35">
        <f>'1kpi_performance'!T439</f>
        <v>7.181147043</v>
      </c>
      <c r="BE439" s="35">
        <f>'1kpi_performance'!U439</f>
        <v>1.210532609</v>
      </c>
      <c r="BF439" s="47"/>
      <c r="BG439" s="47"/>
      <c r="BH439" s="47"/>
      <c r="BI439" s="47"/>
      <c r="BJ439" s="47"/>
      <c r="BK439" s="47"/>
      <c r="BL439" s="47"/>
      <c r="BM439" s="47"/>
      <c r="BN439" s="47"/>
      <c r="BO439" s="47"/>
      <c r="BP439" s="47"/>
      <c r="BQ439" s="47"/>
      <c r="BR439" s="47"/>
      <c r="BS439" s="47"/>
      <c r="BT439" s="47"/>
    </row>
    <row r="440" ht="11.25" customHeight="1">
      <c r="A440" s="35" t="str">
        <f>'13all_company_profile'!A440</f>
        <v>NTAP</v>
      </c>
      <c r="B440" s="35" t="str">
        <f>'13all_company_profile'!B440</f>
        <v>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v>
      </c>
      <c r="C440" s="44" t="str">
        <f>'13all_company_profile'!C440</f>
        <v>https://financialmodelingprep.com/image-stock/NTAP.png</v>
      </c>
      <c r="D440" s="35" t="str">
        <f>'13all_company_profile'!D440</f>
        <v>NetApp, Inc.</v>
      </c>
      <c r="E440" s="36">
        <f>'13all_company_profile'!E440</f>
        <v>17672089600</v>
      </c>
      <c r="F440" s="37">
        <f>'13all_company_profile'!F440</f>
        <v>1582692</v>
      </c>
      <c r="G440" s="35">
        <f>'13all_company_profile'!G440</f>
        <v>1.94</v>
      </c>
      <c r="H440" s="38" t="str">
        <f>'13all_company_profile'!H440</f>
        <v>not avaiable</v>
      </c>
      <c r="I440" s="35">
        <f>'13all_company_profile'!I440</f>
        <v>24.003096</v>
      </c>
      <c r="J440" s="35">
        <f>'13all_company_profile'!J440</f>
        <v>3.23</v>
      </c>
      <c r="K440" s="42">
        <f t="shared" si="1"/>
        <v>0.02479550102</v>
      </c>
      <c r="L440" s="35">
        <f>'7company_info'!B440</f>
        <v>78.24</v>
      </c>
      <c r="M440" s="35">
        <f>'7company_info'!C440</f>
        <v>79.1</v>
      </c>
      <c r="N440" s="35">
        <f>'7company_info'!D440</f>
        <v>77.44</v>
      </c>
      <c r="O440" s="35">
        <f>'7company_info'!E440</f>
        <v>0.94</v>
      </c>
      <c r="P440" s="35">
        <f>'7company_info'!F440</f>
        <v>0.0122</v>
      </c>
      <c r="Q440" s="35">
        <f>'7company_info'!G440</f>
        <v>77.71</v>
      </c>
      <c r="R440" s="35">
        <f>'7company_info'!H440</f>
        <v>77.3</v>
      </c>
      <c r="S440" s="35">
        <f>'7company_info'!I440</f>
        <v>40.08</v>
      </c>
      <c r="T440" s="35">
        <f>'7company_info'!J440</f>
        <v>84.19</v>
      </c>
      <c r="U440" s="39">
        <v>80.1266666666666</v>
      </c>
      <c r="V440" s="39">
        <v>80.9933333333333</v>
      </c>
      <c r="W440" s="40">
        <v>82.1466666666666</v>
      </c>
      <c r="X440" s="40">
        <v>84.1666666666666</v>
      </c>
      <c r="Y440" s="40">
        <v>78.9733333333333</v>
      </c>
      <c r="Z440" s="40">
        <v>78.1066666666666</v>
      </c>
      <c r="AA440" s="40">
        <v>76.0866666666666</v>
      </c>
      <c r="AB440" s="40">
        <v>79.96</v>
      </c>
      <c r="AC440" s="40">
        <v>80.1</v>
      </c>
      <c r="AD440" s="40">
        <v>81.3404777917923</v>
      </c>
      <c r="AE440" s="40">
        <v>76.71949</v>
      </c>
      <c r="AF440" s="40">
        <v>1.756255</v>
      </c>
      <c r="AG440" s="40">
        <v>84.19</v>
      </c>
      <c r="AH440" s="45">
        <v>44357.0</v>
      </c>
      <c r="AI440" s="44" t="str">
        <f>'6image_RS_benchmark_performance'!B440</f>
        <v>https://3arbzfbsh-cname-us.ngrok.io/Desktop/seabridge%20fintech/image_app/NTAP_resistance_support.jpg</v>
      </c>
      <c r="AJ440" s="44" t="str">
        <f>'6image_RS_benchmark_performance'!C440</f>
        <v>https://3arbzfbsh-cname-us.ngrok.io/Desktop/seabridge%20fintech/profit_graph_app/NTAP_Return.jpg</v>
      </c>
      <c r="AK440" s="46" t="str">
        <f>'5price_action_icon'!B440</f>
        <v>https://3arbzfbsh-cname-us.ngrok.io/Desktop/seabridge%20fintech/icon/NTAP_pa_trend_signal</v>
      </c>
      <c r="AL440" s="42">
        <f>'1kpi_performance'!B440</f>
        <v>0.8540960371</v>
      </c>
      <c r="AM440" s="42">
        <f>'1kpi_performance'!C440</f>
        <v>1.022952676</v>
      </c>
      <c r="AN440" s="42">
        <f>'1kpi_performance'!D440</f>
        <v>0.5655312869</v>
      </c>
      <c r="AO440" s="42">
        <f>'1kpi_performance'!E440</f>
        <v>0.1216375503</v>
      </c>
      <c r="AP440" s="42">
        <f>'1kpi_performance'!F440</f>
        <v>0.2863808675</v>
      </c>
      <c r="AQ440" s="42">
        <f>'1kpi_performance'!G440</f>
        <v>0.2729055478</v>
      </c>
      <c r="AR440" s="42">
        <f>'1kpi_performance'!H440</f>
        <v>0.3011978216</v>
      </c>
      <c r="AS440" s="42">
        <f>'1kpi_performance'!I440</f>
        <v>0.414803733</v>
      </c>
      <c r="AT440" s="35">
        <f>'1kpi_performance'!J440</f>
        <v>2.895081799</v>
      </c>
      <c r="AU440" s="35">
        <f>'1kpi_performance'!K440</f>
        <v>3.656769473</v>
      </c>
      <c r="AV440" s="35">
        <f>'1kpi_performance'!L440</f>
        <v>1.794605566</v>
      </c>
      <c r="AW440" s="35">
        <f>'1kpi_performance'!M440</f>
        <v>0.232971747</v>
      </c>
      <c r="AX440" s="42">
        <f>'1kpi_performance'!N440</f>
        <v>0.2273149312</v>
      </c>
      <c r="AY440" s="42">
        <f>'1kpi_performance'!O440</f>
        <v>0.1037786341</v>
      </c>
      <c r="AZ440" s="42">
        <f>'1kpi_performance'!P440</f>
        <v>0.4187767182</v>
      </c>
      <c r="BA440" s="42">
        <f>'1kpi_performance'!Q440</f>
        <v>0.6498349835</v>
      </c>
      <c r="BB440" s="35">
        <f>'1kpi_performance'!R440</f>
        <v>6.621193443</v>
      </c>
      <c r="BC440" s="35">
        <f>'1kpi_performance'!S440</f>
        <v>8.961092728</v>
      </c>
      <c r="BD440" s="35">
        <f>'1kpi_performance'!T440</f>
        <v>3.413233201</v>
      </c>
      <c r="BE440" s="35">
        <f>'1kpi_performance'!U440</f>
        <v>0.4487929842</v>
      </c>
      <c r="BF440" s="47"/>
      <c r="BG440" s="47"/>
      <c r="BH440" s="47"/>
      <c r="BI440" s="47"/>
      <c r="BJ440" s="47"/>
      <c r="BK440" s="47"/>
      <c r="BL440" s="47"/>
      <c r="BM440" s="47"/>
      <c r="BN440" s="47"/>
      <c r="BO440" s="47"/>
      <c r="BP440" s="47"/>
      <c r="BQ440" s="47"/>
      <c r="BR440" s="47"/>
      <c r="BS440" s="47"/>
      <c r="BT440" s="47"/>
    </row>
    <row r="441" ht="11.25" customHeight="1">
      <c r="A441" s="35" t="str">
        <f>'13all_company_profile'!A441</f>
        <v>NTES</v>
      </c>
      <c r="B441" s="35" t="str">
        <f>'13all_company_profile'!B441</f>
        <v>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v>
      </c>
      <c r="C441" s="44" t="str">
        <f>'13all_company_profile'!C441</f>
        <v>https://financialmodelingprep.com/image-stock/NTES.png</v>
      </c>
      <c r="D441" s="35" t="str">
        <f>'13all_company_profile'!D441</f>
        <v>NetEase, Inc.</v>
      </c>
      <c r="E441" s="36">
        <f>'13all_company_profile'!E441</f>
        <v>76872540160</v>
      </c>
      <c r="F441" s="37">
        <f>'13all_company_profile'!F441</f>
        <v>1993060</v>
      </c>
      <c r="G441" s="35">
        <f>'13all_company_profile'!G441</f>
        <v>2.04</v>
      </c>
      <c r="H441" s="38" t="str">
        <f>'13all_company_profile'!H441</f>
        <v>not avaiable</v>
      </c>
      <c r="I441" s="35">
        <f>'13all_company_profile'!I441</f>
        <v>37.739376</v>
      </c>
      <c r="J441" s="35">
        <f>'13all_company_profile'!J441</f>
        <v>2.966</v>
      </c>
      <c r="K441" s="42">
        <f t="shared" si="1"/>
        <v>0.01801801802</v>
      </c>
      <c r="L441" s="35">
        <f>'7company_info'!B441</f>
        <v>113.22</v>
      </c>
      <c r="M441" s="35">
        <f>'7company_info'!C441</f>
        <v>114.04</v>
      </c>
      <c r="N441" s="35">
        <f>'7company_info'!D441</f>
        <v>111.11</v>
      </c>
      <c r="O441" s="35">
        <f>'7company_info'!E441</f>
        <v>0.97</v>
      </c>
      <c r="P441" s="35">
        <f>'7company_info'!F441</f>
        <v>0.0086</v>
      </c>
      <c r="Q441" s="35">
        <f>'7company_info'!G441</f>
        <v>112.66</v>
      </c>
      <c r="R441" s="35">
        <f>'7company_info'!H441</f>
        <v>112.25</v>
      </c>
      <c r="S441" s="35">
        <f>'7company_info'!I441</f>
        <v>82.93</v>
      </c>
      <c r="T441" s="35">
        <f>'7company_info'!J441</f>
        <v>134.33</v>
      </c>
      <c r="U441" s="39">
        <v>113.135</v>
      </c>
      <c r="V441" s="39">
        <v>113.714999999999</v>
      </c>
      <c r="W441" s="40">
        <v>114.599999999999</v>
      </c>
      <c r="X441" s="40">
        <v>116.064999999999</v>
      </c>
      <c r="Y441" s="40">
        <v>112.25</v>
      </c>
      <c r="Z441" s="40">
        <v>111.67</v>
      </c>
      <c r="AA441" s="40">
        <v>110.205</v>
      </c>
      <c r="AB441" s="40">
        <v>102.89</v>
      </c>
      <c r="AC441" s="40">
        <v>115.77</v>
      </c>
      <c r="AD441" s="40">
        <v>110.517506756209</v>
      </c>
      <c r="AE441" s="40">
        <v>105.398</v>
      </c>
      <c r="AF441" s="40">
        <v>3.29449999999999</v>
      </c>
      <c r="AG441" s="40">
        <v>134.33</v>
      </c>
      <c r="AH441" s="45">
        <v>44238.0</v>
      </c>
      <c r="AI441" s="44" t="str">
        <f>'6image_RS_benchmark_performance'!B441</f>
        <v>https://3arbzfbsh-cname-us.ngrok.io/Desktop/seabridge%20fintech/image_app/NTES_resistance_support.jpg</v>
      </c>
      <c r="AJ441" s="44" t="str">
        <f>'6image_RS_benchmark_performance'!C441</f>
        <v>https://3arbzfbsh-cname-us.ngrok.io/Desktop/seabridge%20fintech/profit_graph_app/NTES_Return.jpg</v>
      </c>
      <c r="AK441" s="46" t="str">
        <f>'5price_action_icon'!B441</f>
        <v>https://3arbzfbsh-cname-us.ngrok.io/Desktop/seabridge%20fintech/icon/NTES_pa_trend_signal</v>
      </c>
      <c r="AL441" s="42">
        <f>'1kpi_performance'!B441</f>
        <v>0.9061826603</v>
      </c>
      <c r="AM441" s="42">
        <f>'1kpi_performance'!C441</f>
        <v>1.315573862</v>
      </c>
      <c r="AN441" s="42">
        <f>'1kpi_performance'!D441</f>
        <v>0.9909067209</v>
      </c>
      <c r="AO441" s="42">
        <f>'1kpi_performance'!E441</f>
        <v>0.412173488</v>
      </c>
      <c r="AP441" s="42">
        <f>'1kpi_performance'!F441</f>
        <v>0.3208643644</v>
      </c>
      <c r="AQ441" s="42">
        <f>'1kpi_performance'!G441</f>
        <v>0.3331477829</v>
      </c>
      <c r="AR441" s="42">
        <f>'1kpi_performance'!H441</f>
        <v>0.3094583806</v>
      </c>
      <c r="AS441" s="42">
        <f>'1kpi_performance'!I441</f>
        <v>0.4622591267</v>
      </c>
      <c r="AT441" s="35">
        <f>'1kpi_performance'!J441</f>
        <v>2.746277736</v>
      </c>
      <c r="AU441" s="35">
        <f>'1kpi_performance'!K441</f>
        <v>3.873877984</v>
      </c>
      <c r="AV441" s="35">
        <f>'1kpi_performance'!L441</f>
        <v>3.121281508</v>
      </c>
      <c r="AW441" s="35">
        <f>'1kpi_performance'!M441</f>
        <v>0.8375680773</v>
      </c>
      <c r="AX441" s="42">
        <f>'1kpi_performance'!N441</f>
        <v>0.1807175082</v>
      </c>
      <c r="AY441" s="42">
        <f>'1kpi_performance'!O441</f>
        <v>0.1214314694</v>
      </c>
      <c r="AZ441" s="42">
        <f>'1kpi_performance'!P441</f>
        <v>0.2211055561</v>
      </c>
      <c r="BA441" s="42">
        <f>'1kpi_performance'!Q441</f>
        <v>0.4927024358</v>
      </c>
      <c r="BB441" s="35">
        <f>'1kpi_performance'!R441</f>
        <v>5.924782317</v>
      </c>
      <c r="BC441" s="35">
        <f>'1kpi_performance'!S441</f>
        <v>9.363403567</v>
      </c>
      <c r="BD441" s="35">
        <f>'1kpi_performance'!T441</f>
        <v>6.748842831</v>
      </c>
      <c r="BE441" s="35">
        <f>'1kpi_performance'!U441</f>
        <v>1.70414741</v>
      </c>
      <c r="BF441" s="47"/>
      <c r="BG441" s="47"/>
      <c r="BH441" s="47"/>
      <c r="BI441" s="47"/>
      <c r="BJ441" s="47"/>
      <c r="BK441" s="47"/>
      <c r="BL441" s="47"/>
      <c r="BM441" s="47"/>
      <c r="BN441" s="47"/>
      <c r="BO441" s="47"/>
      <c r="BP441" s="47"/>
      <c r="BQ441" s="47"/>
      <c r="BR441" s="47"/>
      <c r="BS441" s="47"/>
      <c r="BT441" s="47"/>
    </row>
    <row r="442" ht="11.25" customHeight="1">
      <c r="A442" s="35" t="str">
        <f>'13all_company_profile'!A442</f>
        <v>NTLA</v>
      </c>
      <c r="B442" s="35" t="str">
        <f>'13all_company_profile'!B442</f>
        <v>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v>
      </c>
      <c r="C442" s="44" t="str">
        <f>'13all_company_profile'!C442</f>
        <v>https://financialmodelingprep.com/image-stock/NTLA.png</v>
      </c>
      <c r="D442" s="35" t="str">
        <f>'13all_company_profile'!D442</f>
        <v>Intellia Therapeutics, Inc.</v>
      </c>
      <c r="E442" s="36">
        <f>'13all_company_profile'!E442</f>
        <v>9983457280</v>
      </c>
      <c r="F442" s="37">
        <f>'13all_company_profile'!F442</f>
        <v>2262690</v>
      </c>
      <c r="G442" s="35">
        <f>'13all_company_profile'!G442</f>
        <v>0</v>
      </c>
      <c r="H442" s="38" t="str">
        <f>'13all_company_profile'!H442</f>
        <v>not avaiable</v>
      </c>
      <c r="I442" s="35" t="str">
        <f>'13all_company_profile'!I442</f>
        <v>NaN</v>
      </c>
      <c r="J442" s="35">
        <f>'13all_company_profile'!J442</f>
        <v>-2.471</v>
      </c>
      <c r="K442" s="42" t="str">
        <f t="shared" si="1"/>
        <v>NaN</v>
      </c>
      <c r="L442" s="35">
        <f>'7company_info'!B442</f>
        <v>146.12</v>
      </c>
      <c r="M442" s="35">
        <f>'7company_info'!C442</f>
        <v>146.56</v>
      </c>
      <c r="N442" s="35">
        <f>'7company_info'!D442</f>
        <v>133.97</v>
      </c>
      <c r="O442" s="35">
        <f>'7company_info'!E442</f>
        <v>7.18</v>
      </c>
      <c r="P442" s="35">
        <f>'7company_info'!F442</f>
        <v>0.0517</v>
      </c>
      <c r="Q442" s="35">
        <f>'7company_info'!G442</f>
        <v>139.76</v>
      </c>
      <c r="R442" s="35">
        <f>'7company_info'!H442</f>
        <v>138.94</v>
      </c>
      <c r="S442" s="35">
        <f>'7company_info'!I442</f>
        <v>16.54</v>
      </c>
      <c r="T442" s="35">
        <f>'7company_info'!J442</f>
        <v>202.73</v>
      </c>
      <c r="U442" s="39">
        <v>142.2733</v>
      </c>
      <c r="V442" s="39">
        <v>144.9266</v>
      </c>
      <c r="W442" s="40">
        <v>148.7932</v>
      </c>
      <c r="X442" s="40">
        <v>155.3131</v>
      </c>
      <c r="Y442" s="40">
        <v>138.4067</v>
      </c>
      <c r="Z442" s="40">
        <v>135.7534</v>
      </c>
      <c r="AA442" s="40">
        <v>129.2335</v>
      </c>
      <c r="AB442" s="40">
        <v>139.62</v>
      </c>
      <c r="AC442" s="40">
        <v>160.7799</v>
      </c>
      <c r="AD442" s="40">
        <v>127.683746827261</v>
      </c>
      <c r="AE442" s="40">
        <v>113.865229999999</v>
      </c>
      <c r="AF442" s="40">
        <v>14.75488</v>
      </c>
      <c r="AG442" s="40">
        <v>202.73</v>
      </c>
      <c r="AH442" s="45">
        <v>44377.0</v>
      </c>
      <c r="AI442" s="44" t="str">
        <f>'6image_RS_benchmark_performance'!B442</f>
        <v>https://3arbzfbsh-cname-us.ngrok.io/Desktop/seabridge%20fintech/image_app/NTLA_resistance_support.jpg</v>
      </c>
      <c r="AJ442" s="44" t="str">
        <f>'6image_RS_benchmark_performance'!C442</f>
        <v>https://3arbzfbsh-cname-us.ngrok.io/Desktop/seabridge%20fintech/profit_graph_app/NTLA_Return.jpg</v>
      </c>
      <c r="AK442" s="46" t="str">
        <f>'5price_action_icon'!B442</f>
        <v>https://3arbzfbsh-cname-us.ngrok.io/Desktop/seabridge%20fintech/icon/NTLA_pa_trend_signal</v>
      </c>
      <c r="AL442" s="42">
        <f>'1kpi_performance'!B442</f>
        <v>2.565186454</v>
      </c>
      <c r="AM442" s="42">
        <f>'1kpi_performance'!C442</f>
        <v>3.500683203</v>
      </c>
      <c r="AN442" s="42">
        <f>'1kpi_performance'!D442</f>
        <v>1.469064735</v>
      </c>
      <c r="AO442" s="42">
        <f>'1kpi_performance'!E442</f>
        <v>0.6675242836</v>
      </c>
      <c r="AP442" s="42">
        <f>'1kpi_performance'!F442</f>
        <v>0.7042518468</v>
      </c>
      <c r="AQ442" s="42">
        <f>'1kpi_performance'!G442</f>
        <v>0.6918735846</v>
      </c>
      <c r="AR442" s="42">
        <f>'1kpi_performance'!H442</f>
        <v>0.6639299282</v>
      </c>
      <c r="AS442" s="42">
        <f>'1kpi_performance'!I442</f>
        <v>0.9429661404</v>
      </c>
      <c r="AT442" s="35">
        <f>'1kpi_performance'!J442</f>
        <v>3.606929063</v>
      </c>
      <c r="AU442" s="35">
        <f>'1kpi_performance'!K442</f>
        <v>5.023581301</v>
      </c>
      <c r="AV442" s="35">
        <f>'1kpi_performance'!L442</f>
        <v>2.175025817</v>
      </c>
      <c r="AW442" s="35">
        <f>'1kpi_performance'!M442</f>
        <v>0.6813863787</v>
      </c>
      <c r="AX442" s="42">
        <f>'1kpi_performance'!N442</f>
        <v>0.4156239432</v>
      </c>
      <c r="AY442" s="42">
        <f>'1kpi_performance'!O442</f>
        <v>0.2206944872</v>
      </c>
      <c r="AZ442" s="42">
        <f>'1kpi_performance'!P442</f>
        <v>0.4824337558</v>
      </c>
      <c r="BA442" s="42">
        <f>'1kpi_performance'!Q442</f>
        <v>0.7298998569</v>
      </c>
      <c r="BB442" s="35">
        <f>'1kpi_performance'!R442</f>
        <v>8.334212836</v>
      </c>
      <c r="BC442" s="35">
        <f>'1kpi_performance'!S442</f>
        <v>12.15463448</v>
      </c>
      <c r="BD442" s="35">
        <f>'1kpi_performance'!T442</f>
        <v>4.771720259</v>
      </c>
      <c r="BE442" s="35">
        <f>'1kpi_performance'!U442</f>
        <v>1.489056687</v>
      </c>
      <c r="BF442" s="47"/>
      <c r="BG442" s="47"/>
      <c r="BH442" s="47"/>
      <c r="BI442" s="47"/>
      <c r="BJ442" s="47"/>
      <c r="BK442" s="47"/>
      <c r="BL442" s="47"/>
      <c r="BM442" s="47"/>
      <c r="BN442" s="47"/>
      <c r="BO442" s="47"/>
      <c r="BP442" s="47"/>
      <c r="BQ442" s="47"/>
      <c r="BR442" s="47"/>
      <c r="BS442" s="47"/>
      <c r="BT442" s="47"/>
    </row>
    <row r="443" ht="11.25" customHeight="1">
      <c r="A443" s="35" t="str">
        <f>'13all_company_profile'!A443</f>
        <v>NTNX</v>
      </c>
      <c r="B443" s="35" t="str">
        <f>'13all_company_profile'!B443</f>
        <v>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v>
      </c>
      <c r="C443" s="44" t="str">
        <f>'13all_company_profile'!C443</f>
        <v>https://financialmodelingprep.com/image-stock/NTNX.png</v>
      </c>
      <c r="D443" s="35" t="str">
        <f>'13all_company_profile'!D443</f>
        <v>Nutanix, Inc.</v>
      </c>
      <c r="E443" s="36">
        <f>'13all_company_profile'!E443</f>
        <v>7318032896</v>
      </c>
      <c r="F443" s="37">
        <f>'13all_company_profile'!F443</f>
        <v>2508577</v>
      </c>
      <c r="G443" s="35">
        <f>'13all_company_profile'!G443</f>
        <v>0</v>
      </c>
      <c r="H443" s="38" t="str">
        <f>'13all_company_profile'!H443</f>
        <v>not avaiable</v>
      </c>
      <c r="I443" s="35" t="str">
        <f>'13all_company_profile'!I443</f>
        <v>NaN</v>
      </c>
      <c r="J443" s="35">
        <f>'13all_company_profile'!J443</f>
        <v>-4.236</v>
      </c>
      <c r="K443" s="42" t="str">
        <f t="shared" si="1"/>
        <v>NaN</v>
      </c>
      <c r="L443" s="35">
        <f>'7company_info'!B443</f>
        <v>35.23</v>
      </c>
      <c r="M443" s="35">
        <f>'7company_info'!C443</f>
        <v>35.64</v>
      </c>
      <c r="N443" s="35">
        <f>'7company_info'!D443</f>
        <v>33.57</v>
      </c>
      <c r="O443" s="35">
        <f>'7company_info'!E443</f>
        <v>1.56</v>
      </c>
      <c r="P443" s="35">
        <f>'7company_info'!F443</f>
        <v>0.0463</v>
      </c>
      <c r="Q443" s="35">
        <f>'7company_info'!G443</f>
        <v>33.78</v>
      </c>
      <c r="R443" s="35">
        <f>'7company_info'!H443</f>
        <v>33.67</v>
      </c>
      <c r="S443" s="35">
        <f>'7company_info'!I443</f>
        <v>20.54</v>
      </c>
      <c r="T443" s="35">
        <f>'7company_info'!J443</f>
        <v>40.71</v>
      </c>
      <c r="U443" s="39">
        <v>35.6483333333333</v>
      </c>
      <c r="V443" s="39">
        <v>36.2966666666666</v>
      </c>
      <c r="W443" s="40">
        <v>37.4733333333333</v>
      </c>
      <c r="X443" s="40">
        <v>39.2983333333333</v>
      </c>
      <c r="Y443" s="40">
        <v>34.4716666666666</v>
      </c>
      <c r="Z443" s="40">
        <v>33.8233333333333</v>
      </c>
      <c r="AA443" s="40">
        <v>31.9983333333333</v>
      </c>
      <c r="AB443" s="40">
        <v>38.053</v>
      </c>
      <c r="AC443" s="40">
        <v>37.77</v>
      </c>
      <c r="AD443" s="40">
        <v>36.9989376563147</v>
      </c>
      <c r="AE443" s="40">
        <v>34.13035</v>
      </c>
      <c r="AF443" s="40">
        <v>1.22557499999999</v>
      </c>
      <c r="AG443" s="40">
        <v>40.71</v>
      </c>
      <c r="AH443" s="45">
        <v>44370.0</v>
      </c>
      <c r="AI443" s="44" t="str">
        <f>'6image_RS_benchmark_performance'!B443</f>
        <v>https://3arbzfbsh-cname-us.ngrok.io/Desktop/seabridge%20fintech/image_app/NTNX_resistance_support.jpg</v>
      </c>
      <c r="AJ443" s="44" t="str">
        <f>'6image_RS_benchmark_performance'!C443</f>
        <v>https://3arbzfbsh-cname-us.ngrok.io/Desktop/seabridge%20fintech/profit_graph_app/NTNX_Return.jpg</v>
      </c>
      <c r="AK443" s="46" t="str">
        <f>'5price_action_icon'!B443</f>
        <v>https://3arbzfbsh-cname-us.ngrok.io/Desktop/seabridge%20fintech/icon/NTNX_pa_trend_signal</v>
      </c>
      <c r="AL443" s="42">
        <f>'1kpi_performance'!B443</f>
        <v>1.522116656</v>
      </c>
      <c r="AM443" s="42">
        <f>'1kpi_performance'!C443</f>
        <v>2.123007467</v>
      </c>
      <c r="AN443" s="42">
        <f>'1kpi_performance'!D443</f>
        <v>1.726427654</v>
      </c>
      <c r="AO443" s="42">
        <f>'1kpi_performance'!E443</f>
        <v>-0.01548400119</v>
      </c>
      <c r="AP443" s="42">
        <f>'1kpi_performance'!F443</f>
        <v>0.5559407423</v>
      </c>
      <c r="AQ443" s="42">
        <f>'1kpi_performance'!G443</f>
        <v>0.5429278409</v>
      </c>
      <c r="AR443" s="42">
        <f>'1kpi_performance'!H443</f>
        <v>0.4581399476</v>
      </c>
      <c r="AS443" s="42">
        <f>'1kpi_performance'!I443</f>
        <v>0.7620792299</v>
      </c>
      <c r="AT443" s="35">
        <f>'1kpi_performance'!J443</f>
        <v>2.692942866</v>
      </c>
      <c r="AU443" s="35">
        <f>'1kpi_performance'!K443</f>
        <v>3.864247344</v>
      </c>
      <c r="AV443" s="35">
        <f>'1kpi_performance'!L443</f>
        <v>3.713772752</v>
      </c>
      <c r="AW443" s="35">
        <f>'1kpi_performance'!M443</f>
        <v>-0.05312308694</v>
      </c>
      <c r="AX443" s="42">
        <f>'1kpi_performance'!N443</f>
        <v>0.4743589744</v>
      </c>
      <c r="AY443" s="42">
        <f>'1kpi_performance'!O443</f>
        <v>0.4743589744</v>
      </c>
      <c r="AZ443" s="42">
        <f>'1kpi_performance'!P443</f>
        <v>0.3717916137</v>
      </c>
      <c r="BA443" s="42">
        <f>'1kpi_performance'!Q443</f>
        <v>0.803955423</v>
      </c>
      <c r="BB443" s="35">
        <f>'1kpi_performance'!R443</f>
        <v>6.30493694</v>
      </c>
      <c r="BC443" s="35">
        <f>'1kpi_performance'!S443</f>
        <v>9.6398278</v>
      </c>
      <c r="BD443" s="35">
        <f>'1kpi_performance'!T443</f>
        <v>9.295344185</v>
      </c>
      <c r="BE443" s="35">
        <f>'1kpi_performance'!U443</f>
        <v>-0.1000028543</v>
      </c>
      <c r="BF443" s="47"/>
      <c r="BG443" s="47"/>
      <c r="BH443" s="47"/>
      <c r="BI443" s="47"/>
      <c r="BJ443" s="47"/>
      <c r="BK443" s="47"/>
      <c r="BL443" s="47"/>
      <c r="BM443" s="47"/>
      <c r="BN443" s="47"/>
      <c r="BO443" s="47"/>
      <c r="BP443" s="47"/>
      <c r="BQ443" s="47"/>
      <c r="BR443" s="47"/>
      <c r="BS443" s="47"/>
      <c r="BT443" s="47"/>
    </row>
    <row r="444" ht="11.25" customHeight="1">
      <c r="A444" s="35" t="str">
        <f>'13all_company_profile'!A444</f>
        <v>NTRS</v>
      </c>
      <c r="B444" s="35" t="str">
        <f>'13all_company_profile'!B444</f>
        <v>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v>
      </c>
      <c r="C444" s="44" t="str">
        <f>'13all_company_profile'!C444</f>
        <v>https://financialmodelingprep.com/image-stock/NTRS.png</v>
      </c>
      <c r="D444" s="35" t="str">
        <f>'13all_company_profile'!D444</f>
        <v>Northern Trust Corporation</v>
      </c>
      <c r="E444" s="36">
        <f>'13all_company_profile'!E444</f>
        <v>23700901888</v>
      </c>
      <c r="F444" s="37">
        <f>'13all_company_profile'!F444</f>
        <v>841160</v>
      </c>
      <c r="G444" s="35">
        <f>'13all_company_profile'!G444</f>
        <v>2.8</v>
      </c>
      <c r="H444" s="38">
        <f>'13all_company_profile'!H444</f>
        <v>44398</v>
      </c>
      <c r="I444" s="35">
        <f>'13all_company_profile'!I444</f>
        <v>20.155107</v>
      </c>
      <c r="J444" s="35">
        <f>'13all_company_profile'!J444</f>
        <v>5.609</v>
      </c>
      <c r="K444" s="42">
        <f t="shared" si="1"/>
        <v>0.02504472272</v>
      </c>
      <c r="L444" s="35">
        <f>'7company_info'!B444</f>
        <v>111.8</v>
      </c>
      <c r="M444" s="35">
        <f>'7company_info'!C444</f>
        <v>112.88</v>
      </c>
      <c r="N444" s="35">
        <f>'7company_info'!D444</f>
        <v>107.67</v>
      </c>
      <c r="O444" s="35">
        <f>'7company_info'!E444</f>
        <v>3.84</v>
      </c>
      <c r="P444" s="35">
        <f>'7company_info'!F444</f>
        <v>0.0356</v>
      </c>
      <c r="Q444" s="35">
        <f>'7company_info'!G444</f>
        <v>108.27</v>
      </c>
      <c r="R444" s="35">
        <f>'7company_info'!H444</f>
        <v>107.96</v>
      </c>
      <c r="S444" s="35">
        <f>'7company_info'!I444</f>
        <v>72.64</v>
      </c>
      <c r="T444" s="35">
        <f>'7company_info'!J444</f>
        <v>123.1</v>
      </c>
      <c r="U444" s="39">
        <v>113.9</v>
      </c>
      <c r="V444" s="39">
        <v>115.219999999999</v>
      </c>
      <c r="W444" s="40">
        <v>117.12</v>
      </c>
      <c r="X444" s="40">
        <v>120.34</v>
      </c>
      <c r="Y444" s="40">
        <v>112.0</v>
      </c>
      <c r="Z444" s="40">
        <v>110.68</v>
      </c>
      <c r="AA444" s="40">
        <v>107.46</v>
      </c>
      <c r="AB444" s="40">
        <v>110.56</v>
      </c>
      <c r="AC444" s="40">
        <v>114.67</v>
      </c>
      <c r="AD444" s="40">
        <v>115.091376390329</v>
      </c>
      <c r="AE444" s="40">
        <v>108.86909</v>
      </c>
      <c r="AF444" s="40">
        <v>2.999955</v>
      </c>
      <c r="AG444" s="40">
        <v>123.1</v>
      </c>
      <c r="AH444" s="45">
        <v>44348.0</v>
      </c>
      <c r="AI444" s="44" t="str">
        <f>'6image_RS_benchmark_performance'!B444</f>
        <v>https://3arbzfbsh-cname-us.ngrok.io/Desktop/seabridge%20fintech/image_app/NTRS_resistance_support.jpg</v>
      </c>
      <c r="AJ444" s="44" t="str">
        <f>'6image_RS_benchmark_performance'!C444</f>
        <v>https://3arbzfbsh-cname-us.ngrok.io/Desktop/seabridge%20fintech/profit_graph_app/NTRS_Return.jpg</v>
      </c>
      <c r="AK444" s="46" t="str">
        <f>'5price_action_icon'!B444</f>
        <v>https://3arbzfbsh-cname-us.ngrok.io/Desktop/seabridge%20fintech/icon/NTRS_pa_trend_signal</v>
      </c>
      <c r="AL444" s="42">
        <f>'1kpi_performance'!B444</f>
        <v>0.4916442517</v>
      </c>
      <c r="AM444" s="42">
        <f>'1kpi_performance'!C444</f>
        <v>0.5985296666</v>
      </c>
      <c r="AN444" s="42">
        <f>'1kpi_performance'!D444</f>
        <v>0.6460294039</v>
      </c>
      <c r="AO444" s="42">
        <f>'1kpi_performance'!E444</f>
        <v>0.09801191995</v>
      </c>
      <c r="AP444" s="42">
        <f>'1kpi_performance'!F444</f>
        <v>0.2133370024</v>
      </c>
      <c r="AQ444" s="42">
        <f>'1kpi_performance'!G444</f>
        <v>0.2337381733</v>
      </c>
      <c r="AR444" s="42">
        <f>'1kpi_performance'!H444</f>
        <v>0.202909135</v>
      </c>
      <c r="AS444" s="42">
        <f>'1kpi_performance'!I444</f>
        <v>0.3282444869</v>
      </c>
      <c r="AT444" s="35">
        <f>'1kpi_performance'!J444</f>
        <v>2.18735731</v>
      </c>
      <c r="AU444" s="35">
        <f>'1kpi_performance'!K444</f>
        <v>2.453727</v>
      </c>
      <c r="AV444" s="35">
        <f>'1kpi_performance'!L444</f>
        <v>3.060628118</v>
      </c>
      <c r="AW444" s="35">
        <f>'1kpi_performance'!M444</f>
        <v>0.2224315194</v>
      </c>
      <c r="AX444" s="42">
        <f>'1kpi_performance'!N444</f>
        <v>0.1480884201</v>
      </c>
      <c r="AY444" s="42">
        <f>'1kpi_performance'!O444</f>
        <v>0.1818540434</v>
      </c>
      <c r="AZ444" s="42">
        <f>'1kpi_performance'!P444</f>
        <v>0.137964775</v>
      </c>
      <c r="BA444" s="42">
        <f>'1kpi_performance'!Q444</f>
        <v>0.4426229508</v>
      </c>
      <c r="BB444" s="35">
        <f>'1kpi_performance'!R444</f>
        <v>4.743193341</v>
      </c>
      <c r="BC444" s="35">
        <f>'1kpi_performance'!S444</f>
        <v>5.450245485</v>
      </c>
      <c r="BD444" s="35">
        <f>'1kpi_performance'!T444</f>
        <v>7.086436188</v>
      </c>
      <c r="BE444" s="35">
        <f>'1kpi_performance'!U444</f>
        <v>0.4288036676</v>
      </c>
      <c r="BF444" s="47"/>
      <c r="BG444" s="47"/>
      <c r="BH444" s="47"/>
      <c r="BI444" s="47"/>
      <c r="BJ444" s="47"/>
      <c r="BK444" s="47"/>
      <c r="BL444" s="47"/>
      <c r="BM444" s="47"/>
      <c r="BN444" s="47"/>
      <c r="BO444" s="47"/>
      <c r="BP444" s="47"/>
      <c r="BQ444" s="47"/>
      <c r="BR444" s="47"/>
      <c r="BS444" s="47"/>
      <c r="BT444" s="47"/>
    </row>
    <row r="445" ht="11.25" customHeight="1">
      <c r="A445" s="35" t="str">
        <f>'13all_company_profile'!A445</f>
        <v>NUAN</v>
      </c>
      <c r="B445" s="35" t="str">
        <f>'13all_company_profile'!B445</f>
        <v>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v>
      </c>
      <c r="C445" s="44" t="str">
        <f>'13all_company_profile'!C445</f>
        <v>https://financialmodelingprep.com/image-stock/NUAN.png</v>
      </c>
      <c r="D445" s="35" t="str">
        <f>'13all_company_profile'!D445</f>
        <v>Nuance Communications, Inc.</v>
      </c>
      <c r="E445" s="36">
        <f>'13all_company_profile'!E445</f>
        <v>16907578368</v>
      </c>
      <c r="F445" s="37">
        <f>'13all_company_profile'!F445</f>
        <v>7103990</v>
      </c>
      <c r="G445" s="35">
        <f>'13all_company_profile'!G445</f>
        <v>0</v>
      </c>
      <c r="H445" s="38">
        <f>'13all_company_profile'!H445</f>
        <v>44411</v>
      </c>
      <c r="I445" s="35">
        <f>'13all_company_profile'!I445</f>
        <v>4582.5</v>
      </c>
      <c r="J445" s="35">
        <f>'13all_company_profile'!J445</f>
        <v>0.012</v>
      </c>
      <c r="K445" s="42" t="str">
        <f t="shared" si="1"/>
        <v>NaN</v>
      </c>
      <c r="L445" s="35">
        <f>'7company_info'!B445</f>
        <v>55.05</v>
      </c>
      <c r="M445" s="35">
        <f>'7company_info'!C445</f>
        <v>55.12</v>
      </c>
      <c r="N445" s="35">
        <f>'7company_info'!D445</f>
        <v>54.94</v>
      </c>
      <c r="O445" s="35">
        <f>'7company_info'!E445</f>
        <v>0.13</v>
      </c>
      <c r="P445" s="35">
        <f>'7company_info'!F445</f>
        <v>0.0024</v>
      </c>
      <c r="Q445" s="35">
        <f>'7company_info'!G445</f>
        <v>54.95</v>
      </c>
      <c r="R445" s="35">
        <f>'7company_info'!H445</f>
        <v>54.92</v>
      </c>
      <c r="S445" s="35">
        <f>'7company_info'!I445</f>
        <v>25.52</v>
      </c>
      <c r="T445" s="35">
        <f>'7company_info'!J445</f>
        <v>55.12</v>
      </c>
      <c r="U445" s="39">
        <v>54.8266666666666</v>
      </c>
      <c r="V445" s="39">
        <v>55.0233333333333</v>
      </c>
      <c r="W445" s="40">
        <v>55.1466666666666</v>
      </c>
      <c r="X445" s="40">
        <v>55.4666666666666</v>
      </c>
      <c r="Y445" s="40">
        <v>54.7033333333333</v>
      </c>
      <c r="Z445" s="40">
        <v>54.5066666666666</v>
      </c>
      <c r="AA445" s="40">
        <v>54.1866666666666</v>
      </c>
      <c r="AB445" s="40">
        <v>54.58</v>
      </c>
      <c r="AC445" s="40">
        <v>54.78</v>
      </c>
      <c r="AD445" s="40">
        <v>54.4981808711281</v>
      </c>
      <c r="AE445" s="40">
        <v>54.21549</v>
      </c>
      <c r="AF445" s="40">
        <v>0.204755</v>
      </c>
      <c r="AG445" s="40">
        <v>55.1004</v>
      </c>
      <c r="AH445" s="45">
        <v>44354.0</v>
      </c>
      <c r="AI445" s="44" t="str">
        <f>'6image_RS_benchmark_performance'!B445</f>
        <v>https://3arbzfbsh-cname-us.ngrok.io/Desktop/seabridge%20fintech/image_app/NUAN_resistance_support.jpg</v>
      </c>
      <c r="AJ445" s="44" t="str">
        <f>'6image_RS_benchmark_performance'!C445</f>
        <v>https://3arbzfbsh-cname-us.ngrok.io/Desktop/seabridge%20fintech/profit_graph_app/NUAN_Return.jpg</v>
      </c>
      <c r="AK445" s="46" t="str">
        <f>'5price_action_icon'!B445</f>
        <v>https://3arbzfbsh-cname-us.ngrok.io/Desktop/seabridge%20fintech/icon/NUAN_pa_trend_signal</v>
      </c>
      <c r="AL445" s="42">
        <f>'1kpi_performance'!B445</f>
        <v>0.8397964676</v>
      </c>
      <c r="AM445" s="42">
        <f>'1kpi_performance'!C445</f>
        <v>1.011845175</v>
      </c>
      <c r="AN445" s="42">
        <f>'1kpi_performance'!D445</f>
        <v>0.7313966429</v>
      </c>
      <c r="AO445" s="42">
        <f>'1kpi_performance'!E445</f>
        <v>0.1833023973</v>
      </c>
      <c r="AP445" s="42">
        <f>'1kpi_performance'!F445</f>
        <v>0.2835263062</v>
      </c>
      <c r="AQ445" s="42">
        <f>'1kpi_performance'!G445</f>
        <v>0.2903878831</v>
      </c>
      <c r="AR445" s="42">
        <f>'1kpi_performance'!H445</f>
        <v>0.2706300542</v>
      </c>
      <c r="AS445" s="42">
        <f>'1kpi_performance'!I445</f>
        <v>0.4120937747</v>
      </c>
      <c r="AT445" s="35">
        <f>'1kpi_performance'!J445</f>
        <v>2.873794953</v>
      </c>
      <c r="AU445" s="35">
        <f>'1kpi_performance'!K445</f>
        <v>3.398368984</v>
      </c>
      <c r="AV445" s="35">
        <f>'1kpi_performance'!L445</f>
        <v>2.610192889</v>
      </c>
      <c r="AW445" s="35">
        <f>'1kpi_performance'!M445</f>
        <v>0.3841416856</v>
      </c>
      <c r="AX445" s="42">
        <f>'1kpi_performance'!N445</f>
        <v>0.2037200048</v>
      </c>
      <c r="AY445" s="42">
        <f>'1kpi_performance'!O445</f>
        <v>0.1259656235</v>
      </c>
      <c r="AZ445" s="42">
        <f>'1kpi_performance'!P445</f>
        <v>0.2935854912</v>
      </c>
      <c r="BA445" s="42">
        <f>'1kpi_performance'!Q445</f>
        <v>0.5809512964</v>
      </c>
      <c r="BB445" s="35">
        <f>'1kpi_performance'!R445</f>
        <v>6.806013394</v>
      </c>
      <c r="BC445" s="35">
        <f>'1kpi_performance'!S445</f>
        <v>9.075539855</v>
      </c>
      <c r="BD445" s="35">
        <f>'1kpi_performance'!T445</f>
        <v>6.132888426</v>
      </c>
      <c r="BE445" s="35">
        <f>'1kpi_performance'!U445</f>
        <v>0.7595218755</v>
      </c>
      <c r="BF445" s="47"/>
      <c r="BG445" s="47"/>
      <c r="BH445" s="47"/>
      <c r="BI445" s="47"/>
      <c r="BJ445" s="47"/>
      <c r="BK445" s="47"/>
      <c r="BL445" s="47"/>
      <c r="BM445" s="47"/>
      <c r="BN445" s="47"/>
      <c r="BO445" s="47"/>
      <c r="BP445" s="47"/>
      <c r="BQ445" s="47"/>
      <c r="BR445" s="47"/>
      <c r="BS445" s="47"/>
      <c r="BT445" s="47"/>
    </row>
    <row r="446" ht="11.25" customHeight="1">
      <c r="A446" s="35" t="str">
        <f>'13all_company_profile'!A446</f>
        <v>NUE</v>
      </c>
      <c r="B446" s="35" t="str">
        <f>'13all_company_profile'!B446</f>
        <v>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v>
      </c>
      <c r="C446" s="44" t="str">
        <f>'13all_company_profile'!C446</f>
        <v>https://financialmodelingprep.com/image-stock/NUE.png</v>
      </c>
      <c r="D446" s="35" t="str">
        <f>'13all_company_profile'!D446</f>
        <v>Nucor Corporation</v>
      </c>
      <c r="E446" s="36">
        <f>'13all_company_profile'!E446</f>
        <v>28568633344</v>
      </c>
      <c r="F446" s="37">
        <f>'13all_company_profile'!F446</f>
        <v>3609106</v>
      </c>
      <c r="G446" s="35">
        <f>'13all_company_profile'!G446</f>
        <v>1.618</v>
      </c>
      <c r="H446" s="38">
        <f>'13all_company_profile'!H446</f>
        <v>44398</v>
      </c>
      <c r="I446" s="35">
        <f>'13all_company_profile'!I446</f>
        <v>17.066467</v>
      </c>
      <c r="J446" s="35">
        <f>'13all_company_profile'!J446</f>
        <v>5.386</v>
      </c>
      <c r="K446" s="42">
        <f t="shared" si="1"/>
        <v>0.0176791958</v>
      </c>
      <c r="L446" s="35">
        <f>'7company_info'!B446</f>
        <v>91.52</v>
      </c>
      <c r="M446" s="35">
        <f>'7company_info'!C446</f>
        <v>92.17</v>
      </c>
      <c r="N446" s="35">
        <f>'7company_info'!D446</f>
        <v>88.67</v>
      </c>
      <c r="O446" s="35">
        <f>'7company_info'!E446</f>
        <v>1.48</v>
      </c>
      <c r="P446" s="35">
        <f>'7company_info'!F446</f>
        <v>0.0164</v>
      </c>
      <c r="Q446" s="35">
        <f>'7company_info'!G446</f>
        <v>90</v>
      </c>
      <c r="R446" s="35">
        <f>'7company_info'!H446</f>
        <v>90.04</v>
      </c>
      <c r="S446" s="35">
        <f>'7company_info'!I446</f>
        <v>40.42</v>
      </c>
      <c r="T446" s="35">
        <f>'7company_info'!J446</f>
        <v>110.97</v>
      </c>
      <c r="U446" s="39">
        <v>95.57</v>
      </c>
      <c r="V446" s="39">
        <v>96.73</v>
      </c>
      <c r="W446" s="40">
        <v>98.38</v>
      </c>
      <c r="X446" s="40">
        <v>101.19</v>
      </c>
      <c r="Y446" s="40">
        <v>93.92</v>
      </c>
      <c r="Z446" s="40">
        <v>92.76</v>
      </c>
      <c r="AA446" s="40">
        <v>89.9499999999999</v>
      </c>
      <c r="AB446" s="40">
        <v>102.74</v>
      </c>
      <c r="AC446" s="40">
        <v>97.52</v>
      </c>
      <c r="AD446" s="40">
        <v>96.8221214392578</v>
      </c>
      <c r="AE446" s="40">
        <v>88.95326</v>
      </c>
      <c r="AF446" s="40">
        <v>3.11937</v>
      </c>
      <c r="AG446" s="40">
        <v>110.965</v>
      </c>
      <c r="AH446" s="45">
        <v>44348.0</v>
      </c>
      <c r="AI446" s="44" t="str">
        <f>'6image_RS_benchmark_performance'!B446</f>
        <v>https://3arbzfbsh-cname-us.ngrok.io/Desktop/seabridge%20fintech/image_app/NUE_resistance_support.jpg</v>
      </c>
      <c r="AJ446" s="44" t="str">
        <f>'6image_RS_benchmark_performance'!C446</f>
        <v>https://3arbzfbsh-cname-us.ngrok.io/Desktop/seabridge%20fintech/profit_graph_app/NUE_Return.jpg</v>
      </c>
      <c r="AK446" s="46" t="str">
        <f>'5price_action_icon'!B446</f>
        <v>https://3arbzfbsh-cname-us.ngrok.io/Desktop/seabridge%20fintech/icon/NUE_pa_trend_signal</v>
      </c>
      <c r="AL446" s="42">
        <f>'1kpi_performance'!B446</f>
        <v>0.5937314258</v>
      </c>
      <c r="AM446" s="42">
        <f>'1kpi_performance'!C446</f>
        <v>0.7130876327</v>
      </c>
      <c r="AN446" s="42">
        <f>'1kpi_performance'!D446</f>
        <v>0.6018620849</v>
      </c>
      <c r="AO446" s="42">
        <f>'1kpi_performance'!E446</f>
        <v>0.09561902684</v>
      </c>
      <c r="AP446" s="42">
        <f>'1kpi_performance'!F446</f>
        <v>0.2385101615</v>
      </c>
      <c r="AQ446" s="42">
        <f>'1kpi_performance'!G446</f>
        <v>0.2436628817</v>
      </c>
      <c r="AR446" s="42">
        <f>'1kpi_performance'!H446</f>
        <v>0.2648296527</v>
      </c>
      <c r="AS446" s="42">
        <f>'1kpi_performance'!I446</f>
        <v>0.358482093</v>
      </c>
      <c r="AT446" s="35">
        <f>'1kpi_performance'!J446</f>
        <v>2.384516543</v>
      </c>
      <c r="AU446" s="35">
        <f>'1kpi_performance'!K446</f>
        <v>2.823932919</v>
      </c>
      <c r="AV446" s="35">
        <f>'1kpi_performance'!L446</f>
        <v>2.178238271</v>
      </c>
      <c r="AW446" s="35">
        <f>'1kpi_performance'!M446</f>
        <v>0.196994573</v>
      </c>
      <c r="AX446" s="42">
        <f>'1kpi_performance'!N446</f>
        <v>0.1275815505</v>
      </c>
      <c r="AY446" s="42">
        <f>'1kpi_performance'!O446</f>
        <v>0.1221369397</v>
      </c>
      <c r="AZ446" s="42">
        <f>'1kpi_performance'!P446</f>
        <v>0.4148651431</v>
      </c>
      <c r="BA446" s="42">
        <f>'1kpi_performance'!Q446</f>
        <v>0.5950413223</v>
      </c>
      <c r="BB446" s="35">
        <f>'1kpi_performance'!R446</f>
        <v>5.304849089</v>
      </c>
      <c r="BC446" s="35">
        <f>'1kpi_performance'!S446</f>
        <v>6.489056836</v>
      </c>
      <c r="BD446" s="35">
        <f>'1kpi_performance'!T446</f>
        <v>4.327883451</v>
      </c>
      <c r="BE446" s="35">
        <f>'1kpi_performance'!U446</f>
        <v>0.3943129577</v>
      </c>
      <c r="BF446" s="47"/>
      <c r="BG446" s="47"/>
      <c r="BH446" s="47"/>
      <c r="BI446" s="47"/>
      <c r="BJ446" s="47"/>
      <c r="BK446" s="47"/>
      <c r="BL446" s="47"/>
      <c r="BM446" s="47"/>
      <c r="BN446" s="47"/>
      <c r="BO446" s="47"/>
      <c r="BP446" s="47"/>
      <c r="BQ446" s="47"/>
      <c r="BR446" s="47"/>
      <c r="BS446" s="47"/>
      <c r="BT446" s="47"/>
    </row>
    <row r="447" ht="11.25" customHeight="1">
      <c r="A447" s="35" t="str">
        <f>'13all_company_profile'!A447</f>
        <v>NVAX</v>
      </c>
      <c r="B447" s="35" t="str">
        <f>'13all_company_profile'!B447</f>
        <v>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v>
      </c>
      <c r="C447" s="44" t="str">
        <f>'13all_company_profile'!C447</f>
        <v>https://financialmodelingprep.com/image-stock/NVAX.png</v>
      </c>
      <c r="D447" s="35" t="str">
        <f>'13all_company_profile'!D447</f>
        <v>Novavax, Inc.</v>
      </c>
      <c r="E447" s="36">
        <f>'13all_company_profile'!E447</f>
        <v>13273270272</v>
      </c>
      <c r="F447" s="37">
        <f>'13all_company_profile'!F447</f>
        <v>4063598</v>
      </c>
      <c r="G447" s="35">
        <f>'13all_company_profile'!G447</f>
        <v>0</v>
      </c>
      <c r="H447" s="38" t="str">
        <f>'13all_company_profile'!H447</f>
        <v>not avaiable</v>
      </c>
      <c r="I447" s="35" t="str">
        <f>'13all_company_profile'!I447</f>
        <v>NaN</v>
      </c>
      <c r="J447" s="35">
        <f>'13all_company_profile'!J447</f>
        <v>-9.506</v>
      </c>
      <c r="K447" s="42" t="str">
        <f t="shared" si="1"/>
        <v>NaN</v>
      </c>
      <c r="L447" s="35">
        <f>'7company_info'!B447</f>
        <v>207.19</v>
      </c>
      <c r="M447" s="35">
        <f>'7company_info'!C447</f>
        <v>230.9</v>
      </c>
      <c r="N447" s="35">
        <f>'7company_info'!D447</f>
        <v>197.92</v>
      </c>
      <c r="O447" s="35">
        <f>'7company_info'!E447</f>
        <v>-3.32</v>
      </c>
      <c r="P447" s="35">
        <f>'7company_info'!F447</f>
        <v>-0.0158</v>
      </c>
      <c r="Q447" s="35">
        <f>'7company_info'!G447</f>
        <v>214.08</v>
      </c>
      <c r="R447" s="35">
        <f>'7company_info'!H447</f>
        <v>210.51</v>
      </c>
      <c r="S447" s="35">
        <f>'7company_info'!I447</f>
        <v>76.59</v>
      </c>
      <c r="T447" s="35">
        <f>'7company_info'!J447</f>
        <v>331.68</v>
      </c>
      <c r="U447" s="39">
        <v>181.133333333333</v>
      </c>
      <c r="V447" s="39">
        <v>185.966666666666</v>
      </c>
      <c r="W447" s="40">
        <v>194.133333333333</v>
      </c>
      <c r="X447" s="40">
        <v>207.133333333333</v>
      </c>
      <c r="Y447" s="40">
        <v>172.966666666666</v>
      </c>
      <c r="Z447" s="40">
        <v>168.133333333333</v>
      </c>
      <c r="AA447" s="40">
        <v>155.133333333333</v>
      </c>
      <c r="AB447" s="40">
        <v>207.51</v>
      </c>
      <c r="AC447" s="40">
        <v>192.0</v>
      </c>
      <c r="AD447" s="40">
        <v>191.317764260432</v>
      </c>
      <c r="AE447" s="40">
        <v>158.45302</v>
      </c>
      <c r="AF447" s="40">
        <v>12.4279899999999</v>
      </c>
      <c r="AG447" s="40">
        <v>331.68</v>
      </c>
      <c r="AH447" s="45">
        <v>44236.0</v>
      </c>
      <c r="AI447" s="44" t="str">
        <f>'6image_RS_benchmark_performance'!B447</f>
        <v>https://3arbzfbsh-cname-us.ngrok.io/Desktop/seabridge%20fintech/image_app/NVAX_resistance_support.jpg</v>
      </c>
      <c r="AJ447" s="44" t="str">
        <f>'6image_RS_benchmark_performance'!C447</f>
        <v>https://3arbzfbsh-cname-us.ngrok.io/Desktop/seabridge%20fintech/profit_graph_app/NVAX_Return.jpg</v>
      </c>
      <c r="AK447" s="46" t="str">
        <f>'5price_action_icon'!B447</f>
        <v>https://3arbzfbsh-cname-us.ngrok.io/Desktop/seabridge%20fintech/icon/NVAX_pa_trend_signal</v>
      </c>
      <c r="AL447" s="42">
        <f>'1kpi_performance'!B447</f>
        <v>2.930137795</v>
      </c>
      <c r="AM447" s="42">
        <f>'1kpi_performance'!C447</f>
        <v>4.114276341</v>
      </c>
      <c r="AN447" s="42">
        <f>'1kpi_performance'!D447</f>
        <v>1.98807445</v>
      </c>
      <c r="AO447" s="42">
        <f>'1kpi_performance'!E447</f>
        <v>0.1748173036</v>
      </c>
      <c r="AP447" s="42">
        <f>'1kpi_performance'!F447</f>
        <v>0.8407497031</v>
      </c>
      <c r="AQ447" s="42">
        <f>'1kpi_performance'!G447</f>
        <v>0.8263203468</v>
      </c>
      <c r="AR447" s="42">
        <f>'1kpi_performance'!H447</f>
        <v>0.8499474661</v>
      </c>
      <c r="AS447" s="42">
        <f>'1kpi_performance'!I447</f>
        <v>1.123869626</v>
      </c>
      <c r="AT447" s="35">
        <f>'1kpi_performance'!J447</f>
        <v>3.455413406</v>
      </c>
      <c r="AU447" s="35">
        <f>'1kpi_performance'!K447</f>
        <v>4.948778469</v>
      </c>
      <c r="AV447" s="35">
        <f>'1kpi_performance'!L447</f>
        <v>2.3096421</v>
      </c>
      <c r="AW447" s="35">
        <f>'1kpi_performance'!M447</f>
        <v>0.1333048782</v>
      </c>
      <c r="AX447" s="42">
        <f>'1kpi_performance'!N447</f>
        <v>0.5230389809</v>
      </c>
      <c r="AY447" s="42">
        <f>'1kpi_performance'!O447</f>
        <v>0.2703146375</v>
      </c>
      <c r="AZ447" s="42">
        <f>'1kpi_performance'!P447</f>
        <v>0.8746759049</v>
      </c>
      <c r="BA447" s="42">
        <f>'1kpi_performance'!Q447</f>
        <v>0.9869519095</v>
      </c>
      <c r="BB447" s="35">
        <f>'1kpi_performance'!R447</f>
        <v>9.831481777</v>
      </c>
      <c r="BC447" s="35">
        <f>'1kpi_performance'!S447</f>
        <v>16.41691616</v>
      </c>
      <c r="BD447" s="35">
        <f>'1kpi_performance'!T447</f>
        <v>5.289498896</v>
      </c>
      <c r="BE447" s="35">
        <f>'1kpi_performance'!U447</f>
        <v>0.2830046507</v>
      </c>
      <c r="BF447" s="47"/>
      <c r="BG447" s="47"/>
      <c r="BH447" s="47"/>
      <c r="BI447" s="47"/>
      <c r="BJ447" s="47"/>
      <c r="BK447" s="47"/>
      <c r="BL447" s="47"/>
      <c r="BM447" s="47"/>
      <c r="BN447" s="47"/>
      <c r="BO447" s="47"/>
      <c r="BP447" s="47"/>
      <c r="BQ447" s="47"/>
      <c r="BR447" s="47"/>
      <c r="BS447" s="47"/>
      <c r="BT447" s="47"/>
    </row>
    <row r="448" ht="11.25" customHeight="1">
      <c r="A448" s="35" t="str">
        <f>'13all_company_profile'!A448</f>
        <v>NVDA</v>
      </c>
      <c r="B448" s="35" t="str">
        <f>'13all_company_profile'!B448</f>
        <v>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v>
      </c>
      <c r="C448" s="44" t="str">
        <f>'13all_company_profile'!C448</f>
        <v>https://financialmodelingprep.com/image-stock/NVDA.png</v>
      </c>
      <c r="D448" s="35" t="str">
        <f>'13all_company_profile'!D448</f>
        <v>NVIDIA Corporation</v>
      </c>
      <c r="E448" s="36">
        <f>'13all_company_profile'!E448</f>
        <v>472638980096</v>
      </c>
      <c r="F448" s="37">
        <f>'13all_company_profile'!F448</f>
        <v>9582971</v>
      </c>
      <c r="G448" s="35">
        <f>'13all_company_profile'!G448</f>
        <v>0.64</v>
      </c>
      <c r="H448" s="38" t="str">
        <f>'13all_company_profile'!H448</f>
        <v>not avaiable</v>
      </c>
      <c r="I448" s="35">
        <f>'13all_company_profile'!I448</f>
        <v>85.65366</v>
      </c>
      <c r="J448" s="35">
        <f>'13all_company_profile'!J448</f>
        <v>8.46</v>
      </c>
      <c r="K448" s="42">
        <f t="shared" si="1"/>
        <v>0.003438641737</v>
      </c>
      <c r="L448" s="35">
        <f>'7company_info'!B448</f>
        <v>186.12</v>
      </c>
      <c r="M448" s="35">
        <f>'7company_info'!C448</f>
        <v>188.38</v>
      </c>
      <c r="N448" s="35">
        <f>'7company_info'!D448</f>
        <v>181.64</v>
      </c>
      <c r="O448" s="35">
        <f>'7company_info'!E448</f>
        <v>-1.68</v>
      </c>
      <c r="P448" s="35">
        <f>'7company_info'!F448</f>
        <v>-0.0089</v>
      </c>
      <c r="Q448" s="35">
        <f>'7company_info'!G448</f>
        <v>187.3</v>
      </c>
      <c r="R448" s="35">
        <f>'7company_info'!H448</f>
        <v>187.8</v>
      </c>
      <c r="S448" s="35">
        <f>'7company_info'!I448</f>
        <v>97.77</v>
      </c>
      <c r="T448" s="35">
        <f>'7company_info'!J448</f>
        <v>208.75</v>
      </c>
      <c r="U448" s="39">
        <v>800.16</v>
      </c>
      <c r="V448" s="39">
        <v>810.209999999999</v>
      </c>
      <c r="W448" s="40">
        <v>826.76</v>
      </c>
      <c r="X448" s="40">
        <v>853.36</v>
      </c>
      <c r="Y448" s="40">
        <v>783.609999999999</v>
      </c>
      <c r="Z448" s="40">
        <v>773.56</v>
      </c>
      <c r="AA448" s="40">
        <v>746.959999999999</v>
      </c>
      <c r="AB448" s="40">
        <v>786.275</v>
      </c>
      <c r="AC448" s="40">
        <v>821.31</v>
      </c>
      <c r="AD448" s="40">
        <v>776.813391946694</v>
      </c>
      <c r="AE448" s="40">
        <v>768.19061</v>
      </c>
      <c r="AF448" s="40">
        <v>21.653095</v>
      </c>
      <c r="AG448" s="40">
        <v>835.0</v>
      </c>
      <c r="AH448" s="45">
        <v>44384.0</v>
      </c>
      <c r="AI448" s="44" t="str">
        <f>'6image_RS_benchmark_performance'!B448</f>
        <v>https://3arbzfbsh-cname-us.ngrok.io/Desktop/seabridge%20fintech/image_app/NVDA_resistance_support.jpg</v>
      </c>
      <c r="AJ448" s="44" t="str">
        <f>'6image_RS_benchmark_performance'!C448</f>
        <v>https://3arbzfbsh-cname-us.ngrok.io/Desktop/seabridge%20fintech/profit_graph_app/NVDA_Return.jpg</v>
      </c>
      <c r="AK448" s="46" t="str">
        <f>'5price_action_icon'!B448</f>
        <v>https://3arbzfbsh-cname-us.ngrok.io/Desktop/seabridge%20fintech/icon/NVDA_pa_trend_signal</v>
      </c>
      <c r="AL448" s="42">
        <f>'1kpi_performance'!B448</f>
        <v>1.03010844</v>
      </c>
      <c r="AM448" s="42">
        <f>'1kpi_performance'!C448</f>
        <v>1.781576184</v>
      </c>
      <c r="AN448" s="42">
        <f>'1kpi_performance'!D448</f>
        <v>0.935476932</v>
      </c>
      <c r="AO448" s="42">
        <f>'1kpi_performance'!E448</f>
        <v>0.6137611871</v>
      </c>
      <c r="AP448" s="42">
        <f>'1kpi_performance'!F448</f>
        <v>0.3665031808</v>
      </c>
      <c r="AQ448" s="42">
        <f>'1kpi_performance'!G448</f>
        <v>0.3592039808</v>
      </c>
      <c r="AR448" s="42">
        <f>'1kpi_performance'!H448</f>
        <v>0.3724124955</v>
      </c>
      <c r="AS448" s="42">
        <f>'1kpi_performance'!I448</f>
        <v>0.5077250133</v>
      </c>
      <c r="AT448" s="35">
        <f>'1kpi_performance'!J448</f>
        <v>2.742427604</v>
      </c>
      <c r="AU448" s="35">
        <f>'1kpi_performance'!K448</f>
        <v>4.890191305</v>
      </c>
      <c r="AV448" s="35">
        <f>'1kpi_performance'!L448</f>
        <v>2.444807688</v>
      </c>
      <c r="AW448" s="35">
        <f>'1kpi_performance'!M448</f>
        <v>1.159606424</v>
      </c>
      <c r="AX448" s="42">
        <f>'1kpi_performance'!N448</f>
        <v>0.3486306171</v>
      </c>
      <c r="AY448" s="42">
        <f>'1kpi_performance'!O448</f>
        <v>0.133359811</v>
      </c>
      <c r="AZ448" s="42">
        <f>'1kpi_performance'!P448</f>
        <v>0.5068017768</v>
      </c>
      <c r="BA448" s="42">
        <f>'1kpi_performance'!Q448</f>
        <v>0.5608238872</v>
      </c>
      <c r="BB448" s="35">
        <f>'1kpi_performance'!R448</f>
        <v>6.032884323</v>
      </c>
      <c r="BC448" s="35">
        <f>'1kpi_performance'!S448</f>
        <v>12.78378801</v>
      </c>
      <c r="BD448" s="35">
        <f>'1kpi_performance'!T448</f>
        <v>4.853880552</v>
      </c>
      <c r="BE448" s="35">
        <f>'1kpi_performance'!U448</f>
        <v>2.397607258</v>
      </c>
      <c r="BF448" s="47"/>
      <c r="BG448" s="47"/>
      <c r="BH448" s="47"/>
      <c r="BI448" s="47"/>
      <c r="BJ448" s="47"/>
      <c r="BK448" s="47"/>
      <c r="BL448" s="47"/>
      <c r="BM448" s="47"/>
      <c r="BN448" s="47"/>
      <c r="BO448" s="47"/>
      <c r="BP448" s="47"/>
      <c r="BQ448" s="47"/>
      <c r="BR448" s="47"/>
      <c r="BS448" s="47"/>
      <c r="BT448" s="47"/>
    </row>
    <row r="449" ht="11.25" customHeight="1">
      <c r="A449" s="35" t="str">
        <f>'13all_company_profile'!A449</f>
        <v>NVR</v>
      </c>
      <c r="B449" s="35" t="str">
        <f>'13all_company_profile'!B449</f>
        <v>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v>
      </c>
      <c r="C449" s="44" t="str">
        <f>'13all_company_profile'!C449</f>
        <v>https://financialmodelingprep.com/image-stock/NVR.png</v>
      </c>
      <c r="D449" s="35" t="str">
        <f>'13all_company_profile'!D449</f>
        <v>NVR, Inc.</v>
      </c>
      <c r="E449" s="36">
        <f>'13all_company_profile'!E449</f>
        <v>17583208448</v>
      </c>
      <c r="F449" s="37">
        <f>'13all_company_profile'!F449</f>
        <v>20941</v>
      </c>
      <c r="G449" s="35">
        <f>'13all_company_profile'!G449</f>
        <v>0</v>
      </c>
      <c r="H449" s="38">
        <f>'13all_company_profile'!H449</f>
        <v>44397</v>
      </c>
      <c r="I449" s="35">
        <f>'13all_company_profile'!I449</f>
        <v>19.45024</v>
      </c>
      <c r="J449" s="35">
        <f>'13all_company_profile'!J449</f>
        <v>248.326</v>
      </c>
      <c r="K449" s="42" t="str">
        <f t="shared" si="1"/>
        <v>NaN</v>
      </c>
      <c r="L449" s="35">
        <f>'7company_info'!B449</f>
        <v>4900.27</v>
      </c>
      <c r="M449" s="35">
        <f>'7company_info'!C449</f>
        <v>4910.97</v>
      </c>
      <c r="N449" s="35">
        <f>'7company_info'!D449</f>
        <v>4790.23</v>
      </c>
      <c r="O449" s="35">
        <f>'7company_info'!E449</f>
        <v>112.26</v>
      </c>
      <c r="P449" s="35">
        <f>'7company_info'!F449</f>
        <v>0.0234</v>
      </c>
      <c r="Q449" s="35">
        <f>'7company_info'!G449</f>
        <v>4820.16</v>
      </c>
      <c r="R449" s="35">
        <f>'7company_info'!H449</f>
        <v>4788.01</v>
      </c>
      <c r="S449" s="35">
        <f>'7company_info'!I449</f>
        <v>3277.85</v>
      </c>
      <c r="T449" s="35">
        <f>'7company_info'!J449</f>
        <v>5308.48</v>
      </c>
      <c r="U449" s="39">
        <v>4865.28166666666</v>
      </c>
      <c r="V449" s="39">
        <v>4917.40833333333</v>
      </c>
      <c r="W449" s="40">
        <v>4972.46666666666</v>
      </c>
      <c r="X449" s="40">
        <v>5079.65166666666</v>
      </c>
      <c r="Y449" s="40">
        <v>4810.22333333333</v>
      </c>
      <c r="Z449" s="40">
        <v>4758.09666666666</v>
      </c>
      <c r="AA449" s="40">
        <v>4650.91166666666</v>
      </c>
      <c r="AB449" s="40">
        <v>4596.97</v>
      </c>
      <c r="AC449" s="40">
        <v>4703.34</v>
      </c>
      <c r="AD449" s="40">
        <v>4933.73291962134</v>
      </c>
      <c r="AE449" s="40">
        <v>4599.99166999999</v>
      </c>
      <c r="AF449" s="40">
        <v>110.959915</v>
      </c>
      <c r="AG449" s="40">
        <v>5308.475</v>
      </c>
      <c r="AH449" s="45">
        <v>44326.0</v>
      </c>
      <c r="AI449" s="44" t="str">
        <f>'6image_RS_benchmark_performance'!B449</f>
        <v>https://3arbzfbsh-cname-us.ngrok.io/Desktop/seabridge%20fintech/image_app/NVR_resistance_support.jpg</v>
      </c>
      <c r="AJ449" s="44" t="str">
        <f>'6image_RS_benchmark_performance'!C449</f>
        <v>https://3arbzfbsh-cname-us.ngrok.io/Desktop/seabridge%20fintech/profit_graph_app/NVR_Return.jpg</v>
      </c>
      <c r="AK449" s="46" t="str">
        <f>'5price_action_icon'!B449</f>
        <v>https://3arbzfbsh-cname-us.ngrok.io/Desktop/seabridge%20fintech/icon/NVR_pa_trend_signal</v>
      </c>
      <c r="AL449" s="42">
        <f>'1kpi_performance'!B449</f>
        <v>0.4341494092</v>
      </c>
      <c r="AM449" s="42">
        <f>'1kpi_performance'!C449</f>
        <v>0.6411199295</v>
      </c>
      <c r="AN449" s="42">
        <f>'1kpi_performance'!D449</f>
        <v>0.6546360526</v>
      </c>
      <c r="AO449" s="42">
        <f>'1kpi_performance'!E449</f>
        <v>0.2683922149</v>
      </c>
      <c r="AP449" s="42">
        <f>'1kpi_performance'!F449</f>
        <v>0.2217428969</v>
      </c>
      <c r="AQ449" s="42">
        <f>'1kpi_performance'!G449</f>
        <v>0.24114306</v>
      </c>
      <c r="AR449" s="42">
        <f>'1kpi_performance'!H449</f>
        <v>0.2587306576</v>
      </c>
      <c r="AS449" s="42">
        <f>'1kpi_performance'!I449</f>
        <v>0.3489341283</v>
      </c>
      <c r="AT449" s="35">
        <f>'1kpi_performance'!J449</f>
        <v>1.845152268</v>
      </c>
      <c r="AU449" s="35">
        <f>'1kpi_performance'!K449</f>
        <v>2.554997558</v>
      </c>
      <c r="AV449" s="35">
        <f>'1kpi_performance'!L449</f>
        <v>2.433557965</v>
      </c>
      <c r="AW449" s="35">
        <f>'1kpi_performance'!M449</f>
        <v>0.6975305515</v>
      </c>
      <c r="AX449" s="42">
        <f>'1kpi_performance'!N449</f>
        <v>0.2007938371</v>
      </c>
      <c r="AY449" s="42">
        <f>'1kpi_performance'!O449</f>
        <v>0.1966805713</v>
      </c>
      <c r="AZ449" s="42">
        <f>'1kpi_performance'!P449</f>
        <v>0.4585511576</v>
      </c>
      <c r="BA449" s="42">
        <f>'1kpi_performance'!Q449</f>
        <v>0.4613363317</v>
      </c>
      <c r="BB449" s="35">
        <f>'1kpi_performance'!R449</f>
        <v>3.891106211</v>
      </c>
      <c r="BC449" s="35">
        <f>'1kpi_performance'!S449</f>
        <v>5.903886092</v>
      </c>
      <c r="BD449" s="35">
        <f>'1kpi_performance'!T449</f>
        <v>4.991497223</v>
      </c>
      <c r="BE449" s="35">
        <f>'1kpi_performance'!U449</f>
        <v>1.364452968</v>
      </c>
      <c r="BF449" s="47"/>
      <c r="BG449" s="47"/>
      <c r="BH449" s="47"/>
      <c r="BI449" s="47"/>
      <c r="BJ449" s="47"/>
      <c r="BK449" s="47"/>
      <c r="BL449" s="47"/>
      <c r="BM449" s="47"/>
      <c r="BN449" s="47"/>
      <c r="BO449" s="47"/>
      <c r="BP449" s="47"/>
      <c r="BQ449" s="47"/>
      <c r="BR449" s="47"/>
      <c r="BS449" s="47"/>
      <c r="BT449" s="47"/>
    </row>
    <row r="450" ht="11.25" customHeight="1">
      <c r="A450" s="35" t="str">
        <f>'13all_company_profile'!A450</f>
        <v>NVTA</v>
      </c>
      <c r="B450" s="35" t="str">
        <f>'13all_company_profile'!B450</f>
        <v>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v>
      </c>
      <c r="C450" s="44" t="str">
        <f>'13all_company_profile'!C450</f>
        <v>https://financialmodelingprep.com/image-stock/NVTA.png</v>
      </c>
      <c r="D450" s="35" t="str">
        <f>'13all_company_profile'!D450</f>
        <v>Invitae Corporation</v>
      </c>
      <c r="E450" s="36">
        <f>'13all_company_profile'!E450</f>
        <v>5617417728</v>
      </c>
      <c r="F450" s="37">
        <f>'13all_company_profile'!F450</f>
        <v>3533633</v>
      </c>
      <c r="G450" s="35">
        <f>'13all_company_profile'!G450</f>
        <v>0</v>
      </c>
      <c r="H450" s="38">
        <f>'13all_company_profile'!H450</f>
        <v>44410</v>
      </c>
      <c r="I450" s="35" t="str">
        <f>'13all_company_profile'!I450</f>
        <v>NaN</v>
      </c>
      <c r="J450" s="35">
        <f>'13all_company_profile'!J450</f>
        <v>-3.876</v>
      </c>
      <c r="K450" s="42" t="str">
        <f t="shared" si="1"/>
        <v>NaN</v>
      </c>
      <c r="L450" s="35">
        <f>'7company_info'!B450</f>
        <v>29.25</v>
      </c>
      <c r="M450" s="35">
        <f>'7company_info'!C450</f>
        <v>29.41</v>
      </c>
      <c r="N450" s="35">
        <f>'7company_info'!D450</f>
        <v>27.92</v>
      </c>
      <c r="O450" s="35">
        <f>'7company_info'!E450</f>
        <v>0.5</v>
      </c>
      <c r="P450" s="35">
        <f>'7company_info'!F450</f>
        <v>0.0174</v>
      </c>
      <c r="Q450" s="35">
        <f>'7company_info'!G450</f>
        <v>28.91</v>
      </c>
      <c r="R450" s="35">
        <f>'7company_info'!H450</f>
        <v>28.75</v>
      </c>
      <c r="S450" s="35">
        <f>'7company_info'!I450</f>
        <v>25.24</v>
      </c>
      <c r="T450" s="35">
        <f>'7company_info'!J450</f>
        <v>61.59</v>
      </c>
      <c r="U450" s="39">
        <v>28.9967</v>
      </c>
      <c r="V450" s="39">
        <v>29.8733</v>
      </c>
      <c r="W450" s="40">
        <v>31.1366</v>
      </c>
      <c r="X450" s="40">
        <v>33.2765</v>
      </c>
      <c r="Y450" s="40">
        <v>27.7334</v>
      </c>
      <c r="Z450" s="40">
        <v>26.8568</v>
      </c>
      <c r="AA450" s="40">
        <v>24.7169</v>
      </c>
      <c r="AB450" s="40">
        <v>29.75</v>
      </c>
      <c r="AC450" s="40">
        <v>32.98</v>
      </c>
      <c r="AD450" s="40">
        <v>31.7186833502339</v>
      </c>
      <c r="AE450" s="40">
        <v>26.67478</v>
      </c>
      <c r="AF450" s="40">
        <v>1.62610499999999</v>
      </c>
      <c r="AG450" s="40">
        <v>60.2499</v>
      </c>
      <c r="AH450" s="45">
        <v>44216.0</v>
      </c>
      <c r="AI450" s="44" t="str">
        <f>'6image_RS_benchmark_performance'!B450</f>
        <v>https://3arbzfbsh-cname-us.ngrok.io/Desktop/seabridge%20fintech/image_app/NVTA_resistance_support.jpg</v>
      </c>
      <c r="AJ450" s="44" t="str">
        <f>'6image_RS_benchmark_performance'!C450</f>
        <v>https://3arbzfbsh-cname-us.ngrok.io/Desktop/seabridge%20fintech/profit_graph_app/NVTA_Return.jpg</v>
      </c>
      <c r="AK450" s="46" t="str">
        <f>'5price_action_icon'!B450</f>
        <v>https://3arbzfbsh-cname-us.ngrok.io/Desktop/seabridge%20fintech/icon/NVTA_pa_trend_signal</v>
      </c>
      <c r="AL450" s="42">
        <f>'1kpi_performance'!B450</f>
        <v>1.485841529</v>
      </c>
      <c r="AM450" s="42">
        <f>'1kpi_performance'!C450</f>
        <v>2.619808334</v>
      </c>
      <c r="AN450" s="42">
        <f>'1kpi_performance'!D450</f>
        <v>2.82290263</v>
      </c>
      <c r="AO450" s="42">
        <f>'1kpi_performance'!E450</f>
        <v>0.1222994811</v>
      </c>
      <c r="AP450" s="42">
        <f>'1kpi_performance'!F450</f>
        <v>0.6075914719</v>
      </c>
      <c r="AQ450" s="42">
        <f>'1kpi_performance'!G450</f>
        <v>0.6072140246</v>
      </c>
      <c r="AR450" s="42">
        <f>'1kpi_performance'!H450</f>
        <v>0.5382107822</v>
      </c>
      <c r="AS450" s="42">
        <f>'1kpi_performance'!I450</f>
        <v>0.8737458503</v>
      </c>
      <c r="AT450" s="35">
        <f>'1kpi_performance'!J450</f>
        <v>2.404315393</v>
      </c>
      <c r="AU450" s="35">
        <f>'1kpi_performance'!K450</f>
        <v>4.273301058</v>
      </c>
      <c r="AV450" s="35">
        <f>'1kpi_performance'!L450</f>
        <v>5.198525788</v>
      </c>
      <c r="AW450" s="35">
        <f>'1kpi_performance'!M450</f>
        <v>0.1113590194</v>
      </c>
      <c r="AX450" s="42">
        <f>'1kpi_performance'!N450</f>
        <v>0.4937586685</v>
      </c>
      <c r="AY450" s="42">
        <f>'1kpi_performance'!O450</f>
        <v>0.2833537332</v>
      </c>
      <c r="AZ450" s="42">
        <f>'1kpi_performance'!P450</f>
        <v>0.3596491228</v>
      </c>
      <c r="BA450" s="42">
        <f>'1kpi_performance'!Q450</f>
        <v>0.783171521</v>
      </c>
      <c r="BB450" s="35">
        <f>'1kpi_performance'!R450</f>
        <v>5.063894636</v>
      </c>
      <c r="BC450" s="35">
        <f>'1kpi_performance'!S450</f>
        <v>9.980950817</v>
      </c>
      <c r="BD450" s="35">
        <f>'1kpi_performance'!T450</f>
        <v>11.67285625</v>
      </c>
      <c r="BE450" s="35">
        <f>'1kpi_performance'!U450</f>
        <v>0.2243137912</v>
      </c>
      <c r="BF450" s="47"/>
      <c r="BG450" s="47"/>
      <c r="BH450" s="47"/>
      <c r="BI450" s="47"/>
      <c r="BJ450" s="47"/>
      <c r="BK450" s="47"/>
      <c r="BL450" s="47"/>
      <c r="BM450" s="47"/>
      <c r="BN450" s="47"/>
      <c r="BO450" s="47"/>
      <c r="BP450" s="47"/>
      <c r="BQ450" s="47"/>
      <c r="BR450" s="47"/>
      <c r="BS450" s="47"/>
      <c r="BT450" s="47"/>
    </row>
    <row r="451" ht="11.25" customHeight="1">
      <c r="A451" s="35" t="str">
        <f>'13all_company_profile'!A451</f>
        <v>NWL</v>
      </c>
      <c r="B451" s="35" t="str">
        <f>'13all_company_profile'!B451</f>
        <v>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v>
      </c>
      <c r="C451" s="44" t="str">
        <f>'13all_company_profile'!C451</f>
        <v>https://financialmodelingprep.com/image-stock/NWL.png</v>
      </c>
      <c r="D451" s="35" t="str">
        <f>'13all_company_profile'!D451</f>
        <v>Newell Brands Inc.</v>
      </c>
      <c r="E451" s="36">
        <f>'13all_company_profile'!E451</f>
        <v>11504364544</v>
      </c>
      <c r="F451" s="37">
        <f>'13all_company_profile'!F451</f>
        <v>2335528</v>
      </c>
      <c r="G451" s="35">
        <f>'13all_company_profile'!G451</f>
        <v>0.92</v>
      </c>
      <c r="H451" s="38">
        <f>'13all_company_profile'!H451</f>
        <v>44406</v>
      </c>
      <c r="I451" s="35">
        <f>'13all_company_profile'!I451</f>
        <v>19.288763</v>
      </c>
      <c r="J451" s="35">
        <f>'13all_company_profile'!J451</f>
        <v>1.406</v>
      </c>
      <c r="K451" s="42">
        <f t="shared" si="1"/>
        <v>0.03402366864</v>
      </c>
      <c r="L451" s="35">
        <f>'7company_info'!B451</f>
        <v>27.04</v>
      </c>
      <c r="M451" s="35">
        <f>'7company_info'!C451</f>
        <v>27.08</v>
      </c>
      <c r="N451" s="35">
        <f>'7company_info'!D451</f>
        <v>26.05</v>
      </c>
      <c r="O451" s="35">
        <f>'7company_info'!E451</f>
        <v>0.89</v>
      </c>
      <c r="P451" s="35">
        <f>'7company_info'!F451</f>
        <v>0.034</v>
      </c>
      <c r="Q451" s="35">
        <f>'7company_info'!G451</f>
        <v>26.3</v>
      </c>
      <c r="R451" s="35">
        <f>'7company_info'!H451</f>
        <v>26.15</v>
      </c>
      <c r="S451" s="35">
        <f>'7company_info'!I451</f>
        <v>15.67</v>
      </c>
      <c r="T451" s="35">
        <f>'7company_info'!J451</f>
        <v>30.1</v>
      </c>
      <c r="U451" s="39">
        <v>27.08</v>
      </c>
      <c r="V451" s="39">
        <v>27.43</v>
      </c>
      <c r="W451" s="40">
        <v>27.76</v>
      </c>
      <c r="X451" s="40">
        <v>28.44</v>
      </c>
      <c r="Y451" s="40">
        <v>26.75</v>
      </c>
      <c r="Z451" s="40">
        <v>26.4</v>
      </c>
      <c r="AA451" s="40">
        <v>25.72</v>
      </c>
      <c r="AB451" s="40">
        <v>26.71</v>
      </c>
      <c r="AC451" s="40">
        <v>27.27</v>
      </c>
      <c r="AD451" s="40">
        <v>27.0077853785078</v>
      </c>
      <c r="AE451" s="40">
        <v>25.22201</v>
      </c>
      <c r="AF451" s="40">
        <v>0.644745</v>
      </c>
      <c r="AG451" s="40">
        <v>30.1</v>
      </c>
      <c r="AH451" s="45">
        <v>44326.0</v>
      </c>
      <c r="AI451" s="44" t="str">
        <f>'6image_RS_benchmark_performance'!B451</f>
        <v>https://3arbzfbsh-cname-us.ngrok.io/Desktop/seabridge%20fintech/image_app/NWL_resistance_support.jpg</v>
      </c>
      <c r="AJ451" s="44" t="str">
        <f>'6image_RS_benchmark_performance'!C451</f>
        <v>https://3arbzfbsh-cname-us.ngrok.io/Desktop/seabridge%20fintech/profit_graph_app/NWL_Return.jpg</v>
      </c>
      <c r="AK451" s="46" t="str">
        <f>'5price_action_icon'!B451</f>
        <v>https://3arbzfbsh-cname-us.ngrok.io/Desktop/seabridge%20fintech/icon/NWL_pa_trend_signal</v>
      </c>
      <c r="AL451" s="42">
        <f>'1kpi_performance'!B451</f>
        <v>0.5312177203</v>
      </c>
      <c r="AM451" s="42">
        <f>'1kpi_performance'!C451</f>
        <v>0.8055955242</v>
      </c>
      <c r="AN451" s="42">
        <f>'1kpi_performance'!D451</f>
        <v>0.6451523864</v>
      </c>
      <c r="AO451" s="42">
        <f>'1kpi_performance'!E451</f>
        <v>0.07856408791</v>
      </c>
      <c r="AP451" s="42">
        <f>'1kpi_performance'!F451</f>
        <v>0.2724481051</v>
      </c>
      <c r="AQ451" s="42">
        <f>'1kpi_performance'!G451</f>
        <v>0.2736206707</v>
      </c>
      <c r="AR451" s="42">
        <f>'1kpi_performance'!H451</f>
        <v>0.2909378562</v>
      </c>
      <c r="AS451" s="42">
        <f>'1kpi_performance'!I451</f>
        <v>0.415669859</v>
      </c>
      <c r="AT451" s="35">
        <f>'1kpi_performance'!J451</f>
        <v>1.858033551</v>
      </c>
      <c r="AU451" s="35">
        <f>'1kpi_performance'!K451</f>
        <v>2.852838282</v>
      </c>
      <c r="AV451" s="35">
        <f>'1kpi_performance'!L451</f>
        <v>2.131563058</v>
      </c>
      <c r="AW451" s="35">
        <f>'1kpi_performance'!M451</f>
        <v>0.1288620927</v>
      </c>
      <c r="AX451" s="42">
        <f>'1kpi_performance'!N451</f>
        <v>0.1846888412</v>
      </c>
      <c r="AY451" s="42">
        <f>'1kpi_performance'!O451</f>
        <v>0.150248051</v>
      </c>
      <c r="AZ451" s="42">
        <f>'1kpi_performance'!P451</f>
        <v>0.4828776086</v>
      </c>
      <c r="BA451" s="42">
        <f>'1kpi_performance'!Q451</f>
        <v>0.807797413</v>
      </c>
      <c r="BB451" s="35">
        <f>'1kpi_performance'!R451</f>
        <v>3.976481082</v>
      </c>
      <c r="BC451" s="35">
        <f>'1kpi_performance'!S451</f>
        <v>6.885178993</v>
      </c>
      <c r="BD451" s="35">
        <f>'1kpi_performance'!T451</f>
        <v>4.130695318</v>
      </c>
      <c r="BE451" s="35">
        <f>'1kpi_performance'!U451</f>
        <v>0.2357863943</v>
      </c>
      <c r="BF451" s="47"/>
      <c r="BG451" s="47"/>
      <c r="BH451" s="47"/>
      <c r="BI451" s="47"/>
      <c r="BJ451" s="47"/>
      <c r="BK451" s="47"/>
      <c r="BL451" s="47"/>
      <c r="BM451" s="47"/>
      <c r="BN451" s="47"/>
      <c r="BO451" s="47"/>
      <c r="BP451" s="47"/>
      <c r="BQ451" s="47"/>
      <c r="BR451" s="47"/>
      <c r="BS451" s="47"/>
      <c r="BT451" s="47"/>
    </row>
    <row r="452" ht="11.25" customHeight="1">
      <c r="A452" s="35" t="str">
        <f>'13all_company_profile'!A452</f>
        <v>NWS</v>
      </c>
      <c r="B452" s="35" t="str">
        <f>'13all_company_profile'!B452</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2" s="44" t="str">
        <f>'13all_company_profile'!C452</f>
        <v>https://financialmodelingprep.com/image-stock/NWS.png</v>
      </c>
      <c r="D452" s="35" t="str">
        <f>'13all_company_profile'!D452</f>
        <v>News Corporation</v>
      </c>
      <c r="E452" s="36">
        <f>'13all_company_profile'!E452</f>
        <v>14503906304</v>
      </c>
      <c r="F452" s="37">
        <f>'13all_company_profile'!F452</f>
        <v>473312</v>
      </c>
      <c r="G452" s="35">
        <f>'13all_company_profile'!G452</f>
        <v>0.2</v>
      </c>
      <c r="H452" s="38" t="str">
        <f>'13all_company_profile'!H452</f>
        <v>not avaiable</v>
      </c>
      <c r="I452" s="35" t="str">
        <f>'13all_company_profile'!I452</f>
        <v>NaN</v>
      </c>
      <c r="J452" s="35">
        <f>'13all_company_profile'!J452</f>
        <v>-0.096</v>
      </c>
      <c r="K452" s="42">
        <f t="shared" si="1"/>
        <v>0.008673026886</v>
      </c>
      <c r="L452" s="35">
        <f>'7company_info'!B452</f>
        <v>23.06</v>
      </c>
      <c r="M452" s="35">
        <f>'7company_info'!C452</f>
        <v>23.15</v>
      </c>
      <c r="N452" s="35">
        <f>'7company_info'!D452</f>
        <v>22.29</v>
      </c>
      <c r="O452" s="35">
        <f>'7company_info'!E452</f>
        <v>0.41</v>
      </c>
      <c r="P452" s="35">
        <f>'7company_info'!F452</f>
        <v>0.0181</v>
      </c>
      <c r="Q452" s="35">
        <f>'7company_info'!G452</f>
        <v>22.63</v>
      </c>
      <c r="R452" s="35">
        <f>'7company_info'!H452</f>
        <v>22.65</v>
      </c>
      <c r="S452" s="35">
        <f>'7company_info'!I452</f>
        <v>12.61</v>
      </c>
      <c r="T452" s="35">
        <f>'7company_info'!J452</f>
        <v>26.21</v>
      </c>
      <c r="U452" s="39">
        <v>23.82</v>
      </c>
      <c r="V452" s="39">
        <v>24.0099999999999</v>
      </c>
      <c r="W452" s="40">
        <v>24.32</v>
      </c>
      <c r="X452" s="40">
        <v>24.82</v>
      </c>
      <c r="Y452" s="40">
        <v>23.5099999999999</v>
      </c>
      <c r="Z452" s="40">
        <v>23.32</v>
      </c>
      <c r="AA452" s="40">
        <v>22.82</v>
      </c>
      <c r="AB452" s="40">
        <v>23.81</v>
      </c>
      <c r="AC452" s="40">
        <v>24.29</v>
      </c>
      <c r="AD452" s="40">
        <v>24.2182425180757</v>
      </c>
      <c r="AE452" s="40">
        <v>22.73911</v>
      </c>
      <c r="AF452" s="40">
        <v>0.556444999999999</v>
      </c>
      <c r="AG452" s="40">
        <v>26.21</v>
      </c>
      <c r="AH452" s="45">
        <v>44343.0</v>
      </c>
      <c r="AI452" s="44" t="str">
        <f>'6image_RS_benchmark_performance'!B452</f>
        <v>https://3arbzfbsh-cname-us.ngrok.io/Desktop/seabridge%20fintech/image_app/NWS_resistance_support.jpg</v>
      </c>
      <c r="AJ452" s="44" t="str">
        <f>'6image_RS_benchmark_performance'!C452</f>
        <v>https://3arbzfbsh-cname-us.ngrok.io/Desktop/seabridge%20fintech/profit_graph_app/NWS_Return.jpg</v>
      </c>
      <c r="AK452" s="46" t="str">
        <f>'5price_action_icon'!B452</f>
        <v>https://3arbzfbsh-cname-us.ngrok.io/Desktop/seabridge%20fintech/icon/NWS_pa_trend_signal</v>
      </c>
      <c r="AL452" s="42">
        <f>'1kpi_performance'!B452</f>
        <v>0.585361173</v>
      </c>
      <c r="AM452" s="42">
        <f>'1kpi_performance'!C452</f>
        <v>0.6303852892</v>
      </c>
      <c r="AN452" s="42">
        <f>'1kpi_performance'!D452</f>
        <v>0.5138477164</v>
      </c>
      <c r="AO452" s="42">
        <f>'1kpi_performance'!E452</f>
        <v>0.07780322396</v>
      </c>
      <c r="AP452" s="42">
        <f>'1kpi_performance'!F452</f>
        <v>0.2329553616</v>
      </c>
      <c r="AQ452" s="42">
        <f>'1kpi_performance'!G452</f>
        <v>0.2311543023</v>
      </c>
      <c r="AR452" s="42">
        <f>'1kpi_performance'!H452</f>
        <v>0.229899319</v>
      </c>
      <c r="AS452" s="42">
        <f>'1kpi_performance'!I452</f>
        <v>0.3458056986</v>
      </c>
      <c r="AT452" s="35">
        <f>'1kpi_performance'!J452</f>
        <v>2.405444413</v>
      </c>
      <c r="AU452" s="35">
        <f>'1kpi_performance'!K452</f>
        <v>2.618966133</v>
      </c>
      <c r="AV452" s="35">
        <f>'1kpi_performance'!L452</f>
        <v>2.126355652</v>
      </c>
      <c r="AW452" s="35">
        <f>'1kpi_performance'!M452</f>
        <v>0.1526962227</v>
      </c>
      <c r="AX452" s="42">
        <f>'1kpi_performance'!N452</f>
        <v>0.1288651764</v>
      </c>
      <c r="AY452" s="42">
        <f>'1kpi_performance'!O452</f>
        <v>0.1104231166</v>
      </c>
      <c r="AZ452" s="42">
        <f>'1kpi_performance'!P452</f>
        <v>0.2542267979</v>
      </c>
      <c r="BA452" s="42">
        <f>'1kpi_performance'!Q452</f>
        <v>0.5510204082</v>
      </c>
      <c r="BB452" s="35">
        <f>'1kpi_performance'!R452</f>
        <v>5.371115326</v>
      </c>
      <c r="BC452" s="35">
        <f>'1kpi_performance'!S452</f>
        <v>6.231055441</v>
      </c>
      <c r="BD452" s="35">
        <f>'1kpi_performance'!T452</f>
        <v>4.512314969</v>
      </c>
      <c r="BE452" s="35">
        <f>'1kpi_performance'!U452</f>
        <v>0.2953120738</v>
      </c>
      <c r="BF452" s="47"/>
      <c r="BG452" s="47"/>
      <c r="BH452" s="47"/>
      <c r="BI452" s="47"/>
      <c r="BJ452" s="47"/>
      <c r="BK452" s="47"/>
      <c r="BL452" s="47"/>
      <c r="BM452" s="47"/>
      <c r="BN452" s="47"/>
      <c r="BO452" s="47"/>
      <c r="BP452" s="47"/>
      <c r="BQ452" s="47"/>
      <c r="BR452" s="47"/>
      <c r="BS452" s="47"/>
      <c r="BT452" s="47"/>
    </row>
    <row r="453" ht="11.25" customHeight="1">
      <c r="A453" s="35" t="str">
        <f>'13all_company_profile'!A453</f>
        <v>NWSA</v>
      </c>
      <c r="B453" s="35" t="str">
        <f>'13all_company_profile'!B453</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3" s="44" t="str">
        <f>'13all_company_profile'!C453</f>
        <v>https://financialmodelingprep.com/image-stock/NWSA.png</v>
      </c>
      <c r="D453" s="35" t="str">
        <f>'13all_company_profile'!D453</f>
        <v>News Corporation</v>
      </c>
      <c r="E453" s="36">
        <f>'13all_company_profile'!E453</f>
        <v>14447101952</v>
      </c>
      <c r="F453" s="37">
        <f>'13all_company_profile'!F453</f>
        <v>2987119</v>
      </c>
      <c r="G453" s="35">
        <f>'13all_company_profile'!G453</f>
        <v>0.2</v>
      </c>
      <c r="H453" s="38">
        <f>'13all_company_profile'!H453</f>
        <v>44412</v>
      </c>
      <c r="I453" s="35" t="str">
        <f>'13all_company_profile'!I453</f>
        <v>NaN</v>
      </c>
      <c r="J453" s="35">
        <f>'13all_company_profile'!J453</f>
        <v>-0.096</v>
      </c>
      <c r="K453" s="42">
        <f t="shared" si="1"/>
        <v>0.008223684211</v>
      </c>
      <c r="L453" s="35">
        <f>'7company_info'!B453</f>
        <v>24.32</v>
      </c>
      <c r="M453" s="35">
        <f>'7company_info'!C453</f>
        <v>24.39</v>
      </c>
      <c r="N453" s="35">
        <f>'7company_info'!D453</f>
        <v>23.54</v>
      </c>
      <c r="O453" s="35">
        <f>'7company_info'!E453</f>
        <v>0.44</v>
      </c>
      <c r="P453" s="35">
        <f>'7company_info'!F453</f>
        <v>0.0184</v>
      </c>
      <c r="Q453" s="35">
        <f>'7company_info'!G453</f>
        <v>23.9</v>
      </c>
      <c r="R453" s="35">
        <f>'7company_info'!H453</f>
        <v>23.88</v>
      </c>
      <c r="S453" s="35">
        <f>'7company_info'!I453</f>
        <v>12.57</v>
      </c>
      <c r="T453" s="35">
        <f>'7company_info'!J453</f>
        <v>27.97</v>
      </c>
      <c r="U453" s="39">
        <v>25.17</v>
      </c>
      <c r="V453" s="39">
        <v>25.39</v>
      </c>
      <c r="W453" s="40">
        <v>25.78</v>
      </c>
      <c r="X453" s="40">
        <v>26.39</v>
      </c>
      <c r="Y453" s="40">
        <v>24.78</v>
      </c>
      <c r="Z453" s="40">
        <v>24.56</v>
      </c>
      <c r="AA453" s="40">
        <v>23.95</v>
      </c>
      <c r="AB453" s="40">
        <v>25.19</v>
      </c>
      <c r="AC453" s="40">
        <v>26.3</v>
      </c>
      <c r="AD453" s="40">
        <v>25.613806387914</v>
      </c>
      <c r="AE453" s="40">
        <v>23.9942</v>
      </c>
      <c r="AF453" s="40">
        <v>0.6204</v>
      </c>
      <c r="AG453" s="40">
        <v>27.965</v>
      </c>
      <c r="AH453" s="45">
        <v>44326.0</v>
      </c>
      <c r="AI453" s="44" t="str">
        <f>'6image_RS_benchmark_performance'!B453</f>
        <v>https://3arbzfbsh-cname-us.ngrok.io/Desktop/seabridge%20fintech/image_app/NWSA_resistance_support.jpg</v>
      </c>
      <c r="AJ453" s="44" t="str">
        <f>'6image_RS_benchmark_performance'!C453</f>
        <v>https://3arbzfbsh-cname-us.ngrok.io/Desktop/seabridge%20fintech/profit_graph_app/NWSA_Return.jpg</v>
      </c>
      <c r="AK453" s="46" t="str">
        <f>'5price_action_icon'!B453</f>
        <v>https://3arbzfbsh-cname-us.ngrok.io/Desktop/seabridge%20fintech/icon/NWSA_pa_trend_signal</v>
      </c>
      <c r="AL453" s="42">
        <f>'1kpi_performance'!B453</f>
        <v>0.5384667697</v>
      </c>
      <c r="AM453" s="42">
        <f>'1kpi_performance'!C453</f>
        <v>0.6442164726</v>
      </c>
      <c r="AN453" s="42">
        <f>'1kpi_performance'!D453</f>
        <v>0.6453930454</v>
      </c>
      <c r="AO453" s="42">
        <f>'1kpi_performance'!E453</f>
        <v>0.08473439981</v>
      </c>
      <c r="AP453" s="42">
        <f>'1kpi_performance'!F453</f>
        <v>0.2399174229</v>
      </c>
      <c r="AQ453" s="42">
        <f>'1kpi_performance'!G453</f>
        <v>0.2321188293</v>
      </c>
      <c r="AR453" s="42">
        <f>'1kpi_performance'!H453</f>
        <v>0.2319610234</v>
      </c>
      <c r="AS453" s="42">
        <f>'1kpi_performance'!I453</f>
        <v>0.3503604689</v>
      </c>
      <c r="AT453" s="35">
        <f>'1kpi_performance'!J453</f>
        <v>2.140181249</v>
      </c>
      <c r="AU453" s="35">
        <f>'1kpi_performance'!K453</f>
        <v>2.667670152</v>
      </c>
      <c r="AV453" s="35">
        <f>'1kpi_performance'!L453</f>
        <v>2.674557287</v>
      </c>
      <c r="AW453" s="35">
        <f>'1kpi_performance'!M453</f>
        <v>0.17049412</v>
      </c>
      <c r="AX453" s="42">
        <f>'1kpi_performance'!N453</f>
        <v>0.2366681278</v>
      </c>
      <c r="AY453" s="42">
        <f>'1kpi_performance'!O453</f>
        <v>0.1112132353</v>
      </c>
      <c r="AZ453" s="42">
        <f>'1kpi_performance'!P453</f>
        <v>0.2067047727</v>
      </c>
      <c r="BA453" s="42">
        <f>'1kpi_performance'!Q453</f>
        <v>0.5554347826</v>
      </c>
      <c r="BB453" s="35">
        <f>'1kpi_performance'!R453</f>
        <v>4.542481348</v>
      </c>
      <c r="BC453" s="35">
        <f>'1kpi_performance'!S453</f>
        <v>6.114601255</v>
      </c>
      <c r="BD453" s="35">
        <f>'1kpi_performance'!T453</f>
        <v>5.717217033</v>
      </c>
      <c r="BE453" s="35">
        <f>'1kpi_performance'!U453</f>
        <v>0.3295477347</v>
      </c>
      <c r="BF453" s="47"/>
      <c r="BG453" s="47"/>
      <c r="BH453" s="47"/>
      <c r="BI453" s="47"/>
      <c r="BJ453" s="47"/>
      <c r="BK453" s="47"/>
      <c r="BL453" s="47"/>
      <c r="BM453" s="47"/>
      <c r="BN453" s="47"/>
      <c r="BO453" s="47"/>
      <c r="BP453" s="47"/>
      <c r="BQ453" s="47"/>
      <c r="BR453" s="47"/>
      <c r="BS453" s="47"/>
      <c r="BT453" s="47"/>
    </row>
    <row r="454" ht="11.25" customHeight="1">
      <c r="A454" s="35" t="str">
        <f>'13all_company_profile'!A454</f>
        <v>NXPI</v>
      </c>
      <c r="B454" s="35" t="str">
        <f>'13all_company_profile'!B454</f>
        <v>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v>
      </c>
      <c r="C454" s="44" t="str">
        <f>'13all_company_profile'!C454</f>
        <v>https://financialmodelingprep.com/image-stock/NXPI.png</v>
      </c>
      <c r="D454" s="35" t="str">
        <f>'13all_company_profile'!D454</f>
        <v>NXP Semiconductors N.V.</v>
      </c>
      <c r="E454" s="36">
        <f>'13all_company_profile'!E454</f>
        <v>53607976960</v>
      </c>
      <c r="F454" s="37">
        <f>'13all_company_profile'!F454</f>
        <v>2658723</v>
      </c>
      <c r="G454" s="35">
        <f>'13all_company_profile'!G454</f>
        <v>1.876</v>
      </c>
      <c r="H454" s="38">
        <f>'13all_company_profile'!H454</f>
        <v>44403</v>
      </c>
      <c r="I454" s="35">
        <f>'13all_company_profile'!I454</f>
        <v>126.844215</v>
      </c>
      <c r="J454" s="35">
        <f>'13all_company_profile'!J454</f>
        <v>1.502</v>
      </c>
      <c r="K454" s="42">
        <f t="shared" si="1"/>
        <v>0.009704619523</v>
      </c>
      <c r="L454" s="35">
        <f>'7company_info'!B454</f>
        <v>193.31</v>
      </c>
      <c r="M454" s="35">
        <f>'7company_info'!C454</f>
        <v>195.02</v>
      </c>
      <c r="N454" s="35">
        <f>'7company_info'!D454</f>
        <v>187.84</v>
      </c>
      <c r="O454" s="35">
        <f>'7company_info'!E454</f>
        <v>4.69</v>
      </c>
      <c r="P454" s="35">
        <f>'7company_info'!F454</f>
        <v>0.0249</v>
      </c>
      <c r="Q454" s="35">
        <f>'7company_info'!G454</f>
        <v>189.09</v>
      </c>
      <c r="R454" s="35">
        <f>'7company_info'!H454</f>
        <v>188.62</v>
      </c>
      <c r="S454" s="35">
        <f>'7company_info'!I454</f>
        <v>114.38</v>
      </c>
      <c r="T454" s="35">
        <f>'7company_info'!J454</f>
        <v>216.43</v>
      </c>
      <c r="U454" s="39">
        <v>204.953333333333</v>
      </c>
      <c r="V454" s="39">
        <v>207.346666666666</v>
      </c>
      <c r="W454" s="40">
        <v>211.143333333333</v>
      </c>
      <c r="X454" s="40">
        <v>217.333333333333</v>
      </c>
      <c r="Y454" s="40">
        <v>201.156666666666</v>
      </c>
      <c r="Z454" s="40">
        <v>198.763333333333</v>
      </c>
      <c r="AA454" s="40">
        <v>192.573333333333</v>
      </c>
      <c r="AB454" s="40">
        <v>194.805</v>
      </c>
      <c r="AC454" s="40">
        <v>205.77</v>
      </c>
      <c r="AD454" s="40">
        <v>201.781175372626</v>
      </c>
      <c r="AE454" s="40">
        <v>194.90768</v>
      </c>
      <c r="AF454" s="40">
        <v>4.700435</v>
      </c>
      <c r="AG454" s="40">
        <v>216.43</v>
      </c>
      <c r="AH454" s="45">
        <v>44291.0</v>
      </c>
      <c r="AI454" s="44" t="str">
        <f>'6image_RS_benchmark_performance'!B454</f>
        <v>https://3arbzfbsh-cname-us.ngrok.io/Desktop/seabridge%20fintech/image_app/NXPI_resistance_support.jpg</v>
      </c>
      <c r="AJ454" s="44" t="str">
        <f>'6image_RS_benchmark_performance'!C454</f>
        <v>https://3arbzfbsh-cname-us.ngrok.io/Desktop/seabridge%20fintech/profit_graph_app/NXPI_Return.jpg</v>
      </c>
      <c r="AK454" s="46" t="str">
        <f>'5price_action_icon'!B454</f>
        <v>https://3arbzfbsh-cname-us.ngrok.io/Desktop/seabridge%20fintech/icon/NXPI_pa_trend_signal</v>
      </c>
      <c r="AL454" s="42">
        <f>'1kpi_performance'!B454</f>
        <v>0.8488926518</v>
      </c>
      <c r="AM454" s="42">
        <f>'1kpi_performance'!C454</f>
        <v>1.219086657</v>
      </c>
      <c r="AN454" s="42">
        <f>'1kpi_performance'!D454</f>
        <v>1.014872431</v>
      </c>
      <c r="AO454" s="42">
        <f>'1kpi_performance'!E454</f>
        <v>0.4193086684</v>
      </c>
      <c r="AP454" s="42">
        <f>'1kpi_performance'!F454</f>
        <v>0.3559873443</v>
      </c>
      <c r="AQ454" s="42">
        <f>'1kpi_performance'!G454</f>
        <v>0.3732547398</v>
      </c>
      <c r="AR454" s="42">
        <f>'1kpi_performance'!H454</f>
        <v>0.33387549</v>
      </c>
      <c r="AS454" s="42">
        <f>'1kpi_performance'!I454</f>
        <v>0.5210050103</v>
      </c>
      <c r="AT454" s="35">
        <f>'1kpi_performance'!J454</f>
        <v>2.314387477</v>
      </c>
      <c r="AU454" s="35">
        <f>'1kpi_performance'!K454</f>
        <v>3.199119877</v>
      </c>
      <c r="AV454" s="35">
        <f>'1kpi_performance'!L454</f>
        <v>2.964795144</v>
      </c>
      <c r="AW454" s="35">
        <f>'1kpi_performance'!M454</f>
        <v>0.7568231794</v>
      </c>
      <c r="AX454" s="42">
        <f>'1kpi_performance'!N454</f>
        <v>0.288938666</v>
      </c>
      <c r="AY454" s="42">
        <f>'1kpi_performance'!O454</f>
        <v>0.2371428571</v>
      </c>
      <c r="AZ454" s="42">
        <f>'1kpi_performance'!P454</f>
        <v>0.2245782771</v>
      </c>
      <c r="BA454" s="42">
        <f>'1kpi_performance'!Q454</f>
        <v>0.599765945</v>
      </c>
      <c r="BB454" s="35">
        <f>'1kpi_performance'!R454</f>
        <v>5.147392974</v>
      </c>
      <c r="BC454" s="35">
        <f>'1kpi_performance'!S454</f>
        <v>7.70424287</v>
      </c>
      <c r="BD454" s="35">
        <f>'1kpi_performance'!T454</f>
        <v>6.814832728</v>
      </c>
      <c r="BE454" s="35">
        <f>'1kpi_performance'!U454</f>
        <v>1.557299168</v>
      </c>
      <c r="BF454" s="47"/>
      <c r="BG454" s="47"/>
      <c r="BH454" s="47"/>
      <c r="BI454" s="47"/>
      <c r="BJ454" s="47"/>
      <c r="BK454" s="47"/>
      <c r="BL454" s="47"/>
      <c r="BM454" s="47"/>
      <c r="BN454" s="47"/>
      <c r="BO454" s="47"/>
      <c r="BP454" s="47"/>
      <c r="BQ454" s="47"/>
      <c r="BR454" s="47"/>
      <c r="BS454" s="47"/>
      <c r="BT454" s="47"/>
    </row>
    <row r="455" ht="11.25" customHeight="1">
      <c r="A455" s="35" t="str">
        <f>'13all_company_profile'!A455</f>
        <v>O</v>
      </c>
      <c r="B455" s="35" t="str">
        <f>'13all_company_profile'!B455</f>
        <v>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v>
      </c>
      <c r="C455" s="44" t="str">
        <f>'13all_company_profile'!C455</f>
        <v>https://financialmodelingprep.com/image-stock/O.png</v>
      </c>
      <c r="D455" s="35" t="str">
        <f>'13all_company_profile'!D455</f>
        <v>Realty Income Corporation</v>
      </c>
      <c r="E455" s="36">
        <f>'13all_company_profile'!E455</f>
        <v>26979377152</v>
      </c>
      <c r="F455" s="37">
        <f>'13all_company_profile'!F455</f>
        <v>3506749</v>
      </c>
      <c r="G455" s="35">
        <f>'13all_company_profile'!G455</f>
        <v>2.813</v>
      </c>
      <c r="H455" s="38">
        <f>'13all_company_profile'!H455</f>
        <v>44410</v>
      </c>
      <c r="I455" s="35">
        <f>'13all_company_profile'!I455</f>
        <v>72.08074</v>
      </c>
      <c r="J455" s="35">
        <f>'13all_company_profile'!J455</f>
        <v>0.966</v>
      </c>
      <c r="K455" s="42">
        <f t="shared" si="1"/>
        <v>0.04004270463</v>
      </c>
      <c r="L455" s="35">
        <f>'7company_info'!B455</f>
        <v>70.25</v>
      </c>
      <c r="M455" s="35">
        <f>'7company_info'!C455</f>
        <v>70.53</v>
      </c>
      <c r="N455" s="35">
        <f>'7company_info'!D455</f>
        <v>68.92</v>
      </c>
      <c r="O455" s="35">
        <f>'7company_info'!E455</f>
        <v>1.55</v>
      </c>
      <c r="P455" s="35">
        <f>'7company_info'!F455</f>
        <v>0.0226</v>
      </c>
      <c r="Q455" s="35">
        <f>'7company_info'!G455</f>
        <v>68.95</v>
      </c>
      <c r="R455" s="35">
        <f>'7company_info'!H455</f>
        <v>68.7</v>
      </c>
      <c r="S455" s="35">
        <f>'7company_info'!I455</f>
        <v>56.64</v>
      </c>
      <c r="T455" s="35">
        <f>'7company_info'!J455</f>
        <v>71.84</v>
      </c>
      <c r="U455" s="39">
        <v>68.7683333333333</v>
      </c>
      <c r="V455" s="39">
        <v>69.1866666666666</v>
      </c>
      <c r="W455" s="40">
        <v>69.5133333333333</v>
      </c>
      <c r="X455" s="40">
        <v>70.2583333333333</v>
      </c>
      <c r="Y455" s="40">
        <v>68.4416666666666</v>
      </c>
      <c r="Z455" s="40">
        <v>68.0233333333333</v>
      </c>
      <c r="AA455" s="40">
        <v>67.2783333333333</v>
      </c>
      <c r="AB455" s="40">
        <v>67.46</v>
      </c>
      <c r="AC455" s="40">
        <v>68.9</v>
      </c>
      <c r="AD455" s="40">
        <v>68.3075603116002</v>
      </c>
      <c r="AE455" s="40">
        <v>66.2535099999999</v>
      </c>
      <c r="AF455" s="40">
        <v>1.090495</v>
      </c>
      <c r="AG455" s="40">
        <v>71.84</v>
      </c>
      <c r="AH455" s="45">
        <v>44315.0</v>
      </c>
      <c r="AI455" s="44" t="str">
        <f>'6image_RS_benchmark_performance'!B455</f>
        <v>https://3arbzfbsh-cname-us.ngrok.io/Desktop/seabridge%20fintech/image_app/O_resistance_support.jpg</v>
      </c>
      <c r="AJ455" s="44" t="str">
        <f>'6image_RS_benchmark_performance'!C455</f>
        <v>https://3arbzfbsh-cname-us.ngrok.io/Desktop/seabridge%20fintech/profit_graph_app/O_Return.jpg</v>
      </c>
      <c r="AK455" s="46" t="str">
        <f>'5price_action_icon'!B455</f>
        <v>https://3arbzfbsh-cname-us.ngrok.io/Desktop/seabridge%20fintech/icon/O_pa_trend_signal</v>
      </c>
      <c r="AL455" s="42">
        <f>'1kpi_performance'!B455</f>
        <v>0.4726078123</v>
      </c>
      <c r="AM455" s="42">
        <f>'1kpi_performance'!C455</f>
        <v>0.4945106024</v>
      </c>
      <c r="AN455" s="42">
        <f>'1kpi_performance'!D455</f>
        <v>0.5067882065</v>
      </c>
      <c r="AO455" s="42">
        <f>'1kpi_performance'!E455</f>
        <v>0.1241587855</v>
      </c>
      <c r="AP455" s="42">
        <f>'1kpi_performance'!F455</f>
        <v>0.1901809495</v>
      </c>
      <c r="AQ455" s="42">
        <f>'1kpi_performance'!G455</f>
        <v>0.1973812163</v>
      </c>
      <c r="AR455" s="42">
        <f>'1kpi_performance'!H455</f>
        <v>0.1805348089</v>
      </c>
      <c r="AS455" s="42">
        <f>'1kpi_performance'!I455</f>
        <v>0.3075973461</v>
      </c>
      <c r="AT455" s="35">
        <f>'1kpi_performance'!J455</f>
        <v>2.353589114</v>
      </c>
      <c r="AU455" s="35">
        <f>'1kpi_performance'!K455</f>
        <v>2.378699509</v>
      </c>
      <c r="AV455" s="35">
        <f>'1kpi_performance'!L455</f>
        <v>2.668672094</v>
      </c>
      <c r="AW455" s="35">
        <f>'1kpi_performance'!M455</f>
        <v>0.322365543</v>
      </c>
      <c r="AX455" s="42">
        <f>'1kpi_performance'!N455</f>
        <v>0.2327129141</v>
      </c>
      <c r="AY455" s="42">
        <f>'1kpi_performance'!O455</f>
        <v>0.2743565997</v>
      </c>
      <c r="AZ455" s="42">
        <f>'1kpi_performance'!P455</f>
        <v>0.2129711112</v>
      </c>
      <c r="BA455" s="42">
        <f>'1kpi_performance'!Q455</f>
        <v>0.4844735565</v>
      </c>
      <c r="BB455" s="35">
        <f>'1kpi_performance'!R455</f>
        <v>4.72540825</v>
      </c>
      <c r="BC455" s="35">
        <f>'1kpi_performance'!S455</f>
        <v>4.898798501</v>
      </c>
      <c r="BD455" s="35">
        <f>'1kpi_performance'!T455</f>
        <v>5.658066519</v>
      </c>
      <c r="BE455" s="35">
        <f>'1kpi_performance'!U455</f>
        <v>0.5754099516</v>
      </c>
      <c r="BF455" s="47"/>
      <c r="BG455" s="47"/>
      <c r="BH455" s="47"/>
      <c r="BI455" s="47"/>
      <c r="BJ455" s="47"/>
      <c r="BK455" s="47"/>
      <c r="BL455" s="47"/>
      <c r="BM455" s="47"/>
      <c r="BN455" s="47"/>
      <c r="BO455" s="47"/>
      <c r="BP455" s="47"/>
      <c r="BQ455" s="47"/>
      <c r="BR455" s="47"/>
      <c r="BS455" s="47"/>
      <c r="BT455" s="47"/>
    </row>
    <row r="456" ht="11.25" customHeight="1">
      <c r="A456" s="35" t="str">
        <f>'13all_company_profile'!A456</f>
        <v>ODFL</v>
      </c>
      <c r="B456" s="35" t="str">
        <f>'13all_company_profile'!B456</f>
        <v>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v>
      </c>
      <c r="C456" s="44" t="str">
        <f>'13all_company_profile'!C456</f>
        <v>https://financialmodelingprep.com/image-stock/ODFL.png</v>
      </c>
      <c r="D456" s="35" t="str">
        <f>'13all_company_profile'!D456</f>
        <v>Old Dominion Freight Line, Inc.</v>
      </c>
      <c r="E456" s="36">
        <f>'13all_company_profile'!E456</f>
        <v>30012901376</v>
      </c>
      <c r="F456" s="37">
        <f>'13all_company_profile'!F456</f>
        <v>671650</v>
      </c>
      <c r="G456" s="35">
        <f>'13all_company_profile'!G456</f>
        <v>0.7</v>
      </c>
      <c r="H456" s="38">
        <f>'13all_company_profile'!H456</f>
        <v>44405</v>
      </c>
      <c r="I456" s="35">
        <f>'13all_company_profile'!I456</f>
        <v>40.53634</v>
      </c>
      <c r="J456" s="35">
        <f>'13all_company_profile'!J456</f>
        <v>6.274</v>
      </c>
      <c r="K456" s="42">
        <f t="shared" si="1"/>
        <v>0.00276636105</v>
      </c>
      <c r="L456" s="35">
        <f>'7company_info'!B456</f>
        <v>253.04</v>
      </c>
      <c r="M456" s="35">
        <f>'7company_info'!C456</f>
        <v>255.29</v>
      </c>
      <c r="N456" s="35">
        <f>'7company_info'!D456</f>
        <v>250.05</v>
      </c>
      <c r="O456" s="35">
        <f>'7company_info'!E456</f>
        <v>2.89</v>
      </c>
      <c r="P456" s="35">
        <f>'7company_info'!F456</f>
        <v>0.0116</v>
      </c>
      <c r="Q456" s="35">
        <f>'7company_info'!G456</f>
        <v>250.8</v>
      </c>
      <c r="R456" s="35">
        <f>'7company_info'!H456</f>
        <v>250.15</v>
      </c>
      <c r="S456" s="35">
        <f>'7company_info'!I456</f>
        <v>176.34</v>
      </c>
      <c r="T456" s="35">
        <f>'7company_info'!J456</f>
        <v>276.09</v>
      </c>
      <c r="U456" s="39">
        <v>258.253333333333</v>
      </c>
      <c r="V456" s="39">
        <v>260.556666666666</v>
      </c>
      <c r="W456" s="40">
        <v>262.353333333333</v>
      </c>
      <c r="X456" s="40">
        <v>266.453333333333</v>
      </c>
      <c r="Y456" s="40">
        <v>256.456666666666</v>
      </c>
      <c r="Z456" s="40">
        <v>254.153333333333</v>
      </c>
      <c r="AA456" s="40">
        <v>250.053333333333</v>
      </c>
      <c r="AB456" s="40">
        <v>254.08</v>
      </c>
      <c r="AC456" s="40">
        <v>254.43</v>
      </c>
      <c r="AD456" s="40">
        <v>256.451099557709</v>
      </c>
      <c r="AE456" s="40">
        <v>248.3415</v>
      </c>
      <c r="AF456" s="40">
        <v>4.59375</v>
      </c>
      <c r="AG456" s="40">
        <v>276.09</v>
      </c>
      <c r="AH456" s="45">
        <v>44326.0</v>
      </c>
      <c r="AI456" s="44" t="str">
        <f>'6image_RS_benchmark_performance'!B456</f>
        <v>https://3arbzfbsh-cname-us.ngrok.io/Desktop/seabridge%20fintech/image_app/ODFL_resistance_support.jpg</v>
      </c>
      <c r="AJ456" s="44" t="str">
        <f>'6image_RS_benchmark_performance'!C456</f>
        <v>https://3arbzfbsh-cname-us.ngrok.io/Desktop/seabridge%20fintech/profit_graph_app/ODFL_Return.jpg</v>
      </c>
      <c r="AK456" s="46" t="str">
        <f>'5price_action_icon'!B456</f>
        <v>https://3arbzfbsh-cname-us.ngrok.io/Desktop/seabridge%20fintech/icon/ODFL_pa_trend_signal</v>
      </c>
      <c r="AL456" s="42">
        <f>'1kpi_performance'!B456</f>
        <v>0.8347098541</v>
      </c>
      <c r="AM456" s="42">
        <f>'1kpi_performance'!C456</f>
        <v>1.05024559</v>
      </c>
      <c r="AN456" s="42">
        <f>'1kpi_performance'!D456</f>
        <v>0.9974473152</v>
      </c>
      <c r="AO456" s="42">
        <f>'1kpi_performance'!E456</f>
        <v>0.5431896561</v>
      </c>
      <c r="AP456" s="42">
        <f>'1kpi_performance'!F456</f>
        <v>0.2367439735</v>
      </c>
      <c r="AQ456" s="42">
        <f>'1kpi_performance'!G456</f>
        <v>0.2437054588</v>
      </c>
      <c r="AR456" s="42">
        <f>'1kpi_performance'!H456</f>
        <v>0.2315885924</v>
      </c>
      <c r="AS456" s="42">
        <f>'1kpi_performance'!I456</f>
        <v>0.3470138888</v>
      </c>
      <c r="AT456" s="35">
        <f>'1kpi_performance'!J456</f>
        <v>3.420192041</v>
      </c>
      <c r="AU456" s="35">
        <f>'1kpi_performance'!K456</f>
        <v>4.206904494</v>
      </c>
      <c r="AV456" s="35">
        <f>'1kpi_performance'!L456</f>
        <v>4.199029431</v>
      </c>
      <c r="AW456" s="35">
        <f>'1kpi_performance'!M456</f>
        <v>1.493282179</v>
      </c>
      <c r="AX456" s="42">
        <f>'1kpi_performance'!N456</f>
        <v>0.129943101</v>
      </c>
      <c r="AY456" s="42">
        <f>'1kpi_performance'!O456</f>
        <v>0.129943101</v>
      </c>
      <c r="AZ456" s="42">
        <f>'1kpi_performance'!P456</f>
        <v>0.1435584899</v>
      </c>
      <c r="BA456" s="42">
        <f>'1kpi_performance'!Q456</f>
        <v>0.3757403751</v>
      </c>
      <c r="BB456" s="35">
        <f>'1kpi_performance'!R456</f>
        <v>7.656600869</v>
      </c>
      <c r="BC456" s="35">
        <f>'1kpi_performance'!S456</f>
        <v>10.37350814</v>
      </c>
      <c r="BD456" s="35">
        <f>'1kpi_performance'!T456</f>
        <v>9.509013598</v>
      </c>
      <c r="BE456" s="35">
        <f>'1kpi_performance'!U456</f>
        <v>3.03894586</v>
      </c>
      <c r="BF456" s="47"/>
      <c r="BG456" s="47"/>
      <c r="BH456" s="47"/>
      <c r="BI456" s="47"/>
      <c r="BJ456" s="47"/>
      <c r="BK456" s="47"/>
      <c r="BL456" s="47"/>
      <c r="BM456" s="47"/>
      <c r="BN456" s="47"/>
      <c r="BO456" s="47"/>
      <c r="BP456" s="47"/>
      <c r="BQ456" s="47"/>
      <c r="BR456" s="47"/>
      <c r="BS456" s="47"/>
      <c r="BT456" s="47"/>
    </row>
    <row r="457" ht="11.25" customHeight="1">
      <c r="A457" s="35" t="str">
        <f>'13all_company_profile'!A457</f>
        <v>OGE</v>
      </c>
      <c r="B457" s="35" t="str">
        <f>'13all_company_profile'!B457</f>
        <v>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v>
      </c>
      <c r="C457" s="44" t="str">
        <f>'13all_company_profile'!C457</f>
        <v>https://financialmodelingprep.com/image-stock/OGE.png</v>
      </c>
      <c r="D457" s="35" t="str">
        <f>'13all_company_profile'!D457</f>
        <v>OGE Energy Corp.</v>
      </c>
      <c r="E457" s="36">
        <f>'13all_company_profile'!E457</f>
        <v>6807917568</v>
      </c>
      <c r="F457" s="37">
        <f>'13all_company_profile'!F457</f>
        <v>2018644</v>
      </c>
      <c r="G457" s="35">
        <f>'13all_company_profile'!G457</f>
        <v>1.611</v>
      </c>
      <c r="H457" s="38">
        <f>'13all_company_profile'!H457</f>
        <v>44413</v>
      </c>
      <c r="I457" s="35">
        <f>'13all_company_profile'!I457</f>
        <v>18.554836</v>
      </c>
      <c r="J457" s="35">
        <f>'13all_company_profile'!J457</f>
        <v>1.851</v>
      </c>
      <c r="K457" s="42">
        <f t="shared" si="1"/>
        <v>0.04753614636</v>
      </c>
      <c r="L457" s="35">
        <f>'7company_info'!B457</f>
        <v>33.89</v>
      </c>
      <c r="M457" s="35">
        <f>'7company_info'!C457</f>
        <v>34.09</v>
      </c>
      <c r="N457" s="35">
        <f>'7company_info'!D457</f>
        <v>33.3</v>
      </c>
      <c r="O457" s="35">
        <f>'7company_info'!E457</f>
        <v>0.57</v>
      </c>
      <c r="P457" s="35">
        <f>'7company_info'!F457</f>
        <v>0.0171</v>
      </c>
      <c r="Q457" s="35">
        <f>'7company_info'!G457</f>
        <v>33.32</v>
      </c>
      <c r="R457" s="35">
        <f>'7company_info'!H457</f>
        <v>33.32</v>
      </c>
      <c r="S457" s="35">
        <f>'7company_info'!I457</f>
        <v>28.25</v>
      </c>
      <c r="T457" s="35">
        <f>'7company_info'!J457</f>
        <v>35.46</v>
      </c>
      <c r="U457" s="39">
        <v>33.4533333333333</v>
      </c>
      <c r="V457" s="39">
        <v>33.6566666666666</v>
      </c>
      <c r="W457" s="40">
        <v>33.8433333333333</v>
      </c>
      <c r="X457" s="40">
        <v>34.2333333333333</v>
      </c>
      <c r="Y457" s="40">
        <v>33.2666666666666</v>
      </c>
      <c r="Z457" s="40">
        <v>33.0633333333333</v>
      </c>
      <c r="AA457" s="40">
        <v>32.6733333333333</v>
      </c>
      <c r="AB457" s="40">
        <v>33.63</v>
      </c>
      <c r="AC457" s="40">
        <v>33.96</v>
      </c>
      <c r="AD457" s="40">
        <v>33.9539944985661</v>
      </c>
      <c r="AE457" s="40">
        <v>32.1254099999999</v>
      </c>
      <c r="AF457" s="40">
        <v>0.590145</v>
      </c>
      <c r="AG457" s="40">
        <v>35.46</v>
      </c>
      <c r="AH457" s="45">
        <v>44358.0</v>
      </c>
      <c r="AI457" s="44" t="str">
        <f>'6image_RS_benchmark_performance'!B457</f>
        <v>https://3arbzfbsh-cname-us.ngrok.io/Desktop/seabridge%20fintech/image_app/OGE_resistance_support.jpg</v>
      </c>
      <c r="AJ457" s="44" t="str">
        <f>'6image_RS_benchmark_performance'!C457</f>
        <v>https://3arbzfbsh-cname-us.ngrok.io/Desktop/seabridge%20fintech/profit_graph_app/OGE_Return.jpg</v>
      </c>
      <c r="AK457" s="46" t="str">
        <f>'5price_action_icon'!B457</f>
        <v>https://3arbzfbsh-cname-us.ngrok.io/Desktop/seabridge%20fintech/icon/OGE_pa_trend_signal</v>
      </c>
      <c r="AL457" s="42">
        <f>'1kpi_performance'!B457</f>
        <v>0.3312888138</v>
      </c>
      <c r="AM457" s="42">
        <f>'1kpi_performance'!C457</f>
        <v>0.4106849792</v>
      </c>
      <c r="AN457" s="42">
        <f>'1kpi_performance'!D457</f>
        <v>0.3767604907</v>
      </c>
      <c r="AO457" s="42">
        <f>'1kpi_performance'!E457</f>
        <v>0.07638675904</v>
      </c>
      <c r="AP457" s="42">
        <f>'1kpi_performance'!F457</f>
        <v>0.1785019718</v>
      </c>
      <c r="AQ457" s="42">
        <f>'1kpi_performance'!G457</f>
        <v>0.1787696125</v>
      </c>
      <c r="AR457" s="42">
        <f>'1kpi_performance'!H457</f>
        <v>0.1603634397</v>
      </c>
      <c r="AS457" s="42">
        <f>'1kpi_performance'!I457</f>
        <v>0.2664228786</v>
      </c>
      <c r="AT457" s="35">
        <f>'1kpi_performance'!J457</f>
        <v>1.715884764</v>
      </c>
      <c r="AU457" s="35">
        <f>'1kpi_performance'!K457</f>
        <v>2.157441491</v>
      </c>
      <c r="AV457" s="35">
        <f>'1kpi_performance'!L457</f>
        <v>2.193520489</v>
      </c>
      <c r="AW457" s="35">
        <f>'1kpi_performance'!M457</f>
        <v>0.1928766752</v>
      </c>
      <c r="AX457" s="42">
        <f>'1kpi_performance'!N457</f>
        <v>0.1696344892</v>
      </c>
      <c r="AY457" s="42">
        <f>'1kpi_performance'!O457</f>
        <v>0.1696344892</v>
      </c>
      <c r="AZ457" s="42">
        <f>'1kpi_performance'!P457</f>
        <v>0.1954414883</v>
      </c>
      <c r="BA457" s="42">
        <f>'1kpi_performance'!Q457</f>
        <v>0.4885479689</v>
      </c>
      <c r="BB457" s="35">
        <f>'1kpi_performance'!R457</f>
        <v>3.40631972</v>
      </c>
      <c r="BC457" s="35">
        <f>'1kpi_performance'!S457</f>
        <v>4.55387546</v>
      </c>
      <c r="BD457" s="35">
        <f>'1kpi_performance'!T457</f>
        <v>4.723331169</v>
      </c>
      <c r="BE457" s="35">
        <f>'1kpi_performance'!U457</f>
        <v>0.3640226511</v>
      </c>
      <c r="BF457" s="47"/>
      <c r="BG457" s="47"/>
      <c r="BH457" s="47"/>
      <c r="BI457" s="47"/>
      <c r="BJ457" s="47"/>
      <c r="BK457" s="47"/>
      <c r="BL457" s="47"/>
      <c r="BM457" s="47"/>
      <c r="BN457" s="47"/>
      <c r="BO457" s="47"/>
      <c r="BP457" s="47"/>
      <c r="BQ457" s="47"/>
      <c r="BR457" s="47"/>
      <c r="BS457" s="47"/>
      <c r="BT457" s="47"/>
    </row>
    <row r="458" ht="11.25" customHeight="1">
      <c r="A458" s="35" t="str">
        <f>'13all_company_profile'!A458</f>
        <v>OKE</v>
      </c>
      <c r="B458" s="35" t="str">
        <f>'13all_company_profile'!B458</f>
        <v>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v>
      </c>
      <c r="C458" s="44" t="str">
        <f>'13all_company_profile'!C458</f>
        <v>https://financialmodelingprep.com/image-stock/OKE.png</v>
      </c>
      <c r="D458" s="35" t="str">
        <f>'13all_company_profile'!D458</f>
        <v>ONEOK, Inc.</v>
      </c>
      <c r="E458" s="36">
        <f>'13all_company_profile'!E458</f>
        <v>24290676736</v>
      </c>
      <c r="F458" s="37">
        <f>'13all_company_profile'!F458</f>
        <v>2799722</v>
      </c>
      <c r="G458" s="35">
        <f>'13all_company_profile'!G458</f>
        <v>3.74</v>
      </c>
      <c r="H458" s="38">
        <f>'13all_company_profile'!H458</f>
        <v>44403</v>
      </c>
      <c r="I458" s="35">
        <f>'13all_company_profile'!I458</f>
        <v>20.587553</v>
      </c>
      <c r="J458" s="35">
        <f>'13all_company_profile'!J458</f>
        <v>2.587</v>
      </c>
      <c r="K458" s="42">
        <f t="shared" si="1"/>
        <v>0.07140129821</v>
      </c>
      <c r="L458" s="35">
        <f>'7company_info'!B458</f>
        <v>52.38</v>
      </c>
      <c r="M458" s="35">
        <f>'7company_info'!C458</f>
        <v>52.84</v>
      </c>
      <c r="N458" s="35">
        <f>'7company_info'!D458</f>
        <v>50.25</v>
      </c>
      <c r="O458" s="35">
        <f>'7company_info'!E458</f>
        <v>2.18</v>
      </c>
      <c r="P458" s="35">
        <f>'7company_info'!F458</f>
        <v>0.0434</v>
      </c>
      <c r="Q458" s="35">
        <f>'7company_info'!G458</f>
        <v>50.58</v>
      </c>
      <c r="R458" s="35">
        <f>'7company_info'!H458</f>
        <v>50.2</v>
      </c>
      <c r="S458" s="35">
        <f>'7company_info'!I458</f>
        <v>23.28</v>
      </c>
      <c r="T458" s="35">
        <f>'7company_info'!J458</f>
        <v>57.55</v>
      </c>
      <c r="U458" s="39">
        <v>55.3263333333333</v>
      </c>
      <c r="V458" s="39">
        <v>56.1126666666666</v>
      </c>
      <c r="W458" s="40">
        <v>57.3453333333333</v>
      </c>
      <c r="X458" s="40">
        <v>59.3643333333333</v>
      </c>
      <c r="Y458" s="40">
        <v>54.0936666666666</v>
      </c>
      <c r="Z458" s="40">
        <v>53.3073333333333</v>
      </c>
      <c r="AA458" s="40">
        <v>51.2883333333333</v>
      </c>
      <c r="AB458" s="40">
        <v>54.54</v>
      </c>
      <c r="AC458" s="40">
        <v>57.55</v>
      </c>
      <c r="AD458" s="40">
        <v>55.7106304720922</v>
      </c>
      <c r="AE458" s="40">
        <v>53.00769</v>
      </c>
      <c r="AF458" s="40">
        <v>1.50960499999999</v>
      </c>
      <c r="AG458" s="40">
        <v>57.22</v>
      </c>
      <c r="AH458" s="45">
        <v>44364.0</v>
      </c>
      <c r="AI458" s="44" t="str">
        <f>'6image_RS_benchmark_performance'!B458</f>
        <v>https://3arbzfbsh-cname-us.ngrok.io/Desktop/seabridge%20fintech/image_app/OKE_resistance_support.jpg</v>
      </c>
      <c r="AJ458" s="44" t="str">
        <f>'6image_RS_benchmark_performance'!C458</f>
        <v>https://3arbzfbsh-cname-us.ngrok.io/Desktop/seabridge%20fintech/profit_graph_app/OKE_Return.jpg</v>
      </c>
      <c r="AK458" s="46" t="str">
        <f>'5price_action_icon'!B458</f>
        <v>https://3arbzfbsh-cname-us.ngrok.io/Desktop/seabridge%20fintech/icon/OKE_pa_trend_signal</v>
      </c>
      <c r="AL458" s="42">
        <f>'1kpi_performance'!B458</f>
        <v>0.7017653305</v>
      </c>
      <c r="AM458" s="42">
        <f>'1kpi_performance'!C458</f>
        <v>0.9484283341</v>
      </c>
      <c r="AN458" s="42">
        <f>'1kpi_performance'!D458</f>
        <v>0.8639009084</v>
      </c>
      <c r="AO458" s="42">
        <f>'1kpi_performance'!E458</f>
        <v>0.1343792948</v>
      </c>
      <c r="AP458" s="42">
        <f>'1kpi_performance'!F458</f>
        <v>0.3082820489</v>
      </c>
      <c r="AQ458" s="42">
        <f>'1kpi_performance'!G458</f>
        <v>0.2887883523</v>
      </c>
      <c r="AR458" s="42">
        <f>'1kpi_performance'!H458</f>
        <v>0.2530039369</v>
      </c>
      <c r="AS458" s="42">
        <f>'1kpi_performance'!I458</f>
        <v>0.4787322057</v>
      </c>
      <c r="AT458" s="35">
        <f>'1kpi_performance'!J458</f>
        <v>2.195279722</v>
      </c>
      <c r="AU458" s="35">
        <f>'1kpi_performance'!K458</f>
        <v>3.197595495</v>
      </c>
      <c r="AV458" s="35">
        <f>'1kpi_performance'!L458</f>
        <v>3.315762271</v>
      </c>
      <c r="AW458" s="35">
        <f>'1kpi_performance'!M458</f>
        <v>0.228476993</v>
      </c>
      <c r="AX458" s="42">
        <f>'1kpi_performance'!N458</f>
        <v>0.2789359692</v>
      </c>
      <c r="AY458" s="42">
        <f>'1kpi_performance'!O458</f>
        <v>0.1279947489</v>
      </c>
      <c r="AZ458" s="42">
        <f>'1kpi_performance'!P458</f>
        <v>0.2507744505</v>
      </c>
      <c r="BA458" s="42">
        <f>'1kpi_performance'!Q458</f>
        <v>0.8017285862</v>
      </c>
      <c r="BB458" s="35">
        <f>'1kpi_performance'!R458</f>
        <v>4.617420824</v>
      </c>
      <c r="BC458" s="35">
        <f>'1kpi_performance'!S458</f>
        <v>7.39117153</v>
      </c>
      <c r="BD458" s="35">
        <f>'1kpi_performance'!T458</f>
        <v>7.573816231</v>
      </c>
      <c r="BE458" s="35">
        <f>'1kpi_performance'!U458</f>
        <v>0.4110812893</v>
      </c>
      <c r="BF458" s="47"/>
      <c r="BG458" s="47"/>
      <c r="BH458" s="47"/>
      <c r="BI458" s="47"/>
      <c r="BJ458" s="47"/>
      <c r="BK458" s="47"/>
      <c r="BL458" s="47"/>
      <c r="BM458" s="47"/>
      <c r="BN458" s="47"/>
      <c r="BO458" s="47"/>
      <c r="BP458" s="47"/>
      <c r="BQ458" s="47"/>
      <c r="BR458" s="47"/>
      <c r="BS458" s="47"/>
      <c r="BT458" s="47"/>
    </row>
    <row r="459" ht="11.25" customHeight="1">
      <c r="A459" s="35" t="str">
        <f>'13all_company_profile'!A459</f>
        <v>OKTA</v>
      </c>
      <c r="B459" s="35" t="str">
        <f>'13all_company_profile'!B459</f>
        <v>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v>
      </c>
      <c r="C459" s="44" t="str">
        <f>'13all_company_profile'!C459</f>
        <v>https://financialmodelingprep.com/image-stock/OKTA.png</v>
      </c>
      <c r="D459" s="35" t="str">
        <f>'13all_company_profile'!D459</f>
        <v>Okta, Inc.</v>
      </c>
      <c r="E459" s="36">
        <f>'13all_company_profile'!E459</f>
        <v>36361379840</v>
      </c>
      <c r="F459" s="37">
        <f>'13all_company_profile'!F459</f>
        <v>1865334</v>
      </c>
      <c r="G459" s="35">
        <f>'13all_company_profile'!G459</f>
        <v>0</v>
      </c>
      <c r="H459" s="38" t="str">
        <f>'13all_company_profile'!H459</f>
        <v>not avaiable</v>
      </c>
      <c r="I459" s="35" t="str">
        <f>'13all_company_profile'!I459</f>
        <v>NaN</v>
      </c>
      <c r="J459" s="35">
        <f>'13all_company_profile'!J459</f>
        <v>-2.459</v>
      </c>
      <c r="K459" s="42" t="str">
        <f t="shared" si="1"/>
        <v>NaN</v>
      </c>
      <c r="L459" s="35">
        <f>'7company_info'!B459</f>
        <v>246.34</v>
      </c>
      <c r="M459" s="35">
        <f>'7company_info'!C459</f>
        <v>249.7</v>
      </c>
      <c r="N459" s="35">
        <f>'7company_info'!D459</f>
        <v>240.54</v>
      </c>
      <c r="O459" s="35">
        <f>'7company_info'!E459</f>
        <v>4.99</v>
      </c>
      <c r="P459" s="35">
        <f>'7company_info'!F459</f>
        <v>0.0207</v>
      </c>
      <c r="Q459" s="35">
        <f>'7company_info'!G459</f>
        <v>244.89</v>
      </c>
      <c r="R459" s="35">
        <f>'7company_info'!H459</f>
        <v>241.35</v>
      </c>
      <c r="S459" s="35">
        <f>'7company_info'!I459</f>
        <v>185.05</v>
      </c>
      <c r="T459" s="35">
        <f>'7company_info'!J459</f>
        <v>294</v>
      </c>
      <c r="U459" s="39">
        <v>245.126666666666</v>
      </c>
      <c r="V459" s="39">
        <v>248.283333333333</v>
      </c>
      <c r="W459" s="40">
        <v>254.466666666666</v>
      </c>
      <c r="X459" s="40">
        <v>263.806666666666</v>
      </c>
      <c r="Y459" s="40">
        <v>238.943333333333</v>
      </c>
      <c r="Z459" s="40">
        <v>235.786666666666</v>
      </c>
      <c r="AA459" s="40">
        <v>226.446666666666</v>
      </c>
      <c r="AB459" s="40">
        <v>243.14</v>
      </c>
      <c r="AC459" s="40">
        <v>249.58</v>
      </c>
      <c r="AD459" s="40">
        <v>242.646316062498</v>
      </c>
      <c r="AE459" s="40">
        <v>234.74071</v>
      </c>
      <c r="AF459" s="40">
        <v>7.330245</v>
      </c>
      <c r="AG459" s="40">
        <v>294.0</v>
      </c>
      <c r="AH459" s="45">
        <v>44239.0</v>
      </c>
      <c r="AI459" s="44" t="str">
        <f>'6image_RS_benchmark_performance'!B459</f>
        <v>https://3arbzfbsh-cname-us.ngrok.io/Desktop/seabridge%20fintech/image_app/OKTA_resistance_support.jpg</v>
      </c>
      <c r="AJ459" s="44" t="str">
        <f>'6image_RS_benchmark_performance'!C459</f>
        <v>https://3arbzfbsh-cname-us.ngrok.io/Desktop/seabridge%20fintech/profit_graph_app/OKTA_Return.jpg</v>
      </c>
      <c r="AK459" s="46" t="str">
        <f>'5price_action_icon'!B459</f>
        <v>https://3arbzfbsh-cname-us.ngrok.io/Desktop/seabridge%20fintech/icon/OKTA_pa_trend_signal</v>
      </c>
      <c r="AL459" s="42">
        <f>'1kpi_performance'!B459</f>
        <v>1.988756459</v>
      </c>
      <c r="AM459" s="42">
        <f>'1kpi_performance'!C459</f>
        <v>2.470179427</v>
      </c>
      <c r="AN459" s="42">
        <f>'1kpi_performance'!D459</f>
        <v>2.048483003</v>
      </c>
      <c r="AO459" s="42">
        <f>'1kpi_performance'!E459</f>
        <v>1.186668846</v>
      </c>
      <c r="AP459" s="42">
        <f>'1kpi_performance'!F459</f>
        <v>0.4124219977</v>
      </c>
      <c r="AQ459" s="42">
        <f>'1kpi_performance'!G459</f>
        <v>0.4304075682</v>
      </c>
      <c r="AR459" s="42">
        <f>'1kpi_performance'!H459</f>
        <v>0.4190980614</v>
      </c>
      <c r="AS459" s="42">
        <f>'1kpi_performance'!I459</f>
        <v>0.5868697413</v>
      </c>
      <c r="AT459" s="35">
        <f>'1kpi_performance'!J459</f>
        <v>4.761522105</v>
      </c>
      <c r="AU459" s="35">
        <f>'1kpi_performance'!K459</f>
        <v>5.681079069</v>
      </c>
      <c r="AV459" s="35">
        <f>'1kpi_performance'!L459</f>
        <v>4.828185071</v>
      </c>
      <c r="AW459" s="35">
        <f>'1kpi_performance'!M459</f>
        <v>1.97943217</v>
      </c>
      <c r="AX459" s="42">
        <f>'1kpi_performance'!N459</f>
        <v>0.1935584732</v>
      </c>
      <c r="AY459" s="42">
        <f>'1kpi_performance'!O459</f>
        <v>0.1815058477</v>
      </c>
      <c r="AZ459" s="42">
        <f>'1kpi_performance'!P459</f>
        <v>0.2933470371</v>
      </c>
      <c r="BA459" s="42">
        <f>'1kpi_performance'!Q459</f>
        <v>0.3552649319</v>
      </c>
      <c r="BB459" s="35">
        <f>'1kpi_performance'!R459</f>
        <v>10.58334299</v>
      </c>
      <c r="BC459" s="35">
        <f>'1kpi_performance'!S459</f>
        <v>12.81657657</v>
      </c>
      <c r="BD459" s="35">
        <f>'1kpi_performance'!T459</f>
        <v>10.94202533</v>
      </c>
      <c r="BE459" s="35">
        <f>'1kpi_performance'!U459</f>
        <v>4.071350357</v>
      </c>
      <c r="BF459" s="47"/>
      <c r="BG459" s="47"/>
      <c r="BH459" s="47"/>
      <c r="BI459" s="47"/>
      <c r="BJ459" s="47"/>
      <c r="BK459" s="47"/>
      <c r="BL459" s="47"/>
      <c r="BM459" s="47"/>
      <c r="BN459" s="47"/>
      <c r="BO459" s="47"/>
      <c r="BP459" s="47"/>
      <c r="BQ459" s="47"/>
      <c r="BR459" s="47"/>
      <c r="BS459" s="47"/>
      <c r="BT459" s="47"/>
    </row>
    <row r="460" ht="11.25" customHeight="1">
      <c r="A460" s="35" t="str">
        <f>'13all_company_profile'!A460</f>
        <v>OMC</v>
      </c>
      <c r="B460" s="35" t="str">
        <f>'13all_company_profile'!B460</f>
        <v>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v>
      </c>
      <c r="C460" s="44" t="str">
        <f>'13all_company_profile'!C460</f>
        <v>https://financialmodelingprep.com/image-stock/OMC.png</v>
      </c>
      <c r="D460" s="35" t="str">
        <f>'13all_company_profile'!D460</f>
        <v>Omnicom Group Inc.</v>
      </c>
      <c r="E460" s="36">
        <f>'13all_company_profile'!E460</f>
        <v>16911817728</v>
      </c>
      <c r="F460" s="37">
        <f>'13all_company_profile'!F460</f>
        <v>1673071</v>
      </c>
      <c r="G460" s="35">
        <f>'13all_company_profile'!G460</f>
        <v>2.7</v>
      </c>
      <c r="H460" s="38">
        <f>'13all_company_profile'!H460</f>
        <v>44403</v>
      </c>
      <c r="I460" s="35">
        <f>'13all_company_profile'!I460</f>
        <v>17.159645</v>
      </c>
      <c r="J460" s="35">
        <f>'13all_company_profile'!J460</f>
        <v>4.51</v>
      </c>
      <c r="K460" s="42">
        <f t="shared" si="1"/>
        <v>0.03695086903</v>
      </c>
      <c r="L460" s="35">
        <f>'7company_info'!B460</f>
        <v>73.07</v>
      </c>
      <c r="M460" s="35">
        <f>'7company_info'!C460</f>
        <v>77.55</v>
      </c>
      <c r="N460" s="35">
        <f>'7company_info'!D460</f>
        <v>72.42</v>
      </c>
      <c r="O460" s="35">
        <f>'7company_info'!E460</f>
        <v>-3.29</v>
      </c>
      <c r="P460" s="35">
        <f>'7company_info'!F460</f>
        <v>-0.0431</v>
      </c>
      <c r="Q460" s="35">
        <f>'7company_info'!G460</f>
        <v>77.55</v>
      </c>
      <c r="R460" s="35">
        <f>'7company_info'!H460</f>
        <v>76.36</v>
      </c>
      <c r="S460" s="35">
        <f>'7company_info'!I460</f>
        <v>44.5</v>
      </c>
      <c r="T460" s="35">
        <f>'7company_info'!J460</f>
        <v>86.38</v>
      </c>
      <c r="U460" s="39">
        <v>78.7533333333333</v>
      </c>
      <c r="V460" s="39">
        <v>79.3766666666666</v>
      </c>
      <c r="W460" s="40">
        <v>79.9233333333333</v>
      </c>
      <c r="X460" s="40">
        <v>81.0933333333333</v>
      </c>
      <c r="Y460" s="40">
        <v>78.2066666666666</v>
      </c>
      <c r="Z460" s="40">
        <v>77.5833333333333</v>
      </c>
      <c r="AA460" s="40">
        <v>76.4133333333333</v>
      </c>
      <c r="AB460" s="40">
        <v>79.015</v>
      </c>
      <c r="AC460" s="40">
        <v>80.32</v>
      </c>
      <c r="AD460" s="40">
        <v>79.8730594682083</v>
      </c>
      <c r="AE460" s="40">
        <v>74.62201</v>
      </c>
      <c r="AF460" s="40">
        <v>1.647745</v>
      </c>
      <c r="AG460" s="40">
        <v>86.38</v>
      </c>
      <c r="AH460" s="45">
        <v>44326.0</v>
      </c>
      <c r="AI460" s="44" t="str">
        <f>'6image_RS_benchmark_performance'!B460</f>
        <v>https://3arbzfbsh-cname-us.ngrok.io/Desktop/seabridge%20fintech/image_app/OMC_resistance_support.jpg</v>
      </c>
      <c r="AJ460" s="44" t="str">
        <f>'6image_RS_benchmark_performance'!C460</f>
        <v>https://3arbzfbsh-cname-us.ngrok.io/Desktop/seabridge%20fintech/profit_graph_app/OMC_Return.jpg</v>
      </c>
      <c r="AK460" s="46" t="str">
        <f>'5price_action_icon'!B460</f>
        <v>https://3arbzfbsh-cname-us.ngrok.io/Desktop/seabridge%20fintech/icon/OMC_pa_trend_signal</v>
      </c>
      <c r="AL460" s="42">
        <f>'1kpi_performance'!B460</f>
        <v>0.4070673058</v>
      </c>
      <c r="AM460" s="42">
        <f>'1kpi_performance'!C460</f>
        <v>0.4805340337</v>
      </c>
      <c r="AN460" s="42">
        <f>'1kpi_performance'!D460</f>
        <v>0.4174917056</v>
      </c>
      <c r="AO460" s="42">
        <f>'1kpi_performance'!E460</f>
        <v>0.09872611539</v>
      </c>
      <c r="AP460" s="42">
        <f>'1kpi_performance'!F460</f>
        <v>0.2068885811</v>
      </c>
      <c r="AQ460" s="42">
        <f>'1kpi_performance'!G460</f>
        <v>0.1920929581</v>
      </c>
      <c r="AR460" s="42">
        <f>'1kpi_performance'!H460</f>
        <v>0.2146513305</v>
      </c>
      <c r="AS460" s="42">
        <f>'1kpi_performance'!I460</f>
        <v>0.2959695612</v>
      </c>
      <c r="AT460" s="35">
        <f>'1kpi_performance'!J460</f>
        <v>1.846729789</v>
      </c>
      <c r="AU460" s="35">
        <f>'1kpi_performance'!K460</f>
        <v>2.371424951</v>
      </c>
      <c r="AV460" s="35">
        <f>'1kpi_performance'!L460</f>
        <v>1.828508142</v>
      </c>
      <c r="AW460" s="35">
        <f>'1kpi_performance'!M460</f>
        <v>0.2491003301</v>
      </c>
      <c r="AX460" s="42">
        <f>'1kpi_performance'!N460</f>
        <v>0.1601225391</v>
      </c>
      <c r="AY460" s="42">
        <f>'1kpi_performance'!O460</f>
        <v>0.1605586949</v>
      </c>
      <c r="AZ460" s="42">
        <f>'1kpi_performance'!P460</f>
        <v>0.2527868887</v>
      </c>
      <c r="BA460" s="42">
        <f>'1kpi_performance'!Q460</f>
        <v>0.4823103877</v>
      </c>
      <c r="BB460" s="35">
        <f>'1kpi_performance'!R460</f>
        <v>3.753165341</v>
      </c>
      <c r="BC460" s="35">
        <f>'1kpi_performance'!S460</f>
        <v>5.277586344</v>
      </c>
      <c r="BD460" s="35">
        <f>'1kpi_performance'!T460</f>
        <v>3.712077747</v>
      </c>
      <c r="BE460" s="35">
        <f>'1kpi_performance'!U460</f>
        <v>0.4818540782</v>
      </c>
      <c r="BF460" s="47"/>
      <c r="BG460" s="47"/>
      <c r="BH460" s="47"/>
      <c r="BI460" s="47"/>
      <c r="BJ460" s="47"/>
      <c r="BK460" s="47"/>
      <c r="BL460" s="47"/>
      <c r="BM460" s="47"/>
      <c r="BN460" s="47"/>
      <c r="BO460" s="47"/>
      <c r="BP460" s="47"/>
      <c r="BQ460" s="47"/>
      <c r="BR460" s="47"/>
      <c r="BS460" s="47"/>
      <c r="BT460" s="47"/>
    </row>
    <row r="461" ht="11.25" customHeight="1">
      <c r="A461" s="35" t="str">
        <f>'13all_company_profile'!A461</f>
        <v>ON</v>
      </c>
      <c r="B461" s="35" t="str">
        <f>'13all_company_profile'!B461</f>
        <v>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v>
      </c>
      <c r="C461" s="44" t="str">
        <f>'13all_company_profile'!C461</f>
        <v>https://financialmodelingprep.com/image-stock/ON.png</v>
      </c>
      <c r="D461" s="35" t="str">
        <f>'13all_company_profile'!D461</f>
        <v>ON Semiconductor Corporation</v>
      </c>
      <c r="E461" s="36">
        <f>'13all_company_profile'!E461</f>
        <v>15500390400</v>
      </c>
      <c r="F461" s="37">
        <f>'13all_company_profile'!F461</f>
        <v>5654987</v>
      </c>
      <c r="G461" s="35">
        <f>'13all_company_profile'!G461</f>
        <v>0</v>
      </c>
      <c r="H461" s="38">
        <f>'13all_company_profile'!H461</f>
        <v>44414</v>
      </c>
      <c r="I461" s="35">
        <f>'13all_company_profile'!I461</f>
        <v>44.739185</v>
      </c>
      <c r="J461" s="35">
        <f>'13all_company_profile'!J461</f>
        <v>0.786</v>
      </c>
      <c r="K461" s="42" t="str">
        <f t="shared" si="1"/>
        <v>NaN</v>
      </c>
      <c r="L461" s="35">
        <f>'7company_info'!B461</f>
        <v>35.51</v>
      </c>
      <c r="M461" s="35">
        <f>'7company_info'!C461</f>
        <v>35.94</v>
      </c>
      <c r="N461" s="35">
        <f>'7company_info'!D461</f>
        <v>34.37</v>
      </c>
      <c r="O461" s="35">
        <f>'7company_info'!E461</f>
        <v>0.72</v>
      </c>
      <c r="P461" s="35">
        <f>'7company_info'!F461</f>
        <v>0.0207</v>
      </c>
      <c r="Q461" s="35">
        <f>'7company_info'!G461</f>
        <v>34.88</v>
      </c>
      <c r="R461" s="35">
        <f>'7company_info'!H461</f>
        <v>34.79</v>
      </c>
      <c r="S461" s="35">
        <f>'7company_info'!I461</f>
        <v>19.75</v>
      </c>
      <c r="T461" s="35">
        <f>'7company_info'!J461</f>
        <v>44.59</v>
      </c>
      <c r="U461" s="39">
        <v>38.12</v>
      </c>
      <c r="V461" s="39">
        <v>38.6399999999999</v>
      </c>
      <c r="W461" s="40">
        <v>39.62</v>
      </c>
      <c r="X461" s="40">
        <v>41.12</v>
      </c>
      <c r="Y461" s="40">
        <v>37.1399999999999</v>
      </c>
      <c r="Z461" s="40">
        <v>36.62</v>
      </c>
      <c r="AA461" s="40">
        <v>35.12</v>
      </c>
      <c r="AB461" s="40">
        <v>35.59</v>
      </c>
      <c r="AC461" s="40">
        <v>38.2</v>
      </c>
      <c r="AD461" s="40">
        <v>37.8040809528238</v>
      </c>
      <c r="AE461" s="40">
        <v>35.8525</v>
      </c>
      <c r="AF461" s="40">
        <v>1.05275</v>
      </c>
      <c r="AG461" s="40">
        <v>44.59</v>
      </c>
      <c r="AH461" s="45">
        <v>44292.0</v>
      </c>
      <c r="AI461" s="44" t="str">
        <f>'6image_RS_benchmark_performance'!B461</f>
        <v>https://3arbzfbsh-cname-us.ngrok.io/Desktop/seabridge%20fintech/image_app/ON_resistance_support.jpg</v>
      </c>
      <c r="AJ461" s="44" t="str">
        <f>'6image_RS_benchmark_performance'!C461</f>
        <v>https://3arbzfbsh-cname-us.ngrok.io/Desktop/seabridge%20fintech/profit_graph_app/ON_Return.jpg</v>
      </c>
      <c r="AK461" s="46" t="str">
        <f>'5price_action_icon'!B461</f>
        <v>https://3arbzfbsh-cname-us.ngrok.io/Desktop/seabridge%20fintech/icon/ON_pa_trend_signal</v>
      </c>
      <c r="AL461" s="42">
        <f>'1kpi_performance'!B461</f>
        <v>0.9126886231</v>
      </c>
      <c r="AM461" s="42">
        <f>'1kpi_performance'!C461</f>
        <v>1.175892761</v>
      </c>
      <c r="AN461" s="42">
        <f>'1kpi_performance'!D461</f>
        <v>1.074919751</v>
      </c>
      <c r="AO461" s="42">
        <f>'1kpi_performance'!E461</f>
        <v>0.2112432678</v>
      </c>
      <c r="AP461" s="42">
        <f>'1kpi_performance'!F461</f>
        <v>0.3495309954</v>
      </c>
      <c r="AQ461" s="42">
        <f>'1kpi_performance'!G461</f>
        <v>0.3459794931</v>
      </c>
      <c r="AR461" s="42">
        <f>'1kpi_performance'!H461</f>
        <v>0.3324195985</v>
      </c>
      <c r="AS461" s="42">
        <f>'1kpi_performance'!I461</f>
        <v>0.5086486199</v>
      </c>
      <c r="AT461" s="35">
        <f>'1kpi_performance'!J461</f>
        <v>2.539656382</v>
      </c>
      <c r="AU461" s="35">
        <f>'1kpi_performance'!K461</f>
        <v>3.326476813</v>
      </c>
      <c r="AV461" s="35">
        <f>'1kpi_performance'!L461</f>
        <v>3.15841712</v>
      </c>
      <c r="AW461" s="35">
        <f>'1kpi_performance'!M461</f>
        <v>0.3661530976</v>
      </c>
      <c r="AX461" s="42">
        <f>'1kpi_performance'!N461</f>
        <v>0.260311021</v>
      </c>
      <c r="AY461" s="42">
        <f>'1kpi_performance'!O461</f>
        <v>0.260311021</v>
      </c>
      <c r="AZ461" s="42">
        <f>'1kpi_performance'!P461</f>
        <v>0.303060686</v>
      </c>
      <c r="BA461" s="42">
        <f>'1kpi_performance'!Q461</f>
        <v>0.6847014925</v>
      </c>
      <c r="BB461" s="35">
        <f>'1kpi_performance'!R461</f>
        <v>5.35927964</v>
      </c>
      <c r="BC461" s="35">
        <f>'1kpi_performance'!S461</f>
        <v>7.505862795</v>
      </c>
      <c r="BD461" s="35">
        <f>'1kpi_performance'!T461</f>
        <v>6.972547642</v>
      </c>
      <c r="BE461" s="35">
        <f>'1kpi_performance'!U461</f>
        <v>0.7133859118</v>
      </c>
      <c r="BF461" s="47"/>
      <c r="BG461" s="47"/>
      <c r="BH461" s="47"/>
      <c r="BI461" s="47"/>
      <c r="BJ461" s="47"/>
      <c r="BK461" s="47"/>
      <c r="BL461" s="47"/>
      <c r="BM461" s="47"/>
      <c r="BN461" s="47"/>
      <c r="BO461" s="47"/>
      <c r="BP461" s="47"/>
      <c r="BQ461" s="47"/>
      <c r="BR461" s="47"/>
      <c r="BS461" s="47"/>
      <c r="BT461" s="47"/>
    </row>
    <row r="462" ht="11.25" customHeight="1">
      <c r="A462" s="35" t="str">
        <f>'13all_company_profile'!A462</f>
        <v>ORCL</v>
      </c>
      <c r="B462" s="35" t="str">
        <f>'13all_company_profile'!B462</f>
        <v>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v>
      </c>
      <c r="C462" s="44" t="str">
        <f>'13all_company_profile'!C462</f>
        <v>https://financialmodelingprep.com/image-stock/ORCL.png</v>
      </c>
      <c r="D462" s="35" t="str">
        <f>'13all_company_profile'!D462</f>
        <v>Oracle Corporation</v>
      </c>
      <c r="E462" s="36">
        <f>'13all_company_profile'!E462</f>
        <v>240865837056</v>
      </c>
      <c r="F462" s="37">
        <f>'13all_company_profile'!F462</f>
        <v>12389990</v>
      </c>
      <c r="G462" s="35">
        <f>'13all_company_profile'!G462</f>
        <v>1.12</v>
      </c>
      <c r="H462" s="38" t="str">
        <f>'13all_company_profile'!H462</f>
        <v>not avaiable</v>
      </c>
      <c r="I462" s="35">
        <f>'13all_company_profile'!I462</f>
        <v>19.257143</v>
      </c>
      <c r="J462" s="35">
        <f>'13all_company_profile'!J462</f>
        <v>4.55</v>
      </c>
      <c r="K462" s="42">
        <f t="shared" si="1"/>
        <v>0.01263252876</v>
      </c>
      <c r="L462" s="35">
        <f>'7company_info'!B462</f>
        <v>88.66</v>
      </c>
      <c r="M462" s="35">
        <f>'7company_info'!C462</f>
        <v>89.05</v>
      </c>
      <c r="N462" s="35">
        <f>'7company_info'!D462</f>
        <v>87.02</v>
      </c>
      <c r="O462" s="35">
        <f>'7company_info'!E462</f>
        <v>1.68</v>
      </c>
      <c r="P462" s="35">
        <f>'7company_info'!F462</f>
        <v>0.0193</v>
      </c>
      <c r="Q462" s="35">
        <f>'7company_info'!G462</f>
        <v>87.1</v>
      </c>
      <c r="R462" s="35">
        <f>'7company_info'!H462</f>
        <v>86.98</v>
      </c>
      <c r="S462" s="35">
        <f>'7company_info'!I462</f>
        <v>53.66</v>
      </c>
      <c r="T462" s="35">
        <f>'7company_info'!J462</f>
        <v>89.05</v>
      </c>
      <c r="U462" s="39">
        <v>87.87</v>
      </c>
      <c r="V462" s="39">
        <v>89.08</v>
      </c>
      <c r="W462" s="40">
        <v>89.88</v>
      </c>
      <c r="X462" s="40">
        <v>91.89</v>
      </c>
      <c r="Y462" s="40">
        <v>87.07</v>
      </c>
      <c r="Z462" s="40">
        <v>85.86</v>
      </c>
      <c r="AA462" s="40">
        <v>83.85</v>
      </c>
      <c r="AB462" s="40">
        <v>78.33</v>
      </c>
      <c r="AC462" s="40">
        <v>88.85</v>
      </c>
      <c r="AD462" s="40">
        <v>82.9031595531462</v>
      </c>
      <c r="AE462" s="40">
        <v>83.2782999999999</v>
      </c>
      <c r="AF462" s="40">
        <v>1.93285</v>
      </c>
      <c r="AG462" s="40">
        <v>85.03</v>
      </c>
      <c r="AH462" s="45">
        <v>44355.0</v>
      </c>
      <c r="AI462" s="44" t="str">
        <f>'6image_RS_benchmark_performance'!B462</f>
        <v>https://3arbzfbsh-cname-us.ngrok.io/Desktop/seabridge%20fintech/image_app/ORCL_resistance_support.jpg</v>
      </c>
      <c r="AJ462" s="44" t="str">
        <f>'6image_RS_benchmark_performance'!C462</f>
        <v>https://3arbzfbsh-cname-us.ngrok.io/Desktop/seabridge%20fintech/profit_graph_app/ORCL_Return.jpg</v>
      </c>
      <c r="AK462" s="46" t="str">
        <f>'5price_action_icon'!B462</f>
        <v>https://3arbzfbsh-cname-us.ngrok.io/Desktop/seabridge%20fintech/icon/ORCL_pa_trend_signal</v>
      </c>
      <c r="AL462" s="42">
        <f>'1kpi_performance'!B462</f>
        <v>0.4669175746</v>
      </c>
      <c r="AM462" s="42">
        <f>'1kpi_performance'!C462</f>
        <v>0.6714280092</v>
      </c>
      <c r="AN462" s="42">
        <f>'1kpi_performance'!D462</f>
        <v>0.5238037044</v>
      </c>
      <c r="AO462" s="42">
        <f>'1kpi_performance'!E462</f>
        <v>0.1712407696</v>
      </c>
      <c r="AP462" s="42">
        <f>'1kpi_performance'!F462</f>
        <v>0.1974597326</v>
      </c>
      <c r="AQ462" s="42">
        <f>'1kpi_performance'!G462</f>
        <v>0.2141371518</v>
      </c>
      <c r="AR462" s="42">
        <f>'1kpi_performance'!H462</f>
        <v>0.1913716314</v>
      </c>
      <c r="AS462" s="42">
        <f>'1kpi_performance'!I462</f>
        <v>0.3039892884</v>
      </c>
      <c r="AT462" s="35">
        <f>'1kpi_performance'!J462</f>
        <v>2.238013638</v>
      </c>
      <c r="AU462" s="35">
        <f>'1kpi_performance'!K462</f>
        <v>3.018756922</v>
      </c>
      <c r="AV462" s="35">
        <f>'1kpi_performance'!L462</f>
        <v>2.606466281</v>
      </c>
      <c r="AW462" s="35">
        <f>'1kpi_performance'!M462</f>
        <v>0.481072114</v>
      </c>
      <c r="AX462" s="42">
        <f>'1kpi_performance'!N462</f>
        <v>0.09512468939</v>
      </c>
      <c r="AY462" s="42">
        <f>'1kpi_performance'!O462</f>
        <v>0.1087001878</v>
      </c>
      <c r="AZ462" s="42">
        <f>'1kpi_performance'!P462</f>
        <v>0.1893508798</v>
      </c>
      <c r="BA462" s="42">
        <f>'1kpi_performance'!Q462</f>
        <v>0.3383208645</v>
      </c>
      <c r="BB462" s="35">
        <f>'1kpi_performance'!R462</f>
        <v>4.794676641</v>
      </c>
      <c r="BC462" s="35">
        <f>'1kpi_performance'!S462</f>
        <v>7.294134127</v>
      </c>
      <c r="BD462" s="35">
        <f>'1kpi_performance'!T462</f>
        <v>5.504940434</v>
      </c>
      <c r="BE462" s="35">
        <f>'1kpi_performance'!U462</f>
        <v>0.9226368902</v>
      </c>
      <c r="BF462" s="47"/>
      <c r="BG462" s="47"/>
      <c r="BH462" s="47"/>
      <c r="BI462" s="47"/>
      <c r="BJ462" s="47"/>
      <c r="BK462" s="47"/>
      <c r="BL462" s="47"/>
      <c r="BM462" s="47"/>
      <c r="BN462" s="47"/>
      <c r="BO462" s="47"/>
      <c r="BP462" s="47"/>
      <c r="BQ462" s="47"/>
      <c r="BR462" s="47"/>
      <c r="BS462" s="47"/>
      <c r="BT462" s="47"/>
    </row>
    <row r="463" ht="11.25" customHeight="1">
      <c r="A463" s="35" t="str">
        <f>'13all_company_profile'!A463</f>
        <v>ORLY</v>
      </c>
      <c r="B463" s="35" t="str">
        <f>'13all_company_profile'!B463</f>
        <v>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v>
      </c>
      <c r="C463" s="44" t="str">
        <f>'13all_company_profile'!C463</f>
        <v>https://financialmodelingprep.com/image-stock/ORLY.png</v>
      </c>
      <c r="D463" s="35" t="str">
        <f>'13all_company_profile'!D463</f>
        <v>O'Reilly Automotive, Inc.</v>
      </c>
      <c r="E463" s="36">
        <f>'13all_company_profile'!E463</f>
        <v>41679822848</v>
      </c>
      <c r="F463" s="37">
        <f>'13all_company_profile'!F463</f>
        <v>473938</v>
      </c>
      <c r="G463" s="35">
        <f>'13all_company_profile'!G463</f>
        <v>0</v>
      </c>
      <c r="H463" s="38">
        <f>'13all_company_profile'!H463</f>
        <v>44405</v>
      </c>
      <c r="I463" s="35">
        <f>'13all_company_profile'!I463</f>
        <v>22.514917</v>
      </c>
      <c r="J463" s="35">
        <f>'13all_company_profile'!J463</f>
        <v>26.645</v>
      </c>
      <c r="K463" s="42" t="str">
        <f t="shared" si="1"/>
        <v>NaN</v>
      </c>
      <c r="L463" s="35">
        <f>'7company_info'!B463</f>
        <v>607.38</v>
      </c>
      <c r="M463" s="35">
        <f>'7company_info'!C463</f>
        <v>612.6</v>
      </c>
      <c r="N463" s="35">
        <f>'7company_info'!D463</f>
        <v>596</v>
      </c>
      <c r="O463" s="35">
        <f>'7company_info'!E463</f>
        <v>12.93</v>
      </c>
      <c r="P463" s="35">
        <f>'7company_info'!F463</f>
        <v>0.0218</v>
      </c>
      <c r="Q463" s="35">
        <f>'7company_info'!G463</f>
        <v>596</v>
      </c>
      <c r="R463" s="35">
        <f>'7company_info'!H463</f>
        <v>594.45</v>
      </c>
      <c r="S463" s="35">
        <f>'7company_info'!I463</f>
        <v>424.03</v>
      </c>
      <c r="T463" s="35">
        <f>'7company_info'!J463</f>
        <v>612.6</v>
      </c>
      <c r="U463" s="39">
        <v>593.606666666666</v>
      </c>
      <c r="V463" s="39">
        <v>597.203333333333</v>
      </c>
      <c r="W463" s="40">
        <v>599.366666666666</v>
      </c>
      <c r="X463" s="40">
        <v>605.126666666666</v>
      </c>
      <c r="Y463" s="40">
        <v>591.443333333333</v>
      </c>
      <c r="Z463" s="40">
        <v>587.846666666666</v>
      </c>
      <c r="AA463" s="40">
        <v>582.086666666666</v>
      </c>
      <c r="AB463" s="40">
        <v>573.4</v>
      </c>
      <c r="AC463" s="40">
        <v>595.77</v>
      </c>
      <c r="AD463" s="40">
        <v>570.079674701071</v>
      </c>
      <c r="AE463" s="40">
        <v>572.900509999999</v>
      </c>
      <c r="AF463" s="40">
        <v>8.21624499999999</v>
      </c>
      <c r="AG463" s="40">
        <v>568.63</v>
      </c>
      <c r="AH463" s="45">
        <v>44326.0</v>
      </c>
      <c r="AI463" s="44" t="str">
        <f>'6image_RS_benchmark_performance'!B463</f>
        <v>https://3arbzfbsh-cname-us.ngrok.io/Desktop/seabridge%20fintech/image_app/ORLY_resistance_support.jpg</v>
      </c>
      <c r="AJ463" s="44" t="str">
        <f>'6image_RS_benchmark_performance'!C463</f>
        <v>https://3arbzfbsh-cname-us.ngrok.io/Desktop/seabridge%20fintech/profit_graph_app/ORLY_Return.jpg</v>
      </c>
      <c r="AK463" s="46" t="str">
        <f>'5price_action_icon'!B463</f>
        <v>https://3arbzfbsh-cname-us.ngrok.io/Desktop/seabridge%20fintech/icon/ORLY_pa_trend_signal</v>
      </c>
      <c r="AL463" s="42">
        <f>'1kpi_performance'!B463</f>
        <v>0.6480436772</v>
      </c>
      <c r="AM463" s="42">
        <f>'1kpi_performance'!C463</f>
        <v>0.8094220875</v>
      </c>
      <c r="AN463" s="42">
        <f>'1kpi_performance'!D463</f>
        <v>0.6567886439</v>
      </c>
      <c r="AO463" s="42">
        <f>'1kpi_performance'!E463</f>
        <v>0.409640651</v>
      </c>
      <c r="AP463" s="42">
        <f>'1kpi_performance'!F463</f>
        <v>0.2267201815</v>
      </c>
      <c r="AQ463" s="42">
        <f>'1kpi_performance'!G463</f>
        <v>0.2173249314</v>
      </c>
      <c r="AR463" s="42">
        <f>'1kpi_performance'!H463</f>
        <v>0.2306714404</v>
      </c>
      <c r="AS463" s="42">
        <f>'1kpi_performance'!I463</f>
        <v>0.3103180287</v>
      </c>
      <c r="AT463" s="35">
        <f>'1kpi_performance'!J463</f>
        <v>2.748073299</v>
      </c>
      <c r="AU463" s="35">
        <f>'1kpi_performance'!K463</f>
        <v>3.609443622</v>
      </c>
      <c r="AV463" s="35">
        <f>'1kpi_performance'!L463</f>
        <v>2.738911427</v>
      </c>
      <c r="AW463" s="35">
        <f>'1kpi_performance'!M463</f>
        <v>1.239504687</v>
      </c>
      <c r="AX463" s="42">
        <f>'1kpi_performance'!N463</f>
        <v>0.2905378375</v>
      </c>
      <c r="AY463" s="42">
        <f>'1kpi_performance'!O463</f>
        <v>0.1208606231</v>
      </c>
      <c r="AZ463" s="42">
        <f>'1kpi_performance'!P463</f>
        <v>0.3369587314</v>
      </c>
      <c r="BA463" s="42">
        <f>'1kpi_performance'!Q463</f>
        <v>0.4200360088</v>
      </c>
      <c r="BB463" s="35">
        <f>'1kpi_performance'!R463</f>
        <v>5.911420344</v>
      </c>
      <c r="BC463" s="35">
        <f>'1kpi_performance'!S463</f>
        <v>9.294298614</v>
      </c>
      <c r="BD463" s="35">
        <f>'1kpi_performance'!T463</f>
        <v>5.71510104</v>
      </c>
      <c r="BE463" s="35">
        <f>'1kpi_performance'!U463</f>
        <v>2.377911248</v>
      </c>
      <c r="BF463" s="47"/>
      <c r="BG463" s="47"/>
      <c r="BH463" s="47"/>
      <c r="BI463" s="47"/>
      <c r="BJ463" s="47"/>
      <c r="BK463" s="47"/>
      <c r="BL463" s="47"/>
      <c r="BM463" s="47"/>
      <c r="BN463" s="47"/>
      <c r="BO463" s="47"/>
      <c r="BP463" s="47"/>
      <c r="BQ463" s="47"/>
      <c r="BR463" s="47"/>
      <c r="BS463" s="47"/>
      <c r="BT463" s="47"/>
    </row>
    <row r="464" ht="11.25" customHeight="1">
      <c r="A464" s="35" t="str">
        <f>'13all_company_profile'!A464</f>
        <v>OVV</v>
      </c>
      <c r="B464" s="35" t="str">
        <f>'13all_company_profile'!B464</f>
        <v>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v>
      </c>
      <c r="C464" s="44" t="str">
        <f>'13all_company_profile'!C464</f>
        <v>https://financialmodelingprep.com/image-stock/OVV.png</v>
      </c>
      <c r="D464" s="35" t="str">
        <f>'13all_company_profile'!D464</f>
        <v>Ovintiv Inc.</v>
      </c>
      <c r="E464" s="36">
        <f>'13all_company_profile'!E464</f>
        <v>7228308480</v>
      </c>
      <c r="F464" s="37">
        <f>'13all_company_profile'!F464</f>
        <v>2408980</v>
      </c>
      <c r="G464" s="35">
        <f>'13all_company_profile'!G464</f>
        <v>0.3753</v>
      </c>
      <c r="H464" s="38">
        <f>'13all_company_profile'!H464</f>
        <v>44403</v>
      </c>
      <c r="I464" s="35" t="str">
        <f>'13all_company_profile'!I464</f>
        <v>NaN</v>
      </c>
      <c r="J464" s="35">
        <f>'13all_company_profile'!J464</f>
        <v>-23.895</v>
      </c>
      <c r="K464" s="42">
        <f t="shared" si="1"/>
        <v>0.01472919937</v>
      </c>
      <c r="L464" s="35">
        <f>'7company_info'!B464</f>
        <v>25.48</v>
      </c>
      <c r="M464" s="35">
        <f>'7company_info'!C464</f>
        <v>25.63</v>
      </c>
      <c r="N464" s="35">
        <f>'7company_info'!D464</f>
        <v>24.38</v>
      </c>
      <c r="O464" s="35">
        <f>'7company_info'!E464</f>
        <v>0.67</v>
      </c>
      <c r="P464" s="35">
        <f>'7company_info'!F464</f>
        <v>0.027</v>
      </c>
      <c r="Q464" s="35">
        <f>'7company_info'!G464</f>
        <v>24.8</v>
      </c>
      <c r="R464" s="35">
        <f>'7company_info'!H464</f>
        <v>24.81</v>
      </c>
      <c r="S464" s="35">
        <f>'7company_info'!I464</f>
        <v>6.81</v>
      </c>
      <c r="T464" s="35">
        <f>'7company_info'!J464</f>
        <v>33.46</v>
      </c>
      <c r="U464" s="39">
        <v>29.2</v>
      </c>
      <c r="V464" s="39">
        <v>30.03</v>
      </c>
      <c r="W464" s="40">
        <v>31.59</v>
      </c>
      <c r="X464" s="40">
        <v>33.98</v>
      </c>
      <c r="Y464" s="40">
        <v>27.64</v>
      </c>
      <c r="Z464" s="40">
        <v>26.81</v>
      </c>
      <c r="AA464" s="40">
        <v>24.42</v>
      </c>
      <c r="AB464" s="40">
        <v>31.2799</v>
      </c>
      <c r="AC464" s="40">
        <v>33.46</v>
      </c>
      <c r="AD464" s="40">
        <v>30.3344382885294</v>
      </c>
      <c r="AE464" s="40">
        <v>27.2823</v>
      </c>
      <c r="AF464" s="40">
        <v>1.47759999999999</v>
      </c>
      <c r="AG464" s="40">
        <v>33.46</v>
      </c>
      <c r="AH464" s="45">
        <v>44378.0</v>
      </c>
      <c r="AI464" s="44" t="str">
        <f>'6image_RS_benchmark_performance'!B464</f>
        <v>https://3arbzfbsh-cname-us.ngrok.io/Desktop/seabridge%20fintech/image_app/OVV_resistance_support.jpg</v>
      </c>
      <c r="AJ464" s="44" t="str">
        <f>'6image_RS_benchmark_performance'!C464</f>
        <v>https://3arbzfbsh-cname-us.ngrok.io/Desktop/seabridge%20fintech/profit_graph_app/OVV_Return.jpg</v>
      </c>
      <c r="AK464" s="46" t="str">
        <f>'5price_action_icon'!B464</f>
        <v>https://3arbzfbsh-cname-us.ngrok.io/Desktop/seabridge%20fintech/icon/OVV_pa_trend_signal</v>
      </c>
      <c r="AL464" s="42">
        <f>'1kpi_performance'!B464</f>
        <v>0.9415647911</v>
      </c>
      <c r="AM464" s="42">
        <f>'1kpi_performance'!C464</f>
        <v>1.381339583</v>
      </c>
      <c r="AN464" s="42">
        <f>'1kpi_performance'!D464</f>
        <v>0.985416135</v>
      </c>
      <c r="AO464" s="42">
        <f>'1kpi_performance'!E464</f>
        <v>-0.1949559236</v>
      </c>
      <c r="AP464" s="42">
        <f>'1kpi_performance'!F464</f>
        <v>0.4579099579</v>
      </c>
      <c r="AQ464" s="42">
        <f>'1kpi_performance'!G464</f>
        <v>0.4360999743</v>
      </c>
      <c r="AR464" s="42">
        <f>'1kpi_performance'!H464</f>
        <v>0.5594926766</v>
      </c>
      <c r="AS464" s="42">
        <f>'1kpi_performance'!I464</f>
        <v>0.6866779058</v>
      </c>
      <c r="AT464" s="35">
        <f>'1kpi_performance'!J464</f>
        <v>2.001626685</v>
      </c>
      <c r="AU464" s="35">
        <f>'1kpi_performance'!K464</f>
        <v>3.110157447</v>
      </c>
      <c r="AV464" s="35">
        <f>'1kpi_performance'!L464</f>
        <v>1.716583925</v>
      </c>
      <c r="AW464" s="35">
        <f>'1kpi_performance'!M464</f>
        <v>-0.3203189177</v>
      </c>
      <c r="AX464" s="42">
        <f>'1kpi_performance'!N464</f>
        <v>0.3219477466</v>
      </c>
      <c r="AY464" s="42">
        <f>'1kpi_performance'!O464</f>
        <v>0.223655914</v>
      </c>
      <c r="AZ464" s="42">
        <f>'1kpi_performance'!P464</f>
        <v>0.8638871858</v>
      </c>
      <c r="BA464" s="42">
        <f>'1kpi_performance'!Q464</f>
        <v>0.987277937</v>
      </c>
      <c r="BB464" s="35">
        <f>'1kpi_performance'!R464</f>
        <v>4.470406355</v>
      </c>
      <c r="BC464" s="35">
        <f>'1kpi_performance'!S464</f>
        <v>7.336425647</v>
      </c>
      <c r="BD464" s="35">
        <f>'1kpi_performance'!T464</f>
        <v>3.118290077</v>
      </c>
      <c r="BE464" s="35">
        <f>'1kpi_performance'!U464</f>
        <v>-0.5989701158</v>
      </c>
      <c r="BF464" s="47"/>
      <c r="BG464" s="47"/>
      <c r="BH464" s="47"/>
      <c r="BI464" s="47"/>
      <c r="BJ464" s="47"/>
      <c r="BK464" s="47"/>
      <c r="BL464" s="47"/>
      <c r="BM464" s="47"/>
      <c r="BN464" s="47"/>
      <c r="BO464" s="47"/>
      <c r="BP464" s="47"/>
      <c r="BQ464" s="47"/>
      <c r="BR464" s="47"/>
      <c r="BS464" s="47"/>
      <c r="BT464" s="47"/>
    </row>
    <row r="465" ht="11.25" customHeight="1">
      <c r="A465" s="35" t="str">
        <f>'13all_company_profile'!A465</f>
        <v>OXY</v>
      </c>
      <c r="B465" s="35" t="str">
        <f>'13all_company_profile'!B465</f>
        <v>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v>
      </c>
      <c r="C465" s="44" t="str">
        <f>'13all_company_profile'!C465</f>
        <v>https://financialmodelingprep.com/image-stock/OXY.png</v>
      </c>
      <c r="D465" s="35" t="str">
        <f>'13all_company_profile'!D465</f>
        <v>Occidental Petroleum Corporation</v>
      </c>
      <c r="E465" s="36">
        <f>'13all_company_profile'!E465</f>
        <v>25426333696</v>
      </c>
      <c r="F465" s="37">
        <f>'13all_company_profile'!F465</f>
        <v>17630307</v>
      </c>
      <c r="G465" s="35">
        <f>'13all_company_profile'!G465</f>
        <v>0.04</v>
      </c>
      <c r="H465" s="38" t="str">
        <f>'13all_company_profile'!H465</f>
        <v>not avaiable</v>
      </c>
      <c r="I465" s="35" t="str">
        <f>'13all_company_profile'!I465</f>
        <v>NaN</v>
      </c>
      <c r="J465" s="35">
        <f>'13all_company_profile'!J465</f>
        <v>-14.866</v>
      </c>
      <c r="K465" s="42">
        <f t="shared" si="1"/>
        <v>0.001576665353</v>
      </c>
      <c r="L465" s="35">
        <f>'7company_info'!B465</f>
        <v>25.37</v>
      </c>
      <c r="M465" s="35">
        <f>'7company_info'!C465</f>
        <v>25.8</v>
      </c>
      <c r="N465" s="35">
        <f>'7company_info'!D465</f>
        <v>24.52</v>
      </c>
      <c r="O465" s="35">
        <f>'7company_info'!E465</f>
        <v>0.55</v>
      </c>
      <c r="P465" s="35">
        <f>'7company_info'!F465</f>
        <v>0.0222</v>
      </c>
      <c r="Q465" s="35">
        <f>'7company_info'!G465</f>
        <v>24.8</v>
      </c>
      <c r="R465" s="35">
        <f>'7company_info'!H465</f>
        <v>24.82</v>
      </c>
      <c r="S465" s="35">
        <f>'7company_info'!I465</f>
        <v>8.52</v>
      </c>
      <c r="T465" s="35">
        <f>'7company_info'!J465</f>
        <v>33.5</v>
      </c>
      <c r="U465" s="39">
        <v>28.6983333333333</v>
      </c>
      <c r="V465" s="39">
        <v>29.7616666666666</v>
      </c>
      <c r="W465" s="40">
        <v>31.6933333333333</v>
      </c>
      <c r="X465" s="40">
        <v>34.6883333333333</v>
      </c>
      <c r="Y465" s="40">
        <v>26.7666666666666</v>
      </c>
      <c r="Z465" s="40">
        <v>25.7033333333333</v>
      </c>
      <c r="AA465" s="40">
        <v>22.7083333333333</v>
      </c>
      <c r="AB465" s="40">
        <v>30.35</v>
      </c>
      <c r="AC465" s="40">
        <v>33.5</v>
      </c>
      <c r="AD465" s="40">
        <v>29.9088461817994</v>
      </c>
      <c r="AE465" s="40">
        <v>27.08211</v>
      </c>
      <c r="AF465" s="40">
        <v>1.59894499999999</v>
      </c>
      <c r="AG465" s="40">
        <v>33.5</v>
      </c>
      <c r="AH465" s="45">
        <v>44378.0</v>
      </c>
      <c r="AI465" s="44" t="str">
        <f>'6image_RS_benchmark_performance'!B465</f>
        <v>https://3arbzfbsh-cname-us.ngrok.io/Desktop/seabridge%20fintech/image_app/OXY_resistance_support.jpg</v>
      </c>
      <c r="AJ465" s="44" t="str">
        <f>'6image_RS_benchmark_performance'!C465</f>
        <v>https://3arbzfbsh-cname-us.ngrok.io/Desktop/seabridge%20fintech/profit_graph_app/OXY_Return.jpg</v>
      </c>
      <c r="AK465" s="46" t="str">
        <f>'5price_action_icon'!B465</f>
        <v>https://3arbzfbsh-cname-us.ngrok.io/Desktop/seabridge%20fintech/icon/OXY_pa_trend_signal</v>
      </c>
      <c r="AL465" s="42">
        <f>'1kpi_performance'!B465</f>
        <v>0.6168791798</v>
      </c>
      <c r="AM465" s="42">
        <f>'1kpi_performance'!C465</f>
        <v>0.7149944643</v>
      </c>
      <c r="AN465" s="42">
        <f>'1kpi_performance'!D465</f>
        <v>0.6697109124</v>
      </c>
      <c r="AO465" s="42">
        <f>'1kpi_performance'!E465</f>
        <v>-0.1130923109</v>
      </c>
      <c r="AP465" s="42">
        <f>'1kpi_performance'!F465</f>
        <v>0.363257827</v>
      </c>
      <c r="AQ465" s="42">
        <f>'1kpi_performance'!G465</f>
        <v>0.3386945176</v>
      </c>
      <c r="AR465" s="42">
        <f>'1kpi_performance'!H465</f>
        <v>0.3610638702</v>
      </c>
      <c r="AS465" s="42">
        <f>'1kpi_performance'!I465</f>
        <v>0.5149527993</v>
      </c>
      <c r="AT465" s="35">
        <f>'1kpi_performance'!J465</f>
        <v>1.629363873</v>
      </c>
      <c r="AU465" s="35">
        <f>'1kpi_performance'!K465</f>
        <v>2.037217695</v>
      </c>
      <c r="AV465" s="35">
        <f>'1kpi_performance'!L465</f>
        <v>1.785586888</v>
      </c>
      <c r="AW465" s="35">
        <f>'1kpi_performance'!M465</f>
        <v>-0.2681649872</v>
      </c>
      <c r="AX465" s="42">
        <f>'1kpi_performance'!N465</f>
        <v>0.3449119963</v>
      </c>
      <c r="AY465" s="42">
        <f>'1kpi_performance'!O465</f>
        <v>0.2159383033</v>
      </c>
      <c r="AZ465" s="42">
        <f>'1kpi_performance'!P465</f>
        <v>0.4965760796</v>
      </c>
      <c r="BA465" s="42">
        <f>'1kpi_performance'!Q465</f>
        <v>0.9200144839</v>
      </c>
      <c r="BB465" s="35">
        <f>'1kpi_performance'!R465</f>
        <v>3.601780641</v>
      </c>
      <c r="BC465" s="35">
        <f>'1kpi_performance'!S465</f>
        <v>4.832467663</v>
      </c>
      <c r="BD465" s="35">
        <f>'1kpi_performance'!T465</f>
        <v>4.055682394</v>
      </c>
      <c r="BE465" s="35">
        <f>'1kpi_performance'!U465</f>
        <v>-0.4921415908</v>
      </c>
      <c r="BF465" s="47"/>
      <c r="BG465" s="47"/>
      <c r="BH465" s="47"/>
      <c r="BI465" s="47"/>
      <c r="BJ465" s="47"/>
      <c r="BK465" s="47"/>
      <c r="BL465" s="47"/>
      <c r="BM465" s="47"/>
      <c r="BN465" s="47"/>
      <c r="BO465" s="47"/>
      <c r="BP465" s="47"/>
      <c r="BQ465" s="47"/>
      <c r="BR465" s="47"/>
      <c r="BS465" s="47"/>
      <c r="BT465" s="47"/>
    </row>
    <row r="466" ht="11.25" customHeight="1">
      <c r="A466" s="35" t="str">
        <f>'13all_company_profile'!A466</f>
        <v>PACB</v>
      </c>
      <c r="B466" s="35" t="str">
        <f>'13all_company_profile'!B466</f>
        <v>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v>
      </c>
      <c r="C466" s="44" t="str">
        <f>'13all_company_profile'!C466</f>
        <v>https://financialmodelingprep.com/image-stock/PACB.png</v>
      </c>
      <c r="D466" s="35" t="str">
        <f>'13all_company_profile'!D466</f>
        <v>Pacific Biosciences of California, Inc.</v>
      </c>
      <c r="E466" s="36">
        <f>'13all_company_profile'!E466</f>
        <v>5356070912</v>
      </c>
      <c r="F466" s="37">
        <f>'13all_company_profile'!F466</f>
        <v>2453182</v>
      </c>
      <c r="G466" s="35">
        <f>'13all_company_profile'!G466</f>
        <v>0</v>
      </c>
      <c r="H466" s="38">
        <f>'13all_company_profile'!H466</f>
        <v>44410</v>
      </c>
      <c r="I466" s="35" t="str">
        <f>'13all_company_profile'!I466</f>
        <v>NaN</v>
      </c>
      <c r="J466" s="35">
        <f>'13all_company_profile'!J466</f>
        <v>-0.339</v>
      </c>
      <c r="K466" s="42" t="str">
        <f t="shared" si="1"/>
        <v>NaN</v>
      </c>
      <c r="L466" s="35">
        <f>'7company_info'!B466</f>
        <v>29.2</v>
      </c>
      <c r="M466" s="35">
        <f>'7company_info'!C466</f>
        <v>29.59</v>
      </c>
      <c r="N466" s="35">
        <f>'7company_info'!D466</f>
        <v>26.41</v>
      </c>
      <c r="O466" s="35">
        <f>'7company_info'!E466</f>
        <v>1.97</v>
      </c>
      <c r="P466" s="35">
        <f>'7company_info'!F466</f>
        <v>0.0723</v>
      </c>
      <c r="Q466" s="35">
        <f>'7company_info'!G466</f>
        <v>27.25</v>
      </c>
      <c r="R466" s="35">
        <f>'7company_info'!H466</f>
        <v>27.23</v>
      </c>
      <c r="S466" s="35">
        <f>'7company_info'!I466</f>
        <v>3.57</v>
      </c>
      <c r="T466" s="35">
        <f>'7company_info'!J466</f>
        <v>53.69</v>
      </c>
      <c r="U466" s="39">
        <v>28.1933333333333</v>
      </c>
      <c r="V466" s="39">
        <v>29.2466666666666</v>
      </c>
      <c r="W466" s="40">
        <v>30.9333333333333</v>
      </c>
      <c r="X466" s="40">
        <v>33.6733333333333</v>
      </c>
      <c r="Y466" s="40">
        <v>26.5066666666666</v>
      </c>
      <c r="Z466" s="40">
        <v>25.4533333333333</v>
      </c>
      <c r="AA466" s="40">
        <v>22.7133333333333</v>
      </c>
      <c r="AB466" s="40">
        <v>31.57</v>
      </c>
      <c r="AC466" s="40">
        <v>34.88</v>
      </c>
      <c r="AD466" s="40">
        <v>31.099305006988</v>
      </c>
      <c r="AE466" s="40">
        <v>26.19588</v>
      </c>
      <c r="AF466" s="40">
        <v>1.78906</v>
      </c>
      <c r="AG466" s="40">
        <v>53.69</v>
      </c>
      <c r="AH466" s="45">
        <v>44238.0</v>
      </c>
      <c r="AI466" s="44" t="str">
        <f>'6image_RS_benchmark_performance'!B466</f>
        <v>https://3arbzfbsh-cname-us.ngrok.io/Desktop/seabridge%20fintech/image_app/PACB_resistance_support.jpg</v>
      </c>
      <c r="AJ466" s="44" t="str">
        <f>'6image_RS_benchmark_performance'!C466</f>
        <v>https://3arbzfbsh-cname-us.ngrok.io/Desktop/seabridge%20fintech/profit_graph_app/PACB_Return.jpg</v>
      </c>
      <c r="AK466" s="46" t="str">
        <f>'5price_action_icon'!B466</f>
        <v>https://3arbzfbsh-cname-us.ngrok.io/Desktop/seabridge%20fintech/icon/PACB_pa_trend_signal</v>
      </c>
      <c r="AL466" s="42">
        <f>'1kpi_performance'!B466</f>
        <v>2.120298683</v>
      </c>
      <c r="AM466" s="42">
        <f>'1kpi_performance'!C466</f>
        <v>2.758589863</v>
      </c>
      <c r="AN466" s="42">
        <f>'1kpi_performance'!D466</f>
        <v>1.526158848</v>
      </c>
      <c r="AO466" s="42">
        <f>'1kpi_performance'!E466</f>
        <v>0.07145143611</v>
      </c>
      <c r="AP466" s="42">
        <f>'1kpi_performance'!F466</f>
        <v>0.7180023263</v>
      </c>
      <c r="AQ466" s="42">
        <f>'1kpi_performance'!G466</f>
        <v>0.7163847956</v>
      </c>
      <c r="AR466" s="42">
        <f>'1kpi_performance'!H466</f>
        <v>0.7236916108</v>
      </c>
      <c r="AS466" s="42">
        <f>'1kpi_performance'!I466</f>
        <v>0.9399265088</v>
      </c>
      <c r="AT466" s="35">
        <f>'1kpi_performance'!J466</f>
        <v>2.918233835</v>
      </c>
      <c r="AU466" s="35">
        <f>'1kpi_performance'!K466</f>
        <v>3.815812229</v>
      </c>
      <c r="AV466" s="35">
        <f>'1kpi_performance'!L466</f>
        <v>2.074307379</v>
      </c>
      <c r="AW466" s="35">
        <f>'1kpi_performance'!M466</f>
        <v>0.04942028518</v>
      </c>
      <c r="AX466" s="42">
        <f>'1kpi_performance'!N466</f>
        <v>0.3205657042</v>
      </c>
      <c r="AY466" s="42">
        <f>'1kpi_performance'!O466</f>
        <v>0.3205657042</v>
      </c>
      <c r="AZ466" s="42">
        <f>'1kpi_performance'!P466</f>
        <v>0.5970466802</v>
      </c>
      <c r="BA466" s="42">
        <f>'1kpi_performance'!Q466</f>
        <v>0.9351797289</v>
      </c>
      <c r="BB466" s="35">
        <f>'1kpi_performance'!R466</f>
        <v>8.324433347</v>
      </c>
      <c r="BC466" s="35">
        <f>'1kpi_performance'!S466</f>
        <v>11.27849386</v>
      </c>
      <c r="BD466" s="35">
        <f>'1kpi_performance'!T466</f>
        <v>5.154749289</v>
      </c>
      <c r="BE466" s="35">
        <f>'1kpi_performance'!U466</f>
        <v>0.107943839</v>
      </c>
      <c r="BF466" s="47"/>
      <c r="BG466" s="47"/>
      <c r="BH466" s="47"/>
      <c r="BI466" s="47"/>
      <c r="BJ466" s="47"/>
      <c r="BK466" s="47"/>
      <c r="BL466" s="47"/>
      <c r="BM466" s="47"/>
      <c r="BN466" s="47"/>
      <c r="BO466" s="47"/>
      <c r="BP466" s="47"/>
      <c r="BQ466" s="47"/>
      <c r="BR466" s="47"/>
      <c r="BS466" s="47"/>
      <c r="BT466" s="47"/>
    </row>
    <row r="467" ht="11.25" customHeight="1">
      <c r="A467" s="35" t="str">
        <f>'13all_company_profile'!A467</f>
        <v>PAYC</v>
      </c>
      <c r="B467" s="35" t="str">
        <f>'13all_company_profile'!B467</f>
        <v>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v>
      </c>
      <c r="C467" s="44" t="str">
        <f>'13all_company_profile'!C467</f>
        <v>https://financialmodelingprep.com/image-stock/PAYC.png</v>
      </c>
      <c r="D467" s="35" t="str">
        <f>'13all_company_profile'!D467</f>
        <v>Paycom Software, Inc.</v>
      </c>
      <c r="E467" s="36">
        <f>'13all_company_profile'!E467</f>
        <v>22280458240</v>
      </c>
      <c r="F467" s="37">
        <f>'13all_company_profile'!F467</f>
        <v>390679</v>
      </c>
      <c r="G467" s="35">
        <f>'13all_company_profile'!G467</f>
        <v>0</v>
      </c>
      <c r="H467" s="38">
        <f>'13all_company_profile'!H467</f>
        <v>44410</v>
      </c>
      <c r="I467" s="35">
        <f>'13all_company_profile'!I467</f>
        <v>149.78716</v>
      </c>
      <c r="J467" s="35">
        <f>'13all_company_profile'!J467</f>
        <v>2.49</v>
      </c>
      <c r="K467" s="42" t="str">
        <f t="shared" si="1"/>
        <v>NaN</v>
      </c>
      <c r="L467" s="35">
        <f>'7company_info'!B467</f>
        <v>378.59</v>
      </c>
      <c r="M467" s="35">
        <f>'7company_info'!C467</f>
        <v>384.4</v>
      </c>
      <c r="N467" s="35">
        <f>'7company_info'!D467</f>
        <v>367.88</v>
      </c>
      <c r="O467" s="35">
        <f>'7company_info'!E467</f>
        <v>11.19</v>
      </c>
      <c r="P467" s="35">
        <f>'7company_info'!F467</f>
        <v>0.0305</v>
      </c>
      <c r="Q467" s="35">
        <f>'7company_info'!G467</f>
        <v>371.11</v>
      </c>
      <c r="R467" s="35">
        <f>'7company_info'!H467</f>
        <v>367.4</v>
      </c>
      <c r="S467" s="35">
        <f>'7company_info'!I467</f>
        <v>257.87</v>
      </c>
      <c r="T467" s="35">
        <f>'7company_info'!J467</f>
        <v>471.08</v>
      </c>
      <c r="U467" s="39">
        <v>370.606666666666</v>
      </c>
      <c r="V467" s="39">
        <v>374.143333333333</v>
      </c>
      <c r="W467" s="40">
        <v>378.286666666666</v>
      </c>
      <c r="X467" s="40">
        <v>385.966666666666</v>
      </c>
      <c r="Y467" s="40">
        <v>366.463333333333</v>
      </c>
      <c r="Z467" s="40">
        <v>362.926666666666</v>
      </c>
      <c r="AA467" s="40">
        <v>355.246666666666</v>
      </c>
      <c r="AB467" s="40">
        <v>347.11</v>
      </c>
      <c r="AC467" s="40">
        <v>388.31</v>
      </c>
      <c r="AD467" s="40">
        <v>367.665410302641</v>
      </c>
      <c r="AE467" s="40">
        <v>352.217979999999</v>
      </c>
      <c r="AF467" s="40">
        <v>9.91876</v>
      </c>
      <c r="AG467" s="40">
        <v>443.14</v>
      </c>
      <c r="AH467" s="45">
        <v>44238.0</v>
      </c>
      <c r="AI467" s="44" t="str">
        <f>'6image_RS_benchmark_performance'!B467</f>
        <v>https://3arbzfbsh-cname-us.ngrok.io/Desktop/seabridge%20fintech/image_app/PAYC_resistance_support.jpg</v>
      </c>
      <c r="AJ467" s="44" t="str">
        <f>'6image_RS_benchmark_performance'!C467</f>
        <v>https://3arbzfbsh-cname-us.ngrok.io/Desktop/seabridge%20fintech/profit_graph_app/PAYC_Return.jpg</v>
      </c>
      <c r="AK467" s="46" t="str">
        <f>'5price_action_icon'!B467</f>
        <v>https://3arbzfbsh-cname-us.ngrok.io/Desktop/seabridge%20fintech/icon/PAYC_pa_trend_signal</v>
      </c>
      <c r="AL467" s="42">
        <f>'1kpi_performance'!B467</f>
        <v>1.543024642</v>
      </c>
      <c r="AM467" s="42">
        <f>'1kpi_performance'!C467</f>
        <v>2.213759996</v>
      </c>
      <c r="AN467" s="42">
        <f>'1kpi_performance'!D467</f>
        <v>1.606511347</v>
      </c>
      <c r="AO467" s="42">
        <f>'1kpi_performance'!E467</f>
        <v>0.8740517577</v>
      </c>
      <c r="AP467" s="42">
        <f>'1kpi_performance'!F467</f>
        <v>0.3875667232</v>
      </c>
      <c r="AQ467" s="42">
        <f>'1kpi_performance'!G467</f>
        <v>0.3982017453</v>
      </c>
      <c r="AR467" s="42">
        <f>'1kpi_performance'!H467</f>
        <v>0.4061734646</v>
      </c>
      <c r="AS467" s="42">
        <f>'1kpi_performance'!I467</f>
        <v>0.5526418965</v>
      </c>
      <c r="AT467" s="35">
        <f>'1kpi_performance'!J467</f>
        <v>3.916808516</v>
      </c>
      <c r="AU467" s="35">
        <f>'1kpi_performance'!K467</f>
        <v>5.496610756</v>
      </c>
      <c r="AV467" s="35">
        <f>'1kpi_performance'!L467</f>
        <v>3.893684559</v>
      </c>
      <c r="AW467" s="35">
        <f>'1kpi_performance'!M467</f>
        <v>1.536350688</v>
      </c>
      <c r="AX467" s="42">
        <f>'1kpi_performance'!N467</f>
        <v>0.2800924916</v>
      </c>
      <c r="AY467" s="42">
        <f>'1kpi_performance'!O467</f>
        <v>0.1852307692</v>
      </c>
      <c r="AZ467" s="42">
        <f>'1kpi_performance'!P467</f>
        <v>0.4914632643</v>
      </c>
      <c r="BA467" s="42">
        <f>'1kpi_performance'!Q467</f>
        <v>0.5114289098</v>
      </c>
      <c r="BB467" s="35">
        <f>'1kpi_performance'!R467</f>
        <v>8.785807799</v>
      </c>
      <c r="BC467" s="35">
        <f>'1kpi_performance'!S467</f>
        <v>13.20082233</v>
      </c>
      <c r="BD467" s="35">
        <f>'1kpi_performance'!T467</f>
        <v>8.420233287</v>
      </c>
      <c r="BE467" s="35">
        <f>'1kpi_performance'!U467</f>
        <v>3.118724564</v>
      </c>
      <c r="BF467" s="47"/>
      <c r="BG467" s="47"/>
      <c r="BH467" s="47"/>
      <c r="BI467" s="47"/>
      <c r="BJ467" s="47"/>
      <c r="BK467" s="47"/>
      <c r="BL467" s="47"/>
      <c r="BM467" s="47"/>
      <c r="BN467" s="47"/>
      <c r="BO467" s="47"/>
      <c r="BP467" s="47"/>
      <c r="BQ467" s="47"/>
      <c r="BR467" s="47"/>
      <c r="BS467" s="47"/>
      <c r="BT467" s="47"/>
    </row>
    <row r="468" ht="11.25" customHeight="1">
      <c r="A468" s="35" t="str">
        <f>'13all_company_profile'!A468</f>
        <v>PAYX</v>
      </c>
      <c r="B468" s="35" t="str">
        <f>'13all_company_profile'!B468</f>
        <v>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v>
      </c>
      <c r="C468" s="44" t="str">
        <f>'13all_company_profile'!C468</f>
        <v>https://financialmodelingprep.com/image-stock/PAYX.png</v>
      </c>
      <c r="D468" s="35" t="str">
        <f>'13all_company_profile'!D468</f>
        <v>Paychex, Inc.</v>
      </c>
      <c r="E468" s="36">
        <f>'13all_company_profile'!E468</f>
        <v>40538664960</v>
      </c>
      <c r="F468" s="37">
        <f>'13all_company_profile'!F468</f>
        <v>1525906</v>
      </c>
      <c r="G468" s="35">
        <f>'13all_company_profile'!G468</f>
        <v>3.18</v>
      </c>
      <c r="H468" s="38" t="str">
        <f>'13all_company_profile'!H468</f>
        <v>not avaiable</v>
      </c>
      <c r="I468" s="35">
        <f>'13all_company_profile'!I468</f>
        <v>36.963696</v>
      </c>
      <c r="J468" s="35">
        <f>'13all_company_profile'!J468</f>
        <v>3.03</v>
      </c>
      <c r="K468" s="42">
        <f t="shared" si="1"/>
        <v>0.02878870179</v>
      </c>
      <c r="L468" s="35">
        <f>'7company_info'!B468</f>
        <v>110.46</v>
      </c>
      <c r="M468" s="35">
        <f>'7company_info'!C468</f>
        <v>111.39</v>
      </c>
      <c r="N468" s="35">
        <f>'7company_info'!D468</f>
        <v>109.53</v>
      </c>
      <c r="O468" s="35">
        <f>'7company_info'!E468</f>
        <v>1.05</v>
      </c>
      <c r="P468" s="35">
        <f>'7company_info'!F468</f>
        <v>0.0096</v>
      </c>
      <c r="Q468" s="35">
        <f>'7company_info'!G468</f>
        <v>109.9</v>
      </c>
      <c r="R468" s="35">
        <f>'7company_info'!H468</f>
        <v>109.41</v>
      </c>
      <c r="S468" s="35">
        <f>'7company_info'!I468</f>
        <v>70.38</v>
      </c>
      <c r="T468" s="35">
        <f>'7company_info'!J468</f>
        <v>113.11</v>
      </c>
      <c r="U468" s="39">
        <v>112.163333333333</v>
      </c>
      <c r="V468" s="39">
        <v>112.736666666666</v>
      </c>
      <c r="W468" s="40">
        <v>113.143333333333</v>
      </c>
      <c r="X468" s="40">
        <v>114.123333333333</v>
      </c>
      <c r="Y468" s="40">
        <v>111.756666666666</v>
      </c>
      <c r="Z468" s="40">
        <v>111.183333333333</v>
      </c>
      <c r="AA468" s="40">
        <v>110.203333333333</v>
      </c>
      <c r="AB468" s="40">
        <v>108.74</v>
      </c>
      <c r="AC468" s="40">
        <v>112.57</v>
      </c>
      <c r="AD468" s="40">
        <v>107.936138570073</v>
      </c>
      <c r="AE468" s="40">
        <v>108.34925</v>
      </c>
      <c r="AF468" s="40">
        <v>1.64387499999999</v>
      </c>
      <c r="AG468" s="40">
        <v>105.17</v>
      </c>
      <c r="AH468" s="45">
        <v>44358.0</v>
      </c>
      <c r="AI468" s="44" t="str">
        <f>'6image_RS_benchmark_performance'!B468</f>
        <v>https://3arbzfbsh-cname-us.ngrok.io/Desktop/seabridge%20fintech/image_app/PAYX_resistance_support.jpg</v>
      </c>
      <c r="AJ468" s="44" t="str">
        <f>'6image_RS_benchmark_performance'!C468</f>
        <v>https://3arbzfbsh-cname-us.ngrok.io/Desktop/seabridge%20fintech/profit_graph_app/PAYX_Return.jpg</v>
      </c>
      <c r="AK468" s="46" t="str">
        <f>'5price_action_icon'!B468</f>
        <v>https://3arbzfbsh-cname-us.ngrok.io/Desktop/seabridge%20fintech/icon/PAYX_pa_trend_signal</v>
      </c>
      <c r="AL468" s="42">
        <f>'1kpi_performance'!B468</f>
        <v>0.4231713843</v>
      </c>
      <c r="AM468" s="42">
        <f>'1kpi_performance'!C468</f>
        <v>0.4994829659</v>
      </c>
      <c r="AN468" s="42">
        <f>'1kpi_performance'!D468</f>
        <v>0.4163043211</v>
      </c>
      <c r="AO468" s="42">
        <f>'1kpi_performance'!E468</f>
        <v>0.177701468</v>
      </c>
      <c r="AP468" s="42">
        <f>'1kpi_performance'!F468</f>
        <v>0.1651507053</v>
      </c>
      <c r="AQ468" s="42">
        <f>'1kpi_performance'!G468</f>
        <v>0.1717856042</v>
      </c>
      <c r="AR468" s="42">
        <f>'1kpi_performance'!H468</f>
        <v>0.1469191665</v>
      </c>
      <c r="AS468" s="42">
        <f>'1kpi_performance'!I468</f>
        <v>0.2651764913</v>
      </c>
      <c r="AT468" s="35">
        <f>'1kpi_performance'!J468</f>
        <v>2.410957819</v>
      </c>
      <c r="AU468" s="35">
        <f>'1kpi_performance'!K468</f>
        <v>2.762064773</v>
      </c>
      <c r="AV468" s="35">
        <f>'1kpi_performance'!L468</f>
        <v>2.663398728</v>
      </c>
      <c r="AW468" s="35">
        <f>'1kpi_performance'!M468</f>
        <v>0.575848437</v>
      </c>
      <c r="AX468" s="42">
        <f>'1kpi_performance'!N468</f>
        <v>0.09888683837</v>
      </c>
      <c r="AY468" s="42">
        <f>'1kpi_performance'!O468</f>
        <v>0.0930551325</v>
      </c>
      <c r="AZ468" s="42">
        <f>'1kpi_performance'!P468</f>
        <v>0.1452259963</v>
      </c>
      <c r="BA468" s="42">
        <f>'1kpi_performance'!Q468</f>
        <v>0.441538291</v>
      </c>
      <c r="BB468" s="35">
        <f>'1kpi_performance'!R468</f>
        <v>5.154314662</v>
      </c>
      <c r="BC468" s="35">
        <f>'1kpi_performance'!S468</f>
        <v>6.016430605</v>
      </c>
      <c r="BD468" s="35">
        <f>'1kpi_performance'!T468</f>
        <v>5.634113425</v>
      </c>
      <c r="BE468" s="35">
        <f>'1kpi_performance'!U468</f>
        <v>1.076021451</v>
      </c>
      <c r="BF468" s="47"/>
      <c r="BG468" s="47"/>
      <c r="BH468" s="47"/>
      <c r="BI468" s="47"/>
      <c r="BJ468" s="47"/>
      <c r="BK468" s="47"/>
      <c r="BL468" s="47"/>
      <c r="BM468" s="47"/>
      <c r="BN468" s="47"/>
      <c r="BO468" s="47"/>
      <c r="BP468" s="47"/>
      <c r="BQ468" s="47"/>
      <c r="BR468" s="47"/>
      <c r="BS468" s="47"/>
      <c r="BT468" s="47"/>
    </row>
    <row r="469" ht="11.25" customHeight="1">
      <c r="A469" s="35" t="str">
        <f>'13all_company_profile'!A469</f>
        <v>PBCT</v>
      </c>
      <c r="B469" s="35" t="str">
        <f>'13all_company_profile'!B469</f>
        <v>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v>
      </c>
      <c r="C469" s="44" t="str">
        <f>'13all_company_profile'!C469</f>
        <v>https://financialmodelingprep.com/image-stock/PBCT.png</v>
      </c>
      <c r="D469" s="35" t="str">
        <f>'13all_company_profile'!D469</f>
        <v>People's United Financial, Inc.</v>
      </c>
      <c r="E469" s="36">
        <f>'13all_company_profile'!E469</f>
        <v>7015800832</v>
      </c>
      <c r="F469" s="37">
        <f>'13all_company_profile'!F469</f>
        <v>3818795</v>
      </c>
      <c r="G469" s="35">
        <f>'13all_company_profile'!G469</f>
        <v>0.7225</v>
      </c>
      <c r="H469" s="38">
        <f>'13all_company_profile'!H469</f>
        <v>44399</v>
      </c>
      <c r="I469" s="35">
        <f>'13all_company_profile'!I469</f>
        <v>30.98646</v>
      </c>
      <c r="J469" s="35">
        <f>'13all_company_profile'!J469</f>
        <v>0.517</v>
      </c>
      <c r="K469" s="42">
        <f t="shared" si="1"/>
        <v>0.0458148383</v>
      </c>
      <c r="L469" s="35">
        <f>'7company_info'!B469</f>
        <v>15.77</v>
      </c>
      <c r="M469" s="35">
        <f>'7company_info'!C469</f>
        <v>16.07</v>
      </c>
      <c r="N469" s="35">
        <f>'7company_info'!D469</f>
        <v>15.21</v>
      </c>
      <c r="O469" s="35">
        <f>'7company_info'!E469</f>
        <v>0.48</v>
      </c>
      <c r="P469" s="35">
        <f>'7company_info'!F469</f>
        <v>0.0314</v>
      </c>
      <c r="Q469" s="35">
        <f>'7company_info'!G469</f>
        <v>15.25</v>
      </c>
      <c r="R469" s="35">
        <f>'7company_info'!H469</f>
        <v>15.29</v>
      </c>
      <c r="S469" s="35">
        <f>'7company_info'!I469</f>
        <v>9.74</v>
      </c>
      <c r="T469" s="35">
        <f>'7company_info'!J469</f>
        <v>19.62</v>
      </c>
      <c r="U469" s="39">
        <v>16.45</v>
      </c>
      <c r="V469" s="39">
        <v>16.7299999999999</v>
      </c>
      <c r="W469" s="40">
        <v>16.9999999999999</v>
      </c>
      <c r="X469" s="40">
        <v>17.5499999999999</v>
      </c>
      <c r="Y469" s="40">
        <v>16.18</v>
      </c>
      <c r="Z469" s="40">
        <v>15.9</v>
      </c>
      <c r="AA469" s="40">
        <v>15.35</v>
      </c>
      <c r="AB469" s="40">
        <v>16.025</v>
      </c>
      <c r="AC469" s="40">
        <v>16.86</v>
      </c>
      <c r="AD469" s="40">
        <v>17.1441910071327</v>
      </c>
      <c r="AE469" s="40">
        <v>15.4845</v>
      </c>
      <c r="AF469" s="40">
        <v>0.502749999999999</v>
      </c>
      <c r="AG469" s="40">
        <v>19.62</v>
      </c>
      <c r="AH469" s="45">
        <v>44334.0</v>
      </c>
      <c r="AI469" s="44" t="str">
        <f>'6image_RS_benchmark_performance'!B469</f>
        <v>https://3arbzfbsh-cname-us.ngrok.io/Desktop/seabridge%20fintech/image_app/PBCT_resistance_support.jpg</v>
      </c>
      <c r="AJ469" s="44" t="str">
        <f>'6image_RS_benchmark_performance'!C469</f>
        <v>https://3arbzfbsh-cname-us.ngrok.io/Desktop/seabridge%20fintech/profit_graph_app/PBCT_Return.jpg</v>
      </c>
      <c r="AK469" s="46" t="str">
        <f>'5price_action_icon'!B469</f>
        <v>https://3arbzfbsh-cname-us.ngrok.io/Desktop/seabridge%20fintech/icon/PBCT_pa_trend_signal</v>
      </c>
      <c r="AL469" s="42">
        <f>'1kpi_performance'!B469</f>
        <v>0.4396197896</v>
      </c>
      <c r="AM469" s="42">
        <f>'1kpi_performance'!C469</f>
        <v>0.3904521873</v>
      </c>
      <c r="AN469" s="42">
        <f>'1kpi_performance'!D469</f>
        <v>0.4748528797</v>
      </c>
      <c r="AO469" s="42">
        <f>'1kpi_performance'!E469</f>
        <v>-0.0009047561257</v>
      </c>
      <c r="AP469" s="42">
        <f>'1kpi_performance'!F469</f>
        <v>0.2464316216</v>
      </c>
      <c r="AQ469" s="42">
        <f>'1kpi_performance'!G469</f>
        <v>0.2303725445</v>
      </c>
      <c r="AR469" s="42">
        <f>'1kpi_performance'!H469</f>
        <v>0.2415652462</v>
      </c>
      <c r="AS469" s="42">
        <f>'1kpi_performance'!I469</f>
        <v>0.3321305534</v>
      </c>
      <c r="AT469" s="35">
        <f>'1kpi_performance'!J469</f>
        <v>1.682494264</v>
      </c>
      <c r="AU469" s="35">
        <f>'1kpi_performance'!K469</f>
        <v>1.586353044</v>
      </c>
      <c r="AV469" s="35">
        <f>'1kpi_performance'!L469</f>
        <v>1.86224172</v>
      </c>
      <c r="AW469" s="35">
        <f>'1kpi_performance'!M469</f>
        <v>-0.07799570338</v>
      </c>
      <c r="AX469" s="42">
        <f>'1kpi_performance'!N469</f>
        <v>0.2678766251</v>
      </c>
      <c r="AY469" s="42">
        <f>'1kpi_performance'!O469</f>
        <v>0.2040641274</v>
      </c>
      <c r="AZ469" s="42">
        <f>'1kpi_performance'!P469</f>
        <v>0.3202287348</v>
      </c>
      <c r="BA469" s="42">
        <f>'1kpi_performance'!Q469</f>
        <v>0.5280397022</v>
      </c>
      <c r="BB469" s="35">
        <f>'1kpi_performance'!R469</f>
        <v>3.641313007</v>
      </c>
      <c r="BC469" s="35">
        <f>'1kpi_performance'!S469</f>
        <v>3.621260888</v>
      </c>
      <c r="BD469" s="35">
        <f>'1kpi_performance'!T469</f>
        <v>4.093263287</v>
      </c>
      <c r="BE469" s="35">
        <f>'1kpi_performance'!U469</f>
        <v>-0.1571728245</v>
      </c>
      <c r="BF469" s="47"/>
      <c r="BG469" s="47"/>
      <c r="BH469" s="47"/>
      <c r="BI469" s="47"/>
      <c r="BJ469" s="47"/>
      <c r="BK469" s="47"/>
      <c r="BL469" s="47"/>
      <c r="BM469" s="47"/>
      <c r="BN469" s="47"/>
      <c r="BO469" s="47"/>
      <c r="BP469" s="47"/>
      <c r="BQ469" s="47"/>
      <c r="BR469" s="47"/>
      <c r="BS469" s="47"/>
      <c r="BT469" s="47"/>
    </row>
    <row r="470" ht="11.25" customHeight="1">
      <c r="A470" s="35" t="str">
        <f>'13all_company_profile'!A470</f>
        <v>PCAR</v>
      </c>
      <c r="B470" s="35" t="str">
        <f>'13all_company_profile'!B470</f>
        <v>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v>
      </c>
      <c r="C470" s="44" t="str">
        <f>'13all_company_profile'!C470</f>
        <v>https://financialmodelingprep.com/image-stock/PCAR.png</v>
      </c>
      <c r="D470" s="35" t="str">
        <f>'13all_company_profile'!D470</f>
        <v>PACCAR Inc</v>
      </c>
      <c r="E470" s="36">
        <f>'13all_company_profile'!E470</f>
        <v>30667759616</v>
      </c>
      <c r="F470" s="37">
        <f>'13all_company_profile'!F470</f>
        <v>1749642</v>
      </c>
      <c r="G470" s="35">
        <f>'13all_company_profile'!G470</f>
        <v>2</v>
      </c>
      <c r="H470" s="38">
        <f>'13all_company_profile'!H470</f>
        <v>44404</v>
      </c>
      <c r="I470" s="35">
        <f>'13all_company_profile'!I470</f>
        <v>21.622753</v>
      </c>
      <c r="J470" s="35">
        <f>'13all_company_profile'!J470</f>
        <v>4.061</v>
      </c>
      <c r="K470" s="42">
        <f t="shared" si="1"/>
        <v>0.02270405267</v>
      </c>
      <c r="L470" s="35">
        <f>'7company_info'!B470</f>
        <v>88.09</v>
      </c>
      <c r="M470" s="35">
        <f>'7company_info'!C470</f>
        <v>88.87</v>
      </c>
      <c r="N470" s="35">
        <f>'7company_info'!D470</f>
        <v>86.54</v>
      </c>
      <c r="O470" s="35">
        <f>'7company_info'!E470</f>
        <v>1.38</v>
      </c>
      <c r="P470" s="35">
        <f>'7company_info'!F470</f>
        <v>0.0159</v>
      </c>
      <c r="Q470" s="35">
        <f>'7company_info'!G470</f>
        <v>86.86</v>
      </c>
      <c r="R470" s="35">
        <f>'7company_info'!H470</f>
        <v>86.71</v>
      </c>
      <c r="S470" s="35">
        <f>'7company_info'!I470</f>
        <v>78.51</v>
      </c>
      <c r="T470" s="35">
        <f>'7company_info'!J470</f>
        <v>103.19</v>
      </c>
      <c r="U470" s="39">
        <v>87.5899999999999</v>
      </c>
      <c r="V470" s="39">
        <v>88.0999999999999</v>
      </c>
      <c r="W470" s="40">
        <v>88.4499999999999</v>
      </c>
      <c r="X470" s="40">
        <v>89.3099999999999</v>
      </c>
      <c r="Y470" s="40">
        <v>87.2399999999999</v>
      </c>
      <c r="Z470" s="40">
        <v>86.7299999999999</v>
      </c>
      <c r="AA470" s="40">
        <v>85.8699999999999</v>
      </c>
      <c r="AB470" s="40">
        <v>86.31</v>
      </c>
      <c r="AC470" s="40">
        <v>90.09</v>
      </c>
      <c r="AD470" s="40">
        <v>88.502272065797</v>
      </c>
      <c r="AE470" s="40">
        <v>84.09396</v>
      </c>
      <c r="AF470" s="40">
        <v>1.72951999999999</v>
      </c>
      <c r="AG470" s="40">
        <v>103.19</v>
      </c>
      <c r="AH470" s="45">
        <v>44217.0</v>
      </c>
      <c r="AI470" s="44" t="str">
        <f>'6image_RS_benchmark_performance'!B470</f>
        <v>https://3arbzfbsh-cname-us.ngrok.io/Desktop/seabridge%20fintech/image_app/PCAR_resistance_support.jpg</v>
      </c>
      <c r="AJ470" s="44" t="str">
        <f>'6image_RS_benchmark_performance'!C470</f>
        <v>https://3arbzfbsh-cname-us.ngrok.io/Desktop/seabridge%20fintech/profit_graph_app/PCAR_Return.jpg</v>
      </c>
      <c r="AK470" s="46" t="str">
        <f>'5price_action_icon'!B470</f>
        <v>https://3arbzfbsh-cname-us.ngrok.io/Desktop/seabridge%20fintech/icon/PCAR_pa_trend_signal</v>
      </c>
      <c r="AL470" s="42">
        <f>'1kpi_performance'!B470</f>
        <v>0.5242833274</v>
      </c>
      <c r="AM470" s="42">
        <f>'1kpi_performance'!C470</f>
        <v>0.6511789065</v>
      </c>
      <c r="AN470" s="42">
        <f>'1kpi_performance'!D470</f>
        <v>0.5410327585</v>
      </c>
      <c r="AO470" s="42">
        <f>'1kpi_performance'!E470</f>
        <v>0.1352992218</v>
      </c>
      <c r="AP470" s="42">
        <f>'1kpi_performance'!F470</f>
        <v>0.2159059729</v>
      </c>
      <c r="AQ470" s="42">
        <f>'1kpi_performance'!G470</f>
        <v>0.2199942466</v>
      </c>
      <c r="AR470" s="42">
        <f>'1kpi_performance'!H470</f>
        <v>0.2562477349</v>
      </c>
      <c r="AS470" s="42">
        <f>'1kpi_performance'!I470</f>
        <v>0.323473406</v>
      </c>
      <c r="AT470" s="35">
        <f>'1kpi_performance'!J470</f>
        <v>2.312503544</v>
      </c>
      <c r="AU470" s="35">
        <f>'1kpi_performance'!K470</f>
        <v>2.846342194</v>
      </c>
      <c r="AV470" s="35">
        <f>'1kpi_performance'!L470</f>
        <v>2.013804175</v>
      </c>
      <c r="AW470" s="35">
        <f>'1kpi_performance'!M470</f>
        <v>0.3409838946</v>
      </c>
      <c r="AX470" s="42">
        <f>'1kpi_performance'!N470</f>
        <v>0.1617118906</v>
      </c>
      <c r="AY470" s="42">
        <f>'1kpi_performance'!O470</f>
        <v>0.121061023</v>
      </c>
      <c r="AZ470" s="42">
        <f>'1kpi_performance'!P470</f>
        <v>0.3646895624</v>
      </c>
      <c r="BA470" s="42">
        <f>'1kpi_performance'!Q470</f>
        <v>0.4358581649</v>
      </c>
      <c r="BB470" s="35">
        <f>'1kpi_performance'!R470</f>
        <v>4.98524348</v>
      </c>
      <c r="BC470" s="35">
        <f>'1kpi_performance'!S470</f>
        <v>6.668968931</v>
      </c>
      <c r="BD470" s="35">
        <f>'1kpi_performance'!T470</f>
        <v>4.083090278</v>
      </c>
      <c r="BE470" s="35">
        <f>'1kpi_performance'!U470</f>
        <v>0.6863477785</v>
      </c>
      <c r="BF470" s="47"/>
      <c r="BG470" s="47"/>
      <c r="BH470" s="47"/>
      <c r="BI470" s="47"/>
      <c r="BJ470" s="47"/>
      <c r="BK470" s="47"/>
      <c r="BL470" s="47"/>
      <c r="BM470" s="47"/>
      <c r="BN470" s="47"/>
      <c r="BO470" s="47"/>
      <c r="BP470" s="47"/>
      <c r="BQ470" s="47"/>
      <c r="BR470" s="47"/>
      <c r="BS470" s="47"/>
      <c r="BT470" s="47"/>
    </row>
    <row r="471" ht="11.25" customHeight="1">
      <c r="A471" s="35" t="str">
        <f>'13all_company_profile'!A471</f>
        <v>PDD</v>
      </c>
      <c r="B471" s="35" t="str">
        <f>'13all_company_profile'!B471</f>
        <v>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v>
      </c>
      <c r="C471" s="44" t="str">
        <f>'13all_company_profile'!C471</f>
        <v>https://financialmodelingprep.com/image-stock/PDD.png</v>
      </c>
      <c r="D471" s="35" t="str">
        <f>'13all_company_profile'!D471</f>
        <v>Pinduoduo Inc.</v>
      </c>
      <c r="E471" s="36">
        <f>'13all_company_profile'!E471</f>
        <v>138789322752</v>
      </c>
      <c r="F471" s="37">
        <f>'13all_company_profile'!F471</f>
        <v>6603539</v>
      </c>
      <c r="G471" s="35">
        <f>'13all_company_profile'!G471</f>
        <v>0</v>
      </c>
      <c r="H471" s="38" t="str">
        <f>'13all_company_profile'!H471</f>
        <v>not avaiable</v>
      </c>
      <c r="I471" s="35" t="str">
        <f>'13all_company_profile'!I471</f>
        <v>NaN</v>
      </c>
      <c r="J471" s="35">
        <f>'13all_company_profile'!J471</f>
        <v>-0.76</v>
      </c>
      <c r="K471" s="42" t="str">
        <f t="shared" si="1"/>
        <v>NaN</v>
      </c>
      <c r="L471" s="35">
        <f>'7company_info'!B471</f>
        <v>102.25</v>
      </c>
      <c r="M471" s="35">
        <f>'7company_info'!C471</f>
        <v>104.84</v>
      </c>
      <c r="N471" s="35">
        <f>'7company_info'!D471</f>
        <v>101.1</v>
      </c>
      <c r="O471" s="35">
        <f>'7company_info'!E471</f>
        <v>-2.44</v>
      </c>
      <c r="P471" s="35">
        <f>'7company_info'!F471</f>
        <v>-0.0233</v>
      </c>
      <c r="Q471" s="35">
        <f>'7company_info'!G471</f>
        <v>104.46</v>
      </c>
      <c r="R471" s="35">
        <f>'7company_info'!H471</f>
        <v>104.69</v>
      </c>
      <c r="S471" s="35">
        <f>'7company_info'!I471</f>
        <v>69.89</v>
      </c>
      <c r="T471" s="35">
        <f>'7company_info'!J471</f>
        <v>212.6</v>
      </c>
      <c r="U471" s="39">
        <v>108.073333333333</v>
      </c>
      <c r="V471" s="39">
        <v>110.686666666666</v>
      </c>
      <c r="W471" s="40">
        <v>112.433333333333</v>
      </c>
      <c r="X471" s="40">
        <v>116.793333333333</v>
      </c>
      <c r="Y471" s="40">
        <v>106.326666666666</v>
      </c>
      <c r="Z471" s="40">
        <v>103.713333333333</v>
      </c>
      <c r="AA471" s="40">
        <v>99.3533333333333</v>
      </c>
      <c r="AB471" s="40">
        <v>103.3</v>
      </c>
      <c r="AC471" s="40">
        <v>133.81</v>
      </c>
      <c r="AD471" s="40">
        <v>118.068308434984</v>
      </c>
      <c r="AE471" s="40">
        <v>100.65501</v>
      </c>
      <c r="AF471" s="40">
        <v>5.83349499999999</v>
      </c>
      <c r="AG471" s="40">
        <v>212.5965</v>
      </c>
      <c r="AH471" s="45">
        <v>44243.0</v>
      </c>
      <c r="AI471" s="44" t="str">
        <f>'6image_RS_benchmark_performance'!B471</f>
        <v>https://3arbzfbsh-cname-us.ngrok.io/Desktop/seabridge%20fintech/image_app/PDD_resistance_support.jpg</v>
      </c>
      <c r="AJ471" s="44" t="str">
        <f>'6image_RS_benchmark_performance'!C471</f>
        <v>https://3arbzfbsh-cname-us.ngrok.io/Desktop/seabridge%20fintech/profit_graph_app/PDD_Return.jpg</v>
      </c>
      <c r="AK471" s="46" t="str">
        <f>'5price_action_icon'!B471</f>
        <v>https://3arbzfbsh-cname-us.ngrok.io/Desktop/seabridge%20fintech/icon/PDD_pa_trend_signal</v>
      </c>
      <c r="AL471" s="42">
        <f>'1kpi_performance'!B471</f>
        <v>1.847850733</v>
      </c>
      <c r="AM471" s="42">
        <f>'1kpi_performance'!C471</f>
        <v>2.319366409</v>
      </c>
      <c r="AN471" s="42">
        <f>'1kpi_performance'!D471</f>
        <v>2.881673876</v>
      </c>
      <c r="AO471" s="42">
        <f>'1kpi_performance'!E471</f>
        <v>0.9710436672</v>
      </c>
      <c r="AP471" s="42">
        <f>'1kpi_performance'!F471</f>
        <v>0.6550319087</v>
      </c>
      <c r="AQ471" s="42">
        <f>'1kpi_performance'!G471</f>
        <v>0.6671102825</v>
      </c>
      <c r="AR471" s="42">
        <f>'1kpi_performance'!H471</f>
        <v>0.5680298156</v>
      </c>
      <c r="AS471" s="42">
        <f>'1kpi_performance'!I471</f>
        <v>0.848714741</v>
      </c>
      <c r="AT471" s="35">
        <f>'1kpi_performance'!J471</f>
        <v>2.782842651</v>
      </c>
      <c r="AU471" s="35">
        <f>'1kpi_performance'!K471</f>
        <v>3.439261048</v>
      </c>
      <c r="AV471" s="35">
        <f>'1kpi_performance'!L471</f>
        <v>5.029091426</v>
      </c>
      <c r="AW471" s="35">
        <f>'1kpi_performance'!M471</f>
        <v>1.11467802</v>
      </c>
      <c r="AX471" s="42">
        <f>'1kpi_performance'!N471</f>
        <v>0.3845422215</v>
      </c>
      <c r="AY471" s="42">
        <f>'1kpi_performance'!O471</f>
        <v>0.3</v>
      </c>
      <c r="AZ471" s="42">
        <f>'1kpi_performance'!P471</f>
        <v>0.2443257677</v>
      </c>
      <c r="BA471" s="42">
        <f>'1kpi_performance'!Q471</f>
        <v>0.4637116655</v>
      </c>
      <c r="BB471" s="35">
        <f>'1kpi_performance'!R471</f>
        <v>6.350301417</v>
      </c>
      <c r="BC471" s="35">
        <f>'1kpi_performance'!S471</f>
        <v>8.374697014</v>
      </c>
      <c r="BD471" s="35">
        <f>'1kpi_performance'!T471</f>
        <v>12.44422506</v>
      </c>
      <c r="BE471" s="35">
        <f>'1kpi_performance'!U471</f>
        <v>2.42396878</v>
      </c>
      <c r="BF471" s="47"/>
      <c r="BG471" s="47"/>
      <c r="BH471" s="47"/>
      <c r="BI471" s="47"/>
      <c r="BJ471" s="47"/>
      <c r="BK471" s="47"/>
      <c r="BL471" s="47"/>
      <c r="BM471" s="47"/>
      <c r="BN471" s="47"/>
      <c r="BO471" s="47"/>
      <c r="BP471" s="47"/>
      <c r="BQ471" s="47"/>
      <c r="BR471" s="47"/>
      <c r="BS471" s="47"/>
      <c r="BT471" s="47"/>
    </row>
    <row r="472" ht="11.25" customHeight="1">
      <c r="A472" s="35" t="str">
        <f>'13all_company_profile'!A472</f>
        <v>PEAK</v>
      </c>
      <c r="B472" s="35" t="str">
        <f>'13all_company_profile'!B472</f>
        <v>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v>
      </c>
      <c r="C472" s="44" t="str">
        <f>'13all_company_profile'!C472</f>
        <v>https://financialmodelingprep.com/image-stock/PEAK.jpg</v>
      </c>
      <c r="D472" s="35" t="str">
        <f>'13all_company_profile'!D472</f>
        <v>Healthpeak Properties, Inc.</v>
      </c>
      <c r="E472" s="36">
        <f>'13all_company_profile'!E472</f>
        <v>18997424128</v>
      </c>
      <c r="F472" s="37">
        <f>'13all_company_profile'!F472</f>
        <v>3099776</v>
      </c>
      <c r="G472" s="35">
        <f>'13all_company_profile'!G472</f>
        <v>1.34</v>
      </c>
      <c r="H472" s="38">
        <f>'13all_company_profile'!H472</f>
        <v>44411</v>
      </c>
      <c r="I472" s="35">
        <f>'13all_company_profile'!I472</f>
        <v>69.270424</v>
      </c>
      <c r="J472" s="35">
        <f>'13all_company_profile'!J472</f>
        <v>0.514</v>
      </c>
      <c r="K472" s="42">
        <f t="shared" si="1"/>
        <v>0.03722222222</v>
      </c>
      <c r="L472" s="35">
        <f>'7company_info'!B472</f>
        <v>36</v>
      </c>
      <c r="M472" s="35">
        <f>'7company_info'!C472</f>
        <v>36.16</v>
      </c>
      <c r="N472" s="35">
        <f>'7company_info'!D472</f>
        <v>34.98</v>
      </c>
      <c r="O472" s="35">
        <f>'7company_info'!E472</f>
        <v>1.06</v>
      </c>
      <c r="P472" s="35">
        <f>'7company_info'!F472</f>
        <v>0.0303</v>
      </c>
      <c r="Q472" s="35">
        <f>'7company_info'!G472</f>
        <v>35.22</v>
      </c>
      <c r="R472" s="35">
        <f>'7company_info'!H472</f>
        <v>34.94</v>
      </c>
      <c r="S472" s="35">
        <f>'7company_info'!I472</f>
        <v>25.52</v>
      </c>
      <c r="T472" s="35">
        <f>'7company_info'!J472</f>
        <v>36.16</v>
      </c>
      <c r="U472" s="39">
        <v>34.8416666666666</v>
      </c>
      <c r="V472" s="39">
        <v>35.2933333333333</v>
      </c>
      <c r="W472" s="40">
        <v>35.6166666666666</v>
      </c>
      <c r="X472" s="40">
        <v>36.3916666666666</v>
      </c>
      <c r="Y472" s="40">
        <v>34.5183333333333</v>
      </c>
      <c r="Z472" s="40">
        <v>34.0666666666666</v>
      </c>
      <c r="AA472" s="40">
        <v>33.2916666666666</v>
      </c>
      <c r="AB472" s="40">
        <v>34.14</v>
      </c>
      <c r="AC472" s="40">
        <v>33.77</v>
      </c>
      <c r="AD472" s="40">
        <v>34.1568574614136</v>
      </c>
      <c r="AE472" s="40">
        <v>33.2285</v>
      </c>
      <c r="AF472" s="40">
        <v>0.636499999999999</v>
      </c>
      <c r="AG472" s="40">
        <v>35.31</v>
      </c>
      <c r="AH472" s="45">
        <v>44361.0</v>
      </c>
      <c r="AI472" s="44" t="str">
        <f>'6image_RS_benchmark_performance'!B472</f>
        <v>https://3arbzfbsh-cname-us.ngrok.io/Desktop/seabridge%20fintech/image_app/PEAK_resistance_support.jpg</v>
      </c>
      <c r="AJ472" s="44" t="str">
        <f>'6image_RS_benchmark_performance'!C472</f>
        <v>https://3arbzfbsh-cname-us.ngrok.io/Desktop/seabridge%20fintech/profit_graph_app/PEAK_Return.jpg</v>
      </c>
      <c r="AK472" s="46" t="str">
        <f>'5price_action_icon'!B472</f>
        <v>https://3arbzfbsh-cname-us.ngrok.io/Desktop/seabridge%20fintech/icon/PEAK_pa_trend_signal</v>
      </c>
      <c r="AL472" s="42">
        <f>'1kpi_performance'!B472</f>
        <v>0.4263718655</v>
      </c>
      <c r="AM472" s="42">
        <f>'1kpi_performance'!C472</f>
        <v>0.4912798176</v>
      </c>
      <c r="AN472" s="42">
        <f>'1kpi_performance'!D472</f>
        <v>0.671482948</v>
      </c>
      <c r="AO472" s="42">
        <f>'1kpi_performance'!E472</f>
        <v>0.03210015557</v>
      </c>
      <c r="AP472" s="42">
        <f>'1kpi_performance'!F472</f>
        <v>0.2125686619</v>
      </c>
      <c r="AQ472" s="42">
        <f>'1kpi_performance'!G472</f>
        <v>0.2101347646</v>
      </c>
      <c r="AR472" s="42">
        <f>'1kpi_performance'!H472</f>
        <v>0.2294841522</v>
      </c>
      <c r="AS472" s="42">
        <f>'1kpi_performance'!I472</f>
        <v>0.3397379903</v>
      </c>
      <c r="AT472" s="35">
        <f>'1kpi_performance'!J472</f>
        <v>1.888198674</v>
      </c>
      <c r="AU472" s="35">
        <f>'1kpi_performance'!K472</f>
        <v>2.218956099</v>
      </c>
      <c r="AV472" s="35">
        <f>'1kpi_performance'!L472</f>
        <v>2.817113695</v>
      </c>
      <c r="AW472" s="35">
        <f>'1kpi_performance'!M472</f>
        <v>0.02089891555</v>
      </c>
      <c r="AX472" s="42">
        <f>'1kpi_performance'!N472</f>
        <v>0.1893727527</v>
      </c>
      <c r="AY472" s="42">
        <f>'1kpi_performance'!O472</f>
        <v>0.1453262787</v>
      </c>
      <c r="AZ472" s="42">
        <f>'1kpi_performance'!P472</f>
        <v>0.2947374663</v>
      </c>
      <c r="BA472" s="42">
        <f>'1kpi_performance'!Q472</f>
        <v>0.6035767511</v>
      </c>
      <c r="BB472" s="35">
        <f>'1kpi_performance'!R472</f>
        <v>3.774970577</v>
      </c>
      <c r="BC472" s="35">
        <f>'1kpi_performance'!S472</f>
        <v>4.560574309</v>
      </c>
      <c r="BD472" s="35">
        <f>'1kpi_performance'!T472</f>
        <v>5.598315797</v>
      </c>
      <c r="BE472" s="35">
        <f>'1kpi_performance'!U472</f>
        <v>0.03777737805</v>
      </c>
      <c r="BF472" s="47"/>
      <c r="BG472" s="47"/>
      <c r="BH472" s="47"/>
      <c r="BI472" s="47"/>
      <c r="BJ472" s="47"/>
      <c r="BK472" s="47"/>
      <c r="BL472" s="47"/>
      <c r="BM472" s="47"/>
      <c r="BN472" s="47"/>
      <c r="BO472" s="47"/>
      <c r="BP472" s="47"/>
      <c r="BQ472" s="47"/>
      <c r="BR472" s="47"/>
      <c r="BS472" s="47"/>
      <c r="BT472" s="47"/>
    </row>
    <row r="473" ht="11.25" customHeight="1">
      <c r="A473" s="35" t="str">
        <f>'13all_company_profile'!A473</f>
        <v>PEG</v>
      </c>
      <c r="B473" s="35" t="str">
        <f>'13all_company_profile'!B473</f>
        <v>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v>
      </c>
      <c r="C473" s="44" t="str">
        <f>'13all_company_profile'!C473</f>
        <v>https://financialmodelingprep.com/image-stock/PEG.png</v>
      </c>
      <c r="D473" s="35" t="str">
        <f>'13all_company_profile'!D473</f>
        <v>Public Service Enterprise Group Incorporated</v>
      </c>
      <c r="E473" s="36">
        <f>'13all_company_profile'!E473</f>
        <v>30905047040</v>
      </c>
      <c r="F473" s="37">
        <f>'13all_company_profile'!F473</f>
        <v>2017973</v>
      </c>
      <c r="G473" s="35">
        <f>'13all_company_profile'!G473</f>
        <v>2</v>
      </c>
      <c r="H473" s="38">
        <f>'13all_company_profile'!H473</f>
        <v>44406</v>
      </c>
      <c r="I473" s="35">
        <f>'13all_company_profile'!I473</f>
        <v>14.895433</v>
      </c>
      <c r="J473" s="35">
        <f>'13all_company_profile'!J473</f>
        <v>4.16</v>
      </c>
      <c r="K473" s="42">
        <f t="shared" si="1"/>
        <v>0.03296522169</v>
      </c>
      <c r="L473" s="35">
        <f>'7company_info'!B473</f>
        <v>60.67</v>
      </c>
      <c r="M473" s="35">
        <f>'7company_info'!C473</f>
        <v>61.14</v>
      </c>
      <c r="N473" s="35">
        <f>'7company_info'!D473</f>
        <v>60.12</v>
      </c>
      <c r="O473" s="35">
        <f>'7company_info'!E473</f>
        <v>0.48</v>
      </c>
      <c r="P473" s="35">
        <f>'7company_info'!F473</f>
        <v>0.008</v>
      </c>
      <c r="Q473" s="35">
        <f>'7company_info'!G473</f>
        <v>60.13</v>
      </c>
      <c r="R473" s="35">
        <f>'7company_info'!H473</f>
        <v>60.19</v>
      </c>
      <c r="S473" s="35">
        <f>'7company_info'!I473</f>
        <v>50.32</v>
      </c>
      <c r="T473" s="35">
        <f>'7company_info'!J473</f>
        <v>64.3</v>
      </c>
      <c r="U473" s="39">
        <v>60.27</v>
      </c>
      <c r="V473" s="39">
        <v>60.79</v>
      </c>
      <c r="W473" s="40">
        <v>61.19</v>
      </c>
      <c r="X473" s="40">
        <v>62.11</v>
      </c>
      <c r="Y473" s="40">
        <v>59.87</v>
      </c>
      <c r="Z473" s="40">
        <v>59.35</v>
      </c>
      <c r="AA473" s="40">
        <v>58.43</v>
      </c>
      <c r="AB473" s="40">
        <v>59.595</v>
      </c>
      <c r="AC473" s="40">
        <v>60.59</v>
      </c>
      <c r="AD473" s="40">
        <v>60.4559523625993</v>
      </c>
      <c r="AE473" s="40">
        <v>58.00788</v>
      </c>
      <c r="AF473" s="40">
        <v>0.91581</v>
      </c>
      <c r="AG473" s="40">
        <v>64.3</v>
      </c>
      <c r="AH473" s="45">
        <v>44319.0</v>
      </c>
      <c r="AI473" s="44" t="str">
        <f>'6image_RS_benchmark_performance'!B473</f>
        <v>https://3arbzfbsh-cname-us.ngrok.io/Desktop/seabridge%20fintech/image_app/PEG_resistance_support.jpg</v>
      </c>
      <c r="AJ473" s="44" t="str">
        <f>'6image_RS_benchmark_performance'!C473</f>
        <v>https://3arbzfbsh-cname-us.ngrok.io/Desktop/seabridge%20fintech/profit_graph_app/PEG_Return.jpg</v>
      </c>
      <c r="AK473" s="46" t="str">
        <f>'5price_action_icon'!B473</f>
        <v>https://3arbzfbsh-cname-us.ngrok.io/Desktop/seabridge%20fintech/icon/PEG_pa_trend_signal</v>
      </c>
      <c r="AL473" s="42">
        <f>'1kpi_performance'!B473</f>
        <v>0.3384169969</v>
      </c>
      <c r="AM473" s="42">
        <f>'1kpi_performance'!C473</f>
        <v>0.4351932595</v>
      </c>
      <c r="AN473" s="42">
        <f>'1kpi_performance'!D473</f>
        <v>0.5054848355</v>
      </c>
      <c r="AO473" s="42">
        <f>'1kpi_performance'!E473</f>
        <v>0.08341272317</v>
      </c>
      <c r="AP473" s="42">
        <f>'1kpi_performance'!F473</f>
        <v>0.1685010229</v>
      </c>
      <c r="AQ473" s="42">
        <f>'1kpi_performance'!G473</f>
        <v>0.1730416821</v>
      </c>
      <c r="AR473" s="42">
        <f>'1kpi_performance'!H473</f>
        <v>0.1643647871</v>
      </c>
      <c r="AS473" s="42">
        <f>'1kpi_performance'!I473</f>
        <v>0.2512631538</v>
      </c>
      <c r="AT473" s="35">
        <f>'1kpi_performance'!J473</f>
        <v>1.860030233</v>
      </c>
      <c r="AU473" s="35">
        <f>'1kpi_performance'!K473</f>
        <v>2.370488164</v>
      </c>
      <c r="AV473" s="35">
        <f>'1kpi_performance'!L473</f>
        <v>2.92328329</v>
      </c>
      <c r="AW473" s="35">
        <f>'1kpi_performance'!M473</f>
        <v>0.2324762795</v>
      </c>
      <c r="AX473" s="42">
        <f>'1kpi_performance'!N473</f>
        <v>0.1138708839</v>
      </c>
      <c r="AY473" s="42">
        <f>'1kpi_performance'!O473</f>
        <v>0.1003295496</v>
      </c>
      <c r="AZ473" s="42">
        <f>'1kpi_performance'!P473</f>
        <v>0.1205966691</v>
      </c>
      <c r="BA473" s="42">
        <f>'1kpi_performance'!Q473</f>
        <v>0.4177854999</v>
      </c>
      <c r="BB473" s="35">
        <f>'1kpi_performance'!R473</f>
        <v>3.74798771</v>
      </c>
      <c r="BC473" s="35">
        <f>'1kpi_performance'!S473</f>
        <v>5.114844968</v>
      </c>
      <c r="BD473" s="35">
        <f>'1kpi_performance'!T473</f>
        <v>6.388045185</v>
      </c>
      <c r="BE473" s="35">
        <f>'1kpi_performance'!U473</f>
        <v>0.4461077906</v>
      </c>
      <c r="BF473" s="47"/>
      <c r="BG473" s="47"/>
      <c r="BH473" s="47"/>
      <c r="BI473" s="47"/>
      <c r="BJ473" s="47"/>
      <c r="BK473" s="47"/>
      <c r="BL473" s="47"/>
      <c r="BM473" s="47"/>
      <c r="BN473" s="47"/>
      <c r="BO473" s="47"/>
      <c r="BP473" s="47"/>
      <c r="BQ473" s="47"/>
      <c r="BR473" s="47"/>
      <c r="BS473" s="47"/>
      <c r="BT473" s="47"/>
    </row>
    <row r="474" ht="11.25" customHeight="1">
      <c r="A474" s="35" t="str">
        <f>'13all_company_profile'!A474</f>
        <v>PENN</v>
      </c>
      <c r="B474" s="35" t="str">
        <f>'13all_company_profile'!B474</f>
        <v>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v>
      </c>
      <c r="C474" s="44" t="str">
        <f>'13all_company_profile'!C474</f>
        <v>https://financialmodelingprep.com/image-stock/PENN.png</v>
      </c>
      <c r="D474" s="35" t="str">
        <f>'13all_company_profile'!D474</f>
        <v>Penn National Gaming, Inc.</v>
      </c>
      <c r="E474" s="36">
        <f>'13all_company_profile'!E474</f>
        <v>10762121216</v>
      </c>
      <c r="F474" s="37">
        <f>'13all_company_profile'!F474</f>
        <v>4492233</v>
      </c>
      <c r="G474" s="35">
        <f>'13all_company_profile'!G474</f>
        <v>0</v>
      </c>
      <c r="H474" s="38">
        <f>'13all_company_profile'!H474</f>
        <v>44412</v>
      </c>
      <c r="I474" s="35">
        <f>'13all_company_profile'!I474</f>
        <v>315.88513</v>
      </c>
      <c r="J474" s="35">
        <f>'13all_company_profile'!J474</f>
        <v>0.209</v>
      </c>
      <c r="K474" s="42" t="str">
        <f t="shared" si="1"/>
        <v>NaN</v>
      </c>
      <c r="L474" s="35">
        <f>'7company_info'!B474</f>
        <v>69.35</v>
      </c>
      <c r="M474" s="35">
        <f>'7company_info'!C474</f>
        <v>69.77</v>
      </c>
      <c r="N474" s="35">
        <f>'7company_info'!D474</f>
        <v>65.62</v>
      </c>
      <c r="O474" s="35">
        <f>'7company_info'!E474</f>
        <v>3</v>
      </c>
      <c r="P474" s="35">
        <f>'7company_info'!F474</f>
        <v>0.0452</v>
      </c>
      <c r="Q474" s="35">
        <f>'7company_info'!G474</f>
        <v>66.6</v>
      </c>
      <c r="R474" s="35">
        <f>'7company_info'!H474</f>
        <v>66.35</v>
      </c>
      <c r="S474" s="35">
        <f>'7company_info'!I474</f>
        <v>31.86</v>
      </c>
      <c r="T474" s="35">
        <f>'7company_info'!J474</f>
        <v>142</v>
      </c>
      <c r="U474" s="39">
        <v>69.19</v>
      </c>
      <c r="V474" s="39">
        <v>70.66</v>
      </c>
      <c r="W474" s="40">
        <v>73.07</v>
      </c>
      <c r="X474" s="40">
        <v>76.9499999999999</v>
      </c>
      <c r="Y474" s="40">
        <v>66.78</v>
      </c>
      <c r="Z474" s="40">
        <v>65.31</v>
      </c>
      <c r="AA474" s="40">
        <v>61.43</v>
      </c>
      <c r="AB474" s="40">
        <v>67.72</v>
      </c>
      <c r="AC474" s="40">
        <v>77.54</v>
      </c>
      <c r="AD474" s="40">
        <v>74.7954407689436</v>
      </c>
      <c r="AE474" s="40">
        <v>65.04982</v>
      </c>
      <c r="AF474" s="40">
        <v>2.87608999999999</v>
      </c>
      <c r="AG474" s="40">
        <v>142.0</v>
      </c>
      <c r="AH474" s="45">
        <v>44270.0</v>
      </c>
      <c r="AI474" s="44" t="str">
        <f>'6image_RS_benchmark_performance'!B474</f>
        <v>https://3arbzfbsh-cname-us.ngrok.io/Desktop/seabridge%20fintech/image_app/PENN_resistance_support.jpg</v>
      </c>
      <c r="AJ474" s="44" t="str">
        <f>'6image_RS_benchmark_performance'!C474</f>
        <v>https://3arbzfbsh-cname-us.ngrok.io/Desktop/seabridge%20fintech/profit_graph_app/PENN_Return.jpg</v>
      </c>
      <c r="AK474" s="46" t="str">
        <f>'5price_action_icon'!B474</f>
        <v>https://3arbzfbsh-cname-us.ngrok.io/Desktop/seabridge%20fintech/icon/PENN_pa_trend_signal</v>
      </c>
      <c r="AL474" s="42">
        <f>'1kpi_performance'!B474</f>
        <v>0.9352318879</v>
      </c>
      <c r="AM474" s="42">
        <f>'1kpi_performance'!C474</f>
        <v>1.428756548</v>
      </c>
      <c r="AN474" s="42">
        <f>'1kpi_performance'!D474</f>
        <v>0.9314153485</v>
      </c>
      <c r="AO474" s="42">
        <f>'1kpi_performance'!E474</f>
        <v>0.3333343513</v>
      </c>
      <c r="AP474" s="42">
        <f>'1kpi_performance'!F474</f>
        <v>0.373864922</v>
      </c>
      <c r="AQ474" s="42">
        <f>'1kpi_performance'!G474</f>
        <v>0.4373454718</v>
      </c>
      <c r="AR474" s="42">
        <f>'1kpi_performance'!H474</f>
        <v>0.3406241164</v>
      </c>
      <c r="AS474" s="42">
        <f>'1kpi_performance'!I474</f>
        <v>0.6106398774</v>
      </c>
      <c r="AT474" s="35">
        <f>'1kpi_performance'!J474</f>
        <v>2.434654428</v>
      </c>
      <c r="AU474" s="35">
        <f>'1kpi_performance'!K474</f>
        <v>3.209720092</v>
      </c>
      <c r="AV474" s="35">
        <f>'1kpi_performance'!L474</f>
        <v>2.661042789</v>
      </c>
      <c r="AW474" s="35">
        <f>'1kpi_performance'!M474</f>
        <v>0.5049364817</v>
      </c>
      <c r="AX474" s="42">
        <f>'1kpi_performance'!N474</f>
        <v>0.3752115342</v>
      </c>
      <c r="AY474" s="42">
        <f>'1kpi_performance'!O474</f>
        <v>0.3674450549</v>
      </c>
      <c r="AZ474" s="42">
        <f>'1kpi_performance'!P474</f>
        <v>0.3674450549</v>
      </c>
      <c r="BA474" s="42">
        <f>'1kpi_performance'!Q474</f>
        <v>0.881922675</v>
      </c>
      <c r="BB474" s="35">
        <f>'1kpi_performance'!R474</f>
        <v>5.505459459</v>
      </c>
      <c r="BC474" s="35">
        <f>'1kpi_performance'!S474</f>
        <v>7.8803431</v>
      </c>
      <c r="BD474" s="35">
        <f>'1kpi_performance'!T474</f>
        <v>6.089282448</v>
      </c>
      <c r="BE474" s="35">
        <f>'1kpi_performance'!U474</f>
        <v>0.9999073651</v>
      </c>
      <c r="BF474" s="47"/>
      <c r="BG474" s="47"/>
      <c r="BH474" s="47"/>
      <c r="BI474" s="47"/>
      <c r="BJ474" s="47"/>
      <c r="BK474" s="47"/>
      <c r="BL474" s="47"/>
      <c r="BM474" s="47"/>
      <c r="BN474" s="47"/>
      <c r="BO474" s="47"/>
      <c r="BP474" s="47"/>
      <c r="BQ474" s="47"/>
      <c r="BR474" s="47"/>
      <c r="BS474" s="47"/>
      <c r="BT474" s="47"/>
    </row>
    <row r="475" ht="11.25" customHeight="1">
      <c r="A475" s="35" t="str">
        <f>'13all_company_profile'!A475</f>
        <v>PEP</v>
      </c>
      <c r="B475" s="35" t="str">
        <f>'13all_company_profile'!B475</f>
        <v>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v>
      </c>
      <c r="C475" s="44" t="str">
        <f>'13all_company_profile'!C475</f>
        <v>https://financialmodelingprep.com/image-stock/PEP.png</v>
      </c>
      <c r="D475" s="35" t="str">
        <f>'13all_company_profile'!D475</f>
        <v>PepsiCo, Inc.</v>
      </c>
      <c r="E475" s="36">
        <f>'13all_company_profile'!E475</f>
        <v>214572564480</v>
      </c>
      <c r="F475" s="37">
        <f>'13all_company_profile'!F475</f>
        <v>5023620</v>
      </c>
      <c r="G475" s="35">
        <f>'13all_company_profile'!G475</f>
        <v>4.144</v>
      </c>
      <c r="H475" s="38" t="str">
        <f>'13all_company_profile'!H475</f>
        <v>not avaiable</v>
      </c>
      <c r="I475" s="35">
        <f>'13all_company_profile'!I475</f>
        <v>26.27153</v>
      </c>
      <c r="J475" s="35">
        <f>'13all_company_profile'!J475</f>
        <v>5.922</v>
      </c>
      <c r="K475" s="42">
        <f t="shared" si="1"/>
        <v>0.02659478886</v>
      </c>
      <c r="L475" s="35">
        <f>'7company_info'!B475</f>
        <v>155.82</v>
      </c>
      <c r="M475" s="35">
        <f>'7company_info'!C475</f>
        <v>157.33</v>
      </c>
      <c r="N475" s="35">
        <f>'7company_info'!D475</f>
        <v>155.56</v>
      </c>
      <c r="O475" s="35">
        <f>'7company_info'!E475</f>
        <v>0.02</v>
      </c>
      <c r="P475" s="35">
        <f>'7company_info'!F475</f>
        <v>0.0001</v>
      </c>
      <c r="Q475" s="35">
        <f>'7company_info'!G475</f>
        <v>156.2</v>
      </c>
      <c r="R475" s="35">
        <f>'7company_info'!H475</f>
        <v>155.8</v>
      </c>
      <c r="S475" s="35">
        <f>'7company_info'!I475</f>
        <v>128.32</v>
      </c>
      <c r="T475" s="35">
        <f>'7company_info'!J475</f>
        <v>157.54</v>
      </c>
      <c r="U475" s="39">
        <v>154.16</v>
      </c>
      <c r="V475" s="39">
        <v>155.519999999999</v>
      </c>
      <c r="W475" s="40">
        <v>156.499999999999</v>
      </c>
      <c r="X475" s="40">
        <v>158.839999999999</v>
      </c>
      <c r="Y475" s="40">
        <v>153.18</v>
      </c>
      <c r="Z475" s="40">
        <v>151.82</v>
      </c>
      <c r="AA475" s="40">
        <v>149.48</v>
      </c>
      <c r="AB475" s="40">
        <v>150.75</v>
      </c>
      <c r="AC475" s="40">
        <v>155.14</v>
      </c>
      <c r="AD475" s="40">
        <v>149.070886982626</v>
      </c>
      <c r="AE475" s="40">
        <v>149.52841</v>
      </c>
      <c r="AF475" s="40">
        <v>1.77804499999999</v>
      </c>
      <c r="AG475" s="40">
        <v>149.27</v>
      </c>
      <c r="AH475" s="45">
        <v>44363.0</v>
      </c>
      <c r="AI475" s="44" t="str">
        <f>'6image_RS_benchmark_performance'!B475</f>
        <v>https://3arbzfbsh-cname-us.ngrok.io/Desktop/seabridge%20fintech/image_app/PEP_resistance_support.jpg</v>
      </c>
      <c r="AJ475" s="44" t="str">
        <f>'6image_RS_benchmark_performance'!C475</f>
        <v>https://3arbzfbsh-cname-us.ngrok.io/Desktop/seabridge%20fintech/profit_graph_app/PEP_Return.jpg</v>
      </c>
      <c r="AK475" s="46" t="str">
        <f>'5price_action_icon'!B475</f>
        <v>https://3arbzfbsh-cname-us.ngrok.io/Desktop/seabridge%20fintech/icon/PEP_pa_trend_signal</v>
      </c>
      <c r="AL475" s="42">
        <f>'1kpi_performance'!B475</f>
        <v>0.3041858327</v>
      </c>
      <c r="AM475" s="42">
        <f>'1kpi_performance'!C475</f>
        <v>0.3285823267</v>
      </c>
      <c r="AN475" s="42">
        <f>'1kpi_performance'!D475</f>
        <v>0.3246427062</v>
      </c>
      <c r="AO475" s="42">
        <f>'1kpi_performance'!E475</f>
        <v>0.1229487407</v>
      </c>
      <c r="AP475" s="42">
        <f>'1kpi_performance'!F475</f>
        <v>0.1254154345</v>
      </c>
      <c r="AQ475" s="42">
        <f>'1kpi_performance'!G475</f>
        <v>0.1354112049</v>
      </c>
      <c r="AR475" s="42">
        <f>'1kpi_performance'!H475</f>
        <v>0.1576220703</v>
      </c>
      <c r="AS475" s="42">
        <f>'1kpi_performance'!I475</f>
        <v>0.2084302496</v>
      </c>
      <c r="AT475" s="35">
        <f>'1kpi_performance'!J475</f>
        <v>2.226088311</v>
      </c>
      <c r="AU475" s="35">
        <f>'1kpi_performance'!K475</f>
        <v>2.241929145</v>
      </c>
      <c r="AV475" s="35">
        <f>'1kpi_performance'!L475</f>
        <v>1.901019988</v>
      </c>
      <c r="AW475" s="35">
        <f>'1kpi_performance'!M475</f>
        <v>0.4699353425</v>
      </c>
      <c r="AX475" s="42">
        <f>'1kpi_performance'!N475</f>
        <v>0.07719526574</v>
      </c>
      <c r="AY475" s="42">
        <f>'1kpi_performance'!O475</f>
        <v>0.0862087754</v>
      </c>
      <c r="AZ475" s="42">
        <f>'1kpi_performance'!P475</f>
        <v>0.2701032376</v>
      </c>
      <c r="BA475" s="42">
        <f>'1kpi_performance'!Q475</f>
        <v>0.2929450983</v>
      </c>
      <c r="BB475" s="35">
        <f>'1kpi_performance'!R475</f>
        <v>4.883682381</v>
      </c>
      <c r="BC475" s="35">
        <f>'1kpi_performance'!S475</f>
        <v>4.921269871</v>
      </c>
      <c r="BD475" s="35">
        <f>'1kpi_performance'!T475</f>
        <v>3.661892242</v>
      </c>
      <c r="BE475" s="35">
        <f>'1kpi_performance'!U475</f>
        <v>0.8998002136</v>
      </c>
      <c r="BF475" s="47"/>
      <c r="BG475" s="47"/>
      <c r="BH475" s="47"/>
      <c r="BI475" s="47"/>
      <c r="BJ475" s="47"/>
      <c r="BK475" s="47"/>
      <c r="BL475" s="47"/>
      <c r="BM475" s="47"/>
      <c r="BN475" s="47"/>
      <c r="BO475" s="47"/>
      <c r="BP475" s="47"/>
      <c r="BQ475" s="47"/>
      <c r="BR475" s="47"/>
      <c r="BS475" s="47"/>
      <c r="BT475" s="47"/>
    </row>
    <row r="476" ht="11.25" customHeight="1">
      <c r="A476" s="35" t="str">
        <f>'13all_company_profile'!A476</f>
        <v>PFE</v>
      </c>
      <c r="B476" s="35" t="str">
        <f>'13all_company_profile'!B476</f>
        <v>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v>
      </c>
      <c r="C476" s="44" t="str">
        <f>'13all_company_profile'!C476</f>
        <v>https://financialmodelingprep.com/image-stock/PFE.png</v>
      </c>
      <c r="D476" s="35" t="str">
        <f>'13all_company_profile'!D476</f>
        <v>Pfizer Inc.</v>
      </c>
      <c r="E476" s="36">
        <f>'13all_company_profile'!E476</f>
        <v>224411385856</v>
      </c>
      <c r="F476" s="37">
        <f>'13all_company_profile'!F476</f>
        <v>25498614</v>
      </c>
      <c r="G476" s="35">
        <f>'13all_company_profile'!G476</f>
        <v>1.891062</v>
      </c>
      <c r="H476" s="38">
        <f>'13all_company_profile'!H476</f>
        <v>44405</v>
      </c>
      <c r="I476" s="35">
        <f>'13all_company_profile'!I476</f>
        <v>20.422998</v>
      </c>
      <c r="J476" s="35">
        <f>'13all_company_profile'!J476</f>
        <v>1.974</v>
      </c>
      <c r="K476" s="42">
        <f t="shared" si="1"/>
        <v>0.0460672838</v>
      </c>
      <c r="L476" s="35">
        <f>'7company_info'!B476</f>
        <v>41.05</v>
      </c>
      <c r="M476" s="35">
        <f>'7company_info'!C476</f>
        <v>41.71</v>
      </c>
      <c r="N476" s="35">
        <f>'7company_info'!D476</f>
        <v>40.2</v>
      </c>
      <c r="O476" s="35">
        <f>'7company_info'!E476</f>
        <v>0.9</v>
      </c>
      <c r="P476" s="35">
        <f>'7company_info'!F476</f>
        <v>0.0224</v>
      </c>
      <c r="Q476" s="35">
        <f>'7company_info'!G476</f>
        <v>40.25</v>
      </c>
      <c r="R476" s="35">
        <f>'7company_info'!H476</f>
        <v>40.15</v>
      </c>
      <c r="S476" s="35">
        <f>'7company_info'!I476</f>
        <v>32.8</v>
      </c>
      <c r="T476" s="35">
        <f>'7company_info'!J476</f>
        <v>43.08</v>
      </c>
      <c r="U476" s="39">
        <v>39.8783333333333</v>
      </c>
      <c r="V476" s="39">
        <v>40.0966666666666</v>
      </c>
      <c r="W476" s="40">
        <v>40.2433333333333</v>
      </c>
      <c r="X476" s="40">
        <v>40.6083333333333</v>
      </c>
      <c r="Y476" s="40">
        <v>39.7316666666666</v>
      </c>
      <c r="Z476" s="40">
        <v>39.5133333333333</v>
      </c>
      <c r="AA476" s="40">
        <v>39.1483333333333</v>
      </c>
      <c r="AB476" s="40">
        <v>39.66</v>
      </c>
      <c r="AC476" s="40">
        <v>39.405</v>
      </c>
      <c r="AD476" s="40">
        <v>39.4590849770896</v>
      </c>
      <c r="AE476" s="40">
        <v>38.62851</v>
      </c>
      <c r="AF476" s="40">
        <v>0.506994999999999</v>
      </c>
      <c r="AG476" s="40">
        <v>41.09</v>
      </c>
      <c r="AH476" s="45">
        <v>44321.0</v>
      </c>
      <c r="AI476" s="44" t="str">
        <f>'6image_RS_benchmark_performance'!B476</f>
        <v>https://3arbzfbsh-cname-us.ngrok.io/Desktop/seabridge%20fintech/image_app/PFE_resistance_support.jpg</v>
      </c>
      <c r="AJ476" s="44" t="str">
        <f>'6image_RS_benchmark_performance'!C476</f>
        <v>https://3arbzfbsh-cname-us.ngrok.io/Desktop/seabridge%20fintech/profit_graph_app/PFE_Return.jpg</v>
      </c>
      <c r="AK476" s="46" t="str">
        <f>'5price_action_icon'!B476</f>
        <v>https://3arbzfbsh-cname-us.ngrok.io/Desktop/seabridge%20fintech/icon/PFE_pa_trend_signal</v>
      </c>
      <c r="AL476" s="42">
        <f>'1kpi_performance'!B476</f>
        <v>0.3784246543</v>
      </c>
      <c r="AM476" s="42">
        <f>'1kpi_performance'!C476</f>
        <v>0.4543756132</v>
      </c>
      <c r="AN476" s="42">
        <f>'1kpi_performance'!D476</f>
        <v>0.330859292</v>
      </c>
      <c r="AO476" s="42">
        <f>'1kpi_performance'!E476</f>
        <v>0.1026390121</v>
      </c>
      <c r="AP476" s="42">
        <f>'1kpi_performance'!F476</f>
        <v>0.1778731807</v>
      </c>
      <c r="AQ476" s="42">
        <f>'1kpi_performance'!G476</f>
        <v>0.1733286292</v>
      </c>
      <c r="AR476" s="42">
        <f>'1kpi_performance'!H476</f>
        <v>0.1793774201</v>
      </c>
      <c r="AS476" s="42">
        <f>'1kpi_performance'!I476</f>
        <v>0.2439287373</v>
      </c>
      <c r="AT476" s="35">
        <f>'1kpi_performance'!J476</f>
        <v>1.986947402</v>
      </c>
      <c r="AU476" s="35">
        <f>'1kpi_performance'!K476</f>
        <v>2.477234229</v>
      </c>
      <c r="AV476" s="35">
        <f>'1kpi_performance'!L476</f>
        <v>1.705115905</v>
      </c>
      <c r="AW476" s="35">
        <f>'1kpi_performance'!M476</f>
        <v>0.318285631</v>
      </c>
      <c r="AX476" s="42">
        <f>'1kpi_performance'!N476</f>
        <v>0.1705689998</v>
      </c>
      <c r="AY476" s="42">
        <f>'1kpi_performance'!O476</f>
        <v>0.1475524498</v>
      </c>
      <c r="AZ476" s="42">
        <f>'1kpi_performance'!P476</f>
        <v>0.2173057472</v>
      </c>
      <c r="BA476" s="42">
        <f>'1kpi_performance'!Q476</f>
        <v>0.3837330029</v>
      </c>
      <c r="BB476" s="35">
        <f>'1kpi_performance'!R476</f>
        <v>4.22575044</v>
      </c>
      <c r="BC476" s="35">
        <f>'1kpi_performance'!S476</f>
        <v>5.722281363</v>
      </c>
      <c r="BD476" s="35">
        <f>'1kpi_performance'!T476</f>
        <v>3.41084248</v>
      </c>
      <c r="BE476" s="35">
        <f>'1kpi_performance'!U476</f>
        <v>0.63409449</v>
      </c>
      <c r="BF476" s="47"/>
      <c r="BG476" s="47"/>
      <c r="BH476" s="47"/>
      <c r="BI476" s="47"/>
      <c r="BJ476" s="47"/>
      <c r="BK476" s="47"/>
      <c r="BL476" s="47"/>
      <c r="BM476" s="47"/>
      <c r="BN476" s="47"/>
      <c r="BO476" s="47"/>
      <c r="BP476" s="47"/>
      <c r="BQ476" s="47"/>
      <c r="BR476" s="47"/>
      <c r="BS476" s="47"/>
      <c r="BT476" s="47"/>
    </row>
    <row r="477" ht="11.25" customHeight="1">
      <c r="A477" s="35" t="str">
        <f>'13all_company_profile'!A477</f>
        <v>PFF</v>
      </c>
      <c r="B477" s="35" t="str">
        <f>'13all_company_profile'!B477</f>
        <v>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v>
      </c>
      <c r="C477" s="44" t="str">
        <f>'13all_company_profile'!C477</f>
        <v>https://financialmodelingprep.com/image-stock/PFF.png</v>
      </c>
      <c r="D477" s="35" t="str">
        <f>'13all_company_profile'!D477</f>
        <v>iShares Preferred and Income Securities ETF</v>
      </c>
      <c r="E477" s="36">
        <f>'13all_company_profile'!E477</f>
        <v>16378132480</v>
      </c>
      <c r="F477" s="37">
        <f>'13all_company_profile'!F477</f>
        <v>3447195</v>
      </c>
      <c r="G477" s="35">
        <f>'13all_company_profile'!G477</f>
        <v>1.446</v>
      </c>
      <c r="H477" s="38" t="str">
        <f>'13all_company_profile'!H477</f>
        <v>not avaiable</v>
      </c>
      <c r="I477" s="35">
        <f>'13all_company_profile'!I477</f>
        <v>4.8512273</v>
      </c>
      <c r="J477" s="35">
        <f>'13all_company_profile'!J477</f>
        <v>8.066</v>
      </c>
      <c r="K477" s="42">
        <f t="shared" si="1"/>
        <v>0.03702944942</v>
      </c>
      <c r="L477" s="35">
        <f>'7company_info'!B477</f>
        <v>39.05</v>
      </c>
      <c r="M477" s="35">
        <f>'7company_info'!C477</f>
        <v>39.1</v>
      </c>
      <c r="N477" s="35">
        <f>'7company_info'!D477</f>
        <v>38.85</v>
      </c>
      <c r="O477" s="35">
        <f>'7company_info'!E477</f>
        <v>0.22</v>
      </c>
      <c r="P477" s="35">
        <f>'7company_info'!F477</f>
        <v>0.0057</v>
      </c>
      <c r="Q477" s="35">
        <f>'7company_info'!G477</f>
        <v>38.9</v>
      </c>
      <c r="R477" s="35">
        <f>'7company_info'!H477</f>
        <v>38.83</v>
      </c>
      <c r="S477" s="35">
        <f>'7company_info'!I477</f>
        <v>35.26</v>
      </c>
      <c r="T477" s="35">
        <f>'7company_info'!J477</f>
        <v>39.38</v>
      </c>
      <c r="U477" s="39">
        <v>39.165</v>
      </c>
      <c r="V477" s="39">
        <v>39.215</v>
      </c>
      <c r="W477" s="40">
        <v>39.26</v>
      </c>
      <c r="X477" s="40">
        <v>39.355</v>
      </c>
      <c r="Y477" s="40">
        <v>39.12</v>
      </c>
      <c r="Z477" s="40">
        <v>39.07</v>
      </c>
      <c r="AA477" s="40">
        <v>38.975</v>
      </c>
      <c r="AB477" s="40">
        <v>39.06</v>
      </c>
      <c r="AC477" s="40">
        <v>39.38</v>
      </c>
      <c r="AD477" s="40">
        <v>39.1554495982107</v>
      </c>
      <c r="AE477" s="40">
        <v>38.86971</v>
      </c>
      <c r="AF477" s="40">
        <v>0.139894999999999</v>
      </c>
      <c r="AG477" s="40">
        <v>39.38</v>
      </c>
      <c r="AH477" s="45">
        <v>44384.0</v>
      </c>
      <c r="AI477" s="44" t="str">
        <f>'6image_RS_benchmark_performance'!B477</f>
        <v>https://3arbzfbsh-cname-us.ngrok.io/Desktop/seabridge%20fintech/image_app/PFF_resistance_support.jpg</v>
      </c>
      <c r="AJ477" s="44" t="str">
        <f>'6image_RS_benchmark_performance'!C477</f>
        <v>https://3arbzfbsh-cname-us.ngrok.io/Desktop/seabridge%20fintech/profit_graph_app/PFF_Return.jpg</v>
      </c>
      <c r="AK477" s="46" t="str">
        <f>'5price_action_icon'!B477</f>
        <v>https://3arbzfbsh-cname-us.ngrok.io/Desktop/seabridge%20fintech/icon/PFF_pa_trend_signal</v>
      </c>
      <c r="AL477" s="42">
        <f>'1kpi_performance'!B477</f>
        <v>0.1281576569</v>
      </c>
      <c r="AM477" s="42">
        <f>'1kpi_performance'!C477</f>
        <v>0.1765878611</v>
      </c>
      <c r="AN477" s="42">
        <f>'1kpi_performance'!D477</f>
        <v>0.1316357053</v>
      </c>
      <c r="AO477" s="42">
        <f>'1kpi_performance'!E477</f>
        <v>0.004744657971</v>
      </c>
      <c r="AP477" s="42">
        <f>'1kpi_performance'!F477</f>
        <v>0.06773559103</v>
      </c>
      <c r="AQ477" s="42">
        <f>'1kpi_performance'!G477</f>
        <v>0.06880220378</v>
      </c>
      <c r="AR477" s="42">
        <f>'1kpi_performance'!H477</f>
        <v>0.07622929379</v>
      </c>
      <c r="AS477" s="42">
        <f>'1kpi_performance'!I477</f>
        <v>0.139877695</v>
      </c>
      <c r="AT477" s="35">
        <f>'1kpi_performance'!J477</f>
        <v>1.522946139</v>
      </c>
      <c r="AU477" s="35">
        <f>'1kpi_performance'!K477</f>
        <v>2.203241361</v>
      </c>
      <c r="AV477" s="35">
        <f>'1kpi_performance'!L477</f>
        <v>1.398880929</v>
      </c>
      <c r="AW477" s="35">
        <f>'1kpi_performance'!M477</f>
        <v>-0.1448075194</v>
      </c>
      <c r="AX477" s="42">
        <f>'1kpi_performance'!N477</f>
        <v>0.07319332922</v>
      </c>
      <c r="AY477" s="42">
        <f>'1kpi_performance'!O477</f>
        <v>0.07319332922</v>
      </c>
      <c r="AZ477" s="42">
        <f>'1kpi_performance'!P477</f>
        <v>0.1506705496</v>
      </c>
      <c r="BA477" s="42">
        <f>'1kpi_performance'!Q477</f>
        <v>0.3882123721</v>
      </c>
      <c r="BB477" s="35">
        <f>'1kpi_performance'!R477</f>
        <v>3.198375722</v>
      </c>
      <c r="BC477" s="35">
        <f>'1kpi_performance'!S477</f>
        <v>5.09884654</v>
      </c>
      <c r="BD477" s="35">
        <f>'1kpi_performance'!T477</f>
        <v>2.518345867</v>
      </c>
      <c r="BE477" s="35">
        <f>'1kpi_performance'!U477</f>
        <v>-0.2277791828</v>
      </c>
      <c r="BF477" s="47"/>
      <c r="BG477" s="47"/>
      <c r="BH477" s="47"/>
      <c r="BI477" s="47"/>
      <c r="BJ477" s="47"/>
      <c r="BK477" s="47"/>
      <c r="BL477" s="47"/>
      <c r="BM477" s="47"/>
      <c r="BN477" s="47"/>
      <c r="BO477" s="47"/>
      <c r="BP477" s="47"/>
      <c r="BQ477" s="47"/>
      <c r="BR477" s="47"/>
      <c r="BS477" s="47"/>
      <c r="BT477" s="47"/>
    </row>
    <row r="478" ht="11.25" customHeight="1">
      <c r="A478" s="35" t="str">
        <f>'13all_company_profile'!A478</f>
        <v>PFG</v>
      </c>
      <c r="B478" s="35" t="str">
        <f>'13all_company_profile'!B478</f>
        <v>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v>
      </c>
      <c r="C478" s="44" t="str">
        <f>'13all_company_profile'!C478</f>
        <v>https://financialmodelingprep.com/image-stock/PFG.png</v>
      </c>
      <c r="D478" s="35" t="str">
        <f>'13all_company_profile'!D478</f>
        <v>Principal Financial Group, Inc.</v>
      </c>
      <c r="E478" s="36">
        <f>'13all_company_profile'!E478</f>
        <v>16755938304</v>
      </c>
      <c r="F478" s="37">
        <f>'13all_company_profile'!F478</f>
        <v>1339584</v>
      </c>
      <c r="G478" s="35">
        <f>'13all_company_profile'!G478</f>
        <v>2.29</v>
      </c>
      <c r="H478" s="38">
        <f>'13all_company_profile'!H478</f>
        <v>44404</v>
      </c>
      <c r="I478" s="35">
        <f>'13all_company_profile'!I478</f>
        <v>10.358843</v>
      </c>
      <c r="J478" s="35">
        <f>'13all_company_profile'!J478</f>
        <v>5.88</v>
      </c>
      <c r="K478" s="42">
        <f t="shared" si="1"/>
        <v>0.03719343836</v>
      </c>
      <c r="L478" s="35">
        <f>'7company_info'!B478</f>
        <v>61.57</v>
      </c>
      <c r="M478" s="35">
        <f>'7company_info'!C478</f>
        <v>61.91</v>
      </c>
      <c r="N478" s="35">
        <f>'7company_info'!D478</f>
        <v>58.87</v>
      </c>
      <c r="O478" s="35">
        <f>'7company_info'!E478</f>
        <v>2.37</v>
      </c>
      <c r="P478" s="35">
        <f>'7company_info'!F478</f>
        <v>0.04</v>
      </c>
      <c r="Q478" s="35">
        <f>'7company_info'!G478</f>
        <v>58.87</v>
      </c>
      <c r="R478" s="35">
        <f>'7company_info'!H478</f>
        <v>59.2</v>
      </c>
      <c r="S478" s="35">
        <f>'7company_info'!I478</f>
        <v>37.03</v>
      </c>
      <c r="T478" s="35">
        <f>'7company_info'!J478</f>
        <v>67.97</v>
      </c>
      <c r="U478" s="39">
        <v>61.4966666666666</v>
      </c>
      <c r="V478" s="39">
        <v>62.3033333333333</v>
      </c>
      <c r="W478" s="40">
        <v>63.1966666666666</v>
      </c>
      <c r="X478" s="40">
        <v>64.8966666666666</v>
      </c>
      <c r="Y478" s="40">
        <v>60.6033333333333</v>
      </c>
      <c r="Z478" s="40">
        <v>59.7966666666666</v>
      </c>
      <c r="AA478" s="40">
        <v>58.0966666666666</v>
      </c>
      <c r="AB478" s="40">
        <v>60.685</v>
      </c>
      <c r="AC478" s="40">
        <v>62.39</v>
      </c>
      <c r="AD478" s="40">
        <v>62.5685892433085</v>
      </c>
      <c r="AE478" s="40">
        <v>58.22114</v>
      </c>
      <c r="AF478" s="40">
        <v>1.63143</v>
      </c>
      <c r="AG478" s="40">
        <v>67.97</v>
      </c>
      <c r="AH478" s="45">
        <v>44326.0</v>
      </c>
      <c r="AI478" s="44" t="str">
        <f>'6image_RS_benchmark_performance'!B478</f>
        <v>https://3arbzfbsh-cname-us.ngrok.io/Desktop/seabridge%20fintech/image_app/PFG_resistance_support.jpg</v>
      </c>
      <c r="AJ478" s="44" t="str">
        <f>'6image_RS_benchmark_performance'!C478</f>
        <v>https://3arbzfbsh-cname-us.ngrok.io/Desktop/seabridge%20fintech/profit_graph_app/PFG_Return.jpg</v>
      </c>
      <c r="AK478" s="46" t="str">
        <f>'5price_action_icon'!B478</f>
        <v>https://3arbzfbsh-cname-us.ngrok.io/Desktop/seabridge%20fintech/icon/PFG_pa_trend_signal</v>
      </c>
      <c r="AL478" s="42">
        <f>'1kpi_performance'!B478</f>
        <v>0.5635807506</v>
      </c>
      <c r="AM478" s="42">
        <f>'1kpi_performance'!C478</f>
        <v>0.8417163721</v>
      </c>
      <c r="AN478" s="42">
        <f>'1kpi_performance'!D478</f>
        <v>0.6421426735</v>
      </c>
      <c r="AO478" s="42">
        <f>'1kpi_performance'!E478</f>
        <v>0.12531661</v>
      </c>
      <c r="AP478" s="42">
        <f>'1kpi_performance'!F478</f>
        <v>0.2619649315</v>
      </c>
      <c r="AQ478" s="42">
        <f>'1kpi_performance'!G478</f>
        <v>0.2607950106</v>
      </c>
      <c r="AR478" s="42">
        <f>'1kpi_performance'!H478</f>
        <v>0.255177328</v>
      </c>
      <c r="AS478" s="42">
        <f>'1kpi_performance'!I478</f>
        <v>0.3997688933</v>
      </c>
      <c r="AT478" s="35">
        <f>'1kpi_performance'!J478</f>
        <v>2.055926904</v>
      </c>
      <c r="AU478" s="35">
        <f>'1kpi_performance'!K478</f>
        <v>3.131641094</v>
      </c>
      <c r="AV478" s="35">
        <f>'1kpi_performance'!L478</f>
        <v>2.418485523</v>
      </c>
      <c r="AW478" s="35">
        <f>'1kpi_performance'!M478</f>
        <v>0.2509365077</v>
      </c>
      <c r="AX478" s="42">
        <f>'1kpi_performance'!N478</f>
        <v>0.2197932053</v>
      </c>
      <c r="AY478" s="42">
        <f>'1kpi_performance'!O478</f>
        <v>0.2197932053</v>
      </c>
      <c r="AZ478" s="42">
        <f>'1kpi_performance'!P478</f>
        <v>0.3005009454</v>
      </c>
      <c r="BA478" s="42">
        <f>'1kpi_performance'!Q478</f>
        <v>0.6780383795</v>
      </c>
      <c r="BB478" s="35">
        <f>'1kpi_performance'!R478</f>
        <v>4.20318864</v>
      </c>
      <c r="BC478" s="35">
        <f>'1kpi_performance'!S478</f>
        <v>6.933640166</v>
      </c>
      <c r="BD478" s="35">
        <f>'1kpi_performance'!T478</f>
        <v>5.028913988</v>
      </c>
      <c r="BE478" s="35">
        <f>'1kpi_performance'!U478</f>
        <v>0.4784492089</v>
      </c>
      <c r="BF478" s="47"/>
      <c r="BG478" s="47"/>
      <c r="BH478" s="47"/>
      <c r="BI478" s="47"/>
      <c r="BJ478" s="47"/>
      <c r="BK478" s="47"/>
      <c r="BL478" s="47"/>
      <c r="BM478" s="47"/>
      <c r="BN478" s="47"/>
      <c r="BO478" s="47"/>
      <c r="BP478" s="47"/>
      <c r="BQ478" s="47"/>
      <c r="BR478" s="47"/>
      <c r="BS478" s="47"/>
      <c r="BT478" s="47"/>
    </row>
    <row r="479" ht="11.25" customHeight="1">
      <c r="A479" s="35" t="str">
        <f>'13all_company_profile'!A479</f>
        <v>PG</v>
      </c>
      <c r="B479" s="35" t="str">
        <f>'13all_company_profile'!B479</f>
        <v>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v>
      </c>
      <c r="C479" s="44" t="str">
        <f>'13all_company_profile'!C479</f>
        <v>https://financialmodelingprep.com/image-stock/PG.png</v>
      </c>
      <c r="D479" s="35" t="str">
        <f>'13all_company_profile'!D479</f>
        <v>The Procter &amp; Gamble Company</v>
      </c>
      <c r="E479" s="36">
        <f>'13all_company_profile'!E479</f>
        <v>340695678976</v>
      </c>
      <c r="F479" s="37">
        <f>'13all_company_profile'!F479</f>
        <v>8531276</v>
      </c>
      <c r="G479" s="35">
        <f>'13all_company_profile'!G479</f>
        <v>3.2428</v>
      </c>
      <c r="H479" s="38">
        <f>'13all_company_profile'!H479</f>
        <v>44407</v>
      </c>
      <c r="I479" s="35">
        <f>'13all_company_profile'!I479</f>
        <v>25.835632</v>
      </c>
      <c r="J479" s="35">
        <f>'13all_company_profile'!J479</f>
        <v>5.439</v>
      </c>
      <c r="K479" s="42">
        <f t="shared" si="1"/>
        <v>0.02321426015</v>
      </c>
      <c r="L479" s="35">
        <f>'7company_info'!B479</f>
        <v>139.69</v>
      </c>
      <c r="M479" s="35">
        <f>'7company_info'!C479</f>
        <v>141.98</v>
      </c>
      <c r="N479" s="35">
        <f>'7company_info'!D479</f>
        <v>139.64</v>
      </c>
      <c r="O479" s="35">
        <f>'7company_info'!E479</f>
        <v>-0.75</v>
      </c>
      <c r="P479" s="35">
        <f>'7company_info'!F479</f>
        <v>-0.0053</v>
      </c>
      <c r="Q479" s="35">
        <f>'7company_info'!G479</f>
        <v>140.44</v>
      </c>
      <c r="R479" s="35">
        <f>'7company_info'!H479</f>
        <v>140.44</v>
      </c>
      <c r="S479" s="35">
        <f>'7company_info'!I479</f>
        <v>121.54</v>
      </c>
      <c r="T479" s="35">
        <f>'7company_info'!J479</f>
        <v>146.92</v>
      </c>
      <c r="U479" s="39">
        <v>137.525</v>
      </c>
      <c r="V479" s="39">
        <v>138.68</v>
      </c>
      <c r="W479" s="40">
        <v>139.38</v>
      </c>
      <c r="X479" s="40">
        <v>141.235</v>
      </c>
      <c r="Y479" s="40">
        <v>136.825</v>
      </c>
      <c r="Z479" s="40">
        <v>135.67</v>
      </c>
      <c r="AA479" s="40">
        <v>133.815</v>
      </c>
      <c r="AB479" s="40">
        <v>136.03</v>
      </c>
      <c r="AC479" s="40">
        <v>136.635</v>
      </c>
      <c r="AD479" s="40">
        <v>135.841453667783</v>
      </c>
      <c r="AE479" s="40">
        <v>134.1409</v>
      </c>
      <c r="AF479" s="40">
        <v>1.4528</v>
      </c>
      <c r="AG479" s="40">
        <v>139.1</v>
      </c>
      <c r="AH479" s="45">
        <v>44330.0</v>
      </c>
      <c r="AI479" s="44" t="str">
        <f>'6image_RS_benchmark_performance'!B479</f>
        <v>https://3arbzfbsh-cname-us.ngrok.io/Desktop/seabridge%20fintech/image_app/PG_resistance_support.jpg</v>
      </c>
      <c r="AJ479" s="44" t="str">
        <f>'6image_RS_benchmark_performance'!C479</f>
        <v>https://3arbzfbsh-cname-us.ngrok.io/Desktop/seabridge%20fintech/profit_graph_app/PG_Return.jpg</v>
      </c>
      <c r="AK479" s="46" t="str">
        <f>'5price_action_icon'!B479</f>
        <v>https://3arbzfbsh-cname-us.ngrok.io/Desktop/seabridge%20fintech/icon/PG_pa_trend_signal</v>
      </c>
      <c r="AL479" s="42">
        <f>'1kpi_performance'!B479</f>
        <v>0.3494547241</v>
      </c>
      <c r="AM479" s="42">
        <f>'1kpi_performance'!C479</f>
        <v>0.3710542564</v>
      </c>
      <c r="AN479" s="42">
        <f>'1kpi_performance'!D479</f>
        <v>0.2784684578</v>
      </c>
      <c r="AO479" s="42">
        <f>'1kpi_performance'!E479</f>
        <v>0.1097158336</v>
      </c>
      <c r="AP479" s="42">
        <f>'1kpi_performance'!F479</f>
        <v>0.1311611948</v>
      </c>
      <c r="AQ479" s="42">
        <f>'1kpi_performance'!G479</f>
        <v>0.1459440097</v>
      </c>
      <c r="AR479" s="42">
        <f>'1kpi_performance'!H479</f>
        <v>0.1552675189</v>
      </c>
      <c r="AS479" s="42">
        <f>'1kpi_performance'!I479</f>
        <v>0.205772291</v>
      </c>
      <c r="AT479" s="35">
        <f>'1kpi_performance'!J479</f>
        <v>2.473709733</v>
      </c>
      <c r="AU479" s="35">
        <f>'1kpi_performance'!K479</f>
        <v>2.371143955</v>
      </c>
      <c r="AV479" s="35">
        <f>'1kpi_performance'!L479</f>
        <v>1.632462859</v>
      </c>
      <c r="AW479" s="35">
        <f>'1kpi_performance'!M479</f>
        <v>0.4116969935</v>
      </c>
      <c r="AX479" s="42">
        <f>'1kpi_performance'!N479</f>
        <v>0.06281024742</v>
      </c>
      <c r="AY479" s="42">
        <f>'1kpi_performance'!O479</f>
        <v>0.1591156835</v>
      </c>
      <c r="AZ479" s="42">
        <f>'1kpi_performance'!P479</f>
        <v>0.2152610442</v>
      </c>
      <c r="BA479" s="42">
        <f>'1kpi_performance'!Q479</f>
        <v>0.271774021</v>
      </c>
      <c r="BB479" s="35">
        <f>'1kpi_performance'!R479</f>
        <v>5.53752199</v>
      </c>
      <c r="BC479" s="35">
        <f>'1kpi_performance'!S479</f>
        <v>5.203309218</v>
      </c>
      <c r="BD479" s="35">
        <f>'1kpi_performance'!T479</f>
        <v>3.255388992</v>
      </c>
      <c r="BE479" s="35">
        <f>'1kpi_performance'!U479</f>
        <v>0.8042457911</v>
      </c>
      <c r="BF479" s="47"/>
      <c r="BG479" s="47"/>
      <c r="BH479" s="47"/>
      <c r="BI479" s="47"/>
      <c r="BJ479" s="47"/>
      <c r="BK479" s="47"/>
      <c r="BL479" s="47"/>
      <c r="BM479" s="47"/>
      <c r="BN479" s="47"/>
      <c r="BO479" s="47"/>
      <c r="BP479" s="47"/>
      <c r="BQ479" s="47"/>
      <c r="BR479" s="47"/>
      <c r="BS479" s="47"/>
      <c r="BT479" s="47"/>
    </row>
    <row r="480" ht="11.25" customHeight="1">
      <c r="A480" s="35" t="str">
        <f>'13all_company_profile'!A480</f>
        <v>PGR</v>
      </c>
      <c r="B480" s="35" t="str">
        <f>'13all_company_profile'!B480</f>
        <v>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v>
      </c>
      <c r="C480" s="44" t="str">
        <f>'13all_company_profile'!C480</f>
        <v>https://financialmodelingprep.com/image-stock/PGR.png</v>
      </c>
      <c r="D480" s="35" t="str">
        <f>'13all_company_profile'!D480</f>
        <v>The Progressive Corporation</v>
      </c>
      <c r="E480" s="36">
        <f>'13all_company_profile'!E480</f>
        <v>55615201280</v>
      </c>
      <c r="F480" s="37">
        <f>'13all_company_profile'!F480</f>
        <v>2904031</v>
      </c>
      <c r="G480" s="35">
        <f>'13all_company_profile'!G480</f>
        <v>4.9</v>
      </c>
      <c r="H480" s="38" t="str">
        <f>'13all_company_profile'!H480</f>
        <v>not avaiable</v>
      </c>
      <c r="I480" s="35">
        <f>'13all_company_profile'!I480</f>
        <v>10.330427</v>
      </c>
      <c r="J480" s="35">
        <f>'13all_company_profile'!J480</f>
        <v>9.291</v>
      </c>
      <c r="K480" s="42">
        <f t="shared" si="1"/>
        <v>0.05189578479</v>
      </c>
      <c r="L480" s="35">
        <f>'7company_info'!B480</f>
        <v>94.42</v>
      </c>
      <c r="M480" s="35">
        <f>'7company_info'!C480</f>
        <v>96</v>
      </c>
      <c r="N480" s="35">
        <f>'7company_info'!D480</f>
        <v>94.04</v>
      </c>
      <c r="O480" s="35">
        <f>'7company_info'!E480</f>
        <v>-0.15</v>
      </c>
      <c r="P480" s="35">
        <f>'7company_info'!F480</f>
        <v>-0.0016</v>
      </c>
      <c r="Q480" s="35">
        <f>'7company_info'!G480</f>
        <v>94.83</v>
      </c>
      <c r="R480" s="35">
        <f>'7company_info'!H480</f>
        <v>94.57</v>
      </c>
      <c r="S480" s="35">
        <f>'7company_info'!I480</f>
        <v>84.89</v>
      </c>
      <c r="T480" s="35">
        <f>'7company_info'!J480</f>
        <v>107.59</v>
      </c>
      <c r="U480" s="39">
        <v>97.5714666666666</v>
      </c>
      <c r="V480" s="39">
        <v>98.4985333333333</v>
      </c>
      <c r="W480" s="40">
        <v>99.5470666666666</v>
      </c>
      <c r="X480" s="40">
        <v>101.522666666666</v>
      </c>
      <c r="Y480" s="40">
        <v>96.5229333333333</v>
      </c>
      <c r="Z480" s="40">
        <v>95.5958666666666</v>
      </c>
      <c r="AA480" s="40">
        <v>93.6202666666666</v>
      </c>
      <c r="AB480" s="40">
        <v>96.6444</v>
      </c>
      <c r="AC480" s="40">
        <v>96.25</v>
      </c>
      <c r="AD480" s="40">
        <v>97.7128148128428</v>
      </c>
      <c r="AE480" s="40">
        <v>94.41059</v>
      </c>
      <c r="AF480" s="40">
        <v>1.697735</v>
      </c>
      <c r="AG480" s="40">
        <v>107.585</v>
      </c>
      <c r="AH480" s="45">
        <v>44330.0</v>
      </c>
      <c r="AI480" s="44" t="str">
        <f>'6image_RS_benchmark_performance'!B480</f>
        <v>https://3arbzfbsh-cname-us.ngrok.io/Desktop/seabridge%20fintech/image_app/PGR_resistance_support.jpg</v>
      </c>
      <c r="AJ480" s="44" t="str">
        <f>'6image_RS_benchmark_performance'!C480</f>
        <v>https://3arbzfbsh-cname-us.ngrok.io/Desktop/seabridge%20fintech/profit_graph_app/PGR_Return.jpg</v>
      </c>
      <c r="AK480" s="46" t="str">
        <f>'5price_action_icon'!B480</f>
        <v>https://3arbzfbsh-cname-us.ngrok.io/Desktop/seabridge%20fintech/icon/PGR_pa_trend_signal</v>
      </c>
      <c r="AL480" s="42">
        <f>'1kpi_performance'!B480</f>
        <v>0.5077553071</v>
      </c>
      <c r="AM480" s="42">
        <f>'1kpi_performance'!C480</f>
        <v>0.6216519144</v>
      </c>
      <c r="AN480" s="42">
        <f>'1kpi_performance'!D480</f>
        <v>0.5366096184</v>
      </c>
      <c r="AO480" s="42">
        <f>'1kpi_performance'!E480</f>
        <v>0.2461159729</v>
      </c>
      <c r="AP480" s="42">
        <f>'1kpi_performance'!F480</f>
        <v>0.1657440245</v>
      </c>
      <c r="AQ480" s="42">
        <f>'1kpi_performance'!G480</f>
        <v>0.1755580545</v>
      </c>
      <c r="AR480" s="42">
        <f>'1kpi_performance'!H480</f>
        <v>0.183093652</v>
      </c>
      <c r="AS480" s="42">
        <f>'1kpi_performance'!I480</f>
        <v>0.2621328089</v>
      </c>
      <c r="AT480" s="35">
        <f>'1kpi_performance'!J480</f>
        <v>2.912655876</v>
      </c>
      <c r="AU480" s="35">
        <f>'1kpi_performance'!K480</f>
        <v>3.398601767</v>
      </c>
      <c r="AV480" s="35">
        <f>'1kpi_performance'!L480</f>
        <v>2.79425099</v>
      </c>
      <c r="AW480" s="35">
        <f>'1kpi_performance'!M480</f>
        <v>0.8435265078</v>
      </c>
      <c r="AX480" s="42">
        <f>'1kpi_performance'!N480</f>
        <v>0.07492731029</v>
      </c>
      <c r="AY480" s="42">
        <f>'1kpi_performance'!O480</f>
        <v>0.07328809377</v>
      </c>
      <c r="AZ480" s="42">
        <f>'1kpi_performance'!P480</f>
        <v>0.1789019124</v>
      </c>
      <c r="BA480" s="42">
        <f>'1kpi_performance'!Q480</f>
        <v>0.2231146202</v>
      </c>
      <c r="BB480" s="35">
        <f>'1kpi_performance'!R480</f>
        <v>6.345318221</v>
      </c>
      <c r="BC480" s="35">
        <f>'1kpi_performance'!S480</f>
        <v>7.733944876</v>
      </c>
      <c r="BD480" s="35">
        <f>'1kpi_performance'!T480</f>
        <v>5.871438644</v>
      </c>
      <c r="BE480" s="35">
        <f>'1kpi_performance'!U480</f>
        <v>1.663883044</v>
      </c>
      <c r="BF480" s="47"/>
      <c r="BG480" s="47"/>
      <c r="BH480" s="47"/>
      <c r="BI480" s="47"/>
      <c r="BJ480" s="47"/>
      <c r="BK480" s="47"/>
      <c r="BL480" s="47"/>
      <c r="BM480" s="47"/>
      <c r="BN480" s="47"/>
      <c r="BO480" s="47"/>
      <c r="BP480" s="47"/>
      <c r="BQ480" s="47"/>
      <c r="BR480" s="47"/>
      <c r="BS480" s="47"/>
      <c r="BT480" s="47"/>
    </row>
    <row r="481" ht="11.25" customHeight="1">
      <c r="A481" s="35" t="str">
        <f>'13all_company_profile'!A481</f>
        <v>PH</v>
      </c>
      <c r="B481" s="35" t="str">
        <f>'13all_company_profile'!B481</f>
        <v>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v>
      </c>
      <c r="C481" s="44" t="str">
        <f>'13all_company_profile'!C481</f>
        <v>https://financialmodelingprep.com/image-stock/PH.png</v>
      </c>
      <c r="D481" s="35" t="str">
        <f>'13all_company_profile'!D481</f>
        <v>Parker-Hannifin Corporation</v>
      </c>
      <c r="E481" s="36">
        <f>'13all_company_profile'!E481</f>
        <v>39487262720</v>
      </c>
      <c r="F481" s="37">
        <f>'13all_company_profile'!F481</f>
        <v>862903</v>
      </c>
      <c r="G481" s="35">
        <f>'13all_company_profile'!G481</f>
        <v>3.67</v>
      </c>
      <c r="H481" s="38">
        <f>'13all_company_profile'!H481</f>
        <v>44413</v>
      </c>
      <c r="I481" s="35">
        <f>'13all_company_profile'!I481</f>
        <v>25.451422</v>
      </c>
      <c r="J481" s="35">
        <f>'13all_company_profile'!J481</f>
        <v>11.785</v>
      </c>
      <c r="K481" s="42">
        <f t="shared" si="1"/>
        <v>0.01225252896</v>
      </c>
      <c r="L481" s="35">
        <f>'7company_info'!B481</f>
        <v>299.53</v>
      </c>
      <c r="M481" s="35">
        <f>'7company_info'!C481</f>
        <v>300.29</v>
      </c>
      <c r="N481" s="35">
        <f>'7company_info'!D481</f>
        <v>289.36</v>
      </c>
      <c r="O481" s="35">
        <f>'7company_info'!E481</f>
        <v>9.6</v>
      </c>
      <c r="P481" s="35">
        <f>'7company_info'!F481</f>
        <v>0.0331</v>
      </c>
      <c r="Q481" s="35">
        <f>'7company_info'!G481</f>
        <v>290.2</v>
      </c>
      <c r="R481" s="35">
        <f>'7company_info'!H481</f>
        <v>289.93</v>
      </c>
      <c r="S481" s="35">
        <f>'7company_info'!I481</f>
        <v>175.02</v>
      </c>
      <c r="T481" s="35">
        <f>'7company_info'!J481</f>
        <v>324.68</v>
      </c>
      <c r="U481" s="39">
        <v>307.853333333333</v>
      </c>
      <c r="V481" s="39">
        <v>310.966666666666</v>
      </c>
      <c r="W481" s="40">
        <v>315.103333333333</v>
      </c>
      <c r="X481" s="40">
        <v>322.353333333333</v>
      </c>
      <c r="Y481" s="40">
        <v>303.716666666666</v>
      </c>
      <c r="Z481" s="40">
        <v>300.603333333333</v>
      </c>
      <c r="AA481" s="40">
        <v>293.353333333333</v>
      </c>
      <c r="AB481" s="40">
        <v>299.83</v>
      </c>
      <c r="AC481" s="40">
        <v>311.1226</v>
      </c>
      <c r="AD481" s="40">
        <v>305.23247413712</v>
      </c>
      <c r="AE481" s="40">
        <v>296.65063</v>
      </c>
      <c r="AF481" s="40">
        <v>6.727935</v>
      </c>
      <c r="AG481" s="40">
        <v>324.68</v>
      </c>
      <c r="AH481" s="45">
        <v>44326.0</v>
      </c>
      <c r="AI481" s="44" t="str">
        <f>'6image_RS_benchmark_performance'!B481</f>
        <v>https://3arbzfbsh-cname-us.ngrok.io/Desktop/seabridge%20fintech/image_app/PH_resistance_support.jpg</v>
      </c>
      <c r="AJ481" s="44" t="str">
        <f>'6image_RS_benchmark_performance'!C481</f>
        <v>https://3arbzfbsh-cname-us.ngrok.io/Desktop/seabridge%20fintech/profit_graph_app/PH_Return.jpg</v>
      </c>
      <c r="AK481" s="46" t="str">
        <f>'5price_action_icon'!B481</f>
        <v>https://3arbzfbsh-cname-us.ngrok.io/Desktop/seabridge%20fintech/icon/PH_pa_trend_signal</v>
      </c>
      <c r="AL481" s="42">
        <f>'1kpi_performance'!B481</f>
        <v>0.6699405601</v>
      </c>
      <c r="AM481" s="42">
        <f>'1kpi_performance'!C481</f>
        <v>0.8345640597</v>
      </c>
      <c r="AN481" s="42">
        <f>'1kpi_performance'!D481</f>
        <v>0.7219593307</v>
      </c>
      <c r="AO481" s="42">
        <f>'1kpi_performance'!E481</f>
        <v>0.2267385473</v>
      </c>
      <c r="AP481" s="42">
        <f>'1kpi_performance'!F481</f>
        <v>0.2369249131</v>
      </c>
      <c r="AQ481" s="42">
        <f>'1kpi_performance'!G481</f>
        <v>0.247322877</v>
      </c>
      <c r="AR481" s="42">
        <f>'1kpi_performance'!H481</f>
        <v>0.2443447653</v>
      </c>
      <c r="AS481" s="42">
        <f>'1kpi_performance'!I481</f>
        <v>0.3657380006</v>
      </c>
      <c r="AT481" s="35">
        <f>'1kpi_performance'!J481</f>
        <v>2.722130617</v>
      </c>
      <c r="AU481" s="35">
        <f>'1kpi_performance'!K481</f>
        <v>3.273308437</v>
      </c>
      <c r="AV481" s="35">
        <f>'1kpi_performance'!L481</f>
        <v>2.852360393</v>
      </c>
      <c r="AW481" s="35">
        <f>'1kpi_performance'!M481</f>
        <v>0.5515930721</v>
      </c>
      <c r="AX481" s="42">
        <f>'1kpi_performance'!N481</f>
        <v>0.1506284241</v>
      </c>
      <c r="AY481" s="42">
        <f>'1kpi_performance'!O481</f>
        <v>0.1606001462</v>
      </c>
      <c r="AZ481" s="42">
        <f>'1kpi_performance'!P481</f>
        <v>0.3053434964</v>
      </c>
      <c r="BA481" s="42">
        <f>'1kpi_performance'!Q481</f>
        <v>0.5468227425</v>
      </c>
      <c r="BB481" s="35">
        <f>'1kpi_performance'!R481</f>
        <v>5.924791567</v>
      </c>
      <c r="BC481" s="35">
        <f>'1kpi_performance'!S481</f>
        <v>7.435497943</v>
      </c>
      <c r="BD481" s="35">
        <f>'1kpi_performance'!T481</f>
        <v>5.887648638</v>
      </c>
      <c r="BE481" s="35">
        <f>'1kpi_performance'!U481</f>
        <v>1.074135891</v>
      </c>
      <c r="BF481" s="47"/>
      <c r="BG481" s="47"/>
      <c r="BH481" s="47"/>
      <c r="BI481" s="47"/>
      <c r="BJ481" s="47"/>
      <c r="BK481" s="47"/>
      <c r="BL481" s="47"/>
      <c r="BM481" s="47"/>
      <c r="BN481" s="47"/>
      <c r="BO481" s="47"/>
      <c r="BP481" s="47"/>
      <c r="BQ481" s="47"/>
      <c r="BR481" s="47"/>
      <c r="BS481" s="47"/>
      <c r="BT481" s="47"/>
    </row>
    <row r="482" ht="11.25" customHeight="1">
      <c r="A482" s="35" t="str">
        <f>'13all_company_profile'!A482</f>
        <v>PHM</v>
      </c>
      <c r="B482" s="35" t="str">
        <f>'13all_company_profile'!B482</f>
        <v>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v>
      </c>
      <c r="C482" s="44" t="str">
        <f>'13all_company_profile'!C482</f>
        <v>https://financialmodelingprep.com/image-stock/PHM.png</v>
      </c>
      <c r="D482" s="35" t="str">
        <f>'13all_company_profile'!D482</f>
        <v>PulteGroup, Inc.</v>
      </c>
      <c r="E482" s="36">
        <f>'13all_company_profile'!E482</f>
        <v>13548008448</v>
      </c>
      <c r="F482" s="37">
        <f>'13all_company_profile'!F482</f>
        <v>2874904</v>
      </c>
      <c r="G482" s="35">
        <f>'13all_company_profile'!G482</f>
        <v>0.54</v>
      </c>
      <c r="H482" s="38">
        <f>'13all_company_profile'!H482</f>
        <v>44404</v>
      </c>
      <c r="I482" s="35">
        <f>'13all_company_profile'!I482</f>
        <v>9.160236</v>
      </c>
      <c r="J482" s="35">
        <f>'13all_company_profile'!J482</f>
        <v>5.573</v>
      </c>
      <c r="K482" s="42">
        <f t="shared" si="1"/>
        <v>0.0103428462</v>
      </c>
      <c r="L482" s="35">
        <f>'7company_info'!B482</f>
        <v>52.21</v>
      </c>
      <c r="M482" s="35">
        <f>'7company_info'!C482</f>
        <v>52.38</v>
      </c>
      <c r="N482" s="35">
        <f>'7company_info'!D482</f>
        <v>50.75</v>
      </c>
      <c r="O482" s="35">
        <f>'7company_info'!E482</f>
        <v>1.29</v>
      </c>
      <c r="P482" s="35">
        <f>'7company_info'!F482</f>
        <v>0.0253</v>
      </c>
      <c r="Q482" s="35">
        <f>'7company_info'!G482</f>
        <v>50.93</v>
      </c>
      <c r="R482" s="35">
        <f>'7company_info'!H482</f>
        <v>50.92</v>
      </c>
      <c r="S482" s="35">
        <f>'7company_info'!I482</f>
        <v>36.73</v>
      </c>
      <c r="T482" s="35">
        <f>'7company_info'!J482</f>
        <v>63.91</v>
      </c>
      <c r="U482" s="39">
        <v>51.9362333333333</v>
      </c>
      <c r="V482" s="39">
        <v>52.2924666666666</v>
      </c>
      <c r="W482" s="40">
        <v>52.8349333333333</v>
      </c>
      <c r="X482" s="40">
        <v>53.7336333333333</v>
      </c>
      <c r="Y482" s="40">
        <v>51.3937666666666</v>
      </c>
      <c r="Z482" s="40">
        <v>51.0375333333333</v>
      </c>
      <c r="AA482" s="40">
        <v>50.1388333333333</v>
      </c>
      <c r="AB482" s="40">
        <v>54.45</v>
      </c>
      <c r="AC482" s="40">
        <v>55.18</v>
      </c>
      <c r="AD482" s="40">
        <v>53.9463697750463</v>
      </c>
      <c r="AE482" s="40">
        <v>48.83615</v>
      </c>
      <c r="AF482" s="40">
        <v>1.40636</v>
      </c>
      <c r="AG482" s="40">
        <v>63.905</v>
      </c>
      <c r="AH482" s="45">
        <v>44326.0</v>
      </c>
      <c r="AI482" s="44" t="str">
        <f>'6image_RS_benchmark_performance'!B482</f>
        <v>https://3arbzfbsh-cname-us.ngrok.io/Desktop/seabridge%20fintech/image_app/PHM_resistance_support.jpg</v>
      </c>
      <c r="AJ482" s="44" t="str">
        <f>'6image_RS_benchmark_performance'!C482</f>
        <v>https://3arbzfbsh-cname-us.ngrok.io/Desktop/seabridge%20fintech/profit_graph_app/PHM_Return.jpg</v>
      </c>
      <c r="AK482" s="46" t="str">
        <f>'5price_action_icon'!B482</f>
        <v>https://3arbzfbsh-cname-us.ngrok.io/Desktop/seabridge%20fintech/icon/PHM_pa_trend_signal</v>
      </c>
      <c r="AL482" s="42">
        <f>'1kpi_performance'!B482</f>
        <v>0.883892244</v>
      </c>
      <c r="AM482" s="42">
        <f>'1kpi_performance'!C482</f>
        <v>0.9941653445</v>
      </c>
      <c r="AN482" s="42">
        <f>'1kpi_performance'!D482</f>
        <v>0.6041566888</v>
      </c>
      <c r="AO482" s="42">
        <f>'1kpi_performance'!E482</f>
        <v>0.2195999487</v>
      </c>
      <c r="AP482" s="42">
        <f>'1kpi_performance'!F482</f>
        <v>0.3138411085</v>
      </c>
      <c r="AQ482" s="42">
        <f>'1kpi_performance'!G482</f>
        <v>0.3242974091</v>
      </c>
      <c r="AR482" s="42">
        <f>'1kpi_performance'!H482</f>
        <v>0.3601585011</v>
      </c>
      <c r="AS482" s="42">
        <f>'1kpi_performance'!I482</f>
        <v>0.484844108</v>
      </c>
      <c r="AT482" s="35">
        <f>'1kpi_performance'!J482</f>
        <v>2.736710459</v>
      </c>
      <c r="AU482" s="35">
        <f>'1kpi_performance'!K482</f>
        <v>2.988507824</v>
      </c>
      <c r="AV482" s="35">
        <f>'1kpi_performance'!L482</f>
        <v>1.608060582</v>
      </c>
      <c r="AW482" s="35">
        <f>'1kpi_performance'!M482</f>
        <v>0.4013660174</v>
      </c>
      <c r="AX482" s="42">
        <f>'1kpi_performance'!N482</f>
        <v>0.2368708856</v>
      </c>
      <c r="AY482" s="42">
        <f>'1kpi_performance'!O482</f>
        <v>0.2701786974</v>
      </c>
      <c r="AZ482" s="42">
        <f>'1kpi_performance'!P482</f>
        <v>0.6006303467</v>
      </c>
      <c r="BA482" s="42">
        <f>'1kpi_performance'!Q482</f>
        <v>0.7356235997</v>
      </c>
      <c r="BB482" s="35">
        <f>'1kpi_performance'!R482</f>
        <v>5.948043007</v>
      </c>
      <c r="BC482" s="35">
        <f>'1kpi_performance'!S482</f>
        <v>6.874955642</v>
      </c>
      <c r="BD482" s="35">
        <f>'1kpi_performance'!T482</f>
        <v>3.049405915</v>
      </c>
      <c r="BE482" s="35">
        <f>'1kpi_performance'!U482</f>
        <v>0.8005073409</v>
      </c>
      <c r="BF482" s="47"/>
      <c r="BG482" s="47"/>
      <c r="BH482" s="47"/>
      <c r="BI482" s="47"/>
      <c r="BJ482" s="47"/>
      <c r="BK482" s="47"/>
      <c r="BL482" s="47"/>
      <c r="BM482" s="47"/>
      <c r="BN482" s="47"/>
      <c r="BO482" s="47"/>
      <c r="BP482" s="47"/>
      <c r="BQ482" s="47"/>
      <c r="BR482" s="47"/>
      <c r="BS482" s="47"/>
      <c r="BT482" s="47"/>
    </row>
    <row r="483" ht="11.25" customHeight="1">
      <c r="A483" s="35" t="str">
        <f>'13all_company_profile'!A483</f>
        <v>PINS</v>
      </c>
      <c r="B483" s="35" t="str">
        <f>'13all_company_profile'!B483</f>
        <v>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v>
      </c>
      <c r="C483" s="44" t="str">
        <f>'13all_company_profile'!C483</f>
        <v>https://financialmodelingprep.com/image-stock/PINS.png</v>
      </c>
      <c r="D483" s="35" t="str">
        <f>'13all_company_profile'!D483</f>
        <v>Pinterest, Inc.</v>
      </c>
      <c r="E483" s="36">
        <f>'13all_company_profile'!E483</f>
        <v>44586639360</v>
      </c>
      <c r="F483" s="37">
        <f>'13all_company_profile'!F483</f>
        <v>12342285</v>
      </c>
      <c r="G483" s="35">
        <f>'13all_company_profile'!G483</f>
        <v>0</v>
      </c>
      <c r="H483" s="38">
        <f>'13all_company_profile'!H483</f>
        <v>44406</v>
      </c>
      <c r="I483" s="35" t="str">
        <f>'13all_company_profile'!I483</f>
        <v>NaN</v>
      </c>
      <c r="J483" s="35">
        <f>'13all_company_profile'!J483</f>
        <v>-0.014</v>
      </c>
      <c r="K483" s="42" t="str">
        <f t="shared" si="1"/>
        <v>NaN</v>
      </c>
      <c r="L483" s="35">
        <f>'7company_info'!B483</f>
        <v>71.43</v>
      </c>
      <c r="M483" s="35">
        <f>'7company_info'!C483</f>
        <v>71.89</v>
      </c>
      <c r="N483" s="35">
        <f>'7company_info'!D483</f>
        <v>69.53</v>
      </c>
      <c r="O483" s="35">
        <f>'7company_info'!E483</f>
        <v>0.07</v>
      </c>
      <c r="P483" s="35">
        <f>'7company_info'!F483</f>
        <v>0.001</v>
      </c>
      <c r="Q483" s="35">
        <f>'7company_info'!G483</f>
        <v>71.6</v>
      </c>
      <c r="R483" s="35">
        <f>'7company_info'!H483</f>
        <v>71.36</v>
      </c>
      <c r="S483" s="35">
        <f>'7company_info'!I483</f>
        <v>23.56</v>
      </c>
      <c r="T483" s="35">
        <f>'7company_info'!J483</f>
        <v>89.9</v>
      </c>
      <c r="U483" s="39">
        <v>70.99</v>
      </c>
      <c r="V483" s="39">
        <v>72.2599999999999</v>
      </c>
      <c r="W483" s="40">
        <v>74.7599999999999</v>
      </c>
      <c r="X483" s="40">
        <v>78.5299999999999</v>
      </c>
      <c r="Y483" s="40">
        <v>68.49</v>
      </c>
      <c r="Z483" s="40">
        <v>67.22</v>
      </c>
      <c r="AA483" s="40">
        <v>63.45</v>
      </c>
      <c r="AB483" s="40">
        <v>69.72</v>
      </c>
      <c r="AC483" s="40">
        <v>77.15</v>
      </c>
      <c r="AD483" s="40">
        <v>74.0229453299602</v>
      </c>
      <c r="AE483" s="40">
        <v>66.646</v>
      </c>
      <c r="AF483" s="40">
        <v>2.7595</v>
      </c>
      <c r="AG483" s="40">
        <v>89.9</v>
      </c>
      <c r="AH483" s="45">
        <v>44243.0</v>
      </c>
      <c r="AI483" s="44" t="str">
        <f>'6image_RS_benchmark_performance'!B483</f>
        <v>https://3arbzfbsh-cname-us.ngrok.io/Desktop/seabridge%20fintech/image_app/PINS_resistance_support.jpg</v>
      </c>
      <c r="AJ483" s="44" t="str">
        <f>'6image_RS_benchmark_performance'!C483</f>
        <v>https://3arbzfbsh-cname-us.ngrok.io/Desktop/seabridge%20fintech/profit_graph_app/PINS_Return.jpg</v>
      </c>
      <c r="AK483" s="46" t="str">
        <f>'5price_action_icon'!B483</f>
        <v>https://3arbzfbsh-cname-us.ngrok.io/Desktop/seabridge%20fintech/icon/PINS_pa_trend_signal</v>
      </c>
      <c r="AL483" s="42">
        <f>'1kpi_performance'!B483</f>
        <v>3.329826164</v>
      </c>
      <c r="AM483" s="42">
        <f>'1kpi_performance'!C483</f>
        <v>4.535781948</v>
      </c>
      <c r="AN483" s="42">
        <f>'1kpi_performance'!D483</f>
        <v>1.521854443</v>
      </c>
      <c r="AO483" s="42">
        <f>'1kpi_performance'!E483</f>
        <v>0.9575792237</v>
      </c>
      <c r="AP483" s="42">
        <f>'1kpi_performance'!F483</f>
        <v>0.654975657</v>
      </c>
      <c r="AQ483" s="42">
        <f>'1kpi_performance'!G483</f>
        <v>0.6349974931</v>
      </c>
      <c r="AR483" s="42">
        <f>'1kpi_performance'!H483</f>
        <v>0.5682005303</v>
      </c>
      <c r="AS483" s="42">
        <f>'1kpi_performance'!I483</f>
        <v>0.8485320618</v>
      </c>
      <c r="AT483" s="35">
        <f>'1kpi_performance'!J483</f>
        <v>5.045723653</v>
      </c>
      <c r="AU483" s="35">
        <f>'1kpi_performance'!K483</f>
        <v>7.103621664</v>
      </c>
      <c r="AV483" s="35">
        <f>'1kpi_performance'!L483</f>
        <v>2.634377062</v>
      </c>
      <c r="AW483" s="35">
        <f>'1kpi_performance'!M483</f>
        <v>1.099050072</v>
      </c>
      <c r="AX483" s="42">
        <f>'1kpi_performance'!N483</f>
        <v>0.3053123176</v>
      </c>
      <c r="AY483" s="42">
        <f>'1kpi_performance'!O483</f>
        <v>0.1722124927</v>
      </c>
      <c r="AZ483" s="42">
        <f>'1kpi_performance'!P483</f>
        <v>0.4397216709</v>
      </c>
      <c r="BA483" s="42">
        <f>'1kpi_performance'!Q483</f>
        <v>0.7013129103</v>
      </c>
      <c r="BB483" s="35">
        <f>'1kpi_performance'!R483</f>
        <v>12.9929152</v>
      </c>
      <c r="BC483" s="35">
        <f>'1kpi_performance'!S483</f>
        <v>20.06836413</v>
      </c>
      <c r="BD483" s="35">
        <f>'1kpi_performance'!T483</f>
        <v>6.396161939</v>
      </c>
      <c r="BE483" s="35">
        <f>'1kpi_performance'!U483</f>
        <v>2.377099527</v>
      </c>
      <c r="BF483" s="47"/>
      <c r="BG483" s="47"/>
      <c r="BH483" s="47"/>
      <c r="BI483" s="47"/>
      <c r="BJ483" s="47"/>
      <c r="BK483" s="47"/>
      <c r="BL483" s="47"/>
      <c r="BM483" s="47"/>
      <c r="BN483" s="47"/>
      <c r="BO483" s="47"/>
      <c r="BP483" s="47"/>
      <c r="BQ483" s="47"/>
      <c r="BR483" s="47"/>
      <c r="BS483" s="47"/>
      <c r="BT483" s="47"/>
    </row>
    <row r="484" ht="11.25" customHeight="1">
      <c r="A484" s="35" t="str">
        <f>'13all_company_profile'!A484</f>
        <v>PKG</v>
      </c>
      <c r="B484" s="35" t="str">
        <f>'13all_company_profile'!B484</f>
        <v>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v>
      </c>
      <c r="C484" s="44" t="str">
        <f>'13all_company_profile'!C484</f>
        <v>https://financialmodelingprep.com/image-stock/PKG.png</v>
      </c>
      <c r="D484" s="35" t="str">
        <f>'13all_company_profile'!D484</f>
        <v>Packaging Corporation of America</v>
      </c>
      <c r="E484" s="36">
        <f>'13all_company_profile'!E484</f>
        <v>12977143808</v>
      </c>
      <c r="F484" s="37">
        <f>'13all_company_profile'!F484</f>
        <v>546709</v>
      </c>
      <c r="G484" s="35">
        <f>'13all_company_profile'!G484</f>
        <v>3.79</v>
      </c>
      <c r="H484" s="38">
        <f>'13all_company_profile'!H484</f>
        <v>44403</v>
      </c>
      <c r="I484" s="35">
        <f>'13all_company_profile'!I484</f>
        <v>26.461477</v>
      </c>
      <c r="J484" s="35">
        <f>'13all_company_profile'!J484</f>
        <v>5.101</v>
      </c>
      <c r="K484" s="42">
        <f t="shared" si="1"/>
        <v>0.0285865138</v>
      </c>
      <c r="L484" s="35">
        <f>'7company_info'!B484</f>
        <v>132.58</v>
      </c>
      <c r="M484" s="35">
        <f>'7company_info'!C484</f>
        <v>134.94</v>
      </c>
      <c r="N484" s="35">
        <f>'7company_info'!D484</f>
        <v>132.02</v>
      </c>
      <c r="O484" s="35">
        <f>'7company_info'!E484</f>
        <v>0.39</v>
      </c>
      <c r="P484" s="35">
        <f>'7company_info'!F484</f>
        <v>0.003</v>
      </c>
      <c r="Q484" s="35">
        <f>'7company_info'!G484</f>
        <v>132.52</v>
      </c>
      <c r="R484" s="35">
        <f>'7company_info'!H484</f>
        <v>132.19</v>
      </c>
      <c r="S484" s="35">
        <f>'7company_info'!I484</f>
        <v>92.02</v>
      </c>
      <c r="T484" s="35">
        <f>'7company_info'!J484</f>
        <v>156.54</v>
      </c>
      <c r="U484" s="39">
        <v>137.608333333333</v>
      </c>
      <c r="V484" s="39">
        <v>138.206666666666</v>
      </c>
      <c r="W484" s="40">
        <v>139.253333333333</v>
      </c>
      <c r="X484" s="40">
        <v>140.898333333333</v>
      </c>
      <c r="Y484" s="40">
        <v>136.561666666666</v>
      </c>
      <c r="Z484" s="40">
        <v>135.963333333333</v>
      </c>
      <c r="AA484" s="40">
        <v>134.318333333333</v>
      </c>
      <c r="AB484" s="40">
        <v>136.2</v>
      </c>
      <c r="AC484" s="40">
        <v>145.0</v>
      </c>
      <c r="AD484" s="40">
        <v>137.920623597724</v>
      </c>
      <c r="AE484" s="40">
        <v>132.69135</v>
      </c>
      <c r="AF484" s="40">
        <v>2.377575</v>
      </c>
      <c r="AG484" s="40">
        <v>156.54</v>
      </c>
      <c r="AH484" s="45">
        <v>44326.0</v>
      </c>
      <c r="AI484" s="44" t="str">
        <f>'6image_RS_benchmark_performance'!B484</f>
        <v>https://3arbzfbsh-cname-us.ngrok.io/Desktop/seabridge%20fintech/image_app/PKG_resistance_support.jpg</v>
      </c>
      <c r="AJ484" s="44" t="str">
        <f>'6image_RS_benchmark_performance'!C484</f>
        <v>https://3arbzfbsh-cname-us.ngrok.io/Desktop/seabridge%20fintech/profit_graph_app/PKG_Return.jpg</v>
      </c>
      <c r="AK484" s="46" t="str">
        <f>'5price_action_icon'!B484</f>
        <v>https://3arbzfbsh-cname-us.ngrok.io/Desktop/seabridge%20fintech/icon/PKG_pa_trend_signal</v>
      </c>
      <c r="AL484" s="42">
        <f>'1kpi_performance'!B484</f>
        <v>0.5825369229</v>
      </c>
      <c r="AM484" s="42">
        <f>'1kpi_performance'!C484</f>
        <v>0.7663650957</v>
      </c>
      <c r="AN484" s="42">
        <f>'1kpi_performance'!D484</f>
        <v>0.7086394176</v>
      </c>
      <c r="AO484" s="42">
        <f>'1kpi_performance'!E484</f>
        <v>0.2583721185</v>
      </c>
      <c r="AP484" s="42">
        <f>'1kpi_performance'!F484</f>
        <v>0.2343062338</v>
      </c>
      <c r="AQ484" s="42">
        <f>'1kpi_performance'!G484</f>
        <v>0.2334210478</v>
      </c>
      <c r="AR484" s="42">
        <f>'1kpi_performance'!H484</f>
        <v>0.2404486703</v>
      </c>
      <c r="AS484" s="42">
        <f>'1kpi_performance'!I484</f>
        <v>0.3371651007</v>
      </c>
      <c r="AT484" s="35">
        <f>'1kpi_performance'!J484</f>
        <v>2.379522362</v>
      </c>
      <c r="AU484" s="35">
        <f>'1kpi_performance'!K484</f>
        <v>3.17608503</v>
      </c>
      <c r="AV484" s="35">
        <f>'1kpi_performance'!L484</f>
        <v>2.843182359</v>
      </c>
      <c r="AW484" s="35">
        <f>'1kpi_performance'!M484</f>
        <v>0.6921597698</v>
      </c>
      <c r="AX484" s="42">
        <f>'1kpi_performance'!N484</f>
        <v>0.186899936</v>
      </c>
      <c r="AY484" s="42">
        <f>'1kpi_performance'!O484</f>
        <v>0.08384894389</v>
      </c>
      <c r="AZ484" s="42">
        <f>'1kpi_performance'!P484</f>
        <v>0.3039487241</v>
      </c>
      <c r="BA484" s="42">
        <f>'1kpi_performance'!Q484</f>
        <v>0.464031339</v>
      </c>
      <c r="BB484" s="35">
        <f>'1kpi_performance'!R484</f>
        <v>5.184066109</v>
      </c>
      <c r="BC484" s="35">
        <f>'1kpi_performance'!S484</f>
        <v>7.531289192</v>
      </c>
      <c r="BD484" s="35">
        <f>'1kpi_performance'!T484</f>
        <v>6.20584453</v>
      </c>
      <c r="BE484" s="35">
        <f>'1kpi_performance'!U484</f>
        <v>1.36839795</v>
      </c>
      <c r="BF484" s="47"/>
      <c r="BG484" s="47"/>
      <c r="BH484" s="47"/>
      <c r="BI484" s="47"/>
      <c r="BJ484" s="47"/>
      <c r="BK484" s="47"/>
      <c r="BL484" s="47"/>
      <c r="BM484" s="47"/>
      <c r="BN484" s="47"/>
      <c r="BO484" s="47"/>
      <c r="BP484" s="47"/>
      <c r="BQ484" s="47"/>
      <c r="BR484" s="47"/>
      <c r="BS484" s="47"/>
      <c r="BT484" s="47"/>
    </row>
    <row r="485" ht="11.25" customHeight="1">
      <c r="A485" s="35" t="str">
        <f>'13all_company_profile'!A485</f>
        <v>PKI</v>
      </c>
      <c r="B485" s="35" t="str">
        <f>'13all_company_profile'!B485</f>
        <v>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v>
      </c>
      <c r="C485" s="44" t="str">
        <f>'13all_company_profile'!C485</f>
        <v>https://financialmodelingprep.com/image-stock/PKI.png</v>
      </c>
      <c r="D485" s="35" t="str">
        <f>'13all_company_profile'!D485</f>
        <v>PerkinElmer, Inc.</v>
      </c>
      <c r="E485" s="36">
        <f>'13all_company_profile'!E485</f>
        <v>17155527680</v>
      </c>
      <c r="F485" s="37">
        <f>'13all_company_profile'!F485</f>
        <v>786203</v>
      </c>
      <c r="G485" s="35">
        <f>'13all_company_profile'!G485</f>
        <v>0.35</v>
      </c>
      <c r="H485" s="38">
        <f>'13all_company_profile'!H485</f>
        <v>44405</v>
      </c>
      <c r="I485" s="35">
        <f>'13all_company_profile'!I485</f>
        <v>16.129234</v>
      </c>
      <c r="J485" s="35">
        <f>'13all_company_profile'!J485</f>
        <v>9.564</v>
      </c>
      <c r="K485" s="42">
        <f t="shared" si="1"/>
        <v>0.002252542155</v>
      </c>
      <c r="L485" s="35">
        <f>'7company_info'!B485</f>
        <v>155.38</v>
      </c>
      <c r="M485" s="35">
        <f>'7company_info'!C485</f>
        <v>156.83</v>
      </c>
      <c r="N485" s="35">
        <f>'7company_info'!D485</f>
        <v>154</v>
      </c>
      <c r="O485" s="35">
        <f>'7company_info'!E485</f>
        <v>0.47</v>
      </c>
      <c r="P485" s="35">
        <f>'7company_info'!F485</f>
        <v>0.003</v>
      </c>
      <c r="Q485" s="35">
        <f>'7company_info'!G485</f>
        <v>154.96</v>
      </c>
      <c r="R485" s="35">
        <f>'7company_info'!H485</f>
        <v>154.91</v>
      </c>
      <c r="S485" s="35">
        <f>'7company_info'!I485</f>
        <v>108.93</v>
      </c>
      <c r="T485" s="35">
        <f>'7company_info'!J485</f>
        <v>162.7</v>
      </c>
      <c r="U485" s="39">
        <v>152.516666666666</v>
      </c>
      <c r="V485" s="39">
        <v>153.533333333333</v>
      </c>
      <c r="W485" s="40">
        <v>155.086666666666</v>
      </c>
      <c r="X485" s="40">
        <v>157.656666666666</v>
      </c>
      <c r="Y485" s="40">
        <v>150.963333333333</v>
      </c>
      <c r="Z485" s="40">
        <v>149.946666666666</v>
      </c>
      <c r="AA485" s="40">
        <v>147.376666666666</v>
      </c>
      <c r="AB485" s="40">
        <v>152.75</v>
      </c>
      <c r="AC485" s="40">
        <v>155.11</v>
      </c>
      <c r="AD485" s="40">
        <v>152.096283457491</v>
      </c>
      <c r="AE485" s="40">
        <v>147.06695</v>
      </c>
      <c r="AF485" s="40">
        <v>3.05902499999999</v>
      </c>
      <c r="AG485" s="40">
        <v>157.5165</v>
      </c>
      <c r="AH485" s="45">
        <v>44384.0</v>
      </c>
      <c r="AI485" s="44" t="str">
        <f>'6image_RS_benchmark_performance'!B485</f>
        <v>https://3arbzfbsh-cname-us.ngrok.io/Desktop/seabridge%20fintech/image_app/PKI_resistance_support.jpg</v>
      </c>
      <c r="AJ485" s="44" t="str">
        <f>'6image_RS_benchmark_performance'!C485</f>
        <v>https://3arbzfbsh-cname-us.ngrok.io/Desktop/seabridge%20fintech/profit_graph_app/PKI_Return.jpg</v>
      </c>
      <c r="AK485" s="46" t="str">
        <f>'5price_action_icon'!B485</f>
        <v>https://3arbzfbsh-cname-us.ngrok.io/Desktop/seabridge%20fintech/icon/PKI_pa_trend_signal</v>
      </c>
      <c r="AL485" s="42">
        <f>'1kpi_performance'!B485</f>
        <v>0.5948471736</v>
      </c>
      <c r="AM485" s="42">
        <f>'1kpi_performance'!C485</f>
        <v>0.8325283391</v>
      </c>
      <c r="AN485" s="42">
        <f>'1kpi_performance'!D485</f>
        <v>0.5256690954</v>
      </c>
      <c r="AO485" s="42">
        <f>'1kpi_performance'!E485</f>
        <v>0.2837134697</v>
      </c>
      <c r="AP485" s="42">
        <f>'1kpi_performance'!F485</f>
        <v>0.2099469143</v>
      </c>
      <c r="AQ485" s="42">
        <f>'1kpi_performance'!G485</f>
        <v>0.2148324812</v>
      </c>
      <c r="AR485" s="42">
        <f>'1kpi_performance'!H485</f>
        <v>0.2326052861</v>
      </c>
      <c r="AS485" s="42">
        <f>'1kpi_performance'!I485</f>
        <v>0.3145639709</v>
      </c>
      <c r="AT485" s="35">
        <f>'1kpi_performance'!J485</f>
        <v>2.714244101</v>
      </c>
      <c r="AU485" s="35">
        <f>'1kpi_performance'!K485</f>
        <v>3.758874517</v>
      </c>
      <c r="AV485" s="35">
        <f>'1kpi_performance'!L485</f>
        <v>2.152440746</v>
      </c>
      <c r="AW485" s="35">
        <f>'1kpi_performance'!M485</f>
        <v>0.8224510549</v>
      </c>
      <c r="AX485" s="42">
        <f>'1kpi_performance'!N485</f>
        <v>0.1624594089</v>
      </c>
      <c r="AY485" s="42">
        <f>'1kpi_performance'!O485</f>
        <v>0.1035311986</v>
      </c>
      <c r="AZ485" s="42">
        <f>'1kpi_performance'!P485</f>
        <v>0.3528030916</v>
      </c>
      <c r="BA485" s="42">
        <f>'1kpi_performance'!Q485</f>
        <v>0.3854532677</v>
      </c>
      <c r="BB485" s="35">
        <f>'1kpi_performance'!R485</f>
        <v>5.755754373</v>
      </c>
      <c r="BC485" s="35">
        <f>'1kpi_performance'!S485</f>
        <v>8.879488666</v>
      </c>
      <c r="BD485" s="35">
        <f>'1kpi_performance'!T485</f>
        <v>4.03005292</v>
      </c>
      <c r="BE485" s="35">
        <f>'1kpi_performance'!U485</f>
        <v>1.592366578</v>
      </c>
      <c r="BF485" s="47"/>
      <c r="BG485" s="47"/>
      <c r="BH485" s="47"/>
      <c r="BI485" s="47"/>
      <c r="BJ485" s="47"/>
      <c r="BK485" s="47"/>
      <c r="BL485" s="47"/>
      <c r="BM485" s="47"/>
      <c r="BN485" s="47"/>
      <c r="BO485" s="47"/>
      <c r="BP485" s="47"/>
      <c r="BQ485" s="47"/>
      <c r="BR485" s="47"/>
      <c r="BS485" s="47"/>
      <c r="BT485" s="47"/>
    </row>
    <row r="486" ht="11.25" customHeight="1">
      <c r="A486" s="35" t="str">
        <f>'13all_company_profile'!A486</f>
        <v>PLAN</v>
      </c>
      <c r="B486" s="35" t="str">
        <f>'13all_company_profile'!B486</f>
        <v>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v>
      </c>
      <c r="C486" s="44" t="str">
        <f>'13all_company_profile'!C486</f>
        <v>https://financialmodelingprep.com/image-stock/PLAN.png</v>
      </c>
      <c r="D486" s="35" t="str">
        <f>'13all_company_profile'!D486</f>
        <v>Anaplan, Inc.</v>
      </c>
      <c r="E486" s="36">
        <f>'13all_company_profile'!E486</f>
        <v>7614350848</v>
      </c>
      <c r="F486" s="37">
        <f>'13all_company_profile'!F486</f>
        <v>2244614</v>
      </c>
      <c r="G486" s="35">
        <f>'13all_company_profile'!G486</f>
        <v>0</v>
      </c>
      <c r="H486" s="38" t="str">
        <f>'13all_company_profile'!H486</f>
        <v>not avaiable</v>
      </c>
      <c r="I486" s="35" t="str">
        <f>'13all_company_profile'!I486</f>
        <v>NaN</v>
      </c>
      <c r="J486" s="35">
        <f>'13all_company_profile'!J486</f>
        <v>-1.173</v>
      </c>
      <c r="K486" s="42" t="str">
        <f t="shared" si="1"/>
        <v>NaN</v>
      </c>
      <c r="L486" s="35">
        <f>'7company_info'!B486</f>
        <v>54.84</v>
      </c>
      <c r="M486" s="35">
        <f>'7company_info'!C486</f>
        <v>55.82</v>
      </c>
      <c r="N486" s="35">
        <f>'7company_info'!D486</f>
        <v>52.92</v>
      </c>
      <c r="O486" s="35">
        <f>'7company_info'!E486</f>
        <v>1.87</v>
      </c>
      <c r="P486" s="35">
        <f>'7company_info'!F486</f>
        <v>0.0353</v>
      </c>
      <c r="Q486" s="35">
        <f>'7company_info'!G486</f>
        <v>53.19</v>
      </c>
      <c r="R486" s="35">
        <f>'7company_info'!H486</f>
        <v>52.97</v>
      </c>
      <c r="S486" s="35">
        <f>'7company_info'!I486</f>
        <v>41.51</v>
      </c>
      <c r="T486" s="35">
        <f>'7company_info'!J486</f>
        <v>86.17</v>
      </c>
      <c r="U486" s="39">
        <v>54.1066666666666</v>
      </c>
      <c r="V486" s="39">
        <v>54.9033333333333</v>
      </c>
      <c r="W486" s="40">
        <v>56.3666666666666</v>
      </c>
      <c r="X486" s="40">
        <v>58.6266666666666</v>
      </c>
      <c r="Y486" s="40">
        <v>52.6433333333333</v>
      </c>
      <c r="Z486" s="40">
        <v>51.8466666666666</v>
      </c>
      <c r="AA486" s="40">
        <v>49.5866666666666</v>
      </c>
      <c r="AB486" s="40">
        <v>52.72</v>
      </c>
      <c r="AC486" s="40">
        <v>54.42</v>
      </c>
      <c r="AD486" s="40">
        <v>53.8841312466317</v>
      </c>
      <c r="AE486" s="40">
        <v>50.95151</v>
      </c>
      <c r="AF486" s="40">
        <v>1.803745</v>
      </c>
      <c r="AG486" s="40">
        <v>86.17</v>
      </c>
      <c r="AH486" s="45">
        <v>44243.0</v>
      </c>
      <c r="AI486" s="44" t="str">
        <f>'6image_RS_benchmark_performance'!B486</f>
        <v>https://3arbzfbsh-cname-us.ngrok.io/Desktop/seabridge%20fintech/image_app/PLAN_resistance_support.jpg</v>
      </c>
      <c r="AJ486" s="44" t="str">
        <f>'6image_RS_benchmark_performance'!C486</f>
        <v>https://3arbzfbsh-cname-us.ngrok.io/Desktop/seabridge%20fintech/profit_graph_app/PLAN_Return.jpg</v>
      </c>
      <c r="AK486" s="46" t="str">
        <f>'5price_action_icon'!B486</f>
        <v>https://3arbzfbsh-cname-us.ngrok.io/Desktop/seabridge%20fintech/icon/PLAN_pa_trend_signal</v>
      </c>
      <c r="AL486" s="42">
        <f>'1kpi_performance'!B486</f>
        <v>1.367791266</v>
      </c>
      <c r="AM486" s="42">
        <f>'1kpi_performance'!C486</f>
        <v>2.099320506</v>
      </c>
      <c r="AN486" s="42">
        <f>'1kpi_performance'!D486</f>
        <v>2.15886468</v>
      </c>
      <c r="AO486" s="42">
        <f>'1kpi_performance'!E486</f>
        <v>0.5076901697</v>
      </c>
      <c r="AP486" s="42">
        <f>'1kpi_performance'!F486</f>
        <v>0.5045440797</v>
      </c>
      <c r="AQ486" s="42">
        <f>'1kpi_performance'!G486</f>
        <v>0.5011624643</v>
      </c>
      <c r="AR486" s="42">
        <f>'1kpi_performance'!H486</f>
        <v>0.4536453685</v>
      </c>
      <c r="AS486" s="42">
        <f>'1kpi_performance'!I486</f>
        <v>0.7090953117</v>
      </c>
      <c r="AT486" s="35">
        <f>'1kpi_performance'!J486</f>
        <v>2.661395346</v>
      </c>
      <c r="AU486" s="35">
        <f>'1kpi_performance'!K486</f>
        <v>4.13901809</v>
      </c>
      <c r="AV486" s="35">
        <f>'1kpi_performance'!L486</f>
        <v>4.703816743</v>
      </c>
      <c r="AW486" s="35">
        <f>'1kpi_performance'!M486</f>
        <v>0.6807126796</v>
      </c>
      <c r="AX486" s="42">
        <f>'1kpi_performance'!N486</f>
        <v>0.212226146</v>
      </c>
      <c r="AY486" s="42">
        <f>'1kpi_performance'!O486</f>
        <v>0.1533125217</v>
      </c>
      <c r="AZ486" s="42">
        <f>'1kpi_performance'!P486</f>
        <v>0.2127019917</v>
      </c>
      <c r="BA486" s="42">
        <f>'1kpi_performance'!Q486</f>
        <v>0.5556782334</v>
      </c>
      <c r="BB486" s="35">
        <f>'1kpi_performance'!R486</f>
        <v>5.839734953</v>
      </c>
      <c r="BC486" s="35">
        <f>'1kpi_performance'!S486</f>
        <v>9.729606662</v>
      </c>
      <c r="BD486" s="35">
        <f>'1kpi_performance'!T486</f>
        <v>11.16446697</v>
      </c>
      <c r="BE486" s="35">
        <f>'1kpi_performance'!U486</f>
        <v>1.305366441</v>
      </c>
      <c r="BF486" s="47"/>
      <c r="BG486" s="47"/>
      <c r="BH486" s="47"/>
      <c r="BI486" s="47"/>
      <c r="BJ486" s="47"/>
      <c r="BK486" s="47"/>
      <c r="BL486" s="47"/>
      <c r="BM486" s="47"/>
      <c r="BN486" s="47"/>
      <c r="BO486" s="47"/>
      <c r="BP486" s="47"/>
      <c r="BQ486" s="47"/>
      <c r="BR486" s="47"/>
      <c r="BS486" s="47"/>
      <c r="BT486" s="47"/>
    </row>
    <row r="487" ht="11.25" customHeight="1">
      <c r="A487" s="35" t="str">
        <f>'13all_company_profile'!A487</f>
        <v>PLD</v>
      </c>
      <c r="B487" s="35" t="str">
        <f>'13all_company_profile'!B487</f>
        <v>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v>
      </c>
      <c r="C487" s="44" t="str">
        <f>'13all_company_profile'!C487</f>
        <v>https://financialmodelingprep.com/image-stock/PLD.png</v>
      </c>
      <c r="D487" s="35" t="str">
        <f>'13all_company_profile'!D487</f>
        <v>Prologis, Inc.</v>
      </c>
      <c r="E487" s="36">
        <f>'13all_company_profile'!E487</f>
        <v>93906788352</v>
      </c>
      <c r="F487" s="37">
        <f>'13all_company_profile'!F487</f>
        <v>2476011</v>
      </c>
      <c r="G487" s="35">
        <f>'13all_company_profile'!G487</f>
        <v>2.42</v>
      </c>
      <c r="H487" s="38">
        <f>'13all_company_profile'!H487</f>
        <v>44396</v>
      </c>
      <c r="I487" s="35">
        <f>'13all_company_profile'!I487</f>
        <v>70.62258</v>
      </c>
      <c r="J487" s="35">
        <f>'13all_company_profile'!J487</f>
        <v>1.815</v>
      </c>
      <c r="K487" s="42">
        <f t="shared" si="1"/>
        <v>0.01890772717</v>
      </c>
      <c r="L487" s="35">
        <f>'7company_info'!B487</f>
        <v>127.99</v>
      </c>
      <c r="M487" s="35">
        <f>'7company_info'!C487</f>
        <v>128.87</v>
      </c>
      <c r="N487" s="35">
        <f>'7company_info'!D487</f>
        <v>126.95</v>
      </c>
      <c r="O487" s="35">
        <f>'7company_info'!E487</f>
        <v>1.21</v>
      </c>
      <c r="P487" s="35">
        <f>'7company_info'!F487</f>
        <v>0.0095</v>
      </c>
      <c r="Q487" s="35">
        <f>'7company_info'!G487</f>
        <v>127.88</v>
      </c>
      <c r="R487" s="35">
        <f>'7company_info'!H487</f>
        <v>126.78</v>
      </c>
      <c r="S487" s="35">
        <f>'7company_info'!I487</f>
        <v>93.08</v>
      </c>
      <c r="T487" s="35">
        <f>'7company_info'!J487</f>
        <v>128.87</v>
      </c>
      <c r="U487" s="39">
        <v>126.171666666666</v>
      </c>
      <c r="V487" s="39">
        <v>127.118333333333</v>
      </c>
      <c r="W487" s="40">
        <v>128.006666666666</v>
      </c>
      <c r="X487" s="40">
        <v>129.841666666666</v>
      </c>
      <c r="Y487" s="40">
        <v>125.283333333333</v>
      </c>
      <c r="Z487" s="40">
        <v>124.336666666666</v>
      </c>
      <c r="AA487" s="40">
        <v>122.501666666666</v>
      </c>
      <c r="AB487" s="40">
        <v>119.15</v>
      </c>
      <c r="AC487" s="40">
        <v>127.82</v>
      </c>
      <c r="AD487" s="40">
        <v>123.000015562139</v>
      </c>
      <c r="AE487" s="40">
        <v>121.318</v>
      </c>
      <c r="AF487" s="40">
        <v>2.08224999999999</v>
      </c>
      <c r="AG487" s="40">
        <v>126.32</v>
      </c>
      <c r="AH487" s="45">
        <v>44357.0</v>
      </c>
      <c r="AI487" s="44" t="str">
        <f>'6image_RS_benchmark_performance'!B487</f>
        <v>https://3arbzfbsh-cname-us.ngrok.io/Desktop/seabridge%20fintech/image_app/PLD_resistance_support.jpg</v>
      </c>
      <c r="AJ487" s="44" t="str">
        <f>'6image_RS_benchmark_performance'!C487</f>
        <v>https://3arbzfbsh-cname-us.ngrok.io/Desktop/seabridge%20fintech/profit_graph_app/PLD_Return.jpg</v>
      </c>
      <c r="AK487" s="46" t="str">
        <f>'5price_action_icon'!B487</f>
        <v>https://3arbzfbsh-cname-us.ngrok.io/Desktop/seabridge%20fintech/icon/PLD_pa_trend_signal</v>
      </c>
      <c r="AL487" s="42">
        <f>'1kpi_performance'!B487</f>
        <v>0.4750782391</v>
      </c>
      <c r="AM487" s="42">
        <f>'1kpi_performance'!C487</f>
        <v>0.5994354625</v>
      </c>
      <c r="AN487" s="42">
        <f>'1kpi_performance'!D487</f>
        <v>0.6226855937</v>
      </c>
      <c r="AO487" s="42">
        <f>'1kpi_performance'!E487</f>
        <v>0.2282233884</v>
      </c>
      <c r="AP487" s="42">
        <f>'1kpi_performance'!F487</f>
        <v>0.2092463798</v>
      </c>
      <c r="AQ487" s="42">
        <f>'1kpi_performance'!G487</f>
        <v>0.2124435984</v>
      </c>
      <c r="AR487" s="42">
        <f>'1kpi_performance'!H487</f>
        <v>0.2477547051</v>
      </c>
      <c r="AS487" s="42">
        <f>'1kpi_performance'!I487</f>
        <v>0.3245988573</v>
      </c>
      <c r="AT487" s="35">
        <f>'1kpi_performance'!J487</f>
        <v>2.15094875</v>
      </c>
      <c r="AU487" s="35">
        <f>'1kpi_performance'!K487</f>
        <v>2.703943385</v>
      </c>
      <c r="AV487" s="35">
        <f>'1kpi_performance'!L487</f>
        <v>2.41240865</v>
      </c>
      <c r="AW487" s="35">
        <f>'1kpi_performance'!M487</f>
        <v>0.6260754891</v>
      </c>
      <c r="AX487" s="42">
        <f>'1kpi_performance'!N487</f>
        <v>0.1454892966</v>
      </c>
      <c r="AY487" s="42">
        <f>'1kpi_performance'!O487</f>
        <v>0.1397994167</v>
      </c>
      <c r="AZ487" s="42">
        <f>'1kpi_performance'!P487</f>
        <v>0.3343223482</v>
      </c>
      <c r="BA487" s="42">
        <f>'1kpi_performance'!Q487</f>
        <v>0.3926462695</v>
      </c>
      <c r="BB487" s="35">
        <f>'1kpi_performance'!R487</f>
        <v>4.210239161</v>
      </c>
      <c r="BC487" s="35">
        <f>'1kpi_performance'!S487</f>
        <v>5.61094472</v>
      </c>
      <c r="BD487" s="35">
        <f>'1kpi_performance'!T487</f>
        <v>4.535027268</v>
      </c>
      <c r="BE487" s="35">
        <f>'1kpi_performance'!U487</f>
        <v>1.181142006</v>
      </c>
      <c r="BF487" s="47"/>
      <c r="BG487" s="47"/>
      <c r="BH487" s="47"/>
      <c r="BI487" s="47"/>
      <c r="BJ487" s="47"/>
      <c r="BK487" s="47"/>
      <c r="BL487" s="47"/>
      <c r="BM487" s="47"/>
      <c r="BN487" s="47"/>
      <c r="BO487" s="47"/>
      <c r="BP487" s="47"/>
      <c r="BQ487" s="47"/>
      <c r="BR487" s="47"/>
      <c r="BS487" s="47"/>
      <c r="BT487" s="47"/>
    </row>
    <row r="488" ht="11.25" customHeight="1">
      <c r="A488" s="35" t="str">
        <f>'13all_company_profile'!A488</f>
        <v>PLUG</v>
      </c>
      <c r="B488" s="35" t="str">
        <f>'13all_company_profile'!B488</f>
        <v>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v>
      </c>
      <c r="C488" s="44" t="str">
        <f>'13all_company_profile'!C488</f>
        <v>https://financialmodelingprep.com/image-stock/PLUG.png</v>
      </c>
      <c r="D488" s="35" t="str">
        <f>'13all_company_profile'!D488</f>
        <v>Plug Power Inc.</v>
      </c>
      <c r="E488" s="36">
        <f>'13all_company_profile'!E488</f>
        <v>15219556352</v>
      </c>
      <c r="F488" s="37">
        <f>'13all_company_profile'!F488</f>
        <v>34431031</v>
      </c>
      <c r="G488" s="35">
        <f>'13all_company_profile'!G488</f>
        <v>0</v>
      </c>
      <c r="H488" s="38">
        <f>'13all_company_profile'!H488</f>
        <v>44412</v>
      </c>
      <c r="I488" s="35" t="str">
        <f>'13all_company_profile'!I488</f>
        <v>NaN</v>
      </c>
      <c r="J488" s="35">
        <f>'13all_company_profile'!J488</f>
        <v>-1.523</v>
      </c>
      <c r="K488" s="42" t="str">
        <f t="shared" si="1"/>
        <v>NaN</v>
      </c>
      <c r="L488" s="35">
        <f>'7company_info'!B488</f>
        <v>26.86</v>
      </c>
      <c r="M488" s="35">
        <f>'7company_info'!C488</f>
        <v>27.06</v>
      </c>
      <c r="N488" s="35">
        <f>'7company_info'!D488</f>
        <v>25.31</v>
      </c>
      <c r="O488" s="35">
        <f>'7company_info'!E488</f>
        <v>0.86</v>
      </c>
      <c r="P488" s="35">
        <f>'7company_info'!F488</f>
        <v>0.0331</v>
      </c>
      <c r="Q488" s="35">
        <f>'7company_info'!G488</f>
        <v>26.1</v>
      </c>
      <c r="R488" s="35">
        <f>'7company_info'!H488</f>
        <v>26</v>
      </c>
      <c r="S488" s="35">
        <f>'7company_info'!I488</f>
        <v>7.07</v>
      </c>
      <c r="T488" s="35">
        <f>'7company_info'!J488</f>
        <v>75.49</v>
      </c>
      <c r="U488" s="39">
        <v>27.0233333333333</v>
      </c>
      <c r="V488" s="39">
        <v>27.7766666666666</v>
      </c>
      <c r="W488" s="40">
        <v>29.0133333333333</v>
      </c>
      <c r="X488" s="40">
        <v>31.0033333333333</v>
      </c>
      <c r="Y488" s="40">
        <v>25.7866666666666</v>
      </c>
      <c r="Z488" s="40">
        <v>25.0333333333333</v>
      </c>
      <c r="AA488" s="40">
        <v>23.0433333333333</v>
      </c>
      <c r="AB488" s="40">
        <v>29.81</v>
      </c>
      <c r="AC488" s="40">
        <v>32.34</v>
      </c>
      <c r="AD488" s="40">
        <v>30.4947382993513</v>
      </c>
      <c r="AE488" s="40">
        <v>23.97752</v>
      </c>
      <c r="AF488" s="40">
        <v>1.92272499999999</v>
      </c>
      <c r="AG488" s="40">
        <v>75.49</v>
      </c>
      <c r="AH488" s="45">
        <v>44222.0</v>
      </c>
      <c r="AI488" s="44" t="str">
        <f>'6image_RS_benchmark_performance'!B488</f>
        <v>https://3arbzfbsh-cname-us.ngrok.io/Desktop/seabridge%20fintech/image_app/PLUG_resistance_support.jpg</v>
      </c>
      <c r="AJ488" s="44" t="str">
        <f>'6image_RS_benchmark_performance'!C488</f>
        <v>https://3arbzfbsh-cname-us.ngrok.io/Desktop/seabridge%20fintech/profit_graph_app/PLUG_Return.jpg</v>
      </c>
      <c r="AK488" s="46" t="str">
        <f>'5price_action_icon'!B488</f>
        <v>https://3arbzfbsh-cname-us.ngrok.io/Desktop/seabridge%20fintech/icon/PLUG_pa_trend_signal</v>
      </c>
      <c r="AL488" s="42">
        <f>'1kpi_performance'!B488</f>
        <v>2.785716378</v>
      </c>
      <c r="AM488" s="42">
        <f>'1kpi_performance'!C488</f>
        <v>5.565403866</v>
      </c>
      <c r="AN488" s="42">
        <f>'1kpi_performance'!D488</f>
        <v>2.665629629</v>
      </c>
      <c r="AO488" s="42">
        <f>'1kpi_performance'!E488</f>
        <v>0.202810842</v>
      </c>
      <c r="AP488" s="42">
        <f>'1kpi_performance'!F488</f>
        <v>0.8828548794</v>
      </c>
      <c r="AQ488" s="42">
        <f>'1kpi_performance'!G488</f>
        <v>0.8866510835</v>
      </c>
      <c r="AR488" s="42">
        <f>'1kpi_performance'!H488</f>
        <v>0.8384738309</v>
      </c>
      <c r="AS488" s="42">
        <f>'1kpi_performance'!I488</f>
        <v>1.142463295</v>
      </c>
      <c r="AT488" s="35">
        <f>'1kpi_performance'!J488</f>
        <v>3.12703304</v>
      </c>
      <c r="AU488" s="35">
        <f>'1kpi_performance'!K488</f>
        <v>6.248685609</v>
      </c>
      <c r="AV488" s="35">
        <f>'1kpi_performance'!L488</f>
        <v>3.149328615</v>
      </c>
      <c r="AW488" s="35">
        <f>'1kpi_performance'!M488</f>
        <v>0.1556381223</v>
      </c>
      <c r="AX488" s="42">
        <f>'1kpi_performance'!N488</f>
        <v>0.4683008553</v>
      </c>
      <c r="AY488" s="42">
        <f>'1kpi_performance'!O488</f>
        <v>0.3585428336</v>
      </c>
      <c r="AZ488" s="42">
        <f>'1kpi_performance'!P488</f>
        <v>0.6913396404</v>
      </c>
      <c r="BA488" s="42">
        <f>'1kpi_performance'!Q488</f>
        <v>0.9868888889</v>
      </c>
      <c r="BB488" s="35">
        <f>'1kpi_performance'!R488</f>
        <v>8.023357263</v>
      </c>
      <c r="BC488" s="35">
        <f>'1kpi_performance'!S488</f>
        <v>19.70793478</v>
      </c>
      <c r="BD488" s="35">
        <f>'1kpi_performance'!T488</f>
        <v>7.797998167</v>
      </c>
      <c r="BE488" s="35">
        <f>'1kpi_performance'!U488</f>
        <v>0.3584758884</v>
      </c>
      <c r="BF488" s="47"/>
      <c r="BG488" s="47"/>
      <c r="BH488" s="47"/>
      <c r="BI488" s="47"/>
      <c r="BJ488" s="47"/>
      <c r="BK488" s="47"/>
      <c r="BL488" s="47"/>
      <c r="BM488" s="47"/>
      <c r="BN488" s="47"/>
      <c r="BO488" s="47"/>
      <c r="BP488" s="47"/>
      <c r="BQ488" s="47"/>
      <c r="BR488" s="47"/>
      <c r="BS488" s="47"/>
      <c r="BT488" s="47"/>
    </row>
    <row r="489" ht="11.25" customHeight="1">
      <c r="A489" s="35" t="str">
        <f>'13all_company_profile'!A489</f>
        <v>PM</v>
      </c>
      <c r="B489" s="35" t="str">
        <f>'13all_company_profile'!B489</f>
        <v>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v>
      </c>
      <c r="C489" s="44" t="str">
        <f>'13all_company_profile'!C489</f>
        <v>https://financialmodelingprep.com/image-stock/PM.png</v>
      </c>
      <c r="D489" s="35" t="str">
        <f>'13all_company_profile'!D489</f>
        <v>Philip Morris International Inc.</v>
      </c>
      <c r="E489" s="36">
        <f>'13all_company_profile'!E489</f>
        <v>154685095936</v>
      </c>
      <c r="F489" s="37">
        <f>'13all_company_profile'!F489</f>
        <v>4672300</v>
      </c>
      <c r="G489" s="35">
        <f>'13all_company_profile'!G489</f>
        <v>4.8</v>
      </c>
      <c r="H489" s="38">
        <f>'13all_company_profile'!H489</f>
        <v>44397</v>
      </c>
      <c r="I489" s="35">
        <f>'13all_company_profile'!I489</f>
        <v>17.857014</v>
      </c>
      <c r="J489" s="35">
        <f>'13all_company_profile'!J489</f>
        <v>5.539</v>
      </c>
      <c r="K489" s="42">
        <f t="shared" si="1"/>
        <v>0.05056357316</v>
      </c>
      <c r="L489" s="35">
        <f>'7company_info'!B489</f>
        <v>94.93</v>
      </c>
      <c r="M489" s="35">
        <f>'7company_info'!C489</f>
        <v>96.96</v>
      </c>
      <c r="N489" s="35">
        <f>'7company_info'!D489</f>
        <v>93.94</v>
      </c>
      <c r="O489" s="35">
        <f>'7company_info'!E489</f>
        <v>-3</v>
      </c>
      <c r="P489" s="35">
        <f>'7company_info'!F489</f>
        <v>-0.0306</v>
      </c>
      <c r="Q489" s="35">
        <f>'7company_info'!G489</f>
        <v>96.01</v>
      </c>
      <c r="R489" s="35">
        <f>'7company_info'!H489</f>
        <v>97.93</v>
      </c>
      <c r="S489" s="35">
        <f>'7company_info'!I489</f>
        <v>68.93</v>
      </c>
      <c r="T489" s="35">
        <f>'7company_info'!J489</f>
        <v>100.95</v>
      </c>
      <c r="U489" s="39">
        <v>99.0</v>
      </c>
      <c r="V489" s="39">
        <v>100.18</v>
      </c>
      <c r="W489" s="40">
        <v>100.8</v>
      </c>
      <c r="X489" s="40">
        <v>102.6</v>
      </c>
      <c r="Y489" s="40">
        <v>98.38</v>
      </c>
      <c r="Z489" s="40">
        <v>97.2</v>
      </c>
      <c r="AA489" s="40">
        <v>95.3999999999999</v>
      </c>
      <c r="AB489" s="40">
        <v>98.71</v>
      </c>
      <c r="AC489" s="40">
        <v>99.62</v>
      </c>
      <c r="AD489" s="40">
        <v>98.8350044168966</v>
      </c>
      <c r="AE489" s="40">
        <v>95.26943</v>
      </c>
      <c r="AF489" s="40">
        <v>1.274535</v>
      </c>
      <c r="AG489" s="40">
        <v>100.95</v>
      </c>
      <c r="AH489" s="45">
        <v>44363.0</v>
      </c>
      <c r="AI489" s="44" t="str">
        <f>'6image_RS_benchmark_performance'!B489</f>
        <v>https://3arbzfbsh-cname-us.ngrok.io/Desktop/seabridge%20fintech/image_app/PM_resistance_support.jpg</v>
      </c>
      <c r="AJ489" s="44" t="str">
        <f>'6image_RS_benchmark_performance'!C489</f>
        <v>https://3arbzfbsh-cname-us.ngrok.io/Desktop/seabridge%20fintech/profit_graph_app/PM_Return.jpg</v>
      </c>
      <c r="AK489" s="46" t="str">
        <f>'5price_action_icon'!B489</f>
        <v>https://3arbzfbsh-cname-us.ngrok.io/Desktop/seabridge%20fintech/icon/PM_pa_trend_signal</v>
      </c>
      <c r="AL489" s="42">
        <f>'1kpi_performance'!B489</f>
        <v>0.4277320628</v>
      </c>
      <c r="AM489" s="42">
        <f>'1kpi_performance'!C489</f>
        <v>0.5348922225</v>
      </c>
      <c r="AN489" s="42">
        <f>'1kpi_performance'!D489</f>
        <v>0.5010608269</v>
      </c>
      <c r="AO489" s="42">
        <f>'1kpi_performance'!E489</f>
        <v>0.09594143331</v>
      </c>
      <c r="AP489" s="42">
        <f>'1kpi_performance'!F489</f>
        <v>0.1639336768</v>
      </c>
      <c r="AQ489" s="42">
        <f>'1kpi_performance'!G489</f>
        <v>0.1734298998</v>
      </c>
      <c r="AR489" s="42">
        <f>'1kpi_performance'!H489</f>
        <v>0.1924373085</v>
      </c>
      <c r="AS489" s="42">
        <f>'1kpi_performance'!I489</f>
        <v>0.2615044828</v>
      </c>
      <c r="AT489" s="35">
        <f>'1kpi_performance'!J489</f>
        <v>2.456676814</v>
      </c>
      <c r="AU489" s="35">
        <f>'1kpi_performance'!K489</f>
        <v>2.940047957</v>
      </c>
      <c r="AV489" s="35">
        <f>'1kpi_performance'!L489</f>
        <v>2.473848915</v>
      </c>
      <c r="AW489" s="35">
        <f>'1kpi_performance'!M489</f>
        <v>0.2712819014</v>
      </c>
      <c r="AX489" s="42">
        <f>'1kpi_performance'!N489</f>
        <v>0.0836924203</v>
      </c>
      <c r="AY489" s="42">
        <f>'1kpi_performance'!O489</f>
        <v>0.1134749725</v>
      </c>
      <c r="AZ489" s="42">
        <f>'1kpi_performance'!P489</f>
        <v>0.3240928555</v>
      </c>
      <c r="BA489" s="42">
        <f>'1kpi_performance'!Q489</f>
        <v>0.5119609439</v>
      </c>
      <c r="BB489" s="35">
        <f>'1kpi_performance'!R489</f>
        <v>5.24336875</v>
      </c>
      <c r="BC489" s="35">
        <f>'1kpi_performance'!S489</f>
        <v>6.772680161</v>
      </c>
      <c r="BD489" s="35">
        <f>'1kpi_performance'!T489</f>
        <v>4.863615679</v>
      </c>
      <c r="BE489" s="35">
        <f>'1kpi_performance'!U489</f>
        <v>0.4968305641</v>
      </c>
      <c r="BF489" s="47"/>
      <c r="BG489" s="47"/>
      <c r="BH489" s="47"/>
      <c r="BI489" s="47"/>
      <c r="BJ489" s="47"/>
      <c r="BK489" s="47"/>
      <c r="BL489" s="47"/>
      <c r="BM489" s="47"/>
      <c r="BN489" s="47"/>
      <c r="BO489" s="47"/>
      <c r="BP489" s="47"/>
      <c r="BQ489" s="47"/>
      <c r="BR489" s="47"/>
      <c r="BS489" s="47"/>
      <c r="BT489" s="47"/>
    </row>
    <row r="490" ht="11.25" customHeight="1">
      <c r="A490" s="35" t="str">
        <f>'13all_company_profile'!A490</f>
        <v>PNC</v>
      </c>
      <c r="B490" s="35" t="str">
        <f>'13all_company_profile'!B490</f>
        <v>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v>
      </c>
      <c r="C490" s="44" t="str">
        <f>'13all_company_profile'!C490</f>
        <v>https://financialmodelingprep.com/image-stock/PNC.png</v>
      </c>
      <c r="D490" s="35" t="str">
        <f>'13all_company_profile'!D490</f>
        <v>The PNC Financial Services Group, Inc.</v>
      </c>
      <c r="E490" s="36">
        <f>'13all_company_profile'!E490</f>
        <v>80519086080</v>
      </c>
      <c r="F490" s="37">
        <f>'13all_company_profile'!F490</f>
        <v>1730358</v>
      </c>
      <c r="G490" s="35">
        <f>'13all_company_profile'!G490</f>
        <v>5.85</v>
      </c>
      <c r="H490" s="38" t="str">
        <f>'13all_company_profile'!H490</f>
        <v>not avaiable</v>
      </c>
      <c r="I490" s="35">
        <f>'13all_company_profile'!I490</f>
        <v>13.897945</v>
      </c>
      <c r="J490" s="35">
        <f>'13all_company_profile'!J490</f>
        <v>13.189</v>
      </c>
      <c r="K490" s="42">
        <f t="shared" si="1"/>
        <v>0.03221365639</v>
      </c>
      <c r="L490" s="35">
        <f>'7company_info'!B490</f>
        <v>181.6</v>
      </c>
      <c r="M490" s="35">
        <f>'7company_info'!C490</f>
        <v>183.47</v>
      </c>
      <c r="N490" s="35">
        <f>'7company_info'!D490</f>
        <v>177.21</v>
      </c>
      <c r="O490" s="35">
        <f>'7company_info'!E490</f>
        <v>3.8</v>
      </c>
      <c r="P490" s="35">
        <f>'7company_info'!F490</f>
        <v>0.0214</v>
      </c>
      <c r="Q490" s="35">
        <f>'7company_info'!G490</f>
        <v>177.86</v>
      </c>
      <c r="R490" s="35">
        <f>'7company_info'!H490</f>
        <v>177.8</v>
      </c>
      <c r="S490" s="35">
        <f>'7company_info'!I490</f>
        <v>101.55</v>
      </c>
      <c r="T490" s="35">
        <f>'7company_info'!J490</f>
        <v>203.88</v>
      </c>
      <c r="U490" s="39">
        <v>188.426666666666</v>
      </c>
      <c r="V490" s="39">
        <v>191.363333333333</v>
      </c>
      <c r="W490" s="40">
        <v>194.386666666666</v>
      </c>
      <c r="X490" s="40">
        <v>200.346666666666</v>
      </c>
      <c r="Y490" s="40">
        <v>185.403333333333</v>
      </c>
      <c r="Z490" s="40">
        <v>182.466666666666</v>
      </c>
      <c r="AA490" s="40">
        <v>176.506666666666</v>
      </c>
      <c r="AB490" s="40">
        <v>188.67</v>
      </c>
      <c r="AC490" s="40">
        <v>194.49</v>
      </c>
      <c r="AD490" s="40">
        <v>189.099323211958</v>
      </c>
      <c r="AE490" s="40">
        <v>180.06936</v>
      </c>
      <c r="AF490" s="40">
        <v>4.73806999999999</v>
      </c>
      <c r="AG490" s="40">
        <v>203.8782</v>
      </c>
      <c r="AH490" s="45">
        <v>44326.0</v>
      </c>
      <c r="AI490" s="44" t="str">
        <f>'6image_RS_benchmark_performance'!B490</f>
        <v>https://3arbzfbsh-cname-us.ngrok.io/Desktop/seabridge%20fintech/image_app/PNC_resistance_support.jpg</v>
      </c>
      <c r="AJ490" s="44" t="str">
        <f>'6image_RS_benchmark_performance'!C490</f>
        <v>https://3arbzfbsh-cname-us.ngrok.io/Desktop/seabridge%20fintech/profit_graph_app/PNC_Return.jpg</v>
      </c>
      <c r="AK490" s="46" t="str">
        <f>'5price_action_icon'!B490</f>
        <v>https://3arbzfbsh-cname-us.ngrok.io/Desktop/seabridge%20fintech/icon/PNC_pa_trend_signal</v>
      </c>
      <c r="AL490" s="42">
        <f>'1kpi_performance'!B490</f>
        <v>0.5325945451</v>
      </c>
      <c r="AM490" s="42">
        <f>'1kpi_performance'!C490</f>
        <v>0.6332434854</v>
      </c>
      <c r="AN490" s="42">
        <f>'1kpi_performance'!D490</f>
        <v>0.6568533243</v>
      </c>
      <c r="AO490" s="42">
        <f>'1kpi_performance'!E490</f>
        <v>0.163938116</v>
      </c>
      <c r="AP490" s="42">
        <f>'1kpi_performance'!F490</f>
        <v>0.2315021891</v>
      </c>
      <c r="AQ490" s="42">
        <f>'1kpi_performance'!G490</f>
        <v>0.2140038711</v>
      </c>
      <c r="AR490" s="42">
        <f>'1kpi_performance'!H490</f>
        <v>0.2077827818</v>
      </c>
      <c r="AS490" s="42">
        <f>'1kpi_performance'!I490</f>
        <v>0.3386501048</v>
      </c>
      <c r="AT490" s="35">
        <f>'1kpi_performance'!J490</f>
        <v>2.192612291</v>
      </c>
      <c r="AU490" s="35">
        <f>'1kpi_performance'!K490</f>
        <v>2.842207864</v>
      </c>
      <c r="AV490" s="35">
        <f>'1kpi_performance'!L490</f>
        <v>3.040932068</v>
      </c>
      <c r="AW490" s="35">
        <f>'1kpi_performance'!M490</f>
        <v>0.4102704061</v>
      </c>
      <c r="AX490" s="42">
        <f>'1kpi_performance'!N490</f>
        <v>0.1807632632</v>
      </c>
      <c r="AY490" s="42">
        <f>'1kpi_performance'!O490</f>
        <v>0.141149687</v>
      </c>
      <c r="AZ490" s="42">
        <f>'1kpi_performance'!P490</f>
        <v>0.1907794545</v>
      </c>
      <c r="BA490" s="42">
        <f>'1kpi_performance'!Q490</f>
        <v>0.503601108</v>
      </c>
      <c r="BB490" s="35">
        <f>'1kpi_performance'!R490</f>
        <v>4.658231822</v>
      </c>
      <c r="BC490" s="35">
        <f>'1kpi_performance'!S490</f>
        <v>6.496794745</v>
      </c>
      <c r="BD490" s="35">
        <f>'1kpi_performance'!T490</f>
        <v>6.696016628</v>
      </c>
      <c r="BE490" s="35">
        <f>'1kpi_performance'!U490</f>
        <v>0.7918717954</v>
      </c>
      <c r="BF490" s="47"/>
      <c r="BG490" s="47"/>
      <c r="BH490" s="47"/>
      <c r="BI490" s="47"/>
      <c r="BJ490" s="47"/>
      <c r="BK490" s="47"/>
      <c r="BL490" s="47"/>
      <c r="BM490" s="47"/>
      <c r="BN490" s="47"/>
      <c r="BO490" s="47"/>
      <c r="BP490" s="47"/>
      <c r="BQ490" s="47"/>
      <c r="BR490" s="47"/>
      <c r="BS490" s="47"/>
      <c r="BT490" s="47"/>
    </row>
    <row r="491" ht="11.25" customHeight="1">
      <c r="A491" s="35" t="str">
        <f>'13all_company_profile'!A491</f>
        <v>PNR</v>
      </c>
      <c r="B491" s="35" t="str">
        <f>'13all_company_profile'!B491</f>
        <v>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v>
      </c>
      <c r="C491" s="44" t="str">
        <f>'13all_company_profile'!C491</f>
        <v>https://financialmodelingprep.com/image-stock/PNR.png</v>
      </c>
      <c r="D491" s="35" t="str">
        <f>'13all_company_profile'!D491</f>
        <v>Pentair plc</v>
      </c>
      <c r="E491" s="36">
        <f>'13all_company_profile'!E491</f>
        <v>11654084608</v>
      </c>
      <c r="F491" s="37">
        <f>'13all_company_profile'!F491</f>
        <v>996874</v>
      </c>
      <c r="G491" s="35">
        <f>'13all_company_profile'!G491</f>
        <v>0.78</v>
      </c>
      <c r="H491" s="38">
        <f>'13all_company_profile'!H491</f>
        <v>44398</v>
      </c>
      <c r="I491" s="35">
        <f>'13all_company_profile'!I491</f>
        <v>27.851372</v>
      </c>
      <c r="J491" s="35">
        <f>'13all_company_profile'!J491</f>
        <v>2.476</v>
      </c>
      <c r="K491" s="42">
        <f t="shared" si="1"/>
        <v>0.0112181792</v>
      </c>
      <c r="L491" s="35">
        <f>'7company_info'!B491</f>
        <v>69.53</v>
      </c>
      <c r="M491" s="35">
        <f>'7company_info'!C491</f>
        <v>69.92</v>
      </c>
      <c r="N491" s="35">
        <f>'7company_info'!D491</f>
        <v>67.57</v>
      </c>
      <c r="O491" s="35">
        <f>'7company_info'!E491</f>
        <v>1.92</v>
      </c>
      <c r="P491" s="35">
        <f>'7company_info'!F491</f>
        <v>0.0284</v>
      </c>
      <c r="Q491" s="35">
        <f>'7company_info'!G491</f>
        <v>67.82</v>
      </c>
      <c r="R491" s="35">
        <f>'7company_info'!H491</f>
        <v>67.61</v>
      </c>
      <c r="S491" s="35">
        <f>'7company_info'!I491</f>
        <v>40.98</v>
      </c>
      <c r="T491" s="35">
        <f>'7company_info'!J491</f>
        <v>71</v>
      </c>
      <c r="U491" s="39">
        <v>70.2366666666666</v>
      </c>
      <c r="V491" s="39">
        <v>70.8033333333333</v>
      </c>
      <c r="W491" s="40">
        <v>71.2766666666666</v>
      </c>
      <c r="X491" s="40">
        <v>72.3166666666666</v>
      </c>
      <c r="Y491" s="40">
        <v>69.7633333333333</v>
      </c>
      <c r="Z491" s="40">
        <v>69.1966666666666</v>
      </c>
      <c r="AA491" s="40">
        <v>68.1566666666666</v>
      </c>
      <c r="AB491" s="40">
        <v>66.65</v>
      </c>
      <c r="AC491" s="40">
        <v>71.0</v>
      </c>
      <c r="AD491" s="40">
        <v>68.2363091855547</v>
      </c>
      <c r="AE491" s="40">
        <v>66.964</v>
      </c>
      <c r="AF491" s="40">
        <v>1.44675</v>
      </c>
      <c r="AG491" s="40">
        <v>70.76</v>
      </c>
      <c r="AH491" s="45">
        <v>44349.0</v>
      </c>
      <c r="AI491" s="44" t="str">
        <f>'6image_RS_benchmark_performance'!B491</f>
        <v>https://3arbzfbsh-cname-us.ngrok.io/Desktop/seabridge%20fintech/image_app/PNR_resistance_support.jpg</v>
      </c>
      <c r="AJ491" s="44" t="str">
        <f>'6image_RS_benchmark_performance'!C491</f>
        <v>https://3arbzfbsh-cname-us.ngrok.io/Desktop/seabridge%20fintech/profit_graph_app/PNR_Return.jpg</v>
      </c>
      <c r="AK491" s="46" t="str">
        <f>'5price_action_icon'!B491</f>
        <v>https://3arbzfbsh-cname-us.ngrok.io/Desktop/seabridge%20fintech/icon/PNR_pa_trend_signal</v>
      </c>
      <c r="AL491" s="42">
        <f>'1kpi_performance'!B491</f>
        <v>0.5282089808</v>
      </c>
      <c r="AM491" s="42">
        <f>'1kpi_performance'!C491</f>
        <v>0.6987348423</v>
      </c>
      <c r="AN491" s="42">
        <f>'1kpi_performance'!D491</f>
        <v>0.5862738315</v>
      </c>
      <c r="AO491" s="42">
        <f>'1kpi_performance'!E491</f>
        <v>0.1576045804</v>
      </c>
      <c r="AP491" s="42">
        <f>'1kpi_performance'!F491</f>
        <v>0.2165961068</v>
      </c>
      <c r="AQ491" s="42">
        <f>'1kpi_performance'!G491</f>
        <v>0.2246447963</v>
      </c>
      <c r="AR491" s="42">
        <f>'1kpi_performance'!H491</f>
        <v>0.2298029266</v>
      </c>
      <c r="AS491" s="42">
        <f>'1kpi_performance'!I491</f>
        <v>0.3402996704</v>
      </c>
      <c r="AT491" s="35">
        <f>'1kpi_performance'!J491</f>
        <v>2.323259583</v>
      </c>
      <c r="AU491" s="35">
        <f>'1kpi_performance'!K491</f>
        <v>2.999111724</v>
      </c>
      <c r="AV491" s="35">
        <f>'1kpi_performance'!L491</f>
        <v>2.442413766</v>
      </c>
      <c r="AW491" s="35">
        <f>'1kpi_performance'!M491</f>
        <v>0.3896700231</v>
      </c>
      <c r="AX491" s="42">
        <f>'1kpi_performance'!N491</f>
        <v>0.129676135</v>
      </c>
      <c r="AY491" s="42">
        <f>'1kpi_performance'!O491</f>
        <v>0.109317905</v>
      </c>
      <c r="AZ491" s="42">
        <f>'1kpi_performance'!P491</f>
        <v>0.4957460093</v>
      </c>
      <c r="BA491" s="42">
        <f>'1kpi_performance'!Q491</f>
        <v>0.5890930736</v>
      </c>
      <c r="BB491" s="35">
        <f>'1kpi_performance'!R491</f>
        <v>5.037373482</v>
      </c>
      <c r="BC491" s="35">
        <f>'1kpi_performance'!S491</f>
        <v>6.921617054</v>
      </c>
      <c r="BD491" s="35">
        <f>'1kpi_performance'!T491</f>
        <v>4.872801059</v>
      </c>
      <c r="BE491" s="35">
        <f>'1kpi_performance'!U491</f>
        <v>0.7509066706</v>
      </c>
      <c r="BF491" s="47"/>
      <c r="BG491" s="47"/>
      <c r="BH491" s="47"/>
      <c r="BI491" s="47"/>
      <c r="BJ491" s="47"/>
      <c r="BK491" s="47"/>
      <c r="BL491" s="47"/>
      <c r="BM491" s="47"/>
      <c r="BN491" s="47"/>
      <c r="BO491" s="47"/>
      <c r="BP491" s="47"/>
      <c r="BQ491" s="47"/>
      <c r="BR491" s="47"/>
      <c r="BS491" s="47"/>
      <c r="BT491" s="47"/>
    </row>
    <row r="492" ht="11.25" customHeight="1">
      <c r="A492" s="35" t="str">
        <f>'13all_company_profile'!A492</f>
        <v>PNW</v>
      </c>
      <c r="B492" s="35" t="str">
        <f>'13all_company_profile'!B492</f>
        <v>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v>
      </c>
      <c r="C492" s="44" t="str">
        <f>'13all_company_profile'!C492</f>
        <v>https://financialmodelingprep.com/image-stock/PNW.png</v>
      </c>
      <c r="D492" s="35" t="str">
        <f>'13all_company_profile'!D492</f>
        <v>Pinnacle West Capital Corporation</v>
      </c>
      <c r="E492" s="36">
        <f>'13all_company_profile'!E492</f>
        <v>9539862528</v>
      </c>
      <c r="F492" s="37">
        <f>'13all_company_profile'!F492</f>
        <v>873953</v>
      </c>
      <c r="G492" s="35">
        <f>'13all_company_profile'!G492</f>
        <v>4.103</v>
      </c>
      <c r="H492" s="38">
        <f>'13all_company_profile'!H492</f>
        <v>44413</v>
      </c>
      <c r="I492" s="35">
        <f>'13all_company_profile'!I492</f>
        <v>17.645384</v>
      </c>
      <c r="J492" s="35">
        <f>'13all_company_profile'!J492</f>
        <v>4.918</v>
      </c>
      <c r="K492" s="42">
        <f t="shared" si="1"/>
        <v>0.04834452692</v>
      </c>
      <c r="L492" s="35">
        <f>'7company_info'!B492</f>
        <v>84.87</v>
      </c>
      <c r="M492" s="35">
        <f>'7company_info'!C492</f>
        <v>86.03</v>
      </c>
      <c r="N492" s="35">
        <f>'7company_info'!D492</f>
        <v>84.37</v>
      </c>
      <c r="O492" s="35">
        <f>'7company_info'!E492</f>
        <v>0.56</v>
      </c>
      <c r="P492" s="35">
        <f>'7company_info'!F492</f>
        <v>0.0066</v>
      </c>
      <c r="Q492" s="35">
        <f>'7company_info'!G492</f>
        <v>84.61</v>
      </c>
      <c r="R492" s="35">
        <f>'7company_info'!H492</f>
        <v>84.31</v>
      </c>
      <c r="S492" s="35">
        <f>'7company_info'!I492</f>
        <v>69.29</v>
      </c>
      <c r="T492" s="35">
        <f>'7company_info'!J492</f>
        <v>91.88</v>
      </c>
      <c r="U492" s="39">
        <v>83.8166666666666</v>
      </c>
      <c r="V492" s="39">
        <v>84.7733333333333</v>
      </c>
      <c r="W492" s="40">
        <v>85.4066666666666</v>
      </c>
      <c r="X492" s="40">
        <v>86.9966666666666</v>
      </c>
      <c r="Y492" s="40">
        <v>83.1833333333333</v>
      </c>
      <c r="Z492" s="40">
        <v>82.2266666666666</v>
      </c>
      <c r="AA492" s="40">
        <v>80.6366666666666</v>
      </c>
      <c r="AB492" s="40">
        <v>84.82</v>
      </c>
      <c r="AC492" s="40">
        <v>87.27</v>
      </c>
      <c r="AD492" s="40">
        <v>83.6076777865346</v>
      </c>
      <c r="AE492" s="40">
        <v>80.13815</v>
      </c>
      <c r="AF492" s="40">
        <v>1.504425</v>
      </c>
      <c r="AG492" s="40">
        <v>88.54</v>
      </c>
      <c r="AH492" s="45">
        <v>44326.0</v>
      </c>
      <c r="AI492" s="44" t="str">
        <f>'6image_RS_benchmark_performance'!B492</f>
        <v>https://3arbzfbsh-cname-us.ngrok.io/Desktop/seabridge%20fintech/image_app/PNW_resistance_support.jpg</v>
      </c>
      <c r="AJ492" s="44" t="str">
        <f>'6image_RS_benchmark_performance'!C492</f>
        <v>https://3arbzfbsh-cname-us.ngrok.io/Desktop/seabridge%20fintech/profit_graph_app/PNW_Return.jpg</v>
      </c>
      <c r="AK492" s="46" t="str">
        <f>'5price_action_icon'!B492</f>
        <v>https://3arbzfbsh-cname-us.ngrok.io/Desktop/seabridge%20fintech/icon/PNW_pa_trend_signal</v>
      </c>
      <c r="AL492" s="42">
        <f>'1kpi_performance'!B492</f>
        <v>0.3416612265</v>
      </c>
      <c r="AM492" s="42">
        <f>'1kpi_performance'!C492</f>
        <v>0.4601582208</v>
      </c>
      <c r="AN492" s="42">
        <f>'1kpi_performance'!D492</f>
        <v>0.361129847</v>
      </c>
      <c r="AO492" s="42">
        <f>'1kpi_performance'!E492</f>
        <v>0.1084728864</v>
      </c>
      <c r="AP492" s="42">
        <f>'1kpi_performance'!F492</f>
        <v>0.1570354329</v>
      </c>
      <c r="AQ492" s="42">
        <f>'1kpi_performance'!G492</f>
        <v>0.1631625855</v>
      </c>
      <c r="AR492" s="42">
        <f>'1kpi_performance'!H492</f>
        <v>0.1885339552</v>
      </c>
      <c r="AS492" s="42">
        <f>'1kpi_performance'!I492</f>
        <v>0.2484678214</v>
      </c>
      <c r="AT492" s="35">
        <f>'1kpi_performance'!J492</f>
        <v>2.01649539</v>
      </c>
      <c r="AU492" s="35">
        <f>'1kpi_performance'!K492</f>
        <v>2.667022097</v>
      </c>
      <c r="AV492" s="35">
        <f>'1kpi_performance'!L492</f>
        <v>1.782861058</v>
      </c>
      <c r="AW492" s="35">
        <f>'1kpi_performance'!M492</f>
        <v>0.33595049</v>
      </c>
      <c r="AX492" s="42">
        <f>'1kpi_performance'!N492</f>
        <v>0.1405344089</v>
      </c>
      <c r="AY492" s="42">
        <f>'1kpi_performance'!O492</f>
        <v>0.1405344089</v>
      </c>
      <c r="AZ492" s="42">
        <f>'1kpi_performance'!P492</f>
        <v>0.3769251874</v>
      </c>
      <c r="BA492" s="42">
        <f>'1kpi_performance'!Q492</f>
        <v>0.3927606178</v>
      </c>
      <c r="BB492" s="35">
        <f>'1kpi_performance'!R492</f>
        <v>4.007879495</v>
      </c>
      <c r="BC492" s="35">
        <f>'1kpi_performance'!S492</f>
        <v>5.824144962</v>
      </c>
      <c r="BD492" s="35">
        <f>'1kpi_performance'!T492</f>
        <v>3.23007411</v>
      </c>
      <c r="BE492" s="35">
        <f>'1kpi_performance'!U492</f>
        <v>0.6247382089</v>
      </c>
      <c r="BF492" s="47"/>
      <c r="BG492" s="47"/>
      <c r="BH492" s="47"/>
      <c r="BI492" s="47"/>
      <c r="BJ492" s="47"/>
      <c r="BK492" s="47"/>
      <c r="BL492" s="47"/>
      <c r="BM492" s="47"/>
      <c r="BN492" s="47"/>
      <c r="BO492" s="47"/>
      <c r="BP492" s="47"/>
      <c r="BQ492" s="47"/>
      <c r="BR492" s="47"/>
      <c r="BS492" s="47"/>
      <c r="BT492" s="47"/>
    </row>
    <row r="493" ht="11.25" customHeight="1">
      <c r="A493" s="35" t="str">
        <f>'13all_company_profile'!A493</f>
        <v>POOL</v>
      </c>
      <c r="B493" s="35" t="str">
        <f>'13all_company_profile'!B493</f>
        <v>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v>
      </c>
      <c r="C493" s="44" t="str">
        <f>'13all_company_profile'!C493</f>
        <v>https://financialmodelingprep.com/image-stock/POOL.png</v>
      </c>
      <c r="D493" s="35" t="str">
        <f>'13all_company_profile'!D493</f>
        <v>Pool Corporation</v>
      </c>
      <c r="E493" s="36">
        <f>'13all_company_profile'!E493</f>
        <v>18453221376</v>
      </c>
      <c r="F493" s="37">
        <f>'13all_company_profile'!F493</f>
        <v>263193</v>
      </c>
      <c r="G493" s="35">
        <f>'13all_company_profile'!G493</f>
        <v>2.54</v>
      </c>
      <c r="H493" s="38">
        <f>'13all_company_profile'!H493</f>
        <v>44398</v>
      </c>
      <c r="I493" s="35">
        <f>'13all_company_profile'!I493</f>
        <v>43.294346</v>
      </c>
      <c r="J493" s="35">
        <f>'13all_company_profile'!J493</f>
        <v>10.644</v>
      </c>
      <c r="K493" s="42">
        <f t="shared" si="1"/>
        <v>0.005613135621</v>
      </c>
      <c r="L493" s="35">
        <f>'7company_info'!B493</f>
        <v>452.51</v>
      </c>
      <c r="M493" s="35">
        <f>'7company_info'!C493</f>
        <v>458.28</v>
      </c>
      <c r="N493" s="35">
        <f>'7company_info'!D493</f>
        <v>450.67</v>
      </c>
      <c r="O493" s="35">
        <f>'7company_info'!E493</f>
        <v>-1.01</v>
      </c>
      <c r="P493" s="35">
        <f>'7company_info'!F493</f>
        <v>-0.0022</v>
      </c>
      <c r="Q493" s="35">
        <f>'7company_info'!G493</f>
        <v>454.41</v>
      </c>
      <c r="R493" s="35">
        <f>'7company_info'!H493</f>
        <v>453.52</v>
      </c>
      <c r="S493" s="35">
        <f>'7company_info'!I493</f>
        <v>285.93</v>
      </c>
      <c r="T493" s="35">
        <f>'7company_info'!J493</f>
        <v>478.67</v>
      </c>
      <c r="U493" s="39">
        <v>469.107566666666</v>
      </c>
      <c r="V493" s="39">
        <v>472.732433333333</v>
      </c>
      <c r="W493" s="40">
        <v>476.694866666666</v>
      </c>
      <c r="X493" s="40">
        <v>484.282166666666</v>
      </c>
      <c r="Y493" s="40">
        <v>465.145133333333</v>
      </c>
      <c r="Z493" s="40">
        <v>461.520266666666</v>
      </c>
      <c r="AA493" s="40">
        <v>453.932966666666</v>
      </c>
      <c r="AB493" s="40">
        <v>462.4301</v>
      </c>
      <c r="AC493" s="40">
        <v>478.67</v>
      </c>
      <c r="AD493" s="40">
        <v>460.01505506816</v>
      </c>
      <c r="AE493" s="40">
        <v>450.94472</v>
      </c>
      <c r="AF493" s="40">
        <v>9.935755</v>
      </c>
      <c r="AG493" s="40">
        <v>464.03</v>
      </c>
      <c r="AH493" s="45">
        <v>44368.0</v>
      </c>
      <c r="AI493" s="44" t="str">
        <f>'6image_RS_benchmark_performance'!B493</f>
        <v>https://3arbzfbsh-cname-us.ngrok.io/Desktop/seabridge%20fintech/image_app/POOL_resistance_support.jpg</v>
      </c>
      <c r="AJ493" s="44" t="str">
        <f>'6image_RS_benchmark_performance'!C493</f>
        <v>https://3arbzfbsh-cname-us.ngrok.io/Desktop/seabridge%20fintech/profit_graph_app/POOL_Return.jpg</v>
      </c>
      <c r="AK493" s="46" t="str">
        <f>'5price_action_icon'!B493</f>
        <v>https://3arbzfbsh-cname-us.ngrok.io/Desktop/seabridge%20fintech/icon/POOL_pa_trend_signal</v>
      </c>
      <c r="AL493" s="42">
        <f>'1kpi_performance'!B493</f>
        <v>0.7017167405</v>
      </c>
      <c r="AM493" s="42">
        <f>'1kpi_performance'!C493</f>
        <v>0.8053095299</v>
      </c>
      <c r="AN493" s="42">
        <f>'1kpi_performance'!D493</f>
        <v>0.5173511266</v>
      </c>
      <c r="AO493" s="42">
        <f>'1kpi_performance'!E493</f>
        <v>0.4862022224</v>
      </c>
      <c r="AP493" s="42">
        <f>'1kpi_performance'!F493</f>
        <v>0.2146352063</v>
      </c>
      <c r="AQ493" s="42">
        <f>'1kpi_performance'!G493</f>
        <v>0.2219168674</v>
      </c>
      <c r="AR493" s="42">
        <f>'1kpi_performance'!H493</f>
        <v>0.2263694196</v>
      </c>
      <c r="AS493" s="42">
        <f>'1kpi_performance'!I493</f>
        <v>0.3258609804</v>
      </c>
      <c r="AT493" s="35">
        <f>'1kpi_performance'!J493</f>
        <v>3.152869243</v>
      </c>
      <c r="AU493" s="35">
        <f>'1kpi_performance'!K493</f>
        <v>3.516224518</v>
      </c>
      <c r="AV493" s="35">
        <f>'1kpi_performance'!L493</f>
        <v>2.17498957</v>
      </c>
      <c r="AW493" s="35">
        <f>'1kpi_performance'!M493</f>
        <v>1.415334299</v>
      </c>
      <c r="AX493" s="42">
        <f>'1kpi_performance'!N493</f>
        <v>0.1247070917</v>
      </c>
      <c r="AY493" s="42">
        <f>'1kpi_performance'!O493</f>
        <v>0.129288529</v>
      </c>
      <c r="AZ493" s="42">
        <f>'1kpi_performance'!P493</f>
        <v>0.2626351411</v>
      </c>
      <c r="BA493" s="42">
        <f>'1kpi_performance'!Q493</f>
        <v>0.2890677966</v>
      </c>
      <c r="BB493" s="35">
        <f>'1kpi_performance'!R493</f>
        <v>7.239764066</v>
      </c>
      <c r="BC493" s="35">
        <f>'1kpi_performance'!S493</f>
        <v>8.4528511</v>
      </c>
      <c r="BD493" s="35">
        <f>'1kpi_performance'!T493</f>
        <v>4.079315696</v>
      </c>
      <c r="BE493" s="35">
        <f>'1kpi_performance'!U493</f>
        <v>2.760610376</v>
      </c>
      <c r="BF493" s="47"/>
      <c r="BG493" s="47"/>
      <c r="BH493" s="47"/>
      <c r="BI493" s="47"/>
      <c r="BJ493" s="47"/>
      <c r="BK493" s="47"/>
      <c r="BL493" s="47"/>
      <c r="BM493" s="47"/>
      <c r="BN493" s="47"/>
      <c r="BO493" s="47"/>
      <c r="BP493" s="47"/>
      <c r="BQ493" s="47"/>
      <c r="BR493" s="47"/>
      <c r="BS493" s="47"/>
      <c r="BT493" s="47"/>
    </row>
    <row r="494" ht="11.25" customHeight="1">
      <c r="A494" s="35" t="str">
        <f>'13all_company_profile'!A494</f>
        <v>PPG</v>
      </c>
      <c r="B494" s="35" t="str">
        <f>'13all_company_profile'!B494</f>
        <v>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v>
      </c>
      <c r="C494" s="44" t="str">
        <f>'13all_company_profile'!C494</f>
        <v>https://financialmodelingprep.com/image-stock/PPG.png</v>
      </c>
      <c r="D494" s="35" t="str">
        <f>'13all_company_profile'!D494</f>
        <v>PPG Industries, Inc.</v>
      </c>
      <c r="E494" s="36">
        <f>'13all_company_profile'!E494</f>
        <v>40637399040</v>
      </c>
      <c r="F494" s="37">
        <f>'13all_company_profile'!F494</f>
        <v>1201746</v>
      </c>
      <c r="G494" s="35">
        <f>'13all_company_profile'!G494</f>
        <v>2.16</v>
      </c>
      <c r="H494" s="38">
        <f>'13all_company_profile'!H494</f>
        <v>44396</v>
      </c>
      <c r="I494" s="35">
        <f>'13all_company_profile'!I494</f>
        <v>33.94695</v>
      </c>
      <c r="J494" s="35">
        <f>'13all_company_profile'!J494</f>
        <v>5.014</v>
      </c>
      <c r="K494" s="42">
        <f t="shared" si="1"/>
        <v>0.0136286201</v>
      </c>
      <c r="L494" s="35">
        <f>'7company_info'!B494</f>
        <v>158.49</v>
      </c>
      <c r="M494" s="35">
        <f>'7company_info'!C494</f>
        <v>159.13</v>
      </c>
      <c r="N494" s="35">
        <f>'7company_info'!D494</f>
        <v>152.35</v>
      </c>
      <c r="O494" s="35">
        <f>'7company_info'!E494</f>
        <v>-7.26</v>
      </c>
      <c r="P494" s="35">
        <f>'7company_info'!F494</f>
        <v>-0.0438</v>
      </c>
      <c r="Q494" s="35">
        <f>'7company_info'!G494</f>
        <v>154.8</v>
      </c>
      <c r="R494" s="35">
        <f>'7company_info'!H494</f>
        <v>165.75</v>
      </c>
      <c r="S494" s="35">
        <f>'7company_info'!I494</f>
        <v>105.94</v>
      </c>
      <c r="T494" s="35">
        <f>'7company_info'!J494</f>
        <v>182.97</v>
      </c>
      <c r="U494" s="39">
        <v>170.15</v>
      </c>
      <c r="V494" s="39">
        <v>171.44</v>
      </c>
      <c r="W494" s="40">
        <v>172.79</v>
      </c>
      <c r="X494" s="40">
        <v>175.429999999999</v>
      </c>
      <c r="Y494" s="40">
        <v>168.8</v>
      </c>
      <c r="Z494" s="40">
        <v>167.51</v>
      </c>
      <c r="AA494" s="40">
        <v>164.87</v>
      </c>
      <c r="AB494" s="40">
        <v>165.51</v>
      </c>
      <c r="AC494" s="40">
        <v>171.38</v>
      </c>
      <c r="AD494" s="40">
        <v>171.351572545859</v>
      </c>
      <c r="AE494" s="40">
        <v>163.6775</v>
      </c>
      <c r="AF494" s="40">
        <v>3.15075</v>
      </c>
      <c r="AG494" s="40">
        <v>182.97</v>
      </c>
      <c r="AH494" s="45">
        <v>44354.0</v>
      </c>
      <c r="AI494" s="44" t="str">
        <f>'6image_RS_benchmark_performance'!B494</f>
        <v>https://3arbzfbsh-cname-us.ngrok.io/Desktop/seabridge%20fintech/image_app/PPG_resistance_support.jpg</v>
      </c>
      <c r="AJ494" s="44" t="str">
        <f>'6image_RS_benchmark_performance'!C494</f>
        <v>https://3arbzfbsh-cname-us.ngrok.io/Desktop/seabridge%20fintech/profit_graph_app/PPG_Return.jpg</v>
      </c>
      <c r="AK494" s="46" t="str">
        <f>'5price_action_icon'!B494</f>
        <v>https://3arbzfbsh-cname-us.ngrok.io/Desktop/seabridge%20fintech/icon/PPG_pa_trend_signal</v>
      </c>
      <c r="AL494" s="42">
        <f>'1kpi_performance'!B494</f>
        <v>0.5601018269</v>
      </c>
      <c r="AM494" s="42">
        <f>'1kpi_performance'!C494</f>
        <v>0.7082244973</v>
      </c>
      <c r="AN494" s="42">
        <f>'1kpi_performance'!D494</f>
        <v>0.4660007824</v>
      </c>
      <c r="AO494" s="42">
        <f>'1kpi_performance'!E494</f>
        <v>0.2437101098</v>
      </c>
      <c r="AP494" s="42">
        <f>'1kpi_performance'!F494</f>
        <v>0.1972718835</v>
      </c>
      <c r="AQ494" s="42">
        <f>'1kpi_performance'!G494</f>
        <v>0.2068741947</v>
      </c>
      <c r="AR494" s="42">
        <f>'1kpi_performance'!H494</f>
        <v>0.2196571174</v>
      </c>
      <c r="AS494" s="42">
        <f>'1kpi_performance'!I494</f>
        <v>0.29976316</v>
      </c>
      <c r="AT494" s="35">
        <f>'1kpi_performance'!J494</f>
        <v>2.712509342</v>
      </c>
      <c r="AU494" s="35">
        <f>'1kpi_performance'!K494</f>
        <v>3.302608613</v>
      </c>
      <c r="AV494" s="35">
        <f>'1kpi_performance'!L494</f>
        <v>2.007678092</v>
      </c>
      <c r="AW494" s="35">
        <f>'1kpi_performance'!M494</f>
        <v>0.7296097018</v>
      </c>
      <c r="AX494" s="42">
        <f>'1kpi_performance'!N494</f>
        <v>0.1471110272</v>
      </c>
      <c r="AY494" s="42">
        <f>'1kpi_performance'!O494</f>
        <v>0.109959893</v>
      </c>
      <c r="AZ494" s="42">
        <f>'1kpi_performance'!P494</f>
        <v>0.4454642803</v>
      </c>
      <c r="BA494" s="42">
        <f>'1kpi_performance'!Q494</f>
        <v>0.4579844498</v>
      </c>
      <c r="BB494" s="35">
        <f>'1kpi_performance'!R494</f>
        <v>5.992562043</v>
      </c>
      <c r="BC494" s="35">
        <f>'1kpi_performance'!S494</f>
        <v>7.638530361</v>
      </c>
      <c r="BD494" s="35">
        <f>'1kpi_performance'!T494</f>
        <v>3.8783187</v>
      </c>
      <c r="BE494" s="35">
        <f>'1kpi_performance'!U494</f>
        <v>1.40092627</v>
      </c>
      <c r="BF494" s="47"/>
      <c r="BG494" s="47"/>
      <c r="BH494" s="47"/>
      <c r="BI494" s="47"/>
      <c r="BJ494" s="47"/>
      <c r="BK494" s="47"/>
      <c r="BL494" s="47"/>
      <c r="BM494" s="47"/>
      <c r="BN494" s="47"/>
      <c r="BO494" s="47"/>
      <c r="BP494" s="47"/>
      <c r="BQ494" s="47"/>
      <c r="BR494" s="47"/>
      <c r="BS494" s="47"/>
      <c r="BT494" s="47"/>
    </row>
    <row r="495" ht="11.25" customHeight="1">
      <c r="A495" s="35" t="str">
        <f>'13all_company_profile'!A495</f>
        <v>PPL</v>
      </c>
      <c r="B495" s="35" t="str">
        <f>'13all_company_profile'!B495</f>
        <v>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v>
      </c>
      <c r="C495" s="44" t="str">
        <f>'13all_company_profile'!C495</f>
        <v>https://financialmodelingprep.com/image-stock/PPL.png</v>
      </c>
      <c r="D495" s="35" t="str">
        <f>'13all_company_profile'!D495</f>
        <v>PPL Corporation</v>
      </c>
      <c r="E495" s="36">
        <f>'13all_company_profile'!E495</f>
        <v>21690175488</v>
      </c>
      <c r="F495" s="37">
        <f>'13all_company_profile'!F495</f>
        <v>4780596</v>
      </c>
      <c r="G495" s="35">
        <f>'13all_company_profile'!G495</f>
        <v>1.66</v>
      </c>
      <c r="H495" s="38" t="str">
        <f>'13all_company_profile'!H495</f>
        <v>not avaiable</v>
      </c>
      <c r="I495" s="35" t="str">
        <f>'13all_company_profile'!I495</f>
        <v>NaN</v>
      </c>
      <c r="J495" s="35">
        <f>'13all_company_profile'!J495</f>
        <v>-1.21</v>
      </c>
      <c r="K495" s="42">
        <f t="shared" si="1"/>
        <v>0.05886524823</v>
      </c>
      <c r="L495" s="35">
        <f>'7company_info'!B495</f>
        <v>28.2</v>
      </c>
      <c r="M495" s="35">
        <f>'7company_info'!C495</f>
        <v>28.48</v>
      </c>
      <c r="N495" s="35">
        <f>'7company_info'!D495</f>
        <v>27.99</v>
      </c>
      <c r="O495" s="35">
        <f>'7company_info'!E495</f>
        <v>0.19</v>
      </c>
      <c r="P495" s="35">
        <f>'7company_info'!F495</f>
        <v>0.0068</v>
      </c>
      <c r="Q495" s="35">
        <f>'7company_info'!G495</f>
        <v>28.03</v>
      </c>
      <c r="R495" s="35">
        <f>'7company_info'!H495</f>
        <v>28.01</v>
      </c>
      <c r="S495" s="35">
        <f>'7company_info'!I495</f>
        <v>24.95</v>
      </c>
      <c r="T495" s="35">
        <f>'7company_info'!J495</f>
        <v>30.81</v>
      </c>
      <c r="U495" s="39">
        <v>28.0249999999999</v>
      </c>
      <c r="V495" s="39">
        <v>28.2949999999999</v>
      </c>
      <c r="W495" s="40">
        <v>28.52</v>
      </c>
      <c r="X495" s="40">
        <v>29.015</v>
      </c>
      <c r="Y495" s="40">
        <v>27.7999999999999</v>
      </c>
      <c r="Z495" s="40">
        <v>27.5299999999999</v>
      </c>
      <c r="AA495" s="40">
        <v>27.0349999999999</v>
      </c>
      <c r="AB495" s="40">
        <v>27.75</v>
      </c>
      <c r="AC495" s="40">
        <v>29.1</v>
      </c>
      <c r="AD495" s="40">
        <v>28.2926420963597</v>
      </c>
      <c r="AE495" s="40">
        <v>27.06886</v>
      </c>
      <c r="AF495" s="40">
        <v>0.43607</v>
      </c>
      <c r="AG495" s="40">
        <v>29.995</v>
      </c>
      <c r="AH495" s="45">
        <v>44274.0</v>
      </c>
      <c r="AI495" s="44" t="str">
        <f>'6image_RS_benchmark_performance'!B495</f>
        <v>https://3arbzfbsh-cname-us.ngrok.io/Desktop/seabridge%20fintech/image_app/PPL_resistance_support.jpg</v>
      </c>
      <c r="AJ495" s="44" t="str">
        <f>'6image_RS_benchmark_performance'!C495</f>
        <v>https://3arbzfbsh-cname-us.ngrok.io/Desktop/seabridge%20fintech/profit_graph_app/PPL_Return.jpg</v>
      </c>
      <c r="AK495" s="46" t="str">
        <f>'5price_action_icon'!B495</f>
        <v>https://3arbzfbsh-cname-us.ngrok.io/Desktop/seabridge%20fintech/icon/PPL_pa_trend_signal</v>
      </c>
      <c r="AL495" s="42">
        <f>'1kpi_performance'!B495</f>
        <v>0.2425225128</v>
      </c>
      <c r="AM495" s="42">
        <f>'1kpi_performance'!C495</f>
        <v>0.3536535066</v>
      </c>
      <c r="AN495" s="42">
        <f>'1kpi_performance'!D495</f>
        <v>0.2289636954</v>
      </c>
      <c r="AO495" s="42">
        <f>'1kpi_performance'!E495</f>
        <v>-0.003710053839</v>
      </c>
      <c r="AP495" s="42">
        <f>'1kpi_performance'!F495</f>
        <v>0.1744741914</v>
      </c>
      <c r="AQ495" s="42">
        <f>'1kpi_performance'!G495</f>
        <v>0.1722244687</v>
      </c>
      <c r="AR495" s="42">
        <f>'1kpi_performance'!H495</f>
        <v>0.2063768832</v>
      </c>
      <c r="AS495" s="42">
        <f>'1kpi_performance'!I495</f>
        <v>0.2604793926</v>
      </c>
      <c r="AT495" s="35">
        <f>'1kpi_performance'!J495</f>
        <v>1.246731743</v>
      </c>
      <c r="AU495" s="35">
        <f>'1kpi_performance'!K495</f>
        <v>1.908285791</v>
      </c>
      <c r="AV495" s="35">
        <f>'1kpi_performance'!L495</f>
        <v>0.9883068889</v>
      </c>
      <c r="AW495" s="35">
        <f>'1kpi_performance'!M495</f>
        <v>-0.1102200583</v>
      </c>
      <c r="AX495" s="42">
        <f>'1kpi_performance'!N495</f>
        <v>0.1571815718</v>
      </c>
      <c r="AY495" s="42">
        <f>'1kpi_performance'!O495</f>
        <v>0.1571815718</v>
      </c>
      <c r="AZ495" s="42">
        <f>'1kpi_performance'!P495</f>
        <v>0.4944303785</v>
      </c>
      <c r="BA495" s="42">
        <f>'1kpi_performance'!Q495</f>
        <v>0.5359460809</v>
      </c>
      <c r="BB495" s="35">
        <f>'1kpi_performance'!R495</f>
        <v>2.423608859</v>
      </c>
      <c r="BC495" s="35">
        <f>'1kpi_performance'!S495</f>
        <v>4.092143982</v>
      </c>
      <c r="BD495" s="35">
        <f>'1kpi_performance'!T495</f>
        <v>1.792057318</v>
      </c>
      <c r="BE495" s="35">
        <f>'1kpi_performance'!U495</f>
        <v>-0.2023544492</v>
      </c>
      <c r="BF495" s="47"/>
      <c r="BG495" s="47"/>
      <c r="BH495" s="47"/>
      <c r="BI495" s="47"/>
      <c r="BJ495" s="47"/>
      <c r="BK495" s="47"/>
      <c r="BL495" s="47"/>
      <c r="BM495" s="47"/>
      <c r="BN495" s="47"/>
      <c r="BO495" s="47"/>
      <c r="BP495" s="47"/>
      <c r="BQ495" s="47"/>
      <c r="BR495" s="47"/>
      <c r="BS495" s="47"/>
      <c r="BT495" s="47"/>
    </row>
    <row r="496" ht="11.25" customHeight="1">
      <c r="A496" s="35" t="str">
        <f>'13all_company_profile'!A496</f>
        <v>PRGO</v>
      </c>
      <c r="B496" s="35" t="str">
        <f>'13all_company_profile'!B496</f>
        <v>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v>
      </c>
      <c r="C496" s="44" t="str">
        <f>'13all_company_profile'!C496</f>
        <v>https://financialmodelingprep.com/image-stock/PRGO.png</v>
      </c>
      <c r="D496" s="35" t="str">
        <f>'13all_company_profile'!D496</f>
        <v>Perrigo Company plc</v>
      </c>
      <c r="E496" s="36">
        <f>'13all_company_profile'!E496</f>
        <v>6192667136</v>
      </c>
      <c r="F496" s="37">
        <f>'13all_company_profile'!F496</f>
        <v>1135023</v>
      </c>
      <c r="G496" s="35">
        <f>'13all_company_profile'!G496</f>
        <v>0.93</v>
      </c>
      <c r="H496" s="38">
        <f>'13all_company_profile'!H496</f>
        <v>44411</v>
      </c>
      <c r="I496" s="35" t="str">
        <f>'13all_company_profile'!I496</f>
        <v>NaN</v>
      </c>
      <c r="J496" s="35">
        <f>'13all_company_profile'!J496</f>
        <v>-1.706</v>
      </c>
      <c r="K496" s="42">
        <f t="shared" si="1"/>
        <v>0.02028353326</v>
      </c>
      <c r="L496" s="35">
        <f>'7company_info'!B496</f>
        <v>45.85</v>
      </c>
      <c r="M496" s="35">
        <f>'7company_info'!C496</f>
        <v>46.12</v>
      </c>
      <c r="N496" s="35">
        <f>'7company_info'!D496</f>
        <v>44.82</v>
      </c>
      <c r="O496" s="35">
        <f>'7company_info'!E496</f>
        <v>0.37</v>
      </c>
      <c r="P496" s="35">
        <f>'7company_info'!F496</f>
        <v>0.0081</v>
      </c>
      <c r="Q496" s="35">
        <f>'7company_info'!G496</f>
        <v>44.82</v>
      </c>
      <c r="R496" s="35">
        <f>'7company_info'!H496</f>
        <v>45.48</v>
      </c>
      <c r="S496" s="35">
        <f>'7company_info'!I496</f>
        <v>38.2</v>
      </c>
      <c r="T496" s="35">
        <f>'7company_info'!J496</f>
        <v>58.64</v>
      </c>
      <c r="U496" s="39">
        <v>47.38</v>
      </c>
      <c r="V496" s="39">
        <v>47.7599999999999</v>
      </c>
      <c r="W496" s="40">
        <v>48.08</v>
      </c>
      <c r="X496" s="40">
        <v>48.78</v>
      </c>
      <c r="Y496" s="40">
        <v>47.0599999999999</v>
      </c>
      <c r="Z496" s="40">
        <v>46.6799999999999</v>
      </c>
      <c r="AA496" s="40">
        <v>45.9799999999999</v>
      </c>
      <c r="AB496" s="40">
        <v>47.0</v>
      </c>
      <c r="AC496" s="40">
        <v>46.59</v>
      </c>
      <c r="AD496" s="40">
        <v>46.647012770359</v>
      </c>
      <c r="AE496" s="40">
        <v>44.467</v>
      </c>
      <c r="AF496" s="40">
        <v>0.8235</v>
      </c>
      <c r="AG496" s="40">
        <v>49.23</v>
      </c>
      <c r="AH496" s="45">
        <v>44358.0</v>
      </c>
      <c r="AI496" s="44" t="str">
        <f>'6image_RS_benchmark_performance'!B496</f>
        <v>https://3arbzfbsh-cname-us.ngrok.io/Desktop/seabridge%20fintech/image_app/PRGO_resistance_support.jpg</v>
      </c>
      <c r="AJ496" s="44" t="str">
        <f>'6image_RS_benchmark_performance'!C496</f>
        <v>https://3arbzfbsh-cname-us.ngrok.io/Desktop/seabridge%20fintech/profit_graph_app/PRGO_Return.jpg</v>
      </c>
      <c r="AK496" s="46" t="str">
        <f>'5price_action_icon'!B496</f>
        <v>https://3arbzfbsh-cname-us.ngrok.io/Desktop/seabridge%20fintech/icon/PRGO_pa_trend_signal</v>
      </c>
      <c r="AL496" s="42">
        <f>'1kpi_performance'!B496</f>
        <v>0.5586724431</v>
      </c>
      <c r="AM496" s="42">
        <f>'1kpi_performance'!C496</f>
        <v>0.7278554226</v>
      </c>
      <c r="AN496" s="42">
        <f>'1kpi_performance'!D496</f>
        <v>0.6729414244</v>
      </c>
      <c r="AO496" s="42">
        <f>'1kpi_performance'!E496</f>
        <v>0.01365618815</v>
      </c>
      <c r="AP496" s="42">
        <f>'1kpi_performance'!F496</f>
        <v>0.2529746311</v>
      </c>
      <c r="AQ496" s="42">
        <f>'1kpi_performance'!G496</f>
        <v>0.265789979</v>
      </c>
      <c r="AR496" s="42">
        <f>'1kpi_performance'!H496</f>
        <v>0.2699784611</v>
      </c>
      <c r="AS496" s="42">
        <f>'1kpi_performance'!I496</f>
        <v>0.402835818</v>
      </c>
      <c r="AT496" s="35">
        <f>'1kpi_performance'!J496</f>
        <v>2.109588779</v>
      </c>
      <c r="AU496" s="35">
        <f>'1kpi_performance'!K496</f>
        <v>2.644401513</v>
      </c>
      <c r="AV496" s="35">
        <f>'1kpi_performance'!L496</f>
        <v>2.399974508</v>
      </c>
      <c r="AW496" s="35">
        <f>'1kpi_performance'!M496</f>
        <v>-0.02815988882</v>
      </c>
      <c r="AX496" s="42">
        <f>'1kpi_performance'!N496</f>
        <v>0.194738351</v>
      </c>
      <c r="AY496" s="42">
        <f>'1kpi_performance'!O496</f>
        <v>0.1511182752</v>
      </c>
      <c r="AZ496" s="42">
        <f>'1kpi_performance'!P496</f>
        <v>0.433859294</v>
      </c>
      <c r="BA496" s="42">
        <f>'1kpi_performance'!Q496</f>
        <v>0.820806127</v>
      </c>
      <c r="BB496" s="35">
        <f>'1kpi_performance'!R496</f>
        <v>4.311224606</v>
      </c>
      <c r="BC496" s="35">
        <f>'1kpi_performance'!S496</f>
        <v>6.447779042</v>
      </c>
      <c r="BD496" s="35">
        <f>'1kpi_performance'!T496</f>
        <v>4.732328935</v>
      </c>
      <c r="BE496" s="35">
        <f>'1kpi_performance'!U496</f>
        <v>-0.05132398827</v>
      </c>
      <c r="BF496" s="47"/>
      <c r="BG496" s="47"/>
      <c r="BH496" s="47"/>
      <c r="BI496" s="47"/>
      <c r="BJ496" s="47"/>
      <c r="BK496" s="47"/>
      <c r="BL496" s="47"/>
      <c r="BM496" s="47"/>
      <c r="BN496" s="47"/>
      <c r="BO496" s="47"/>
      <c r="BP496" s="47"/>
      <c r="BQ496" s="47"/>
      <c r="BR496" s="47"/>
      <c r="BS496" s="47"/>
      <c r="BT496" s="47"/>
    </row>
    <row r="497" ht="11.25" customHeight="1">
      <c r="A497" s="35" t="str">
        <f>'13all_company_profile'!A497</f>
        <v>PRSP</v>
      </c>
      <c r="B497" s="35" t="str">
        <f>'13all_company_profile'!B497</f>
        <v>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v>
      </c>
      <c r="C497" s="44" t="str">
        <f>'13all_company_profile'!C497</f>
        <v>https://financialmodelingprep.com/image-stock/PRSP.png</v>
      </c>
      <c r="D497" s="35" t="str">
        <f>'13all_company_profile'!D497</f>
        <v>Perspecta Inc.</v>
      </c>
      <c r="E497" s="36">
        <f>'13all_company_profile'!E497</f>
        <v>4730400300</v>
      </c>
      <c r="F497" s="37">
        <f>'13all_company_profile'!F497</f>
        <v>2029803</v>
      </c>
      <c r="G497" s="35">
        <f>'13all_company_profile'!G497</f>
        <v>0.21</v>
      </c>
      <c r="H497" s="38" t="str">
        <f>'13all_company_profile'!H497</f>
        <v>not avaiable</v>
      </c>
      <c r="I497" s="35" t="str">
        <f>'13all_company_profile'!I497</f>
        <v>NaN</v>
      </c>
      <c r="J497" s="35" t="str">
        <f>'13all_company_profile'!J497</f>
        <v>NaN</v>
      </c>
      <c r="K497" s="42" t="str">
        <f t="shared" si="1"/>
        <v>#N/A</v>
      </c>
      <c r="L497" s="35" t="str">
        <f>'7company_info'!B497</f>
        <v>#N/A</v>
      </c>
      <c r="M497" s="35" t="str">
        <f>'7company_info'!C497</f>
        <v>#N/A</v>
      </c>
      <c r="N497" s="35" t="str">
        <f>'7company_info'!D497</f>
        <v>#N/A</v>
      </c>
      <c r="O497" s="35" t="str">
        <f>'7company_info'!E497</f>
        <v>#N/A</v>
      </c>
      <c r="P497" s="35" t="str">
        <f>'7company_info'!F497</f>
        <v>#N/A</v>
      </c>
      <c r="Q497" s="35" t="str">
        <f>'7company_info'!G497</f>
        <v>#N/A</v>
      </c>
      <c r="R497" s="35" t="str">
        <f>'7company_info'!H497</f>
        <v>#N/A</v>
      </c>
      <c r="S497" s="35" t="str">
        <f>'7company_info'!I497</f>
        <v>#N/A</v>
      </c>
      <c r="T497" s="35" t="str">
        <f>'7company_info'!J497</f>
        <v>#N/A</v>
      </c>
      <c r="U497" s="39">
        <v>29.34</v>
      </c>
      <c r="V497" s="39">
        <v>29.35</v>
      </c>
      <c r="W497" s="40">
        <v>29.36</v>
      </c>
      <c r="X497" s="40">
        <v>29.38</v>
      </c>
      <c r="Y497" s="40">
        <v>29.33</v>
      </c>
      <c r="Z497" s="40">
        <v>29.32</v>
      </c>
      <c r="AA497" s="40">
        <v>29.2999999999999</v>
      </c>
      <c r="AB497" s="40">
        <v>29.24</v>
      </c>
      <c r="AC497" s="40">
        <v>29.35</v>
      </c>
      <c r="AD497" s="40">
        <v>29.2470818847573</v>
      </c>
      <c r="AE497" s="40">
        <v>29.216</v>
      </c>
      <c r="AF497" s="40">
        <v>0.0595000000000002</v>
      </c>
      <c r="AG497" s="40">
        <v>29.62</v>
      </c>
      <c r="AH497" s="45">
        <v>44249.0</v>
      </c>
      <c r="AI497" s="44" t="str">
        <f>'6image_RS_benchmark_performance'!B497</f>
        <v>https://3arbzfbsh-cname-us.ngrok.io/Desktop/seabridge%20fintech/image_app/PRSP_resistance_support.jpg</v>
      </c>
      <c r="AJ497" s="44" t="str">
        <f>'6image_RS_benchmark_performance'!C497</f>
        <v>https://3arbzfbsh-cname-us.ngrok.io/Desktop/seabridge%20fintech/profit_graph_app/PRSP_Return.jpg</v>
      </c>
      <c r="AK497" s="46" t="str">
        <f>'5price_action_icon'!B497</f>
        <v>https://3arbzfbsh-cname-us.ngrok.io/Desktop/seabridge%20fintech/icon/PRSP_pa_trend_signal</v>
      </c>
      <c r="AL497" s="42">
        <f>'1kpi_performance'!B497</f>
        <v>0.7915991482</v>
      </c>
      <c r="AM497" s="42">
        <f>'1kpi_performance'!C497</f>
        <v>1.021758574</v>
      </c>
      <c r="AN497" s="42">
        <f>'1kpi_performance'!D497</f>
        <v>0.3402448411</v>
      </c>
      <c r="AO497" s="42">
        <f>'1kpi_performance'!E497</f>
        <v>0.08076041393</v>
      </c>
      <c r="AP497" s="42">
        <f>'1kpi_performance'!F497</f>
        <v>0.3099546684</v>
      </c>
      <c r="AQ497" s="42">
        <f>'1kpi_performance'!G497</f>
        <v>0.3616633348</v>
      </c>
      <c r="AR497" s="42">
        <f>'1kpi_performance'!H497</f>
        <v>0.262141888</v>
      </c>
      <c r="AS497" s="42">
        <f>'1kpi_performance'!I497</f>
        <v>0.4955901972</v>
      </c>
      <c r="AT497" s="35">
        <f>'1kpi_performance'!J497</f>
        <v>2.473262145</v>
      </c>
      <c r="AU497" s="35">
        <f>'1kpi_performance'!K497</f>
        <v>2.756039882</v>
      </c>
      <c r="AV497" s="35">
        <f>'1kpi_performance'!L497</f>
        <v>1.202573322</v>
      </c>
      <c r="AW497" s="35">
        <f>'1kpi_performance'!M497</f>
        <v>0.1125131495</v>
      </c>
      <c r="AX497" s="42">
        <f>'1kpi_performance'!N497</f>
        <v>0.2505617978</v>
      </c>
      <c r="AY497" s="42">
        <f>'1kpi_performance'!O497</f>
        <v>0.2505617978</v>
      </c>
      <c r="AZ497" s="42">
        <f>'1kpi_performance'!P497</f>
        <v>0.3736434109</v>
      </c>
      <c r="BA497" s="42">
        <f>'1kpi_performance'!Q497</f>
        <v>0.4767086025</v>
      </c>
      <c r="BB497" s="35">
        <f>'1kpi_performance'!R497</f>
        <v>6.156180946</v>
      </c>
      <c r="BC497" s="35">
        <f>'1kpi_performance'!S497</f>
        <v>7.56224755</v>
      </c>
      <c r="BD497" s="35">
        <f>'1kpi_performance'!T497</f>
        <v>2.780981621</v>
      </c>
      <c r="BE497" s="35">
        <f>'1kpi_performance'!U497</f>
        <v>0.2273467108</v>
      </c>
      <c r="BF497" s="47"/>
      <c r="BG497" s="47"/>
      <c r="BH497" s="47"/>
      <c r="BI497" s="47"/>
      <c r="BJ497" s="47"/>
      <c r="BK497" s="47"/>
      <c r="BL497" s="47"/>
      <c r="BM497" s="47"/>
      <c r="BN497" s="47"/>
      <c r="BO497" s="47"/>
      <c r="BP497" s="47"/>
      <c r="BQ497" s="47"/>
      <c r="BR497" s="47"/>
      <c r="BS497" s="47"/>
      <c r="BT497" s="47"/>
    </row>
    <row r="498" ht="11.25" customHeight="1">
      <c r="A498" s="35" t="str">
        <f>'13all_company_profile'!A498</f>
        <v>PRU</v>
      </c>
      <c r="B498" s="35" t="str">
        <f>'13all_company_profile'!B498</f>
        <v>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v>
      </c>
      <c r="C498" s="44" t="str">
        <f>'13all_company_profile'!C498</f>
        <v>https://financialmodelingprep.com/image-stock/PRU.png</v>
      </c>
      <c r="D498" s="35" t="str">
        <f>'13all_company_profile'!D498</f>
        <v>Prudential Financial, Inc.</v>
      </c>
      <c r="E498" s="36">
        <f>'13all_company_profile'!E498</f>
        <v>39498498048</v>
      </c>
      <c r="F498" s="37">
        <f>'13all_company_profile'!F498</f>
        <v>1932892</v>
      </c>
      <c r="G498" s="35">
        <f>'13all_company_profile'!G498</f>
        <v>4.5</v>
      </c>
      <c r="H498" s="38">
        <f>'13all_company_profile'!H498</f>
        <v>44411</v>
      </c>
      <c r="I498" s="35">
        <f>'13all_company_profile'!I498</f>
        <v>14.644078</v>
      </c>
      <c r="J498" s="35">
        <f>'13all_company_profile'!J498</f>
        <v>6.729</v>
      </c>
      <c r="K498" s="42">
        <f t="shared" si="1"/>
        <v>0.04542701393</v>
      </c>
      <c r="L498" s="35">
        <f>'7company_info'!B498</f>
        <v>99.06</v>
      </c>
      <c r="M498" s="35">
        <f>'7company_info'!C498</f>
        <v>99.94</v>
      </c>
      <c r="N498" s="35">
        <f>'7company_info'!D498</f>
        <v>95.13</v>
      </c>
      <c r="O498" s="35">
        <f>'7company_info'!E498</f>
        <v>3.35</v>
      </c>
      <c r="P498" s="35">
        <f>'7company_info'!F498</f>
        <v>0.035</v>
      </c>
      <c r="Q498" s="35">
        <f>'7company_info'!G498</f>
        <v>95.59</v>
      </c>
      <c r="R498" s="35">
        <f>'7company_info'!H498</f>
        <v>95.71</v>
      </c>
      <c r="S498" s="35">
        <f>'7company_info'!I498</f>
        <v>60.16</v>
      </c>
      <c r="T498" s="35">
        <f>'7company_info'!J498</f>
        <v>109.17</v>
      </c>
      <c r="U498" s="39">
        <v>100.056666666666</v>
      </c>
      <c r="V498" s="39">
        <v>101.243333333333</v>
      </c>
      <c r="W498" s="40">
        <v>102.796666666666</v>
      </c>
      <c r="X498" s="40">
        <v>105.536666666666</v>
      </c>
      <c r="Y498" s="40">
        <v>98.5033333333333</v>
      </c>
      <c r="Z498" s="40">
        <v>97.3166666666666</v>
      </c>
      <c r="AA498" s="40">
        <v>94.5766666666666</v>
      </c>
      <c r="AB498" s="40">
        <v>101.211</v>
      </c>
      <c r="AC498" s="40">
        <v>100.845</v>
      </c>
      <c r="AD498" s="40">
        <v>101.651056281955</v>
      </c>
      <c r="AE498" s="40">
        <v>95.18321</v>
      </c>
      <c r="AF498" s="40">
        <v>2.53914499999999</v>
      </c>
      <c r="AG498" s="40">
        <v>109.17</v>
      </c>
      <c r="AH498" s="45">
        <v>44349.0</v>
      </c>
      <c r="AI498" s="44" t="str">
        <f>'6image_RS_benchmark_performance'!B498</f>
        <v>https://3arbzfbsh-cname-us.ngrok.io/Desktop/seabridge%20fintech/image_app/PRU_resistance_support.jpg</v>
      </c>
      <c r="AJ498" s="44" t="str">
        <f>'6image_RS_benchmark_performance'!C498</f>
        <v>https://3arbzfbsh-cname-us.ngrok.io/Desktop/seabridge%20fintech/profit_graph_app/PRU_Return.jpg</v>
      </c>
      <c r="AK498" s="46" t="str">
        <f>'5price_action_icon'!B498</f>
        <v>https://3arbzfbsh-cname-us.ngrok.io/Desktop/seabridge%20fintech/icon/PRU_pa_trend_signal</v>
      </c>
      <c r="AL498" s="42">
        <f>'1kpi_performance'!B498</f>
        <v>0.6844141824</v>
      </c>
      <c r="AM498" s="42">
        <f>'1kpi_performance'!C498</f>
        <v>0.863333824</v>
      </c>
      <c r="AN498" s="42">
        <f>'1kpi_performance'!D498</f>
        <v>0.7048331465</v>
      </c>
      <c r="AO498" s="42">
        <f>'1kpi_performance'!E498</f>
        <v>0.08554880671</v>
      </c>
      <c r="AP498" s="42">
        <f>'1kpi_performance'!F498</f>
        <v>0.2665491175</v>
      </c>
      <c r="AQ498" s="42">
        <f>'1kpi_performance'!G498</f>
        <v>0.2474823796</v>
      </c>
      <c r="AR498" s="42">
        <f>'1kpi_performance'!H498</f>
        <v>0.2387102656</v>
      </c>
      <c r="AS498" s="42">
        <f>'1kpi_performance'!I498</f>
        <v>0.3983270613</v>
      </c>
      <c r="AT498" s="35">
        <f>'1kpi_performance'!J498</f>
        <v>2.473893699</v>
      </c>
      <c r="AU498" s="35">
        <f>'1kpi_performance'!K498</f>
        <v>3.387448534</v>
      </c>
      <c r="AV498" s="35">
        <f>'1kpi_performance'!L498</f>
        <v>2.847942651</v>
      </c>
      <c r="AW498" s="35">
        <f>'1kpi_performance'!M498</f>
        <v>0.1520077659</v>
      </c>
      <c r="AX498" s="42">
        <f>'1kpi_performance'!N498</f>
        <v>0.1924260672</v>
      </c>
      <c r="AY498" s="42">
        <f>'1kpi_performance'!O498</f>
        <v>0.1566331199</v>
      </c>
      <c r="AZ498" s="42">
        <f>'1kpi_performance'!P498</f>
        <v>0.3210802173</v>
      </c>
      <c r="BA498" s="42">
        <f>'1kpi_performance'!Q498</f>
        <v>0.6887795588</v>
      </c>
      <c r="BB498" s="35">
        <f>'1kpi_performance'!R498</f>
        <v>5.390740106</v>
      </c>
      <c r="BC498" s="35">
        <f>'1kpi_performance'!S498</f>
        <v>7.844388028</v>
      </c>
      <c r="BD498" s="35">
        <f>'1kpi_performance'!T498</f>
        <v>5.99823669</v>
      </c>
      <c r="BE498" s="35">
        <f>'1kpi_performance'!U498</f>
        <v>0.2850698184</v>
      </c>
      <c r="BF498" s="47"/>
      <c r="BG498" s="47"/>
      <c r="BH498" s="47"/>
      <c r="BI498" s="47"/>
      <c r="BJ498" s="47"/>
      <c r="BK498" s="47"/>
      <c r="BL498" s="47"/>
      <c r="BM498" s="47"/>
      <c r="BN498" s="47"/>
      <c r="BO498" s="47"/>
      <c r="BP498" s="47"/>
      <c r="BQ498" s="47"/>
      <c r="BR498" s="47"/>
      <c r="BS498" s="47"/>
      <c r="BT498" s="47"/>
    </row>
    <row r="499" ht="11.25" customHeight="1">
      <c r="A499" s="35" t="str">
        <f>'13all_company_profile'!A499</f>
        <v>PSA</v>
      </c>
      <c r="B499" s="35" t="str">
        <f>'13all_company_profile'!B499</f>
        <v>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v>
      </c>
      <c r="C499" s="44" t="str">
        <f>'13all_company_profile'!C499</f>
        <v>https://financialmodelingprep.com/image-stock/PSA.png</v>
      </c>
      <c r="D499" s="35" t="str">
        <f>'13all_company_profile'!D499</f>
        <v>Public Storage</v>
      </c>
      <c r="E499" s="36">
        <f>'13all_company_profile'!E499</f>
        <v>54808358912</v>
      </c>
      <c r="F499" s="37">
        <f>'13all_company_profile'!F499</f>
        <v>698831</v>
      </c>
      <c r="G499" s="35">
        <f>'13all_company_profile'!G499</f>
        <v>8</v>
      </c>
      <c r="H499" s="38">
        <f>'13all_company_profile'!H499</f>
        <v>44411</v>
      </c>
      <c r="I499" s="35">
        <f>'13all_company_profile'!I499</f>
        <v>46.902668</v>
      </c>
      <c r="J499" s="35">
        <f>'13all_company_profile'!J499</f>
        <v>6.709</v>
      </c>
      <c r="K499" s="42">
        <f t="shared" si="1"/>
        <v>0.02562542042</v>
      </c>
      <c r="L499" s="35">
        <f>'7company_info'!B499</f>
        <v>312.19</v>
      </c>
      <c r="M499" s="35">
        <f>'7company_info'!C499</f>
        <v>313.99</v>
      </c>
      <c r="N499" s="35">
        <f>'7company_info'!D499</f>
        <v>310.81</v>
      </c>
      <c r="O499" s="35">
        <f>'7company_info'!E499</f>
        <v>3.67</v>
      </c>
      <c r="P499" s="35">
        <f>'7company_info'!F499</f>
        <v>0.0119</v>
      </c>
      <c r="Q499" s="35">
        <f>'7company_info'!G499</f>
        <v>310.81</v>
      </c>
      <c r="R499" s="35">
        <f>'7company_info'!H499</f>
        <v>308.52</v>
      </c>
      <c r="S499" s="35">
        <f>'7company_info'!I499</f>
        <v>183.22</v>
      </c>
      <c r="T499" s="35">
        <f>'7company_info'!J499</f>
        <v>315.93</v>
      </c>
      <c r="U499" s="39">
        <v>312.538333333333</v>
      </c>
      <c r="V499" s="39">
        <v>315.076666666666</v>
      </c>
      <c r="W499" s="40">
        <v>317.173333333333</v>
      </c>
      <c r="X499" s="40">
        <v>321.808333333333</v>
      </c>
      <c r="Y499" s="40">
        <v>310.441666666666</v>
      </c>
      <c r="Z499" s="40">
        <v>307.903333333333</v>
      </c>
      <c r="AA499" s="40">
        <v>303.268333333333</v>
      </c>
      <c r="AB499" s="40">
        <v>305.0</v>
      </c>
      <c r="AC499" s="40">
        <v>314.635</v>
      </c>
      <c r="AD499" s="40">
        <v>303.832436902964</v>
      </c>
      <c r="AE499" s="40">
        <v>301.848</v>
      </c>
      <c r="AF499" s="40">
        <v>4.32524999999999</v>
      </c>
      <c r="AG499" s="40">
        <v>283.07</v>
      </c>
      <c r="AH499" s="45">
        <v>44320.0</v>
      </c>
      <c r="AI499" s="44" t="str">
        <f>'6image_RS_benchmark_performance'!B499</f>
        <v>https://3arbzfbsh-cname-us.ngrok.io/Desktop/seabridge%20fintech/image_app/PSA_resistance_support.jpg</v>
      </c>
      <c r="AJ499" s="44" t="str">
        <f>'6image_RS_benchmark_performance'!C499</f>
        <v>https://3arbzfbsh-cname-us.ngrok.io/Desktop/seabridge%20fintech/profit_graph_app/PSA_Return.jpg</v>
      </c>
      <c r="AK499" s="46" t="str">
        <f>'5price_action_icon'!B499</f>
        <v>https://3arbzfbsh-cname-us.ngrok.io/Desktop/seabridge%20fintech/icon/PSA_pa_trend_signal</v>
      </c>
      <c r="AL499" s="42">
        <f>'1kpi_performance'!B499</f>
        <v>0.4210022318</v>
      </c>
      <c r="AM499" s="42">
        <f>'1kpi_performance'!C499</f>
        <v>0.5138175245</v>
      </c>
      <c r="AN499" s="42">
        <f>'1kpi_performance'!D499</f>
        <v>0.5846470621</v>
      </c>
      <c r="AO499" s="42">
        <f>'1kpi_performance'!E499</f>
        <v>0.1876316597</v>
      </c>
      <c r="AP499" s="42">
        <f>'1kpi_performance'!F499</f>
        <v>0.1602677458</v>
      </c>
      <c r="AQ499" s="42">
        <f>'1kpi_performance'!G499</f>
        <v>0.177313668</v>
      </c>
      <c r="AR499" s="42">
        <f>'1kpi_performance'!H499</f>
        <v>0.1648309382</v>
      </c>
      <c r="AS499" s="42">
        <f>'1kpi_performance'!I499</f>
        <v>0.2588649077</v>
      </c>
      <c r="AT499" s="35">
        <f>'1kpi_performance'!J499</f>
        <v>2.470879152</v>
      </c>
      <c r="AU499" s="35">
        <f>'1kpi_performance'!K499</f>
        <v>2.756795515</v>
      </c>
      <c r="AV499" s="35">
        <f>'1kpi_performance'!L499</f>
        <v>3.395279238</v>
      </c>
      <c r="AW499" s="35">
        <f>'1kpi_performance'!M499</f>
        <v>0.6282491559</v>
      </c>
      <c r="AX499" s="42">
        <f>'1kpi_performance'!N499</f>
        <v>0.1086503314</v>
      </c>
      <c r="AY499" s="42">
        <f>'1kpi_performance'!O499</f>
        <v>0.1161608898</v>
      </c>
      <c r="AZ499" s="42">
        <f>'1kpi_performance'!P499</f>
        <v>0.09287626388</v>
      </c>
      <c r="BA499" s="42">
        <f>'1kpi_performance'!Q499</f>
        <v>0.4186484236</v>
      </c>
      <c r="BB499" s="35">
        <f>'1kpi_performance'!R499</f>
        <v>5.003435255</v>
      </c>
      <c r="BC499" s="35">
        <f>'1kpi_performance'!S499</f>
        <v>6.006284329</v>
      </c>
      <c r="BD499" s="35">
        <f>'1kpi_performance'!T499</f>
        <v>7.573351471</v>
      </c>
      <c r="BE499" s="35">
        <f>'1kpi_performance'!U499</f>
        <v>1.20615398</v>
      </c>
      <c r="BF499" s="47"/>
      <c r="BG499" s="47"/>
      <c r="BH499" s="47"/>
      <c r="BI499" s="47"/>
      <c r="BJ499" s="47"/>
      <c r="BK499" s="47"/>
      <c r="BL499" s="47"/>
      <c r="BM499" s="47"/>
      <c r="BN499" s="47"/>
      <c r="BO499" s="47"/>
      <c r="BP499" s="47"/>
      <c r="BQ499" s="47"/>
      <c r="BR499" s="47"/>
      <c r="BS499" s="47"/>
      <c r="BT499" s="47"/>
    </row>
    <row r="500" ht="11.25" customHeight="1">
      <c r="A500" s="35" t="str">
        <f>'13all_company_profile'!A500</f>
        <v>PSX</v>
      </c>
      <c r="B500" s="35" t="str">
        <f>'13all_company_profile'!B500</f>
        <v>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v>
      </c>
      <c r="C500" s="44" t="str">
        <f>'13all_company_profile'!C500</f>
        <v>https://financialmodelingprep.com/image-stock/PSX.png</v>
      </c>
      <c r="D500" s="35" t="str">
        <f>'13all_company_profile'!D500</f>
        <v>Phillips 66</v>
      </c>
      <c r="E500" s="36">
        <f>'13all_company_profile'!E500</f>
        <v>33763926016</v>
      </c>
      <c r="F500" s="37">
        <f>'13all_company_profile'!F500</f>
        <v>2902403</v>
      </c>
      <c r="G500" s="35">
        <f>'13all_company_profile'!G500</f>
        <v>3.6</v>
      </c>
      <c r="H500" s="38">
        <f>'13all_company_profile'!H500</f>
        <v>44411</v>
      </c>
      <c r="I500" s="35" t="str">
        <f>'13all_company_profile'!I500</f>
        <v>NaN</v>
      </c>
      <c r="J500" s="35">
        <f>'13all_company_profile'!J500</f>
        <v>-4.878</v>
      </c>
      <c r="K500" s="42">
        <f t="shared" si="1"/>
        <v>0.05061155631</v>
      </c>
      <c r="L500" s="35">
        <f>'7company_info'!B500</f>
        <v>71.13</v>
      </c>
      <c r="M500" s="35">
        <f>'7company_info'!C500</f>
        <v>72.51</v>
      </c>
      <c r="N500" s="35">
        <f>'7company_info'!D500</f>
        <v>69.73</v>
      </c>
      <c r="O500" s="35">
        <f>'7company_info'!E500</f>
        <v>0.58</v>
      </c>
      <c r="P500" s="35">
        <f>'7company_info'!F500</f>
        <v>0.0082</v>
      </c>
      <c r="Q500" s="35">
        <f>'7company_info'!G500</f>
        <v>70.5</v>
      </c>
      <c r="R500" s="35">
        <f>'7company_info'!H500</f>
        <v>70.55</v>
      </c>
      <c r="S500" s="35">
        <f>'7company_info'!I500</f>
        <v>43.27</v>
      </c>
      <c r="T500" s="35">
        <f>'7company_info'!J500</f>
        <v>94.34</v>
      </c>
      <c r="U500" s="39">
        <v>79.7366666666666</v>
      </c>
      <c r="V500" s="39">
        <v>81.1733333333333</v>
      </c>
      <c r="W500" s="40">
        <v>83.8066666666666</v>
      </c>
      <c r="X500" s="40">
        <v>87.8766666666667</v>
      </c>
      <c r="Y500" s="40">
        <v>77.1033333333333</v>
      </c>
      <c r="Z500" s="40">
        <v>75.6666666666666</v>
      </c>
      <c r="AA500" s="40">
        <v>71.5966666666666</v>
      </c>
      <c r="AB500" s="40">
        <v>79.73</v>
      </c>
      <c r="AC500" s="40">
        <v>88.66</v>
      </c>
      <c r="AD500" s="40">
        <v>84.7408513727152</v>
      </c>
      <c r="AE500" s="40">
        <v>76.45712</v>
      </c>
      <c r="AF500" s="40">
        <v>2.68894</v>
      </c>
      <c r="AG500" s="40">
        <v>94.34</v>
      </c>
      <c r="AH500" s="45">
        <v>44357.0</v>
      </c>
      <c r="AI500" s="44" t="str">
        <f>'6image_RS_benchmark_performance'!B500</f>
        <v>https://3arbzfbsh-cname-us.ngrok.io/Desktop/seabridge%20fintech/image_app/PSX_resistance_support.jpg</v>
      </c>
      <c r="AJ500" s="44" t="str">
        <f>'6image_RS_benchmark_performance'!C500</f>
        <v>https://3arbzfbsh-cname-us.ngrok.io/Desktop/seabridge%20fintech/profit_graph_app/PSX_Return.jpg</v>
      </c>
      <c r="AK500" s="46" t="str">
        <f>'5price_action_icon'!B500</f>
        <v>https://3arbzfbsh-cname-us.ngrok.io/Desktop/seabridge%20fintech/icon/PSX_pa_trend_signal</v>
      </c>
      <c r="AL500" s="42">
        <f>'1kpi_performance'!B500</f>
        <v>0.7404363875</v>
      </c>
      <c r="AM500" s="42">
        <f>'1kpi_performance'!C500</f>
        <v>0.9288189617</v>
      </c>
      <c r="AN500" s="42">
        <f>'1kpi_performance'!D500</f>
        <v>0.388364241</v>
      </c>
      <c r="AO500" s="42">
        <f>'1kpi_performance'!E500</f>
        <v>0.138226406</v>
      </c>
      <c r="AP500" s="42">
        <f>'1kpi_performance'!F500</f>
        <v>0.2902406554</v>
      </c>
      <c r="AQ500" s="42">
        <f>'1kpi_performance'!G500</f>
        <v>0.2714369514</v>
      </c>
      <c r="AR500" s="42">
        <f>'1kpi_performance'!H500</f>
        <v>0.3092682189</v>
      </c>
      <c r="AS500" s="42">
        <f>'1kpi_performance'!I500</f>
        <v>0.4033868728</v>
      </c>
      <c r="AT500" s="35">
        <f>'1kpi_performance'!J500</f>
        <v>2.464976475</v>
      </c>
      <c r="AU500" s="35">
        <f>'1kpi_performance'!K500</f>
        <v>3.329756531</v>
      </c>
      <c r="AV500" s="35">
        <f>'1kpi_performance'!L500</f>
        <v>1.174916202</v>
      </c>
      <c r="AW500" s="35">
        <f>'1kpi_performance'!M500</f>
        <v>0.2806893669</v>
      </c>
      <c r="AX500" s="42">
        <f>'1kpi_performance'!N500</f>
        <v>0.2067567568</v>
      </c>
      <c r="AY500" s="42">
        <f>'1kpi_performance'!O500</f>
        <v>0.2067567568</v>
      </c>
      <c r="AZ500" s="42">
        <f>'1kpi_performance'!P500</f>
        <v>0.6338749172</v>
      </c>
      <c r="BA500" s="42">
        <f>'1kpi_performance'!Q500</f>
        <v>0.6587481758</v>
      </c>
      <c r="BB500" s="35">
        <f>'1kpi_performance'!R500</f>
        <v>5.371889417</v>
      </c>
      <c r="BC500" s="35">
        <f>'1kpi_performance'!S500</f>
        <v>8.118698833</v>
      </c>
      <c r="BD500" s="35">
        <f>'1kpi_performance'!T500</f>
        <v>2.260923499</v>
      </c>
      <c r="BE500" s="35">
        <f>'1kpi_performance'!U500</f>
        <v>0.5498029821</v>
      </c>
      <c r="BF500" s="47"/>
      <c r="BG500" s="47"/>
      <c r="BH500" s="47"/>
      <c r="BI500" s="47"/>
      <c r="BJ500" s="47"/>
      <c r="BK500" s="47"/>
      <c r="BL500" s="47"/>
      <c r="BM500" s="47"/>
      <c r="BN500" s="47"/>
      <c r="BO500" s="47"/>
      <c r="BP500" s="47"/>
      <c r="BQ500" s="47"/>
      <c r="BR500" s="47"/>
      <c r="BS500" s="47"/>
      <c r="BT500" s="47"/>
    </row>
    <row r="501" ht="11.25" customHeight="1">
      <c r="A501" s="35" t="str">
        <f>'13all_company_profile'!A501</f>
        <v>PTC</v>
      </c>
      <c r="B501" s="35" t="str">
        <f>'13all_company_profile'!B501</f>
        <v>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v>
      </c>
      <c r="C501" s="44" t="str">
        <f>'13all_company_profile'!C501</f>
        <v>https://financialmodelingprep.com/image-stock/PTC.png</v>
      </c>
      <c r="D501" s="35" t="str">
        <f>'13all_company_profile'!D501</f>
        <v>PTC Inc.</v>
      </c>
      <c r="E501" s="36">
        <f>'13all_company_profile'!E501</f>
        <v>16509274112</v>
      </c>
      <c r="F501" s="37">
        <f>'13all_company_profile'!F501</f>
        <v>983452</v>
      </c>
      <c r="G501" s="35">
        <f>'13all_company_profile'!G501</f>
        <v>0</v>
      </c>
      <c r="H501" s="38">
        <f>'13all_company_profile'!H501</f>
        <v>44404</v>
      </c>
      <c r="I501" s="35">
        <f>'13all_company_profile'!I501</f>
        <v>74.48698</v>
      </c>
      <c r="J501" s="35">
        <f>'13all_company_profile'!J501</f>
        <v>1.881</v>
      </c>
      <c r="K501" s="42" t="str">
        <f t="shared" si="1"/>
        <v>NaN</v>
      </c>
      <c r="L501" s="35">
        <f>'7company_info'!B501</f>
        <v>142.96</v>
      </c>
      <c r="M501" s="35">
        <f>'7company_info'!C501</f>
        <v>143.52</v>
      </c>
      <c r="N501" s="35">
        <f>'7company_info'!D501</f>
        <v>136.72</v>
      </c>
      <c r="O501" s="35">
        <f>'7company_info'!E501</f>
        <v>6.25</v>
      </c>
      <c r="P501" s="35">
        <f>'7company_info'!F501</f>
        <v>0.0457</v>
      </c>
      <c r="Q501" s="35">
        <f>'7company_info'!G501</f>
        <v>137.31</v>
      </c>
      <c r="R501" s="35">
        <f>'7company_info'!H501</f>
        <v>136.71</v>
      </c>
      <c r="S501" s="35">
        <f>'7company_info'!I501</f>
        <v>79.36</v>
      </c>
      <c r="T501" s="35">
        <f>'7company_info'!J501</f>
        <v>149.5</v>
      </c>
      <c r="U501" s="39">
        <v>142.823333333333</v>
      </c>
      <c r="V501" s="39">
        <v>143.876666666666</v>
      </c>
      <c r="W501" s="40">
        <v>145.183333333333</v>
      </c>
      <c r="X501" s="40">
        <v>147.543333333333</v>
      </c>
      <c r="Y501" s="40">
        <v>141.516666666666</v>
      </c>
      <c r="Z501" s="40">
        <v>140.463333333333</v>
      </c>
      <c r="AA501" s="40">
        <v>138.103333333333</v>
      </c>
      <c r="AB501" s="40">
        <v>141.42</v>
      </c>
      <c r="AC501" s="40">
        <v>142.4</v>
      </c>
      <c r="AD501" s="40">
        <v>140.53743849608</v>
      </c>
      <c r="AE501" s="40">
        <v>137.42326</v>
      </c>
      <c r="AF501" s="40">
        <v>2.82287</v>
      </c>
      <c r="AG501" s="40">
        <v>149.5</v>
      </c>
      <c r="AH501" s="45">
        <v>44313.0</v>
      </c>
      <c r="AI501" s="44" t="str">
        <f>'6image_RS_benchmark_performance'!B501</f>
        <v>https://3arbzfbsh-cname-us.ngrok.io/Desktop/seabridge%20fintech/image_app/PTC_resistance_support.jpg</v>
      </c>
      <c r="AJ501" s="44" t="str">
        <f>'6image_RS_benchmark_performance'!C501</f>
        <v>https://3arbzfbsh-cname-us.ngrok.io/Desktop/seabridge%20fintech/profit_graph_app/PTC_Return.jpg</v>
      </c>
      <c r="AK501" s="46" t="str">
        <f>'5price_action_icon'!B501</f>
        <v>https://3arbzfbsh-cname-us.ngrok.io/Desktop/seabridge%20fintech/icon/PTC_pa_trend_signal</v>
      </c>
      <c r="AL501" s="42">
        <f>'1kpi_performance'!B501</f>
        <v>0.8352651525</v>
      </c>
      <c r="AM501" s="42">
        <f>'1kpi_performance'!C501</f>
        <v>1.167356543</v>
      </c>
      <c r="AN501" s="42">
        <f>'1kpi_performance'!D501</f>
        <v>1.041841446</v>
      </c>
      <c r="AO501" s="42">
        <f>'1kpi_performance'!E501</f>
        <v>0.309877452</v>
      </c>
      <c r="AP501" s="42">
        <f>'1kpi_performance'!F501</f>
        <v>0.272318487</v>
      </c>
      <c r="AQ501" s="42">
        <f>'1kpi_performance'!G501</f>
        <v>0.282739506</v>
      </c>
      <c r="AR501" s="42">
        <f>'1kpi_performance'!H501</f>
        <v>0.2844728328</v>
      </c>
      <c r="AS501" s="42">
        <f>'1kpi_performance'!I501</f>
        <v>0.4045572611</v>
      </c>
      <c r="AT501" s="35">
        <f>'1kpi_performance'!J501</f>
        <v>2.975432045</v>
      </c>
      <c r="AU501" s="35">
        <f>'1kpi_performance'!K501</f>
        <v>4.040314561</v>
      </c>
      <c r="AV501" s="35">
        <f>'1kpi_performance'!L501</f>
        <v>3.574476465</v>
      </c>
      <c r="AW501" s="35">
        <f>'1kpi_performance'!M501</f>
        <v>0.7041709035</v>
      </c>
      <c r="AX501" s="42">
        <f>'1kpi_performance'!N501</f>
        <v>0.180284919</v>
      </c>
      <c r="AY501" s="42">
        <f>'1kpi_performance'!O501</f>
        <v>0.1034144748</v>
      </c>
      <c r="AZ501" s="42">
        <f>'1kpi_performance'!P501</f>
        <v>0.3246392072</v>
      </c>
      <c r="BA501" s="42">
        <f>'1kpi_performance'!Q501</f>
        <v>0.5437423486</v>
      </c>
      <c r="BB501" s="35">
        <f>'1kpi_performance'!R501</f>
        <v>6.557418097</v>
      </c>
      <c r="BC501" s="35">
        <f>'1kpi_performance'!S501</f>
        <v>9.98647986</v>
      </c>
      <c r="BD501" s="35">
        <f>'1kpi_performance'!T501</f>
        <v>7.697214739</v>
      </c>
      <c r="BE501" s="35">
        <f>'1kpi_performance'!U501</f>
        <v>1.35283393</v>
      </c>
      <c r="BF501" s="47"/>
      <c r="BG501" s="47"/>
      <c r="BH501" s="47"/>
      <c r="BI501" s="47"/>
      <c r="BJ501" s="47"/>
      <c r="BK501" s="47"/>
      <c r="BL501" s="47"/>
      <c r="BM501" s="47"/>
      <c r="BN501" s="47"/>
      <c r="BO501" s="47"/>
      <c r="BP501" s="47"/>
      <c r="BQ501" s="47"/>
      <c r="BR501" s="47"/>
      <c r="BS501" s="47"/>
      <c r="BT501" s="47"/>
    </row>
    <row r="502" ht="11.25" customHeight="1">
      <c r="A502" s="35" t="str">
        <f>'13all_company_profile'!A502</f>
        <v>PTON</v>
      </c>
      <c r="B502" s="35" t="str">
        <f>'13all_company_profile'!B502</f>
        <v>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v>
      </c>
      <c r="C502" s="44" t="str">
        <f>'13all_company_profile'!C502</f>
        <v>https://financialmodelingprep.com/image-stock/PTON.png</v>
      </c>
      <c r="D502" s="35" t="str">
        <f>'13all_company_profile'!D502</f>
        <v>Peloton Interactive, Inc.</v>
      </c>
      <c r="E502" s="36">
        <f>'13all_company_profile'!E502</f>
        <v>33167198208</v>
      </c>
      <c r="F502" s="37">
        <f>'13all_company_profile'!F502</f>
        <v>13491638</v>
      </c>
      <c r="G502" s="35">
        <f>'13all_company_profile'!G502</f>
        <v>0</v>
      </c>
      <c r="H502" s="38" t="str">
        <f>'13all_company_profile'!H502</f>
        <v>not avaiable</v>
      </c>
      <c r="I502" s="35">
        <f>'13all_company_profile'!I502</f>
        <v>170.60466</v>
      </c>
      <c r="J502" s="35">
        <f>'13all_company_profile'!J502</f>
        <v>0.645</v>
      </c>
      <c r="K502" s="42" t="str">
        <f t="shared" si="1"/>
        <v>NaN</v>
      </c>
      <c r="L502" s="35">
        <f>'7company_info'!B502</f>
        <v>126.35</v>
      </c>
      <c r="M502" s="35">
        <f>'7company_info'!C502</f>
        <v>127.57</v>
      </c>
      <c r="N502" s="35">
        <f>'7company_info'!D502</f>
        <v>109.67</v>
      </c>
      <c r="O502" s="35">
        <f>'7company_info'!E502</f>
        <v>7.92</v>
      </c>
      <c r="P502" s="35">
        <f>'7company_info'!F502</f>
        <v>0.0669</v>
      </c>
      <c r="Q502" s="35">
        <f>'7company_info'!G502</f>
        <v>124.09</v>
      </c>
      <c r="R502" s="35">
        <f>'7company_info'!H502</f>
        <v>118.43</v>
      </c>
      <c r="S502" s="35">
        <f>'7company_info'!I502</f>
        <v>59.58</v>
      </c>
      <c r="T502" s="35">
        <f>'7company_info'!J502</f>
        <v>171.09</v>
      </c>
      <c r="U502" s="39">
        <v>114.55</v>
      </c>
      <c r="V502" s="39">
        <v>115.8</v>
      </c>
      <c r="W502" s="40">
        <v>118.24</v>
      </c>
      <c r="X502" s="40">
        <v>121.93</v>
      </c>
      <c r="Y502" s="40">
        <v>112.11</v>
      </c>
      <c r="Z502" s="40">
        <v>110.86</v>
      </c>
      <c r="AA502" s="40">
        <v>107.17</v>
      </c>
      <c r="AB502" s="40">
        <v>117.0</v>
      </c>
      <c r="AC502" s="40">
        <v>121.18</v>
      </c>
      <c r="AD502" s="40">
        <v>117.647595671699</v>
      </c>
      <c r="AE502" s="40">
        <v>109.29428</v>
      </c>
      <c r="AF502" s="40">
        <v>5.28235999999999</v>
      </c>
      <c r="AG502" s="40">
        <v>166.57</v>
      </c>
      <c r="AH502" s="45">
        <v>44221.0</v>
      </c>
      <c r="AI502" s="44" t="str">
        <f>'6image_RS_benchmark_performance'!B502</f>
        <v>https://3arbzfbsh-cname-us.ngrok.io/Desktop/seabridge%20fintech/image_app/PTON_resistance_support.jpg</v>
      </c>
      <c r="AJ502" s="44" t="str">
        <f>'6image_RS_benchmark_performance'!C502</f>
        <v>https://3arbzfbsh-cname-us.ngrok.io/Desktop/seabridge%20fintech/profit_graph_app/PTON_Return.jpg</v>
      </c>
      <c r="AK502" s="46" t="str">
        <f>'5price_action_icon'!B502</f>
        <v>https://3arbzfbsh-cname-us.ngrok.io/Desktop/seabridge%20fintech/icon/PTON_pa_trend_signal</v>
      </c>
      <c r="AL502" s="42">
        <f>'1kpi_performance'!B502</f>
        <v>3.809963223</v>
      </c>
      <c r="AM502" s="42">
        <f>'1kpi_performance'!C502</f>
        <v>6.049079788</v>
      </c>
      <c r="AN502" s="42">
        <f>'1kpi_performance'!D502</f>
        <v>0.9032951179</v>
      </c>
      <c r="AO502" s="42">
        <f>'1kpi_performance'!E502</f>
        <v>2.254867076</v>
      </c>
      <c r="AP502" s="42">
        <f>'1kpi_performance'!F502</f>
        <v>0.6247616734</v>
      </c>
      <c r="AQ502" s="42">
        <f>'1kpi_performance'!G502</f>
        <v>0.6684944714</v>
      </c>
      <c r="AR502" s="42">
        <f>'1kpi_performance'!H502</f>
        <v>0.6601447275</v>
      </c>
      <c r="AS502" s="42">
        <f>'1kpi_performance'!I502</f>
        <v>0.8612823369</v>
      </c>
      <c r="AT502" s="35">
        <f>'1kpi_performance'!J502</f>
        <v>6.058251304</v>
      </c>
      <c r="AU502" s="35">
        <f>'1kpi_performance'!K502</f>
        <v>9.011413028</v>
      </c>
      <c r="AV502" s="35">
        <f>'1kpi_performance'!L502</f>
        <v>1.33045843</v>
      </c>
      <c r="AW502" s="35">
        <f>'1kpi_performance'!M502</f>
        <v>2.58900825</v>
      </c>
      <c r="AX502" s="42">
        <f>'1kpi_performance'!N502</f>
        <v>0.2209346269</v>
      </c>
      <c r="AY502" s="42">
        <f>'1kpi_performance'!O502</f>
        <v>0.1648177496</v>
      </c>
      <c r="AZ502" s="42">
        <f>'1kpi_performance'!P502</f>
        <v>0.3569140731</v>
      </c>
      <c r="BA502" s="42">
        <f>'1kpi_performance'!Q502</f>
        <v>0.5065105722</v>
      </c>
      <c r="BB502" s="35">
        <f>'1kpi_performance'!R502</f>
        <v>13.09130891</v>
      </c>
      <c r="BC502" s="35">
        <f>'1kpi_performance'!S502</f>
        <v>20.92196977</v>
      </c>
      <c r="BD502" s="35">
        <f>'1kpi_performance'!T502</f>
        <v>2.624950498</v>
      </c>
      <c r="BE502" s="35">
        <f>'1kpi_performance'!U502</f>
        <v>5.446176247</v>
      </c>
      <c r="BF502" s="47"/>
      <c r="BG502" s="47"/>
      <c r="BH502" s="47"/>
      <c r="BI502" s="47"/>
      <c r="BJ502" s="47"/>
      <c r="BK502" s="47"/>
      <c r="BL502" s="47"/>
      <c r="BM502" s="47"/>
      <c r="BN502" s="47"/>
      <c r="BO502" s="47"/>
      <c r="BP502" s="47"/>
      <c r="BQ502" s="47"/>
      <c r="BR502" s="47"/>
      <c r="BS502" s="47"/>
      <c r="BT502" s="47"/>
    </row>
    <row r="503" ht="11.25" customHeight="1">
      <c r="A503" s="35" t="str">
        <f>'13all_company_profile'!A503</f>
        <v>PVH</v>
      </c>
      <c r="B503" s="35" t="str">
        <f>'13all_company_profile'!B503</f>
        <v>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v>
      </c>
      <c r="C503" s="44" t="str">
        <f>'13all_company_profile'!C503</f>
        <v>https://financialmodelingprep.com/image-stock/PVH.png</v>
      </c>
      <c r="D503" s="35" t="str">
        <f>'13all_company_profile'!D503</f>
        <v>PVH Corp.</v>
      </c>
      <c r="E503" s="36">
        <f>'13all_company_profile'!E503</f>
        <v>7182353408</v>
      </c>
      <c r="F503" s="37">
        <f>'13all_company_profile'!F503</f>
        <v>898823</v>
      </c>
      <c r="G503" s="35">
        <f>'13all_company_profile'!G503</f>
        <v>0.038</v>
      </c>
      <c r="H503" s="38" t="str">
        <f>'13all_company_profile'!H503</f>
        <v>not avaiable</v>
      </c>
      <c r="I503" s="35">
        <f>'13all_company_profile'!I503</f>
        <v>114.589195</v>
      </c>
      <c r="J503" s="35">
        <f>'13all_company_profile'!J503</f>
        <v>0.852</v>
      </c>
      <c r="K503" s="42">
        <f t="shared" si="1"/>
        <v>0.000380761523</v>
      </c>
      <c r="L503" s="35">
        <f>'7company_info'!B503</f>
        <v>99.8</v>
      </c>
      <c r="M503" s="35">
        <f>'7company_info'!C503</f>
        <v>100.39</v>
      </c>
      <c r="N503" s="35">
        <f>'7company_info'!D503</f>
        <v>92.79</v>
      </c>
      <c r="O503" s="35">
        <f>'7company_info'!E503</f>
        <v>6</v>
      </c>
      <c r="P503" s="35">
        <f>'7company_info'!F503</f>
        <v>0.064</v>
      </c>
      <c r="Q503" s="35">
        <f>'7company_info'!G503</f>
        <v>93.73</v>
      </c>
      <c r="R503" s="35">
        <f>'7company_info'!H503</f>
        <v>93.8</v>
      </c>
      <c r="S503" s="35">
        <f>'7company_info'!I503</f>
        <v>47.21</v>
      </c>
      <c r="T503" s="35">
        <f>'7company_info'!J503</f>
        <v>121.18</v>
      </c>
      <c r="U503" s="39">
        <v>104.62</v>
      </c>
      <c r="V503" s="39">
        <v>106.12</v>
      </c>
      <c r="W503" s="40">
        <v>108.89</v>
      </c>
      <c r="X503" s="40">
        <v>113.16</v>
      </c>
      <c r="Y503" s="40">
        <v>101.85</v>
      </c>
      <c r="Z503" s="40">
        <v>100.35</v>
      </c>
      <c r="AA503" s="40">
        <v>96.08</v>
      </c>
      <c r="AB503" s="40">
        <v>103.69</v>
      </c>
      <c r="AC503" s="40">
        <v>107.13</v>
      </c>
      <c r="AD503" s="40">
        <v>106.898164846454</v>
      </c>
      <c r="AE503" s="40">
        <v>97.02252</v>
      </c>
      <c r="AF503" s="40">
        <v>3.90373999999999</v>
      </c>
      <c r="AG503" s="40">
        <v>121.175</v>
      </c>
      <c r="AH503" s="45">
        <v>44326.0</v>
      </c>
      <c r="AI503" s="44" t="str">
        <f>'6image_RS_benchmark_performance'!B503</f>
        <v>https://3arbzfbsh-cname-us.ngrok.io/Desktop/seabridge%20fintech/image_app/PVH_resistance_support.jpg</v>
      </c>
      <c r="AJ503" s="44" t="str">
        <f>'6image_RS_benchmark_performance'!C503</f>
        <v>https://3arbzfbsh-cname-us.ngrok.io/Desktop/seabridge%20fintech/profit_graph_app/PVH_Return.jpg</v>
      </c>
      <c r="AK503" s="46" t="str">
        <f>'5price_action_icon'!B503</f>
        <v>https://3arbzfbsh-cname-us.ngrok.io/Desktop/seabridge%20fintech/icon/PVH_pa_trend_signal</v>
      </c>
      <c r="AL503" s="42">
        <f>'1kpi_performance'!B503</f>
        <v>0.815098116</v>
      </c>
      <c r="AM503" s="42">
        <f>'1kpi_performance'!C503</f>
        <v>1.105064439</v>
      </c>
      <c r="AN503" s="42">
        <f>'1kpi_performance'!D503</f>
        <v>0.8519037987</v>
      </c>
      <c r="AO503" s="42">
        <f>'1kpi_performance'!E503</f>
        <v>0.1166367985</v>
      </c>
      <c r="AP503" s="42">
        <f>'1kpi_performance'!F503</f>
        <v>0.3600899351</v>
      </c>
      <c r="AQ503" s="42">
        <f>'1kpi_performance'!G503</f>
        <v>0.3333320272</v>
      </c>
      <c r="AR503" s="42">
        <f>'1kpi_performance'!H503</f>
        <v>0.3903488183</v>
      </c>
      <c r="AS503" s="42">
        <f>'1kpi_performance'!I503</f>
        <v>0.5030618902</v>
      </c>
      <c r="AT503" s="35">
        <f>'1kpi_performance'!J503</f>
        <v>2.194168843</v>
      </c>
      <c r="AU503" s="35">
        <f>'1kpi_performance'!K503</f>
        <v>3.240206013</v>
      </c>
      <c r="AV503" s="35">
        <f>'1kpi_performance'!L503</f>
        <v>2.118371466</v>
      </c>
      <c r="AW503" s="35">
        <f>'1kpi_performance'!M503</f>
        <v>0.1821581008</v>
      </c>
      <c r="AX503" s="42">
        <f>'1kpi_performance'!N503</f>
        <v>0.3341598107</v>
      </c>
      <c r="AY503" s="42">
        <f>'1kpi_performance'!O503</f>
        <v>0.19127449</v>
      </c>
      <c r="AZ503" s="42">
        <f>'1kpi_performance'!P503</f>
        <v>0.6768272333</v>
      </c>
      <c r="BA503" s="42">
        <f>'1kpi_performance'!Q503</f>
        <v>0.8272478592</v>
      </c>
      <c r="BB503" s="35">
        <f>'1kpi_performance'!R503</f>
        <v>4.947426323</v>
      </c>
      <c r="BC503" s="35">
        <f>'1kpi_performance'!S503</f>
        <v>7.956880752</v>
      </c>
      <c r="BD503" s="35">
        <f>'1kpi_performance'!T503</f>
        <v>4.460741475</v>
      </c>
      <c r="BE503" s="35">
        <f>'1kpi_performance'!U503</f>
        <v>0.3639428537</v>
      </c>
      <c r="BF503" s="47"/>
      <c r="BG503" s="47"/>
      <c r="BH503" s="47"/>
      <c r="BI503" s="47"/>
      <c r="BJ503" s="47"/>
      <c r="BK503" s="47"/>
      <c r="BL503" s="47"/>
      <c r="BM503" s="47"/>
      <c r="BN503" s="47"/>
      <c r="BO503" s="47"/>
      <c r="BP503" s="47"/>
      <c r="BQ503" s="47"/>
      <c r="BR503" s="47"/>
      <c r="BS503" s="47"/>
      <c r="BT503" s="47"/>
    </row>
    <row r="504" ht="11.25" customHeight="1">
      <c r="A504" s="35" t="str">
        <f>'13all_company_profile'!A504</f>
        <v>PWR</v>
      </c>
      <c r="B504" s="35" t="str">
        <f>'13all_company_profile'!B504</f>
        <v>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v>
      </c>
      <c r="C504" s="44" t="str">
        <f>'13all_company_profile'!C504</f>
        <v>https://financialmodelingprep.com/image-stock/PWR.png</v>
      </c>
      <c r="D504" s="35" t="str">
        <f>'13all_company_profile'!D504</f>
        <v>Quanta Services, Inc.</v>
      </c>
      <c r="E504" s="36">
        <f>'13all_company_profile'!E504</f>
        <v>12323760128</v>
      </c>
      <c r="F504" s="37">
        <f>'13all_company_profile'!F504</f>
        <v>1078725</v>
      </c>
      <c r="G504" s="35">
        <f>'13all_company_profile'!G504</f>
        <v>0.23</v>
      </c>
      <c r="H504" s="38">
        <f>'13all_company_profile'!H504</f>
        <v>44412</v>
      </c>
      <c r="I504" s="35">
        <f>'13all_company_profile'!I504</f>
        <v>25.507563</v>
      </c>
      <c r="J504" s="35">
        <f>'13all_company_profile'!J504</f>
        <v>3.438</v>
      </c>
      <c r="K504" s="42">
        <f t="shared" si="1"/>
        <v>0.002604756512</v>
      </c>
      <c r="L504" s="35">
        <f>'7company_info'!B504</f>
        <v>88.3</v>
      </c>
      <c r="M504" s="35">
        <f>'7company_info'!C504</f>
        <v>88.84</v>
      </c>
      <c r="N504" s="35">
        <f>'7company_info'!D504</f>
        <v>84.93</v>
      </c>
      <c r="O504" s="35">
        <f>'7company_info'!E504</f>
        <v>2.86</v>
      </c>
      <c r="P504" s="35">
        <f>'7company_info'!F504</f>
        <v>0.0335</v>
      </c>
      <c r="Q504" s="35">
        <f>'7company_info'!G504</f>
        <v>85.3</v>
      </c>
      <c r="R504" s="35">
        <f>'7company_info'!H504</f>
        <v>85.44</v>
      </c>
      <c r="S504" s="35">
        <f>'7company_info'!I504</f>
        <v>39.2</v>
      </c>
      <c r="T504" s="35">
        <f>'7company_info'!J504</f>
        <v>101.96</v>
      </c>
      <c r="U504" s="39">
        <v>89.5133333333333</v>
      </c>
      <c r="V504" s="39">
        <v>90.6866666666666</v>
      </c>
      <c r="W504" s="40">
        <v>92.5633333333333</v>
      </c>
      <c r="X504" s="40">
        <v>95.6133333333333</v>
      </c>
      <c r="Y504" s="40">
        <v>87.6366666666666</v>
      </c>
      <c r="Z504" s="40">
        <v>86.4633333333333</v>
      </c>
      <c r="AA504" s="40">
        <v>83.4133333333333</v>
      </c>
      <c r="AB504" s="40">
        <v>85.06</v>
      </c>
      <c r="AC504" s="40">
        <v>91.2</v>
      </c>
      <c r="AD504" s="40">
        <v>90.0848714032523</v>
      </c>
      <c r="AE504" s="40">
        <v>85.3196</v>
      </c>
      <c r="AF504" s="40">
        <v>2.2977</v>
      </c>
      <c r="AG504" s="40">
        <v>101.959</v>
      </c>
      <c r="AH504" s="45">
        <v>44326.0</v>
      </c>
      <c r="AI504" s="44" t="str">
        <f>'6image_RS_benchmark_performance'!B504</f>
        <v>https://3arbzfbsh-cname-us.ngrok.io/Desktop/seabridge%20fintech/image_app/PWR_resistance_support.jpg</v>
      </c>
      <c r="AJ504" s="44" t="str">
        <f>'6image_RS_benchmark_performance'!C504</f>
        <v>https://3arbzfbsh-cname-us.ngrok.io/Desktop/seabridge%20fintech/profit_graph_app/PWR_Return.jpg</v>
      </c>
      <c r="AK504" s="46" t="str">
        <f>'5price_action_icon'!B504</f>
        <v>https://3arbzfbsh-cname-us.ngrok.io/Desktop/seabridge%20fintech/icon/PWR_pa_trend_signal</v>
      </c>
      <c r="AL504" s="42">
        <f>'1kpi_performance'!B504</f>
        <v>0.6430447091</v>
      </c>
      <c r="AM504" s="42">
        <f>'1kpi_performance'!C504</f>
        <v>0.9232449774</v>
      </c>
      <c r="AN504" s="42">
        <f>'1kpi_performance'!D504</f>
        <v>0.5810662165</v>
      </c>
      <c r="AO504" s="42">
        <f>'1kpi_performance'!E504</f>
        <v>0.2158947067</v>
      </c>
      <c r="AP504" s="42">
        <f>'1kpi_performance'!F504</f>
        <v>0.2419083923</v>
      </c>
      <c r="AQ504" s="42">
        <f>'1kpi_performance'!G504</f>
        <v>0.2514980429</v>
      </c>
      <c r="AR504" s="42">
        <f>'1kpi_performance'!H504</f>
        <v>0.2669912613</v>
      </c>
      <c r="AS504" s="42">
        <f>'1kpi_performance'!I504</f>
        <v>0.384096769</v>
      </c>
      <c r="AT504" s="35">
        <f>'1kpi_performance'!J504</f>
        <v>2.554870888</v>
      </c>
      <c r="AU504" s="35">
        <f>'1kpi_performance'!K504</f>
        <v>3.571578399</v>
      </c>
      <c r="AV504" s="35">
        <f>'1kpi_performance'!L504</f>
        <v>2.082713172</v>
      </c>
      <c r="AW504" s="35">
        <f>'1kpi_performance'!M504</f>
        <v>0.4969963877</v>
      </c>
      <c r="AX504" s="42">
        <f>'1kpi_performance'!N504</f>
        <v>0.1520094266</v>
      </c>
      <c r="AY504" s="42">
        <f>'1kpi_performance'!O504</f>
        <v>0.1621290123</v>
      </c>
      <c r="AZ504" s="42">
        <f>'1kpi_performance'!P504</f>
        <v>0.4085487078</v>
      </c>
      <c r="BA504" s="42">
        <f>'1kpi_performance'!Q504</f>
        <v>0.5352150538</v>
      </c>
      <c r="BB504" s="35">
        <f>'1kpi_performance'!R504</f>
        <v>5.652773126</v>
      </c>
      <c r="BC504" s="35">
        <f>'1kpi_performance'!S504</f>
        <v>8.704047972</v>
      </c>
      <c r="BD504" s="35">
        <f>'1kpi_performance'!T504</f>
        <v>4.008121813</v>
      </c>
      <c r="BE504" s="35">
        <f>'1kpi_performance'!U504</f>
        <v>0.9245395347</v>
      </c>
      <c r="BF504" s="47"/>
      <c r="BG504" s="47"/>
      <c r="BH504" s="47"/>
      <c r="BI504" s="47"/>
      <c r="BJ504" s="47"/>
      <c r="BK504" s="47"/>
      <c r="BL504" s="47"/>
      <c r="BM504" s="47"/>
      <c r="BN504" s="47"/>
      <c r="BO504" s="47"/>
      <c r="BP504" s="47"/>
      <c r="BQ504" s="47"/>
      <c r="BR504" s="47"/>
      <c r="BS504" s="47"/>
      <c r="BT504" s="47"/>
    </row>
    <row r="505" ht="11.25" customHeight="1">
      <c r="A505" s="35" t="str">
        <f>'13all_company_profile'!A505</f>
        <v>PXD</v>
      </c>
      <c r="B505" s="35" t="str">
        <f>'13all_company_profile'!B505</f>
        <v>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v>
      </c>
      <c r="C505" s="44" t="str">
        <f>'13all_company_profile'!C505</f>
        <v>https://financialmodelingprep.com/image-stock/PXD.png</v>
      </c>
      <c r="D505" s="35" t="str">
        <f>'13all_company_profile'!D505</f>
        <v>Pioneer Natural Resources Company</v>
      </c>
      <c r="E505" s="36">
        <f>'13all_company_profile'!E505</f>
        <v>35968282624</v>
      </c>
      <c r="F505" s="37">
        <f>'13all_company_profile'!F505</f>
        <v>2478839</v>
      </c>
      <c r="G505" s="35">
        <f>'13all_company_profile'!G505</f>
        <v>2.22</v>
      </c>
      <c r="H505" s="38">
        <f>'13all_company_profile'!H505</f>
        <v>44410</v>
      </c>
      <c r="I505" s="35" t="str">
        <f>'13all_company_profile'!I505</f>
        <v>NaN</v>
      </c>
      <c r="J505" s="35">
        <f>'13all_company_profile'!J505</f>
        <v>-3.182</v>
      </c>
      <c r="K505" s="42">
        <f t="shared" si="1"/>
        <v>0.01597697013</v>
      </c>
      <c r="L505" s="35">
        <f>'7company_info'!B505</f>
        <v>138.95</v>
      </c>
      <c r="M505" s="35">
        <f>'7company_info'!C505</f>
        <v>139.92</v>
      </c>
      <c r="N505" s="35">
        <f>'7company_info'!D505</f>
        <v>135</v>
      </c>
      <c r="O505" s="35">
        <f>'7company_info'!E505</f>
        <v>2.29</v>
      </c>
      <c r="P505" s="35">
        <f>'7company_info'!F505</f>
        <v>0.0168</v>
      </c>
      <c r="Q505" s="35">
        <f>'7company_info'!G505</f>
        <v>136.69</v>
      </c>
      <c r="R505" s="35">
        <f>'7company_info'!H505</f>
        <v>136.66</v>
      </c>
      <c r="S505" s="35">
        <f>'7company_info'!I505</f>
        <v>76.58</v>
      </c>
      <c r="T505" s="35">
        <f>'7company_info'!J505</f>
        <v>175.37</v>
      </c>
      <c r="U505" s="39">
        <v>154.383333333333</v>
      </c>
      <c r="V505" s="39">
        <v>157.206666666666</v>
      </c>
      <c r="W505" s="40">
        <v>162.553333333333</v>
      </c>
      <c r="X505" s="40">
        <v>170.723333333333</v>
      </c>
      <c r="Y505" s="40">
        <v>149.036666666666</v>
      </c>
      <c r="Z505" s="40">
        <v>146.213333333333</v>
      </c>
      <c r="AA505" s="40">
        <v>138.043333333333</v>
      </c>
      <c r="AB505" s="40">
        <v>156.47</v>
      </c>
      <c r="AC505" s="40">
        <v>163.23</v>
      </c>
      <c r="AD505" s="40">
        <v>159.612051575979</v>
      </c>
      <c r="AE505" s="40">
        <v>148.14208</v>
      </c>
      <c r="AF505" s="40">
        <v>4.79945999999999</v>
      </c>
      <c r="AG505" s="40">
        <v>175.37</v>
      </c>
      <c r="AH505" s="45">
        <v>44326.0</v>
      </c>
      <c r="AI505" s="44" t="str">
        <f>'6image_RS_benchmark_performance'!B505</f>
        <v>https://3arbzfbsh-cname-us.ngrok.io/Desktop/seabridge%20fintech/image_app/PXD_resistance_support.jpg</v>
      </c>
      <c r="AJ505" s="44" t="str">
        <f>'6image_RS_benchmark_performance'!C505</f>
        <v>https://3arbzfbsh-cname-us.ngrok.io/Desktop/seabridge%20fintech/profit_graph_app/PXD_Return.jpg</v>
      </c>
      <c r="AK505" s="46" t="str">
        <f>'5price_action_icon'!B505</f>
        <v>https://3arbzfbsh-cname-us.ngrok.io/Desktop/seabridge%20fintech/icon/PXD_pa_trend_signal</v>
      </c>
      <c r="AL505" s="42">
        <f>'1kpi_performance'!B505</f>
        <v>0.8455157347</v>
      </c>
      <c r="AM505" s="42">
        <f>'1kpi_performance'!C505</f>
        <v>1.205462687</v>
      </c>
      <c r="AN505" s="42">
        <f>'1kpi_performance'!D505</f>
        <v>0.577602614</v>
      </c>
      <c r="AO505" s="42">
        <f>'1kpi_performance'!E505</f>
        <v>0.1539423606</v>
      </c>
      <c r="AP505" s="42">
        <f>'1kpi_performance'!F505</f>
        <v>0.3442859331</v>
      </c>
      <c r="AQ505" s="42">
        <f>'1kpi_performance'!G505</f>
        <v>0.3305661727</v>
      </c>
      <c r="AR505" s="42">
        <f>'1kpi_performance'!H505</f>
        <v>0.3763375258</v>
      </c>
      <c r="AS505" s="42">
        <f>'1kpi_performance'!I505</f>
        <v>0.500737408</v>
      </c>
      <c r="AT505" s="35">
        <f>'1kpi_performance'!J505</f>
        <v>2.383239208</v>
      </c>
      <c r="AU505" s="35">
        <f>'1kpi_performance'!K505</f>
        <v>3.571032926</v>
      </c>
      <c r="AV505" s="35">
        <f>'1kpi_performance'!L505</f>
        <v>1.468369685</v>
      </c>
      <c r="AW505" s="35">
        <f>'1kpi_performance'!M505</f>
        <v>0.2575049488</v>
      </c>
      <c r="AX505" s="42">
        <f>'1kpi_performance'!N505</f>
        <v>0.1929966744</v>
      </c>
      <c r="AY505" s="42">
        <f>'1kpi_performance'!O505</f>
        <v>0.1179019891</v>
      </c>
      <c r="AZ505" s="42">
        <f>'1kpi_performance'!P505</f>
        <v>0.6016978882</v>
      </c>
      <c r="BA505" s="42">
        <f>'1kpi_performance'!Q505</f>
        <v>0.7564251083</v>
      </c>
      <c r="BB505" s="35">
        <f>'1kpi_performance'!R505</f>
        <v>5.303445966</v>
      </c>
      <c r="BC505" s="35">
        <f>'1kpi_performance'!S505</f>
        <v>8.546172737</v>
      </c>
      <c r="BD505" s="35">
        <f>'1kpi_performance'!T505</f>
        <v>2.741594272</v>
      </c>
      <c r="BE505" s="35">
        <f>'1kpi_performance'!U505</f>
        <v>0.5063116427</v>
      </c>
      <c r="BF505" s="47"/>
      <c r="BG505" s="47"/>
      <c r="BH505" s="47"/>
      <c r="BI505" s="47"/>
      <c r="BJ505" s="47"/>
      <c r="BK505" s="47"/>
      <c r="BL505" s="47"/>
      <c r="BM505" s="47"/>
      <c r="BN505" s="47"/>
      <c r="BO505" s="47"/>
      <c r="BP505" s="47"/>
      <c r="BQ505" s="47"/>
      <c r="BR505" s="47"/>
      <c r="BS505" s="47"/>
      <c r="BT505" s="47"/>
    </row>
    <row r="506" ht="11.25" customHeight="1">
      <c r="A506" s="35" t="str">
        <f>'13all_company_profile'!A506</f>
        <v>PYPL</v>
      </c>
      <c r="B506" s="35" t="str">
        <f>'13all_company_profile'!B506</f>
        <v>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v>
      </c>
      <c r="C506" s="44" t="str">
        <f>'13all_company_profile'!C506</f>
        <v>https://financialmodelingprep.com/image-stock/PYPL.png</v>
      </c>
      <c r="D506" s="35" t="str">
        <f>'13all_company_profile'!D506</f>
        <v>PayPal Holdings, Inc.</v>
      </c>
      <c r="E506" s="36">
        <f>'13all_company_profile'!E506</f>
        <v>348319186944</v>
      </c>
      <c r="F506" s="37">
        <f>'13all_company_profile'!F506</f>
        <v>6471365</v>
      </c>
      <c r="G506" s="35">
        <f>'13all_company_profile'!G506</f>
        <v>0</v>
      </c>
      <c r="H506" s="38">
        <f>'13all_company_profile'!H506</f>
        <v>44405</v>
      </c>
      <c r="I506" s="35">
        <f>'13all_company_profile'!I506</f>
        <v>67.22955</v>
      </c>
      <c r="J506" s="35">
        <f>'13all_company_profile'!J506</f>
        <v>4.388</v>
      </c>
      <c r="K506" s="42" t="str">
        <f t="shared" si="1"/>
        <v>NaN</v>
      </c>
      <c r="L506" s="35">
        <f>'7company_info'!B506</f>
        <v>298.07</v>
      </c>
      <c r="M506" s="35">
        <f>'7company_info'!C506</f>
        <v>300.03</v>
      </c>
      <c r="N506" s="35">
        <f>'7company_info'!D506</f>
        <v>291.57</v>
      </c>
      <c r="O506" s="35">
        <f>'7company_info'!E506</f>
        <v>3.22</v>
      </c>
      <c r="P506" s="35">
        <f>'7company_info'!F506</f>
        <v>0.0109</v>
      </c>
      <c r="Q506" s="35">
        <f>'7company_info'!G506</f>
        <v>295.52</v>
      </c>
      <c r="R506" s="35">
        <f>'7company_info'!H506</f>
        <v>294.85</v>
      </c>
      <c r="S506" s="35">
        <f>'7company_info'!I506</f>
        <v>169.08</v>
      </c>
      <c r="T506" s="35">
        <f>'7company_info'!J506</f>
        <v>309.14</v>
      </c>
      <c r="U506" s="39">
        <v>301.630033333333</v>
      </c>
      <c r="V506" s="39">
        <v>303.929966666666</v>
      </c>
      <c r="W506" s="40">
        <v>307.109933333333</v>
      </c>
      <c r="X506" s="40">
        <v>312.589833333333</v>
      </c>
      <c r="Y506" s="40">
        <v>298.450066666666</v>
      </c>
      <c r="Z506" s="40">
        <v>296.150133333333</v>
      </c>
      <c r="AA506" s="40">
        <v>290.670233333333</v>
      </c>
      <c r="AB506" s="40">
        <v>295.0</v>
      </c>
      <c r="AC506" s="40">
        <v>288.55</v>
      </c>
      <c r="AD506" s="40">
        <v>289.746637232057</v>
      </c>
      <c r="AE506" s="40">
        <v>288.23532</v>
      </c>
      <c r="AF506" s="40">
        <v>6.53883499999999</v>
      </c>
      <c r="AG506" s="40">
        <v>309.14</v>
      </c>
      <c r="AH506" s="45">
        <v>44243.0</v>
      </c>
      <c r="AI506" s="44" t="str">
        <f>'6image_RS_benchmark_performance'!B506</f>
        <v>https://3arbzfbsh-cname-us.ngrok.io/Desktop/seabridge%20fintech/image_app/PYPL_resistance_support.jpg</v>
      </c>
      <c r="AJ506" s="44" t="str">
        <f>'6image_RS_benchmark_performance'!C506</f>
        <v>https://3arbzfbsh-cname-us.ngrok.io/Desktop/seabridge%20fintech/profit_graph_app/PYPL_Return.jpg</v>
      </c>
      <c r="AK506" s="46" t="str">
        <f>'5price_action_icon'!B506</f>
        <v>https://3arbzfbsh-cname-us.ngrok.io/Desktop/seabridge%20fintech/icon/PYPL_pa_trend_signal</v>
      </c>
      <c r="AL506" s="42">
        <f>'1kpi_performance'!B506</f>
        <v>1.022558331</v>
      </c>
      <c r="AM506" s="42">
        <f>'1kpi_performance'!C506</f>
        <v>1.260623293</v>
      </c>
      <c r="AN506" s="42">
        <f>'1kpi_performance'!D506</f>
        <v>0.9643257331</v>
      </c>
      <c r="AO506" s="42">
        <f>'1kpi_performance'!E506</f>
        <v>0.6472686633</v>
      </c>
      <c r="AP506" s="42">
        <f>'1kpi_performance'!F506</f>
        <v>0.2755054162</v>
      </c>
      <c r="AQ506" s="42">
        <f>'1kpi_performance'!G506</f>
        <v>0.2764705765</v>
      </c>
      <c r="AR506" s="42">
        <f>'1kpi_performance'!H506</f>
        <v>0.3044915151</v>
      </c>
      <c r="AS506" s="42">
        <f>'1kpi_performance'!I506</f>
        <v>0.4132063833</v>
      </c>
      <c r="AT506" s="35">
        <f>'1kpi_performance'!J506</f>
        <v>3.620830198</v>
      </c>
      <c r="AU506" s="35">
        <f>'1kpi_performance'!K506</f>
        <v>4.469275928</v>
      </c>
      <c r="AV506" s="35">
        <f>'1kpi_performance'!L506</f>
        <v>3.084899534</v>
      </c>
      <c r="AW506" s="35">
        <f>'1kpi_performance'!M506</f>
        <v>1.505951235</v>
      </c>
      <c r="AX506" s="42">
        <f>'1kpi_performance'!N506</f>
        <v>0.1307181411</v>
      </c>
      <c r="AY506" s="42">
        <f>'1kpi_performance'!O506</f>
        <v>0.1056574528</v>
      </c>
      <c r="AZ506" s="42">
        <f>'1kpi_performance'!P506</f>
        <v>0.2259645937</v>
      </c>
      <c r="BA506" s="42">
        <f>'1kpi_performance'!Q506</f>
        <v>0.3119199419</v>
      </c>
      <c r="BB506" s="35">
        <f>'1kpi_performance'!R506</f>
        <v>8.459384247</v>
      </c>
      <c r="BC506" s="35">
        <f>'1kpi_performance'!S506</f>
        <v>10.7061776</v>
      </c>
      <c r="BD506" s="35">
        <f>'1kpi_performance'!T506</f>
        <v>6.707489878</v>
      </c>
      <c r="BE506" s="35">
        <f>'1kpi_performance'!U506</f>
        <v>3.090330163</v>
      </c>
      <c r="BF506" s="47"/>
      <c r="BG506" s="47"/>
      <c r="BH506" s="47"/>
      <c r="BI506" s="47"/>
      <c r="BJ506" s="47"/>
      <c r="BK506" s="47"/>
      <c r="BL506" s="47"/>
      <c r="BM506" s="47"/>
      <c r="BN506" s="47"/>
      <c r="BO506" s="47"/>
      <c r="BP506" s="47"/>
      <c r="BQ506" s="47"/>
      <c r="BR506" s="47"/>
      <c r="BS506" s="47"/>
      <c r="BT506" s="47"/>
    </row>
    <row r="507" ht="11.25" customHeight="1">
      <c r="A507" s="35" t="str">
        <f>'13all_company_profile'!A507</f>
        <v>QCOM</v>
      </c>
      <c r="B507" s="35" t="str">
        <f>'13all_company_profile'!B507</f>
        <v>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v>
      </c>
      <c r="C507" s="44" t="str">
        <f>'13all_company_profile'!C507</f>
        <v>https://financialmodelingprep.com/image-stock/QCOM.png</v>
      </c>
      <c r="D507" s="35" t="str">
        <f>'13all_company_profile'!D507</f>
        <v>QUALCOMM Incorporated</v>
      </c>
      <c r="E507" s="36">
        <f>'13all_company_profile'!E507</f>
        <v>159566888960</v>
      </c>
      <c r="F507" s="37">
        <f>'13all_company_profile'!F507</f>
        <v>8317566</v>
      </c>
      <c r="G507" s="35">
        <f>'13all_company_profile'!G507</f>
        <v>2.63</v>
      </c>
      <c r="H507" s="38">
        <f>'13all_company_profile'!H507</f>
        <v>44405</v>
      </c>
      <c r="I507" s="35">
        <f>'13all_company_profile'!I507</f>
        <v>20.040829</v>
      </c>
      <c r="J507" s="35">
        <f>'13all_company_profile'!J507</f>
        <v>6.983</v>
      </c>
      <c r="K507" s="42">
        <f t="shared" si="1"/>
        <v>0.01884629165</v>
      </c>
      <c r="L507" s="35">
        <f>'7company_info'!B507</f>
        <v>139.55</v>
      </c>
      <c r="M507" s="35">
        <f>'7company_info'!C507</f>
        <v>140.42</v>
      </c>
      <c r="N507" s="35">
        <f>'7company_info'!D507</f>
        <v>137.2</v>
      </c>
      <c r="O507" s="35">
        <f>'7company_info'!E507</f>
        <v>0.76</v>
      </c>
      <c r="P507" s="35">
        <f>'7company_info'!F507</f>
        <v>0.0055</v>
      </c>
      <c r="Q507" s="35">
        <f>'7company_info'!G507</f>
        <v>139.02</v>
      </c>
      <c r="R507" s="35">
        <f>'7company_info'!H507</f>
        <v>138.79</v>
      </c>
      <c r="S507" s="35">
        <f>'7company_info'!I507</f>
        <v>87.51</v>
      </c>
      <c r="T507" s="35">
        <f>'7company_info'!J507</f>
        <v>167.94</v>
      </c>
      <c r="U507" s="39">
        <v>144.196666666666</v>
      </c>
      <c r="V507" s="39">
        <v>145.893333333333</v>
      </c>
      <c r="W507" s="40">
        <v>148.036666666666</v>
      </c>
      <c r="X507" s="40">
        <v>151.876666666666</v>
      </c>
      <c r="Y507" s="40">
        <v>142.053333333333</v>
      </c>
      <c r="Z507" s="40">
        <v>140.356666666666</v>
      </c>
      <c r="AA507" s="40">
        <v>136.516666666666</v>
      </c>
      <c r="AB507" s="40">
        <v>141.2</v>
      </c>
      <c r="AC507" s="40">
        <v>134.0</v>
      </c>
      <c r="AD507" s="40">
        <v>139.383842498771</v>
      </c>
      <c r="AE507" s="40">
        <v>135.75432</v>
      </c>
      <c r="AF507" s="40">
        <v>2.86333999999999</v>
      </c>
      <c r="AG507" s="40">
        <v>167.94</v>
      </c>
      <c r="AH507" s="45">
        <v>44216.0</v>
      </c>
      <c r="AI507" s="44" t="str">
        <f>'6image_RS_benchmark_performance'!B507</f>
        <v>https://3arbzfbsh-cname-us.ngrok.io/Desktop/seabridge%20fintech/image_app/QCOM_resistance_support.jpg</v>
      </c>
      <c r="AJ507" s="44" t="str">
        <f>'6image_RS_benchmark_performance'!C507</f>
        <v>https://3arbzfbsh-cname-us.ngrok.io/Desktop/seabridge%20fintech/profit_graph_app/QCOM_Return.jpg</v>
      </c>
      <c r="AK507" s="46" t="str">
        <f>'5price_action_icon'!B507</f>
        <v>https://3arbzfbsh-cname-us.ngrok.io/Desktop/seabridge%20fintech/icon/QCOM_pa_trend_signal</v>
      </c>
      <c r="AL507" s="42">
        <f>'1kpi_performance'!B507</f>
        <v>0.63159687</v>
      </c>
      <c r="AM507" s="42">
        <f>'1kpi_performance'!C507</f>
        <v>0.7449524837</v>
      </c>
      <c r="AN507" s="42">
        <f>'1kpi_performance'!D507</f>
        <v>0.5934411928</v>
      </c>
      <c r="AO507" s="42">
        <f>'1kpi_performance'!E507</f>
        <v>0.1461961631</v>
      </c>
      <c r="AP507" s="42">
        <f>'1kpi_performance'!F507</f>
        <v>0.2605590744</v>
      </c>
      <c r="AQ507" s="42">
        <f>'1kpi_performance'!G507</f>
        <v>0.2494339497</v>
      </c>
      <c r="AR507" s="42">
        <f>'1kpi_performance'!H507</f>
        <v>0.2546852499</v>
      </c>
      <c r="AS507" s="42">
        <f>'1kpi_performance'!I507</f>
        <v>0.3789170122</v>
      </c>
      <c r="AT507" s="35">
        <f>'1kpi_performance'!J507</f>
        <v>2.328058891</v>
      </c>
      <c r="AU507" s="35">
        <f>'1kpi_performance'!K507</f>
        <v>2.886345201</v>
      </c>
      <c r="AV507" s="35">
        <f>'1kpi_performance'!L507</f>
        <v>2.231936058</v>
      </c>
      <c r="AW507" s="35">
        <f>'1kpi_performance'!M507</f>
        <v>0.3198488302</v>
      </c>
      <c r="AX507" s="42">
        <f>'1kpi_performance'!N507</f>
        <v>0.2466101695</v>
      </c>
      <c r="AY507" s="42">
        <f>'1kpi_performance'!O507</f>
        <v>0.2466101695</v>
      </c>
      <c r="AZ507" s="42">
        <f>'1kpi_performance'!P507</f>
        <v>0.2421748203</v>
      </c>
      <c r="BA507" s="42">
        <f>'1kpi_performance'!Q507</f>
        <v>0.4735294118</v>
      </c>
      <c r="BB507" s="35">
        <f>'1kpi_performance'!R507</f>
        <v>5.413467206</v>
      </c>
      <c r="BC507" s="35">
        <f>'1kpi_performance'!S507</f>
        <v>7.385362202</v>
      </c>
      <c r="BD507" s="35">
        <f>'1kpi_performance'!T507</f>
        <v>4.80728286</v>
      </c>
      <c r="BE507" s="35">
        <f>'1kpi_performance'!U507</f>
        <v>0.6158711766</v>
      </c>
      <c r="BF507" s="47"/>
      <c r="BG507" s="47"/>
      <c r="BH507" s="47"/>
      <c r="BI507" s="47"/>
      <c r="BJ507" s="47"/>
      <c r="BK507" s="47"/>
      <c r="BL507" s="47"/>
      <c r="BM507" s="47"/>
      <c r="BN507" s="47"/>
      <c r="BO507" s="47"/>
      <c r="BP507" s="47"/>
      <c r="BQ507" s="47"/>
      <c r="BR507" s="47"/>
      <c r="BS507" s="47"/>
      <c r="BT507" s="47"/>
    </row>
    <row r="508" ht="11.25" customHeight="1">
      <c r="A508" s="35" t="str">
        <f>'13all_company_profile'!A508</f>
        <v>QLD</v>
      </c>
      <c r="B508" s="35" t="str">
        <f>'13all_company_profile'!B508</f>
        <v>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08" s="44" t="str">
        <f>'13all_company_profile'!C508</f>
        <v>https://financialmodelingprep.com/image-stock/QLD.png</v>
      </c>
      <c r="D508" s="35" t="str">
        <f>'13all_company_profile'!D508</f>
        <v>ProShares Ultra QQQ</v>
      </c>
      <c r="E508" s="36">
        <f>'13all_company_profile'!E508</f>
        <v>2015370000</v>
      </c>
      <c r="F508" s="37">
        <f>'13all_company_profile'!F508</f>
        <v>2743625</v>
      </c>
      <c r="G508" s="35">
        <f>'13all_company_profile'!G508</f>
        <v>0.0045</v>
      </c>
      <c r="H508" s="38" t="str">
        <f>'13all_company_profile'!H508</f>
        <v>not avaiable</v>
      </c>
      <c r="I508" s="35" t="str">
        <f>'13all_company_profile'!I508</f>
        <v>NaN</v>
      </c>
      <c r="J508" s="35" t="str">
        <f>'13all_company_profile'!J508</f>
        <v>NaN</v>
      </c>
      <c r="K508" s="42">
        <f t="shared" si="1"/>
        <v>0.00006124948959</v>
      </c>
      <c r="L508" s="35">
        <f>'7company_info'!B508</f>
        <v>73.47</v>
      </c>
      <c r="M508" s="35">
        <f>'7company_info'!C508</f>
        <v>74.07</v>
      </c>
      <c r="N508" s="35">
        <f>'7company_info'!D508</f>
        <v>71.5</v>
      </c>
      <c r="O508" s="35">
        <f>'7company_info'!E508</f>
        <v>1.67</v>
      </c>
      <c r="P508" s="35">
        <f>'7company_info'!F508</f>
        <v>0.0233</v>
      </c>
      <c r="Q508" s="35">
        <f>'7company_info'!G508</f>
        <v>72.22</v>
      </c>
      <c r="R508" s="35">
        <f>'7company_info'!H508</f>
        <v>71.8</v>
      </c>
      <c r="S508" s="35">
        <f>'7company_info'!I508</f>
        <v>37.95</v>
      </c>
      <c r="T508" s="35">
        <f>'7company_info'!J508</f>
        <v>76.29</v>
      </c>
      <c r="U508" s="39">
        <v>75.49</v>
      </c>
      <c r="V508" s="39">
        <v>76.0399999999999</v>
      </c>
      <c r="W508" s="40">
        <v>76.83</v>
      </c>
      <c r="X508" s="40">
        <v>78.17</v>
      </c>
      <c r="Y508" s="40">
        <v>74.6999999999999</v>
      </c>
      <c r="Z508" s="40">
        <v>74.1499999999999</v>
      </c>
      <c r="AA508" s="40">
        <v>72.8099999999999</v>
      </c>
      <c r="AB508" s="40">
        <v>72.5585</v>
      </c>
      <c r="AC508" s="40">
        <v>76.2897</v>
      </c>
      <c r="AD508" s="40">
        <v>71.6097830059281</v>
      </c>
      <c r="AE508" s="40">
        <v>72.00838</v>
      </c>
      <c r="AF508" s="40">
        <v>1.49980999999999</v>
      </c>
      <c r="AG508" s="40">
        <v>67.45</v>
      </c>
      <c r="AH508" s="45">
        <v>44315.0</v>
      </c>
      <c r="AI508" s="44" t="str">
        <f>'6image_RS_benchmark_performance'!B508</f>
        <v>https://3arbzfbsh-cname-us.ngrok.io/Desktop/seabridge%20fintech/image_app/QLD_resistance_support.jpg</v>
      </c>
      <c r="AJ508" s="44" t="str">
        <f>'6image_RS_benchmark_performance'!C508</f>
        <v>https://3arbzfbsh-cname-us.ngrok.io/Desktop/seabridge%20fintech/profit_graph_app/QLD_Return.jpg</v>
      </c>
      <c r="AK508" s="46" t="str">
        <f>'5price_action_icon'!B508</f>
        <v>https://3arbzfbsh-cname-us.ngrok.io/Desktop/seabridge%20fintech/icon/QLD_pa_trend_signal</v>
      </c>
      <c r="AL508" s="42">
        <f>'1kpi_performance'!B508</f>
        <v>1.111457075</v>
      </c>
      <c r="AM508" s="42">
        <f>'1kpi_performance'!C508</f>
        <v>1.540108273</v>
      </c>
      <c r="AN508" s="42">
        <f>'1kpi_performance'!D508</f>
        <v>1.227464486</v>
      </c>
      <c r="AO508" s="42">
        <f>'1kpi_performance'!E508</f>
        <v>0.5889488642</v>
      </c>
      <c r="AP508" s="42">
        <f>'1kpi_performance'!F508</f>
        <v>0.2740503675</v>
      </c>
      <c r="AQ508" s="42">
        <f>'1kpi_performance'!G508</f>
        <v>0.2814484287</v>
      </c>
      <c r="AR508" s="42">
        <f>'1kpi_performance'!H508</f>
        <v>0.2746415785</v>
      </c>
      <c r="AS508" s="42">
        <f>'1kpi_performance'!I508</f>
        <v>0.4687305981</v>
      </c>
      <c r="AT508" s="35">
        <f>'1kpi_performance'!J508</f>
        <v>3.96444305</v>
      </c>
      <c r="AU508" s="35">
        <f>'1kpi_performance'!K508</f>
        <v>5.383253623</v>
      </c>
      <c r="AV508" s="35">
        <f>'1kpi_performance'!L508</f>
        <v>4.378304598</v>
      </c>
      <c r="AW508" s="35">
        <f>'1kpi_performance'!M508</f>
        <v>1.203140709</v>
      </c>
      <c r="AX508" s="42">
        <f>'1kpi_performance'!N508</f>
        <v>0.1323320719</v>
      </c>
      <c r="AY508" s="42">
        <f>'1kpi_performance'!O508</f>
        <v>0.1271904205</v>
      </c>
      <c r="AZ508" s="42">
        <f>'1kpi_performance'!P508</f>
        <v>0.2549888129</v>
      </c>
      <c r="BA508" s="42">
        <f>'1kpi_performance'!Q508</f>
        <v>0.5171542553</v>
      </c>
      <c r="BB508" s="35">
        <f>'1kpi_performance'!R508</f>
        <v>8.034440242</v>
      </c>
      <c r="BC508" s="35">
        <f>'1kpi_performance'!S508</f>
        <v>11.6328047</v>
      </c>
      <c r="BD508" s="35">
        <f>'1kpi_performance'!T508</f>
        <v>9.524474134</v>
      </c>
      <c r="BE508" s="35">
        <f>'1kpi_performance'!U508</f>
        <v>2.249673261</v>
      </c>
      <c r="BF508" s="47"/>
      <c r="BG508" s="47"/>
      <c r="BH508" s="47"/>
      <c r="BI508" s="47"/>
      <c r="BJ508" s="47"/>
      <c r="BK508" s="47"/>
      <c r="BL508" s="47"/>
      <c r="BM508" s="47"/>
      <c r="BN508" s="47"/>
      <c r="BO508" s="47"/>
      <c r="BP508" s="47"/>
      <c r="BQ508" s="47"/>
      <c r="BR508" s="47"/>
      <c r="BS508" s="47"/>
      <c r="BT508" s="47"/>
    </row>
    <row r="509" ht="11.25" customHeight="1">
      <c r="A509" s="35" t="str">
        <f>'13all_company_profile'!A509</f>
        <v>QQQ</v>
      </c>
      <c r="B509" s="35" t="str">
        <f>'13all_company_profile'!B509</f>
        <v>QQQ was created on 03/10/99 by Invesco. The ETF tracks a modified-market-cap-weighted index of 100 NASDAQ-listed stocks.</v>
      </c>
      <c r="C509" s="44" t="str">
        <f>'13all_company_profile'!C509</f>
        <v>https://financialmodelingprep.com/image-stock/QQQ.png</v>
      </c>
      <c r="D509" s="35" t="str">
        <f>'13all_company_profile'!D509</f>
        <v>Invesco QQQ Trust</v>
      </c>
      <c r="E509" s="36">
        <f>'13all_company_profile'!E509</f>
        <v>141720403968</v>
      </c>
      <c r="F509" s="37">
        <f>'13all_company_profile'!F509</f>
        <v>39394626</v>
      </c>
      <c r="G509" s="35">
        <f>'13all_company_profile'!G509</f>
        <v>1.74124</v>
      </c>
      <c r="H509" s="38" t="str">
        <f>'13all_company_profile'!H509</f>
        <v>not avaiable</v>
      </c>
      <c r="I509" s="35">
        <f>'13all_company_profile'!I509</f>
        <v>4.198683</v>
      </c>
      <c r="J509" s="35">
        <f>'13all_company_profile'!J509</f>
        <v>85.191</v>
      </c>
      <c r="K509" s="42">
        <f t="shared" si="1"/>
        <v>0.004853089551</v>
      </c>
      <c r="L509" s="35">
        <f>'7company_info'!B509</f>
        <v>358.79</v>
      </c>
      <c r="M509" s="35">
        <f>'7company_info'!C509</f>
        <v>360.28</v>
      </c>
      <c r="N509" s="35">
        <f>'7company_info'!D509</f>
        <v>353.8</v>
      </c>
      <c r="O509" s="35">
        <f>'7company_info'!E509</f>
        <v>4.12</v>
      </c>
      <c r="P509" s="35">
        <f>'7company_info'!F509</f>
        <v>0.0116</v>
      </c>
      <c r="Q509" s="35">
        <f>'7company_info'!G509</f>
        <v>355.63</v>
      </c>
      <c r="R509" s="35">
        <f>'7company_info'!H509</f>
        <v>354.67</v>
      </c>
      <c r="S509" s="35">
        <f>'7company_info'!I509</f>
        <v>251.32</v>
      </c>
      <c r="T509" s="35">
        <f>'7company_info'!J509</f>
        <v>365.49</v>
      </c>
      <c r="U509" s="39">
        <v>363.593333333333</v>
      </c>
      <c r="V509" s="39">
        <v>364.966666666666</v>
      </c>
      <c r="W509" s="40">
        <v>366.863333333333</v>
      </c>
      <c r="X509" s="40">
        <v>370.133333333333</v>
      </c>
      <c r="Y509" s="40">
        <v>361.696666666666</v>
      </c>
      <c r="Z509" s="40">
        <v>360.323333333333</v>
      </c>
      <c r="AA509" s="40">
        <v>357.053333333333</v>
      </c>
      <c r="AB509" s="40">
        <v>353.83</v>
      </c>
      <c r="AC509" s="40">
        <v>365.49</v>
      </c>
      <c r="AD509" s="40">
        <v>353.915291902685</v>
      </c>
      <c r="AE509" s="40">
        <v>354.93051</v>
      </c>
      <c r="AF509" s="40">
        <v>3.75874499999999</v>
      </c>
      <c r="AG509" s="40">
        <v>342.8</v>
      </c>
      <c r="AH509" s="45">
        <v>44315.0</v>
      </c>
      <c r="AI509" s="44" t="str">
        <f>'6image_RS_benchmark_performance'!B509</f>
        <v>https://3arbzfbsh-cname-us.ngrok.io/Desktop/seabridge%20fintech/image_app/QQQ_resistance_support.jpg</v>
      </c>
      <c r="AJ509" s="44" t="str">
        <f>'6image_RS_benchmark_performance'!C509</f>
        <v>https://3arbzfbsh-cname-us.ngrok.io/Desktop/seabridge%20fintech/profit_graph_app/QQQ_Return.jpg</v>
      </c>
      <c r="AK509" s="46" t="str">
        <f>'5price_action_icon'!B509</f>
        <v>https://3arbzfbsh-cname-us.ngrok.io/Desktop/seabridge%20fintech/icon/QQQ_pa_trend_signal</v>
      </c>
      <c r="AL509" s="42">
        <f>'1kpi_performance'!B509</f>
        <v>0.4633258827</v>
      </c>
      <c r="AM509" s="42">
        <f>'1kpi_performance'!C509</f>
        <v>0.6483381313</v>
      </c>
      <c r="AN509" s="42">
        <f>'1kpi_performance'!D509</f>
        <v>0.5037204517</v>
      </c>
      <c r="AO509" s="42">
        <f>'1kpi_performance'!E509</f>
        <v>0.2960813688</v>
      </c>
      <c r="AP509" s="42">
        <f>'1kpi_performance'!F509</f>
        <v>0.1377806963</v>
      </c>
      <c r="AQ509" s="42">
        <f>'1kpi_performance'!G509</f>
        <v>0.1465534412</v>
      </c>
      <c r="AR509" s="42">
        <f>'1kpi_performance'!H509</f>
        <v>0.1400118889</v>
      </c>
      <c r="AS509" s="42">
        <f>'1kpi_performance'!I509</f>
        <v>0.2355148361</v>
      </c>
      <c r="AT509" s="35">
        <f>'1kpi_performance'!J509</f>
        <v>3.181330147</v>
      </c>
      <c r="AU509" s="35">
        <f>'1kpi_performance'!K509</f>
        <v>4.253316239</v>
      </c>
      <c r="AV509" s="35">
        <f>'1kpi_performance'!L509</f>
        <v>3.419141441</v>
      </c>
      <c r="AW509" s="35">
        <f>'1kpi_performance'!M509</f>
        <v>1.151016103</v>
      </c>
      <c r="AX509" s="42">
        <f>'1kpi_performance'!N509</f>
        <v>0.07021103873</v>
      </c>
      <c r="AY509" s="42">
        <f>'1kpi_performance'!O509</f>
        <v>0.06056798112</v>
      </c>
      <c r="AZ509" s="42">
        <f>'1kpi_performance'!P509</f>
        <v>0.1348158355</v>
      </c>
      <c r="BA509" s="42">
        <f>'1kpi_performance'!Q509</f>
        <v>0.285593721</v>
      </c>
      <c r="BB509" s="35">
        <f>'1kpi_performance'!R509</f>
        <v>6.433527402</v>
      </c>
      <c r="BC509" s="35">
        <f>'1kpi_performance'!S509</f>
        <v>9.434159305</v>
      </c>
      <c r="BD509" s="35">
        <f>'1kpi_performance'!T509</f>
        <v>7.241280708</v>
      </c>
      <c r="BE509" s="35">
        <f>'1kpi_performance'!U509</f>
        <v>2.156575925</v>
      </c>
      <c r="BF509" s="47"/>
      <c r="BG509" s="47"/>
      <c r="BH509" s="47"/>
      <c r="BI509" s="47"/>
      <c r="BJ509" s="47"/>
      <c r="BK509" s="47"/>
      <c r="BL509" s="47"/>
      <c r="BM509" s="47"/>
      <c r="BN509" s="47"/>
      <c r="BO509" s="47"/>
      <c r="BP509" s="47"/>
      <c r="BQ509" s="47"/>
      <c r="BR509" s="47"/>
      <c r="BS509" s="47"/>
      <c r="BT509" s="47"/>
    </row>
    <row r="510" ht="11.25" customHeight="1">
      <c r="A510" s="35" t="str">
        <f>'13all_company_profile'!A510</f>
        <v>QRVO</v>
      </c>
      <c r="B510" s="35" t="str">
        <f>'13all_company_profile'!B510</f>
        <v>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v>
      </c>
      <c r="C510" s="44" t="str">
        <f>'13all_company_profile'!C510</f>
        <v>https://financialmodelingprep.com/image-stock/QRVO.png</v>
      </c>
      <c r="D510" s="35" t="str">
        <f>'13all_company_profile'!D510</f>
        <v>Qorvo, Inc.</v>
      </c>
      <c r="E510" s="36">
        <f>'13all_company_profile'!E510</f>
        <v>21245478912</v>
      </c>
      <c r="F510" s="37">
        <f>'13all_company_profile'!F510</f>
        <v>1087087</v>
      </c>
      <c r="G510" s="35">
        <f>'13all_company_profile'!G510</f>
        <v>0</v>
      </c>
      <c r="H510" s="38">
        <f>'13all_company_profile'!H510</f>
        <v>44404</v>
      </c>
      <c r="I510" s="35">
        <f>'13all_company_profile'!I510</f>
        <v>29.80063</v>
      </c>
      <c r="J510" s="35">
        <f>'13all_company_profile'!J510</f>
        <v>6.32</v>
      </c>
      <c r="K510" s="42" t="str">
        <f t="shared" si="1"/>
        <v>NaN</v>
      </c>
      <c r="L510" s="35">
        <f>'7company_info'!B510</f>
        <v>189.7</v>
      </c>
      <c r="M510" s="35">
        <f>'7company_info'!C510</f>
        <v>191.09</v>
      </c>
      <c r="N510" s="35">
        <f>'7company_info'!D510</f>
        <v>185.63</v>
      </c>
      <c r="O510" s="35">
        <f>'7company_info'!E510</f>
        <v>2.57</v>
      </c>
      <c r="P510" s="35">
        <f>'7company_info'!F510</f>
        <v>0.0137</v>
      </c>
      <c r="Q510" s="35">
        <f>'7company_info'!G510</f>
        <v>187.07</v>
      </c>
      <c r="R510" s="35">
        <f>'7company_info'!H510</f>
        <v>187.13</v>
      </c>
      <c r="S510" s="35">
        <f>'7company_info'!I510</f>
        <v>111.31</v>
      </c>
      <c r="T510" s="35">
        <f>'7company_info'!J510</f>
        <v>201.68</v>
      </c>
      <c r="U510" s="39">
        <v>194.72</v>
      </c>
      <c r="V510" s="39">
        <v>197.26</v>
      </c>
      <c r="W510" s="40">
        <v>202.1</v>
      </c>
      <c r="X510" s="40">
        <v>209.48</v>
      </c>
      <c r="Y510" s="40">
        <v>189.88</v>
      </c>
      <c r="Z510" s="40">
        <v>187.34</v>
      </c>
      <c r="AA510" s="40">
        <v>179.96</v>
      </c>
      <c r="AB510" s="40">
        <v>185.33</v>
      </c>
      <c r="AC510" s="40">
        <v>193.65</v>
      </c>
      <c r="AD510" s="40">
        <v>188.974069604274</v>
      </c>
      <c r="AE510" s="40">
        <v>182.71473</v>
      </c>
      <c r="AF510" s="40">
        <v>5.172635</v>
      </c>
      <c r="AG510" s="40">
        <v>201.68</v>
      </c>
      <c r="AH510" s="45">
        <v>44315.0</v>
      </c>
      <c r="AI510" s="44" t="str">
        <f>'6image_RS_benchmark_performance'!B510</f>
        <v>https://3arbzfbsh-cname-us.ngrok.io/Desktop/seabridge%20fintech/image_app/QRVO_resistance_support.jpg</v>
      </c>
      <c r="AJ510" s="44" t="str">
        <f>'6image_RS_benchmark_performance'!C510</f>
        <v>https://3arbzfbsh-cname-us.ngrok.io/Desktop/seabridge%20fintech/profit_graph_app/QRVO_Return.jpg</v>
      </c>
      <c r="AK510" s="46" t="str">
        <f>'5price_action_icon'!B510</f>
        <v>https://3arbzfbsh-cname-us.ngrok.io/Desktop/seabridge%20fintech/icon/QRVO_pa_trend_signal</v>
      </c>
      <c r="AL510" s="42">
        <f>'1kpi_performance'!B510</f>
        <v>1.096905467</v>
      </c>
      <c r="AM510" s="42">
        <f>'1kpi_performance'!C510</f>
        <v>1.461198591</v>
      </c>
      <c r="AN510" s="42">
        <f>'1kpi_performance'!D510</f>
        <v>1.204851476</v>
      </c>
      <c r="AO510" s="42">
        <f>'1kpi_performance'!E510</f>
        <v>0.3526567877</v>
      </c>
      <c r="AP510" s="42">
        <f>'1kpi_performance'!F510</f>
        <v>0.3914457758</v>
      </c>
      <c r="AQ510" s="42">
        <f>'1kpi_performance'!G510</f>
        <v>0.3841379666</v>
      </c>
      <c r="AR510" s="42">
        <f>'1kpi_performance'!H510</f>
        <v>0.3898862745</v>
      </c>
      <c r="AS510" s="42">
        <f>'1kpi_performance'!I510</f>
        <v>0.545552947</v>
      </c>
      <c r="AT510" s="35">
        <f>'1kpi_performance'!J510</f>
        <v>2.738324268</v>
      </c>
      <c r="AU510" s="35">
        <f>'1kpi_performance'!K510</f>
        <v>3.738757208</v>
      </c>
      <c r="AV510" s="35">
        <f>'1kpi_performance'!L510</f>
        <v>3.026142631</v>
      </c>
      <c r="AW510" s="35">
        <f>'1kpi_performance'!M510</f>
        <v>0.6005957617</v>
      </c>
      <c r="AX510" s="42">
        <f>'1kpi_performance'!N510</f>
        <v>0.3057967195</v>
      </c>
      <c r="AY510" s="42">
        <f>'1kpi_performance'!O510</f>
        <v>0.1481829679</v>
      </c>
      <c r="AZ510" s="42">
        <f>'1kpi_performance'!P510</f>
        <v>0.4122048225</v>
      </c>
      <c r="BA510" s="42">
        <f>'1kpi_performance'!Q510</f>
        <v>0.6067646054</v>
      </c>
      <c r="BB510" s="35">
        <f>'1kpi_performance'!R510</f>
        <v>6.061983544</v>
      </c>
      <c r="BC510" s="35">
        <f>'1kpi_performance'!S510</f>
        <v>9.042670588</v>
      </c>
      <c r="BD510" s="35">
        <f>'1kpi_performance'!T510</f>
        <v>6.687341629</v>
      </c>
      <c r="BE510" s="35">
        <f>'1kpi_performance'!U510</f>
        <v>1.233679294</v>
      </c>
      <c r="BF510" s="47"/>
      <c r="BG510" s="47"/>
      <c r="BH510" s="47"/>
      <c r="BI510" s="47"/>
      <c r="BJ510" s="47"/>
      <c r="BK510" s="47"/>
      <c r="BL510" s="47"/>
      <c r="BM510" s="47"/>
      <c r="BN510" s="47"/>
      <c r="BO510" s="47"/>
      <c r="BP510" s="47"/>
      <c r="BQ510" s="47"/>
      <c r="BR510" s="47"/>
      <c r="BS510" s="47"/>
      <c r="BT510" s="47"/>
    </row>
    <row r="511" ht="11.25" customHeight="1">
      <c r="A511" s="35" t="str">
        <f>'13all_company_profile'!A511</f>
        <v>RCL</v>
      </c>
      <c r="B511" s="35" t="str">
        <f>'13all_company_profile'!B511</f>
        <v>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v>
      </c>
      <c r="C511" s="44" t="str">
        <f>'13all_company_profile'!C511</f>
        <v>https://financialmodelingprep.com/image-stock/RCL.png</v>
      </c>
      <c r="D511" s="35" t="str">
        <f>'13all_company_profile'!D511</f>
        <v>Royal Caribbean Group</v>
      </c>
      <c r="E511" s="36">
        <f>'13all_company_profile'!E511</f>
        <v>18904442880</v>
      </c>
      <c r="F511" s="37">
        <f>'13all_company_profile'!F511</f>
        <v>3700750</v>
      </c>
      <c r="G511" s="35">
        <f>'13all_company_profile'!G511</f>
        <v>0.78</v>
      </c>
      <c r="H511" s="38" t="str">
        <f>'13all_company_profile'!H511</f>
        <v>not avaiable</v>
      </c>
      <c r="I511" s="35" t="str">
        <f>'13all_company_profile'!I511</f>
        <v>NaN</v>
      </c>
      <c r="J511" s="35">
        <f>'13all_company_profile'!J511</f>
        <v>-24.619</v>
      </c>
      <c r="K511" s="42">
        <f t="shared" si="1"/>
        <v>0.01041527574</v>
      </c>
      <c r="L511" s="35">
        <f>'7company_info'!B511</f>
        <v>74.89</v>
      </c>
      <c r="M511" s="35">
        <f>'7company_info'!C511</f>
        <v>75.31</v>
      </c>
      <c r="N511" s="35">
        <f>'7company_info'!D511</f>
        <v>69.35</v>
      </c>
      <c r="O511" s="35">
        <f>'7company_info'!E511</f>
        <v>5.38</v>
      </c>
      <c r="P511" s="35">
        <f>'7company_info'!F511</f>
        <v>0.0774</v>
      </c>
      <c r="Q511" s="35">
        <f>'7company_info'!G511</f>
        <v>69.6</v>
      </c>
      <c r="R511" s="35">
        <f>'7company_info'!H511</f>
        <v>69.51</v>
      </c>
      <c r="S511" s="35">
        <f>'7company_info'!I511</f>
        <v>45.71</v>
      </c>
      <c r="T511" s="35">
        <f>'7company_info'!J511</f>
        <v>99.24</v>
      </c>
      <c r="U511" s="39">
        <v>77.3566666666666</v>
      </c>
      <c r="V511" s="39">
        <v>78.7433333333333</v>
      </c>
      <c r="W511" s="40">
        <v>81.2866666666666</v>
      </c>
      <c r="X511" s="40">
        <v>85.2166666666666</v>
      </c>
      <c r="Y511" s="40">
        <v>74.8133333333333</v>
      </c>
      <c r="Z511" s="40">
        <v>73.4266666666666</v>
      </c>
      <c r="AA511" s="40">
        <v>69.4966666666666</v>
      </c>
      <c r="AB511" s="40">
        <v>75.97</v>
      </c>
      <c r="AC511" s="40">
        <v>82.54</v>
      </c>
      <c r="AD511" s="40">
        <v>83.5910840151615</v>
      </c>
      <c r="AE511" s="40">
        <v>72.8063</v>
      </c>
      <c r="AF511" s="40">
        <v>2.934745</v>
      </c>
      <c r="AG511" s="40">
        <v>99.24</v>
      </c>
      <c r="AH511" s="45">
        <v>44252.0</v>
      </c>
      <c r="AI511" s="44" t="str">
        <f>'6image_RS_benchmark_performance'!B511</f>
        <v>https://3arbzfbsh-cname-us.ngrok.io/Desktop/seabridge%20fintech/image_app/RCL_resistance_support.jpg</v>
      </c>
      <c r="AJ511" s="44" t="str">
        <f>'6image_RS_benchmark_performance'!C511</f>
        <v>https://3arbzfbsh-cname-us.ngrok.io/Desktop/seabridge%20fintech/profit_graph_app/RCL_Return.jpg</v>
      </c>
      <c r="AK511" s="46" t="str">
        <f>'5price_action_icon'!B511</f>
        <v>https://3arbzfbsh-cname-us.ngrok.io/Desktop/seabridge%20fintech/icon/RCL_pa_trend_signal</v>
      </c>
      <c r="AL511" s="42">
        <f>'1kpi_performance'!B511</f>
        <v>0.9673618162</v>
      </c>
      <c r="AM511" s="42">
        <f>'1kpi_performance'!C511</f>
        <v>1.394743204</v>
      </c>
      <c r="AN511" s="42">
        <f>'1kpi_performance'!D511</f>
        <v>1.050580337</v>
      </c>
      <c r="AO511" s="42">
        <f>'1kpi_performance'!E511</f>
        <v>0.140295074</v>
      </c>
      <c r="AP511" s="42">
        <f>'1kpi_performance'!F511</f>
        <v>0.4109225002</v>
      </c>
      <c r="AQ511" s="42">
        <f>'1kpi_performance'!G511</f>
        <v>0.3847635006</v>
      </c>
      <c r="AR511" s="42">
        <f>'1kpi_performance'!H511</f>
        <v>0.4199020328</v>
      </c>
      <c r="AS511" s="42">
        <f>'1kpi_performance'!I511</f>
        <v>0.5741153646</v>
      </c>
      <c r="AT511" s="35">
        <f>'1kpi_performance'!J511</f>
        <v>2.293283565</v>
      </c>
      <c r="AU511" s="35">
        <f>'1kpi_performance'!K511</f>
        <v>3.559961384</v>
      </c>
      <c r="AV511" s="35">
        <f>'1kpi_performance'!L511</f>
        <v>2.442427654</v>
      </c>
      <c r="AW511" s="35">
        <f>'1kpi_performance'!M511</f>
        <v>0.2008221364</v>
      </c>
      <c r="AX511" s="42">
        <f>'1kpi_performance'!N511</f>
        <v>0.4248997878</v>
      </c>
      <c r="AY511" s="42">
        <f>'1kpi_performance'!O511</f>
        <v>0.3260721382</v>
      </c>
      <c r="AZ511" s="42">
        <f>'1kpi_performance'!P511</f>
        <v>0.4438905147</v>
      </c>
      <c r="BA511" s="42">
        <f>'1kpi_performance'!Q511</f>
        <v>0.8346538319</v>
      </c>
      <c r="BB511" s="35">
        <f>'1kpi_performance'!R511</f>
        <v>5.171447503</v>
      </c>
      <c r="BC511" s="35">
        <f>'1kpi_performance'!S511</f>
        <v>8.80596639</v>
      </c>
      <c r="BD511" s="35">
        <f>'1kpi_performance'!T511</f>
        <v>5.327853385</v>
      </c>
      <c r="BE511" s="35">
        <f>'1kpi_performance'!U511</f>
        <v>0.3877629607</v>
      </c>
      <c r="BF511" s="47"/>
      <c r="BG511" s="47"/>
      <c r="BH511" s="47"/>
      <c r="BI511" s="47"/>
      <c r="BJ511" s="47"/>
      <c r="BK511" s="47"/>
      <c r="BL511" s="47"/>
      <c r="BM511" s="47"/>
      <c r="BN511" s="47"/>
      <c r="BO511" s="47"/>
      <c r="BP511" s="47"/>
      <c r="BQ511" s="47"/>
      <c r="BR511" s="47"/>
      <c r="BS511" s="47"/>
      <c r="BT511" s="47"/>
    </row>
    <row r="512" ht="11.25" customHeight="1">
      <c r="A512" s="35" t="str">
        <f>'13all_company_profile'!A512</f>
        <v>RE</v>
      </c>
      <c r="B512" s="35" t="str">
        <f>'13all_company_profile'!B512</f>
        <v>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v>
      </c>
      <c r="C512" s="44" t="str">
        <f>'13all_company_profile'!C512</f>
        <v>https://financialmodelingprep.com/image-stock/RE.png</v>
      </c>
      <c r="D512" s="35" t="str">
        <f>'13all_company_profile'!D512</f>
        <v>Everest Re Group, Ltd.</v>
      </c>
      <c r="E512" s="36">
        <f>'13all_company_profile'!E512</f>
        <v>9867355136</v>
      </c>
      <c r="F512" s="37">
        <f>'13all_company_profile'!F512</f>
        <v>339636</v>
      </c>
      <c r="G512" s="35">
        <f>'13all_company_profile'!G512</f>
        <v>6.2</v>
      </c>
      <c r="H512" s="38">
        <f>'13all_company_profile'!H512</f>
        <v>44405</v>
      </c>
      <c r="I512" s="35">
        <f>'13all_company_profile'!I512</f>
        <v>11.751563</v>
      </c>
      <c r="J512" s="35">
        <f>'13all_company_profile'!J512</f>
        <v>20.947</v>
      </c>
      <c r="K512" s="42">
        <f t="shared" si="1"/>
        <v>0.02569948187</v>
      </c>
      <c r="L512" s="35">
        <f>'7company_info'!B512</f>
        <v>241.25</v>
      </c>
      <c r="M512" s="35">
        <f>'7company_info'!C512</f>
        <v>243.49</v>
      </c>
      <c r="N512" s="35">
        <f>'7company_info'!D512</f>
        <v>237.06</v>
      </c>
      <c r="O512" s="35">
        <f>'7company_info'!E512</f>
        <v>4.57</v>
      </c>
      <c r="P512" s="35">
        <f>'7company_info'!F512</f>
        <v>0.0193</v>
      </c>
      <c r="Q512" s="35">
        <f>'7company_info'!G512</f>
        <v>237.2</v>
      </c>
      <c r="R512" s="35">
        <f>'7company_info'!H512</f>
        <v>236.68</v>
      </c>
      <c r="S512" s="35">
        <f>'7company_info'!I512</f>
        <v>193.03</v>
      </c>
      <c r="T512" s="35">
        <f>'7company_info'!J512</f>
        <v>281.27</v>
      </c>
      <c r="U512" s="39">
        <v>245.316666666666</v>
      </c>
      <c r="V512" s="39">
        <v>246.863333333333</v>
      </c>
      <c r="W512" s="40">
        <v>248.516666666666</v>
      </c>
      <c r="X512" s="40">
        <v>251.716666666666</v>
      </c>
      <c r="Y512" s="40">
        <v>243.663333333333</v>
      </c>
      <c r="Z512" s="40">
        <v>242.116666666666</v>
      </c>
      <c r="AA512" s="40">
        <v>238.916666666666</v>
      </c>
      <c r="AB512" s="40">
        <v>243.77</v>
      </c>
      <c r="AC512" s="40">
        <v>247.01</v>
      </c>
      <c r="AD512" s="40">
        <v>250.090711078215</v>
      </c>
      <c r="AE512" s="40">
        <v>233.67312</v>
      </c>
      <c r="AF512" s="40">
        <v>5.37594</v>
      </c>
      <c r="AG512" s="40">
        <v>281.27</v>
      </c>
      <c r="AH512" s="45">
        <v>44319.0</v>
      </c>
      <c r="AI512" s="44" t="str">
        <f>'6image_RS_benchmark_performance'!B512</f>
        <v>https://3arbzfbsh-cname-us.ngrok.io/Desktop/seabridge%20fintech/image_app/RE_resistance_support.jpg</v>
      </c>
      <c r="AJ512" s="44" t="str">
        <f>'6image_RS_benchmark_performance'!C512</f>
        <v>https://3arbzfbsh-cname-us.ngrok.io/Desktop/seabridge%20fintech/profit_graph_app/RE_Return.jpg</v>
      </c>
      <c r="AK512" s="46" t="str">
        <f>'5price_action_icon'!B512</f>
        <v>https://3arbzfbsh-cname-us.ngrok.io/Desktop/seabridge%20fintech/icon/RE_pa_trend_signal</v>
      </c>
      <c r="AL512" s="42">
        <f>'1kpi_performance'!B512</f>
        <v>0.4093528155</v>
      </c>
      <c r="AM512" s="42">
        <f>'1kpi_performance'!C512</f>
        <v>0.5065427121</v>
      </c>
      <c r="AN512" s="42">
        <f>'1kpi_performance'!D512</f>
        <v>0.4965774514</v>
      </c>
      <c r="AO512" s="42">
        <f>'1kpi_performance'!E512</f>
        <v>0.1398831073</v>
      </c>
      <c r="AP512" s="42">
        <f>'1kpi_performance'!F512</f>
        <v>0.1910418478</v>
      </c>
      <c r="AQ512" s="42">
        <f>'1kpi_performance'!G512</f>
        <v>0.1889912533</v>
      </c>
      <c r="AR512" s="42">
        <f>'1kpi_performance'!H512</f>
        <v>0.186767138</v>
      </c>
      <c r="AS512" s="42">
        <f>'1kpi_performance'!I512</f>
        <v>0.2836494647</v>
      </c>
      <c r="AT512" s="35">
        <f>'1kpi_performance'!J512</f>
        <v>2.011877606</v>
      </c>
      <c r="AU512" s="35">
        <f>'1kpi_performance'!K512</f>
        <v>2.547962955</v>
      </c>
      <c r="AV512" s="35">
        <f>'1kpi_performance'!L512</f>
        <v>2.524948749</v>
      </c>
      <c r="AW512" s="35">
        <f>'1kpi_performance'!M512</f>
        <v>0.4050178884</v>
      </c>
      <c r="AX512" s="42">
        <f>'1kpi_performance'!N512</f>
        <v>0.2405652442</v>
      </c>
      <c r="AY512" s="42">
        <f>'1kpi_performance'!O512</f>
        <v>0.08685679664</v>
      </c>
      <c r="AZ512" s="42">
        <f>'1kpi_performance'!P512</f>
        <v>0.1437191703</v>
      </c>
      <c r="BA512" s="42">
        <f>'1kpi_performance'!Q512</f>
        <v>0.4457467955</v>
      </c>
      <c r="BB512" s="35">
        <f>'1kpi_performance'!R512</f>
        <v>4.299480196</v>
      </c>
      <c r="BC512" s="35">
        <f>'1kpi_performance'!S512</f>
        <v>5.966241717</v>
      </c>
      <c r="BD512" s="35">
        <f>'1kpi_performance'!T512</f>
        <v>5.66777507</v>
      </c>
      <c r="BE512" s="35">
        <f>'1kpi_performance'!U512</f>
        <v>0.7902757246</v>
      </c>
      <c r="BF512" s="47"/>
      <c r="BG512" s="47"/>
      <c r="BH512" s="47"/>
      <c r="BI512" s="47"/>
      <c r="BJ512" s="47"/>
      <c r="BK512" s="47"/>
      <c r="BL512" s="47"/>
      <c r="BM512" s="47"/>
      <c r="BN512" s="47"/>
      <c r="BO512" s="47"/>
      <c r="BP512" s="47"/>
      <c r="BQ512" s="47"/>
      <c r="BR512" s="47"/>
      <c r="BS512" s="47"/>
      <c r="BT512" s="47"/>
    </row>
    <row r="513" ht="11.25" customHeight="1">
      <c r="A513" s="35" t="str">
        <f>'13all_company_profile'!A513</f>
        <v>REG</v>
      </c>
      <c r="B513" s="35" t="str">
        <f>'13all_company_profile'!B513</f>
        <v>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v>
      </c>
      <c r="C513" s="44" t="str">
        <f>'13all_company_profile'!C513</f>
        <v>https://financialmodelingprep.com/image-stock/REG.png</v>
      </c>
      <c r="D513" s="35" t="str">
        <f>'13all_company_profile'!D513</f>
        <v>Regency Centers Corporation</v>
      </c>
      <c r="E513" s="36">
        <f>'13all_company_profile'!E513</f>
        <v>11032536064</v>
      </c>
      <c r="F513" s="37">
        <f>'13all_company_profile'!F513</f>
        <v>996096</v>
      </c>
      <c r="G513" s="35">
        <f>'13all_company_profile'!G513</f>
        <v>2.38</v>
      </c>
      <c r="H513" s="38">
        <f>'13all_company_profile'!H513</f>
        <v>44413</v>
      </c>
      <c r="I513" s="35">
        <f>'13all_company_profile'!I513</f>
        <v>73.99088</v>
      </c>
      <c r="J513" s="35">
        <f>'13all_company_profile'!J513</f>
        <v>0.877</v>
      </c>
      <c r="K513" s="42">
        <f t="shared" si="1"/>
        <v>0.03689350488</v>
      </c>
      <c r="L513" s="35">
        <f>'7company_info'!B513</f>
        <v>64.51</v>
      </c>
      <c r="M513" s="35">
        <f>'7company_info'!C513</f>
        <v>64.92</v>
      </c>
      <c r="N513" s="35">
        <f>'7company_info'!D513</f>
        <v>62.01</v>
      </c>
      <c r="O513" s="35">
        <f>'7company_info'!E513</f>
        <v>2.61</v>
      </c>
      <c r="P513" s="35">
        <f>'7company_info'!F513</f>
        <v>0.0422</v>
      </c>
      <c r="Q513" s="35">
        <f>'7company_info'!G513</f>
        <v>62.36</v>
      </c>
      <c r="R513" s="35">
        <f>'7company_info'!H513</f>
        <v>61.9</v>
      </c>
      <c r="S513" s="35">
        <f>'7company_info'!I513</f>
        <v>33.29</v>
      </c>
      <c r="T513" s="35">
        <f>'7company_info'!J513</f>
        <v>68.4</v>
      </c>
      <c r="U513" s="39">
        <v>65.1266666666666</v>
      </c>
      <c r="V513" s="39">
        <v>65.8483333333333</v>
      </c>
      <c r="W513" s="40">
        <v>66.3566666666666</v>
      </c>
      <c r="X513" s="40">
        <v>67.5866666666666</v>
      </c>
      <c r="Y513" s="40">
        <v>64.6183333333333</v>
      </c>
      <c r="Z513" s="40">
        <v>63.8966666666666</v>
      </c>
      <c r="AA513" s="40">
        <v>62.6666666666666</v>
      </c>
      <c r="AB513" s="40">
        <v>65.38</v>
      </c>
      <c r="AC513" s="40">
        <v>65.91</v>
      </c>
      <c r="AD513" s="40">
        <v>64.8063465187274</v>
      </c>
      <c r="AE513" s="40">
        <v>61.8785</v>
      </c>
      <c r="AF513" s="40">
        <v>1.46375</v>
      </c>
      <c r="AG513" s="40">
        <v>68.4</v>
      </c>
      <c r="AH513" s="45">
        <v>44357.0</v>
      </c>
      <c r="AI513" s="44" t="str">
        <f>'6image_RS_benchmark_performance'!B513</f>
        <v>https://3arbzfbsh-cname-us.ngrok.io/Desktop/seabridge%20fintech/image_app/REG_resistance_support.jpg</v>
      </c>
      <c r="AJ513" s="44" t="str">
        <f>'6image_RS_benchmark_performance'!C513</f>
        <v>https://3arbzfbsh-cname-us.ngrok.io/Desktop/seabridge%20fintech/profit_graph_app/REG_Return.jpg</v>
      </c>
      <c r="AK513" s="46" t="str">
        <f>'5price_action_icon'!B513</f>
        <v>https://3arbzfbsh-cname-us.ngrok.io/Desktop/seabridge%20fintech/icon/REG_pa_trend_signal</v>
      </c>
      <c r="AL513" s="42">
        <f>'1kpi_performance'!B513</f>
        <v>0.4920780855</v>
      </c>
      <c r="AM513" s="42">
        <f>'1kpi_performance'!C513</f>
        <v>0.5022771129</v>
      </c>
      <c r="AN513" s="42">
        <f>'1kpi_performance'!D513</f>
        <v>0.5659617929</v>
      </c>
      <c r="AO513" s="42">
        <f>'1kpi_performance'!E513</f>
        <v>0.07789232825</v>
      </c>
      <c r="AP513" s="42">
        <f>'1kpi_performance'!F513</f>
        <v>0.251960907</v>
      </c>
      <c r="AQ513" s="42">
        <f>'1kpi_performance'!G513</f>
        <v>0.2416424525</v>
      </c>
      <c r="AR513" s="42">
        <f>'1kpi_performance'!H513</f>
        <v>0.2794917864</v>
      </c>
      <c r="AS513" s="42">
        <f>'1kpi_performance'!I513</f>
        <v>0.351401197</v>
      </c>
      <c r="AT513" s="35">
        <f>'1kpi_performance'!J513</f>
        <v>1.853772044</v>
      </c>
      <c r="AU513" s="35">
        <f>'1kpi_performance'!K513</f>
        <v>1.975137679</v>
      </c>
      <c r="AV513" s="35">
        <f>'1kpi_performance'!L513</f>
        <v>1.935519465</v>
      </c>
      <c r="AW513" s="35">
        <f>'1kpi_performance'!M513</f>
        <v>0.1505183497</v>
      </c>
      <c r="AX513" s="42">
        <f>'1kpi_performance'!N513</f>
        <v>0.1969628286</v>
      </c>
      <c r="AY513" s="42">
        <f>'1kpi_performance'!O513</f>
        <v>0.2069859605</v>
      </c>
      <c r="AZ513" s="42">
        <f>'1kpi_performance'!P513</f>
        <v>0.4800193361</v>
      </c>
      <c r="BA513" s="42">
        <f>'1kpi_performance'!Q513</f>
        <v>0.6216881594</v>
      </c>
      <c r="BB513" s="35">
        <f>'1kpi_performance'!R513</f>
        <v>4.404293164</v>
      </c>
      <c r="BC513" s="35">
        <f>'1kpi_performance'!S513</f>
        <v>4.858633536</v>
      </c>
      <c r="BD513" s="35">
        <f>'1kpi_performance'!T513</f>
        <v>3.989625869</v>
      </c>
      <c r="BE513" s="35">
        <f>'1kpi_performance'!U513</f>
        <v>0.2976407062</v>
      </c>
      <c r="BF513" s="47"/>
      <c r="BG513" s="47"/>
      <c r="BH513" s="47"/>
      <c r="BI513" s="47"/>
      <c r="BJ513" s="47"/>
      <c r="BK513" s="47"/>
      <c r="BL513" s="47"/>
      <c r="BM513" s="47"/>
      <c r="BN513" s="47"/>
      <c r="BO513" s="47"/>
      <c r="BP513" s="47"/>
      <c r="BQ513" s="47"/>
      <c r="BR513" s="47"/>
      <c r="BS513" s="47"/>
      <c r="BT513" s="47"/>
    </row>
    <row r="514" ht="11.25" customHeight="1">
      <c r="A514" s="35" t="str">
        <f>'13all_company_profile'!A514</f>
        <v>REGN</v>
      </c>
      <c r="B514" s="35" t="str">
        <f>'13all_company_profile'!B514</f>
        <v>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v>
      </c>
      <c r="C514" s="44" t="str">
        <f>'13all_company_profile'!C514</f>
        <v>https://financialmodelingprep.com/image-stock/REGN.png</v>
      </c>
      <c r="D514" s="35" t="str">
        <f>'13all_company_profile'!D514</f>
        <v>Regeneron Pharmaceuticals, Inc.</v>
      </c>
      <c r="E514" s="36">
        <f>'13all_company_profile'!E514</f>
        <v>62788509696</v>
      </c>
      <c r="F514" s="37">
        <f>'13all_company_profile'!F514</f>
        <v>792546</v>
      </c>
      <c r="G514" s="35">
        <f>'13all_company_profile'!G514</f>
        <v>0</v>
      </c>
      <c r="H514" s="38">
        <f>'13all_company_profile'!H514</f>
        <v>44411</v>
      </c>
      <c r="I514" s="35">
        <f>'13all_company_profile'!I514</f>
        <v>16.650537</v>
      </c>
      <c r="J514" s="35">
        <f>'13all_company_profile'!J514</f>
        <v>35.128</v>
      </c>
      <c r="K514" s="42" t="str">
        <f t="shared" si="1"/>
        <v>NaN</v>
      </c>
      <c r="L514" s="35">
        <f>'7company_info'!B514</f>
        <v>587.24</v>
      </c>
      <c r="M514" s="35">
        <f>'7company_info'!C514</f>
        <v>593.69</v>
      </c>
      <c r="N514" s="35">
        <f>'7company_info'!D514</f>
        <v>580.66</v>
      </c>
      <c r="O514" s="35">
        <f>'7company_info'!E514</f>
        <v>2.01</v>
      </c>
      <c r="P514" s="35">
        <f>'7company_info'!F514</f>
        <v>0.0034</v>
      </c>
      <c r="Q514" s="35">
        <f>'7company_info'!G514</f>
        <v>588.3</v>
      </c>
      <c r="R514" s="35">
        <f>'7company_info'!H514</f>
        <v>585.23</v>
      </c>
      <c r="S514" s="35">
        <f>'7company_info'!I514</f>
        <v>441</v>
      </c>
      <c r="T514" s="35">
        <f>'7company_info'!J514</f>
        <v>664.64</v>
      </c>
      <c r="U514" s="39">
        <v>579.806666666666</v>
      </c>
      <c r="V514" s="39">
        <v>584.113333333333</v>
      </c>
      <c r="W514" s="40">
        <v>587.166666666666</v>
      </c>
      <c r="X514" s="40">
        <v>594.526666666666</v>
      </c>
      <c r="Y514" s="40">
        <v>576.753333333333</v>
      </c>
      <c r="Z514" s="40">
        <v>572.446666666666</v>
      </c>
      <c r="AA514" s="40">
        <v>565.086666666666</v>
      </c>
      <c r="AB514" s="40">
        <v>554.945</v>
      </c>
      <c r="AC514" s="40">
        <v>592.835</v>
      </c>
      <c r="AD514" s="40">
        <v>559.134188423987</v>
      </c>
      <c r="AE514" s="40">
        <v>547.936819999999</v>
      </c>
      <c r="AF514" s="40">
        <v>14.55159</v>
      </c>
      <c r="AG514" s="40">
        <v>592.835</v>
      </c>
      <c r="AH514" s="45">
        <v>44379.0</v>
      </c>
      <c r="AI514" s="44" t="str">
        <f>'6image_RS_benchmark_performance'!B514</f>
        <v>https://3arbzfbsh-cname-us.ngrok.io/Desktop/seabridge%20fintech/image_app/REGN_resistance_support.jpg</v>
      </c>
      <c r="AJ514" s="44" t="str">
        <f>'6image_RS_benchmark_performance'!C514</f>
        <v>https://3arbzfbsh-cname-us.ngrok.io/Desktop/seabridge%20fintech/profit_graph_app/REGN_Return.jpg</v>
      </c>
      <c r="AK514" s="46" t="str">
        <f>'5price_action_icon'!B514</f>
        <v>https://3arbzfbsh-cname-us.ngrok.io/Desktop/seabridge%20fintech/icon/REGN_pa_trend_signal</v>
      </c>
      <c r="AL514" s="42">
        <f>'1kpi_performance'!B514</f>
        <v>1.044809746</v>
      </c>
      <c r="AM514" s="42">
        <f>'1kpi_performance'!C514</f>
        <v>1.385488325</v>
      </c>
      <c r="AN514" s="42">
        <f>'1kpi_performance'!D514</f>
        <v>1.303832198</v>
      </c>
      <c r="AO514" s="42">
        <f>'1kpi_performance'!E514</f>
        <v>0.4719668897</v>
      </c>
      <c r="AP514" s="42">
        <f>'1kpi_performance'!F514</f>
        <v>0.3408312378</v>
      </c>
      <c r="AQ514" s="42">
        <f>'1kpi_performance'!G514</f>
        <v>0.3641735809</v>
      </c>
      <c r="AR514" s="42">
        <f>'1kpi_performance'!H514</f>
        <v>0.3564120746</v>
      </c>
      <c r="AS514" s="42">
        <f>'1kpi_performance'!I514</f>
        <v>0.4855492806</v>
      </c>
      <c r="AT514" s="35">
        <f>'1kpi_performance'!J514</f>
        <v>2.992125232</v>
      </c>
      <c r="AU514" s="35">
        <f>'1kpi_performance'!K514</f>
        <v>3.735823783</v>
      </c>
      <c r="AV514" s="35">
        <f>'1kpi_performance'!L514</f>
        <v>3.588072036</v>
      </c>
      <c r="AW514" s="35">
        <f>'1kpi_performance'!M514</f>
        <v>0.9205386713</v>
      </c>
      <c r="AX514" s="42">
        <f>'1kpi_performance'!N514</f>
        <v>0.2047841997</v>
      </c>
      <c r="AY514" s="42">
        <f>'1kpi_performance'!O514</f>
        <v>0.1274412974</v>
      </c>
      <c r="AZ514" s="42">
        <f>'1kpi_performance'!P514</f>
        <v>0.346096807</v>
      </c>
      <c r="BA514" s="42">
        <f>'1kpi_performance'!Q514</f>
        <v>0.5383862255</v>
      </c>
      <c r="BB514" s="35">
        <f>'1kpi_performance'!R514</f>
        <v>7.412149824</v>
      </c>
      <c r="BC514" s="35">
        <f>'1kpi_performance'!S514</f>
        <v>9.786544054</v>
      </c>
      <c r="BD514" s="35">
        <f>'1kpi_performance'!T514</f>
        <v>8.774334559</v>
      </c>
      <c r="BE514" s="35">
        <f>'1kpi_performance'!U514</f>
        <v>2.058741099</v>
      </c>
      <c r="BF514" s="47"/>
      <c r="BG514" s="47"/>
      <c r="BH514" s="47"/>
      <c r="BI514" s="47"/>
      <c r="BJ514" s="47"/>
      <c r="BK514" s="47"/>
      <c r="BL514" s="47"/>
      <c r="BM514" s="47"/>
      <c r="BN514" s="47"/>
      <c r="BO514" s="47"/>
      <c r="BP514" s="47"/>
      <c r="BQ514" s="47"/>
      <c r="BR514" s="47"/>
      <c r="BS514" s="47"/>
      <c r="BT514" s="47"/>
    </row>
    <row r="515" ht="11.25" customHeight="1">
      <c r="A515" s="35" t="str">
        <f>'13all_company_profile'!A515</f>
        <v>RF</v>
      </c>
      <c r="B515" s="35" t="str">
        <f>'13all_company_profile'!B515</f>
        <v>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v>
      </c>
      <c r="C515" s="44" t="str">
        <f>'13all_company_profile'!C515</f>
        <v>https://financialmodelingprep.com/image-stock/RF.png</v>
      </c>
      <c r="D515" s="35" t="str">
        <f>'13all_company_profile'!D515</f>
        <v>Regions Financial Corporation</v>
      </c>
      <c r="E515" s="36">
        <f>'13all_company_profile'!E515</f>
        <v>18966153216</v>
      </c>
      <c r="F515" s="37">
        <f>'13all_company_profile'!F515</f>
        <v>7203071</v>
      </c>
      <c r="G515" s="35">
        <f>'13all_company_profile'!G515</f>
        <v>0.62</v>
      </c>
      <c r="H515" s="38">
        <f>'13all_company_profile'!H515</f>
        <v>44400</v>
      </c>
      <c r="I515" s="35">
        <f>'13all_company_profile'!I515</f>
        <v>12.472057</v>
      </c>
      <c r="J515" s="35">
        <f>'13all_company_profile'!J515</f>
        <v>1.521</v>
      </c>
      <c r="K515" s="42">
        <f t="shared" si="1"/>
        <v>0.03278688525</v>
      </c>
      <c r="L515" s="35">
        <f>'7company_info'!B515</f>
        <v>18.91</v>
      </c>
      <c r="M515" s="35">
        <f>'7company_info'!C515</f>
        <v>19.14</v>
      </c>
      <c r="N515" s="35">
        <f>'7company_info'!D515</f>
        <v>18.02</v>
      </c>
      <c r="O515" s="35">
        <f>'7company_info'!E515</f>
        <v>0.77</v>
      </c>
      <c r="P515" s="35">
        <f>'7company_info'!F515</f>
        <v>0.0424</v>
      </c>
      <c r="Q515" s="35">
        <f>'7company_info'!G515</f>
        <v>18.16</v>
      </c>
      <c r="R515" s="35">
        <f>'7company_info'!H515</f>
        <v>18.14</v>
      </c>
      <c r="S515" s="35">
        <f>'7company_info'!I515</f>
        <v>10.17</v>
      </c>
      <c r="T515" s="35">
        <f>'7company_info'!J515</f>
        <v>23.81</v>
      </c>
      <c r="U515" s="39">
        <v>19.595</v>
      </c>
      <c r="V515" s="39">
        <v>19.985</v>
      </c>
      <c r="W515" s="40">
        <v>20.47</v>
      </c>
      <c r="X515" s="40">
        <v>21.345</v>
      </c>
      <c r="Y515" s="40">
        <v>19.11</v>
      </c>
      <c r="Z515" s="40">
        <v>18.72</v>
      </c>
      <c r="AA515" s="40">
        <v>17.845</v>
      </c>
      <c r="AB515" s="40">
        <v>18.82</v>
      </c>
      <c r="AC515" s="40">
        <v>20.16</v>
      </c>
      <c r="AD515" s="40">
        <v>20.2108136674973</v>
      </c>
      <c r="AE515" s="40">
        <v>18.50551</v>
      </c>
      <c r="AF515" s="40">
        <v>0.624245</v>
      </c>
      <c r="AG515" s="40">
        <v>23.81</v>
      </c>
      <c r="AH515" s="45">
        <v>44348.0</v>
      </c>
      <c r="AI515" s="44" t="str">
        <f>'6image_RS_benchmark_performance'!B515</f>
        <v>https://3arbzfbsh-cname-us.ngrok.io/Desktop/seabridge%20fintech/image_app/RF_resistance_support.jpg</v>
      </c>
      <c r="AJ515" s="44" t="str">
        <f>'6image_RS_benchmark_performance'!C515</f>
        <v>https://3arbzfbsh-cname-us.ngrok.io/Desktop/seabridge%20fintech/profit_graph_app/RF_Return.jpg</v>
      </c>
      <c r="AK515" s="46" t="str">
        <f>'5price_action_icon'!B515</f>
        <v>https://3arbzfbsh-cname-us.ngrok.io/Desktop/seabridge%20fintech/icon/RF_pa_trend_signal</v>
      </c>
      <c r="AL515" s="42">
        <f>'1kpi_performance'!B515</f>
        <v>0.7404430547</v>
      </c>
      <c r="AM515" s="42">
        <f>'1kpi_performance'!C515</f>
        <v>0.8179918441</v>
      </c>
      <c r="AN515" s="42">
        <f>'1kpi_performance'!D515</f>
        <v>0.6728001351</v>
      </c>
      <c r="AO515" s="42">
        <f>'1kpi_performance'!E515</f>
        <v>0.1390351685</v>
      </c>
      <c r="AP515" s="42">
        <f>'1kpi_performance'!F515</f>
        <v>0.3090155866</v>
      </c>
      <c r="AQ515" s="42">
        <f>'1kpi_performance'!G515</f>
        <v>0.296781498</v>
      </c>
      <c r="AR515" s="42">
        <f>'1kpi_performance'!H515</f>
        <v>0.2847215455</v>
      </c>
      <c r="AS515" s="42">
        <f>'1kpi_performance'!I515</f>
        <v>0.4595132779</v>
      </c>
      <c r="AT515" s="35">
        <f>'1kpi_performance'!J515</f>
        <v>2.315232907</v>
      </c>
      <c r="AU515" s="35">
        <f>'1kpi_performance'!K515</f>
        <v>2.67197197</v>
      </c>
      <c r="AV515" s="35">
        <f>'1kpi_performance'!L515</f>
        <v>2.275205882</v>
      </c>
      <c r="AW515" s="35">
        <f>'1kpi_performance'!M515</f>
        <v>0.2481651215</v>
      </c>
      <c r="AX515" s="42">
        <f>'1kpi_performance'!N515</f>
        <v>0.2029261453</v>
      </c>
      <c r="AY515" s="42">
        <f>'1kpi_performance'!O515</f>
        <v>0.2122630248</v>
      </c>
      <c r="AZ515" s="42">
        <f>'1kpi_performance'!P515</f>
        <v>0.3264072846</v>
      </c>
      <c r="BA515" s="42">
        <f>'1kpi_performance'!Q515</f>
        <v>0.6625698324</v>
      </c>
      <c r="BB515" s="35">
        <f>'1kpi_performance'!R515</f>
        <v>4.965589459</v>
      </c>
      <c r="BC515" s="35">
        <f>'1kpi_performance'!S515</f>
        <v>5.955072922</v>
      </c>
      <c r="BD515" s="35">
        <f>'1kpi_performance'!T515</f>
        <v>4.770795036</v>
      </c>
      <c r="BE515" s="35">
        <f>'1kpi_performance'!U515</f>
        <v>0.4806548206</v>
      </c>
      <c r="BF515" s="47"/>
      <c r="BG515" s="47"/>
      <c r="BH515" s="47"/>
      <c r="BI515" s="47"/>
      <c r="BJ515" s="47"/>
      <c r="BK515" s="47"/>
      <c r="BL515" s="47"/>
      <c r="BM515" s="47"/>
      <c r="BN515" s="47"/>
      <c r="BO515" s="47"/>
      <c r="BP515" s="47"/>
      <c r="BQ515" s="47"/>
      <c r="BR515" s="47"/>
      <c r="BS515" s="47"/>
      <c r="BT515" s="47"/>
    </row>
    <row r="516" ht="11.25" customHeight="1">
      <c r="A516" s="35" t="str">
        <f>'13all_company_profile'!A516</f>
        <v>RHI</v>
      </c>
      <c r="B516" s="35" t="str">
        <f>'13all_company_profile'!B516</f>
        <v>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v>
      </c>
      <c r="C516" s="44" t="str">
        <f>'13all_company_profile'!C516</f>
        <v>https://financialmodelingprep.com/image-stock/RHI.png</v>
      </c>
      <c r="D516" s="35" t="str">
        <f>'13all_company_profile'!D516</f>
        <v>Robert Half International Inc.</v>
      </c>
      <c r="E516" s="36">
        <f>'13all_company_profile'!E516</f>
        <v>9755556864</v>
      </c>
      <c r="F516" s="37">
        <f>'13all_company_profile'!F516</f>
        <v>837233</v>
      </c>
      <c r="G516" s="35">
        <f>'13all_company_profile'!G516</f>
        <v>1.44</v>
      </c>
      <c r="H516" s="38">
        <f>'13all_company_profile'!H516</f>
        <v>44398</v>
      </c>
      <c r="I516" s="35">
        <f>'13all_company_profile'!I516</f>
        <v>29.833796</v>
      </c>
      <c r="J516" s="35">
        <f>'13all_company_profile'!J516</f>
        <v>2.888</v>
      </c>
      <c r="K516" s="42">
        <f t="shared" si="1"/>
        <v>0.01665317451</v>
      </c>
      <c r="L516" s="35">
        <f>'7company_info'!B516</f>
        <v>86.47</v>
      </c>
      <c r="M516" s="35">
        <f>'7company_info'!C516</f>
        <v>87.07</v>
      </c>
      <c r="N516" s="35">
        <f>'7company_info'!D516</f>
        <v>84.43</v>
      </c>
      <c r="O516" s="35">
        <f>'7company_info'!E516</f>
        <v>2.1</v>
      </c>
      <c r="P516" s="35">
        <f>'7company_info'!F516</f>
        <v>0.0249</v>
      </c>
      <c r="Q516" s="35">
        <f>'7company_info'!G516</f>
        <v>84.75</v>
      </c>
      <c r="R516" s="35">
        <f>'7company_info'!H516</f>
        <v>84.37</v>
      </c>
      <c r="S516" s="35">
        <f>'7company_info'!I516</f>
        <v>48.29</v>
      </c>
      <c r="T516" s="35">
        <f>'7company_info'!J516</f>
        <v>92.32</v>
      </c>
      <c r="U516" s="39">
        <v>87.2933333333333</v>
      </c>
      <c r="V516" s="39">
        <v>87.9066666666666</v>
      </c>
      <c r="W516" s="40">
        <v>88.4033333333333</v>
      </c>
      <c r="X516" s="40">
        <v>89.5133333333333</v>
      </c>
      <c r="Y516" s="40">
        <v>86.7966666666666</v>
      </c>
      <c r="Z516" s="40">
        <v>86.1833333333333</v>
      </c>
      <c r="AA516" s="40">
        <v>85.0733333333333</v>
      </c>
      <c r="AB516" s="40">
        <v>86.68</v>
      </c>
      <c r="AC516" s="40">
        <v>92.32</v>
      </c>
      <c r="AD516" s="40">
        <v>88.1897370544834</v>
      </c>
      <c r="AE516" s="40">
        <v>83.4024999999999</v>
      </c>
      <c r="AF516" s="40">
        <v>1.75525</v>
      </c>
      <c r="AG516" s="40">
        <v>92.32</v>
      </c>
      <c r="AH516" s="45">
        <v>44358.0</v>
      </c>
      <c r="AI516" s="44" t="str">
        <f>'6image_RS_benchmark_performance'!B516</f>
        <v>https://3arbzfbsh-cname-us.ngrok.io/Desktop/seabridge%20fintech/image_app/RHI_resistance_support.jpg</v>
      </c>
      <c r="AJ516" s="44" t="str">
        <f>'6image_RS_benchmark_performance'!C516</f>
        <v>https://3arbzfbsh-cname-us.ngrok.io/Desktop/seabridge%20fintech/profit_graph_app/RHI_Return.jpg</v>
      </c>
      <c r="AK516" s="46" t="str">
        <f>'5price_action_icon'!B516</f>
        <v>https://3arbzfbsh-cname-us.ngrok.io/Desktop/seabridge%20fintech/icon/RHI_pa_trend_signal</v>
      </c>
      <c r="AL516" s="42">
        <f>'1kpi_performance'!B516</f>
        <v>0.6393039968</v>
      </c>
      <c r="AM516" s="42">
        <f>'1kpi_performance'!C516</f>
        <v>0.8224270579</v>
      </c>
      <c r="AN516" s="42">
        <f>'1kpi_performance'!D516</f>
        <v>0.779351377</v>
      </c>
      <c r="AO516" s="42">
        <f>'1kpi_performance'!E516</f>
        <v>0.1560009292</v>
      </c>
      <c r="AP516" s="42">
        <f>'1kpi_performance'!F516</f>
        <v>0.254850278</v>
      </c>
      <c r="AQ516" s="42">
        <f>'1kpi_performance'!G516</f>
        <v>0.2518915323</v>
      </c>
      <c r="AR516" s="42">
        <f>'1kpi_performance'!H516</f>
        <v>0.2773988569</v>
      </c>
      <c r="AS516" s="42">
        <f>'1kpi_performance'!I516</f>
        <v>0.3699040555</v>
      </c>
      <c r="AT516" s="35">
        <f>'1kpi_performance'!J516</f>
        <v>2.410450566</v>
      </c>
      <c r="AU516" s="35">
        <f>'1kpi_performance'!K516</f>
        <v>3.165755715</v>
      </c>
      <c r="AV516" s="35">
        <f>'1kpi_performance'!L516</f>
        <v>2.719374497</v>
      </c>
      <c r="AW516" s="35">
        <f>'1kpi_performance'!M516</f>
        <v>0.3541483996</v>
      </c>
      <c r="AX516" s="42">
        <f>'1kpi_performance'!N516</f>
        <v>0.238923178</v>
      </c>
      <c r="AY516" s="42">
        <f>'1kpi_performance'!O516</f>
        <v>0.19099837</v>
      </c>
      <c r="AZ516" s="42">
        <f>'1kpi_performance'!P516</f>
        <v>0.4409358639</v>
      </c>
      <c r="BA516" s="42">
        <f>'1kpi_performance'!Q516</f>
        <v>0.5709442491</v>
      </c>
      <c r="BB516" s="35">
        <f>'1kpi_performance'!R516</f>
        <v>5.188951218</v>
      </c>
      <c r="BC516" s="35">
        <f>'1kpi_performance'!S516</f>
        <v>7.472013839</v>
      </c>
      <c r="BD516" s="35">
        <f>'1kpi_performance'!T516</f>
        <v>5.625183146</v>
      </c>
      <c r="BE516" s="35">
        <f>'1kpi_performance'!U516</f>
        <v>0.680761172</v>
      </c>
      <c r="BF516" s="47"/>
      <c r="BG516" s="47"/>
      <c r="BH516" s="47"/>
      <c r="BI516" s="47"/>
      <c r="BJ516" s="47"/>
      <c r="BK516" s="47"/>
      <c r="BL516" s="47"/>
      <c r="BM516" s="47"/>
      <c r="BN516" s="47"/>
      <c r="BO516" s="47"/>
      <c r="BP516" s="47"/>
      <c r="BQ516" s="47"/>
      <c r="BR516" s="47"/>
      <c r="BS516" s="47"/>
      <c r="BT516" s="47"/>
    </row>
    <row r="517" ht="11.25" customHeight="1">
      <c r="A517" s="35" t="str">
        <f>'13all_company_profile'!A517</f>
        <v>RIOT</v>
      </c>
      <c r="B517" s="35" t="str">
        <f>'13all_company_profile'!B517</f>
        <v>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v>
      </c>
      <c r="C517" s="44" t="str">
        <f>'13all_company_profile'!C517</f>
        <v>https://financialmodelingprep.com/image-stock/RIOT.png</v>
      </c>
      <c r="D517" s="35" t="str">
        <f>'13all_company_profile'!D517</f>
        <v>Riot Blockchain, Inc.</v>
      </c>
      <c r="E517" s="36">
        <f>'13all_company_profile'!E517</f>
        <v>2707559424</v>
      </c>
      <c r="F517" s="37">
        <f>'13all_company_profile'!F517</f>
        <v>16365574</v>
      </c>
      <c r="G517" s="35">
        <f>'13all_company_profile'!G517</f>
        <v>0</v>
      </c>
      <c r="H517" s="38" t="str">
        <f>'13all_company_profile'!H517</f>
        <v>not avaiable</v>
      </c>
      <c r="I517" s="35" t="str">
        <f>'13all_company_profile'!I517</f>
        <v>NaN</v>
      </c>
      <c r="J517" s="35">
        <f>'13all_company_profile'!J517</f>
        <v>-0.016</v>
      </c>
      <c r="K517" s="42" t="str">
        <f t="shared" si="1"/>
        <v>NaN</v>
      </c>
      <c r="L517" s="35">
        <f>'7company_info'!B517</f>
        <v>25.85</v>
      </c>
      <c r="M517" s="35">
        <f>'7company_info'!C517</f>
        <v>26.32</v>
      </c>
      <c r="N517" s="35">
        <f>'7company_info'!D517</f>
        <v>23.93</v>
      </c>
      <c r="O517" s="35">
        <f>'7company_info'!E517</f>
        <v>-0.11</v>
      </c>
      <c r="P517" s="35">
        <f>'7company_info'!F517</f>
        <v>-0.0042</v>
      </c>
      <c r="Q517" s="35">
        <f>'7company_info'!G517</f>
        <v>25.37</v>
      </c>
      <c r="R517" s="35">
        <f>'7company_info'!H517</f>
        <v>25.96</v>
      </c>
      <c r="S517" s="35">
        <f>'7company_info'!I517</f>
        <v>2.06</v>
      </c>
      <c r="T517" s="35">
        <f>'7company_info'!J517</f>
        <v>79.5</v>
      </c>
      <c r="U517" s="39">
        <v>29.2766666666666</v>
      </c>
      <c r="V517" s="39">
        <v>30.0433333333333</v>
      </c>
      <c r="W517" s="40">
        <v>31.4966666666666</v>
      </c>
      <c r="X517" s="40">
        <v>33.7166666666666</v>
      </c>
      <c r="Y517" s="40">
        <v>27.8233333333333</v>
      </c>
      <c r="Z517" s="40">
        <v>27.0566666666666</v>
      </c>
      <c r="AA517" s="40">
        <v>24.8366666666666</v>
      </c>
      <c r="AB517" s="40">
        <v>37.1255</v>
      </c>
      <c r="AC517" s="40">
        <v>31.5</v>
      </c>
      <c r="AD517" s="40">
        <v>32.9289785758996</v>
      </c>
      <c r="AE517" s="40">
        <v>25.2402699999999</v>
      </c>
      <c r="AF517" s="40">
        <v>2.377865</v>
      </c>
      <c r="AG517" s="40">
        <v>79.5</v>
      </c>
      <c r="AH517" s="45">
        <v>44244.0</v>
      </c>
      <c r="AI517" s="44" t="str">
        <f>'6image_RS_benchmark_performance'!B517</f>
        <v>https://3arbzfbsh-cname-us.ngrok.io/Desktop/seabridge%20fintech/image_app/RIOT_resistance_support.jpg</v>
      </c>
      <c r="AJ517" s="44" t="str">
        <f>'6image_RS_benchmark_performance'!C517</f>
        <v>https://3arbzfbsh-cname-us.ngrok.io/Desktop/seabridge%20fintech/profit_graph_app/RIOT_Return.jpg</v>
      </c>
      <c r="AK517" s="46" t="str">
        <f>'5price_action_icon'!B517</f>
        <v>https://3arbzfbsh-cname-us.ngrok.io/Desktop/seabridge%20fintech/icon/RIOT_pa_trend_signal</v>
      </c>
      <c r="AL517" s="42">
        <f>'1kpi_performance'!B517</f>
        <v>3.428722599</v>
      </c>
      <c r="AM517" s="42">
        <f>'1kpi_performance'!C517</f>
        <v>4.36410344</v>
      </c>
      <c r="AN517" s="42">
        <f>'1kpi_performance'!D517</f>
        <v>2.305452721</v>
      </c>
      <c r="AO517" s="42">
        <f>'1kpi_performance'!E517</f>
        <v>-0.2930586761</v>
      </c>
      <c r="AP517" s="42">
        <f>'1kpi_performance'!F517</f>
        <v>1.020420504</v>
      </c>
      <c r="AQ517" s="42">
        <f>'1kpi_performance'!G517</f>
        <v>0.9645143212</v>
      </c>
      <c r="AR517" s="42">
        <f>'1kpi_performance'!H517</f>
        <v>0.9107292561</v>
      </c>
      <c r="AS517" s="42">
        <f>'1kpi_performance'!I517</f>
        <v>1.318353493</v>
      </c>
      <c r="AT517" s="35">
        <f>'1kpi_performance'!J517</f>
        <v>3.335607805</v>
      </c>
      <c r="AU517" s="35">
        <f>'1kpi_performance'!K517</f>
        <v>4.49874444</v>
      </c>
      <c r="AV517" s="35">
        <f>'1kpi_performance'!L517</f>
        <v>2.503985356</v>
      </c>
      <c r="AW517" s="35">
        <f>'1kpi_performance'!M517</f>
        <v>-0.2412544722</v>
      </c>
      <c r="AX517" s="42">
        <f>'1kpi_performance'!N517</f>
        <v>0.6708077923</v>
      </c>
      <c r="AY517" s="42">
        <f>'1kpi_performance'!O517</f>
        <v>0.3937389771</v>
      </c>
      <c r="AZ517" s="42">
        <f>'1kpi_performance'!P517</f>
        <v>0.6303603806</v>
      </c>
      <c r="BA517" s="42">
        <f>'1kpi_performance'!Q517</f>
        <v>0.9993454654</v>
      </c>
      <c r="BB517" s="35">
        <f>'1kpi_performance'!R517</f>
        <v>8.658944222</v>
      </c>
      <c r="BC517" s="35">
        <f>'1kpi_performance'!S517</f>
        <v>13.35375509</v>
      </c>
      <c r="BD517" s="35">
        <f>'1kpi_performance'!T517</f>
        <v>6.2518774</v>
      </c>
      <c r="BE517" s="35">
        <f>'1kpi_performance'!U517</f>
        <v>-0.5240907579</v>
      </c>
      <c r="BF517" s="47"/>
      <c r="BG517" s="47"/>
      <c r="BH517" s="47"/>
      <c r="BI517" s="47"/>
      <c r="BJ517" s="47"/>
      <c r="BK517" s="47"/>
      <c r="BL517" s="47"/>
      <c r="BM517" s="47"/>
      <c r="BN517" s="47"/>
      <c r="BO517" s="47"/>
      <c r="BP517" s="47"/>
      <c r="BQ517" s="47"/>
      <c r="BR517" s="47"/>
      <c r="BS517" s="47"/>
      <c r="BT517" s="47"/>
    </row>
    <row r="518" ht="11.25" customHeight="1">
      <c r="A518" s="35" t="str">
        <f>'13all_company_profile'!A518</f>
        <v>RJF</v>
      </c>
      <c r="B518" s="35" t="str">
        <f>'13all_company_profile'!B518</f>
        <v>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v>
      </c>
      <c r="C518" s="44" t="str">
        <f>'13all_company_profile'!C518</f>
        <v>https://financialmodelingprep.com/image-stock/RJF.png</v>
      </c>
      <c r="D518" s="35" t="str">
        <f>'13all_company_profile'!D518</f>
        <v>Raymond James Financial, Inc.</v>
      </c>
      <c r="E518" s="36">
        <f>'13all_company_profile'!E518</f>
        <v>18092453888</v>
      </c>
      <c r="F518" s="37">
        <f>'13all_company_profile'!F518</f>
        <v>581819</v>
      </c>
      <c r="G518" s="35">
        <f>'13all_company_profile'!G518</f>
        <v>1.54</v>
      </c>
      <c r="H518" s="38">
        <f>'13all_company_profile'!H518</f>
        <v>44404</v>
      </c>
      <c r="I518" s="35">
        <f>'13all_company_profile'!I518</f>
        <v>17.187124</v>
      </c>
      <c r="J518" s="35">
        <f>'13all_company_profile'!J518</f>
        <v>7.487</v>
      </c>
      <c r="K518" s="42">
        <f t="shared" si="1"/>
        <v>0.01211453744</v>
      </c>
      <c r="L518" s="35">
        <f>'7company_info'!B518</f>
        <v>127.12</v>
      </c>
      <c r="M518" s="35">
        <f>'7company_info'!C518</f>
        <v>128.22</v>
      </c>
      <c r="N518" s="35">
        <f>'7company_info'!D518</f>
        <v>123.01</v>
      </c>
      <c r="O518" s="35">
        <f>'7company_info'!E518</f>
        <v>3.09</v>
      </c>
      <c r="P518" s="35">
        <f>'7company_info'!F518</f>
        <v>0.0249</v>
      </c>
      <c r="Q518" s="35">
        <f>'7company_info'!G518</f>
        <v>123.38</v>
      </c>
      <c r="R518" s="35">
        <f>'7company_info'!H518</f>
        <v>124.03</v>
      </c>
      <c r="S518" s="35">
        <f>'7company_info'!I518</f>
        <v>67.66</v>
      </c>
      <c r="T518" s="35">
        <f>'7company_info'!J518</f>
        <v>138.56</v>
      </c>
      <c r="U518" s="39">
        <v>132.186666666666</v>
      </c>
      <c r="V518" s="39">
        <v>133.593333333333</v>
      </c>
      <c r="W518" s="40">
        <v>135.996666666666</v>
      </c>
      <c r="X518" s="40">
        <v>139.806666666666</v>
      </c>
      <c r="Y518" s="40">
        <v>129.783333333333</v>
      </c>
      <c r="Z518" s="40">
        <v>128.376666666666</v>
      </c>
      <c r="AA518" s="40">
        <v>124.566666666666</v>
      </c>
      <c r="AB518" s="40">
        <v>130.4895</v>
      </c>
      <c r="AC518" s="40">
        <v>129.23</v>
      </c>
      <c r="AD518" s="40">
        <v>130.921750149186</v>
      </c>
      <c r="AE518" s="40">
        <v>127.71127</v>
      </c>
      <c r="AF518" s="40">
        <v>2.96186499999999</v>
      </c>
      <c r="AG518" s="40">
        <v>138.56</v>
      </c>
      <c r="AH518" s="45">
        <v>44326.0</v>
      </c>
      <c r="AI518" s="44" t="str">
        <f>'6image_RS_benchmark_performance'!B518</f>
        <v>https://3arbzfbsh-cname-us.ngrok.io/Desktop/seabridge%20fintech/image_app/RJF_resistance_support.jpg</v>
      </c>
      <c r="AJ518" s="44" t="str">
        <f>'6image_RS_benchmark_performance'!C518</f>
        <v>https://3arbzfbsh-cname-us.ngrok.io/Desktop/seabridge%20fintech/profit_graph_app/RJF_Return.jpg</v>
      </c>
      <c r="AK518" s="46" t="str">
        <f>'5price_action_icon'!B518</f>
        <v>https://3arbzfbsh-cname-us.ngrok.io/Desktop/seabridge%20fintech/icon/RJF_pa_trend_signal</v>
      </c>
      <c r="AL518" s="42">
        <f>'1kpi_performance'!B518</f>
        <v>0.5917606377</v>
      </c>
      <c r="AM518" s="42">
        <f>'1kpi_performance'!C518</f>
        <v>0.7742406507</v>
      </c>
      <c r="AN518" s="42">
        <f>'1kpi_performance'!D518</f>
        <v>0.546329112</v>
      </c>
      <c r="AO518" s="42">
        <f>'1kpi_performance'!E518</f>
        <v>0.2193094192</v>
      </c>
      <c r="AP518" s="42">
        <f>'1kpi_performance'!F518</f>
        <v>0.2575666651</v>
      </c>
      <c r="AQ518" s="42">
        <f>'1kpi_performance'!G518</f>
        <v>0.2372250928</v>
      </c>
      <c r="AR518" s="42">
        <f>'1kpi_performance'!H518</f>
        <v>0.2660504091</v>
      </c>
      <c r="AS518" s="42">
        <f>'1kpi_performance'!I518</f>
        <v>0.3702700958</v>
      </c>
      <c r="AT518" s="35">
        <f>'1kpi_performance'!J518</f>
        <v>2.200442504</v>
      </c>
      <c r="AU518" s="35">
        <f>'1kpi_performance'!K518</f>
        <v>3.158353284</v>
      </c>
      <c r="AV518" s="35">
        <f>'1kpi_performance'!L518</f>
        <v>1.959512536</v>
      </c>
      <c r="AW518" s="35">
        <f>'1kpi_performance'!M518</f>
        <v>0.5247775109</v>
      </c>
      <c r="AX518" s="42">
        <f>'1kpi_performance'!N518</f>
        <v>0.3333314147</v>
      </c>
      <c r="AY518" s="42">
        <f>'1kpi_performance'!O518</f>
        <v>0.2558703453</v>
      </c>
      <c r="AZ518" s="42">
        <f>'1kpi_performance'!P518</f>
        <v>0.3402692577</v>
      </c>
      <c r="BA518" s="42">
        <f>'1kpi_performance'!Q518</f>
        <v>0.4583701956</v>
      </c>
      <c r="BB518" s="35">
        <f>'1kpi_performance'!R518</f>
        <v>4.382397347</v>
      </c>
      <c r="BC518" s="35">
        <f>'1kpi_performance'!S518</f>
        <v>6.956942563</v>
      </c>
      <c r="BD518" s="35">
        <f>'1kpi_performance'!T518</f>
        <v>3.946806191</v>
      </c>
      <c r="BE518" s="35">
        <f>'1kpi_performance'!U518</f>
        <v>1.023046823</v>
      </c>
      <c r="BF518" s="47"/>
      <c r="BG518" s="47"/>
      <c r="BH518" s="47"/>
      <c r="BI518" s="47"/>
      <c r="BJ518" s="47"/>
      <c r="BK518" s="47"/>
      <c r="BL518" s="47"/>
      <c r="BM518" s="47"/>
      <c r="BN518" s="47"/>
      <c r="BO518" s="47"/>
      <c r="BP518" s="47"/>
      <c r="BQ518" s="47"/>
      <c r="BR518" s="47"/>
      <c r="BS518" s="47"/>
      <c r="BT518" s="47"/>
    </row>
    <row r="519" ht="11.25" customHeight="1">
      <c r="A519" s="35" t="str">
        <f>'13all_company_profile'!A519</f>
        <v>RL</v>
      </c>
      <c r="B519" s="35" t="str">
        <f>'13all_company_profile'!B519</f>
        <v>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v>
      </c>
      <c r="C519" s="44" t="str">
        <f>'13all_company_profile'!C519</f>
        <v>https://financialmodelingprep.com/image-stock/RL.png</v>
      </c>
      <c r="D519" s="35" t="str">
        <f>'13all_company_profile'!D519</f>
        <v>Ralph Lauren Corporation</v>
      </c>
      <c r="E519" s="36">
        <f>'13all_company_profile'!E519</f>
        <v>8208634368</v>
      </c>
      <c r="F519" s="37">
        <f>'13all_company_profile'!F519</f>
        <v>950260</v>
      </c>
      <c r="G519" s="35">
        <f>'13all_company_profile'!G519</f>
        <v>0.688</v>
      </c>
      <c r="H519" s="38">
        <f>'13all_company_profile'!H519</f>
        <v>44410</v>
      </c>
      <c r="I519" s="35" t="str">
        <f>'13all_company_profile'!I519</f>
        <v>NaN</v>
      </c>
      <c r="J519" s="35">
        <f>'13all_company_profile'!J519</f>
        <v>-1.65</v>
      </c>
      <c r="K519" s="42">
        <f t="shared" si="1"/>
        <v>0.006309611152</v>
      </c>
      <c r="L519" s="35">
        <f>'7company_info'!B519</f>
        <v>109.04</v>
      </c>
      <c r="M519" s="35">
        <f>'7company_info'!C519</f>
        <v>109.95</v>
      </c>
      <c r="N519" s="35">
        <f>'7company_info'!D519</f>
        <v>103.55</v>
      </c>
      <c r="O519" s="35">
        <f>'7company_info'!E519</f>
        <v>5.25</v>
      </c>
      <c r="P519" s="35">
        <f>'7company_info'!F519</f>
        <v>0.0506</v>
      </c>
      <c r="Q519" s="35">
        <f>'7company_info'!G519</f>
        <v>104.29</v>
      </c>
      <c r="R519" s="35">
        <f>'7company_info'!H519</f>
        <v>103.79</v>
      </c>
      <c r="S519" s="35">
        <f>'7company_info'!I519</f>
        <v>63.9</v>
      </c>
      <c r="T519" s="35">
        <f>'7company_info'!J519</f>
        <v>142.06</v>
      </c>
      <c r="U519" s="39">
        <v>114.7095</v>
      </c>
      <c r="V519" s="39">
        <v>115.8785</v>
      </c>
      <c r="W519" s="40">
        <v>118.067</v>
      </c>
      <c r="X519" s="40">
        <v>121.4245</v>
      </c>
      <c r="Y519" s="40">
        <v>112.521</v>
      </c>
      <c r="Z519" s="40">
        <v>111.352</v>
      </c>
      <c r="AA519" s="40">
        <v>107.9945</v>
      </c>
      <c r="AB519" s="40">
        <v>115.91</v>
      </c>
      <c r="AC519" s="40">
        <v>119.62</v>
      </c>
      <c r="AD519" s="40">
        <v>117.2214973079</v>
      </c>
      <c r="AE519" s="40">
        <v>107.61801</v>
      </c>
      <c r="AF519" s="40">
        <v>3.54987</v>
      </c>
      <c r="AG519" s="40">
        <v>142.06</v>
      </c>
      <c r="AH519" s="45">
        <v>44326.0</v>
      </c>
      <c r="AI519" s="44" t="str">
        <f>'6image_RS_benchmark_performance'!B519</f>
        <v>https://3arbzfbsh-cname-us.ngrok.io/Desktop/seabridge%20fintech/image_app/RL_resistance_support.jpg</v>
      </c>
      <c r="AJ519" s="44" t="str">
        <f>'6image_RS_benchmark_performance'!C519</f>
        <v>https://3arbzfbsh-cname-us.ngrok.io/Desktop/seabridge%20fintech/profit_graph_app/RL_Return.jpg</v>
      </c>
      <c r="AK519" s="46" t="str">
        <f>'5price_action_icon'!B519</f>
        <v>https://3arbzfbsh-cname-us.ngrok.io/Desktop/seabridge%20fintech/icon/RL_pa_trend_signal</v>
      </c>
      <c r="AL519" s="42">
        <f>'1kpi_performance'!B519</f>
        <v>0.6290622417</v>
      </c>
      <c r="AM519" s="42">
        <f>'1kpi_performance'!C519</f>
        <v>0.82977125</v>
      </c>
      <c r="AN519" s="42">
        <f>'1kpi_performance'!D519</f>
        <v>0.8933276461</v>
      </c>
      <c r="AO519" s="42">
        <f>'1kpi_performance'!E519</f>
        <v>0.03769762758</v>
      </c>
      <c r="AP519" s="42">
        <f>'1kpi_performance'!F519</f>
        <v>0.3054659361</v>
      </c>
      <c r="AQ519" s="42">
        <f>'1kpi_performance'!G519</f>
        <v>0.2885834583</v>
      </c>
      <c r="AR519" s="42">
        <f>'1kpi_performance'!H519</f>
        <v>0.3024093785</v>
      </c>
      <c r="AS519" s="42">
        <f>'1kpi_performance'!I519</f>
        <v>0.4221779565</v>
      </c>
      <c r="AT519" s="35">
        <f>'1kpi_performance'!J519</f>
        <v>1.977510977</v>
      </c>
      <c r="AU519" s="35">
        <f>'1kpi_performance'!K519</f>
        <v>2.788695009</v>
      </c>
      <c r="AV519" s="35">
        <f>'1kpi_performance'!L519</f>
        <v>2.871364805</v>
      </c>
      <c r="AW519" s="35">
        <f>'1kpi_performance'!M519</f>
        <v>0.0300764817</v>
      </c>
      <c r="AX519" s="42">
        <f>'1kpi_performance'!N519</f>
        <v>0.2582250475</v>
      </c>
      <c r="AY519" s="42">
        <f>'1kpi_performance'!O519</f>
        <v>0.1663972143</v>
      </c>
      <c r="AZ519" s="42">
        <f>'1kpi_performance'!P519</f>
        <v>0.3542973582</v>
      </c>
      <c r="BA519" s="42">
        <f>'1kpi_performance'!Q519</f>
        <v>0.6782021524</v>
      </c>
      <c r="BB519" s="35">
        <f>'1kpi_performance'!R519</f>
        <v>4.180873483</v>
      </c>
      <c r="BC519" s="35">
        <f>'1kpi_performance'!S519</f>
        <v>6.879141883</v>
      </c>
      <c r="BD519" s="35">
        <f>'1kpi_performance'!T519</f>
        <v>6.634039536</v>
      </c>
      <c r="BE519" s="35">
        <f>'1kpi_performance'!U519</f>
        <v>0.05768218567</v>
      </c>
      <c r="BF519" s="47"/>
      <c r="BG519" s="47"/>
      <c r="BH519" s="47"/>
      <c r="BI519" s="47"/>
      <c r="BJ519" s="47"/>
      <c r="BK519" s="47"/>
      <c r="BL519" s="47"/>
      <c r="BM519" s="47"/>
      <c r="BN519" s="47"/>
      <c r="BO519" s="47"/>
      <c r="BP519" s="47"/>
      <c r="BQ519" s="47"/>
      <c r="BR519" s="47"/>
      <c r="BS519" s="47"/>
      <c r="BT519" s="47"/>
    </row>
    <row r="520" ht="11.25" customHeight="1">
      <c r="A520" s="35" t="str">
        <f>'13all_company_profile'!A520</f>
        <v>RMD</v>
      </c>
      <c r="B520" s="35" t="str">
        <f>'13all_company_profile'!B520</f>
        <v>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v>
      </c>
      <c r="C520" s="44" t="str">
        <f>'13all_company_profile'!C520</f>
        <v>https://financialmodelingprep.com/image-stock/RMD.png</v>
      </c>
      <c r="D520" s="35" t="str">
        <f>'13all_company_profile'!D520</f>
        <v>ResMed Inc.</v>
      </c>
      <c r="E520" s="36">
        <f>'13all_company_profile'!E520</f>
        <v>36373680128</v>
      </c>
      <c r="F520" s="37">
        <f>'13all_company_profile'!F520</f>
        <v>628530</v>
      </c>
      <c r="G520" s="35">
        <f>'13all_company_profile'!G520</f>
        <v>1.56</v>
      </c>
      <c r="H520" s="38">
        <f>'13all_company_profile'!H520</f>
        <v>44411</v>
      </c>
      <c r="I520" s="35">
        <f>'13all_company_profile'!I520</f>
        <v>80.95878</v>
      </c>
      <c r="J520" s="35">
        <f>'13all_company_profile'!J520</f>
        <v>3.129</v>
      </c>
      <c r="K520" s="42">
        <f t="shared" si="1"/>
        <v>0.00611165524</v>
      </c>
      <c r="L520" s="35">
        <f>'7company_info'!B520</f>
        <v>255.25</v>
      </c>
      <c r="M520" s="35">
        <f>'7company_info'!C520</f>
        <v>256.54</v>
      </c>
      <c r="N520" s="35">
        <f>'7company_info'!D520</f>
        <v>253.55</v>
      </c>
      <c r="O520" s="35">
        <f>'7company_info'!E520</f>
        <v>1.7</v>
      </c>
      <c r="P520" s="35">
        <f>'7company_info'!F520</f>
        <v>0.0067</v>
      </c>
      <c r="Q520" s="35">
        <f>'7company_info'!G520</f>
        <v>253.77</v>
      </c>
      <c r="R520" s="35">
        <f>'7company_info'!H520</f>
        <v>253.55</v>
      </c>
      <c r="S520" s="35">
        <f>'7company_info'!I520</f>
        <v>165.72</v>
      </c>
      <c r="T520" s="35">
        <f>'7company_info'!J520</f>
        <v>256.54</v>
      </c>
      <c r="U520" s="39">
        <v>248.22</v>
      </c>
      <c r="V520" s="39">
        <v>250.75</v>
      </c>
      <c r="W520" s="40">
        <v>252.12</v>
      </c>
      <c r="X520" s="40">
        <v>256.02</v>
      </c>
      <c r="Y520" s="40">
        <v>246.85</v>
      </c>
      <c r="Z520" s="40">
        <v>244.32</v>
      </c>
      <c r="AA520" s="40">
        <v>240.42</v>
      </c>
      <c r="AB520" s="40">
        <v>242.75</v>
      </c>
      <c r="AC520" s="40">
        <v>252.67</v>
      </c>
      <c r="AD520" s="40">
        <v>242.061665604527</v>
      </c>
      <c r="AE520" s="40">
        <v>240.38772</v>
      </c>
      <c r="AF520" s="40">
        <v>4.04964</v>
      </c>
      <c r="AG520" s="40">
        <v>252.67</v>
      </c>
      <c r="AH520" s="45">
        <v>44384.0</v>
      </c>
      <c r="AI520" s="44" t="str">
        <f>'6image_RS_benchmark_performance'!B520</f>
        <v>https://3arbzfbsh-cname-us.ngrok.io/Desktop/seabridge%20fintech/image_app/RMD_resistance_support.jpg</v>
      </c>
      <c r="AJ520" s="44" t="str">
        <f>'6image_RS_benchmark_performance'!C520</f>
        <v>https://3arbzfbsh-cname-us.ngrok.io/Desktop/seabridge%20fintech/profit_graph_app/RMD_Return.jpg</v>
      </c>
      <c r="AK520" s="46" t="str">
        <f>'5price_action_icon'!B520</f>
        <v>https://3arbzfbsh-cname-us.ngrok.io/Desktop/seabridge%20fintech/icon/RMD_pa_trend_signal</v>
      </c>
      <c r="AL520" s="42">
        <f>'1kpi_performance'!B520</f>
        <v>0.7709104668</v>
      </c>
      <c r="AM520" s="42">
        <f>'1kpi_performance'!C520</f>
        <v>0.9711210299</v>
      </c>
      <c r="AN520" s="42">
        <f>'1kpi_performance'!D520</f>
        <v>0.6193996762</v>
      </c>
      <c r="AO520" s="42">
        <f>'1kpi_performance'!E520</f>
        <v>0.3256111805</v>
      </c>
      <c r="AP520" s="42">
        <f>'1kpi_performance'!F520</f>
        <v>0.2201112425</v>
      </c>
      <c r="AQ520" s="42">
        <f>'1kpi_performance'!G520</f>
        <v>0.2416967021</v>
      </c>
      <c r="AR520" s="42">
        <f>'1kpi_performance'!H520</f>
        <v>0.2582540501</v>
      </c>
      <c r="AS520" s="42">
        <f>'1kpi_performance'!I520</f>
        <v>0.351434315</v>
      </c>
      <c r="AT520" s="35">
        <f>'1kpi_performance'!J520</f>
        <v>3.388788589</v>
      </c>
      <c r="AU520" s="35">
        <f>'1kpi_performance'!K520</f>
        <v>3.91449706</v>
      </c>
      <c r="AV520" s="35">
        <f>'1kpi_performance'!L520</f>
        <v>2.301608342</v>
      </c>
      <c r="AW520" s="35">
        <f>'1kpi_performance'!M520</f>
        <v>0.8553836883</v>
      </c>
      <c r="AX520" s="42">
        <f>'1kpi_performance'!N520</f>
        <v>0.1129916748</v>
      </c>
      <c r="AY520" s="42">
        <f>'1kpi_performance'!O520</f>
        <v>0.1569101158</v>
      </c>
      <c r="AZ520" s="42">
        <f>'1kpi_performance'!P520</f>
        <v>0.3459558403</v>
      </c>
      <c r="BA520" s="42">
        <f>'1kpi_performance'!Q520</f>
        <v>0.3526214472</v>
      </c>
      <c r="BB520" s="35">
        <f>'1kpi_performance'!R520</f>
        <v>8.360584344</v>
      </c>
      <c r="BC520" s="35">
        <f>'1kpi_performance'!S520</f>
        <v>10.10489055</v>
      </c>
      <c r="BD520" s="35">
        <f>'1kpi_performance'!T520</f>
        <v>4.493301109</v>
      </c>
      <c r="BE520" s="35">
        <f>'1kpi_performance'!U520</f>
        <v>1.595813629</v>
      </c>
      <c r="BF520" s="47"/>
      <c r="BG520" s="47"/>
      <c r="BH520" s="47"/>
      <c r="BI520" s="47"/>
      <c r="BJ520" s="47"/>
      <c r="BK520" s="47"/>
      <c r="BL520" s="47"/>
      <c r="BM520" s="47"/>
      <c r="BN520" s="47"/>
      <c r="BO520" s="47"/>
      <c r="BP520" s="47"/>
      <c r="BQ520" s="47"/>
      <c r="BR520" s="47"/>
      <c r="BS520" s="47"/>
      <c r="BT520" s="47"/>
    </row>
    <row r="521" ht="11.25" customHeight="1">
      <c r="A521" s="35" t="str">
        <f>'13all_company_profile'!A521</f>
        <v>ROK</v>
      </c>
      <c r="B521" s="35" t="str">
        <f>'13all_company_profile'!B521</f>
        <v>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v>
      </c>
      <c r="C521" s="44" t="str">
        <f>'13all_company_profile'!C521</f>
        <v>https://financialmodelingprep.com/image-stock/ROK.png</v>
      </c>
      <c r="D521" s="35" t="str">
        <f>'13all_company_profile'!D521</f>
        <v>Rockwell Automation, Inc.</v>
      </c>
      <c r="E521" s="36">
        <f>'13all_company_profile'!E521</f>
        <v>34075564032</v>
      </c>
      <c r="F521" s="37">
        <f>'13all_company_profile'!F521</f>
        <v>727939</v>
      </c>
      <c r="G521" s="35">
        <f>'13all_company_profile'!G521</f>
        <v>4.23</v>
      </c>
      <c r="H521" s="38">
        <f>'13all_company_profile'!H521</f>
        <v>44403</v>
      </c>
      <c r="I521" s="35">
        <f>'13all_company_profile'!I521</f>
        <v>21.692953</v>
      </c>
      <c r="J521" s="35">
        <f>'13all_company_profile'!J521</f>
        <v>13.568</v>
      </c>
      <c r="K521" s="42">
        <f t="shared" si="1"/>
        <v>0.01429440389</v>
      </c>
      <c r="L521" s="35">
        <f>'7company_info'!B521</f>
        <v>295.92</v>
      </c>
      <c r="M521" s="35">
        <f>'7company_info'!C521</f>
        <v>297.58</v>
      </c>
      <c r="N521" s="35">
        <f>'7company_info'!D521</f>
        <v>289.77</v>
      </c>
      <c r="O521" s="35">
        <f>'7company_info'!E521</f>
        <v>5.67</v>
      </c>
      <c r="P521" s="35">
        <f>'7company_info'!F521</f>
        <v>0.0195</v>
      </c>
      <c r="Q521" s="35">
        <f>'7company_info'!G521</f>
        <v>290.84</v>
      </c>
      <c r="R521" s="35">
        <f>'7company_info'!H521</f>
        <v>290.25</v>
      </c>
      <c r="S521" s="35">
        <f>'7company_info'!I521</f>
        <v>206.57</v>
      </c>
      <c r="T521" s="35">
        <f>'7company_info'!J521</f>
        <v>297.58</v>
      </c>
      <c r="U521" s="39">
        <v>291.35</v>
      </c>
      <c r="V521" s="39">
        <v>293.61</v>
      </c>
      <c r="W521" s="40">
        <v>295.34</v>
      </c>
      <c r="X521" s="40">
        <v>299.33</v>
      </c>
      <c r="Y521" s="40">
        <v>289.619999999999</v>
      </c>
      <c r="Z521" s="40">
        <v>287.36</v>
      </c>
      <c r="AA521" s="40">
        <v>283.369999999999</v>
      </c>
      <c r="AB521" s="40">
        <v>284.4</v>
      </c>
      <c r="AC521" s="40">
        <v>293.75</v>
      </c>
      <c r="AD521" s="40">
        <v>285.353251682791</v>
      </c>
      <c r="AE521" s="40">
        <v>280.3115</v>
      </c>
      <c r="AF521" s="40">
        <v>5.52724999999999</v>
      </c>
      <c r="AG521" s="40">
        <v>289.515</v>
      </c>
      <c r="AH521" s="45">
        <v>44370.0</v>
      </c>
      <c r="AI521" s="44" t="str">
        <f>'6image_RS_benchmark_performance'!B521</f>
        <v>https://3arbzfbsh-cname-us.ngrok.io/Desktop/seabridge%20fintech/image_app/ROK_resistance_support.jpg</v>
      </c>
      <c r="AJ521" s="44" t="str">
        <f>'6image_RS_benchmark_performance'!C521</f>
        <v>https://3arbzfbsh-cname-us.ngrok.io/Desktop/seabridge%20fintech/profit_graph_app/ROK_Return.jpg</v>
      </c>
      <c r="AK521" s="46" t="str">
        <f>'5price_action_icon'!B521</f>
        <v>https://3arbzfbsh-cname-us.ngrok.io/Desktop/seabridge%20fintech/icon/ROK_pa_trend_signal</v>
      </c>
      <c r="AL521" s="42">
        <f>'1kpi_performance'!B521</f>
        <v>0.6282437085</v>
      </c>
      <c r="AM521" s="42">
        <f>'1kpi_performance'!C521</f>
        <v>0.8228466588</v>
      </c>
      <c r="AN521" s="42">
        <f>'1kpi_performance'!D521</f>
        <v>0.6280063343</v>
      </c>
      <c r="AO521" s="42">
        <f>'1kpi_performance'!E521</f>
        <v>0.2532915125</v>
      </c>
      <c r="AP521" s="42">
        <f>'1kpi_performance'!F521</f>
        <v>0.2334747865</v>
      </c>
      <c r="AQ521" s="42">
        <f>'1kpi_performance'!G521</f>
        <v>0.241193621</v>
      </c>
      <c r="AR521" s="42">
        <f>'1kpi_performance'!H521</f>
        <v>0.2217493663</v>
      </c>
      <c r="AS521" s="42">
        <f>'1kpi_performance'!I521</f>
        <v>0.3582225424</v>
      </c>
      <c r="AT521" s="35">
        <f>'1kpi_performance'!J521</f>
        <v>2.58376383</v>
      </c>
      <c r="AU521" s="35">
        <f>'1kpi_performance'!K521</f>
        <v>3.307909453</v>
      </c>
      <c r="AV521" s="35">
        <f>'1kpi_performance'!L521</f>
        <v>2.719314803</v>
      </c>
      <c r="AW521" s="35">
        <f>'1kpi_performance'!M521</f>
        <v>0.6372896326</v>
      </c>
      <c r="AX521" s="42">
        <f>'1kpi_performance'!N521</f>
        <v>0.1622486997</v>
      </c>
      <c r="AY521" s="42">
        <f>'1kpi_performance'!O521</f>
        <v>0.0979973633</v>
      </c>
      <c r="AZ521" s="42">
        <f>'1kpi_performance'!P521</f>
        <v>0.2327263657</v>
      </c>
      <c r="BA521" s="42">
        <f>'1kpi_performance'!Q521</f>
        <v>0.4732215863</v>
      </c>
      <c r="BB521" s="35">
        <f>'1kpi_performance'!R521</f>
        <v>5.827261008</v>
      </c>
      <c r="BC521" s="35">
        <f>'1kpi_performance'!S521</f>
        <v>7.909877156</v>
      </c>
      <c r="BD521" s="35">
        <f>'1kpi_performance'!T521</f>
        <v>5.784090597</v>
      </c>
      <c r="BE521" s="35">
        <f>'1kpi_performance'!U521</f>
        <v>1.268590545</v>
      </c>
      <c r="BF521" s="47"/>
      <c r="BG521" s="47"/>
      <c r="BH521" s="47"/>
      <c r="BI521" s="47"/>
      <c r="BJ521" s="47"/>
      <c r="BK521" s="47"/>
      <c r="BL521" s="47"/>
      <c r="BM521" s="47"/>
      <c r="BN521" s="47"/>
      <c r="BO521" s="47"/>
      <c r="BP521" s="47"/>
      <c r="BQ521" s="47"/>
      <c r="BR521" s="47"/>
      <c r="BS521" s="47"/>
      <c r="BT521" s="47"/>
    </row>
    <row r="522" ht="11.25" customHeight="1">
      <c r="A522" s="35" t="str">
        <f>'13all_company_profile'!A522</f>
        <v>ROKU</v>
      </c>
      <c r="B522" s="35" t="str">
        <f>'13all_company_profile'!B522</f>
        <v>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v>
      </c>
      <c r="C522" s="44" t="str">
        <f>'13all_company_profile'!C522</f>
        <v>https://financialmodelingprep.com/image-stock/ROKU.png</v>
      </c>
      <c r="D522" s="35" t="str">
        <f>'13all_company_profile'!D522</f>
        <v>Roku, Inc.</v>
      </c>
      <c r="E522" s="36">
        <f>'13all_company_profile'!E522</f>
        <v>53753995264</v>
      </c>
      <c r="F522" s="37">
        <f>'13all_company_profile'!F522</f>
        <v>4157720</v>
      </c>
      <c r="G522" s="35">
        <f>'13all_company_profile'!G522</f>
        <v>0</v>
      </c>
      <c r="H522" s="38">
        <f>'13all_company_profile'!H522</f>
        <v>44411</v>
      </c>
      <c r="I522" s="35">
        <f>'13all_company_profile'!I522</f>
        <v>457.5316</v>
      </c>
      <c r="J522" s="35">
        <f>'13all_company_profile'!J522</f>
        <v>0.871</v>
      </c>
      <c r="K522" s="42" t="str">
        <f t="shared" si="1"/>
        <v>NaN</v>
      </c>
      <c r="L522" s="35">
        <f>'7company_info'!B522</f>
        <v>417.2</v>
      </c>
      <c r="M522" s="35">
        <f>'7company_info'!C522</f>
        <v>420.5</v>
      </c>
      <c r="N522" s="35">
        <f>'7company_info'!D522</f>
        <v>398.5</v>
      </c>
      <c r="O522" s="35">
        <f>'7company_info'!E522</f>
        <v>9.5</v>
      </c>
      <c r="P522" s="35">
        <f>'7company_info'!F522</f>
        <v>0.0233</v>
      </c>
      <c r="Q522" s="35">
        <f>'7company_info'!G522</f>
        <v>409.07</v>
      </c>
      <c r="R522" s="35">
        <f>'7company_info'!H522</f>
        <v>407.7</v>
      </c>
      <c r="S522" s="35">
        <f>'7company_info'!I522</f>
        <v>143.21</v>
      </c>
      <c r="T522" s="35">
        <f>'7company_info'!J522</f>
        <v>486.72</v>
      </c>
      <c r="U522" s="39">
        <v>419.5316</v>
      </c>
      <c r="V522" s="39">
        <v>427.2532</v>
      </c>
      <c r="W522" s="40">
        <v>441.5064</v>
      </c>
      <c r="X522" s="40">
        <v>463.4812</v>
      </c>
      <c r="Y522" s="40">
        <v>405.2784</v>
      </c>
      <c r="Z522" s="40">
        <v>397.5568</v>
      </c>
      <c r="AA522" s="40">
        <v>375.582</v>
      </c>
      <c r="AB522" s="40">
        <v>405.15</v>
      </c>
      <c r="AC522" s="40">
        <v>385.79</v>
      </c>
      <c r="AD522" s="40">
        <v>410.780261149408</v>
      </c>
      <c r="AE522" s="40">
        <v>388.61062</v>
      </c>
      <c r="AF522" s="40">
        <v>19.01243</v>
      </c>
      <c r="AG522" s="40">
        <v>486.72</v>
      </c>
      <c r="AH522" s="45">
        <v>44243.0</v>
      </c>
      <c r="AI522" s="44" t="str">
        <f>'6image_RS_benchmark_performance'!B522</f>
        <v>https://3arbzfbsh-cname-us.ngrok.io/Desktop/seabridge%20fintech/image_app/ROKU_resistance_support.jpg</v>
      </c>
      <c r="AJ522" s="44" t="str">
        <f>'6image_RS_benchmark_performance'!C522</f>
        <v>https://3arbzfbsh-cname-us.ngrok.io/Desktop/seabridge%20fintech/profit_graph_app/ROKU_Return.jpg</v>
      </c>
      <c r="AK522" s="46" t="str">
        <f>'5price_action_icon'!B522</f>
        <v>https://3arbzfbsh-cname-us.ngrok.io/Desktop/seabridge%20fintech/icon/ROKU_pa_trend_signal</v>
      </c>
      <c r="AL522" s="42">
        <f>'1kpi_performance'!B522</f>
        <v>5.338830633</v>
      </c>
      <c r="AM522" s="42">
        <f>'1kpi_performance'!C522</f>
        <v>12.04233528</v>
      </c>
      <c r="AN522" s="42">
        <f>'1kpi_performance'!D522</f>
        <v>5.709531607</v>
      </c>
      <c r="AO522" s="42">
        <f>'1kpi_performance'!E522</f>
        <v>1.971230926</v>
      </c>
      <c r="AP522" s="42">
        <f>'1kpi_performance'!F522</f>
        <v>0.7376657447</v>
      </c>
      <c r="AQ522" s="42">
        <f>'1kpi_performance'!G522</f>
        <v>0.7750110263</v>
      </c>
      <c r="AR522" s="42">
        <f>'1kpi_performance'!H522</f>
        <v>0.7441974479</v>
      </c>
      <c r="AS522" s="42">
        <f>'1kpi_performance'!I522</f>
        <v>0.9663418195</v>
      </c>
      <c r="AT522" s="35">
        <f>'1kpi_performance'!J522</f>
        <v>7.203575157</v>
      </c>
      <c r="AU522" s="35">
        <f>'1kpi_performance'!K522</f>
        <v>15.50601846</v>
      </c>
      <c r="AV522" s="35">
        <f>'1kpi_performance'!L522</f>
        <v>7.638472321</v>
      </c>
      <c r="AW522" s="35">
        <f>'1kpi_performance'!M522</f>
        <v>2.014019146</v>
      </c>
      <c r="AX522" s="42">
        <f>'1kpi_performance'!N522</f>
        <v>0.2996252844</v>
      </c>
      <c r="AY522" s="42">
        <f>'1kpi_performance'!O522</f>
        <v>0.2996252844</v>
      </c>
      <c r="AZ522" s="42">
        <f>'1kpi_performance'!P522</f>
        <v>0.3479301268</v>
      </c>
      <c r="BA522" s="42">
        <f>'1kpi_performance'!Q522</f>
        <v>0.6412113232</v>
      </c>
      <c r="BB522" s="35">
        <f>'1kpi_performance'!R522</f>
        <v>19.65232754</v>
      </c>
      <c r="BC522" s="35">
        <f>'1kpi_performance'!S522</f>
        <v>50.29883675</v>
      </c>
      <c r="BD522" s="35">
        <f>'1kpi_performance'!T522</f>
        <v>24.59645355</v>
      </c>
      <c r="BE522" s="35">
        <f>'1kpi_performance'!U522</f>
        <v>4.706171108</v>
      </c>
      <c r="BF522" s="47"/>
      <c r="BG522" s="47"/>
      <c r="BH522" s="47"/>
      <c r="BI522" s="47"/>
      <c r="BJ522" s="47"/>
      <c r="BK522" s="47"/>
      <c r="BL522" s="47"/>
      <c r="BM522" s="47"/>
      <c r="BN522" s="47"/>
      <c r="BO522" s="47"/>
      <c r="BP522" s="47"/>
      <c r="BQ522" s="47"/>
      <c r="BR522" s="47"/>
      <c r="BS522" s="47"/>
      <c r="BT522" s="47"/>
    </row>
    <row r="523" ht="11.25" customHeight="1">
      <c r="A523" s="35" t="str">
        <f>'13all_company_profile'!A523</f>
        <v>ROL</v>
      </c>
      <c r="B523" s="35" t="str">
        <f>'13all_company_profile'!B523</f>
        <v>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v>
      </c>
      <c r="C523" s="44" t="str">
        <f>'13all_company_profile'!C523</f>
        <v>https://financialmodelingprep.com/image-stock/ROL.png</v>
      </c>
      <c r="D523" s="35" t="str">
        <f>'13all_company_profile'!D523</f>
        <v>Rollins, Inc.</v>
      </c>
      <c r="E523" s="36">
        <f>'13all_company_profile'!E523</f>
        <v>17495007232</v>
      </c>
      <c r="F523" s="37">
        <f>'13all_company_profile'!F523</f>
        <v>1256844</v>
      </c>
      <c r="G523" s="35">
        <f>'13all_company_profile'!G523</f>
        <v>0.353333</v>
      </c>
      <c r="H523" s="38">
        <f>'13all_company_profile'!H523</f>
        <v>44405</v>
      </c>
      <c r="I523" s="35">
        <f>'13all_company_profile'!I523</f>
        <v>57.3254</v>
      </c>
      <c r="J523" s="35">
        <f>'13all_company_profile'!J523</f>
        <v>0.63</v>
      </c>
      <c r="K523" s="42">
        <f t="shared" si="1"/>
        <v>0.009467658092</v>
      </c>
      <c r="L523" s="35">
        <f>'7company_info'!B523</f>
        <v>37.32</v>
      </c>
      <c r="M523" s="35">
        <f>'7company_info'!C523</f>
        <v>37.36</v>
      </c>
      <c r="N523" s="35">
        <f>'7company_info'!D523</f>
        <v>36.38</v>
      </c>
      <c r="O523" s="35">
        <f>'7company_info'!E523</f>
        <v>1.05</v>
      </c>
      <c r="P523" s="35">
        <f>'7company_info'!F523</f>
        <v>0.0289</v>
      </c>
      <c r="Q523" s="35">
        <f>'7company_info'!G523</f>
        <v>36.43</v>
      </c>
      <c r="R523" s="35">
        <f>'7company_info'!H523</f>
        <v>36.27</v>
      </c>
      <c r="S523" s="35">
        <f>'7company_info'!I523</f>
        <v>31.44</v>
      </c>
      <c r="T523" s="35">
        <f>'7company_info'!J523</f>
        <v>43</v>
      </c>
      <c r="U523" s="39">
        <v>35.2866666666666</v>
      </c>
      <c r="V523" s="39">
        <v>35.5933333333333</v>
      </c>
      <c r="W523" s="40">
        <v>35.8266666666666</v>
      </c>
      <c r="X523" s="40">
        <v>36.3666666666666</v>
      </c>
      <c r="Y523" s="40">
        <v>35.0533333333333</v>
      </c>
      <c r="Z523" s="40">
        <v>34.7466666666666</v>
      </c>
      <c r="AA523" s="40">
        <v>34.2066666666666</v>
      </c>
      <c r="AB523" s="40">
        <v>34.27</v>
      </c>
      <c r="AC523" s="40">
        <v>34.755</v>
      </c>
      <c r="AD523" s="40">
        <v>34.6564595236067</v>
      </c>
      <c r="AE523" s="40">
        <v>34.2616</v>
      </c>
      <c r="AF523" s="40">
        <v>0.549200000000001</v>
      </c>
      <c r="AG523" s="40">
        <v>38.32</v>
      </c>
      <c r="AH523" s="45">
        <v>44238.0</v>
      </c>
      <c r="AI523" s="44" t="str">
        <f>'6image_RS_benchmark_performance'!B523</f>
        <v>https://3arbzfbsh-cname-us.ngrok.io/Desktop/seabridge%20fintech/image_app/ROL_resistance_support.jpg</v>
      </c>
      <c r="AJ523" s="44" t="str">
        <f>'6image_RS_benchmark_performance'!C523</f>
        <v>https://3arbzfbsh-cname-us.ngrok.io/Desktop/seabridge%20fintech/profit_graph_app/ROL_Return.jpg</v>
      </c>
      <c r="AK523" s="46" t="str">
        <f>'5price_action_icon'!B523</f>
        <v>https://3arbzfbsh-cname-us.ngrok.io/Desktop/seabridge%20fintech/icon/ROL_pa_trend_signal</v>
      </c>
      <c r="AL523" s="42">
        <f>'1kpi_performance'!B523</f>
        <v>0.6856362524</v>
      </c>
      <c r="AM523" s="42">
        <f>'1kpi_performance'!C523</f>
        <v>0.7772082267</v>
      </c>
      <c r="AN523" s="42">
        <f>'1kpi_performance'!D523</f>
        <v>0.7020652795</v>
      </c>
      <c r="AO523" s="42">
        <f>'1kpi_performance'!E523</f>
        <v>0.3266872094</v>
      </c>
      <c r="AP523" s="42">
        <f>'1kpi_performance'!F523</f>
        <v>0.1839275426</v>
      </c>
      <c r="AQ523" s="42">
        <f>'1kpi_performance'!G523</f>
        <v>0.1970409249</v>
      </c>
      <c r="AR523" s="42">
        <f>'1kpi_performance'!H523</f>
        <v>0.2059223252</v>
      </c>
      <c r="AS523" s="42">
        <f>'1kpi_performance'!I523</f>
        <v>0.2912341799</v>
      </c>
      <c r="AT523" s="35">
        <f>'1kpi_performance'!J523</f>
        <v>3.591828841</v>
      </c>
      <c r="AU523" s="35">
        <f>'1kpi_performance'!K523</f>
        <v>3.817522817</v>
      </c>
      <c r="AV523" s="35">
        <f>'1kpi_performance'!L523</f>
        <v>3.287964425</v>
      </c>
      <c r="AW523" s="35">
        <f>'1kpi_performance'!M523</f>
        <v>1.03589218</v>
      </c>
      <c r="AX523" s="42">
        <f>'1kpi_performance'!N523</f>
        <v>0.1135750988</v>
      </c>
      <c r="AY523" s="42">
        <f>'1kpi_performance'!O523</f>
        <v>0.07173245998</v>
      </c>
      <c r="AZ523" s="42">
        <f>'1kpi_performance'!P523</f>
        <v>0.2247060503</v>
      </c>
      <c r="BA523" s="42">
        <f>'1kpi_performance'!Q523</f>
        <v>0.2793143622</v>
      </c>
      <c r="BB523" s="35">
        <f>'1kpi_performance'!R523</f>
        <v>8.339389066</v>
      </c>
      <c r="BC523" s="35">
        <f>'1kpi_performance'!S523</f>
        <v>9.202257148</v>
      </c>
      <c r="BD523" s="35">
        <f>'1kpi_performance'!T523</f>
        <v>7.096635925</v>
      </c>
      <c r="BE523" s="35">
        <f>'1kpi_performance'!U523</f>
        <v>2.029957182</v>
      </c>
      <c r="BF523" s="47"/>
      <c r="BG523" s="47"/>
      <c r="BH523" s="47"/>
      <c r="BI523" s="47"/>
      <c r="BJ523" s="47"/>
      <c r="BK523" s="47"/>
      <c r="BL523" s="47"/>
      <c r="BM523" s="47"/>
      <c r="BN523" s="47"/>
      <c r="BO523" s="47"/>
      <c r="BP523" s="47"/>
      <c r="BQ523" s="47"/>
      <c r="BR523" s="47"/>
      <c r="BS523" s="47"/>
      <c r="BT523" s="47"/>
    </row>
    <row r="524" ht="11.25" customHeight="1">
      <c r="A524" s="35" t="str">
        <f>'13all_company_profile'!A524</f>
        <v>ROP</v>
      </c>
      <c r="B524" s="35" t="str">
        <f>'13all_company_profile'!B524</f>
        <v>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v>
      </c>
      <c r="C524" s="44" t="str">
        <f>'13all_company_profile'!C524</f>
        <v>https://financialmodelingprep.com/image-stock/ROP.png</v>
      </c>
      <c r="D524" s="35" t="str">
        <f>'13all_company_profile'!D524</f>
        <v>Roper Technologies, Inc.</v>
      </c>
      <c r="E524" s="36">
        <f>'13all_company_profile'!E524</f>
        <v>51281911808</v>
      </c>
      <c r="F524" s="37">
        <f>'13all_company_profile'!F524</f>
        <v>413106</v>
      </c>
      <c r="G524" s="35">
        <f>'13all_company_profile'!G524</f>
        <v>2.201</v>
      </c>
      <c r="H524" s="38">
        <f>'13all_company_profile'!H524</f>
        <v>44400</v>
      </c>
      <c r="I524" s="35">
        <f>'13all_company_profile'!I524</f>
        <v>51.548088</v>
      </c>
      <c r="J524" s="35">
        <f>'13all_company_profile'!J524</f>
        <v>9.431</v>
      </c>
      <c r="K524" s="42">
        <f t="shared" si="1"/>
        <v>0.004477581577</v>
      </c>
      <c r="L524" s="35">
        <f>'7company_info'!B524</f>
        <v>491.56</v>
      </c>
      <c r="M524" s="35">
        <f>'7company_info'!C524</f>
        <v>493.18</v>
      </c>
      <c r="N524" s="35">
        <f>'7company_info'!D524</f>
        <v>483.34</v>
      </c>
      <c r="O524" s="35">
        <f>'7company_info'!E524</f>
        <v>9.84</v>
      </c>
      <c r="P524" s="35">
        <f>'7company_info'!F524</f>
        <v>0.0204</v>
      </c>
      <c r="Q524" s="35">
        <f>'7company_info'!G524</f>
        <v>483.34</v>
      </c>
      <c r="R524" s="35">
        <f>'7company_info'!H524</f>
        <v>481.72</v>
      </c>
      <c r="S524" s="35">
        <f>'7company_info'!I524</f>
        <v>362.9</v>
      </c>
      <c r="T524" s="35">
        <f>'7company_info'!J524</f>
        <v>493.18</v>
      </c>
      <c r="U524" s="39">
        <v>485.103333333333</v>
      </c>
      <c r="V524" s="39">
        <v>489.376666666666</v>
      </c>
      <c r="W524" s="40">
        <v>492.283333333333</v>
      </c>
      <c r="X524" s="40">
        <v>499.463333333333</v>
      </c>
      <c r="Y524" s="40">
        <v>482.196666666666</v>
      </c>
      <c r="Z524" s="40">
        <v>477.923333333333</v>
      </c>
      <c r="AA524" s="40">
        <v>470.743333333333</v>
      </c>
      <c r="AB524" s="40">
        <v>465.68</v>
      </c>
      <c r="AC524" s="40">
        <v>488.01</v>
      </c>
      <c r="AD524" s="40">
        <v>470.372157235115</v>
      </c>
      <c r="AE524" s="40">
        <v>469.37121</v>
      </c>
      <c r="AF524" s="40">
        <v>6.18089499999999</v>
      </c>
      <c r="AG524" s="40">
        <v>466.62</v>
      </c>
      <c r="AH524" s="45">
        <v>44361.0</v>
      </c>
      <c r="AI524" s="44" t="str">
        <f>'6image_RS_benchmark_performance'!B524</f>
        <v>https://3arbzfbsh-cname-us.ngrok.io/Desktop/seabridge%20fintech/image_app/ROP_resistance_support.jpg</v>
      </c>
      <c r="AJ524" s="44" t="str">
        <f>'6image_RS_benchmark_performance'!C524</f>
        <v>https://3arbzfbsh-cname-us.ngrok.io/Desktop/seabridge%20fintech/profit_graph_app/ROP_Return.jpg</v>
      </c>
      <c r="AK524" s="46" t="str">
        <f>'5price_action_icon'!B524</f>
        <v>https://3arbzfbsh-cname-us.ngrok.io/Desktop/seabridge%20fintech/icon/ROP_pa_trend_signal</v>
      </c>
      <c r="AL524" s="42">
        <f>'1kpi_performance'!B524</f>
        <v>0.574576948</v>
      </c>
      <c r="AM524" s="42">
        <f>'1kpi_performance'!C524</f>
        <v>0.7086385665</v>
      </c>
      <c r="AN524" s="42">
        <f>'1kpi_performance'!D524</f>
        <v>0.6584928578</v>
      </c>
      <c r="AO524" s="42">
        <f>'1kpi_performance'!E524</f>
        <v>0.3204852058</v>
      </c>
      <c r="AP524" s="42">
        <f>'1kpi_performance'!F524</f>
        <v>0.172025825</v>
      </c>
      <c r="AQ524" s="42">
        <f>'1kpi_performance'!G524</f>
        <v>0.1783312693</v>
      </c>
      <c r="AR524" s="42">
        <f>'1kpi_performance'!H524</f>
        <v>0.1792649105</v>
      </c>
      <c r="AS524" s="42">
        <f>'1kpi_performance'!I524</f>
        <v>0.2784922303</v>
      </c>
      <c r="AT524" s="35">
        <f>'1kpi_performance'!J524</f>
        <v>3.194735139</v>
      </c>
      <c r="AU524" s="35">
        <f>'1kpi_performance'!K524</f>
        <v>3.833531657</v>
      </c>
      <c r="AV524" s="35">
        <f>'1kpi_performance'!L524</f>
        <v>3.533836354</v>
      </c>
      <c r="AW524" s="35">
        <f>'1kpi_performance'!M524</f>
        <v>1.061017772</v>
      </c>
      <c r="AX524" s="42">
        <f>'1kpi_performance'!N524</f>
        <v>0.08027201844</v>
      </c>
      <c r="AY524" s="42">
        <f>'1kpi_performance'!O524</f>
        <v>0.07529851236</v>
      </c>
      <c r="AZ524" s="42">
        <f>'1kpi_performance'!P524</f>
        <v>0.1331898132</v>
      </c>
      <c r="BA524" s="42">
        <f>'1kpi_performance'!Q524</f>
        <v>0.3524813485</v>
      </c>
      <c r="BB524" s="35">
        <f>'1kpi_performance'!R524</f>
        <v>6.775067046</v>
      </c>
      <c r="BC524" s="35">
        <f>'1kpi_performance'!S524</f>
        <v>8.88344799</v>
      </c>
      <c r="BD524" s="35">
        <f>'1kpi_performance'!T524</f>
        <v>7.658123001</v>
      </c>
      <c r="BE524" s="35">
        <f>'1kpi_performance'!U524</f>
        <v>2.031063456</v>
      </c>
      <c r="BF524" s="47"/>
      <c r="BG524" s="47"/>
      <c r="BH524" s="47"/>
      <c r="BI524" s="47"/>
      <c r="BJ524" s="47"/>
      <c r="BK524" s="47"/>
      <c r="BL524" s="47"/>
      <c r="BM524" s="47"/>
      <c r="BN524" s="47"/>
      <c r="BO524" s="47"/>
      <c r="BP524" s="47"/>
      <c r="BQ524" s="47"/>
      <c r="BR524" s="47"/>
      <c r="BS524" s="47"/>
      <c r="BT524" s="47"/>
    </row>
    <row r="525" ht="11.25" customHeight="1">
      <c r="A525" s="35" t="str">
        <f>'13all_company_profile'!A525</f>
        <v>ROST</v>
      </c>
      <c r="B525" s="35" t="str">
        <f>'13all_company_profile'!B525</f>
        <v>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v>
      </c>
      <c r="C525" s="44" t="str">
        <f>'13all_company_profile'!C525</f>
        <v>https://financialmodelingprep.com/image-stock/ROST.png</v>
      </c>
      <c r="D525" s="35" t="str">
        <f>'13all_company_profile'!D525</f>
        <v>Ross Stores, Inc.</v>
      </c>
      <c r="E525" s="36">
        <f>'13all_company_profile'!E525</f>
        <v>44175863808</v>
      </c>
      <c r="F525" s="37">
        <f>'13all_company_profile'!F525</f>
        <v>2017388</v>
      </c>
      <c r="G525" s="35">
        <f>'13all_company_profile'!G525</f>
        <v>0.57</v>
      </c>
      <c r="H525" s="38" t="str">
        <f>'13all_company_profile'!H525</f>
        <v>not avaiable</v>
      </c>
      <c r="I525" s="35">
        <f>'13all_company_profile'!I525</f>
        <v>49.02499</v>
      </c>
      <c r="J525" s="35">
        <f>'13all_company_profile'!J525</f>
        <v>2.441</v>
      </c>
      <c r="K525" s="42">
        <f t="shared" si="1"/>
        <v>0.004806476094</v>
      </c>
      <c r="L525" s="35">
        <f>'7company_info'!B525</f>
        <v>118.59</v>
      </c>
      <c r="M525" s="35">
        <f>'7company_info'!C525</f>
        <v>119.33</v>
      </c>
      <c r="N525" s="35">
        <f>'7company_info'!D525</f>
        <v>114.49</v>
      </c>
      <c r="O525" s="35">
        <f>'7company_info'!E525</f>
        <v>3.05</v>
      </c>
      <c r="P525" s="35">
        <f>'7company_info'!F525</f>
        <v>0.0264</v>
      </c>
      <c r="Q525" s="35">
        <f>'7company_info'!G525</f>
        <v>115.64</v>
      </c>
      <c r="R525" s="35">
        <f>'7company_info'!H525</f>
        <v>115.54</v>
      </c>
      <c r="S525" s="35">
        <f>'7company_info'!I525</f>
        <v>83.51</v>
      </c>
      <c r="T525" s="35">
        <f>'7company_info'!J525</f>
        <v>134.22</v>
      </c>
      <c r="U525" s="39">
        <v>124.548333333333</v>
      </c>
      <c r="V525" s="39">
        <v>125.851666666666</v>
      </c>
      <c r="W525" s="40">
        <v>126.813333333333</v>
      </c>
      <c r="X525" s="40">
        <v>129.078333333333</v>
      </c>
      <c r="Y525" s="40">
        <v>123.586666666666</v>
      </c>
      <c r="Z525" s="40">
        <v>122.283333333333</v>
      </c>
      <c r="AA525" s="40">
        <v>120.018333333333</v>
      </c>
      <c r="AB525" s="40">
        <v>123.24</v>
      </c>
      <c r="AC525" s="40">
        <v>124.82</v>
      </c>
      <c r="AD525" s="40">
        <v>123.126184169155</v>
      </c>
      <c r="AE525" s="40">
        <v>117.78175</v>
      </c>
      <c r="AF525" s="40">
        <v>2.486625</v>
      </c>
      <c r="AG525" s="40">
        <v>134.215</v>
      </c>
      <c r="AH525" s="45">
        <v>44326.0</v>
      </c>
      <c r="AI525" s="44" t="str">
        <f>'6image_RS_benchmark_performance'!B525</f>
        <v>https://3arbzfbsh-cname-us.ngrok.io/Desktop/seabridge%20fintech/image_app/ROST_resistance_support.jpg</v>
      </c>
      <c r="AJ525" s="44" t="str">
        <f>'6image_RS_benchmark_performance'!C525</f>
        <v>https://3arbzfbsh-cname-us.ngrok.io/Desktop/seabridge%20fintech/profit_graph_app/ROST_Return.jpg</v>
      </c>
      <c r="AK525" s="46" t="str">
        <f>'5price_action_icon'!B525</f>
        <v>https://3arbzfbsh-cname-us.ngrok.io/Desktop/seabridge%20fintech/icon/ROST_pa_trend_signal</v>
      </c>
      <c r="AL525" s="42">
        <f>'1kpi_performance'!B525</f>
        <v>0.6307882926</v>
      </c>
      <c r="AM525" s="42">
        <f>'1kpi_performance'!C525</f>
        <v>0.7889081265</v>
      </c>
      <c r="AN525" s="42">
        <f>'1kpi_performance'!D525</f>
        <v>0.5738985007</v>
      </c>
      <c r="AO525" s="42">
        <f>'1kpi_performance'!E525</f>
        <v>0.3519314917</v>
      </c>
      <c r="AP525" s="42">
        <f>'1kpi_performance'!F525</f>
        <v>0.2221133796</v>
      </c>
      <c r="AQ525" s="42">
        <f>'1kpi_performance'!G525</f>
        <v>0.2406119202</v>
      </c>
      <c r="AR525" s="42">
        <f>'1kpi_performance'!H525</f>
        <v>0.222392343</v>
      </c>
      <c r="AS525" s="42">
        <f>'1kpi_performance'!I525</f>
        <v>0.3399213784</v>
      </c>
      <c r="AT525" s="35">
        <f>'1kpi_performance'!J525</f>
        <v>2.727383167</v>
      </c>
      <c r="AU525" s="35">
        <f>'1kpi_performance'!K525</f>
        <v>3.174855701</v>
      </c>
      <c r="AV525" s="35">
        <f>'1kpi_performance'!L525</f>
        <v>2.468153774</v>
      </c>
      <c r="AW525" s="35">
        <f>'1kpi_performance'!M525</f>
        <v>0.9617856144</v>
      </c>
      <c r="AX525" s="42">
        <f>'1kpi_performance'!N525</f>
        <v>0.1405082212</v>
      </c>
      <c r="AY525" s="42">
        <f>'1kpi_performance'!O525</f>
        <v>0.1405082212</v>
      </c>
      <c r="AZ525" s="42">
        <f>'1kpi_performance'!P525</f>
        <v>0.1941216166</v>
      </c>
      <c r="BA525" s="42">
        <f>'1kpi_performance'!Q525</f>
        <v>0.515628786</v>
      </c>
      <c r="BB525" s="35">
        <f>'1kpi_performance'!R525</f>
        <v>6.541955026</v>
      </c>
      <c r="BC525" s="35">
        <f>'1kpi_performance'!S525</f>
        <v>8.067491752</v>
      </c>
      <c r="BD525" s="35">
        <f>'1kpi_performance'!T525</f>
        <v>5.560696243</v>
      </c>
      <c r="BE525" s="35">
        <f>'1kpi_performance'!U525</f>
        <v>1.917336253</v>
      </c>
      <c r="BF525" s="47"/>
      <c r="BG525" s="47"/>
      <c r="BH525" s="47"/>
      <c r="BI525" s="47"/>
      <c r="BJ525" s="47"/>
      <c r="BK525" s="47"/>
      <c r="BL525" s="47"/>
      <c r="BM525" s="47"/>
      <c r="BN525" s="47"/>
      <c r="BO525" s="47"/>
      <c r="BP525" s="47"/>
      <c r="BQ525" s="47"/>
      <c r="BR525" s="47"/>
      <c r="BS525" s="47"/>
      <c r="BT525" s="47"/>
    </row>
    <row r="526" ht="11.25" customHeight="1">
      <c r="A526" s="35" t="str">
        <f>'13all_company_profile'!A526</f>
        <v>RSG</v>
      </c>
      <c r="B526" s="35" t="str">
        <f>'13all_company_profile'!B526</f>
        <v>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v>
      </c>
      <c r="C526" s="44" t="str">
        <f>'13all_company_profile'!C526</f>
        <v>https://financialmodelingprep.com/image-stock/RSG.png</v>
      </c>
      <c r="D526" s="35" t="str">
        <f>'13all_company_profile'!D526</f>
        <v>Republic Services, Inc.</v>
      </c>
      <c r="E526" s="36">
        <f>'13all_company_profile'!E526</f>
        <v>36538847232</v>
      </c>
      <c r="F526" s="37">
        <f>'13all_company_profile'!F526</f>
        <v>1126715</v>
      </c>
      <c r="G526" s="35">
        <f>'13all_company_profile'!G526</f>
        <v>1.7</v>
      </c>
      <c r="H526" s="38">
        <f>'13all_company_profile'!H526</f>
        <v>44406</v>
      </c>
      <c r="I526" s="35">
        <f>'13all_company_profile'!I526</f>
        <v>36.3239</v>
      </c>
      <c r="J526" s="35">
        <f>'13all_company_profile'!J526</f>
        <v>3.18</v>
      </c>
      <c r="K526" s="42">
        <f t="shared" si="1"/>
        <v>0.01476976542</v>
      </c>
      <c r="L526" s="35">
        <f>'7company_info'!B526</f>
        <v>115.1</v>
      </c>
      <c r="M526" s="35">
        <f>'7company_info'!C526</f>
        <v>116.19</v>
      </c>
      <c r="N526" s="35">
        <f>'7company_info'!D526</f>
        <v>113.98</v>
      </c>
      <c r="O526" s="35">
        <f>'7company_info'!E526</f>
        <v>1.37</v>
      </c>
      <c r="P526" s="35">
        <f>'7company_info'!F526</f>
        <v>0.012</v>
      </c>
      <c r="Q526" s="35">
        <f>'7company_info'!G526</f>
        <v>114</v>
      </c>
      <c r="R526" s="35">
        <f>'7company_info'!H526</f>
        <v>113.73</v>
      </c>
      <c r="S526" s="35">
        <f>'7company_info'!I526</f>
        <v>84.44</v>
      </c>
      <c r="T526" s="35">
        <f>'7company_info'!J526</f>
        <v>116.21</v>
      </c>
      <c r="U526" s="39">
        <v>113.44</v>
      </c>
      <c r="V526" s="39">
        <v>114.3</v>
      </c>
      <c r="W526" s="40">
        <v>114.75</v>
      </c>
      <c r="X526" s="40">
        <v>116.06</v>
      </c>
      <c r="Y526" s="40">
        <v>112.99</v>
      </c>
      <c r="Z526" s="40">
        <v>112.13</v>
      </c>
      <c r="AA526" s="40">
        <v>110.82</v>
      </c>
      <c r="AB526" s="40">
        <v>110.935</v>
      </c>
      <c r="AC526" s="40">
        <v>114.9</v>
      </c>
      <c r="AD526" s="40">
        <v>111.04907405111</v>
      </c>
      <c r="AE526" s="40">
        <v>109.764</v>
      </c>
      <c r="AF526" s="40">
        <v>1.4075</v>
      </c>
      <c r="AG526" s="40">
        <v>113.28</v>
      </c>
      <c r="AH526" s="45">
        <v>44326.0</v>
      </c>
      <c r="AI526" s="44" t="str">
        <f>'6image_RS_benchmark_performance'!B526</f>
        <v>https://3arbzfbsh-cname-us.ngrok.io/Desktop/seabridge%20fintech/image_app/RSG_resistance_support.jpg</v>
      </c>
      <c r="AJ526" s="44" t="str">
        <f>'6image_RS_benchmark_performance'!C526</f>
        <v>https://3arbzfbsh-cname-us.ngrok.io/Desktop/seabridge%20fintech/profit_graph_app/RSG_Return.jpg</v>
      </c>
      <c r="AK526" s="46" t="str">
        <f>'5price_action_icon'!B526</f>
        <v>https://3arbzfbsh-cname-us.ngrok.io/Desktop/seabridge%20fintech/icon/RSG_pa_trend_signal</v>
      </c>
      <c r="AL526" s="42">
        <f>'1kpi_performance'!B526</f>
        <v>0.4120207738</v>
      </c>
      <c r="AM526" s="42">
        <f>'1kpi_performance'!C526</f>
        <v>0.4573835575</v>
      </c>
      <c r="AN526" s="42">
        <f>'1kpi_performance'!D526</f>
        <v>0.4578207422</v>
      </c>
      <c r="AO526" s="42">
        <f>'1kpi_performance'!E526</f>
        <v>0.1899383922</v>
      </c>
      <c r="AP526" s="42">
        <f>'1kpi_performance'!F526</f>
        <v>0.1388012037</v>
      </c>
      <c r="AQ526" s="42">
        <f>'1kpi_performance'!G526</f>
        <v>0.1467285427</v>
      </c>
      <c r="AR526" s="42">
        <f>'1kpi_performance'!H526</f>
        <v>0.1423142976</v>
      </c>
      <c r="AS526" s="42">
        <f>'1kpi_performance'!I526</f>
        <v>0.2304018192</v>
      </c>
      <c r="AT526" s="35">
        <f>'1kpi_performance'!J526</f>
        <v>2.788309924</v>
      </c>
      <c r="AU526" s="35">
        <f>'1kpi_performance'!K526</f>
        <v>2.946826496</v>
      </c>
      <c r="AV526" s="35">
        <f>'1kpi_performance'!L526</f>
        <v>3.041301889</v>
      </c>
      <c r="AW526" s="35">
        <f>'1kpi_performance'!M526</f>
        <v>0.715872786</v>
      </c>
      <c r="AX526" s="42">
        <f>'1kpi_performance'!N526</f>
        <v>0.09710074312</v>
      </c>
      <c r="AY526" s="42">
        <f>'1kpi_performance'!O526</f>
        <v>0.08053714444</v>
      </c>
      <c r="AZ526" s="42">
        <f>'1kpi_performance'!P526</f>
        <v>0.1929595828</v>
      </c>
      <c r="BA526" s="42">
        <f>'1kpi_performance'!Q526</f>
        <v>0.340236981</v>
      </c>
      <c r="BB526" s="35">
        <f>'1kpi_performance'!R526</f>
        <v>6.146922127</v>
      </c>
      <c r="BC526" s="35">
        <f>'1kpi_performance'!S526</f>
        <v>6.583890435</v>
      </c>
      <c r="BD526" s="35">
        <f>'1kpi_performance'!T526</f>
        <v>6.390967975</v>
      </c>
      <c r="BE526" s="35">
        <f>'1kpi_performance'!U526</f>
        <v>1.298188813</v>
      </c>
      <c r="BF526" s="47"/>
      <c r="BG526" s="47"/>
      <c r="BH526" s="47"/>
      <c r="BI526" s="47"/>
      <c r="BJ526" s="47"/>
      <c r="BK526" s="47"/>
      <c r="BL526" s="47"/>
      <c r="BM526" s="47"/>
      <c r="BN526" s="47"/>
      <c r="BO526" s="47"/>
      <c r="BP526" s="47"/>
      <c r="BQ526" s="47"/>
      <c r="BR526" s="47"/>
      <c r="BS526" s="47"/>
      <c r="BT526" s="47"/>
    </row>
    <row r="527" ht="11.25" customHeight="1">
      <c r="A527" s="35" t="str">
        <f>'13all_company_profile'!A527</f>
        <v>RSP</v>
      </c>
      <c r="B527" s="35" t="str">
        <f>'13all_company_profile'!B527</f>
        <v>RSP was created on 04/24/03 by Invesco. The ETF tracks an equal-weighted index of S&amp;P 500 companies.</v>
      </c>
      <c r="C527" s="44" t="str">
        <f>'13all_company_profile'!C527</f>
        <v>https://financialmodelingprep.com/image-stock/RSP.png</v>
      </c>
      <c r="D527" s="35" t="str">
        <f>'13all_company_profile'!D527</f>
        <v>Invesco S&amp;P 500 Equal Weight ETF</v>
      </c>
      <c r="E527" s="36">
        <f>'13all_company_profile'!E527</f>
        <v>23399835648</v>
      </c>
      <c r="F527" s="37">
        <f>'13all_company_profile'!F527</f>
        <v>2497909</v>
      </c>
      <c r="G527" s="35">
        <f>'13all_company_profile'!G527</f>
        <v>1.088</v>
      </c>
      <c r="H527" s="38" t="str">
        <f>'13all_company_profile'!H527</f>
        <v>not avaiable</v>
      </c>
      <c r="I527" s="35">
        <f>'13all_company_profile'!I527</f>
        <v>3.6617236</v>
      </c>
      <c r="J527" s="35">
        <f>'13all_company_profile'!J527</f>
        <v>40.795</v>
      </c>
      <c r="K527" s="42">
        <f t="shared" si="1"/>
        <v>0.007282950666</v>
      </c>
      <c r="L527" s="35">
        <f>'7company_info'!B527</f>
        <v>149.39</v>
      </c>
      <c r="M527" s="35">
        <f>'7company_info'!C527</f>
        <v>149.86</v>
      </c>
      <c r="N527" s="35">
        <f>'7company_info'!D527</f>
        <v>146.78</v>
      </c>
      <c r="O527" s="35">
        <f>'7company_info'!E527</f>
        <v>2.78</v>
      </c>
      <c r="P527" s="35">
        <f>'7company_info'!F527</f>
        <v>0.019</v>
      </c>
      <c r="Q527" s="35">
        <f>'7company_info'!G527</f>
        <v>146.96</v>
      </c>
      <c r="R527" s="35">
        <f>'7company_info'!H527</f>
        <v>146.61</v>
      </c>
      <c r="S527" s="35">
        <f>'7company_info'!I527</f>
        <v>103.48</v>
      </c>
      <c r="T527" s="35">
        <f>'7company_info'!J527</f>
        <v>152.85</v>
      </c>
      <c r="U527" s="39">
        <v>151.153333333333</v>
      </c>
      <c r="V527" s="39">
        <v>151.816666666666</v>
      </c>
      <c r="W527" s="40">
        <v>152.803333333333</v>
      </c>
      <c r="X527" s="40">
        <v>154.453333333333</v>
      </c>
      <c r="Y527" s="40">
        <v>150.166666666666</v>
      </c>
      <c r="Z527" s="40">
        <v>149.503333333333</v>
      </c>
      <c r="AA527" s="40">
        <v>147.853333333333</v>
      </c>
      <c r="AB527" s="40">
        <v>149.78</v>
      </c>
      <c r="AC527" s="40">
        <v>149.12</v>
      </c>
      <c r="AD527" s="40">
        <v>150.887772247763</v>
      </c>
      <c r="AE527" s="40">
        <v>147.92544</v>
      </c>
      <c r="AF527" s="40">
        <v>1.59977999999999</v>
      </c>
      <c r="AG527" s="40">
        <v>152.85</v>
      </c>
      <c r="AH527" s="45">
        <v>44326.0</v>
      </c>
      <c r="AI527" s="44" t="str">
        <f>'6image_RS_benchmark_performance'!B527</f>
        <v>https://3arbzfbsh-cname-us.ngrok.io/Desktop/seabridge%20fintech/image_app/RSP_resistance_support.jpg</v>
      </c>
      <c r="AJ527" s="44" t="str">
        <f>'6image_RS_benchmark_performance'!C527</f>
        <v>https://3arbzfbsh-cname-us.ngrok.io/Desktop/seabridge%20fintech/profit_graph_app/RSP_Return.jpg</v>
      </c>
      <c r="AK527" s="46" t="str">
        <f>'5price_action_icon'!B527</f>
        <v>https://3arbzfbsh-cname-us.ngrok.io/Desktop/seabridge%20fintech/icon/RSP_pa_trend_signal</v>
      </c>
      <c r="AL527" s="42">
        <f>'1kpi_performance'!B527</f>
        <v>0.3509405986</v>
      </c>
      <c r="AM527" s="42">
        <f>'1kpi_performance'!C527</f>
        <v>0.4884580839</v>
      </c>
      <c r="AN527" s="42">
        <f>'1kpi_performance'!D527</f>
        <v>0.4202136667</v>
      </c>
      <c r="AO527" s="42">
        <f>'1kpi_performance'!E527</f>
        <v>0.1803346888</v>
      </c>
      <c r="AP527" s="42">
        <f>'1kpi_performance'!F527</f>
        <v>0.1335484749</v>
      </c>
      <c r="AQ527" s="42">
        <f>'1kpi_performance'!G527</f>
        <v>0.1461842475</v>
      </c>
      <c r="AR527" s="42">
        <f>'1kpi_performance'!H527</f>
        <v>0.1340631446</v>
      </c>
      <c r="AS527" s="42">
        <f>'1kpi_performance'!I527</f>
        <v>0.2226267541</v>
      </c>
      <c r="AT527" s="35">
        <f>'1kpi_performance'!J527</f>
        <v>2.440616404</v>
      </c>
      <c r="AU527" s="35">
        <f>'1kpi_performance'!K527</f>
        <v>3.170369528</v>
      </c>
      <c r="AV527" s="35">
        <f>'1kpi_performance'!L527</f>
        <v>2.947966556</v>
      </c>
      <c r="AW527" s="35">
        <f>'1kpi_performance'!M527</f>
        <v>0.6977359457</v>
      </c>
      <c r="AX527" s="42">
        <f>'1kpi_performance'!N527</f>
        <v>0.1148642674</v>
      </c>
      <c r="AY527" s="42">
        <f>'1kpi_performance'!O527</f>
        <v>0.1087257618</v>
      </c>
      <c r="AZ527" s="42">
        <f>'1kpi_performance'!P527</f>
        <v>0.2051172378</v>
      </c>
      <c r="BA527" s="42">
        <f>'1kpi_performance'!Q527</f>
        <v>0.3963440317</v>
      </c>
      <c r="BB527" s="35">
        <f>'1kpi_performance'!R527</f>
        <v>4.991630372</v>
      </c>
      <c r="BC527" s="35">
        <f>'1kpi_performance'!S527</f>
        <v>6.958237444</v>
      </c>
      <c r="BD527" s="35">
        <f>'1kpi_performance'!T527</f>
        <v>6.053536357</v>
      </c>
      <c r="BE527" s="35">
        <f>'1kpi_performance'!U527</f>
        <v>1.27847514</v>
      </c>
      <c r="BF527" s="47"/>
      <c r="BG527" s="47"/>
      <c r="BH527" s="47"/>
      <c r="BI527" s="47"/>
      <c r="BJ527" s="47"/>
      <c r="BK527" s="47"/>
      <c r="BL527" s="47"/>
      <c r="BM527" s="47"/>
      <c r="BN527" s="47"/>
      <c r="BO527" s="47"/>
      <c r="BP527" s="47"/>
      <c r="BQ527" s="47"/>
      <c r="BR527" s="47"/>
      <c r="BS527" s="47"/>
      <c r="BT527" s="47"/>
    </row>
    <row r="528" ht="11.25" customHeight="1">
      <c r="A528" s="35" t="str">
        <f>'13all_company_profile'!A528</f>
        <v>RTX</v>
      </c>
      <c r="B528" s="35" t="str">
        <f>'13all_company_profile'!B528</f>
        <v>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v>
      </c>
      <c r="C528" s="44" t="str">
        <f>'13all_company_profile'!C528</f>
        <v>https://financialmodelingprep.com/image-stock/RTX.png</v>
      </c>
      <c r="D528" s="35" t="str">
        <f>'13all_company_profile'!D528</f>
        <v>Raytheon Technologies Corporation</v>
      </c>
      <c r="E528" s="36">
        <f>'13all_company_profile'!E528</f>
        <v>128752353280</v>
      </c>
      <c r="F528" s="37">
        <f>'13all_company_profile'!F528</f>
        <v>6044988</v>
      </c>
      <c r="G528" s="35">
        <f>'13all_company_profile'!G528</f>
        <v>1.935</v>
      </c>
      <c r="H528" s="38">
        <f>'13all_company_profile'!H528</f>
        <v>44404</v>
      </c>
      <c r="I528" s="35" t="str">
        <f>'13all_company_profile'!I528</f>
        <v>NaN</v>
      </c>
      <c r="J528" s="35">
        <f>'13all_company_profile'!J528</f>
        <v>-1.764</v>
      </c>
      <c r="K528" s="42">
        <f t="shared" si="1"/>
        <v>0.02281839623</v>
      </c>
      <c r="L528" s="35">
        <f>'7company_info'!B528</f>
        <v>84.8</v>
      </c>
      <c r="M528" s="35">
        <f>'7company_info'!C528</f>
        <v>85.13</v>
      </c>
      <c r="N528" s="35">
        <f>'7company_info'!D528</f>
        <v>81.02</v>
      </c>
      <c r="O528" s="35">
        <f>'7company_info'!E528</f>
        <v>3.75</v>
      </c>
      <c r="P528" s="35">
        <f>'7company_info'!F528</f>
        <v>0.0463</v>
      </c>
      <c r="Q528" s="35">
        <f>'7company_info'!G528</f>
        <v>81.3</v>
      </c>
      <c r="R528" s="35">
        <f>'7company_info'!H528</f>
        <v>81.05</v>
      </c>
      <c r="S528" s="35">
        <f>'7company_info'!I528</f>
        <v>51.92</v>
      </c>
      <c r="T528" s="35">
        <f>'7company_info'!J528</f>
        <v>89.98</v>
      </c>
      <c r="U528" s="39">
        <v>85.085</v>
      </c>
      <c r="V528" s="39">
        <v>85.71</v>
      </c>
      <c r="W528" s="40">
        <v>86.51</v>
      </c>
      <c r="X528" s="40">
        <v>87.935</v>
      </c>
      <c r="Y528" s="40">
        <v>84.2849999999999</v>
      </c>
      <c r="Z528" s="40">
        <v>83.6599999999999</v>
      </c>
      <c r="AA528" s="40">
        <v>82.2349999999999</v>
      </c>
      <c r="AB528" s="40">
        <v>84.93</v>
      </c>
      <c r="AC528" s="40">
        <v>87.61</v>
      </c>
      <c r="AD528" s="40">
        <v>86.179611045495</v>
      </c>
      <c r="AE528" s="40">
        <v>82.508</v>
      </c>
      <c r="AF528" s="40">
        <v>1.4285</v>
      </c>
      <c r="AG528" s="40">
        <v>89.98</v>
      </c>
      <c r="AH528" s="45">
        <v>44357.0</v>
      </c>
      <c r="AI528" s="44" t="str">
        <f>'6image_RS_benchmark_performance'!B528</f>
        <v>https://3arbzfbsh-cname-us.ngrok.io/Desktop/seabridge%20fintech/image_app/RTX_resistance_support.jpg</v>
      </c>
      <c r="AJ528" s="44" t="str">
        <f>'6image_RS_benchmark_performance'!C528</f>
        <v>https://3arbzfbsh-cname-us.ngrok.io/Desktop/seabridge%20fintech/profit_graph_app/RTX_Return.jpg</v>
      </c>
      <c r="AK528" s="46" t="str">
        <f>'5price_action_icon'!B528</f>
        <v>https://3arbzfbsh-cname-us.ngrok.io/Desktop/seabridge%20fintech/icon/RTX_pa_trend_signal</v>
      </c>
      <c r="AL528" s="42">
        <f>'1kpi_performance'!B528</f>
        <v>0.4966760565</v>
      </c>
      <c r="AM528" s="42">
        <f>'1kpi_performance'!C528</f>
        <v>0.5686286664</v>
      </c>
      <c r="AN528" s="42">
        <f>'1kpi_performance'!D528</f>
        <v>0.4668784001</v>
      </c>
      <c r="AO528" s="42">
        <f>'1kpi_performance'!E528</f>
        <v>0.09375689834</v>
      </c>
      <c r="AP528" s="42">
        <f>'1kpi_performance'!F528</f>
        <v>0.2021199943</v>
      </c>
      <c r="AQ528" s="42">
        <f>'1kpi_performance'!G528</f>
        <v>0.1939720339</v>
      </c>
      <c r="AR528" s="42">
        <f>'1kpi_performance'!H528</f>
        <v>0.1724485796</v>
      </c>
      <c r="AS528" s="42">
        <f>'1kpi_performance'!I528</f>
        <v>0.3031060183</v>
      </c>
      <c r="AT528" s="35">
        <f>'1kpi_performance'!J528</f>
        <v>2.333643726</v>
      </c>
      <c r="AU528" s="35">
        <f>'1kpi_performance'!K528</f>
        <v>2.802613631</v>
      </c>
      <c r="AV528" s="35">
        <f>'1kpi_performance'!L528</f>
        <v>2.562377731</v>
      </c>
      <c r="AW528" s="35">
        <f>'1kpi_performance'!M528</f>
        <v>0.2268410859</v>
      </c>
      <c r="AX528" s="42">
        <f>'1kpi_performance'!N528</f>
        <v>0.1910003856</v>
      </c>
      <c r="AY528" s="42">
        <f>'1kpi_performance'!O528</f>
        <v>0.1910003856</v>
      </c>
      <c r="AZ528" s="42">
        <f>'1kpi_performance'!P528</f>
        <v>0.1656275569</v>
      </c>
      <c r="BA528" s="42">
        <f>'1kpi_performance'!Q528</f>
        <v>0.5220944274</v>
      </c>
      <c r="BB528" s="35">
        <f>'1kpi_performance'!R528</f>
        <v>5.048895103</v>
      </c>
      <c r="BC528" s="35">
        <f>'1kpi_performance'!S528</f>
        <v>6.541564262</v>
      </c>
      <c r="BD528" s="35">
        <f>'1kpi_performance'!T528</f>
        <v>5.691672884</v>
      </c>
      <c r="BE528" s="35">
        <f>'1kpi_performance'!U528</f>
        <v>0.4280887231</v>
      </c>
      <c r="BF528" s="47"/>
      <c r="BG528" s="47"/>
      <c r="BH528" s="47"/>
      <c r="BI528" s="47"/>
      <c r="BJ528" s="47"/>
      <c r="BK528" s="47"/>
      <c r="BL528" s="47"/>
      <c r="BM528" s="47"/>
      <c r="BN528" s="47"/>
      <c r="BO528" s="47"/>
      <c r="BP528" s="47"/>
      <c r="BQ528" s="47"/>
      <c r="BR528" s="47"/>
      <c r="BS528" s="47"/>
      <c r="BT528" s="47"/>
    </row>
    <row r="529" ht="11.25" customHeight="1">
      <c r="A529" s="35" t="str">
        <f>'13all_company_profile'!A529</f>
        <v>RUN</v>
      </c>
      <c r="B529" s="35" t="str">
        <f>'13all_company_profile'!B529</f>
        <v>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v>
      </c>
      <c r="C529" s="44" t="str">
        <f>'13all_company_profile'!C529</f>
        <v>https://financialmodelingprep.com/image-stock/RUN.png</v>
      </c>
      <c r="D529" s="35" t="str">
        <f>'13all_company_profile'!D529</f>
        <v>Sunrun Inc.</v>
      </c>
      <c r="E529" s="36">
        <f>'13all_company_profile'!E529</f>
        <v>9607142400</v>
      </c>
      <c r="F529" s="37">
        <f>'13all_company_profile'!F529</f>
        <v>7454741</v>
      </c>
      <c r="G529" s="35">
        <f>'13all_company_profile'!G529</f>
        <v>0</v>
      </c>
      <c r="H529" s="38" t="str">
        <f>'13all_company_profile'!H529</f>
        <v>not avaiable</v>
      </c>
      <c r="I529" s="35" t="str">
        <f>'13all_company_profile'!I529</f>
        <v>NaN</v>
      </c>
      <c r="J529" s="35">
        <f>'13all_company_profile'!J529</f>
        <v>-1.06</v>
      </c>
      <c r="K529" s="42" t="str">
        <f t="shared" si="1"/>
        <v>NaN</v>
      </c>
      <c r="L529" s="35">
        <f>'7company_info'!B529</f>
        <v>50.51</v>
      </c>
      <c r="M529" s="35">
        <f>'7company_info'!C529</f>
        <v>51</v>
      </c>
      <c r="N529" s="35">
        <f>'7company_info'!D529</f>
        <v>46.51</v>
      </c>
      <c r="O529" s="35">
        <f>'7company_info'!E529</f>
        <v>3.15</v>
      </c>
      <c r="P529" s="35">
        <f>'7company_info'!F529</f>
        <v>0.0665</v>
      </c>
      <c r="Q529" s="35">
        <f>'7company_info'!G529</f>
        <v>47.89</v>
      </c>
      <c r="R529" s="35">
        <f>'7company_info'!H529</f>
        <v>47.36</v>
      </c>
      <c r="S529" s="35">
        <f>'7company_info'!I529</f>
        <v>35.79</v>
      </c>
      <c r="T529" s="35">
        <f>'7company_info'!J529</f>
        <v>100.93</v>
      </c>
      <c r="U529" s="39">
        <v>50.34</v>
      </c>
      <c r="V529" s="39">
        <v>52.03</v>
      </c>
      <c r="W529" s="40">
        <v>55.36</v>
      </c>
      <c r="X529" s="40">
        <v>60.38</v>
      </c>
      <c r="Y529" s="40">
        <v>47.0099999999999</v>
      </c>
      <c r="Z529" s="40">
        <v>45.3199999999999</v>
      </c>
      <c r="AA529" s="40">
        <v>40.2999999999999</v>
      </c>
      <c r="AB529" s="40">
        <v>42.35</v>
      </c>
      <c r="AC529" s="40">
        <v>58.86</v>
      </c>
      <c r="AD529" s="40">
        <v>52.2766897776559</v>
      </c>
      <c r="AE529" s="40">
        <v>46.12995</v>
      </c>
      <c r="AF529" s="40">
        <v>3.657025</v>
      </c>
      <c r="AG529" s="40">
        <v>89.51</v>
      </c>
      <c r="AH529" s="45">
        <v>44217.0</v>
      </c>
      <c r="AI529" s="44" t="str">
        <f>'6image_RS_benchmark_performance'!B529</f>
        <v>https://3arbzfbsh-cname-us.ngrok.io/Desktop/seabridge%20fintech/image_app/RUN_resistance_support.jpg</v>
      </c>
      <c r="AJ529" s="44" t="str">
        <f>'6image_RS_benchmark_performance'!C529</f>
        <v>https://3arbzfbsh-cname-us.ngrok.io/Desktop/seabridge%20fintech/profit_graph_app/RUN_Return.jpg</v>
      </c>
      <c r="AK529" s="46" t="str">
        <f>'5price_action_icon'!B529</f>
        <v>https://3arbzfbsh-cname-us.ngrok.io/Desktop/seabridge%20fintech/icon/RUN_pa_trend_signal</v>
      </c>
      <c r="AL529" s="42">
        <f>'1kpi_performance'!B529</f>
        <v>2.464606322</v>
      </c>
      <c r="AM529" s="42">
        <f>'1kpi_performance'!C529</f>
        <v>3.218539392</v>
      </c>
      <c r="AN529" s="42">
        <f>'1kpi_performance'!D529</f>
        <v>0.8445286182</v>
      </c>
      <c r="AO529" s="42">
        <f>'1kpi_performance'!E529</f>
        <v>0.4381400664</v>
      </c>
      <c r="AP529" s="42">
        <f>'1kpi_performance'!F529</f>
        <v>0.5525451926</v>
      </c>
      <c r="AQ529" s="42">
        <f>'1kpi_performance'!G529</f>
        <v>0.5534219021</v>
      </c>
      <c r="AR529" s="42">
        <f>'1kpi_performance'!H529</f>
        <v>0.5695071031</v>
      </c>
      <c r="AS529" s="42">
        <f>'1kpi_performance'!I529</f>
        <v>0.8113120707</v>
      </c>
      <c r="AT529" s="35">
        <f>'1kpi_performance'!J529</f>
        <v>4.415215904</v>
      </c>
      <c r="AU529" s="35">
        <f>'1kpi_performance'!K529</f>
        <v>5.770533077</v>
      </c>
      <c r="AV529" s="35">
        <f>'1kpi_performance'!L529</f>
        <v>1.439013866</v>
      </c>
      <c r="AW529" s="35">
        <f>'1kpi_performance'!M529</f>
        <v>0.5092246022</v>
      </c>
      <c r="AX529" s="42">
        <f>'1kpi_performance'!N529</f>
        <v>0.3631365758</v>
      </c>
      <c r="AY529" s="42">
        <f>'1kpi_performance'!O529</f>
        <v>0.2762536551</v>
      </c>
      <c r="AZ529" s="42">
        <f>'1kpi_performance'!P529</f>
        <v>0.6297921499</v>
      </c>
      <c r="BA529" s="42">
        <f>'1kpi_performance'!Q529</f>
        <v>0.6630276565</v>
      </c>
      <c r="BB529" s="35">
        <f>'1kpi_performance'!R529</f>
        <v>9.837457844</v>
      </c>
      <c r="BC529" s="35">
        <f>'1kpi_performance'!S529</f>
        <v>13.59476824</v>
      </c>
      <c r="BD529" s="35">
        <f>'1kpi_performance'!T529</f>
        <v>2.811322352</v>
      </c>
      <c r="BE529" s="35">
        <f>'1kpi_performance'!U529</f>
        <v>1.015385041</v>
      </c>
      <c r="BF529" s="47"/>
      <c r="BG529" s="47"/>
      <c r="BH529" s="47"/>
      <c r="BI529" s="47"/>
      <c r="BJ529" s="47"/>
      <c r="BK529" s="47"/>
      <c r="BL529" s="47"/>
      <c r="BM529" s="47"/>
      <c r="BN529" s="47"/>
      <c r="BO529" s="47"/>
      <c r="BP529" s="47"/>
      <c r="BQ529" s="47"/>
      <c r="BR529" s="47"/>
      <c r="BS529" s="47"/>
      <c r="BT529" s="47"/>
    </row>
    <row r="530" ht="11.25" customHeight="1">
      <c r="A530" s="35" t="str">
        <f>'13all_company_profile'!A530</f>
        <v>SAVA</v>
      </c>
      <c r="B530" s="35" t="str">
        <f>'13all_company_profile'!B530</f>
        <v>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v>
      </c>
      <c r="C530" s="44" t="str">
        <f>'13all_company_profile'!C530</f>
        <v>https://financialmodelingprep.com/image-stock/SAVA.png</v>
      </c>
      <c r="D530" s="35" t="str">
        <f>'13all_company_profile'!D530</f>
        <v>Cassava Sciences, Inc.</v>
      </c>
      <c r="E530" s="36">
        <f>'13all_company_profile'!E530</f>
        <v>3297917184</v>
      </c>
      <c r="F530" s="37">
        <f>'13all_company_profile'!F530</f>
        <v>2214846</v>
      </c>
      <c r="G530" s="35">
        <f>'13all_company_profile'!G530</f>
        <v>0</v>
      </c>
      <c r="H530" s="38" t="str">
        <f>'13all_company_profile'!H530</f>
        <v>not avaiable</v>
      </c>
      <c r="I530" s="35" t="str">
        <f>'13all_company_profile'!I530</f>
        <v>NaN</v>
      </c>
      <c r="J530" s="35">
        <f>'13all_company_profile'!J530</f>
        <v>-0.296</v>
      </c>
      <c r="K530" s="42" t="str">
        <f t="shared" si="1"/>
        <v>NaN</v>
      </c>
      <c r="L530" s="35">
        <f>'7company_info'!B530</f>
        <v>90.83</v>
      </c>
      <c r="M530" s="35">
        <f>'7company_info'!C530</f>
        <v>91.49</v>
      </c>
      <c r="N530" s="35">
        <f>'7company_info'!D530</f>
        <v>80.57</v>
      </c>
      <c r="O530" s="35">
        <f>'7company_info'!E530</f>
        <v>8.57</v>
      </c>
      <c r="P530" s="35">
        <f>'7company_info'!F530</f>
        <v>0.1042</v>
      </c>
      <c r="Q530" s="35">
        <f>'7company_info'!G530</f>
        <v>86.28</v>
      </c>
      <c r="R530" s="35">
        <f>'7company_info'!H530</f>
        <v>82.26</v>
      </c>
      <c r="S530" s="35">
        <f>'7company_info'!I530</f>
        <v>2.78</v>
      </c>
      <c r="T530" s="35">
        <f>'7company_info'!J530</f>
        <v>117.54</v>
      </c>
      <c r="U530" s="39">
        <v>99.7589</v>
      </c>
      <c r="V530" s="39">
        <v>102.9178</v>
      </c>
      <c r="W530" s="40">
        <v>108.8356</v>
      </c>
      <c r="X530" s="40">
        <v>117.9123</v>
      </c>
      <c r="Y530" s="40">
        <v>93.8411</v>
      </c>
      <c r="Z530" s="40">
        <v>90.6822</v>
      </c>
      <c r="AA530" s="40">
        <v>81.6054999999999</v>
      </c>
      <c r="AB530" s="40">
        <v>85.227</v>
      </c>
      <c r="AC530" s="40">
        <v>93.7643</v>
      </c>
      <c r="AD530" s="40">
        <v>87.7739110659635</v>
      </c>
      <c r="AE530" s="40">
        <v>85.91524</v>
      </c>
      <c r="AF530" s="40">
        <v>9.181715</v>
      </c>
      <c r="AG530" s="40">
        <v>117.5</v>
      </c>
      <c r="AH530" s="45">
        <v>44231.0</v>
      </c>
      <c r="AI530" s="44" t="str">
        <f>'6image_RS_benchmark_performance'!B530</f>
        <v>https://3arbzfbsh-cname-us.ngrok.io/Desktop/seabridge%20fintech/image_app/SAVA_resistance_support.jpg</v>
      </c>
      <c r="AJ530" s="44" t="str">
        <f>'6image_RS_benchmark_performance'!C530</f>
        <v>https://3arbzfbsh-cname-us.ngrok.io/Desktop/seabridge%20fintech/profit_graph_app/SAVA_Return.jpg</v>
      </c>
      <c r="AK530" s="46" t="str">
        <f>'5price_action_icon'!B530</f>
        <v>https://3arbzfbsh-cname-us.ngrok.io/Desktop/seabridge%20fintech/icon/SAVA_pa_trend_signal</v>
      </c>
      <c r="AL530" s="42">
        <f>'1kpi_performance'!B530</f>
        <v>3.504805897</v>
      </c>
      <c r="AM530" s="42">
        <f>'1kpi_performance'!C530</f>
        <v>6.115488589</v>
      </c>
      <c r="AN530" s="42">
        <f>'1kpi_performance'!D530</f>
        <v>3.000923025</v>
      </c>
      <c r="AO530" s="42">
        <f>'1kpi_performance'!E530</f>
        <v>0.1296850788</v>
      </c>
      <c r="AP530" s="42">
        <f>'1kpi_performance'!F530</f>
        <v>1.374138209</v>
      </c>
      <c r="AQ530" s="42">
        <f>'1kpi_performance'!G530</f>
        <v>1.351689647</v>
      </c>
      <c r="AR530" s="42">
        <f>'1kpi_performance'!H530</f>
        <v>1.151410924</v>
      </c>
      <c r="AS530" s="42">
        <f>'1kpi_performance'!I530</f>
        <v>1.593739415</v>
      </c>
      <c r="AT530" s="35">
        <f>'1kpi_performance'!J530</f>
        <v>2.532355096</v>
      </c>
      <c r="AU530" s="35">
        <f>'1kpi_performance'!K530</f>
        <v>4.50583357</v>
      </c>
      <c r="AV530" s="35">
        <f>'1kpi_performance'!L530</f>
        <v>2.584588145</v>
      </c>
      <c r="AW530" s="35">
        <f>'1kpi_performance'!M530</f>
        <v>0.06568519158</v>
      </c>
      <c r="AX530" s="42">
        <f>'1kpi_performance'!N530</f>
        <v>0.6559711712</v>
      </c>
      <c r="AY530" s="42">
        <f>'1kpi_performance'!O530</f>
        <v>0.3539982996</v>
      </c>
      <c r="AZ530" s="42">
        <f>'1kpi_performance'!P530</f>
        <v>0.6708</v>
      </c>
      <c r="BA530" s="42">
        <f>'1kpi_performance'!Q530</f>
        <v>0.9892751998</v>
      </c>
      <c r="BB530" s="35">
        <f>'1kpi_performance'!R530</f>
        <v>8.783187638</v>
      </c>
      <c r="BC530" s="35">
        <f>'1kpi_performance'!S530</f>
        <v>23.44237354</v>
      </c>
      <c r="BD530" s="35">
        <f>'1kpi_performance'!T530</f>
        <v>8.1276314</v>
      </c>
      <c r="BE530" s="35">
        <f>'1kpi_performance'!U530</f>
        <v>0.165527765</v>
      </c>
      <c r="BF530" s="47"/>
      <c r="BG530" s="47"/>
      <c r="BH530" s="47"/>
      <c r="BI530" s="47"/>
      <c r="BJ530" s="47"/>
      <c r="BK530" s="47"/>
      <c r="BL530" s="47"/>
      <c r="BM530" s="47"/>
      <c r="BN530" s="47"/>
      <c r="BO530" s="47"/>
      <c r="BP530" s="47"/>
      <c r="BQ530" s="47"/>
      <c r="BR530" s="47"/>
      <c r="BS530" s="47"/>
      <c r="BT530" s="47"/>
    </row>
    <row r="531" ht="11.25" customHeight="1">
      <c r="A531" s="35" t="str">
        <f>'13all_company_profile'!A531</f>
        <v>SAVE</v>
      </c>
      <c r="B531" s="35" t="str">
        <f>'13all_company_profile'!B531</f>
        <v>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v>
      </c>
      <c r="C531" s="44" t="str">
        <f>'13all_company_profile'!C531</f>
        <v>https://financialmodelingprep.com/image-stock/SAVE.png</v>
      </c>
      <c r="D531" s="35" t="str">
        <f>'13all_company_profile'!D531</f>
        <v>Spirit Airlines, Inc.</v>
      </c>
      <c r="E531" s="36">
        <f>'13all_company_profile'!E531</f>
        <v>3021163776</v>
      </c>
      <c r="F531" s="37">
        <f>'13all_company_profile'!F531</f>
        <v>3493203</v>
      </c>
      <c r="G531" s="35">
        <f>'13all_company_profile'!G531</f>
        <v>0</v>
      </c>
      <c r="H531" s="38">
        <f>'13all_company_profile'!H531</f>
        <v>44405</v>
      </c>
      <c r="I531" s="35" t="str">
        <f>'13all_company_profile'!I531</f>
        <v>NaN</v>
      </c>
      <c r="J531" s="35">
        <f>'13all_company_profile'!J531</f>
        <v>-5.578</v>
      </c>
      <c r="K531" s="42" t="str">
        <f t="shared" si="1"/>
        <v>NaN</v>
      </c>
      <c r="L531" s="35">
        <f>'7company_info'!B531</f>
        <v>27</v>
      </c>
      <c r="M531" s="35">
        <f>'7company_info'!C531</f>
        <v>27.23</v>
      </c>
      <c r="N531" s="35">
        <f>'7company_info'!D531</f>
        <v>25.46</v>
      </c>
      <c r="O531" s="35">
        <f>'7company_info'!E531</f>
        <v>1.58</v>
      </c>
      <c r="P531" s="35">
        <f>'7company_info'!F531</f>
        <v>0.0622</v>
      </c>
      <c r="Q531" s="35">
        <f>'7company_info'!G531</f>
        <v>25.81</v>
      </c>
      <c r="R531" s="35">
        <f>'7company_info'!H531</f>
        <v>25.42</v>
      </c>
      <c r="S531" s="35">
        <f>'7company_info'!I531</f>
        <v>14.65</v>
      </c>
      <c r="T531" s="35">
        <f>'7company_info'!J531</f>
        <v>40.77</v>
      </c>
      <c r="U531" s="39">
        <v>28.3747333333333</v>
      </c>
      <c r="V531" s="39">
        <v>28.9494666666666</v>
      </c>
      <c r="W531" s="40">
        <v>29.9489333333333</v>
      </c>
      <c r="X531" s="40">
        <v>31.5231333333333</v>
      </c>
      <c r="Y531" s="40">
        <v>27.3752666666666</v>
      </c>
      <c r="Z531" s="40">
        <v>26.8005333333333</v>
      </c>
      <c r="AA531" s="40">
        <v>25.2263333333333</v>
      </c>
      <c r="AB531" s="40">
        <v>27.75</v>
      </c>
      <c r="AC531" s="40">
        <v>29.8</v>
      </c>
      <c r="AD531" s="40">
        <v>30.9483699361309</v>
      </c>
      <c r="AE531" s="40">
        <v>26.21939</v>
      </c>
      <c r="AF531" s="40">
        <v>1.08765499999999</v>
      </c>
      <c r="AG531" s="40">
        <v>40.7691</v>
      </c>
      <c r="AH531" s="45">
        <v>44273.0</v>
      </c>
      <c r="AI531" s="44" t="str">
        <f>'6image_RS_benchmark_performance'!B531</f>
        <v>https://3arbzfbsh-cname-us.ngrok.io/Desktop/seabridge%20fintech/image_app/SAVE_resistance_support.jpg</v>
      </c>
      <c r="AJ531" s="44" t="str">
        <f>'6image_RS_benchmark_performance'!C531</f>
        <v>https://3arbzfbsh-cname-us.ngrok.io/Desktop/seabridge%20fintech/profit_graph_app/SAVE_Return.jpg</v>
      </c>
      <c r="AK531" s="46" t="str">
        <f>'5price_action_icon'!B531</f>
        <v>https://3arbzfbsh-cname-us.ngrok.io/Desktop/seabridge%20fintech/icon/SAVE_pa_trend_signal</v>
      </c>
      <c r="AL531" s="42">
        <f>'1kpi_performance'!B531</f>
        <v>1.180794397</v>
      </c>
      <c r="AM531" s="42">
        <f>'1kpi_performance'!C531</f>
        <v>1.528720925</v>
      </c>
      <c r="AN531" s="42">
        <f>'1kpi_performance'!D531</f>
        <v>1.016825704</v>
      </c>
      <c r="AO531" s="42">
        <f>'1kpi_performance'!E531</f>
        <v>0.1329343952</v>
      </c>
      <c r="AP531" s="42">
        <f>'1kpi_performance'!F531</f>
        <v>0.4343160347</v>
      </c>
      <c r="AQ531" s="42">
        <f>'1kpi_performance'!G531</f>
        <v>0.4040118592</v>
      </c>
      <c r="AR531" s="42">
        <f>'1kpi_performance'!H531</f>
        <v>0.4221780657</v>
      </c>
      <c r="AS531" s="42">
        <f>'1kpi_performance'!I531</f>
        <v>0.6322970282</v>
      </c>
      <c r="AT531" s="35">
        <f>'1kpi_performance'!J531</f>
        <v>2.661182881</v>
      </c>
      <c r="AU531" s="35">
        <f>'1kpi_performance'!K531</f>
        <v>3.721972241</v>
      </c>
      <c r="AV531" s="35">
        <f>'1kpi_performance'!L531</f>
        <v>2.349306571</v>
      </c>
      <c r="AW531" s="35">
        <f>'1kpi_performance'!M531</f>
        <v>0.170702044</v>
      </c>
      <c r="AX531" s="42">
        <f>'1kpi_performance'!N531</f>
        <v>0.3708920188</v>
      </c>
      <c r="AY531" s="42">
        <f>'1kpi_performance'!O531</f>
        <v>0.3832063235</v>
      </c>
      <c r="AZ531" s="42">
        <f>'1kpi_performance'!P531</f>
        <v>0.4950370215</v>
      </c>
      <c r="BA531" s="42">
        <f>'1kpi_performance'!Q531</f>
        <v>0.9051734344</v>
      </c>
      <c r="BB531" s="35">
        <f>'1kpi_performance'!R531</f>
        <v>5.715865142</v>
      </c>
      <c r="BC531" s="35">
        <f>'1kpi_performance'!S531</f>
        <v>8.780060883</v>
      </c>
      <c r="BD531" s="35">
        <f>'1kpi_performance'!T531</f>
        <v>5.282273284</v>
      </c>
      <c r="BE531" s="35">
        <f>'1kpi_performance'!U531</f>
        <v>0.330545749</v>
      </c>
      <c r="BF531" s="47"/>
      <c r="BG531" s="47"/>
      <c r="BH531" s="47"/>
      <c r="BI531" s="47"/>
      <c r="BJ531" s="47"/>
      <c r="BK531" s="47"/>
      <c r="BL531" s="47"/>
      <c r="BM531" s="47"/>
      <c r="BN531" s="47"/>
      <c r="BO531" s="47"/>
      <c r="BP531" s="47"/>
      <c r="BQ531" s="47"/>
      <c r="BR531" s="47"/>
      <c r="BS531" s="47"/>
      <c r="BT531" s="47"/>
    </row>
    <row r="532" ht="11.25" customHeight="1">
      <c r="A532" s="35" t="str">
        <f>'13all_company_profile'!A532</f>
        <v>SBAC</v>
      </c>
      <c r="B532" s="35" t="str">
        <f>'13all_company_profile'!B532</f>
        <v>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v>
      </c>
      <c r="C532" s="44" t="str">
        <f>'13all_company_profile'!C532</f>
        <v>https://financialmodelingprep.com/image-stock/SBAC.png</v>
      </c>
      <c r="D532" s="35" t="str">
        <f>'13all_company_profile'!D532</f>
        <v>SBA Communications Corporation</v>
      </c>
      <c r="E532" s="36">
        <f>'13all_company_profile'!E532</f>
        <v>36337532928</v>
      </c>
      <c r="F532" s="37">
        <f>'13all_company_profile'!F532</f>
        <v>622176</v>
      </c>
      <c r="G532" s="35">
        <f>'13all_company_profile'!G532</f>
        <v>2.09</v>
      </c>
      <c r="H532" s="38">
        <f>'13all_company_profile'!H532</f>
        <v>44403</v>
      </c>
      <c r="I532" s="35">
        <f>'13all_company_profile'!I532</f>
        <v>271.6761</v>
      </c>
      <c r="J532" s="35">
        <f>'13all_company_profile'!J532</f>
        <v>1.235</v>
      </c>
      <c r="K532" s="42">
        <f t="shared" si="1"/>
        <v>0.006233223979</v>
      </c>
      <c r="L532" s="35">
        <f>'7company_info'!B532</f>
        <v>335.3</v>
      </c>
      <c r="M532" s="35">
        <f>'7company_info'!C532</f>
        <v>337.98</v>
      </c>
      <c r="N532" s="35">
        <f>'7company_info'!D532</f>
        <v>333.34</v>
      </c>
      <c r="O532" s="35">
        <f>'7company_info'!E532</f>
        <v>0.77</v>
      </c>
      <c r="P532" s="35">
        <f>'7company_info'!F532</f>
        <v>0.0023</v>
      </c>
      <c r="Q532" s="35">
        <f>'7company_info'!G532</f>
        <v>335.53</v>
      </c>
      <c r="R532" s="35">
        <f>'7company_info'!H532</f>
        <v>334.53</v>
      </c>
      <c r="S532" s="35">
        <f>'7company_info'!I532</f>
        <v>232.88</v>
      </c>
      <c r="T532" s="35">
        <f>'7company_info'!J532</f>
        <v>337.98</v>
      </c>
      <c r="U532" s="39">
        <v>330.68</v>
      </c>
      <c r="V532" s="39">
        <v>333.79</v>
      </c>
      <c r="W532" s="40">
        <v>335.8</v>
      </c>
      <c r="X532" s="40">
        <v>340.92</v>
      </c>
      <c r="Y532" s="40">
        <v>328.67</v>
      </c>
      <c r="Z532" s="40">
        <v>325.56</v>
      </c>
      <c r="AA532" s="40">
        <v>320.44</v>
      </c>
      <c r="AB532" s="40">
        <v>324.11</v>
      </c>
      <c r="AC532" s="40">
        <v>332.69</v>
      </c>
      <c r="AD532" s="40">
        <v>322.976520532742</v>
      </c>
      <c r="AE532" s="40">
        <v>319.07451</v>
      </c>
      <c r="AF532" s="40">
        <v>5.13124499999999</v>
      </c>
      <c r="AG532" s="40">
        <v>323.05</v>
      </c>
      <c r="AH532" s="45">
        <v>44363.0</v>
      </c>
      <c r="AI532" s="44" t="str">
        <f>'6image_RS_benchmark_performance'!B532</f>
        <v>https://3arbzfbsh-cname-us.ngrok.io/Desktop/seabridge%20fintech/image_app/SBAC_resistance_support.jpg</v>
      </c>
      <c r="AJ532" s="44" t="str">
        <f>'6image_RS_benchmark_performance'!C532</f>
        <v>https://3arbzfbsh-cname-us.ngrok.io/Desktop/seabridge%20fintech/profit_graph_app/SBAC_Return.jpg</v>
      </c>
      <c r="AK532" s="46" t="str">
        <f>'5price_action_icon'!B532</f>
        <v>https://3arbzfbsh-cname-us.ngrok.io/Desktop/seabridge%20fintech/icon/SBAC_pa_trend_signal</v>
      </c>
      <c r="AL532" s="42">
        <f>'1kpi_performance'!B532</f>
        <v>0.7245514815</v>
      </c>
      <c r="AM532" s="42">
        <f>'1kpi_performance'!C532</f>
        <v>0.9668450412</v>
      </c>
      <c r="AN532" s="42">
        <f>'1kpi_performance'!D532</f>
        <v>0.8338966695</v>
      </c>
      <c r="AO532" s="42">
        <f>'1kpi_performance'!E532</f>
        <v>0.566429219</v>
      </c>
      <c r="AP532" s="42">
        <f>'1kpi_performance'!F532</f>
        <v>0.202833945</v>
      </c>
      <c r="AQ532" s="42">
        <f>'1kpi_performance'!G532</f>
        <v>0.2130997351</v>
      </c>
      <c r="AR532" s="42">
        <f>'1kpi_performance'!H532</f>
        <v>0.1410780042</v>
      </c>
      <c r="AS532" s="42">
        <f>'1kpi_performance'!I532</f>
        <v>0.257324964</v>
      </c>
      <c r="AT532" s="35">
        <f>'1kpi_performance'!J532</f>
        <v>3.448887618</v>
      </c>
      <c r="AU532" s="35">
        <f>'1kpi_performance'!K532</f>
        <v>4.419738206</v>
      </c>
      <c r="AV532" s="35">
        <f>'1kpi_performance'!L532</f>
        <v>5.733683818</v>
      </c>
      <c r="AW532" s="35">
        <f>'1kpi_performance'!M532</f>
        <v>2.104067987</v>
      </c>
      <c r="AX532" s="42">
        <f>'1kpi_performance'!N532</f>
        <v>0.0619926984</v>
      </c>
      <c r="AY532" s="42">
        <f>'1kpi_performance'!O532</f>
        <v>0.07716300996</v>
      </c>
      <c r="AZ532" s="42">
        <f>'1kpi_performance'!P532</f>
        <v>0.02240152882</v>
      </c>
      <c r="BA532" s="42">
        <f>'1kpi_performance'!Q532</f>
        <v>0.1637897423</v>
      </c>
      <c r="BB532" s="35">
        <f>'1kpi_performance'!R532</f>
        <v>7.601786178</v>
      </c>
      <c r="BC532" s="35">
        <f>'1kpi_performance'!S532</f>
        <v>9.948951984</v>
      </c>
      <c r="BD532" s="35">
        <f>'1kpi_performance'!T532</f>
        <v>19.00574104</v>
      </c>
      <c r="BE532" s="35">
        <f>'1kpi_performance'!U532</f>
        <v>4.35654461</v>
      </c>
      <c r="BF532" s="47"/>
      <c r="BG532" s="47"/>
      <c r="BH532" s="47"/>
      <c r="BI532" s="47"/>
      <c r="BJ532" s="47"/>
      <c r="BK532" s="47"/>
      <c r="BL532" s="47"/>
      <c r="BM532" s="47"/>
      <c r="BN532" s="47"/>
      <c r="BO532" s="47"/>
      <c r="BP532" s="47"/>
      <c r="BQ532" s="47"/>
      <c r="BR532" s="47"/>
      <c r="BS532" s="47"/>
      <c r="BT532" s="47"/>
    </row>
    <row r="533" ht="11.25" customHeight="1">
      <c r="A533" s="35" t="str">
        <f>'13all_company_profile'!A533</f>
        <v>SBUX</v>
      </c>
      <c r="B533" s="35" t="str">
        <f>'13all_company_profile'!B533</f>
        <v>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v>
      </c>
      <c r="C533" s="44" t="str">
        <f>'13all_company_profile'!C533</f>
        <v>https://financialmodelingprep.com/image-stock/SBUX.png</v>
      </c>
      <c r="D533" s="35" t="str">
        <f>'13all_company_profile'!D533</f>
        <v>Starbucks Corporation</v>
      </c>
      <c r="E533" s="36">
        <f>'13all_company_profile'!E533</f>
        <v>140182355968</v>
      </c>
      <c r="F533" s="37">
        <f>'13all_company_profile'!F533</f>
        <v>5474098</v>
      </c>
      <c r="G533" s="35">
        <f>'13all_company_profile'!G533</f>
        <v>1.76</v>
      </c>
      <c r="H533" s="38">
        <f>'13all_company_profile'!H533</f>
        <v>44404</v>
      </c>
      <c r="I533" s="35">
        <f>'13all_company_profile'!I533</f>
        <v>139.98822</v>
      </c>
      <c r="J533" s="35">
        <f>'13all_company_profile'!J533</f>
        <v>0.849</v>
      </c>
      <c r="K533" s="42">
        <f t="shared" si="1"/>
        <v>0.01498892863</v>
      </c>
      <c r="L533" s="35">
        <f>'7company_info'!B533</f>
        <v>117.42</v>
      </c>
      <c r="M533" s="35">
        <f>'7company_info'!C533</f>
        <v>118.07</v>
      </c>
      <c r="N533" s="35">
        <f>'7company_info'!D533</f>
        <v>115.33</v>
      </c>
      <c r="O533" s="35">
        <f>'7company_info'!E533</f>
        <v>2.1</v>
      </c>
      <c r="P533" s="35">
        <f>'7company_info'!F533</f>
        <v>0.0182</v>
      </c>
      <c r="Q533" s="35">
        <f>'7company_info'!G533</f>
        <v>115.63</v>
      </c>
      <c r="R533" s="35">
        <f>'7company_info'!H533</f>
        <v>115.32</v>
      </c>
      <c r="S533" s="35">
        <f>'7company_info'!I533</f>
        <v>73.63</v>
      </c>
      <c r="T533" s="35">
        <f>'7company_info'!J533</f>
        <v>120.83</v>
      </c>
      <c r="U533" s="39">
        <v>120.101666666666</v>
      </c>
      <c r="V533" s="39">
        <v>120.523333333333</v>
      </c>
      <c r="W533" s="40">
        <v>121.246666666666</v>
      </c>
      <c r="X533" s="40">
        <v>122.391666666666</v>
      </c>
      <c r="Y533" s="40">
        <v>119.378333333333</v>
      </c>
      <c r="Z533" s="40">
        <v>118.956666666666</v>
      </c>
      <c r="AA533" s="40">
        <v>117.811666666666</v>
      </c>
      <c r="AB533" s="40">
        <v>110.57</v>
      </c>
      <c r="AC533" s="40">
        <v>120.825</v>
      </c>
      <c r="AD533" s="40">
        <v>115.103333573521</v>
      </c>
      <c r="AE533" s="40">
        <v>116.4189</v>
      </c>
      <c r="AF533" s="40">
        <v>1.5823</v>
      </c>
      <c r="AG533" s="40">
        <v>118.98</v>
      </c>
      <c r="AH533" s="45">
        <v>44305.0</v>
      </c>
      <c r="AI533" s="44" t="str">
        <f>'6image_RS_benchmark_performance'!B533</f>
        <v>https://3arbzfbsh-cname-us.ngrok.io/Desktop/seabridge%20fintech/image_app/SBUX_resistance_support.jpg</v>
      </c>
      <c r="AJ533" s="44" t="str">
        <f>'6image_RS_benchmark_performance'!C533</f>
        <v>https://3arbzfbsh-cname-us.ngrok.io/Desktop/seabridge%20fintech/profit_graph_app/SBUX_Return.jpg</v>
      </c>
      <c r="AK533" s="46" t="str">
        <f>'5price_action_icon'!B533</f>
        <v>https://3arbzfbsh-cname-us.ngrok.io/Desktop/seabridge%20fintech/icon/SBUX_pa_trend_signal</v>
      </c>
      <c r="AL533" s="42">
        <f>'1kpi_performance'!B533</f>
        <v>0.643679968</v>
      </c>
      <c r="AM533" s="42">
        <f>'1kpi_performance'!C533</f>
        <v>0.6773969722</v>
      </c>
      <c r="AN533" s="42">
        <f>'1kpi_performance'!D533</f>
        <v>0.5780597713</v>
      </c>
      <c r="AO533" s="42">
        <f>'1kpi_performance'!E533</f>
        <v>0.3343073725</v>
      </c>
      <c r="AP533" s="42">
        <f>'1kpi_performance'!F533</f>
        <v>0.2069639116</v>
      </c>
      <c r="AQ533" s="42">
        <f>'1kpi_performance'!G533</f>
        <v>0.2207921701</v>
      </c>
      <c r="AR533" s="42">
        <f>'1kpi_performance'!H533</f>
        <v>0.2017969378</v>
      </c>
      <c r="AS533" s="42">
        <f>'1kpi_performance'!I533</f>
        <v>0.3136108651</v>
      </c>
      <c r="AT533" s="35">
        <f>'1kpi_performance'!J533</f>
        <v>2.989313273</v>
      </c>
      <c r="AU533" s="35">
        <f>'1kpi_performance'!K533</f>
        <v>2.954801213</v>
      </c>
      <c r="AV533" s="35">
        <f>'1kpi_performance'!L533</f>
        <v>2.740674746</v>
      </c>
      <c r="AW533" s="35">
        <f>'1kpi_performance'!M533</f>
        <v>0.9862776037</v>
      </c>
      <c r="AX533" s="42">
        <f>'1kpi_performance'!N533</f>
        <v>0.104148784</v>
      </c>
      <c r="AY533" s="42">
        <f>'1kpi_performance'!O533</f>
        <v>0.1173143823</v>
      </c>
      <c r="AZ533" s="42">
        <f>'1kpi_performance'!P533</f>
        <v>0.1764144643</v>
      </c>
      <c r="BA533" s="42">
        <f>'1kpi_performance'!Q533</f>
        <v>0.4316416103</v>
      </c>
      <c r="BB533" s="35">
        <f>'1kpi_performance'!R533</f>
        <v>7.153452779</v>
      </c>
      <c r="BC533" s="35">
        <f>'1kpi_performance'!S533</f>
        <v>6.873079108</v>
      </c>
      <c r="BD533" s="35">
        <f>'1kpi_performance'!T533</f>
        <v>5.789774902</v>
      </c>
      <c r="BE533" s="35">
        <f>'1kpi_performance'!U533</f>
        <v>1.960828734</v>
      </c>
      <c r="BF533" s="47"/>
      <c r="BG533" s="47"/>
      <c r="BH533" s="47"/>
      <c r="BI533" s="47"/>
      <c r="BJ533" s="47"/>
      <c r="BK533" s="47"/>
      <c r="BL533" s="47"/>
      <c r="BM533" s="47"/>
      <c r="BN533" s="47"/>
      <c r="BO533" s="47"/>
      <c r="BP533" s="47"/>
      <c r="BQ533" s="47"/>
      <c r="BR533" s="47"/>
      <c r="BS533" s="47"/>
      <c r="BT533" s="47"/>
    </row>
    <row r="534" ht="11.25" customHeight="1">
      <c r="A534" s="35" t="str">
        <f>'13all_company_profile'!A534</f>
        <v>SCHF</v>
      </c>
      <c r="B534" s="35" t="str">
        <f>'13all_company_profile'!B534</f>
        <v>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v>
      </c>
      <c r="C534" s="44" t="str">
        <f>'13all_company_profile'!C534</f>
        <v>https://financialmodelingprep.com/image-stock/SCHF.png</v>
      </c>
      <c r="D534" s="35" t="str">
        <f>'13all_company_profile'!D534</f>
        <v>Schwab International Equity ETF</v>
      </c>
      <c r="E534" s="36">
        <f>'13all_company_profile'!E534</f>
        <v>17604972000</v>
      </c>
      <c r="F534" s="37">
        <f>'13all_company_profile'!F534</f>
        <v>2725057</v>
      </c>
      <c r="G534" s="35">
        <f>'13all_company_profile'!G534</f>
        <v>0.51</v>
      </c>
      <c r="H534" s="38" t="str">
        <f>'13all_company_profile'!H534</f>
        <v>not avaiable</v>
      </c>
      <c r="I534" s="35" t="str">
        <f>'13all_company_profile'!I534</f>
        <v>NaN</v>
      </c>
      <c r="J534" s="35" t="str">
        <f>'13all_company_profile'!J534</f>
        <v>NaN</v>
      </c>
      <c r="K534" s="42">
        <f t="shared" si="1"/>
        <v>0.01319192964</v>
      </c>
      <c r="L534" s="35">
        <f>'7company_info'!B534</f>
        <v>38.66</v>
      </c>
      <c r="M534" s="35">
        <f>'7company_info'!C534</f>
        <v>38.71</v>
      </c>
      <c r="N534" s="35">
        <f>'7company_info'!D534</f>
        <v>38.21</v>
      </c>
      <c r="O534" s="35">
        <f>'7company_info'!E534</f>
        <v>0.31</v>
      </c>
      <c r="P534" s="35">
        <f>'7company_info'!F534</f>
        <v>0.0081</v>
      </c>
      <c r="Q534" s="35">
        <f>'7company_info'!G534</f>
        <v>38.28</v>
      </c>
      <c r="R534" s="35">
        <f>'7company_info'!H534</f>
        <v>38.35</v>
      </c>
      <c r="S534" s="35">
        <f>'7company_info'!I534</f>
        <v>30.08</v>
      </c>
      <c r="T534" s="35">
        <f>'7company_info'!J534</f>
        <v>40.92</v>
      </c>
      <c r="U534" s="39">
        <v>39.7266666666666</v>
      </c>
      <c r="V534" s="39">
        <v>39.8033333333333</v>
      </c>
      <c r="W534" s="40">
        <v>39.8866666666666</v>
      </c>
      <c r="X534" s="40">
        <v>40.0466666666666</v>
      </c>
      <c r="Y534" s="40">
        <v>39.6433333333333</v>
      </c>
      <c r="Z534" s="40">
        <v>39.5666666666666</v>
      </c>
      <c r="AA534" s="40">
        <v>39.4066666666666</v>
      </c>
      <c r="AB534" s="40">
        <v>38.781</v>
      </c>
      <c r="AC534" s="40">
        <v>39.08</v>
      </c>
      <c r="AD534" s="40">
        <v>39.7428518864186</v>
      </c>
      <c r="AE534" s="40">
        <v>38.78994</v>
      </c>
      <c r="AF534" s="40">
        <v>0.401179999999999</v>
      </c>
      <c r="AG534" s="40">
        <v>40.92</v>
      </c>
      <c r="AH534" s="45">
        <v>44363.0</v>
      </c>
      <c r="AI534" s="44" t="str">
        <f>'6image_RS_benchmark_performance'!B534</f>
        <v>https://3arbzfbsh-cname-us.ngrok.io/Desktop/seabridge%20fintech/image_app/SCHF_resistance_support.jpg</v>
      </c>
      <c r="AJ534" s="44" t="str">
        <f>'6image_RS_benchmark_performance'!C534</f>
        <v>https://3arbzfbsh-cname-us.ngrok.io/Desktop/seabridge%20fintech/profit_graph_app/SCHF_Return.jpg</v>
      </c>
      <c r="AK534" s="46" t="str">
        <f>'5price_action_icon'!B534</f>
        <v>https://3arbzfbsh-cname-us.ngrok.io/Desktop/seabridge%20fintech/icon/SCHF_pa_trend_signal</v>
      </c>
      <c r="AL534" s="42">
        <f>'1kpi_performance'!B534</f>
        <v>0.2908506651</v>
      </c>
      <c r="AM534" s="42">
        <f>'1kpi_performance'!C534</f>
        <v>0.4573191115</v>
      </c>
      <c r="AN534" s="42">
        <f>'1kpi_performance'!D534</f>
        <v>0.4056975215</v>
      </c>
      <c r="AO534" s="42">
        <f>'1kpi_performance'!E534</f>
        <v>0.05674166154</v>
      </c>
      <c r="AP534" s="42">
        <f>'1kpi_performance'!F534</f>
        <v>0.1389158063</v>
      </c>
      <c r="AQ534" s="42">
        <f>'1kpi_performance'!G534</f>
        <v>0.1393373804</v>
      </c>
      <c r="AR534" s="42">
        <f>'1kpi_performance'!H534</f>
        <v>0.1293775053</v>
      </c>
      <c r="AS534" s="42">
        <f>'1kpi_performance'!I534</f>
        <v>0.2247162324</v>
      </c>
      <c r="AT534" s="35">
        <f>'1kpi_performance'!J534</f>
        <v>1.913753893</v>
      </c>
      <c r="AU534" s="35">
        <f>'1kpi_performance'!K534</f>
        <v>3.102678622</v>
      </c>
      <c r="AV534" s="35">
        <f>'1kpi_performance'!L534</f>
        <v>2.942532558</v>
      </c>
      <c r="AW534" s="35">
        <f>'1kpi_performance'!M534</f>
        <v>0.1412521971</v>
      </c>
      <c r="AX534" s="42">
        <f>'1kpi_performance'!N534</f>
        <v>0.09760436402</v>
      </c>
      <c r="AY534" s="42">
        <f>'1kpi_performance'!O534</f>
        <v>0.07419100237</v>
      </c>
      <c r="AZ534" s="42">
        <f>'1kpi_performance'!P534</f>
        <v>0.1231316726</v>
      </c>
      <c r="BA534" s="42">
        <f>'1kpi_performance'!Q534</f>
        <v>0.386519945</v>
      </c>
      <c r="BB534" s="35">
        <f>'1kpi_performance'!R534</f>
        <v>3.828093008</v>
      </c>
      <c r="BC534" s="35">
        <f>'1kpi_performance'!S534</f>
        <v>6.846702017</v>
      </c>
      <c r="BD534" s="35">
        <f>'1kpi_performance'!T534</f>
        <v>6.175894046</v>
      </c>
      <c r="BE534" s="35">
        <f>'1kpi_performance'!U534</f>
        <v>0.2546411445</v>
      </c>
      <c r="BF534" s="47"/>
      <c r="BG534" s="47"/>
      <c r="BH534" s="47"/>
      <c r="BI534" s="47"/>
      <c r="BJ534" s="47"/>
      <c r="BK534" s="47"/>
      <c r="BL534" s="47"/>
      <c r="BM534" s="47"/>
      <c r="BN534" s="47"/>
      <c r="BO534" s="47"/>
      <c r="BP534" s="47"/>
      <c r="BQ534" s="47"/>
      <c r="BR534" s="47"/>
      <c r="BS534" s="47"/>
      <c r="BT534" s="47"/>
    </row>
    <row r="535" ht="11.25" customHeight="1">
      <c r="A535" s="35" t="str">
        <f>'13all_company_profile'!A535</f>
        <v>SCHP</v>
      </c>
      <c r="B535" s="35" t="str">
        <f>'13all_company_profile'!B535</f>
        <v>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v>
      </c>
      <c r="C535" s="44" t="str">
        <f>'13all_company_profile'!C535</f>
        <v>https://financialmodelingprep.com/image-stock/SCHP.jpg</v>
      </c>
      <c r="D535" s="35" t="str">
        <f>'13all_company_profile'!D535</f>
        <v>Schwab U.S. TIPS ETF</v>
      </c>
      <c r="E535" s="36">
        <f>'13all_company_profile'!E535</f>
        <v>7314448896</v>
      </c>
      <c r="F535" s="37">
        <f>'13all_company_profile'!F535</f>
        <v>2526461</v>
      </c>
      <c r="G535" s="35">
        <f>'13all_company_profile'!G535</f>
        <v>0.785</v>
      </c>
      <c r="H535" s="38" t="str">
        <f>'13all_company_profile'!H535</f>
        <v>not avaiable</v>
      </c>
      <c r="I535" s="35" t="str">
        <f>'13all_company_profile'!I535</f>
        <v>NaN</v>
      </c>
      <c r="J535" s="35" t="str">
        <f>'13all_company_profile'!J535</f>
        <v>NaN</v>
      </c>
      <c r="K535" s="42">
        <f t="shared" si="1"/>
        <v>0.01243859927</v>
      </c>
      <c r="L535" s="35">
        <f>'7company_info'!B535</f>
        <v>63.11</v>
      </c>
      <c r="M535" s="35">
        <f>'7company_info'!C535</f>
        <v>63.24</v>
      </c>
      <c r="N535" s="35">
        <f>'7company_info'!D535</f>
        <v>63.06</v>
      </c>
      <c r="O535" s="35">
        <f>'7company_info'!E535</f>
        <v>-0.01</v>
      </c>
      <c r="P535" s="35">
        <f>'7company_info'!F535</f>
        <v>-0.0002</v>
      </c>
      <c r="Q535" s="35">
        <f>'7company_info'!G535</f>
        <v>63.23</v>
      </c>
      <c r="R535" s="35">
        <f>'7company_info'!H535</f>
        <v>63.12</v>
      </c>
      <c r="S535" s="35">
        <f>'7company_info'!I535</f>
        <v>60.31</v>
      </c>
      <c r="T535" s="35">
        <f>'7company_info'!J535</f>
        <v>63.35</v>
      </c>
      <c r="U535" s="39">
        <v>62.895</v>
      </c>
      <c r="V535" s="39">
        <v>62.98</v>
      </c>
      <c r="W535" s="40">
        <v>63.05</v>
      </c>
      <c r="X535" s="40">
        <v>63.205</v>
      </c>
      <c r="Y535" s="40">
        <v>62.825</v>
      </c>
      <c r="Z535" s="40">
        <v>62.74</v>
      </c>
      <c r="AA535" s="40">
        <v>62.585</v>
      </c>
      <c r="AB535" s="40">
        <v>62.465</v>
      </c>
      <c r="AC535" s="40">
        <v>62.965</v>
      </c>
      <c r="AD535" s="40">
        <v>62.4921486428792</v>
      </c>
      <c r="AE535" s="40">
        <v>62.25337</v>
      </c>
      <c r="AF535" s="40">
        <v>0.239065</v>
      </c>
      <c r="AG535" s="40">
        <v>62.63</v>
      </c>
      <c r="AH535" s="45">
        <v>44326.0</v>
      </c>
      <c r="AI535" s="44" t="str">
        <f>'6image_RS_benchmark_performance'!B535</f>
        <v>https://3arbzfbsh-cname-us.ngrok.io/Desktop/seabridge%20fintech/image_app/SCHP_resistance_support.jpg</v>
      </c>
      <c r="AJ535" s="44" t="str">
        <f>'6image_RS_benchmark_performance'!C535</f>
        <v>https://3arbzfbsh-cname-us.ngrok.io/Desktop/seabridge%20fintech/profit_graph_app/SCHP_Return.jpg</v>
      </c>
      <c r="AK535" s="46" t="str">
        <f>'5price_action_icon'!B535</f>
        <v>https://3arbzfbsh-cname-us.ngrok.io/Desktop/seabridge%20fintech/icon/SCHP_pa_trend_signal</v>
      </c>
      <c r="AL535" s="42">
        <f>'1kpi_performance'!B535</f>
        <v>0.08343930687</v>
      </c>
      <c r="AM535" s="42">
        <f>'1kpi_performance'!C535</f>
        <v>0.1174740232</v>
      </c>
      <c r="AN535" s="42">
        <f>'1kpi_performance'!D535</f>
        <v>0.0845312081</v>
      </c>
      <c r="AO535" s="42">
        <f>'1kpi_performance'!E535</f>
        <v>0.03019421558</v>
      </c>
      <c r="AP535" s="42">
        <f>'1kpi_performance'!F535</f>
        <v>0.0416122375</v>
      </c>
      <c r="AQ535" s="42">
        <f>'1kpi_performance'!G535</f>
        <v>0.04543131793</v>
      </c>
      <c r="AR535" s="42">
        <f>'1kpi_performance'!H535</f>
        <v>0.04295362565</v>
      </c>
      <c r="AS535" s="42">
        <f>'1kpi_performance'!I535</f>
        <v>0.06343890378</v>
      </c>
      <c r="AT535" s="35">
        <f>'1kpi_performance'!J535</f>
        <v>1.404377903</v>
      </c>
      <c r="AU535" s="35">
        <f>'1kpi_performance'!K535</f>
        <v>2.035468645</v>
      </c>
      <c r="AV535" s="35">
        <f>'1kpi_performance'!L535</f>
        <v>1.385941401</v>
      </c>
      <c r="AW535" s="35">
        <f>'1kpi_performance'!M535</f>
        <v>0.08187744857</v>
      </c>
      <c r="AX535" s="42">
        <f>'1kpi_performance'!N535</f>
        <v>0.02200258238</v>
      </c>
      <c r="AY535" s="42">
        <f>'1kpi_performance'!O535</f>
        <v>0.02256975298</v>
      </c>
      <c r="AZ535" s="42">
        <f>'1kpi_performance'!P535</f>
        <v>0.03574225742</v>
      </c>
      <c r="BA535" s="42">
        <f>'1kpi_performance'!Q535</f>
        <v>0.1183419969</v>
      </c>
      <c r="BB535" s="35">
        <f>'1kpi_performance'!R535</f>
        <v>2.813888293</v>
      </c>
      <c r="BC535" s="35">
        <f>'1kpi_performance'!S535</f>
        <v>4.83433423</v>
      </c>
      <c r="BD535" s="35">
        <f>'1kpi_performance'!T535</f>
        <v>2.821728237</v>
      </c>
      <c r="BE535" s="35">
        <f>'1kpi_performance'!U535</f>
        <v>0.1580529124</v>
      </c>
      <c r="BF535" s="47"/>
      <c r="BG535" s="47"/>
      <c r="BH535" s="47"/>
      <c r="BI535" s="47"/>
      <c r="BJ535" s="47"/>
      <c r="BK535" s="47"/>
      <c r="BL535" s="47"/>
      <c r="BM535" s="47"/>
      <c r="BN535" s="47"/>
      <c r="BO535" s="47"/>
      <c r="BP535" s="47"/>
      <c r="BQ535" s="47"/>
      <c r="BR535" s="47"/>
      <c r="BS535" s="47"/>
      <c r="BT535" s="47"/>
    </row>
    <row r="536" ht="11.25" customHeight="1">
      <c r="A536" s="35" t="str">
        <f>'13all_company_profile'!A536</f>
        <v>SCHW</v>
      </c>
      <c r="B536" s="35" t="str">
        <f>'13all_company_profile'!B536</f>
        <v>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v>
      </c>
      <c r="C536" s="44" t="str">
        <f>'13all_company_profile'!C536</f>
        <v>https://financialmodelingprep.com/image-stock/SCHW.png</v>
      </c>
      <c r="D536" s="35" t="str">
        <f>'13all_company_profile'!D536</f>
        <v>The Charles Schwab Corporation</v>
      </c>
      <c r="E536" s="36">
        <f>'13all_company_profile'!E536</f>
        <v>133081997312</v>
      </c>
      <c r="F536" s="37">
        <f>'13all_company_profile'!F536</f>
        <v>7636623</v>
      </c>
      <c r="G536" s="35">
        <f>'13all_company_profile'!G536</f>
        <v>0.72</v>
      </c>
      <c r="H536" s="38" t="str">
        <f>'13all_company_profile'!H536</f>
        <v>not avaiable</v>
      </c>
      <c r="I536" s="35">
        <f>'13all_company_profile'!I536</f>
        <v>29.620363</v>
      </c>
      <c r="J536" s="35">
        <f>'13all_company_profile'!J536</f>
        <v>2.318</v>
      </c>
      <c r="K536" s="42">
        <f t="shared" si="1"/>
        <v>0.01059758611</v>
      </c>
      <c r="L536" s="35">
        <f>'7company_info'!B536</f>
        <v>67.94</v>
      </c>
      <c r="M536" s="35">
        <f>'7company_info'!C536</f>
        <v>68.26</v>
      </c>
      <c r="N536" s="35">
        <f>'7company_info'!D536</f>
        <v>65.73</v>
      </c>
      <c r="O536" s="35">
        <f>'7company_info'!E536</f>
        <v>1.26</v>
      </c>
      <c r="P536" s="35">
        <f>'7company_info'!F536</f>
        <v>0.0189</v>
      </c>
      <c r="Q536" s="35">
        <f>'7company_info'!G536</f>
        <v>66.6</v>
      </c>
      <c r="R536" s="35">
        <f>'7company_info'!H536</f>
        <v>66.68</v>
      </c>
      <c r="S536" s="35">
        <f>'7company_info'!I536</f>
        <v>32.66</v>
      </c>
      <c r="T536" s="35">
        <f>'7company_info'!J536</f>
        <v>76.37</v>
      </c>
      <c r="U536" s="39">
        <v>70.7566666666666</v>
      </c>
      <c r="V536" s="39">
        <v>71.5533333333333</v>
      </c>
      <c r="W536" s="40">
        <v>72.9066666666666</v>
      </c>
      <c r="X536" s="40">
        <v>75.0566666666666</v>
      </c>
      <c r="Y536" s="40">
        <v>69.4033333333333</v>
      </c>
      <c r="Z536" s="40">
        <v>68.6066666666666</v>
      </c>
      <c r="AA536" s="40">
        <v>66.4566666666666</v>
      </c>
      <c r="AB536" s="40">
        <v>69.74</v>
      </c>
      <c r="AC536" s="40">
        <v>72.75</v>
      </c>
      <c r="AD536" s="40">
        <v>71.753659729222</v>
      </c>
      <c r="AE536" s="40">
        <v>68.02071</v>
      </c>
      <c r="AF536" s="40">
        <v>1.942145</v>
      </c>
      <c r="AG536" s="40">
        <v>76.37</v>
      </c>
      <c r="AH536" s="45">
        <v>44351.0</v>
      </c>
      <c r="AI536" s="44" t="str">
        <f>'6image_RS_benchmark_performance'!B536</f>
        <v>https://3arbzfbsh-cname-us.ngrok.io/Desktop/seabridge%20fintech/image_app/SCHW_resistance_support.jpg</v>
      </c>
      <c r="AJ536" s="44" t="str">
        <f>'6image_RS_benchmark_performance'!C536</f>
        <v>https://3arbzfbsh-cname-us.ngrok.io/Desktop/seabridge%20fintech/profit_graph_app/SCHW_Return.jpg</v>
      </c>
      <c r="AK536" s="46" t="str">
        <f>'5price_action_icon'!B536</f>
        <v>https://3arbzfbsh-cname-us.ngrok.io/Desktop/seabridge%20fintech/icon/SCHW_pa_trend_signal</v>
      </c>
      <c r="AL536" s="42">
        <f>'1kpi_performance'!B536</f>
        <v>0.6000647931</v>
      </c>
      <c r="AM536" s="42">
        <f>'1kpi_performance'!C536</f>
        <v>0.9689017522</v>
      </c>
      <c r="AN536" s="42">
        <f>'1kpi_performance'!D536</f>
        <v>0.6561555756</v>
      </c>
      <c r="AO536" s="42">
        <f>'1kpi_performance'!E536</f>
        <v>0.1757130805</v>
      </c>
      <c r="AP536" s="42">
        <f>'1kpi_performance'!F536</f>
        <v>0.2568975406</v>
      </c>
      <c r="AQ536" s="42">
        <f>'1kpi_performance'!G536</f>
        <v>0.2536029511</v>
      </c>
      <c r="AR536" s="42">
        <f>'1kpi_performance'!H536</f>
        <v>0.2470977443</v>
      </c>
      <c r="AS536" s="42">
        <f>'1kpi_performance'!I536</f>
        <v>0.3858466011</v>
      </c>
      <c r="AT536" s="35">
        <f>'1kpi_performance'!J536</f>
        <v>2.238498632</v>
      </c>
      <c r="AU536" s="35">
        <f>'1kpi_performance'!K536</f>
        <v>3.721966752</v>
      </c>
      <c r="AV536" s="35">
        <f>'1kpi_performance'!L536</f>
        <v>2.554274939</v>
      </c>
      <c r="AW536" s="35">
        <f>'1kpi_performance'!M536</f>
        <v>0.3906036235</v>
      </c>
      <c r="AX536" s="42">
        <f>'1kpi_performance'!N536</f>
        <v>0.1767209591</v>
      </c>
      <c r="AY536" s="42">
        <f>'1kpi_performance'!O536</f>
        <v>0.1002835782</v>
      </c>
      <c r="AZ536" s="42">
        <f>'1kpi_performance'!P536</f>
        <v>0.3560249992</v>
      </c>
      <c r="BA536" s="42">
        <f>'1kpi_performance'!Q536</f>
        <v>0.5229065279</v>
      </c>
      <c r="BB536" s="35">
        <f>'1kpi_performance'!R536</f>
        <v>4.85773103</v>
      </c>
      <c r="BC536" s="35">
        <f>'1kpi_performance'!S536</f>
        <v>8.970435346</v>
      </c>
      <c r="BD536" s="35">
        <f>'1kpi_performance'!T536</f>
        <v>5.218984233</v>
      </c>
      <c r="BE536" s="35">
        <f>'1kpi_performance'!U536</f>
        <v>0.7815188984</v>
      </c>
      <c r="BF536" s="47"/>
      <c r="BG536" s="47"/>
      <c r="BH536" s="47"/>
      <c r="BI536" s="47"/>
      <c r="BJ536" s="47"/>
      <c r="BK536" s="47"/>
      <c r="BL536" s="47"/>
      <c r="BM536" s="47"/>
      <c r="BN536" s="47"/>
      <c r="BO536" s="47"/>
      <c r="BP536" s="47"/>
      <c r="BQ536" s="47"/>
      <c r="BR536" s="47"/>
      <c r="BS536" s="47"/>
      <c r="BT536" s="47"/>
    </row>
    <row r="537" ht="11.25" customHeight="1">
      <c r="A537" s="35" t="str">
        <f>'13all_company_profile'!A537</f>
        <v>SEE</v>
      </c>
      <c r="B537" s="35" t="str">
        <f>'13all_company_profile'!B537</f>
        <v>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v>
      </c>
      <c r="C537" s="44" t="str">
        <f>'13all_company_profile'!C537</f>
        <v>https://financialmodelingprep.com/image-stock/SEE.png</v>
      </c>
      <c r="D537" s="35" t="str">
        <f>'13all_company_profile'!D537</f>
        <v>Sealed Air Corporation</v>
      </c>
      <c r="E537" s="36">
        <f>'13all_company_profile'!E537</f>
        <v>8680148992</v>
      </c>
      <c r="F537" s="37">
        <f>'13all_company_profile'!F537</f>
        <v>1310103</v>
      </c>
      <c r="G537" s="35">
        <f>'13all_company_profile'!G537</f>
        <v>0.68</v>
      </c>
      <c r="H537" s="38">
        <f>'13all_company_profile'!H537</f>
        <v>44411</v>
      </c>
      <c r="I537" s="35">
        <f>'13all_company_profile'!I537</f>
        <v>18.016714</v>
      </c>
      <c r="J537" s="35">
        <f>'13all_company_profile'!J537</f>
        <v>3.111</v>
      </c>
      <c r="K537" s="42">
        <f t="shared" si="1"/>
        <v>0.01247935401</v>
      </c>
      <c r="L537" s="35">
        <f>'7company_info'!B537</f>
        <v>54.49</v>
      </c>
      <c r="M537" s="35">
        <f>'7company_info'!C537</f>
        <v>55.79</v>
      </c>
      <c r="N537" s="35">
        <f>'7company_info'!D537</f>
        <v>54.48</v>
      </c>
      <c r="O537" s="35">
        <f>'7company_info'!E537</f>
        <v>-0.54</v>
      </c>
      <c r="P537" s="35">
        <f>'7company_info'!F537</f>
        <v>-0.0098</v>
      </c>
      <c r="Q537" s="35">
        <f>'7company_info'!G537</f>
        <v>55.16</v>
      </c>
      <c r="R537" s="35">
        <f>'7company_info'!H537</f>
        <v>55.03</v>
      </c>
      <c r="S537" s="35">
        <f>'7company_info'!I537</f>
        <v>34.59</v>
      </c>
      <c r="T537" s="35">
        <f>'7company_info'!J537</f>
        <v>59.7</v>
      </c>
      <c r="U537" s="39">
        <v>57.0433333333333</v>
      </c>
      <c r="V537" s="39">
        <v>57.5066666666666</v>
      </c>
      <c r="W537" s="40">
        <v>57.8033333333333</v>
      </c>
      <c r="X537" s="40">
        <v>58.5633333333333</v>
      </c>
      <c r="Y537" s="40">
        <v>56.7466666666666</v>
      </c>
      <c r="Z537" s="40">
        <v>56.2833333333333</v>
      </c>
      <c r="AA537" s="40">
        <v>55.5233333333333</v>
      </c>
      <c r="AB537" s="40">
        <v>58.01</v>
      </c>
      <c r="AC537" s="40">
        <v>59.7</v>
      </c>
      <c r="AD537" s="40">
        <v>58.0108289898727</v>
      </c>
      <c r="AE537" s="40">
        <v>54.83165</v>
      </c>
      <c r="AF537" s="40">
        <v>0.987675000000001</v>
      </c>
      <c r="AG537" s="40">
        <v>59.7</v>
      </c>
      <c r="AH537" s="45">
        <v>44378.0</v>
      </c>
      <c r="AI537" s="44" t="str">
        <f>'6image_RS_benchmark_performance'!B537</f>
        <v>https://3arbzfbsh-cname-us.ngrok.io/Desktop/seabridge%20fintech/image_app/SEE_resistance_support.jpg</v>
      </c>
      <c r="AJ537" s="44" t="str">
        <f>'6image_RS_benchmark_performance'!C537</f>
        <v>https://3arbzfbsh-cname-us.ngrok.io/Desktop/seabridge%20fintech/profit_graph_app/SEE_Return.jpg</v>
      </c>
      <c r="AK537" s="46" t="str">
        <f>'5price_action_icon'!B537</f>
        <v>https://3arbzfbsh-cname-us.ngrok.io/Desktop/seabridge%20fintech/icon/SEE_pa_trend_signal</v>
      </c>
      <c r="AL537" s="42">
        <f>'1kpi_performance'!B537</f>
        <v>0.6592167002</v>
      </c>
      <c r="AM537" s="42">
        <f>'1kpi_performance'!C537</f>
        <v>0.8728466909</v>
      </c>
      <c r="AN537" s="42">
        <f>'1kpi_performance'!D537</f>
        <v>0.6707560548</v>
      </c>
      <c r="AO537" s="42">
        <f>'1kpi_performance'!E537</f>
        <v>0.1334227721</v>
      </c>
      <c r="AP537" s="42">
        <f>'1kpi_performance'!F537</f>
        <v>0.239272362</v>
      </c>
      <c r="AQ537" s="42">
        <f>'1kpi_performance'!G537</f>
        <v>0.2406112047</v>
      </c>
      <c r="AR537" s="42">
        <f>'1kpi_performance'!H537</f>
        <v>0.2605002098</v>
      </c>
      <c r="AS537" s="42">
        <f>'1kpi_performance'!I537</f>
        <v>0.3611813145</v>
      </c>
      <c r="AT537" s="35">
        <f>'1kpi_performance'!J537</f>
        <v>2.650605757</v>
      </c>
      <c r="AU537" s="35">
        <f>'1kpi_performance'!K537</f>
        <v>3.523720734</v>
      </c>
      <c r="AV537" s="35">
        <f>'1kpi_performance'!L537</f>
        <v>2.478908003</v>
      </c>
      <c r="AW537" s="35">
        <f>'1kpi_performance'!M537</f>
        <v>0.3001893171</v>
      </c>
      <c r="AX537" s="42">
        <f>'1kpi_performance'!N537</f>
        <v>0.1165584416</v>
      </c>
      <c r="AY537" s="42">
        <f>'1kpi_performance'!O537</f>
        <v>0.1031973564</v>
      </c>
      <c r="AZ537" s="42">
        <f>'1kpi_performance'!P537</f>
        <v>0.5583794665</v>
      </c>
      <c r="BA537" s="42">
        <f>'1kpi_performance'!Q537</f>
        <v>0.6832129964</v>
      </c>
      <c r="BB537" s="35">
        <f>'1kpi_performance'!R537</f>
        <v>6.0088184</v>
      </c>
      <c r="BC537" s="35">
        <f>'1kpi_performance'!S537</f>
        <v>8.703445559</v>
      </c>
      <c r="BD537" s="35">
        <f>'1kpi_performance'!T537</f>
        <v>5.15080346</v>
      </c>
      <c r="BE537" s="35">
        <f>'1kpi_performance'!U537</f>
        <v>0.5862589443</v>
      </c>
      <c r="BF537" s="47"/>
      <c r="BG537" s="47"/>
      <c r="BH537" s="47"/>
      <c r="BI537" s="47"/>
      <c r="BJ537" s="47"/>
      <c r="BK537" s="47"/>
      <c r="BL537" s="47"/>
      <c r="BM537" s="47"/>
      <c r="BN537" s="47"/>
      <c r="BO537" s="47"/>
      <c r="BP537" s="47"/>
      <c r="BQ537" s="47"/>
      <c r="BR537" s="47"/>
      <c r="BS537" s="47"/>
      <c r="BT537" s="47"/>
    </row>
    <row r="538" ht="11.25" customHeight="1">
      <c r="A538" s="35" t="str">
        <f>'13all_company_profile'!A538</f>
        <v>SFM</v>
      </c>
      <c r="B538" s="35" t="str">
        <f>'13all_company_profile'!B538</f>
        <v>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v>
      </c>
      <c r="C538" s="44" t="str">
        <f>'13all_company_profile'!C538</f>
        <v>https://financialmodelingprep.com/image-stock/SFM.png</v>
      </c>
      <c r="D538" s="35" t="str">
        <f>'13all_company_profile'!D538</f>
        <v>Sprouts Farmers Market, Inc.</v>
      </c>
      <c r="E538" s="36">
        <f>'13all_company_profile'!E538</f>
        <v>3007640576</v>
      </c>
      <c r="F538" s="37">
        <f>'13all_company_profile'!F538</f>
        <v>2273750</v>
      </c>
      <c r="G538" s="35">
        <f>'13all_company_profile'!G538</f>
        <v>0</v>
      </c>
      <c r="H538" s="38">
        <f>'13all_company_profile'!H538</f>
        <v>44404</v>
      </c>
      <c r="I538" s="35">
        <f>'13all_company_profile'!I538</f>
        <v>10.933645</v>
      </c>
      <c r="J538" s="35">
        <f>'13all_company_profile'!J538</f>
        <v>2.351</v>
      </c>
      <c r="K538" s="42" t="str">
        <f t="shared" si="1"/>
        <v>NaN</v>
      </c>
      <c r="L538" s="35">
        <f>'7company_info'!B538</f>
        <v>25.67</v>
      </c>
      <c r="M538" s="35">
        <f>'7company_info'!C538</f>
        <v>25.96</v>
      </c>
      <c r="N538" s="35">
        <f>'7company_info'!D538</f>
        <v>25.46</v>
      </c>
      <c r="O538" s="35">
        <f>'7company_info'!E538</f>
        <v>-0.18</v>
      </c>
      <c r="P538" s="35">
        <f>'7company_info'!F538</f>
        <v>-0.007</v>
      </c>
      <c r="Q538" s="35">
        <f>'7company_info'!G538</f>
        <v>25.9</v>
      </c>
      <c r="R538" s="35">
        <f>'7company_info'!H538</f>
        <v>25.85</v>
      </c>
      <c r="S538" s="35">
        <f>'7company_info'!I538</f>
        <v>18.21</v>
      </c>
      <c r="T538" s="35">
        <f>'7company_info'!J538</f>
        <v>29.35</v>
      </c>
      <c r="U538" s="39">
        <v>25.5783333333333</v>
      </c>
      <c r="V538" s="39">
        <v>25.7666666666666</v>
      </c>
      <c r="W538" s="40">
        <v>26.0833333333333</v>
      </c>
      <c r="X538" s="40">
        <v>26.5883333333333</v>
      </c>
      <c r="Y538" s="40">
        <v>25.2616666666666</v>
      </c>
      <c r="Z538" s="40">
        <v>25.0733333333333</v>
      </c>
      <c r="AA538" s="40">
        <v>24.5683333333333</v>
      </c>
      <c r="AB538" s="40">
        <v>24.54</v>
      </c>
      <c r="AC538" s="40">
        <v>25.5</v>
      </c>
      <c r="AD538" s="40">
        <v>26.2242572827696</v>
      </c>
      <c r="AE538" s="40">
        <v>24.051</v>
      </c>
      <c r="AF538" s="40">
        <v>0.789499999999999</v>
      </c>
      <c r="AG538" s="40">
        <v>29.35</v>
      </c>
      <c r="AH538" s="45">
        <v>44357.0</v>
      </c>
      <c r="AI538" s="44" t="str">
        <f>'6image_RS_benchmark_performance'!B538</f>
        <v>https://3arbzfbsh-cname-us.ngrok.io/Desktop/seabridge%20fintech/image_app/SFM_resistance_support.jpg</v>
      </c>
      <c r="AJ538" s="44" t="str">
        <f>'6image_RS_benchmark_performance'!C538</f>
        <v>https://3arbzfbsh-cname-us.ngrok.io/Desktop/seabridge%20fintech/profit_graph_app/SFM_Return.jpg</v>
      </c>
      <c r="AK538" s="46" t="str">
        <f>'5price_action_icon'!B538</f>
        <v>https://3arbzfbsh-cname-us.ngrok.io/Desktop/seabridge%20fintech/icon/SFM_pa_trend_signal</v>
      </c>
      <c r="AL538" s="42">
        <f>'1kpi_performance'!B538</f>
        <v>0.6323645668</v>
      </c>
      <c r="AM538" s="42">
        <f>'1kpi_performance'!C538</f>
        <v>0.859463952</v>
      </c>
      <c r="AN538" s="42">
        <f>'1kpi_performance'!D538</f>
        <v>0.5670862413</v>
      </c>
      <c r="AO538" s="42">
        <f>'1kpi_performance'!E538</f>
        <v>-0.07858326788</v>
      </c>
      <c r="AP538" s="42">
        <f>'1kpi_performance'!F538</f>
        <v>0.2832241661</v>
      </c>
      <c r="AQ538" s="42">
        <f>'1kpi_performance'!G538</f>
        <v>0.288205497</v>
      </c>
      <c r="AR538" s="42">
        <f>'1kpi_performance'!H538</f>
        <v>0.2945667232</v>
      </c>
      <c r="AS538" s="42">
        <f>'1kpi_performance'!I538</f>
        <v>0.427922498</v>
      </c>
      <c r="AT538" s="35">
        <f>'1kpi_performance'!J538</f>
        <v>2.144465902</v>
      </c>
      <c r="AU538" s="35">
        <f>'1kpi_performance'!K538</f>
        <v>2.895378334</v>
      </c>
      <c r="AV538" s="35">
        <f>'1kpi_performance'!L538</f>
        <v>1.840283367</v>
      </c>
      <c r="AW538" s="35">
        <f>'1kpi_performance'!M538</f>
        <v>-0.2420608133</v>
      </c>
      <c r="AX538" s="42">
        <f>'1kpi_performance'!N538</f>
        <v>0.1618409325</v>
      </c>
      <c r="AY538" s="42">
        <f>'1kpi_performance'!O538</f>
        <v>0.1286130838</v>
      </c>
      <c r="AZ538" s="42">
        <f>'1kpi_performance'!P538</f>
        <v>0.3420879817</v>
      </c>
      <c r="BA538" s="42">
        <f>'1kpi_performance'!Q538</f>
        <v>0.7287721442</v>
      </c>
      <c r="BB538" s="35">
        <f>'1kpi_performance'!R538</f>
        <v>4.897074947</v>
      </c>
      <c r="BC538" s="35">
        <f>'1kpi_performance'!S538</f>
        <v>7.225364424</v>
      </c>
      <c r="BD538" s="35">
        <f>'1kpi_performance'!T538</f>
        <v>3.93434518</v>
      </c>
      <c r="BE538" s="35">
        <f>'1kpi_performance'!U538</f>
        <v>-0.4617032366</v>
      </c>
      <c r="BF538" s="47"/>
      <c r="BG538" s="47"/>
      <c r="BH538" s="47"/>
      <c r="BI538" s="47"/>
      <c r="BJ538" s="47"/>
      <c r="BK538" s="47"/>
      <c r="BL538" s="47"/>
      <c r="BM538" s="47"/>
      <c r="BN538" s="47"/>
      <c r="BO538" s="47"/>
      <c r="BP538" s="47"/>
      <c r="BQ538" s="47"/>
      <c r="BR538" s="47"/>
      <c r="BS538" s="47"/>
      <c r="BT538" s="47"/>
    </row>
    <row r="539" ht="11.25" customHeight="1">
      <c r="A539" s="35" t="str">
        <f>'13all_company_profile'!A539</f>
        <v>SGEN</v>
      </c>
      <c r="B539" s="35" t="str">
        <f>'13all_company_profile'!B539</f>
        <v>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v>
      </c>
      <c r="C539" s="44" t="str">
        <f>'13all_company_profile'!C539</f>
        <v>https://financialmodelingprep.com/image-stock/SGEN.png</v>
      </c>
      <c r="D539" s="35" t="str">
        <f>'13all_company_profile'!D539</f>
        <v>Seagen Inc.</v>
      </c>
      <c r="E539" s="36">
        <f>'13all_company_profile'!E539</f>
        <v>26127243264</v>
      </c>
      <c r="F539" s="37">
        <f>'13all_company_profile'!F539</f>
        <v>812260</v>
      </c>
      <c r="G539" s="35">
        <f>'13all_company_profile'!G539</f>
        <v>0</v>
      </c>
      <c r="H539" s="38">
        <f>'13all_company_profile'!H539</f>
        <v>44405</v>
      </c>
      <c r="I539" s="35">
        <f>'13all_company_profile'!I539</f>
        <v>40.61663</v>
      </c>
      <c r="J539" s="35">
        <f>'13all_company_profile'!J539</f>
        <v>3.584</v>
      </c>
      <c r="K539" s="42" t="str">
        <f t="shared" si="1"/>
        <v>NaN</v>
      </c>
      <c r="L539" s="35">
        <f>'7company_info'!B539</f>
        <v>145.3</v>
      </c>
      <c r="M539" s="35">
        <f>'7company_info'!C539</f>
        <v>147.1</v>
      </c>
      <c r="N539" s="35">
        <f>'7company_info'!D539</f>
        <v>143.7</v>
      </c>
      <c r="O539" s="35">
        <f>'7company_info'!E539</f>
        <v>0.89</v>
      </c>
      <c r="P539" s="35">
        <f>'7company_info'!F539</f>
        <v>0.0062</v>
      </c>
      <c r="Q539" s="35">
        <f>'7company_info'!G539</f>
        <v>144.69</v>
      </c>
      <c r="R539" s="35">
        <f>'7company_info'!H539</f>
        <v>144.41</v>
      </c>
      <c r="S539" s="35">
        <f>'7company_info'!I539</f>
        <v>133.2</v>
      </c>
      <c r="T539" s="35">
        <f>'7company_info'!J539</f>
        <v>213.94</v>
      </c>
      <c r="U539" s="39">
        <v>142.848333333333</v>
      </c>
      <c r="V539" s="39">
        <v>144.531666666666</v>
      </c>
      <c r="W539" s="40">
        <v>146.613333333333</v>
      </c>
      <c r="X539" s="40">
        <v>150.378333333333</v>
      </c>
      <c r="Y539" s="40">
        <v>140.766666666666</v>
      </c>
      <c r="Z539" s="40">
        <v>139.083333333333</v>
      </c>
      <c r="AA539" s="40">
        <v>135.318333333333</v>
      </c>
      <c r="AB539" s="40">
        <v>154.68</v>
      </c>
      <c r="AC539" s="40">
        <v>161.93</v>
      </c>
      <c r="AD539" s="40">
        <v>151.496986269213</v>
      </c>
      <c r="AE539" s="40">
        <v>135.73751</v>
      </c>
      <c r="AF539" s="40">
        <v>4.053495</v>
      </c>
      <c r="AG539" s="40">
        <v>199.0</v>
      </c>
      <c r="AH539" s="45">
        <v>44232.0</v>
      </c>
      <c r="AI539" s="44" t="str">
        <f>'6image_RS_benchmark_performance'!B539</f>
        <v>https://3arbzfbsh-cname-us.ngrok.io/Desktop/seabridge%20fintech/image_app/SGEN_resistance_support.jpg</v>
      </c>
      <c r="AJ539" s="44" t="str">
        <f>'6image_RS_benchmark_performance'!C539</f>
        <v>https://3arbzfbsh-cname-us.ngrok.io/Desktop/seabridge%20fintech/profit_graph_app/SGEN_Return.jpg</v>
      </c>
      <c r="AK539" s="46" t="str">
        <f>'5price_action_icon'!B539</f>
        <v>https://3arbzfbsh-cname-us.ngrok.io/Desktop/seabridge%20fintech/icon/SGEN_pa_trend_signal</v>
      </c>
      <c r="AL539" s="42">
        <f>'1kpi_performance'!B539</f>
        <v>1.26570724</v>
      </c>
      <c r="AM539" s="42">
        <f>'1kpi_performance'!C539</f>
        <v>1.452773861</v>
      </c>
      <c r="AN539" s="42">
        <f>'1kpi_performance'!D539</f>
        <v>1.584815918</v>
      </c>
      <c r="AO539" s="42">
        <f>'1kpi_performance'!E539</f>
        <v>0.385253103</v>
      </c>
      <c r="AP539" s="42">
        <f>'1kpi_performance'!F539</f>
        <v>0.3562041217</v>
      </c>
      <c r="AQ539" s="42">
        <f>'1kpi_performance'!G539</f>
        <v>0.3705928726</v>
      </c>
      <c r="AR539" s="42">
        <f>'1kpi_performance'!H539</f>
        <v>0.3902024839</v>
      </c>
      <c r="AS539" s="42">
        <f>'1kpi_performance'!I539</f>
        <v>0.5175350039</v>
      </c>
      <c r="AT539" s="35">
        <f>'1kpi_performance'!J539</f>
        <v>3.483135552</v>
      </c>
      <c r="AU539" s="35">
        <f>'1kpi_performance'!K539</f>
        <v>3.852674907</v>
      </c>
      <c r="AV539" s="35">
        <f>'1kpi_performance'!L539</f>
        <v>3.997452559</v>
      </c>
      <c r="AW539" s="35">
        <f>'1kpi_performance'!M539</f>
        <v>0.6960941778</v>
      </c>
      <c r="AX539" s="42">
        <f>'1kpi_performance'!N539</f>
        <v>0.2226548352</v>
      </c>
      <c r="AY539" s="42">
        <f>'1kpi_performance'!O539</f>
        <v>0.1599383278</v>
      </c>
      <c r="AZ539" s="42">
        <f>'1kpi_performance'!P539</f>
        <v>0.3873436625</v>
      </c>
      <c r="BA539" s="42">
        <f>'1kpi_performance'!Q539</f>
        <v>0.5126949583</v>
      </c>
      <c r="BB539" s="35">
        <f>'1kpi_performance'!R539</f>
        <v>8.185305858</v>
      </c>
      <c r="BC539" s="35">
        <f>'1kpi_performance'!S539</f>
        <v>9.357626568</v>
      </c>
      <c r="BD539" s="35">
        <f>'1kpi_performance'!T539</f>
        <v>9.122787167</v>
      </c>
      <c r="BE539" s="35">
        <f>'1kpi_performance'!U539</f>
        <v>1.436658533</v>
      </c>
      <c r="BF539" s="47"/>
      <c r="BG539" s="47"/>
      <c r="BH539" s="47"/>
      <c r="BI539" s="47"/>
      <c r="BJ539" s="47"/>
      <c r="BK539" s="47"/>
      <c r="BL539" s="47"/>
      <c r="BM539" s="47"/>
      <c r="BN539" s="47"/>
      <c r="BO539" s="47"/>
      <c r="BP539" s="47"/>
      <c r="BQ539" s="47"/>
      <c r="BR539" s="47"/>
      <c r="BS539" s="47"/>
      <c r="BT539" s="47"/>
    </row>
    <row r="540" ht="11.25" customHeight="1">
      <c r="A540" s="35" t="str">
        <f>'13all_company_profile'!A540</f>
        <v>SHW</v>
      </c>
      <c r="B540" s="35" t="str">
        <f>'13all_company_profile'!B540</f>
        <v>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v>
      </c>
      <c r="C540" s="44" t="str">
        <f>'13all_company_profile'!C540</f>
        <v>https://financialmodelingprep.com/image-stock/SHW.png</v>
      </c>
      <c r="D540" s="35" t="str">
        <f>'13all_company_profile'!D540</f>
        <v>The Sherwin-Williams Company</v>
      </c>
      <c r="E540" s="36">
        <f>'13all_company_profile'!E540</f>
        <v>74231963648</v>
      </c>
      <c r="F540" s="37">
        <f>'13all_company_profile'!F540</f>
        <v>1164744</v>
      </c>
      <c r="G540" s="35">
        <f>'13all_company_profile'!G540</f>
        <v>1.993334</v>
      </c>
      <c r="H540" s="38">
        <f>'13all_company_profile'!H540</f>
        <v>44404</v>
      </c>
      <c r="I540" s="35">
        <f>'13all_company_profile'!I540</f>
        <v>36.602898</v>
      </c>
      <c r="J540" s="35">
        <f>'13all_company_profile'!J540</f>
        <v>7.736</v>
      </c>
      <c r="K540" s="42">
        <f t="shared" si="1"/>
        <v>0.007087661784</v>
      </c>
      <c r="L540" s="35">
        <f>'7company_info'!B540</f>
        <v>281.24</v>
      </c>
      <c r="M540" s="35">
        <f>'7company_info'!C540</f>
        <v>282.84</v>
      </c>
      <c r="N540" s="35">
        <f>'7company_info'!D540</f>
        <v>275.88</v>
      </c>
      <c r="O540" s="35">
        <f>'7company_info'!E540</f>
        <v>-1.69</v>
      </c>
      <c r="P540" s="35">
        <f>'7company_info'!F540</f>
        <v>-0.006</v>
      </c>
      <c r="Q540" s="35">
        <f>'7company_info'!G540</f>
        <v>276.48</v>
      </c>
      <c r="R540" s="35">
        <f>'7company_info'!H540</f>
        <v>282.93</v>
      </c>
      <c r="S540" s="35">
        <f>'7company_info'!I540</f>
        <v>202.17</v>
      </c>
      <c r="T540" s="35">
        <f>'7company_info'!J540</f>
        <v>293.05</v>
      </c>
      <c r="U540" s="39">
        <v>277.231666666666</v>
      </c>
      <c r="V540" s="39">
        <v>279.313333333333</v>
      </c>
      <c r="W540" s="40">
        <v>281.696666666666</v>
      </c>
      <c r="X540" s="40">
        <v>286.161666666666</v>
      </c>
      <c r="Y540" s="40">
        <v>274.848333333333</v>
      </c>
      <c r="Z540" s="40">
        <v>272.766666666666</v>
      </c>
      <c r="AA540" s="40">
        <v>268.301666666666</v>
      </c>
      <c r="AB540" s="40">
        <v>273.45</v>
      </c>
      <c r="AC540" s="40">
        <v>275.96</v>
      </c>
      <c r="AD540" s="40">
        <v>275.423633580193</v>
      </c>
      <c r="AE540" s="40">
        <v>269.93258</v>
      </c>
      <c r="AF540" s="40">
        <v>4.09195999999999</v>
      </c>
      <c r="AG540" s="40">
        <v>293.045</v>
      </c>
      <c r="AH540" s="45">
        <v>44326.0</v>
      </c>
      <c r="AI540" s="44" t="str">
        <f>'6image_RS_benchmark_performance'!B540</f>
        <v>https://3arbzfbsh-cname-us.ngrok.io/Desktop/seabridge%20fintech/image_app/SHW_resistance_support.jpg</v>
      </c>
      <c r="AJ540" s="44" t="str">
        <f>'6image_RS_benchmark_performance'!C540</f>
        <v>https://3arbzfbsh-cname-us.ngrok.io/Desktop/seabridge%20fintech/profit_graph_app/SHW_Return.jpg</v>
      </c>
      <c r="AK540" s="46" t="str">
        <f>'5price_action_icon'!B540</f>
        <v>https://3arbzfbsh-cname-us.ngrok.io/Desktop/seabridge%20fintech/icon/SHW_pa_trend_signal</v>
      </c>
      <c r="AL540" s="42">
        <f>'1kpi_performance'!B540</f>
        <v>0.6134597024</v>
      </c>
      <c r="AM540" s="42">
        <f>'1kpi_performance'!C540</f>
        <v>0.82051514</v>
      </c>
      <c r="AN540" s="42">
        <f>'1kpi_performance'!D540</f>
        <v>0.4260161864</v>
      </c>
      <c r="AO540" s="42">
        <f>'1kpi_performance'!E540</f>
        <v>0.3915266601</v>
      </c>
      <c r="AP540" s="42">
        <f>'1kpi_performance'!F540</f>
        <v>0.1863275354</v>
      </c>
      <c r="AQ540" s="42">
        <f>'1kpi_performance'!G540</f>
        <v>0.2074455744</v>
      </c>
      <c r="AR540" s="42">
        <f>'1kpi_performance'!H540</f>
        <v>0.1975684267</v>
      </c>
      <c r="AS540" s="42">
        <f>'1kpi_performance'!I540</f>
        <v>0.2885774806</v>
      </c>
      <c r="AT540" s="35">
        <f>'1kpi_performance'!J540</f>
        <v>3.158200429</v>
      </c>
      <c r="AU540" s="35">
        <f>'1kpi_performance'!K540</f>
        <v>3.834813744</v>
      </c>
      <c r="AV540" s="35">
        <f>'1kpi_performance'!L540</f>
        <v>2.029758465</v>
      </c>
      <c r="AW540" s="35">
        <f>'1kpi_performance'!M540</f>
        <v>1.270115254</v>
      </c>
      <c r="AX540" s="42">
        <f>'1kpi_performance'!N540</f>
        <v>0.1282610049</v>
      </c>
      <c r="AY540" s="42">
        <f>'1kpi_performance'!O540</f>
        <v>0.1282610049</v>
      </c>
      <c r="AZ540" s="42">
        <f>'1kpi_performance'!P540</f>
        <v>0.3098228888</v>
      </c>
      <c r="BA540" s="42">
        <f>'1kpi_performance'!Q540</f>
        <v>0.3349984913</v>
      </c>
      <c r="BB540" s="35">
        <f>'1kpi_performance'!R540</f>
        <v>6.971489022</v>
      </c>
      <c r="BC540" s="35">
        <f>'1kpi_performance'!S540</f>
        <v>9.437834219</v>
      </c>
      <c r="BD540" s="35">
        <f>'1kpi_performance'!T540</f>
        <v>3.947272313</v>
      </c>
      <c r="BE540" s="35">
        <f>'1kpi_performance'!U540</f>
        <v>2.492090788</v>
      </c>
      <c r="BF540" s="47"/>
      <c r="BG540" s="47"/>
      <c r="BH540" s="47"/>
      <c r="BI540" s="47"/>
      <c r="BJ540" s="47"/>
      <c r="BK540" s="47"/>
      <c r="BL540" s="47"/>
      <c r="BM540" s="47"/>
      <c r="BN540" s="47"/>
      <c r="BO540" s="47"/>
      <c r="BP540" s="47"/>
      <c r="BQ540" s="47"/>
      <c r="BR540" s="47"/>
      <c r="BS540" s="47"/>
      <c r="BT540" s="47"/>
    </row>
    <row r="541" ht="11.25" customHeight="1">
      <c r="A541" s="35" t="str">
        <f>'13all_company_profile'!A541</f>
        <v>SHY</v>
      </c>
      <c r="B541" s="35" t="str">
        <f>'13all_company_profile'!B541</f>
        <v>SHY was created on 07/22/02 by Blackrock. The iShares 1-3 Year Treasury Bond ETF (the “Fund”) seeks to track the investment results of an index composed of U.S. Treasury bonds with remaining maturities between one and three years.</v>
      </c>
      <c r="C541" s="44" t="str">
        <f>'13all_company_profile'!C541</f>
        <v>https://financialmodelingprep.com/image-stock/SHY.png</v>
      </c>
      <c r="D541" s="35" t="str">
        <f>'13all_company_profile'!D541</f>
        <v>iShares 1-3 Year Treasury Bond ETF</v>
      </c>
      <c r="E541" s="36">
        <f>'13all_company_profile'!E541</f>
        <v>18041659392</v>
      </c>
      <c r="F541" s="37">
        <f>'13all_company_profile'!F541</f>
        <v>2510680</v>
      </c>
      <c r="G541" s="35">
        <f>'13all_company_profile'!G541</f>
        <v>0.327</v>
      </c>
      <c r="H541" s="38" t="str">
        <f>'13all_company_profile'!H541</f>
        <v>not avaiable</v>
      </c>
      <c r="I541" s="35">
        <f>'13all_company_profile'!I541</f>
        <v>62.550797</v>
      </c>
      <c r="J541" s="35">
        <f>'13all_company_profile'!J541</f>
        <v>1.378</v>
      </c>
      <c r="K541" s="42">
        <f t="shared" si="1"/>
        <v>0.003790425409</v>
      </c>
      <c r="L541" s="35">
        <f>'7company_info'!B541</f>
        <v>86.27</v>
      </c>
      <c r="M541" s="35">
        <f>'7company_info'!C541</f>
        <v>86.29</v>
      </c>
      <c r="N541" s="35">
        <f>'7company_info'!D541</f>
        <v>86.25</v>
      </c>
      <c r="O541" s="35">
        <f>'7company_info'!E541</f>
        <v>0.04</v>
      </c>
      <c r="P541" s="35">
        <f>'7company_info'!F541</f>
        <v>0.0005</v>
      </c>
      <c r="Q541" s="35">
        <f>'7company_info'!G541</f>
        <v>86.28</v>
      </c>
      <c r="R541" s="35">
        <f>'7company_info'!H541</f>
        <v>86.23</v>
      </c>
      <c r="S541" s="35">
        <f>'7company_info'!I541</f>
        <v>86.06</v>
      </c>
      <c r="T541" s="35">
        <f>'7company_info'!J541</f>
        <v>86.63</v>
      </c>
      <c r="U541" s="39">
        <v>86.1833333333333</v>
      </c>
      <c r="V541" s="39">
        <v>86.1966666666666</v>
      </c>
      <c r="W541" s="40">
        <v>86.2033333333333</v>
      </c>
      <c r="X541" s="40">
        <v>86.2233333333333</v>
      </c>
      <c r="Y541" s="40">
        <v>86.1766666666666</v>
      </c>
      <c r="Z541" s="40">
        <v>86.1633333333333</v>
      </c>
      <c r="AA541" s="40">
        <v>86.1433333333333</v>
      </c>
      <c r="AB541" s="40">
        <v>86.21</v>
      </c>
      <c r="AC541" s="40">
        <v>86.22</v>
      </c>
      <c r="AD541" s="40">
        <v>86.1917894805614</v>
      </c>
      <c r="AE541" s="40">
        <v>86.039</v>
      </c>
      <c r="AF541" s="40">
        <v>0.0475000000000001</v>
      </c>
      <c r="AG541" s="40">
        <v>86.41</v>
      </c>
      <c r="AH541" s="45">
        <v>44223.0</v>
      </c>
      <c r="AI541" s="44" t="str">
        <f>'6image_RS_benchmark_performance'!B541</f>
        <v>https://3arbzfbsh-cname-us.ngrok.io/Desktop/seabridge%20fintech/image_app/SHY_resistance_support.jpg</v>
      </c>
      <c r="AJ541" s="44" t="str">
        <f>'6image_RS_benchmark_performance'!C541</f>
        <v>https://3arbzfbsh-cname-us.ngrok.io/Desktop/seabridge%20fintech/profit_graph_app/SHY_Return.jpg</v>
      </c>
      <c r="AK541" s="46" t="str">
        <f>'5price_action_icon'!B541</f>
        <v>https://3arbzfbsh-cname-us.ngrok.io/Desktop/seabridge%20fintech/icon/SHY_pa_trend_signal</v>
      </c>
      <c r="AL541" s="42">
        <f>'1kpi_performance'!B541</f>
        <v>0.01278639614</v>
      </c>
      <c r="AM541" s="42">
        <f>'1kpi_performance'!C541</f>
        <v>0.01710365816</v>
      </c>
      <c r="AN541" s="42">
        <f>'1kpi_performance'!D541</f>
        <v>0.01334432125</v>
      </c>
      <c r="AO541" s="42">
        <f>'1kpi_performance'!E541</f>
        <v>0.003928948945</v>
      </c>
      <c r="AP541" s="42">
        <f>'1kpi_performance'!F541</f>
        <v>0.008640786333</v>
      </c>
      <c r="AQ541" s="42">
        <f>'1kpi_performance'!G541</f>
        <v>0.008886093156</v>
      </c>
      <c r="AR541" s="42">
        <f>'1kpi_performance'!H541</f>
        <v>0.008282734318</v>
      </c>
      <c r="AS541" s="42">
        <f>'1kpi_performance'!I541</f>
        <v>0.01168086032</v>
      </c>
      <c r="AT541" s="35">
        <f>'1kpi_performance'!J541</f>
        <v>-1.413482915</v>
      </c>
      <c r="AU541" s="35">
        <f>'1kpi_performance'!K541</f>
        <v>-0.8886179452</v>
      </c>
      <c r="AV541" s="35">
        <f>'1kpi_performance'!L541</f>
        <v>-1.40722596</v>
      </c>
      <c r="AW541" s="35">
        <f>'1kpi_performance'!M541</f>
        <v>-1.803895473</v>
      </c>
      <c r="AX541" s="42">
        <f>'1kpi_performance'!N541</f>
        <v>0.008004778973</v>
      </c>
      <c r="AY541" s="42">
        <f>'1kpi_performance'!O541</f>
        <v>0.00646128995</v>
      </c>
      <c r="AZ541" s="42">
        <f>'1kpi_performance'!P541</f>
        <v>0.0138379657</v>
      </c>
      <c r="BA541" s="42">
        <f>'1kpi_performance'!Q541</f>
        <v>0.02917740801</v>
      </c>
      <c r="BB541" s="35">
        <f>'1kpi_performance'!R541</f>
        <v>-2.837596159</v>
      </c>
      <c r="BC541" s="35">
        <f>'1kpi_performance'!S541</f>
        <v>-1.92354893</v>
      </c>
      <c r="BD541" s="35">
        <f>'1kpi_performance'!T541</f>
        <v>-2.82043997</v>
      </c>
      <c r="BE541" s="35">
        <f>'1kpi_performance'!U541</f>
        <v>-3.517280511</v>
      </c>
      <c r="BF541" s="47"/>
      <c r="BG541" s="47"/>
      <c r="BH541" s="47"/>
      <c r="BI541" s="47"/>
      <c r="BJ541" s="47"/>
      <c r="BK541" s="47"/>
      <c r="BL541" s="47"/>
      <c r="BM541" s="47"/>
      <c r="BN541" s="47"/>
      <c r="BO541" s="47"/>
      <c r="BP541" s="47"/>
      <c r="BQ541" s="47"/>
      <c r="BR541" s="47"/>
      <c r="BS541" s="47"/>
      <c r="BT541" s="47"/>
    </row>
    <row r="542" ht="11.25" customHeight="1">
      <c r="A542" s="35" t="str">
        <f>'13all_company_profile'!A542</f>
        <v>SIRI</v>
      </c>
      <c r="B542" s="35" t="str">
        <f>'13all_company_profile'!B542</f>
        <v>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v>
      </c>
      <c r="C542" s="44" t="str">
        <f>'13all_company_profile'!C542</f>
        <v>https://financialmodelingprep.com/image-stock/SIRI.png</v>
      </c>
      <c r="D542" s="35" t="str">
        <f>'13all_company_profile'!D542</f>
        <v>Sirius XM Holdings Inc.</v>
      </c>
      <c r="E542" s="36">
        <f>'13all_company_profile'!E542</f>
        <v>26344558592</v>
      </c>
      <c r="F542" s="37">
        <f>'13all_company_profile'!F542</f>
        <v>20136688</v>
      </c>
      <c r="G542" s="35">
        <f>'13all_company_profile'!G542</f>
        <v>0.057641</v>
      </c>
      <c r="H542" s="38">
        <f>'13all_company_profile'!H542</f>
        <v>44404</v>
      </c>
      <c r="I542" s="35">
        <f>'13all_company_profile'!I542</f>
        <v>492.30768</v>
      </c>
      <c r="J542" s="35">
        <f>'13all_company_profile'!J542</f>
        <v>0.013</v>
      </c>
      <c r="K542" s="42">
        <f t="shared" si="1"/>
        <v>0.008827105666</v>
      </c>
      <c r="L542" s="35">
        <f>'7company_info'!B542</f>
        <v>6.53</v>
      </c>
      <c r="M542" s="35">
        <f>'7company_info'!C542</f>
        <v>6.59</v>
      </c>
      <c r="N542" s="35">
        <f>'7company_info'!D542</f>
        <v>6.36</v>
      </c>
      <c r="O542" s="35">
        <f>'7company_info'!E542</f>
        <v>0.19</v>
      </c>
      <c r="P542" s="35">
        <f>'7company_info'!F542</f>
        <v>0.03</v>
      </c>
      <c r="Q542" s="35">
        <f>'7company_info'!G542</f>
        <v>6.36</v>
      </c>
      <c r="R542" s="35">
        <f>'7company_info'!H542</f>
        <v>6.34</v>
      </c>
      <c r="S542" s="35">
        <f>'7company_info'!I542</f>
        <v>4.95</v>
      </c>
      <c r="T542" s="35">
        <f>'7company_info'!J542</f>
        <v>8.14</v>
      </c>
      <c r="U542" s="39">
        <v>6.50333333333333</v>
      </c>
      <c r="V542" s="39">
        <v>6.54666666666666</v>
      </c>
      <c r="W542" s="40">
        <v>6.59333333333333</v>
      </c>
      <c r="X542" s="40">
        <v>6.68333333333333</v>
      </c>
      <c r="Y542" s="40">
        <v>6.45666666666666</v>
      </c>
      <c r="Z542" s="40">
        <v>6.41333333333333</v>
      </c>
      <c r="AA542" s="40">
        <v>6.32333333333333</v>
      </c>
      <c r="AB542" s="40">
        <v>6.5925</v>
      </c>
      <c r="AC542" s="40">
        <v>6.66</v>
      </c>
      <c r="AD542" s="40">
        <v>6.4922047197689</v>
      </c>
      <c r="AE542" s="40">
        <v>6.1935</v>
      </c>
      <c r="AF542" s="40">
        <v>0.1255</v>
      </c>
      <c r="AG542" s="40">
        <v>8.14</v>
      </c>
      <c r="AH542" s="45">
        <v>44223.0</v>
      </c>
      <c r="AI542" s="44" t="str">
        <f>'6image_RS_benchmark_performance'!B542</f>
        <v>https://3arbzfbsh-cname-us.ngrok.io/Desktop/seabridge%20fintech/image_app/SIRI_resistance_support.jpg</v>
      </c>
      <c r="AJ542" s="44" t="str">
        <f>'6image_RS_benchmark_performance'!C542</f>
        <v>https://3arbzfbsh-cname-us.ngrok.io/Desktop/seabridge%20fintech/profit_graph_app/SIRI_Return.jpg</v>
      </c>
      <c r="AK542" s="46" t="str">
        <f>'5price_action_icon'!B542</f>
        <v>https://3arbzfbsh-cname-us.ngrok.io/Desktop/seabridge%20fintech/icon/SIRI_pa_trend_signal</v>
      </c>
      <c r="AL542" s="42">
        <f>'1kpi_performance'!B542</f>
        <v>0.6938902207</v>
      </c>
      <c r="AM542" s="42">
        <f>'1kpi_performance'!C542</f>
        <v>0.831660398</v>
      </c>
      <c r="AN542" s="42">
        <f>'1kpi_performance'!D542</f>
        <v>0.7448087835</v>
      </c>
      <c r="AO542" s="42">
        <f>'1kpi_performance'!E542</f>
        <v>0.3194228484</v>
      </c>
      <c r="AP542" s="42">
        <f>'1kpi_performance'!F542</f>
        <v>0.2728684572</v>
      </c>
      <c r="AQ542" s="42">
        <f>'1kpi_performance'!G542</f>
        <v>0.2569137978</v>
      </c>
      <c r="AR542" s="42">
        <f>'1kpi_performance'!H542</f>
        <v>0.2490459228</v>
      </c>
      <c r="AS542" s="42">
        <f>'1kpi_performance'!I542</f>
        <v>0.3844265739</v>
      </c>
      <c r="AT542" s="35">
        <f>'1kpi_performance'!J542</f>
        <v>2.451328481</v>
      </c>
      <c r="AU542" s="35">
        <f>'1kpi_performance'!K542</f>
        <v>3.139809558</v>
      </c>
      <c r="AV542" s="35">
        <f>'1kpi_performance'!L542</f>
        <v>2.890265278</v>
      </c>
      <c r="AW542" s="35">
        <f>'1kpi_performance'!M542</f>
        <v>0.76587538</v>
      </c>
      <c r="AX542" s="42">
        <f>'1kpi_performance'!N542</f>
        <v>0.2128318584</v>
      </c>
      <c r="AY542" s="42">
        <f>'1kpi_performance'!O542</f>
        <v>0.1177332682</v>
      </c>
      <c r="AZ542" s="42">
        <f>'1kpi_performance'!P542</f>
        <v>0.2000141403</v>
      </c>
      <c r="BA542" s="42">
        <f>'1kpi_performance'!Q542</f>
        <v>0.4188481675</v>
      </c>
      <c r="BB542" s="35">
        <f>'1kpi_performance'!R542</f>
        <v>5.324071885</v>
      </c>
      <c r="BC542" s="35">
        <f>'1kpi_performance'!S542</f>
        <v>7.83344145</v>
      </c>
      <c r="BD542" s="35">
        <f>'1kpi_performance'!T542</f>
        <v>6.729543282</v>
      </c>
      <c r="BE542" s="35">
        <f>'1kpi_performance'!U542</f>
        <v>1.530698672</v>
      </c>
      <c r="BF542" s="47"/>
      <c r="BG542" s="47"/>
      <c r="BH542" s="47"/>
      <c r="BI542" s="47"/>
      <c r="BJ542" s="47"/>
      <c r="BK542" s="47"/>
      <c r="BL542" s="47"/>
      <c r="BM542" s="47"/>
      <c r="BN542" s="47"/>
      <c r="BO542" s="47"/>
      <c r="BP542" s="47"/>
      <c r="BQ542" s="47"/>
      <c r="BR542" s="47"/>
      <c r="BS542" s="47"/>
      <c r="BT542" s="47"/>
    </row>
    <row r="543" ht="11.25" customHeight="1">
      <c r="A543" s="35" t="str">
        <f>'13all_company_profile'!A543</f>
        <v>SIVB</v>
      </c>
      <c r="B543" s="35" t="str">
        <f>'13all_company_profile'!B543</f>
        <v>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v>
      </c>
      <c r="C543" s="44" t="str">
        <f>'13all_company_profile'!C543</f>
        <v>https://financialmodelingprep.com/image-stock/SIVB.png</v>
      </c>
      <c r="D543" s="35" t="str">
        <f>'13all_company_profile'!D543</f>
        <v>SVB Financial Group</v>
      </c>
      <c r="E543" s="36">
        <f>'13all_company_profile'!E543</f>
        <v>31542407168</v>
      </c>
      <c r="F543" s="37">
        <f>'13all_company_profile'!F543</f>
        <v>416771</v>
      </c>
      <c r="G543" s="35">
        <f>'13all_company_profile'!G543</f>
        <v>0</v>
      </c>
      <c r="H543" s="38">
        <f>'13all_company_profile'!H543</f>
        <v>44399</v>
      </c>
      <c r="I543" s="35">
        <f>'13all_company_profile'!I543</f>
        <v>18.347431</v>
      </c>
      <c r="J543" s="35">
        <f>'13all_company_profile'!J543</f>
        <v>30.383</v>
      </c>
      <c r="K543" s="42" t="str">
        <f t="shared" si="1"/>
        <v>NaN</v>
      </c>
      <c r="L543" s="35">
        <f>'7company_info'!B543</f>
        <v>561.65</v>
      </c>
      <c r="M543" s="35">
        <f>'7company_info'!C543</f>
        <v>565.76</v>
      </c>
      <c r="N543" s="35">
        <f>'7company_info'!D543</f>
        <v>536.76</v>
      </c>
      <c r="O543" s="35">
        <f>'7company_info'!E543</f>
        <v>26.7</v>
      </c>
      <c r="P543" s="35">
        <f>'7company_info'!F543</f>
        <v>0.0499</v>
      </c>
      <c r="Q543" s="35">
        <f>'7company_info'!G543</f>
        <v>536.76</v>
      </c>
      <c r="R543" s="35">
        <f>'7company_info'!H543</f>
        <v>534.95</v>
      </c>
      <c r="S543" s="35">
        <f>'7company_info'!I543</f>
        <v>214.78</v>
      </c>
      <c r="T543" s="35">
        <f>'7company_info'!J543</f>
        <v>608.84</v>
      </c>
      <c r="U543" s="39">
        <v>579.916666666666</v>
      </c>
      <c r="V543" s="39">
        <v>590.403333333333</v>
      </c>
      <c r="W543" s="40">
        <v>600.576666666666</v>
      </c>
      <c r="X543" s="40">
        <v>621.236666666666</v>
      </c>
      <c r="Y543" s="40">
        <v>569.743333333333</v>
      </c>
      <c r="Z543" s="40">
        <v>559.256666666666</v>
      </c>
      <c r="AA543" s="40">
        <v>538.596666666666</v>
      </c>
      <c r="AB543" s="40">
        <v>550.8</v>
      </c>
      <c r="AC543" s="40">
        <v>556.46</v>
      </c>
      <c r="AD543" s="40">
        <v>566.453250512215</v>
      </c>
      <c r="AE543" s="40">
        <v>543.95273</v>
      </c>
      <c r="AF543" s="40">
        <v>17.973135</v>
      </c>
      <c r="AG543" s="40">
        <v>608.84</v>
      </c>
      <c r="AH543" s="45">
        <v>44355.0</v>
      </c>
      <c r="AI543" s="44" t="str">
        <f>'6image_RS_benchmark_performance'!B543</f>
        <v>https://3arbzfbsh-cname-us.ngrok.io/Desktop/seabridge%20fintech/image_app/SIVB_resistance_support.jpg</v>
      </c>
      <c r="AJ543" s="44" t="str">
        <f>'6image_RS_benchmark_performance'!C543</f>
        <v>https://3arbzfbsh-cname-us.ngrok.io/Desktop/seabridge%20fintech/profit_graph_app/SIVB_Return.jpg</v>
      </c>
      <c r="AK543" s="46" t="str">
        <f>'5price_action_icon'!B543</f>
        <v>https://3arbzfbsh-cname-us.ngrok.io/Desktop/seabridge%20fintech/icon/SIVB_pa_trend_signal</v>
      </c>
      <c r="AL543" s="42">
        <f>'1kpi_performance'!B543</f>
        <v>0.8980644282</v>
      </c>
      <c r="AM543" s="42">
        <f>'1kpi_performance'!C543</f>
        <v>1.285455518</v>
      </c>
      <c r="AN543" s="42">
        <f>'1kpi_performance'!D543</f>
        <v>1.200446598</v>
      </c>
      <c r="AO543" s="42">
        <f>'1kpi_performance'!E543</f>
        <v>0.3663612645</v>
      </c>
      <c r="AP543" s="42">
        <f>'1kpi_performance'!F543</f>
        <v>0.3120120491</v>
      </c>
      <c r="AQ543" s="42">
        <f>'1kpi_performance'!G543</f>
        <v>0.3236952501</v>
      </c>
      <c r="AR543" s="42">
        <f>'1kpi_performance'!H543</f>
        <v>0.325067153</v>
      </c>
      <c r="AS543" s="42">
        <f>'1kpi_performance'!I543</f>
        <v>0.4527896557</v>
      </c>
      <c r="AT543" s="35">
        <f>'1kpi_performance'!J543</f>
        <v>2.798175362</v>
      </c>
      <c r="AU543" s="35">
        <f>'1kpi_performance'!K543</f>
        <v>3.893957411</v>
      </c>
      <c r="AV543" s="35">
        <f>'1kpi_performance'!L543</f>
        <v>3.616011605</v>
      </c>
      <c r="AW543" s="35">
        <f>'1kpi_performance'!M543</f>
        <v>0.7539069417</v>
      </c>
      <c r="AX543" s="42">
        <f>'1kpi_performance'!N543</f>
        <v>0.2185881904</v>
      </c>
      <c r="AY543" s="42">
        <f>'1kpi_performance'!O543</f>
        <v>0.1876639655</v>
      </c>
      <c r="AZ543" s="42">
        <f>'1kpi_performance'!P543</f>
        <v>0.3637278614</v>
      </c>
      <c r="BA543" s="42">
        <f>'1kpi_performance'!Q543</f>
        <v>0.6045767419</v>
      </c>
      <c r="BB543" s="35">
        <f>'1kpi_performance'!R543</f>
        <v>6.192772367</v>
      </c>
      <c r="BC543" s="35">
        <f>'1kpi_performance'!S543</f>
        <v>9.530859671</v>
      </c>
      <c r="BD543" s="35">
        <f>'1kpi_performance'!T543</f>
        <v>8.249660929</v>
      </c>
      <c r="BE543" s="35">
        <f>'1kpi_performance'!U543</f>
        <v>1.500059561</v>
      </c>
      <c r="BF543" s="47"/>
      <c r="BG543" s="47"/>
      <c r="BH543" s="47"/>
      <c r="BI543" s="47"/>
      <c r="BJ543" s="47"/>
      <c r="BK543" s="47"/>
      <c r="BL543" s="47"/>
      <c r="BM543" s="47"/>
      <c r="BN543" s="47"/>
      <c r="BO543" s="47"/>
      <c r="BP543" s="47"/>
      <c r="BQ543" s="47"/>
      <c r="BR543" s="47"/>
      <c r="BS543" s="47"/>
      <c r="BT543" s="47"/>
    </row>
    <row r="544" ht="11.25" customHeight="1">
      <c r="A544" s="35" t="str">
        <f>'13all_company_profile'!A544</f>
        <v>SJM</v>
      </c>
      <c r="B544" s="35" t="str">
        <f>'13all_company_profile'!B544</f>
        <v>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v>
      </c>
      <c r="C544" s="44" t="str">
        <f>'13all_company_profile'!C544</f>
        <v>https://financialmodelingprep.com/image-stock/SJM.png</v>
      </c>
      <c r="D544" s="35" t="str">
        <f>'13all_company_profile'!D544</f>
        <v>The J. M. Smucker Company</v>
      </c>
      <c r="E544" s="36">
        <f>'13all_company_profile'!E544</f>
        <v>14305951744</v>
      </c>
      <c r="F544" s="37">
        <f>'13all_company_profile'!F544</f>
        <v>837998</v>
      </c>
      <c r="G544" s="35">
        <f>'13all_company_profile'!G544</f>
        <v>3.6</v>
      </c>
      <c r="H544" s="38" t="str">
        <f>'13all_company_profile'!H544</f>
        <v>not avaiable</v>
      </c>
      <c r="I544" s="35">
        <f>'13all_company_profile'!I544</f>
        <v>17.094994</v>
      </c>
      <c r="J544" s="35">
        <f>'13all_company_profile'!J544</f>
        <v>7.79</v>
      </c>
      <c r="K544" s="42">
        <f t="shared" si="1"/>
        <v>0.02716776092</v>
      </c>
      <c r="L544" s="35">
        <f>'7company_info'!B544</f>
        <v>132.51</v>
      </c>
      <c r="M544" s="35">
        <f>'7company_info'!C544</f>
        <v>136.35</v>
      </c>
      <c r="N544" s="35">
        <f>'7company_info'!D544</f>
        <v>132.41</v>
      </c>
      <c r="O544" s="35">
        <f>'7company_info'!E544</f>
        <v>-1.48</v>
      </c>
      <c r="P544" s="35">
        <f>'7company_info'!F544</f>
        <v>-0.011</v>
      </c>
      <c r="Q544" s="35">
        <f>'7company_info'!G544</f>
        <v>134.83</v>
      </c>
      <c r="R544" s="35">
        <f>'7company_info'!H544</f>
        <v>133.99</v>
      </c>
      <c r="S544" s="35">
        <f>'7company_info'!I544</f>
        <v>104.3</v>
      </c>
      <c r="T544" s="35">
        <f>'7company_info'!J544</f>
        <v>140.65</v>
      </c>
      <c r="U544" s="39">
        <v>130.156666666666</v>
      </c>
      <c r="V544" s="39">
        <v>131.043333333333</v>
      </c>
      <c r="W544" s="40">
        <v>131.796666666666</v>
      </c>
      <c r="X544" s="40">
        <v>133.436666666666</v>
      </c>
      <c r="Y544" s="40">
        <v>129.403333333333</v>
      </c>
      <c r="Z544" s="40">
        <v>128.516666666666</v>
      </c>
      <c r="AA544" s="40">
        <v>126.876666666666</v>
      </c>
      <c r="AB544" s="40">
        <v>132.31</v>
      </c>
      <c r="AC544" s="40">
        <v>131.73</v>
      </c>
      <c r="AD544" s="40">
        <v>130.832942544577</v>
      </c>
      <c r="AE544" s="40">
        <v>125.83893</v>
      </c>
      <c r="AF544" s="40">
        <v>1.938035</v>
      </c>
      <c r="AG544" s="40">
        <v>140.65</v>
      </c>
      <c r="AH544" s="45">
        <v>44351.0</v>
      </c>
      <c r="AI544" s="44" t="str">
        <f>'6image_RS_benchmark_performance'!B544</f>
        <v>https://3arbzfbsh-cname-us.ngrok.io/Desktop/seabridge%20fintech/image_app/SJM_resistance_support.jpg</v>
      </c>
      <c r="AJ544" s="44" t="str">
        <f>'6image_RS_benchmark_performance'!C544</f>
        <v>https://3arbzfbsh-cname-us.ngrok.io/Desktop/seabridge%20fintech/profit_graph_app/SJM_Return.jpg</v>
      </c>
      <c r="AK544" s="46" t="str">
        <f>'5price_action_icon'!B544</f>
        <v>https://3arbzfbsh-cname-us.ngrok.io/Desktop/seabridge%20fintech/icon/SJM_pa_trend_signal</v>
      </c>
      <c r="AL544" s="42">
        <f>'1kpi_performance'!B544</f>
        <v>0.362859881</v>
      </c>
      <c r="AM544" s="42">
        <f>'1kpi_performance'!C544</f>
        <v>0.4672873066</v>
      </c>
      <c r="AN544" s="42">
        <f>'1kpi_performance'!D544</f>
        <v>0.4389658199</v>
      </c>
      <c r="AO544" s="42">
        <f>'1kpi_performance'!E544</f>
        <v>0.1001506276</v>
      </c>
      <c r="AP544" s="42">
        <f>'1kpi_performance'!F544</f>
        <v>0.1648288791</v>
      </c>
      <c r="AQ544" s="42">
        <f>'1kpi_performance'!G544</f>
        <v>0.173369319</v>
      </c>
      <c r="AR544" s="42">
        <f>'1kpi_performance'!H544</f>
        <v>0.1828002583</v>
      </c>
      <c r="AS544" s="42">
        <f>'1kpi_performance'!I544</f>
        <v>0.2527719704</v>
      </c>
      <c r="AT544" s="35">
        <f>'1kpi_performance'!J544</f>
        <v>2.049761443</v>
      </c>
      <c r="AU544" s="35">
        <f>'1kpi_performance'!K544</f>
        <v>2.5511279</v>
      </c>
      <c r="AV544" s="35">
        <f>'1kpi_performance'!L544</f>
        <v>2.26458006</v>
      </c>
      <c r="AW544" s="35">
        <f>'1kpi_performance'!M544</f>
        <v>0.2973060163</v>
      </c>
      <c r="AX544" s="42">
        <f>'1kpi_performance'!N544</f>
        <v>0.1046185052</v>
      </c>
      <c r="AY544" s="42">
        <f>'1kpi_performance'!O544</f>
        <v>0.1397411137</v>
      </c>
      <c r="AZ544" s="42">
        <f>'1kpi_performance'!P544</f>
        <v>0.2015617999</v>
      </c>
      <c r="BA544" s="42">
        <f>'1kpi_performance'!Q544</f>
        <v>0.4036996736</v>
      </c>
      <c r="BB544" s="35">
        <f>'1kpi_performance'!R544</f>
        <v>4.321617226</v>
      </c>
      <c r="BC544" s="35">
        <f>'1kpi_performance'!S544</f>
        <v>5.797653468</v>
      </c>
      <c r="BD544" s="35">
        <f>'1kpi_performance'!T544</f>
        <v>4.44687113</v>
      </c>
      <c r="BE544" s="35">
        <f>'1kpi_performance'!U544</f>
        <v>0.5605501123</v>
      </c>
      <c r="BF544" s="47"/>
      <c r="BG544" s="47"/>
      <c r="BH544" s="47"/>
      <c r="BI544" s="47"/>
      <c r="BJ544" s="47"/>
      <c r="BK544" s="47"/>
      <c r="BL544" s="47"/>
      <c r="BM544" s="47"/>
      <c r="BN544" s="47"/>
      <c r="BO544" s="47"/>
      <c r="BP544" s="47"/>
      <c r="BQ544" s="47"/>
      <c r="BR544" s="47"/>
      <c r="BS544" s="47"/>
      <c r="BT544" s="47"/>
    </row>
    <row r="545" ht="11.25" customHeight="1">
      <c r="A545" s="35" t="str">
        <f>'13all_company_profile'!A545</f>
        <v>SJNK</v>
      </c>
      <c r="B545" s="35" t="str">
        <f>'13all_company_profile'!B545</f>
        <v>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v>
      </c>
      <c r="C545" s="44" t="str">
        <f>'13all_company_profile'!C545</f>
        <v>https://financialmodelingprep.com/image-stock/SJNK.jpg</v>
      </c>
      <c r="D545" s="35" t="str">
        <f>'13all_company_profile'!D545</f>
        <v>SPDR Bloomberg Barclays Short Term High Yield Bond ETF</v>
      </c>
      <c r="E545" s="36">
        <f>'13all_company_profile'!E545</f>
        <v>3265935000</v>
      </c>
      <c r="F545" s="37">
        <f>'13all_company_profile'!F545</f>
        <v>4396936</v>
      </c>
      <c r="G545" s="35">
        <f>'13all_company_profile'!G545</f>
        <v>0.982</v>
      </c>
      <c r="H545" s="38" t="str">
        <f>'13all_company_profile'!H545</f>
        <v>not avaiable</v>
      </c>
      <c r="I545" s="35" t="str">
        <f>'13all_company_profile'!I545</f>
        <v>NaN</v>
      </c>
      <c r="J545" s="35" t="str">
        <f>'13all_company_profile'!J545</f>
        <v>NaN</v>
      </c>
      <c r="K545" s="42">
        <f t="shared" si="1"/>
        <v>0.03585250091</v>
      </c>
      <c r="L545" s="35">
        <f>'7company_info'!B545</f>
        <v>27.39</v>
      </c>
      <c r="M545" s="35">
        <f>'7company_info'!C545</f>
        <v>27.39</v>
      </c>
      <c r="N545" s="35">
        <f>'7company_info'!D545</f>
        <v>27.3</v>
      </c>
      <c r="O545" s="35">
        <f>'7company_info'!E545</f>
        <v>0.09</v>
      </c>
      <c r="P545" s="35">
        <f>'7company_info'!F545</f>
        <v>0.0033</v>
      </c>
      <c r="Q545" s="35">
        <f>'7company_info'!G545</f>
        <v>27.3</v>
      </c>
      <c r="R545" s="35">
        <f>'7company_info'!H545</f>
        <v>27.3</v>
      </c>
      <c r="S545" s="35">
        <f>'7company_info'!I545</f>
        <v>25.58</v>
      </c>
      <c r="T545" s="35">
        <f>'7company_info'!J545</f>
        <v>27.58</v>
      </c>
      <c r="U545" s="39">
        <v>27.49</v>
      </c>
      <c r="V545" s="39">
        <v>27.5</v>
      </c>
      <c r="W545" s="40">
        <v>27.52</v>
      </c>
      <c r="X545" s="40">
        <v>27.55</v>
      </c>
      <c r="Y545" s="40">
        <v>27.4699999999999</v>
      </c>
      <c r="Z545" s="40">
        <v>27.46</v>
      </c>
      <c r="AA545" s="40">
        <v>27.43</v>
      </c>
      <c r="AB545" s="40">
        <v>27.43</v>
      </c>
      <c r="AC545" s="40">
        <v>27.58</v>
      </c>
      <c r="AD545" s="40">
        <v>27.5013924045501</v>
      </c>
      <c r="AE545" s="40">
        <v>27.36801</v>
      </c>
      <c r="AF545" s="40">
        <v>0.0464949999999992</v>
      </c>
      <c r="AG545" s="40">
        <v>27.58</v>
      </c>
      <c r="AH545" s="45">
        <v>44375.0</v>
      </c>
      <c r="AI545" s="44" t="str">
        <f>'6image_RS_benchmark_performance'!B545</f>
        <v>https://3arbzfbsh-cname-us.ngrok.io/Desktop/seabridge%20fintech/image_app/SJNK_resistance_support.jpg</v>
      </c>
      <c r="AJ545" s="44" t="str">
        <f>'6image_RS_benchmark_performance'!C545</f>
        <v>https://3arbzfbsh-cname-us.ngrok.io/Desktop/seabridge%20fintech/profit_graph_app/SJNK_Return.jpg</v>
      </c>
      <c r="AK545" s="46" t="str">
        <f>'5price_action_icon'!B545</f>
        <v>https://3arbzfbsh-cname-us.ngrok.io/Desktop/seabridge%20fintech/icon/SJNK_pa_trend_signal</v>
      </c>
      <c r="AL545" s="42">
        <f>'1kpi_performance'!B545</f>
        <v>0.06145930002</v>
      </c>
      <c r="AM545" s="42">
        <f>'1kpi_performance'!C545</f>
        <v>0.1033640537</v>
      </c>
      <c r="AN545" s="42">
        <f>'1kpi_performance'!D545</f>
        <v>0.08572912416</v>
      </c>
      <c r="AO545" s="42">
        <f>'1kpi_performance'!E545</f>
        <v>-0.01427277356</v>
      </c>
      <c r="AP545" s="42">
        <f>'1kpi_performance'!F545</f>
        <v>0.04818902437</v>
      </c>
      <c r="AQ545" s="42">
        <f>'1kpi_performance'!G545</f>
        <v>0.04795249035</v>
      </c>
      <c r="AR545" s="42">
        <f>'1kpi_performance'!H545</f>
        <v>0.04847253043</v>
      </c>
      <c r="AS545" s="42">
        <f>'1kpi_performance'!I545</f>
        <v>0.07245586579</v>
      </c>
      <c r="AT545" s="35">
        <f>'1kpi_performance'!J545</f>
        <v>0.756589296</v>
      </c>
      <c r="AU545" s="35">
        <f>'1kpi_performance'!K545</f>
        <v>1.63420196</v>
      </c>
      <c r="AV545" s="35">
        <f>'1kpi_performance'!L545</f>
        <v>1.252856486</v>
      </c>
      <c r="AW545" s="35">
        <f>'1kpi_performance'!M545</f>
        <v>-0.542023384</v>
      </c>
      <c r="AX545" s="42">
        <f>'1kpi_performance'!N545</f>
        <v>0.05481834759</v>
      </c>
      <c r="AY545" s="42">
        <f>'1kpi_performance'!O545</f>
        <v>0.04735376045</v>
      </c>
      <c r="AZ545" s="42">
        <f>'1kpi_performance'!P545</f>
        <v>0.09649875798</v>
      </c>
      <c r="BA545" s="42">
        <f>'1kpi_performance'!Q545</f>
        <v>0.3059390048</v>
      </c>
      <c r="BB545" s="35">
        <f>'1kpi_performance'!R545</f>
        <v>1.582345305</v>
      </c>
      <c r="BC545" s="35">
        <f>'1kpi_performance'!S545</f>
        <v>3.711152848</v>
      </c>
      <c r="BD545" s="35">
        <f>'1kpi_performance'!T545</f>
        <v>2.614509974</v>
      </c>
      <c r="BE545" s="35">
        <f>'1kpi_performance'!U545</f>
        <v>-0.9457653829</v>
      </c>
      <c r="BF545" s="47"/>
      <c r="BG545" s="47"/>
      <c r="BH545" s="47"/>
      <c r="BI545" s="47"/>
      <c r="BJ545" s="47"/>
      <c r="BK545" s="47"/>
      <c r="BL545" s="47"/>
      <c r="BM545" s="47"/>
      <c r="BN545" s="47"/>
      <c r="BO545" s="47"/>
      <c r="BP545" s="47"/>
      <c r="BQ545" s="47"/>
      <c r="BR545" s="47"/>
      <c r="BS545" s="47"/>
      <c r="BT545" s="47"/>
    </row>
    <row r="546" ht="11.25" customHeight="1">
      <c r="A546" s="35" t="str">
        <f>'13all_company_profile'!A546</f>
        <v>SLB</v>
      </c>
      <c r="B546" s="35" t="str">
        <f>'13all_company_profile'!B546</f>
        <v>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v>
      </c>
      <c r="C546" s="44" t="str">
        <f>'13all_company_profile'!C546</f>
        <v>https://financialmodelingprep.com/image-stock/SLB.png</v>
      </c>
      <c r="D546" s="35" t="str">
        <f>'13all_company_profile'!D546</f>
        <v>Schlumberger Limited</v>
      </c>
      <c r="E546" s="36">
        <f>'13all_company_profile'!E546</f>
        <v>40174018560</v>
      </c>
      <c r="F546" s="37">
        <f>'13all_company_profile'!F546</f>
        <v>12416647</v>
      </c>
      <c r="G546" s="35">
        <f>'13all_company_profile'!G546</f>
        <v>0.5</v>
      </c>
      <c r="H546" s="38">
        <f>'13all_company_profile'!H546</f>
        <v>44400</v>
      </c>
      <c r="I546" s="35" t="str">
        <f>'13all_company_profile'!I546</f>
        <v>NaN</v>
      </c>
      <c r="J546" s="35">
        <f>'13all_company_profile'!J546</f>
        <v>-2.043</v>
      </c>
      <c r="K546" s="42">
        <f t="shared" si="1"/>
        <v>0.01835535977</v>
      </c>
      <c r="L546" s="35">
        <f>'7company_info'!B546</f>
        <v>27.24</v>
      </c>
      <c r="M546" s="35">
        <f>'7company_info'!C546</f>
        <v>27.67</v>
      </c>
      <c r="N546" s="35">
        <f>'7company_info'!D546</f>
        <v>26.44</v>
      </c>
      <c r="O546" s="35">
        <f>'7company_info'!E546</f>
        <v>0.59</v>
      </c>
      <c r="P546" s="35">
        <f>'7company_info'!F546</f>
        <v>0.0221</v>
      </c>
      <c r="Q546" s="35">
        <f>'7company_info'!G546</f>
        <v>26.7</v>
      </c>
      <c r="R546" s="35">
        <f>'7company_info'!H546</f>
        <v>26.65</v>
      </c>
      <c r="S546" s="35">
        <f>'7company_info'!I546</f>
        <v>13.7</v>
      </c>
      <c r="T546" s="35">
        <f>'7company_info'!J546</f>
        <v>36.87</v>
      </c>
      <c r="U546" s="39">
        <v>30.11</v>
      </c>
      <c r="V546" s="39">
        <v>30.89</v>
      </c>
      <c r="W546" s="40">
        <v>32.23</v>
      </c>
      <c r="X546" s="40">
        <v>34.35</v>
      </c>
      <c r="Y546" s="40">
        <v>28.77</v>
      </c>
      <c r="Z546" s="40">
        <v>27.99</v>
      </c>
      <c r="AA546" s="40">
        <v>25.87</v>
      </c>
      <c r="AB546" s="40">
        <v>29.87</v>
      </c>
      <c r="AC546" s="40">
        <v>30.85</v>
      </c>
      <c r="AD546" s="40">
        <v>31.8239122551576</v>
      </c>
      <c r="AE546" s="40">
        <v>28.3585</v>
      </c>
      <c r="AF546" s="40">
        <v>1.19575</v>
      </c>
      <c r="AG546" s="40">
        <v>36.87</v>
      </c>
      <c r="AH546" s="45">
        <v>44351.0</v>
      </c>
      <c r="AI546" s="44" t="str">
        <f>'6image_RS_benchmark_performance'!B546</f>
        <v>https://3arbzfbsh-cname-us.ngrok.io/Desktop/seabridge%20fintech/image_app/SLB_resistance_support.jpg</v>
      </c>
      <c r="AJ546" s="44" t="str">
        <f>'6image_RS_benchmark_performance'!C546</f>
        <v>https://3arbzfbsh-cname-us.ngrok.io/Desktop/seabridge%20fintech/profit_graph_app/SLB_Return.jpg</v>
      </c>
      <c r="AK546" s="46" t="str">
        <f>'5price_action_icon'!B546</f>
        <v>https://3arbzfbsh-cname-us.ngrok.io/Desktop/seabridge%20fintech/icon/SLB_pa_trend_signal</v>
      </c>
      <c r="AL546" s="42">
        <f>'1kpi_performance'!B546</f>
        <v>0.5703534821</v>
      </c>
      <c r="AM546" s="42">
        <f>'1kpi_performance'!C546</f>
        <v>0.726500384</v>
      </c>
      <c r="AN546" s="42">
        <f>'1kpi_performance'!D546</f>
        <v>0.3899488618</v>
      </c>
      <c r="AO546" s="42">
        <f>'1kpi_performance'!E546</f>
        <v>-0.09915335381</v>
      </c>
      <c r="AP546" s="42">
        <f>'1kpi_performance'!F546</f>
        <v>0.3031668879</v>
      </c>
      <c r="AQ546" s="42">
        <f>'1kpi_performance'!G546</f>
        <v>0.2800397572</v>
      </c>
      <c r="AR546" s="42">
        <f>'1kpi_performance'!H546</f>
        <v>0.3199781225</v>
      </c>
      <c r="AS546" s="42">
        <f>'1kpi_performance'!I546</f>
        <v>0.4292346484</v>
      </c>
      <c r="AT546" s="35">
        <f>'1kpi_performance'!J546</f>
        <v>1.798855693</v>
      </c>
      <c r="AU546" s="35">
        <f>'1kpi_performance'!K546</f>
        <v>2.505002829</v>
      </c>
      <c r="AV546" s="35">
        <f>'1kpi_performance'!L546</f>
        <v>1.140543169</v>
      </c>
      <c r="AW546" s="35">
        <f>'1kpi_performance'!M546</f>
        <v>-0.2892435508</v>
      </c>
      <c r="AX546" s="42">
        <f>'1kpi_performance'!N546</f>
        <v>0.2892159929</v>
      </c>
      <c r="AY546" s="42">
        <f>'1kpi_performance'!O546</f>
        <v>0.1869212963</v>
      </c>
      <c r="AZ546" s="42">
        <f>'1kpi_performance'!P546</f>
        <v>0.6562054208</v>
      </c>
      <c r="BA546" s="42">
        <f>'1kpi_performance'!Q546</f>
        <v>0.897838067</v>
      </c>
      <c r="BB546" s="35">
        <f>'1kpi_performance'!R546</f>
        <v>3.887060198</v>
      </c>
      <c r="BC546" s="35">
        <f>'1kpi_performance'!S546</f>
        <v>5.895086214</v>
      </c>
      <c r="BD546" s="35">
        <f>'1kpi_performance'!T546</f>
        <v>2.109766654</v>
      </c>
      <c r="BE546" s="35">
        <f>'1kpi_performance'!U546</f>
        <v>-0.558362693</v>
      </c>
      <c r="BF546" s="47"/>
      <c r="BG546" s="47"/>
      <c r="BH546" s="47"/>
      <c r="BI546" s="47"/>
      <c r="BJ546" s="47"/>
      <c r="BK546" s="47"/>
      <c r="BL546" s="47"/>
      <c r="BM546" s="47"/>
      <c r="BN546" s="47"/>
      <c r="BO546" s="47"/>
      <c r="BP546" s="47"/>
      <c r="BQ546" s="47"/>
      <c r="BR546" s="47"/>
      <c r="BS546" s="47"/>
      <c r="BT546" s="47"/>
    </row>
    <row r="547" ht="11.25" customHeight="1">
      <c r="A547" s="35" t="str">
        <f>'13all_company_profile'!A547</f>
        <v>SMH</v>
      </c>
      <c r="B547" s="35" t="str">
        <f>'13all_company_profile'!B547</f>
        <v>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v>
      </c>
      <c r="C547" s="44" t="str">
        <f>'13all_company_profile'!C547</f>
        <v>https://financialmodelingprep.com/image-stock/SMH.png</v>
      </c>
      <c r="D547" s="35" t="str">
        <f>'13all_company_profile'!D547</f>
        <v>VanEck Vectors Semiconductor ETF</v>
      </c>
      <c r="E547" s="36">
        <f>'13all_company_profile'!E547</f>
        <v>2942584064</v>
      </c>
      <c r="F547" s="37">
        <f>'13all_company_profile'!F547</f>
        <v>3977466</v>
      </c>
      <c r="G547" s="35">
        <f>'13all_company_profile'!G547</f>
        <v>1.502</v>
      </c>
      <c r="H547" s="38" t="str">
        <f>'13all_company_profile'!H547</f>
        <v>not avaiable</v>
      </c>
      <c r="I547" s="35" t="str">
        <f>'13all_company_profile'!I547</f>
        <v>NaN</v>
      </c>
      <c r="J547" s="35" t="str">
        <f>'13all_company_profile'!J547</f>
        <v>NaN</v>
      </c>
      <c r="K547" s="42">
        <f t="shared" si="1"/>
        <v>0.006012328877</v>
      </c>
      <c r="L547" s="35">
        <f>'7company_info'!B547</f>
        <v>249.82</v>
      </c>
      <c r="M547" s="35">
        <f>'7company_info'!C547</f>
        <v>251.3</v>
      </c>
      <c r="N547" s="35">
        <f>'7company_info'!D547</f>
        <v>244.41</v>
      </c>
      <c r="O547" s="35">
        <f>'7company_info'!E547</f>
        <v>3.02</v>
      </c>
      <c r="P547" s="35">
        <f>'7company_info'!F547</f>
        <v>0.0122</v>
      </c>
      <c r="Q547" s="35">
        <f>'7company_info'!G547</f>
        <v>247.71</v>
      </c>
      <c r="R547" s="35">
        <f>'7company_info'!H547</f>
        <v>246.8</v>
      </c>
      <c r="S547" s="35">
        <f>'7company_info'!I547</f>
        <v>157.23</v>
      </c>
      <c r="T547" s="35">
        <f>'7company_info'!J547</f>
        <v>263.86</v>
      </c>
      <c r="U547" s="39">
        <v>260.5</v>
      </c>
      <c r="V547" s="39">
        <v>262.6</v>
      </c>
      <c r="W547" s="40">
        <v>265.96</v>
      </c>
      <c r="X547" s="40">
        <v>271.42</v>
      </c>
      <c r="Y547" s="40">
        <v>257.14</v>
      </c>
      <c r="Z547" s="40">
        <v>255.04</v>
      </c>
      <c r="AA547" s="40">
        <v>249.579999999999</v>
      </c>
      <c r="AB547" s="40">
        <v>247.21</v>
      </c>
      <c r="AC547" s="40">
        <v>263.86</v>
      </c>
      <c r="AD547" s="40">
        <v>255.686337426296</v>
      </c>
      <c r="AE547" s="40">
        <v>250.78902</v>
      </c>
      <c r="AF547" s="40">
        <v>4.58998999999999</v>
      </c>
      <c r="AG547" s="40">
        <v>262.49</v>
      </c>
      <c r="AH547" s="45">
        <v>44377.0</v>
      </c>
      <c r="AI547" s="44" t="str">
        <f>'6image_RS_benchmark_performance'!B547</f>
        <v>https://3arbzfbsh-cname-us.ngrok.io/Desktop/seabridge%20fintech/image_app/SMH_resistance_support.jpg</v>
      </c>
      <c r="AJ547" s="44" t="str">
        <f>'6image_RS_benchmark_performance'!C547</f>
        <v>https://3arbzfbsh-cname-us.ngrok.io/Desktop/seabridge%20fintech/profit_graph_app/SMH_Return.jpg</v>
      </c>
      <c r="AK547" s="46" t="str">
        <f>'5price_action_icon'!B547</f>
        <v>https://3arbzfbsh-cname-us.ngrok.io/Desktop/seabridge%20fintech/icon/SMH_pa_trend_signal</v>
      </c>
      <c r="AL547" s="42">
        <f>'1kpi_performance'!B547</f>
        <v>0.672017833</v>
      </c>
      <c r="AM547" s="42">
        <f>'1kpi_performance'!C547</f>
        <v>0.8623611537</v>
      </c>
      <c r="AN547" s="42">
        <f>'1kpi_performance'!D547</f>
        <v>0.750304515</v>
      </c>
      <c r="AO547" s="42">
        <f>'1kpi_performance'!E547</f>
        <v>0.3834096457</v>
      </c>
      <c r="AP547" s="42">
        <f>'1kpi_performance'!F547</f>
        <v>0.1931097143</v>
      </c>
      <c r="AQ547" s="42">
        <f>'1kpi_performance'!G547</f>
        <v>0.2000762159</v>
      </c>
      <c r="AR547" s="42">
        <f>'1kpi_performance'!H547</f>
        <v>0.1948305751</v>
      </c>
      <c r="AS547" s="42">
        <f>'1kpi_performance'!I547</f>
        <v>0.3057548657</v>
      </c>
      <c r="AT547" s="35">
        <f>'1kpi_performance'!J547</f>
        <v>3.350519343</v>
      </c>
      <c r="AU547" s="35">
        <f>'1kpi_performance'!K547</f>
        <v>4.18521087</v>
      </c>
      <c r="AV547" s="35">
        <f>'1kpi_performance'!L547</f>
        <v>3.722744824</v>
      </c>
      <c r="AW547" s="35">
        <f>'1kpi_performance'!M547</f>
        <v>1.172212402</v>
      </c>
      <c r="AX547" s="42">
        <f>'1kpi_performance'!N547</f>
        <v>0.1004882914</v>
      </c>
      <c r="AY547" s="42">
        <f>'1kpi_performance'!O547</f>
        <v>0.08535984226</v>
      </c>
      <c r="AZ547" s="42">
        <f>'1kpi_performance'!P547</f>
        <v>0.1510495641</v>
      </c>
      <c r="BA547" s="42">
        <f>'1kpi_performance'!Q547</f>
        <v>0.3362233169</v>
      </c>
      <c r="BB547" s="35">
        <f>'1kpi_performance'!R547</f>
        <v>7.25654455</v>
      </c>
      <c r="BC547" s="35">
        <f>'1kpi_performance'!S547</f>
        <v>9.558593548</v>
      </c>
      <c r="BD547" s="35">
        <f>'1kpi_performance'!T547</f>
        <v>8.40726662</v>
      </c>
      <c r="BE547" s="35">
        <f>'1kpi_performance'!U547</f>
        <v>2.257692753</v>
      </c>
      <c r="BF547" s="47"/>
      <c r="BG547" s="47"/>
      <c r="BH547" s="47"/>
      <c r="BI547" s="47"/>
      <c r="BJ547" s="47"/>
      <c r="BK547" s="47"/>
      <c r="BL547" s="47"/>
      <c r="BM547" s="47"/>
      <c r="BN547" s="47"/>
      <c r="BO547" s="47"/>
      <c r="BP547" s="47"/>
      <c r="BQ547" s="47"/>
      <c r="BR547" s="47"/>
      <c r="BS547" s="47"/>
      <c r="BT547" s="47"/>
    </row>
    <row r="548" ht="11.25" customHeight="1">
      <c r="A548" s="35" t="str">
        <f>'13all_company_profile'!A548</f>
        <v>SNA</v>
      </c>
      <c r="B548" s="35" t="str">
        <f>'13all_company_profile'!B548</f>
        <v>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v>
      </c>
      <c r="C548" s="44" t="str">
        <f>'13all_company_profile'!C548</f>
        <v>https://financialmodelingprep.com/image-stock/SNA.png</v>
      </c>
      <c r="D548" s="35" t="str">
        <f>'13all_company_profile'!D548</f>
        <v>Snap-on Incorporated</v>
      </c>
      <c r="E548" s="36">
        <f>'13all_company_profile'!E548</f>
        <v>12093369344</v>
      </c>
      <c r="F548" s="37">
        <f>'13all_company_profile'!F548</f>
        <v>417349</v>
      </c>
      <c r="G548" s="35">
        <f>'13all_company_profile'!G548</f>
        <v>4.77</v>
      </c>
      <c r="H548" s="38">
        <f>'13all_company_profile'!H548</f>
        <v>44406</v>
      </c>
      <c r="I548" s="35">
        <f>'13all_company_profile'!I548</f>
        <v>17.603373</v>
      </c>
      <c r="J548" s="35">
        <f>'13all_company_profile'!J548</f>
        <v>12.455</v>
      </c>
      <c r="K548" s="42">
        <f t="shared" si="1"/>
        <v>0.0213652244</v>
      </c>
      <c r="L548" s="35">
        <f>'7company_info'!B548</f>
        <v>223.26</v>
      </c>
      <c r="M548" s="35">
        <f>'7company_info'!C548</f>
        <v>224.11</v>
      </c>
      <c r="N548" s="35">
        <f>'7company_info'!D548</f>
        <v>216.62</v>
      </c>
      <c r="O548" s="35">
        <f>'7company_info'!E548</f>
        <v>6.89</v>
      </c>
      <c r="P548" s="35">
        <f>'7company_info'!F548</f>
        <v>0.0318</v>
      </c>
      <c r="Q548" s="35">
        <f>'7company_info'!G548</f>
        <v>216.62</v>
      </c>
      <c r="R548" s="35">
        <f>'7company_info'!H548</f>
        <v>216.37</v>
      </c>
      <c r="S548" s="35">
        <f>'7company_info'!I548</f>
        <v>136.22</v>
      </c>
      <c r="T548" s="35">
        <f>'7company_info'!J548</f>
        <v>259.99</v>
      </c>
      <c r="U548" s="39">
        <v>224.59</v>
      </c>
      <c r="V548" s="39">
        <v>225.98</v>
      </c>
      <c r="W548" s="40">
        <v>227.01</v>
      </c>
      <c r="X548" s="40">
        <v>229.43</v>
      </c>
      <c r="Y548" s="40">
        <v>223.56</v>
      </c>
      <c r="Z548" s="40">
        <v>222.17</v>
      </c>
      <c r="AA548" s="40">
        <v>219.75</v>
      </c>
      <c r="AB548" s="40">
        <v>248.63</v>
      </c>
      <c r="AC548" s="40">
        <v>225.72</v>
      </c>
      <c r="AD548" s="40">
        <v>226.607491804752</v>
      </c>
      <c r="AE548" s="40">
        <v>213.9791</v>
      </c>
      <c r="AF548" s="40">
        <v>4.62495</v>
      </c>
      <c r="AG548" s="40">
        <v>259.99</v>
      </c>
      <c r="AH548" s="45">
        <v>44326.0</v>
      </c>
      <c r="AI548" s="44" t="str">
        <f>'6image_RS_benchmark_performance'!B548</f>
        <v>https://3arbzfbsh-cname-us.ngrok.io/Desktop/seabridge%20fintech/image_app/SNA_resistance_support.jpg</v>
      </c>
      <c r="AJ548" s="44" t="str">
        <f>'6image_RS_benchmark_performance'!C548</f>
        <v>https://3arbzfbsh-cname-us.ngrok.io/Desktop/seabridge%20fintech/profit_graph_app/SNA_Return.jpg</v>
      </c>
      <c r="AK548" s="46" t="str">
        <f>'5price_action_icon'!B548</f>
        <v>https://3arbzfbsh-cname-us.ngrok.io/Desktop/seabridge%20fintech/icon/SNA_pa_trend_signal</v>
      </c>
      <c r="AL548" s="42">
        <f>'1kpi_performance'!B548</f>
        <v>0.5456092514</v>
      </c>
      <c r="AM548" s="42">
        <f>'1kpi_performance'!C548</f>
        <v>0.7131805499</v>
      </c>
      <c r="AN548" s="42">
        <f>'1kpi_performance'!D548</f>
        <v>0.540564203</v>
      </c>
      <c r="AO548" s="42">
        <f>'1kpi_performance'!E548</f>
        <v>0.2276052438</v>
      </c>
      <c r="AP548" s="42">
        <f>'1kpi_performance'!F548</f>
        <v>0.2185475304</v>
      </c>
      <c r="AQ548" s="42">
        <f>'1kpi_performance'!G548</f>
        <v>0.2210282951</v>
      </c>
      <c r="AR548" s="42">
        <f>'1kpi_performance'!H548</f>
        <v>0.2278676188</v>
      </c>
      <c r="AS548" s="42">
        <f>'1kpi_performance'!I548</f>
        <v>0.3183682176</v>
      </c>
      <c r="AT548" s="35">
        <f>'1kpi_performance'!J548</f>
        <v>2.38213285</v>
      </c>
      <c r="AU548" s="35">
        <f>'1kpi_performance'!K548</f>
        <v>3.113540507</v>
      </c>
      <c r="AV548" s="35">
        <f>'1kpi_performance'!L548</f>
        <v>2.26256019</v>
      </c>
      <c r="AW548" s="35">
        <f>'1kpi_performance'!M548</f>
        <v>0.6363865254</v>
      </c>
      <c r="AX548" s="42">
        <f>'1kpi_performance'!N548</f>
        <v>0.1587105866</v>
      </c>
      <c r="AY548" s="42">
        <f>'1kpi_performance'!O548</f>
        <v>0.1167355372</v>
      </c>
      <c r="AZ548" s="42">
        <f>'1kpi_performance'!P548</f>
        <v>0.4032610733</v>
      </c>
      <c r="BA548" s="42">
        <f>'1kpi_performance'!Q548</f>
        <v>0.4931550462</v>
      </c>
      <c r="BB548" s="35">
        <f>'1kpi_performance'!R548</f>
        <v>5.201807776</v>
      </c>
      <c r="BC548" s="35">
        <f>'1kpi_performance'!S548</f>
        <v>7.507121977</v>
      </c>
      <c r="BD548" s="35">
        <f>'1kpi_performance'!T548</f>
        <v>4.638834398</v>
      </c>
      <c r="BE548" s="35">
        <f>'1kpi_performance'!U548</f>
        <v>1.257992997</v>
      </c>
      <c r="BF548" s="47"/>
      <c r="BG548" s="47"/>
      <c r="BH548" s="47"/>
      <c r="BI548" s="47"/>
      <c r="BJ548" s="47"/>
      <c r="BK548" s="47"/>
      <c r="BL548" s="47"/>
      <c r="BM548" s="47"/>
      <c r="BN548" s="47"/>
      <c r="BO548" s="47"/>
      <c r="BP548" s="47"/>
      <c r="BQ548" s="47"/>
      <c r="BR548" s="47"/>
      <c r="BS548" s="47"/>
      <c r="BT548" s="47"/>
    </row>
    <row r="549" ht="11.25" customHeight="1">
      <c r="A549" s="35" t="str">
        <f>'13all_company_profile'!A549</f>
        <v>SNAP</v>
      </c>
      <c r="B549" s="35" t="str">
        <f>'13all_company_profile'!B549</f>
        <v>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v>
      </c>
      <c r="C549" s="44" t="str">
        <f>'13all_company_profile'!C549</f>
        <v>https://financialmodelingprep.com/image-stock/SNAP.png</v>
      </c>
      <c r="D549" s="35" t="str">
        <f>'13all_company_profile'!D549</f>
        <v>Snap Inc.</v>
      </c>
      <c r="E549" s="36">
        <f>'13all_company_profile'!E549</f>
        <v>95042478080</v>
      </c>
      <c r="F549" s="37">
        <f>'13all_company_profile'!F549</f>
        <v>19889179</v>
      </c>
      <c r="G549" s="35">
        <f>'13all_company_profile'!G549</f>
        <v>0</v>
      </c>
      <c r="H549" s="38">
        <f>'13all_company_profile'!H549</f>
        <v>44396</v>
      </c>
      <c r="I549" s="35" t="str">
        <f>'13all_company_profile'!I549</f>
        <v>NaN</v>
      </c>
      <c r="J549" s="35">
        <f>'13all_company_profile'!J549</f>
        <v>-0.628</v>
      </c>
      <c r="K549" s="42" t="str">
        <f t="shared" si="1"/>
        <v>NaN</v>
      </c>
      <c r="L549" s="35">
        <f>'7company_info'!B549</f>
        <v>62.33</v>
      </c>
      <c r="M549" s="35">
        <f>'7company_info'!C549</f>
        <v>63.06</v>
      </c>
      <c r="N549" s="35">
        <f>'7company_info'!D549</f>
        <v>59.23</v>
      </c>
      <c r="O549" s="35">
        <f>'7company_info'!E549</f>
        <v>2.75</v>
      </c>
      <c r="P549" s="35">
        <f>'7company_info'!F549</f>
        <v>0.0462</v>
      </c>
      <c r="Q549" s="35">
        <f>'7company_info'!G549</f>
        <v>60.59</v>
      </c>
      <c r="R549" s="35">
        <f>'7company_info'!H549</f>
        <v>59.58</v>
      </c>
      <c r="S549" s="35">
        <f>'7company_info'!I549</f>
        <v>20.61</v>
      </c>
      <c r="T549" s="35">
        <f>'7company_info'!J549</f>
        <v>73.59</v>
      </c>
      <c r="U549" s="39">
        <v>63.12</v>
      </c>
      <c r="V549" s="39">
        <v>64.16</v>
      </c>
      <c r="W549" s="40">
        <v>65.85</v>
      </c>
      <c r="X549" s="40">
        <v>68.58</v>
      </c>
      <c r="Y549" s="40">
        <v>61.43</v>
      </c>
      <c r="Z549" s="40">
        <v>60.39</v>
      </c>
      <c r="AA549" s="40">
        <v>57.66</v>
      </c>
      <c r="AB549" s="40">
        <v>61.6</v>
      </c>
      <c r="AC549" s="40">
        <v>64.81</v>
      </c>
      <c r="AD549" s="40">
        <v>64.583644690238</v>
      </c>
      <c r="AE549" s="40">
        <v>58.45683</v>
      </c>
      <c r="AF549" s="40">
        <v>2.807585</v>
      </c>
      <c r="AG549" s="40">
        <v>73.59</v>
      </c>
      <c r="AH549" s="45">
        <v>44251.0</v>
      </c>
      <c r="AI549" s="44" t="str">
        <f>'6image_RS_benchmark_performance'!B549</f>
        <v>https://3arbzfbsh-cname-us.ngrok.io/Desktop/seabridge%20fintech/image_app/SNAP_resistance_support.jpg</v>
      </c>
      <c r="AJ549" s="44" t="str">
        <f>'6image_RS_benchmark_performance'!C549</f>
        <v>https://3arbzfbsh-cname-us.ngrok.io/Desktop/seabridge%20fintech/profit_graph_app/SNAP_Return.jpg</v>
      </c>
      <c r="AK549" s="46" t="str">
        <f>'5price_action_icon'!B549</f>
        <v>https://3arbzfbsh-cname-us.ngrok.io/Desktop/seabridge%20fintech/icon/SNAP_pa_trend_signal</v>
      </c>
      <c r="AL549" s="42">
        <f>'1kpi_performance'!B549</f>
        <v>1.600194612</v>
      </c>
      <c r="AM549" s="42">
        <f>'1kpi_performance'!C549</f>
        <v>2.803483008</v>
      </c>
      <c r="AN549" s="42">
        <f>'1kpi_performance'!D549</f>
        <v>1.538129837</v>
      </c>
      <c r="AO549" s="42">
        <f>'1kpi_performance'!E549</f>
        <v>0.3591749805</v>
      </c>
      <c r="AP549" s="42">
        <f>'1kpi_performance'!F549</f>
        <v>0.6267042828</v>
      </c>
      <c r="AQ549" s="42">
        <f>'1kpi_performance'!G549</f>
        <v>0.5999145841</v>
      </c>
      <c r="AR549" s="42">
        <f>'1kpi_performance'!H549</f>
        <v>0.5519934231</v>
      </c>
      <c r="AS549" s="42">
        <f>'1kpi_performance'!I549</f>
        <v>0.7900203171</v>
      </c>
      <c r="AT549" s="35">
        <f>'1kpi_performance'!J549</f>
        <v>2.513457551</v>
      </c>
      <c r="AU549" s="35">
        <f>'1kpi_performance'!K549</f>
        <v>4.631464348</v>
      </c>
      <c r="AV549" s="35">
        <f>'1kpi_performance'!L549</f>
        <v>2.741209901</v>
      </c>
      <c r="AW549" s="35">
        <f>'1kpi_performance'!M549</f>
        <v>0.4229954259</v>
      </c>
      <c r="AX549" s="42">
        <f>'1kpi_performance'!N549</f>
        <v>0.5633074935</v>
      </c>
      <c r="AY549" s="42">
        <f>'1kpi_performance'!O549</f>
        <v>0.2787006275</v>
      </c>
      <c r="AZ549" s="42">
        <f>'1kpi_performance'!P549</f>
        <v>0.5964879478</v>
      </c>
      <c r="BA549" s="42">
        <f>'1kpi_performance'!Q549</f>
        <v>0.8157991879</v>
      </c>
      <c r="BB549" s="35">
        <f>'1kpi_performance'!R549</f>
        <v>6.256810379</v>
      </c>
      <c r="BC549" s="35">
        <f>'1kpi_performance'!S549</f>
        <v>14.29217934</v>
      </c>
      <c r="BD549" s="35">
        <f>'1kpi_performance'!T549</f>
        <v>6.988864641</v>
      </c>
      <c r="BE549" s="35">
        <f>'1kpi_performance'!U549</f>
        <v>0.93317508</v>
      </c>
      <c r="BF549" s="47"/>
      <c r="BG549" s="47"/>
      <c r="BH549" s="47"/>
      <c r="BI549" s="47"/>
      <c r="BJ549" s="47"/>
      <c r="BK549" s="47"/>
      <c r="BL549" s="47"/>
      <c r="BM549" s="47"/>
      <c r="BN549" s="47"/>
      <c r="BO549" s="47"/>
      <c r="BP549" s="47"/>
      <c r="BQ549" s="47"/>
      <c r="BR549" s="47"/>
      <c r="BS549" s="47"/>
      <c r="BT549" s="47"/>
    </row>
    <row r="550" ht="11.25" customHeight="1">
      <c r="A550" s="35" t="str">
        <f>'13all_company_profile'!A550</f>
        <v>SNOW</v>
      </c>
      <c r="B550" s="35" t="str">
        <f>'13all_company_profile'!B550</f>
        <v>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v>
      </c>
      <c r="C550" s="44" t="str">
        <f>'13all_company_profile'!C550</f>
        <v>https://financialmodelingprep.com/image-stock/SNOW.png</v>
      </c>
      <c r="D550" s="35" t="str">
        <f>'13all_company_profile'!D550</f>
        <v>Snowflake Inc.</v>
      </c>
      <c r="E550" s="36">
        <f>'13all_company_profile'!E550</f>
        <v>74321100800</v>
      </c>
      <c r="F550" s="37">
        <f>'13all_company_profile'!F550</f>
        <v>4265539</v>
      </c>
      <c r="G550" s="35">
        <f>'13all_company_profile'!G550</f>
        <v>0</v>
      </c>
      <c r="H550" s="38" t="str">
        <f>'13all_company_profile'!H550</f>
        <v>not avaiable</v>
      </c>
      <c r="I550" s="35" t="str">
        <f>'13all_company_profile'!I550</f>
        <v>NaN</v>
      </c>
      <c r="J550" s="35">
        <f>'13all_company_profile'!J550</f>
        <v>-3.229</v>
      </c>
      <c r="K550" s="42" t="str">
        <f t="shared" si="1"/>
        <v>NaN</v>
      </c>
      <c r="L550" s="35">
        <f>'7company_info'!B550</f>
        <v>256.27</v>
      </c>
      <c r="M550" s="35">
        <f>'7company_info'!C550</f>
        <v>259.19</v>
      </c>
      <c r="N550" s="35">
        <f>'7company_info'!D550</f>
        <v>248.63</v>
      </c>
      <c r="O550" s="35">
        <f>'7company_info'!E550</f>
        <v>3.99</v>
      </c>
      <c r="P550" s="35">
        <f>'7company_info'!F550</f>
        <v>0.0158</v>
      </c>
      <c r="Q550" s="35">
        <f>'7company_info'!G550</f>
        <v>253</v>
      </c>
      <c r="R550" s="35">
        <f>'7company_info'!H550</f>
        <v>252.28</v>
      </c>
      <c r="S550" s="35">
        <f>'7company_info'!I550</f>
        <v>184.71</v>
      </c>
      <c r="T550" s="35">
        <f>'7company_info'!J550</f>
        <v>429</v>
      </c>
      <c r="U550" s="39">
        <v>258.092166666666</v>
      </c>
      <c r="V550" s="39">
        <v>264.124333333333</v>
      </c>
      <c r="W550" s="40">
        <v>275.708666666666</v>
      </c>
      <c r="X550" s="40">
        <v>293.325166666666</v>
      </c>
      <c r="Y550" s="40">
        <v>246.507833333333</v>
      </c>
      <c r="Z550" s="40">
        <v>240.475666666666</v>
      </c>
      <c r="AA550" s="40">
        <v>222.859166666666</v>
      </c>
      <c r="AB550" s="40">
        <v>258.88</v>
      </c>
      <c r="AC550" s="40">
        <v>245.17</v>
      </c>
      <c r="AD550" s="40">
        <v>249.573789937801</v>
      </c>
      <c r="AE550" s="40">
        <v>246.95703</v>
      </c>
      <c r="AF550" s="40">
        <v>9.32017999999999</v>
      </c>
      <c r="AG550" s="40">
        <v>327.41</v>
      </c>
      <c r="AH550" s="45">
        <v>44237.0</v>
      </c>
      <c r="AI550" s="44" t="str">
        <f>'6image_RS_benchmark_performance'!B550</f>
        <v>https://3arbzfbsh-cname-us.ngrok.io/Desktop/seabridge%20fintech/image_app/SNOW_resistance_support.jpg</v>
      </c>
      <c r="AJ550" s="44" t="str">
        <f>'6image_RS_benchmark_performance'!C550</f>
        <v>https://3arbzfbsh-cname-us.ngrok.io/Desktop/seabridge%20fintech/profit_graph_app/SNOW_Return.jpg</v>
      </c>
      <c r="AK550" s="46" t="str">
        <f>'5price_action_icon'!B550</f>
        <v>https://3arbzfbsh-cname-us.ngrok.io/Desktop/seabridge%20fintech/icon/SNOW_pa_trend_signal</v>
      </c>
      <c r="AL550" s="42">
        <f>'1kpi_performance'!B550</f>
        <v>1.29224708</v>
      </c>
      <c r="AM550" s="42">
        <f>'1kpi_performance'!C550</f>
        <v>1.241136948</v>
      </c>
      <c r="AN550" s="42">
        <f>'1kpi_performance'!D550</f>
        <v>1.967698214</v>
      </c>
      <c r="AO550" s="42">
        <f>'1kpi_performance'!E550</f>
        <v>-0.00950064441</v>
      </c>
      <c r="AP550" s="42">
        <f>'1kpi_performance'!F550</f>
        <v>0.6267103813</v>
      </c>
      <c r="AQ550" s="42">
        <f>'1kpi_performance'!G550</f>
        <v>0.5650964747</v>
      </c>
      <c r="AR550" s="42">
        <f>'1kpi_performance'!H550</f>
        <v>0.5407111134</v>
      </c>
      <c r="AS550" s="42">
        <f>'1kpi_performance'!I550</f>
        <v>0.7828788261</v>
      </c>
      <c r="AT550" s="35">
        <f>'1kpi_performance'!J550</f>
        <v>2.022061733</v>
      </c>
      <c r="AU550" s="35">
        <f>'1kpi_performance'!K550</f>
        <v>2.152087302</v>
      </c>
      <c r="AV550" s="35">
        <f>'1kpi_performance'!L550</f>
        <v>3.592857934</v>
      </c>
      <c r="AW550" s="35">
        <f>'1kpi_performance'!M550</f>
        <v>-0.04406894561</v>
      </c>
      <c r="AX550" s="42">
        <f>'1kpi_performance'!N550</f>
        <v>0.2096671042</v>
      </c>
      <c r="AY550" s="42">
        <f>'1kpi_performance'!O550</f>
        <v>0.1584368373</v>
      </c>
      <c r="AZ550" s="42">
        <f>'1kpi_performance'!P550</f>
        <v>0.2771865677</v>
      </c>
      <c r="BA550" s="42">
        <f>'1kpi_performance'!Q550</f>
        <v>0.5173333333</v>
      </c>
      <c r="BB550" s="35">
        <f>'1kpi_performance'!R550</f>
        <v>4.260634598</v>
      </c>
      <c r="BC550" s="35">
        <f>'1kpi_performance'!S550</f>
        <v>4.628818188</v>
      </c>
      <c r="BD550" s="35">
        <f>'1kpi_performance'!T550</f>
        <v>9.152079992</v>
      </c>
      <c r="BE550" s="35">
        <f>'1kpi_performance'!U550</f>
        <v>-0.0937506273</v>
      </c>
      <c r="BF550" s="47"/>
      <c r="BG550" s="47"/>
      <c r="BH550" s="47"/>
      <c r="BI550" s="47"/>
      <c r="BJ550" s="47"/>
      <c r="BK550" s="47"/>
      <c r="BL550" s="47"/>
      <c r="BM550" s="47"/>
      <c r="BN550" s="47"/>
      <c r="BO550" s="47"/>
      <c r="BP550" s="47"/>
      <c r="BQ550" s="47"/>
      <c r="BR550" s="47"/>
      <c r="BS550" s="47"/>
      <c r="BT550" s="47"/>
    </row>
    <row r="551" ht="11.25" customHeight="1">
      <c r="A551" s="35" t="str">
        <f>'13all_company_profile'!A551</f>
        <v>SNPS</v>
      </c>
      <c r="B551" s="35" t="str">
        <f>'13all_company_profile'!B551</f>
        <v>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v>
      </c>
      <c r="C551" s="44" t="str">
        <f>'13all_company_profile'!C551</f>
        <v>https://financialmodelingprep.com/image-stock/SNPS.png</v>
      </c>
      <c r="D551" s="35" t="str">
        <f>'13all_company_profile'!D551</f>
        <v>Synopsys, Inc.</v>
      </c>
      <c r="E551" s="36">
        <f>'13all_company_profile'!E551</f>
        <v>42367025152</v>
      </c>
      <c r="F551" s="37">
        <f>'13all_company_profile'!F551</f>
        <v>850480</v>
      </c>
      <c r="G551" s="35">
        <f>'13all_company_profile'!G551</f>
        <v>0</v>
      </c>
      <c r="H551" s="38" t="str">
        <f>'13all_company_profile'!H551</f>
        <v>not avaiable</v>
      </c>
      <c r="I551" s="35">
        <f>'13all_company_profile'!I551</f>
        <v>53.822502</v>
      </c>
      <c r="J551" s="35">
        <f>'13all_company_profile'!J551</f>
        <v>5.138</v>
      </c>
      <c r="K551" s="42" t="str">
        <f t="shared" si="1"/>
        <v>NaN</v>
      </c>
      <c r="L551" s="35">
        <f>'7company_info'!B551</f>
        <v>277.89</v>
      </c>
      <c r="M551" s="35">
        <f>'7company_info'!C551</f>
        <v>279.62</v>
      </c>
      <c r="N551" s="35">
        <f>'7company_info'!D551</f>
        <v>273.28</v>
      </c>
      <c r="O551" s="35">
        <f>'7company_info'!E551</f>
        <v>3.41</v>
      </c>
      <c r="P551" s="35">
        <f>'7company_info'!F551</f>
        <v>0.0124</v>
      </c>
      <c r="Q551" s="35">
        <f>'7company_info'!G551</f>
        <v>275.25</v>
      </c>
      <c r="R551" s="35">
        <f>'7company_info'!H551</f>
        <v>274.48</v>
      </c>
      <c r="S551" s="35">
        <f>'7company_info'!I551</f>
        <v>190.5</v>
      </c>
      <c r="T551" s="35">
        <f>'7company_info'!J551</f>
        <v>300.91</v>
      </c>
      <c r="U551" s="39">
        <v>279.28</v>
      </c>
      <c r="V551" s="39">
        <v>280.92</v>
      </c>
      <c r="W551" s="40">
        <v>282.76</v>
      </c>
      <c r="X551" s="40">
        <v>286.24</v>
      </c>
      <c r="Y551" s="40">
        <v>277.439999999999</v>
      </c>
      <c r="Z551" s="40">
        <v>275.799999999999</v>
      </c>
      <c r="AA551" s="40">
        <v>272.319999999999</v>
      </c>
      <c r="AB551" s="40">
        <v>274.02</v>
      </c>
      <c r="AC551" s="40">
        <v>283.09</v>
      </c>
      <c r="AD551" s="40">
        <v>273.047519666882</v>
      </c>
      <c r="AE551" s="40">
        <v>267.89224</v>
      </c>
      <c r="AF551" s="40">
        <v>5.09837999999999</v>
      </c>
      <c r="AG551" s="40">
        <v>300.91</v>
      </c>
      <c r="AH551" s="45">
        <v>44243.0</v>
      </c>
      <c r="AI551" s="44" t="str">
        <f>'6image_RS_benchmark_performance'!B551</f>
        <v>https://3arbzfbsh-cname-us.ngrok.io/Desktop/seabridge%20fintech/image_app/SNPS_resistance_support.jpg</v>
      </c>
      <c r="AJ551" s="44" t="str">
        <f>'6image_RS_benchmark_performance'!C551</f>
        <v>https://3arbzfbsh-cname-us.ngrok.io/Desktop/seabridge%20fintech/profit_graph_app/SNPS_Return.jpg</v>
      </c>
      <c r="AK551" s="46" t="str">
        <f>'5price_action_icon'!B551</f>
        <v>https://3arbzfbsh-cname-us.ngrok.io/Desktop/seabridge%20fintech/icon/SNPS_pa_trend_signal</v>
      </c>
      <c r="AL551" s="42">
        <f>'1kpi_performance'!B551</f>
        <v>0.5945702138</v>
      </c>
      <c r="AM551" s="42">
        <f>'1kpi_performance'!C551</f>
        <v>0.761008786</v>
      </c>
      <c r="AN551" s="42">
        <f>'1kpi_performance'!D551</f>
        <v>0.8061016707</v>
      </c>
      <c r="AO551" s="42">
        <f>'1kpi_performance'!E551</f>
        <v>0.3707085726</v>
      </c>
      <c r="AP551" s="42">
        <f>'1kpi_performance'!F551</f>
        <v>0.185040531</v>
      </c>
      <c r="AQ551" s="42">
        <f>'1kpi_performance'!G551</f>
        <v>0.1971945688</v>
      </c>
      <c r="AR551" s="42">
        <f>'1kpi_performance'!H551</f>
        <v>0.1832756046</v>
      </c>
      <c r="AS551" s="42">
        <f>'1kpi_performance'!I551</f>
        <v>0.2841704687</v>
      </c>
      <c r="AT551" s="35">
        <f>'1kpi_performance'!J551</f>
        <v>3.078083546</v>
      </c>
      <c r="AU551" s="35">
        <f>'1kpi_performance'!K551</f>
        <v>3.732398872</v>
      </c>
      <c r="AV551" s="35">
        <f>'1kpi_performance'!L551</f>
        <v>4.261896571</v>
      </c>
      <c r="AW551" s="35">
        <f>'1kpi_performance'!M551</f>
        <v>1.21655348</v>
      </c>
      <c r="AX551" s="42">
        <f>'1kpi_performance'!N551</f>
        <v>0.09147763409</v>
      </c>
      <c r="AY551" s="42">
        <f>'1kpi_performance'!O551</f>
        <v>0.06542779714</v>
      </c>
      <c r="AZ551" s="42">
        <f>'1kpi_performance'!P551</f>
        <v>0.1103238866</v>
      </c>
      <c r="BA551" s="42">
        <f>'1kpi_performance'!Q551</f>
        <v>0.3425056064</v>
      </c>
      <c r="BB551" s="35">
        <f>'1kpi_performance'!R551</f>
        <v>6.751157145</v>
      </c>
      <c r="BC551" s="35">
        <f>'1kpi_performance'!S551</f>
        <v>8.721613792</v>
      </c>
      <c r="BD551" s="35">
        <f>'1kpi_performance'!T551</f>
        <v>9.999249633</v>
      </c>
      <c r="BE551" s="35">
        <f>'1kpi_performance'!U551</f>
        <v>2.367414517</v>
      </c>
      <c r="BF551" s="47"/>
      <c r="BG551" s="47"/>
      <c r="BH551" s="47"/>
      <c r="BI551" s="47"/>
      <c r="BJ551" s="47"/>
      <c r="BK551" s="47"/>
      <c r="BL551" s="47"/>
      <c r="BM551" s="47"/>
      <c r="BN551" s="47"/>
      <c r="BO551" s="47"/>
      <c r="BP551" s="47"/>
      <c r="BQ551" s="47"/>
      <c r="BR551" s="47"/>
      <c r="BS551" s="47"/>
      <c r="BT551" s="47"/>
    </row>
    <row r="552" ht="11.25" customHeight="1">
      <c r="A552" s="35" t="str">
        <f>'13all_company_profile'!A552</f>
        <v>SO</v>
      </c>
      <c r="B552" s="35" t="str">
        <f>'13all_company_profile'!B552</f>
        <v>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v>
      </c>
      <c r="C552" s="44" t="str">
        <f>'13all_company_profile'!C552</f>
        <v>https://financialmodelingprep.com/image-stock/SO.png</v>
      </c>
      <c r="D552" s="35" t="str">
        <f>'13all_company_profile'!D552</f>
        <v>The Southern Company</v>
      </c>
      <c r="E552" s="36">
        <f>'13all_company_profile'!E552</f>
        <v>66344341504</v>
      </c>
      <c r="F552" s="37">
        <f>'13all_company_profile'!F552</f>
        <v>3932515</v>
      </c>
      <c r="G552" s="35">
        <f>'13all_company_profile'!G552</f>
        <v>2.58</v>
      </c>
      <c r="H552" s="38">
        <f>'13all_company_profile'!H552</f>
        <v>44406</v>
      </c>
      <c r="I552" s="35">
        <f>'13all_company_profile'!I552</f>
        <v>19.918238</v>
      </c>
      <c r="J552" s="35">
        <f>'13all_company_profile'!J552</f>
        <v>3.18</v>
      </c>
      <c r="K552" s="42">
        <f t="shared" si="1"/>
        <v>0.04098490866</v>
      </c>
      <c r="L552" s="35">
        <f>'7company_info'!B552</f>
        <v>62.95</v>
      </c>
      <c r="M552" s="35">
        <f>'7company_info'!C552</f>
        <v>63.95</v>
      </c>
      <c r="N552" s="35">
        <f>'7company_info'!D552</f>
        <v>62.8</v>
      </c>
      <c r="O552" s="35">
        <f>'7company_info'!E552</f>
        <v>0.16</v>
      </c>
      <c r="P552" s="35">
        <f>'7company_info'!F552</f>
        <v>0.0025</v>
      </c>
      <c r="Q552" s="35">
        <f>'7company_info'!G552</f>
        <v>63</v>
      </c>
      <c r="R552" s="35">
        <f>'7company_info'!H552</f>
        <v>62.79</v>
      </c>
      <c r="S552" s="35">
        <f>'7company_info'!I552</f>
        <v>51.22</v>
      </c>
      <c r="T552" s="35">
        <f>'7company_info'!J552</f>
        <v>66.93</v>
      </c>
      <c r="U552" s="39">
        <v>61.6949999999999</v>
      </c>
      <c r="V552" s="39">
        <v>62.3349999999999</v>
      </c>
      <c r="W552" s="40">
        <v>62.78</v>
      </c>
      <c r="X552" s="40">
        <v>63.865</v>
      </c>
      <c r="Y552" s="40">
        <v>61.2499999999999</v>
      </c>
      <c r="Z552" s="40">
        <v>60.6099999999999</v>
      </c>
      <c r="AA552" s="40">
        <v>59.5249999999999</v>
      </c>
      <c r="AB552" s="40">
        <v>61.055</v>
      </c>
      <c r="AC552" s="40">
        <v>64.925</v>
      </c>
      <c r="AD552" s="40">
        <v>61.9515175414428</v>
      </c>
      <c r="AE552" s="40">
        <v>59.50619</v>
      </c>
      <c r="AF552" s="40">
        <v>0.926905000000001</v>
      </c>
      <c r="AG552" s="40">
        <v>66.93</v>
      </c>
      <c r="AH552" s="45">
        <v>44326.0</v>
      </c>
      <c r="AI552" s="44" t="str">
        <f>'6image_RS_benchmark_performance'!B552</f>
        <v>https://3arbzfbsh-cname-us.ngrok.io/Desktop/seabridge%20fintech/image_app/SO_resistance_support.jpg</v>
      </c>
      <c r="AJ552" s="44" t="str">
        <f>'6image_RS_benchmark_performance'!C552</f>
        <v>https://3arbzfbsh-cname-us.ngrok.io/Desktop/seabridge%20fintech/profit_graph_app/SO_Return.jpg</v>
      </c>
      <c r="AK552" s="46" t="str">
        <f>'5price_action_icon'!B552</f>
        <v>https://3arbzfbsh-cname-us.ngrok.io/Desktop/seabridge%20fintech/icon/SO_pa_trend_signal</v>
      </c>
      <c r="AL552" s="42">
        <f>'1kpi_performance'!B552</f>
        <v>0.2932089917</v>
      </c>
      <c r="AM552" s="42">
        <f>'1kpi_performance'!C552</f>
        <v>0.3472364835</v>
      </c>
      <c r="AN552" s="42">
        <f>'1kpi_performance'!D552</f>
        <v>0.3188086695</v>
      </c>
      <c r="AO552" s="42">
        <f>'1kpi_performance'!E552</f>
        <v>0.0809025361</v>
      </c>
      <c r="AP552" s="42">
        <f>'1kpi_performance'!F552</f>
        <v>0.1486868263</v>
      </c>
      <c r="AQ552" s="42">
        <f>'1kpi_performance'!G552</f>
        <v>0.1519521084</v>
      </c>
      <c r="AR552" s="42">
        <f>'1kpi_performance'!H552</f>
        <v>0.181817101</v>
      </c>
      <c r="AS552" s="42">
        <f>'1kpi_performance'!I552</f>
        <v>0.2334335161</v>
      </c>
      <c r="AT552" s="35">
        <f>'1kpi_performance'!J552</f>
        <v>1.803851749</v>
      </c>
      <c r="AU552" s="35">
        <f>'1kpi_performance'!K552</f>
        <v>2.12064503</v>
      </c>
      <c r="AV552" s="35">
        <f>'1kpi_performance'!L552</f>
        <v>1.615957288</v>
      </c>
      <c r="AW552" s="35">
        <f>'1kpi_performance'!M552</f>
        <v>0.2394794759</v>
      </c>
      <c r="AX552" s="42">
        <f>'1kpi_performance'!N552</f>
        <v>0.1353681669</v>
      </c>
      <c r="AY552" s="42">
        <f>'1kpi_performance'!O552</f>
        <v>0.1353681669</v>
      </c>
      <c r="AZ552" s="42">
        <f>'1kpi_performance'!P552</f>
        <v>0.3816571354</v>
      </c>
      <c r="BA552" s="42">
        <f>'1kpi_performance'!Q552</f>
        <v>0.3898376853</v>
      </c>
      <c r="BB552" s="35">
        <f>'1kpi_performance'!R552</f>
        <v>3.62139397</v>
      </c>
      <c r="BC552" s="35">
        <f>'1kpi_performance'!S552</f>
        <v>4.470602804</v>
      </c>
      <c r="BD552" s="35">
        <f>'1kpi_performance'!T552</f>
        <v>3.074667772</v>
      </c>
      <c r="BE552" s="35">
        <f>'1kpi_performance'!U552</f>
        <v>0.4560309096</v>
      </c>
      <c r="BF552" s="47"/>
      <c r="BG552" s="47"/>
      <c r="BH552" s="47"/>
      <c r="BI552" s="47"/>
      <c r="BJ552" s="47"/>
      <c r="BK552" s="47"/>
      <c r="BL552" s="47"/>
      <c r="BM552" s="47"/>
      <c r="BN552" s="47"/>
      <c r="BO552" s="47"/>
      <c r="BP552" s="47"/>
      <c r="BQ552" s="47"/>
      <c r="BR552" s="47"/>
      <c r="BS552" s="47"/>
      <c r="BT552" s="47"/>
    </row>
    <row r="553" ht="11.25" customHeight="1">
      <c r="A553" s="35" t="str">
        <f>'13all_company_profile'!A553</f>
        <v>SONO</v>
      </c>
      <c r="B553" s="35" t="str">
        <f>'13all_company_profile'!B553</f>
        <v>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v>
      </c>
      <c r="C553" s="44" t="str">
        <f>'13all_company_profile'!C553</f>
        <v>https://financialmodelingprep.com/image-stock/SONO.png</v>
      </c>
      <c r="D553" s="35" t="str">
        <f>'13all_company_profile'!D553</f>
        <v>Sonos, Inc.</v>
      </c>
      <c r="E553" s="36">
        <f>'13all_company_profile'!E553</f>
        <v>4146621184</v>
      </c>
      <c r="F553" s="37">
        <f>'13all_company_profile'!F553</f>
        <v>2148576</v>
      </c>
      <c r="G553" s="35">
        <f>'13all_company_profile'!G553</f>
        <v>0</v>
      </c>
      <c r="H553" s="38">
        <f>'13all_company_profile'!H553</f>
        <v>44411</v>
      </c>
      <c r="I553" s="35">
        <f>'13all_company_profile'!I553</f>
        <v>35.04329</v>
      </c>
      <c r="J553" s="35">
        <f>'13all_company_profile'!J553</f>
        <v>0.924</v>
      </c>
      <c r="K553" s="42" t="str">
        <f t="shared" si="1"/>
        <v>NaN</v>
      </c>
      <c r="L553" s="35">
        <f>'7company_info'!B553</f>
        <v>32.81</v>
      </c>
      <c r="M553" s="35">
        <f>'7company_info'!C553</f>
        <v>33.08</v>
      </c>
      <c r="N553" s="35">
        <f>'7company_info'!D553</f>
        <v>31.86</v>
      </c>
      <c r="O553" s="35">
        <f>'7company_info'!E553</f>
        <v>0.58</v>
      </c>
      <c r="P553" s="35">
        <f>'7company_info'!F553</f>
        <v>0.018</v>
      </c>
      <c r="Q553" s="35">
        <f>'7company_info'!G553</f>
        <v>32.23</v>
      </c>
      <c r="R553" s="35">
        <f>'7company_info'!H553</f>
        <v>32.23</v>
      </c>
      <c r="S553" s="35">
        <f>'7company_info'!I553</f>
        <v>12.4</v>
      </c>
      <c r="T553" s="35">
        <f>'7company_info'!J553</f>
        <v>44.72</v>
      </c>
      <c r="U553" s="39">
        <v>34.59</v>
      </c>
      <c r="V553" s="39">
        <v>35.0699999999999</v>
      </c>
      <c r="W553" s="40">
        <v>35.98</v>
      </c>
      <c r="X553" s="40">
        <v>37.37</v>
      </c>
      <c r="Y553" s="40">
        <v>33.6799999999999</v>
      </c>
      <c r="Z553" s="40">
        <v>33.2</v>
      </c>
      <c r="AA553" s="40">
        <v>31.8099999999999</v>
      </c>
      <c r="AB553" s="40">
        <v>34.11</v>
      </c>
      <c r="AC553" s="40">
        <v>35.7274</v>
      </c>
      <c r="AD553" s="40">
        <v>34.8636510427133</v>
      </c>
      <c r="AE553" s="40">
        <v>32.7966</v>
      </c>
      <c r="AF553" s="40">
        <v>1.16269999999999</v>
      </c>
      <c r="AG553" s="40">
        <v>44.72</v>
      </c>
      <c r="AH553" s="45">
        <v>44300.0</v>
      </c>
      <c r="AI553" s="44" t="str">
        <f>'6image_RS_benchmark_performance'!B553</f>
        <v>https://3arbzfbsh-cname-us.ngrok.io/Desktop/seabridge%20fintech/image_app/SONO_resistance_support.jpg</v>
      </c>
      <c r="AJ553" s="44" t="str">
        <f>'6image_RS_benchmark_performance'!C553</f>
        <v>https://3arbzfbsh-cname-us.ngrok.io/Desktop/seabridge%20fintech/profit_graph_app/SONO_Return.jpg</v>
      </c>
      <c r="AK553" s="46" t="str">
        <f>'5price_action_icon'!B553</f>
        <v>https://3arbzfbsh-cname-us.ngrok.io/Desktop/seabridge%20fintech/icon/SONO_pa_trend_signal</v>
      </c>
      <c r="AL553" s="42">
        <f>'1kpi_performance'!B553</f>
        <v>1.035011965</v>
      </c>
      <c r="AM553" s="42">
        <f>'1kpi_performance'!C553</f>
        <v>2.794054364</v>
      </c>
      <c r="AN553" s="42">
        <f>'1kpi_performance'!D553</f>
        <v>0.4262309366</v>
      </c>
      <c r="AO553" s="42">
        <f>'1kpi_performance'!E553</f>
        <v>0.2998737786</v>
      </c>
      <c r="AP553" s="42">
        <f>'1kpi_performance'!F553</f>
        <v>0.6255299786</v>
      </c>
      <c r="AQ553" s="42">
        <f>'1kpi_performance'!G553</f>
        <v>0.5799814035</v>
      </c>
      <c r="AR553" s="42">
        <f>'1kpi_performance'!H553</f>
        <v>0.584233121</v>
      </c>
      <c r="AS553" s="42">
        <f>'1kpi_performance'!I553</f>
        <v>0.7598299683</v>
      </c>
      <c r="AT553" s="35">
        <f>'1kpi_performance'!J553</f>
        <v>1.614649976</v>
      </c>
      <c r="AU553" s="35">
        <f>'1kpi_performance'!K553</f>
        <v>4.774384742</v>
      </c>
      <c r="AV553" s="35">
        <f>'1kpi_performance'!L553</f>
        <v>0.6867651322</v>
      </c>
      <c r="AW553" s="35">
        <f>'1kpi_performance'!M553</f>
        <v>0.3617569589</v>
      </c>
      <c r="AX553" s="42">
        <f>'1kpi_performance'!N553</f>
        <v>0.4453665284</v>
      </c>
      <c r="AY553" s="42">
        <f>'1kpi_performance'!O553</f>
        <v>0.2033412888</v>
      </c>
      <c r="AZ553" s="42">
        <f>'1kpi_performance'!P553</f>
        <v>0.5577411168</v>
      </c>
      <c r="BA553" s="42">
        <f>'1kpi_performance'!Q553</f>
        <v>0.6786537575</v>
      </c>
      <c r="BB553" s="35">
        <f>'1kpi_performance'!R553</f>
        <v>3.390143586</v>
      </c>
      <c r="BC553" s="35">
        <f>'1kpi_performance'!S553</f>
        <v>11.79373128</v>
      </c>
      <c r="BD553" s="35">
        <f>'1kpi_performance'!T553</f>
        <v>1.269982963</v>
      </c>
      <c r="BE553" s="35">
        <f>'1kpi_performance'!U553</f>
        <v>0.7483629366</v>
      </c>
      <c r="BF553" s="47"/>
      <c r="BG553" s="47"/>
      <c r="BH553" s="47"/>
      <c r="BI553" s="47"/>
      <c r="BJ553" s="47"/>
      <c r="BK553" s="47"/>
      <c r="BL553" s="47"/>
      <c r="BM553" s="47"/>
      <c r="BN553" s="47"/>
      <c r="BO553" s="47"/>
      <c r="BP553" s="47"/>
      <c r="BQ553" s="47"/>
      <c r="BR553" s="47"/>
      <c r="BS553" s="47"/>
      <c r="BT553" s="47"/>
    </row>
    <row r="554" ht="11.25" customHeight="1">
      <c r="A554" s="35" t="str">
        <f>'13all_company_profile'!A554</f>
        <v>SPCE</v>
      </c>
      <c r="B554" s="35" t="str">
        <f>'13all_company_profile'!B554</f>
        <v>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v>
      </c>
      <c r="C554" s="44" t="str">
        <f>'13all_company_profile'!C554</f>
        <v>https://financialmodelingprep.com/image-stock/SPCE.png</v>
      </c>
      <c r="D554" s="35" t="str">
        <f>'13all_company_profile'!D554</f>
        <v>Virgin Galactic Holdings, Inc.</v>
      </c>
      <c r="E554" s="36">
        <f>'13all_company_profile'!E554</f>
        <v>7643689984</v>
      </c>
      <c r="F554" s="37">
        <f>'13all_company_profile'!F554</f>
        <v>38231923</v>
      </c>
      <c r="G554" s="35">
        <f>'13all_company_profile'!G554</f>
        <v>0</v>
      </c>
      <c r="H554" s="38">
        <f>'13all_company_profile'!H554</f>
        <v>44410</v>
      </c>
      <c r="I554" s="35" t="str">
        <f>'13all_company_profile'!I554</f>
        <v>NaN</v>
      </c>
      <c r="J554" s="35">
        <f>'13all_company_profile'!J554</f>
        <v>-1.752</v>
      </c>
      <c r="K554" s="42" t="str">
        <f t="shared" si="1"/>
        <v>NaN</v>
      </c>
      <c r="L554" s="35">
        <f>'7company_info'!B554</f>
        <v>32.03</v>
      </c>
      <c r="M554" s="35">
        <f>'7company_info'!C554</f>
        <v>32.37</v>
      </c>
      <c r="N554" s="35">
        <f>'7company_info'!D554</f>
        <v>29.54</v>
      </c>
      <c r="O554" s="35">
        <f>'7company_info'!E554</f>
        <v>-0.37</v>
      </c>
      <c r="P554" s="35">
        <f>'7company_info'!F554</f>
        <v>-0.0114</v>
      </c>
      <c r="Q554" s="35">
        <f>'7company_info'!G554</f>
        <v>31.09</v>
      </c>
      <c r="R554" s="35">
        <f>'7company_info'!H554</f>
        <v>32.4</v>
      </c>
      <c r="S554" s="35">
        <f>'7company_info'!I554</f>
        <v>14.27</v>
      </c>
      <c r="T554" s="35">
        <f>'7company_info'!J554</f>
        <v>62.8</v>
      </c>
      <c r="U554" s="39">
        <v>34.6166666666666</v>
      </c>
      <c r="V554" s="39">
        <v>36.4233333333333</v>
      </c>
      <c r="W554" s="40">
        <v>39.7766666666666</v>
      </c>
      <c r="X554" s="40">
        <v>44.9366666666666</v>
      </c>
      <c r="Y554" s="40">
        <v>31.2633333333333</v>
      </c>
      <c r="Z554" s="40">
        <v>29.4566666666666</v>
      </c>
      <c r="AA554" s="40">
        <v>24.2966666666666</v>
      </c>
      <c r="AB554" s="40">
        <v>32.81</v>
      </c>
      <c r="AC554" s="40">
        <v>54.4</v>
      </c>
      <c r="AD554" s="40">
        <v>41.3758510373038</v>
      </c>
      <c r="AE554" s="40">
        <v>27.00078</v>
      </c>
      <c r="AF554" s="40">
        <v>5.53062</v>
      </c>
      <c r="AG554" s="40">
        <v>62.8</v>
      </c>
      <c r="AH554" s="45">
        <v>44231.0</v>
      </c>
      <c r="AI554" s="44" t="str">
        <f>'6image_RS_benchmark_performance'!B554</f>
        <v>https://3arbzfbsh-cname-us.ngrok.io/Desktop/seabridge%20fintech/image_app/SPCE_resistance_support.jpg</v>
      </c>
      <c r="AJ554" s="44" t="str">
        <f>'6image_RS_benchmark_performance'!C554</f>
        <v>https://3arbzfbsh-cname-us.ngrok.io/Desktop/seabridge%20fintech/profit_graph_app/SPCE_Return.jpg</v>
      </c>
      <c r="AK554" s="46" t="str">
        <f>'5price_action_icon'!B554</f>
        <v>https://3arbzfbsh-cname-us.ngrok.io/Desktop/seabridge%20fintech/icon/SPCE_pa_trend_signal</v>
      </c>
      <c r="AL554" s="42">
        <f>'1kpi_performance'!B554</f>
        <v>4.156619048</v>
      </c>
      <c r="AM554" s="42">
        <f>'1kpi_performance'!C554</f>
        <v>4.512214088</v>
      </c>
      <c r="AN554" s="42">
        <f>'1kpi_performance'!D554</f>
        <v>3.820331189</v>
      </c>
      <c r="AO554" s="42">
        <f>'1kpi_performance'!E554</f>
        <v>0.5659956906</v>
      </c>
      <c r="AP554" s="42">
        <f>'1kpi_performance'!F554</f>
        <v>0.6716868721</v>
      </c>
      <c r="AQ554" s="42">
        <f>'1kpi_performance'!G554</f>
        <v>0.6914453657</v>
      </c>
      <c r="AR554" s="42">
        <f>'1kpi_performance'!H554</f>
        <v>0.7456797746</v>
      </c>
      <c r="AS554" s="42">
        <f>'1kpi_performance'!I554</f>
        <v>0.9123895438</v>
      </c>
      <c r="AT554" s="35">
        <f>'1kpi_performance'!J554</f>
        <v>6.151108827</v>
      </c>
      <c r="AU554" s="35">
        <f>'1kpi_performance'!K554</f>
        <v>6.489614814</v>
      </c>
      <c r="AV554" s="35">
        <f>'1kpi_performance'!L554</f>
        <v>5.089760133</v>
      </c>
      <c r="AW554" s="35">
        <f>'1kpi_performance'!M554</f>
        <v>0.5929437643</v>
      </c>
      <c r="AX554" s="42">
        <f>'1kpi_performance'!N554</f>
        <v>0.1803766105</v>
      </c>
      <c r="AY554" s="42">
        <f>'1kpi_performance'!O554</f>
        <v>0.2566907928</v>
      </c>
      <c r="AZ554" s="42">
        <f>'1kpi_performance'!P554</f>
        <v>0.5882253642</v>
      </c>
      <c r="BA554" s="42">
        <f>'1kpi_performance'!Q554</f>
        <v>0.7391011614</v>
      </c>
      <c r="BB554" s="35">
        <f>'1kpi_performance'!R554</f>
        <v>19.24841324</v>
      </c>
      <c r="BC554" s="35">
        <f>'1kpi_performance'!S554</f>
        <v>19.47333333</v>
      </c>
      <c r="BD554" s="35">
        <f>'1kpi_performance'!T554</f>
        <v>13.82855362</v>
      </c>
      <c r="BE554" s="35">
        <f>'1kpi_performance'!U554</f>
        <v>1.259281884</v>
      </c>
      <c r="BF554" s="47"/>
      <c r="BG554" s="47"/>
      <c r="BH554" s="47"/>
      <c r="BI554" s="47"/>
      <c r="BJ554" s="47"/>
      <c r="BK554" s="47"/>
      <c r="BL554" s="47"/>
      <c r="BM554" s="47"/>
      <c r="BN554" s="47"/>
      <c r="BO554" s="47"/>
      <c r="BP554" s="47"/>
      <c r="BQ554" s="47"/>
      <c r="BR554" s="47"/>
      <c r="BS554" s="47"/>
      <c r="BT554" s="47"/>
    </row>
    <row r="555" ht="11.25" customHeight="1">
      <c r="A555" s="35" t="str">
        <f>'13all_company_profile'!A555</f>
        <v>SPG</v>
      </c>
      <c r="B555" s="35" t="str">
        <f>'13all_company_profile'!B555</f>
        <v>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v>
      </c>
      <c r="C555" s="44" t="str">
        <f>'13all_company_profile'!C555</f>
        <v>https://financialmodelingprep.com/image-stock/SPG.png</v>
      </c>
      <c r="D555" s="35" t="str">
        <f>'13all_company_profile'!D555</f>
        <v>Simon Property Group, Inc.</v>
      </c>
      <c r="E555" s="36">
        <f>'13all_company_profile'!E555</f>
        <v>41573326848</v>
      </c>
      <c r="F555" s="37">
        <f>'13all_company_profile'!F555</f>
        <v>2439253</v>
      </c>
      <c r="G555" s="35">
        <f>'13all_company_profile'!G555</f>
        <v>5.3</v>
      </c>
      <c r="H555" s="38" t="str">
        <f>'13all_company_profile'!H555</f>
        <v>not avaiable</v>
      </c>
      <c r="I555" s="35">
        <f>'13all_company_profile'!I555</f>
        <v>35.19415</v>
      </c>
      <c r="J555" s="35">
        <f>'13all_company_profile'!J555</f>
        <v>3.554</v>
      </c>
      <c r="K555" s="42">
        <f t="shared" si="1"/>
        <v>0.04218737563</v>
      </c>
      <c r="L555" s="35">
        <f>'7company_info'!B555</f>
        <v>125.63</v>
      </c>
      <c r="M555" s="35">
        <f>'7company_info'!C555</f>
        <v>126.15</v>
      </c>
      <c r="N555" s="35">
        <f>'7company_info'!D555</f>
        <v>118.26</v>
      </c>
      <c r="O555" s="35">
        <f>'7company_info'!E555</f>
        <v>8.44</v>
      </c>
      <c r="P555" s="35">
        <f>'7company_info'!F555</f>
        <v>0.072</v>
      </c>
      <c r="Q555" s="35">
        <f>'7company_info'!G555</f>
        <v>119</v>
      </c>
      <c r="R555" s="35">
        <f>'7company_info'!H555</f>
        <v>117.19</v>
      </c>
      <c r="S555" s="35">
        <f>'7company_info'!I555</f>
        <v>59.03</v>
      </c>
      <c r="T555" s="35">
        <f>'7company_info'!J555</f>
        <v>136.7</v>
      </c>
      <c r="U555" s="39">
        <v>127.416666666666</v>
      </c>
      <c r="V555" s="39">
        <v>128.683333333333</v>
      </c>
      <c r="W555" s="40">
        <v>129.916666666666</v>
      </c>
      <c r="X555" s="40">
        <v>132.416666666666</v>
      </c>
      <c r="Y555" s="40">
        <v>126.183333333333</v>
      </c>
      <c r="Z555" s="40">
        <v>124.916666666666</v>
      </c>
      <c r="AA555" s="40">
        <v>122.416666666666</v>
      </c>
      <c r="AB555" s="40">
        <v>129.07</v>
      </c>
      <c r="AC555" s="40">
        <v>130.04</v>
      </c>
      <c r="AD555" s="40">
        <v>128.992764412878</v>
      </c>
      <c r="AE555" s="40">
        <v>119.96116</v>
      </c>
      <c r="AF555" s="40">
        <v>3.28392</v>
      </c>
      <c r="AG555" s="40">
        <v>136.7</v>
      </c>
      <c r="AH555" s="45">
        <v>44355.0</v>
      </c>
      <c r="AI555" s="44" t="str">
        <f>'6image_RS_benchmark_performance'!B555</f>
        <v>https://3arbzfbsh-cname-us.ngrok.io/Desktop/seabridge%20fintech/image_app/SPG_resistance_support.jpg</v>
      </c>
      <c r="AJ555" s="44" t="str">
        <f>'6image_RS_benchmark_performance'!C555</f>
        <v>https://3arbzfbsh-cname-us.ngrok.io/Desktop/seabridge%20fintech/profit_graph_app/SPG_Return.jpg</v>
      </c>
      <c r="AK555" s="46" t="str">
        <f>'5price_action_icon'!B555</f>
        <v>https://3arbzfbsh-cname-us.ngrok.io/Desktop/seabridge%20fintech/icon/SPG_pa_trend_signal</v>
      </c>
      <c r="AL555" s="42">
        <f>'1kpi_performance'!B555</f>
        <v>0.4341484067</v>
      </c>
      <c r="AM555" s="42">
        <f>'1kpi_performance'!C555</f>
        <v>0.5131893531</v>
      </c>
      <c r="AN555" s="42">
        <f>'1kpi_performance'!D555</f>
        <v>0.4389415011</v>
      </c>
      <c r="AO555" s="42">
        <f>'1kpi_performance'!E555</f>
        <v>0.0810829176</v>
      </c>
      <c r="AP555" s="42">
        <f>'1kpi_performance'!F555</f>
        <v>0.2832277155</v>
      </c>
      <c r="AQ555" s="42">
        <f>'1kpi_performance'!G555</f>
        <v>0.2515111584</v>
      </c>
      <c r="AR555" s="42">
        <f>'1kpi_performance'!H555</f>
        <v>0.3397087346</v>
      </c>
      <c r="AS555" s="42">
        <f>'1kpi_performance'!I555</f>
        <v>0.4075866637</v>
      </c>
      <c r="AT555" s="35">
        <f>'1kpi_performance'!J555</f>
        <v>1.444591699</v>
      </c>
      <c r="AU555" s="35">
        <f>'1kpi_performance'!K555</f>
        <v>1.94102463</v>
      </c>
      <c r="AV555" s="35">
        <f>'1kpi_performance'!L555</f>
        <v>1.218518863</v>
      </c>
      <c r="AW555" s="35">
        <f>'1kpi_performance'!M555</f>
        <v>0.1375975286</v>
      </c>
      <c r="AX555" s="42">
        <f>'1kpi_performance'!N555</f>
        <v>0.3541371021</v>
      </c>
      <c r="AY555" s="42">
        <f>'1kpi_performance'!O555</f>
        <v>0.2095807518</v>
      </c>
      <c r="AZ555" s="42">
        <f>'1kpi_performance'!P555</f>
        <v>0.7049782354</v>
      </c>
      <c r="BA555" s="42">
        <f>'1kpi_performance'!Q555</f>
        <v>0.8066344464</v>
      </c>
      <c r="BB555" s="35">
        <f>'1kpi_performance'!R555</f>
        <v>3.012516459</v>
      </c>
      <c r="BC555" s="35">
        <f>'1kpi_performance'!S555</f>
        <v>4.444235877</v>
      </c>
      <c r="BD555" s="35">
        <f>'1kpi_performance'!T555</f>
        <v>2.234495436</v>
      </c>
      <c r="BE555" s="35">
        <f>'1kpi_performance'!U555</f>
        <v>0.2578555336</v>
      </c>
      <c r="BF555" s="47"/>
      <c r="BG555" s="47"/>
      <c r="BH555" s="47"/>
      <c r="BI555" s="47"/>
      <c r="BJ555" s="47"/>
      <c r="BK555" s="47"/>
      <c r="BL555" s="47"/>
      <c r="BM555" s="47"/>
      <c r="BN555" s="47"/>
      <c r="BO555" s="47"/>
      <c r="BP555" s="47"/>
      <c r="BQ555" s="47"/>
      <c r="BR555" s="47"/>
      <c r="BS555" s="47"/>
      <c r="BT555" s="47"/>
    </row>
    <row r="556" ht="11.25" customHeight="1">
      <c r="A556" s="35" t="str">
        <f>'13all_company_profile'!A556</f>
        <v>SPGI</v>
      </c>
      <c r="B556" s="35" t="str">
        <f>'13all_company_profile'!B556</f>
        <v>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v>
      </c>
      <c r="C556" s="44" t="str">
        <f>'13all_company_profile'!C556</f>
        <v>https://financialmodelingprep.com/image-stock/SPGI.png</v>
      </c>
      <c r="D556" s="35" t="str">
        <f>'13all_company_profile'!D556</f>
        <v>S&amp;P Global Inc.</v>
      </c>
      <c r="E556" s="36">
        <f>'13all_company_profile'!E556</f>
        <v>99135168512</v>
      </c>
      <c r="F556" s="37">
        <f>'13all_company_profile'!F556</f>
        <v>1347838</v>
      </c>
      <c r="G556" s="35">
        <f>'13all_company_profile'!G556</f>
        <v>2.88</v>
      </c>
      <c r="H556" s="38">
        <f>'13all_company_profile'!H556</f>
        <v>44406</v>
      </c>
      <c r="I556" s="35">
        <f>'13all_company_profile'!I556</f>
        <v>40.83678</v>
      </c>
      <c r="J556" s="35">
        <f>'13all_company_profile'!J556</f>
        <v>10.158</v>
      </c>
      <c r="K556" s="42">
        <f t="shared" si="1"/>
        <v>0.00691675873</v>
      </c>
      <c r="L556" s="35">
        <f>'7company_info'!B556</f>
        <v>416.38</v>
      </c>
      <c r="M556" s="35">
        <f>'7company_info'!C556</f>
        <v>419.38</v>
      </c>
      <c r="N556" s="35">
        <f>'7company_info'!D556</f>
        <v>408.76</v>
      </c>
      <c r="O556" s="35">
        <f>'7company_info'!E556</f>
        <v>7.23</v>
      </c>
      <c r="P556" s="35">
        <f>'7company_info'!F556</f>
        <v>0.0177</v>
      </c>
      <c r="Q556" s="35">
        <f>'7company_info'!G556</f>
        <v>410.5</v>
      </c>
      <c r="R556" s="35">
        <f>'7company_info'!H556</f>
        <v>409.15</v>
      </c>
      <c r="S556" s="35">
        <f>'7company_info'!I556</f>
        <v>303.5</v>
      </c>
      <c r="T556" s="35">
        <f>'7company_info'!J556</f>
        <v>419.96</v>
      </c>
      <c r="U556" s="39">
        <v>409.648333333333</v>
      </c>
      <c r="V556" s="39">
        <v>411.731666666666</v>
      </c>
      <c r="W556" s="40">
        <v>412.883333333333</v>
      </c>
      <c r="X556" s="40">
        <v>416.118333333333</v>
      </c>
      <c r="Y556" s="40">
        <v>408.496666666666</v>
      </c>
      <c r="Z556" s="40">
        <v>406.413333333333</v>
      </c>
      <c r="AA556" s="40">
        <v>403.178333333333</v>
      </c>
      <c r="AB556" s="40">
        <v>400.64</v>
      </c>
      <c r="AC556" s="40">
        <v>419.96</v>
      </c>
      <c r="AD556" s="40">
        <v>407.00666306665</v>
      </c>
      <c r="AE556" s="40">
        <v>395.5695</v>
      </c>
      <c r="AF556" s="40">
        <v>6.6535</v>
      </c>
      <c r="AG556" s="40">
        <v>419.96</v>
      </c>
      <c r="AH556" s="45">
        <v>44384.0</v>
      </c>
      <c r="AI556" s="44" t="str">
        <f>'6image_RS_benchmark_performance'!B556</f>
        <v>https://3arbzfbsh-cname-us.ngrok.io/Desktop/seabridge%20fintech/image_app/SPGI_resistance_support.jpg</v>
      </c>
      <c r="AJ556" s="44" t="str">
        <f>'6image_RS_benchmark_performance'!C556</f>
        <v>https://3arbzfbsh-cname-us.ngrok.io/Desktop/seabridge%20fintech/profit_graph_app/SPGI_Return.jpg</v>
      </c>
      <c r="AK556" s="46" t="str">
        <f>'5price_action_icon'!B556</f>
        <v>https://3arbzfbsh-cname-us.ngrok.io/Desktop/seabridge%20fintech/icon/SPGI_pa_trend_signal</v>
      </c>
      <c r="AL556" s="42">
        <f>'1kpi_performance'!B556</f>
        <v>0.6932657069</v>
      </c>
      <c r="AM556" s="42">
        <f>'1kpi_performance'!C556</f>
        <v>0.9167561956</v>
      </c>
      <c r="AN556" s="42">
        <f>'1kpi_performance'!D556</f>
        <v>0.6181458796</v>
      </c>
      <c r="AO556" s="42">
        <f>'1kpi_performance'!E556</f>
        <v>0.3674972161</v>
      </c>
      <c r="AP556" s="42">
        <f>'1kpi_performance'!F556</f>
        <v>0.1919275388</v>
      </c>
      <c r="AQ556" s="42">
        <f>'1kpi_performance'!G556</f>
        <v>0.2162279038</v>
      </c>
      <c r="AR556" s="42">
        <f>'1kpi_performance'!H556</f>
        <v>0.2237255347</v>
      </c>
      <c r="AS556" s="42">
        <f>'1kpi_performance'!I556</f>
        <v>0.3097971698</v>
      </c>
      <c r="AT556" s="35">
        <f>'1kpi_performance'!J556</f>
        <v>3.48186462</v>
      </c>
      <c r="AU556" s="35">
        <f>'1kpi_performance'!K556</f>
        <v>4.124149473</v>
      </c>
      <c r="AV556" s="35">
        <f>'1kpi_performance'!L556</f>
        <v>2.651221196</v>
      </c>
      <c r="AW556" s="35">
        <f>'1kpi_performance'!M556</f>
        <v>1.105553083</v>
      </c>
      <c r="AX556" s="42">
        <f>'1kpi_performance'!N556</f>
        <v>0.1009315968</v>
      </c>
      <c r="AY556" s="42">
        <f>'1kpi_performance'!O556</f>
        <v>0.1091985447</v>
      </c>
      <c r="AZ556" s="42">
        <f>'1kpi_performance'!P556</f>
        <v>0.3513139229</v>
      </c>
      <c r="BA556" s="42">
        <f>'1kpi_performance'!Q556</f>
        <v>0.3827934182</v>
      </c>
      <c r="BB556" s="35">
        <f>'1kpi_performance'!R556</f>
        <v>7.766005595</v>
      </c>
      <c r="BC556" s="35">
        <f>'1kpi_performance'!S556</f>
        <v>9.565480338</v>
      </c>
      <c r="BD556" s="35">
        <f>'1kpi_performance'!T556</f>
        <v>5.233667563</v>
      </c>
      <c r="BE556" s="35">
        <f>'1kpi_performance'!U556</f>
        <v>2.107254007</v>
      </c>
      <c r="BF556" s="47"/>
      <c r="BG556" s="47"/>
      <c r="BH556" s="47"/>
      <c r="BI556" s="47"/>
      <c r="BJ556" s="47"/>
      <c r="BK556" s="47"/>
      <c r="BL556" s="47"/>
      <c r="BM556" s="47"/>
      <c r="BN556" s="47"/>
      <c r="BO556" s="47"/>
      <c r="BP556" s="47"/>
      <c r="BQ556" s="47"/>
      <c r="BR556" s="47"/>
      <c r="BS556" s="47"/>
      <c r="BT556" s="47"/>
    </row>
    <row r="557" ht="11.25" customHeight="1">
      <c r="A557" s="35" t="str">
        <f>'13all_company_profile'!A557</f>
        <v>SPIB</v>
      </c>
      <c r="B557" s="35" t="str">
        <f>'13all_company_profile'!B557</f>
        <v>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v>
      </c>
      <c r="C557" s="44" t="str">
        <f>'13all_company_profile'!C557</f>
        <v>https://financialmodelingprep.com/image-stock/SPIB.jpg</v>
      </c>
      <c r="D557" s="35" t="str">
        <f>'13all_company_profile'!D557</f>
        <v>SPDR Portfolio Intermediate Term Corporate Bond ETF</v>
      </c>
      <c r="E557" s="36">
        <f>'13all_company_profile'!E557</f>
        <v>4404297449</v>
      </c>
      <c r="F557" s="37">
        <f>'13all_company_profile'!F557</f>
        <v>3355255</v>
      </c>
      <c r="G557" s="35">
        <f>'13all_company_profile'!G557</f>
        <v>0.507</v>
      </c>
      <c r="H557" s="38" t="str">
        <f>'13all_company_profile'!H557</f>
        <v>not avaiable</v>
      </c>
      <c r="I557" s="35" t="str">
        <f>'13all_company_profile'!I557</f>
        <v>NaN</v>
      </c>
      <c r="J557" s="35" t="str">
        <f>'13all_company_profile'!J557</f>
        <v>NaN</v>
      </c>
      <c r="K557" s="42">
        <f t="shared" si="1"/>
        <v>0.01374356194</v>
      </c>
      <c r="L557" s="35">
        <f>'7company_info'!B557</f>
        <v>36.89</v>
      </c>
      <c r="M557" s="35">
        <f>'7company_info'!C557</f>
        <v>36.96</v>
      </c>
      <c r="N557" s="35">
        <f>'7company_info'!D557</f>
        <v>36.86</v>
      </c>
      <c r="O557" s="35">
        <f>'7company_info'!E557</f>
        <v>0.01</v>
      </c>
      <c r="P557" s="35">
        <f>'7company_info'!F557</f>
        <v>0.0003</v>
      </c>
      <c r="Q557" s="35">
        <f>'7company_info'!G557</f>
        <v>36.91</v>
      </c>
      <c r="R557" s="35">
        <f>'7company_info'!H557</f>
        <v>36.88</v>
      </c>
      <c r="S557" s="35">
        <f>'7company_info'!I557</f>
        <v>36.1</v>
      </c>
      <c r="T557" s="35">
        <f>'7company_info'!J557</f>
        <v>37.19</v>
      </c>
      <c r="U557" s="39">
        <v>36.7466666666666</v>
      </c>
      <c r="V557" s="39">
        <v>36.7933333333333</v>
      </c>
      <c r="W557" s="40">
        <v>36.8166666666666</v>
      </c>
      <c r="X557" s="40">
        <v>36.8866666666666</v>
      </c>
      <c r="Y557" s="40">
        <v>36.7233333333333</v>
      </c>
      <c r="Z557" s="40">
        <v>36.6766666666666</v>
      </c>
      <c r="AA557" s="40">
        <v>36.6066666666666</v>
      </c>
      <c r="AB557" s="40">
        <v>36.65</v>
      </c>
      <c r="AC557" s="40">
        <v>36.84</v>
      </c>
      <c r="AD557" s="40">
        <v>36.6854796059146</v>
      </c>
      <c r="AE557" s="40">
        <v>36.50241</v>
      </c>
      <c r="AF557" s="40">
        <v>0.086335</v>
      </c>
      <c r="AG557" s="40">
        <v>37.0706</v>
      </c>
      <c r="AH557" s="45">
        <v>44222.0</v>
      </c>
      <c r="AI557" s="44" t="str">
        <f>'6image_RS_benchmark_performance'!B557</f>
        <v>https://3arbzfbsh-cname-us.ngrok.io/Desktop/seabridge%20fintech/image_app/SPIB_resistance_support.jpg</v>
      </c>
      <c r="AJ557" s="44" t="str">
        <f>'6image_RS_benchmark_performance'!C557</f>
        <v>https://3arbzfbsh-cname-us.ngrok.io/Desktop/seabridge%20fintech/profit_graph_app/SPIB_Return.jpg</v>
      </c>
      <c r="AK557" s="46" t="str">
        <f>'5price_action_icon'!B557</f>
        <v>https://3arbzfbsh-cname-us.ngrok.io/Desktop/seabridge%20fintech/icon/SPIB_pa_trend_signal</v>
      </c>
      <c r="AL557" s="42">
        <f>'1kpi_performance'!B557</f>
        <v>0.05957822245</v>
      </c>
      <c r="AM557" s="42">
        <f>'1kpi_performance'!C557</f>
        <v>0.05830041063</v>
      </c>
      <c r="AN557" s="42">
        <f>'1kpi_performance'!D557</f>
        <v>0.05987630257</v>
      </c>
      <c r="AO557" s="42">
        <f>'1kpi_performance'!E557</f>
        <v>0.01714842919</v>
      </c>
      <c r="AP557" s="42">
        <f>'1kpi_performance'!F557</f>
        <v>0.0284300565</v>
      </c>
      <c r="AQ557" s="42">
        <f>'1kpi_performance'!G557</f>
        <v>0.03307543252</v>
      </c>
      <c r="AR557" s="42">
        <f>'1kpi_performance'!H557</f>
        <v>0.02698773782</v>
      </c>
      <c r="AS557" s="42">
        <f>'1kpi_performance'!I557</f>
        <v>0.05000300227</v>
      </c>
      <c r="AT557" s="35">
        <f>'1kpi_performance'!J557</f>
        <v>1.216255847</v>
      </c>
      <c r="AU557" s="35">
        <f>'1kpi_performance'!K557</f>
        <v>1.00680197</v>
      </c>
      <c r="AV557" s="35">
        <f>'1kpi_performance'!L557</f>
        <v>1.292301815</v>
      </c>
      <c r="AW557" s="35">
        <f>'1kpi_performance'!M557</f>
        <v>-0.1570219877</v>
      </c>
      <c r="AX557" s="42">
        <f>'1kpi_performance'!N557</f>
        <v>0.01598414153</v>
      </c>
      <c r="AY557" s="42">
        <f>'1kpi_performance'!O557</f>
        <v>0.05223722234</v>
      </c>
      <c r="AZ557" s="42">
        <f>'1kpi_performance'!P557</f>
        <v>0.032187219</v>
      </c>
      <c r="BA557" s="42">
        <f>'1kpi_performance'!Q557</f>
        <v>0.1493649917</v>
      </c>
      <c r="BB557" s="35">
        <f>'1kpi_performance'!R557</f>
        <v>2.539169547</v>
      </c>
      <c r="BC557" s="35">
        <f>'1kpi_performance'!S557</f>
        <v>1.900683719</v>
      </c>
      <c r="BD557" s="35">
        <f>'1kpi_performance'!T557</f>
        <v>2.868219968</v>
      </c>
      <c r="BE557" s="35">
        <f>'1kpi_performance'!U557</f>
        <v>-0.2839721131</v>
      </c>
      <c r="BF557" s="47"/>
      <c r="BG557" s="47"/>
      <c r="BH557" s="47"/>
      <c r="BI557" s="47"/>
      <c r="BJ557" s="47"/>
      <c r="BK557" s="47"/>
      <c r="BL557" s="47"/>
      <c r="BM557" s="47"/>
      <c r="BN557" s="47"/>
      <c r="BO557" s="47"/>
      <c r="BP557" s="47"/>
      <c r="BQ557" s="47"/>
      <c r="BR557" s="47"/>
      <c r="BS557" s="47"/>
      <c r="BT557" s="47"/>
    </row>
    <row r="558" ht="11.25" customHeight="1">
      <c r="A558" s="35" t="str">
        <f>'13all_company_profile'!A558</f>
        <v>SPLK</v>
      </c>
      <c r="B558" s="35" t="str">
        <f>'13all_company_profile'!B558</f>
        <v>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v>
      </c>
      <c r="C558" s="44" t="str">
        <f>'13all_company_profile'!C558</f>
        <v>https://financialmodelingprep.com/image-stock/SPLK.png</v>
      </c>
      <c r="D558" s="35" t="str">
        <f>'13all_company_profile'!D558</f>
        <v>Splunk Inc.</v>
      </c>
      <c r="E558" s="36">
        <f>'13all_company_profile'!E558</f>
        <v>21896032256</v>
      </c>
      <c r="F558" s="37">
        <f>'13all_company_profile'!F558</f>
        <v>2508320</v>
      </c>
      <c r="G558" s="35">
        <f>'13all_company_profile'!G558</f>
        <v>0</v>
      </c>
      <c r="H558" s="38" t="str">
        <f>'13all_company_profile'!H558</f>
        <v>not avaiable</v>
      </c>
      <c r="I558" s="35" t="str">
        <f>'13all_company_profile'!I558</f>
        <v>NaN</v>
      </c>
      <c r="J558" s="35">
        <f>'13all_company_profile'!J558</f>
        <v>-6.661</v>
      </c>
      <c r="K558" s="42" t="str">
        <f t="shared" si="1"/>
        <v>NaN</v>
      </c>
      <c r="L558" s="35">
        <f>'7company_info'!B558</f>
        <v>137.87</v>
      </c>
      <c r="M558" s="35">
        <f>'7company_info'!C558</f>
        <v>138.54</v>
      </c>
      <c r="N558" s="35">
        <f>'7company_info'!D558</f>
        <v>133.17</v>
      </c>
      <c r="O558" s="35">
        <f>'7company_info'!E558</f>
        <v>3.83</v>
      </c>
      <c r="P558" s="35">
        <f>'7company_info'!F558</f>
        <v>0.0286</v>
      </c>
      <c r="Q558" s="35">
        <f>'7company_info'!G558</f>
        <v>134.84</v>
      </c>
      <c r="R558" s="35">
        <f>'7company_info'!H558</f>
        <v>134.04</v>
      </c>
      <c r="S558" s="35">
        <f>'7company_info'!I558</f>
        <v>110.28</v>
      </c>
      <c r="T558" s="35">
        <f>'7company_info'!J558</f>
        <v>225.89</v>
      </c>
      <c r="U558" s="39">
        <v>134.15</v>
      </c>
      <c r="V558" s="39">
        <v>136.19</v>
      </c>
      <c r="W558" s="40">
        <v>139.32</v>
      </c>
      <c r="X558" s="40">
        <v>144.489999999999</v>
      </c>
      <c r="Y558" s="40">
        <v>131.02</v>
      </c>
      <c r="Z558" s="40">
        <v>128.98</v>
      </c>
      <c r="AA558" s="40">
        <v>123.81</v>
      </c>
      <c r="AB558" s="40">
        <v>118.4</v>
      </c>
      <c r="AC558" s="40">
        <v>137.28</v>
      </c>
      <c r="AD558" s="40">
        <v>135.270986546301</v>
      </c>
      <c r="AE558" s="40">
        <v>127.02813</v>
      </c>
      <c r="AF558" s="40">
        <v>4.366935</v>
      </c>
      <c r="AG558" s="40">
        <v>178.18</v>
      </c>
      <c r="AH558" s="45">
        <v>44229.0</v>
      </c>
      <c r="AI558" s="44" t="str">
        <f>'6image_RS_benchmark_performance'!B558</f>
        <v>https://3arbzfbsh-cname-us.ngrok.io/Desktop/seabridge%20fintech/image_app/SPLK_resistance_support.jpg</v>
      </c>
      <c r="AJ558" s="44" t="str">
        <f>'6image_RS_benchmark_performance'!C558</f>
        <v>https://3arbzfbsh-cname-us.ngrok.io/Desktop/seabridge%20fintech/profit_graph_app/SPLK_Return.jpg</v>
      </c>
      <c r="AK558" s="46" t="str">
        <f>'5price_action_icon'!B558</f>
        <v>https://3arbzfbsh-cname-us.ngrok.io/Desktop/seabridge%20fintech/icon/SPLK_pa_trend_signal</v>
      </c>
      <c r="AL558" s="42">
        <f>'1kpi_performance'!B558</f>
        <v>1.157902926</v>
      </c>
      <c r="AM558" s="42">
        <f>'1kpi_performance'!C558</f>
        <v>1.358510106</v>
      </c>
      <c r="AN558" s="42">
        <f>'1kpi_performance'!D558</f>
        <v>0.8879465744</v>
      </c>
      <c r="AO558" s="42">
        <f>'1kpi_performance'!E558</f>
        <v>0.227337045</v>
      </c>
      <c r="AP558" s="42">
        <f>'1kpi_performance'!F558</f>
        <v>0.392195965</v>
      </c>
      <c r="AQ558" s="42">
        <f>'1kpi_performance'!G558</f>
        <v>0.3760693124</v>
      </c>
      <c r="AR558" s="42">
        <f>'1kpi_performance'!H558</f>
        <v>0.3379933007</v>
      </c>
      <c r="AS558" s="42">
        <f>'1kpi_performance'!I558</f>
        <v>0.5493784836</v>
      </c>
      <c r="AT558" s="35">
        <f>'1kpi_performance'!J558</f>
        <v>2.888614436</v>
      </c>
      <c r="AU558" s="35">
        <f>'1kpi_performance'!K558</f>
        <v>3.54591577</v>
      </c>
      <c r="AV558" s="35">
        <f>'1kpi_performance'!L558</f>
        <v>2.553146978</v>
      </c>
      <c r="AW558" s="35">
        <f>'1kpi_performance'!M558</f>
        <v>0.3683017283</v>
      </c>
      <c r="AX558" s="42">
        <f>'1kpi_performance'!N558</f>
        <v>0.271207722</v>
      </c>
      <c r="AY558" s="42">
        <f>'1kpi_performance'!O558</f>
        <v>0.2010076131</v>
      </c>
      <c r="AZ558" s="42">
        <f>'1kpi_performance'!P558</f>
        <v>0.515663186</v>
      </c>
      <c r="BA558" s="42">
        <f>'1kpi_performance'!Q558</f>
        <v>0.6768586387</v>
      </c>
      <c r="BB558" s="35">
        <f>'1kpi_performance'!R558</f>
        <v>6.324075242</v>
      </c>
      <c r="BC558" s="35">
        <f>'1kpi_performance'!S558</f>
        <v>8.632007048</v>
      </c>
      <c r="BD558" s="35">
        <f>'1kpi_performance'!T558</f>
        <v>5.47047288</v>
      </c>
      <c r="BE558" s="35">
        <f>'1kpi_performance'!U558</f>
        <v>0.7106092999</v>
      </c>
      <c r="BF558" s="47"/>
      <c r="BG558" s="47"/>
      <c r="BH558" s="47"/>
      <c r="BI558" s="47"/>
      <c r="BJ558" s="47"/>
      <c r="BK558" s="47"/>
      <c r="BL558" s="47"/>
      <c r="BM558" s="47"/>
      <c r="BN558" s="47"/>
      <c r="BO558" s="47"/>
      <c r="BP558" s="47"/>
      <c r="BQ558" s="47"/>
      <c r="BR558" s="47"/>
      <c r="BS558" s="47"/>
      <c r="BT558" s="47"/>
    </row>
    <row r="559" ht="11.25" customHeight="1">
      <c r="A559" s="35" t="str">
        <f>'13all_company_profile'!A559</f>
        <v>SPLV</v>
      </c>
      <c r="B559" s="35" t="str">
        <f>'13all_company_profile'!B559</f>
        <v>SPLV was created on 05/05/11 by Invesco. The ETF tracks a volatility-weighted index of the 100 least-volatile stocks in the S&amp;P 500.</v>
      </c>
      <c r="C559" s="44" t="str">
        <f>'13all_company_profile'!C559</f>
        <v>https://financialmodelingprep.com/image-stock/SPLV.png</v>
      </c>
      <c r="D559" s="35" t="str">
        <f>'13all_company_profile'!D559</f>
        <v>Invesco S&amp;P 500 Low Volatility ETF</v>
      </c>
      <c r="E559" s="36">
        <f>'13all_company_profile'!E559</f>
        <v>10350774000</v>
      </c>
      <c r="F559" s="37">
        <f>'13all_company_profile'!F559</f>
        <v>2794576</v>
      </c>
      <c r="G559" s="35">
        <f>'13all_company_profile'!G559</f>
        <v>0.743</v>
      </c>
      <c r="H559" s="38" t="str">
        <f>'13all_company_profile'!H559</f>
        <v>not avaiable</v>
      </c>
      <c r="I559" s="35" t="str">
        <f>'13all_company_profile'!I559</f>
        <v>NaN</v>
      </c>
      <c r="J559" s="35" t="str">
        <f>'13all_company_profile'!J559</f>
        <v>NaN</v>
      </c>
      <c r="K559" s="42">
        <f t="shared" si="1"/>
        <v>0.01188609822</v>
      </c>
      <c r="L559" s="35">
        <f>'7company_info'!B559</f>
        <v>62.51</v>
      </c>
      <c r="M559" s="35">
        <f>'7company_info'!C559</f>
        <v>62.88</v>
      </c>
      <c r="N559" s="35">
        <f>'7company_info'!D559</f>
        <v>62.12</v>
      </c>
      <c r="O559" s="35">
        <f>'7company_info'!E559</f>
        <v>0.48</v>
      </c>
      <c r="P559" s="35">
        <f>'7company_info'!F559</f>
        <v>0.0077</v>
      </c>
      <c r="Q559" s="35">
        <f>'7company_info'!G559</f>
        <v>62.14</v>
      </c>
      <c r="R559" s="35">
        <f>'7company_info'!H559</f>
        <v>62.03</v>
      </c>
      <c r="S559" s="35">
        <f>'7company_info'!I559</f>
        <v>51.51</v>
      </c>
      <c r="T559" s="35">
        <f>'7company_info'!J559</f>
        <v>62.92</v>
      </c>
      <c r="U559" s="39">
        <v>62.1466666666666</v>
      </c>
      <c r="V559" s="39">
        <v>62.4633333333333</v>
      </c>
      <c r="W559" s="40">
        <v>62.6466666666666</v>
      </c>
      <c r="X559" s="40">
        <v>63.1466666666666</v>
      </c>
      <c r="Y559" s="40">
        <v>61.9633333333333</v>
      </c>
      <c r="Z559" s="40">
        <v>61.6466666666666</v>
      </c>
      <c r="AA559" s="40">
        <v>61.1466666666666</v>
      </c>
      <c r="AB559" s="40">
        <v>60.54</v>
      </c>
      <c r="AC559" s="40">
        <v>60.8</v>
      </c>
      <c r="AD559" s="40">
        <v>61.4996556717837</v>
      </c>
      <c r="AE559" s="40">
        <v>60.96518</v>
      </c>
      <c r="AF559" s="40">
        <v>0.495609999999999</v>
      </c>
      <c r="AG559" s="40">
        <v>62.4</v>
      </c>
      <c r="AH559" s="45">
        <v>44326.0</v>
      </c>
      <c r="AI559" s="44" t="str">
        <f>'6image_RS_benchmark_performance'!B559</f>
        <v>https://3arbzfbsh-cname-us.ngrok.io/Desktop/seabridge%20fintech/image_app/SPLV_resistance_support.jpg</v>
      </c>
      <c r="AJ559" s="44" t="str">
        <f>'6image_RS_benchmark_performance'!C559</f>
        <v>https://3arbzfbsh-cname-us.ngrok.io/Desktop/seabridge%20fintech/profit_graph_app/SPLV_Return.jpg</v>
      </c>
      <c r="AK559" s="46" t="str">
        <f>'5price_action_icon'!B559</f>
        <v>https://3arbzfbsh-cname-us.ngrok.io/Desktop/seabridge%20fintech/icon/SPLV_pa_trend_signal</v>
      </c>
      <c r="AL559" s="42">
        <f>'1kpi_performance'!B559</f>
        <v>0.2550001562</v>
      </c>
      <c r="AM559" s="42">
        <f>'1kpi_performance'!C559</f>
        <v>0.3163061613</v>
      </c>
      <c r="AN559" s="42">
        <f>'1kpi_performance'!D559</f>
        <v>0.2518863644</v>
      </c>
      <c r="AO559" s="42">
        <f>'1kpi_performance'!E559</f>
        <v>0.1380788867</v>
      </c>
      <c r="AP559" s="42">
        <f>'1kpi_performance'!F559</f>
        <v>0.1048496266</v>
      </c>
      <c r="AQ559" s="42">
        <f>'1kpi_performance'!G559</f>
        <v>0.11891175</v>
      </c>
      <c r="AR559" s="42">
        <f>'1kpi_performance'!H559</f>
        <v>0.09743907428</v>
      </c>
      <c r="AS559" s="42">
        <f>'1kpi_performance'!I559</f>
        <v>0.1840383167</v>
      </c>
      <c r="AT559" s="35">
        <f>'1kpi_performance'!J559</f>
        <v>2.19361922</v>
      </c>
      <c r="AU559" s="35">
        <f>'1kpi_performance'!K559</f>
        <v>2.449767675</v>
      </c>
      <c r="AV559" s="35">
        <f>'1kpi_performance'!L559</f>
        <v>2.328494663</v>
      </c>
      <c r="AW559" s="35">
        <f>'1kpi_performance'!M559</f>
        <v>0.6144312161</v>
      </c>
      <c r="AX559" s="42">
        <f>'1kpi_performance'!N559</f>
        <v>0.07674803475</v>
      </c>
      <c r="AY559" s="42">
        <f>'1kpi_performance'!O559</f>
        <v>0.07674803475</v>
      </c>
      <c r="AZ559" s="42">
        <f>'1kpi_performance'!P559</f>
        <v>0.1237639107</v>
      </c>
      <c r="BA559" s="42">
        <f>'1kpi_performance'!Q559</f>
        <v>0.3656295341</v>
      </c>
      <c r="BB559" s="35">
        <f>'1kpi_performance'!R559</f>
        <v>4.53288708</v>
      </c>
      <c r="BC559" s="35">
        <f>'1kpi_performance'!S559</f>
        <v>5.329332698</v>
      </c>
      <c r="BD559" s="35">
        <f>'1kpi_performance'!T559</f>
        <v>4.74240981</v>
      </c>
      <c r="BE559" s="35">
        <f>'1kpi_performance'!U559</f>
        <v>1.111297395</v>
      </c>
      <c r="BF559" s="47"/>
      <c r="BG559" s="47"/>
      <c r="BH559" s="47"/>
      <c r="BI559" s="47"/>
      <c r="BJ559" s="47"/>
      <c r="BK559" s="47"/>
      <c r="BL559" s="47"/>
      <c r="BM559" s="47"/>
      <c r="BN559" s="47"/>
      <c r="BO559" s="47"/>
      <c r="BP559" s="47"/>
      <c r="BQ559" s="47"/>
      <c r="BR559" s="47"/>
      <c r="BS559" s="47"/>
      <c r="BT559" s="47"/>
    </row>
    <row r="560" ht="11.25" customHeight="1">
      <c r="A560" s="35" t="str">
        <f>'13all_company_profile'!A560</f>
        <v>SPWR</v>
      </c>
      <c r="B560" s="35" t="str">
        <f>'13all_company_profile'!B560</f>
        <v>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v>
      </c>
      <c r="C560" s="44" t="str">
        <f>'13all_company_profile'!C560</f>
        <v>https://financialmodelingprep.com/image-stock/SPWR.png</v>
      </c>
      <c r="D560" s="35" t="str">
        <f>'13all_company_profile'!D560</f>
        <v>SunPower Corporation</v>
      </c>
      <c r="E560" s="36">
        <f>'13all_company_profile'!E560</f>
        <v>4054243328</v>
      </c>
      <c r="F560" s="37">
        <f>'13all_company_profile'!F560</f>
        <v>4081417</v>
      </c>
      <c r="G560" s="35">
        <f>'13all_company_profile'!G560</f>
        <v>0</v>
      </c>
      <c r="H560" s="38">
        <f>'13all_company_profile'!H560</f>
        <v>44411</v>
      </c>
      <c r="I560" s="35">
        <f>'13all_company_profile'!I560</f>
        <v>10.026548</v>
      </c>
      <c r="J560" s="35">
        <f>'13all_company_profile'!J560</f>
        <v>2.26</v>
      </c>
      <c r="K560" s="42" t="str">
        <f t="shared" si="1"/>
        <v>NaN</v>
      </c>
      <c r="L560" s="35">
        <f>'7company_info'!B560</f>
        <v>24.14</v>
      </c>
      <c r="M560" s="35">
        <f>'7company_info'!C560</f>
        <v>24.26</v>
      </c>
      <c r="N560" s="35">
        <f>'7company_info'!D560</f>
        <v>23.03</v>
      </c>
      <c r="O560" s="35">
        <f>'7company_info'!E560</f>
        <v>0.8</v>
      </c>
      <c r="P560" s="35">
        <f>'7company_info'!F560</f>
        <v>0.0343</v>
      </c>
      <c r="Q560" s="35">
        <f>'7company_info'!G560</f>
        <v>23.63</v>
      </c>
      <c r="R560" s="35">
        <f>'7company_info'!H560</f>
        <v>23.34</v>
      </c>
      <c r="S560" s="35">
        <f>'7company_info'!I560</f>
        <v>6.16</v>
      </c>
      <c r="T560" s="35">
        <f>'7company_info'!J560</f>
        <v>57.52</v>
      </c>
      <c r="U560" s="39">
        <v>25.2900333333333</v>
      </c>
      <c r="V560" s="39">
        <v>26.7999666666666</v>
      </c>
      <c r="W560" s="40">
        <v>29.6599333333333</v>
      </c>
      <c r="X560" s="40">
        <v>34.0298333333333</v>
      </c>
      <c r="Y560" s="40">
        <v>22.4300666666666</v>
      </c>
      <c r="Z560" s="40">
        <v>20.9201333333333</v>
      </c>
      <c r="AA560" s="40">
        <v>16.5502333333333</v>
      </c>
      <c r="AB560" s="40">
        <v>22.91</v>
      </c>
      <c r="AC560" s="40">
        <v>31.26</v>
      </c>
      <c r="AD560" s="40">
        <v>27.2339499059611</v>
      </c>
      <c r="AE560" s="40">
        <v>24.5434</v>
      </c>
      <c r="AF560" s="40">
        <v>1.86179499999999</v>
      </c>
      <c r="AG560" s="40">
        <v>57.5199</v>
      </c>
      <c r="AH560" s="45">
        <v>44225.0</v>
      </c>
      <c r="AI560" s="44" t="str">
        <f>'6image_RS_benchmark_performance'!B560</f>
        <v>https://3arbzfbsh-cname-us.ngrok.io/Desktop/seabridge%20fintech/image_app/SPWR_resistance_support.jpg</v>
      </c>
      <c r="AJ560" s="44" t="str">
        <f>'6image_RS_benchmark_performance'!C560</f>
        <v>https://3arbzfbsh-cname-us.ngrok.io/Desktop/seabridge%20fintech/profit_graph_app/SPWR_Return.jpg</v>
      </c>
      <c r="AK560" s="46" t="str">
        <f>'5price_action_icon'!B560</f>
        <v>https://3arbzfbsh-cname-us.ngrok.io/Desktop/seabridge%20fintech/icon/SPWR_pa_trend_signal</v>
      </c>
      <c r="AL560" s="42">
        <f>'1kpi_performance'!B560</f>
        <v>1.241680028</v>
      </c>
      <c r="AM560" s="42">
        <f>'1kpi_performance'!C560</f>
        <v>2.46982796</v>
      </c>
      <c r="AN560" s="42">
        <f>'1kpi_performance'!D560</f>
        <v>1.515043925</v>
      </c>
      <c r="AO560" s="42">
        <f>'1kpi_performance'!E560</f>
        <v>0.06547361249</v>
      </c>
      <c r="AP560" s="42">
        <f>'1kpi_performance'!F560</f>
        <v>0.605680743</v>
      </c>
      <c r="AQ560" s="42">
        <f>'1kpi_performance'!G560</f>
        <v>0.6164188176</v>
      </c>
      <c r="AR560" s="42">
        <f>'1kpi_performance'!H560</f>
        <v>0.6145531882</v>
      </c>
      <c r="AS560" s="42">
        <f>'1kpi_performance'!I560</f>
        <v>0.829640601</v>
      </c>
      <c r="AT560" s="35">
        <f>'1kpi_performance'!J560</f>
        <v>2.008781099</v>
      </c>
      <c r="AU560" s="35">
        <f>'1kpi_performance'!K560</f>
        <v>3.966179957</v>
      </c>
      <c r="AV560" s="35">
        <f>'1kpi_performance'!L560</f>
        <v>2.424597176</v>
      </c>
      <c r="AW560" s="35">
        <f>'1kpi_performance'!M560</f>
        <v>0.04878451277</v>
      </c>
      <c r="AX560" s="42">
        <f>'1kpi_performance'!N560</f>
        <v>0.3590696272</v>
      </c>
      <c r="AY560" s="42">
        <f>'1kpi_performance'!O560</f>
        <v>0.3289733157</v>
      </c>
      <c r="AZ560" s="42">
        <f>'1kpi_performance'!P560</f>
        <v>0.5812729414</v>
      </c>
      <c r="BA560" s="42">
        <f>'1kpi_performance'!Q560</f>
        <v>0.8906466792</v>
      </c>
      <c r="BB560" s="35">
        <f>'1kpi_performance'!R560</f>
        <v>4.71719629</v>
      </c>
      <c r="BC560" s="35">
        <f>'1kpi_performance'!S560</f>
        <v>10.5040151</v>
      </c>
      <c r="BD560" s="35">
        <f>'1kpi_performance'!T560</f>
        <v>5.415457863</v>
      </c>
      <c r="BE560" s="35">
        <f>'1kpi_performance'!U560</f>
        <v>0.1049562494</v>
      </c>
      <c r="BF560" s="47"/>
      <c r="BG560" s="47"/>
      <c r="BH560" s="47"/>
      <c r="BI560" s="47"/>
      <c r="BJ560" s="47"/>
      <c r="BK560" s="47"/>
      <c r="BL560" s="47"/>
      <c r="BM560" s="47"/>
      <c r="BN560" s="47"/>
      <c r="BO560" s="47"/>
      <c r="BP560" s="47"/>
      <c r="BQ560" s="47"/>
      <c r="BR560" s="47"/>
      <c r="BS560" s="47"/>
      <c r="BT560" s="47"/>
    </row>
    <row r="561" ht="11.25" customHeight="1">
      <c r="A561" s="35" t="str">
        <f>'13all_company_profile'!A561</f>
        <v>SPY</v>
      </c>
      <c r="B561" s="35" t="str">
        <f>'13all_company_profile'!B561</f>
        <v>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v>
      </c>
      <c r="C561" s="44" t="str">
        <f>'13all_company_profile'!C561</f>
        <v>https://financialmodelingprep.com/image-stock/SPY.png</v>
      </c>
      <c r="D561" s="35" t="str">
        <f>'13all_company_profile'!D561</f>
        <v>SPDR S&amp;P 500 ETF Trust</v>
      </c>
      <c r="E561" s="36">
        <f>'13all_company_profile'!E561</f>
        <v>399005745152</v>
      </c>
      <c r="F561" s="37">
        <f>'13all_company_profile'!F561</f>
        <v>67863361</v>
      </c>
      <c r="G561" s="35">
        <f>'13all_company_profile'!G561</f>
        <v>5.573</v>
      </c>
      <c r="H561" s="38" t="str">
        <f>'13all_company_profile'!H561</f>
        <v>not avaiable</v>
      </c>
      <c r="I561" s="35">
        <f>'13all_company_profile'!I561</f>
        <v>2.9946983</v>
      </c>
      <c r="J561" s="35">
        <f>'13all_company_profile'!J561</f>
        <v>144.108</v>
      </c>
      <c r="K561" s="42">
        <f t="shared" si="1"/>
        <v>0.01292859463</v>
      </c>
      <c r="L561" s="35">
        <f>'7company_info'!B561</f>
        <v>431.06</v>
      </c>
      <c r="M561" s="35">
        <f>'7company_info'!C561</f>
        <v>432.41</v>
      </c>
      <c r="N561" s="35">
        <f>'7company_info'!D561</f>
        <v>424.84</v>
      </c>
      <c r="O561" s="35">
        <f>'7company_info'!E561</f>
        <v>6.09</v>
      </c>
      <c r="P561" s="35">
        <f>'7company_info'!F561</f>
        <v>0.0143</v>
      </c>
      <c r="Q561" s="35">
        <f>'7company_info'!G561</f>
        <v>425.73</v>
      </c>
      <c r="R561" s="35">
        <f>'7company_info'!H561</f>
        <v>424.97</v>
      </c>
      <c r="S561" s="35">
        <f>'7company_info'!I561</f>
        <v>319.25</v>
      </c>
      <c r="T561" s="35">
        <f>'7company_info'!J561</f>
        <v>437.92</v>
      </c>
      <c r="U561" s="39">
        <v>436.356666666666</v>
      </c>
      <c r="V561" s="39">
        <v>437.803333333333</v>
      </c>
      <c r="W561" s="40">
        <v>439.366666666666</v>
      </c>
      <c r="X561" s="40">
        <v>442.376666666666</v>
      </c>
      <c r="Y561" s="40">
        <v>434.793333333333</v>
      </c>
      <c r="Z561" s="40">
        <v>433.346666666666</v>
      </c>
      <c r="AA561" s="40">
        <v>430.336666666666</v>
      </c>
      <c r="AB561" s="40">
        <v>425.55</v>
      </c>
      <c r="AC561" s="40">
        <v>437.92</v>
      </c>
      <c r="AD561" s="40">
        <v>429.66639115116</v>
      </c>
      <c r="AE561" s="40">
        <v>428.62897</v>
      </c>
      <c r="AF561" s="40">
        <v>3.53501499999999</v>
      </c>
      <c r="AG561" s="40">
        <v>425.46</v>
      </c>
      <c r="AH561" s="45">
        <v>44362.0</v>
      </c>
      <c r="AI561" s="44" t="str">
        <f>'6image_RS_benchmark_performance'!B561</f>
        <v>https://3arbzfbsh-cname-us.ngrok.io/Desktop/seabridge%20fintech/image_app/SPY_resistance_support.jpg</v>
      </c>
      <c r="AJ561" s="44" t="str">
        <f>'6image_RS_benchmark_performance'!C561</f>
        <v>https://3arbzfbsh-cname-us.ngrok.io/Desktop/seabridge%20fintech/profit_graph_app/SPY_Return.jpg</v>
      </c>
      <c r="AK561" s="46" t="str">
        <f>'5price_action_icon'!B561</f>
        <v>https://3arbzfbsh-cname-us.ngrok.io/Desktop/seabridge%20fintech/icon/SPY_pa_trend_signal</v>
      </c>
      <c r="AL561" s="42">
        <f>'1kpi_performance'!B561</f>
        <v>0.3396140049</v>
      </c>
      <c r="AM561" s="42">
        <f>'1kpi_performance'!C561</f>
        <v>0.4672933418</v>
      </c>
      <c r="AN561" s="42">
        <f>'1kpi_performance'!D561</f>
        <v>0.3991427394</v>
      </c>
      <c r="AO561" s="42">
        <f>'1kpi_performance'!E561</f>
        <v>0.185028068</v>
      </c>
      <c r="AP561" s="42">
        <f>'1kpi_performance'!F561</f>
        <v>0.1162763897</v>
      </c>
      <c r="AQ561" s="42">
        <f>'1kpi_performance'!G561</f>
        <v>0.1255529986</v>
      </c>
      <c r="AR561" s="42">
        <f>'1kpi_performance'!H561</f>
        <v>0.1115015554</v>
      </c>
      <c r="AS561" s="42">
        <f>'1kpi_performance'!I561</f>
        <v>0.2051368026</v>
      </c>
      <c r="AT561" s="35">
        <f>'1kpi_performance'!J561</f>
        <v>2.705742805</v>
      </c>
      <c r="AU561" s="35">
        <f>'1kpi_performance'!K561</f>
        <v>3.522762073</v>
      </c>
      <c r="AV561" s="35">
        <f>'1kpi_performance'!L561</f>
        <v>3.355493456</v>
      </c>
      <c r="AW561" s="35">
        <f>'1kpi_performance'!M561</f>
        <v>0.7801041353</v>
      </c>
      <c r="AX561" s="42">
        <f>'1kpi_performance'!N561</f>
        <v>0.07701853719</v>
      </c>
      <c r="AY561" s="42">
        <f>'1kpi_performance'!O561</f>
        <v>0.059239442</v>
      </c>
      <c r="AZ561" s="42">
        <f>'1kpi_performance'!P561</f>
        <v>0.1107365022</v>
      </c>
      <c r="BA561" s="42">
        <f>'1kpi_performance'!Q561</f>
        <v>0.341047467</v>
      </c>
      <c r="BB561" s="35">
        <f>'1kpi_performance'!R561</f>
        <v>5.525244199</v>
      </c>
      <c r="BC561" s="35">
        <f>'1kpi_performance'!S561</f>
        <v>7.783907732</v>
      </c>
      <c r="BD561" s="35">
        <f>'1kpi_performance'!T561</f>
        <v>7.254856512</v>
      </c>
      <c r="BE561" s="35">
        <f>'1kpi_performance'!U561</f>
        <v>1.423957303</v>
      </c>
      <c r="BF561" s="47"/>
      <c r="BG561" s="47"/>
      <c r="BH561" s="47"/>
      <c r="BI561" s="47"/>
      <c r="BJ561" s="47"/>
      <c r="BK561" s="47"/>
      <c r="BL561" s="47"/>
      <c r="BM561" s="47"/>
      <c r="BN561" s="47"/>
      <c r="BO561" s="47"/>
      <c r="BP561" s="47"/>
      <c r="BQ561" s="47"/>
      <c r="BR561" s="47"/>
      <c r="BS561" s="47"/>
      <c r="BT561" s="47"/>
    </row>
    <row r="562" ht="11.25" customHeight="1">
      <c r="A562" s="35" t="str">
        <f>'13all_company_profile'!A562</f>
        <v>SPYV</v>
      </c>
      <c r="B562" s="35" t="str">
        <f>'13all_company_profile'!B562</f>
        <v>SPYV was created on 09/25/00 by State Street Global Advisors. The ETF tracks an index of primarily large-cap value-style US stocks. The index uses three factors to select value stocks from the 500 stocks chosen by the S&amp;P committee.</v>
      </c>
      <c r="C562" s="44" t="str">
        <f>'13all_company_profile'!C562</f>
        <v>https://financialmodelingprep.com/image-stock/SPYV.png</v>
      </c>
      <c r="D562" s="35" t="str">
        <f>'13all_company_profile'!D562</f>
        <v>SPDR Portfolio S&amp;P 500 Value ETF</v>
      </c>
      <c r="E562" s="36">
        <f>'13all_company_profile'!E562</f>
        <v>3540859904</v>
      </c>
      <c r="F562" s="37">
        <f>'13all_company_profile'!F562</f>
        <v>3297703</v>
      </c>
      <c r="G562" s="35">
        <f>'13all_company_profile'!G562</f>
        <v>0.627</v>
      </c>
      <c r="H562" s="38" t="str">
        <f>'13all_company_profile'!H562</f>
        <v>not avaiable</v>
      </c>
      <c r="I562" s="35" t="str">
        <f>'13all_company_profile'!I562</f>
        <v>NaN</v>
      </c>
      <c r="J562" s="35">
        <f>'13all_company_profile'!J562</f>
        <v>-0.916</v>
      </c>
      <c r="K562" s="42">
        <f t="shared" si="1"/>
        <v>0.01601532567</v>
      </c>
      <c r="L562" s="35">
        <f>'7company_info'!B562</f>
        <v>39.15</v>
      </c>
      <c r="M562" s="35">
        <f>'7company_info'!C562</f>
        <v>39.31</v>
      </c>
      <c r="N562" s="35">
        <f>'7company_info'!D562</f>
        <v>38.53</v>
      </c>
      <c r="O562" s="35">
        <f>'7company_info'!E562</f>
        <v>0.64</v>
      </c>
      <c r="P562" s="35">
        <f>'7company_info'!F562</f>
        <v>0.0166</v>
      </c>
      <c r="Q562" s="35">
        <f>'7company_info'!G562</f>
        <v>38.57</v>
      </c>
      <c r="R562" s="35">
        <f>'7company_info'!H562</f>
        <v>38.51</v>
      </c>
      <c r="S562" s="35">
        <f>'7company_info'!I562</f>
        <v>29.05</v>
      </c>
      <c r="T562" s="35">
        <f>'7company_info'!J562</f>
        <v>40.85</v>
      </c>
      <c r="U562" s="39">
        <v>39.7083333333333</v>
      </c>
      <c r="V562" s="39">
        <v>39.9066666666666</v>
      </c>
      <c r="W562" s="40">
        <v>40.1333333333333</v>
      </c>
      <c r="X562" s="40">
        <v>40.5583333333333</v>
      </c>
      <c r="Y562" s="40">
        <v>39.4816666666666</v>
      </c>
      <c r="Z562" s="40">
        <v>39.2833333333333</v>
      </c>
      <c r="AA562" s="40">
        <v>38.8583333333333</v>
      </c>
      <c r="AB562" s="40">
        <v>39.47</v>
      </c>
      <c r="AC562" s="40">
        <v>39.48</v>
      </c>
      <c r="AD562" s="40">
        <v>39.6758178929146</v>
      </c>
      <c r="AE562" s="40">
        <v>38.85621</v>
      </c>
      <c r="AF562" s="40">
        <v>0.426644999999999</v>
      </c>
      <c r="AG562" s="40">
        <v>40.855</v>
      </c>
      <c r="AH562" s="45">
        <v>44326.0</v>
      </c>
      <c r="AI562" s="44" t="str">
        <f>'6image_RS_benchmark_performance'!B562</f>
        <v>https://3arbzfbsh-cname-us.ngrok.io/Desktop/seabridge%20fintech/image_app/SPYV_resistance_support.jpg</v>
      </c>
      <c r="AJ562" s="44" t="str">
        <f>'6image_RS_benchmark_performance'!C562</f>
        <v>https://3arbzfbsh-cname-us.ngrok.io/Desktop/seabridge%20fintech/profit_graph_app/SPYV_Return.jpg</v>
      </c>
      <c r="AK562" s="46" t="str">
        <f>'5price_action_icon'!B562</f>
        <v>https://3arbzfbsh-cname-us.ngrok.io/Desktop/seabridge%20fintech/icon/SPYV_pa_trend_signal</v>
      </c>
      <c r="AL562" s="42">
        <f>'1kpi_performance'!B562</f>
        <v>0.2976077378</v>
      </c>
      <c r="AM562" s="42">
        <f>'1kpi_performance'!C562</f>
        <v>0.489626752</v>
      </c>
      <c r="AN562" s="42">
        <f>'1kpi_performance'!D562</f>
        <v>0.4214940008</v>
      </c>
      <c r="AO562" s="42">
        <f>'1kpi_performance'!E562</f>
        <v>0.1340604847</v>
      </c>
      <c r="AP562" s="42">
        <f>'1kpi_performance'!F562</f>
        <v>0.1230434542</v>
      </c>
      <c r="AQ562" s="42">
        <f>'1kpi_performance'!G562</f>
        <v>0.1338318086</v>
      </c>
      <c r="AR562" s="42">
        <f>'1kpi_performance'!H562</f>
        <v>0.1232815777</v>
      </c>
      <c r="AS562" s="42">
        <f>'1kpi_performance'!I562</f>
        <v>0.208682947</v>
      </c>
      <c r="AT562" s="35">
        <f>'1kpi_performance'!J562</f>
        <v>2.215540353</v>
      </c>
      <c r="AU562" s="35">
        <f>'1kpi_performance'!K562</f>
        <v>3.471721385</v>
      </c>
      <c r="AV562" s="35">
        <f>'1kpi_performance'!L562</f>
        <v>3.216165855</v>
      </c>
      <c r="AW562" s="35">
        <f>'1kpi_performance'!M562</f>
        <v>0.5226133052</v>
      </c>
      <c r="AX562" s="42">
        <f>'1kpi_performance'!N562</f>
        <v>0.1023328149</v>
      </c>
      <c r="AY562" s="42">
        <f>'1kpi_performance'!O562</f>
        <v>0.07863468532</v>
      </c>
      <c r="AZ562" s="42">
        <f>'1kpi_performance'!P562</f>
        <v>0.1200625026</v>
      </c>
      <c r="BA562" s="42">
        <f>'1kpi_performance'!Q562</f>
        <v>0.3748939779</v>
      </c>
      <c r="BB562" s="35">
        <f>'1kpi_performance'!R562</f>
        <v>4.469991529</v>
      </c>
      <c r="BC562" s="35">
        <f>'1kpi_performance'!S562</f>
        <v>7.815107406</v>
      </c>
      <c r="BD562" s="35">
        <f>'1kpi_performance'!T562</f>
        <v>6.833833259</v>
      </c>
      <c r="BE562" s="35">
        <f>'1kpi_performance'!U562</f>
        <v>0.957209971</v>
      </c>
      <c r="BF562" s="47"/>
      <c r="BG562" s="47"/>
      <c r="BH562" s="47"/>
      <c r="BI562" s="47"/>
      <c r="BJ562" s="47"/>
      <c r="BK562" s="47"/>
      <c r="BL562" s="47"/>
      <c r="BM562" s="47"/>
      <c r="BN562" s="47"/>
      <c r="BO562" s="47"/>
      <c r="BP562" s="47"/>
      <c r="BQ562" s="47"/>
      <c r="BR562" s="47"/>
      <c r="BS562" s="47"/>
      <c r="BT562" s="47"/>
    </row>
    <row r="563" ht="11.25" customHeight="1">
      <c r="A563" s="35" t="str">
        <f>'13all_company_profile'!A563</f>
        <v>SQ</v>
      </c>
      <c r="B563" s="35" t="str">
        <f>'13all_company_profile'!B563</f>
        <v>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v>
      </c>
      <c r="C563" s="44" t="str">
        <f>'13all_company_profile'!C563</f>
        <v>https://financialmodelingprep.com/image-stock/SQ.png</v>
      </c>
      <c r="D563" s="35" t="str">
        <f>'13all_company_profile'!D563</f>
        <v>Square, Inc.</v>
      </c>
      <c r="E563" s="36">
        <f>'13all_company_profile'!E563</f>
        <v>107084570624</v>
      </c>
      <c r="F563" s="37">
        <f>'13all_company_profile'!F563</f>
        <v>8981047</v>
      </c>
      <c r="G563" s="35">
        <f>'13all_company_profile'!G563</f>
        <v>0</v>
      </c>
      <c r="H563" s="38">
        <f>'13all_company_profile'!H563</f>
        <v>44410</v>
      </c>
      <c r="I563" s="35">
        <f>'13all_company_profile'!I563</f>
        <v>331.5105</v>
      </c>
      <c r="J563" s="35">
        <f>'13all_company_profile'!J563</f>
        <v>0.715</v>
      </c>
      <c r="K563" s="42" t="str">
        <f t="shared" si="1"/>
        <v>NaN</v>
      </c>
      <c r="L563" s="35">
        <f>'7company_info'!B563</f>
        <v>246.47</v>
      </c>
      <c r="M563" s="35">
        <f>'7company_info'!C563</f>
        <v>247.69</v>
      </c>
      <c r="N563" s="35">
        <f>'7company_info'!D563</f>
        <v>232.2</v>
      </c>
      <c r="O563" s="35">
        <f>'7company_info'!E563</f>
        <v>12.78</v>
      </c>
      <c r="P563" s="35">
        <f>'7company_info'!F563</f>
        <v>0.0547</v>
      </c>
      <c r="Q563" s="35">
        <f>'7company_info'!G563</f>
        <v>234.61</v>
      </c>
      <c r="R563" s="35">
        <f>'7company_info'!H563</f>
        <v>233.69</v>
      </c>
      <c r="S563" s="35">
        <f>'7company_info'!I563</f>
        <v>117</v>
      </c>
      <c r="T563" s="35">
        <f>'7company_info'!J563</f>
        <v>283.19</v>
      </c>
      <c r="U563" s="39">
        <v>241.2233</v>
      </c>
      <c r="V563" s="39">
        <v>243.9666</v>
      </c>
      <c r="W563" s="40">
        <v>248.9332</v>
      </c>
      <c r="X563" s="40">
        <v>256.6431</v>
      </c>
      <c r="Y563" s="40">
        <v>236.2567</v>
      </c>
      <c r="Z563" s="40">
        <v>233.5134</v>
      </c>
      <c r="AA563" s="40">
        <v>225.8035</v>
      </c>
      <c r="AB563" s="40">
        <v>238.48</v>
      </c>
      <c r="AC563" s="40">
        <v>227.065</v>
      </c>
      <c r="AD563" s="40">
        <v>238.017031864114</v>
      </c>
      <c r="AE563" s="40">
        <v>225.25399</v>
      </c>
      <c r="AF563" s="40">
        <v>8.113</v>
      </c>
      <c r="AG563" s="40">
        <v>283.1898</v>
      </c>
      <c r="AH563" s="45">
        <v>44243.0</v>
      </c>
      <c r="AI563" s="44" t="str">
        <f>'6image_RS_benchmark_performance'!B563</f>
        <v>https://3arbzfbsh-cname-us.ngrok.io/Desktop/seabridge%20fintech/image_app/SQ_resistance_support.jpg</v>
      </c>
      <c r="AJ563" s="44" t="str">
        <f>'6image_RS_benchmark_performance'!C563</f>
        <v>https://3arbzfbsh-cname-us.ngrok.io/Desktop/seabridge%20fintech/profit_graph_app/SQ_Return.jpg</v>
      </c>
      <c r="AK563" s="46" t="str">
        <f>'5price_action_icon'!B563</f>
        <v>https://3arbzfbsh-cname-us.ngrok.io/Desktop/seabridge%20fintech/icon/SQ_pa_trend_signal</v>
      </c>
      <c r="AL563" s="42">
        <f>'1kpi_performance'!B563</f>
        <v>2.548534186</v>
      </c>
      <c r="AM563" s="42">
        <f>'1kpi_performance'!C563</f>
        <v>3.156988114</v>
      </c>
      <c r="AN563" s="42">
        <f>'1kpi_performance'!D563</f>
        <v>1.406033925</v>
      </c>
      <c r="AO563" s="42">
        <f>'1kpi_performance'!E563</f>
        <v>1.089174282</v>
      </c>
      <c r="AP563" s="42">
        <f>'1kpi_performance'!F563</f>
        <v>0.425492737</v>
      </c>
      <c r="AQ563" s="42">
        <f>'1kpi_performance'!G563</f>
        <v>0.4428311494</v>
      </c>
      <c r="AR563" s="42">
        <f>'1kpi_performance'!H563</f>
        <v>0.4560630643</v>
      </c>
      <c r="AS563" s="42">
        <f>'1kpi_performance'!I563</f>
        <v>0.6435837449</v>
      </c>
      <c r="AT563" s="35">
        <f>'1kpi_performance'!J563</f>
        <v>5.930851379</v>
      </c>
      <c r="AU563" s="35">
        <f>'1kpi_performance'!K563</f>
        <v>7.072646352</v>
      </c>
      <c r="AV563" s="35">
        <f>'1kpi_performance'!L563</f>
        <v>3.028164377</v>
      </c>
      <c r="AW563" s="35">
        <f>'1kpi_performance'!M563</f>
        <v>1.6535133</v>
      </c>
      <c r="AX563" s="42">
        <f>'1kpi_performance'!N563</f>
        <v>0.2398257226</v>
      </c>
      <c r="AY563" s="42">
        <f>'1kpi_performance'!O563</f>
        <v>0.2197037301</v>
      </c>
      <c r="AZ563" s="42">
        <f>'1kpi_performance'!P563</f>
        <v>0.5429017161</v>
      </c>
      <c r="BA563" s="42">
        <f>'1kpi_performance'!Q563</f>
        <v>0.6152913847</v>
      </c>
      <c r="BB563" s="35">
        <f>'1kpi_performance'!R563</f>
        <v>13.14156724</v>
      </c>
      <c r="BC563" s="35">
        <f>'1kpi_performance'!S563</f>
        <v>16.68377253</v>
      </c>
      <c r="BD563" s="35">
        <f>'1kpi_performance'!T563</f>
        <v>5.72102241</v>
      </c>
      <c r="BE563" s="35">
        <f>'1kpi_performance'!U563</f>
        <v>3.166288872</v>
      </c>
      <c r="BF563" s="47"/>
      <c r="BG563" s="47"/>
      <c r="BH563" s="47"/>
      <c r="BI563" s="47"/>
      <c r="BJ563" s="47"/>
      <c r="BK563" s="47"/>
      <c r="BL563" s="47"/>
      <c r="BM563" s="47"/>
      <c r="BN563" s="47"/>
      <c r="BO563" s="47"/>
      <c r="BP563" s="47"/>
      <c r="BQ563" s="47"/>
      <c r="BR563" s="47"/>
      <c r="BS563" s="47"/>
      <c r="BT563" s="47"/>
    </row>
    <row r="564" ht="11.25" customHeight="1">
      <c r="A564" s="35" t="str">
        <f>'13all_company_profile'!A564</f>
        <v>SRE</v>
      </c>
      <c r="B564" s="35" t="str">
        <f>'13all_company_profile'!B564</f>
        <v>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v>
      </c>
      <c r="C564" s="44" t="str">
        <f>'13all_company_profile'!C564</f>
        <v>https://financialmodelingprep.com/image-stock/SRE.png</v>
      </c>
      <c r="D564" s="35" t="str">
        <f>'13all_company_profile'!D564</f>
        <v>Sempra Energy</v>
      </c>
      <c r="E564" s="36">
        <f>'13all_company_profile'!E564</f>
        <v>40133996544</v>
      </c>
      <c r="F564" s="37">
        <f>'13all_company_profile'!F564</f>
        <v>1623561</v>
      </c>
      <c r="G564" s="35">
        <f>'13all_company_profile'!G564</f>
        <v>4.29</v>
      </c>
      <c r="H564" s="38">
        <f>'13all_company_profile'!H564</f>
        <v>44411</v>
      </c>
      <c r="I564" s="35">
        <f>'13all_company_profile'!I564</f>
        <v>10.246519</v>
      </c>
      <c r="J564" s="35">
        <f>'13all_company_profile'!J564</f>
        <v>13.143</v>
      </c>
      <c r="K564" s="42">
        <f t="shared" si="1"/>
        <v>0.03251970891</v>
      </c>
      <c r="L564" s="35">
        <f>'7company_info'!B564</f>
        <v>131.92</v>
      </c>
      <c r="M564" s="35">
        <f>'7company_info'!C564</f>
        <v>132.21</v>
      </c>
      <c r="N564" s="35">
        <f>'7company_info'!D564</f>
        <v>129.82</v>
      </c>
      <c r="O564" s="35">
        <f>'7company_info'!E564</f>
        <v>2.1</v>
      </c>
      <c r="P564" s="35">
        <f>'7company_info'!F564</f>
        <v>0.0162</v>
      </c>
      <c r="Q564" s="35">
        <f>'7company_info'!G564</f>
        <v>129.82</v>
      </c>
      <c r="R564" s="35">
        <f>'7company_info'!H564</f>
        <v>129.82</v>
      </c>
      <c r="S564" s="35">
        <f>'7company_info'!I564</f>
        <v>112.33</v>
      </c>
      <c r="T564" s="35">
        <f>'7company_info'!J564</f>
        <v>144.93</v>
      </c>
      <c r="U564" s="39">
        <v>132.296666666666</v>
      </c>
      <c r="V564" s="39">
        <v>132.943333333333</v>
      </c>
      <c r="W564" s="40">
        <v>133.716666666666</v>
      </c>
      <c r="X564" s="40">
        <v>135.136666666666</v>
      </c>
      <c r="Y564" s="40">
        <v>131.523333333333</v>
      </c>
      <c r="Z564" s="40">
        <v>130.876666666666</v>
      </c>
      <c r="AA564" s="40">
        <v>129.456666666666</v>
      </c>
      <c r="AB564" s="40">
        <v>132.39</v>
      </c>
      <c r="AC564" s="40">
        <v>133.7359</v>
      </c>
      <c r="AD564" s="40">
        <v>134.717632397958</v>
      </c>
      <c r="AE564" s="40">
        <v>127.40197</v>
      </c>
      <c r="AF564" s="40">
        <v>2.325515</v>
      </c>
      <c r="AG564" s="40">
        <v>144.93</v>
      </c>
      <c r="AH564" s="45">
        <v>44362.0</v>
      </c>
      <c r="AI564" s="44" t="str">
        <f>'6image_RS_benchmark_performance'!B564</f>
        <v>https://3arbzfbsh-cname-us.ngrok.io/Desktop/seabridge%20fintech/image_app/SRE_resistance_support.jpg</v>
      </c>
      <c r="AJ564" s="44" t="str">
        <f>'6image_RS_benchmark_performance'!C564</f>
        <v>https://3arbzfbsh-cname-us.ngrok.io/Desktop/seabridge%20fintech/profit_graph_app/SRE_Return.jpg</v>
      </c>
      <c r="AK564" s="46" t="str">
        <f>'5price_action_icon'!B564</f>
        <v>https://3arbzfbsh-cname-us.ngrok.io/Desktop/seabridge%20fintech/icon/SRE_pa_trend_signal</v>
      </c>
      <c r="AL564" s="42">
        <f>'1kpi_performance'!B564</f>
        <v>0.3262937773</v>
      </c>
      <c r="AM564" s="42">
        <f>'1kpi_performance'!C564</f>
        <v>0.3760493708</v>
      </c>
      <c r="AN564" s="42">
        <f>'1kpi_performance'!D564</f>
        <v>0.3759411476</v>
      </c>
      <c r="AO564" s="42">
        <f>'1kpi_performance'!E564</f>
        <v>0.1227309292</v>
      </c>
      <c r="AP564" s="42">
        <f>'1kpi_performance'!F564</f>
        <v>0.1747543613</v>
      </c>
      <c r="AQ564" s="42">
        <f>'1kpi_performance'!G564</f>
        <v>0.1791384513</v>
      </c>
      <c r="AR564" s="42">
        <f>'1kpi_performance'!H564</f>
        <v>0.1681084903</v>
      </c>
      <c r="AS564" s="42">
        <f>'1kpi_performance'!I564</f>
        <v>0.2625529221</v>
      </c>
      <c r="AT564" s="35">
        <f>'1kpi_performance'!J564</f>
        <v>1.724098758</v>
      </c>
      <c r="AU564" s="35">
        <f>'1kpi_performance'!K564</f>
        <v>1.959653934</v>
      </c>
      <c r="AV564" s="35">
        <f>'1kpi_performance'!L564</f>
        <v>2.08758729</v>
      </c>
      <c r="AW564" s="35">
        <f>'1kpi_performance'!M564</f>
        <v>0.3722332567</v>
      </c>
      <c r="AX564" s="42">
        <f>'1kpi_performance'!N564</f>
        <v>0.1609223301</v>
      </c>
      <c r="AY564" s="42">
        <f>'1kpi_performance'!O564</f>
        <v>0.1609223301</v>
      </c>
      <c r="AZ564" s="42">
        <f>'1kpi_performance'!P564</f>
        <v>0.1588347277</v>
      </c>
      <c r="BA564" s="42">
        <f>'1kpi_performance'!Q564</f>
        <v>0.4500093093</v>
      </c>
      <c r="BB564" s="35">
        <f>'1kpi_performance'!R564</f>
        <v>3.692088308</v>
      </c>
      <c r="BC564" s="35">
        <f>'1kpi_performance'!S564</f>
        <v>4.279648254</v>
      </c>
      <c r="BD564" s="35">
        <f>'1kpi_performance'!T564</f>
        <v>4.592153082</v>
      </c>
      <c r="BE564" s="35">
        <f>'1kpi_performance'!U564</f>
        <v>0.7022500513</v>
      </c>
      <c r="BF564" s="47"/>
      <c r="BG564" s="47"/>
      <c r="BH564" s="47"/>
      <c r="BI564" s="47"/>
      <c r="BJ564" s="47"/>
      <c r="BK564" s="47"/>
      <c r="BL564" s="47"/>
      <c r="BM564" s="47"/>
      <c r="BN564" s="47"/>
      <c r="BO564" s="47"/>
      <c r="BP564" s="47"/>
      <c r="BQ564" s="47"/>
      <c r="BR564" s="47"/>
      <c r="BS564" s="47"/>
      <c r="BT564" s="47"/>
    </row>
    <row r="565" ht="11.25" customHeight="1">
      <c r="A565" s="35" t="str">
        <f>'13all_company_profile'!A565</f>
        <v>STE</v>
      </c>
      <c r="B565" s="35" t="str">
        <f>'13all_company_profile'!B565</f>
        <v>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v>
      </c>
      <c r="C565" s="44" t="str">
        <f>'13all_company_profile'!C565</f>
        <v>https://financialmodelingprep.com/image-stock/STE.png</v>
      </c>
      <c r="D565" s="35" t="str">
        <f>'13all_company_profile'!D565</f>
        <v>STERIS plc</v>
      </c>
      <c r="E565" s="36">
        <f>'13all_company_profile'!E565</f>
        <v>20587245568</v>
      </c>
      <c r="F565" s="37">
        <f>'13all_company_profile'!F565</f>
        <v>722092</v>
      </c>
      <c r="G565" s="35">
        <f>'13all_company_profile'!G565</f>
        <v>1.6</v>
      </c>
      <c r="H565" s="38">
        <f>'13all_company_profile'!H565</f>
        <v>44410</v>
      </c>
      <c r="I565" s="35">
        <f>'13all_company_profile'!I565</f>
        <v>44.99892</v>
      </c>
      <c r="J565" s="35">
        <f>'13all_company_profile'!J565</f>
        <v>4.63</v>
      </c>
      <c r="K565" s="42">
        <f t="shared" si="1"/>
        <v>0.007679385649</v>
      </c>
      <c r="L565" s="35">
        <f>'7company_info'!B565</f>
        <v>208.35</v>
      </c>
      <c r="M565" s="35">
        <f>'7company_info'!C565</f>
        <v>210.11</v>
      </c>
      <c r="N565" s="35">
        <f>'7company_info'!D565</f>
        <v>204.79</v>
      </c>
      <c r="O565" s="35">
        <f>'7company_info'!E565</f>
        <v>4.05</v>
      </c>
      <c r="P565" s="35">
        <f>'7company_info'!F565</f>
        <v>0.0198</v>
      </c>
      <c r="Q565" s="35">
        <f>'7company_info'!G565</f>
        <v>204.79</v>
      </c>
      <c r="R565" s="35">
        <f>'7company_info'!H565</f>
        <v>204.3</v>
      </c>
      <c r="S565" s="35">
        <f>'7company_info'!I565</f>
        <v>151.79</v>
      </c>
      <c r="T565" s="35">
        <f>'7company_info'!J565</f>
        <v>216.74</v>
      </c>
      <c r="U565" s="39">
        <v>208.19</v>
      </c>
      <c r="V565" s="39">
        <v>209.379999999999</v>
      </c>
      <c r="W565" s="40">
        <v>210.76</v>
      </c>
      <c r="X565" s="40">
        <v>213.33</v>
      </c>
      <c r="Y565" s="40">
        <v>206.809999999999</v>
      </c>
      <c r="Z565" s="40">
        <v>205.62</v>
      </c>
      <c r="AA565" s="40">
        <v>203.05</v>
      </c>
      <c r="AB565" s="40">
        <v>207.0</v>
      </c>
      <c r="AC565" s="40">
        <v>211.95</v>
      </c>
      <c r="AD565" s="40">
        <v>206.515688993277</v>
      </c>
      <c r="AE565" s="40">
        <v>202.81613</v>
      </c>
      <c r="AF565" s="40">
        <v>2.945435</v>
      </c>
      <c r="AG565" s="40">
        <v>216.74</v>
      </c>
      <c r="AH565" s="45">
        <v>44312.0</v>
      </c>
      <c r="AI565" s="44" t="str">
        <f>'6image_RS_benchmark_performance'!B565</f>
        <v>https://3arbzfbsh-cname-us.ngrok.io/Desktop/seabridge%20fintech/image_app/STE_resistance_support.jpg</v>
      </c>
      <c r="AJ565" s="44" t="str">
        <f>'6image_RS_benchmark_performance'!C565</f>
        <v>https://3arbzfbsh-cname-us.ngrok.io/Desktop/seabridge%20fintech/profit_graph_app/STE_Return.jpg</v>
      </c>
      <c r="AK565" s="46" t="str">
        <f>'5price_action_icon'!B565</f>
        <v>https://3arbzfbsh-cname-us.ngrok.io/Desktop/seabridge%20fintech/icon/STE_pa_trend_signal</v>
      </c>
      <c r="AL565" s="42">
        <f>'1kpi_performance'!B565</f>
        <v>0.5725780896</v>
      </c>
      <c r="AM565" s="42">
        <f>'1kpi_performance'!C565</f>
        <v>0.6714158294</v>
      </c>
      <c r="AN565" s="42">
        <f>'1kpi_performance'!D565</f>
        <v>0.6618885472</v>
      </c>
      <c r="AO565" s="42">
        <f>'1kpi_performance'!E565</f>
        <v>0.2893535794</v>
      </c>
      <c r="AP565" s="42">
        <f>'1kpi_performance'!F565</f>
        <v>0.1929486419</v>
      </c>
      <c r="AQ565" s="42">
        <f>'1kpi_performance'!G565</f>
        <v>0.2000555702</v>
      </c>
      <c r="AR565" s="42">
        <f>'1kpi_performance'!H565</f>
        <v>0.1919781991</v>
      </c>
      <c r="AS565" s="42">
        <f>'1kpi_performance'!I565</f>
        <v>0.2906708954</v>
      </c>
      <c r="AT565" s="35">
        <f>'1kpi_performance'!J565</f>
        <v>2.837947363</v>
      </c>
      <c r="AU565" s="35">
        <f>'1kpi_performance'!K565</f>
        <v>3.23118136</v>
      </c>
      <c r="AV565" s="35">
        <f>'1kpi_performance'!L565</f>
        <v>3.317504541</v>
      </c>
      <c r="AW565" s="35">
        <f>'1kpi_performance'!M565</f>
        <v>0.9094600924</v>
      </c>
      <c r="AX565" s="42">
        <f>'1kpi_performance'!N565</f>
        <v>0.1408596567</v>
      </c>
      <c r="AY565" s="42">
        <f>'1kpi_performance'!O565</f>
        <v>0.1022155913</v>
      </c>
      <c r="AZ565" s="42">
        <f>'1kpi_performance'!P565</f>
        <v>0.139501381</v>
      </c>
      <c r="BA565" s="42">
        <f>'1kpi_performance'!Q565</f>
        <v>0.3605127292</v>
      </c>
      <c r="BB565" s="35">
        <f>'1kpi_performance'!R565</f>
        <v>6.503442558</v>
      </c>
      <c r="BC565" s="35">
        <f>'1kpi_performance'!S565</f>
        <v>7.880109034</v>
      </c>
      <c r="BD565" s="35">
        <f>'1kpi_performance'!T565</f>
        <v>7.672370974</v>
      </c>
      <c r="BE565" s="35">
        <f>'1kpi_performance'!U565</f>
        <v>1.827509956</v>
      </c>
      <c r="BF565" s="47"/>
      <c r="BG565" s="47"/>
      <c r="BH565" s="47"/>
      <c r="BI565" s="47"/>
      <c r="BJ565" s="47"/>
      <c r="BK565" s="47"/>
      <c r="BL565" s="47"/>
      <c r="BM565" s="47"/>
      <c r="BN565" s="47"/>
      <c r="BO565" s="47"/>
      <c r="BP565" s="47"/>
      <c r="BQ565" s="47"/>
      <c r="BR565" s="47"/>
      <c r="BS565" s="47"/>
      <c r="BT565" s="47"/>
    </row>
    <row r="566" ht="11.25" customHeight="1">
      <c r="A566" s="35" t="str">
        <f>'13all_company_profile'!A566</f>
        <v>STEM</v>
      </c>
      <c r="B566" s="35" t="str">
        <f>'13all_company_profile'!B566</f>
        <v>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v>
      </c>
      <c r="C566" s="44" t="str">
        <f>'13all_company_profile'!C566</f>
        <v>https://financialmodelingprep.com/image-stock/STEM.png</v>
      </c>
      <c r="D566" s="35" t="str">
        <f>'13all_company_profile'!D566</f>
        <v>Stem, Inc.</v>
      </c>
      <c r="E566" s="36">
        <f>'13all_company_profile'!E566</f>
        <v>3322447104</v>
      </c>
      <c r="F566" s="37">
        <f>'13all_company_profile'!F566</f>
        <v>2914820</v>
      </c>
      <c r="G566" s="35">
        <f>'13all_company_profile'!G566</f>
        <v>0</v>
      </c>
      <c r="H566" s="38" t="str">
        <f>'13all_company_profile'!H566</f>
        <v>not avaiable</v>
      </c>
      <c r="I566" s="35" t="str">
        <f>'13all_company_profile'!I566</f>
        <v>NaN</v>
      </c>
      <c r="J566" s="35">
        <f>'13all_company_profile'!J566</f>
        <v>-21.536</v>
      </c>
      <c r="K566" s="42" t="str">
        <f t="shared" si="1"/>
        <v>NaN</v>
      </c>
      <c r="L566" s="35">
        <f>'7company_info'!B566</f>
        <v>26.47</v>
      </c>
      <c r="M566" s="35">
        <f>'7company_info'!C566</f>
        <v>27.25</v>
      </c>
      <c r="N566" s="35">
        <f>'7company_info'!D566</f>
        <v>25.71</v>
      </c>
      <c r="O566" s="35">
        <f>'7company_info'!E566</f>
        <v>-0.37</v>
      </c>
      <c r="P566" s="35">
        <f>'7company_info'!F566</f>
        <v>-0.0138</v>
      </c>
      <c r="Q566" s="35">
        <f>'7company_info'!G566</f>
        <v>27</v>
      </c>
      <c r="R566" s="35">
        <f>'7company_info'!H566</f>
        <v>26.84</v>
      </c>
      <c r="S566" s="35">
        <f>'7company_info'!I566</f>
        <v>9.6</v>
      </c>
      <c r="T566" s="35">
        <f>'7company_info'!J566</f>
        <v>51.49</v>
      </c>
      <c r="U566" s="39">
        <v>27.5433333333333</v>
      </c>
      <c r="V566" s="39">
        <v>28.6366666666666</v>
      </c>
      <c r="W566" s="40">
        <v>30.4233333333333</v>
      </c>
      <c r="X566" s="40">
        <v>33.3033333333333</v>
      </c>
      <c r="Y566" s="40">
        <v>25.7566666666666</v>
      </c>
      <c r="Z566" s="40">
        <v>24.6633333333333</v>
      </c>
      <c r="AA566" s="40">
        <v>21.7833333333333</v>
      </c>
      <c r="AB566" s="40">
        <v>35.1</v>
      </c>
      <c r="AC566" s="40">
        <v>33.67</v>
      </c>
      <c r="AD566" s="40">
        <v>32.4068706782751</v>
      </c>
      <c r="AE566" s="40">
        <v>24.5699</v>
      </c>
      <c r="AF566" s="40">
        <v>2.16055</v>
      </c>
      <c r="AG566" s="40">
        <v>51.49</v>
      </c>
      <c r="AH566" s="45">
        <v>44244.0</v>
      </c>
      <c r="AI566" s="44" t="str">
        <f>'6image_RS_benchmark_performance'!B566</f>
        <v>https://3arbzfbsh-cname-us.ngrok.io/Desktop/seabridge%20fintech/image_app/STEM_resistance_support.jpg</v>
      </c>
      <c r="AJ566" s="44" t="str">
        <f>'6image_RS_benchmark_performance'!C566</f>
        <v>https://3arbzfbsh-cname-us.ngrok.io/Desktop/seabridge%20fintech/profit_graph_app/STEM_Return.jpg</v>
      </c>
      <c r="AK566" s="46" t="str">
        <f>'5price_action_icon'!B566</f>
        <v>https://3arbzfbsh-cname-us.ngrok.io/Desktop/seabridge%20fintech/icon/STEM_pa_trend_signal</v>
      </c>
      <c r="AL566" s="42">
        <f>'1kpi_performance'!B566</f>
        <v>-0.07582595564</v>
      </c>
      <c r="AM566" s="42">
        <f>'1kpi_performance'!C566</f>
        <v>1.200620993</v>
      </c>
      <c r="AN566" s="42">
        <f>'1kpi_performance'!D566</f>
        <v>5.89142571</v>
      </c>
      <c r="AO566" s="42">
        <f>'1kpi_performance'!E566</f>
        <v>-0.5673672443</v>
      </c>
      <c r="AP566" s="42">
        <f>'1kpi_performance'!F566</f>
        <v>1.183090275</v>
      </c>
      <c r="AQ566" s="42">
        <f>'1kpi_performance'!G566</f>
        <v>1.16872726</v>
      </c>
      <c r="AR566" s="42">
        <f>'1kpi_performance'!H566</f>
        <v>1.052168427</v>
      </c>
      <c r="AS566" s="42">
        <f>'1kpi_performance'!I566</f>
        <v>1.377692445</v>
      </c>
      <c r="AT566" s="35">
        <f>'1kpi_performance'!J566</f>
        <v>-0.0852225378</v>
      </c>
      <c r="AU566" s="35">
        <f>'1kpi_performance'!K566</f>
        <v>1.005898497</v>
      </c>
      <c r="AV566" s="35">
        <f>'1kpi_performance'!L566</f>
        <v>5.575557638</v>
      </c>
      <c r="AW566" s="35">
        <f>'1kpi_performance'!M566</f>
        <v>-0.4299705978</v>
      </c>
      <c r="AX566" s="42">
        <f>'1kpi_performance'!N566</f>
        <v>0.6045120784</v>
      </c>
      <c r="AY566" s="42">
        <f>'1kpi_performance'!O566</f>
        <v>0.4401384413</v>
      </c>
      <c r="AZ566" s="42">
        <f>'1kpi_performance'!P566</f>
        <v>0.4739884393</v>
      </c>
      <c r="BA566" s="42">
        <f>'1kpi_performance'!Q566</f>
        <v>0.672203322</v>
      </c>
      <c r="BB566" s="35">
        <f>'1kpi_performance'!R566</f>
        <v>-0.1796412445</v>
      </c>
      <c r="BC566" s="35">
        <f>'1kpi_performance'!S566</f>
        <v>2.281142702</v>
      </c>
      <c r="BD566" s="35">
        <f>'1kpi_performance'!T566</f>
        <v>12.6539217</v>
      </c>
      <c r="BE566" s="35">
        <f>'1kpi_performance'!U566</f>
        <v>-1.01001205</v>
      </c>
      <c r="BF566" s="47"/>
      <c r="BG566" s="47"/>
      <c r="BH566" s="47"/>
      <c r="BI566" s="47"/>
      <c r="BJ566" s="47"/>
      <c r="BK566" s="47"/>
      <c r="BL566" s="47"/>
      <c r="BM566" s="47"/>
      <c r="BN566" s="47"/>
      <c r="BO566" s="47"/>
      <c r="BP566" s="47"/>
      <c r="BQ566" s="47"/>
      <c r="BR566" s="47"/>
      <c r="BS566" s="47"/>
      <c r="BT566" s="47"/>
    </row>
    <row r="567" ht="11.25" customHeight="1">
      <c r="A567" s="35" t="str">
        <f>'13all_company_profile'!A567</f>
        <v>STLD</v>
      </c>
      <c r="B567" s="35" t="str">
        <f>'13all_company_profile'!B567</f>
        <v>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v>
      </c>
      <c r="C567" s="44" t="str">
        <f>'13all_company_profile'!C567</f>
        <v>https://financialmodelingprep.com/image-stock/STLD.png</v>
      </c>
      <c r="D567" s="35" t="str">
        <f>'13all_company_profile'!D567</f>
        <v>Steel Dynamics, Inc.</v>
      </c>
      <c r="E567" s="36">
        <f>'13all_company_profile'!E567</f>
        <v>13015315456</v>
      </c>
      <c r="F567" s="37">
        <f>'13all_company_profile'!F567</f>
        <v>2386660</v>
      </c>
      <c r="G567" s="35">
        <f>'13all_company_profile'!G567</f>
        <v>1.02</v>
      </c>
      <c r="H567" s="38">
        <f>'13all_company_profile'!H567</f>
        <v>44396</v>
      </c>
      <c r="I567" s="35">
        <f>'13all_company_profile'!I567</f>
        <v>16.007086</v>
      </c>
      <c r="J567" s="35">
        <f>'13all_company_profile'!J567</f>
        <v>3.74</v>
      </c>
      <c r="K567" s="42">
        <f t="shared" si="1"/>
        <v>0.01725596346</v>
      </c>
      <c r="L567" s="35">
        <f>'7company_info'!B567</f>
        <v>59.11</v>
      </c>
      <c r="M567" s="35">
        <f>'7company_info'!C567</f>
        <v>59.66</v>
      </c>
      <c r="N567" s="35">
        <f>'7company_info'!D567</f>
        <v>54.9</v>
      </c>
      <c r="O567" s="35">
        <f>'7company_info'!E567</f>
        <v>1.22</v>
      </c>
      <c r="P567" s="35">
        <f>'7company_info'!F567</f>
        <v>0.0211</v>
      </c>
      <c r="Q567" s="35">
        <f>'7company_info'!G567</f>
        <v>56.22</v>
      </c>
      <c r="R567" s="35">
        <f>'7company_info'!H567</f>
        <v>57.89</v>
      </c>
      <c r="S567" s="35">
        <f>'7company_info'!I567</f>
        <v>26.12</v>
      </c>
      <c r="T567" s="35">
        <f>'7company_info'!J567</f>
        <v>66.88</v>
      </c>
      <c r="U567" s="39">
        <v>61.505</v>
      </c>
      <c r="V567" s="39">
        <v>62.2749999999999</v>
      </c>
      <c r="W567" s="40">
        <v>63.35</v>
      </c>
      <c r="X567" s="40">
        <v>65.195</v>
      </c>
      <c r="Y567" s="40">
        <v>60.4299999999999</v>
      </c>
      <c r="Z567" s="40">
        <v>59.66</v>
      </c>
      <c r="AA567" s="40">
        <v>57.815</v>
      </c>
      <c r="AB567" s="40">
        <v>57.6</v>
      </c>
      <c r="AC567" s="40">
        <v>61.74</v>
      </c>
      <c r="AD567" s="40">
        <v>60.9186111044013</v>
      </c>
      <c r="AE567" s="40">
        <v>56.49267</v>
      </c>
      <c r="AF567" s="40">
        <v>2.331415</v>
      </c>
      <c r="AG567" s="40">
        <v>66.88</v>
      </c>
      <c r="AH567" s="45">
        <v>44356.0</v>
      </c>
      <c r="AI567" s="44" t="str">
        <f>'6image_RS_benchmark_performance'!B567</f>
        <v>https://3arbzfbsh-cname-us.ngrok.io/Desktop/seabridge%20fintech/image_app/STLD_resistance_support.jpg</v>
      </c>
      <c r="AJ567" s="44" t="str">
        <f>'6image_RS_benchmark_performance'!C567</f>
        <v>https://3arbzfbsh-cname-us.ngrok.io/Desktop/seabridge%20fintech/profit_graph_app/STLD_Return.jpg</v>
      </c>
      <c r="AK567" s="46" t="str">
        <f>'5price_action_icon'!B567</f>
        <v>https://3arbzfbsh-cname-us.ngrok.io/Desktop/seabridge%20fintech/icon/STLD_pa_trend_signal</v>
      </c>
      <c r="AL567" s="42">
        <f>'1kpi_performance'!B567</f>
        <v>0.8622671877</v>
      </c>
      <c r="AM567" s="42">
        <f>'1kpi_performance'!C567</f>
        <v>0.9570078821</v>
      </c>
      <c r="AN567" s="42">
        <f>'1kpi_performance'!D567</f>
        <v>0.6579995284</v>
      </c>
      <c r="AO567" s="42">
        <f>'1kpi_performance'!E567</f>
        <v>0.1756680856</v>
      </c>
      <c r="AP567" s="42">
        <f>'1kpi_performance'!F567</f>
        <v>0.3166550854</v>
      </c>
      <c r="AQ567" s="42">
        <f>'1kpi_performance'!G567</f>
        <v>0.2998643832</v>
      </c>
      <c r="AR567" s="42">
        <f>'1kpi_performance'!H567</f>
        <v>0.3524255322</v>
      </c>
      <c r="AS567" s="42">
        <f>'1kpi_performance'!I567</f>
        <v>0.4508271644</v>
      </c>
      <c r="AT567" s="35">
        <f>'1kpi_performance'!J567</f>
        <v>2.644098346</v>
      </c>
      <c r="AU567" s="35">
        <f>'1kpi_performance'!K567</f>
        <v>3.108097975</v>
      </c>
      <c r="AV567" s="35">
        <f>'1kpi_performance'!L567</f>
        <v>1.796122785</v>
      </c>
      <c r="AW567" s="35">
        <f>'1kpi_performance'!M567</f>
        <v>0.3342036538</v>
      </c>
      <c r="AX567" s="42">
        <f>'1kpi_performance'!N567</f>
        <v>0.2124639347</v>
      </c>
      <c r="AY567" s="42">
        <f>'1kpi_performance'!O567</f>
        <v>0.1800856981</v>
      </c>
      <c r="AZ567" s="42">
        <f>'1kpi_performance'!P567</f>
        <v>0.4866288974</v>
      </c>
      <c r="BA567" s="42">
        <f>'1kpi_performance'!Q567</f>
        <v>0.698326197</v>
      </c>
      <c r="BB567" s="35">
        <f>'1kpi_performance'!R567</f>
        <v>5.854861133</v>
      </c>
      <c r="BC567" s="35">
        <f>'1kpi_performance'!S567</f>
        <v>7.236709737</v>
      </c>
      <c r="BD567" s="35">
        <f>'1kpi_performance'!T567</f>
        <v>3.634173769</v>
      </c>
      <c r="BE567" s="35">
        <f>'1kpi_performance'!U567</f>
        <v>0.6800226124</v>
      </c>
      <c r="BF567" s="47"/>
      <c r="BG567" s="47"/>
      <c r="BH567" s="47"/>
      <c r="BI567" s="47"/>
      <c r="BJ567" s="47"/>
      <c r="BK567" s="47"/>
      <c r="BL567" s="47"/>
      <c r="BM567" s="47"/>
      <c r="BN567" s="47"/>
      <c r="BO567" s="47"/>
      <c r="BP567" s="47"/>
      <c r="BQ567" s="47"/>
      <c r="BR567" s="47"/>
      <c r="BS567" s="47"/>
      <c r="BT567" s="47"/>
    </row>
    <row r="568" ht="11.25" customHeight="1">
      <c r="A568" s="35" t="str">
        <f>'13all_company_profile'!A568</f>
        <v>STT</v>
      </c>
      <c r="B568" s="35" t="str">
        <f>'13all_company_profile'!B568</f>
        <v>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v>
      </c>
      <c r="C568" s="44" t="str">
        <f>'13all_company_profile'!C568</f>
        <v>https://financialmodelingprep.com/image-stock/STT.png</v>
      </c>
      <c r="D568" s="35" t="str">
        <f>'13all_company_profile'!D568</f>
        <v>State Street Corporation</v>
      </c>
      <c r="E568" s="36">
        <f>'13all_company_profile'!E568</f>
        <v>28506544128</v>
      </c>
      <c r="F568" s="37">
        <f>'13all_company_profile'!F568</f>
        <v>2205795</v>
      </c>
      <c r="G568" s="35">
        <f>'13all_company_profile'!G568</f>
        <v>30.205</v>
      </c>
      <c r="H568" s="38">
        <f>'13all_company_profile'!H568</f>
        <v>44393</v>
      </c>
      <c r="I568" s="35">
        <f>'13all_company_profile'!I568</f>
        <v>13.955519</v>
      </c>
      <c r="J568" s="35">
        <f>'13all_company_profile'!J568</f>
        <v>6.07</v>
      </c>
      <c r="K568" s="42">
        <f t="shared" si="1"/>
        <v>0.364750634</v>
      </c>
      <c r="L568" s="35">
        <f>'7company_info'!B568</f>
        <v>82.81</v>
      </c>
      <c r="M568" s="35">
        <f>'7company_info'!C568</f>
        <v>83.26</v>
      </c>
      <c r="N568" s="35">
        <f>'7company_info'!D568</f>
        <v>79.19</v>
      </c>
      <c r="O568" s="35">
        <f>'7company_info'!E568</f>
        <v>3.18</v>
      </c>
      <c r="P568" s="35">
        <f>'7company_info'!F568</f>
        <v>0.0399</v>
      </c>
      <c r="Q568" s="35">
        <f>'7company_info'!G568</f>
        <v>79.59</v>
      </c>
      <c r="R568" s="35">
        <f>'7company_info'!H568</f>
        <v>79.63</v>
      </c>
      <c r="S568" s="35">
        <f>'7company_info'!I568</f>
        <v>56.63</v>
      </c>
      <c r="T568" s="35">
        <f>'7company_info'!J568</f>
        <v>89.28</v>
      </c>
      <c r="U568" s="39">
        <v>82.9233333333333</v>
      </c>
      <c r="V568" s="39">
        <v>84.0266666666666</v>
      </c>
      <c r="W568" s="40">
        <v>85.5833333333333</v>
      </c>
      <c r="X568" s="40">
        <v>88.2433333333333</v>
      </c>
      <c r="Y568" s="40">
        <v>81.3666666666666</v>
      </c>
      <c r="Z568" s="40">
        <v>80.2633333333333</v>
      </c>
      <c r="AA568" s="40">
        <v>77.6033333333333</v>
      </c>
      <c r="AB568" s="40">
        <v>85.66</v>
      </c>
      <c r="AC568" s="40">
        <v>84.11</v>
      </c>
      <c r="AD568" s="40">
        <v>83.0376913652021</v>
      </c>
      <c r="AE568" s="40">
        <v>78.9966</v>
      </c>
      <c r="AF568" s="40">
        <v>2.37169999999999</v>
      </c>
      <c r="AG568" s="40">
        <v>89.28</v>
      </c>
      <c r="AH568" s="45">
        <v>44326.0</v>
      </c>
      <c r="AI568" s="44" t="str">
        <f>'6image_RS_benchmark_performance'!B568</f>
        <v>https://3arbzfbsh-cname-us.ngrok.io/Desktop/seabridge%20fintech/image_app/STT_resistance_support.jpg</v>
      </c>
      <c r="AJ568" s="44" t="str">
        <f>'6image_RS_benchmark_performance'!C568</f>
        <v>https://3arbzfbsh-cname-us.ngrok.io/Desktop/seabridge%20fintech/profit_graph_app/STT_Return.jpg</v>
      </c>
      <c r="AK568" s="46" t="str">
        <f>'5price_action_icon'!B568</f>
        <v>https://3arbzfbsh-cname-us.ngrok.io/Desktop/seabridge%20fintech/icon/STT_pa_trend_signal</v>
      </c>
      <c r="AL568" s="42">
        <f>'1kpi_performance'!B568</f>
        <v>0.5372934621</v>
      </c>
      <c r="AM568" s="42">
        <f>'1kpi_performance'!C568</f>
        <v>0.7803109622</v>
      </c>
      <c r="AN568" s="42">
        <f>'1kpi_performance'!D568</f>
        <v>0.6171968153</v>
      </c>
      <c r="AO568" s="42">
        <f>'1kpi_performance'!E568</f>
        <v>0.07701236747</v>
      </c>
      <c r="AP568" s="42">
        <f>'1kpi_performance'!F568</f>
        <v>0.2519291819</v>
      </c>
      <c r="AQ568" s="42">
        <f>'1kpi_performance'!G568</f>
        <v>0.2578887864</v>
      </c>
      <c r="AR568" s="42">
        <f>'1kpi_performance'!H568</f>
        <v>0.2533826781</v>
      </c>
      <c r="AS568" s="42">
        <f>'1kpi_performance'!I568</f>
        <v>0.3737111228</v>
      </c>
      <c r="AT568" s="35">
        <f>'1kpi_performance'!J568</f>
        <v>2.033482022</v>
      </c>
      <c r="AU568" s="35">
        <f>'1kpi_performance'!K568</f>
        <v>2.928824369</v>
      </c>
      <c r="AV568" s="35">
        <f>'1kpi_performance'!L568</f>
        <v>2.33716377</v>
      </c>
      <c r="AW568" s="35">
        <f>'1kpi_performance'!M568</f>
        <v>0.1391780022</v>
      </c>
      <c r="AX568" s="42">
        <f>'1kpi_performance'!N568</f>
        <v>0.1515889247</v>
      </c>
      <c r="AY568" s="42">
        <f>'1kpi_performance'!O568</f>
        <v>0.1892626572</v>
      </c>
      <c r="AZ568" s="42">
        <f>'1kpi_performance'!P568</f>
        <v>0.2941123617</v>
      </c>
      <c r="BA568" s="42">
        <f>'1kpi_performance'!Q568</f>
        <v>0.6166267412</v>
      </c>
      <c r="BB568" s="35">
        <f>'1kpi_performance'!R568</f>
        <v>4.386603492</v>
      </c>
      <c r="BC568" s="35">
        <f>'1kpi_performance'!S568</f>
        <v>6.719209481</v>
      </c>
      <c r="BD568" s="35">
        <f>'1kpi_performance'!T568</f>
        <v>4.915053433</v>
      </c>
      <c r="BE568" s="35">
        <f>'1kpi_performance'!U568</f>
        <v>0.2687787842</v>
      </c>
      <c r="BF568" s="47"/>
      <c r="BG568" s="47"/>
      <c r="BH568" s="47"/>
      <c r="BI568" s="47"/>
      <c r="BJ568" s="47"/>
      <c r="BK568" s="47"/>
      <c r="BL568" s="47"/>
      <c r="BM568" s="47"/>
      <c r="BN568" s="47"/>
      <c r="BO568" s="47"/>
      <c r="BP568" s="47"/>
      <c r="BQ568" s="47"/>
      <c r="BR568" s="47"/>
      <c r="BS568" s="47"/>
      <c r="BT568" s="47"/>
    </row>
    <row r="569" ht="11.25" customHeight="1">
      <c r="A569" s="35" t="str">
        <f>'13all_company_profile'!A569</f>
        <v>STX</v>
      </c>
      <c r="B569" s="35" t="str">
        <f>'13all_company_profile'!B569</f>
        <v>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v>
      </c>
      <c r="C569" s="44" t="str">
        <f>'13all_company_profile'!C569</f>
        <v>https://financialmodelingprep.com/image-stock/STX.png</v>
      </c>
      <c r="D569" s="35" t="str">
        <f>'13all_company_profile'!D569</f>
        <v>Seagate Technology Holdings plc</v>
      </c>
      <c r="E569" s="36">
        <f>'13all_company_profile'!E569</f>
        <v>19717408768</v>
      </c>
      <c r="F569" s="37">
        <f>'13all_company_profile'!F569</f>
        <v>3123555</v>
      </c>
      <c r="G569" s="35">
        <f>'13all_company_profile'!G569</f>
        <v>2.66</v>
      </c>
      <c r="H569" s="38">
        <f>'13all_company_profile'!H569</f>
        <v>44403</v>
      </c>
      <c r="I569" s="35">
        <f>'13all_company_profile'!I569</f>
        <v>21.288855</v>
      </c>
      <c r="J569" s="35">
        <f>'13all_company_profile'!J569</f>
        <v>3.957</v>
      </c>
      <c r="K569" s="42">
        <f t="shared" si="1"/>
        <v>0.03111475026</v>
      </c>
      <c r="L569" s="35">
        <f>'7company_info'!B569</f>
        <v>85.49</v>
      </c>
      <c r="M569" s="35">
        <f>'7company_info'!C569</f>
        <v>86.01</v>
      </c>
      <c r="N569" s="35">
        <f>'7company_info'!D569</f>
        <v>84.06</v>
      </c>
      <c r="O569" s="35">
        <f>'7company_info'!E569</f>
        <v>1.2</v>
      </c>
      <c r="P569" s="35">
        <f>'7company_info'!F569</f>
        <v>0.0142</v>
      </c>
      <c r="Q569" s="35">
        <f>'7company_info'!G569</f>
        <v>84.25</v>
      </c>
      <c r="R569" s="35">
        <f>'7company_info'!H569</f>
        <v>84.29</v>
      </c>
      <c r="S569" s="35">
        <f>'7company_info'!I569</f>
        <v>43.53</v>
      </c>
      <c r="T569" s="35">
        <f>'7company_info'!J569</f>
        <v>106.22</v>
      </c>
      <c r="U569" s="39">
        <v>89.5966666666666</v>
      </c>
      <c r="V569" s="39">
        <v>90.3533333333333</v>
      </c>
      <c r="W569" s="40">
        <v>91.0866666666666</v>
      </c>
      <c r="X569" s="40">
        <v>92.5766666666666</v>
      </c>
      <c r="Y569" s="40">
        <v>88.8633333333333</v>
      </c>
      <c r="Z569" s="40">
        <v>88.1066666666666</v>
      </c>
      <c r="AA569" s="40">
        <v>86.6166666666666</v>
      </c>
      <c r="AB569" s="40">
        <v>84.58</v>
      </c>
      <c r="AC569" s="40">
        <v>85.99</v>
      </c>
      <c r="AD569" s="40">
        <v>88.7958541859039</v>
      </c>
      <c r="AE569" s="40">
        <v>84.11753</v>
      </c>
      <c r="AF569" s="40">
        <v>2.18623499999999</v>
      </c>
      <c r="AG569" s="40">
        <v>106.22</v>
      </c>
      <c r="AH569" s="45">
        <v>44333.0</v>
      </c>
      <c r="AI569" s="44" t="str">
        <f>'6image_RS_benchmark_performance'!B569</f>
        <v>https://3arbzfbsh-cname-us.ngrok.io/Desktop/seabridge%20fintech/image_app/STX_resistance_support.jpg</v>
      </c>
      <c r="AJ569" s="44" t="str">
        <f>'6image_RS_benchmark_performance'!C569</f>
        <v>https://3arbzfbsh-cname-us.ngrok.io/Desktop/seabridge%20fintech/profit_graph_app/STX_Return.jpg</v>
      </c>
      <c r="AK569" s="46" t="str">
        <f>'5price_action_icon'!B569</f>
        <v>https://3arbzfbsh-cname-us.ngrok.io/Desktop/seabridge%20fintech/icon/STX_pa_trend_signal</v>
      </c>
      <c r="AL569" s="42">
        <f>'1kpi_performance'!B569</f>
        <v>1.323145267</v>
      </c>
      <c r="AM569" s="42">
        <f>'1kpi_performance'!C569</f>
        <v>1.56124397</v>
      </c>
      <c r="AN569" s="42">
        <f>'1kpi_performance'!D569</f>
        <v>0.6835876115</v>
      </c>
      <c r="AO569" s="42">
        <f>'1kpi_performance'!E569</f>
        <v>0.2093892904</v>
      </c>
      <c r="AP569" s="42">
        <f>'1kpi_performance'!F569</f>
        <v>0.3544068709</v>
      </c>
      <c r="AQ569" s="42">
        <f>'1kpi_performance'!G569</f>
        <v>0.3505616558</v>
      </c>
      <c r="AR569" s="42">
        <f>'1kpi_performance'!H569</f>
        <v>0.3243430044</v>
      </c>
      <c r="AS569" s="42">
        <f>'1kpi_performance'!I569</f>
        <v>0.5027604215</v>
      </c>
      <c r="AT569" s="35">
        <f>'1kpi_performance'!J569</f>
        <v>3.662867098</v>
      </c>
      <c r="AU569" s="35">
        <f>'1kpi_performance'!K569</f>
        <v>4.382236177</v>
      </c>
      <c r="AV569" s="35">
        <f>'1kpi_performance'!L569</f>
        <v>2.030528184</v>
      </c>
      <c r="AW569" s="35">
        <f>'1kpi_performance'!M569</f>
        <v>0.3667537907</v>
      </c>
      <c r="AX569" s="42">
        <f>'1kpi_performance'!N569</f>
        <v>0.2301415704</v>
      </c>
      <c r="AY569" s="42">
        <f>'1kpi_performance'!O569</f>
        <v>0.1441755725</v>
      </c>
      <c r="AZ569" s="42">
        <f>'1kpi_performance'!P569</f>
        <v>0.4716549542</v>
      </c>
      <c r="BA569" s="42">
        <f>'1kpi_performance'!Q569</f>
        <v>0.7279860506</v>
      </c>
      <c r="BB569" s="35">
        <f>'1kpi_performance'!R569</f>
        <v>8.668238207</v>
      </c>
      <c r="BC569" s="35">
        <f>'1kpi_performance'!S569</f>
        <v>11.45183658</v>
      </c>
      <c r="BD569" s="35">
        <f>'1kpi_performance'!T569</f>
        <v>3.982555982</v>
      </c>
      <c r="BE569" s="35">
        <f>'1kpi_performance'!U569</f>
        <v>0.7130040898</v>
      </c>
      <c r="BF569" s="47"/>
      <c r="BG569" s="47"/>
      <c r="BH569" s="47"/>
      <c r="BI569" s="47"/>
      <c r="BJ569" s="47"/>
      <c r="BK569" s="47"/>
      <c r="BL569" s="47"/>
      <c r="BM569" s="47"/>
      <c r="BN569" s="47"/>
      <c r="BO569" s="47"/>
      <c r="BP569" s="47"/>
      <c r="BQ569" s="47"/>
      <c r="BR569" s="47"/>
      <c r="BS569" s="47"/>
      <c r="BT569" s="47"/>
    </row>
    <row r="570" ht="11.25" customHeight="1">
      <c r="A570" s="35" t="str">
        <f>'13all_company_profile'!A570</f>
        <v>STZ</v>
      </c>
      <c r="B570" s="35" t="str">
        <f>'13all_company_profile'!B570</f>
        <v>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v>
      </c>
      <c r="C570" s="44" t="str">
        <f>'13all_company_profile'!C570</f>
        <v>https://financialmodelingprep.com/image-stock/STZ.png</v>
      </c>
      <c r="D570" s="35" t="str">
        <f>'13all_company_profile'!D570</f>
        <v>Constellation Brands, Inc.</v>
      </c>
      <c r="E570" s="36">
        <f>'13all_company_profile'!E570</f>
        <v>43231014912</v>
      </c>
      <c r="F570" s="37">
        <f>'13all_company_profile'!F570</f>
        <v>980785</v>
      </c>
      <c r="G570" s="35">
        <f>'13all_company_profile'!G570</f>
        <v>3.01</v>
      </c>
      <c r="H570" s="38" t="str">
        <f>'13all_company_profile'!H570</f>
        <v>not avaiable</v>
      </c>
      <c r="I570" s="35">
        <f>'13all_company_profile'!I570</f>
        <v>34.257084</v>
      </c>
      <c r="J570" s="35">
        <f>'13all_company_profile'!J570</f>
        <v>6.543</v>
      </c>
      <c r="K570" s="42">
        <f t="shared" si="1"/>
        <v>0.01336767775</v>
      </c>
      <c r="L570" s="35">
        <f>'7company_info'!B570</f>
        <v>225.17</v>
      </c>
      <c r="M570" s="35">
        <f>'7company_info'!C570</f>
        <v>226.77</v>
      </c>
      <c r="N570" s="35">
        <f>'7company_info'!D570</f>
        <v>222.26</v>
      </c>
      <c r="O570" s="35">
        <f>'7company_info'!E570</f>
        <v>3.15</v>
      </c>
      <c r="P570" s="35">
        <f>'7company_info'!F570</f>
        <v>0.0142</v>
      </c>
      <c r="Q570" s="35">
        <f>'7company_info'!G570</f>
        <v>222.55</v>
      </c>
      <c r="R570" s="35">
        <f>'7company_info'!H570</f>
        <v>222.02</v>
      </c>
      <c r="S570" s="35">
        <f>'7company_info'!I570</f>
        <v>160.63</v>
      </c>
      <c r="T570" s="35">
        <f>'7company_info'!J570</f>
        <v>244.75</v>
      </c>
      <c r="U570" s="39">
        <v>225.700933333333</v>
      </c>
      <c r="V570" s="39">
        <v>226.839066666666</v>
      </c>
      <c r="W570" s="40">
        <v>227.898133333333</v>
      </c>
      <c r="X570" s="40">
        <v>230.095333333333</v>
      </c>
      <c r="Y570" s="40">
        <v>224.641866666666</v>
      </c>
      <c r="Z570" s="40">
        <v>223.503733333333</v>
      </c>
      <c r="AA570" s="40">
        <v>221.306533333333</v>
      </c>
      <c r="AB570" s="40">
        <v>227.13</v>
      </c>
      <c r="AC570" s="40">
        <v>227.75</v>
      </c>
      <c r="AD570" s="40">
        <v>229.248474625167</v>
      </c>
      <c r="AE570" s="40">
        <v>217.60663</v>
      </c>
      <c r="AF570" s="40">
        <v>3.91717499999999</v>
      </c>
      <c r="AG570" s="40">
        <v>244.75</v>
      </c>
      <c r="AH570" s="45">
        <v>44319.0</v>
      </c>
      <c r="AI570" s="44" t="str">
        <f>'6image_RS_benchmark_performance'!B570</f>
        <v>https://3arbzfbsh-cname-us.ngrok.io/Desktop/seabridge%20fintech/image_app/STZ_resistance_support.jpg</v>
      </c>
      <c r="AJ570" s="44" t="str">
        <f>'6image_RS_benchmark_performance'!C570</f>
        <v>https://3arbzfbsh-cname-us.ngrok.io/Desktop/seabridge%20fintech/profit_graph_app/STZ_Return.jpg</v>
      </c>
      <c r="AK570" s="46" t="str">
        <f>'5price_action_icon'!B570</f>
        <v>https://3arbzfbsh-cname-us.ngrok.io/Desktop/seabridge%20fintech/icon/STZ_pa_trend_signal</v>
      </c>
      <c r="AL570" s="42">
        <f>'1kpi_performance'!B570</f>
        <v>0.6652583966</v>
      </c>
      <c r="AM570" s="42">
        <f>'1kpi_performance'!C570</f>
        <v>0.9853881565</v>
      </c>
      <c r="AN570" s="42">
        <f>'1kpi_performance'!D570</f>
        <v>0.6784901987</v>
      </c>
      <c r="AO570" s="42">
        <f>'1kpi_performance'!E570</f>
        <v>0.3824194868</v>
      </c>
      <c r="AP570" s="42">
        <f>'1kpi_performance'!F570</f>
        <v>0.2701688192</v>
      </c>
      <c r="AQ570" s="42">
        <f>'1kpi_performance'!G570</f>
        <v>0.2790967288</v>
      </c>
      <c r="AR570" s="42">
        <f>'1kpi_performance'!H570</f>
        <v>0.2608928402</v>
      </c>
      <c r="AS570" s="42">
        <f>'1kpi_performance'!I570</f>
        <v>0.3640369155</v>
      </c>
      <c r="AT570" s="35">
        <f>'1kpi_performance'!J570</f>
        <v>2.369845634</v>
      </c>
      <c r="AU570" s="35">
        <f>'1kpi_performance'!K570</f>
        <v>3.441058448</v>
      </c>
      <c r="AV570" s="35">
        <f>'1kpi_performance'!L570</f>
        <v>2.50482228</v>
      </c>
      <c r="AW570" s="35">
        <f>'1kpi_performance'!M570</f>
        <v>0.9818220942</v>
      </c>
      <c r="AX570" s="42">
        <f>'1kpi_performance'!N570</f>
        <v>0.1249340553</v>
      </c>
      <c r="AY570" s="42">
        <f>'1kpi_performance'!O570</f>
        <v>0.1071643588</v>
      </c>
      <c r="AZ570" s="42">
        <f>'1kpi_performance'!P570</f>
        <v>0.2502483608</v>
      </c>
      <c r="BA570" s="42">
        <f>'1kpi_performance'!Q570</f>
        <v>0.5489710529</v>
      </c>
      <c r="BB570" s="35">
        <f>'1kpi_performance'!R570</f>
        <v>6.446227989</v>
      </c>
      <c r="BC570" s="35">
        <f>'1kpi_performance'!S570</f>
        <v>10.59366573</v>
      </c>
      <c r="BD570" s="35">
        <f>'1kpi_performance'!T570</f>
        <v>6.135534219</v>
      </c>
      <c r="BE570" s="35">
        <f>'1kpi_performance'!U570</f>
        <v>2.099364614</v>
      </c>
      <c r="BF570" s="47"/>
      <c r="BG570" s="47"/>
      <c r="BH570" s="47"/>
      <c r="BI570" s="47"/>
      <c r="BJ570" s="47"/>
      <c r="BK570" s="47"/>
      <c r="BL570" s="47"/>
      <c r="BM570" s="47"/>
      <c r="BN570" s="47"/>
      <c r="BO570" s="47"/>
      <c r="BP570" s="47"/>
      <c r="BQ570" s="47"/>
      <c r="BR570" s="47"/>
      <c r="BS570" s="47"/>
      <c r="BT570" s="47"/>
    </row>
    <row r="571" ht="11.25" customHeight="1">
      <c r="A571" s="35" t="str">
        <f>'13all_company_profile'!A571</f>
        <v>SWK</v>
      </c>
      <c r="B571" s="35" t="str">
        <f>'13all_company_profile'!B571</f>
        <v>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v>
      </c>
      <c r="C571" s="44" t="str">
        <f>'13all_company_profile'!C571</f>
        <v>https://financialmodelingprep.com/image-stock/SWK.png</v>
      </c>
      <c r="D571" s="35" t="str">
        <f>'13all_company_profile'!D571</f>
        <v>Stanley Black &amp; Decker, Inc.</v>
      </c>
      <c r="E571" s="36">
        <f>'13all_company_profile'!E571</f>
        <v>33402013696</v>
      </c>
      <c r="F571" s="37">
        <f>'13all_company_profile'!F571</f>
        <v>1081715</v>
      </c>
      <c r="G571" s="35">
        <f>'13all_company_profile'!G571</f>
        <v>2.8</v>
      </c>
      <c r="H571" s="38">
        <f>'13all_company_profile'!H571</f>
        <v>44404</v>
      </c>
      <c r="I571" s="35">
        <f>'13all_company_profile'!I571</f>
        <v>20.652967</v>
      </c>
      <c r="J571" s="35">
        <f>'13all_company_profile'!J571</f>
        <v>9.844</v>
      </c>
      <c r="K571" s="42">
        <f t="shared" si="1"/>
        <v>0.01372952829</v>
      </c>
      <c r="L571" s="35">
        <f>'7company_info'!B571</f>
        <v>203.94</v>
      </c>
      <c r="M571" s="35">
        <f>'7company_info'!C571</f>
        <v>204.62</v>
      </c>
      <c r="N571" s="35">
        <f>'7company_info'!D571</f>
        <v>200.15</v>
      </c>
      <c r="O571" s="35">
        <f>'7company_info'!E571</f>
        <v>3.59</v>
      </c>
      <c r="P571" s="35">
        <f>'7company_info'!F571</f>
        <v>0.0179</v>
      </c>
      <c r="Q571" s="35">
        <f>'7company_info'!G571</f>
        <v>200.49</v>
      </c>
      <c r="R571" s="35">
        <f>'7company_info'!H571</f>
        <v>200.35</v>
      </c>
      <c r="S571" s="35">
        <f>'7company_info'!I571</f>
        <v>148.88</v>
      </c>
      <c r="T571" s="35">
        <f>'7company_info'!J571</f>
        <v>225</v>
      </c>
      <c r="U571" s="39">
        <v>206.11</v>
      </c>
      <c r="V571" s="39">
        <v>207.78</v>
      </c>
      <c r="W571" s="40">
        <v>209.6</v>
      </c>
      <c r="X571" s="40">
        <v>213.09</v>
      </c>
      <c r="Y571" s="40">
        <v>204.29</v>
      </c>
      <c r="Z571" s="40">
        <v>202.62</v>
      </c>
      <c r="AA571" s="40">
        <v>199.13</v>
      </c>
      <c r="AB571" s="40">
        <v>202.74</v>
      </c>
      <c r="AC571" s="40">
        <v>208.48</v>
      </c>
      <c r="AD571" s="40">
        <v>205.898542022373</v>
      </c>
      <c r="AE571" s="40">
        <v>199.9075</v>
      </c>
      <c r="AF571" s="40">
        <v>3.63975</v>
      </c>
      <c r="AG571" s="40">
        <v>225.0</v>
      </c>
      <c r="AH571" s="45">
        <v>44326.0</v>
      </c>
      <c r="AI571" s="44" t="str">
        <f>'6image_RS_benchmark_performance'!B571</f>
        <v>https://3arbzfbsh-cname-us.ngrok.io/Desktop/seabridge%20fintech/image_app/SWK_resistance_support.jpg</v>
      </c>
      <c r="AJ571" s="44" t="str">
        <f>'6image_RS_benchmark_performance'!C571</f>
        <v>https://3arbzfbsh-cname-us.ngrok.io/Desktop/seabridge%20fintech/profit_graph_app/SWK_Return.jpg</v>
      </c>
      <c r="AK571" s="46" t="str">
        <f>'5price_action_icon'!B571</f>
        <v>https://3arbzfbsh-cname-us.ngrok.io/Desktop/seabridge%20fintech/icon/SWK_pa_trend_signal</v>
      </c>
      <c r="AL571" s="42">
        <f>'1kpi_performance'!B571</f>
        <v>0.5492452585</v>
      </c>
      <c r="AM571" s="42">
        <f>'1kpi_performance'!C571</f>
        <v>0.7750157762</v>
      </c>
      <c r="AN571" s="42">
        <f>'1kpi_performance'!D571</f>
        <v>0.7446150599</v>
      </c>
      <c r="AO571" s="42">
        <f>'1kpi_performance'!E571</f>
        <v>0.1810469175</v>
      </c>
      <c r="AP571" s="42">
        <f>'1kpi_performance'!F571</f>
        <v>0.2453628269</v>
      </c>
      <c r="AQ571" s="42">
        <f>'1kpi_performance'!G571</f>
        <v>0.2374215588</v>
      </c>
      <c r="AR571" s="42">
        <f>'1kpi_performance'!H571</f>
        <v>0.2429308431</v>
      </c>
      <c r="AS571" s="42">
        <f>'1kpi_performance'!I571</f>
        <v>0.3683892127</v>
      </c>
      <c r="AT571" s="35">
        <f>'1kpi_performance'!J571</f>
        <v>2.136612401</v>
      </c>
      <c r="AU571" s="35">
        <f>'1kpi_performance'!K571</f>
        <v>3.159004515</v>
      </c>
      <c r="AV571" s="35">
        <f>'1kpi_performance'!L571</f>
        <v>2.962221885</v>
      </c>
      <c r="AW571" s="35">
        <f>'1kpi_performance'!M571</f>
        <v>0.423592527</v>
      </c>
      <c r="AX571" s="42">
        <f>'1kpi_performance'!N571</f>
        <v>0.1813742634</v>
      </c>
      <c r="AY571" s="42">
        <f>'1kpi_performance'!O571</f>
        <v>0.1408989183</v>
      </c>
      <c r="AZ571" s="42">
        <f>'1kpi_performance'!P571</f>
        <v>0.2329789927</v>
      </c>
      <c r="BA571" s="42">
        <f>'1kpi_performance'!Q571</f>
        <v>0.5905292479</v>
      </c>
      <c r="BB571" s="35">
        <f>'1kpi_performance'!R571</f>
        <v>4.29065294</v>
      </c>
      <c r="BC571" s="35">
        <f>'1kpi_performance'!S571</f>
        <v>7.156494857</v>
      </c>
      <c r="BD571" s="35">
        <f>'1kpi_performance'!T571</f>
        <v>6.327607872</v>
      </c>
      <c r="BE571" s="35">
        <f>'1kpi_performance'!U571</f>
        <v>0.8002071409</v>
      </c>
      <c r="BF571" s="47"/>
      <c r="BG571" s="47"/>
      <c r="BH571" s="47"/>
      <c r="BI571" s="47"/>
      <c r="BJ571" s="47"/>
      <c r="BK571" s="47"/>
      <c r="BL571" s="47"/>
      <c r="BM571" s="47"/>
      <c r="BN571" s="47"/>
      <c r="BO571" s="47"/>
      <c r="BP571" s="47"/>
      <c r="BQ571" s="47"/>
      <c r="BR571" s="47"/>
      <c r="BS571" s="47"/>
      <c r="BT571" s="47"/>
    </row>
    <row r="572" ht="11.25" customHeight="1">
      <c r="A572" s="35" t="str">
        <f>'13all_company_profile'!A572</f>
        <v>SWKS</v>
      </c>
      <c r="B572" s="35" t="str">
        <f>'13all_company_profile'!B572</f>
        <v>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v>
      </c>
      <c r="C572" s="44" t="str">
        <f>'13all_company_profile'!C572</f>
        <v>https://financialmodelingprep.com/image-stock/SWKS.png</v>
      </c>
      <c r="D572" s="35" t="str">
        <f>'13all_company_profile'!D572</f>
        <v>Skyworks Solutions, Inc.</v>
      </c>
      <c r="E572" s="36">
        <f>'13all_company_profile'!E572</f>
        <v>31446913024</v>
      </c>
      <c r="F572" s="37">
        <f>'13all_company_profile'!F572</f>
        <v>1816833</v>
      </c>
      <c r="G572" s="35">
        <f>'13all_company_profile'!G572</f>
        <v>2</v>
      </c>
      <c r="H572" s="38">
        <f>'13all_company_profile'!H572</f>
        <v>44398</v>
      </c>
      <c r="I572" s="35">
        <f>'13all_company_profile'!I572</f>
        <v>26.054817</v>
      </c>
      <c r="J572" s="35">
        <f>'13all_company_profile'!J572</f>
        <v>7.224</v>
      </c>
      <c r="K572" s="42">
        <f t="shared" si="1"/>
        <v>0.01055854714</v>
      </c>
      <c r="L572" s="35">
        <f>'7company_info'!B572</f>
        <v>189.42</v>
      </c>
      <c r="M572" s="35">
        <f>'7company_info'!C572</f>
        <v>190.7</v>
      </c>
      <c r="N572" s="35">
        <f>'7company_info'!D572</f>
        <v>185.66</v>
      </c>
      <c r="O572" s="35">
        <f>'7company_info'!E572</f>
        <v>2.27</v>
      </c>
      <c r="P572" s="35">
        <f>'7company_info'!F572</f>
        <v>0.0121</v>
      </c>
      <c r="Q572" s="35">
        <f>'7company_info'!G572</f>
        <v>187.65</v>
      </c>
      <c r="R572" s="35">
        <f>'7company_info'!H572</f>
        <v>187.15</v>
      </c>
      <c r="S572" s="35">
        <f>'7company_info'!I572</f>
        <v>128.56</v>
      </c>
      <c r="T572" s="35">
        <f>'7company_info'!J572</f>
        <v>204</v>
      </c>
      <c r="U572" s="39">
        <v>193.273333333333</v>
      </c>
      <c r="V572" s="39">
        <v>195.896666666666</v>
      </c>
      <c r="W572" s="40">
        <v>200.223333333333</v>
      </c>
      <c r="X572" s="40">
        <v>207.173333333333</v>
      </c>
      <c r="Y572" s="40">
        <v>188.946666666666</v>
      </c>
      <c r="Z572" s="40">
        <v>186.323333333333</v>
      </c>
      <c r="AA572" s="40">
        <v>179.373333333333</v>
      </c>
      <c r="AB572" s="40">
        <v>169.52</v>
      </c>
      <c r="AC572" s="40">
        <v>173.05</v>
      </c>
      <c r="AD572" s="40">
        <v>184.129995912922</v>
      </c>
      <c r="AE572" s="40">
        <v>180.91144</v>
      </c>
      <c r="AF572" s="40">
        <v>4.58978</v>
      </c>
      <c r="AG572" s="40">
        <v>204.0</v>
      </c>
      <c r="AH572" s="45">
        <v>44315.0</v>
      </c>
      <c r="AI572" s="44" t="str">
        <f>'6image_RS_benchmark_performance'!B572</f>
        <v>https://3arbzfbsh-cname-us.ngrok.io/Desktop/seabridge%20fintech/image_app/SWKS_resistance_support.jpg</v>
      </c>
      <c r="AJ572" s="44" t="str">
        <f>'6image_RS_benchmark_performance'!C572</f>
        <v>https://3arbzfbsh-cname-us.ngrok.io/Desktop/seabridge%20fintech/profit_graph_app/SWKS_Return.jpg</v>
      </c>
      <c r="AK572" s="46" t="str">
        <f>'5price_action_icon'!B572</f>
        <v>https://3arbzfbsh-cname-us.ngrok.io/Desktop/seabridge%20fintech/icon/SWKS_pa_trend_signal</v>
      </c>
      <c r="AL572" s="42">
        <f>'1kpi_performance'!B572</f>
        <v>0.9743187977</v>
      </c>
      <c r="AM572" s="42">
        <f>'1kpi_performance'!C572</f>
        <v>1.343277101</v>
      </c>
      <c r="AN572" s="42">
        <f>'1kpi_performance'!D572</f>
        <v>1.043250822</v>
      </c>
      <c r="AO572" s="42">
        <f>'1kpi_performance'!E572</f>
        <v>0.3793784172</v>
      </c>
      <c r="AP572" s="42">
        <f>'1kpi_performance'!F572</f>
        <v>0.34788637</v>
      </c>
      <c r="AQ572" s="42">
        <f>'1kpi_performance'!G572</f>
        <v>0.3435292655</v>
      </c>
      <c r="AR572" s="42">
        <f>'1kpi_performance'!H572</f>
        <v>0.3478190396</v>
      </c>
      <c r="AS572" s="42">
        <f>'1kpi_performance'!I572</f>
        <v>0.5008717369</v>
      </c>
      <c r="AT572" s="35">
        <f>'1kpi_performance'!J572</f>
        <v>2.728818602</v>
      </c>
      <c r="AU572" s="35">
        <f>'1kpi_performance'!K572</f>
        <v>3.8374521</v>
      </c>
      <c r="AV572" s="35">
        <f>'1kpi_performance'!L572</f>
        <v>2.927530429</v>
      </c>
      <c r="AW572" s="35">
        <f>'1kpi_performance'!M572</f>
        <v>0.7075232861</v>
      </c>
      <c r="AX572" s="42">
        <f>'1kpi_performance'!N572</f>
        <v>0.2371784881</v>
      </c>
      <c r="AY572" s="42">
        <f>'1kpi_performance'!O572</f>
        <v>0.1636773215</v>
      </c>
      <c r="AZ572" s="42">
        <f>'1kpi_performance'!P572</f>
        <v>0.3568483738</v>
      </c>
      <c r="BA572" s="42">
        <f>'1kpi_performance'!Q572</f>
        <v>0.6203353164</v>
      </c>
      <c r="BB572" s="35">
        <f>'1kpi_performance'!R572</f>
        <v>5.948028078</v>
      </c>
      <c r="BC572" s="35">
        <f>'1kpi_performance'!S572</f>
        <v>9.174336053</v>
      </c>
      <c r="BD572" s="35">
        <f>'1kpi_performance'!T572</f>
        <v>6.311768433</v>
      </c>
      <c r="BE572" s="35">
        <f>'1kpi_performance'!U572</f>
        <v>1.416487425</v>
      </c>
      <c r="BF572" s="47"/>
      <c r="BG572" s="47"/>
      <c r="BH572" s="47"/>
      <c r="BI572" s="47"/>
      <c r="BJ572" s="47"/>
      <c r="BK572" s="47"/>
      <c r="BL572" s="47"/>
      <c r="BM572" s="47"/>
      <c r="BN572" s="47"/>
      <c r="BO572" s="47"/>
      <c r="BP572" s="47"/>
      <c r="BQ572" s="47"/>
      <c r="BR572" s="47"/>
      <c r="BS572" s="47"/>
      <c r="BT572" s="47"/>
    </row>
    <row r="573" ht="11.25" customHeight="1">
      <c r="A573" s="35" t="str">
        <f>'13all_company_profile'!A573</f>
        <v>SYF</v>
      </c>
      <c r="B573" s="35" t="str">
        <f>'13all_company_profile'!B573</f>
        <v>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v>
      </c>
      <c r="C573" s="44" t="str">
        <f>'13all_company_profile'!C573</f>
        <v>https://financialmodelingprep.com/image-stock/SYF.png</v>
      </c>
      <c r="D573" s="35" t="str">
        <f>'13all_company_profile'!D573</f>
        <v>Synchrony Financial</v>
      </c>
      <c r="E573" s="36">
        <f>'13all_company_profile'!E573</f>
        <v>27753904128</v>
      </c>
      <c r="F573" s="37">
        <f>'13all_company_profile'!F573</f>
        <v>5669423</v>
      </c>
      <c r="G573" s="35">
        <f>'13all_company_profile'!G573</f>
        <v>0.88</v>
      </c>
      <c r="H573" s="38">
        <f>'13all_company_profile'!H573</f>
        <v>44397</v>
      </c>
      <c r="I573" s="35">
        <f>'13all_company_profile'!I573</f>
        <v>13.148594</v>
      </c>
      <c r="J573" s="35">
        <f>'13all_company_profile'!J573</f>
        <v>3.558</v>
      </c>
      <c r="K573" s="42">
        <f t="shared" si="1"/>
        <v>0.01913043478</v>
      </c>
      <c r="L573" s="35">
        <f>'7company_info'!B573</f>
        <v>46</v>
      </c>
      <c r="M573" s="35">
        <f>'7company_info'!C573</f>
        <v>46.1</v>
      </c>
      <c r="N573" s="35">
        <f>'7company_info'!D573</f>
        <v>43.08</v>
      </c>
      <c r="O573" s="35">
        <f>'7company_info'!E573</f>
        <v>1.2</v>
      </c>
      <c r="P573" s="35">
        <f>'7company_info'!F573</f>
        <v>0.0268</v>
      </c>
      <c r="Q573" s="35">
        <f>'7company_info'!G573</f>
        <v>43.48</v>
      </c>
      <c r="R573" s="35">
        <f>'7company_info'!H573</f>
        <v>44.8</v>
      </c>
      <c r="S573" s="35">
        <f>'7company_info'!I573</f>
        <v>21.67</v>
      </c>
      <c r="T573" s="35">
        <f>'7company_info'!J573</f>
        <v>50.96</v>
      </c>
      <c r="U573" s="39">
        <v>48.175</v>
      </c>
      <c r="V573" s="39">
        <v>48.985</v>
      </c>
      <c r="W573" s="40">
        <v>50.47</v>
      </c>
      <c r="X573" s="40">
        <v>52.7649999999999</v>
      </c>
      <c r="Y573" s="40">
        <v>46.69</v>
      </c>
      <c r="Z573" s="40">
        <v>45.88</v>
      </c>
      <c r="AA573" s="40">
        <v>43.585</v>
      </c>
      <c r="AB573" s="40">
        <v>47.69</v>
      </c>
      <c r="AC573" s="40">
        <v>49.66</v>
      </c>
      <c r="AD573" s="40">
        <v>48.3011628550517</v>
      </c>
      <c r="AE573" s="40">
        <v>45.74051</v>
      </c>
      <c r="AF573" s="40">
        <v>1.4735</v>
      </c>
      <c r="AG573" s="40">
        <v>50.96</v>
      </c>
      <c r="AH573" s="45">
        <v>44355.0</v>
      </c>
      <c r="AI573" s="44" t="str">
        <f>'6image_RS_benchmark_performance'!B573</f>
        <v>https://3arbzfbsh-cname-us.ngrok.io/Desktop/seabridge%20fintech/image_app/SYF_resistance_support.jpg</v>
      </c>
      <c r="AJ573" s="44" t="str">
        <f>'6image_RS_benchmark_performance'!C573</f>
        <v>https://3arbzfbsh-cname-us.ngrok.io/Desktop/seabridge%20fintech/profit_graph_app/SYF_Return.jpg</v>
      </c>
      <c r="AK573" s="46" t="str">
        <f>'5price_action_icon'!B573</f>
        <v>https://3arbzfbsh-cname-us.ngrok.io/Desktop/seabridge%20fintech/icon/SYF_pa_trend_signal</v>
      </c>
      <c r="AL573" s="42">
        <f>'1kpi_performance'!B573</f>
        <v>0.7454930822</v>
      </c>
      <c r="AM573" s="42">
        <f>'1kpi_performance'!C573</f>
        <v>0.8144361284</v>
      </c>
      <c r="AN573" s="42">
        <f>'1kpi_performance'!D573</f>
        <v>0.873683302</v>
      </c>
      <c r="AO573" s="42">
        <f>'1kpi_performance'!E573</f>
        <v>0.1608950493</v>
      </c>
      <c r="AP573" s="42">
        <f>'1kpi_performance'!F573</f>
        <v>0.3039830947</v>
      </c>
      <c r="AQ573" s="42">
        <f>'1kpi_performance'!G573</f>
        <v>0.2734262426</v>
      </c>
      <c r="AR573" s="42">
        <f>'1kpi_performance'!H573</f>
        <v>0.2840154429</v>
      </c>
      <c r="AS573" s="42">
        <f>'1kpi_performance'!I573</f>
        <v>0.4552157427</v>
      </c>
      <c r="AT573" s="35">
        <f>'1kpi_performance'!J573</f>
        <v>2.370174838</v>
      </c>
      <c r="AU573" s="35">
        <f>'1kpi_performance'!K573</f>
        <v>2.887199564</v>
      </c>
      <c r="AV573" s="35">
        <f>'1kpi_performance'!L573</f>
        <v>2.988159001</v>
      </c>
      <c r="AW573" s="35">
        <f>'1kpi_performance'!M573</f>
        <v>0.2985288877</v>
      </c>
      <c r="AX573" s="42">
        <f>'1kpi_performance'!N573</f>
        <v>0.3037309511</v>
      </c>
      <c r="AY573" s="42">
        <f>'1kpi_performance'!O573</f>
        <v>0.2480294272</v>
      </c>
      <c r="AZ573" s="42">
        <f>'1kpi_performance'!P573</f>
        <v>0.3037309511</v>
      </c>
      <c r="BA573" s="42">
        <f>'1kpi_performance'!Q573</f>
        <v>0.6816712261</v>
      </c>
      <c r="BB573" s="35">
        <f>'1kpi_performance'!R573</f>
        <v>5.206276029</v>
      </c>
      <c r="BC573" s="35">
        <f>'1kpi_performance'!S573</f>
        <v>6.672259034</v>
      </c>
      <c r="BD573" s="35">
        <f>'1kpi_performance'!T573</f>
        <v>6.497785943</v>
      </c>
      <c r="BE573" s="35">
        <f>'1kpi_performance'!U573</f>
        <v>0.5455081421</v>
      </c>
      <c r="BF573" s="47"/>
      <c r="BG573" s="47"/>
      <c r="BH573" s="47"/>
      <c r="BI573" s="47"/>
      <c r="BJ573" s="47"/>
      <c r="BK573" s="47"/>
      <c r="BL573" s="47"/>
      <c r="BM573" s="47"/>
      <c r="BN573" s="47"/>
      <c r="BO573" s="47"/>
      <c r="BP573" s="47"/>
      <c r="BQ573" s="47"/>
      <c r="BR573" s="47"/>
      <c r="BS573" s="47"/>
      <c r="BT573" s="47"/>
    </row>
    <row r="574" ht="11.25" customHeight="1">
      <c r="A574" s="35" t="str">
        <f>'13all_company_profile'!A574</f>
        <v>SYK</v>
      </c>
      <c r="B574" s="35" t="str">
        <f>'13all_company_profile'!B574</f>
        <v>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v>
      </c>
      <c r="C574" s="44" t="str">
        <f>'13all_company_profile'!C574</f>
        <v>https://financialmodelingprep.com/image-stock/SYK.png</v>
      </c>
      <c r="D574" s="35" t="str">
        <f>'13all_company_profile'!D574</f>
        <v>Stryker Corporation</v>
      </c>
      <c r="E574" s="36">
        <f>'13all_company_profile'!E574</f>
        <v>96843071488</v>
      </c>
      <c r="F574" s="37">
        <f>'13all_company_profile'!F574</f>
        <v>1073074</v>
      </c>
      <c r="G574" s="35">
        <f>'13all_company_profile'!G574</f>
        <v>2.465</v>
      </c>
      <c r="H574" s="38">
        <f>'13all_company_profile'!H574</f>
        <v>44404</v>
      </c>
      <c r="I574" s="35">
        <f>'13all_company_profile'!I574</f>
        <v>69.89295</v>
      </c>
      <c r="J574" s="35">
        <f>'13all_company_profile'!J574</f>
        <v>3.69</v>
      </c>
      <c r="K574" s="42">
        <f t="shared" si="1"/>
        <v>0.00965984795</v>
      </c>
      <c r="L574" s="35">
        <f>'7company_info'!B574</f>
        <v>255.18</v>
      </c>
      <c r="M574" s="35">
        <f>'7company_info'!C574</f>
        <v>256.96</v>
      </c>
      <c r="N574" s="35">
        <f>'7company_info'!D574</f>
        <v>248.86</v>
      </c>
      <c r="O574" s="35">
        <f>'7company_info'!E574</f>
        <v>6.28</v>
      </c>
      <c r="P574" s="35">
        <f>'7company_info'!F574</f>
        <v>0.0252</v>
      </c>
      <c r="Q574" s="35">
        <f>'7company_info'!G574</f>
        <v>248.86</v>
      </c>
      <c r="R574" s="35">
        <f>'7company_info'!H574</f>
        <v>248.9</v>
      </c>
      <c r="S574" s="35">
        <f>'7company_info'!I574</f>
        <v>185.2</v>
      </c>
      <c r="T574" s="35">
        <f>'7company_info'!J574</f>
        <v>268.04</v>
      </c>
      <c r="U574" s="39">
        <v>261.38</v>
      </c>
      <c r="V574" s="39">
        <v>262.92</v>
      </c>
      <c r="W574" s="40">
        <v>264.48</v>
      </c>
      <c r="X574" s="40">
        <v>267.58</v>
      </c>
      <c r="Y574" s="40">
        <v>259.82</v>
      </c>
      <c r="Z574" s="40">
        <v>258.28</v>
      </c>
      <c r="AA574" s="40">
        <v>255.179999999999</v>
      </c>
      <c r="AB574" s="40">
        <v>261.18</v>
      </c>
      <c r="AC574" s="40">
        <v>250.52</v>
      </c>
      <c r="AD574" s="40">
        <v>261.299767217801</v>
      </c>
      <c r="AE574" s="40">
        <v>254.62945</v>
      </c>
      <c r="AF574" s="40">
        <v>3.527275</v>
      </c>
      <c r="AG574" s="40">
        <v>268.04</v>
      </c>
      <c r="AH574" s="45">
        <v>44309.0</v>
      </c>
      <c r="AI574" s="44" t="str">
        <f>'6image_RS_benchmark_performance'!B574</f>
        <v>https://3arbzfbsh-cname-us.ngrok.io/Desktop/seabridge%20fintech/image_app/SYK_resistance_support.jpg</v>
      </c>
      <c r="AJ574" s="44" t="str">
        <f>'6image_RS_benchmark_performance'!C574</f>
        <v>https://3arbzfbsh-cname-us.ngrok.io/Desktop/seabridge%20fintech/profit_graph_app/SYK_Return.jpg</v>
      </c>
      <c r="AK574" s="46" t="str">
        <f>'5price_action_icon'!B574</f>
        <v>https://3arbzfbsh-cname-us.ngrok.io/Desktop/seabridge%20fintech/icon/SYK_pa_trend_signal</v>
      </c>
      <c r="AL574" s="42">
        <f>'1kpi_performance'!B574</f>
        <v>0.4683358727</v>
      </c>
      <c r="AM574" s="42">
        <f>'1kpi_performance'!C574</f>
        <v>0.5543408377</v>
      </c>
      <c r="AN574" s="42">
        <f>'1kpi_performance'!D574</f>
        <v>0.6506930837</v>
      </c>
      <c r="AO574" s="42">
        <f>'1kpi_performance'!E574</f>
        <v>0.2151007691</v>
      </c>
      <c r="AP574" s="42">
        <f>'1kpi_performance'!F574</f>
        <v>0.189461722</v>
      </c>
      <c r="AQ574" s="42">
        <f>'1kpi_performance'!G574</f>
        <v>0.197290971</v>
      </c>
      <c r="AR574" s="42">
        <f>'1kpi_performance'!H574</f>
        <v>0.1642374241</v>
      </c>
      <c r="AS574" s="42">
        <f>'1kpi_performance'!I574</f>
        <v>0.287295084</v>
      </c>
      <c r="AT574" s="35">
        <f>'1kpi_performance'!J574</f>
        <v>2.339975949</v>
      </c>
      <c r="AU574" s="35">
        <f>'1kpi_performance'!K574</f>
        <v>2.683046442</v>
      </c>
      <c r="AV574" s="35">
        <f>'1kpi_performance'!L574</f>
        <v>3.809686418</v>
      </c>
      <c r="AW574" s="35">
        <f>'1kpi_performance'!M574</f>
        <v>0.6616916879</v>
      </c>
      <c r="AX574" s="42">
        <f>'1kpi_performance'!N574</f>
        <v>0.1310589225</v>
      </c>
      <c r="AY574" s="42">
        <f>'1kpi_performance'!O574</f>
        <v>0.1310589225</v>
      </c>
      <c r="AZ574" s="42">
        <f>'1kpi_performance'!P574</f>
        <v>0.1411171046</v>
      </c>
      <c r="BA574" s="42">
        <f>'1kpi_performance'!Q574</f>
        <v>0.4380275433</v>
      </c>
      <c r="BB574" s="35">
        <f>'1kpi_performance'!R574</f>
        <v>5.00078146</v>
      </c>
      <c r="BC574" s="35">
        <f>'1kpi_performance'!S574</f>
        <v>5.866420299</v>
      </c>
      <c r="BD574" s="35">
        <f>'1kpi_performance'!T574</f>
        <v>8.670024053</v>
      </c>
      <c r="BE574" s="35">
        <f>'1kpi_performance'!U574</f>
        <v>1.254384613</v>
      </c>
      <c r="BF574" s="47"/>
      <c r="BG574" s="47"/>
      <c r="BH574" s="47"/>
      <c r="BI574" s="47"/>
      <c r="BJ574" s="47"/>
      <c r="BK574" s="47"/>
      <c r="BL574" s="47"/>
      <c r="BM574" s="47"/>
      <c r="BN574" s="47"/>
      <c r="BO574" s="47"/>
      <c r="BP574" s="47"/>
      <c r="BQ574" s="47"/>
      <c r="BR574" s="47"/>
      <c r="BS574" s="47"/>
      <c r="BT574" s="47"/>
    </row>
    <row r="575" ht="11.25" customHeight="1">
      <c r="A575" s="35" t="str">
        <f>'13all_company_profile'!A575</f>
        <v>SYY</v>
      </c>
      <c r="B575" s="35" t="str">
        <f>'13all_company_profile'!B575</f>
        <v>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v>
      </c>
      <c r="C575" s="44" t="str">
        <f>'13all_company_profile'!C575</f>
        <v>https://financialmodelingprep.com/image-stock/SYY.png</v>
      </c>
      <c r="D575" s="35" t="str">
        <f>'13all_company_profile'!D575</f>
        <v>Sysco Corporation</v>
      </c>
      <c r="E575" s="36">
        <f>'13all_company_profile'!E575</f>
        <v>37135736832</v>
      </c>
      <c r="F575" s="37">
        <f>'13all_company_profile'!F575</f>
        <v>2264965</v>
      </c>
      <c r="G575" s="35">
        <f>'13all_company_profile'!G575</f>
        <v>1.82</v>
      </c>
      <c r="H575" s="38" t="str">
        <f>'13all_company_profile'!H575</f>
        <v>not avaiable</v>
      </c>
      <c r="I575" s="35" t="str">
        <f>'13all_company_profile'!I575</f>
        <v>NaN</v>
      </c>
      <c r="J575" s="35">
        <f>'13all_company_profile'!J575</f>
        <v>-0.481</v>
      </c>
      <c r="K575" s="42">
        <f t="shared" si="1"/>
        <v>0.02504472272</v>
      </c>
      <c r="L575" s="35">
        <f>'7company_info'!B575</f>
        <v>72.67</v>
      </c>
      <c r="M575" s="35">
        <f>'7company_info'!C575</f>
        <v>73.16</v>
      </c>
      <c r="N575" s="35">
        <f>'7company_info'!D575</f>
        <v>70.61</v>
      </c>
      <c r="O575" s="35">
        <f>'7company_info'!E575</f>
        <v>2.2</v>
      </c>
      <c r="P575" s="35">
        <f>'7company_info'!F575</f>
        <v>0.0312</v>
      </c>
      <c r="Q575" s="35">
        <f>'7company_info'!G575</f>
        <v>70.71</v>
      </c>
      <c r="R575" s="35">
        <f>'7company_info'!H575</f>
        <v>70.47</v>
      </c>
      <c r="S575" s="35">
        <f>'7company_info'!I575</f>
        <v>50.9</v>
      </c>
      <c r="T575" s="35">
        <f>'7company_info'!J575</f>
        <v>86.73</v>
      </c>
      <c r="U575" s="39">
        <v>73.6066666666666</v>
      </c>
      <c r="V575" s="39">
        <v>74.0533333333333</v>
      </c>
      <c r="W575" s="40">
        <v>74.8866666666666</v>
      </c>
      <c r="X575" s="40">
        <v>76.1666666666666</v>
      </c>
      <c r="Y575" s="40">
        <v>72.7733333333333</v>
      </c>
      <c r="Z575" s="40">
        <v>72.3266666666666</v>
      </c>
      <c r="AA575" s="40">
        <v>71.0466666666666</v>
      </c>
      <c r="AB575" s="40">
        <v>74.9</v>
      </c>
      <c r="AC575" s="40">
        <v>74.76</v>
      </c>
      <c r="AD575" s="40">
        <v>76.2121775092863</v>
      </c>
      <c r="AE575" s="40">
        <v>70.32996</v>
      </c>
      <c r="AF575" s="40">
        <v>1.51752</v>
      </c>
      <c r="AG575" s="40">
        <v>86.73</v>
      </c>
      <c r="AH575" s="45">
        <v>44323.0</v>
      </c>
      <c r="AI575" s="44" t="str">
        <f>'6image_RS_benchmark_performance'!B575</f>
        <v>https://3arbzfbsh-cname-us.ngrok.io/Desktop/seabridge%20fintech/image_app/SYY_resistance_support.jpg</v>
      </c>
      <c r="AJ575" s="44" t="str">
        <f>'6image_RS_benchmark_performance'!C575</f>
        <v>https://3arbzfbsh-cname-us.ngrok.io/Desktop/seabridge%20fintech/profit_graph_app/SYY_Return.jpg</v>
      </c>
      <c r="AK575" s="46" t="str">
        <f>'5price_action_icon'!B575</f>
        <v>https://3arbzfbsh-cname-us.ngrok.io/Desktop/seabridge%20fintech/icon/SYY_pa_trend_signal</v>
      </c>
      <c r="AL575" s="42">
        <f>'1kpi_performance'!B575</f>
        <v>0.4532524504</v>
      </c>
      <c r="AM575" s="42">
        <f>'1kpi_performance'!C575</f>
        <v>0.6176500256</v>
      </c>
      <c r="AN575" s="42">
        <f>'1kpi_performance'!D575</f>
        <v>0.303279492</v>
      </c>
      <c r="AO575" s="42">
        <f>'1kpi_performance'!E575</f>
        <v>0.1282603779</v>
      </c>
      <c r="AP575" s="42">
        <f>'1kpi_performance'!F575</f>
        <v>0.2216889571</v>
      </c>
      <c r="AQ575" s="42">
        <f>'1kpi_performance'!G575</f>
        <v>0.2237458939</v>
      </c>
      <c r="AR575" s="42">
        <f>'1kpi_performance'!H575</f>
        <v>0.2499700877</v>
      </c>
      <c r="AS575" s="42">
        <f>'1kpi_performance'!I575</f>
        <v>0.3219658263</v>
      </c>
      <c r="AT575" s="35">
        <f>'1kpi_performance'!J575</f>
        <v>1.931771686</v>
      </c>
      <c r="AU575" s="35">
        <f>'1kpi_performance'!K575</f>
        <v>2.648763806</v>
      </c>
      <c r="AV575" s="35">
        <f>'1kpi_performance'!L575</f>
        <v>1.113251167</v>
      </c>
      <c r="AW575" s="35">
        <f>'1kpi_performance'!M575</f>
        <v>0.320718441</v>
      </c>
      <c r="AX575" s="42">
        <f>'1kpi_performance'!N575</f>
        <v>0.2614061331</v>
      </c>
      <c r="AY575" s="42">
        <f>'1kpi_performance'!O575</f>
        <v>0.2614061331</v>
      </c>
      <c r="AZ575" s="42">
        <f>'1kpi_performance'!P575</f>
        <v>0.5944963655</v>
      </c>
      <c r="BA575" s="42">
        <f>'1kpi_performance'!Q575</f>
        <v>0.6358974359</v>
      </c>
      <c r="BB575" s="35">
        <f>'1kpi_performance'!R575</f>
        <v>4.660277322</v>
      </c>
      <c r="BC575" s="35">
        <f>'1kpi_performance'!S575</f>
        <v>7.124092558</v>
      </c>
      <c r="BD575" s="35">
        <f>'1kpi_performance'!T575</f>
        <v>2.075198162</v>
      </c>
      <c r="BE575" s="35">
        <f>'1kpi_performance'!U575</f>
        <v>0.608046073</v>
      </c>
      <c r="BF575" s="47"/>
      <c r="BG575" s="47"/>
      <c r="BH575" s="47"/>
      <c r="BI575" s="47"/>
      <c r="BJ575" s="47"/>
      <c r="BK575" s="47"/>
      <c r="BL575" s="47"/>
      <c r="BM575" s="47"/>
      <c r="BN575" s="47"/>
      <c r="BO575" s="47"/>
      <c r="BP575" s="47"/>
      <c r="BQ575" s="47"/>
      <c r="BR575" s="47"/>
      <c r="BS575" s="47"/>
      <c r="BT575" s="47"/>
    </row>
    <row r="576" ht="11.25" customHeight="1">
      <c r="A576" s="35" t="str">
        <f>'13all_company_profile'!A576</f>
        <v>T</v>
      </c>
      <c r="B576" s="35" t="str">
        <f>'13all_company_profile'!B576</f>
        <v>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v>
      </c>
      <c r="C576" s="44" t="str">
        <f>'13all_company_profile'!C576</f>
        <v>https://financialmodelingprep.com/image-stock/T.png</v>
      </c>
      <c r="D576" s="35" t="str">
        <f>'13all_company_profile'!D576</f>
        <v>AT&amp;T Inc.</v>
      </c>
      <c r="E576" s="36">
        <f>'13all_company_profile'!E576</f>
        <v>202990190592</v>
      </c>
      <c r="F576" s="37">
        <f>'13all_company_profile'!F576</f>
        <v>44479973</v>
      </c>
      <c r="G576" s="35">
        <f>'13all_company_profile'!G576</f>
        <v>2.08</v>
      </c>
      <c r="H576" s="38">
        <f>'13all_company_profile'!H576</f>
        <v>44399</v>
      </c>
      <c r="I576" s="35" t="str">
        <f>'13all_company_profile'!I576</f>
        <v>NaN</v>
      </c>
      <c r="J576" s="35">
        <f>'13all_company_profile'!J576</f>
        <v>-0.345</v>
      </c>
      <c r="K576" s="42">
        <f t="shared" si="1"/>
        <v>0.07452525976</v>
      </c>
      <c r="L576" s="35">
        <f>'7company_info'!B576</f>
        <v>27.91</v>
      </c>
      <c r="M576" s="35">
        <f>'7company_info'!C576</f>
        <v>28.18</v>
      </c>
      <c r="N576" s="35">
        <f>'7company_info'!D576</f>
        <v>27.65</v>
      </c>
      <c r="O576" s="35">
        <f>'7company_info'!E576</f>
        <v>0.12</v>
      </c>
      <c r="P576" s="35">
        <f>'7company_info'!F576</f>
        <v>0.0043</v>
      </c>
      <c r="Q576" s="35">
        <f>'7company_info'!G576</f>
        <v>27.71</v>
      </c>
      <c r="R576" s="35">
        <f>'7company_info'!H576</f>
        <v>27.79</v>
      </c>
      <c r="S576" s="35">
        <f>'7company_info'!I576</f>
        <v>26.35</v>
      </c>
      <c r="T576" s="35">
        <f>'7company_info'!J576</f>
        <v>33.88</v>
      </c>
      <c r="U576" s="39">
        <v>28.26</v>
      </c>
      <c r="V576" s="39">
        <v>28.36</v>
      </c>
      <c r="W576" s="40">
        <v>28.46</v>
      </c>
      <c r="X576" s="40">
        <v>28.66</v>
      </c>
      <c r="Y576" s="40">
        <v>28.16</v>
      </c>
      <c r="Z576" s="40">
        <v>28.06</v>
      </c>
      <c r="AA576" s="40">
        <v>27.86</v>
      </c>
      <c r="AB576" s="40">
        <v>29.57</v>
      </c>
      <c r="AC576" s="40">
        <v>28.95</v>
      </c>
      <c r="AD576" s="40">
        <v>28.7897844026531</v>
      </c>
      <c r="AE576" s="40">
        <v>27.59808</v>
      </c>
      <c r="AF576" s="40">
        <v>0.33296</v>
      </c>
      <c r="AG576" s="40">
        <v>33.88</v>
      </c>
      <c r="AH576" s="45">
        <v>44333.0</v>
      </c>
      <c r="AI576" s="44" t="str">
        <f>'6image_RS_benchmark_performance'!B576</f>
        <v>https://3arbzfbsh-cname-us.ngrok.io/Desktop/seabridge%20fintech/image_app/T_resistance_support.jpg</v>
      </c>
      <c r="AJ576" s="44" t="str">
        <f>'6image_RS_benchmark_performance'!C576</f>
        <v>https://3arbzfbsh-cname-us.ngrok.io/Desktop/seabridge%20fintech/profit_graph_app/T_Return.jpg</v>
      </c>
      <c r="AK576" s="46" t="str">
        <f>'5price_action_icon'!B576</f>
        <v>https://3arbzfbsh-cname-us.ngrok.io/Desktop/seabridge%20fintech/icon/T_pa_trend_signal</v>
      </c>
      <c r="AL576" s="42">
        <f>'1kpi_performance'!B576</f>
        <v>0.2696992531</v>
      </c>
      <c r="AM576" s="42">
        <f>'1kpi_performance'!C576</f>
        <v>0.3982237063</v>
      </c>
      <c r="AN576" s="42">
        <f>'1kpi_performance'!D576</f>
        <v>0.325802429</v>
      </c>
      <c r="AO576" s="42">
        <f>'1kpi_performance'!E576</f>
        <v>0.0120501411</v>
      </c>
      <c r="AP576" s="42">
        <f>'1kpi_performance'!F576</f>
        <v>0.1462107727</v>
      </c>
      <c r="AQ576" s="42">
        <f>'1kpi_performance'!G576</f>
        <v>0.1403079759</v>
      </c>
      <c r="AR576" s="42">
        <f>'1kpi_performance'!H576</f>
        <v>0.1766478214</v>
      </c>
      <c r="AS576" s="42">
        <f>'1kpi_performance'!I576</f>
        <v>0.2334044</v>
      </c>
      <c r="AT576" s="35">
        <f>'1kpi_performance'!J576</f>
        <v>1.673606183</v>
      </c>
      <c r="AU576" s="35">
        <f>'1kpi_performance'!K576</f>
        <v>2.660032003</v>
      </c>
      <c r="AV576" s="35">
        <f>'1kpi_performance'!L576</f>
        <v>1.702836903</v>
      </c>
      <c r="AW576" s="35">
        <f>'1kpi_performance'!M576</f>
        <v>-0.05548249689</v>
      </c>
      <c r="AX576" s="42">
        <f>'1kpi_performance'!N576</f>
        <v>0.1679412341</v>
      </c>
      <c r="AY576" s="42">
        <f>'1kpi_performance'!O576</f>
        <v>0.08328834277</v>
      </c>
      <c r="AZ576" s="42">
        <f>'1kpi_performance'!P576</f>
        <v>0.2988475642</v>
      </c>
      <c r="BA576" s="42">
        <f>'1kpi_performance'!Q576</f>
        <v>0.390384173</v>
      </c>
      <c r="BB576" s="35">
        <f>'1kpi_performance'!R576</f>
        <v>3.309015319</v>
      </c>
      <c r="BC576" s="35">
        <f>'1kpi_performance'!S576</f>
        <v>5.927250192</v>
      </c>
      <c r="BD576" s="35">
        <f>'1kpi_performance'!T576</f>
        <v>3.20754731</v>
      </c>
      <c r="BE576" s="35">
        <f>'1kpi_performance'!U576</f>
        <v>-0.1022371352</v>
      </c>
      <c r="BF576" s="47"/>
      <c r="BG576" s="47"/>
      <c r="BH576" s="47"/>
      <c r="BI576" s="47"/>
      <c r="BJ576" s="47"/>
      <c r="BK576" s="47"/>
      <c r="BL576" s="47"/>
      <c r="BM576" s="47"/>
      <c r="BN576" s="47"/>
      <c r="BO576" s="47"/>
      <c r="BP576" s="47"/>
      <c r="BQ576" s="47"/>
      <c r="BR576" s="47"/>
      <c r="BS576" s="47"/>
      <c r="BT576" s="47"/>
    </row>
    <row r="577" ht="11.25" customHeight="1">
      <c r="A577" s="35" t="str">
        <f>'13all_company_profile'!A577</f>
        <v>TAP</v>
      </c>
      <c r="B577" s="35" t="str">
        <f>'13all_company_profile'!B577</f>
        <v>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v>
      </c>
      <c r="C577" s="44" t="str">
        <f>'13all_company_profile'!C577</f>
        <v>https://financialmodelingprep.com/image-stock/TAP.png</v>
      </c>
      <c r="D577" s="35" t="str">
        <f>'13all_company_profile'!D577</f>
        <v>Molson Coors Beverage Company</v>
      </c>
      <c r="E577" s="36">
        <f>'13all_company_profile'!E577</f>
        <v>11101966336</v>
      </c>
      <c r="F577" s="37">
        <f>'13all_company_profile'!F577</f>
        <v>1911704</v>
      </c>
      <c r="G577" s="35">
        <f>'13all_company_profile'!G577</f>
        <v>0.57</v>
      </c>
      <c r="H577" s="38">
        <f>'13all_company_profile'!H577</f>
        <v>44406</v>
      </c>
      <c r="I577" s="35" t="str">
        <f>'13all_company_profile'!I577</f>
        <v>NaN</v>
      </c>
      <c r="J577" s="35">
        <f>'13all_company_profile'!J577</f>
        <v>-3.449</v>
      </c>
      <c r="K577" s="42">
        <f t="shared" si="1"/>
        <v>0.01119183193</v>
      </c>
      <c r="L577" s="35">
        <f>'7company_info'!B577</f>
        <v>50.93</v>
      </c>
      <c r="M577" s="35">
        <f>'7company_info'!C577</f>
        <v>51.46</v>
      </c>
      <c r="N577" s="35">
        <f>'7company_info'!D577</f>
        <v>49.94</v>
      </c>
      <c r="O577" s="35">
        <f>'7company_info'!E577</f>
        <v>0.57</v>
      </c>
      <c r="P577" s="35">
        <f>'7company_info'!F577</f>
        <v>0.0113</v>
      </c>
      <c r="Q577" s="35">
        <f>'7company_info'!G577</f>
        <v>50.36</v>
      </c>
      <c r="R577" s="35">
        <f>'7company_info'!H577</f>
        <v>50.36</v>
      </c>
      <c r="S577" s="35">
        <f>'7company_info'!I577</f>
        <v>32.11</v>
      </c>
      <c r="T577" s="35">
        <f>'7company_info'!J577</f>
        <v>61.48</v>
      </c>
      <c r="U577" s="39">
        <v>51.7233333333333</v>
      </c>
      <c r="V577" s="39">
        <v>51.9966666666666</v>
      </c>
      <c r="W577" s="40">
        <v>52.4533333333333</v>
      </c>
      <c r="X577" s="40">
        <v>53.1833333333333</v>
      </c>
      <c r="Y577" s="40">
        <v>51.2666666666666</v>
      </c>
      <c r="Z577" s="40">
        <v>50.9933333333333</v>
      </c>
      <c r="AA577" s="40">
        <v>50.2633333333333</v>
      </c>
      <c r="AB577" s="40">
        <v>53.31</v>
      </c>
      <c r="AC577" s="40">
        <v>56.13</v>
      </c>
      <c r="AD577" s="40">
        <v>54.1539046720179</v>
      </c>
      <c r="AE577" s="40">
        <v>49.04462</v>
      </c>
      <c r="AF577" s="40">
        <v>1.25569</v>
      </c>
      <c r="AG577" s="40">
        <v>61.48</v>
      </c>
      <c r="AH577" s="45">
        <v>44357.0</v>
      </c>
      <c r="AI577" s="44" t="str">
        <f>'6image_RS_benchmark_performance'!B577</f>
        <v>https://3arbzfbsh-cname-us.ngrok.io/Desktop/seabridge%20fintech/image_app/TAP_resistance_support.jpg</v>
      </c>
      <c r="AJ577" s="44" t="str">
        <f>'6image_RS_benchmark_performance'!C577</f>
        <v>https://3arbzfbsh-cname-us.ngrok.io/Desktop/seabridge%20fintech/profit_graph_app/TAP_Return.jpg</v>
      </c>
      <c r="AK577" s="46" t="str">
        <f>'5price_action_icon'!B577</f>
        <v>https://3arbzfbsh-cname-us.ngrok.io/Desktop/seabridge%20fintech/icon/TAP_pa_trend_signal</v>
      </c>
      <c r="AL577" s="42">
        <f>'1kpi_performance'!B577</f>
        <v>0.4063909927</v>
      </c>
      <c r="AM577" s="42">
        <f>'1kpi_performance'!C577</f>
        <v>0.6521244005</v>
      </c>
      <c r="AN577" s="42">
        <f>'1kpi_performance'!D577</f>
        <v>0.5748508504</v>
      </c>
      <c r="AO577" s="42">
        <f>'1kpi_performance'!E577</f>
        <v>0.02176886649</v>
      </c>
      <c r="AP577" s="42">
        <f>'1kpi_performance'!F577</f>
        <v>0.2103360997</v>
      </c>
      <c r="AQ577" s="42">
        <f>'1kpi_performance'!G577</f>
        <v>0.2196050326</v>
      </c>
      <c r="AR577" s="42">
        <f>'1kpi_performance'!H577</f>
        <v>0.2251895552</v>
      </c>
      <c r="AS577" s="42">
        <f>'1kpi_performance'!I577</f>
        <v>0.3169348579</v>
      </c>
      <c r="AT577" s="35">
        <f>'1kpi_performance'!J577</f>
        <v>1.813245531</v>
      </c>
      <c r="AU577" s="35">
        <f>'1kpi_performance'!K577</f>
        <v>2.855692299</v>
      </c>
      <c r="AV577" s="35">
        <f>'1kpi_performance'!L577</f>
        <v>2.441724483</v>
      </c>
      <c r="AW577" s="35">
        <f>'1kpi_performance'!M577</f>
        <v>-0.0101949452</v>
      </c>
      <c r="AX577" s="42">
        <f>'1kpi_performance'!N577</f>
        <v>0.1585984325</v>
      </c>
      <c r="AY577" s="42">
        <f>'1kpi_performance'!O577</f>
        <v>0.1233721727</v>
      </c>
      <c r="AZ577" s="42">
        <f>'1kpi_performance'!P577</f>
        <v>0.2302812787</v>
      </c>
      <c r="BA577" s="42">
        <f>'1kpi_performance'!Q577</f>
        <v>0.7066067416</v>
      </c>
      <c r="BB577" s="35">
        <f>'1kpi_performance'!R577</f>
        <v>3.816000664</v>
      </c>
      <c r="BC577" s="35">
        <f>'1kpi_performance'!S577</f>
        <v>7.013006213</v>
      </c>
      <c r="BD577" s="35">
        <f>'1kpi_performance'!T577</f>
        <v>5.424220902</v>
      </c>
      <c r="BE577" s="35">
        <f>'1kpi_performance'!U577</f>
        <v>-0.01964336556</v>
      </c>
      <c r="BF577" s="47"/>
      <c r="BG577" s="47"/>
      <c r="BH577" s="47"/>
      <c r="BI577" s="47"/>
      <c r="BJ577" s="47"/>
      <c r="BK577" s="47"/>
      <c r="BL577" s="47"/>
      <c r="BM577" s="47"/>
      <c r="BN577" s="47"/>
      <c r="BO577" s="47"/>
      <c r="BP577" s="47"/>
      <c r="BQ577" s="47"/>
      <c r="BR577" s="47"/>
      <c r="BS577" s="47"/>
      <c r="BT577" s="47"/>
    </row>
    <row r="578" ht="11.25" customHeight="1">
      <c r="A578" s="35" t="str">
        <f>'13all_company_profile'!A578</f>
        <v>TCOM</v>
      </c>
      <c r="B578" s="35" t="str">
        <f>'13all_company_profile'!B578</f>
        <v>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v>
      </c>
      <c r="C578" s="44" t="str">
        <f>'13all_company_profile'!C578</f>
        <v>https://financialmodelingprep.com/image-stock/TCOM.png</v>
      </c>
      <c r="D578" s="35" t="str">
        <f>'13all_company_profile'!D578</f>
        <v>Trip.com Group Limited</v>
      </c>
      <c r="E578" s="36">
        <f>'13all_company_profile'!E578</f>
        <v>20356720640</v>
      </c>
      <c r="F578" s="37">
        <f>'13all_company_profile'!F578</f>
        <v>4170049</v>
      </c>
      <c r="G578" s="35">
        <f>'13all_company_profile'!G578</f>
        <v>0</v>
      </c>
      <c r="H578" s="38" t="str">
        <f>'13all_company_profile'!H578</f>
        <v>not avaiable</v>
      </c>
      <c r="I578" s="35">
        <f>'13all_company_profile'!I578</f>
        <v>30.422535</v>
      </c>
      <c r="J578" s="35">
        <f>'13all_company_profile'!J578</f>
        <v>0.994</v>
      </c>
      <c r="K578" s="42" t="str">
        <f t="shared" si="1"/>
        <v>NaN</v>
      </c>
      <c r="L578" s="35">
        <f>'7company_info'!B578</f>
        <v>28.89</v>
      </c>
      <c r="M578" s="35">
        <f>'7company_info'!C578</f>
        <v>29.33</v>
      </c>
      <c r="N578" s="35">
        <f>'7company_info'!D578</f>
        <v>28.13</v>
      </c>
      <c r="O578" s="35">
        <f>'7company_info'!E578</f>
        <v>0.03</v>
      </c>
      <c r="P578" s="35">
        <f>'7company_info'!F578</f>
        <v>0.001</v>
      </c>
      <c r="Q578" s="35">
        <f>'7company_info'!G578</f>
        <v>29.03</v>
      </c>
      <c r="R578" s="35">
        <f>'7company_info'!H578</f>
        <v>28.86</v>
      </c>
      <c r="S578" s="35">
        <f>'7company_info'!I578</f>
        <v>26.35</v>
      </c>
      <c r="T578" s="35">
        <f>'7company_info'!J578</f>
        <v>45.19</v>
      </c>
      <c r="U578" s="39">
        <v>32.2516666666666</v>
      </c>
      <c r="V578" s="39">
        <v>32.6683333333333</v>
      </c>
      <c r="W578" s="40">
        <v>33.3566666666666</v>
      </c>
      <c r="X578" s="40">
        <v>34.4616666666666</v>
      </c>
      <c r="Y578" s="40">
        <v>31.5633333333333</v>
      </c>
      <c r="Z578" s="40">
        <v>31.1466666666666</v>
      </c>
      <c r="AA578" s="40">
        <v>30.0416666666666</v>
      </c>
      <c r="AB578" s="40">
        <v>34.275</v>
      </c>
      <c r="AC578" s="40">
        <v>36.23</v>
      </c>
      <c r="AD578" s="40">
        <v>34.6436531287024</v>
      </c>
      <c r="AE578" s="40">
        <v>30.14046</v>
      </c>
      <c r="AF578" s="40">
        <v>1.02851999999999</v>
      </c>
      <c r="AG578" s="40">
        <v>45.19</v>
      </c>
      <c r="AH578" s="45">
        <v>44272.0</v>
      </c>
      <c r="AI578" s="44" t="str">
        <f>'6image_RS_benchmark_performance'!B578</f>
        <v>https://3arbzfbsh-cname-us.ngrok.io/Desktop/seabridge%20fintech/image_app/TCOM_resistance_support.jpg</v>
      </c>
      <c r="AJ578" s="44" t="str">
        <f>'6image_RS_benchmark_performance'!C578</f>
        <v>https://3arbzfbsh-cname-us.ngrok.io/Desktop/seabridge%20fintech/profit_graph_app/TCOM_Return.jpg</v>
      </c>
      <c r="AK578" s="46" t="str">
        <f>'5price_action_icon'!B578</f>
        <v>https://3arbzfbsh-cname-us.ngrok.io/Desktop/seabridge%20fintech/icon/TCOM_pa_trend_signal</v>
      </c>
      <c r="AL578" s="42">
        <f>'1kpi_performance'!B578</f>
        <v>1.005567776</v>
      </c>
      <c r="AM578" s="42">
        <f>'1kpi_performance'!C578</f>
        <v>1.227442374</v>
      </c>
      <c r="AN578" s="42">
        <f>'1kpi_performance'!D578</f>
        <v>1.109494443</v>
      </c>
      <c r="AO578" s="42">
        <f>'1kpi_performance'!E578</f>
        <v>0.08620272005</v>
      </c>
      <c r="AP578" s="42">
        <f>'1kpi_performance'!F578</f>
        <v>0.3900083712</v>
      </c>
      <c r="AQ578" s="42">
        <f>'1kpi_performance'!G578</f>
        <v>0.3801988978</v>
      </c>
      <c r="AR578" s="42">
        <f>'1kpi_performance'!H578</f>
        <v>0.4035739897</v>
      </c>
      <c r="AS578" s="42">
        <f>'1kpi_performance'!I578</f>
        <v>0.5394241596</v>
      </c>
      <c r="AT578" s="35">
        <f>'1kpi_performance'!J578</f>
        <v>2.514222383</v>
      </c>
      <c r="AU578" s="35">
        <f>'1kpi_performance'!K578</f>
        <v>3.16266665</v>
      </c>
      <c r="AV578" s="35">
        <f>'1kpi_performance'!L578</f>
        <v>2.687225814</v>
      </c>
      <c r="AW578" s="35">
        <f>'1kpi_performance'!M578</f>
        <v>0.1134593603</v>
      </c>
      <c r="AX578" s="42">
        <f>'1kpi_performance'!N578</f>
        <v>0.3069402035</v>
      </c>
      <c r="AY578" s="42">
        <f>'1kpi_performance'!O578</f>
        <v>0.1774383361</v>
      </c>
      <c r="AZ578" s="42">
        <f>'1kpi_performance'!P578</f>
        <v>0.434686525</v>
      </c>
      <c r="BA578" s="42">
        <f>'1kpi_performance'!Q578</f>
        <v>0.7607132586</v>
      </c>
      <c r="BB578" s="35">
        <f>'1kpi_performance'!R578</f>
        <v>5.972844201</v>
      </c>
      <c r="BC578" s="35">
        <f>'1kpi_performance'!S578</f>
        <v>8.389335169</v>
      </c>
      <c r="BD578" s="35">
        <f>'1kpi_performance'!T578</f>
        <v>6.285196566</v>
      </c>
      <c r="BE578" s="35">
        <f>'1kpi_performance'!U578</f>
        <v>0.2382250276</v>
      </c>
      <c r="BF578" s="47"/>
      <c r="BG578" s="47"/>
      <c r="BH578" s="47"/>
      <c r="BI578" s="47"/>
      <c r="BJ578" s="47"/>
      <c r="BK578" s="47"/>
      <c r="BL578" s="47"/>
      <c r="BM578" s="47"/>
      <c r="BN578" s="47"/>
      <c r="BO578" s="47"/>
      <c r="BP578" s="47"/>
      <c r="BQ578" s="47"/>
      <c r="BR578" s="47"/>
      <c r="BS578" s="47"/>
      <c r="BT578" s="47"/>
    </row>
    <row r="579" ht="11.25" customHeight="1">
      <c r="A579" s="35" t="str">
        <f>'13all_company_profile'!A579</f>
        <v>TDG</v>
      </c>
      <c r="B579" s="35" t="str">
        <f>'13all_company_profile'!B579</f>
        <v>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v>
      </c>
      <c r="C579" s="44" t="str">
        <f>'13all_company_profile'!C579</f>
        <v>https://financialmodelingprep.com/image-stock/TDG.png</v>
      </c>
      <c r="D579" s="35" t="str">
        <f>'13all_company_profile'!D579</f>
        <v>TransDigm Group Incorporated</v>
      </c>
      <c r="E579" s="36">
        <f>'13all_company_profile'!E579</f>
        <v>34942115840</v>
      </c>
      <c r="F579" s="37">
        <f>'13all_company_profile'!F579</f>
        <v>280533</v>
      </c>
      <c r="G579" s="35">
        <f>'13all_company_profile'!G579</f>
        <v>32.5</v>
      </c>
      <c r="H579" s="38">
        <f>'13all_company_profile'!H579</f>
        <v>44410</v>
      </c>
      <c r="I579" s="35">
        <f>'13all_company_profile'!I579</f>
        <v>233.6561</v>
      </c>
      <c r="J579" s="35">
        <f>'13all_company_profile'!J579</f>
        <v>2.716</v>
      </c>
      <c r="K579" s="42">
        <f t="shared" si="1"/>
        <v>0.05104605139</v>
      </c>
      <c r="L579" s="35">
        <f>'7company_info'!B579</f>
        <v>636.68</v>
      </c>
      <c r="M579" s="35">
        <f>'7company_info'!C579</f>
        <v>638.63</v>
      </c>
      <c r="N579" s="35">
        <f>'7company_info'!D579</f>
        <v>608.62</v>
      </c>
      <c r="O579" s="35">
        <f>'7company_info'!E579</f>
        <v>29.02</v>
      </c>
      <c r="P579" s="35">
        <f>'7company_info'!F579</f>
        <v>0.0478</v>
      </c>
      <c r="Q579" s="35">
        <f>'7company_info'!G579</f>
        <v>609.66</v>
      </c>
      <c r="R579" s="35">
        <f>'7company_info'!H579</f>
        <v>607.66</v>
      </c>
      <c r="S579" s="35">
        <f>'7company_info'!I579</f>
        <v>418.02</v>
      </c>
      <c r="T579" s="35">
        <f>'7company_info'!J579</f>
        <v>688.03</v>
      </c>
      <c r="U579" s="39">
        <v>648.646666666666</v>
      </c>
      <c r="V579" s="39">
        <v>652.423333333333</v>
      </c>
      <c r="W579" s="40">
        <v>658.906666666666</v>
      </c>
      <c r="X579" s="40">
        <v>669.166666666666</v>
      </c>
      <c r="Y579" s="40">
        <v>642.163333333333</v>
      </c>
      <c r="Z579" s="40">
        <v>638.386666666666</v>
      </c>
      <c r="AA579" s="40">
        <v>628.126666666666</v>
      </c>
      <c r="AB579" s="40">
        <v>647.31</v>
      </c>
      <c r="AC579" s="40">
        <v>655.13</v>
      </c>
      <c r="AD579" s="40">
        <v>655.026991682507</v>
      </c>
      <c r="AE579" s="40">
        <v>622.27023</v>
      </c>
      <c r="AF579" s="40">
        <v>13.1331499999999</v>
      </c>
      <c r="AG579" s="40">
        <v>688.03</v>
      </c>
      <c r="AH579" s="45">
        <v>44371.0</v>
      </c>
      <c r="AI579" s="44" t="str">
        <f>'6image_RS_benchmark_performance'!B579</f>
        <v>https://3arbzfbsh-cname-us.ngrok.io/Desktop/seabridge%20fintech/image_app/TDG_resistance_support.jpg</v>
      </c>
      <c r="AJ579" s="44" t="str">
        <f>'6image_RS_benchmark_performance'!C579</f>
        <v>https://3arbzfbsh-cname-us.ngrok.io/Desktop/seabridge%20fintech/profit_graph_app/TDG_Return.jpg</v>
      </c>
      <c r="AK579" s="46" t="str">
        <f>'5price_action_icon'!B579</f>
        <v>https://3arbzfbsh-cname-us.ngrok.io/Desktop/seabridge%20fintech/icon/TDG_pa_trend_signal</v>
      </c>
      <c r="AL579" s="42">
        <f>'1kpi_performance'!B579</f>
        <v>0.6444577179</v>
      </c>
      <c r="AM579" s="42">
        <f>'1kpi_performance'!C579</f>
        <v>0.877706175</v>
      </c>
      <c r="AN579" s="42">
        <f>'1kpi_performance'!D579</f>
        <v>0.7903039771</v>
      </c>
      <c r="AO579" s="42">
        <f>'1kpi_performance'!E579</f>
        <v>0.4495729965</v>
      </c>
      <c r="AP579" s="42">
        <f>'1kpi_performance'!F579</f>
        <v>0.2503755297</v>
      </c>
      <c r="AQ579" s="42">
        <f>'1kpi_performance'!G579</f>
        <v>0.2530075763</v>
      </c>
      <c r="AR579" s="42">
        <f>'1kpi_performance'!H579</f>
        <v>0.2616275857</v>
      </c>
      <c r="AS579" s="42">
        <f>'1kpi_performance'!I579</f>
        <v>0.3820693229</v>
      </c>
      <c r="AT579" s="35">
        <f>'1kpi_performance'!J579</f>
        <v>2.474114458</v>
      </c>
      <c r="AU579" s="35">
        <f>'1kpi_performance'!K579</f>
        <v>3.370279213</v>
      </c>
      <c r="AV579" s="35">
        <f>'1kpi_performance'!L579</f>
        <v>2.92516546</v>
      </c>
      <c r="AW579" s="35">
        <f>'1kpi_performance'!M579</f>
        <v>1.111245973</v>
      </c>
      <c r="AX579" s="42">
        <f>'1kpi_performance'!N579</f>
        <v>0.3277375712</v>
      </c>
      <c r="AY579" s="42">
        <f>'1kpi_performance'!O579</f>
        <v>0.2443234338</v>
      </c>
      <c r="AZ579" s="42">
        <f>'1kpi_performance'!P579</f>
        <v>0.3277375712</v>
      </c>
      <c r="BA579" s="42">
        <f>'1kpi_performance'!Q579</f>
        <v>0.6264192239</v>
      </c>
      <c r="BB579" s="35">
        <f>'1kpi_performance'!R579</f>
        <v>5.353431235</v>
      </c>
      <c r="BC579" s="35">
        <f>'1kpi_performance'!S579</f>
        <v>8.257028191</v>
      </c>
      <c r="BD579" s="35">
        <f>'1kpi_performance'!T579</f>
        <v>6.320476497</v>
      </c>
      <c r="BE579" s="35">
        <f>'1kpi_performance'!U579</f>
        <v>2.126645187</v>
      </c>
      <c r="BF579" s="47"/>
      <c r="BG579" s="47"/>
      <c r="BH579" s="47"/>
      <c r="BI579" s="47"/>
      <c r="BJ579" s="47"/>
      <c r="BK579" s="47"/>
      <c r="BL579" s="47"/>
      <c r="BM579" s="47"/>
      <c r="BN579" s="47"/>
      <c r="BO579" s="47"/>
      <c r="BP579" s="47"/>
      <c r="BQ579" s="47"/>
      <c r="BR579" s="47"/>
      <c r="BS579" s="47"/>
      <c r="BT579" s="47"/>
    </row>
    <row r="580" ht="11.25" customHeight="1">
      <c r="A580" s="35" t="str">
        <f>'13all_company_profile'!A580</f>
        <v>TDOC</v>
      </c>
      <c r="B580" s="35" t="str">
        <f>'13all_company_profile'!B580</f>
        <v>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v>
      </c>
      <c r="C580" s="44" t="str">
        <f>'13all_company_profile'!C580</f>
        <v>https://financialmodelingprep.com/image-stock/TDOC.png</v>
      </c>
      <c r="D580" s="35" t="str">
        <f>'13all_company_profile'!D580</f>
        <v>Teladoc Health, Inc.</v>
      </c>
      <c r="E580" s="36">
        <f>'13all_company_profile'!E580</f>
        <v>22593247232</v>
      </c>
      <c r="F580" s="37">
        <f>'13all_company_profile'!F580</f>
        <v>2959076</v>
      </c>
      <c r="G580" s="35">
        <f>'13all_company_profile'!G580</f>
        <v>0</v>
      </c>
      <c r="H580" s="38">
        <f>'13all_company_profile'!H580</f>
        <v>44404</v>
      </c>
      <c r="I580" s="35" t="str">
        <f>'13all_company_profile'!I580</f>
        <v>NaN</v>
      </c>
      <c r="J580" s="35">
        <f>'13all_company_profile'!J580</f>
        <v>-5.944</v>
      </c>
      <c r="K580" s="42" t="str">
        <f t="shared" si="1"/>
        <v>NaN</v>
      </c>
      <c r="L580" s="35">
        <f>'7company_info'!B580</f>
        <v>154.83</v>
      </c>
      <c r="M580" s="35">
        <f>'7company_info'!C580</f>
        <v>156.55</v>
      </c>
      <c r="N580" s="35">
        <f>'7company_info'!D580</f>
        <v>152.79</v>
      </c>
      <c r="O580" s="35">
        <f>'7company_info'!E580</f>
        <v>3.46</v>
      </c>
      <c r="P580" s="35">
        <f>'7company_info'!F580</f>
        <v>0.0229</v>
      </c>
      <c r="Q580" s="35">
        <f>'7company_info'!G580</f>
        <v>152.79</v>
      </c>
      <c r="R580" s="35">
        <f>'7company_info'!H580</f>
        <v>151.37</v>
      </c>
      <c r="S580" s="35">
        <f>'7company_info'!I580</f>
        <v>129.74</v>
      </c>
      <c r="T580" s="35">
        <f>'7company_info'!J580</f>
        <v>308</v>
      </c>
      <c r="U580" s="39">
        <v>151.203333333333</v>
      </c>
      <c r="V580" s="39">
        <v>154.336666666666</v>
      </c>
      <c r="W580" s="40">
        <v>159.823333333333</v>
      </c>
      <c r="X580" s="40">
        <v>168.443333333333</v>
      </c>
      <c r="Y580" s="40">
        <v>145.716666666666</v>
      </c>
      <c r="Z580" s="40">
        <v>142.583333333333</v>
      </c>
      <c r="AA580" s="40">
        <v>133.963333333333</v>
      </c>
      <c r="AB580" s="40">
        <v>165.66</v>
      </c>
      <c r="AC580" s="40">
        <v>159.96</v>
      </c>
      <c r="AD580" s="40">
        <v>158.068827643105</v>
      </c>
      <c r="AE580" s="40">
        <v>142.78999</v>
      </c>
      <c r="AF580" s="40">
        <v>5.832505</v>
      </c>
      <c r="AG580" s="40">
        <v>308.0</v>
      </c>
      <c r="AH580" s="45">
        <v>44243.0</v>
      </c>
      <c r="AI580" s="44" t="str">
        <f>'6image_RS_benchmark_performance'!B580</f>
        <v>https://3arbzfbsh-cname-us.ngrok.io/Desktop/seabridge%20fintech/image_app/TDOC_resistance_support.jpg</v>
      </c>
      <c r="AJ580" s="44" t="str">
        <f>'6image_RS_benchmark_performance'!C580</f>
        <v>https://3arbzfbsh-cname-us.ngrok.io/Desktop/seabridge%20fintech/profit_graph_app/TDOC_Return.jpg</v>
      </c>
      <c r="AK580" s="46" t="str">
        <f>'5price_action_icon'!B580</f>
        <v>https://3arbzfbsh-cname-us.ngrok.io/Desktop/seabridge%20fintech/icon/TDOC_pa_trend_signal</v>
      </c>
      <c r="AL580" s="42">
        <f>'1kpi_performance'!B580</f>
        <v>1.288424781</v>
      </c>
      <c r="AM580" s="42">
        <f>'1kpi_performance'!C580</f>
        <v>2.291018566</v>
      </c>
      <c r="AN580" s="42">
        <f>'1kpi_performance'!D580</f>
        <v>2.362739763</v>
      </c>
      <c r="AO580" s="42">
        <f>'1kpi_performance'!E580</f>
        <v>0.4795914914</v>
      </c>
      <c r="AP580" s="42">
        <f>'1kpi_performance'!F580</f>
        <v>0.442156052</v>
      </c>
      <c r="AQ580" s="42">
        <f>'1kpi_performance'!G580</f>
        <v>0.4851826092</v>
      </c>
      <c r="AR580" s="42">
        <f>'1kpi_performance'!H580</f>
        <v>0.4989306349</v>
      </c>
      <c r="AS580" s="42">
        <f>'1kpi_performance'!I580</f>
        <v>0.6979836191</v>
      </c>
      <c r="AT580" s="35">
        <f>'1kpi_performance'!J580</f>
        <v>2.85741827</v>
      </c>
      <c r="AU580" s="35">
        <f>'1kpi_performance'!K580</f>
        <v>4.670444742</v>
      </c>
      <c r="AV580" s="35">
        <f>'1kpi_performance'!L580</f>
        <v>4.685500547</v>
      </c>
      <c r="AW580" s="35">
        <f>'1kpi_performance'!M580</f>
        <v>0.651292493</v>
      </c>
      <c r="AX580" s="42">
        <f>'1kpi_performance'!N580</f>
        <v>0.3148498153</v>
      </c>
      <c r="AY580" s="42">
        <f>'1kpi_performance'!O580</f>
        <v>0.2178744059</v>
      </c>
      <c r="AZ580" s="42">
        <f>'1kpi_performance'!P580</f>
        <v>0.4145021645</v>
      </c>
      <c r="BA580" s="42">
        <f>'1kpi_performance'!Q580</f>
        <v>0.7271682941</v>
      </c>
      <c r="BB580" s="35">
        <f>'1kpi_performance'!R580</f>
        <v>6.030234147</v>
      </c>
      <c r="BC580" s="35">
        <f>'1kpi_performance'!S580</f>
        <v>10.78463767</v>
      </c>
      <c r="BD580" s="35">
        <f>'1kpi_performance'!T580</f>
        <v>10.22983797</v>
      </c>
      <c r="BE580" s="35">
        <f>'1kpi_performance'!U580</f>
        <v>1.320666818</v>
      </c>
      <c r="BF580" s="47"/>
      <c r="BG580" s="47"/>
      <c r="BH580" s="47"/>
      <c r="BI580" s="47"/>
      <c r="BJ580" s="47"/>
      <c r="BK580" s="47"/>
      <c r="BL580" s="47"/>
      <c r="BM580" s="47"/>
      <c r="BN580" s="47"/>
      <c r="BO580" s="47"/>
      <c r="BP580" s="47"/>
      <c r="BQ580" s="47"/>
      <c r="BR580" s="47"/>
      <c r="BS580" s="47"/>
      <c r="BT580" s="47"/>
    </row>
    <row r="581" ht="11.25" customHeight="1">
      <c r="A581" s="35" t="str">
        <f>'13all_company_profile'!A581</f>
        <v>TDY</v>
      </c>
      <c r="B581" s="35" t="str">
        <f>'13all_company_profile'!B581</f>
        <v>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v>
      </c>
      <c r="C581" s="44" t="str">
        <f>'13all_company_profile'!C581</f>
        <v>https://financialmodelingprep.com/image-stock/TDY.png</v>
      </c>
      <c r="D581" s="35" t="str">
        <f>'13all_company_profile'!D581</f>
        <v>Teledyne Technologies Incorporated</v>
      </c>
      <c r="E581" s="36">
        <f>'13all_company_profile'!E581</f>
        <v>20310695936</v>
      </c>
      <c r="F581" s="37">
        <f>'13all_company_profile'!F581</f>
        <v>307680</v>
      </c>
      <c r="G581" s="35">
        <f>'13all_company_profile'!G581</f>
        <v>0</v>
      </c>
      <c r="H581" s="38">
        <f>'13all_company_profile'!H581</f>
        <v>44397</v>
      </c>
      <c r="I581" s="35">
        <f>'13all_company_profile'!I581</f>
        <v>40.798836</v>
      </c>
      <c r="J581" s="35">
        <f>'13all_company_profile'!J581</f>
        <v>10.678</v>
      </c>
      <c r="K581" s="42" t="str">
        <f t="shared" si="1"/>
        <v>NaN</v>
      </c>
      <c r="L581" s="35">
        <f>'7company_info'!B581</f>
        <v>436.47</v>
      </c>
      <c r="M581" s="35">
        <f>'7company_info'!C581</f>
        <v>438.85</v>
      </c>
      <c r="N581" s="35">
        <f>'7company_info'!D581</f>
        <v>421.37</v>
      </c>
      <c r="O581" s="35">
        <f>'7company_info'!E581</f>
        <v>16.21</v>
      </c>
      <c r="P581" s="35">
        <f>'7company_info'!F581</f>
        <v>0.0386</v>
      </c>
      <c r="Q581" s="35">
        <f>'7company_info'!G581</f>
        <v>421.6</v>
      </c>
      <c r="R581" s="35">
        <f>'7company_info'!H581</f>
        <v>420.26</v>
      </c>
      <c r="S581" s="35">
        <f>'7company_info'!I581</f>
        <v>298.78</v>
      </c>
      <c r="T581" s="35">
        <f>'7company_info'!J581</f>
        <v>457.79</v>
      </c>
      <c r="U581" s="39">
        <v>434.528333333333</v>
      </c>
      <c r="V581" s="39">
        <v>438.366666666666</v>
      </c>
      <c r="W581" s="40">
        <v>442.733333333333</v>
      </c>
      <c r="X581" s="40">
        <v>450.938333333333</v>
      </c>
      <c r="Y581" s="40">
        <v>430.161666666666</v>
      </c>
      <c r="Z581" s="40">
        <v>426.323333333333</v>
      </c>
      <c r="AA581" s="40">
        <v>418.118333333333</v>
      </c>
      <c r="AB581" s="40">
        <v>419.62</v>
      </c>
      <c r="AC581" s="40">
        <v>422.01</v>
      </c>
      <c r="AD581" s="40">
        <v>425.495066232709</v>
      </c>
      <c r="AE581" s="40">
        <v>422.13002</v>
      </c>
      <c r="AF581" s="40">
        <v>7.60169999999999</v>
      </c>
      <c r="AG581" s="40">
        <v>457.79</v>
      </c>
      <c r="AH581" s="45">
        <v>44315.0</v>
      </c>
      <c r="AI581" s="44" t="str">
        <f>'6image_RS_benchmark_performance'!B581</f>
        <v>https://3arbzfbsh-cname-us.ngrok.io/Desktop/seabridge%20fintech/image_app/TDY_resistance_support.jpg</v>
      </c>
      <c r="AJ581" s="44" t="str">
        <f>'6image_RS_benchmark_performance'!C581</f>
        <v>https://3arbzfbsh-cname-us.ngrok.io/Desktop/seabridge%20fintech/profit_graph_app/TDY_Return.jpg</v>
      </c>
      <c r="AK581" s="46" t="str">
        <f>'5price_action_icon'!B581</f>
        <v>https://3arbzfbsh-cname-us.ngrok.io/Desktop/seabridge%20fintech/icon/TDY_pa_trend_signal</v>
      </c>
      <c r="AL581" s="42">
        <f>'1kpi_performance'!B581</f>
        <v>0.5542586152</v>
      </c>
      <c r="AM581" s="42">
        <f>'1kpi_performance'!C581</f>
        <v>0.7668208815</v>
      </c>
      <c r="AN581" s="42">
        <f>'1kpi_performance'!D581</f>
        <v>0.6756713309</v>
      </c>
      <c r="AO581" s="42">
        <f>'1kpi_performance'!E581</f>
        <v>0.3454371107</v>
      </c>
      <c r="AP581" s="42">
        <f>'1kpi_performance'!F581</f>
        <v>0.2036793979</v>
      </c>
      <c r="AQ581" s="42">
        <f>'1kpi_performance'!G581</f>
        <v>0.2267963273</v>
      </c>
      <c r="AR581" s="42">
        <f>'1kpi_performance'!H581</f>
        <v>0.2038559035</v>
      </c>
      <c r="AS581" s="42">
        <f>'1kpi_performance'!I581</f>
        <v>0.3271789531</v>
      </c>
      <c r="AT581" s="35">
        <f>'1kpi_performance'!J581</f>
        <v>2.598488707</v>
      </c>
      <c r="AU581" s="35">
        <f>'1kpi_performance'!K581</f>
        <v>3.270868141</v>
      </c>
      <c r="AV581" s="35">
        <f>'1kpi_performance'!L581</f>
        <v>3.191819907</v>
      </c>
      <c r="AW581" s="35">
        <f>'1kpi_performance'!M581</f>
        <v>0.979394022</v>
      </c>
      <c r="AX581" s="42">
        <f>'1kpi_performance'!N581</f>
        <v>0.1120909265</v>
      </c>
      <c r="AY581" s="42">
        <f>'1kpi_performance'!O581</f>
        <v>0.09949018816</v>
      </c>
      <c r="AZ581" s="42">
        <f>'1kpi_performance'!P581</f>
        <v>0.1565877213</v>
      </c>
      <c r="BA581" s="42">
        <f>'1kpi_performance'!Q581</f>
        <v>0.4894686088</v>
      </c>
      <c r="BB581" s="35">
        <f>'1kpi_performance'!R581</f>
        <v>5.470126913</v>
      </c>
      <c r="BC581" s="35">
        <f>'1kpi_performance'!S581</f>
        <v>7.272873565</v>
      </c>
      <c r="BD581" s="35">
        <f>'1kpi_performance'!T581</f>
        <v>7.018858471</v>
      </c>
      <c r="BE581" s="35">
        <f>'1kpi_performance'!U581</f>
        <v>1.876448416</v>
      </c>
      <c r="BF581" s="47"/>
      <c r="BG581" s="47"/>
      <c r="BH581" s="47"/>
      <c r="BI581" s="47"/>
      <c r="BJ581" s="47"/>
      <c r="BK581" s="47"/>
      <c r="BL581" s="47"/>
      <c r="BM581" s="47"/>
      <c r="BN581" s="47"/>
      <c r="BO581" s="47"/>
      <c r="BP581" s="47"/>
      <c r="BQ581" s="47"/>
      <c r="BR581" s="47"/>
      <c r="BS581" s="47"/>
      <c r="BT581" s="47"/>
    </row>
    <row r="582" ht="11.25" customHeight="1">
      <c r="A582" s="35" t="str">
        <f>'13all_company_profile'!A582</f>
        <v>TEAM</v>
      </c>
      <c r="B582" s="35" t="str">
        <f>'13all_company_profile'!B582</f>
        <v>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v>
      </c>
      <c r="C582" s="44" t="str">
        <f>'13all_company_profile'!C582</f>
        <v>https://financialmodelingprep.com/image-stock/TEAM.png</v>
      </c>
      <c r="D582" s="35" t="str">
        <f>'13all_company_profile'!D582</f>
        <v>Atlassian Corporation Plc</v>
      </c>
      <c r="E582" s="36">
        <f>'13all_company_profile'!E582</f>
        <v>64856076288</v>
      </c>
      <c r="F582" s="37">
        <f>'13all_company_profile'!F582</f>
        <v>1310409</v>
      </c>
      <c r="G582" s="35">
        <f>'13all_company_profile'!G582</f>
        <v>0</v>
      </c>
      <c r="H582" s="38">
        <f>'13all_company_profile'!H582</f>
        <v>44405</v>
      </c>
      <c r="I582" s="35" t="str">
        <f>'13all_company_profile'!I582</f>
        <v>NaN</v>
      </c>
      <c r="J582" s="35">
        <f>'13all_company_profile'!J582</f>
        <v>-3.494</v>
      </c>
      <c r="K582" s="42" t="str">
        <f t="shared" si="1"/>
        <v>NaN</v>
      </c>
      <c r="L582" s="35">
        <f>'7company_info'!B582</f>
        <v>267.62</v>
      </c>
      <c r="M582" s="35">
        <f>'7company_info'!C582</f>
        <v>269.98</v>
      </c>
      <c r="N582" s="35">
        <f>'7company_info'!D582</f>
        <v>260</v>
      </c>
      <c r="O582" s="35">
        <f>'7company_info'!E582</f>
        <v>4.75</v>
      </c>
      <c r="P582" s="35">
        <f>'7company_info'!F582</f>
        <v>0.0181</v>
      </c>
      <c r="Q582" s="35">
        <f>'7company_info'!G582</f>
        <v>264.5</v>
      </c>
      <c r="R582" s="35">
        <f>'7company_info'!H582</f>
        <v>262.87</v>
      </c>
      <c r="S582" s="35">
        <f>'7company_info'!I582</f>
        <v>160.01</v>
      </c>
      <c r="T582" s="35">
        <f>'7company_info'!J582</f>
        <v>275.67</v>
      </c>
      <c r="U582" s="39">
        <v>261.396666666666</v>
      </c>
      <c r="V582" s="39">
        <v>265.463333333333</v>
      </c>
      <c r="W582" s="40">
        <v>271.706666666666</v>
      </c>
      <c r="X582" s="40">
        <v>282.016666666666</v>
      </c>
      <c r="Y582" s="40">
        <v>255.153333333333</v>
      </c>
      <c r="Z582" s="40">
        <v>251.086666666666</v>
      </c>
      <c r="AA582" s="40">
        <v>240.776666666666</v>
      </c>
      <c r="AB582" s="40">
        <v>261.5427</v>
      </c>
      <c r="AC582" s="40">
        <v>275.67</v>
      </c>
      <c r="AD582" s="40">
        <v>258.98331392464</v>
      </c>
      <c r="AE582" s="40">
        <v>245.80277</v>
      </c>
      <c r="AF582" s="40">
        <v>7.82361499999999</v>
      </c>
      <c r="AG582" s="40">
        <v>272.13</v>
      </c>
      <c r="AH582" s="45">
        <v>44371.0</v>
      </c>
      <c r="AI582" s="44" t="str">
        <f>'6image_RS_benchmark_performance'!B582</f>
        <v>https://3arbzfbsh-cname-us.ngrok.io/Desktop/seabridge%20fintech/image_app/TEAM_resistance_support.jpg</v>
      </c>
      <c r="AJ582" s="44" t="str">
        <f>'6image_RS_benchmark_performance'!C582</f>
        <v>https://3arbzfbsh-cname-us.ngrok.io/Desktop/seabridge%20fintech/profit_graph_app/TEAM_Return.jpg</v>
      </c>
      <c r="AK582" s="46" t="str">
        <f>'5price_action_icon'!B582</f>
        <v>https://3arbzfbsh-cname-us.ngrok.io/Desktop/seabridge%20fintech/icon/TEAM_pa_trend_signal</v>
      </c>
      <c r="AL582" s="42">
        <f>'1kpi_performance'!B582</f>
        <v>1.184678562</v>
      </c>
      <c r="AM582" s="42">
        <f>'1kpi_performance'!C582</f>
        <v>1.307081817</v>
      </c>
      <c r="AN582" s="42">
        <f>'1kpi_performance'!D582</f>
        <v>1.09205819</v>
      </c>
      <c r="AO582" s="42">
        <f>'1kpi_performance'!E582</f>
        <v>0.7715272394</v>
      </c>
      <c r="AP582" s="42">
        <f>'1kpi_performance'!F582</f>
        <v>0.382649671</v>
      </c>
      <c r="AQ582" s="42">
        <f>'1kpi_performance'!G582</f>
        <v>0.3804093999</v>
      </c>
      <c r="AR582" s="42">
        <f>'1kpi_performance'!H582</f>
        <v>0.3673230637</v>
      </c>
      <c r="AS582" s="42">
        <f>'1kpi_performance'!I582</f>
        <v>0.5090521536</v>
      </c>
      <c r="AT582" s="35">
        <f>'1kpi_performance'!J582</f>
        <v>3.030653493</v>
      </c>
      <c r="AU582" s="35">
        <f>'1kpi_performance'!K582</f>
        <v>3.370268498</v>
      </c>
      <c r="AV582" s="35">
        <f>'1kpi_performance'!L582</f>
        <v>2.904958319</v>
      </c>
      <c r="AW582" s="35">
        <f>'1kpi_performance'!M582</f>
        <v>1.466504432</v>
      </c>
      <c r="AX582" s="42">
        <f>'1kpi_performance'!N582</f>
        <v>0.3198395598</v>
      </c>
      <c r="AY582" s="42">
        <f>'1kpi_performance'!O582</f>
        <v>0.2335178357</v>
      </c>
      <c r="AZ582" s="42">
        <f>'1kpi_performance'!P582</f>
        <v>0.4042553191</v>
      </c>
      <c r="BA582" s="42">
        <f>'1kpi_performance'!Q582</f>
        <v>0.4237942122</v>
      </c>
      <c r="BB582" s="35">
        <f>'1kpi_performance'!R582</f>
        <v>6.337076012</v>
      </c>
      <c r="BC582" s="35">
        <f>'1kpi_performance'!S582</f>
        <v>7.509850267</v>
      </c>
      <c r="BD582" s="35">
        <f>'1kpi_performance'!T582</f>
        <v>5.977469997</v>
      </c>
      <c r="BE582" s="35">
        <f>'1kpi_performance'!U582</f>
        <v>2.927044636</v>
      </c>
      <c r="BF582" s="47"/>
      <c r="BG582" s="47"/>
      <c r="BH582" s="47"/>
      <c r="BI582" s="47"/>
      <c r="BJ582" s="47"/>
      <c r="BK582" s="47"/>
      <c r="BL582" s="47"/>
      <c r="BM582" s="47"/>
      <c r="BN582" s="47"/>
      <c r="BO582" s="47"/>
      <c r="BP582" s="47"/>
      <c r="BQ582" s="47"/>
      <c r="BR582" s="47"/>
      <c r="BS582" s="47"/>
      <c r="BT582" s="47"/>
    </row>
    <row r="583" ht="11.25" customHeight="1">
      <c r="A583" s="35" t="str">
        <f>'13all_company_profile'!A583</f>
        <v>TEL</v>
      </c>
      <c r="B583" s="35" t="str">
        <f>'13all_company_profile'!B583</f>
        <v>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v>
      </c>
      <c r="C583" s="44" t="str">
        <f>'13all_company_profile'!C583</f>
        <v>https://financialmodelingprep.com/image-stock/TEL.png</v>
      </c>
      <c r="D583" s="35" t="str">
        <f>'13all_company_profile'!D583</f>
        <v>TE Connectivity Ltd.</v>
      </c>
      <c r="E583" s="36">
        <f>'13all_company_profile'!E583</f>
        <v>45201199104</v>
      </c>
      <c r="F583" s="37">
        <f>'13all_company_profile'!F583</f>
        <v>1461749</v>
      </c>
      <c r="G583" s="35">
        <f>'13all_company_profile'!G583</f>
        <v>1.94</v>
      </c>
      <c r="H583" s="38">
        <f>'13all_company_profile'!H583</f>
        <v>44404</v>
      </c>
      <c r="I583" s="35">
        <f>'13all_company_profile'!I583</f>
        <v>41.577644</v>
      </c>
      <c r="J583" s="35">
        <f>'13all_company_profile'!J583</f>
        <v>3.239</v>
      </c>
      <c r="K583" s="42">
        <f t="shared" si="1"/>
        <v>0.01431523022</v>
      </c>
      <c r="L583" s="35">
        <f>'7company_info'!B583</f>
        <v>135.52</v>
      </c>
      <c r="M583" s="35">
        <f>'7company_info'!C583</f>
        <v>135.99</v>
      </c>
      <c r="N583" s="35">
        <f>'7company_info'!D583</f>
        <v>132.14</v>
      </c>
      <c r="O583" s="35">
        <f>'7company_info'!E583</f>
        <v>3.14</v>
      </c>
      <c r="P583" s="35">
        <f>'7company_info'!F583</f>
        <v>0.0237</v>
      </c>
      <c r="Q583" s="35">
        <f>'7company_info'!G583</f>
        <v>132.53</v>
      </c>
      <c r="R583" s="35">
        <f>'7company_info'!H583</f>
        <v>132.38</v>
      </c>
      <c r="S583" s="35">
        <f>'7company_info'!I583</f>
        <v>83.8</v>
      </c>
      <c r="T583" s="35">
        <f>'7company_info'!J583</f>
        <v>139.58</v>
      </c>
      <c r="U583" s="39">
        <v>138.371666666666</v>
      </c>
      <c r="V583" s="39">
        <v>139.518333333333</v>
      </c>
      <c r="W583" s="40">
        <v>140.646666666666</v>
      </c>
      <c r="X583" s="40">
        <v>142.921666666666</v>
      </c>
      <c r="Y583" s="40">
        <v>137.243333333333</v>
      </c>
      <c r="Z583" s="40">
        <v>136.096666666666</v>
      </c>
      <c r="AA583" s="40">
        <v>133.821666666666</v>
      </c>
      <c r="AB583" s="40">
        <v>133.015</v>
      </c>
      <c r="AC583" s="40">
        <v>133.91</v>
      </c>
      <c r="AD583" s="40">
        <v>136.115007101151</v>
      </c>
      <c r="AE583" s="40">
        <v>132.94881</v>
      </c>
      <c r="AF583" s="40">
        <v>2.386845</v>
      </c>
      <c r="AG583" s="40">
        <v>139.58</v>
      </c>
      <c r="AH583" s="45">
        <v>44354.0</v>
      </c>
      <c r="AI583" s="44" t="str">
        <f>'6image_RS_benchmark_performance'!B583</f>
        <v>https://3arbzfbsh-cname-us.ngrok.io/Desktop/seabridge%20fintech/image_app/TEL_resistance_support.jpg</v>
      </c>
      <c r="AJ583" s="44" t="str">
        <f>'6image_RS_benchmark_performance'!C583</f>
        <v>https://3arbzfbsh-cname-us.ngrok.io/Desktop/seabridge%20fintech/profit_graph_app/TEL_Return.jpg</v>
      </c>
      <c r="AK583" s="46" t="str">
        <f>'5price_action_icon'!B583</f>
        <v>https://3arbzfbsh-cname-us.ngrok.io/Desktop/seabridge%20fintech/icon/TEL_pa_trend_signal</v>
      </c>
      <c r="AL583" s="42">
        <f>'1kpi_performance'!B583</f>
        <v>0.5898092286</v>
      </c>
      <c r="AM583" s="42">
        <f>'1kpi_performance'!C583</f>
        <v>0.7859452749</v>
      </c>
      <c r="AN583" s="42">
        <f>'1kpi_performance'!D583</f>
        <v>0.726383368</v>
      </c>
      <c r="AO583" s="42">
        <f>'1kpi_performance'!E583</f>
        <v>0.2328253558</v>
      </c>
      <c r="AP583" s="42">
        <f>'1kpi_performance'!F583</f>
        <v>0.2190857483</v>
      </c>
      <c r="AQ583" s="42">
        <f>'1kpi_performance'!G583</f>
        <v>0.221180211</v>
      </c>
      <c r="AR583" s="42">
        <f>'1kpi_performance'!H583</f>
        <v>0.2196576537</v>
      </c>
      <c r="AS583" s="42">
        <f>'1kpi_performance'!I583</f>
        <v>0.3196398443</v>
      </c>
      <c r="AT583" s="35">
        <f>'1kpi_performance'!J583</f>
        <v>2.57802816</v>
      </c>
      <c r="AU583" s="35">
        <f>'1kpi_performance'!K583</f>
        <v>3.44038588</v>
      </c>
      <c r="AV583" s="35">
        <f>'1kpi_performance'!L583</f>
        <v>3.193075025</v>
      </c>
      <c r="AW583" s="35">
        <f>'1kpi_performance'!M583</f>
        <v>0.6501860127</v>
      </c>
      <c r="AX583" s="42">
        <f>'1kpi_performance'!N583</f>
        <v>0.1394428152</v>
      </c>
      <c r="AY583" s="42">
        <f>'1kpi_performance'!O583</f>
        <v>0.1394428152</v>
      </c>
      <c r="AZ583" s="42">
        <f>'1kpi_performance'!P583</f>
        <v>0.2561883529</v>
      </c>
      <c r="BA583" s="42">
        <f>'1kpi_performance'!Q583</f>
        <v>0.4980614657</v>
      </c>
      <c r="BB583" s="35">
        <f>'1kpi_performance'!R583</f>
        <v>5.510956811</v>
      </c>
      <c r="BC583" s="35">
        <f>'1kpi_performance'!S583</f>
        <v>7.79008854</v>
      </c>
      <c r="BD583" s="35">
        <f>'1kpi_performance'!T583</f>
        <v>6.866288357</v>
      </c>
      <c r="BE583" s="35">
        <f>'1kpi_performance'!U583</f>
        <v>1.246315776</v>
      </c>
      <c r="BF583" s="47"/>
      <c r="BG583" s="47"/>
      <c r="BH583" s="47"/>
      <c r="BI583" s="47"/>
      <c r="BJ583" s="47"/>
      <c r="BK583" s="47"/>
      <c r="BL583" s="47"/>
      <c r="BM583" s="47"/>
      <c r="BN583" s="47"/>
      <c r="BO583" s="47"/>
      <c r="BP583" s="47"/>
      <c r="BQ583" s="47"/>
      <c r="BR583" s="47"/>
      <c r="BS583" s="47"/>
      <c r="BT583" s="47"/>
    </row>
    <row r="584" ht="11.25" customHeight="1">
      <c r="A584" s="35" t="str">
        <f>'13all_company_profile'!A584</f>
        <v>TER</v>
      </c>
      <c r="B584" s="35" t="str">
        <f>'13all_company_profile'!B584</f>
        <v>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v>
      </c>
      <c r="C584" s="44" t="str">
        <f>'13all_company_profile'!C584</f>
        <v>https://financialmodelingprep.com/image-stock/TER.png</v>
      </c>
      <c r="D584" s="35" t="str">
        <f>'13all_company_profile'!D584</f>
        <v>Teradyne, Inc.</v>
      </c>
      <c r="E584" s="36">
        <f>'13all_company_profile'!E584</f>
        <v>20472332288</v>
      </c>
      <c r="F584" s="37">
        <f>'13all_company_profile'!F584</f>
        <v>1415314</v>
      </c>
      <c r="G584" s="35">
        <f>'13all_company_profile'!G584</f>
        <v>0.4</v>
      </c>
      <c r="H584" s="38">
        <f>'13all_company_profile'!H584</f>
        <v>44396</v>
      </c>
      <c r="I584" s="35">
        <f>'13all_company_profile'!I584</f>
        <v>27.301048</v>
      </c>
      <c r="J584" s="35">
        <f>'13all_company_profile'!J584</f>
        <v>4.398</v>
      </c>
      <c r="K584" s="42">
        <f t="shared" si="1"/>
        <v>0.003231539829</v>
      </c>
      <c r="L584" s="35">
        <f>'7company_info'!B584</f>
        <v>123.78</v>
      </c>
      <c r="M584" s="35">
        <f>'7company_info'!C584</f>
        <v>124.64</v>
      </c>
      <c r="N584" s="35">
        <f>'7company_info'!D584</f>
        <v>119.81</v>
      </c>
      <c r="O584" s="35">
        <f>'7company_info'!E584</f>
        <v>3.72</v>
      </c>
      <c r="P584" s="35">
        <f>'7company_info'!F584</f>
        <v>0.031</v>
      </c>
      <c r="Q584" s="35">
        <f>'7company_info'!G584</f>
        <v>121.39</v>
      </c>
      <c r="R584" s="35">
        <f>'7company_info'!H584</f>
        <v>120.06</v>
      </c>
      <c r="S584" s="35">
        <f>'7company_info'!I584</f>
        <v>74.08</v>
      </c>
      <c r="T584" s="35">
        <f>'7company_info'!J584</f>
        <v>147.9</v>
      </c>
      <c r="U584" s="39">
        <v>127.69</v>
      </c>
      <c r="V584" s="39">
        <v>129.459999999999</v>
      </c>
      <c r="W584" s="40">
        <v>132.649999999999</v>
      </c>
      <c r="X584" s="40">
        <v>137.61</v>
      </c>
      <c r="Y584" s="40">
        <v>124.5</v>
      </c>
      <c r="Z584" s="40">
        <v>122.73</v>
      </c>
      <c r="AA584" s="40">
        <v>117.77</v>
      </c>
      <c r="AB584" s="40">
        <v>125.14</v>
      </c>
      <c r="AC584" s="40">
        <v>132.7</v>
      </c>
      <c r="AD584" s="40">
        <v>127.543045377801</v>
      </c>
      <c r="AE584" s="40">
        <v>119.65407</v>
      </c>
      <c r="AF584" s="40">
        <v>3.680965</v>
      </c>
      <c r="AG584" s="40">
        <v>147.9</v>
      </c>
      <c r="AH584" s="45">
        <v>44243.0</v>
      </c>
      <c r="AI584" s="44" t="str">
        <f>'6image_RS_benchmark_performance'!B584</f>
        <v>https://3arbzfbsh-cname-us.ngrok.io/Desktop/seabridge%20fintech/image_app/TER_resistance_support.jpg</v>
      </c>
      <c r="AJ584" s="44" t="str">
        <f>'6image_RS_benchmark_performance'!C584</f>
        <v>https://3arbzfbsh-cname-us.ngrok.io/Desktop/seabridge%20fintech/profit_graph_app/TER_Return.jpg</v>
      </c>
      <c r="AK584" s="46" t="str">
        <f>'5price_action_icon'!B584</f>
        <v>https://3arbzfbsh-cname-us.ngrok.io/Desktop/seabridge%20fintech/icon/TER_pa_trend_signal</v>
      </c>
      <c r="AL584" s="42">
        <f>'1kpi_performance'!B584</f>
        <v>1.044826765</v>
      </c>
      <c r="AM584" s="42">
        <f>'1kpi_performance'!C584</f>
        <v>1.201526725</v>
      </c>
      <c r="AN584" s="42">
        <f>'1kpi_performance'!D584</f>
        <v>0.8477900086</v>
      </c>
      <c r="AO584" s="42">
        <f>'1kpi_performance'!E584</f>
        <v>0.3644425326</v>
      </c>
      <c r="AP584" s="42">
        <f>'1kpi_performance'!F584</f>
        <v>0.3059550283</v>
      </c>
      <c r="AQ584" s="42">
        <f>'1kpi_performance'!G584</f>
        <v>0.310669969</v>
      </c>
      <c r="AR584" s="42">
        <f>'1kpi_performance'!H584</f>
        <v>0.3261014525</v>
      </c>
      <c r="AS584" s="42">
        <f>'1kpi_performance'!I584</f>
        <v>0.4436963919</v>
      </c>
      <c r="AT584" s="35">
        <f>'1kpi_performance'!J584</f>
        <v>3.333257083</v>
      </c>
      <c r="AU584" s="35">
        <f>'1kpi_performance'!K584</f>
        <v>3.787062937</v>
      </c>
      <c r="AV584" s="35">
        <f>'1kpi_performance'!L584</f>
        <v>2.52311053</v>
      </c>
      <c r="AW584" s="35">
        <f>'1kpi_performance'!M584</f>
        <v>0.76503334</v>
      </c>
      <c r="AX584" s="42">
        <f>'1kpi_performance'!N584</f>
        <v>0.132485613</v>
      </c>
      <c r="AY584" s="42">
        <f>'1kpi_performance'!O584</f>
        <v>0.1317261224</v>
      </c>
      <c r="AZ584" s="42">
        <f>'1kpi_performance'!P584</f>
        <v>0.4054002642</v>
      </c>
      <c r="BA584" s="42">
        <f>'1kpi_performance'!Q584</f>
        <v>0.4467750393</v>
      </c>
      <c r="BB584" s="35">
        <f>'1kpi_performance'!R584</f>
        <v>7.940434792</v>
      </c>
      <c r="BC584" s="35">
        <f>'1kpi_performance'!S584</f>
        <v>9.169687141</v>
      </c>
      <c r="BD584" s="35">
        <f>'1kpi_performance'!T584</f>
        <v>5.215829833</v>
      </c>
      <c r="BE584" s="35">
        <f>'1kpi_performance'!U584</f>
        <v>1.555177457</v>
      </c>
      <c r="BF584" s="47"/>
      <c r="BG584" s="47"/>
      <c r="BH584" s="47"/>
      <c r="BI584" s="47"/>
      <c r="BJ584" s="47"/>
      <c r="BK584" s="47"/>
      <c r="BL584" s="47"/>
      <c r="BM584" s="47"/>
      <c r="BN584" s="47"/>
      <c r="BO584" s="47"/>
      <c r="BP584" s="47"/>
      <c r="BQ584" s="47"/>
      <c r="BR584" s="47"/>
      <c r="BS584" s="47"/>
      <c r="BT584" s="47"/>
    </row>
    <row r="585" ht="11.25" customHeight="1">
      <c r="A585" s="35" t="str">
        <f>'13all_company_profile'!A585</f>
        <v>TFC</v>
      </c>
      <c r="B585" s="35" t="str">
        <f>'13all_company_profile'!B585</f>
        <v>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v>
      </c>
      <c r="C585" s="44" t="str">
        <f>'13all_company_profile'!C585</f>
        <v>https://financialmodelingprep.com/image-stock/TFC.png</v>
      </c>
      <c r="D585" s="35" t="str">
        <f>'13all_company_profile'!D585</f>
        <v>Truist Financial Corporation</v>
      </c>
      <c r="E585" s="36">
        <f>'13all_company_profile'!E585</f>
        <v>75123326976</v>
      </c>
      <c r="F585" s="37">
        <f>'13all_company_profile'!F585</f>
        <v>5663417</v>
      </c>
      <c r="G585" s="35">
        <f>'13all_company_profile'!G585</f>
        <v>1.8</v>
      </c>
      <c r="H585" s="38" t="str">
        <f>'13all_company_profile'!H585</f>
        <v>not avaiable</v>
      </c>
      <c r="I585" s="35">
        <f>'13all_company_profile'!I585</f>
        <v>14.178637</v>
      </c>
      <c r="J585" s="35">
        <f>'13all_company_profile'!J585</f>
        <v>3.829</v>
      </c>
      <c r="K585" s="42">
        <f t="shared" si="1"/>
        <v>0.0332901794</v>
      </c>
      <c r="L585" s="35">
        <f>'7company_info'!B585</f>
        <v>54.07</v>
      </c>
      <c r="M585" s="35">
        <f>'7company_info'!C585</f>
        <v>54.93</v>
      </c>
      <c r="N585" s="35">
        <f>'7company_info'!D585</f>
        <v>51.93</v>
      </c>
      <c r="O585" s="35">
        <f>'7company_info'!E585</f>
        <v>1.89</v>
      </c>
      <c r="P585" s="35">
        <f>'7company_info'!F585</f>
        <v>0.0362</v>
      </c>
      <c r="Q585" s="35">
        <f>'7company_info'!G585</f>
        <v>52.1</v>
      </c>
      <c r="R585" s="35">
        <f>'7company_info'!H585</f>
        <v>52.18</v>
      </c>
      <c r="S585" s="35">
        <f>'7company_info'!I585</f>
        <v>34.86</v>
      </c>
      <c r="T585" s="35">
        <f>'7company_info'!J585</f>
        <v>62.69</v>
      </c>
      <c r="U585" s="39">
        <v>54.5543333333333</v>
      </c>
      <c r="V585" s="39">
        <v>55.3336666666666</v>
      </c>
      <c r="W585" s="40">
        <v>56.2373333333333</v>
      </c>
      <c r="X585" s="40">
        <v>57.9203333333333</v>
      </c>
      <c r="Y585" s="40">
        <v>53.6506666666666</v>
      </c>
      <c r="Z585" s="40">
        <v>52.8713333333333</v>
      </c>
      <c r="AA585" s="40">
        <v>51.1883333333333</v>
      </c>
      <c r="AB585" s="40">
        <v>54.94</v>
      </c>
      <c r="AC585" s="40">
        <v>55.28</v>
      </c>
      <c r="AD585" s="40">
        <v>55.5467272910272</v>
      </c>
      <c r="AE585" s="40">
        <v>51.85331</v>
      </c>
      <c r="AF585" s="40">
        <v>1.45374499999999</v>
      </c>
      <c r="AG585" s="40">
        <v>62.69</v>
      </c>
      <c r="AH585" s="45">
        <v>44334.0</v>
      </c>
      <c r="AI585" s="44" t="str">
        <f>'6image_RS_benchmark_performance'!B585</f>
        <v>https://3arbzfbsh-cname-us.ngrok.io/Desktop/seabridge%20fintech/image_app/TFC_resistance_support.jpg</v>
      </c>
      <c r="AJ585" s="44" t="str">
        <f>'6image_RS_benchmark_performance'!C585</f>
        <v>https://3arbzfbsh-cname-us.ngrok.io/Desktop/seabridge%20fintech/profit_graph_app/TFC_Return.jpg</v>
      </c>
      <c r="AK585" s="46" t="str">
        <f>'5price_action_icon'!B585</f>
        <v>https://3arbzfbsh-cname-us.ngrok.io/Desktop/seabridge%20fintech/icon/TFC_pa_trend_signal</v>
      </c>
      <c r="AL585" s="42">
        <f>'1kpi_performance'!B585</f>
        <v>0.6120268131</v>
      </c>
      <c r="AM585" s="42">
        <f>'1kpi_performance'!C585</f>
        <v>0.5776524854</v>
      </c>
      <c r="AN585" s="42">
        <f>'1kpi_performance'!D585</f>
        <v>0.5428770288</v>
      </c>
      <c r="AO585" s="42">
        <f>'1kpi_performance'!E585</f>
        <v>0.08135762282</v>
      </c>
      <c r="AP585" s="42">
        <f>'1kpi_performance'!F585</f>
        <v>0.2454707791</v>
      </c>
      <c r="AQ585" s="42">
        <f>'1kpi_performance'!G585</f>
        <v>0.2312717123</v>
      </c>
      <c r="AR585" s="42">
        <f>'1kpi_performance'!H585</f>
        <v>0.2227248623</v>
      </c>
      <c r="AS585" s="42">
        <f>'1kpi_performance'!I585</f>
        <v>0.3595453749</v>
      </c>
      <c r="AT585" s="35">
        <f>'1kpi_performance'!J585</f>
        <v>2.391432558</v>
      </c>
      <c r="AU585" s="35">
        <f>'1kpi_performance'!K585</f>
        <v>2.389624221</v>
      </c>
      <c r="AV585" s="35">
        <f>'1kpi_performance'!L585</f>
        <v>2.325187333</v>
      </c>
      <c r="AW585" s="35">
        <f>'1kpi_performance'!M585</f>
        <v>0.1567468997</v>
      </c>
      <c r="AX585" s="42">
        <f>'1kpi_performance'!N585</f>
        <v>0.2062427071</v>
      </c>
      <c r="AY585" s="42">
        <f>'1kpi_performance'!O585</f>
        <v>0.1791747438</v>
      </c>
      <c r="AZ585" s="42">
        <f>'1kpi_performance'!P585</f>
        <v>0.199637345</v>
      </c>
      <c r="BA585" s="42">
        <f>'1kpi_performance'!Q585</f>
        <v>0.5470733427</v>
      </c>
      <c r="BB585" s="35">
        <f>'1kpi_performance'!R585</f>
        <v>5.383107692</v>
      </c>
      <c r="BC585" s="35">
        <f>'1kpi_performance'!S585</f>
        <v>5.293852397</v>
      </c>
      <c r="BD585" s="35">
        <f>'1kpi_performance'!T585</f>
        <v>5.021270241</v>
      </c>
      <c r="BE585" s="35">
        <f>'1kpi_performance'!U585</f>
        <v>0.2966938709</v>
      </c>
      <c r="BF585" s="47"/>
      <c r="BG585" s="47"/>
      <c r="BH585" s="47"/>
      <c r="BI585" s="47"/>
      <c r="BJ585" s="47"/>
      <c r="BK585" s="47"/>
      <c r="BL585" s="47"/>
      <c r="BM585" s="47"/>
      <c r="BN585" s="47"/>
      <c r="BO585" s="47"/>
      <c r="BP585" s="47"/>
      <c r="BQ585" s="47"/>
      <c r="BR585" s="47"/>
      <c r="BS585" s="47"/>
      <c r="BT585" s="47"/>
    </row>
    <row r="586" ht="11.25" customHeight="1">
      <c r="A586" s="35" t="str">
        <f>'13all_company_profile'!A586</f>
        <v>TFX</v>
      </c>
      <c r="B586" s="35" t="str">
        <f>'13all_company_profile'!B586</f>
        <v>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v>
      </c>
      <c r="C586" s="44" t="str">
        <f>'13all_company_profile'!C586</f>
        <v>https://financialmodelingprep.com/image-stock/TFX.png</v>
      </c>
      <c r="D586" s="35" t="str">
        <f>'13all_company_profile'!D586</f>
        <v>Teleflex Incorporated</v>
      </c>
      <c r="E586" s="36">
        <f>'13all_company_profile'!E586</f>
        <v>17580843008</v>
      </c>
      <c r="F586" s="37">
        <f>'13all_company_profile'!F586</f>
        <v>266634</v>
      </c>
      <c r="G586" s="35">
        <f>'13all_company_profile'!G586</f>
        <v>1.36</v>
      </c>
      <c r="H586" s="38">
        <f>'13all_company_profile'!H586</f>
        <v>44405</v>
      </c>
      <c r="I586" s="35">
        <f>'13all_company_profile'!I586</f>
        <v>66.191444</v>
      </c>
      <c r="J586" s="35">
        <f>'13all_company_profile'!J586</f>
        <v>5.892</v>
      </c>
      <c r="K586" s="42">
        <f t="shared" si="1"/>
        <v>0.00352194743</v>
      </c>
      <c r="L586" s="35">
        <f>'7company_info'!B586</f>
        <v>386.15</v>
      </c>
      <c r="M586" s="35">
        <f>'7company_info'!C586</f>
        <v>391.12</v>
      </c>
      <c r="N586" s="35">
        <f>'7company_info'!D586</f>
        <v>375.89</v>
      </c>
      <c r="O586" s="35">
        <f>'7company_info'!E586</f>
        <v>11.05</v>
      </c>
      <c r="P586" s="35">
        <f>'7company_info'!F586</f>
        <v>0.0295</v>
      </c>
      <c r="Q586" s="35">
        <f>'7company_info'!G586</f>
        <v>375.89</v>
      </c>
      <c r="R586" s="35">
        <f>'7company_info'!H586</f>
        <v>375.1</v>
      </c>
      <c r="S586" s="35">
        <f>'7company_info'!I586</f>
        <v>312.33</v>
      </c>
      <c r="T586" s="35">
        <f>'7company_info'!J586</f>
        <v>449.38</v>
      </c>
      <c r="U586" s="39">
        <v>418.23</v>
      </c>
      <c r="V586" s="39">
        <v>419.81</v>
      </c>
      <c r="W586" s="40">
        <v>422.37</v>
      </c>
      <c r="X586" s="40">
        <v>426.51</v>
      </c>
      <c r="Y586" s="40">
        <v>415.67</v>
      </c>
      <c r="Z586" s="40">
        <v>414.09</v>
      </c>
      <c r="AA586" s="40">
        <v>409.949999999999</v>
      </c>
      <c r="AB586" s="40">
        <v>389.08</v>
      </c>
      <c r="AC586" s="40">
        <v>421.48</v>
      </c>
      <c r="AD586" s="40">
        <v>411.062681586262</v>
      </c>
      <c r="AE586" s="40">
        <v>400.37351</v>
      </c>
      <c r="AF586" s="40">
        <v>9.14674499999999</v>
      </c>
      <c r="AG586" s="40">
        <v>449.375</v>
      </c>
      <c r="AH586" s="45">
        <v>44314.0</v>
      </c>
      <c r="AI586" s="44" t="str">
        <f>'6image_RS_benchmark_performance'!B586</f>
        <v>https://3arbzfbsh-cname-us.ngrok.io/Desktop/seabridge%20fintech/image_app/TFX_resistance_support.jpg</v>
      </c>
      <c r="AJ586" s="44" t="str">
        <f>'6image_RS_benchmark_performance'!C586</f>
        <v>https://3arbzfbsh-cname-us.ngrok.io/Desktop/seabridge%20fintech/profit_graph_app/TFX_Return.jpg</v>
      </c>
      <c r="AK586" s="46" t="str">
        <f>'5price_action_icon'!B586</f>
        <v>https://3arbzfbsh-cname-us.ngrok.io/Desktop/seabridge%20fintech/icon/TFX_pa_trend_signal</v>
      </c>
      <c r="AL586" s="42">
        <f>'1kpi_performance'!B586</f>
        <v>0.6645208058</v>
      </c>
      <c r="AM586" s="42">
        <f>'1kpi_performance'!C586</f>
        <v>0.7370438591</v>
      </c>
      <c r="AN586" s="42">
        <f>'1kpi_performance'!D586</f>
        <v>0.567042517</v>
      </c>
      <c r="AO586" s="42">
        <f>'1kpi_performance'!E586</f>
        <v>0.2730736665</v>
      </c>
      <c r="AP586" s="42">
        <f>'1kpi_performance'!F586</f>
        <v>0.1940468842</v>
      </c>
      <c r="AQ586" s="42">
        <f>'1kpi_performance'!G586</f>
        <v>0.2103619662</v>
      </c>
      <c r="AR586" s="42">
        <f>'1kpi_performance'!H586</f>
        <v>0.2066126566</v>
      </c>
      <c r="AS586" s="42">
        <f>'1kpi_performance'!I586</f>
        <v>0.29356792</v>
      </c>
      <c r="AT586" s="35">
        <f>'1kpi_performance'!J586</f>
        <v>3.295702523</v>
      </c>
      <c r="AU586" s="35">
        <f>'1kpi_performance'!K586</f>
        <v>3.38485075</v>
      </c>
      <c r="AV586" s="35">
        <f>'1kpi_performance'!L586</f>
        <v>2.623471989</v>
      </c>
      <c r="AW586" s="35">
        <f>'1kpi_performance'!M586</f>
        <v>0.8450298879</v>
      </c>
      <c r="AX586" s="42">
        <f>'1kpi_performance'!N586</f>
        <v>0.09926274988</v>
      </c>
      <c r="AY586" s="42">
        <f>'1kpi_performance'!O586</f>
        <v>0.07745023079</v>
      </c>
      <c r="AZ586" s="42">
        <f>'1kpi_performance'!P586</f>
        <v>0.367763841</v>
      </c>
      <c r="BA586" s="42">
        <f>'1kpi_performance'!Q586</f>
        <v>0.429797034</v>
      </c>
      <c r="BB586" s="35">
        <f>'1kpi_performance'!R586</f>
        <v>7.402021091</v>
      </c>
      <c r="BC586" s="35">
        <f>'1kpi_performance'!S586</f>
        <v>7.860248108</v>
      </c>
      <c r="BD586" s="35">
        <f>'1kpi_performance'!T586</f>
        <v>5.456567009</v>
      </c>
      <c r="BE586" s="35">
        <f>'1kpi_performance'!U586</f>
        <v>1.636032928</v>
      </c>
      <c r="BF586" s="47"/>
      <c r="BG586" s="47"/>
      <c r="BH586" s="47"/>
      <c r="BI586" s="47"/>
      <c r="BJ586" s="47"/>
      <c r="BK586" s="47"/>
      <c r="BL586" s="47"/>
      <c r="BM586" s="47"/>
      <c r="BN586" s="47"/>
      <c r="BO586" s="47"/>
      <c r="BP586" s="47"/>
      <c r="BQ586" s="47"/>
      <c r="BR586" s="47"/>
      <c r="BS586" s="47"/>
      <c r="BT586" s="47"/>
    </row>
    <row r="587" ht="11.25" customHeight="1">
      <c r="A587" s="35" t="str">
        <f>'13all_company_profile'!A587</f>
        <v>TGT</v>
      </c>
      <c r="B587" s="35" t="str">
        <f>'13all_company_profile'!B587</f>
        <v>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v>
      </c>
      <c r="C587" s="44" t="str">
        <f>'13all_company_profile'!C587</f>
        <v>https://financialmodelingprep.com/image-stock/TGT.png</v>
      </c>
      <c r="D587" s="35" t="str">
        <f>'13all_company_profile'!D587</f>
        <v>Target Corporation</v>
      </c>
      <c r="E587" s="36">
        <f>'13all_company_profile'!E587</f>
        <v>125130539008</v>
      </c>
      <c r="F587" s="37">
        <f>'13all_company_profile'!F587</f>
        <v>3160019</v>
      </c>
      <c r="G587" s="35">
        <f>'13all_company_profile'!G587</f>
        <v>2.72</v>
      </c>
      <c r="H587" s="38" t="str">
        <f>'13all_company_profile'!H587</f>
        <v>not avaiable</v>
      </c>
      <c r="I587" s="35">
        <f>'13all_company_profile'!I587</f>
        <v>20.54866</v>
      </c>
      <c r="J587" s="35">
        <f>'13all_company_profile'!J587</f>
        <v>12.248</v>
      </c>
      <c r="K587" s="42">
        <f t="shared" si="1"/>
        <v>0.0106788112</v>
      </c>
      <c r="L587" s="35">
        <f>'7company_info'!B587</f>
        <v>254.71</v>
      </c>
      <c r="M587" s="35">
        <f>'7company_info'!C587</f>
        <v>256.38</v>
      </c>
      <c r="N587" s="35">
        <f>'7company_info'!D587</f>
        <v>249.69</v>
      </c>
      <c r="O587" s="35">
        <f>'7company_info'!E587</f>
        <v>3.59</v>
      </c>
      <c r="P587" s="35">
        <f>'7company_info'!F587</f>
        <v>0.0143</v>
      </c>
      <c r="Q587" s="35">
        <f>'7company_info'!G587</f>
        <v>251.1</v>
      </c>
      <c r="R587" s="35">
        <f>'7company_info'!H587</f>
        <v>251.12</v>
      </c>
      <c r="S587" s="35">
        <f>'7company_info'!I587</f>
        <v>119.04</v>
      </c>
      <c r="T587" s="35">
        <f>'7company_info'!J587</f>
        <v>256.38</v>
      </c>
      <c r="U587" s="39">
        <v>253.096666666666</v>
      </c>
      <c r="V587" s="39">
        <v>254.583333333333</v>
      </c>
      <c r="W587" s="40">
        <v>255.536666666666</v>
      </c>
      <c r="X587" s="40">
        <v>257.976666666666</v>
      </c>
      <c r="Y587" s="40">
        <v>252.143333333333</v>
      </c>
      <c r="Z587" s="40">
        <v>250.656666666666</v>
      </c>
      <c r="AA587" s="40">
        <v>248.216666666666</v>
      </c>
      <c r="AB587" s="40">
        <v>238.32</v>
      </c>
      <c r="AC587" s="40">
        <v>254.05</v>
      </c>
      <c r="AD587" s="40">
        <v>242.914790014228</v>
      </c>
      <c r="AE587" s="40">
        <v>245.66162</v>
      </c>
      <c r="AF587" s="40">
        <v>3.05019</v>
      </c>
      <c r="AG587" s="40">
        <v>236.7999</v>
      </c>
      <c r="AH587" s="45">
        <v>44356.0</v>
      </c>
      <c r="AI587" s="44" t="str">
        <f>'6image_RS_benchmark_performance'!B587</f>
        <v>https://3arbzfbsh-cname-us.ngrok.io/Desktop/seabridge%20fintech/image_app/TGT_resistance_support.jpg</v>
      </c>
      <c r="AJ587" s="44" t="str">
        <f>'6image_RS_benchmark_performance'!C587</f>
        <v>https://3arbzfbsh-cname-us.ngrok.io/Desktop/seabridge%20fintech/profit_graph_app/TGT_Return.jpg</v>
      </c>
      <c r="AK587" s="46" t="str">
        <f>'5price_action_icon'!B587</f>
        <v>https://3arbzfbsh-cname-us.ngrok.io/Desktop/seabridge%20fintech/icon/TGT_pa_trend_signal</v>
      </c>
      <c r="AL587" s="42">
        <f>'1kpi_performance'!B587</f>
        <v>0.5686886561</v>
      </c>
      <c r="AM587" s="42">
        <f>'1kpi_performance'!C587</f>
        <v>0.7372464748</v>
      </c>
      <c r="AN587" s="42">
        <f>'1kpi_performance'!D587</f>
        <v>0.5852879675</v>
      </c>
      <c r="AO587" s="42">
        <f>'1kpi_performance'!E587</f>
        <v>0.2236060317</v>
      </c>
      <c r="AP587" s="42">
        <f>'1kpi_performance'!F587</f>
        <v>0.2165970356</v>
      </c>
      <c r="AQ587" s="42">
        <f>'1kpi_performance'!G587</f>
        <v>0.2100217857</v>
      </c>
      <c r="AR587" s="42">
        <f>'1kpi_performance'!H587</f>
        <v>0.2026592341</v>
      </c>
      <c r="AS587" s="42">
        <f>'1kpi_performance'!I587</f>
        <v>0.3035995353</v>
      </c>
      <c r="AT587" s="35">
        <f>'1kpi_performance'!J587</f>
        <v>2.510138953</v>
      </c>
      <c r="AU587" s="35">
        <f>'1kpi_performance'!K587</f>
        <v>3.391298061</v>
      </c>
      <c r="AV587" s="35">
        <f>'1kpi_performance'!L587</f>
        <v>2.764680179</v>
      </c>
      <c r="AW587" s="35">
        <f>'1kpi_performance'!M587</f>
        <v>0.6541710661</v>
      </c>
      <c r="AX587" s="42">
        <f>'1kpi_performance'!N587</f>
        <v>0.1355849191</v>
      </c>
      <c r="AY587" s="42">
        <f>'1kpi_performance'!O587</f>
        <v>0.08428848528</v>
      </c>
      <c r="AZ587" s="42">
        <f>'1kpi_performance'!P587</f>
        <v>0.1938607368</v>
      </c>
      <c r="BA587" s="42">
        <f>'1kpi_performance'!Q587</f>
        <v>0.4097165039</v>
      </c>
      <c r="BB587" s="35">
        <f>'1kpi_performance'!R587</f>
        <v>5.987784192</v>
      </c>
      <c r="BC587" s="35">
        <f>'1kpi_performance'!S587</f>
        <v>9.514058018</v>
      </c>
      <c r="BD587" s="35">
        <f>'1kpi_performance'!T587</f>
        <v>6.676980819</v>
      </c>
      <c r="BE587" s="35">
        <f>'1kpi_performance'!U587</f>
        <v>1.313597909</v>
      </c>
      <c r="BF587" s="47"/>
      <c r="BG587" s="47"/>
      <c r="BH587" s="47"/>
      <c r="BI587" s="47"/>
      <c r="BJ587" s="47"/>
      <c r="BK587" s="47"/>
      <c r="BL587" s="47"/>
      <c r="BM587" s="47"/>
      <c r="BN587" s="47"/>
      <c r="BO587" s="47"/>
      <c r="BP587" s="47"/>
      <c r="BQ587" s="47"/>
      <c r="BR587" s="47"/>
      <c r="BS587" s="47"/>
      <c r="BT587" s="47"/>
    </row>
    <row r="588" ht="11.25" customHeight="1">
      <c r="A588" s="35" t="str">
        <f>'13all_company_profile'!A588</f>
        <v>TIP</v>
      </c>
      <c r="B588" s="35" t="str">
        <f>'13all_company_profile'!B588</f>
        <v>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v>
      </c>
      <c r="C588" s="44" t="str">
        <f>'13all_company_profile'!C588</f>
        <v>https://financialmodelingprep.com/image-stock/TIP.jpg</v>
      </c>
      <c r="D588" s="35" t="str">
        <f>'13all_company_profile'!D588</f>
        <v>iShares TIPS Bond ETF</v>
      </c>
      <c r="E588" s="36">
        <f>'13all_company_profile'!E588</f>
        <v>22923300864</v>
      </c>
      <c r="F588" s="37">
        <f>'13all_company_profile'!F588</f>
        <v>3149884</v>
      </c>
      <c r="G588" s="35">
        <f>'13all_company_profile'!G588</f>
        <v>1.191</v>
      </c>
      <c r="H588" s="38" t="str">
        <f>'13all_company_profile'!H588</f>
        <v>not avaiable</v>
      </c>
      <c r="I588" s="35">
        <f>'13all_company_profile'!I588</f>
        <v>14.494383</v>
      </c>
      <c r="J588" s="35">
        <f>'13all_company_profile'!J588</f>
        <v>8.9</v>
      </c>
      <c r="K588" s="42">
        <f t="shared" si="1"/>
        <v>0.009230411532</v>
      </c>
      <c r="L588" s="35">
        <f>'7company_info'!B588</f>
        <v>129.03</v>
      </c>
      <c r="M588" s="35">
        <f>'7company_info'!C588</f>
        <v>129.29</v>
      </c>
      <c r="N588" s="35">
        <f>'7company_info'!D588</f>
        <v>128.88</v>
      </c>
      <c r="O588" s="35">
        <f>'7company_info'!E588</f>
        <v>-0.02</v>
      </c>
      <c r="P588" s="35">
        <f>'7company_info'!F588</f>
        <v>-0.0002</v>
      </c>
      <c r="Q588" s="35">
        <f>'7company_info'!G588</f>
        <v>129.16</v>
      </c>
      <c r="R588" s="35">
        <f>'7company_info'!H588</f>
        <v>129.05</v>
      </c>
      <c r="S588" s="35">
        <f>'7company_info'!I588</f>
        <v>123.51</v>
      </c>
      <c r="T588" s="35">
        <f>'7company_info'!J588</f>
        <v>129.53</v>
      </c>
      <c r="U588" s="39">
        <v>128.583333333333</v>
      </c>
      <c r="V588" s="39">
        <v>128.746666666666</v>
      </c>
      <c r="W588" s="40">
        <v>128.883333333333</v>
      </c>
      <c r="X588" s="40">
        <v>129.183333333333</v>
      </c>
      <c r="Y588" s="40">
        <v>128.446666666666</v>
      </c>
      <c r="Z588" s="40">
        <v>128.283333333333</v>
      </c>
      <c r="AA588" s="40">
        <v>127.983333333333</v>
      </c>
      <c r="AB588" s="40">
        <v>127.365</v>
      </c>
      <c r="AC588" s="40">
        <v>128.72</v>
      </c>
      <c r="AD588" s="40">
        <v>127.862333500739</v>
      </c>
      <c r="AE588" s="40">
        <v>127.31308</v>
      </c>
      <c r="AF588" s="40">
        <v>0.488959999999999</v>
      </c>
      <c r="AG588" s="40">
        <v>128.29</v>
      </c>
      <c r="AH588" s="45">
        <v>44326.0</v>
      </c>
      <c r="AI588" s="44" t="str">
        <f>'6image_RS_benchmark_performance'!B588</f>
        <v>https://3arbzfbsh-cname-us.ngrok.io/Desktop/seabridge%20fintech/image_app/TIP_resistance_support.jpg</v>
      </c>
      <c r="AJ588" s="44" t="str">
        <f>'6image_RS_benchmark_performance'!C588</f>
        <v>https://3arbzfbsh-cname-us.ngrok.io/Desktop/seabridge%20fintech/profit_graph_app/TIP_Return.jpg</v>
      </c>
      <c r="AK588" s="46" t="str">
        <f>'5price_action_icon'!B588</f>
        <v>https://3arbzfbsh-cname-us.ngrok.io/Desktop/seabridge%20fintech/icon/TIP_pa_trend_signal</v>
      </c>
      <c r="AL588" s="42">
        <f>'1kpi_performance'!B588</f>
        <v>0.07880860062</v>
      </c>
      <c r="AM588" s="42">
        <f>'1kpi_performance'!C588</f>
        <v>0.1096509956</v>
      </c>
      <c r="AN588" s="42">
        <f>'1kpi_performance'!D588</f>
        <v>0.09209036512</v>
      </c>
      <c r="AO588" s="42">
        <f>'1kpi_performance'!E588</f>
        <v>0.025247358</v>
      </c>
      <c r="AP588" s="42">
        <f>'1kpi_performance'!F588</f>
        <v>0.04305361052</v>
      </c>
      <c r="AQ588" s="42">
        <f>'1kpi_performance'!G588</f>
        <v>0.04690197327</v>
      </c>
      <c r="AR588" s="42">
        <f>'1kpi_performance'!H588</f>
        <v>0.04549572766</v>
      </c>
      <c r="AS588" s="42">
        <f>'1kpi_performance'!I588</f>
        <v>0.06528775436</v>
      </c>
      <c r="AT588" s="35">
        <f>'1kpi_performance'!J588</f>
        <v>1.249804604</v>
      </c>
      <c r="AU588" s="35">
        <f>'1kpi_performance'!K588</f>
        <v>1.804849343</v>
      </c>
      <c r="AV588" s="35">
        <f>'1kpi_performance'!L588</f>
        <v>1.474651985</v>
      </c>
      <c r="AW588" s="35">
        <f>'1kpi_performance'!M588</f>
        <v>0.003788735013</v>
      </c>
      <c r="AX588" s="42">
        <f>'1kpi_performance'!N588</f>
        <v>0.02214030161</v>
      </c>
      <c r="AY588" s="42">
        <f>'1kpi_performance'!O588</f>
        <v>0.02895710034</v>
      </c>
      <c r="AZ588" s="42">
        <f>'1kpi_performance'!P588</f>
        <v>0.06005759124</v>
      </c>
      <c r="BA588" s="42">
        <f>'1kpi_performance'!Q588</f>
        <v>0.1218167072</v>
      </c>
      <c r="BB588" s="35">
        <f>'1kpi_performance'!R588</f>
        <v>2.469060023</v>
      </c>
      <c r="BC588" s="35">
        <f>'1kpi_performance'!S588</f>
        <v>4.160638595</v>
      </c>
      <c r="BD588" s="35">
        <f>'1kpi_performance'!T588</f>
        <v>2.926948826</v>
      </c>
      <c r="BE588" s="35">
        <f>'1kpi_performance'!U588</f>
        <v>0.007297206141</v>
      </c>
      <c r="BF588" s="47"/>
      <c r="BG588" s="47"/>
      <c r="BH588" s="47"/>
      <c r="BI588" s="47"/>
      <c r="BJ588" s="47"/>
      <c r="BK588" s="47"/>
      <c r="BL588" s="47"/>
      <c r="BM588" s="47"/>
      <c r="BN588" s="47"/>
      <c r="BO588" s="47"/>
      <c r="BP588" s="47"/>
      <c r="BQ588" s="47"/>
      <c r="BR588" s="47"/>
      <c r="BS588" s="47"/>
      <c r="BT588" s="47"/>
    </row>
    <row r="589" ht="11.25" customHeight="1">
      <c r="A589" s="35" t="str">
        <f>'13all_company_profile'!A589</f>
        <v>TJX</v>
      </c>
      <c r="B589" s="35" t="str">
        <f>'13all_company_profile'!B589</f>
        <v>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v>
      </c>
      <c r="C589" s="44" t="str">
        <f>'13all_company_profile'!C589</f>
        <v>https://financialmodelingprep.com/image-stock/TJX.png</v>
      </c>
      <c r="D589" s="35" t="str">
        <f>'13all_company_profile'!D589</f>
        <v>The TJX Companies, Inc.</v>
      </c>
      <c r="E589" s="36">
        <f>'13all_company_profile'!E589</f>
        <v>82125774848</v>
      </c>
      <c r="F589" s="37">
        <f>'13all_company_profile'!F589</f>
        <v>6329150</v>
      </c>
      <c r="G589" s="35">
        <f>'13all_company_profile'!G589</f>
        <v>0.52</v>
      </c>
      <c r="H589" s="38" t="str">
        <f>'13all_company_profile'!H589</f>
        <v>not avaiable</v>
      </c>
      <c r="I589" s="35">
        <f>'13all_company_profile'!I589</f>
        <v>54.56311</v>
      </c>
      <c r="J589" s="35">
        <f>'13all_company_profile'!J589</f>
        <v>1.236</v>
      </c>
      <c r="K589" s="42">
        <f t="shared" si="1"/>
        <v>0.007819548872</v>
      </c>
      <c r="L589" s="35">
        <f>'7company_info'!B589</f>
        <v>66.5</v>
      </c>
      <c r="M589" s="35">
        <f>'7company_info'!C589</f>
        <v>66.86</v>
      </c>
      <c r="N589" s="35">
        <f>'7company_info'!D589</f>
        <v>64.43</v>
      </c>
      <c r="O589" s="35">
        <f>'7company_info'!E589</f>
        <v>1.47</v>
      </c>
      <c r="P589" s="35">
        <f>'7company_info'!F589</f>
        <v>0.0226</v>
      </c>
      <c r="Q589" s="35">
        <f>'7company_info'!G589</f>
        <v>64.8</v>
      </c>
      <c r="R589" s="35">
        <f>'7company_info'!H589</f>
        <v>65.03</v>
      </c>
      <c r="S589" s="35">
        <f>'7company_info'!I589</f>
        <v>50.06</v>
      </c>
      <c r="T589" s="35">
        <f>'7company_info'!J589</f>
        <v>74.65</v>
      </c>
      <c r="U589" s="39">
        <v>68.6033333333333</v>
      </c>
      <c r="V589" s="39">
        <v>69.2566666666666</v>
      </c>
      <c r="W589" s="40">
        <v>69.8733333333333</v>
      </c>
      <c r="X589" s="40">
        <v>71.1433333333333</v>
      </c>
      <c r="Y589" s="40">
        <v>67.9866666666666</v>
      </c>
      <c r="Z589" s="40">
        <v>67.3333333333333</v>
      </c>
      <c r="AA589" s="40">
        <v>66.0633333333333</v>
      </c>
      <c r="AB589" s="40">
        <v>63.25</v>
      </c>
      <c r="AC589" s="40">
        <v>65.19</v>
      </c>
      <c r="AD589" s="40">
        <v>67.307872029051</v>
      </c>
      <c r="AE589" s="40">
        <v>65.3188</v>
      </c>
      <c r="AF589" s="40">
        <v>1.2041</v>
      </c>
      <c r="AG589" s="40">
        <v>74.65</v>
      </c>
      <c r="AH589" s="45">
        <v>44326.0</v>
      </c>
      <c r="AI589" s="44" t="str">
        <f>'6image_RS_benchmark_performance'!B589</f>
        <v>https://3arbzfbsh-cname-us.ngrok.io/Desktop/seabridge%20fintech/image_app/TJX_resistance_support.jpg</v>
      </c>
      <c r="AJ589" s="44" t="str">
        <f>'6image_RS_benchmark_performance'!C589</f>
        <v>https://3arbzfbsh-cname-us.ngrok.io/Desktop/seabridge%20fintech/profit_graph_app/TJX_Return.jpg</v>
      </c>
      <c r="AK589" s="46" t="str">
        <f>'5price_action_icon'!B589</f>
        <v>https://3arbzfbsh-cname-us.ngrok.io/Desktop/seabridge%20fintech/icon/TJX_pa_trend_signal</v>
      </c>
      <c r="AL589" s="42">
        <f>'1kpi_performance'!B589</f>
        <v>0.4364946333</v>
      </c>
      <c r="AM589" s="42">
        <f>'1kpi_performance'!C589</f>
        <v>0.6666911507</v>
      </c>
      <c r="AN589" s="42">
        <f>'1kpi_performance'!D589</f>
        <v>0.4091027586</v>
      </c>
      <c r="AO589" s="42">
        <f>'1kpi_performance'!E589</f>
        <v>0.2843557373</v>
      </c>
      <c r="AP589" s="42">
        <f>'1kpi_performance'!F589</f>
        <v>0.1951872016</v>
      </c>
      <c r="AQ589" s="42">
        <f>'1kpi_performance'!G589</f>
        <v>0.2160544426</v>
      </c>
      <c r="AR589" s="42">
        <f>'1kpi_performance'!H589</f>
        <v>0.2129076822</v>
      </c>
      <c r="AS589" s="42">
        <f>'1kpi_performance'!I589</f>
        <v>0.3010600359</v>
      </c>
      <c r="AT589" s="35">
        <f>'1kpi_performance'!J589</f>
        <v>2.108204995</v>
      </c>
      <c r="AU589" s="35">
        <f>'1kpi_performance'!K589</f>
        <v>2.970043768</v>
      </c>
      <c r="AV589" s="35">
        <f>'1kpi_performance'!L589</f>
        <v>1.804081255</v>
      </c>
      <c r="AW589" s="35">
        <f>'1kpi_performance'!M589</f>
        <v>0.8614751425</v>
      </c>
      <c r="AX589" s="42">
        <f>'1kpi_performance'!N589</f>
        <v>0.1743027859</v>
      </c>
      <c r="AY589" s="42">
        <f>'1kpi_performance'!O589</f>
        <v>0.1459549625</v>
      </c>
      <c r="AZ589" s="42">
        <f>'1kpi_performance'!P589</f>
        <v>0.4096675767</v>
      </c>
      <c r="BA589" s="42">
        <f>'1kpi_performance'!Q589</f>
        <v>0.4255352399</v>
      </c>
      <c r="BB589" s="35">
        <f>'1kpi_performance'!R589</f>
        <v>4.643638644</v>
      </c>
      <c r="BC589" s="35">
        <f>'1kpi_performance'!S589</f>
        <v>7.084422583</v>
      </c>
      <c r="BD589" s="35">
        <f>'1kpi_performance'!T589</f>
        <v>3.427867225</v>
      </c>
      <c r="BE589" s="35">
        <f>'1kpi_performance'!U589</f>
        <v>1.708957328</v>
      </c>
      <c r="BF589" s="47"/>
      <c r="BG589" s="47"/>
      <c r="BH589" s="47"/>
      <c r="BI589" s="47"/>
      <c r="BJ589" s="47"/>
      <c r="BK589" s="47"/>
      <c r="BL589" s="47"/>
      <c r="BM589" s="47"/>
      <c r="BN589" s="47"/>
      <c r="BO589" s="47"/>
      <c r="BP589" s="47"/>
      <c r="BQ589" s="47"/>
      <c r="BR589" s="47"/>
      <c r="BS589" s="47"/>
      <c r="BT589" s="47"/>
    </row>
    <row r="590" ht="11.25" customHeight="1">
      <c r="A590" s="35" t="str">
        <f>'13all_company_profile'!A590</f>
        <v>TLT</v>
      </c>
      <c r="B590" s="35" t="str">
        <f>'13all_company_profile'!B590</f>
        <v>TLT was created on 07/22/02 by Blackrock. The iShares 20+ Year Treasury Bond ETF (the “Fund”) seeks to track the investmentresults of an index composed of U.S. Treasury bonds with remaining maturities greaterthan twenty years.</v>
      </c>
      <c r="C590" s="44" t="str">
        <f>'13all_company_profile'!C590</f>
        <v>https://financialmodelingprep.com/image-stock/TLT.png</v>
      </c>
      <c r="D590" s="35" t="str">
        <f>'13all_company_profile'!D590</f>
        <v>iShares 20+ Year Treasury Bond ETF</v>
      </c>
      <c r="E590" s="36">
        <f>'13all_company_profile'!E590</f>
        <v>16289353728</v>
      </c>
      <c r="F590" s="37">
        <f>'13all_company_profile'!F590</f>
        <v>14478826</v>
      </c>
      <c r="G590" s="35">
        <f>'13all_company_profile'!G590</f>
        <v>2.161</v>
      </c>
      <c r="H590" s="38" t="str">
        <f>'13all_company_profile'!H590</f>
        <v>not avaiable</v>
      </c>
      <c r="I590" s="35" t="str">
        <f>'13all_company_profile'!I590</f>
        <v>NaN</v>
      </c>
      <c r="J590" s="35">
        <f>'13all_company_profile'!J590</f>
        <v>-11.779</v>
      </c>
      <c r="K590" s="42">
        <f t="shared" si="1"/>
        <v>0.01440666667</v>
      </c>
      <c r="L590" s="35">
        <f>'7company_info'!B590</f>
        <v>150</v>
      </c>
      <c r="M590" s="35">
        <f>'7company_info'!C590</f>
        <v>152.71</v>
      </c>
      <c r="N590" s="35">
        <f>'7company_info'!D590</f>
        <v>149.76</v>
      </c>
      <c r="O590" s="35">
        <f>'7company_info'!E590</f>
        <v>-1.46</v>
      </c>
      <c r="P590" s="35">
        <f>'7company_info'!F590</f>
        <v>-0.0096</v>
      </c>
      <c r="Q590" s="35">
        <f>'7company_info'!G590</f>
        <v>152.53</v>
      </c>
      <c r="R590" s="35">
        <f>'7company_info'!H590</f>
        <v>151.46</v>
      </c>
      <c r="S590" s="35">
        <f>'7company_info'!I590</f>
        <v>133.19</v>
      </c>
      <c r="T590" s="35">
        <f>'7company_info'!J590</f>
        <v>172.25</v>
      </c>
      <c r="U590" s="39">
        <v>146.533333333333</v>
      </c>
      <c r="V590" s="39">
        <v>147.256666666666</v>
      </c>
      <c r="W590" s="40">
        <v>147.643333333333</v>
      </c>
      <c r="X590" s="40">
        <v>148.753333333333</v>
      </c>
      <c r="Y590" s="40">
        <v>146.146666666666</v>
      </c>
      <c r="Z590" s="40">
        <v>145.423333333333</v>
      </c>
      <c r="AA590" s="40">
        <v>144.313333333333</v>
      </c>
      <c r="AB590" s="40">
        <v>142.7</v>
      </c>
      <c r="AC590" s="40">
        <v>147.46</v>
      </c>
      <c r="AD590" s="40">
        <v>144.637800493238</v>
      </c>
      <c r="AE590" s="40">
        <v>141.8425</v>
      </c>
      <c r="AF590" s="40">
        <v>1.73674999999999</v>
      </c>
      <c r="AG590" s="40">
        <v>154.5</v>
      </c>
      <c r="AH590" s="45">
        <v>44223.0</v>
      </c>
      <c r="AI590" s="44" t="str">
        <f>'6image_RS_benchmark_performance'!B590</f>
        <v>https://3arbzfbsh-cname-us.ngrok.io/Desktop/seabridge%20fintech/image_app/TLT_resistance_support.jpg</v>
      </c>
      <c r="AJ590" s="44" t="str">
        <f>'6image_RS_benchmark_performance'!C590</f>
        <v>https://3arbzfbsh-cname-us.ngrok.io/Desktop/seabridge%20fintech/profit_graph_app/TLT_Return.jpg</v>
      </c>
      <c r="AK590" s="46" t="str">
        <f>'5price_action_icon'!B590</f>
        <v>https://3arbzfbsh-cname-us.ngrok.io/Desktop/seabridge%20fintech/icon/TLT_pa_trend_signal</v>
      </c>
      <c r="AL590" s="42">
        <f>'1kpi_performance'!B590</f>
        <v>0.1908219403</v>
      </c>
      <c r="AM590" s="42">
        <f>'1kpi_performance'!C590</f>
        <v>0.3318473589</v>
      </c>
      <c r="AN590" s="42">
        <f>'1kpi_performance'!D590</f>
        <v>0.235058788</v>
      </c>
      <c r="AO590" s="42">
        <f>'1kpi_performance'!E590</f>
        <v>0.05979048508</v>
      </c>
      <c r="AP590" s="42">
        <f>'1kpi_performance'!F590</f>
        <v>0.1218828646</v>
      </c>
      <c r="AQ590" s="42">
        <f>'1kpi_performance'!G590</f>
        <v>0.1202560864</v>
      </c>
      <c r="AR590" s="42">
        <f>'1kpi_performance'!H590</f>
        <v>0.1172796735</v>
      </c>
      <c r="AS590" s="42">
        <f>'1kpi_performance'!I590</f>
        <v>0.1745397452</v>
      </c>
      <c r="AT590" s="35">
        <f>'1kpi_performance'!J590</f>
        <v>1.360502486</v>
      </c>
      <c r="AU590" s="35">
        <f>'1kpi_performance'!K590</f>
        <v>2.551616039</v>
      </c>
      <c r="AV590" s="35">
        <f>'1kpi_performance'!L590</f>
        <v>1.791092878</v>
      </c>
      <c r="AW590" s="35">
        <f>'1kpi_performance'!M590</f>
        <v>0.1993270073</v>
      </c>
      <c r="AX590" s="42">
        <f>'1kpi_performance'!N590</f>
        <v>0.08503022133</v>
      </c>
      <c r="AY590" s="42">
        <f>'1kpi_performance'!O590</f>
        <v>0.05044945881</v>
      </c>
      <c r="AZ590" s="42">
        <f>'1kpi_performance'!P590</f>
        <v>0.1346508537</v>
      </c>
      <c r="BA590" s="42">
        <f>'1kpi_performance'!Q590</f>
        <v>0.2296458838</v>
      </c>
      <c r="BB590" s="35">
        <f>'1kpi_performance'!R590</f>
        <v>2.701497656</v>
      </c>
      <c r="BC590" s="35">
        <f>'1kpi_performance'!S590</f>
        <v>5.613624033</v>
      </c>
      <c r="BD590" s="35">
        <f>'1kpi_performance'!T590</f>
        <v>3.516835939</v>
      </c>
      <c r="BE590" s="35">
        <f>'1kpi_performance'!U590</f>
        <v>0.3968223891</v>
      </c>
      <c r="BF590" s="47"/>
      <c r="BG590" s="47"/>
      <c r="BH590" s="47"/>
      <c r="BI590" s="47"/>
      <c r="BJ590" s="47"/>
      <c r="BK590" s="47"/>
      <c r="BL590" s="47"/>
      <c r="BM590" s="47"/>
      <c r="BN590" s="47"/>
      <c r="BO590" s="47"/>
      <c r="BP590" s="47"/>
      <c r="BQ590" s="47"/>
      <c r="BR590" s="47"/>
      <c r="BS590" s="47"/>
      <c r="BT590" s="47"/>
    </row>
    <row r="591" ht="11.25" customHeight="1">
      <c r="A591" s="35" t="str">
        <f>'13all_company_profile'!A591</f>
        <v>TMO</v>
      </c>
      <c r="B591" s="35" t="str">
        <f>'13all_company_profile'!B591</f>
        <v>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v>
      </c>
      <c r="C591" s="44" t="str">
        <f>'13all_company_profile'!C591</f>
        <v>https://financialmodelingprep.com/image-stock/TMO.png</v>
      </c>
      <c r="D591" s="35" t="str">
        <f>'13all_company_profile'!D591</f>
        <v>Thermo Fisher Scientific Inc.</v>
      </c>
      <c r="E591" s="36">
        <f>'13all_company_profile'!E591</f>
        <v>202205036544</v>
      </c>
      <c r="F591" s="37">
        <f>'13all_company_profile'!F591</f>
        <v>1741138</v>
      </c>
      <c r="G591" s="35">
        <f>'13all_company_profile'!G591</f>
        <v>0.96</v>
      </c>
      <c r="H591" s="38">
        <f>'13all_company_profile'!H591</f>
        <v>44397</v>
      </c>
      <c r="I591" s="35">
        <f>'13all_company_profile'!I591</f>
        <v>26.190813</v>
      </c>
      <c r="J591" s="35">
        <f>'13all_company_profile'!J591</f>
        <v>19.873</v>
      </c>
      <c r="K591" s="42">
        <f t="shared" si="1"/>
        <v>0.001837039305</v>
      </c>
      <c r="L591" s="35">
        <f>'7company_info'!B591</f>
        <v>522.58</v>
      </c>
      <c r="M591" s="35">
        <f>'7company_info'!C591</f>
        <v>529.55</v>
      </c>
      <c r="N591" s="35">
        <f>'7company_info'!D591</f>
        <v>520.05</v>
      </c>
      <c r="O591" s="35">
        <f>'7company_info'!E591</f>
        <v>0.96</v>
      </c>
      <c r="P591" s="35">
        <f>'7company_info'!F591</f>
        <v>0.0018</v>
      </c>
      <c r="Q591" s="35">
        <f>'7company_info'!G591</f>
        <v>521.86</v>
      </c>
      <c r="R591" s="35">
        <f>'7company_info'!H591</f>
        <v>521.62</v>
      </c>
      <c r="S591" s="35">
        <f>'7company_info'!I591</f>
        <v>397.19</v>
      </c>
      <c r="T591" s="35">
        <f>'7company_info'!J591</f>
        <v>532.57</v>
      </c>
      <c r="U591" s="39">
        <v>512.38</v>
      </c>
      <c r="V591" s="39">
        <v>515.29</v>
      </c>
      <c r="W591" s="40">
        <v>519.8</v>
      </c>
      <c r="X591" s="40">
        <v>527.219999999999</v>
      </c>
      <c r="Y591" s="40">
        <v>507.87</v>
      </c>
      <c r="Z591" s="40">
        <v>504.96</v>
      </c>
      <c r="AA591" s="40">
        <v>497.54</v>
      </c>
      <c r="AB591" s="40">
        <v>480.442</v>
      </c>
      <c r="AC591" s="40">
        <v>520.93</v>
      </c>
      <c r="AD591" s="40">
        <v>501.435776906635</v>
      </c>
      <c r="AE591" s="40">
        <v>497.54854</v>
      </c>
      <c r="AF591" s="40">
        <v>8.45423999999999</v>
      </c>
      <c r="AG591" s="40">
        <v>526.5948</v>
      </c>
      <c r="AH591" s="45">
        <v>44228.0</v>
      </c>
      <c r="AI591" s="44" t="str">
        <f>'6image_RS_benchmark_performance'!B591</f>
        <v>https://3arbzfbsh-cname-us.ngrok.io/Desktop/seabridge%20fintech/image_app/TMO_resistance_support.jpg</v>
      </c>
      <c r="AJ591" s="44" t="str">
        <f>'6image_RS_benchmark_performance'!C591</f>
        <v>https://3arbzfbsh-cname-us.ngrok.io/Desktop/seabridge%20fintech/profit_graph_app/TMO_Return.jpg</v>
      </c>
      <c r="AK591" s="46" t="str">
        <f>'5price_action_icon'!B591</f>
        <v>https://3arbzfbsh-cname-us.ngrok.io/Desktop/seabridge%20fintech/icon/TMO_pa_trend_signal</v>
      </c>
      <c r="AL591" s="42">
        <f>'1kpi_performance'!B591</f>
        <v>0.6318298702</v>
      </c>
      <c r="AM591" s="42">
        <f>'1kpi_performance'!C591</f>
        <v>0.7535092112</v>
      </c>
      <c r="AN591" s="42">
        <f>'1kpi_performance'!D591</f>
        <v>0.5642028418</v>
      </c>
      <c r="AO591" s="42">
        <f>'1kpi_performance'!E591</f>
        <v>0.3434889499</v>
      </c>
      <c r="AP591" s="42">
        <f>'1kpi_performance'!F591</f>
        <v>0.1905858036</v>
      </c>
      <c r="AQ591" s="42">
        <f>'1kpi_performance'!G591</f>
        <v>0.1948680411</v>
      </c>
      <c r="AR591" s="42">
        <f>'1kpi_performance'!H591</f>
        <v>0.2092865725</v>
      </c>
      <c r="AS591" s="42">
        <f>'1kpi_performance'!I591</f>
        <v>0.2920744989</v>
      </c>
      <c r="AT591" s="35">
        <f>'1kpi_performance'!J591</f>
        <v>3.184024511</v>
      </c>
      <c r="AU591" s="35">
        <f>'1kpi_performance'!K591</f>
        <v>3.738474544</v>
      </c>
      <c r="AV591" s="35">
        <f>'1kpi_performance'!L591</f>
        <v>2.576385266</v>
      </c>
      <c r="AW591" s="35">
        <f>'1kpi_performance'!M591</f>
        <v>1.090437375</v>
      </c>
      <c r="AX591" s="42">
        <f>'1kpi_performance'!N591</f>
        <v>0.1183056478</v>
      </c>
      <c r="AY591" s="42">
        <f>'1kpi_performance'!O591</f>
        <v>0.1008558835</v>
      </c>
      <c r="AZ591" s="42">
        <f>'1kpi_performance'!P591</f>
        <v>0.2319508449</v>
      </c>
      <c r="BA591" s="42">
        <f>'1kpi_performance'!Q591</f>
        <v>0.3359768187</v>
      </c>
      <c r="BB591" s="35">
        <f>'1kpi_performance'!R591</f>
        <v>6.911827935</v>
      </c>
      <c r="BC591" s="35">
        <f>'1kpi_performance'!S591</f>
        <v>8.52774766</v>
      </c>
      <c r="BD591" s="35">
        <f>'1kpi_performance'!T591</f>
        <v>5.130575377</v>
      </c>
      <c r="BE591" s="35">
        <f>'1kpi_performance'!U591</f>
        <v>2.150645964</v>
      </c>
      <c r="BF591" s="47"/>
      <c r="BG591" s="47"/>
      <c r="BH591" s="47"/>
      <c r="BI591" s="47"/>
      <c r="BJ591" s="47"/>
      <c r="BK591" s="47"/>
      <c r="BL591" s="47"/>
      <c r="BM591" s="47"/>
      <c r="BN591" s="47"/>
      <c r="BO591" s="47"/>
      <c r="BP591" s="47"/>
      <c r="BQ591" s="47"/>
      <c r="BR591" s="47"/>
      <c r="BS591" s="47"/>
      <c r="BT591" s="47"/>
    </row>
    <row r="592" ht="11.25" customHeight="1">
      <c r="A592" s="35" t="str">
        <f>'13all_company_profile'!A592</f>
        <v>TMUS</v>
      </c>
      <c r="B592" s="35" t="str">
        <f>'13all_company_profile'!B592</f>
        <v>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v>
      </c>
      <c r="C592" s="44" t="str">
        <f>'13all_company_profile'!C592</f>
        <v>https://financialmodelingprep.com/image-stock/TMUS.png</v>
      </c>
      <c r="D592" s="35" t="str">
        <f>'13all_company_profile'!D592</f>
        <v>T-Mobile US, Inc.</v>
      </c>
      <c r="E592" s="36">
        <f>'13all_company_profile'!E592</f>
        <v>184959205376</v>
      </c>
      <c r="F592" s="37">
        <f>'13all_company_profile'!F592</f>
        <v>3948107</v>
      </c>
      <c r="G592" s="35">
        <f>'13all_company_profile'!G592</f>
        <v>0</v>
      </c>
      <c r="H592" s="38">
        <f>'13all_company_profile'!H592</f>
        <v>44412</v>
      </c>
      <c r="I592" s="35">
        <f>'13all_company_profile'!I592</f>
        <v>61.626755</v>
      </c>
      <c r="J592" s="35">
        <f>'13all_company_profile'!J592</f>
        <v>2.422</v>
      </c>
      <c r="K592" s="42" t="str">
        <f t="shared" si="1"/>
        <v>NaN</v>
      </c>
      <c r="L592" s="35">
        <f>'7company_info'!B592</f>
        <v>144.4</v>
      </c>
      <c r="M592" s="35">
        <f>'7company_info'!C592</f>
        <v>145.69</v>
      </c>
      <c r="N592" s="35">
        <f>'7company_info'!D592</f>
        <v>144.11</v>
      </c>
      <c r="O592" s="35">
        <f>'7company_info'!E592</f>
        <v>-0.21</v>
      </c>
      <c r="P592" s="35">
        <f>'7company_info'!F592</f>
        <v>-0.0015</v>
      </c>
      <c r="Q592" s="35">
        <f>'7company_info'!G592</f>
        <v>144.79</v>
      </c>
      <c r="R592" s="35">
        <f>'7company_info'!H592</f>
        <v>144.61</v>
      </c>
      <c r="S592" s="35">
        <f>'7company_info'!I592</f>
        <v>104</v>
      </c>
      <c r="T592" s="35">
        <f>'7company_info'!J592</f>
        <v>150.2</v>
      </c>
      <c r="U592" s="39">
        <v>148.919966666666</v>
      </c>
      <c r="V592" s="39">
        <v>149.819933333333</v>
      </c>
      <c r="W592" s="40">
        <v>150.739866666666</v>
      </c>
      <c r="X592" s="40">
        <v>152.559766666666</v>
      </c>
      <c r="Y592" s="40">
        <v>148.000033333333</v>
      </c>
      <c r="Z592" s="40">
        <v>147.100066666666</v>
      </c>
      <c r="AA592" s="40">
        <v>145.280166666666</v>
      </c>
      <c r="AB592" s="40">
        <v>144.87</v>
      </c>
      <c r="AC592" s="40">
        <v>149.8399</v>
      </c>
      <c r="AD592" s="40">
        <v>145.877292454302</v>
      </c>
      <c r="AE592" s="40">
        <v>144.0669</v>
      </c>
      <c r="AF592" s="40">
        <v>1.867545</v>
      </c>
      <c r="AG592" s="40">
        <v>148.695</v>
      </c>
      <c r="AH592" s="45">
        <v>44357.0</v>
      </c>
      <c r="AI592" s="44" t="str">
        <f>'6image_RS_benchmark_performance'!B592</f>
        <v>https://3arbzfbsh-cname-us.ngrok.io/Desktop/seabridge%20fintech/image_app/TMUS_resistance_support.jpg</v>
      </c>
      <c r="AJ592" s="44" t="str">
        <f>'6image_RS_benchmark_performance'!C592</f>
        <v>https://3arbzfbsh-cname-us.ngrok.io/Desktop/seabridge%20fintech/profit_graph_app/TMUS_Return.jpg</v>
      </c>
      <c r="AK592" s="46" t="str">
        <f>'5price_action_icon'!B592</f>
        <v>https://3arbzfbsh-cname-us.ngrok.io/Desktop/seabridge%20fintech/icon/TMUS_pa_trend_signal</v>
      </c>
      <c r="AL592" s="42">
        <f>'1kpi_performance'!B592</f>
        <v>0.7627580531</v>
      </c>
      <c r="AM592" s="42">
        <f>'1kpi_performance'!C592</f>
        <v>1.164232833</v>
      </c>
      <c r="AN592" s="42">
        <f>'1kpi_performance'!D592</f>
        <v>0.6705330455</v>
      </c>
      <c r="AO592" s="42">
        <f>'1kpi_performance'!E592</f>
        <v>0.4422097675</v>
      </c>
      <c r="AP592" s="42">
        <f>'1kpi_performance'!F592</f>
        <v>0.3149241077</v>
      </c>
      <c r="AQ592" s="42">
        <f>'1kpi_performance'!G592</f>
        <v>0.3332658127</v>
      </c>
      <c r="AR592" s="42">
        <f>'1kpi_performance'!H592</f>
        <v>0.3045392306</v>
      </c>
      <c r="AS592" s="42">
        <f>'1kpi_performance'!I592</f>
        <v>0.4460416532</v>
      </c>
      <c r="AT592" s="35">
        <f>'1kpi_performance'!J592</f>
        <v>2.342653468</v>
      </c>
      <c r="AU592" s="35">
        <f>'1kpi_performance'!K592</f>
        <v>3.418390936</v>
      </c>
      <c r="AV592" s="35">
        <f>'1kpi_performance'!L592</f>
        <v>2.119704067</v>
      </c>
      <c r="AW592" s="35">
        <f>'1kpi_performance'!M592</f>
        <v>0.9353605534</v>
      </c>
      <c r="AX592" s="42">
        <f>'1kpi_performance'!N592</f>
        <v>0.3297573994</v>
      </c>
      <c r="AY592" s="42">
        <f>'1kpi_performance'!O592</f>
        <v>0.1905256996</v>
      </c>
      <c r="AZ592" s="42">
        <f>'1kpi_performance'!P592</f>
        <v>0.5213117229</v>
      </c>
      <c r="BA592" s="42">
        <f>'1kpi_performance'!Q592</f>
        <v>0.7009098819</v>
      </c>
      <c r="BB592" s="35">
        <f>'1kpi_performance'!R592</f>
        <v>5.45756209</v>
      </c>
      <c r="BC592" s="35">
        <f>'1kpi_performance'!S592</f>
        <v>8.839594428</v>
      </c>
      <c r="BD592" s="35">
        <f>'1kpi_performance'!T592</f>
        <v>3.917101614</v>
      </c>
      <c r="BE592" s="35">
        <f>'1kpi_performance'!U592</f>
        <v>1.851675975</v>
      </c>
      <c r="BF592" s="47"/>
      <c r="BG592" s="47"/>
      <c r="BH592" s="47"/>
      <c r="BI592" s="47"/>
      <c r="BJ592" s="47"/>
      <c r="BK592" s="47"/>
      <c r="BL592" s="47"/>
      <c r="BM592" s="47"/>
      <c r="BN592" s="47"/>
      <c r="BO592" s="47"/>
      <c r="BP592" s="47"/>
      <c r="BQ592" s="47"/>
      <c r="BR592" s="47"/>
      <c r="BS592" s="47"/>
      <c r="BT592" s="47"/>
    </row>
    <row r="593" ht="11.25" customHeight="1">
      <c r="A593" s="35" t="str">
        <f>'13all_company_profile'!A593</f>
        <v>TPR</v>
      </c>
      <c r="B593" s="35" t="str">
        <f>'13all_company_profile'!B593</f>
        <v>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v>
      </c>
      <c r="C593" s="44" t="str">
        <f>'13all_company_profile'!C593</f>
        <v>https://financialmodelingprep.com/image-stock/TPR.png</v>
      </c>
      <c r="D593" s="35" t="str">
        <f>'13all_company_profile'!D593</f>
        <v>Tapestry, Inc.</v>
      </c>
      <c r="E593" s="36">
        <f>'13all_company_profile'!E593</f>
        <v>11324423168</v>
      </c>
      <c r="F593" s="37">
        <f>'13all_company_profile'!F593</f>
        <v>3416452</v>
      </c>
      <c r="G593" s="35">
        <f>'13all_company_profile'!G593</f>
        <v>0.338</v>
      </c>
      <c r="H593" s="38" t="str">
        <f>'13all_company_profile'!H593</f>
        <v>not avaiable</v>
      </c>
      <c r="I593" s="35">
        <f>'13all_company_profile'!I593</f>
        <v>32.305786</v>
      </c>
      <c r="J593" s="35">
        <f>'13all_company_profile'!J593</f>
        <v>1.21</v>
      </c>
      <c r="K593" s="42">
        <f t="shared" si="1"/>
        <v>0.008576503426</v>
      </c>
      <c r="L593" s="35">
        <f>'7company_info'!B593</f>
        <v>39.41</v>
      </c>
      <c r="M593" s="35">
        <f>'7company_info'!C593</f>
        <v>39.77</v>
      </c>
      <c r="N593" s="35">
        <f>'7company_info'!D593</f>
        <v>37.67</v>
      </c>
      <c r="O593" s="35">
        <f>'7company_info'!E593</f>
        <v>1.6</v>
      </c>
      <c r="P593" s="35">
        <f>'7company_info'!F593</f>
        <v>0.0423</v>
      </c>
      <c r="Q593" s="35">
        <f>'7company_info'!G593</f>
        <v>37.83</v>
      </c>
      <c r="R593" s="35">
        <f>'7company_info'!H593</f>
        <v>37.81</v>
      </c>
      <c r="S593" s="35">
        <f>'7company_info'!I593</f>
        <v>12.94</v>
      </c>
      <c r="T593" s="35">
        <f>'7company_info'!J593</f>
        <v>49.67</v>
      </c>
      <c r="U593" s="39">
        <v>41.7066666666666</v>
      </c>
      <c r="V593" s="39">
        <v>42.0633333333333</v>
      </c>
      <c r="W593" s="40">
        <v>42.6866666666666</v>
      </c>
      <c r="X593" s="40">
        <v>43.6666666666666</v>
      </c>
      <c r="Y593" s="40">
        <v>41.0833333333333</v>
      </c>
      <c r="Z593" s="40">
        <v>40.7266666666666</v>
      </c>
      <c r="AA593" s="40">
        <v>39.7466666666666</v>
      </c>
      <c r="AB593" s="40">
        <v>40.88</v>
      </c>
      <c r="AC593" s="40">
        <v>43.13</v>
      </c>
      <c r="AD593" s="40">
        <v>42.306322039238</v>
      </c>
      <c r="AE593" s="40">
        <v>38.61374</v>
      </c>
      <c r="AF593" s="40">
        <v>1.46775</v>
      </c>
      <c r="AG593" s="40">
        <v>49.665</v>
      </c>
      <c r="AH593" s="45">
        <v>44323.0</v>
      </c>
      <c r="AI593" s="44" t="str">
        <f>'6image_RS_benchmark_performance'!B593</f>
        <v>https://3arbzfbsh-cname-us.ngrok.io/Desktop/seabridge%20fintech/image_app/TPR_resistance_support.jpg</v>
      </c>
      <c r="AJ593" s="44" t="str">
        <f>'6image_RS_benchmark_performance'!C593</f>
        <v>https://3arbzfbsh-cname-us.ngrok.io/Desktop/seabridge%20fintech/profit_graph_app/TPR_Return.jpg</v>
      </c>
      <c r="AK593" s="46" t="str">
        <f>'5price_action_icon'!B593</f>
        <v>https://3arbzfbsh-cname-us.ngrok.io/Desktop/seabridge%20fintech/icon/TPR_pa_trend_signal</v>
      </c>
      <c r="AL593" s="42">
        <f>'1kpi_performance'!B593</f>
        <v>0.6245421114</v>
      </c>
      <c r="AM593" s="42">
        <f>'1kpi_performance'!C593</f>
        <v>0.9641912686</v>
      </c>
      <c r="AN593" s="42">
        <f>'1kpi_performance'!D593</f>
        <v>0.7071854199</v>
      </c>
      <c r="AO593" s="42">
        <f>'1kpi_performance'!E593</f>
        <v>0.02459020936</v>
      </c>
      <c r="AP593" s="42">
        <f>'1kpi_performance'!F593</f>
        <v>0.3108381592</v>
      </c>
      <c r="AQ593" s="42">
        <f>'1kpi_performance'!G593</f>
        <v>0.2937368844</v>
      </c>
      <c r="AR593" s="42">
        <f>'1kpi_performance'!H593</f>
        <v>0.3066411</v>
      </c>
      <c r="AS593" s="42">
        <f>'1kpi_performance'!I593</f>
        <v>0.4766503404</v>
      </c>
      <c r="AT593" s="35">
        <f>'1kpi_performance'!J593</f>
        <v>1.92879186</v>
      </c>
      <c r="AU593" s="35">
        <f>'1kpi_performance'!K593</f>
        <v>3.197389631</v>
      </c>
      <c r="AV593" s="35">
        <f>'1kpi_performance'!L593</f>
        <v>2.224703146</v>
      </c>
      <c r="AW593" s="35">
        <f>'1kpi_performance'!M593</f>
        <v>-0.0008597300889</v>
      </c>
      <c r="AX593" s="42">
        <f>'1kpi_performance'!N593</f>
        <v>0.2737467018</v>
      </c>
      <c r="AY593" s="42">
        <f>'1kpi_performance'!O593</f>
        <v>0.157271175</v>
      </c>
      <c r="AZ593" s="42">
        <f>'1kpi_performance'!P593</f>
        <v>0.30082351</v>
      </c>
      <c r="BA593" s="42">
        <f>'1kpi_performance'!Q593</f>
        <v>0.8661267873</v>
      </c>
      <c r="BB593" s="35">
        <f>'1kpi_performance'!R593</f>
        <v>3.851918939</v>
      </c>
      <c r="BC593" s="35">
        <f>'1kpi_performance'!S593</f>
        <v>7.379177431</v>
      </c>
      <c r="BD593" s="35">
        <f>'1kpi_performance'!T593</f>
        <v>4.569116613</v>
      </c>
      <c r="BE593" s="35">
        <f>'1kpi_performance'!U593</f>
        <v>-0.001562932033</v>
      </c>
      <c r="BF593" s="47"/>
      <c r="BG593" s="47"/>
      <c r="BH593" s="47"/>
      <c r="BI593" s="47"/>
      <c r="BJ593" s="47"/>
      <c r="BK593" s="47"/>
      <c r="BL593" s="47"/>
      <c r="BM593" s="47"/>
      <c r="BN593" s="47"/>
      <c r="BO593" s="47"/>
      <c r="BP593" s="47"/>
      <c r="BQ593" s="47"/>
      <c r="BR593" s="47"/>
      <c r="BS593" s="47"/>
      <c r="BT593" s="47"/>
    </row>
    <row r="594" ht="11.25" customHeight="1">
      <c r="A594" s="35" t="str">
        <f>'13all_company_profile'!A594</f>
        <v>TQQQ</v>
      </c>
      <c r="B594" s="35" t="str">
        <f>'13all_company_profile'!B594</f>
        <v>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94" s="44" t="str">
        <f>'13all_company_profile'!C594</f>
        <v>https://financialmodelingprep.com/image-stock/TQQQ.png</v>
      </c>
      <c r="D594" s="35" t="str">
        <f>'13all_company_profile'!D594</f>
        <v>ProShares UltraPro QQQ</v>
      </c>
      <c r="E594" s="36">
        <f>'13all_company_profile'!E594</f>
        <v>15363390500</v>
      </c>
      <c r="F594" s="37">
        <f>'13all_company_profile'!F594</f>
        <v>30560893</v>
      </c>
      <c r="G594" s="35">
        <f>'13all_company_profile'!G594</f>
        <v>0.031</v>
      </c>
      <c r="H594" s="38" t="str">
        <f>'13all_company_profile'!H594</f>
        <v>not avaiable</v>
      </c>
      <c r="I594" s="35" t="str">
        <f>'13all_company_profile'!I594</f>
        <v>NaN</v>
      </c>
      <c r="J594" s="35" t="str">
        <f>'13all_company_profile'!J594</f>
        <v>NaN</v>
      </c>
      <c r="K594" s="42">
        <f t="shared" si="1"/>
        <v>0.00024494311</v>
      </c>
      <c r="L594" s="35">
        <f>'7company_info'!B594</f>
        <v>126.56</v>
      </c>
      <c r="M594" s="35">
        <f>'7company_info'!C594</f>
        <v>128.3</v>
      </c>
      <c r="N594" s="35">
        <f>'7company_info'!D594</f>
        <v>121.55</v>
      </c>
      <c r="O594" s="35">
        <f>'7company_info'!E594</f>
        <v>4.04</v>
      </c>
      <c r="P594" s="35">
        <f>'7company_info'!F594</f>
        <v>0.033</v>
      </c>
      <c r="Q594" s="35">
        <f>'7company_info'!G594</f>
        <v>123.44</v>
      </c>
      <c r="R594" s="35">
        <f>'7company_info'!H594</f>
        <v>122.52</v>
      </c>
      <c r="S594" s="35">
        <f>'7company_info'!I594</f>
        <v>50.51</v>
      </c>
      <c r="T594" s="35">
        <f>'7company_info'!J594</f>
        <v>134.08</v>
      </c>
      <c r="U594" s="39">
        <v>132.013333333333</v>
      </c>
      <c r="V594" s="39">
        <v>133.476666666666</v>
      </c>
      <c r="W594" s="40">
        <v>135.543333333333</v>
      </c>
      <c r="X594" s="40">
        <v>139.073333333333</v>
      </c>
      <c r="Y594" s="40">
        <v>129.946666666666</v>
      </c>
      <c r="Z594" s="40">
        <v>128.483333333333</v>
      </c>
      <c r="AA594" s="40">
        <v>124.953333333333</v>
      </c>
      <c r="AB594" s="40">
        <v>124.38</v>
      </c>
      <c r="AC594" s="40">
        <v>134.08</v>
      </c>
      <c r="AD594" s="40">
        <v>122.147896168715</v>
      </c>
      <c r="AE594" s="40">
        <v>123.09009</v>
      </c>
      <c r="AF594" s="40">
        <v>3.837455</v>
      </c>
      <c r="AG594" s="40">
        <v>112.23</v>
      </c>
      <c r="AH594" s="45">
        <v>44315.0</v>
      </c>
      <c r="AI594" s="44" t="str">
        <f>'6image_RS_benchmark_performance'!B594</f>
        <v>https://3arbzfbsh-cname-us.ngrok.io/Desktop/seabridge%20fintech/image_app/TQQQ_resistance_support.jpg</v>
      </c>
      <c r="AJ594" s="44" t="str">
        <f>'6image_RS_benchmark_performance'!C594</f>
        <v>https://3arbzfbsh-cname-us.ngrok.io/Desktop/seabridge%20fintech/profit_graph_app/TQQQ_Return.jpg</v>
      </c>
      <c r="AK594" s="46" t="str">
        <f>'5price_action_icon'!B594</f>
        <v>https://3arbzfbsh-cname-us.ngrok.io/Desktop/seabridge%20fintech/icon/TQQQ_pa_trend_signal</v>
      </c>
      <c r="AL594" s="42">
        <f>'1kpi_performance'!B594</f>
        <v>1.859913225</v>
      </c>
      <c r="AM594" s="42">
        <f>'1kpi_performance'!C594</f>
        <v>2.87167468</v>
      </c>
      <c r="AN594" s="42">
        <f>'1kpi_performance'!D594</f>
        <v>2.255023697</v>
      </c>
      <c r="AO594" s="42">
        <f>'1kpi_performance'!E594</f>
        <v>0.8761370677</v>
      </c>
      <c r="AP594" s="42">
        <f>'1kpi_performance'!F594</f>
        <v>0.395884848</v>
      </c>
      <c r="AQ594" s="42">
        <f>'1kpi_performance'!G594</f>
        <v>0.4041826647</v>
      </c>
      <c r="AR594" s="42">
        <f>'1kpi_performance'!H594</f>
        <v>0.4133160225</v>
      </c>
      <c r="AS594" s="42">
        <f>'1kpi_performance'!I594</f>
        <v>0.6940270424</v>
      </c>
      <c r="AT594" s="35">
        <f>'1kpi_performance'!J594</f>
        <v>4.634967047</v>
      </c>
      <c r="AU594" s="35">
        <f>'1kpi_performance'!K594</f>
        <v>7.043040013</v>
      </c>
      <c r="AV594" s="35">
        <f>'1kpi_performance'!L594</f>
        <v>5.395444587</v>
      </c>
      <c r="AW594" s="35">
        <f>'1kpi_performance'!M594</f>
        <v>1.226374501</v>
      </c>
      <c r="AX594" s="42">
        <f>'1kpi_performance'!N594</f>
        <v>0.1949709139</v>
      </c>
      <c r="AY594" s="42">
        <f>'1kpi_performance'!O594</f>
        <v>0.23852946</v>
      </c>
      <c r="AZ594" s="42">
        <f>'1kpi_performance'!P594</f>
        <v>0.3597783054</v>
      </c>
      <c r="BA594" s="42">
        <f>'1kpi_performance'!Q594</f>
        <v>0.6992207352</v>
      </c>
      <c r="BB594" s="35">
        <f>'1kpi_performance'!R594</f>
        <v>9.388220242</v>
      </c>
      <c r="BC594" s="35">
        <f>'1kpi_performance'!S594</f>
        <v>15.52932954</v>
      </c>
      <c r="BD594" s="35">
        <f>'1kpi_performance'!T594</f>
        <v>11.63699856</v>
      </c>
      <c r="BE594" s="35">
        <f>'1kpi_performance'!U594</f>
        <v>2.29542413</v>
      </c>
      <c r="BF594" s="47"/>
      <c r="BG594" s="47"/>
      <c r="BH594" s="47"/>
      <c r="BI594" s="47"/>
      <c r="BJ594" s="47"/>
      <c r="BK594" s="47"/>
      <c r="BL594" s="47"/>
      <c r="BM594" s="47"/>
      <c r="BN594" s="47"/>
      <c r="BO594" s="47"/>
      <c r="BP594" s="47"/>
      <c r="BQ594" s="47"/>
      <c r="BR594" s="47"/>
      <c r="BS594" s="47"/>
      <c r="BT594" s="47"/>
    </row>
    <row r="595" ht="11.25" customHeight="1">
      <c r="A595" s="35" t="str">
        <f>'13all_company_profile'!A595</f>
        <v>TRGP</v>
      </c>
      <c r="B595" s="35" t="str">
        <f>'13all_company_profile'!B595</f>
        <v>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v>
      </c>
      <c r="C595" s="44" t="str">
        <f>'13all_company_profile'!C595</f>
        <v>https://financialmodelingprep.com/image-stock/TRGP.png</v>
      </c>
      <c r="D595" s="35" t="str">
        <f>'13all_company_profile'!D595</f>
        <v>Targa Resources Corp.</v>
      </c>
      <c r="E595" s="36">
        <f>'13all_company_profile'!E595</f>
        <v>9598937088</v>
      </c>
      <c r="F595" s="37">
        <f>'13all_company_profile'!F595</f>
        <v>2706749</v>
      </c>
      <c r="G595" s="35">
        <f>'13all_company_profile'!G595</f>
        <v>0.4</v>
      </c>
      <c r="H595" s="38" t="str">
        <f>'13all_company_profile'!H595</f>
        <v>not avaiable</v>
      </c>
      <c r="I595" s="35">
        <f>'13all_company_profile'!I595</f>
        <v>45.512676</v>
      </c>
      <c r="J595" s="35">
        <f>'13all_company_profile'!J595</f>
        <v>0.907</v>
      </c>
      <c r="K595" s="42">
        <f t="shared" si="1"/>
        <v>0.009645526887</v>
      </c>
      <c r="L595" s="35">
        <f>'7company_info'!B595</f>
        <v>41.47</v>
      </c>
      <c r="M595" s="35">
        <f>'7company_info'!C595</f>
        <v>41.7</v>
      </c>
      <c r="N595" s="35">
        <f>'7company_info'!D595</f>
        <v>39.75</v>
      </c>
      <c r="O595" s="35">
        <f>'7company_info'!E595</f>
        <v>1.43</v>
      </c>
      <c r="P595" s="35">
        <f>'7company_info'!F595</f>
        <v>0.0357</v>
      </c>
      <c r="Q595" s="35">
        <f>'7company_info'!G595</f>
        <v>40.51</v>
      </c>
      <c r="R595" s="35">
        <f>'7company_info'!H595</f>
        <v>40.04</v>
      </c>
      <c r="S595" s="35">
        <f>'7company_info'!I595</f>
        <v>13.08</v>
      </c>
      <c r="T595" s="35">
        <f>'7company_info'!J595</f>
        <v>49.2</v>
      </c>
      <c r="U595" s="39">
        <v>43.8166666666666</v>
      </c>
      <c r="V595" s="39">
        <v>44.8133333333333</v>
      </c>
      <c r="W595" s="40">
        <v>46.5966666666666</v>
      </c>
      <c r="X595" s="40">
        <v>49.3766666666666</v>
      </c>
      <c r="Y595" s="40">
        <v>42.0333333333333</v>
      </c>
      <c r="Z595" s="40">
        <v>41.0366666666666</v>
      </c>
      <c r="AA595" s="40">
        <v>38.2566666666666</v>
      </c>
      <c r="AB595" s="40">
        <v>42.1</v>
      </c>
      <c r="AC595" s="40">
        <v>49.2</v>
      </c>
      <c r="AD595" s="40">
        <v>44.1538646831849</v>
      </c>
      <c r="AE595" s="40">
        <v>41.54761</v>
      </c>
      <c r="AF595" s="40">
        <v>1.500195</v>
      </c>
      <c r="AG595" s="40">
        <v>49.2</v>
      </c>
      <c r="AH595" s="45">
        <v>44364.0</v>
      </c>
      <c r="AI595" s="44" t="str">
        <f>'6image_RS_benchmark_performance'!B595</f>
        <v>https://3arbzfbsh-cname-us.ngrok.io/Desktop/seabridge%20fintech/image_app/TRGP_resistance_support.jpg</v>
      </c>
      <c r="AJ595" s="44" t="str">
        <f>'6image_RS_benchmark_performance'!C595</f>
        <v>https://3arbzfbsh-cname-us.ngrok.io/Desktop/seabridge%20fintech/profit_graph_app/TRGP_Return.jpg</v>
      </c>
      <c r="AK595" s="46" t="str">
        <f>'5price_action_icon'!B595</f>
        <v>https://3arbzfbsh-cname-us.ngrok.io/Desktop/seabridge%20fintech/icon/TRGP_pa_trend_signal</v>
      </c>
      <c r="AL595" s="42">
        <f>'1kpi_performance'!B595</f>
        <v>1.12739342</v>
      </c>
      <c r="AM595" s="42">
        <f>'1kpi_performance'!C595</f>
        <v>1.309010357</v>
      </c>
      <c r="AN595" s="42">
        <f>'1kpi_performance'!D595</f>
        <v>1.216292399</v>
      </c>
      <c r="AO595" s="42">
        <f>'1kpi_performance'!E595</f>
        <v>0.0778069393</v>
      </c>
      <c r="AP595" s="42">
        <f>'1kpi_performance'!F595</f>
        <v>0.3799062829</v>
      </c>
      <c r="AQ595" s="42">
        <f>'1kpi_performance'!G595</f>
        <v>0.3505403954</v>
      </c>
      <c r="AR595" s="42">
        <f>'1kpi_performance'!H595</f>
        <v>0.3787393589</v>
      </c>
      <c r="AS595" s="42">
        <f>'1kpi_performance'!I595</f>
        <v>0.616909186</v>
      </c>
      <c r="AT595" s="35">
        <f>'1kpi_performance'!J595</f>
        <v>2.901750958</v>
      </c>
      <c r="AU595" s="35">
        <f>'1kpi_performance'!K595</f>
        <v>3.662945481</v>
      </c>
      <c r="AV595" s="35">
        <f>'1kpi_performance'!L595</f>
        <v>3.145414837</v>
      </c>
      <c r="AW595" s="35">
        <f>'1kpi_performance'!M595</f>
        <v>0.08559921054</v>
      </c>
      <c r="AX595" s="42">
        <f>'1kpi_performance'!N595</f>
        <v>0.4164544439</v>
      </c>
      <c r="AY595" s="42">
        <f>'1kpi_performance'!O595</f>
        <v>0.1820694752</v>
      </c>
      <c r="AZ595" s="42">
        <f>'1kpi_performance'!P595</f>
        <v>0.4329604676</v>
      </c>
      <c r="BA595" s="42">
        <f>'1kpi_performance'!Q595</f>
        <v>0.9685964679</v>
      </c>
      <c r="BB595" s="35">
        <f>'1kpi_performance'!R595</f>
        <v>6.25252613</v>
      </c>
      <c r="BC595" s="35">
        <f>'1kpi_performance'!S595</f>
        <v>8.524748085</v>
      </c>
      <c r="BD595" s="35">
        <f>'1kpi_performance'!T595</f>
        <v>6.919579574</v>
      </c>
      <c r="BE595" s="35">
        <f>'1kpi_performance'!U595</f>
        <v>0.1492406007</v>
      </c>
      <c r="BF595" s="47"/>
      <c r="BG595" s="47"/>
      <c r="BH595" s="47"/>
      <c r="BI595" s="47"/>
      <c r="BJ595" s="47"/>
      <c r="BK595" s="47"/>
      <c r="BL595" s="47"/>
      <c r="BM595" s="47"/>
      <c r="BN595" s="47"/>
      <c r="BO595" s="47"/>
      <c r="BP595" s="47"/>
      <c r="BQ595" s="47"/>
      <c r="BR595" s="47"/>
      <c r="BS595" s="47"/>
      <c r="BT595" s="47"/>
    </row>
    <row r="596" ht="11.25" customHeight="1">
      <c r="A596" s="35" t="str">
        <f>'13all_company_profile'!A596</f>
        <v>TRIP</v>
      </c>
      <c r="B596" s="35" t="str">
        <f>'13all_company_profile'!B596</f>
        <v>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v>
      </c>
      <c r="C596" s="44" t="str">
        <f>'13all_company_profile'!C596</f>
        <v>https://financialmodelingprep.com/image-stock/TRIP.png</v>
      </c>
      <c r="D596" s="35" t="str">
        <f>'13all_company_profile'!D596</f>
        <v>TripAdvisor, Inc.</v>
      </c>
      <c r="E596" s="36">
        <f>'13all_company_profile'!E596</f>
        <v>4960249344</v>
      </c>
      <c r="F596" s="37">
        <f>'13all_company_profile'!F596</f>
        <v>2832153</v>
      </c>
      <c r="G596" s="35">
        <f>'13all_company_profile'!G596</f>
        <v>3.5</v>
      </c>
      <c r="H596" s="38">
        <f>'13all_company_profile'!H596</f>
        <v>44412</v>
      </c>
      <c r="I596" s="35" t="str">
        <f>'13all_company_profile'!I596</f>
        <v>NaN</v>
      </c>
      <c r="J596" s="35">
        <f>'13all_company_profile'!J596</f>
        <v>-2.62</v>
      </c>
      <c r="K596" s="42">
        <f t="shared" si="1"/>
        <v>0.09842519685</v>
      </c>
      <c r="L596" s="35">
        <f>'7company_info'!B596</f>
        <v>35.56</v>
      </c>
      <c r="M596" s="35">
        <f>'7company_info'!C596</f>
        <v>36.1</v>
      </c>
      <c r="N596" s="35">
        <f>'7company_info'!D596</f>
        <v>33.23</v>
      </c>
      <c r="O596" s="35">
        <f>'7company_info'!E596</f>
        <v>1.29</v>
      </c>
      <c r="P596" s="35">
        <f>'7company_info'!F596</f>
        <v>0.0376</v>
      </c>
      <c r="Q596" s="35">
        <f>'7company_info'!G596</f>
        <v>34.22</v>
      </c>
      <c r="R596" s="35">
        <f>'7company_info'!H596</f>
        <v>34.27</v>
      </c>
      <c r="S596" s="35">
        <f>'7company_info'!I596</f>
        <v>18.24</v>
      </c>
      <c r="T596" s="35">
        <f>'7company_info'!J596</f>
        <v>64.95</v>
      </c>
      <c r="U596" s="39">
        <v>36.4250333333333</v>
      </c>
      <c r="V596" s="39">
        <v>36.9150666666666</v>
      </c>
      <c r="W596" s="40">
        <v>37.8401333333333</v>
      </c>
      <c r="X596" s="40">
        <v>39.2552333333333</v>
      </c>
      <c r="Y596" s="40">
        <v>35.4999666666666</v>
      </c>
      <c r="Z596" s="40">
        <v>35.0099333333333</v>
      </c>
      <c r="AA596" s="40">
        <v>33.5948333333333</v>
      </c>
      <c r="AB596" s="40">
        <v>38.15</v>
      </c>
      <c r="AC596" s="40">
        <v>38.88</v>
      </c>
      <c r="AD596" s="40">
        <v>39.5478384057612</v>
      </c>
      <c r="AE596" s="40">
        <v>33.92045</v>
      </c>
      <c r="AF596" s="40">
        <v>1.40678999999999</v>
      </c>
      <c r="AG596" s="40">
        <v>64.95</v>
      </c>
      <c r="AH596" s="45">
        <v>44270.0</v>
      </c>
      <c r="AI596" s="44" t="str">
        <f>'6image_RS_benchmark_performance'!B596</f>
        <v>https://3arbzfbsh-cname-us.ngrok.io/Desktop/seabridge%20fintech/image_app/TRIP_resistance_support.jpg</v>
      </c>
      <c r="AJ596" s="44" t="str">
        <f>'6image_RS_benchmark_performance'!C596</f>
        <v>https://3arbzfbsh-cname-us.ngrok.io/Desktop/seabridge%20fintech/profit_graph_app/TRIP_Return.jpg</v>
      </c>
      <c r="AK596" s="46" t="str">
        <f>'5price_action_icon'!B596</f>
        <v>https://3arbzfbsh-cname-us.ngrok.io/Desktop/seabridge%20fintech/icon/TRIP_pa_trend_signal</v>
      </c>
      <c r="AL596" s="42">
        <f>'1kpi_performance'!B596</f>
        <v>1.165873962</v>
      </c>
      <c r="AM596" s="42">
        <f>'1kpi_performance'!C596</f>
        <v>1.375087218</v>
      </c>
      <c r="AN596" s="42">
        <f>'1kpi_performance'!D596</f>
        <v>1.055953526</v>
      </c>
      <c r="AO596" s="42">
        <f>'1kpi_performance'!E596</f>
        <v>0.05960460358</v>
      </c>
      <c r="AP596" s="42">
        <f>'1kpi_performance'!F596</f>
        <v>0.4297158425</v>
      </c>
      <c r="AQ596" s="42">
        <f>'1kpi_performance'!G596</f>
        <v>0.421196996</v>
      </c>
      <c r="AR596" s="42">
        <f>'1kpi_performance'!H596</f>
        <v>0.4254664784</v>
      </c>
      <c r="AS596" s="42">
        <f>'1kpi_performance'!I596</f>
        <v>0.5866502157</v>
      </c>
      <c r="AT596" s="35">
        <f>'1kpi_performance'!J596</f>
        <v>2.654949735</v>
      </c>
      <c r="AU596" s="35">
        <f>'1kpi_performance'!K596</f>
        <v>3.205358137</v>
      </c>
      <c r="AV596" s="35">
        <f>'1kpi_performance'!L596</f>
        <v>2.423113401</v>
      </c>
      <c r="AW596" s="35">
        <f>'1kpi_performance'!M596</f>
        <v>0.05898677382</v>
      </c>
      <c r="AX596" s="42">
        <f>'1kpi_performance'!N596</f>
        <v>0.2193016869</v>
      </c>
      <c r="AY596" s="42">
        <f>'1kpi_performance'!O596</f>
        <v>0.2290894709</v>
      </c>
      <c r="AZ596" s="42">
        <f>'1kpi_performance'!P596</f>
        <v>0.3566420244</v>
      </c>
      <c r="BA596" s="42">
        <f>'1kpi_performance'!Q596</f>
        <v>0.8525617022</v>
      </c>
      <c r="BB596" s="35">
        <f>'1kpi_performance'!R596</f>
        <v>6.571844673</v>
      </c>
      <c r="BC596" s="35">
        <f>'1kpi_performance'!S596</f>
        <v>8.654486512</v>
      </c>
      <c r="BD596" s="35">
        <f>'1kpi_performance'!T596</f>
        <v>5.794744621</v>
      </c>
      <c r="BE596" s="35">
        <f>'1kpi_performance'!U596</f>
        <v>0.1186732771</v>
      </c>
      <c r="BF596" s="47"/>
      <c r="BG596" s="47"/>
      <c r="BH596" s="47"/>
      <c r="BI596" s="47"/>
      <c r="BJ596" s="47"/>
      <c r="BK596" s="47"/>
      <c r="BL596" s="47"/>
      <c r="BM596" s="47"/>
      <c r="BN596" s="47"/>
      <c r="BO596" s="47"/>
      <c r="BP596" s="47"/>
      <c r="BQ596" s="47"/>
      <c r="BR596" s="47"/>
      <c r="BS596" s="47"/>
      <c r="BT596" s="47"/>
    </row>
    <row r="597" ht="11.25" customHeight="1">
      <c r="A597" s="35" t="str">
        <f>'13all_company_profile'!A597</f>
        <v>TRMB</v>
      </c>
      <c r="B597" s="35" t="str">
        <f>'13all_company_profile'!B597</f>
        <v>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v>
      </c>
      <c r="C597" s="44" t="str">
        <f>'13all_company_profile'!C597</f>
        <v>https://financialmodelingprep.com/image-stock/TRMB.png</v>
      </c>
      <c r="D597" s="35" t="str">
        <f>'13all_company_profile'!D597</f>
        <v>Trimble Inc.</v>
      </c>
      <c r="E597" s="36">
        <f>'13all_company_profile'!E597</f>
        <v>20313106432</v>
      </c>
      <c r="F597" s="37">
        <f>'13all_company_profile'!F597</f>
        <v>1199236</v>
      </c>
      <c r="G597" s="35">
        <f>'13all_company_profile'!G597</f>
        <v>0</v>
      </c>
      <c r="H597" s="38">
        <f>'13all_company_profile'!H597</f>
        <v>44411</v>
      </c>
      <c r="I597" s="35">
        <f>'13all_company_profile'!I597</f>
        <v>45.285713</v>
      </c>
      <c r="J597" s="35">
        <f>'13all_company_profile'!J597</f>
        <v>1.75</v>
      </c>
      <c r="K597" s="42" t="str">
        <f t="shared" si="1"/>
        <v>NaN</v>
      </c>
      <c r="L597" s="35">
        <f>'7company_info'!B597</f>
        <v>80.69</v>
      </c>
      <c r="M597" s="35">
        <f>'7company_info'!C597</f>
        <v>81.43</v>
      </c>
      <c r="N597" s="35">
        <f>'7company_info'!D597</f>
        <v>78.69</v>
      </c>
      <c r="O597" s="35">
        <f>'7company_info'!E597</f>
        <v>1.98</v>
      </c>
      <c r="P597" s="35">
        <f>'7company_info'!F597</f>
        <v>0.0252</v>
      </c>
      <c r="Q597" s="35">
        <f>'7company_info'!G597</f>
        <v>79.06</v>
      </c>
      <c r="R597" s="35">
        <f>'7company_info'!H597</f>
        <v>78.71</v>
      </c>
      <c r="S597" s="35">
        <f>'7company_info'!I597</f>
        <v>43.78</v>
      </c>
      <c r="T597" s="35">
        <f>'7company_info'!J597</f>
        <v>84.87</v>
      </c>
      <c r="U597" s="39">
        <v>82.725</v>
      </c>
      <c r="V597" s="39">
        <v>83.5</v>
      </c>
      <c r="W597" s="40">
        <v>84.6</v>
      </c>
      <c r="X597" s="40">
        <v>86.475</v>
      </c>
      <c r="Y597" s="40">
        <v>81.625</v>
      </c>
      <c r="Z597" s="40">
        <v>80.85</v>
      </c>
      <c r="AA597" s="40">
        <v>78.975</v>
      </c>
      <c r="AB597" s="40">
        <v>82.1412</v>
      </c>
      <c r="AC597" s="40">
        <v>81.67</v>
      </c>
      <c r="AD597" s="40">
        <v>81.4445950111394</v>
      </c>
      <c r="AE597" s="40">
        <v>79.99262</v>
      </c>
      <c r="AF597" s="40">
        <v>1.37918999999999</v>
      </c>
      <c r="AG597" s="40">
        <v>84.865</v>
      </c>
      <c r="AH597" s="45">
        <v>44292.0</v>
      </c>
      <c r="AI597" s="44" t="str">
        <f>'6image_RS_benchmark_performance'!B597</f>
        <v>https://3arbzfbsh-cname-us.ngrok.io/Desktop/seabridge%20fintech/image_app/TRMB_resistance_support.jpg</v>
      </c>
      <c r="AJ597" s="44" t="str">
        <f>'6image_RS_benchmark_performance'!C597</f>
        <v>https://3arbzfbsh-cname-us.ngrok.io/Desktop/seabridge%20fintech/profit_graph_app/TRMB_Return.jpg</v>
      </c>
      <c r="AK597" s="46" t="str">
        <f>'5price_action_icon'!B597</f>
        <v>https://3arbzfbsh-cname-us.ngrok.io/Desktop/seabridge%20fintech/icon/TRMB_pa_trend_signal</v>
      </c>
      <c r="AL597" s="42">
        <f>'1kpi_performance'!B597</f>
        <v>0.7522511365</v>
      </c>
      <c r="AM597" s="42">
        <f>'1kpi_performance'!C597</f>
        <v>1.128558368</v>
      </c>
      <c r="AN597" s="42">
        <f>'1kpi_performance'!D597</f>
        <v>1.049757756</v>
      </c>
      <c r="AO597" s="42">
        <f>'1kpi_performance'!E597</f>
        <v>0.2730834836</v>
      </c>
      <c r="AP597" s="42">
        <f>'1kpi_performance'!F597</f>
        <v>0.2833049309</v>
      </c>
      <c r="AQ597" s="42">
        <f>'1kpi_performance'!G597</f>
        <v>0.291765281</v>
      </c>
      <c r="AR597" s="42">
        <f>'1kpi_performance'!H597</f>
        <v>0.3014925492</v>
      </c>
      <c r="AS597" s="42">
        <f>'1kpi_performance'!I597</f>
        <v>0.4101486825</v>
      </c>
      <c r="AT597" s="35">
        <f>'1kpi_performance'!J597</f>
        <v>2.567026046</v>
      </c>
      <c r="AU597" s="35">
        <f>'1kpi_performance'!K597</f>
        <v>3.782349854</v>
      </c>
      <c r="AV597" s="35">
        <f>'1kpi_performance'!L597</f>
        <v>3.398948858</v>
      </c>
      <c r="AW597" s="35">
        <f>'1kpi_performance'!M597</f>
        <v>0.6048623198</v>
      </c>
      <c r="AX597" s="42">
        <f>'1kpi_performance'!N597</f>
        <v>0.2391948843</v>
      </c>
      <c r="AY597" s="42">
        <f>'1kpi_performance'!O597</f>
        <v>0.1058749607</v>
      </c>
      <c r="AZ597" s="42">
        <f>'1kpi_performance'!P597</f>
        <v>0.200060385</v>
      </c>
      <c r="BA597" s="42">
        <f>'1kpi_performance'!Q597</f>
        <v>0.5965965966</v>
      </c>
      <c r="BB597" s="35">
        <f>'1kpi_performance'!R597</f>
        <v>5.763036531</v>
      </c>
      <c r="BC597" s="35">
        <f>'1kpi_performance'!S597</f>
        <v>10.01282477</v>
      </c>
      <c r="BD597" s="35">
        <f>'1kpi_performance'!T597</f>
        <v>8.320528185</v>
      </c>
      <c r="BE597" s="35">
        <f>'1kpi_performance'!U597</f>
        <v>1.225743139</v>
      </c>
      <c r="BF597" s="47"/>
      <c r="BG597" s="47"/>
      <c r="BH597" s="47"/>
      <c r="BI597" s="47"/>
      <c r="BJ597" s="47"/>
      <c r="BK597" s="47"/>
      <c r="BL597" s="47"/>
      <c r="BM597" s="47"/>
      <c r="BN597" s="47"/>
      <c r="BO597" s="47"/>
      <c r="BP597" s="47"/>
      <c r="BQ597" s="47"/>
      <c r="BR597" s="47"/>
      <c r="BS597" s="47"/>
      <c r="BT597" s="47"/>
    </row>
    <row r="598" ht="11.25" customHeight="1">
      <c r="A598" s="35" t="str">
        <f>'13all_company_profile'!A598</f>
        <v>TROW</v>
      </c>
      <c r="B598" s="35" t="str">
        <f>'13all_company_profile'!B598</f>
        <v>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v>
      </c>
      <c r="C598" s="44" t="str">
        <f>'13all_company_profile'!C598</f>
        <v>https://financialmodelingprep.com/image-stock/TROW.png</v>
      </c>
      <c r="D598" s="35" t="str">
        <f>'13all_company_profile'!D598</f>
        <v>T. Rowe Price Group, Inc.</v>
      </c>
      <c r="E598" s="36">
        <f>'13all_company_profile'!E598</f>
        <v>46376169472</v>
      </c>
      <c r="F598" s="37">
        <f>'13all_company_profile'!F598</f>
        <v>1012987</v>
      </c>
      <c r="G598" s="35">
        <f>'13all_company_profile'!G598</f>
        <v>6.96</v>
      </c>
      <c r="H598" s="38">
        <f>'13all_company_profile'!H598</f>
        <v>44406</v>
      </c>
      <c r="I598" s="35">
        <f>'13all_company_profile'!I598</f>
        <v>17.286005</v>
      </c>
      <c r="J598" s="35">
        <f>'13all_company_profile'!J598</f>
        <v>11.776</v>
      </c>
      <c r="K598" s="42">
        <f t="shared" si="1"/>
        <v>0.0340708831</v>
      </c>
      <c r="L598" s="35">
        <f>'7company_info'!B598</f>
        <v>204.28</v>
      </c>
      <c r="M598" s="35">
        <f>'7company_info'!C598</f>
        <v>204.75</v>
      </c>
      <c r="N598" s="35">
        <f>'7company_info'!D598</f>
        <v>197.78</v>
      </c>
      <c r="O598" s="35">
        <f>'7company_info'!E598</f>
        <v>6.84</v>
      </c>
      <c r="P598" s="35">
        <f>'7company_info'!F598</f>
        <v>0.0346</v>
      </c>
      <c r="Q598" s="35">
        <f>'7company_info'!G598</f>
        <v>198.38</v>
      </c>
      <c r="R598" s="35">
        <f>'7company_info'!H598</f>
        <v>197.44</v>
      </c>
      <c r="S598" s="35">
        <f>'7company_info'!I598</f>
        <v>121.58</v>
      </c>
      <c r="T598" s="35">
        <f>'7company_info'!J598</f>
        <v>212.41</v>
      </c>
      <c r="U598" s="39">
        <v>203.88</v>
      </c>
      <c r="V598" s="39">
        <v>206.13</v>
      </c>
      <c r="W598" s="40">
        <v>208.57</v>
      </c>
      <c r="X598" s="40">
        <v>213.26</v>
      </c>
      <c r="Y598" s="40">
        <v>201.44</v>
      </c>
      <c r="Z598" s="40">
        <v>199.19</v>
      </c>
      <c r="AA598" s="40">
        <v>194.5</v>
      </c>
      <c r="AB598" s="40">
        <v>199.79</v>
      </c>
      <c r="AC598" s="40">
        <v>212.41</v>
      </c>
      <c r="AD598" s="40">
        <v>200.195185565817</v>
      </c>
      <c r="AE598" s="40">
        <v>197.18379</v>
      </c>
      <c r="AF598" s="40">
        <v>4.185605</v>
      </c>
      <c r="AG598" s="40">
        <v>196.73</v>
      </c>
      <c r="AH598" s="45">
        <v>44355.0</v>
      </c>
      <c r="AI598" s="44" t="str">
        <f>'6image_RS_benchmark_performance'!B598</f>
        <v>https://3arbzfbsh-cname-us.ngrok.io/Desktop/seabridge%20fintech/image_app/TROW_resistance_support.jpg</v>
      </c>
      <c r="AJ598" s="44" t="str">
        <f>'6image_RS_benchmark_performance'!C598</f>
        <v>https://3arbzfbsh-cname-us.ngrok.io/Desktop/seabridge%20fintech/profit_graph_app/TROW_Return.jpg</v>
      </c>
      <c r="AK598" s="46" t="str">
        <f>'5price_action_icon'!B598</f>
        <v>https://3arbzfbsh-cname-us.ngrok.io/Desktop/seabridge%20fintech/icon/TROW_pa_trend_signal</v>
      </c>
      <c r="AL598" s="42">
        <f>'1kpi_performance'!B598</f>
        <v>0.5232251275</v>
      </c>
      <c r="AM598" s="42">
        <f>'1kpi_performance'!C598</f>
        <v>0.6571225701</v>
      </c>
      <c r="AN598" s="42">
        <f>'1kpi_performance'!D598</f>
        <v>0.554733564</v>
      </c>
      <c r="AO598" s="42">
        <f>'1kpi_performance'!E598</f>
        <v>0.1893441797</v>
      </c>
      <c r="AP598" s="42">
        <f>'1kpi_performance'!F598</f>
        <v>0.2147328216</v>
      </c>
      <c r="AQ598" s="42">
        <f>'1kpi_performance'!G598</f>
        <v>0.205174513</v>
      </c>
      <c r="AR598" s="42">
        <f>'1kpi_performance'!H598</f>
        <v>0.1918740879</v>
      </c>
      <c r="AS598" s="42">
        <f>'1kpi_performance'!I598</f>
        <v>0.3301533172</v>
      </c>
      <c r="AT598" s="35">
        <f>'1kpi_performance'!J598</f>
        <v>2.320209476</v>
      </c>
      <c r="AU598" s="35">
        <f>'1kpi_performance'!K598</f>
        <v>3.080902013</v>
      </c>
      <c r="AV598" s="35">
        <f>'1kpi_performance'!L598</f>
        <v>2.760839516</v>
      </c>
      <c r="AW598" s="35">
        <f>'1kpi_performance'!M598</f>
        <v>0.4977813979</v>
      </c>
      <c r="AX598" s="42">
        <f>'1kpi_performance'!N598</f>
        <v>0.1509755435</v>
      </c>
      <c r="AY598" s="42">
        <f>'1kpi_performance'!O598</f>
        <v>0.1272822076</v>
      </c>
      <c r="AZ598" s="42">
        <f>'1kpi_performance'!P598</f>
        <v>0.2315330126</v>
      </c>
      <c r="BA598" s="42">
        <f>'1kpi_performance'!Q598</f>
        <v>0.3857327772</v>
      </c>
      <c r="BB598" s="35">
        <f>'1kpi_performance'!R598</f>
        <v>4.921313778</v>
      </c>
      <c r="BC598" s="35">
        <f>'1kpi_performance'!S598</f>
        <v>6.911183974</v>
      </c>
      <c r="BD598" s="35">
        <f>'1kpi_performance'!T598</f>
        <v>5.937450135</v>
      </c>
      <c r="BE598" s="35">
        <f>'1kpi_performance'!U598</f>
        <v>0.9697980088</v>
      </c>
      <c r="BF598" s="47"/>
      <c r="BG598" s="47"/>
      <c r="BH598" s="47"/>
      <c r="BI598" s="47"/>
      <c r="BJ598" s="47"/>
      <c r="BK598" s="47"/>
      <c r="BL598" s="47"/>
      <c r="BM598" s="47"/>
      <c r="BN598" s="47"/>
      <c r="BO598" s="47"/>
      <c r="BP598" s="47"/>
      <c r="BQ598" s="47"/>
      <c r="BR598" s="47"/>
      <c r="BS598" s="47"/>
      <c r="BT598" s="47"/>
    </row>
    <row r="599" ht="11.25" customHeight="1">
      <c r="A599" s="35" t="str">
        <f>'13all_company_profile'!A599</f>
        <v>TRV</v>
      </c>
      <c r="B599" s="35" t="str">
        <f>'13all_company_profile'!B599</f>
        <v>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v>
      </c>
      <c r="C599" s="44" t="str">
        <f>'13all_company_profile'!C599</f>
        <v>https://financialmodelingprep.com/image-stock/TRV.png</v>
      </c>
      <c r="D599" s="35" t="str">
        <f>'13all_company_profile'!D599</f>
        <v>The Travelers Companies, Inc.</v>
      </c>
      <c r="E599" s="36">
        <f>'13all_company_profile'!E599</f>
        <v>39122923520</v>
      </c>
      <c r="F599" s="37">
        <f>'13all_company_profile'!F599</f>
        <v>1119015</v>
      </c>
      <c r="G599" s="35">
        <f>'13all_company_profile'!G599</f>
        <v>3.43</v>
      </c>
      <c r="H599" s="38">
        <f>'13all_company_profile'!H599</f>
        <v>44397</v>
      </c>
      <c r="I599" s="35">
        <f>'13all_company_profile'!I599</f>
        <v>14.119508</v>
      </c>
      <c r="J599" s="35">
        <f>'13all_company_profile'!J599</f>
        <v>11.062</v>
      </c>
      <c r="K599" s="42">
        <f t="shared" si="1"/>
        <v>0.02270170097</v>
      </c>
      <c r="L599" s="35">
        <f>'7company_info'!B599</f>
        <v>151.09</v>
      </c>
      <c r="M599" s="35">
        <f>'7company_info'!C599</f>
        <v>154.41</v>
      </c>
      <c r="N599" s="35">
        <f>'7company_info'!D599</f>
        <v>148.04</v>
      </c>
      <c r="O599" s="35">
        <f>'7company_info'!E599</f>
        <v>-0.17</v>
      </c>
      <c r="P599" s="35">
        <f>'7company_info'!F599</f>
        <v>-0.0011</v>
      </c>
      <c r="Q599" s="35">
        <f>'7company_info'!G599</f>
        <v>151.31</v>
      </c>
      <c r="R599" s="35">
        <f>'7company_info'!H599</f>
        <v>151.26</v>
      </c>
      <c r="S599" s="35">
        <f>'7company_info'!I599</f>
        <v>105.67</v>
      </c>
      <c r="T599" s="35">
        <f>'7company_info'!J599</f>
        <v>162.71</v>
      </c>
      <c r="U599" s="39">
        <v>154.04</v>
      </c>
      <c r="V599" s="39">
        <v>155.269999999999</v>
      </c>
      <c r="W599" s="40">
        <v>156.01</v>
      </c>
      <c r="X599" s="40">
        <v>157.98</v>
      </c>
      <c r="Y599" s="40">
        <v>153.299999999999</v>
      </c>
      <c r="Z599" s="40">
        <v>152.07</v>
      </c>
      <c r="AA599" s="40">
        <v>150.1</v>
      </c>
      <c r="AB599" s="40">
        <v>148.6</v>
      </c>
      <c r="AC599" s="40">
        <v>154.78</v>
      </c>
      <c r="AD599" s="40">
        <v>152.244506210653</v>
      </c>
      <c r="AE599" s="40">
        <v>147.33046</v>
      </c>
      <c r="AF599" s="40">
        <v>2.79201999999999</v>
      </c>
      <c r="AG599" s="40">
        <v>162.71</v>
      </c>
      <c r="AH599" s="45">
        <v>44326.0</v>
      </c>
      <c r="AI599" s="44" t="str">
        <f>'6image_RS_benchmark_performance'!B599</f>
        <v>https://3arbzfbsh-cname-us.ngrok.io/Desktop/seabridge%20fintech/image_app/TRV_resistance_support.jpg</v>
      </c>
      <c r="AJ599" s="44" t="str">
        <f>'6image_RS_benchmark_performance'!C599</f>
        <v>https://3arbzfbsh-cname-us.ngrok.io/Desktop/seabridge%20fintech/profit_graph_app/TRV_Return.jpg</v>
      </c>
      <c r="AK599" s="46" t="str">
        <f>'5price_action_icon'!B599</f>
        <v>https://3arbzfbsh-cname-us.ngrok.io/Desktop/seabridge%20fintech/icon/TRV_pa_trend_signal</v>
      </c>
      <c r="AL599" s="42">
        <f>'1kpi_performance'!B599</f>
        <v>0.3860754456</v>
      </c>
      <c r="AM599" s="42">
        <f>'1kpi_performance'!C599</f>
        <v>0.5065538599</v>
      </c>
      <c r="AN599" s="42">
        <f>'1kpi_performance'!D599</f>
        <v>0.3740238591</v>
      </c>
      <c r="AO599" s="42">
        <f>'1kpi_performance'!E599</f>
        <v>0.1540193679</v>
      </c>
      <c r="AP599" s="42">
        <f>'1kpi_performance'!F599</f>
        <v>0.1680790433</v>
      </c>
      <c r="AQ599" s="42">
        <f>'1kpi_performance'!G599</f>
        <v>0.1658884024</v>
      </c>
      <c r="AR599" s="42">
        <f>'1kpi_performance'!H599</f>
        <v>0.1990981921</v>
      </c>
      <c r="AS599" s="42">
        <f>'1kpi_performance'!I599</f>
        <v>0.2681250993</v>
      </c>
      <c r="AT599" s="35">
        <f>'1kpi_performance'!J599</f>
        <v>2.148247863</v>
      </c>
      <c r="AU599" s="35">
        <f>'1kpi_performance'!K599</f>
        <v>2.902878399</v>
      </c>
      <c r="AV599" s="35">
        <f>'1kpi_performance'!L599</f>
        <v>1.753023749</v>
      </c>
      <c r="AW599" s="35">
        <f>'1kpi_performance'!M599</f>
        <v>0.4811909373</v>
      </c>
      <c r="AX599" s="42">
        <f>'1kpi_performance'!N599</f>
        <v>0.136328125</v>
      </c>
      <c r="AY599" s="42">
        <f>'1kpi_performance'!O599</f>
        <v>0.1084094012</v>
      </c>
      <c r="AZ599" s="42">
        <f>'1kpi_performance'!P599</f>
        <v>0.3991373182</v>
      </c>
      <c r="BA599" s="42">
        <f>'1kpi_performance'!Q599</f>
        <v>0.4723890719</v>
      </c>
      <c r="BB599" s="35">
        <f>'1kpi_performance'!R599</f>
        <v>4.284137007</v>
      </c>
      <c r="BC599" s="35">
        <f>'1kpi_performance'!S599</f>
        <v>6.393599631</v>
      </c>
      <c r="BD599" s="35">
        <f>'1kpi_performance'!T599</f>
        <v>3.001795176</v>
      </c>
      <c r="BE599" s="35">
        <f>'1kpi_performance'!U599</f>
        <v>0.8668404138</v>
      </c>
      <c r="BF599" s="47"/>
      <c r="BG599" s="47"/>
      <c r="BH599" s="47"/>
      <c r="BI599" s="47"/>
      <c r="BJ599" s="47"/>
      <c r="BK599" s="47"/>
      <c r="BL599" s="47"/>
      <c r="BM599" s="47"/>
      <c r="BN599" s="47"/>
      <c r="BO599" s="47"/>
      <c r="BP599" s="47"/>
      <c r="BQ599" s="47"/>
      <c r="BR599" s="47"/>
      <c r="BS599" s="47"/>
      <c r="BT599" s="47"/>
    </row>
    <row r="600" ht="11.25" customHeight="1">
      <c r="A600" s="35" t="str">
        <f>'13all_company_profile'!A600</f>
        <v>TSCO</v>
      </c>
      <c r="B600" s="35" t="str">
        <f>'13all_company_profile'!B600</f>
        <v>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v>
      </c>
      <c r="C600" s="44" t="str">
        <f>'13all_company_profile'!C600</f>
        <v>https://financialmodelingprep.com/image-stock/TSCO.png</v>
      </c>
      <c r="D600" s="35" t="str">
        <f>'13all_company_profile'!D600</f>
        <v>Tractor Supply Company</v>
      </c>
      <c r="E600" s="36">
        <f>'13all_company_profile'!E600</f>
        <v>21779927040</v>
      </c>
      <c r="F600" s="37">
        <f>'13all_company_profile'!F600</f>
        <v>1005988</v>
      </c>
      <c r="G600" s="35">
        <f>'13all_company_profile'!G600</f>
        <v>1.84</v>
      </c>
      <c r="H600" s="38">
        <f>'13all_company_profile'!H600</f>
        <v>44396</v>
      </c>
      <c r="I600" s="35">
        <f>'13all_company_profile'!I600</f>
        <v>26.27701</v>
      </c>
      <c r="J600" s="35">
        <f>'13all_company_profile'!J600</f>
        <v>7.22</v>
      </c>
      <c r="K600" s="42">
        <f t="shared" si="1"/>
        <v>0.01001960357</v>
      </c>
      <c r="L600" s="35">
        <f>'7company_info'!B600</f>
        <v>183.64</v>
      </c>
      <c r="M600" s="35">
        <f>'7company_info'!C600</f>
        <v>184.45</v>
      </c>
      <c r="N600" s="35">
        <f>'7company_info'!D600</f>
        <v>178</v>
      </c>
      <c r="O600" s="35">
        <f>'7company_info'!E600</f>
        <v>2.7</v>
      </c>
      <c r="P600" s="35">
        <f>'7company_info'!F600</f>
        <v>0.0149</v>
      </c>
      <c r="Q600" s="35">
        <f>'7company_info'!G600</f>
        <v>181.96</v>
      </c>
      <c r="R600" s="35">
        <f>'7company_info'!H600</f>
        <v>180.94</v>
      </c>
      <c r="S600" s="35">
        <f>'7company_info'!I600</f>
        <v>127.78</v>
      </c>
      <c r="T600" s="35">
        <f>'7company_info'!J600</f>
        <v>200.75</v>
      </c>
      <c r="U600" s="39">
        <v>187.18</v>
      </c>
      <c r="V600" s="39">
        <v>188.299999999999</v>
      </c>
      <c r="W600" s="40">
        <v>189.38</v>
      </c>
      <c r="X600" s="40">
        <v>191.58</v>
      </c>
      <c r="Y600" s="40">
        <v>186.1</v>
      </c>
      <c r="Z600" s="40">
        <v>184.98</v>
      </c>
      <c r="AA600" s="40">
        <v>182.78</v>
      </c>
      <c r="AB600" s="40">
        <v>181.42</v>
      </c>
      <c r="AC600" s="40">
        <v>189.31</v>
      </c>
      <c r="AD600" s="40">
        <v>184.648667622307</v>
      </c>
      <c r="AE600" s="40">
        <v>179.26447</v>
      </c>
      <c r="AF600" s="40">
        <v>3.50176499999999</v>
      </c>
      <c r="AG600" s="40">
        <v>200.75</v>
      </c>
      <c r="AH600" s="45">
        <v>44326.0</v>
      </c>
      <c r="AI600" s="44" t="str">
        <f>'6image_RS_benchmark_performance'!B600</f>
        <v>https://3arbzfbsh-cname-us.ngrok.io/Desktop/seabridge%20fintech/image_app/TSCO_resistance_support.jpg</v>
      </c>
      <c r="AJ600" s="44" t="str">
        <f>'6image_RS_benchmark_performance'!C600</f>
        <v>https://3arbzfbsh-cname-us.ngrok.io/Desktop/seabridge%20fintech/profit_graph_app/TSCO_Return.jpg</v>
      </c>
      <c r="AK600" s="46" t="str">
        <f>'5price_action_icon'!B600</f>
        <v>https://3arbzfbsh-cname-us.ngrok.io/Desktop/seabridge%20fintech/icon/TSCO_pa_trend_signal</v>
      </c>
      <c r="AL600" s="42">
        <f>'1kpi_performance'!B600</f>
        <v>0.7920834431</v>
      </c>
      <c r="AM600" s="42">
        <f>'1kpi_performance'!C600</f>
        <v>0.9591705104</v>
      </c>
      <c r="AN600" s="42">
        <f>'1kpi_performance'!D600</f>
        <v>0.6781685102</v>
      </c>
      <c r="AO600" s="42">
        <f>'1kpi_performance'!E600</f>
        <v>0.3985139875</v>
      </c>
      <c r="AP600" s="42">
        <f>'1kpi_performance'!F600</f>
        <v>0.2391933508</v>
      </c>
      <c r="AQ600" s="42">
        <f>'1kpi_performance'!G600</f>
        <v>0.2502955137</v>
      </c>
      <c r="AR600" s="42">
        <f>'1kpi_performance'!H600</f>
        <v>0.2536558684</v>
      </c>
      <c r="AS600" s="42">
        <f>'1kpi_performance'!I600</f>
        <v>0.3496289017</v>
      </c>
      <c r="AT600" s="35">
        <f>'1kpi_performance'!J600</f>
        <v>3.206959727</v>
      </c>
      <c r="AU600" s="35">
        <f>'1kpi_performance'!K600</f>
        <v>3.732270293</v>
      </c>
      <c r="AV600" s="35">
        <f>'1kpi_performance'!L600</f>
        <v>2.575018328</v>
      </c>
      <c r="AW600" s="35">
        <f>'1kpi_performance'!M600</f>
        <v>1.068315536</v>
      </c>
      <c r="AX600" s="42">
        <f>'1kpi_performance'!N600</f>
        <v>0.156290047</v>
      </c>
      <c r="AY600" s="42">
        <f>'1kpi_performance'!O600</f>
        <v>0.1297246428</v>
      </c>
      <c r="AZ600" s="42">
        <f>'1kpi_performance'!P600</f>
        <v>0.3008822003</v>
      </c>
      <c r="BA600" s="42">
        <f>'1kpi_performance'!Q600</f>
        <v>0.4833074935</v>
      </c>
      <c r="BB600" s="35">
        <f>'1kpi_performance'!R600</f>
        <v>8.030255171</v>
      </c>
      <c r="BC600" s="35">
        <f>'1kpi_performance'!S600</f>
        <v>9.68204743</v>
      </c>
      <c r="BD600" s="35">
        <f>'1kpi_performance'!T600</f>
        <v>5.34075284</v>
      </c>
      <c r="BE600" s="35">
        <f>'1kpi_performance'!U600</f>
        <v>2.166706807</v>
      </c>
      <c r="BF600" s="47"/>
      <c r="BG600" s="47"/>
      <c r="BH600" s="47"/>
      <c r="BI600" s="47"/>
      <c r="BJ600" s="47"/>
      <c r="BK600" s="47"/>
      <c r="BL600" s="47"/>
      <c r="BM600" s="47"/>
      <c r="BN600" s="47"/>
      <c r="BO600" s="47"/>
      <c r="BP600" s="47"/>
      <c r="BQ600" s="47"/>
      <c r="BR600" s="47"/>
      <c r="BS600" s="47"/>
      <c r="BT600" s="47"/>
    </row>
    <row r="601" ht="11.25" customHeight="1">
      <c r="A601" s="35" t="str">
        <f>'13all_company_profile'!A601</f>
        <v>TSLA</v>
      </c>
      <c r="B601" s="35" t="str">
        <f>'13all_company_profile'!B601</f>
        <v>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v>
      </c>
      <c r="C601" s="44" t="str">
        <f>'13all_company_profile'!C601</f>
        <v>https://financialmodelingprep.com/image-stock/TSLA.png</v>
      </c>
      <c r="D601" s="35" t="str">
        <f>'13all_company_profile'!D601</f>
        <v>Tesla, Inc.</v>
      </c>
      <c r="E601" s="36">
        <f>'13all_company_profile'!E601</f>
        <v>626742460416</v>
      </c>
      <c r="F601" s="37">
        <f>'13all_company_profile'!F601</f>
        <v>27316044</v>
      </c>
      <c r="G601" s="35">
        <f>'13all_company_profile'!G601</f>
        <v>0</v>
      </c>
      <c r="H601" s="38">
        <f>'13all_company_profile'!H601</f>
        <v>44397</v>
      </c>
      <c r="I601" s="35">
        <f>'13all_company_profile'!I601</f>
        <v>644.0581</v>
      </c>
      <c r="J601" s="35">
        <f>'13all_company_profile'!J601</f>
        <v>0.998</v>
      </c>
      <c r="K601" s="42" t="str">
        <f t="shared" si="1"/>
        <v>NaN</v>
      </c>
      <c r="L601" s="35">
        <f>'7company_info'!B601</f>
        <v>660.5</v>
      </c>
      <c r="M601" s="35">
        <f>'7company_info'!C601</f>
        <v>662.39</v>
      </c>
      <c r="N601" s="35">
        <f>'7company_info'!D601</f>
        <v>640.5</v>
      </c>
      <c r="O601" s="35">
        <f>'7company_info'!E601</f>
        <v>14.28</v>
      </c>
      <c r="P601" s="35">
        <f>'7company_info'!F601</f>
        <v>0.0221</v>
      </c>
      <c r="Q601" s="35">
        <f>'7company_info'!G601</f>
        <v>651.99</v>
      </c>
      <c r="R601" s="35">
        <f>'7company_info'!H601</f>
        <v>646.22</v>
      </c>
      <c r="S601" s="35">
        <f>'7company_info'!I601</f>
        <v>273</v>
      </c>
      <c r="T601" s="35">
        <f>'7company_info'!J601</f>
        <v>900.4</v>
      </c>
      <c r="U601" s="39">
        <v>661.609966666666</v>
      </c>
      <c r="V601" s="39">
        <v>670.379933333333</v>
      </c>
      <c r="W601" s="40">
        <v>687.379866666666</v>
      </c>
      <c r="X601" s="40">
        <v>713.149766666666</v>
      </c>
      <c r="Y601" s="40">
        <v>644.610033333333</v>
      </c>
      <c r="Z601" s="40">
        <v>635.840066666666</v>
      </c>
      <c r="AA601" s="40">
        <v>610.070166666666</v>
      </c>
      <c r="AB601" s="40">
        <v>638.32</v>
      </c>
      <c r="AC601" s="40">
        <v>697.62</v>
      </c>
      <c r="AD601" s="40">
        <v>654.331511078681</v>
      </c>
      <c r="AE601" s="40">
        <v>621.97728</v>
      </c>
      <c r="AF601" s="40">
        <v>23.5968549999999</v>
      </c>
      <c r="AG601" s="40">
        <v>900.4</v>
      </c>
      <c r="AH601" s="45">
        <v>44221.0</v>
      </c>
      <c r="AI601" s="44" t="str">
        <f>'6image_RS_benchmark_performance'!B601</f>
        <v>https://3arbzfbsh-cname-us.ngrok.io/Desktop/seabridge%20fintech/image_app/TSLA_resistance_support.jpg</v>
      </c>
      <c r="AJ601" s="44" t="str">
        <f>'6image_RS_benchmark_performance'!C601</f>
        <v>https://3arbzfbsh-cname-us.ngrok.io/Desktop/seabridge%20fintech/profit_graph_app/TSLA_Return.jpg</v>
      </c>
      <c r="AK601" s="46" t="str">
        <f>'5price_action_icon'!B601</f>
        <v>https://3arbzfbsh-cname-us.ngrok.io/Desktop/seabridge%20fintech/icon/TSLA_pa_trend_signal</v>
      </c>
      <c r="AL601" s="42">
        <f>'1kpi_performance'!B601</f>
        <v>2.214798308</v>
      </c>
      <c r="AM601" s="42">
        <f>'1kpi_performance'!C601</f>
        <v>3.02875486</v>
      </c>
      <c r="AN601" s="42">
        <f>'1kpi_performance'!D601</f>
        <v>1.828548298</v>
      </c>
      <c r="AO601" s="42">
        <f>'1kpi_performance'!E601</f>
        <v>0.8910083514</v>
      </c>
      <c r="AP601" s="42">
        <f>'1kpi_performance'!F601</f>
        <v>0.4823872299</v>
      </c>
      <c r="AQ601" s="42">
        <f>'1kpi_performance'!G601</f>
        <v>0.5002624634</v>
      </c>
      <c r="AR601" s="42">
        <f>'1kpi_performance'!H601</f>
        <v>0.4655203514</v>
      </c>
      <c r="AS601" s="42">
        <f>'1kpi_performance'!I601</f>
        <v>0.67527152</v>
      </c>
      <c r="AT601" s="35">
        <f>'1kpi_performance'!J601</f>
        <v>4.539503063</v>
      </c>
      <c r="AU601" s="35">
        <f>'1kpi_performance'!K601</f>
        <v>6.004357872</v>
      </c>
      <c r="AV601" s="35">
        <f>'1kpi_performance'!L601</f>
        <v>3.874263054</v>
      </c>
      <c r="AW601" s="35">
        <f>'1kpi_performance'!M601</f>
        <v>1.282459464</v>
      </c>
      <c r="AX601" s="42">
        <f>'1kpi_performance'!N601</f>
        <v>0.3369702056</v>
      </c>
      <c r="AY601" s="42">
        <f>'1kpi_performance'!O601</f>
        <v>0.3369702056</v>
      </c>
      <c r="AZ601" s="42">
        <f>'1kpi_performance'!P601</f>
        <v>0.4004440308</v>
      </c>
      <c r="BA601" s="42">
        <f>'1kpi_performance'!Q601</f>
        <v>0.6062653964</v>
      </c>
      <c r="BB601" s="35">
        <f>'1kpi_performance'!R601</f>
        <v>11.16382674</v>
      </c>
      <c r="BC601" s="35">
        <f>'1kpi_performance'!S601</f>
        <v>15.44566044</v>
      </c>
      <c r="BD601" s="35">
        <f>'1kpi_performance'!T601</f>
        <v>8.798528296</v>
      </c>
      <c r="BE601" s="35">
        <f>'1kpi_performance'!U601</f>
        <v>2.699758981</v>
      </c>
      <c r="BF601" s="47"/>
      <c r="BG601" s="47"/>
      <c r="BH601" s="47"/>
      <c r="BI601" s="47"/>
      <c r="BJ601" s="47"/>
      <c r="BK601" s="47"/>
      <c r="BL601" s="47"/>
      <c r="BM601" s="47"/>
      <c r="BN601" s="47"/>
      <c r="BO601" s="47"/>
      <c r="BP601" s="47"/>
      <c r="BQ601" s="47"/>
      <c r="BR601" s="47"/>
      <c r="BS601" s="47"/>
      <c r="BT601" s="47"/>
    </row>
    <row r="602" ht="11.25" customHeight="1">
      <c r="A602" s="35" t="str">
        <f>'13all_company_profile'!A602</f>
        <v>TSN</v>
      </c>
      <c r="B602" s="35" t="str">
        <f>'13all_company_profile'!B602</f>
        <v>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v>
      </c>
      <c r="C602" s="44" t="str">
        <f>'13all_company_profile'!C602</f>
        <v>https://financialmodelingprep.com/image-stock/TSN.png</v>
      </c>
      <c r="D602" s="35" t="str">
        <f>'13all_company_profile'!D602</f>
        <v>Tyson Foods, Inc.</v>
      </c>
      <c r="E602" s="36">
        <f>'13all_company_profile'!E602</f>
        <v>26180474880</v>
      </c>
      <c r="F602" s="37">
        <f>'13all_company_profile'!F602</f>
        <v>1757838</v>
      </c>
      <c r="G602" s="35">
        <f>'13all_company_profile'!G602</f>
        <v>1.755</v>
      </c>
      <c r="H602" s="38">
        <f>'13all_company_profile'!H602</f>
        <v>44410</v>
      </c>
      <c r="I602" s="35">
        <f>'13all_company_profile'!I602</f>
        <v>12.304251</v>
      </c>
      <c r="J602" s="35">
        <f>'13all_company_profile'!J602</f>
        <v>5.811</v>
      </c>
      <c r="K602" s="42">
        <f t="shared" si="1"/>
        <v>0.02460050463</v>
      </c>
      <c r="L602" s="35">
        <f>'7company_info'!B602</f>
        <v>71.34</v>
      </c>
      <c r="M602" s="35">
        <f>'7company_info'!C602</f>
        <v>72.18</v>
      </c>
      <c r="N602" s="35">
        <f>'7company_info'!D602</f>
        <v>70.82</v>
      </c>
      <c r="O602" s="35">
        <f>'7company_info'!E602</f>
        <v>0.42</v>
      </c>
      <c r="P602" s="35">
        <f>'7company_info'!F602</f>
        <v>0.0059</v>
      </c>
      <c r="Q602" s="35">
        <f>'7company_info'!G602</f>
        <v>71</v>
      </c>
      <c r="R602" s="35">
        <f>'7company_info'!H602</f>
        <v>70.92</v>
      </c>
      <c r="S602" s="35">
        <f>'7company_info'!I602</f>
        <v>55.82</v>
      </c>
      <c r="T602" s="35">
        <f>'7company_info'!J602</f>
        <v>81.79</v>
      </c>
      <c r="U602" s="39">
        <v>71.2833333333333</v>
      </c>
      <c r="V602" s="39">
        <v>71.8866666666666</v>
      </c>
      <c r="W602" s="40">
        <v>72.6033333333333</v>
      </c>
      <c r="X602" s="40">
        <v>73.9233333333333</v>
      </c>
      <c r="Y602" s="40">
        <v>70.5666666666666</v>
      </c>
      <c r="Z602" s="40">
        <v>69.9633333333333</v>
      </c>
      <c r="AA602" s="40">
        <v>68.6433333333333</v>
      </c>
      <c r="AB602" s="40">
        <v>72.6</v>
      </c>
      <c r="AC602" s="40">
        <v>72.0</v>
      </c>
      <c r="AD602" s="40">
        <v>73.8250979087659</v>
      </c>
      <c r="AE602" s="40">
        <v>69.4094499999999</v>
      </c>
      <c r="AF602" s="40">
        <v>1.140775</v>
      </c>
      <c r="AG602" s="40">
        <v>81.79</v>
      </c>
      <c r="AH602" s="45">
        <v>44330.0</v>
      </c>
      <c r="AI602" s="44" t="str">
        <f>'6image_RS_benchmark_performance'!B602</f>
        <v>https://3arbzfbsh-cname-us.ngrok.io/Desktop/seabridge%20fintech/image_app/TSN_resistance_support.jpg</v>
      </c>
      <c r="AJ602" s="44" t="str">
        <f>'6image_RS_benchmark_performance'!C602</f>
        <v>https://3arbzfbsh-cname-us.ngrok.io/Desktop/seabridge%20fintech/profit_graph_app/TSN_Return.jpg</v>
      </c>
      <c r="AK602" s="46" t="str">
        <f>'5price_action_icon'!B602</f>
        <v>https://3arbzfbsh-cname-us.ngrok.io/Desktop/seabridge%20fintech/icon/TSN_pa_trend_signal</v>
      </c>
      <c r="AL602" s="42">
        <f>'1kpi_performance'!B602</f>
        <v>0.7528055838</v>
      </c>
      <c r="AM602" s="42">
        <f>'1kpi_performance'!C602</f>
        <v>0.8410929625</v>
      </c>
      <c r="AN602" s="42">
        <f>'1kpi_performance'!D602</f>
        <v>0.7196234515</v>
      </c>
      <c r="AO602" s="42">
        <f>'1kpi_performance'!E602</f>
        <v>0.2284748498</v>
      </c>
      <c r="AP602" s="42">
        <f>'1kpi_performance'!F602</f>
        <v>0.2432715849</v>
      </c>
      <c r="AQ602" s="42">
        <f>'1kpi_performance'!G602</f>
        <v>0.2245653511</v>
      </c>
      <c r="AR602" s="42">
        <f>'1kpi_performance'!H602</f>
        <v>0.2214010302</v>
      </c>
      <c r="AS602" s="42">
        <f>'1kpi_performance'!I602</f>
        <v>0.3450189026</v>
      </c>
      <c r="AT602" s="35">
        <f>'1kpi_performance'!J602</f>
        <v>2.991741038</v>
      </c>
      <c r="AU602" s="35">
        <f>'1kpi_performance'!K602</f>
        <v>3.63410009</v>
      </c>
      <c r="AV602" s="35">
        <f>'1kpi_performance'!L602</f>
        <v>3.137399364</v>
      </c>
      <c r="AW602" s="35">
        <f>'1kpi_performance'!M602</f>
        <v>0.5897498608</v>
      </c>
      <c r="AX602" s="42">
        <f>'1kpi_performance'!N602</f>
        <v>0.1482829562</v>
      </c>
      <c r="AY602" s="42">
        <f>'1kpi_performance'!O602</f>
        <v>0.1482829562</v>
      </c>
      <c r="AZ602" s="42">
        <f>'1kpi_performance'!P602</f>
        <v>0.2699639361</v>
      </c>
      <c r="BA602" s="42">
        <f>'1kpi_performance'!Q602</f>
        <v>0.5272843997</v>
      </c>
      <c r="BB602" s="35">
        <f>'1kpi_performance'!R602</f>
        <v>6.966918796</v>
      </c>
      <c r="BC602" s="35">
        <f>'1kpi_performance'!S602</f>
        <v>8.735260196</v>
      </c>
      <c r="BD602" s="35">
        <f>'1kpi_performance'!T602</f>
        <v>6.515957945</v>
      </c>
      <c r="BE602" s="35">
        <f>'1kpi_performance'!U602</f>
        <v>1.131940576</v>
      </c>
      <c r="BF602" s="47"/>
      <c r="BG602" s="47"/>
      <c r="BH602" s="47"/>
      <c r="BI602" s="47"/>
      <c r="BJ602" s="47"/>
      <c r="BK602" s="47"/>
      <c r="BL602" s="47"/>
      <c r="BM602" s="47"/>
      <c r="BN602" s="47"/>
      <c r="BO602" s="47"/>
      <c r="BP602" s="47"/>
      <c r="BQ602" s="47"/>
      <c r="BR602" s="47"/>
      <c r="BS602" s="47"/>
      <c r="BT602" s="47"/>
    </row>
    <row r="603" ht="11.25" customHeight="1">
      <c r="A603" s="35" t="str">
        <f>'13all_company_profile'!A603</f>
        <v>TT</v>
      </c>
      <c r="B603" s="35" t="str">
        <f>'13all_company_profile'!B603</f>
        <v>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v>
      </c>
      <c r="C603" s="44" t="str">
        <f>'13all_company_profile'!C603</f>
        <v>https://financialmodelingprep.com/image-stock/TT.jpg</v>
      </c>
      <c r="D603" s="35" t="str">
        <f>'13all_company_profile'!D603</f>
        <v>Trane Technologies plc</v>
      </c>
      <c r="E603" s="36">
        <f>'13all_company_profile'!E603</f>
        <v>45961854976</v>
      </c>
      <c r="F603" s="37">
        <f>'13all_company_profile'!F603</f>
        <v>1077231</v>
      </c>
      <c r="G603" s="35">
        <f>'13all_company_profile'!G603</f>
        <v>2.24</v>
      </c>
      <c r="H603" s="38">
        <f>'13all_company_profile'!H603</f>
        <v>44404</v>
      </c>
      <c r="I603" s="35">
        <f>'13all_company_profile'!I603</f>
        <v>41.87024</v>
      </c>
      <c r="J603" s="35">
        <f>'13all_company_profile'!J603</f>
        <v>4.593</v>
      </c>
      <c r="K603" s="42">
        <f t="shared" si="1"/>
        <v>0.01140065147</v>
      </c>
      <c r="L603" s="35">
        <f>'7company_info'!B603</f>
        <v>196.48</v>
      </c>
      <c r="M603" s="35">
        <f>'7company_info'!C603</f>
        <v>197.43</v>
      </c>
      <c r="N603" s="35">
        <f>'7company_info'!D603</f>
        <v>189.67</v>
      </c>
      <c r="O603" s="35">
        <f>'7company_info'!E603</f>
        <v>6.83</v>
      </c>
      <c r="P603" s="35">
        <f>'7company_info'!F603</f>
        <v>0.036</v>
      </c>
      <c r="Q603" s="35">
        <f>'7company_info'!G603</f>
        <v>189.93</v>
      </c>
      <c r="R603" s="35">
        <f>'7company_info'!H603</f>
        <v>189.65</v>
      </c>
      <c r="S603" s="35">
        <f>'7company_info'!I603</f>
        <v>101.76</v>
      </c>
      <c r="T603" s="35">
        <f>'7company_info'!J603</f>
        <v>197.43</v>
      </c>
      <c r="U603" s="39">
        <v>191.561666666666</v>
      </c>
      <c r="V603" s="39">
        <v>192.603333333333</v>
      </c>
      <c r="W603" s="40">
        <v>194.266666666666</v>
      </c>
      <c r="X603" s="40">
        <v>196.971666666666</v>
      </c>
      <c r="Y603" s="40">
        <v>189.898333333333</v>
      </c>
      <c r="Z603" s="40">
        <v>188.856666666666</v>
      </c>
      <c r="AA603" s="40">
        <v>186.151666666666</v>
      </c>
      <c r="AB603" s="40">
        <v>176.89</v>
      </c>
      <c r="AC603" s="40">
        <v>193.25</v>
      </c>
      <c r="AD603" s="40">
        <v>186.080173973532</v>
      </c>
      <c r="AE603" s="40">
        <v>183.6655</v>
      </c>
      <c r="AF603" s="40">
        <v>3.77849999999999</v>
      </c>
      <c r="AG603" s="40">
        <v>189.925</v>
      </c>
      <c r="AH603" s="45">
        <v>44348.0</v>
      </c>
      <c r="AI603" s="44" t="str">
        <f>'6image_RS_benchmark_performance'!B603</f>
        <v>https://3arbzfbsh-cname-us.ngrok.io/Desktop/seabridge%20fintech/image_app/TT_resistance_support.jpg</v>
      </c>
      <c r="AJ603" s="44" t="str">
        <f>'6image_RS_benchmark_performance'!C603</f>
        <v>https://3arbzfbsh-cname-us.ngrok.io/Desktop/seabridge%20fintech/profit_graph_app/TT_Return.jpg</v>
      </c>
      <c r="AK603" s="46" t="str">
        <f>'5price_action_icon'!B603</f>
        <v>https://3arbzfbsh-cname-us.ngrok.io/Desktop/seabridge%20fintech/icon/TT_pa_trend_signal</v>
      </c>
      <c r="AL603" s="42">
        <f>'1kpi_performance'!B603</f>
        <v>0.6548174046</v>
      </c>
      <c r="AM603" s="42">
        <f>'1kpi_performance'!C603</f>
        <v>0.7256954499</v>
      </c>
      <c r="AN603" s="42">
        <f>'1kpi_performance'!D603</f>
        <v>0.7902989002</v>
      </c>
      <c r="AO603" s="42">
        <f>'1kpi_performance'!E603</f>
        <v>0.3038847173</v>
      </c>
      <c r="AP603" s="42">
        <f>'1kpi_performance'!F603</f>
        <v>0.2205747319</v>
      </c>
      <c r="AQ603" s="42">
        <f>'1kpi_performance'!G603</f>
        <v>0.2267716152</v>
      </c>
      <c r="AR603" s="42">
        <f>'1kpi_performance'!H603</f>
        <v>0.2371434319</v>
      </c>
      <c r="AS603" s="42">
        <f>'1kpi_performance'!I603</f>
        <v>0.3319343032</v>
      </c>
      <c r="AT603" s="35">
        <f>'1kpi_performance'!J603</f>
        <v>2.855347025</v>
      </c>
      <c r="AU603" s="35">
        <f>'1kpi_performance'!K603</f>
        <v>3.089872819</v>
      </c>
      <c r="AV603" s="35">
        <f>'1kpi_performance'!L603</f>
        <v>3.227156215</v>
      </c>
      <c r="AW603" s="35">
        <f>'1kpi_performance'!M603</f>
        <v>0.8401804652</v>
      </c>
      <c r="AX603" s="42">
        <f>'1kpi_performance'!N603</f>
        <v>0.1628512643</v>
      </c>
      <c r="AY603" s="42">
        <f>'1kpi_performance'!O603</f>
        <v>0.1680063469</v>
      </c>
      <c r="AZ603" s="42">
        <f>'1kpi_performance'!P603</f>
        <v>0.3951790867</v>
      </c>
      <c r="BA603" s="42">
        <f>'1kpi_performance'!Q603</f>
        <v>0.4915521786</v>
      </c>
      <c r="BB603" s="35">
        <f>'1kpi_performance'!R603</f>
        <v>5.987477143</v>
      </c>
      <c r="BC603" s="35">
        <f>'1kpi_performance'!S603</f>
        <v>6.729481784</v>
      </c>
      <c r="BD603" s="35">
        <f>'1kpi_performance'!T603</f>
        <v>6.724831846</v>
      </c>
      <c r="BE603" s="35">
        <f>'1kpi_performance'!U603</f>
        <v>1.614180816</v>
      </c>
      <c r="BF603" s="47"/>
      <c r="BG603" s="47"/>
      <c r="BH603" s="47"/>
      <c r="BI603" s="47"/>
      <c r="BJ603" s="47"/>
      <c r="BK603" s="47"/>
      <c r="BL603" s="47"/>
      <c r="BM603" s="47"/>
      <c r="BN603" s="47"/>
      <c r="BO603" s="47"/>
      <c r="BP603" s="47"/>
      <c r="BQ603" s="47"/>
      <c r="BR603" s="47"/>
      <c r="BS603" s="47"/>
      <c r="BT603" s="47"/>
    </row>
    <row r="604" ht="11.25" customHeight="1">
      <c r="A604" s="35" t="str">
        <f>'13all_company_profile'!A604</f>
        <v>TTD</v>
      </c>
      <c r="B604" s="35" t="str">
        <f>'13all_company_profile'!B604</f>
        <v>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v>
      </c>
      <c r="C604" s="44" t="str">
        <f>'13all_company_profile'!C604</f>
        <v>https://financialmodelingprep.com/image-stock/TTD.png</v>
      </c>
      <c r="D604" s="35" t="str">
        <f>'13all_company_profile'!D604</f>
        <v>The Trade Desk, Inc.</v>
      </c>
      <c r="E604" s="36">
        <f>'13all_company_profile'!E604</f>
        <v>34250897408</v>
      </c>
      <c r="F604" s="37">
        <f>'13all_company_profile'!F604</f>
        <v>9691058</v>
      </c>
      <c r="G604" s="35">
        <f>'13all_company_profile'!G604</f>
        <v>0</v>
      </c>
      <c r="H604" s="38">
        <f>'13all_company_profile'!H604</f>
        <v>44412</v>
      </c>
      <c r="I604" s="35">
        <f>'13all_company_profile'!I604</f>
        <v>144.46721</v>
      </c>
      <c r="J604" s="35">
        <f>'13all_company_profile'!J604</f>
        <v>0.488</v>
      </c>
      <c r="K604" s="42" t="str">
        <f t="shared" si="1"/>
        <v>NaN</v>
      </c>
      <c r="L604" s="35">
        <f>'7company_info'!B604</f>
        <v>73</v>
      </c>
      <c r="M604" s="35">
        <f>'7company_info'!C604</f>
        <v>73.83</v>
      </c>
      <c r="N604" s="35">
        <f>'7company_info'!D604</f>
        <v>69.34</v>
      </c>
      <c r="O604" s="35">
        <f>'7company_info'!E604</f>
        <v>2.06</v>
      </c>
      <c r="P604" s="35">
        <f>'7company_info'!F604</f>
        <v>0.029</v>
      </c>
      <c r="Q604" s="35">
        <f>'7company_info'!G604</f>
        <v>71.69</v>
      </c>
      <c r="R604" s="35">
        <f>'7company_info'!H604</f>
        <v>70.94</v>
      </c>
      <c r="S604" s="35">
        <f>'7company_info'!I604</f>
        <v>40.4</v>
      </c>
      <c r="T604" s="35">
        <f>'7company_info'!J604</f>
        <v>97.28</v>
      </c>
      <c r="U604" s="39">
        <v>75.0997666666666</v>
      </c>
      <c r="V604" s="39">
        <v>76.7595333333333</v>
      </c>
      <c r="W604" s="40">
        <v>79.8890666666666</v>
      </c>
      <c r="X604" s="40">
        <v>84.6783666666666</v>
      </c>
      <c r="Y604" s="40">
        <v>71.9702333333333</v>
      </c>
      <c r="Z604" s="40">
        <v>70.3104666666666</v>
      </c>
      <c r="AA604" s="40">
        <v>65.5211666666666</v>
      </c>
      <c r="AB604" s="40">
        <v>78.6838</v>
      </c>
      <c r="AC604" s="40">
        <v>78.2293</v>
      </c>
      <c r="AD604" s="40">
        <v>72.4811296535194</v>
      </c>
      <c r="AE604" s="40">
        <v>69.00451</v>
      </c>
      <c r="AF604" s="40">
        <v>3.89191</v>
      </c>
      <c r="AG604" s="40">
        <v>92.112</v>
      </c>
      <c r="AH604" s="45">
        <v>44246.0</v>
      </c>
      <c r="AI604" s="44" t="str">
        <f>'6image_RS_benchmark_performance'!B604</f>
        <v>https://3arbzfbsh-cname-us.ngrok.io/Desktop/seabridge%20fintech/image_app/TTD_resistance_support.jpg</v>
      </c>
      <c r="AJ604" s="44" t="str">
        <f>'6image_RS_benchmark_performance'!C604</f>
        <v>https://3arbzfbsh-cname-us.ngrok.io/Desktop/seabridge%20fintech/profit_graph_app/TTD_Return.jpg</v>
      </c>
      <c r="AK604" s="46" t="str">
        <f>'5price_action_icon'!B604</f>
        <v>https://3arbzfbsh-cname-us.ngrok.io/Desktop/seabridge%20fintech/icon/TTD_pa_trend_signal</v>
      </c>
      <c r="AL604" s="42">
        <f>'1kpi_performance'!B604</f>
        <v>3.291980015</v>
      </c>
      <c r="AM604" s="42">
        <f>'1kpi_performance'!C604</f>
        <v>3.446002917</v>
      </c>
      <c r="AN604" s="42">
        <f>'1kpi_performance'!D604</f>
        <v>3.879226512</v>
      </c>
      <c r="AO604" s="42">
        <f>'1kpi_performance'!E604</f>
        <v>1.588832538</v>
      </c>
      <c r="AP604" s="42">
        <f>'1kpi_performance'!F604</f>
        <v>0.6624084776</v>
      </c>
      <c r="AQ604" s="42">
        <f>'1kpi_performance'!G604</f>
        <v>0.6665756666</v>
      </c>
      <c r="AR604" s="42">
        <f>'1kpi_performance'!H604</f>
        <v>0.5616760317</v>
      </c>
      <c r="AS604" s="42">
        <f>'1kpi_performance'!I604</f>
        <v>0.8297274694</v>
      </c>
      <c r="AT604" s="35">
        <f>'1kpi_performance'!J604</f>
        <v>4.931971926</v>
      </c>
      <c r="AU604" s="35">
        <f>'1kpi_performance'!K604</f>
        <v>5.132204922</v>
      </c>
      <c r="AV604" s="35">
        <f>'1kpi_performance'!L604</f>
        <v>6.862009938</v>
      </c>
      <c r="AW604" s="35">
        <f>'1kpi_performance'!M604</f>
        <v>1.884754447</v>
      </c>
      <c r="AX604" s="42">
        <f>'1kpi_performance'!N604</f>
        <v>0.3171608266</v>
      </c>
      <c r="AY604" s="42">
        <f>'1kpi_performance'!O604</f>
        <v>0.2850057724</v>
      </c>
      <c r="AZ604" s="42">
        <f>'1kpi_performance'!P604</f>
        <v>0.2941832302</v>
      </c>
      <c r="BA604" s="42">
        <f>'1kpi_performance'!Q604</f>
        <v>0.542243921</v>
      </c>
      <c r="BB604" s="35">
        <f>'1kpi_performance'!R604</f>
        <v>13.45118299</v>
      </c>
      <c r="BC604" s="35">
        <f>'1kpi_performance'!S604</f>
        <v>14.84838835</v>
      </c>
      <c r="BD604" s="35">
        <f>'1kpi_performance'!T604</f>
        <v>22.23809689</v>
      </c>
      <c r="BE604" s="35">
        <f>'1kpi_performance'!U604</f>
        <v>4.237793125</v>
      </c>
      <c r="BF604" s="47"/>
      <c r="BG604" s="47"/>
      <c r="BH604" s="47"/>
      <c r="BI604" s="47"/>
      <c r="BJ604" s="47"/>
      <c r="BK604" s="47"/>
      <c r="BL604" s="47"/>
      <c r="BM604" s="47"/>
      <c r="BN604" s="47"/>
      <c r="BO604" s="47"/>
      <c r="BP604" s="47"/>
      <c r="BQ604" s="47"/>
      <c r="BR604" s="47"/>
      <c r="BS604" s="47"/>
      <c r="BT604" s="47"/>
    </row>
    <row r="605" ht="11.25" customHeight="1">
      <c r="A605" s="35" t="str">
        <f>'13all_company_profile'!A605</f>
        <v>TTWO</v>
      </c>
      <c r="B605" s="35" t="str">
        <f>'13all_company_profile'!B605</f>
        <v>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v>
      </c>
      <c r="C605" s="44" t="str">
        <f>'13all_company_profile'!C605</f>
        <v>https://financialmodelingprep.com/image-stock/TTWO.png</v>
      </c>
      <c r="D605" s="35" t="str">
        <f>'13all_company_profile'!D605</f>
        <v>Take-Two Interactive Software, Inc.</v>
      </c>
      <c r="E605" s="36">
        <f>'13all_company_profile'!E605</f>
        <v>19544608768</v>
      </c>
      <c r="F605" s="37">
        <f>'13all_company_profile'!F605</f>
        <v>1265292</v>
      </c>
      <c r="G605" s="35">
        <f>'13all_company_profile'!G605</f>
        <v>0</v>
      </c>
      <c r="H605" s="38">
        <f>'13all_company_profile'!H605</f>
        <v>44410</v>
      </c>
      <c r="I605" s="35">
        <f>'13all_company_profile'!I605</f>
        <v>33.430256</v>
      </c>
      <c r="J605" s="35">
        <f>'13all_company_profile'!J605</f>
        <v>5.09</v>
      </c>
      <c r="K605" s="42" t="str">
        <f t="shared" si="1"/>
        <v>NaN</v>
      </c>
      <c r="L605" s="35">
        <f>'7company_info'!B605</f>
        <v>170.02</v>
      </c>
      <c r="M605" s="35">
        <f>'7company_info'!C605</f>
        <v>171.1</v>
      </c>
      <c r="N605" s="35">
        <f>'7company_info'!D605</f>
        <v>167.97</v>
      </c>
      <c r="O605" s="35">
        <f>'7company_info'!E605</f>
        <v>1.06</v>
      </c>
      <c r="P605" s="35">
        <f>'7company_info'!F605</f>
        <v>0.0063</v>
      </c>
      <c r="Q605" s="35">
        <f>'7company_info'!G605</f>
        <v>170.91</v>
      </c>
      <c r="R605" s="35">
        <f>'7company_info'!H605</f>
        <v>168.96</v>
      </c>
      <c r="S605" s="35">
        <f>'7company_info'!I605</f>
        <v>148.88</v>
      </c>
      <c r="T605" s="35">
        <f>'7company_info'!J605</f>
        <v>214.91</v>
      </c>
      <c r="U605" s="39">
        <v>172.1505</v>
      </c>
      <c r="V605" s="39">
        <v>174.280999999999</v>
      </c>
      <c r="W605" s="40">
        <v>176.682</v>
      </c>
      <c r="X605" s="40">
        <v>181.2135</v>
      </c>
      <c r="Y605" s="40">
        <v>169.749499999999</v>
      </c>
      <c r="Z605" s="40">
        <v>167.619</v>
      </c>
      <c r="AA605" s="40">
        <v>163.0875</v>
      </c>
      <c r="AB605" s="40">
        <v>172.64</v>
      </c>
      <c r="AC605" s="40">
        <v>173.48</v>
      </c>
      <c r="AD605" s="40">
        <v>174.841337602918</v>
      </c>
      <c r="AE605" s="40">
        <v>165.30964</v>
      </c>
      <c r="AF605" s="40">
        <v>3.91125999999999</v>
      </c>
      <c r="AG605" s="40">
        <v>214.91</v>
      </c>
      <c r="AH605" s="45">
        <v>44235.0</v>
      </c>
      <c r="AI605" s="44" t="str">
        <f>'6image_RS_benchmark_performance'!B605</f>
        <v>https://3arbzfbsh-cname-us.ngrok.io/Desktop/seabridge%20fintech/image_app/TTWO_resistance_support.jpg</v>
      </c>
      <c r="AJ605" s="44" t="str">
        <f>'6image_RS_benchmark_performance'!C605</f>
        <v>https://3arbzfbsh-cname-us.ngrok.io/Desktop/seabridge%20fintech/profit_graph_app/TTWO_Return.jpg</v>
      </c>
      <c r="AK605" s="46" t="str">
        <f>'5price_action_icon'!B605</f>
        <v>https://3arbzfbsh-cname-us.ngrok.io/Desktop/seabridge%20fintech/icon/TTWO_pa_trend_signal</v>
      </c>
      <c r="AL605" s="42">
        <f>'1kpi_performance'!B605</f>
        <v>0.7703355062</v>
      </c>
      <c r="AM605" s="42">
        <f>'1kpi_performance'!C605</f>
        <v>1.084289421</v>
      </c>
      <c r="AN605" s="42">
        <f>'1kpi_performance'!D605</f>
        <v>0.980947296</v>
      </c>
      <c r="AO605" s="42">
        <f>'1kpi_performance'!E605</f>
        <v>0.436956786</v>
      </c>
      <c r="AP605" s="42">
        <f>'1kpi_performance'!F605</f>
        <v>0.3055100564</v>
      </c>
      <c r="AQ605" s="42">
        <f>'1kpi_performance'!G605</f>
        <v>0.3121979979</v>
      </c>
      <c r="AR605" s="42">
        <f>'1kpi_performance'!H605</f>
        <v>0.2874740607</v>
      </c>
      <c r="AS605" s="42">
        <f>'1kpi_performance'!I605</f>
        <v>0.4271759157</v>
      </c>
      <c r="AT605" s="35">
        <f>'1kpi_performance'!J605</f>
        <v>2.439643117</v>
      </c>
      <c r="AU605" s="35">
        <f>'1kpi_performance'!K605</f>
        <v>3.39300517</v>
      </c>
      <c r="AV605" s="35">
        <f>'1kpi_performance'!L605</f>
        <v>3.325334097</v>
      </c>
      <c r="AW605" s="35">
        <f>'1kpi_performance'!M605</f>
        <v>0.9643726878</v>
      </c>
      <c r="AX605" s="42">
        <f>'1kpi_performance'!N605</f>
        <v>0.3055882353</v>
      </c>
      <c r="AY605" s="42">
        <f>'1kpi_performance'!O605</f>
        <v>0.1455470937</v>
      </c>
      <c r="AZ605" s="42">
        <f>'1kpi_performance'!P605</f>
        <v>0.3276010318</v>
      </c>
      <c r="BA605" s="42">
        <f>'1kpi_performance'!Q605</f>
        <v>0.5508328547</v>
      </c>
      <c r="BB605" s="35">
        <f>'1kpi_performance'!R605</f>
        <v>5.37300843</v>
      </c>
      <c r="BC605" s="35">
        <f>'1kpi_performance'!S605</f>
        <v>8.179871988</v>
      </c>
      <c r="BD605" s="35">
        <f>'1kpi_performance'!T605</f>
        <v>7.399292224</v>
      </c>
      <c r="BE605" s="35">
        <f>'1kpi_performance'!U605</f>
        <v>1.987031714</v>
      </c>
      <c r="BF605" s="47"/>
      <c r="BG605" s="47"/>
      <c r="BH605" s="47"/>
      <c r="BI605" s="47"/>
      <c r="BJ605" s="47"/>
      <c r="BK605" s="47"/>
      <c r="BL605" s="47"/>
      <c r="BM605" s="47"/>
      <c r="BN605" s="47"/>
      <c r="BO605" s="47"/>
      <c r="BP605" s="47"/>
      <c r="BQ605" s="47"/>
      <c r="BR605" s="47"/>
      <c r="BS605" s="47"/>
      <c r="BT605" s="47"/>
    </row>
    <row r="606" ht="11.25" customHeight="1">
      <c r="A606" s="35" t="str">
        <f>'13all_company_profile'!A606</f>
        <v>TWLO</v>
      </c>
      <c r="B606" s="35" t="str">
        <f>'13all_company_profile'!B606</f>
        <v>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v>
      </c>
      <c r="C606" s="44" t="str">
        <f>'13all_company_profile'!C606</f>
        <v>https://financialmodelingprep.com/image-stock/TWLO.png</v>
      </c>
      <c r="D606" s="35" t="str">
        <f>'13all_company_profile'!D606</f>
        <v>Twilio Inc.</v>
      </c>
      <c r="E606" s="36">
        <f>'13all_company_profile'!E606</f>
        <v>63253360640</v>
      </c>
      <c r="F606" s="37">
        <f>'13all_company_profile'!F606</f>
        <v>2009328</v>
      </c>
      <c r="G606" s="35">
        <f>'13all_company_profile'!G606</f>
        <v>0</v>
      </c>
      <c r="H606" s="38">
        <f>'13all_company_profile'!H606</f>
        <v>44410</v>
      </c>
      <c r="I606" s="35" t="str">
        <f>'13all_company_profile'!I606</f>
        <v>NaN</v>
      </c>
      <c r="J606" s="35">
        <f>'13all_company_profile'!J606</f>
        <v>-3.922</v>
      </c>
      <c r="K606" s="42" t="str">
        <f t="shared" si="1"/>
        <v>NaN</v>
      </c>
      <c r="L606" s="35">
        <f>'7company_info'!B606</f>
        <v>390.22</v>
      </c>
      <c r="M606" s="35">
        <f>'7company_info'!C606</f>
        <v>394.2</v>
      </c>
      <c r="N606" s="35">
        <f>'7company_info'!D606</f>
        <v>375.14</v>
      </c>
      <c r="O606" s="35">
        <f>'7company_info'!E606</f>
        <v>11.16</v>
      </c>
      <c r="P606" s="35">
        <f>'7company_info'!F606</f>
        <v>0.0294</v>
      </c>
      <c r="Q606" s="35">
        <f>'7company_info'!G606</f>
        <v>382.95</v>
      </c>
      <c r="R606" s="35">
        <f>'7company_info'!H606</f>
        <v>379.06</v>
      </c>
      <c r="S606" s="35">
        <f>'7company_info'!I606</f>
        <v>216.23</v>
      </c>
      <c r="T606" s="35">
        <f>'7company_info'!J606</f>
        <v>457.3</v>
      </c>
      <c r="U606" s="39">
        <v>381.693333333333</v>
      </c>
      <c r="V606" s="39">
        <v>389.366666666666</v>
      </c>
      <c r="W606" s="40">
        <v>403.383333333333</v>
      </c>
      <c r="X606" s="40">
        <v>425.073333333333</v>
      </c>
      <c r="Y606" s="40">
        <v>367.676666666666</v>
      </c>
      <c r="Z606" s="40">
        <v>360.003333333333</v>
      </c>
      <c r="AA606" s="40">
        <v>338.313333333333</v>
      </c>
      <c r="AB606" s="40">
        <v>380.635</v>
      </c>
      <c r="AC606" s="40">
        <v>330.505</v>
      </c>
      <c r="AD606" s="40">
        <v>376.919536618202</v>
      </c>
      <c r="AE606" s="40">
        <v>361.45745</v>
      </c>
      <c r="AF606" s="40">
        <v>14.507275</v>
      </c>
      <c r="AG606" s="40">
        <v>457.3</v>
      </c>
      <c r="AH606" s="45">
        <v>44245.0</v>
      </c>
      <c r="AI606" s="44" t="str">
        <f>'6image_RS_benchmark_performance'!B606</f>
        <v>https://3arbzfbsh-cname-us.ngrok.io/Desktop/seabridge%20fintech/image_app/TWLO_resistance_support.jpg</v>
      </c>
      <c r="AJ606" s="44" t="str">
        <f>'6image_RS_benchmark_performance'!C606</f>
        <v>https://3arbzfbsh-cname-us.ngrok.io/Desktop/seabridge%20fintech/profit_graph_app/TWLO_Return.jpg</v>
      </c>
      <c r="AK606" s="46" t="str">
        <f>'5price_action_icon'!B606</f>
        <v>https://3arbzfbsh-cname-us.ngrok.io/Desktop/seabridge%20fintech/icon/TWLO_pa_trend_signal</v>
      </c>
      <c r="AL606" s="42">
        <f>'1kpi_performance'!B606</f>
        <v>2.300346608</v>
      </c>
      <c r="AM606" s="42">
        <f>'1kpi_performance'!C606</f>
        <v>3.004008146</v>
      </c>
      <c r="AN606" s="42">
        <f>'1kpi_performance'!D606</f>
        <v>4.155728032</v>
      </c>
      <c r="AO606" s="42">
        <f>'1kpi_performance'!E606</f>
        <v>1.068336315</v>
      </c>
      <c r="AP606" s="42">
        <f>'1kpi_performance'!F606</f>
        <v>0.5622522958</v>
      </c>
      <c r="AQ606" s="42">
        <f>'1kpi_performance'!G606</f>
        <v>0.5720683131</v>
      </c>
      <c r="AR606" s="42">
        <f>'1kpi_performance'!H606</f>
        <v>0.5428345914</v>
      </c>
      <c r="AS606" s="42">
        <f>'1kpi_performance'!I606</f>
        <v>0.7381625949</v>
      </c>
      <c r="AT606" s="35">
        <f>'1kpi_performance'!J606</f>
        <v>4.046842716</v>
      </c>
      <c r="AU606" s="35">
        <f>'1kpi_performance'!K606</f>
        <v>5.207434284</v>
      </c>
      <c r="AV606" s="35">
        <f>'1kpi_performance'!L606</f>
        <v>7.609551964</v>
      </c>
      <c r="AW606" s="35">
        <f>'1kpi_performance'!M606</f>
        <v>1.413423441</v>
      </c>
      <c r="AX606" s="42">
        <f>'1kpi_performance'!N606</f>
        <v>0.3104858996</v>
      </c>
      <c r="AY606" s="42">
        <f>'1kpi_performance'!O606</f>
        <v>0.162638412</v>
      </c>
      <c r="AZ606" s="42">
        <f>'1kpi_performance'!P606</f>
        <v>0.2497121932</v>
      </c>
      <c r="BA606" s="42">
        <f>'1kpi_performance'!Q606</f>
        <v>0.6640568363</v>
      </c>
      <c r="BB606" s="35">
        <f>'1kpi_performance'!R606</f>
        <v>10.82639005</v>
      </c>
      <c r="BC606" s="35">
        <f>'1kpi_performance'!S606</f>
        <v>14.2503427</v>
      </c>
      <c r="BD606" s="35">
        <f>'1kpi_performance'!T606</f>
        <v>22.1408549</v>
      </c>
      <c r="BE606" s="35">
        <f>'1kpi_performance'!U606</f>
        <v>3.163742237</v>
      </c>
      <c r="BF606" s="47"/>
      <c r="BG606" s="47"/>
      <c r="BH606" s="47"/>
      <c r="BI606" s="47"/>
      <c r="BJ606" s="47"/>
      <c r="BK606" s="47"/>
      <c r="BL606" s="47"/>
      <c r="BM606" s="47"/>
      <c r="BN606" s="47"/>
      <c r="BO606" s="47"/>
      <c r="BP606" s="47"/>
      <c r="BQ606" s="47"/>
      <c r="BR606" s="47"/>
      <c r="BS606" s="47"/>
      <c r="BT606" s="47"/>
    </row>
    <row r="607" ht="11.25" customHeight="1">
      <c r="A607" s="35" t="str">
        <f>'13all_company_profile'!A607</f>
        <v>TWTR</v>
      </c>
      <c r="B607" s="35" t="str">
        <f>'13all_company_profile'!B607</f>
        <v>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v>
      </c>
      <c r="C607" s="44" t="str">
        <f>'13all_company_profile'!C607</f>
        <v>https://financialmodelingprep.com/image-stock/TWTR.png</v>
      </c>
      <c r="D607" s="35" t="str">
        <f>'13all_company_profile'!D607</f>
        <v>Twitter, Inc.</v>
      </c>
      <c r="E607" s="36">
        <f>'13all_company_profile'!E607</f>
        <v>54328504320</v>
      </c>
      <c r="F607" s="37">
        <f>'13all_company_profile'!F607</f>
        <v>16624550</v>
      </c>
      <c r="G607" s="35">
        <f>'13all_company_profile'!G607</f>
        <v>0</v>
      </c>
      <c r="H607" s="38">
        <f>'13all_company_profile'!H607</f>
        <v>44399</v>
      </c>
      <c r="I607" s="35" t="str">
        <f>'13all_company_profile'!I607</f>
        <v>NaN</v>
      </c>
      <c r="J607" s="35">
        <f>'13all_company_profile'!J607</f>
        <v>-1.338</v>
      </c>
      <c r="K607" s="42" t="str">
        <f t="shared" si="1"/>
        <v>NaN</v>
      </c>
      <c r="L607" s="35">
        <f>'7company_info'!B607</f>
        <v>67.94</v>
      </c>
      <c r="M607" s="35">
        <f>'7company_info'!C607</f>
        <v>68.54</v>
      </c>
      <c r="N607" s="35">
        <f>'7company_info'!D607</f>
        <v>65.82</v>
      </c>
      <c r="O607" s="35">
        <f>'7company_info'!E607</f>
        <v>1.92</v>
      </c>
      <c r="P607" s="35">
        <f>'7company_info'!F607</f>
        <v>0.0291</v>
      </c>
      <c r="Q607" s="35">
        <f>'7company_info'!G607</f>
        <v>66.25</v>
      </c>
      <c r="R607" s="35">
        <f>'7company_info'!H607</f>
        <v>66.02</v>
      </c>
      <c r="S607" s="35">
        <f>'7company_info'!I607</f>
        <v>35.65</v>
      </c>
      <c r="T607" s="35">
        <f>'7company_info'!J607</f>
        <v>80.75</v>
      </c>
      <c r="U607" s="39">
        <v>70.81</v>
      </c>
      <c r="V607" s="39">
        <v>71.53</v>
      </c>
      <c r="W607" s="40">
        <v>72.7899999999999</v>
      </c>
      <c r="X607" s="40">
        <v>74.7699999999999</v>
      </c>
      <c r="Y607" s="40">
        <v>69.55</v>
      </c>
      <c r="Z607" s="40">
        <v>68.83</v>
      </c>
      <c r="AA607" s="40">
        <v>66.85</v>
      </c>
      <c r="AB607" s="40">
        <v>68.25</v>
      </c>
      <c r="AC607" s="40">
        <v>70.0</v>
      </c>
      <c r="AD607" s="40">
        <v>66.7435965418018</v>
      </c>
      <c r="AE607" s="40">
        <v>65.8464399999999</v>
      </c>
      <c r="AF607" s="40">
        <v>1.943865</v>
      </c>
      <c r="AG607" s="40">
        <v>80.75</v>
      </c>
      <c r="AH607" s="45">
        <v>44252.0</v>
      </c>
      <c r="AI607" s="44" t="str">
        <f>'6image_RS_benchmark_performance'!B607</f>
        <v>https://3arbzfbsh-cname-us.ngrok.io/Desktop/seabridge%20fintech/image_app/TWTR_resistance_support.jpg</v>
      </c>
      <c r="AJ607" s="44" t="str">
        <f>'6image_RS_benchmark_performance'!C607</f>
        <v>https://3arbzfbsh-cname-us.ngrok.io/Desktop/seabridge%20fintech/profit_graph_app/TWTR_Return.jpg</v>
      </c>
      <c r="AK607" s="46" t="str">
        <f>'5price_action_icon'!B607</f>
        <v>https://3arbzfbsh-cname-us.ngrok.io/Desktop/seabridge%20fintech/icon/TWTR_pa_trend_signal</v>
      </c>
      <c r="AL607" s="42">
        <f>'1kpi_performance'!B607</f>
        <v>1.523882484</v>
      </c>
      <c r="AM607" s="42">
        <f>'1kpi_performance'!C607</f>
        <v>2.370403305</v>
      </c>
      <c r="AN607" s="42">
        <f>'1kpi_performance'!D607</f>
        <v>1.430237952</v>
      </c>
      <c r="AO607" s="42">
        <f>'1kpi_performance'!E607</f>
        <v>0.08704278005</v>
      </c>
      <c r="AP607" s="42">
        <f>'1kpi_performance'!F607</f>
        <v>0.4543117948</v>
      </c>
      <c r="AQ607" s="42">
        <f>'1kpi_performance'!G607</f>
        <v>0.4211655303</v>
      </c>
      <c r="AR607" s="42">
        <f>'1kpi_performance'!H607</f>
        <v>0.429155996</v>
      </c>
      <c r="AS607" s="42">
        <f>'1kpi_performance'!I607</f>
        <v>0.6457945706</v>
      </c>
      <c r="AT607" s="35">
        <f>'1kpi_performance'!J607</f>
        <v>3.299237443</v>
      </c>
      <c r="AU607" s="35">
        <f>'1kpi_performance'!K607</f>
        <v>5.568839651</v>
      </c>
      <c r="AV607" s="35">
        <f>'1kpi_performance'!L607</f>
        <v>3.274422274</v>
      </c>
      <c r="AW607" s="35">
        <f>'1kpi_performance'!M607</f>
        <v>0.0960720063</v>
      </c>
      <c r="AX607" s="42">
        <f>'1kpi_performance'!N607</f>
        <v>0.3075338199</v>
      </c>
      <c r="AY607" s="42">
        <f>'1kpi_performance'!O607</f>
        <v>0.1259789662</v>
      </c>
      <c r="AZ607" s="42">
        <f>'1kpi_performance'!P607</f>
        <v>0.4477035893</v>
      </c>
      <c r="BA607" s="42">
        <f>'1kpi_performance'!Q607</f>
        <v>0.8088937389</v>
      </c>
      <c r="BB607" s="35">
        <f>'1kpi_performance'!R607</f>
        <v>7.359634176</v>
      </c>
      <c r="BC607" s="35">
        <f>'1kpi_performance'!S607</f>
        <v>15.40254654</v>
      </c>
      <c r="BD607" s="35">
        <f>'1kpi_performance'!T607</f>
        <v>7.13359264</v>
      </c>
      <c r="BE607" s="35">
        <f>'1kpi_performance'!U607</f>
        <v>0.1773958769</v>
      </c>
      <c r="BF607" s="47"/>
      <c r="BG607" s="47"/>
      <c r="BH607" s="47"/>
      <c r="BI607" s="47"/>
      <c r="BJ607" s="47"/>
      <c r="BK607" s="47"/>
      <c r="BL607" s="47"/>
      <c r="BM607" s="47"/>
      <c r="BN607" s="47"/>
      <c r="BO607" s="47"/>
      <c r="BP607" s="47"/>
      <c r="BQ607" s="47"/>
      <c r="BR607" s="47"/>
      <c r="BS607" s="47"/>
      <c r="BT607" s="47"/>
    </row>
    <row r="608" ht="11.25" customHeight="1">
      <c r="A608" s="35" t="str">
        <f>'13all_company_profile'!A608</f>
        <v>TXN</v>
      </c>
      <c r="B608" s="35" t="str">
        <f>'13all_company_profile'!B608</f>
        <v>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v>
      </c>
      <c r="C608" s="44" t="str">
        <f>'13all_company_profile'!C608</f>
        <v>https://financialmodelingprep.com/image-stock/TXN.png</v>
      </c>
      <c r="D608" s="35" t="str">
        <f>'13all_company_profile'!D608</f>
        <v>Texas Instruments Incorporated</v>
      </c>
      <c r="E608" s="36">
        <f>'13all_company_profile'!E608</f>
        <v>173862617088</v>
      </c>
      <c r="F608" s="37">
        <f>'13all_company_profile'!F608</f>
        <v>4099382</v>
      </c>
      <c r="G608" s="35">
        <f>'13all_company_profile'!G608</f>
        <v>3.96</v>
      </c>
      <c r="H608" s="38">
        <f>'13all_company_profile'!H608</f>
        <v>44398</v>
      </c>
      <c r="I608" s="35">
        <f>'13all_company_profile'!I608</f>
        <v>28.200819</v>
      </c>
      <c r="J608" s="35">
        <f>'13all_company_profile'!J608</f>
        <v>6.603</v>
      </c>
      <c r="K608" s="42">
        <f t="shared" si="1"/>
        <v>0.02108963093</v>
      </c>
      <c r="L608" s="35">
        <f>'7company_info'!B608</f>
        <v>187.77</v>
      </c>
      <c r="M608" s="35">
        <f>'7company_info'!C608</f>
        <v>189.18</v>
      </c>
      <c r="N608" s="35">
        <f>'7company_info'!D608</f>
        <v>185.76</v>
      </c>
      <c r="O608" s="35">
        <f>'7company_info'!E608</f>
        <v>1.53</v>
      </c>
      <c r="P608" s="35">
        <f>'7company_info'!F608</f>
        <v>0.0082</v>
      </c>
      <c r="Q608" s="35">
        <f>'7company_info'!G608</f>
        <v>187.06</v>
      </c>
      <c r="R608" s="35">
        <f>'7company_info'!H608</f>
        <v>186.24</v>
      </c>
      <c r="S608" s="35">
        <f>'7company_info'!I608</f>
        <v>125.43</v>
      </c>
      <c r="T608" s="35">
        <f>'7company_info'!J608</f>
        <v>197.58</v>
      </c>
      <c r="U608" s="39">
        <v>192.033333333333</v>
      </c>
      <c r="V608" s="39">
        <v>193.336666666666</v>
      </c>
      <c r="W608" s="40">
        <v>195.393333333333</v>
      </c>
      <c r="X608" s="40">
        <v>198.753333333333</v>
      </c>
      <c r="Y608" s="40">
        <v>189.976666666666</v>
      </c>
      <c r="Z608" s="40">
        <v>188.673333333333</v>
      </c>
      <c r="AA608" s="40">
        <v>185.313333333333</v>
      </c>
      <c r="AB608" s="40">
        <v>190.715</v>
      </c>
      <c r="AC608" s="40">
        <v>180.63</v>
      </c>
      <c r="AD608" s="40">
        <v>189.789706742565</v>
      </c>
      <c r="AE608" s="40">
        <v>185.18502</v>
      </c>
      <c r="AF608" s="40">
        <v>3.04475</v>
      </c>
      <c r="AG608" s="40">
        <v>197.58</v>
      </c>
      <c r="AH608" s="45">
        <v>44291.0</v>
      </c>
      <c r="AI608" s="44" t="str">
        <f>'6image_RS_benchmark_performance'!B608</f>
        <v>https://3arbzfbsh-cname-us.ngrok.io/Desktop/seabridge%20fintech/image_app/TXN_resistance_support.jpg</v>
      </c>
      <c r="AJ608" s="44" t="str">
        <f>'6image_RS_benchmark_performance'!C608</f>
        <v>https://3arbzfbsh-cname-us.ngrok.io/Desktop/seabridge%20fintech/profit_graph_app/TXN_Return.jpg</v>
      </c>
      <c r="AK608" s="46" t="str">
        <f>'5price_action_icon'!B608</f>
        <v>https://3arbzfbsh-cname-us.ngrok.io/Desktop/seabridge%20fintech/icon/TXN_pa_trend_signal</v>
      </c>
      <c r="AL608" s="42">
        <f>'1kpi_performance'!B608</f>
        <v>0.5182871763</v>
      </c>
      <c r="AM608" s="42">
        <f>'1kpi_performance'!C608</f>
        <v>0.6998145736</v>
      </c>
      <c r="AN608" s="42">
        <f>'1kpi_performance'!D608</f>
        <v>0.5497237811</v>
      </c>
      <c r="AO608" s="42">
        <f>'1kpi_performance'!E608</f>
        <v>0.2939779827</v>
      </c>
      <c r="AP608" s="42">
        <f>'1kpi_performance'!F608</f>
        <v>0.2186804427</v>
      </c>
      <c r="AQ608" s="42">
        <f>'1kpi_performance'!G608</f>
        <v>0.2170411789</v>
      </c>
      <c r="AR608" s="42">
        <f>'1kpi_performance'!H608</f>
        <v>0.2167781483</v>
      </c>
      <c r="AS608" s="42">
        <f>'1kpi_performance'!I608</f>
        <v>0.3224510503</v>
      </c>
      <c r="AT608" s="35">
        <f>'1kpi_performance'!J608</f>
        <v>2.255744364</v>
      </c>
      <c r="AU608" s="35">
        <f>'1kpi_performance'!K608</f>
        <v>3.109154571</v>
      </c>
      <c r="AV608" s="35">
        <f>'1kpi_performance'!L608</f>
        <v>2.420556616</v>
      </c>
      <c r="AW608" s="35">
        <f>'1kpi_performance'!M608</f>
        <v>0.8341668681</v>
      </c>
      <c r="AX608" s="42">
        <f>'1kpi_performance'!N608</f>
        <v>0.1445606024</v>
      </c>
      <c r="AY608" s="42">
        <f>'1kpi_performance'!O608</f>
        <v>0.09346733668</v>
      </c>
      <c r="AZ608" s="42">
        <f>'1kpi_performance'!P608</f>
        <v>0.3050806837</v>
      </c>
      <c r="BA608" s="42">
        <f>'1kpi_performance'!Q608</f>
        <v>0.3211159737</v>
      </c>
      <c r="BB608" s="35">
        <f>'1kpi_performance'!R608</f>
        <v>4.835028593</v>
      </c>
      <c r="BC608" s="35">
        <f>'1kpi_performance'!S608</f>
        <v>7.080000504</v>
      </c>
      <c r="BD608" s="35">
        <f>'1kpi_performance'!T608</f>
        <v>5.154169554</v>
      </c>
      <c r="BE608" s="35">
        <f>'1kpi_performance'!U608</f>
        <v>1.666569857</v>
      </c>
      <c r="BF608" s="47"/>
      <c r="BG608" s="47"/>
      <c r="BH608" s="47"/>
      <c r="BI608" s="47"/>
      <c r="BJ608" s="47"/>
      <c r="BK608" s="47"/>
      <c r="BL608" s="47"/>
      <c r="BM608" s="47"/>
      <c r="BN608" s="47"/>
      <c r="BO608" s="47"/>
      <c r="BP608" s="47"/>
      <c r="BQ608" s="47"/>
      <c r="BR608" s="47"/>
      <c r="BS608" s="47"/>
      <c r="BT608" s="47"/>
    </row>
    <row r="609" ht="11.25" customHeight="1">
      <c r="A609" s="35" t="str">
        <f>'13all_company_profile'!A609</f>
        <v>TXT</v>
      </c>
      <c r="B609" s="35" t="str">
        <f>'13all_company_profile'!B609</f>
        <v>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v>
      </c>
      <c r="C609" s="44" t="str">
        <f>'13all_company_profile'!C609</f>
        <v>https://financialmodelingprep.com/image-stock/TXT.png</v>
      </c>
      <c r="D609" s="35" t="str">
        <f>'13all_company_profile'!D609</f>
        <v>Textron Inc.</v>
      </c>
      <c r="E609" s="36">
        <f>'13all_company_profile'!E609</f>
        <v>15099931648</v>
      </c>
      <c r="F609" s="37">
        <f>'13all_company_profile'!F609</f>
        <v>1243080</v>
      </c>
      <c r="G609" s="35">
        <f>'13all_company_profile'!G609</f>
        <v>0.08</v>
      </c>
      <c r="H609" s="38">
        <f>'13all_company_profile'!H609</f>
        <v>44406</v>
      </c>
      <c r="I609" s="35">
        <f>'13all_company_profile'!I609</f>
        <v>35.266098</v>
      </c>
      <c r="J609" s="35">
        <f>'13all_company_profile'!J609</f>
        <v>1.879</v>
      </c>
      <c r="K609" s="42">
        <f t="shared" si="1"/>
        <v>0.001192783659</v>
      </c>
      <c r="L609" s="35">
        <f>'7company_info'!B609</f>
        <v>67.07</v>
      </c>
      <c r="M609" s="35">
        <f>'7company_info'!C609</f>
        <v>67.28</v>
      </c>
      <c r="N609" s="35">
        <f>'7company_info'!D609</f>
        <v>63.69</v>
      </c>
      <c r="O609" s="35">
        <f>'7company_info'!E609</f>
        <v>3.52</v>
      </c>
      <c r="P609" s="35">
        <f>'7company_info'!F609</f>
        <v>0.0554</v>
      </c>
      <c r="Q609" s="35">
        <f>'7company_info'!G609</f>
        <v>64.14</v>
      </c>
      <c r="R609" s="35">
        <f>'7company_info'!H609</f>
        <v>63.55</v>
      </c>
      <c r="S609" s="35">
        <f>'7company_info'!I609</f>
        <v>31.82</v>
      </c>
      <c r="T609" s="35">
        <f>'7company_info'!J609</f>
        <v>70.68</v>
      </c>
      <c r="U609" s="39">
        <v>66.6166666666666</v>
      </c>
      <c r="V609" s="39">
        <v>67.4933333333333</v>
      </c>
      <c r="W609" s="40">
        <v>68.3866666666666</v>
      </c>
      <c r="X609" s="40">
        <v>70.1566666666666</v>
      </c>
      <c r="Y609" s="40">
        <v>65.7233333333333</v>
      </c>
      <c r="Z609" s="40">
        <v>64.8466666666666</v>
      </c>
      <c r="AA609" s="40">
        <v>63.0766666666666</v>
      </c>
      <c r="AB609" s="40">
        <v>65.365</v>
      </c>
      <c r="AC609" s="40">
        <v>70.68</v>
      </c>
      <c r="AD609" s="40">
        <v>67.3289584784179</v>
      </c>
      <c r="AE609" s="40">
        <v>63.23376</v>
      </c>
      <c r="AF609" s="40">
        <v>1.72562</v>
      </c>
      <c r="AG609" s="40">
        <v>70.68</v>
      </c>
      <c r="AH609" s="45">
        <v>44355.0</v>
      </c>
      <c r="AI609" s="44" t="str">
        <f>'6image_RS_benchmark_performance'!B609</f>
        <v>https://3arbzfbsh-cname-us.ngrok.io/Desktop/seabridge%20fintech/image_app/TXT_resistance_support.jpg</v>
      </c>
      <c r="AJ609" s="44" t="str">
        <f>'6image_RS_benchmark_performance'!C609</f>
        <v>https://3arbzfbsh-cname-us.ngrok.io/Desktop/seabridge%20fintech/profit_graph_app/TXT_Return.jpg</v>
      </c>
      <c r="AK609" s="46" t="str">
        <f>'5price_action_icon'!B609</f>
        <v>https://3arbzfbsh-cname-us.ngrok.io/Desktop/seabridge%20fintech/icon/TXT_pa_trend_signal</v>
      </c>
      <c r="AL609" s="42">
        <f>'1kpi_performance'!B609</f>
        <v>0.7632850774</v>
      </c>
      <c r="AM609" s="42">
        <f>'1kpi_performance'!C609</f>
        <v>0.952590362</v>
      </c>
      <c r="AN609" s="42">
        <f>'1kpi_performance'!D609</f>
        <v>0.8344289037</v>
      </c>
      <c r="AO609" s="42">
        <f>'1kpi_performance'!E609</f>
        <v>0.1517672952</v>
      </c>
      <c r="AP609" s="42">
        <f>'1kpi_performance'!F609</f>
        <v>0.2947908168</v>
      </c>
      <c r="AQ609" s="42">
        <f>'1kpi_performance'!G609</f>
        <v>0.2972105169</v>
      </c>
      <c r="AR609" s="42">
        <f>'1kpi_performance'!H609</f>
        <v>0.290961624</v>
      </c>
      <c r="AS609" s="42">
        <f>'1kpi_performance'!I609</f>
        <v>0.4303223523</v>
      </c>
      <c r="AT609" s="35">
        <f>'1kpi_performance'!J609</f>
        <v>2.504437165</v>
      </c>
      <c r="AU609" s="35">
        <f>'1kpi_performance'!K609</f>
        <v>3.120987681</v>
      </c>
      <c r="AV609" s="35">
        <f>'1kpi_performance'!L609</f>
        <v>2.781909492</v>
      </c>
      <c r="AW609" s="35">
        <f>'1kpi_performance'!M609</f>
        <v>0.2945868244</v>
      </c>
      <c r="AX609" s="42">
        <f>'1kpi_performance'!N609</f>
        <v>0.2199753391</v>
      </c>
      <c r="AY609" s="42">
        <f>'1kpi_performance'!O609</f>
        <v>0.1618200479</v>
      </c>
      <c r="AZ609" s="42">
        <f>'1kpi_performance'!P609</f>
        <v>0.2440846824</v>
      </c>
      <c r="BA609" s="42">
        <f>'1kpi_performance'!Q609</f>
        <v>0.7004149378</v>
      </c>
      <c r="BB609" s="35">
        <f>'1kpi_performance'!R609</f>
        <v>5.6721281</v>
      </c>
      <c r="BC609" s="35">
        <f>'1kpi_performance'!S609</f>
        <v>7.458443472</v>
      </c>
      <c r="BD609" s="35">
        <f>'1kpi_performance'!T609</f>
        <v>6.25696475</v>
      </c>
      <c r="BE609" s="35">
        <f>'1kpi_performance'!U609</f>
        <v>0.5763839123</v>
      </c>
      <c r="BF609" s="47"/>
      <c r="BG609" s="47"/>
      <c r="BH609" s="47"/>
      <c r="BI609" s="47"/>
      <c r="BJ609" s="47"/>
      <c r="BK609" s="47"/>
      <c r="BL609" s="47"/>
      <c r="BM609" s="47"/>
      <c r="BN609" s="47"/>
      <c r="BO609" s="47"/>
      <c r="BP609" s="47"/>
      <c r="BQ609" s="47"/>
      <c r="BR609" s="47"/>
      <c r="BS609" s="47"/>
      <c r="BT609" s="47"/>
    </row>
    <row r="610" ht="11.25" customHeight="1">
      <c r="A610" s="35" t="str">
        <f>'13all_company_profile'!A610</f>
        <v>TYL</v>
      </c>
      <c r="B610" s="35" t="str">
        <f>'13all_company_profile'!B610</f>
        <v>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v>
      </c>
      <c r="C610" s="44" t="str">
        <f>'13all_company_profile'!C610</f>
        <v>https://financialmodelingprep.com/image-stock/TYL.png</v>
      </c>
      <c r="D610" s="35" t="str">
        <f>'13all_company_profile'!D610</f>
        <v>Tyler Technologies, Inc.</v>
      </c>
      <c r="E610" s="36">
        <f>'13all_company_profile'!E610</f>
        <v>19371251712</v>
      </c>
      <c r="F610" s="37">
        <f>'13all_company_profile'!F610</f>
        <v>237266</v>
      </c>
      <c r="G610" s="35">
        <f>'13all_company_profile'!G610</f>
        <v>0</v>
      </c>
      <c r="H610" s="38">
        <f>'13all_company_profile'!H610</f>
        <v>44404</v>
      </c>
      <c r="I610" s="35">
        <f>'13all_company_profile'!I610</f>
        <v>107.89814</v>
      </c>
      <c r="J610" s="35">
        <f>'13all_company_profile'!J610</f>
        <v>4.408</v>
      </c>
      <c r="K610" s="42" t="str">
        <f t="shared" si="1"/>
        <v>NaN</v>
      </c>
      <c r="L610" s="35">
        <f>'7company_info'!B610</f>
        <v>487.29</v>
      </c>
      <c r="M610" s="35">
        <f>'7company_info'!C610</f>
        <v>489.79</v>
      </c>
      <c r="N610" s="35">
        <f>'7company_info'!D610</f>
        <v>481.94</v>
      </c>
      <c r="O610" s="35">
        <f>'7company_info'!E610</f>
        <v>5.35</v>
      </c>
      <c r="P610" s="35">
        <f>'7company_info'!F610</f>
        <v>0.0111</v>
      </c>
      <c r="Q610" s="35">
        <f>'7company_info'!G610</f>
        <v>483.84</v>
      </c>
      <c r="R610" s="35">
        <f>'7company_info'!H610</f>
        <v>481.94</v>
      </c>
      <c r="S610" s="35">
        <f>'7company_info'!I610</f>
        <v>319.58</v>
      </c>
      <c r="T610" s="35">
        <f>'7company_info'!J610</f>
        <v>489.79</v>
      </c>
      <c r="U610" s="39">
        <v>473.576</v>
      </c>
      <c r="V610" s="39">
        <v>479.962</v>
      </c>
      <c r="W610" s="40">
        <v>486.384</v>
      </c>
      <c r="X610" s="40">
        <v>499.192</v>
      </c>
      <c r="Y610" s="40">
        <v>467.154</v>
      </c>
      <c r="Z610" s="40">
        <v>460.768</v>
      </c>
      <c r="AA610" s="40">
        <v>447.96</v>
      </c>
      <c r="AB610" s="40">
        <v>472.75</v>
      </c>
      <c r="AC610" s="40">
        <v>485.56</v>
      </c>
      <c r="AD610" s="40">
        <v>457.565661714987</v>
      </c>
      <c r="AE610" s="40">
        <v>459.6964</v>
      </c>
      <c r="AF610" s="40">
        <v>8.66594999999999</v>
      </c>
      <c r="AG610" s="40">
        <v>479.785</v>
      </c>
      <c r="AH610" s="45">
        <v>44256.0</v>
      </c>
      <c r="AI610" s="44" t="str">
        <f>'6image_RS_benchmark_performance'!B610</f>
        <v>https://3arbzfbsh-cname-us.ngrok.io/Desktop/seabridge%20fintech/image_app/TYL_resistance_support.jpg</v>
      </c>
      <c r="AJ610" s="44" t="str">
        <f>'6image_RS_benchmark_performance'!C610</f>
        <v>https://3arbzfbsh-cname-us.ngrok.io/Desktop/seabridge%20fintech/profit_graph_app/TYL_Return.jpg</v>
      </c>
      <c r="AK610" s="46" t="str">
        <f>'5price_action_icon'!B610</f>
        <v>https://3arbzfbsh-cname-us.ngrok.io/Desktop/seabridge%20fintech/icon/TYL_pa_trend_signal</v>
      </c>
      <c r="AL610" s="42">
        <f>'1kpi_performance'!B610</f>
        <v>0.716828205</v>
      </c>
      <c r="AM610" s="42">
        <f>'1kpi_performance'!C610</f>
        <v>0.8727809202</v>
      </c>
      <c r="AN610" s="42">
        <f>'1kpi_performance'!D610</f>
        <v>0.5568644029</v>
      </c>
      <c r="AO610" s="42">
        <f>'1kpi_performance'!E610</f>
        <v>0.487793331</v>
      </c>
      <c r="AP610" s="42">
        <f>'1kpi_performance'!F610</f>
        <v>0.22069941</v>
      </c>
      <c r="AQ610" s="42">
        <f>'1kpi_performance'!G610</f>
        <v>0.2399420678</v>
      </c>
      <c r="AR610" s="42">
        <f>'1kpi_performance'!H610</f>
        <v>0.2313737786</v>
      </c>
      <c r="AS610" s="42">
        <f>'1kpi_performance'!I610</f>
        <v>0.3336805642</v>
      </c>
      <c r="AT610" s="35">
        <f>'1kpi_performance'!J610</f>
        <v>3.134707996</v>
      </c>
      <c r="AU610" s="35">
        <f>'1kpi_performance'!K610</f>
        <v>3.533273377</v>
      </c>
      <c r="AV610" s="35">
        <f>'1kpi_performance'!L610</f>
        <v>2.298723762</v>
      </c>
      <c r="AW610" s="35">
        <f>'1kpi_performance'!M610</f>
        <v>1.386935233</v>
      </c>
      <c r="AX610" s="42">
        <f>'1kpi_performance'!N610</f>
        <v>0.1344800656</v>
      </c>
      <c r="AY610" s="42">
        <f>'1kpi_performance'!O610</f>
        <v>0.1132608802</v>
      </c>
      <c r="AZ610" s="42">
        <f>'1kpi_performance'!P610</f>
        <v>0.2655193608</v>
      </c>
      <c r="BA610" s="42">
        <f>'1kpi_performance'!Q610</f>
        <v>0.3383533581</v>
      </c>
      <c r="BB610" s="35">
        <f>'1kpi_performance'!R610</f>
        <v>7.367921435</v>
      </c>
      <c r="BC610" s="35">
        <f>'1kpi_performance'!S610</f>
        <v>8.719868783</v>
      </c>
      <c r="BD610" s="35">
        <f>'1kpi_performance'!T610</f>
        <v>4.484943957</v>
      </c>
      <c r="BE610" s="35">
        <f>'1kpi_performance'!U610</f>
        <v>2.780153856</v>
      </c>
      <c r="BF610" s="47"/>
      <c r="BG610" s="47"/>
      <c r="BH610" s="47"/>
      <c r="BI610" s="47"/>
      <c r="BJ610" s="47"/>
      <c r="BK610" s="47"/>
      <c r="BL610" s="47"/>
      <c r="BM610" s="47"/>
      <c r="BN610" s="47"/>
      <c r="BO610" s="47"/>
      <c r="BP610" s="47"/>
      <c r="BQ610" s="47"/>
      <c r="BR610" s="47"/>
      <c r="BS610" s="47"/>
      <c r="BT610" s="47"/>
    </row>
    <row r="611" ht="11.25" customHeight="1">
      <c r="A611" s="35" t="str">
        <f>'13all_company_profile'!A611</f>
        <v>UA</v>
      </c>
      <c r="B611" s="35" t="str">
        <f>'13all_company_profile'!B611</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1" s="44" t="str">
        <f>'13all_company_profile'!C611</f>
        <v>https://financialmodelingprep.com/image-stock/UA.png</v>
      </c>
      <c r="D611" s="35" t="str">
        <f>'13all_company_profile'!D611</f>
        <v>Under Armour, Inc.</v>
      </c>
      <c r="E611" s="36">
        <f>'13all_company_profile'!E611</f>
        <v>8654717952</v>
      </c>
      <c r="F611" s="37">
        <f>'13all_company_profile'!F611</f>
        <v>3436633</v>
      </c>
      <c r="G611" s="35">
        <f>'13all_company_profile'!G611</f>
        <v>0</v>
      </c>
      <c r="H611" s="38" t="str">
        <f>'13all_company_profile'!H611</f>
        <v>not avaiable</v>
      </c>
      <c r="I611" s="35">
        <f>'13all_company_profile'!I611</f>
        <v>66.24031</v>
      </c>
      <c r="J611" s="35">
        <f>'13all_company_profile'!J611</f>
        <v>0.258</v>
      </c>
      <c r="K611" s="42" t="str">
        <f t="shared" si="1"/>
        <v>NaN</v>
      </c>
      <c r="L611" s="35">
        <f>'7company_info'!B611</f>
        <v>17.35</v>
      </c>
      <c r="M611" s="35">
        <f>'7company_info'!C611</f>
        <v>17.54</v>
      </c>
      <c r="N611" s="35">
        <f>'7company_info'!D611</f>
        <v>16.62</v>
      </c>
      <c r="O611" s="35">
        <f>'7company_info'!E611</f>
        <v>0.62</v>
      </c>
      <c r="P611" s="35">
        <f>'7company_info'!F611</f>
        <v>0.0371</v>
      </c>
      <c r="Q611" s="35">
        <f>'7company_info'!G611</f>
        <v>16.79</v>
      </c>
      <c r="R611" s="35">
        <f>'7company_info'!H611</f>
        <v>16.73</v>
      </c>
      <c r="S611" s="35">
        <f>'7company_info'!I611</f>
        <v>8.71</v>
      </c>
      <c r="T611" s="35">
        <f>'7company_info'!J611</f>
        <v>21.83</v>
      </c>
      <c r="U611" s="39">
        <v>18.2566666666666</v>
      </c>
      <c r="V611" s="39">
        <v>18.4333333333333</v>
      </c>
      <c r="W611" s="40">
        <v>18.7366666666666</v>
      </c>
      <c r="X611" s="40">
        <v>19.2166666666666</v>
      </c>
      <c r="Y611" s="40">
        <v>17.9533333333333</v>
      </c>
      <c r="Z611" s="40">
        <v>17.7766666666666</v>
      </c>
      <c r="AA611" s="40">
        <v>17.2966666666666</v>
      </c>
      <c r="AB611" s="40">
        <v>17.6</v>
      </c>
      <c r="AC611" s="40">
        <v>18.22</v>
      </c>
      <c r="AD611" s="40">
        <v>18.4638268355861</v>
      </c>
      <c r="AE611" s="40">
        <v>17.19402</v>
      </c>
      <c r="AF611" s="40">
        <v>0.55149</v>
      </c>
      <c r="AG611" s="40">
        <v>21.825</v>
      </c>
      <c r="AH611" s="45">
        <v>44321.0</v>
      </c>
      <c r="AI611" s="44" t="str">
        <f>'6image_RS_benchmark_performance'!B611</f>
        <v>https://3arbzfbsh-cname-us.ngrok.io/Desktop/seabridge%20fintech/image_app/UA_resistance_support.jpg</v>
      </c>
      <c r="AJ611" s="44" t="str">
        <f>'6image_RS_benchmark_performance'!C611</f>
        <v>https://3arbzfbsh-cname-us.ngrok.io/Desktop/seabridge%20fintech/profit_graph_app/UA_Return.jpg</v>
      </c>
      <c r="AK611" s="46" t="str">
        <f>'5price_action_icon'!B611</f>
        <v>https://3arbzfbsh-cname-us.ngrok.io/Desktop/seabridge%20fintech/icon/UA_pa_trend_signal</v>
      </c>
      <c r="AL611" s="42">
        <f>'1kpi_performance'!B611</f>
        <v>0.7679760817</v>
      </c>
      <c r="AM611" s="42">
        <f>'1kpi_performance'!C611</f>
        <v>1.270997703</v>
      </c>
      <c r="AN611" s="42">
        <f>'1kpi_performance'!D611</f>
        <v>0.971850737</v>
      </c>
      <c r="AO611" s="42">
        <f>'1kpi_performance'!E611</f>
        <v>-0.1987430772</v>
      </c>
      <c r="AP611" s="42">
        <f>'1kpi_performance'!F611</f>
        <v>0.4110256726</v>
      </c>
      <c r="AQ611" s="42">
        <f>'1kpi_performance'!G611</f>
        <v>0.3649555495</v>
      </c>
      <c r="AR611" s="42">
        <f>'1kpi_performance'!H611</f>
        <v>0.4145611662</v>
      </c>
      <c r="AS611" s="42">
        <f>'1kpi_performance'!I611</f>
        <v>0.594646396</v>
      </c>
      <c r="AT611" s="35">
        <f>'1kpi_performance'!J611</f>
        <v>1.807614782</v>
      </c>
      <c r="AU611" s="35">
        <f>'1kpi_performance'!K611</f>
        <v>3.414108114</v>
      </c>
      <c r="AV611" s="35">
        <f>'1kpi_performance'!L611</f>
        <v>2.283983195</v>
      </c>
      <c r="AW611" s="35">
        <f>'1kpi_performance'!M611</f>
        <v>-0.3762623951</v>
      </c>
      <c r="AX611" s="42">
        <f>'1kpi_performance'!N611</f>
        <v>0.2617352739</v>
      </c>
      <c r="AY611" s="42">
        <f>'1kpi_performance'!O611</f>
        <v>0.1228242997</v>
      </c>
      <c r="AZ611" s="42">
        <f>'1kpi_performance'!P611</f>
        <v>0.4642978607</v>
      </c>
      <c r="BA611" s="42">
        <f>'1kpi_performance'!Q611</f>
        <v>0.8482634416</v>
      </c>
      <c r="BB611" s="35">
        <f>'1kpi_performance'!R611</f>
        <v>4.027687243</v>
      </c>
      <c r="BC611" s="35">
        <f>'1kpi_performance'!S611</f>
        <v>8.688295118</v>
      </c>
      <c r="BD611" s="35">
        <f>'1kpi_performance'!T611</f>
        <v>4.647573302</v>
      </c>
      <c r="BE611" s="35">
        <f>'1kpi_performance'!U611</f>
        <v>-0.6890009015</v>
      </c>
      <c r="BF611" s="47"/>
      <c r="BG611" s="47"/>
      <c r="BH611" s="47"/>
      <c r="BI611" s="47"/>
      <c r="BJ611" s="47"/>
      <c r="BK611" s="47"/>
      <c r="BL611" s="47"/>
      <c r="BM611" s="47"/>
      <c r="BN611" s="47"/>
      <c r="BO611" s="47"/>
      <c r="BP611" s="47"/>
      <c r="BQ611" s="47"/>
      <c r="BR611" s="47"/>
      <c r="BS611" s="47"/>
      <c r="BT611" s="47"/>
    </row>
    <row r="612" ht="11.25" customHeight="1">
      <c r="A612" s="35" t="str">
        <f>'13all_company_profile'!A612</f>
        <v>UAA</v>
      </c>
      <c r="B612" s="35" t="str">
        <f>'13all_company_profile'!B612</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2" s="44" t="str">
        <f>'13all_company_profile'!C612</f>
        <v>https://financialmodelingprep.com/image-stock/UAA.png</v>
      </c>
      <c r="D612" s="35" t="str">
        <f>'13all_company_profile'!D612</f>
        <v>Under Armour, Inc.</v>
      </c>
      <c r="E612" s="36">
        <f>'13all_company_profile'!E612</f>
        <v>8623235072</v>
      </c>
      <c r="F612" s="37">
        <f>'13all_company_profile'!F612</f>
        <v>5087244</v>
      </c>
      <c r="G612" s="35">
        <f>'13all_company_profile'!G612</f>
        <v>0</v>
      </c>
      <c r="H612" s="38">
        <f>'13all_company_profile'!H612</f>
        <v>44406</v>
      </c>
      <c r="I612" s="35">
        <f>'13all_company_profile'!I612</f>
        <v>74.57365</v>
      </c>
      <c r="J612" s="35">
        <f>'13all_company_profile'!J612</f>
        <v>0.258</v>
      </c>
      <c r="K612" s="42" t="str">
        <f t="shared" si="1"/>
        <v>NaN</v>
      </c>
      <c r="L612" s="35">
        <f>'7company_info'!B612</f>
        <v>19.67</v>
      </c>
      <c r="M612" s="35">
        <f>'7company_info'!C612</f>
        <v>19.93</v>
      </c>
      <c r="N612" s="35">
        <f>'7company_info'!D612</f>
        <v>18.76</v>
      </c>
      <c r="O612" s="35">
        <f>'7company_info'!E612</f>
        <v>0.77</v>
      </c>
      <c r="P612" s="35">
        <f>'7company_info'!F612</f>
        <v>0.0407</v>
      </c>
      <c r="Q612" s="35">
        <f>'7company_info'!G612</f>
        <v>18.97</v>
      </c>
      <c r="R612" s="35">
        <f>'7company_info'!H612</f>
        <v>18.9</v>
      </c>
      <c r="S612" s="35">
        <f>'7company_info'!I612</f>
        <v>9.63</v>
      </c>
      <c r="T612" s="35">
        <f>'7company_info'!J612</f>
        <v>26.45</v>
      </c>
      <c r="U612" s="39">
        <v>20.6733333333333</v>
      </c>
      <c r="V612" s="39">
        <v>20.9016666666666</v>
      </c>
      <c r="W612" s="40">
        <v>21.2533333333333</v>
      </c>
      <c r="X612" s="40">
        <v>21.8333333333333</v>
      </c>
      <c r="Y612" s="40">
        <v>20.3216666666666</v>
      </c>
      <c r="Z612" s="40">
        <v>20.0933333333333</v>
      </c>
      <c r="AA612" s="40">
        <v>19.5133333333333</v>
      </c>
      <c r="AB612" s="40">
        <v>19.28</v>
      </c>
      <c r="AC612" s="40">
        <v>21.27</v>
      </c>
      <c r="AD612" s="40">
        <v>21.0428368471347</v>
      </c>
      <c r="AE612" s="40">
        <v>19.25032</v>
      </c>
      <c r="AF612" s="40">
        <v>0.703839999999999</v>
      </c>
      <c r="AG612" s="40">
        <v>26.45</v>
      </c>
      <c r="AH612" s="45">
        <v>44321.0</v>
      </c>
      <c r="AI612" s="44" t="str">
        <f>'6image_RS_benchmark_performance'!B612</f>
        <v>https://3arbzfbsh-cname-us.ngrok.io/Desktop/seabridge%20fintech/image_app/UAA_resistance_support.jpg</v>
      </c>
      <c r="AJ612" s="44" t="str">
        <f>'6image_RS_benchmark_performance'!C612</f>
        <v>https://3arbzfbsh-cname-us.ngrok.io/Desktop/seabridge%20fintech/profit_graph_app/UAA_Return.jpg</v>
      </c>
      <c r="AK612" s="46" t="str">
        <f>'5price_action_icon'!B612</f>
        <v>https://3arbzfbsh-cname-us.ngrok.io/Desktop/seabridge%20fintech/icon/UAA_pa_trend_signal</v>
      </c>
      <c r="AL612" s="42">
        <f>'1kpi_performance'!B612</f>
        <v>1.165348821</v>
      </c>
      <c r="AM612" s="42">
        <f>'1kpi_performance'!C612</f>
        <v>1.408666092</v>
      </c>
      <c r="AN612" s="42">
        <f>'1kpi_performance'!D612</f>
        <v>1.034935021</v>
      </c>
      <c r="AO612" s="42">
        <f>'1kpi_performance'!E612</f>
        <v>0.2454304083</v>
      </c>
      <c r="AP612" s="42">
        <f>'1kpi_performance'!F612</f>
        <v>0.3746038308</v>
      </c>
      <c r="AQ612" s="42">
        <f>'1kpi_performance'!G612</f>
        <v>0.3640291801</v>
      </c>
      <c r="AR612" s="42">
        <f>'1kpi_performance'!H612</f>
        <v>0.3820978537</v>
      </c>
      <c r="AS612" s="42">
        <f>'1kpi_performance'!I612</f>
        <v>0.5381777042</v>
      </c>
      <c r="AT612" s="35">
        <f>'1kpi_performance'!J612</f>
        <v>3.044146182</v>
      </c>
      <c r="AU612" s="35">
        <f>'1kpi_performance'!K612</f>
        <v>3.800975768</v>
      </c>
      <c r="AV612" s="35">
        <f>'1kpi_performance'!L612</f>
        <v>2.643131887</v>
      </c>
      <c r="AW612" s="35">
        <f>'1kpi_performance'!M612</f>
        <v>0.4095866599</v>
      </c>
      <c r="AX612" s="42">
        <f>'1kpi_performance'!N612</f>
        <v>0.2324397488</v>
      </c>
      <c r="AY612" s="42">
        <f>'1kpi_performance'!O612</f>
        <v>0.1509680736</v>
      </c>
      <c r="AZ612" s="42">
        <f>'1kpi_performance'!P612</f>
        <v>0.4600919628</v>
      </c>
      <c r="BA612" s="42">
        <f>'1kpi_performance'!Q612</f>
        <v>0.8566264254</v>
      </c>
      <c r="BB612" s="35">
        <f>'1kpi_performance'!R612</f>
        <v>7.28238577</v>
      </c>
      <c r="BC612" s="35">
        <f>'1kpi_performance'!S612</f>
        <v>9.859023072</v>
      </c>
      <c r="BD612" s="35">
        <f>'1kpi_performance'!T612</f>
        <v>5.844412829</v>
      </c>
      <c r="BE612" s="35">
        <f>'1kpi_performance'!U612</f>
        <v>0.7983923704</v>
      </c>
      <c r="BF612" s="47"/>
      <c r="BG612" s="47"/>
      <c r="BH612" s="47"/>
      <c r="BI612" s="47"/>
      <c r="BJ612" s="47"/>
      <c r="BK612" s="47"/>
      <c r="BL612" s="47"/>
      <c r="BM612" s="47"/>
      <c r="BN612" s="47"/>
      <c r="BO612" s="47"/>
      <c r="BP612" s="47"/>
      <c r="BQ612" s="47"/>
      <c r="BR612" s="47"/>
      <c r="BS612" s="47"/>
      <c r="BT612" s="47"/>
    </row>
    <row r="613" ht="11.25" customHeight="1">
      <c r="A613" s="35" t="str">
        <f>'13all_company_profile'!A613</f>
        <v>UAL</v>
      </c>
      <c r="B613" s="35" t="str">
        <f>'13all_company_profile'!B613</f>
        <v>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v>
      </c>
      <c r="C613" s="44" t="str">
        <f>'13all_company_profile'!C613</f>
        <v>https://financialmodelingprep.com/image-stock/UAL.png</v>
      </c>
      <c r="D613" s="35" t="str">
        <f>'13all_company_profile'!D613</f>
        <v>United Airlines Holdings, Inc.</v>
      </c>
      <c r="E613" s="36">
        <f>'13all_company_profile'!E613</f>
        <v>15439480832</v>
      </c>
      <c r="F613" s="37">
        <f>'13all_company_profile'!F613</f>
        <v>12850930</v>
      </c>
      <c r="G613" s="35">
        <f>'13all_company_profile'!G613</f>
        <v>0</v>
      </c>
      <c r="H613" s="38">
        <f>'13all_company_profile'!H613</f>
        <v>44396</v>
      </c>
      <c r="I613" s="35" t="str">
        <f>'13all_company_profile'!I613</f>
        <v>NaN</v>
      </c>
      <c r="J613" s="35">
        <f>'13all_company_profile'!J613</f>
        <v>-22.677</v>
      </c>
      <c r="K613" s="42" t="str">
        <f t="shared" si="1"/>
        <v>NaN</v>
      </c>
      <c r="L613" s="35">
        <f>'7company_info'!B613</f>
        <v>46.32</v>
      </c>
      <c r="M613" s="35">
        <f>'7company_info'!C613</f>
        <v>46.46</v>
      </c>
      <c r="N613" s="35">
        <f>'7company_info'!D613</f>
        <v>43.07</v>
      </c>
      <c r="O613" s="35">
        <f>'7company_info'!E613</f>
        <v>2.86</v>
      </c>
      <c r="P613" s="35">
        <f>'7company_info'!F613</f>
        <v>0.0658</v>
      </c>
      <c r="Q613" s="35">
        <f>'7company_info'!G613</f>
        <v>43.55</v>
      </c>
      <c r="R613" s="35">
        <f>'7company_info'!H613</f>
        <v>43.46</v>
      </c>
      <c r="S613" s="35">
        <f>'7company_info'!I613</f>
        <v>30.32</v>
      </c>
      <c r="T613" s="35">
        <f>'7company_info'!J613</f>
        <v>63.7</v>
      </c>
      <c r="U613" s="39">
        <v>48.6638333333333</v>
      </c>
      <c r="V613" s="39">
        <v>49.4561666666666</v>
      </c>
      <c r="W613" s="40">
        <v>50.7523333333333</v>
      </c>
      <c r="X613" s="40">
        <v>52.8408333333333</v>
      </c>
      <c r="Y613" s="40">
        <v>47.3676666666666</v>
      </c>
      <c r="Z613" s="40">
        <v>46.5753333333333</v>
      </c>
      <c r="AA613" s="40">
        <v>44.4868333333333</v>
      </c>
      <c r="AB613" s="40">
        <v>47.8715</v>
      </c>
      <c r="AC613" s="40">
        <v>50.52</v>
      </c>
      <c r="AD613" s="40">
        <v>52.1927527888522</v>
      </c>
      <c r="AE613" s="40">
        <v>45.3526</v>
      </c>
      <c r="AF613" s="40">
        <v>1.623125</v>
      </c>
      <c r="AG613" s="40">
        <v>63.6999</v>
      </c>
      <c r="AH613" s="45">
        <v>44273.0</v>
      </c>
      <c r="AI613" s="44" t="str">
        <f>'6image_RS_benchmark_performance'!B613</f>
        <v>https://3arbzfbsh-cname-us.ngrok.io/Desktop/seabridge%20fintech/image_app/UAL_resistance_support.jpg</v>
      </c>
      <c r="AJ613" s="44" t="str">
        <f>'6image_RS_benchmark_performance'!C613</f>
        <v>https://3arbzfbsh-cname-us.ngrok.io/Desktop/seabridge%20fintech/profit_graph_app/UAL_Return.jpg</v>
      </c>
      <c r="AK613" s="46" t="str">
        <f>'5price_action_icon'!B613</f>
        <v>https://3arbzfbsh-cname-us.ngrok.io/Desktop/seabridge%20fintech/icon/UAL_pa_trend_signal</v>
      </c>
      <c r="AL613" s="42">
        <f>'1kpi_performance'!B613</f>
        <v>1.096370377</v>
      </c>
      <c r="AM613" s="42">
        <f>'1kpi_performance'!C613</f>
        <v>1.255037996</v>
      </c>
      <c r="AN613" s="42">
        <f>'1kpi_performance'!D613</f>
        <v>1.424572957</v>
      </c>
      <c r="AO613" s="42">
        <f>'1kpi_performance'!E613</f>
        <v>0.1757985726</v>
      </c>
      <c r="AP613" s="42">
        <f>'1kpi_performance'!F613</f>
        <v>0.4224888307</v>
      </c>
      <c r="AQ613" s="42">
        <f>'1kpi_performance'!G613</f>
        <v>0.3714643303</v>
      </c>
      <c r="AR613" s="42">
        <f>'1kpi_performance'!H613</f>
        <v>0.4079742563</v>
      </c>
      <c r="AS613" s="42">
        <f>'1kpi_performance'!I613</f>
        <v>0.5830660041</v>
      </c>
      <c r="AT613" s="35">
        <f>'1kpi_performance'!J613</f>
        <v>2.535854914</v>
      </c>
      <c r="AU613" s="35">
        <f>'1kpi_performance'!K613</f>
        <v>3.311321964</v>
      </c>
      <c r="AV613" s="35">
        <f>'1kpi_performance'!L613</f>
        <v>3.430542333</v>
      </c>
      <c r="AW613" s="35">
        <f>'1kpi_performance'!M613</f>
        <v>0.2586303635</v>
      </c>
      <c r="AX613" s="42">
        <f>'1kpi_performance'!N613</f>
        <v>0.3897390954</v>
      </c>
      <c r="AY613" s="42">
        <f>'1kpi_performance'!O613</f>
        <v>0.2991803279</v>
      </c>
      <c r="AZ613" s="42">
        <f>'1kpi_performance'!P613</f>
        <v>0.4725287387</v>
      </c>
      <c r="BA613" s="42">
        <f>'1kpi_performance'!Q613</f>
        <v>0.7940020683</v>
      </c>
      <c r="BB613" s="35">
        <f>'1kpi_performance'!R613</f>
        <v>5.589990557</v>
      </c>
      <c r="BC613" s="35">
        <f>'1kpi_performance'!S613</f>
        <v>7.785856761</v>
      </c>
      <c r="BD613" s="35">
        <f>'1kpi_performance'!T613</f>
        <v>7.709089056</v>
      </c>
      <c r="BE613" s="35">
        <f>'1kpi_performance'!U613</f>
        <v>0.5150622653</v>
      </c>
      <c r="BF613" s="47"/>
      <c r="BG613" s="47"/>
      <c r="BH613" s="47"/>
      <c r="BI613" s="47"/>
      <c r="BJ613" s="47"/>
      <c r="BK613" s="47"/>
      <c r="BL613" s="47"/>
      <c r="BM613" s="47"/>
      <c r="BN613" s="47"/>
      <c r="BO613" s="47"/>
      <c r="BP613" s="47"/>
      <c r="BQ613" s="47"/>
      <c r="BR613" s="47"/>
      <c r="BS613" s="47"/>
      <c r="BT613" s="47"/>
    </row>
    <row r="614" ht="11.25" customHeight="1">
      <c r="A614" s="35" t="str">
        <f>'13all_company_profile'!A614</f>
        <v>UBER</v>
      </c>
      <c r="B614" s="35" t="str">
        <f>'13all_company_profile'!B614</f>
        <v>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v>
      </c>
      <c r="C614" s="44" t="str">
        <f>'13all_company_profile'!C614</f>
        <v>https://financialmodelingprep.com/image-stock/UBER.png</v>
      </c>
      <c r="D614" s="35" t="str">
        <f>'13all_company_profile'!D614</f>
        <v>Uber Technologies, Inc.</v>
      </c>
      <c r="E614" s="36">
        <f>'13all_company_profile'!E614</f>
        <v>87175831552</v>
      </c>
      <c r="F614" s="37">
        <f>'13all_company_profile'!F614</f>
        <v>20517795</v>
      </c>
      <c r="G614" s="35">
        <f>'13all_company_profile'!G614</f>
        <v>0</v>
      </c>
      <c r="H614" s="38">
        <f>'13all_company_profile'!H614</f>
        <v>44412</v>
      </c>
      <c r="I614" s="35" t="str">
        <f>'13all_company_profile'!I614</f>
        <v>NaN</v>
      </c>
      <c r="J614" s="35">
        <f>'13all_company_profile'!J614</f>
        <v>-2.209</v>
      </c>
      <c r="K614" s="42" t="str">
        <f t="shared" si="1"/>
        <v>NaN</v>
      </c>
      <c r="L614" s="35">
        <f>'7company_info'!B614</f>
        <v>46.32</v>
      </c>
      <c r="M614" s="35">
        <f>'7company_info'!C614</f>
        <v>46.66</v>
      </c>
      <c r="N614" s="35">
        <f>'7company_info'!D614</f>
        <v>45.07</v>
      </c>
      <c r="O614" s="35">
        <f>'7company_info'!E614</f>
        <v>0.76</v>
      </c>
      <c r="P614" s="35">
        <f>'7company_info'!F614</f>
        <v>0.0167</v>
      </c>
      <c r="Q614" s="35">
        <f>'7company_info'!G614</f>
        <v>45.46</v>
      </c>
      <c r="R614" s="35">
        <f>'7company_info'!H614</f>
        <v>45.56</v>
      </c>
      <c r="S614" s="35">
        <f>'7company_info'!I614</f>
        <v>28.48</v>
      </c>
      <c r="T614" s="35">
        <f>'7company_info'!J614</f>
        <v>64.05</v>
      </c>
      <c r="U614" s="39">
        <v>47.6166666666666</v>
      </c>
      <c r="V614" s="39">
        <v>48.1233333333333</v>
      </c>
      <c r="W614" s="40">
        <v>49.0966666666666</v>
      </c>
      <c r="X614" s="40">
        <v>50.5766666666666</v>
      </c>
      <c r="Y614" s="40">
        <v>46.6433333333333</v>
      </c>
      <c r="Z614" s="40">
        <v>46.1366666666666</v>
      </c>
      <c r="AA614" s="40">
        <v>44.6566666666666</v>
      </c>
      <c r="AB614" s="40">
        <v>48.09</v>
      </c>
      <c r="AC614" s="40">
        <v>49.34</v>
      </c>
      <c r="AD614" s="40">
        <v>49.4001520097296</v>
      </c>
      <c r="AE614" s="40">
        <v>44.921</v>
      </c>
      <c r="AF614" s="40">
        <v>1.5695</v>
      </c>
      <c r="AG614" s="40">
        <v>64.05</v>
      </c>
      <c r="AH614" s="45">
        <v>44238.0</v>
      </c>
      <c r="AI614" s="44" t="str">
        <f>'6image_RS_benchmark_performance'!B614</f>
        <v>https://3arbzfbsh-cname-us.ngrok.io/Desktop/seabridge%20fintech/image_app/UBER_resistance_support.jpg</v>
      </c>
      <c r="AJ614" s="44" t="str">
        <f>'6image_RS_benchmark_performance'!C614</f>
        <v>https://3arbzfbsh-cname-us.ngrok.io/Desktop/seabridge%20fintech/profit_graph_app/UBER_Return.jpg</v>
      </c>
      <c r="AK614" s="46" t="str">
        <f>'5price_action_icon'!B614</f>
        <v>https://3arbzfbsh-cname-us.ngrok.io/Desktop/seabridge%20fintech/icon/UBER_pa_trend_signal</v>
      </c>
      <c r="AL614" s="42">
        <f>'1kpi_performance'!B614</f>
        <v>1.0078354</v>
      </c>
      <c r="AM614" s="42">
        <f>'1kpi_performance'!C614</f>
        <v>1.946487726</v>
      </c>
      <c r="AN614" s="42">
        <f>'1kpi_performance'!D614</f>
        <v>1.50346296</v>
      </c>
      <c r="AO614" s="42">
        <f>'1kpi_performance'!E614</f>
        <v>0.08626404643</v>
      </c>
      <c r="AP614" s="42">
        <f>'1kpi_performance'!F614</f>
        <v>0.4512144997</v>
      </c>
      <c r="AQ614" s="42">
        <f>'1kpi_performance'!G614</f>
        <v>0.4873676698</v>
      </c>
      <c r="AR614" s="42">
        <f>'1kpi_performance'!H614</f>
        <v>0.456909644</v>
      </c>
      <c r="AS614" s="42">
        <f>'1kpi_performance'!I614</f>
        <v>0.7347453639</v>
      </c>
      <c r="AT614" s="35">
        <f>'1kpi_performance'!J614</f>
        <v>2.178199948</v>
      </c>
      <c r="AU614" s="35">
        <f>'1kpi_performance'!K614</f>
        <v>3.942583485</v>
      </c>
      <c r="AV614" s="35">
        <f>'1kpi_performance'!L614</f>
        <v>3.235788475</v>
      </c>
      <c r="AW614" s="35">
        <f>'1kpi_performance'!M614</f>
        <v>0.08338133106</v>
      </c>
      <c r="AX614" s="42">
        <f>'1kpi_performance'!N614</f>
        <v>0.1884779516</v>
      </c>
      <c r="AY614" s="42">
        <f>'1kpi_performance'!O614</f>
        <v>0.1884779516</v>
      </c>
      <c r="AZ614" s="42">
        <f>'1kpi_performance'!P614</f>
        <v>0.3104222821</v>
      </c>
      <c r="BA614" s="42">
        <f>'1kpi_performance'!Q614</f>
        <v>0.680465718</v>
      </c>
      <c r="BB614" s="35">
        <f>'1kpi_performance'!R614</f>
        <v>5.031278792</v>
      </c>
      <c r="BC614" s="35">
        <f>'1kpi_performance'!S614</f>
        <v>9.608088413</v>
      </c>
      <c r="BD614" s="35">
        <f>'1kpi_performance'!T614</f>
        <v>7.465017031</v>
      </c>
      <c r="BE614" s="35">
        <f>'1kpi_performance'!U614</f>
        <v>0.1777729888</v>
      </c>
      <c r="BF614" s="47"/>
      <c r="BG614" s="47"/>
      <c r="BH614" s="47"/>
      <c r="BI614" s="47"/>
      <c r="BJ614" s="47"/>
      <c r="BK614" s="47"/>
      <c r="BL614" s="47"/>
      <c r="BM614" s="47"/>
      <c r="BN614" s="47"/>
      <c r="BO614" s="47"/>
      <c r="BP614" s="47"/>
      <c r="BQ614" s="47"/>
      <c r="BR614" s="47"/>
      <c r="BS614" s="47"/>
      <c r="BT614" s="47"/>
    </row>
    <row r="615" ht="11.25" customHeight="1">
      <c r="A615" s="35" t="str">
        <f>'13all_company_profile'!A615</f>
        <v>UDR</v>
      </c>
      <c r="B615" s="35" t="str">
        <f>'13all_company_profile'!B615</f>
        <v>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v>
      </c>
      <c r="C615" s="44" t="str">
        <f>'13all_company_profile'!C615</f>
        <v>https://financialmodelingprep.com/image-stock/UDR.png</v>
      </c>
      <c r="D615" s="35" t="str">
        <f>'13all_company_profile'!D615</f>
        <v>UDR, Inc.</v>
      </c>
      <c r="E615" s="36">
        <f>'13all_company_profile'!E615</f>
        <v>15664616448</v>
      </c>
      <c r="F615" s="37">
        <f>'13all_company_profile'!F615</f>
        <v>1867871</v>
      </c>
      <c r="G615" s="35">
        <f>'13all_company_profile'!G615</f>
        <v>1.4455</v>
      </c>
      <c r="H615" s="38">
        <f>'13all_company_profile'!H615</f>
        <v>44405</v>
      </c>
      <c r="I615" s="35">
        <f>'13all_company_profile'!I615</f>
        <v>271.78574</v>
      </c>
      <c r="J615" s="35">
        <f>'13all_company_profile'!J615</f>
        <v>0.196</v>
      </c>
      <c r="K615" s="42">
        <f t="shared" si="1"/>
        <v>0.02668451172</v>
      </c>
      <c r="L615" s="35">
        <f>'7company_info'!B615</f>
        <v>54.17</v>
      </c>
      <c r="M615" s="35">
        <f>'7company_info'!C615</f>
        <v>54.53</v>
      </c>
      <c r="N615" s="35">
        <f>'7company_info'!D615</f>
        <v>52.72</v>
      </c>
      <c r="O615" s="35">
        <f>'7company_info'!E615</f>
        <v>1.46</v>
      </c>
      <c r="P615" s="35">
        <f>'7company_info'!F615</f>
        <v>0.0277</v>
      </c>
      <c r="Q615" s="35">
        <f>'7company_info'!G615</f>
        <v>52.98</v>
      </c>
      <c r="R615" s="35">
        <f>'7company_info'!H615</f>
        <v>52.71</v>
      </c>
      <c r="S615" s="35">
        <f>'7company_info'!I615</f>
        <v>29.34</v>
      </c>
      <c r="T615" s="35">
        <f>'7company_info'!J615</f>
        <v>54.53</v>
      </c>
      <c r="U615" s="39">
        <v>52.1533333333333</v>
      </c>
      <c r="V615" s="39">
        <v>52.6066666666666</v>
      </c>
      <c r="W615" s="40">
        <v>52.8933333333333</v>
      </c>
      <c r="X615" s="40">
        <v>53.6333333333333</v>
      </c>
      <c r="Y615" s="40">
        <v>51.8666666666666</v>
      </c>
      <c r="Z615" s="40">
        <v>51.4133333333333</v>
      </c>
      <c r="AA615" s="40">
        <v>50.6733333333333</v>
      </c>
      <c r="AB615" s="40">
        <v>50.92</v>
      </c>
      <c r="AC615" s="40">
        <v>52.59</v>
      </c>
      <c r="AD615" s="40">
        <v>50.4012419733915</v>
      </c>
      <c r="AE615" s="40">
        <v>50.1375</v>
      </c>
      <c r="AF615" s="40">
        <v>0.891249999999999</v>
      </c>
      <c r="AG615" s="40">
        <v>50.5953</v>
      </c>
      <c r="AH615" s="45">
        <v>44357.0</v>
      </c>
      <c r="AI615" s="44" t="str">
        <f>'6image_RS_benchmark_performance'!B615</f>
        <v>https://3arbzfbsh-cname-us.ngrok.io/Desktop/seabridge%20fintech/image_app/UDR_resistance_support.jpg</v>
      </c>
      <c r="AJ615" s="44" t="str">
        <f>'6image_RS_benchmark_performance'!C615</f>
        <v>https://3arbzfbsh-cname-us.ngrok.io/Desktop/seabridge%20fintech/profit_graph_app/UDR_Return.jpg</v>
      </c>
      <c r="AK615" s="46" t="str">
        <f>'5price_action_icon'!B615</f>
        <v>https://3arbzfbsh-cname-us.ngrok.io/Desktop/seabridge%20fintech/icon/UDR_pa_trend_signal</v>
      </c>
      <c r="AL615" s="42">
        <f>'1kpi_performance'!B615</f>
        <v>0.4190221436</v>
      </c>
      <c r="AM615" s="42">
        <f>'1kpi_performance'!C615</f>
        <v>0.4617311075</v>
      </c>
      <c r="AN615" s="42">
        <f>'1kpi_performance'!D615</f>
        <v>0.5066957102</v>
      </c>
      <c r="AO615" s="42">
        <f>'1kpi_performance'!E615</f>
        <v>0.1650036665</v>
      </c>
      <c r="AP615" s="42">
        <f>'1kpi_performance'!F615</f>
        <v>0.2043283156</v>
      </c>
      <c r="AQ615" s="42">
        <f>'1kpi_performance'!G615</f>
        <v>0.2074104586</v>
      </c>
      <c r="AR615" s="42">
        <f>'1kpi_performance'!H615</f>
        <v>0.2287547428</v>
      </c>
      <c r="AS615" s="42">
        <f>'1kpi_performance'!I615</f>
        <v>0.3030653038</v>
      </c>
      <c r="AT615" s="35">
        <f>'1kpi_performance'!J615</f>
        <v>1.928377585</v>
      </c>
      <c r="AU615" s="35">
        <f>'1kpi_performance'!K615</f>
        <v>2.105636864</v>
      </c>
      <c r="AV615" s="35">
        <f>'1kpi_performance'!L615</f>
        <v>2.105729937</v>
      </c>
      <c r="AW615" s="35">
        <f>'1kpi_performance'!M615</f>
        <v>0.4619587419</v>
      </c>
      <c r="AX615" s="42">
        <f>'1kpi_performance'!N615</f>
        <v>0.1901430442</v>
      </c>
      <c r="AY615" s="42">
        <f>'1kpi_performance'!O615</f>
        <v>0.1665788086</v>
      </c>
      <c r="AZ615" s="42">
        <f>'1kpi_performance'!P615</f>
        <v>0.3912867275</v>
      </c>
      <c r="BA615" s="42">
        <f>'1kpi_performance'!Q615</f>
        <v>0.4188101316</v>
      </c>
      <c r="BB615" s="35">
        <f>'1kpi_performance'!R615</f>
        <v>3.94822283</v>
      </c>
      <c r="BC615" s="35">
        <f>'1kpi_performance'!S615</f>
        <v>4.407231485</v>
      </c>
      <c r="BD615" s="35">
        <f>'1kpi_performance'!T615</f>
        <v>4.028879121</v>
      </c>
      <c r="BE615" s="35">
        <f>'1kpi_performance'!U615</f>
        <v>0.8803121966</v>
      </c>
      <c r="BF615" s="47"/>
      <c r="BG615" s="47"/>
      <c r="BH615" s="47"/>
      <c r="BI615" s="47"/>
      <c r="BJ615" s="47"/>
      <c r="BK615" s="47"/>
      <c r="BL615" s="47"/>
      <c r="BM615" s="47"/>
      <c r="BN615" s="47"/>
      <c r="BO615" s="47"/>
      <c r="BP615" s="47"/>
      <c r="BQ615" s="47"/>
      <c r="BR615" s="47"/>
      <c r="BS615" s="47"/>
      <c r="BT615" s="47"/>
    </row>
    <row r="616" ht="11.25" customHeight="1">
      <c r="A616" s="35" t="str">
        <f>'13all_company_profile'!A616</f>
        <v>UHS</v>
      </c>
      <c r="B616" s="35" t="str">
        <f>'13all_company_profile'!B616</f>
        <v>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v>
      </c>
      <c r="C616" s="44" t="str">
        <f>'13all_company_profile'!C616</f>
        <v>https://financialmodelingprep.com/image-stock/UHS.png</v>
      </c>
      <c r="D616" s="35" t="str">
        <f>'13all_company_profile'!D616</f>
        <v>Universal Health Services, Inc.</v>
      </c>
      <c r="E616" s="36">
        <f>'13all_company_profile'!E616</f>
        <v>13052029952</v>
      </c>
      <c r="F616" s="37">
        <f>'13all_company_profile'!F616</f>
        <v>681109</v>
      </c>
      <c r="G616" s="35">
        <f>'13all_company_profile'!G616</f>
        <v>0.4</v>
      </c>
      <c r="H616" s="38">
        <f>'13all_company_profile'!H616</f>
        <v>44403</v>
      </c>
      <c r="I616" s="35">
        <f>'13all_company_profile'!I616</f>
        <v>12.859141</v>
      </c>
      <c r="J616" s="35">
        <f>'13all_company_profile'!J616</f>
        <v>11.792</v>
      </c>
      <c r="K616" s="42">
        <f t="shared" si="1"/>
        <v>0.002611477443</v>
      </c>
      <c r="L616" s="35">
        <f>'7company_info'!B616</f>
        <v>153.17</v>
      </c>
      <c r="M616" s="35">
        <f>'7company_info'!C616</f>
        <v>156.7</v>
      </c>
      <c r="N616" s="35">
        <f>'7company_info'!D616</f>
        <v>149.44</v>
      </c>
      <c r="O616" s="35">
        <f>'7company_info'!E616</f>
        <v>6.88</v>
      </c>
      <c r="P616" s="35">
        <f>'7company_info'!F616</f>
        <v>0.047</v>
      </c>
      <c r="Q616" s="35">
        <f>'7company_info'!G616</f>
        <v>149.94</v>
      </c>
      <c r="R616" s="35">
        <f>'7company_info'!H616</f>
        <v>146.29</v>
      </c>
      <c r="S616" s="35">
        <f>'7company_info'!I616</f>
        <v>95.03</v>
      </c>
      <c r="T616" s="35">
        <f>'7company_info'!J616</f>
        <v>162.51</v>
      </c>
      <c r="U616" s="39">
        <v>153.263333333333</v>
      </c>
      <c r="V616" s="39">
        <v>154.206666666666</v>
      </c>
      <c r="W616" s="40">
        <v>155.333333333333</v>
      </c>
      <c r="X616" s="40">
        <v>157.403333333333</v>
      </c>
      <c r="Y616" s="40">
        <v>152.136666666666</v>
      </c>
      <c r="Z616" s="40">
        <v>151.193333333333</v>
      </c>
      <c r="AA616" s="40">
        <v>149.123333333333</v>
      </c>
      <c r="AB616" s="40">
        <v>146.67</v>
      </c>
      <c r="AC616" s="40">
        <v>152.09</v>
      </c>
      <c r="AD616" s="40">
        <v>152.291718216554</v>
      </c>
      <c r="AE616" s="40">
        <v>146.25875</v>
      </c>
      <c r="AF616" s="40">
        <v>3.25512499999999</v>
      </c>
      <c r="AG616" s="40">
        <v>162.51</v>
      </c>
      <c r="AH616" s="45">
        <v>44343.0</v>
      </c>
      <c r="AI616" s="44" t="str">
        <f>'6image_RS_benchmark_performance'!B616</f>
        <v>https://3arbzfbsh-cname-us.ngrok.io/Desktop/seabridge%20fintech/image_app/UHS_resistance_support.jpg</v>
      </c>
      <c r="AJ616" s="44" t="str">
        <f>'6image_RS_benchmark_performance'!C616</f>
        <v>https://3arbzfbsh-cname-us.ngrok.io/Desktop/seabridge%20fintech/profit_graph_app/UHS_Return.jpg</v>
      </c>
      <c r="AK616" s="46" t="str">
        <f>'5price_action_icon'!B616</f>
        <v>https://3arbzfbsh-cname-us.ngrok.io/Desktop/seabridge%20fintech/icon/UHS_pa_trend_signal</v>
      </c>
      <c r="AL616" s="42">
        <f>'1kpi_performance'!B616</f>
        <v>0.6975415802</v>
      </c>
      <c r="AM616" s="42">
        <f>'1kpi_performance'!C616</f>
        <v>0.8235747894</v>
      </c>
      <c r="AN616" s="42">
        <f>'1kpi_performance'!D616</f>
        <v>0.6368882894</v>
      </c>
      <c r="AO616" s="42">
        <f>'1kpi_performance'!E616</f>
        <v>0.2291536792</v>
      </c>
      <c r="AP616" s="42">
        <f>'1kpi_performance'!F616</f>
        <v>0.2574081069</v>
      </c>
      <c r="AQ616" s="42">
        <f>'1kpi_performance'!G616</f>
        <v>0.2632078226</v>
      </c>
      <c r="AR616" s="42">
        <f>'1kpi_performance'!H616</f>
        <v>0.3031655985</v>
      </c>
      <c r="AS616" s="42">
        <f>'1kpi_performance'!I616</f>
        <v>0.3938512996</v>
      </c>
      <c r="AT616" s="35">
        <f>'1kpi_performance'!J616</f>
        <v>2.612744362</v>
      </c>
      <c r="AU616" s="35">
        <f>'1kpi_performance'!K616</f>
        <v>3.034008569</v>
      </c>
      <c r="AV616" s="35">
        <f>'1kpi_performance'!L616</f>
        <v>2.018330221</v>
      </c>
      <c r="AW616" s="35">
        <f>'1kpi_performance'!M616</f>
        <v>0.5183521786</v>
      </c>
      <c r="AX616" s="42">
        <f>'1kpi_performance'!N616</f>
        <v>0.147308499</v>
      </c>
      <c r="AY616" s="42">
        <f>'1kpi_performance'!O616</f>
        <v>0.147308499</v>
      </c>
      <c r="AZ616" s="42">
        <f>'1kpi_performance'!P616</f>
        <v>0.5257146861</v>
      </c>
      <c r="BA616" s="42">
        <f>'1kpi_performance'!Q616</f>
        <v>0.5643303083</v>
      </c>
      <c r="BB616" s="35">
        <f>'1kpi_performance'!R616</f>
        <v>5.912763301</v>
      </c>
      <c r="BC616" s="35">
        <f>'1kpi_performance'!S616</f>
        <v>7.076519035</v>
      </c>
      <c r="BD616" s="35">
        <f>'1kpi_performance'!T616</f>
        <v>3.904169036</v>
      </c>
      <c r="BE616" s="35">
        <f>'1kpi_performance'!U616</f>
        <v>1.001195081</v>
      </c>
      <c r="BF616" s="47"/>
      <c r="BG616" s="47"/>
      <c r="BH616" s="47"/>
      <c r="BI616" s="47"/>
      <c r="BJ616" s="47"/>
      <c r="BK616" s="47"/>
      <c r="BL616" s="47"/>
      <c r="BM616" s="47"/>
      <c r="BN616" s="47"/>
      <c r="BO616" s="47"/>
      <c r="BP616" s="47"/>
      <c r="BQ616" s="47"/>
      <c r="BR616" s="47"/>
      <c r="BS616" s="47"/>
      <c r="BT616" s="47"/>
    </row>
    <row r="617" ht="11.25" customHeight="1">
      <c r="A617" s="35" t="str">
        <f>'13all_company_profile'!A617</f>
        <v>ULTA</v>
      </c>
      <c r="B617" s="35" t="str">
        <f>'13all_company_profile'!B617</f>
        <v>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v>
      </c>
      <c r="C617" s="44" t="str">
        <f>'13all_company_profile'!C617</f>
        <v>https://financialmodelingprep.com/image-stock/ULTA.png</v>
      </c>
      <c r="D617" s="35" t="str">
        <f>'13all_company_profile'!D617</f>
        <v>Ulta Beauty, Inc.</v>
      </c>
      <c r="E617" s="36">
        <f>'13all_company_profile'!E617</f>
        <v>18670698496</v>
      </c>
      <c r="F617" s="37">
        <f>'13all_company_profile'!F617</f>
        <v>685003</v>
      </c>
      <c r="G617" s="35">
        <f>'13all_company_profile'!G617</f>
        <v>0</v>
      </c>
      <c r="H617" s="38" t="str">
        <f>'13all_company_profile'!H617</f>
        <v>not avaiable</v>
      </c>
      <c r="I617" s="35">
        <f>'13all_company_profile'!I617</f>
        <v>38.70541</v>
      </c>
      <c r="J617" s="35">
        <f>'13all_company_profile'!J617</f>
        <v>8.578</v>
      </c>
      <c r="K617" s="42" t="str">
        <f t="shared" si="1"/>
        <v>NaN</v>
      </c>
      <c r="L617" s="35">
        <f>'7company_info'!B617</f>
        <v>334.5</v>
      </c>
      <c r="M617" s="35">
        <f>'7company_info'!C617</f>
        <v>336.25</v>
      </c>
      <c r="N617" s="35">
        <f>'7company_info'!D617</f>
        <v>322.28</v>
      </c>
      <c r="O617" s="35">
        <f>'7company_info'!E617</f>
        <v>10.83</v>
      </c>
      <c r="P617" s="35">
        <f>'7company_info'!F617</f>
        <v>0.0335</v>
      </c>
      <c r="Q617" s="35">
        <f>'7company_info'!G617</f>
        <v>323.68</v>
      </c>
      <c r="R617" s="35">
        <f>'7company_info'!H617</f>
        <v>323.67</v>
      </c>
      <c r="S617" s="35">
        <f>'7company_info'!I617</f>
        <v>188.18</v>
      </c>
      <c r="T617" s="35">
        <f>'7company_info'!J617</f>
        <v>356.31</v>
      </c>
      <c r="U617" s="39">
        <v>344.46</v>
      </c>
      <c r="V617" s="39">
        <v>347.52</v>
      </c>
      <c r="W617" s="40">
        <v>352.76</v>
      </c>
      <c r="X617" s="40">
        <v>361.06</v>
      </c>
      <c r="Y617" s="40">
        <v>339.22</v>
      </c>
      <c r="Z617" s="40">
        <v>336.16</v>
      </c>
      <c r="AA617" s="40">
        <v>327.86</v>
      </c>
      <c r="AB617" s="40">
        <v>343.377</v>
      </c>
      <c r="AC617" s="40">
        <v>356.31</v>
      </c>
      <c r="AD617" s="40">
        <v>340.895471823279</v>
      </c>
      <c r="AE617" s="40">
        <v>322.98495</v>
      </c>
      <c r="AF617" s="40">
        <v>8.329025</v>
      </c>
      <c r="AG617" s="40">
        <v>356.31</v>
      </c>
      <c r="AH617" s="45">
        <v>44372.0</v>
      </c>
      <c r="AI617" s="44" t="str">
        <f>'6image_RS_benchmark_performance'!B617</f>
        <v>https://3arbzfbsh-cname-us.ngrok.io/Desktop/seabridge%20fintech/image_app/ULTA_resistance_support.jpg</v>
      </c>
      <c r="AJ617" s="44" t="str">
        <f>'6image_RS_benchmark_performance'!C617</f>
        <v>https://3arbzfbsh-cname-us.ngrok.io/Desktop/seabridge%20fintech/profit_graph_app/ULTA_Return.jpg</v>
      </c>
      <c r="AK617" s="46" t="str">
        <f>'5price_action_icon'!B617</f>
        <v>https://3arbzfbsh-cname-us.ngrok.io/Desktop/seabridge%20fintech/icon/ULTA_pa_trend_signal</v>
      </c>
      <c r="AL617" s="42">
        <f>'1kpi_performance'!B617</f>
        <v>0.9151689644</v>
      </c>
      <c r="AM617" s="42">
        <f>'1kpi_performance'!C617</f>
        <v>1.20708134</v>
      </c>
      <c r="AN617" s="42">
        <f>'1kpi_performance'!D617</f>
        <v>0.9708031016</v>
      </c>
      <c r="AO617" s="42">
        <f>'1kpi_performance'!E617</f>
        <v>0.4245859733</v>
      </c>
      <c r="AP617" s="42">
        <f>'1kpi_performance'!F617</f>
        <v>0.3180466931</v>
      </c>
      <c r="AQ617" s="42">
        <f>'1kpi_performance'!G617</f>
        <v>0.3464985182</v>
      </c>
      <c r="AR617" s="42">
        <f>'1kpi_performance'!H617</f>
        <v>0.3573763352</v>
      </c>
      <c r="AS617" s="42">
        <f>'1kpi_performance'!I617</f>
        <v>0.4790752854</v>
      </c>
      <c r="AT617" s="35">
        <f>'1kpi_performance'!J617</f>
        <v>2.798862506</v>
      </c>
      <c r="AU617" s="35">
        <f>'1kpi_performance'!K617</f>
        <v>3.411504749</v>
      </c>
      <c r="AV617" s="35">
        <f>'1kpi_performance'!L617</f>
        <v>2.646518553</v>
      </c>
      <c r="AW617" s="35">
        <f>'1kpi_performance'!M617</f>
        <v>0.8340776188</v>
      </c>
      <c r="AX617" s="42">
        <f>'1kpi_performance'!N617</f>
        <v>0.1883941949</v>
      </c>
      <c r="AY617" s="42">
        <f>'1kpi_performance'!O617</f>
        <v>0.1831352929</v>
      </c>
      <c r="AZ617" s="42">
        <f>'1kpi_performance'!P617</f>
        <v>0.3614038069</v>
      </c>
      <c r="BA617" s="42">
        <f>'1kpi_performance'!Q617</f>
        <v>0.6492262343</v>
      </c>
      <c r="BB617" s="35">
        <f>'1kpi_performance'!R617</f>
        <v>7.43926862</v>
      </c>
      <c r="BC617" s="35">
        <f>'1kpi_performance'!S617</f>
        <v>9.241636825</v>
      </c>
      <c r="BD617" s="35">
        <f>'1kpi_performance'!T617</f>
        <v>5.529114435</v>
      </c>
      <c r="BE617" s="35">
        <f>'1kpi_performance'!U617</f>
        <v>1.678918638</v>
      </c>
      <c r="BF617" s="47"/>
      <c r="BG617" s="47"/>
      <c r="BH617" s="47"/>
      <c r="BI617" s="47"/>
      <c r="BJ617" s="47"/>
      <c r="BK617" s="47"/>
      <c r="BL617" s="47"/>
      <c r="BM617" s="47"/>
      <c r="BN617" s="47"/>
      <c r="BO617" s="47"/>
      <c r="BP617" s="47"/>
      <c r="BQ617" s="47"/>
      <c r="BR617" s="47"/>
      <c r="BS617" s="47"/>
      <c r="BT617" s="47"/>
    </row>
    <row r="618" ht="11.25" customHeight="1">
      <c r="A618" s="35" t="str">
        <f>'13all_company_profile'!A618</f>
        <v>UNH</v>
      </c>
      <c r="B618" s="35" t="str">
        <f>'13all_company_profile'!B618</f>
        <v>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v>
      </c>
      <c r="C618" s="44" t="str">
        <f>'13all_company_profile'!C618</f>
        <v>https://financialmodelingprep.com/image-stock/UNH.png</v>
      </c>
      <c r="D618" s="35" t="str">
        <f>'13all_company_profile'!D618</f>
        <v>UnitedHealth Group Incorporated</v>
      </c>
      <c r="E618" s="36">
        <f>'13all_company_profile'!E618</f>
        <v>396402032640</v>
      </c>
      <c r="F618" s="37">
        <f>'13all_company_profile'!F618</f>
        <v>2991544</v>
      </c>
      <c r="G618" s="35">
        <f>'13all_company_profile'!G618</f>
        <v>5.2</v>
      </c>
      <c r="H618" s="38" t="str">
        <f>'13all_company_profile'!H618</f>
        <v>not avaiable</v>
      </c>
      <c r="I618" s="35">
        <f>'13all_company_profile'!I618</f>
        <v>23.918015</v>
      </c>
      <c r="J618" s="35">
        <f>'13all_company_profile'!J618</f>
        <v>17.588</v>
      </c>
      <c r="K618" s="42">
        <f t="shared" si="1"/>
        <v>0.01259171368</v>
      </c>
      <c r="L618" s="35">
        <f>'7company_info'!B618</f>
        <v>412.97</v>
      </c>
      <c r="M618" s="35">
        <f>'7company_info'!C618</f>
        <v>417.73</v>
      </c>
      <c r="N618" s="35">
        <f>'7company_info'!D618</f>
        <v>410.61</v>
      </c>
      <c r="O618" s="35">
        <f>'7company_info'!E618</f>
        <v>3.91</v>
      </c>
      <c r="P618" s="35">
        <f>'7company_info'!F618</f>
        <v>0.0096</v>
      </c>
      <c r="Q618" s="35">
        <f>'7company_info'!G618</f>
        <v>411</v>
      </c>
      <c r="R618" s="35">
        <f>'7company_info'!H618</f>
        <v>409.06</v>
      </c>
      <c r="S618" s="35">
        <f>'7company_info'!I618</f>
        <v>289.64</v>
      </c>
      <c r="T618" s="35">
        <f>'7company_info'!J618</f>
        <v>425.98</v>
      </c>
      <c r="U618" s="39">
        <v>416.873333333333</v>
      </c>
      <c r="V618" s="39">
        <v>420.396666666666</v>
      </c>
      <c r="W618" s="40">
        <v>426.053333333333</v>
      </c>
      <c r="X618" s="40">
        <v>435.233333333333</v>
      </c>
      <c r="Y618" s="40">
        <v>411.216666666666</v>
      </c>
      <c r="Z618" s="40">
        <v>407.693333333333</v>
      </c>
      <c r="AA618" s="40">
        <v>398.513333333333</v>
      </c>
      <c r="AB618" s="40">
        <v>400.525</v>
      </c>
      <c r="AC618" s="40">
        <v>398.07</v>
      </c>
      <c r="AD618" s="40">
        <v>407.592068673191</v>
      </c>
      <c r="AE618" s="40">
        <v>406.75573</v>
      </c>
      <c r="AF618" s="40">
        <v>6.09963499999999</v>
      </c>
      <c r="AG618" s="40">
        <v>425.98</v>
      </c>
      <c r="AH618" s="45">
        <v>44326.0</v>
      </c>
      <c r="AI618" s="44" t="str">
        <f>'6image_RS_benchmark_performance'!B618</f>
        <v>https://3arbzfbsh-cname-us.ngrok.io/Desktop/seabridge%20fintech/image_app/UNH_resistance_support.jpg</v>
      </c>
      <c r="AJ618" s="44" t="str">
        <f>'6image_RS_benchmark_performance'!C618</f>
        <v>https://3arbzfbsh-cname-us.ngrok.io/Desktop/seabridge%20fintech/profit_graph_app/UNH_Return.jpg</v>
      </c>
      <c r="AK618" s="46" t="str">
        <f>'5price_action_icon'!B618</f>
        <v>https://3arbzfbsh-cname-us.ngrok.io/Desktop/seabridge%20fintech/icon/UNH_pa_trend_signal</v>
      </c>
      <c r="AL618" s="42">
        <f>'1kpi_performance'!B618</f>
        <v>0.611185644</v>
      </c>
      <c r="AM618" s="42">
        <f>'1kpi_performance'!C618</f>
        <v>0.7854700613</v>
      </c>
      <c r="AN618" s="42">
        <f>'1kpi_performance'!D618</f>
        <v>0.6457946366</v>
      </c>
      <c r="AO618" s="42">
        <f>'1kpi_performance'!E618</f>
        <v>0.370300895</v>
      </c>
      <c r="AP618" s="42">
        <f>'1kpi_performance'!F618</f>
        <v>0.2005767494</v>
      </c>
      <c r="AQ618" s="42">
        <f>'1kpi_performance'!G618</f>
        <v>0.2218824039</v>
      </c>
      <c r="AR618" s="42">
        <f>'1kpi_performance'!H618</f>
        <v>0.2353249124</v>
      </c>
      <c r="AS618" s="42">
        <f>'1kpi_performance'!I618</f>
        <v>0.3080040834</v>
      </c>
      <c r="AT618" s="35">
        <f>'1kpi_performance'!J618</f>
        <v>2.922500469</v>
      </c>
      <c r="AU618" s="35">
        <f>'1kpi_performance'!K618</f>
        <v>3.427356329</v>
      </c>
      <c r="AV618" s="35">
        <f>'1kpi_performance'!L618</f>
        <v>2.638031946</v>
      </c>
      <c r="AW618" s="35">
        <f>'1kpi_performance'!M618</f>
        <v>1.121091939</v>
      </c>
      <c r="AX618" s="42">
        <f>'1kpi_performance'!N618</f>
        <v>0.1014135244</v>
      </c>
      <c r="AY618" s="42">
        <f>'1kpi_performance'!O618</f>
        <v>0.1014135244</v>
      </c>
      <c r="AZ618" s="42">
        <f>'1kpi_performance'!P618</f>
        <v>0.3267224103</v>
      </c>
      <c r="BA618" s="42">
        <f>'1kpi_performance'!Q618</f>
        <v>0.3617634535</v>
      </c>
      <c r="BB618" s="35">
        <f>'1kpi_performance'!R618</f>
        <v>6.883395117</v>
      </c>
      <c r="BC618" s="35">
        <f>'1kpi_performance'!S618</f>
        <v>8.582168238</v>
      </c>
      <c r="BD618" s="35">
        <f>'1kpi_performance'!T618</f>
        <v>5.33243346</v>
      </c>
      <c r="BE618" s="35">
        <f>'1kpi_performance'!U618</f>
        <v>2.243993238</v>
      </c>
      <c r="BF618" s="47"/>
      <c r="BG618" s="47"/>
      <c r="BH618" s="47"/>
      <c r="BI618" s="47"/>
      <c r="BJ618" s="47"/>
      <c r="BK618" s="47"/>
      <c r="BL618" s="47"/>
      <c r="BM618" s="47"/>
      <c r="BN618" s="47"/>
      <c r="BO618" s="47"/>
      <c r="BP618" s="47"/>
      <c r="BQ618" s="47"/>
      <c r="BR618" s="47"/>
      <c r="BS618" s="47"/>
      <c r="BT618" s="47"/>
    </row>
    <row r="619" ht="11.25" customHeight="1">
      <c r="A619" s="35" t="str">
        <f>'13all_company_profile'!A619</f>
        <v>UNM</v>
      </c>
      <c r="B619" s="35" t="str">
        <f>'13all_company_profile'!B619</f>
        <v>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v>
      </c>
      <c r="C619" s="44" t="str">
        <f>'13all_company_profile'!C619</f>
        <v>https://financialmodelingprep.com/image-stock/UNM.png</v>
      </c>
      <c r="D619" s="35" t="str">
        <f>'13all_company_profile'!D619</f>
        <v>Unum Group</v>
      </c>
      <c r="E619" s="36">
        <f>'13all_company_profile'!E619</f>
        <v>5635009024</v>
      </c>
      <c r="F619" s="37">
        <f>'13all_company_profile'!F619</f>
        <v>1740939</v>
      </c>
      <c r="G619" s="35">
        <f>'13all_company_profile'!G619</f>
        <v>1.14</v>
      </c>
      <c r="H619" s="38">
        <f>'13all_company_profile'!H619</f>
        <v>44411</v>
      </c>
      <c r="I619" s="35">
        <f>'13all_company_profile'!I619</f>
        <v>7.009613</v>
      </c>
      <c r="J619" s="35">
        <f>'13all_company_profile'!J619</f>
        <v>3.849</v>
      </c>
      <c r="K619" s="42">
        <f t="shared" si="1"/>
        <v>0.0421286031</v>
      </c>
      <c r="L619" s="35">
        <f>'7company_info'!B619</f>
        <v>27.06</v>
      </c>
      <c r="M619" s="35">
        <f>'7company_info'!C619</f>
        <v>27.4</v>
      </c>
      <c r="N619" s="35">
        <f>'7company_info'!D619</f>
        <v>26</v>
      </c>
      <c r="O619" s="35">
        <f>'7company_info'!E619</f>
        <v>0.96</v>
      </c>
      <c r="P619" s="35">
        <f>'7company_info'!F619</f>
        <v>0.0368</v>
      </c>
      <c r="Q619" s="35">
        <f>'7company_info'!G619</f>
        <v>26.05</v>
      </c>
      <c r="R619" s="35">
        <f>'7company_info'!H619</f>
        <v>26.1</v>
      </c>
      <c r="S619" s="35">
        <f>'7company_info'!I619</f>
        <v>15.79</v>
      </c>
      <c r="T619" s="35">
        <f>'7company_info'!J619</f>
        <v>31.98</v>
      </c>
      <c r="U619" s="39">
        <v>27.705</v>
      </c>
      <c r="V619" s="39">
        <v>28.1149999999999</v>
      </c>
      <c r="W619" s="40">
        <v>28.6499999999999</v>
      </c>
      <c r="X619" s="40">
        <v>29.5949999999999</v>
      </c>
      <c r="Y619" s="40">
        <v>27.17</v>
      </c>
      <c r="Z619" s="40">
        <v>26.76</v>
      </c>
      <c r="AA619" s="40">
        <v>25.815</v>
      </c>
      <c r="AB619" s="40">
        <v>28.18</v>
      </c>
      <c r="AC619" s="40">
        <v>28.24</v>
      </c>
      <c r="AD619" s="40">
        <v>28.3731077913062</v>
      </c>
      <c r="AE619" s="40">
        <v>25.7805</v>
      </c>
      <c r="AF619" s="40">
        <v>0.943999999999999</v>
      </c>
      <c r="AG619" s="40">
        <v>31.98</v>
      </c>
      <c r="AH619" s="45">
        <v>44349.0</v>
      </c>
      <c r="AI619" s="44" t="str">
        <f>'6image_RS_benchmark_performance'!B619</f>
        <v>https://3arbzfbsh-cname-us.ngrok.io/Desktop/seabridge%20fintech/image_app/UNM_resistance_support.jpg</v>
      </c>
      <c r="AJ619" s="44" t="str">
        <f>'6image_RS_benchmark_performance'!C619</f>
        <v>https://3arbzfbsh-cname-us.ngrok.io/Desktop/seabridge%20fintech/profit_graph_app/UNM_Return.jpg</v>
      </c>
      <c r="AK619" s="46" t="str">
        <f>'5price_action_icon'!B619</f>
        <v>https://3arbzfbsh-cname-us.ngrok.io/Desktop/seabridge%20fintech/icon/UNM_pa_trend_signal</v>
      </c>
      <c r="AL619" s="42">
        <f>'1kpi_performance'!B619</f>
        <v>0.584707741</v>
      </c>
      <c r="AM619" s="42">
        <f>'1kpi_performance'!C619</f>
        <v>0.7926579674</v>
      </c>
      <c r="AN619" s="42">
        <f>'1kpi_performance'!D619</f>
        <v>0.582399219</v>
      </c>
      <c r="AO619" s="42">
        <f>'1kpi_performance'!E619</f>
        <v>0.03467115053</v>
      </c>
      <c r="AP619" s="42">
        <f>'1kpi_performance'!F619</f>
        <v>0.2683014815</v>
      </c>
      <c r="AQ619" s="42">
        <f>'1kpi_performance'!G619</f>
        <v>0.2611861319</v>
      </c>
      <c r="AR619" s="42">
        <f>'1kpi_performance'!H619</f>
        <v>0.2721698172</v>
      </c>
      <c r="AS619" s="42">
        <f>'1kpi_performance'!I619</f>
        <v>0.4167538228</v>
      </c>
      <c r="AT619" s="35">
        <f>'1kpi_performance'!J619</f>
        <v>2.086114985</v>
      </c>
      <c r="AU619" s="35">
        <f>'1kpi_performance'!K619</f>
        <v>2.939122234</v>
      </c>
      <c r="AV619" s="35">
        <f>'1kpi_performance'!L619</f>
        <v>2.047983222</v>
      </c>
      <c r="AW619" s="35">
        <f>'1kpi_performance'!M619</f>
        <v>0.02320590719</v>
      </c>
      <c r="AX619" s="42">
        <f>'1kpi_performance'!N619</f>
        <v>0.2128603104</v>
      </c>
      <c r="AY619" s="42">
        <f>'1kpi_performance'!O619</f>
        <v>0.188478397</v>
      </c>
      <c r="AZ619" s="42">
        <f>'1kpi_performance'!P619</f>
        <v>0.2875987871</v>
      </c>
      <c r="BA619" s="42">
        <f>'1kpi_performance'!Q619</f>
        <v>0.8228366615</v>
      </c>
      <c r="BB619" s="35">
        <f>'1kpi_performance'!R619</f>
        <v>4.157223639</v>
      </c>
      <c r="BC619" s="35">
        <f>'1kpi_performance'!S619</f>
        <v>6.409100757</v>
      </c>
      <c r="BD619" s="35">
        <f>'1kpi_performance'!T619</f>
        <v>4.180240701</v>
      </c>
      <c r="BE619" s="35">
        <f>'1kpi_performance'!U619</f>
        <v>0.04250226694</v>
      </c>
      <c r="BF619" s="47"/>
      <c r="BG619" s="47"/>
      <c r="BH619" s="47"/>
      <c r="BI619" s="47"/>
      <c r="BJ619" s="47"/>
      <c r="BK619" s="47"/>
      <c r="BL619" s="47"/>
      <c r="BM619" s="47"/>
      <c r="BN619" s="47"/>
      <c r="BO619" s="47"/>
      <c r="BP619" s="47"/>
      <c r="BQ619" s="47"/>
      <c r="BR619" s="47"/>
      <c r="BS619" s="47"/>
      <c r="BT619" s="47"/>
    </row>
    <row r="620" ht="11.25" customHeight="1">
      <c r="A620" s="35" t="str">
        <f>'13all_company_profile'!A620</f>
        <v>UNP</v>
      </c>
      <c r="B620" s="35" t="str">
        <f>'13all_company_profile'!B620</f>
        <v>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v>
      </c>
      <c r="C620" s="44" t="str">
        <f>'13all_company_profile'!C620</f>
        <v>https://financialmodelingprep.com/image-stock/UNP.png</v>
      </c>
      <c r="D620" s="35" t="str">
        <f>'13all_company_profile'!D620</f>
        <v>Union Pacific Corporation</v>
      </c>
      <c r="E620" s="36">
        <f>'13all_company_profile'!E620</f>
        <v>146106793984</v>
      </c>
      <c r="F620" s="37">
        <f>'13all_company_profile'!F620</f>
        <v>2742280</v>
      </c>
      <c r="G620" s="35">
        <f>'13all_company_profile'!G620</f>
        <v>3.98</v>
      </c>
      <c r="H620" s="38">
        <f>'13all_company_profile'!H620</f>
        <v>44399</v>
      </c>
      <c r="I620" s="35">
        <f>'13all_company_profile'!I620</f>
        <v>28.296879</v>
      </c>
      <c r="J620" s="35">
        <f>'13all_company_profile'!J620</f>
        <v>7.727</v>
      </c>
      <c r="K620" s="42">
        <f t="shared" si="1"/>
        <v>0.01847039168</v>
      </c>
      <c r="L620" s="35">
        <f>'7company_info'!B620</f>
        <v>215.48</v>
      </c>
      <c r="M620" s="35">
        <f>'7company_info'!C620</f>
        <v>217.64</v>
      </c>
      <c r="N620" s="35">
        <f>'7company_info'!D620</f>
        <v>213.99</v>
      </c>
      <c r="O620" s="35">
        <f>'7company_info'!E620</f>
        <v>1.14</v>
      </c>
      <c r="P620" s="35">
        <f>'7company_info'!F620</f>
        <v>0.0053</v>
      </c>
      <c r="Q620" s="35">
        <f>'7company_info'!G620</f>
        <v>213.99</v>
      </c>
      <c r="R620" s="35">
        <f>'7company_info'!H620</f>
        <v>214.34</v>
      </c>
      <c r="S620" s="35">
        <f>'7company_info'!I620</f>
        <v>167.57</v>
      </c>
      <c r="T620" s="35">
        <f>'7company_info'!J620</f>
        <v>231.26</v>
      </c>
      <c r="U620" s="39">
        <v>220.236666666666</v>
      </c>
      <c r="V620" s="39">
        <v>221.223333333333</v>
      </c>
      <c r="W620" s="40">
        <v>222.396666666666</v>
      </c>
      <c r="X620" s="40">
        <v>224.556666666666</v>
      </c>
      <c r="Y620" s="40">
        <v>219.063333333333</v>
      </c>
      <c r="Z620" s="40">
        <v>218.076666666666</v>
      </c>
      <c r="AA620" s="40">
        <v>215.916666666666</v>
      </c>
      <c r="AB620" s="40">
        <v>219.0</v>
      </c>
      <c r="AC620" s="40">
        <v>228.74</v>
      </c>
      <c r="AD620" s="40">
        <v>221.278040049459</v>
      </c>
      <c r="AE620" s="40">
        <v>211.53115</v>
      </c>
      <c r="AF620" s="40">
        <v>3.850175</v>
      </c>
      <c r="AG620" s="40">
        <v>231.26</v>
      </c>
      <c r="AH620" s="45">
        <v>44326.0</v>
      </c>
      <c r="AI620" s="44" t="str">
        <f>'6image_RS_benchmark_performance'!B620</f>
        <v>https://3arbzfbsh-cname-us.ngrok.io/Desktop/seabridge%20fintech/image_app/UNP_resistance_support.jpg</v>
      </c>
      <c r="AJ620" s="44" t="str">
        <f>'6image_RS_benchmark_performance'!C620</f>
        <v>https://3arbzfbsh-cname-us.ngrok.io/Desktop/seabridge%20fintech/profit_graph_app/UNP_Return.jpg</v>
      </c>
      <c r="AK620" s="46" t="str">
        <f>'5price_action_icon'!B620</f>
        <v>https://3arbzfbsh-cname-us.ngrok.io/Desktop/seabridge%20fintech/icon/UNP_pa_trend_signal</v>
      </c>
      <c r="AL620" s="42">
        <f>'1kpi_performance'!B620</f>
        <v>0.5451471269</v>
      </c>
      <c r="AM620" s="42">
        <f>'1kpi_performance'!C620</f>
        <v>0.6822338713</v>
      </c>
      <c r="AN620" s="42">
        <f>'1kpi_performance'!D620</f>
        <v>0.718629012</v>
      </c>
      <c r="AO620" s="42">
        <f>'1kpi_performance'!E620</f>
        <v>0.2680399149</v>
      </c>
      <c r="AP620" s="42">
        <f>'1kpi_performance'!F620</f>
        <v>0.2002211578</v>
      </c>
      <c r="AQ620" s="42">
        <f>'1kpi_performance'!G620</f>
        <v>0.2005573816</v>
      </c>
      <c r="AR620" s="42">
        <f>'1kpi_performance'!H620</f>
        <v>0.1910657249</v>
      </c>
      <c r="AS620" s="42">
        <f>'1kpi_performance'!I620</f>
        <v>0.3044869022</v>
      </c>
      <c r="AT620" s="35">
        <f>'1kpi_performance'!J620</f>
        <v>2.597862946</v>
      </c>
      <c r="AU620" s="35">
        <f>'1kpi_performance'!K620</f>
        <v>3.277036557</v>
      </c>
      <c r="AV620" s="35">
        <f>'1kpi_performance'!L620</f>
        <v>3.630316282</v>
      </c>
      <c r="AW620" s="35">
        <f>'1kpi_performance'!M620</f>
        <v>0.7981949737</v>
      </c>
      <c r="AX620" s="42">
        <f>'1kpi_performance'!N620</f>
        <v>0.1490342114</v>
      </c>
      <c r="AY620" s="42">
        <f>'1kpi_performance'!O620</f>
        <v>0.1162702057</v>
      </c>
      <c r="AZ620" s="42">
        <f>'1kpi_performance'!P620</f>
        <v>0.2224512937</v>
      </c>
      <c r="BA620" s="42">
        <f>'1kpi_performance'!Q620</f>
        <v>0.4444803359</v>
      </c>
      <c r="BB620" s="35">
        <f>'1kpi_performance'!R620</f>
        <v>5.742376925</v>
      </c>
      <c r="BC620" s="35">
        <f>'1kpi_performance'!S620</f>
        <v>7.653583391</v>
      </c>
      <c r="BD620" s="35">
        <f>'1kpi_performance'!T620</f>
        <v>8.41577325</v>
      </c>
      <c r="BE620" s="35">
        <f>'1kpi_performance'!U620</f>
        <v>1.571436765</v>
      </c>
      <c r="BF620" s="47"/>
      <c r="BG620" s="47"/>
      <c r="BH620" s="47"/>
      <c r="BI620" s="47"/>
      <c r="BJ620" s="47"/>
      <c r="BK620" s="47"/>
      <c r="BL620" s="47"/>
      <c r="BM620" s="47"/>
      <c r="BN620" s="47"/>
      <c r="BO620" s="47"/>
      <c r="BP620" s="47"/>
      <c r="BQ620" s="47"/>
      <c r="BR620" s="47"/>
      <c r="BS620" s="47"/>
      <c r="BT620" s="47"/>
    </row>
    <row r="621" ht="11.25" customHeight="1">
      <c r="A621" s="35" t="str">
        <f>'13all_company_profile'!A621</f>
        <v>UPS</v>
      </c>
      <c r="B621" s="35" t="str">
        <f>'13all_company_profile'!B621</f>
        <v>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v>
      </c>
      <c r="C621" s="44" t="str">
        <f>'13all_company_profile'!C621</f>
        <v>https://financialmodelingprep.com/image-stock/UPS.png</v>
      </c>
      <c r="D621" s="35" t="str">
        <f>'13all_company_profile'!D621</f>
        <v>United Parcel Service, Inc.</v>
      </c>
      <c r="E621" s="36">
        <f>'13all_company_profile'!E621</f>
        <v>185301647360</v>
      </c>
      <c r="F621" s="37">
        <f>'13all_company_profile'!F621</f>
        <v>3549526</v>
      </c>
      <c r="G621" s="35">
        <f>'13all_company_profile'!G621</f>
        <v>4.06</v>
      </c>
      <c r="H621" s="38">
        <f>'13all_company_profile'!H621</f>
        <v>44404</v>
      </c>
      <c r="I621" s="35">
        <f>'13all_company_profile'!I621</f>
        <v>35.57075</v>
      </c>
      <c r="J621" s="35">
        <f>'13all_company_profile'!J621</f>
        <v>5.922</v>
      </c>
      <c r="K621" s="42">
        <f t="shared" si="1"/>
        <v>0.01910947943</v>
      </c>
      <c r="L621" s="35">
        <f>'7company_info'!B621</f>
        <v>212.46</v>
      </c>
      <c r="M621" s="35">
        <f>'7company_info'!C621</f>
        <v>214.29</v>
      </c>
      <c r="N621" s="35">
        <f>'7company_info'!D621</f>
        <v>210.71</v>
      </c>
      <c r="O621" s="35">
        <f>'7company_info'!E621</f>
        <v>1.05</v>
      </c>
      <c r="P621" s="35">
        <f>'7company_info'!F621</f>
        <v>0.005</v>
      </c>
      <c r="Q621" s="35">
        <f>'7company_info'!G621</f>
        <v>212.06</v>
      </c>
      <c r="R621" s="35">
        <f>'7company_info'!H621</f>
        <v>211.41</v>
      </c>
      <c r="S621" s="35">
        <f>'7company_info'!I621</f>
        <v>117.06</v>
      </c>
      <c r="T621" s="35">
        <f>'7company_info'!J621</f>
        <v>219.59</v>
      </c>
      <c r="U621" s="39">
        <v>211.186666666666</v>
      </c>
      <c r="V621" s="39">
        <v>212.743333333333</v>
      </c>
      <c r="W621" s="40">
        <v>213.956666666666</v>
      </c>
      <c r="X621" s="40">
        <v>216.726666666666</v>
      </c>
      <c r="Y621" s="40">
        <v>209.973333333333</v>
      </c>
      <c r="Z621" s="40">
        <v>208.416666666666</v>
      </c>
      <c r="AA621" s="40">
        <v>205.646666666666</v>
      </c>
      <c r="AB621" s="40">
        <v>209.28</v>
      </c>
      <c r="AC621" s="40">
        <v>210.38</v>
      </c>
      <c r="AD621" s="40">
        <v>209.387207765671</v>
      </c>
      <c r="AE621" s="40">
        <v>203.91887</v>
      </c>
      <c r="AF621" s="40">
        <v>3.58456499999999</v>
      </c>
      <c r="AG621" s="40">
        <v>219.59</v>
      </c>
      <c r="AH621" s="45">
        <v>44326.0</v>
      </c>
      <c r="AI621" s="44" t="str">
        <f>'6image_RS_benchmark_performance'!B621</f>
        <v>https://3arbzfbsh-cname-us.ngrok.io/Desktop/seabridge%20fintech/image_app/UPS_resistance_support.jpg</v>
      </c>
      <c r="AJ621" s="44" t="str">
        <f>'6image_RS_benchmark_performance'!C621</f>
        <v>https://3arbzfbsh-cname-us.ngrok.io/Desktop/seabridge%20fintech/profit_graph_app/UPS_Return.jpg</v>
      </c>
      <c r="AK621" s="46" t="str">
        <f>'5price_action_icon'!B621</f>
        <v>https://3arbzfbsh-cname-us.ngrok.io/Desktop/seabridge%20fintech/icon/UPS_pa_trend_signal</v>
      </c>
      <c r="AL621" s="42">
        <f>'1kpi_performance'!B621</f>
        <v>0.5402110269</v>
      </c>
      <c r="AM621" s="42">
        <f>'1kpi_performance'!C621</f>
        <v>0.5079240015</v>
      </c>
      <c r="AN621" s="42">
        <f>'1kpi_performance'!D621</f>
        <v>0.3584668941</v>
      </c>
      <c r="AO621" s="42">
        <f>'1kpi_performance'!E621</f>
        <v>0.1707408303</v>
      </c>
      <c r="AP621" s="42">
        <f>'1kpi_performance'!F621</f>
        <v>0.1951995188</v>
      </c>
      <c r="AQ621" s="42">
        <f>'1kpi_performance'!G621</f>
        <v>0.186121211</v>
      </c>
      <c r="AR621" s="42">
        <f>'1kpi_performance'!H621</f>
        <v>0.1761106147</v>
      </c>
      <c r="AS621" s="42">
        <f>'1kpi_performance'!I621</f>
        <v>0.2647133151</v>
      </c>
      <c r="AT621" s="35">
        <f>'1kpi_performance'!J621</f>
        <v>2.639407259</v>
      </c>
      <c r="AU621" s="35">
        <f>'1kpi_performance'!K621</f>
        <v>2.594674723</v>
      </c>
      <c r="AV621" s="35">
        <f>'1kpi_performance'!L621</f>
        <v>1.893508206</v>
      </c>
      <c r="AW621" s="35">
        <f>'1kpi_performance'!M621</f>
        <v>0.5505610105</v>
      </c>
      <c r="AX621" s="42">
        <f>'1kpi_performance'!N621</f>
        <v>0.1241867794</v>
      </c>
      <c r="AY621" s="42">
        <f>'1kpi_performance'!O621</f>
        <v>0.1461350814</v>
      </c>
      <c r="AZ621" s="42">
        <f>'1kpi_performance'!P621</f>
        <v>0.1959487789</v>
      </c>
      <c r="BA621" s="42">
        <f>'1kpi_performance'!Q621</f>
        <v>0.3573719144</v>
      </c>
      <c r="BB621" s="35">
        <f>'1kpi_performance'!R621</f>
        <v>6.014921671</v>
      </c>
      <c r="BC621" s="35">
        <f>'1kpi_performance'!S621</f>
        <v>6.16156484</v>
      </c>
      <c r="BD621" s="35">
        <f>'1kpi_performance'!T621</f>
        <v>3.908489204</v>
      </c>
      <c r="BE621" s="35">
        <f>'1kpi_performance'!U621</f>
        <v>1.098584525</v>
      </c>
      <c r="BF621" s="47"/>
      <c r="BG621" s="47"/>
      <c r="BH621" s="47"/>
      <c r="BI621" s="47"/>
      <c r="BJ621" s="47"/>
      <c r="BK621" s="47"/>
      <c r="BL621" s="47"/>
      <c r="BM621" s="47"/>
      <c r="BN621" s="47"/>
      <c r="BO621" s="47"/>
      <c r="BP621" s="47"/>
      <c r="BQ621" s="47"/>
      <c r="BR621" s="47"/>
      <c r="BS621" s="47"/>
      <c r="BT621" s="47"/>
    </row>
    <row r="622" ht="11.25" customHeight="1">
      <c r="A622" s="35" t="str">
        <f>'13all_company_profile'!A622</f>
        <v>UPST</v>
      </c>
      <c r="B622" s="35" t="str">
        <f>'13all_company_profile'!B622</f>
        <v>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v>
      </c>
      <c r="C622" s="44" t="str">
        <f>'13all_company_profile'!C622</f>
        <v>https://financialmodelingprep.com/image-stock/UPST.png</v>
      </c>
      <c r="D622" s="35" t="str">
        <f>'13all_company_profile'!D622</f>
        <v>Upstart Holdings, Inc.</v>
      </c>
      <c r="E622" s="36">
        <f>'13all_company_profile'!E622</f>
        <v>8697096192</v>
      </c>
      <c r="F622" s="37">
        <f>'13all_company_profile'!F622</f>
        <v>4514517</v>
      </c>
      <c r="G622" s="35">
        <f>'13all_company_profile'!G622</f>
        <v>0</v>
      </c>
      <c r="H622" s="38" t="str">
        <f>'13all_company_profile'!H622</f>
        <v>not avaiable</v>
      </c>
      <c r="I622" s="35">
        <f>'13all_company_profile'!I622</f>
        <v>406.60623</v>
      </c>
      <c r="J622" s="35">
        <f>'13all_company_profile'!J622</f>
        <v>0.274</v>
      </c>
      <c r="K622" s="42" t="str">
        <f t="shared" si="1"/>
        <v>NaN</v>
      </c>
      <c r="L622" s="35">
        <f>'7company_info'!B622</f>
        <v>117.63</v>
      </c>
      <c r="M622" s="35">
        <f>'7company_info'!C622</f>
        <v>118.3</v>
      </c>
      <c r="N622" s="35">
        <f>'7company_info'!D622</f>
        <v>113.14</v>
      </c>
      <c r="O622" s="35">
        <f>'7company_info'!E622</f>
        <v>2.35</v>
      </c>
      <c r="P622" s="35">
        <f>'7company_info'!F622</f>
        <v>0.0204</v>
      </c>
      <c r="Q622" s="35">
        <f>'7company_info'!G622</f>
        <v>116.92</v>
      </c>
      <c r="R622" s="35">
        <f>'7company_info'!H622</f>
        <v>115.28</v>
      </c>
      <c r="S622" s="35">
        <f>'7company_info'!I622</f>
        <v>22.61</v>
      </c>
      <c r="T622" s="35">
        <f>'7company_info'!J622</f>
        <v>191.89</v>
      </c>
      <c r="U622" s="39">
        <v>115.381666666666</v>
      </c>
      <c r="V622" s="39">
        <v>118.743333333333</v>
      </c>
      <c r="W622" s="40">
        <v>124.356666666666</v>
      </c>
      <c r="X622" s="40">
        <v>133.331666666666</v>
      </c>
      <c r="Y622" s="40">
        <v>109.768333333333</v>
      </c>
      <c r="Z622" s="40">
        <v>106.406666666666</v>
      </c>
      <c r="AA622" s="40">
        <v>97.4316666666666</v>
      </c>
      <c r="AB622" s="40">
        <v>150.28</v>
      </c>
      <c r="AC622" s="40">
        <v>130.9</v>
      </c>
      <c r="AD622" s="40">
        <v>123.724906229216</v>
      </c>
      <c r="AE622" s="40">
        <v>101.96838</v>
      </c>
      <c r="AF622" s="40">
        <v>8.677565</v>
      </c>
      <c r="AG622" s="40">
        <v>191.89</v>
      </c>
      <c r="AH622" s="45">
        <v>44351.0</v>
      </c>
      <c r="AI622" s="44" t="str">
        <f>'6image_RS_benchmark_performance'!B622</f>
        <v>https://3arbzfbsh-cname-us.ngrok.io/Desktop/seabridge%20fintech/image_app/UPST_resistance_support.jpg</v>
      </c>
      <c r="AJ622" s="44" t="str">
        <f>'6image_RS_benchmark_performance'!C622</f>
        <v>https://3arbzfbsh-cname-us.ngrok.io/Desktop/seabridge%20fintech/profit_graph_app/UPST_Return.jpg</v>
      </c>
      <c r="AK622" s="46" t="str">
        <f>'5price_action_icon'!B622</f>
        <v>https://3arbzfbsh-cname-us.ngrok.io/Desktop/seabridge%20fintech/icon/UPST_pa_trend_signal</v>
      </c>
      <c r="AL622" s="42">
        <f>'1kpi_performance'!B622</f>
        <v>262.6223407</v>
      </c>
      <c r="AM622" s="42">
        <f>'1kpi_performance'!C622</f>
        <v>165.0770465</v>
      </c>
      <c r="AN622" s="42">
        <f>'1kpi_performance'!D622</f>
        <v>273.2609307</v>
      </c>
      <c r="AO622" s="42">
        <f>'1kpi_performance'!E622</f>
        <v>28.56020039</v>
      </c>
      <c r="AP622" s="42">
        <f>'1kpi_performance'!F622</f>
        <v>1.881683658</v>
      </c>
      <c r="AQ622" s="42">
        <f>'1kpi_performance'!G622</f>
        <v>1.912815795</v>
      </c>
      <c r="AR622" s="42">
        <f>'1kpi_performance'!H622</f>
        <v>1.935721991</v>
      </c>
      <c r="AS622" s="42">
        <f>'1kpi_performance'!I622</f>
        <v>2.100339291</v>
      </c>
      <c r="AT622" s="35">
        <f>'1kpi_performance'!J622</f>
        <v>139.5544567</v>
      </c>
      <c r="AU622" s="35">
        <f>'1kpi_performance'!K622</f>
        <v>86.28747575</v>
      </c>
      <c r="AV622" s="35">
        <f>'1kpi_performance'!L622</f>
        <v>141.1545314</v>
      </c>
      <c r="AW622" s="35">
        <f>'1kpi_performance'!M622</f>
        <v>13.58599561</v>
      </c>
      <c r="AX622" s="42">
        <f>'1kpi_performance'!N622</f>
        <v>0.3189785892</v>
      </c>
      <c r="AY622" s="42">
        <f>'1kpi_performance'!O622</f>
        <v>0.3300175896</v>
      </c>
      <c r="AZ622" s="42">
        <f>'1kpi_performance'!P622</f>
        <v>0.3189785892</v>
      </c>
      <c r="BA622" s="42">
        <f>'1kpi_performance'!Q622</f>
        <v>0.5412996673</v>
      </c>
      <c r="BB622" s="35">
        <f>'1kpi_performance'!R622</f>
        <v>510.2498217</v>
      </c>
      <c r="BC622" s="35">
        <f>'1kpi_performance'!S622</f>
        <v>302.1007656</v>
      </c>
      <c r="BD622" s="35">
        <f>'1kpi_performance'!T622</f>
        <v>512.9459985</v>
      </c>
      <c r="BE622" s="35">
        <f>'1kpi_performance'!U622</f>
        <v>44.77207647</v>
      </c>
      <c r="BF622" s="47"/>
      <c r="BG622" s="47"/>
      <c r="BH622" s="47"/>
      <c r="BI622" s="47"/>
      <c r="BJ622" s="47"/>
      <c r="BK622" s="47"/>
      <c r="BL622" s="47"/>
      <c r="BM622" s="47"/>
      <c r="BN622" s="47"/>
      <c r="BO622" s="47"/>
      <c r="BP622" s="47"/>
      <c r="BQ622" s="47"/>
      <c r="BR622" s="47"/>
      <c r="BS622" s="47"/>
      <c r="BT622" s="47"/>
    </row>
    <row r="623" ht="11.25" customHeight="1">
      <c r="A623" s="35" t="str">
        <f>'13all_company_profile'!A623</f>
        <v>URI</v>
      </c>
      <c r="B623" s="35" t="str">
        <f>'13all_company_profile'!B623</f>
        <v>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v>
      </c>
      <c r="C623" s="44" t="str">
        <f>'13all_company_profile'!C623</f>
        <v>https://financialmodelingprep.com/image-stock/URI.png</v>
      </c>
      <c r="D623" s="35" t="str">
        <f>'13all_company_profile'!D623</f>
        <v>United Rentals, Inc.</v>
      </c>
      <c r="E623" s="36">
        <f>'13all_company_profile'!E623</f>
        <v>22778109952</v>
      </c>
      <c r="F623" s="37">
        <f>'13all_company_profile'!F623</f>
        <v>737885</v>
      </c>
      <c r="G623" s="35">
        <f>'13all_company_profile'!G623</f>
        <v>0</v>
      </c>
      <c r="H623" s="38">
        <f>'13all_company_profile'!H623</f>
        <v>44404</v>
      </c>
      <c r="I623" s="35">
        <f>'13all_company_profile'!I623</f>
        <v>24.137306</v>
      </c>
      <c r="J623" s="35">
        <f>'13all_company_profile'!J623</f>
        <v>12.687</v>
      </c>
      <c r="K623" s="42" t="str">
        <f t="shared" si="1"/>
        <v>NaN</v>
      </c>
      <c r="L623" s="35">
        <f>'7company_info'!B623</f>
        <v>311.6</v>
      </c>
      <c r="M623" s="35">
        <f>'7company_info'!C623</f>
        <v>313.03</v>
      </c>
      <c r="N623" s="35">
        <f>'7company_info'!D623</f>
        <v>296.5</v>
      </c>
      <c r="O623" s="35">
        <f>'7company_info'!E623</f>
        <v>12.75</v>
      </c>
      <c r="P623" s="35">
        <f>'7company_info'!F623</f>
        <v>0.0427</v>
      </c>
      <c r="Q623" s="35">
        <f>'7company_info'!G623</f>
        <v>297.91</v>
      </c>
      <c r="R623" s="35">
        <f>'7company_info'!H623</f>
        <v>298.85</v>
      </c>
      <c r="S623" s="35">
        <f>'7company_info'!I623</f>
        <v>151.41</v>
      </c>
      <c r="T623" s="35">
        <f>'7company_info'!J623</f>
        <v>354.6</v>
      </c>
      <c r="U623" s="39">
        <v>313.866666666666</v>
      </c>
      <c r="V623" s="39">
        <v>317.513333333333</v>
      </c>
      <c r="W623" s="40">
        <v>322.436666666666</v>
      </c>
      <c r="X623" s="40">
        <v>331.006666666666</v>
      </c>
      <c r="Y623" s="40">
        <v>308.943333333333</v>
      </c>
      <c r="Z623" s="40">
        <v>305.296666666666</v>
      </c>
      <c r="AA623" s="40">
        <v>296.726666666666</v>
      </c>
      <c r="AB623" s="40">
        <v>309.51</v>
      </c>
      <c r="AC623" s="40">
        <v>306.65</v>
      </c>
      <c r="AD623" s="40">
        <v>314.516931619185</v>
      </c>
      <c r="AE623" s="40">
        <v>294.37837</v>
      </c>
      <c r="AF623" s="40">
        <v>10.079815</v>
      </c>
      <c r="AG623" s="40">
        <v>354.6</v>
      </c>
      <c r="AH623" s="45">
        <v>44326.0</v>
      </c>
      <c r="AI623" s="44" t="str">
        <f>'6image_RS_benchmark_performance'!B623</f>
        <v>https://3arbzfbsh-cname-us.ngrok.io/Desktop/seabridge%20fintech/image_app/URI_resistance_support.jpg</v>
      </c>
      <c r="AJ623" s="44" t="str">
        <f>'6image_RS_benchmark_performance'!C623</f>
        <v>https://3arbzfbsh-cname-us.ngrok.io/Desktop/seabridge%20fintech/profit_graph_app/URI_Return.jpg</v>
      </c>
      <c r="AK623" s="46" t="str">
        <f>'5price_action_icon'!B623</f>
        <v>https://3arbzfbsh-cname-us.ngrok.io/Desktop/seabridge%20fintech/icon/URI_pa_trend_signal</v>
      </c>
      <c r="AL623" s="42">
        <f>'1kpi_performance'!B623</f>
        <v>1.312342944</v>
      </c>
      <c r="AM623" s="42">
        <f>'1kpi_performance'!C623</f>
        <v>1.806587472</v>
      </c>
      <c r="AN623" s="42">
        <f>'1kpi_performance'!D623</f>
        <v>1.254189729</v>
      </c>
      <c r="AO623" s="42">
        <f>'1kpi_performance'!E623</f>
        <v>0.5602988081</v>
      </c>
      <c r="AP623" s="42">
        <f>'1kpi_performance'!F623</f>
        <v>0.374774423</v>
      </c>
      <c r="AQ623" s="42">
        <f>'1kpi_performance'!G623</f>
        <v>0.3860287761</v>
      </c>
      <c r="AR623" s="42">
        <f>'1kpi_performance'!H623</f>
        <v>0.340094842</v>
      </c>
      <c r="AS623" s="42">
        <f>'1kpi_performance'!I623</f>
        <v>0.5631706617</v>
      </c>
      <c r="AT623" s="35">
        <f>'1kpi_performance'!J623</f>
        <v>3.434980791</v>
      </c>
      <c r="AU623" s="35">
        <f>'1kpi_performance'!K623</f>
        <v>4.615167528</v>
      </c>
      <c r="AV623" s="35">
        <f>'1kpi_performance'!L623</f>
        <v>3.614255722</v>
      </c>
      <c r="AW623" s="35">
        <f>'1kpi_performance'!M623</f>
        <v>0.9505090455</v>
      </c>
      <c r="AX623" s="42">
        <f>'1kpi_performance'!N623</f>
        <v>0.2231804463</v>
      </c>
      <c r="AY623" s="42">
        <f>'1kpi_performance'!O623</f>
        <v>0.2010105685</v>
      </c>
      <c r="AZ623" s="42">
        <f>'1kpi_performance'!P623</f>
        <v>0.2392586352</v>
      </c>
      <c r="BA623" s="42">
        <f>'1kpi_performance'!Q623</f>
        <v>0.6358595194</v>
      </c>
      <c r="BB623" s="35">
        <f>'1kpi_performance'!R623</f>
        <v>7.952261389</v>
      </c>
      <c r="BC623" s="35">
        <f>'1kpi_performance'!S623</f>
        <v>11.22477178</v>
      </c>
      <c r="BD623" s="35">
        <f>'1kpi_performance'!T623</f>
        <v>8.047850132</v>
      </c>
      <c r="BE623" s="35">
        <f>'1kpi_performance'!U623</f>
        <v>1.889757677</v>
      </c>
      <c r="BF623" s="47"/>
      <c r="BG623" s="47"/>
      <c r="BH623" s="47"/>
      <c r="BI623" s="47"/>
      <c r="BJ623" s="47"/>
      <c r="BK623" s="47"/>
      <c r="BL623" s="47"/>
      <c r="BM623" s="47"/>
      <c r="BN623" s="47"/>
      <c r="BO623" s="47"/>
      <c r="BP623" s="47"/>
      <c r="BQ623" s="47"/>
      <c r="BR623" s="47"/>
      <c r="BS623" s="47"/>
      <c r="BT623" s="47"/>
    </row>
    <row r="624" ht="11.25" customHeight="1">
      <c r="A624" s="35" t="str">
        <f>'13all_company_profile'!A624</f>
        <v>USB</v>
      </c>
      <c r="B624" s="35" t="str">
        <f>'13all_company_profile'!B624</f>
        <v>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v>
      </c>
      <c r="C624" s="44" t="str">
        <f>'13all_company_profile'!C624</f>
        <v>https://financialmodelingprep.com/image-stock/USB.png</v>
      </c>
      <c r="D624" s="35" t="str">
        <f>'13all_company_profile'!D624</f>
        <v>U.S. Bancorp</v>
      </c>
      <c r="E624" s="36">
        <f>'13all_company_profile'!E624</f>
        <v>87622975488</v>
      </c>
      <c r="F624" s="37">
        <f>'13all_company_profile'!F624</f>
        <v>6267941</v>
      </c>
      <c r="G624" s="35">
        <f>'13all_company_profile'!G624</f>
        <v>1.68</v>
      </c>
      <c r="H624" s="38" t="str">
        <f>'13all_company_profile'!H624</f>
        <v>not avaiable</v>
      </c>
      <c r="I624" s="35">
        <f>'13all_company_profile'!I624</f>
        <v>15.093692</v>
      </c>
      <c r="J624" s="35">
        <f>'13all_company_profile'!J624</f>
        <v>3.789</v>
      </c>
      <c r="K624" s="42">
        <f t="shared" si="1"/>
        <v>0.02995186308</v>
      </c>
      <c r="L624" s="35">
        <f>'7company_info'!B624</f>
        <v>56.09</v>
      </c>
      <c r="M624" s="35">
        <f>'7company_info'!C624</f>
        <v>56.79</v>
      </c>
      <c r="N624" s="35">
        <f>'7company_info'!D624</f>
        <v>54.31</v>
      </c>
      <c r="O624" s="35">
        <f>'7company_info'!E624</f>
        <v>1.58</v>
      </c>
      <c r="P624" s="35">
        <f>'7company_info'!F624</f>
        <v>0.029</v>
      </c>
      <c r="Q624" s="35">
        <f>'7company_info'!G624</f>
        <v>54.6</v>
      </c>
      <c r="R624" s="35">
        <f>'7company_info'!H624</f>
        <v>54.51</v>
      </c>
      <c r="S624" s="35">
        <f>'7company_info'!I624</f>
        <v>34.17</v>
      </c>
      <c r="T624" s="35">
        <f>'7company_info'!J624</f>
        <v>62.47</v>
      </c>
      <c r="U624" s="39">
        <v>56.8816666666666</v>
      </c>
      <c r="V624" s="39">
        <v>57.5333333333333</v>
      </c>
      <c r="W624" s="40">
        <v>58.0766666666666</v>
      </c>
      <c r="X624" s="40">
        <v>59.2716666666666</v>
      </c>
      <c r="Y624" s="40">
        <v>56.3383333333333</v>
      </c>
      <c r="Z624" s="40">
        <v>55.6866666666666</v>
      </c>
      <c r="AA624" s="40">
        <v>54.4916666666666</v>
      </c>
      <c r="AB624" s="40">
        <v>56.45</v>
      </c>
      <c r="AC624" s="40">
        <v>57.97</v>
      </c>
      <c r="AD624" s="40">
        <v>57.1760515128452</v>
      </c>
      <c r="AE624" s="40">
        <v>54.31273</v>
      </c>
      <c r="AF624" s="40">
        <v>1.32063499999999</v>
      </c>
      <c r="AG624" s="40">
        <v>62.47</v>
      </c>
      <c r="AH624" s="45">
        <v>44334.0</v>
      </c>
      <c r="AI624" s="44" t="str">
        <f>'6image_RS_benchmark_performance'!B624</f>
        <v>https://3arbzfbsh-cname-us.ngrok.io/Desktop/seabridge%20fintech/image_app/USB_resistance_support.jpg</v>
      </c>
      <c r="AJ624" s="44" t="str">
        <f>'6image_RS_benchmark_performance'!C624</f>
        <v>https://3arbzfbsh-cname-us.ngrok.io/Desktop/seabridge%20fintech/profit_graph_app/USB_Return.jpg</v>
      </c>
      <c r="AK624" s="46" t="str">
        <f>'5price_action_icon'!B624</f>
        <v>https://3arbzfbsh-cname-us.ngrok.io/Desktop/seabridge%20fintech/icon/USB_pa_trend_signal</v>
      </c>
      <c r="AL624" s="42">
        <f>'1kpi_performance'!B624</f>
        <v>0.4322161114</v>
      </c>
      <c r="AM624" s="42">
        <f>'1kpi_performance'!C624</f>
        <v>0.4949543429</v>
      </c>
      <c r="AN624" s="42">
        <f>'1kpi_performance'!D624</f>
        <v>0.4296171975</v>
      </c>
      <c r="AO624" s="42">
        <f>'1kpi_performance'!E624</f>
        <v>0.1073649273</v>
      </c>
      <c r="AP624" s="42">
        <f>'1kpi_performance'!F624</f>
        <v>0.2199086349</v>
      </c>
      <c r="AQ624" s="42">
        <f>'1kpi_performance'!G624</f>
        <v>0.2022119186</v>
      </c>
      <c r="AR624" s="42">
        <f>'1kpi_performance'!H624</f>
        <v>0.19752303</v>
      </c>
      <c r="AS624" s="42">
        <f>'1kpi_performance'!I624</f>
        <v>0.3186684908</v>
      </c>
      <c r="AT624" s="35">
        <f>'1kpi_performance'!J624</f>
        <v>1.851751349</v>
      </c>
      <c r="AU624" s="35">
        <f>'1kpi_performance'!K624</f>
        <v>2.324068463</v>
      </c>
      <c r="AV624" s="35">
        <f>'1kpi_performance'!L624</f>
        <v>2.048455806</v>
      </c>
      <c r="AW624" s="35">
        <f>'1kpi_performance'!M624</f>
        <v>0.2584658655</v>
      </c>
      <c r="AX624" s="42">
        <f>'1kpi_performance'!N624</f>
        <v>0.169386348</v>
      </c>
      <c r="AY624" s="42">
        <f>'1kpi_performance'!O624</f>
        <v>0.1761503586</v>
      </c>
      <c r="AZ624" s="42">
        <f>'1kpi_performance'!P624</f>
        <v>0.2177009303</v>
      </c>
      <c r="BA624" s="42">
        <f>'1kpi_performance'!Q624</f>
        <v>0.5232366513</v>
      </c>
      <c r="BB624" s="35">
        <f>'1kpi_performance'!R624</f>
        <v>3.84773168</v>
      </c>
      <c r="BC624" s="35">
        <f>'1kpi_performance'!S624</f>
        <v>4.98986461</v>
      </c>
      <c r="BD624" s="35">
        <f>'1kpi_performance'!T624</f>
        <v>4.396413189</v>
      </c>
      <c r="BE624" s="35">
        <f>'1kpi_performance'!U624</f>
        <v>0.4978439348</v>
      </c>
      <c r="BF624" s="47"/>
      <c r="BG624" s="47"/>
      <c r="BH624" s="47"/>
      <c r="BI624" s="47"/>
      <c r="BJ624" s="47"/>
      <c r="BK624" s="47"/>
      <c r="BL624" s="47"/>
      <c r="BM624" s="47"/>
      <c r="BN624" s="47"/>
      <c r="BO624" s="47"/>
      <c r="BP624" s="47"/>
      <c r="BQ624" s="47"/>
      <c r="BR624" s="47"/>
      <c r="BS624" s="47"/>
      <c r="BT624" s="47"/>
    </row>
    <row r="625" ht="38.25" customHeight="1">
      <c r="A625" s="35" t="str">
        <f>'13all_company_profile'!A625</f>
        <v>USMV</v>
      </c>
      <c r="B625" s="35" t="str">
        <f>'13all_company_profile'!B625</f>
        <v>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v>
      </c>
      <c r="C625" s="44" t="str">
        <f>'13all_company_profile'!C625</f>
        <v>https://financialmodelingprep.com/image-stock/USMV.jpg</v>
      </c>
      <c r="D625" s="35" t="str">
        <f>'13all_company_profile'!D625</f>
        <v>iShares MSCI USA Min Vol Factor ETF</v>
      </c>
      <c r="E625" s="36">
        <f>'13all_company_profile'!E625</f>
        <v>25418211000</v>
      </c>
      <c r="F625" s="37">
        <f>'13all_company_profile'!F625</f>
        <v>2921239</v>
      </c>
      <c r="G625" s="35">
        <f>'13all_company_profile'!G625</f>
        <v>0.889</v>
      </c>
      <c r="H625" s="38" t="str">
        <f>'13all_company_profile'!H625</f>
        <v>not avaiable</v>
      </c>
      <c r="I625" s="35" t="str">
        <f>'13all_company_profile'!I625</f>
        <v>NaN</v>
      </c>
      <c r="J625" s="35" t="str">
        <f>'13all_company_profile'!J625</f>
        <v>NaN</v>
      </c>
      <c r="K625" s="42">
        <f t="shared" si="1"/>
        <v>0.003173300018</v>
      </c>
      <c r="L625" s="35">
        <f>'7company_info'!B625</f>
        <v>280.15</v>
      </c>
      <c r="M625" s="35" t="str">
        <f>'7company_info'!C625</f>
        <v>#N/A</v>
      </c>
      <c r="N625" s="35" t="str">
        <f>'7company_info'!D625</f>
        <v>#N/A</v>
      </c>
      <c r="O625" s="35">
        <f>'7company_info'!E625</f>
        <v>1.6</v>
      </c>
      <c r="P625" s="35">
        <f>'7company_info'!F625</f>
        <v>0.0057</v>
      </c>
      <c r="Q625" s="35" t="str">
        <f>'7company_info'!G625</f>
        <v>#N/A</v>
      </c>
      <c r="R625" s="35">
        <f>'7company_info'!H625</f>
        <v>278.55</v>
      </c>
      <c r="S625" s="35">
        <f>'7company_info'!I625</f>
        <v>233.88</v>
      </c>
      <c r="T625" s="35">
        <f>'7company_info'!J625</f>
        <v>282.63</v>
      </c>
      <c r="U625" s="39">
        <v>75.0933333333333</v>
      </c>
      <c r="V625" s="39">
        <v>75.2366666666666</v>
      </c>
      <c r="W625" s="40">
        <v>75.3533333333333</v>
      </c>
      <c r="X625" s="40">
        <v>75.6133333333333</v>
      </c>
      <c r="Y625" s="40">
        <v>74.9766666666666</v>
      </c>
      <c r="Z625" s="40">
        <v>74.8333333333333</v>
      </c>
      <c r="AA625" s="40">
        <v>74.5733333333333</v>
      </c>
      <c r="AB625" s="40">
        <v>74.55</v>
      </c>
      <c r="AC625" s="40">
        <v>75.2761</v>
      </c>
      <c r="AD625" s="40">
        <v>74.0208854112388</v>
      </c>
      <c r="AE625" s="40">
        <v>73.78725</v>
      </c>
      <c r="AF625" s="40">
        <v>0.528125</v>
      </c>
      <c r="AG625" s="40">
        <v>73.61</v>
      </c>
      <c r="AH625" s="45">
        <v>44326.0</v>
      </c>
      <c r="AI625" s="44" t="str">
        <f>'6image_RS_benchmark_performance'!B625</f>
        <v>https://3arbzfbsh-cname-us.ngrok.io/Desktop/seabridge%20fintech/image_app/USMV_resistance_support.jpg</v>
      </c>
      <c r="AJ625" s="44" t="str">
        <f>'6image_RS_benchmark_performance'!C625</f>
        <v>https://3arbzfbsh-cname-us.ngrok.io/Desktop/seabridge%20fintech/profit_graph_app/USMV_Return.jpg</v>
      </c>
      <c r="AK625" s="46" t="str">
        <f>'5price_action_icon'!B625</f>
        <v>https://3arbzfbsh-cname-us.ngrok.io/Desktop/seabridge%20fintech/icon/USMV_pa_trend_signal</v>
      </c>
      <c r="AL625" s="42">
        <f>'1kpi_performance'!B625</f>
        <v>0.2509979603</v>
      </c>
      <c r="AM625" s="42">
        <f>'1kpi_performance'!C625</f>
        <v>0.3767711346</v>
      </c>
      <c r="AN625" s="42">
        <f>'1kpi_performance'!D625</f>
        <v>0.276419223</v>
      </c>
      <c r="AO625" s="42">
        <f>'1kpi_performance'!E625</f>
        <v>0.1737652878</v>
      </c>
      <c r="AP625" s="42">
        <f>'1kpi_performance'!F625</f>
        <v>0.09734589707</v>
      </c>
      <c r="AQ625" s="42">
        <f>'1kpi_performance'!G625</f>
        <v>0.1104249488</v>
      </c>
      <c r="AR625" s="42">
        <f>'1kpi_performance'!H625</f>
        <v>0.08575643139</v>
      </c>
      <c r="AS625" s="42">
        <f>'1kpi_performance'!I625</f>
        <v>0.1673511981</v>
      </c>
      <c r="AT625" s="35">
        <f>'1kpi_performance'!J625</f>
        <v>2.321597182</v>
      </c>
      <c r="AU625" s="35">
        <f>'1kpi_performance'!K625</f>
        <v>3.185612838</v>
      </c>
      <c r="AV625" s="35">
        <f>'1kpi_performance'!L625</f>
        <v>2.931782712</v>
      </c>
      <c r="AW625" s="35">
        <f>'1kpi_performance'!M625</f>
        <v>0.8889406797</v>
      </c>
      <c r="AX625" s="42">
        <f>'1kpi_performance'!N625</f>
        <v>0.06452116857</v>
      </c>
      <c r="AY625" s="42">
        <f>'1kpi_performance'!O625</f>
        <v>0.06194690265</v>
      </c>
      <c r="AZ625" s="42">
        <f>'1kpi_performance'!P625</f>
        <v>0.07264774206</v>
      </c>
      <c r="BA625" s="42">
        <f>'1kpi_performance'!Q625</f>
        <v>0.3309889479</v>
      </c>
      <c r="BB625" s="35">
        <f>'1kpi_performance'!R625</f>
        <v>4.908313892</v>
      </c>
      <c r="BC625" s="35">
        <f>'1kpi_performance'!S625</f>
        <v>7.401960484</v>
      </c>
      <c r="BD625" s="35">
        <f>'1kpi_performance'!T625</f>
        <v>6.601127966</v>
      </c>
      <c r="BE625" s="35">
        <f>'1kpi_performance'!U625</f>
        <v>1.622251291</v>
      </c>
      <c r="BF625" s="47"/>
      <c r="BG625" s="47"/>
      <c r="BH625" s="47"/>
      <c r="BI625" s="47"/>
      <c r="BJ625" s="47"/>
      <c r="BK625" s="47"/>
      <c r="BL625" s="47"/>
      <c r="BM625" s="47"/>
      <c r="BN625" s="47"/>
      <c r="BO625" s="47"/>
      <c r="BP625" s="47"/>
      <c r="BQ625" s="47"/>
      <c r="BR625" s="47"/>
      <c r="BS625" s="47"/>
      <c r="BT625" s="47"/>
    </row>
    <row r="626" ht="11.25" customHeight="1">
      <c r="A626" s="35" t="str">
        <f>'13all_company_profile'!A626</f>
        <v>USO</v>
      </c>
      <c r="B626" s="35" t="str">
        <f>'13all_company_profile'!B626</f>
        <v>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v>
      </c>
      <c r="C626" s="44" t="str">
        <f>'13all_company_profile'!C626</f>
        <v>https://financialmodelingprep.com/image-stock/USO.png</v>
      </c>
      <c r="D626" s="35" t="str">
        <f>'13all_company_profile'!D626</f>
        <v>United States Oil Fund, LP</v>
      </c>
      <c r="E626" s="36">
        <f>'13all_company_profile'!E626</f>
        <v>5840664064</v>
      </c>
      <c r="F626" s="37">
        <f>'13all_company_profile'!F626</f>
        <v>5302100</v>
      </c>
      <c r="G626" s="35">
        <f>'13all_company_profile'!G626</f>
        <v>0</v>
      </c>
      <c r="H626" s="38" t="str">
        <f>'13all_company_profile'!H626</f>
        <v>not avaiable</v>
      </c>
      <c r="I626" s="35">
        <f>'13all_company_profile'!I626</f>
        <v>14.8472</v>
      </c>
      <c r="J626" s="35">
        <f>'13all_company_profile'!J626</f>
        <v>3.305</v>
      </c>
      <c r="K626" s="42" t="str">
        <f t="shared" si="1"/>
        <v>NaN</v>
      </c>
      <c r="L626" s="35">
        <f>'7company_info'!B626</f>
        <v>46.51</v>
      </c>
      <c r="M626" s="35">
        <f>'7company_info'!C626</f>
        <v>46.6</v>
      </c>
      <c r="N626" s="35">
        <f>'7company_info'!D626</f>
        <v>45.03</v>
      </c>
      <c r="O626" s="35">
        <f>'7company_info'!E626</f>
        <v>0.67</v>
      </c>
      <c r="P626" s="35">
        <f>'7company_info'!F626</f>
        <v>0.0146</v>
      </c>
      <c r="Q626" s="35">
        <f>'7company_info'!G626</f>
        <v>45.64</v>
      </c>
      <c r="R626" s="35">
        <f>'7company_info'!H626</f>
        <v>45.84</v>
      </c>
      <c r="S626" s="35">
        <f>'7company_info'!I626</f>
        <v>24.75</v>
      </c>
      <c r="T626" s="35">
        <f>'7company_info'!J626</f>
        <v>51.4</v>
      </c>
      <c r="U626" s="39">
        <v>50.0533333333333</v>
      </c>
      <c r="V626" s="39">
        <v>50.8266666666666</v>
      </c>
      <c r="W626" s="40">
        <v>51.9533333333333</v>
      </c>
      <c r="X626" s="40">
        <v>53.8533333333333</v>
      </c>
      <c r="Y626" s="40">
        <v>48.9266666666666</v>
      </c>
      <c r="Z626" s="40">
        <v>48.1533333333333</v>
      </c>
      <c r="AA626" s="40">
        <v>46.2533333333333</v>
      </c>
      <c r="AB626" s="40">
        <v>49.14</v>
      </c>
      <c r="AC626" s="40">
        <v>51.4</v>
      </c>
      <c r="AD626" s="40">
        <v>49.4377382720959</v>
      </c>
      <c r="AE626" s="40">
        <v>49.16831</v>
      </c>
      <c r="AF626" s="40">
        <v>1.05134499999999</v>
      </c>
      <c r="AG626" s="40">
        <v>51.4</v>
      </c>
      <c r="AH626" s="45">
        <v>44378.0</v>
      </c>
      <c r="AI626" s="44" t="str">
        <f>'6image_RS_benchmark_performance'!B626</f>
        <v>https://3arbzfbsh-cname-us.ngrok.io/Desktop/seabridge%20fintech/image_app/USO_resistance_support.jpg</v>
      </c>
      <c r="AJ626" s="44" t="str">
        <f>'6image_RS_benchmark_performance'!C626</f>
        <v>https://3arbzfbsh-cname-us.ngrok.io/Desktop/seabridge%20fintech/profit_graph_app/USO_Return.jpg</v>
      </c>
      <c r="AK626" s="46" t="str">
        <f>'5price_action_icon'!B626</f>
        <v>https://3arbzfbsh-cname-us.ngrok.io/Desktop/seabridge%20fintech/icon/USO_pa_trend_signal</v>
      </c>
      <c r="AL626" s="42">
        <f>'1kpi_performance'!B626</f>
        <v>0.4983177069</v>
      </c>
      <c r="AM626" s="42">
        <f>'1kpi_performance'!C626</f>
        <v>0.790519183</v>
      </c>
      <c r="AN626" s="42">
        <f>'1kpi_performance'!D626</f>
        <v>0.5051848617</v>
      </c>
      <c r="AO626" s="42">
        <f>'1kpi_performance'!E626</f>
        <v>-0.2000092771</v>
      </c>
      <c r="AP626" s="42">
        <f>'1kpi_performance'!F626</f>
        <v>0.2868788479</v>
      </c>
      <c r="AQ626" s="42">
        <f>'1kpi_performance'!G626</f>
        <v>0.2663604305</v>
      </c>
      <c r="AR626" s="42">
        <f>'1kpi_performance'!H626</f>
        <v>0.2705728376</v>
      </c>
      <c r="AS626" s="42">
        <f>'1kpi_performance'!I626</f>
        <v>0.4297624516</v>
      </c>
      <c r="AT626" s="35">
        <f>'1kpi_performance'!J626</f>
        <v>1.649887088</v>
      </c>
      <c r="AU626" s="35">
        <f>'1kpi_performance'!K626</f>
        <v>2.873997394</v>
      </c>
      <c r="AV626" s="35">
        <f>'1kpi_performance'!L626</f>
        <v>1.774697216</v>
      </c>
      <c r="AW626" s="35">
        <f>'1kpi_performance'!M626</f>
        <v>-0.5235666269</v>
      </c>
      <c r="AX626" s="42">
        <f>'1kpi_performance'!N626</f>
        <v>0.3759907328</v>
      </c>
      <c r="AY626" s="42">
        <f>'1kpi_performance'!O626</f>
        <v>0.2101694915</v>
      </c>
      <c r="AZ626" s="42">
        <f>'1kpi_performance'!P626</f>
        <v>0.4720930752</v>
      </c>
      <c r="BA626" s="42">
        <f>'1kpi_performance'!Q626</f>
        <v>0.9528239203</v>
      </c>
      <c r="BB626" s="35">
        <f>'1kpi_performance'!R626</f>
        <v>3.349144377</v>
      </c>
      <c r="BC626" s="35">
        <f>'1kpi_performance'!S626</f>
        <v>6.194816612</v>
      </c>
      <c r="BD626" s="35">
        <f>'1kpi_performance'!T626</f>
        <v>3.622921223</v>
      </c>
      <c r="BE626" s="35">
        <f>'1kpi_performance'!U626</f>
        <v>-0.9421018107</v>
      </c>
      <c r="BF626" s="47"/>
      <c r="BG626" s="47"/>
      <c r="BH626" s="47"/>
      <c r="BI626" s="47"/>
      <c r="BJ626" s="47"/>
      <c r="BK626" s="47"/>
      <c r="BL626" s="47"/>
      <c r="BM626" s="47"/>
      <c r="BN626" s="47"/>
      <c r="BO626" s="47"/>
      <c r="BP626" s="47"/>
      <c r="BQ626" s="47"/>
      <c r="BR626" s="47"/>
      <c r="BS626" s="47"/>
      <c r="BT626" s="47"/>
    </row>
    <row r="627" ht="11.25" customHeight="1">
      <c r="A627" s="35" t="str">
        <f>'13all_company_profile'!A627</f>
        <v>V</v>
      </c>
      <c r="B627" s="35" t="str">
        <f>'13all_company_profile'!B627</f>
        <v>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v>
      </c>
      <c r="C627" s="44" t="str">
        <f>'13all_company_profile'!C627</f>
        <v>https://financialmodelingprep.com/image-stock/V.png</v>
      </c>
      <c r="D627" s="35" t="str">
        <f>'13all_company_profile'!D627</f>
        <v>Visa Inc.</v>
      </c>
      <c r="E627" s="36">
        <f>'13all_company_profile'!E627</f>
        <v>546901950464</v>
      </c>
      <c r="F627" s="37">
        <f>'13all_company_profile'!F627</f>
        <v>6776042</v>
      </c>
      <c r="G627" s="35">
        <f>'13all_company_profile'!G627</f>
        <v>1.26</v>
      </c>
      <c r="H627" s="38">
        <f>'13all_company_profile'!H627</f>
        <v>44404</v>
      </c>
      <c r="I627" s="35">
        <f>'13all_company_profile'!I627</f>
        <v>51.26912</v>
      </c>
      <c r="J627" s="35">
        <f>'13all_company_profile'!J627</f>
        <v>4.838</v>
      </c>
      <c r="K627" s="42">
        <f t="shared" si="1"/>
        <v>0.005191594561</v>
      </c>
      <c r="L627" s="35">
        <f>'7company_info'!B627</f>
        <v>242.7</v>
      </c>
      <c r="M627" s="35">
        <f>'7company_info'!C627</f>
        <v>244.21</v>
      </c>
      <c r="N627" s="35">
        <f>'7company_info'!D627</f>
        <v>239.51</v>
      </c>
      <c r="O627" s="35">
        <f>'7company_info'!E627</f>
        <v>2.29</v>
      </c>
      <c r="P627" s="35">
        <f>'7company_info'!F627</f>
        <v>0.0095</v>
      </c>
      <c r="Q627" s="35">
        <f>'7company_info'!G627</f>
        <v>240.64</v>
      </c>
      <c r="R627" s="35">
        <f>'7company_info'!H627</f>
        <v>240.41</v>
      </c>
      <c r="S627" s="35">
        <f>'7company_info'!I627</f>
        <v>179.23</v>
      </c>
      <c r="T627" s="35">
        <f>'7company_info'!J627</f>
        <v>250.46</v>
      </c>
      <c r="U627" s="39">
        <v>245.206666666666</v>
      </c>
      <c r="V627" s="39">
        <v>247.593333333333</v>
      </c>
      <c r="W627" s="40">
        <v>249.196666666666</v>
      </c>
      <c r="X627" s="40">
        <v>253.186666666666</v>
      </c>
      <c r="Y627" s="40">
        <v>243.603333333333</v>
      </c>
      <c r="Z627" s="40">
        <v>241.216666666666</v>
      </c>
      <c r="AA627" s="40">
        <v>237.226666666666</v>
      </c>
      <c r="AB627" s="40">
        <v>235.41</v>
      </c>
      <c r="AC627" s="40">
        <v>246.81</v>
      </c>
      <c r="AD627" s="40">
        <v>237.006607556904</v>
      </c>
      <c r="AE627" s="40">
        <v>235.49359</v>
      </c>
      <c r="AF627" s="40">
        <v>3.54220499999999</v>
      </c>
      <c r="AG627" s="40">
        <v>237.5</v>
      </c>
      <c r="AH627" s="45">
        <v>44315.0</v>
      </c>
      <c r="AI627" s="44" t="str">
        <f>'6image_RS_benchmark_performance'!B627</f>
        <v>https://3arbzfbsh-cname-us.ngrok.io/Desktop/seabridge%20fintech/image_app/V_resistance_support.jpg</v>
      </c>
      <c r="AJ627" s="44" t="str">
        <f>'6image_RS_benchmark_performance'!C627</f>
        <v>https://3arbzfbsh-cname-us.ngrok.io/Desktop/seabridge%20fintech/profit_graph_app/V_Return.jpg</v>
      </c>
      <c r="AK627" s="46" t="str">
        <f>'5price_action_icon'!B627</f>
        <v>https://3arbzfbsh-cname-us.ngrok.io/Desktop/seabridge%20fintech/icon/V_pa_trend_signal</v>
      </c>
      <c r="AL627" s="42">
        <f>'1kpi_performance'!B627</f>
        <v>0.5591105618</v>
      </c>
      <c r="AM627" s="42">
        <f>'1kpi_performance'!C627</f>
        <v>0.7017726557</v>
      </c>
      <c r="AN627" s="42">
        <f>'1kpi_performance'!D627</f>
        <v>0.5922275948</v>
      </c>
      <c r="AO627" s="42">
        <f>'1kpi_performance'!E627</f>
        <v>0.3579443348</v>
      </c>
      <c r="AP627" s="42">
        <f>'1kpi_performance'!F627</f>
        <v>0.1986678828</v>
      </c>
      <c r="AQ627" s="42">
        <f>'1kpi_performance'!G627</f>
        <v>0.2121367974</v>
      </c>
      <c r="AR627" s="42">
        <f>'1kpi_performance'!H627</f>
        <v>0.1859994286</v>
      </c>
      <c r="AS627" s="42">
        <f>'1kpi_performance'!I627</f>
        <v>0.3062783626</v>
      </c>
      <c r="AT627" s="35">
        <f>'1kpi_performance'!J627</f>
        <v>2.688459526</v>
      </c>
      <c r="AU627" s="35">
        <f>'1kpi_performance'!K627</f>
        <v>3.190265262</v>
      </c>
      <c r="AV627" s="35">
        <f>'1kpi_performance'!L627</f>
        <v>3.049620094</v>
      </c>
      <c r="AW627" s="35">
        <f>'1kpi_performance'!M627</f>
        <v>1.087064499</v>
      </c>
      <c r="AX627" s="42">
        <f>'1kpi_performance'!N627</f>
        <v>0.2284462004</v>
      </c>
      <c r="AY627" s="42">
        <f>'1kpi_performance'!O627</f>
        <v>0.1093517553</v>
      </c>
      <c r="AZ627" s="42">
        <f>'1kpi_performance'!P627</f>
        <v>0.130065099</v>
      </c>
      <c r="BA627" s="42">
        <f>'1kpi_performance'!Q627</f>
        <v>0.3636491491</v>
      </c>
      <c r="BB627" s="35">
        <f>'1kpi_performance'!R627</f>
        <v>6.004771601</v>
      </c>
      <c r="BC627" s="35">
        <f>'1kpi_performance'!S627</f>
        <v>7.579573917</v>
      </c>
      <c r="BD627" s="35">
        <f>'1kpi_performance'!T627</f>
        <v>7.045604528</v>
      </c>
      <c r="BE627" s="35">
        <f>'1kpi_performance'!U627</f>
        <v>2.143097937</v>
      </c>
      <c r="BF627" s="47"/>
      <c r="BG627" s="47"/>
      <c r="BH627" s="47"/>
      <c r="BI627" s="47"/>
      <c r="BJ627" s="47"/>
      <c r="BK627" s="47"/>
      <c r="BL627" s="47"/>
      <c r="BM627" s="47"/>
      <c r="BN627" s="47"/>
      <c r="BO627" s="47"/>
      <c r="BP627" s="47"/>
      <c r="BQ627" s="47"/>
      <c r="BR627" s="47"/>
      <c r="BS627" s="47"/>
      <c r="BT627" s="47"/>
    </row>
    <row r="628" ht="11.25" customHeight="1">
      <c r="A628" s="35" t="str">
        <f>'13all_company_profile'!A628</f>
        <v>VCIT</v>
      </c>
      <c r="B628" s="35" t="str">
        <f>'13all_company_profile'!B628</f>
        <v>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v>
      </c>
      <c r="C628" s="44" t="str">
        <f>'13all_company_profile'!C628</f>
        <v>https://financialmodelingprep.com/image-stock/VCIT.png</v>
      </c>
      <c r="D628" s="35" t="str">
        <f>'13all_company_profile'!D628</f>
        <v>Vanguard Intermediate-Term Corporate Bond Index Fund ETF Shares</v>
      </c>
      <c r="E628" s="36">
        <f>'13all_company_profile'!E628</f>
        <v>3763176450</v>
      </c>
      <c r="F628" s="37">
        <f>'13all_company_profile'!F628</f>
        <v>3050461</v>
      </c>
      <c r="G628" s="35">
        <f>'13all_company_profile'!G628</f>
        <v>2.398</v>
      </c>
      <c r="H628" s="38" t="str">
        <f>'13all_company_profile'!H628</f>
        <v>not avaiable</v>
      </c>
      <c r="I628" s="35" t="str">
        <f>'13all_company_profile'!I628</f>
        <v>NaN</v>
      </c>
      <c r="J628" s="35" t="str">
        <f>'13all_company_profile'!J628</f>
        <v>NaN</v>
      </c>
      <c r="K628" s="42">
        <f t="shared" si="1"/>
        <v>0.02499218343</v>
      </c>
      <c r="L628" s="35">
        <f>'7company_info'!B628</f>
        <v>95.95</v>
      </c>
      <c r="M628" s="35">
        <f>'7company_info'!C628</f>
        <v>96.27</v>
      </c>
      <c r="N628" s="35">
        <f>'7company_info'!D628</f>
        <v>95.86</v>
      </c>
      <c r="O628" s="35">
        <f>'7company_info'!E628</f>
        <v>-0.02</v>
      </c>
      <c r="P628" s="35">
        <f>'7company_info'!F628</f>
        <v>-0.0002</v>
      </c>
      <c r="Q628" s="35">
        <f>'7company_info'!G628</f>
        <v>96.24</v>
      </c>
      <c r="R628" s="35">
        <f>'7company_info'!H628</f>
        <v>95.97</v>
      </c>
      <c r="S628" s="35">
        <f>'7company_info'!I628</f>
        <v>92.42</v>
      </c>
      <c r="T628" s="35">
        <f>'7company_info'!J628</f>
        <v>97.19</v>
      </c>
      <c r="U628" s="39">
        <v>95.35</v>
      </c>
      <c r="V628" s="39">
        <v>95.45</v>
      </c>
      <c r="W628" s="40">
        <v>95.5</v>
      </c>
      <c r="X628" s="40">
        <v>95.65</v>
      </c>
      <c r="Y628" s="40">
        <v>95.3</v>
      </c>
      <c r="Z628" s="40">
        <v>95.2</v>
      </c>
      <c r="AA628" s="40">
        <v>95.05</v>
      </c>
      <c r="AB628" s="40">
        <v>95.24</v>
      </c>
      <c r="AC628" s="40">
        <v>95.455</v>
      </c>
      <c r="AD628" s="40">
        <v>95.0427587652024</v>
      </c>
      <c r="AE628" s="40">
        <v>94.46204</v>
      </c>
      <c r="AF628" s="40">
        <v>0.308425000000001</v>
      </c>
      <c r="AG628" s="40">
        <v>96.66</v>
      </c>
      <c r="AH628" s="45">
        <v>44223.0</v>
      </c>
      <c r="AI628" s="44" t="str">
        <f>'6image_RS_benchmark_performance'!B628</f>
        <v>https://3arbzfbsh-cname-us.ngrok.io/Desktop/seabridge%20fintech/image_app/VCIT_resistance_support.jpg</v>
      </c>
      <c r="AJ628" s="44" t="str">
        <f>'6image_RS_benchmark_performance'!C628</f>
        <v>https://3arbzfbsh-cname-us.ngrok.io/Desktop/seabridge%20fintech/profit_graph_app/VCIT_Return.jpg</v>
      </c>
      <c r="AK628" s="46" t="str">
        <f>'5price_action_icon'!B628</f>
        <v>https://3arbzfbsh-cname-us.ngrok.io/Desktop/seabridge%20fintech/icon/VCIT_pa_trend_signal</v>
      </c>
      <c r="AL628" s="42">
        <f>'1kpi_performance'!B628</f>
        <v>0.09381049551</v>
      </c>
      <c r="AM628" s="42">
        <f>'1kpi_performance'!C628</f>
        <v>0.1147391087</v>
      </c>
      <c r="AN628" s="42">
        <f>'1kpi_performance'!D628</f>
        <v>0.07089179472</v>
      </c>
      <c r="AO628" s="42">
        <f>'1kpi_performance'!E628</f>
        <v>0.02819624643</v>
      </c>
      <c r="AP628" s="42">
        <f>'1kpi_performance'!F628</f>
        <v>0.03885310863</v>
      </c>
      <c r="AQ628" s="42">
        <f>'1kpi_performance'!G628</f>
        <v>0.0402444676</v>
      </c>
      <c r="AR628" s="42">
        <f>'1kpi_performance'!H628</f>
        <v>0.0375974405</v>
      </c>
      <c r="AS628" s="42">
        <f>'1kpi_performance'!I628</f>
        <v>0.06462895467</v>
      </c>
      <c r="AT628" s="35">
        <f>'1kpi_performance'!J628</f>
        <v>1.771042213</v>
      </c>
      <c r="AU628" s="35">
        <f>'1kpi_performance'!K628</f>
        <v>2.229849568</v>
      </c>
      <c r="AV628" s="35">
        <f>'1kpi_performance'!L628</f>
        <v>1.220609544</v>
      </c>
      <c r="AW628" s="35">
        <f>'1kpi_performance'!M628</f>
        <v>0.04945533228</v>
      </c>
      <c r="AX628" s="42">
        <f>'1kpi_performance'!N628</f>
        <v>0.0267139719</v>
      </c>
      <c r="AY628" s="42">
        <f>'1kpi_performance'!O628</f>
        <v>0.02199784247</v>
      </c>
      <c r="AZ628" s="42">
        <f>'1kpi_performance'!P628</f>
        <v>0.06171332046</v>
      </c>
      <c r="BA628" s="42">
        <f>'1kpi_performance'!Q628</f>
        <v>0.168635309</v>
      </c>
      <c r="BB628" s="35">
        <f>'1kpi_performance'!R628</f>
        <v>3.762384272</v>
      </c>
      <c r="BC628" s="35">
        <f>'1kpi_performance'!S628</f>
        <v>5.216498972</v>
      </c>
      <c r="BD628" s="35">
        <f>'1kpi_performance'!T628</f>
        <v>2.459820045</v>
      </c>
      <c r="BE628" s="35">
        <f>'1kpi_performance'!U628</f>
        <v>0.09203292076</v>
      </c>
      <c r="BF628" s="47"/>
      <c r="BG628" s="47"/>
      <c r="BH628" s="47"/>
      <c r="BI628" s="47"/>
      <c r="BJ628" s="47"/>
      <c r="BK628" s="47"/>
      <c r="BL628" s="47"/>
      <c r="BM628" s="47"/>
      <c r="BN628" s="47"/>
      <c r="BO628" s="47"/>
      <c r="BP628" s="47"/>
      <c r="BQ628" s="47"/>
      <c r="BR628" s="47"/>
      <c r="BS628" s="47"/>
      <c r="BT628" s="47"/>
    </row>
    <row r="629" ht="11.25" customHeight="1">
      <c r="A629" s="35" t="str">
        <f>'13all_company_profile'!A629</f>
        <v>VCSH</v>
      </c>
      <c r="B629" s="35" t="str">
        <f>'13all_company_profile'!B629</f>
        <v>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v>
      </c>
      <c r="C629" s="44" t="str">
        <f>'13all_company_profile'!C629</f>
        <v>https://financialmodelingprep.com/image-stock/VCSH.png</v>
      </c>
      <c r="D629" s="35" t="str">
        <f>'13all_company_profile'!D629</f>
        <v>Vanguard Short-Term Corporate Bond Index Fund ETF Shares</v>
      </c>
      <c r="E629" s="36">
        <f>'13all_company_profile'!E629</f>
        <v>23879823559</v>
      </c>
      <c r="F629" s="37">
        <f>'13all_company_profile'!F629</f>
        <v>2661887</v>
      </c>
      <c r="G629" s="35">
        <f>'13all_company_profile'!G629</f>
        <v>1.513</v>
      </c>
      <c r="H629" s="38" t="str">
        <f>'13all_company_profile'!H629</f>
        <v>not avaiable</v>
      </c>
      <c r="I629" s="35" t="str">
        <f>'13all_company_profile'!I629</f>
        <v>NaN</v>
      </c>
      <c r="J629" s="35" t="str">
        <f>'13all_company_profile'!J629</f>
        <v>NaN</v>
      </c>
      <c r="K629" s="42">
        <f t="shared" si="1"/>
        <v>0.01827736168</v>
      </c>
      <c r="L629" s="35">
        <f>'7company_info'!B629</f>
        <v>82.78</v>
      </c>
      <c r="M629" s="35">
        <f>'7company_info'!C629</f>
        <v>82.87</v>
      </c>
      <c r="N629" s="35">
        <f>'7company_info'!D629</f>
        <v>82.75</v>
      </c>
      <c r="O629" s="35">
        <f>'7company_info'!E629</f>
        <v>0.04</v>
      </c>
      <c r="P629" s="35">
        <f>'7company_info'!F629</f>
        <v>0.0005</v>
      </c>
      <c r="Q629" s="35">
        <f>'7company_info'!G629</f>
        <v>82.87</v>
      </c>
      <c r="R629" s="35">
        <f>'7company_info'!H629</f>
        <v>82.74</v>
      </c>
      <c r="S629" s="35">
        <f>'7company_info'!I629</f>
        <v>82.11</v>
      </c>
      <c r="T629" s="35">
        <f>'7company_info'!J629</f>
        <v>83.47</v>
      </c>
      <c r="U629" s="39">
        <v>82.6601666666666</v>
      </c>
      <c r="V629" s="39">
        <v>82.6898333333333</v>
      </c>
      <c r="W629" s="40">
        <v>82.7096666666666</v>
      </c>
      <c r="X629" s="40">
        <v>82.7591666666666</v>
      </c>
      <c r="Y629" s="40">
        <v>82.6403333333333</v>
      </c>
      <c r="Z629" s="40">
        <v>82.6106666666666</v>
      </c>
      <c r="AA629" s="40">
        <v>82.5611666666666</v>
      </c>
      <c r="AB629" s="40">
        <v>82.65</v>
      </c>
      <c r="AC629" s="40">
        <v>82.7</v>
      </c>
      <c r="AD629" s="40">
        <v>82.6767387073823</v>
      </c>
      <c r="AE629" s="40">
        <v>82.3973</v>
      </c>
      <c r="AF629" s="40">
        <v>0.0988500000000001</v>
      </c>
      <c r="AG629" s="40">
        <v>83.4739</v>
      </c>
      <c r="AH629" s="45">
        <v>44223.0</v>
      </c>
      <c r="AI629" s="44" t="str">
        <f>'6image_RS_benchmark_performance'!B629</f>
        <v>https://3arbzfbsh-cname-us.ngrok.io/Desktop/seabridge%20fintech/image_app/VCSH_resistance_support.jpg</v>
      </c>
      <c r="AJ629" s="44" t="str">
        <f>'6image_RS_benchmark_performance'!C629</f>
        <v>https://3arbzfbsh-cname-us.ngrok.io/Desktop/seabridge%20fintech/profit_graph_app/VCSH_Return.jpg</v>
      </c>
      <c r="AK629" s="46" t="str">
        <f>'5price_action_icon'!B629</f>
        <v>https://3arbzfbsh-cname-us.ngrok.io/Desktop/seabridge%20fintech/icon/VCSH_pa_trend_signal</v>
      </c>
      <c r="AL629" s="42">
        <f>'1kpi_performance'!B629</f>
        <v>0.03675872999</v>
      </c>
      <c r="AM629" s="42">
        <f>'1kpi_performance'!C629</f>
        <v>0.04519450077</v>
      </c>
      <c r="AN629" s="42">
        <f>'1kpi_performance'!D629</f>
        <v>0.03463926028</v>
      </c>
      <c r="AO629" s="42">
        <f>'1kpi_performance'!E629</f>
        <v>0.01023996336</v>
      </c>
      <c r="AP629" s="42">
        <f>'1kpi_performance'!F629</f>
        <v>0.01699229363</v>
      </c>
      <c r="AQ629" s="42">
        <f>'1kpi_performance'!G629</f>
        <v>0.01902016349</v>
      </c>
      <c r="AR629" s="42">
        <f>'1kpi_performance'!H629</f>
        <v>0.0177375422</v>
      </c>
      <c r="AS629" s="42">
        <f>'1kpi_performance'!I629</f>
        <v>0.03476204061</v>
      </c>
      <c r="AT629" s="35">
        <f>'1kpi_performance'!J629</f>
        <v>0.6920036955</v>
      </c>
      <c r="AU629" s="35">
        <f>'1kpi_performance'!K629</f>
        <v>1.061741703</v>
      </c>
      <c r="AV629" s="35">
        <f>'1kpi_performance'!L629</f>
        <v>0.5434383284</v>
      </c>
      <c r="AW629" s="35">
        <f>'1kpi_performance'!M629</f>
        <v>-0.4246021344</v>
      </c>
      <c r="AX629" s="42">
        <f>'1kpi_performance'!N629</f>
        <v>0.01229236788</v>
      </c>
      <c r="AY629" s="42">
        <f>'1kpi_performance'!O629</f>
        <v>0.009481668774</v>
      </c>
      <c r="AZ629" s="42">
        <f>'1kpi_performance'!P629</f>
        <v>0.02582247052</v>
      </c>
      <c r="BA629" s="42">
        <f>'1kpi_performance'!Q629</f>
        <v>0.1286130678</v>
      </c>
      <c r="BB629" s="35">
        <f>'1kpi_performance'!R629</f>
        <v>1.477300098</v>
      </c>
      <c r="BC629" s="35">
        <f>'1kpi_performance'!S629</f>
        <v>2.588195012</v>
      </c>
      <c r="BD629" s="35">
        <f>'1kpi_performance'!T629</f>
        <v>1.248229071</v>
      </c>
      <c r="BE629" s="35">
        <f>'1kpi_performance'!U629</f>
        <v>-0.7191830913</v>
      </c>
      <c r="BF629" s="47"/>
      <c r="BG629" s="47"/>
      <c r="BH629" s="47"/>
      <c r="BI629" s="47"/>
      <c r="BJ629" s="47"/>
      <c r="BK629" s="47"/>
      <c r="BL629" s="47"/>
      <c r="BM629" s="47"/>
      <c r="BN629" s="47"/>
      <c r="BO629" s="47"/>
      <c r="BP629" s="47"/>
      <c r="BQ629" s="47"/>
      <c r="BR629" s="47"/>
      <c r="BS629" s="47"/>
      <c r="BT629" s="47"/>
    </row>
    <row r="630" ht="11.25" customHeight="1">
      <c r="A630" s="35" t="str">
        <f>'13all_company_profile'!A630</f>
        <v>VEA</v>
      </c>
      <c r="B630" s="35" t="str">
        <f>'13all_company_profile'!B630</f>
        <v>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v>
      </c>
      <c r="C630" s="44" t="str">
        <f>'13all_company_profile'!C630</f>
        <v>https://financialmodelingprep.com/image-stock/VEA.png</v>
      </c>
      <c r="D630" s="35" t="str">
        <f>'13all_company_profile'!D630</f>
        <v>Vanguard FTSE Developed Markets Index Fund ETF Shares</v>
      </c>
      <c r="E630" s="36">
        <f>'13all_company_profile'!E630</f>
        <v>72401444965</v>
      </c>
      <c r="F630" s="37">
        <f>'13all_company_profile'!F630</f>
        <v>7973571</v>
      </c>
      <c r="G630" s="35">
        <f>'13all_company_profile'!G630</f>
        <v>0.867</v>
      </c>
      <c r="H630" s="38" t="str">
        <f>'13all_company_profile'!H630</f>
        <v>not avaiable</v>
      </c>
      <c r="I630" s="35" t="str">
        <f>'13all_company_profile'!I630</f>
        <v>NaN</v>
      </c>
      <c r="J630" s="35" t="str">
        <f>'13all_company_profile'!J630</f>
        <v>NaN</v>
      </c>
      <c r="K630" s="42">
        <f t="shared" si="1"/>
        <v>0.01716152019</v>
      </c>
      <c r="L630" s="35">
        <f>'7company_info'!B630</f>
        <v>50.52</v>
      </c>
      <c r="M630" s="35">
        <f>'7company_info'!C630</f>
        <v>50.6</v>
      </c>
      <c r="N630" s="35">
        <f>'7company_info'!D630</f>
        <v>49.92</v>
      </c>
      <c r="O630" s="35">
        <f>'7company_info'!E630</f>
        <v>0.45</v>
      </c>
      <c r="P630" s="35">
        <f>'7company_info'!F630</f>
        <v>0.009</v>
      </c>
      <c r="Q630" s="35">
        <f>'7company_info'!G630</f>
        <v>50</v>
      </c>
      <c r="R630" s="35">
        <f>'7company_info'!H630</f>
        <v>50.07</v>
      </c>
      <c r="S630" s="35">
        <f>'7company_info'!I630</f>
        <v>39.13</v>
      </c>
      <c r="T630" s="35">
        <f>'7company_info'!J630</f>
        <v>53.43</v>
      </c>
      <c r="U630" s="39">
        <v>51.9166666666666</v>
      </c>
      <c r="V630" s="39">
        <v>52.0133333333333</v>
      </c>
      <c r="W630" s="40">
        <v>52.1366666666666</v>
      </c>
      <c r="X630" s="40">
        <v>52.3566666666666</v>
      </c>
      <c r="Y630" s="40">
        <v>51.7933333333333</v>
      </c>
      <c r="Z630" s="40">
        <v>51.6966666666666</v>
      </c>
      <c r="AA630" s="40">
        <v>51.4766666666666</v>
      </c>
      <c r="AB630" s="40">
        <v>51.78</v>
      </c>
      <c r="AC630" s="40">
        <v>51.68</v>
      </c>
      <c r="AD630" s="40">
        <v>51.9094275673043</v>
      </c>
      <c r="AE630" s="40">
        <v>50.79412</v>
      </c>
      <c r="AF630" s="40">
        <v>0.48944</v>
      </c>
      <c r="AG630" s="40">
        <v>53.43</v>
      </c>
      <c r="AH630" s="45">
        <v>44363.0</v>
      </c>
      <c r="AI630" s="44" t="str">
        <f>'6image_RS_benchmark_performance'!B630</f>
        <v>https://3arbzfbsh-cname-us.ngrok.io/Desktop/seabridge%20fintech/image_app/VEA_resistance_support.jpg</v>
      </c>
      <c r="AJ630" s="44" t="str">
        <f>'6image_RS_benchmark_performance'!C630</f>
        <v>https://3arbzfbsh-cname-us.ngrok.io/Desktop/seabridge%20fintech/profit_graph_app/VEA_Return.jpg</v>
      </c>
      <c r="AK630" s="46" t="str">
        <f>'5price_action_icon'!B630</f>
        <v>https://3arbzfbsh-cname-us.ngrok.io/Desktop/seabridge%20fintech/icon/VEA_pa_trend_signal</v>
      </c>
      <c r="AL630" s="42">
        <f>'1kpi_performance'!B630</f>
        <v>0.2858925097</v>
      </c>
      <c r="AM630" s="42">
        <f>'1kpi_performance'!C630</f>
        <v>0.4701752679</v>
      </c>
      <c r="AN630" s="42">
        <f>'1kpi_performance'!D630</f>
        <v>0.4002894403</v>
      </c>
      <c r="AO630" s="42">
        <f>'1kpi_performance'!E630</f>
        <v>0.05417069811</v>
      </c>
      <c r="AP630" s="42">
        <f>'1kpi_performance'!F630</f>
        <v>0.1423455365</v>
      </c>
      <c r="AQ630" s="42">
        <f>'1kpi_performance'!G630</f>
        <v>0.1381151064</v>
      </c>
      <c r="AR630" s="42">
        <f>'1kpi_performance'!H630</f>
        <v>0.1327811449</v>
      </c>
      <c r="AS630" s="42">
        <f>'1kpi_performance'!I630</f>
        <v>0.2305333651</v>
      </c>
      <c r="AT630" s="35">
        <f>'1kpi_performance'!J630</f>
        <v>1.832811313</v>
      </c>
      <c r="AU630" s="35">
        <f>'1kpi_performance'!K630</f>
        <v>3.223219238</v>
      </c>
      <c r="AV630" s="35">
        <f>'1kpi_performance'!L630</f>
        <v>2.826375994</v>
      </c>
      <c r="AW630" s="35">
        <f>'1kpi_performance'!M630</f>
        <v>0.1265356887</v>
      </c>
      <c r="AX630" s="42">
        <f>'1kpi_performance'!N630</f>
        <v>0.1075352162</v>
      </c>
      <c r="AY630" s="42">
        <f>'1kpi_performance'!O630</f>
        <v>0.07327202611</v>
      </c>
      <c r="AZ630" s="42">
        <f>'1kpi_performance'!P630</f>
        <v>0.09967672414</v>
      </c>
      <c r="BA630" s="42">
        <f>'1kpi_performance'!Q630</f>
        <v>0.3989139515</v>
      </c>
      <c r="BB630" s="35">
        <f>'1kpi_performance'!R630</f>
        <v>3.649221218</v>
      </c>
      <c r="BC630" s="35">
        <f>'1kpi_performance'!S630</f>
        <v>7.233526465</v>
      </c>
      <c r="BD630" s="35">
        <f>'1kpi_performance'!T630</f>
        <v>5.751966448</v>
      </c>
      <c r="BE630" s="35">
        <f>'1kpi_performance'!U630</f>
        <v>0.2274702737</v>
      </c>
      <c r="BF630" s="47"/>
      <c r="BG630" s="47"/>
      <c r="BH630" s="47"/>
      <c r="BI630" s="47"/>
      <c r="BJ630" s="47"/>
      <c r="BK630" s="47"/>
      <c r="BL630" s="47"/>
      <c r="BM630" s="47"/>
      <c r="BN630" s="47"/>
      <c r="BO630" s="47"/>
      <c r="BP630" s="47"/>
      <c r="BQ630" s="47"/>
      <c r="BR630" s="47"/>
      <c r="BS630" s="47"/>
      <c r="BT630" s="47"/>
    </row>
    <row r="631" ht="11.25" customHeight="1">
      <c r="A631" s="35" t="str">
        <f>'13all_company_profile'!A631</f>
        <v>VER</v>
      </c>
      <c r="B631" s="35" t="str">
        <f>'13all_company_profile'!B631</f>
        <v>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v>
      </c>
      <c r="C631" s="44" t="str">
        <f>'13all_company_profile'!C631</f>
        <v>https://financialmodelingprep.com/image-stock/VER.png</v>
      </c>
      <c r="D631" s="35" t="str">
        <f>'13all_company_profile'!D631</f>
        <v>VEREIT, Inc.</v>
      </c>
      <c r="E631" s="36">
        <f>'13all_company_profile'!E631</f>
        <v>11021152256</v>
      </c>
      <c r="F631" s="37">
        <f>'13all_company_profile'!F631</f>
        <v>2214557</v>
      </c>
      <c r="G631" s="35">
        <f>'13all_company_profile'!G631</f>
        <v>1.694</v>
      </c>
      <c r="H631" s="38">
        <f>'13all_company_profile'!H631</f>
        <v>44412</v>
      </c>
      <c r="I631" s="35">
        <f>'13all_company_profile'!I631</f>
        <v>54.544434</v>
      </c>
      <c r="J631" s="35">
        <f>'13all_company_profile'!J631</f>
        <v>0.889</v>
      </c>
      <c r="K631" s="42">
        <f t="shared" si="1"/>
        <v>0.03460674157</v>
      </c>
      <c r="L631" s="35">
        <f>'7company_info'!B631</f>
        <v>48.95</v>
      </c>
      <c r="M631" s="35">
        <f>'7company_info'!C631</f>
        <v>49.24</v>
      </c>
      <c r="N631" s="35">
        <f>'7company_info'!D631</f>
        <v>48.05</v>
      </c>
      <c r="O631" s="35">
        <f>'7company_info'!E631</f>
        <v>1.03</v>
      </c>
      <c r="P631" s="35">
        <f>'7company_info'!F631</f>
        <v>0.0215</v>
      </c>
      <c r="Q631" s="35">
        <f>'7company_info'!G631</f>
        <v>48.09</v>
      </c>
      <c r="R631" s="35">
        <f>'7company_info'!H631</f>
        <v>47.92</v>
      </c>
      <c r="S631" s="35">
        <f>'7company_info'!I631</f>
        <v>30.05</v>
      </c>
      <c r="T631" s="35">
        <f>'7company_info'!J631</f>
        <v>49.77</v>
      </c>
      <c r="U631" s="39">
        <v>47.6766666666666</v>
      </c>
      <c r="V631" s="39">
        <v>48.0233333333333</v>
      </c>
      <c r="W631" s="40">
        <v>48.2866666666666</v>
      </c>
      <c r="X631" s="40">
        <v>48.8966666666666</v>
      </c>
      <c r="Y631" s="40">
        <v>47.4133333333333</v>
      </c>
      <c r="Z631" s="40">
        <v>47.0666666666666</v>
      </c>
      <c r="AA631" s="40">
        <v>46.4566666666666</v>
      </c>
      <c r="AB631" s="40">
        <v>45.85</v>
      </c>
      <c r="AC631" s="40">
        <v>47.55</v>
      </c>
      <c r="AD631" s="40">
        <v>47.1781020356122</v>
      </c>
      <c r="AE631" s="40">
        <v>45.8015</v>
      </c>
      <c r="AF631" s="40">
        <v>0.815749999999999</v>
      </c>
      <c r="AG631" s="40">
        <v>49.77</v>
      </c>
      <c r="AH631" s="45">
        <v>44315.0</v>
      </c>
      <c r="AI631" s="44" t="str">
        <f>'6image_RS_benchmark_performance'!B631</f>
        <v>https://3arbzfbsh-cname-us.ngrok.io/Desktop/seabridge%20fintech/image_app/VER_resistance_support.jpg</v>
      </c>
      <c r="AJ631" s="44" t="str">
        <f>'6image_RS_benchmark_performance'!C631</f>
        <v>https://3arbzfbsh-cname-us.ngrok.io/Desktop/seabridge%20fintech/profit_graph_app/VER_Return.jpg</v>
      </c>
      <c r="AK631" s="46" t="str">
        <f>'5price_action_icon'!B631</f>
        <v>https://3arbzfbsh-cname-us.ngrok.io/Desktop/seabridge%20fintech/icon/VER_pa_trend_signal</v>
      </c>
      <c r="AL631" s="42">
        <f>'1kpi_performance'!B631</f>
        <v>0.4205906654</v>
      </c>
      <c r="AM631" s="42">
        <f>'1kpi_performance'!C631</f>
        <v>0.4651527519</v>
      </c>
      <c r="AN631" s="42">
        <f>'1kpi_performance'!D631</f>
        <v>0.4435197018</v>
      </c>
      <c r="AO631" s="42">
        <f>'1kpi_performance'!E631</f>
        <v>-0.04108574099</v>
      </c>
      <c r="AP631" s="42">
        <f>'1kpi_performance'!F631</f>
        <v>0.2653002187</v>
      </c>
      <c r="AQ631" s="42">
        <f>'1kpi_performance'!G631</f>
        <v>0.2450833986</v>
      </c>
      <c r="AR631" s="42">
        <f>'1kpi_performance'!H631</f>
        <v>0.2153453536</v>
      </c>
      <c r="AS631" s="42">
        <f>'1kpi_performance'!I631</f>
        <v>0.3958759827</v>
      </c>
      <c r="AT631" s="35">
        <f>'1kpi_performance'!J631</f>
        <v>1.491105689</v>
      </c>
      <c r="AU631" s="35">
        <f>'1kpi_performance'!K631</f>
        <v>1.795930505</v>
      </c>
      <c r="AV631" s="35">
        <f>'1kpi_performance'!L631</f>
        <v>1.943481458</v>
      </c>
      <c r="AW631" s="35">
        <f>'1kpi_performance'!M631</f>
        <v>-0.1669354643</v>
      </c>
      <c r="AX631" s="42">
        <f>'1kpi_performance'!N631</f>
        <v>0.2203790732</v>
      </c>
      <c r="AY631" s="42">
        <f>'1kpi_performance'!O631</f>
        <v>0.2078431373</v>
      </c>
      <c r="AZ631" s="42">
        <f>'1kpi_performance'!P631</f>
        <v>0.1879142044</v>
      </c>
      <c r="BA631" s="42">
        <f>'1kpi_performance'!Q631</f>
        <v>0.7766554433</v>
      </c>
      <c r="BB631" s="35">
        <f>'1kpi_performance'!R631</f>
        <v>3.007874597</v>
      </c>
      <c r="BC631" s="35">
        <f>'1kpi_performance'!S631</f>
        <v>3.958835106</v>
      </c>
      <c r="BD631" s="35">
        <f>'1kpi_performance'!T631</f>
        <v>4.359775808</v>
      </c>
      <c r="BE631" s="35">
        <f>'1kpi_performance'!U631</f>
        <v>-0.2940121128</v>
      </c>
      <c r="BF631" s="47"/>
      <c r="BG631" s="47"/>
      <c r="BH631" s="47"/>
      <c r="BI631" s="47"/>
      <c r="BJ631" s="47"/>
      <c r="BK631" s="47"/>
      <c r="BL631" s="47"/>
      <c r="BM631" s="47"/>
      <c r="BN631" s="47"/>
      <c r="BO631" s="47"/>
      <c r="BP631" s="47"/>
      <c r="BQ631" s="47"/>
      <c r="BR631" s="47"/>
      <c r="BS631" s="47"/>
      <c r="BT631" s="47"/>
    </row>
    <row r="632" ht="11.25" customHeight="1">
      <c r="A632" s="35" t="str">
        <f>'13all_company_profile'!A632</f>
        <v>VEU</v>
      </c>
      <c r="B632" s="35" t="str">
        <f>'13all_company_profile'!B632</f>
        <v>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v>
      </c>
      <c r="C632" s="44" t="str">
        <f>'13all_company_profile'!C632</f>
        <v>https://financialmodelingprep.com/image-stock/VEU.png</v>
      </c>
      <c r="D632" s="35" t="str">
        <f>'13all_company_profile'!D632</f>
        <v>Vanguard FTSE All-World ex-US Index Fund ETF Shares</v>
      </c>
      <c r="E632" s="36">
        <f>'13all_company_profile'!E632</f>
        <v>29152077824</v>
      </c>
      <c r="F632" s="37">
        <f>'13all_company_profile'!F632</f>
        <v>2058514</v>
      </c>
      <c r="G632" s="35">
        <f>'13all_company_profile'!G632</f>
        <v>0.958</v>
      </c>
      <c r="H632" s="38" t="str">
        <f>'13all_company_profile'!H632</f>
        <v>not avaiable</v>
      </c>
      <c r="I632" s="35">
        <f>'13all_company_profile'!I632</f>
        <v>3.3795846</v>
      </c>
      <c r="J632" s="35">
        <f>'13all_company_profile'!J632</f>
        <v>18.486</v>
      </c>
      <c r="K632" s="42">
        <f t="shared" si="1"/>
        <v>0.01550161812</v>
      </c>
      <c r="L632" s="35">
        <f>'7company_info'!B632</f>
        <v>61.8</v>
      </c>
      <c r="M632" s="35">
        <f>'7company_info'!C632</f>
        <v>61.93</v>
      </c>
      <c r="N632" s="35">
        <f>'7company_info'!D632</f>
        <v>61.12</v>
      </c>
      <c r="O632" s="35">
        <f>'7company_info'!E632</f>
        <v>0.37</v>
      </c>
      <c r="P632" s="35">
        <f>'7company_info'!F632</f>
        <v>0.006</v>
      </c>
      <c r="Q632" s="35">
        <f>'7company_info'!G632</f>
        <v>61.25</v>
      </c>
      <c r="R632" s="35">
        <f>'7company_info'!H632</f>
        <v>61.43</v>
      </c>
      <c r="S632" s="35">
        <f>'7company_info'!I632</f>
        <v>49.03</v>
      </c>
      <c r="T632" s="35">
        <f>'7company_info'!J632</f>
        <v>65.28</v>
      </c>
      <c r="U632" s="39">
        <v>63.4216666666666</v>
      </c>
      <c r="V632" s="39">
        <v>63.5583333333333</v>
      </c>
      <c r="W632" s="40">
        <v>63.7266666666666</v>
      </c>
      <c r="X632" s="40">
        <v>64.0316666666666</v>
      </c>
      <c r="Y632" s="40">
        <v>63.2533333333333</v>
      </c>
      <c r="Z632" s="40">
        <v>63.1166666666666</v>
      </c>
      <c r="AA632" s="40">
        <v>62.8116666666666</v>
      </c>
      <c r="AB632" s="40">
        <v>61.8299</v>
      </c>
      <c r="AC632" s="40">
        <v>64.1607</v>
      </c>
      <c r="AD632" s="40">
        <v>63.5172060798756</v>
      </c>
      <c r="AE632" s="40">
        <v>62.05589</v>
      </c>
      <c r="AF632" s="40">
        <v>0.589055</v>
      </c>
      <c r="AG632" s="40">
        <v>65.28</v>
      </c>
      <c r="AH632" s="45">
        <v>44361.0</v>
      </c>
      <c r="AI632" s="44" t="str">
        <f>'6image_RS_benchmark_performance'!B632</f>
        <v>https://3arbzfbsh-cname-us.ngrok.io/Desktop/seabridge%20fintech/image_app/VEU_resistance_support.jpg</v>
      </c>
      <c r="AJ632" s="44" t="str">
        <f>'6image_RS_benchmark_performance'!C632</f>
        <v>https://3arbzfbsh-cname-us.ngrok.io/Desktop/seabridge%20fintech/profit_graph_app/VEU_Return.jpg</v>
      </c>
      <c r="AK632" s="46" t="str">
        <f>'5price_action_icon'!B632</f>
        <v>https://3arbzfbsh-cname-us.ngrok.io/Desktop/seabridge%20fintech/icon/VEU_pa_trend_signal</v>
      </c>
      <c r="AL632" s="42">
        <f>'1kpi_performance'!B632</f>
        <v>0.3163370352</v>
      </c>
      <c r="AM632" s="42">
        <f>'1kpi_performance'!C632</f>
        <v>0.4651189448</v>
      </c>
      <c r="AN632" s="42">
        <f>'1kpi_performance'!D632</f>
        <v>0.4215569444</v>
      </c>
      <c r="AO632" s="42">
        <f>'1kpi_performance'!E632</f>
        <v>0.04942905171</v>
      </c>
      <c r="AP632" s="42">
        <f>'1kpi_performance'!F632</f>
        <v>0.1411998814</v>
      </c>
      <c r="AQ632" s="42">
        <f>'1kpi_performance'!G632</f>
        <v>0.1397014672</v>
      </c>
      <c r="AR632" s="42">
        <f>'1kpi_performance'!H632</f>
        <v>0.1334498805</v>
      </c>
      <c r="AS632" s="42">
        <f>'1kpi_performance'!I632</f>
        <v>0.2284678611</v>
      </c>
      <c r="AT632" s="35">
        <f>'1kpi_performance'!J632</f>
        <v>2.063295183</v>
      </c>
      <c r="AU632" s="35">
        <f>'1kpi_performance'!K632</f>
        <v>3.150424642</v>
      </c>
      <c r="AV632" s="35">
        <f>'1kpi_performance'!L632</f>
        <v>2.971579614</v>
      </c>
      <c r="AW632" s="35">
        <f>'1kpi_performance'!M632</f>
        <v>0.10692555</v>
      </c>
      <c r="AX632" s="42">
        <f>'1kpi_performance'!N632</f>
        <v>0.1145994767</v>
      </c>
      <c r="AY632" s="42">
        <f>'1kpi_performance'!O632</f>
        <v>0.07442078165</v>
      </c>
      <c r="AZ632" s="42">
        <f>'1kpi_performance'!P632</f>
        <v>0.1453260205</v>
      </c>
      <c r="BA632" s="42">
        <f>'1kpi_performance'!Q632</f>
        <v>0.3910680931</v>
      </c>
      <c r="BB632" s="35">
        <f>'1kpi_performance'!R632</f>
        <v>4.191233408</v>
      </c>
      <c r="BC632" s="35">
        <f>'1kpi_performance'!S632</f>
        <v>6.983991501</v>
      </c>
      <c r="BD632" s="35">
        <f>'1kpi_performance'!T632</f>
        <v>6.083401039</v>
      </c>
      <c r="BE632" s="35">
        <f>'1kpi_performance'!U632</f>
        <v>0.1933075725</v>
      </c>
      <c r="BF632" s="47"/>
      <c r="BG632" s="47"/>
      <c r="BH632" s="47"/>
      <c r="BI632" s="47"/>
      <c r="BJ632" s="47"/>
      <c r="BK632" s="47"/>
      <c r="BL632" s="47"/>
      <c r="BM632" s="47"/>
      <c r="BN632" s="47"/>
      <c r="BO632" s="47"/>
      <c r="BP632" s="47"/>
      <c r="BQ632" s="47"/>
      <c r="BR632" s="47"/>
      <c r="BS632" s="47"/>
      <c r="BT632" s="47"/>
    </row>
    <row r="633" ht="11.25" customHeight="1">
      <c r="A633" s="35" t="str">
        <f>'13all_company_profile'!A633</f>
        <v>VFC</v>
      </c>
      <c r="B633" s="35" t="str">
        <f>'13all_company_profile'!B633</f>
        <v>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v>
      </c>
      <c r="C633" s="44" t="str">
        <f>'13all_company_profile'!C633</f>
        <v>https://financialmodelingprep.com/image-stock/VFC.png</v>
      </c>
      <c r="D633" s="35" t="str">
        <f>'13all_company_profile'!D633</f>
        <v>V.F. Corporation</v>
      </c>
      <c r="E633" s="36">
        <f>'13all_company_profile'!E633</f>
        <v>31294314496</v>
      </c>
      <c r="F633" s="37">
        <f>'13all_company_profile'!F633</f>
        <v>2534334</v>
      </c>
      <c r="G633" s="35">
        <f>'13all_company_profile'!G633</f>
        <v>1.95</v>
      </c>
      <c r="H633" s="38">
        <f>'13all_company_profile'!H633</f>
        <v>44406</v>
      </c>
      <c r="I633" s="35">
        <f>'13all_company_profile'!I633</f>
        <v>74.07656</v>
      </c>
      <c r="J633" s="35">
        <f>'13all_company_profile'!J633</f>
        <v>1.045</v>
      </c>
      <c r="K633" s="42">
        <f t="shared" si="1"/>
        <v>0.02494563132</v>
      </c>
      <c r="L633" s="35">
        <f>'7company_info'!B633</f>
        <v>78.17</v>
      </c>
      <c r="M633" s="35">
        <f>'7company_info'!C633</f>
        <v>78.63</v>
      </c>
      <c r="N633" s="35">
        <f>'7company_info'!D633</f>
        <v>75.28</v>
      </c>
      <c r="O633" s="35">
        <f>'7company_info'!E633</f>
        <v>2.71</v>
      </c>
      <c r="P633" s="35">
        <f>'7company_info'!F633</f>
        <v>0.0359</v>
      </c>
      <c r="Q633" s="35">
        <f>'7company_info'!G633</f>
        <v>75.52</v>
      </c>
      <c r="R633" s="35">
        <f>'7company_info'!H633</f>
        <v>75.46</v>
      </c>
      <c r="S633" s="35">
        <f>'7company_info'!I633</f>
        <v>57.59</v>
      </c>
      <c r="T633" s="35">
        <f>'7company_info'!J633</f>
        <v>90.79</v>
      </c>
      <c r="U633" s="39">
        <v>80.7799999999999</v>
      </c>
      <c r="V633" s="39">
        <v>81.2899999999999</v>
      </c>
      <c r="W633" s="40">
        <v>82.2799999999999</v>
      </c>
      <c r="X633" s="40">
        <v>83.7799999999999</v>
      </c>
      <c r="Y633" s="40">
        <v>79.7899999999999</v>
      </c>
      <c r="Z633" s="40">
        <v>79.2799999999999</v>
      </c>
      <c r="AA633" s="40">
        <v>77.7799999999999</v>
      </c>
      <c r="AB633" s="40">
        <v>82.19</v>
      </c>
      <c r="AC633" s="40">
        <v>81.77</v>
      </c>
      <c r="AD633" s="40">
        <v>81.7382121678157</v>
      </c>
      <c r="AE633" s="40">
        <v>78.15151</v>
      </c>
      <c r="AF633" s="40">
        <v>1.82024499999999</v>
      </c>
      <c r="AG633" s="40">
        <v>90.79</v>
      </c>
      <c r="AH633" s="45">
        <v>44315.0</v>
      </c>
      <c r="AI633" s="44" t="str">
        <f>'6image_RS_benchmark_performance'!B633</f>
        <v>https://3arbzfbsh-cname-us.ngrok.io/Desktop/seabridge%20fintech/image_app/VFC_resistance_support.jpg</v>
      </c>
      <c r="AJ633" s="44" t="str">
        <f>'6image_RS_benchmark_performance'!C633</f>
        <v>https://3arbzfbsh-cname-us.ngrok.io/Desktop/seabridge%20fintech/profit_graph_app/VFC_Return.jpg</v>
      </c>
      <c r="AK633" s="46" t="str">
        <f>'5price_action_icon'!B633</f>
        <v>https://3arbzfbsh-cname-us.ngrok.io/Desktop/seabridge%20fintech/icon/VFC_pa_trend_signal</v>
      </c>
      <c r="AL633" s="42">
        <f>'1kpi_performance'!B633</f>
        <v>0.562125924</v>
      </c>
      <c r="AM633" s="42">
        <f>'1kpi_performance'!C633</f>
        <v>0.7032959696</v>
      </c>
      <c r="AN633" s="42">
        <f>'1kpi_performance'!D633</f>
        <v>0.5457605538</v>
      </c>
      <c r="AO633" s="42">
        <f>'1kpi_performance'!E633</f>
        <v>0.2089689854</v>
      </c>
      <c r="AP633" s="42">
        <f>'1kpi_performance'!F633</f>
        <v>0.2486292122</v>
      </c>
      <c r="AQ633" s="42">
        <f>'1kpi_performance'!G633</f>
        <v>0.2295238575</v>
      </c>
      <c r="AR633" s="42">
        <f>'1kpi_performance'!H633</f>
        <v>0.2591901803</v>
      </c>
      <c r="AS633" s="42">
        <f>'1kpi_performance'!I633</f>
        <v>0.3482463508</v>
      </c>
      <c r="AT633" s="35">
        <f>'1kpi_performance'!J633</f>
        <v>2.160349217</v>
      </c>
      <c r="AU633" s="35">
        <f>'1kpi_performance'!K633</f>
        <v>2.955230785</v>
      </c>
      <c r="AV633" s="35">
        <f>'1kpi_performance'!L633</f>
        <v>2.009183192</v>
      </c>
      <c r="AW633" s="35">
        <f>'1kpi_performance'!M633</f>
        <v>0.5282725431</v>
      </c>
      <c r="AX633" s="42">
        <f>'1kpi_performance'!N633</f>
        <v>0.2420896506</v>
      </c>
      <c r="AY633" s="42">
        <f>'1kpi_performance'!O633</f>
        <v>0.2139512353</v>
      </c>
      <c r="AZ633" s="42">
        <f>'1kpi_performance'!P633</f>
        <v>0.4596881998</v>
      </c>
      <c r="BA633" s="42">
        <f>'1kpi_performance'!Q633</f>
        <v>0.5411553427</v>
      </c>
      <c r="BB633" s="35">
        <f>'1kpi_performance'!R633</f>
        <v>4.394969996</v>
      </c>
      <c r="BC633" s="35">
        <f>'1kpi_performance'!S633</f>
        <v>6.700419963</v>
      </c>
      <c r="BD633" s="35">
        <f>'1kpi_performance'!T633</f>
        <v>3.988025167</v>
      </c>
      <c r="BE633" s="35">
        <f>'1kpi_performance'!U633</f>
        <v>1.000098738</v>
      </c>
      <c r="BF633" s="47"/>
      <c r="BG633" s="47"/>
      <c r="BH633" s="47"/>
      <c r="BI633" s="47"/>
      <c r="BJ633" s="47"/>
      <c r="BK633" s="47"/>
      <c r="BL633" s="47"/>
      <c r="BM633" s="47"/>
      <c r="BN633" s="47"/>
      <c r="BO633" s="47"/>
      <c r="BP633" s="47"/>
      <c r="BQ633" s="47"/>
      <c r="BR633" s="47"/>
      <c r="BS633" s="47"/>
      <c r="BT633" s="47"/>
    </row>
    <row r="634" ht="11.25" customHeight="1">
      <c r="A634" s="35" t="str">
        <f>'13all_company_profile'!A634</f>
        <v>VGK</v>
      </c>
      <c r="B634" s="35" t="str">
        <f>'13all_company_profile'!B634</f>
        <v>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v>
      </c>
      <c r="C634" s="44" t="str">
        <f>'13all_company_profile'!C634</f>
        <v>https://financialmodelingprep.com/image-stock/VGK.png</v>
      </c>
      <c r="D634" s="35" t="str">
        <f>'13all_company_profile'!D634</f>
        <v>Vanguard FTSE Europe Index Fund ETF Shares</v>
      </c>
      <c r="E634" s="36">
        <f>'13all_company_profile'!E634</f>
        <v>18987677696</v>
      </c>
      <c r="F634" s="37">
        <f>'13all_company_profile'!F634</f>
        <v>4560352</v>
      </c>
      <c r="G634" s="35">
        <f>'13all_company_profile'!G634</f>
        <v>1.33</v>
      </c>
      <c r="H634" s="38" t="str">
        <f>'13all_company_profile'!H634</f>
        <v>not avaiable</v>
      </c>
      <c r="I634" s="35" t="str">
        <f>'13all_company_profile'!I634</f>
        <v>NaN</v>
      </c>
      <c r="J634" s="35">
        <f>'13all_company_profile'!J634</f>
        <v>-6.747</v>
      </c>
      <c r="K634" s="42">
        <f t="shared" si="1"/>
        <v>0.02018515708</v>
      </c>
      <c r="L634" s="35">
        <f>'7company_info'!B634</f>
        <v>65.89</v>
      </c>
      <c r="M634" s="35">
        <f>'7company_info'!C634</f>
        <v>66</v>
      </c>
      <c r="N634" s="35">
        <f>'7company_info'!D634</f>
        <v>65.11</v>
      </c>
      <c r="O634" s="35">
        <f>'7company_info'!E634</f>
        <v>0.39</v>
      </c>
      <c r="P634" s="35">
        <f>'7company_info'!F634</f>
        <v>0.006</v>
      </c>
      <c r="Q634" s="35">
        <f>'7company_info'!G634</f>
        <v>65.2</v>
      </c>
      <c r="R634" s="35">
        <f>'7company_info'!H634</f>
        <v>65.5</v>
      </c>
      <c r="S634" s="35">
        <f>'7company_info'!I634</f>
        <v>49.17</v>
      </c>
      <c r="T634" s="35">
        <f>'7company_info'!J634</f>
        <v>70.41</v>
      </c>
      <c r="U634" s="39">
        <v>68.0233333333333</v>
      </c>
      <c r="V634" s="39">
        <v>68.1566666666666</v>
      </c>
      <c r="W634" s="40">
        <v>68.2733333333333</v>
      </c>
      <c r="X634" s="40">
        <v>68.5233333333333</v>
      </c>
      <c r="Y634" s="40">
        <v>67.9066666666666</v>
      </c>
      <c r="Z634" s="40">
        <v>67.7733333333333</v>
      </c>
      <c r="AA634" s="40">
        <v>67.5233333333333</v>
      </c>
      <c r="AB634" s="40">
        <v>67.01</v>
      </c>
      <c r="AC634" s="40">
        <v>69.29</v>
      </c>
      <c r="AD634" s="40">
        <v>68.073521762865</v>
      </c>
      <c r="AE634" s="40">
        <v>66.59034</v>
      </c>
      <c r="AF634" s="40">
        <v>0.672079999999999</v>
      </c>
      <c r="AG634" s="40">
        <v>70.41</v>
      </c>
      <c r="AH634" s="45">
        <v>44363.0</v>
      </c>
      <c r="AI634" s="44" t="str">
        <f>'6image_RS_benchmark_performance'!B634</f>
        <v>https://3arbzfbsh-cname-us.ngrok.io/Desktop/seabridge%20fintech/image_app/VGK_resistance_support.jpg</v>
      </c>
      <c r="AJ634" s="44" t="str">
        <f>'6image_RS_benchmark_performance'!C634</f>
        <v>https://3arbzfbsh-cname-us.ngrok.io/Desktop/seabridge%20fintech/profit_graph_app/VGK_Return.jpg</v>
      </c>
      <c r="AK634" s="46" t="str">
        <f>'5price_action_icon'!B634</f>
        <v>https://3arbzfbsh-cname-us.ngrok.io/Desktop/seabridge%20fintech/icon/VGK_pa_trend_signal</v>
      </c>
      <c r="AL634" s="42">
        <f>'1kpi_performance'!B634</f>
        <v>0.2948807961</v>
      </c>
      <c r="AM634" s="42">
        <f>'1kpi_performance'!C634</f>
        <v>0.5429904546</v>
      </c>
      <c r="AN634" s="42">
        <f>'1kpi_performance'!D634</f>
        <v>0.4136691067</v>
      </c>
      <c r="AO634" s="42">
        <f>'1kpi_performance'!E634</f>
        <v>0.04585349707</v>
      </c>
      <c r="AP634" s="42">
        <f>'1kpi_performance'!F634</f>
        <v>0.1605653437</v>
      </c>
      <c r="AQ634" s="42">
        <f>'1kpi_performance'!G634</f>
        <v>0.1619914614</v>
      </c>
      <c r="AR634" s="42">
        <f>'1kpi_performance'!H634</f>
        <v>0.1598796555</v>
      </c>
      <c r="AS634" s="42">
        <f>'1kpi_performance'!I634</f>
        <v>0.2617730377</v>
      </c>
      <c r="AT634" s="35">
        <f>'1kpi_performance'!J634</f>
        <v>1.680815983</v>
      </c>
      <c r="AU634" s="35">
        <f>'1kpi_performance'!K634</f>
        <v>3.197640481</v>
      </c>
      <c r="AV634" s="35">
        <f>'1kpi_performance'!L634</f>
        <v>2.43101041</v>
      </c>
      <c r="AW634" s="35">
        <f>'1kpi_performance'!M634</f>
        <v>0.07966250939</v>
      </c>
      <c r="AX634" s="42">
        <f>'1kpi_performance'!N634</f>
        <v>0.1995567681</v>
      </c>
      <c r="AY634" s="42">
        <f>'1kpi_performance'!O634</f>
        <v>0.08308668076</v>
      </c>
      <c r="AZ634" s="42">
        <f>'1kpi_performance'!P634</f>
        <v>0.1577180618</v>
      </c>
      <c r="BA634" s="42">
        <f>'1kpi_performance'!Q634</f>
        <v>0.4156560088</v>
      </c>
      <c r="BB634" s="35">
        <f>'1kpi_performance'!R634</f>
        <v>3.248691788</v>
      </c>
      <c r="BC634" s="35">
        <f>'1kpi_performance'!S634</f>
        <v>7.114279522</v>
      </c>
      <c r="BD634" s="35">
        <f>'1kpi_performance'!T634</f>
        <v>4.869703202</v>
      </c>
      <c r="BE634" s="35">
        <f>'1kpi_performance'!U634</f>
        <v>0.1433331424</v>
      </c>
      <c r="BF634" s="47"/>
      <c r="BG634" s="47"/>
      <c r="BH634" s="47"/>
      <c r="BI634" s="47"/>
      <c r="BJ634" s="47"/>
      <c r="BK634" s="47"/>
      <c r="BL634" s="47"/>
      <c r="BM634" s="47"/>
      <c r="BN634" s="47"/>
      <c r="BO634" s="47"/>
      <c r="BP634" s="47"/>
      <c r="BQ634" s="47"/>
      <c r="BR634" s="47"/>
      <c r="BS634" s="47"/>
      <c r="BT634" s="47"/>
    </row>
    <row r="635" ht="11.25" customHeight="1">
      <c r="A635" s="35" t="str">
        <f>'13all_company_profile'!A635</f>
        <v>VIAC</v>
      </c>
      <c r="B635" s="35" t="str">
        <f>'13all_company_profile'!B635</f>
        <v>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v>
      </c>
      <c r="C635" s="44" t="str">
        <f>'13all_company_profile'!C635</f>
        <v>https://financialmodelingprep.com/image-stock/VIAC.png</v>
      </c>
      <c r="D635" s="35" t="str">
        <f>'13all_company_profile'!D635</f>
        <v>ViacomCBS Inc.</v>
      </c>
      <c r="E635" s="36">
        <f>'13all_company_profile'!E635</f>
        <v>26815875072</v>
      </c>
      <c r="F635" s="37">
        <f>'13all_company_profile'!F635</f>
        <v>22483150</v>
      </c>
      <c r="G635" s="35">
        <f>'13all_company_profile'!G635</f>
        <v>0.96</v>
      </c>
      <c r="H635" s="38">
        <f>'13all_company_profile'!H635</f>
        <v>44413</v>
      </c>
      <c r="I635" s="35">
        <f>'13all_company_profile'!I635</f>
        <v>8.8673</v>
      </c>
      <c r="J635" s="35">
        <f>'13all_company_profile'!J635</f>
        <v>4.529</v>
      </c>
      <c r="K635" s="42">
        <f t="shared" si="1"/>
        <v>0.02376825947</v>
      </c>
      <c r="L635" s="35">
        <f>'7company_info'!B635</f>
        <v>40.39</v>
      </c>
      <c r="M635" s="35">
        <f>'7company_info'!C635</f>
        <v>41.4</v>
      </c>
      <c r="N635" s="35">
        <f>'7company_info'!D635</f>
        <v>39.44</v>
      </c>
      <c r="O635" s="35">
        <f>'7company_info'!E635</f>
        <v>0.52</v>
      </c>
      <c r="P635" s="35">
        <f>'7company_info'!F635</f>
        <v>0.013</v>
      </c>
      <c r="Q635" s="35">
        <f>'7company_info'!G635</f>
        <v>40.21</v>
      </c>
      <c r="R635" s="35">
        <f>'7company_info'!H635</f>
        <v>39.87</v>
      </c>
      <c r="S635" s="35">
        <f>'7company_info'!I635</f>
        <v>24.11</v>
      </c>
      <c r="T635" s="35">
        <f>'7company_info'!J635</f>
        <v>101.97</v>
      </c>
      <c r="U635" s="39">
        <v>42.2066666666666</v>
      </c>
      <c r="V635" s="39">
        <v>42.7233333333333</v>
      </c>
      <c r="W635" s="40">
        <v>43.5566666666666</v>
      </c>
      <c r="X635" s="40">
        <v>44.9066666666666</v>
      </c>
      <c r="Y635" s="40">
        <v>41.3733333333333</v>
      </c>
      <c r="Z635" s="40">
        <v>40.8566666666666</v>
      </c>
      <c r="AA635" s="40">
        <v>39.5066666666666</v>
      </c>
      <c r="AB635" s="40">
        <v>42.53</v>
      </c>
      <c r="AC635" s="40">
        <v>43.56</v>
      </c>
      <c r="AD635" s="40">
        <v>42.7543987497497</v>
      </c>
      <c r="AE635" s="40">
        <v>39.33093</v>
      </c>
      <c r="AF635" s="40">
        <v>1.60753499999999</v>
      </c>
      <c r="AG635" s="40">
        <v>101.97</v>
      </c>
      <c r="AH635" s="45">
        <v>44270.0</v>
      </c>
      <c r="AI635" s="44" t="str">
        <f>'6image_RS_benchmark_performance'!B635</f>
        <v>https://3arbzfbsh-cname-us.ngrok.io/Desktop/seabridge%20fintech/image_app/VIAC_resistance_support.jpg</v>
      </c>
      <c r="AJ635" s="44" t="str">
        <f>'6image_RS_benchmark_performance'!C635</f>
        <v>https://3arbzfbsh-cname-us.ngrok.io/Desktop/seabridge%20fintech/profit_graph_app/VIAC_Return.jpg</v>
      </c>
      <c r="AK635" s="46" t="str">
        <f>'5price_action_icon'!B635</f>
        <v>https://3arbzfbsh-cname-us.ngrok.io/Desktop/seabridge%20fintech/icon/VIAC_pa_trend_signal</v>
      </c>
      <c r="AL635" s="42">
        <f>'1kpi_performance'!B635</f>
        <v>0.9033301074</v>
      </c>
      <c r="AM635" s="42">
        <f>'1kpi_performance'!C635</f>
        <v>0.9505435479</v>
      </c>
      <c r="AN635" s="42">
        <f>'1kpi_performance'!D635</f>
        <v>0.8554192038</v>
      </c>
      <c r="AO635" s="42">
        <f>'1kpi_performance'!E635</f>
        <v>0.1547733465</v>
      </c>
      <c r="AP635" s="42">
        <f>'1kpi_performance'!F635</f>
        <v>0.312326055</v>
      </c>
      <c r="AQ635" s="42">
        <f>'1kpi_performance'!G635</f>
        <v>0.2960574896</v>
      </c>
      <c r="AR635" s="42">
        <f>'1kpi_performance'!H635</f>
        <v>0.2666359672</v>
      </c>
      <c r="AS635" s="42">
        <f>'1kpi_performance'!I635</f>
        <v>0.4500166089</v>
      </c>
      <c r="AT635" s="35">
        <f>'1kpi_performance'!J635</f>
        <v>2.812221694</v>
      </c>
      <c r="AU635" s="35">
        <f>'1kpi_performance'!K635</f>
        <v>3.12622913</v>
      </c>
      <c r="AV635" s="35">
        <f>'1kpi_performance'!L635</f>
        <v>3.114430557</v>
      </c>
      <c r="AW635" s="35">
        <f>'1kpi_performance'!M635</f>
        <v>0.2883745708</v>
      </c>
      <c r="AX635" s="42">
        <f>'1kpi_performance'!N635</f>
        <v>0.2164296998</v>
      </c>
      <c r="AY635" s="42">
        <f>'1kpi_performance'!O635</f>
        <v>0.1581901087</v>
      </c>
      <c r="AZ635" s="42">
        <f>'1kpi_performance'!P635</f>
        <v>0.3117516191</v>
      </c>
      <c r="BA635" s="42">
        <f>'1kpi_performance'!Q635</f>
        <v>0.8377211912</v>
      </c>
      <c r="BB635" s="35">
        <f>'1kpi_performance'!R635</f>
        <v>6.62812019</v>
      </c>
      <c r="BC635" s="35">
        <f>'1kpi_performance'!S635</f>
        <v>6.913327087</v>
      </c>
      <c r="BD635" s="35">
        <f>'1kpi_performance'!T635</f>
        <v>6.889725521</v>
      </c>
      <c r="BE635" s="35">
        <f>'1kpi_performance'!U635</f>
        <v>0.5462253355</v>
      </c>
      <c r="BF635" s="47"/>
      <c r="BG635" s="47"/>
      <c r="BH635" s="47"/>
      <c r="BI635" s="47"/>
      <c r="BJ635" s="47"/>
      <c r="BK635" s="47"/>
      <c r="BL635" s="47"/>
      <c r="BM635" s="47"/>
      <c r="BN635" s="47"/>
      <c r="BO635" s="47"/>
      <c r="BP635" s="47"/>
      <c r="BQ635" s="47"/>
      <c r="BR635" s="47"/>
      <c r="BS635" s="47"/>
      <c r="BT635" s="47"/>
    </row>
    <row r="636" ht="11.25" customHeight="1">
      <c r="A636" s="35" t="str">
        <f>'13all_company_profile'!A636</f>
        <v>VICI</v>
      </c>
      <c r="B636" s="35" t="str">
        <f>'13all_company_profile'!B636</f>
        <v>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v>
      </c>
      <c r="C636" s="44" t="str">
        <f>'13all_company_profile'!C636</f>
        <v>https://financialmodelingprep.com/image-stock/VICI.png</v>
      </c>
      <c r="D636" s="35" t="str">
        <f>'13all_company_profile'!D636</f>
        <v>VICI Properties Inc.</v>
      </c>
      <c r="E636" s="36">
        <f>'13all_company_profile'!E636</f>
        <v>16847039488</v>
      </c>
      <c r="F636" s="37">
        <f>'13all_company_profile'!F636</f>
        <v>4427849</v>
      </c>
      <c r="G636" s="35">
        <f>'13all_company_profile'!G636</f>
        <v>1.32</v>
      </c>
      <c r="H636" s="38">
        <f>'13all_company_profile'!H636</f>
        <v>44405</v>
      </c>
      <c r="I636" s="35">
        <f>'13all_company_profile'!I636</f>
        <v>13.953592</v>
      </c>
      <c r="J636" s="35">
        <f>'13all_company_profile'!J636</f>
        <v>2.241</v>
      </c>
      <c r="K636" s="42">
        <f t="shared" si="1"/>
        <v>0.04167982318</v>
      </c>
      <c r="L636" s="35">
        <f>'7company_info'!B636</f>
        <v>31.67</v>
      </c>
      <c r="M636" s="35">
        <f>'7company_info'!C636</f>
        <v>31.84</v>
      </c>
      <c r="N636" s="35">
        <f>'7company_info'!D636</f>
        <v>30.42</v>
      </c>
      <c r="O636" s="35">
        <f>'7company_info'!E636</f>
        <v>1.29</v>
      </c>
      <c r="P636" s="35">
        <f>'7company_info'!F636</f>
        <v>0.0425</v>
      </c>
      <c r="Q636" s="35">
        <f>'7company_info'!G636</f>
        <v>30.45</v>
      </c>
      <c r="R636" s="35">
        <f>'7company_info'!H636</f>
        <v>30.38</v>
      </c>
      <c r="S636" s="35">
        <f>'7company_info'!I636</f>
        <v>20.35</v>
      </c>
      <c r="T636" s="35">
        <f>'7company_info'!J636</f>
        <v>33.35</v>
      </c>
      <c r="U636" s="39">
        <v>31.3116666666666</v>
      </c>
      <c r="V636" s="39">
        <v>31.4733333333333</v>
      </c>
      <c r="W636" s="40">
        <v>31.6766666666666</v>
      </c>
      <c r="X636" s="40">
        <v>32.0416666666666</v>
      </c>
      <c r="Y636" s="40">
        <v>31.1083333333333</v>
      </c>
      <c r="Z636" s="40">
        <v>30.9466666666666</v>
      </c>
      <c r="AA636" s="40">
        <v>30.5816666666666</v>
      </c>
      <c r="AB636" s="40">
        <v>31.88</v>
      </c>
      <c r="AC636" s="40">
        <v>32.42</v>
      </c>
      <c r="AD636" s="40">
        <v>31.39427277882</v>
      </c>
      <c r="AE636" s="40">
        <v>29.97003</v>
      </c>
      <c r="AF636" s="40">
        <v>0.651235</v>
      </c>
      <c r="AG636" s="40">
        <v>33.35</v>
      </c>
      <c r="AH636" s="45">
        <v>44356.0</v>
      </c>
      <c r="AI636" s="44" t="str">
        <f>'6image_RS_benchmark_performance'!B636</f>
        <v>https://3arbzfbsh-cname-us.ngrok.io/Desktop/seabridge%20fintech/image_app/VICI_resistance_support.jpg</v>
      </c>
      <c r="AJ636" s="44" t="str">
        <f>'6image_RS_benchmark_performance'!C636</f>
        <v>https://3arbzfbsh-cname-us.ngrok.io/Desktop/seabridge%20fintech/profit_graph_app/VICI_Return.jpg</v>
      </c>
      <c r="AK636" s="46" t="str">
        <f>'5price_action_icon'!B636</f>
        <v>https://3arbzfbsh-cname-us.ngrok.io/Desktop/seabridge%20fintech/icon/VICI_pa_trend_signal</v>
      </c>
      <c r="AL636" s="42">
        <f>'1kpi_performance'!B636</f>
        <v>0.7466570677</v>
      </c>
      <c r="AM636" s="42">
        <f>'1kpi_performance'!C636</f>
        <v>0.6653177221</v>
      </c>
      <c r="AN636" s="42">
        <f>'1kpi_performance'!D636</f>
        <v>0.6071869449</v>
      </c>
      <c r="AO636" s="42">
        <f>'1kpi_performance'!E636</f>
        <v>0.222169703</v>
      </c>
      <c r="AP636" s="42">
        <f>'1kpi_performance'!F636</f>
        <v>0.2661821244</v>
      </c>
      <c r="AQ636" s="42">
        <f>'1kpi_performance'!G636</f>
        <v>0.2769977696</v>
      </c>
      <c r="AR636" s="42">
        <f>'1kpi_performance'!H636</f>
        <v>0.210812238</v>
      </c>
      <c r="AS636" s="42">
        <f>'1kpi_performance'!I636</f>
        <v>0.4493321819</v>
      </c>
      <c r="AT636" s="35">
        <f>'1kpi_performance'!J636</f>
        <v>2.711140237</v>
      </c>
      <c r="AU636" s="35">
        <f>'1kpi_performance'!K636</f>
        <v>2.311634938</v>
      </c>
      <c r="AV636" s="35">
        <f>'1kpi_performance'!L636</f>
        <v>2.761637324</v>
      </c>
      <c r="AW636" s="35">
        <f>'1kpi_performance'!M636</f>
        <v>0.4388061016</v>
      </c>
      <c r="AX636" s="42">
        <f>'1kpi_performance'!N636</f>
        <v>0.171875</v>
      </c>
      <c r="AY636" s="42">
        <f>'1kpi_performance'!O636</f>
        <v>0.171875</v>
      </c>
      <c r="AZ636" s="42">
        <f>'1kpi_performance'!P636</f>
        <v>0.1140536359</v>
      </c>
      <c r="BA636" s="42">
        <f>'1kpi_performance'!Q636</f>
        <v>0.6021314387</v>
      </c>
      <c r="BB636" s="35">
        <f>'1kpi_performance'!R636</f>
        <v>5.702413147</v>
      </c>
      <c r="BC636" s="35">
        <f>'1kpi_performance'!S636</f>
        <v>4.753653647</v>
      </c>
      <c r="BD636" s="35">
        <f>'1kpi_performance'!T636</f>
        <v>5.955736453</v>
      </c>
      <c r="BE636" s="35">
        <f>'1kpi_performance'!U636</f>
        <v>0.7480956738</v>
      </c>
      <c r="BF636" s="47"/>
      <c r="BG636" s="47"/>
      <c r="BH636" s="47"/>
      <c r="BI636" s="47"/>
      <c r="BJ636" s="47"/>
      <c r="BK636" s="47"/>
      <c r="BL636" s="47"/>
      <c r="BM636" s="47"/>
      <c r="BN636" s="47"/>
      <c r="BO636" s="47"/>
      <c r="BP636" s="47"/>
      <c r="BQ636" s="47"/>
      <c r="BR636" s="47"/>
      <c r="BS636" s="47"/>
      <c r="BT636" s="47"/>
    </row>
    <row r="637" ht="11.25" customHeight="1">
      <c r="A637" s="35" t="str">
        <f>'13all_company_profile'!A637</f>
        <v>VLO</v>
      </c>
      <c r="B637" s="35" t="str">
        <f>'13all_company_profile'!B637</f>
        <v>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v>
      </c>
      <c r="C637" s="44" t="str">
        <f>'13all_company_profile'!C637</f>
        <v>https://financialmodelingprep.com/image-stock/VLO.png</v>
      </c>
      <c r="D637" s="35" t="str">
        <f>'13all_company_profile'!D637</f>
        <v>Valero Energy Corporation</v>
      </c>
      <c r="E637" s="36">
        <f>'13all_company_profile'!E637</f>
        <v>27305168896</v>
      </c>
      <c r="F637" s="37">
        <f>'13all_company_profile'!F637</f>
        <v>3949425</v>
      </c>
      <c r="G637" s="35">
        <f>'13all_company_profile'!G637</f>
        <v>3.92</v>
      </c>
      <c r="H637" s="38">
        <f>'13all_company_profile'!H637</f>
        <v>44406</v>
      </c>
      <c r="I637" s="35" t="str">
        <f>'13all_company_profile'!I637</f>
        <v>NaN</v>
      </c>
      <c r="J637" s="35">
        <f>'13all_company_profile'!J637</f>
        <v>-0.686</v>
      </c>
      <c r="K637" s="42">
        <f t="shared" si="1"/>
        <v>0.06264983219</v>
      </c>
      <c r="L637" s="35">
        <f>'7company_info'!B637</f>
        <v>62.57</v>
      </c>
      <c r="M637" s="35">
        <f>'7company_info'!C637</f>
        <v>63.54</v>
      </c>
      <c r="N637" s="35">
        <f>'7company_info'!D637</f>
        <v>60.99</v>
      </c>
      <c r="O637" s="35">
        <f>'7company_info'!E637</f>
        <v>0.65</v>
      </c>
      <c r="P637" s="35">
        <f>'7company_info'!F637</f>
        <v>0.0105</v>
      </c>
      <c r="Q637" s="35">
        <f>'7company_info'!G637</f>
        <v>62.03</v>
      </c>
      <c r="R637" s="35">
        <f>'7company_info'!H637</f>
        <v>61.92</v>
      </c>
      <c r="S637" s="35">
        <f>'7company_info'!I637</f>
        <v>35.44</v>
      </c>
      <c r="T637" s="35">
        <f>'7company_info'!J637</f>
        <v>84.95</v>
      </c>
      <c r="U637" s="39">
        <v>68.7566666666666</v>
      </c>
      <c r="V637" s="39">
        <v>70.1533333333333</v>
      </c>
      <c r="W637" s="40">
        <v>72.6366666666666</v>
      </c>
      <c r="X637" s="40">
        <v>76.5166666666666</v>
      </c>
      <c r="Y637" s="40">
        <v>66.2733333333333</v>
      </c>
      <c r="Z637" s="40">
        <v>64.8766666666666</v>
      </c>
      <c r="AA637" s="40">
        <v>60.9966666666666</v>
      </c>
      <c r="AB637" s="40">
        <v>80.7054</v>
      </c>
      <c r="AC637" s="40">
        <v>71.76</v>
      </c>
      <c r="AD637" s="40">
        <v>75.4015445067754</v>
      </c>
      <c r="AE637" s="40">
        <v>65.35654</v>
      </c>
      <c r="AF637" s="40">
        <v>2.63973</v>
      </c>
      <c r="AG637" s="40">
        <v>84.95</v>
      </c>
      <c r="AH637" s="45">
        <v>44350.0</v>
      </c>
      <c r="AI637" s="44" t="str">
        <f>'6image_RS_benchmark_performance'!B637</f>
        <v>https://3arbzfbsh-cname-us.ngrok.io/Desktop/seabridge%20fintech/image_app/VLO_resistance_support.jpg</v>
      </c>
      <c r="AJ637" s="44" t="str">
        <f>'6image_RS_benchmark_performance'!C637</f>
        <v>https://3arbzfbsh-cname-us.ngrok.io/Desktop/seabridge%20fintech/profit_graph_app/VLO_Return.jpg</v>
      </c>
      <c r="AK637" s="46" t="str">
        <f>'5price_action_icon'!B637</f>
        <v>https://3arbzfbsh-cname-us.ngrok.io/Desktop/seabridge%20fintech/icon/VLO_pa_trend_signal</v>
      </c>
      <c r="AL637" s="42">
        <f>'1kpi_performance'!B637</f>
        <v>1.038499017</v>
      </c>
      <c r="AM637" s="42">
        <f>'1kpi_performance'!C637</f>
        <v>1.069948213</v>
      </c>
      <c r="AN637" s="42">
        <f>'1kpi_performance'!D637</f>
        <v>0.7711971007</v>
      </c>
      <c r="AO637" s="42">
        <f>'1kpi_performance'!E637</f>
        <v>0.1855790808</v>
      </c>
      <c r="AP637" s="42">
        <f>'1kpi_performance'!F637</f>
        <v>0.3283409647</v>
      </c>
      <c r="AQ637" s="42">
        <f>'1kpi_performance'!G637</f>
        <v>0.3285557837</v>
      </c>
      <c r="AR637" s="42">
        <f>'1kpi_performance'!H637</f>
        <v>0.3468152469</v>
      </c>
      <c r="AS637" s="42">
        <f>'1kpi_performance'!I637</f>
        <v>0.4743940457</v>
      </c>
      <c r="AT637" s="35">
        <f>'1kpi_performance'!J637</f>
        <v>3.086727293</v>
      </c>
      <c r="AU637" s="35">
        <f>'1kpi_performance'!K637</f>
        <v>3.180428605</v>
      </c>
      <c r="AV637" s="35">
        <f>'1kpi_performance'!L637</f>
        <v>2.151569481</v>
      </c>
      <c r="AW637" s="35">
        <f>'1kpi_performance'!M637</f>
        <v>0.3384930361</v>
      </c>
      <c r="AX637" s="42">
        <f>'1kpi_performance'!N637</f>
        <v>0.2337369128</v>
      </c>
      <c r="AY637" s="42">
        <f>'1kpi_performance'!O637</f>
        <v>0.1576546196</v>
      </c>
      <c r="AZ637" s="42">
        <f>'1kpi_performance'!P637</f>
        <v>0.618727908</v>
      </c>
      <c r="BA637" s="42">
        <f>'1kpi_performance'!Q637</f>
        <v>0.7378656381</v>
      </c>
      <c r="BB637" s="35">
        <f>'1kpi_performance'!R637</f>
        <v>7.565957457</v>
      </c>
      <c r="BC637" s="35">
        <f>'1kpi_performance'!S637</f>
        <v>7.647619962</v>
      </c>
      <c r="BD637" s="35">
        <f>'1kpi_performance'!T637</f>
        <v>4.362909644</v>
      </c>
      <c r="BE637" s="35">
        <f>'1kpi_performance'!U637</f>
        <v>0.6792384609</v>
      </c>
      <c r="BF637" s="47"/>
      <c r="BG637" s="47"/>
      <c r="BH637" s="47"/>
      <c r="BI637" s="47"/>
      <c r="BJ637" s="47"/>
      <c r="BK637" s="47"/>
      <c r="BL637" s="47"/>
      <c r="BM637" s="47"/>
      <c r="BN637" s="47"/>
      <c r="BO637" s="47"/>
      <c r="BP637" s="47"/>
      <c r="BQ637" s="47"/>
      <c r="BR637" s="47"/>
      <c r="BS637" s="47"/>
      <c r="BT637" s="47"/>
    </row>
    <row r="638" ht="11.25" customHeight="1">
      <c r="A638" s="35" t="str">
        <f>'13all_company_profile'!A638</f>
        <v>VMC</v>
      </c>
      <c r="B638" s="35" t="str">
        <f>'13all_company_profile'!B638</f>
        <v>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v>
      </c>
      <c r="C638" s="44" t="str">
        <f>'13all_company_profile'!C638</f>
        <v>https://financialmodelingprep.com/image-stock/VMC.png</v>
      </c>
      <c r="D638" s="35" t="str">
        <f>'13all_company_profile'!D638</f>
        <v>Vulcan Materials Company</v>
      </c>
      <c r="E638" s="36">
        <f>'13all_company_profile'!E638</f>
        <v>23436599296</v>
      </c>
      <c r="F638" s="37">
        <f>'13all_company_profile'!F638</f>
        <v>800412</v>
      </c>
      <c r="G638" s="35">
        <f>'13all_company_profile'!G638</f>
        <v>1.42</v>
      </c>
      <c r="H638" s="38">
        <f>'13all_company_profile'!H638</f>
        <v>44410</v>
      </c>
      <c r="I638" s="35">
        <f>'13all_company_profile'!I638</f>
        <v>34.199455</v>
      </c>
      <c r="J638" s="35">
        <f>'13all_company_profile'!J638</f>
        <v>5.134</v>
      </c>
      <c r="K638" s="42">
        <f t="shared" si="1"/>
        <v>0.008145004015</v>
      </c>
      <c r="L638" s="35">
        <f>'7company_info'!B638</f>
        <v>174.34</v>
      </c>
      <c r="M638" s="35">
        <f>'7company_info'!C638</f>
        <v>176.29</v>
      </c>
      <c r="N638" s="35">
        <f>'7company_info'!D638</f>
        <v>171.16</v>
      </c>
      <c r="O638" s="35">
        <f>'7company_info'!E638</f>
        <v>3.59</v>
      </c>
      <c r="P638" s="35">
        <f>'7company_info'!F638</f>
        <v>0.021</v>
      </c>
      <c r="Q638" s="35">
        <f>'7company_info'!G638</f>
        <v>171.16</v>
      </c>
      <c r="R638" s="35">
        <f>'7company_info'!H638</f>
        <v>170.75</v>
      </c>
      <c r="S638" s="35">
        <f>'7company_info'!I638</f>
        <v>114.84</v>
      </c>
      <c r="T638" s="35">
        <f>'7company_info'!J638</f>
        <v>194.17</v>
      </c>
      <c r="U638" s="39">
        <v>174.816666666666</v>
      </c>
      <c r="V638" s="39">
        <v>177.333333333333</v>
      </c>
      <c r="W638" s="40">
        <v>178.706666666666</v>
      </c>
      <c r="X638" s="40">
        <v>182.596666666666</v>
      </c>
      <c r="Y638" s="40">
        <v>173.443333333333</v>
      </c>
      <c r="Z638" s="40">
        <v>170.926666666666</v>
      </c>
      <c r="AA638" s="40">
        <v>167.036666666666</v>
      </c>
      <c r="AB638" s="40">
        <v>170.775</v>
      </c>
      <c r="AC638" s="40">
        <v>175.49</v>
      </c>
      <c r="AD638" s="40">
        <v>174.3604955343</v>
      </c>
      <c r="AE638" s="40">
        <v>165.97565</v>
      </c>
      <c r="AF638" s="40">
        <v>3.85442499999999</v>
      </c>
      <c r="AG638" s="40">
        <v>194.17</v>
      </c>
      <c r="AH638" s="45">
        <v>44326.0</v>
      </c>
      <c r="AI638" s="44" t="str">
        <f>'6image_RS_benchmark_performance'!B638</f>
        <v>https://3arbzfbsh-cname-us.ngrok.io/Desktop/seabridge%20fintech/image_app/VMC_resistance_support.jpg</v>
      </c>
      <c r="AJ638" s="44" t="str">
        <f>'6image_RS_benchmark_performance'!C638</f>
        <v>https://3arbzfbsh-cname-us.ngrok.io/Desktop/seabridge%20fintech/profit_graph_app/VMC_Return.jpg</v>
      </c>
      <c r="AK638" s="46" t="str">
        <f>'5price_action_icon'!B638</f>
        <v>https://3arbzfbsh-cname-us.ngrok.io/Desktop/seabridge%20fintech/icon/VMC_pa_trend_signal</v>
      </c>
      <c r="AL638" s="42">
        <f>'1kpi_performance'!B638</f>
        <v>0.6837052707</v>
      </c>
      <c r="AM638" s="42">
        <f>'1kpi_performance'!C638</f>
        <v>0.8790076574</v>
      </c>
      <c r="AN638" s="42">
        <f>'1kpi_performance'!D638</f>
        <v>0.8320675495</v>
      </c>
      <c r="AO638" s="42">
        <f>'1kpi_performance'!E638</f>
        <v>0.1743784604</v>
      </c>
      <c r="AP638" s="42">
        <f>'1kpi_performance'!F638</f>
        <v>0.2754590242</v>
      </c>
      <c r="AQ638" s="42">
        <f>'1kpi_performance'!G638</f>
        <v>0.2788816156</v>
      </c>
      <c r="AR638" s="42">
        <f>'1kpi_performance'!H638</f>
        <v>0.301833659</v>
      </c>
      <c r="AS638" s="42">
        <f>'1kpi_performance'!I638</f>
        <v>0.3995708699</v>
      </c>
      <c r="AT638" s="35">
        <f>'1kpi_performance'!J638</f>
        <v>2.391300385</v>
      </c>
      <c r="AU638" s="35">
        <f>'1kpi_performance'!K638</f>
        <v>3.062258713</v>
      </c>
      <c r="AV638" s="35">
        <f>'1kpi_performance'!L638</f>
        <v>2.673881873</v>
      </c>
      <c r="AW638" s="35">
        <f>'1kpi_performance'!M638</f>
        <v>0.3738472236</v>
      </c>
      <c r="AX638" s="42">
        <f>'1kpi_performance'!N638</f>
        <v>0.1566784493</v>
      </c>
      <c r="AY638" s="42">
        <f>'1kpi_performance'!O638</f>
        <v>0.1052166225</v>
      </c>
      <c r="AZ638" s="42">
        <f>'1kpi_performance'!P638</f>
        <v>0.4313812811</v>
      </c>
      <c r="BA638" s="42">
        <f>'1kpi_performance'!Q638</f>
        <v>0.555272542</v>
      </c>
      <c r="BB638" s="35">
        <f>'1kpi_performance'!R638</f>
        <v>5.256700333</v>
      </c>
      <c r="BC638" s="35">
        <f>'1kpi_performance'!S638</f>
        <v>7.3038056</v>
      </c>
      <c r="BD638" s="35">
        <f>'1kpi_performance'!T638</f>
        <v>5.827344319</v>
      </c>
      <c r="BE638" s="35">
        <f>'1kpi_performance'!U638</f>
        <v>0.7627117156</v>
      </c>
      <c r="BF638" s="47"/>
      <c r="BG638" s="47"/>
      <c r="BH638" s="47"/>
      <c r="BI638" s="47"/>
      <c r="BJ638" s="47"/>
      <c r="BK638" s="47"/>
      <c r="BL638" s="47"/>
      <c r="BM638" s="47"/>
      <c r="BN638" s="47"/>
      <c r="BO638" s="47"/>
      <c r="BP638" s="47"/>
      <c r="BQ638" s="47"/>
      <c r="BR638" s="47"/>
      <c r="BS638" s="47"/>
      <c r="BT638" s="47"/>
    </row>
    <row r="639" ht="11.25" customHeight="1">
      <c r="A639" s="35" t="str">
        <f>'13all_company_profile'!A639</f>
        <v>VNO</v>
      </c>
      <c r="B639" s="35" t="str">
        <f>'13all_company_profile'!B639</f>
        <v>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v>
      </c>
      <c r="C639" s="44" t="str">
        <f>'13all_company_profile'!C639</f>
        <v>https://financialmodelingprep.com/image-stock/VNO.png</v>
      </c>
      <c r="D639" s="35" t="str">
        <f>'13all_company_profile'!D639</f>
        <v>Vornado Realty Trust</v>
      </c>
      <c r="E639" s="36">
        <f>'13all_company_profile'!E639</f>
        <v>8709742592</v>
      </c>
      <c r="F639" s="37">
        <f>'13all_company_profile'!F639</f>
        <v>1446706</v>
      </c>
      <c r="G639" s="35">
        <f>'13all_company_profile'!G639</f>
        <v>2.12</v>
      </c>
      <c r="H639" s="38">
        <f>'13all_company_profile'!H639</f>
        <v>44410</v>
      </c>
      <c r="I639" s="35" t="str">
        <f>'13all_company_profile'!I639</f>
        <v>NaN</v>
      </c>
      <c r="J639" s="35">
        <f>'13all_company_profile'!J639</f>
        <v>-1.839</v>
      </c>
      <c r="K639" s="42">
        <f t="shared" si="1"/>
        <v>0.04727921499</v>
      </c>
      <c r="L639" s="35">
        <f>'7company_info'!B639</f>
        <v>44.84</v>
      </c>
      <c r="M639" s="35">
        <f>'7company_info'!C639</f>
        <v>45.03</v>
      </c>
      <c r="N639" s="35">
        <f>'7company_info'!D639</f>
        <v>43.06</v>
      </c>
      <c r="O639" s="35">
        <f>'7company_info'!E639</f>
        <v>1.76</v>
      </c>
      <c r="P639" s="35">
        <f>'7company_info'!F639</f>
        <v>0.0409</v>
      </c>
      <c r="Q639" s="35">
        <f>'7company_info'!G639</f>
        <v>43.32</v>
      </c>
      <c r="R639" s="35">
        <f>'7company_info'!H639</f>
        <v>43.08</v>
      </c>
      <c r="S639" s="35">
        <f>'7company_info'!I639</f>
        <v>29.79</v>
      </c>
      <c r="T639" s="35">
        <f>'7company_info'!J639</f>
        <v>50.91</v>
      </c>
      <c r="U639" s="39">
        <v>45.7183333333333</v>
      </c>
      <c r="V639" s="39">
        <v>46.0966666666666</v>
      </c>
      <c r="W639" s="40">
        <v>46.3233333333333</v>
      </c>
      <c r="X639" s="40">
        <v>46.9283333333333</v>
      </c>
      <c r="Y639" s="40">
        <v>45.4916666666666</v>
      </c>
      <c r="Z639" s="40">
        <v>45.1133333333333</v>
      </c>
      <c r="AA639" s="40">
        <v>44.5083333333333</v>
      </c>
      <c r="AB639" s="40">
        <v>47.05</v>
      </c>
      <c r="AC639" s="40">
        <v>47.66</v>
      </c>
      <c r="AD639" s="40">
        <v>46.7908214719253</v>
      </c>
      <c r="AE639" s="40">
        <v>43.10745</v>
      </c>
      <c r="AF639" s="40">
        <v>1.20502499999999</v>
      </c>
      <c r="AG639" s="40">
        <v>50.91</v>
      </c>
      <c r="AH639" s="45">
        <v>44355.0</v>
      </c>
      <c r="AI639" s="44" t="str">
        <f>'6image_RS_benchmark_performance'!B639</f>
        <v>https://3arbzfbsh-cname-us.ngrok.io/Desktop/seabridge%20fintech/image_app/VNO_resistance_support.jpg</v>
      </c>
      <c r="AJ639" s="44" t="str">
        <f>'6image_RS_benchmark_performance'!C639</f>
        <v>https://3arbzfbsh-cname-us.ngrok.io/Desktop/seabridge%20fintech/profit_graph_app/VNO_Return.jpg</v>
      </c>
      <c r="AK639" s="46" t="str">
        <f>'5price_action_icon'!B639</f>
        <v>https://3arbzfbsh-cname-us.ngrok.io/Desktop/seabridge%20fintech/icon/VNO_pa_trend_signal</v>
      </c>
      <c r="AL639" s="42">
        <f>'1kpi_performance'!B639</f>
        <v>0.4818136729</v>
      </c>
      <c r="AM639" s="42">
        <f>'1kpi_performance'!C639</f>
        <v>0.4496001216</v>
      </c>
      <c r="AN639" s="42">
        <f>'1kpi_performance'!D639</f>
        <v>0.5996678897</v>
      </c>
      <c r="AO639" s="42">
        <f>'1kpi_performance'!E639</f>
        <v>-0.003758521038</v>
      </c>
      <c r="AP639" s="42">
        <f>'1kpi_performance'!F639</f>
        <v>0.2421320814</v>
      </c>
      <c r="AQ639" s="42">
        <f>'1kpi_performance'!G639</f>
        <v>0.231387603</v>
      </c>
      <c r="AR639" s="42">
        <f>'1kpi_performance'!H639</f>
        <v>0.2375054282</v>
      </c>
      <c r="AS639" s="42">
        <f>'1kpi_performance'!I639</f>
        <v>0.3536564556</v>
      </c>
      <c r="AT639" s="35">
        <f>'1kpi_performance'!J639</f>
        <v>1.8866301</v>
      </c>
      <c r="AU639" s="35">
        <f>'1kpi_performance'!K639</f>
        <v>1.835016726</v>
      </c>
      <c r="AV639" s="35">
        <f>'1kpi_performance'!L639</f>
        <v>2.419598971</v>
      </c>
      <c r="AW639" s="35">
        <f>'1kpi_performance'!M639</f>
        <v>-0.0813176759</v>
      </c>
      <c r="AX639" s="42">
        <f>'1kpi_performance'!N639</f>
        <v>0.1878527884</v>
      </c>
      <c r="AY639" s="42">
        <f>'1kpi_performance'!O639</f>
        <v>0.2248118194</v>
      </c>
      <c r="AZ639" s="42">
        <f>'1kpi_performance'!P639</f>
        <v>0.1681697613</v>
      </c>
      <c r="BA639" s="42">
        <f>'1kpi_performance'!Q639</f>
        <v>0.6707100717</v>
      </c>
      <c r="BB639" s="35">
        <f>'1kpi_performance'!R639</f>
        <v>4.124046169</v>
      </c>
      <c r="BC639" s="35">
        <f>'1kpi_performance'!S639</f>
        <v>4.104038872</v>
      </c>
      <c r="BD639" s="35">
        <f>'1kpi_performance'!T639</f>
        <v>5.629521375</v>
      </c>
      <c r="BE639" s="35">
        <f>'1kpi_performance'!U639</f>
        <v>-0.154593813</v>
      </c>
      <c r="BF639" s="47"/>
      <c r="BG639" s="47"/>
      <c r="BH639" s="47"/>
      <c r="BI639" s="47"/>
      <c r="BJ639" s="47"/>
      <c r="BK639" s="47"/>
      <c r="BL639" s="47"/>
      <c r="BM639" s="47"/>
      <c r="BN639" s="47"/>
      <c r="BO639" s="47"/>
      <c r="BP639" s="47"/>
      <c r="BQ639" s="47"/>
      <c r="BR639" s="47"/>
      <c r="BS639" s="47"/>
      <c r="BT639" s="47"/>
    </row>
    <row r="640" ht="11.25" customHeight="1">
      <c r="A640" s="35" t="str">
        <f>'13all_company_profile'!A640</f>
        <v>VNQ</v>
      </c>
      <c r="B640" s="35" t="str">
        <f>'13all_company_profile'!B640</f>
        <v>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v>
      </c>
      <c r="C640" s="44" t="str">
        <f>'13all_company_profile'!C640</f>
        <v>https://financialmodelingprep.com/image-stock/VNQ.png</v>
      </c>
      <c r="D640" s="35" t="str">
        <f>'13all_company_profile'!D640</f>
        <v>Vanguard Real Estate Index Fund ETF Shares</v>
      </c>
      <c r="E640" s="36">
        <f>'13all_company_profile'!E640</f>
        <v>39009673216</v>
      </c>
      <c r="F640" s="37">
        <f>'13all_company_profile'!F640</f>
        <v>4331261</v>
      </c>
      <c r="G640" s="35">
        <f>'13all_company_profile'!G640</f>
        <v>2.454</v>
      </c>
      <c r="H640" s="38" t="str">
        <f>'13all_company_profile'!H640</f>
        <v>not avaiable</v>
      </c>
      <c r="I640" s="35" t="str">
        <f>'13all_company_profile'!I640</f>
        <v>NaN</v>
      </c>
      <c r="J640" s="35">
        <f>'13all_company_profile'!J640</f>
        <v>-5.095</v>
      </c>
      <c r="K640" s="42">
        <f t="shared" si="1"/>
        <v>0.02318813191</v>
      </c>
      <c r="L640" s="35">
        <f>'7company_info'!B640</f>
        <v>105.83</v>
      </c>
      <c r="M640" s="35">
        <f>'7company_info'!C640</f>
        <v>106.23</v>
      </c>
      <c r="N640" s="35">
        <f>'7company_info'!D640</f>
        <v>103.8</v>
      </c>
      <c r="O640" s="35">
        <f>'7company_info'!E640</f>
        <v>2.44</v>
      </c>
      <c r="P640" s="35">
        <f>'7company_info'!F640</f>
        <v>0.0236</v>
      </c>
      <c r="Q640" s="35">
        <f>'7company_info'!G640</f>
        <v>103.95</v>
      </c>
      <c r="R640" s="35">
        <f>'7company_info'!H640</f>
        <v>103.39</v>
      </c>
      <c r="S640" s="35">
        <f>'7company_info'!I640</f>
        <v>75.46</v>
      </c>
      <c r="T640" s="35">
        <f>'7company_info'!J640</f>
        <v>106.23</v>
      </c>
      <c r="U640" s="39">
        <v>104.993333333333</v>
      </c>
      <c r="V640" s="39">
        <v>105.736666666666</v>
      </c>
      <c r="W640" s="40">
        <v>106.263333333333</v>
      </c>
      <c r="X640" s="40">
        <v>107.533333333333</v>
      </c>
      <c r="Y640" s="40">
        <v>104.466666666666</v>
      </c>
      <c r="Z640" s="40">
        <v>103.723333333333</v>
      </c>
      <c r="AA640" s="40">
        <v>102.453333333333</v>
      </c>
      <c r="AB640" s="40">
        <v>101.505</v>
      </c>
      <c r="AC640" s="40">
        <v>106.05</v>
      </c>
      <c r="AD640" s="40">
        <v>103.481202399224</v>
      </c>
      <c r="AE640" s="40">
        <v>101.82448</v>
      </c>
      <c r="AF640" s="40">
        <v>1.33475999999999</v>
      </c>
      <c r="AG640" s="40">
        <v>105.77</v>
      </c>
      <c r="AH640" s="45">
        <v>44357.0</v>
      </c>
      <c r="AI640" s="44" t="str">
        <f>'6image_RS_benchmark_performance'!B640</f>
        <v>https://3arbzfbsh-cname-us.ngrok.io/Desktop/seabridge%20fintech/image_app/VNQ_resistance_support.jpg</v>
      </c>
      <c r="AJ640" s="44" t="str">
        <f>'6image_RS_benchmark_performance'!C640</f>
        <v>https://3arbzfbsh-cname-us.ngrok.io/Desktop/seabridge%20fintech/profit_graph_app/VNQ_Return.jpg</v>
      </c>
      <c r="AK640" s="46" t="str">
        <f>'5price_action_icon'!B640</f>
        <v>https://3arbzfbsh-cname-us.ngrok.io/Desktop/seabridge%20fintech/icon/VNQ_pa_trend_signal</v>
      </c>
      <c r="AL640" s="42">
        <f>'1kpi_performance'!B640</f>
        <v>0.3623383931</v>
      </c>
      <c r="AM640" s="42">
        <f>'1kpi_performance'!C640</f>
        <v>0.4561661279</v>
      </c>
      <c r="AN640" s="42">
        <f>'1kpi_performance'!D640</f>
        <v>0.4102932744</v>
      </c>
      <c r="AO640" s="42">
        <f>'1kpi_performance'!E640</f>
        <v>0.1157023795</v>
      </c>
      <c r="AP640" s="42">
        <f>'1kpi_performance'!F640</f>
        <v>0.1530575309</v>
      </c>
      <c r="AQ640" s="42">
        <f>'1kpi_performance'!G640</f>
        <v>0.163970802</v>
      </c>
      <c r="AR640" s="42">
        <f>'1kpi_performance'!H640</f>
        <v>0.1463906825</v>
      </c>
      <c r="AS640" s="42">
        <f>'1kpi_performance'!I640</f>
        <v>0.2508404824</v>
      </c>
      <c r="AT640" s="35">
        <f>'1kpi_performance'!J640</f>
        <v>2.203997355</v>
      </c>
      <c r="AU640" s="35">
        <f>'1kpi_performance'!K640</f>
        <v>2.629529908</v>
      </c>
      <c r="AV640" s="35">
        <f>'1kpi_performance'!L640</f>
        <v>2.631952169</v>
      </c>
      <c r="AW640" s="35">
        <f>'1kpi_performance'!M640</f>
        <v>0.361593865</v>
      </c>
      <c r="AX640" s="42">
        <f>'1kpi_performance'!N640</f>
        <v>0.1031224795</v>
      </c>
      <c r="AY640" s="42">
        <f>'1kpi_performance'!O640</f>
        <v>0.1181527907</v>
      </c>
      <c r="AZ640" s="42">
        <f>'1kpi_performance'!P640</f>
        <v>0.1526223776</v>
      </c>
      <c r="BA640" s="42">
        <f>'1kpi_performance'!Q640</f>
        <v>0.4284423019</v>
      </c>
      <c r="BB640" s="35">
        <f>'1kpi_performance'!R640</f>
        <v>4.453261695</v>
      </c>
      <c r="BC640" s="35">
        <f>'1kpi_performance'!S640</f>
        <v>5.626678409</v>
      </c>
      <c r="BD640" s="35">
        <f>'1kpi_performance'!T640</f>
        <v>5.343356568</v>
      </c>
      <c r="BE640" s="35">
        <f>'1kpi_performance'!U640</f>
        <v>0.6570668502</v>
      </c>
      <c r="BF640" s="47"/>
      <c r="BG640" s="47"/>
      <c r="BH640" s="47"/>
      <c r="BI640" s="47"/>
      <c r="BJ640" s="47"/>
      <c r="BK640" s="47"/>
      <c r="BL640" s="47"/>
      <c r="BM640" s="47"/>
      <c r="BN640" s="47"/>
      <c r="BO640" s="47"/>
      <c r="BP640" s="47"/>
      <c r="BQ640" s="47"/>
      <c r="BR640" s="47"/>
      <c r="BS640" s="47"/>
      <c r="BT640" s="47"/>
    </row>
    <row r="641" ht="11.25" customHeight="1">
      <c r="A641" s="35" t="str">
        <f>'13all_company_profile'!A641</f>
        <v>VOO</v>
      </c>
      <c r="B641" s="35" t="str">
        <f>'13all_company_profile'!B641</f>
        <v>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v>
      </c>
      <c r="C641" s="44" t="str">
        <f>'13all_company_profile'!C641</f>
        <v>https://financialmodelingprep.com/image-stock/VOO.png</v>
      </c>
      <c r="D641" s="35" t="str">
        <f>'13all_company_profile'!D641</f>
        <v>Vanguard S&amp;P 500 ETF</v>
      </c>
      <c r="E641" s="36">
        <f>'13all_company_profile'!E641</f>
        <v>111153118580</v>
      </c>
      <c r="F641" s="37">
        <f>'13all_company_profile'!F641</f>
        <v>3864152</v>
      </c>
      <c r="G641" s="35">
        <f>'13all_company_profile'!G641</f>
        <v>3.955</v>
      </c>
      <c r="H641" s="38" t="str">
        <f>'13all_company_profile'!H641</f>
        <v>not avaiable</v>
      </c>
      <c r="I641" s="35">
        <f>'13all_company_profile'!I641</f>
        <v>8.278006</v>
      </c>
      <c r="J641" s="35">
        <f>'13all_company_profile'!J641</f>
        <v>47.92</v>
      </c>
      <c r="K641" s="42">
        <f t="shared" si="1"/>
        <v>0.009982332155</v>
      </c>
      <c r="L641" s="35">
        <f>'7company_info'!B641</f>
        <v>396.2</v>
      </c>
      <c r="M641" s="35">
        <f>'7company_info'!C641</f>
        <v>397.5</v>
      </c>
      <c r="N641" s="35">
        <f>'7company_info'!D641</f>
        <v>390.25</v>
      </c>
      <c r="O641" s="35">
        <f>'7company_info'!E641</f>
        <v>5.52</v>
      </c>
      <c r="P641" s="35">
        <f>'7company_info'!F641</f>
        <v>0.0141</v>
      </c>
      <c r="Q641" s="35">
        <f>'7company_info'!G641</f>
        <v>391.33</v>
      </c>
      <c r="R641" s="35">
        <f>'7company_info'!H641</f>
        <v>390.68</v>
      </c>
      <c r="S641" s="35">
        <f>'7company_info'!I641</f>
        <v>293.3</v>
      </c>
      <c r="T641" s="35">
        <f>'7company_info'!J641</f>
        <v>402.57</v>
      </c>
      <c r="U641" s="39">
        <v>401.133333333333</v>
      </c>
      <c r="V641" s="39">
        <v>402.446666666666</v>
      </c>
      <c r="W641" s="40">
        <v>403.883333333333</v>
      </c>
      <c r="X641" s="40">
        <v>406.633333333333</v>
      </c>
      <c r="Y641" s="40">
        <v>399.696666666666</v>
      </c>
      <c r="Z641" s="40">
        <v>398.383333333333</v>
      </c>
      <c r="AA641" s="40">
        <v>395.633333333333</v>
      </c>
      <c r="AB641" s="40">
        <v>396.525</v>
      </c>
      <c r="AC641" s="40">
        <v>402.57</v>
      </c>
      <c r="AD641" s="40">
        <v>395.225730307921</v>
      </c>
      <c r="AE641" s="40">
        <v>394.19104</v>
      </c>
      <c r="AF641" s="40">
        <v>3.18247499999999</v>
      </c>
      <c r="AG641" s="40">
        <v>391.2</v>
      </c>
      <c r="AH641" s="45">
        <v>44362.0</v>
      </c>
      <c r="AI641" s="44" t="str">
        <f>'6image_RS_benchmark_performance'!B641</f>
        <v>https://3arbzfbsh-cname-us.ngrok.io/Desktop/seabridge%20fintech/image_app/VOO_resistance_support.jpg</v>
      </c>
      <c r="AJ641" s="44" t="str">
        <f>'6image_RS_benchmark_performance'!C641</f>
        <v>https://3arbzfbsh-cname-us.ngrok.io/Desktop/seabridge%20fintech/profit_graph_app/VOO_Return.jpg</v>
      </c>
      <c r="AK641" s="46" t="str">
        <f>'5price_action_icon'!B641</f>
        <v>https://3arbzfbsh-cname-us.ngrok.io/Desktop/seabridge%20fintech/icon/VOO_pa_trend_signal</v>
      </c>
      <c r="AL641" s="42">
        <f>'1kpi_performance'!B641</f>
        <v>0.3337433068</v>
      </c>
      <c r="AM641" s="42">
        <f>'1kpi_performance'!C641</f>
        <v>0.4884647154</v>
      </c>
      <c r="AN641" s="42">
        <f>'1kpi_performance'!D641</f>
        <v>0.3818738532</v>
      </c>
      <c r="AO641" s="42">
        <f>'1kpi_performance'!E641</f>
        <v>0.198987918</v>
      </c>
      <c r="AP641" s="42">
        <f>'1kpi_performance'!F641</f>
        <v>0.1149868736</v>
      </c>
      <c r="AQ641" s="42">
        <f>'1kpi_performance'!G641</f>
        <v>0.126199535</v>
      </c>
      <c r="AR641" s="42">
        <f>'1kpi_performance'!H641</f>
        <v>0.1099432396</v>
      </c>
      <c r="AS641" s="42">
        <f>'1kpi_performance'!I641</f>
        <v>0.2041153605</v>
      </c>
      <c r="AT641" s="35">
        <f>'1kpi_performance'!J641</f>
        <v>2.685030883</v>
      </c>
      <c r="AU641" s="35">
        <f>'1kpi_performance'!K641</f>
        <v>3.672475619</v>
      </c>
      <c r="AV641" s="35">
        <f>'1kpi_performance'!L641</f>
        <v>3.245982695</v>
      </c>
      <c r="AW641" s="35">
        <f>'1kpi_performance'!M641</f>
        <v>0.852399925</v>
      </c>
      <c r="AX641" s="42">
        <f>'1kpi_performance'!N641</f>
        <v>0.07805109841</v>
      </c>
      <c r="AY641" s="42">
        <f>'1kpi_performance'!O641</f>
        <v>0.05923707309</v>
      </c>
      <c r="AZ641" s="42">
        <f>'1kpi_performance'!P641</f>
        <v>0.1115541975</v>
      </c>
      <c r="BA641" s="42">
        <f>'1kpi_performance'!Q641</f>
        <v>0.3430142802</v>
      </c>
      <c r="BB641" s="35">
        <f>'1kpi_performance'!R641</f>
        <v>5.513712454</v>
      </c>
      <c r="BC641" s="35">
        <f>'1kpi_performance'!S641</f>
        <v>8.227029584</v>
      </c>
      <c r="BD641" s="35">
        <f>'1kpi_performance'!T641</f>
        <v>7.051663503</v>
      </c>
      <c r="BE641" s="35">
        <f>'1kpi_performance'!U641</f>
        <v>1.554405933</v>
      </c>
      <c r="BF641" s="47"/>
      <c r="BG641" s="47"/>
      <c r="BH641" s="47"/>
      <c r="BI641" s="47"/>
      <c r="BJ641" s="47"/>
      <c r="BK641" s="47"/>
      <c r="BL641" s="47"/>
      <c r="BM641" s="47"/>
      <c r="BN641" s="47"/>
      <c r="BO641" s="47"/>
      <c r="BP641" s="47"/>
      <c r="BQ641" s="47"/>
      <c r="BR641" s="47"/>
      <c r="BS641" s="47"/>
      <c r="BT641" s="47"/>
    </row>
    <row r="642" ht="11.25" customHeight="1">
      <c r="A642" s="35" t="str">
        <f>'13all_company_profile'!A642</f>
        <v>VRM</v>
      </c>
      <c r="B642" s="35" t="str">
        <f>'13all_company_profile'!B642</f>
        <v>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v>
      </c>
      <c r="C642" s="44" t="str">
        <f>'13all_company_profile'!C642</f>
        <v>https://financialmodelingprep.com/image-stock/VRM.png</v>
      </c>
      <c r="D642" s="35" t="str">
        <f>'13all_company_profile'!D642</f>
        <v>Vroom, Inc.</v>
      </c>
      <c r="E642" s="36">
        <f>'13all_company_profile'!E642</f>
        <v>5254920192</v>
      </c>
      <c r="F642" s="37">
        <f>'13all_company_profile'!F642</f>
        <v>2207022</v>
      </c>
      <c r="G642" s="35">
        <f>'13all_company_profile'!G642</f>
        <v>0</v>
      </c>
      <c r="H642" s="38" t="str">
        <f>'13all_company_profile'!H642</f>
        <v>not avaiable</v>
      </c>
      <c r="I642" s="35" t="str">
        <f>'13all_company_profile'!I642</f>
        <v>NaN</v>
      </c>
      <c r="J642" s="35">
        <f>'13all_company_profile'!J642</f>
        <v>-2.273</v>
      </c>
      <c r="K642" s="42" t="str">
        <f t="shared" si="1"/>
        <v>NaN</v>
      </c>
      <c r="L642" s="35">
        <f>'7company_info'!B642</f>
        <v>39</v>
      </c>
      <c r="M642" s="35">
        <f>'7company_info'!C642</f>
        <v>39.28</v>
      </c>
      <c r="N642" s="35">
        <f>'7company_info'!D642</f>
        <v>36.94</v>
      </c>
      <c r="O642" s="35">
        <f>'7company_info'!E642</f>
        <v>1.61</v>
      </c>
      <c r="P642" s="35">
        <f>'7company_info'!F642</f>
        <v>0.0431</v>
      </c>
      <c r="Q642" s="35">
        <f>'7company_info'!G642</f>
        <v>37.44</v>
      </c>
      <c r="R642" s="35">
        <f>'7company_info'!H642</f>
        <v>37.39</v>
      </c>
      <c r="S642" s="35">
        <f>'7company_info'!I642</f>
        <v>26.96</v>
      </c>
      <c r="T642" s="35">
        <f>'7company_info'!J642</f>
        <v>75.49</v>
      </c>
      <c r="U642" s="39">
        <v>40.6807</v>
      </c>
      <c r="V642" s="39">
        <v>41.4193</v>
      </c>
      <c r="W642" s="40">
        <v>42.6986</v>
      </c>
      <c r="X642" s="40">
        <v>44.7165</v>
      </c>
      <c r="Y642" s="40">
        <v>39.4014</v>
      </c>
      <c r="Z642" s="40">
        <v>38.6628</v>
      </c>
      <c r="AA642" s="40">
        <v>36.6449</v>
      </c>
      <c r="AB642" s="40">
        <v>40.52</v>
      </c>
      <c r="AC642" s="40">
        <v>43.35</v>
      </c>
      <c r="AD642" s="40">
        <v>41.7500964048967</v>
      </c>
      <c r="AE642" s="40">
        <v>37.58524</v>
      </c>
      <c r="AF642" s="40">
        <v>1.74877499999999</v>
      </c>
      <c r="AG642" s="40">
        <v>53.3294</v>
      </c>
      <c r="AH642" s="45">
        <v>44243.0</v>
      </c>
      <c r="AI642" s="44" t="str">
        <f>'6image_RS_benchmark_performance'!B642</f>
        <v>https://3arbzfbsh-cname-us.ngrok.io/Desktop/seabridge%20fintech/image_app/VRM_resistance_support.jpg</v>
      </c>
      <c r="AJ642" s="44" t="str">
        <f>'6image_RS_benchmark_performance'!C642</f>
        <v>https://3arbzfbsh-cname-us.ngrok.io/Desktop/seabridge%20fintech/profit_graph_app/VRM_Return.jpg</v>
      </c>
      <c r="AK642" s="46" t="str">
        <f>'5price_action_icon'!B642</f>
        <v>https://3arbzfbsh-cname-us.ngrok.io/Desktop/seabridge%20fintech/icon/VRM_pa_trend_signal</v>
      </c>
      <c r="AL642" s="42">
        <f>'1kpi_performance'!B642</f>
        <v>1.557240094</v>
      </c>
      <c r="AM642" s="42">
        <f>'1kpi_performance'!C642</f>
        <v>2.550959281</v>
      </c>
      <c r="AN642" s="42">
        <f>'1kpi_performance'!D642</f>
        <v>1.096669643</v>
      </c>
      <c r="AO642" s="42">
        <f>'1kpi_performance'!E642</f>
        <v>-0.2058899724</v>
      </c>
      <c r="AP642" s="42">
        <f>'1kpi_performance'!F642</f>
        <v>0.5813194777</v>
      </c>
      <c r="AQ642" s="42">
        <f>'1kpi_performance'!G642</f>
        <v>0.498162824</v>
      </c>
      <c r="AR642" s="42">
        <f>'1kpi_performance'!H642</f>
        <v>0.6855851658</v>
      </c>
      <c r="AS642" s="42">
        <f>'1kpi_performance'!I642</f>
        <v>0.8686256976</v>
      </c>
      <c r="AT642" s="35">
        <f>'1kpi_performance'!J642</f>
        <v>2.635796929</v>
      </c>
      <c r="AU642" s="35">
        <f>'1kpi_performance'!K642</f>
        <v>5.070549547</v>
      </c>
      <c r="AV642" s="35">
        <f>'1kpi_performance'!L642</f>
        <v>1.563145903</v>
      </c>
      <c r="AW642" s="35">
        <f>'1kpi_performance'!M642</f>
        <v>-0.2658106628</v>
      </c>
      <c r="AX642" s="42">
        <f>'1kpi_performance'!N642</f>
        <v>0.2346193952</v>
      </c>
      <c r="AY642" s="42">
        <f>'1kpi_performance'!O642</f>
        <v>0.1578315663</v>
      </c>
      <c r="AZ642" s="42">
        <f>'1kpi_performance'!P642</f>
        <v>0.3714100527</v>
      </c>
      <c r="BA642" s="42">
        <f>'1kpi_performance'!Q642</f>
        <v>0.5720860972</v>
      </c>
      <c r="BB642" s="35">
        <f>'1kpi_performance'!R642</f>
        <v>5.267426829</v>
      </c>
      <c r="BC642" s="35">
        <f>'1kpi_performance'!S642</f>
        <v>12.33624877</v>
      </c>
      <c r="BD642" s="35">
        <f>'1kpi_performance'!T642</f>
        <v>2.590310993</v>
      </c>
      <c r="BE642" s="35">
        <f>'1kpi_performance'!U642</f>
        <v>-0.4744793861</v>
      </c>
      <c r="BF642" s="47"/>
      <c r="BG642" s="47"/>
      <c r="BH642" s="47"/>
      <c r="BI642" s="47"/>
      <c r="BJ642" s="47"/>
      <c r="BK642" s="47"/>
      <c r="BL642" s="47"/>
      <c r="BM642" s="47"/>
      <c r="BN642" s="47"/>
      <c r="BO642" s="47"/>
      <c r="BP642" s="47"/>
      <c r="BQ642" s="47"/>
      <c r="BR642" s="47"/>
      <c r="BS642" s="47"/>
      <c r="BT642" s="47"/>
    </row>
    <row r="643" ht="11.25" customHeight="1">
      <c r="A643" s="35" t="str">
        <f>'13all_company_profile'!A643</f>
        <v>VRSK</v>
      </c>
      <c r="B643" s="35" t="str">
        <f>'13all_company_profile'!B643</f>
        <v>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v>
      </c>
      <c r="C643" s="44" t="str">
        <f>'13all_company_profile'!C643</f>
        <v>https://financialmodelingprep.com/image-stock/VRSK.png</v>
      </c>
      <c r="D643" s="35" t="str">
        <f>'13all_company_profile'!D643</f>
        <v>Verisk Analytics, Inc.</v>
      </c>
      <c r="E643" s="36">
        <f>'13all_company_profile'!E643</f>
        <v>29947934720</v>
      </c>
      <c r="F643" s="37">
        <f>'13all_company_profile'!F643</f>
        <v>848826</v>
      </c>
      <c r="G643" s="35">
        <f>'13all_company_profile'!G643</f>
        <v>1.12</v>
      </c>
      <c r="H643" s="38">
        <f>'13all_company_profile'!H643</f>
        <v>44410</v>
      </c>
      <c r="I643" s="35">
        <f>'13all_company_profile'!I643</f>
        <v>43.588367</v>
      </c>
      <c r="J643" s="35">
        <f>'13all_company_profile'!J643</f>
        <v>4.3</v>
      </c>
      <c r="K643" s="42">
        <f t="shared" si="1"/>
        <v>0.005975564211</v>
      </c>
      <c r="L643" s="35">
        <f>'7company_info'!B643</f>
        <v>187.43</v>
      </c>
      <c r="M643" s="35">
        <f>'7company_info'!C643</f>
        <v>188.74</v>
      </c>
      <c r="N643" s="35">
        <f>'7company_info'!D643</f>
        <v>184.44</v>
      </c>
      <c r="O643" s="35">
        <f>'7company_info'!E643</f>
        <v>3.12</v>
      </c>
      <c r="P643" s="35">
        <f>'7company_info'!F643</f>
        <v>0.0169</v>
      </c>
      <c r="Q643" s="35">
        <f>'7company_info'!G643</f>
        <v>184.82</v>
      </c>
      <c r="R643" s="35">
        <f>'7company_info'!H643</f>
        <v>184.31</v>
      </c>
      <c r="S643" s="35">
        <f>'7company_info'!I643</f>
        <v>159.79</v>
      </c>
      <c r="T643" s="35">
        <f>'7company_info'!J643</f>
        <v>210.66</v>
      </c>
      <c r="U643" s="39">
        <v>181.46</v>
      </c>
      <c r="V643" s="39">
        <v>183.64</v>
      </c>
      <c r="W643" s="40">
        <v>184.95</v>
      </c>
      <c r="X643" s="40">
        <v>188.44</v>
      </c>
      <c r="Y643" s="40">
        <v>180.15</v>
      </c>
      <c r="Z643" s="40">
        <v>177.97</v>
      </c>
      <c r="AA643" s="40">
        <v>174.48</v>
      </c>
      <c r="AB643" s="40">
        <v>171.51</v>
      </c>
      <c r="AC643" s="40">
        <v>175.825</v>
      </c>
      <c r="AD643" s="40">
        <v>177.454158011483</v>
      </c>
      <c r="AE643" s="40">
        <v>175.66051</v>
      </c>
      <c r="AF643" s="40">
        <v>2.833245</v>
      </c>
      <c r="AG643" s="40">
        <v>196.1591</v>
      </c>
      <c r="AH643" s="45">
        <v>44217.0</v>
      </c>
      <c r="AI643" s="44" t="str">
        <f>'6image_RS_benchmark_performance'!B643</f>
        <v>https://3arbzfbsh-cname-us.ngrok.io/Desktop/seabridge%20fintech/image_app/VRSK_resistance_support.jpg</v>
      </c>
      <c r="AJ643" s="44" t="str">
        <f>'6image_RS_benchmark_performance'!C643</f>
        <v>https://3arbzfbsh-cname-us.ngrok.io/Desktop/seabridge%20fintech/profit_graph_app/VRSK_Return.jpg</v>
      </c>
      <c r="AK643" s="46" t="str">
        <f>'5price_action_icon'!B643</f>
        <v>https://3arbzfbsh-cname-us.ngrok.io/Desktop/seabridge%20fintech/icon/VRSK_pa_trend_signal</v>
      </c>
      <c r="AL643" s="42">
        <f>'1kpi_performance'!B643</f>
        <v>0.4967884977</v>
      </c>
      <c r="AM643" s="42">
        <f>'1kpi_performance'!C643</f>
        <v>0.5673482037</v>
      </c>
      <c r="AN643" s="42">
        <f>'1kpi_performance'!D643</f>
        <v>0.3799205173</v>
      </c>
      <c r="AO643" s="42">
        <f>'1kpi_performance'!E643</f>
        <v>0.2627529604</v>
      </c>
      <c r="AP643" s="42">
        <f>'1kpi_performance'!F643</f>
        <v>0.1645119548</v>
      </c>
      <c r="AQ643" s="42">
        <f>'1kpi_performance'!G643</f>
        <v>0.181015421</v>
      </c>
      <c r="AR643" s="42">
        <f>'1kpi_performance'!H643</f>
        <v>0.1939688847</v>
      </c>
      <c r="AS643" s="42">
        <f>'1kpi_performance'!I643</f>
        <v>0.2616396331</v>
      </c>
      <c r="AT643" s="35">
        <f>'1kpi_performance'!J643</f>
        <v>2.867806769</v>
      </c>
      <c r="AU643" s="35">
        <f>'1kpi_performance'!K643</f>
        <v>2.996143647</v>
      </c>
      <c r="AV643" s="35">
        <f>'1kpi_performance'!L643</f>
        <v>1.829780678</v>
      </c>
      <c r="AW643" s="35">
        <f>'1kpi_performance'!M643</f>
        <v>0.9087039207</v>
      </c>
      <c r="AX643" s="42">
        <f>'1kpi_performance'!N643</f>
        <v>0.0894527983</v>
      </c>
      <c r="AY643" s="42">
        <f>'1kpi_performance'!O643</f>
        <v>0.07655378713</v>
      </c>
      <c r="AZ643" s="42">
        <f>'1kpi_performance'!P643</f>
        <v>0.2941237762</v>
      </c>
      <c r="BA643" s="42">
        <f>'1kpi_performance'!Q643</f>
        <v>0.2936581954</v>
      </c>
      <c r="BB643" s="35">
        <f>'1kpi_performance'!R643</f>
        <v>6.825804031</v>
      </c>
      <c r="BC643" s="35">
        <f>'1kpi_performance'!S643</f>
        <v>7.068501131</v>
      </c>
      <c r="BD643" s="35">
        <f>'1kpi_performance'!T643</f>
        <v>3.659512032</v>
      </c>
      <c r="BE643" s="35">
        <f>'1kpi_performance'!U643</f>
        <v>1.766445003</v>
      </c>
      <c r="BF643" s="47"/>
      <c r="BG643" s="47"/>
      <c r="BH643" s="47"/>
      <c r="BI643" s="47"/>
      <c r="BJ643" s="47"/>
      <c r="BK643" s="47"/>
      <c r="BL643" s="47"/>
      <c r="BM643" s="47"/>
      <c r="BN643" s="47"/>
      <c r="BO643" s="47"/>
      <c r="BP643" s="47"/>
      <c r="BQ643" s="47"/>
      <c r="BR643" s="47"/>
      <c r="BS643" s="47"/>
      <c r="BT643" s="47"/>
    </row>
    <row r="644" ht="11.25" customHeight="1">
      <c r="A644" s="35" t="str">
        <f>'13all_company_profile'!A644</f>
        <v>VRSN</v>
      </c>
      <c r="B644" s="35" t="str">
        <f>'13all_company_profile'!B644</f>
        <v>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v>
      </c>
      <c r="C644" s="44" t="str">
        <f>'13all_company_profile'!C644</f>
        <v>https://financialmodelingprep.com/image-stock/VRSN.png</v>
      </c>
      <c r="D644" s="35" t="str">
        <f>'13all_company_profile'!D644</f>
        <v>VeriSign, Inc.</v>
      </c>
      <c r="E644" s="36">
        <f>'13all_company_profile'!E644</f>
        <v>25813401600</v>
      </c>
      <c r="F644" s="37">
        <f>'13all_company_profile'!F644</f>
        <v>532133</v>
      </c>
      <c r="G644" s="35">
        <f>'13all_company_profile'!G644</f>
        <v>0</v>
      </c>
      <c r="H644" s="38">
        <f>'13all_company_profile'!H644</f>
        <v>44399</v>
      </c>
      <c r="I644" s="35">
        <f>'13all_company_profile'!I644</f>
        <v>41.69656</v>
      </c>
      <c r="J644" s="35">
        <f>'13all_company_profile'!J644</f>
        <v>5.523</v>
      </c>
      <c r="K644" s="42" t="str">
        <f t="shared" si="1"/>
        <v>NaN</v>
      </c>
      <c r="L644" s="35">
        <f>'7company_info'!B644</f>
        <v>229.43</v>
      </c>
      <c r="M644" s="35">
        <f>'7company_info'!C644</f>
        <v>230.56</v>
      </c>
      <c r="N644" s="35">
        <f>'7company_info'!D644</f>
        <v>227.84</v>
      </c>
      <c r="O644" s="35">
        <f>'7company_info'!E644</f>
        <v>0.88</v>
      </c>
      <c r="P644" s="35">
        <f>'7company_info'!F644</f>
        <v>0.0039</v>
      </c>
      <c r="Q644" s="35">
        <f>'7company_info'!G644</f>
        <v>228.69</v>
      </c>
      <c r="R644" s="35">
        <f>'7company_info'!H644</f>
        <v>228.55</v>
      </c>
      <c r="S644" s="35">
        <f>'7company_info'!I644</f>
        <v>184.6</v>
      </c>
      <c r="T644" s="35">
        <f>'7company_info'!J644</f>
        <v>234.56</v>
      </c>
      <c r="U644" s="39">
        <v>230.113333333333</v>
      </c>
      <c r="V644" s="39">
        <v>231.406666666666</v>
      </c>
      <c r="W644" s="40">
        <v>232.173333333333</v>
      </c>
      <c r="X644" s="40">
        <v>234.233333333333</v>
      </c>
      <c r="Y644" s="40">
        <v>229.346666666666</v>
      </c>
      <c r="Z644" s="40">
        <v>228.053333333333</v>
      </c>
      <c r="AA644" s="40">
        <v>225.993333333333</v>
      </c>
      <c r="AB644" s="40">
        <v>226.04</v>
      </c>
      <c r="AC644" s="40">
        <v>234.56</v>
      </c>
      <c r="AD644" s="40">
        <v>227.999144154657</v>
      </c>
      <c r="AE644" s="40">
        <v>221.19173</v>
      </c>
      <c r="AF644" s="40">
        <v>3.630135</v>
      </c>
      <c r="AG644" s="40">
        <v>226.18</v>
      </c>
      <c r="AH644" s="45">
        <v>44341.0</v>
      </c>
      <c r="AI644" s="44" t="str">
        <f>'6image_RS_benchmark_performance'!B644</f>
        <v>https://3arbzfbsh-cname-us.ngrok.io/Desktop/seabridge%20fintech/image_app/VRSN_resistance_support.jpg</v>
      </c>
      <c r="AJ644" s="44" t="str">
        <f>'6image_RS_benchmark_performance'!C644</f>
        <v>https://3arbzfbsh-cname-us.ngrok.io/Desktop/seabridge%20fintech/profit_graph_app/VRSN_Return.jpg</v>
      </c>
      <c r="AK644" s="46" t="str">
        <f>'5price_action_icon'!B644</f>
        <v>https://3arbzfbsh-cname-us.ngrok.io/Desktop/seabridge%20fintech/icon/VRSN_pa_trend_signal</v>
      </c>
      <c r="AL644" s="42">
        <f>'1kpi_performance'!B644</f>
        <v>0.5922273175</v>
      </c>
      <c r="AM644" s="42">
        <f>'1kpi_performance'!C644</f>
        <v>0.8103812599</v>
      </c>
      <c r="AN644" s="42">
        <f>'1kpi_performance'!D644</f>
        <v>0.5103276841</v>
      </c>
      <c r="AO644" s="42">
        <f>'1kpi_performance'!E644</f>
        <v>0.3255317605</v>
      </c>
      <c r="AP644" s="42">
        <f>'1kpi_performance'!F644</f>
        <v>0.2112216347</v>
      </c>
      <c r="AQ644" s="42">
        <f>'1kpi_performance'!G644</f>
        <v>0.2114035897</v>
      </c>
      <c r="AR644" s="42">
        <f>'1kpi_performance'!H644</f>
        <v>0.23799659</v>
      </c>
      <c r="AS644" s="42">
        <f>'1kpi_performance'!I644</f>
        <v>0.3163929963</v>
      </c>
      <c r="AT644" s="35">
        <f>'1kpi_performance'!J644</f>
        <v>2.685460315</v>
      </c>
      <c r="AU644" s="35">
        <f>'1kpi_performance'!K644</f>
        <v>3.715080056</v>
      </c>
      <c r="AV644" s="35">
        <f>'1kpi_performance'!L644</f>
        <v>2.039221167</v>
      </c>
      <c r="AW644" s="35">
        <f>'1kpi_performance'!M644</f>
        <v>0.9498685624</v>
      </c>
      <c r="AX644" s="42">
        <f>'1kpi_performance'!N644</f>
        <v>0.1585507246</v>
      </c>
      <c r="AY644" s="42">
        <f>'1kpi_performance'!O644</f>
        <v>0.08447754247</v>
      </c>
      <c r="AZ644" s="42">
        <f>'1kpi_performance'!P644</f>
        <v>0.2862810779</v>
      </c>
      <c r="BA644" s="42">
        <f>'1kpi_performance'!Q644</f>
        <v>0.3160966341</v>
      </c>
      <c r="BB644" s="35">
        <f>'1kpi_performance'!R644</f>
        <v>5.934453916</v>
      </c>
      <c r="BC644" s="35">
        <f>'1kpi_performance'!S644</f>
        <v>9.426863693</v>
      </c>
      <c r="BD644" s="35">
        <f>'1kpi_performance'!T644</f>
        <v>4.214358366</v>
      </c>
      <c r="BE644" s="35">
        <f>'1kpi_performance'!U644</f>
        <v>1.857158413</v>
      </c>
      <c r="BF644" s="47"/>
      <c r="BG644" s="47"/>
      <c r="BH644" s="47"/>
      <c r="BI644" s="47"/>
      <c r="BJ644" s="47"/>
      <c r="BK644" s="47"/>
      <c r="BL644" s="47"/>
      <c r="BM644" s="47"/>
      <c r="BN644" s="47"/>
      <c r="BO644" s="47"/>
      <c r="BP644" s="47"/>
      <c r="BQ644" s="47"/>
      <c r="BR644" s="47"/>
      <c r="BS644" s="47"/>
      <c r="BT644" s="47"/>
    </row>
    <row r="645" ht="11.25" customHeight="1">
      <c r="A645" s="35" t="str">
        <f>'13all_company_profile'!A645</f>
        <v>VRT</v>
      </c>
      <c r="B645" s="35" t="str">
        <f>'13all_company_profile'!B645</f>
        <v>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v>
      </c>
      <c r="C645" s="44" t="str">
        <f>'13all_company_profile'!C645</f>
        <v>https://financialmodelingprep.com/image-stock/VRT.jpg</v>
      </c>
      <c r="D645" s="35" t="str">
        <f>'13all_company_profile'!D645</f>
        <v>Vertiv Holdings Co</v>
      </c>
      <c r="E645" s="36">
        <f>'13all_company_profile'!E645</f>
        <v>9329964032</v>
      </c>
      <c r="F645" s="37">
        <f>'13all_company_profile'!F645</f>
        <v>2670582</v>
      </c>
      <c r="G645" s="35">
        <f>'13all_company_profile'!G645</f>
        <v>0.01</v>
      </c>
      <c r="H645" s="38">
        <f>'13all_company_profile'!H645</f>
        <v>44411</v>
      </c>
      <c r="I645" s="35" t="str">
        <f>'13all_company_profile'!I645</f>
        <v>NaN</v>
      </c>
      <c r="J645" s="35">
        <f>'13all_company_profile'!J645</f>
        <v>-0.261</v>
      </c>
      <c r="K645" s="42">
        <f t="shared" si="1"/>
        <v>0.0003681885125</v>
      </c>
      <c r="L645" s="35">
        <f>'7company_info'!B645</f>
        <v>27.16</v>
      </c>
      <c r="M645" s="35">
        <f>'7company_info'!C645</f>
        <v>27.38</v>
      </c>
      <c r="N645" s="35">
        <f>'7company_info'!D645</f>
        <v>26.7</v>
      </c>
      <c r="O645" s="35">
        <f>'7company_info'!E645</f>
        <v>0.53</v>
      </c>
      <c r="P645" s="35">
        <f>'7company_info'!F645</f>
        <v>0.0199</v>
      </c>
      <c r="Q645" s="35">
        <f>'7company_info'!G645</f>
        <v>26.7</v>
      </c>
      <c r="R645" s="35">
        <f>'7company_info'!H645</f>
        <v>26.63</v>
      </c>
      <c r="S645" s="35">
        <f>'7company_info'!I645</f>
        <v>13.21</v>
      </c>
      <c r="T645" s="35">
        <f>'7company_info'!J645</f>
        <v>27.81</v>
      </c>
      <c r="U645" s="39">
        <v>26.8766666666666</v>
      </c>
      <c r="V645" s="39">
        <v>27.3133333333333</v>
      </c>
      <c r="W645" s="40">
        <v>27.9666666666666</v>
      </c>
      <c r="X645" s="40">
        <v>29.0566666666666</v>
      </c>
      <c r="Y645" s="40">
        <v>26.2233333333333</v>
      </c>
      <c r="Z645" s="40">
        <v>25.7866666666666</v>
      </c>
      <c r="AA645" s="40">
        <v>24.6966666666666</v>
      </c>
      <c r="AB645" s="40">
        <v>26.74</v>
      </c>
      <c r="AC645" s="40">
        <v>27.81</v>
      </c>
      <c r="AD645" s="40">
        <v>26.7950477168865</v>
      </c>
      <c r="AE645" s="40">
        <v>26.1063</v>
      </c>
      <c r="AF645" s="40">
        <v>0.611849999999999</v>
      </c>
      <c r="AG645" s="40">
        <v>27.81</v>
      </c>
      <c r="AH645" s="45">
        <v>44384.0</v>
      </c>
      <c r="AI645" s="44" t="str">
        <f>'6image_RS_benchmark_performance'!B645</f>
        <v>https://3arbzfbsh-cname-us.ngrok.io/Desktop/seabridge%20fintech/image_app/VRT_resistance_support.jpg</v>
      </c>
      <c r="AJ645" s="44" t="str">
        <f>'6image_RS_benchmark_performance'!C645</f>
        <v>https://3arbzfbsh-cname-us.ngrok.io/Desktop/seabridge%20fintech/profit_graph_app/VRT_Return.jpg</v>
      </c>
      <c r="AK645" s="46" t="str">
        <f>'5price_action_icon'!B645</f>
        <v>https://3arbzfbsh-cname-us.ngrok.io/Desktop/seabridge%20fintech/icon/VRT_pa_trend_signal</v>
      </c>
      <c r="AL645" s="42">
        <f>'1kpi_performance'!B645</f>
        <v>0.9733347006</v>
      </c>
      <c r="AM645" s="42">
        <f>'1kpi_performance'!C645</f>
        <v>0.979521783</v>
      </c>
      <c r="AN645" s="42">
        <f>'1kpi_performance'!D645</f>
        <v>0.6845478002</v>
      </c>
      <c r="AO645" s="42">
        <f>'1kpi_performance'!E645</f>
        <v>0.6417794383</v>
      </c>
      <c r="AP645" s="42">
        <f>'1kpi_performance'!F645</f>
        <v>0.2796293219</v>
      </c>
      <c r="AQ645" s="42">
        <f>'1kpi_performance'!G645</f>
        <v>0.3034593752</v>
      </c>
      <c r="AR645" s="42">
        <f>'1kpi_performance'!H645</f>
        <v>0.2583011559</v>
      </c>
      <c r="AS645" s="42">
        <f>'1kpi_performance'!I645</f>
        <v>0.466886537</v>
      </c>
      <c r="AT645" s="35">
        <f>'1kpi_performance'!J645</f>
        <v>3.391399351</v>
      </c>
      <c r="AU645" s="35">
        <f>'1kpi_performance'!K645</f>
        <v>3.145468096</v>
      </c>
      <c r="AV645" s="35">
        <f>'1kpi_performance'!L645</f>
        <v>2.553406306</v>
      </c>
      <c r="AW645" s="35">
        <f>'1kpi_performance'!M645</f>
        <v>1.321047812</v>
      </c>
      <c r="AX645" s="42">
        <f>'1kpi_performance'!N645</f>
        <v>0.1143497758</v>
      </c>
      <c r="AY645" s="42">
        <f>'1kpi_performance'!O645</f>
        <v>0.1143497758</v>
      </c>
      <c r="AZ645" s="42">
        <f>'1kpi_performance'!P645</f>
        <v>0.1143497758</v>
      </c>
      <c r="BA645" s="42">
        <f>'1kpi_performance'!Q645</f>
        <v>0.5861812779</v>
      </c>
      <c r="BB645" s="35">
        <f>'1kpi_performance'!R645</f>
        <v>8.039328573</v>
      </c>
      <c r="BC645" s="35">
        <f>'1kpi_performance'!S645</f>
        <v>7.323667526</v>
      </c>
      <c r="BD645" s="35">
        <f>'1kpi_performance'!T645</f>
        <v>6.219366843</v>
      </c>
      <c r="BE645" s="35">
        <f>'1kpi_performance'!U645</f>
        <v>2.466346965</v>
      </c>
      <c r="BF645" s="47"/>
      <c r="BG645" s="47"/>
      <c r="BH645" s="47"/>
      <c r="BI645" s="47"/>
      <c r="BJ645" s="47"/>
      <c r="BK645" s="47"/>
      <c r="BL645" s="47"/>
      <c r="BM645" s="47"/>
      <c r="BN645" s="47"/>
      <c r="BO645" s="47"/>
      <c r="BP645" s="47"/>
      <c r="BQ645" s="47"/>
      <c r="BR645" s="47"/>
      <c r="BS645" s="47"/>
      <c r="BT645" s="47"/>
    </row>
    <row r="646" ht="11.25" customHeight="1">
      <c r="A646" s="35" t="str">
        <f>'13all_company_profile'!A646</f>
        <v>VRTX</v>
      </c>
      <c r="B646" s="35" t="str">
        <f>'13all_company_profile'!B646</f>
        <v>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v>
      </c>
      <c r="C646" s="44" t="str">
        <f>'13all_company_profile'!C646</f>
        <v>https://financialmodelingprep.com/image-stock/VRTX.png</v>
      </c>
      <c r="D646" s="35" t="str">
        <f>'13all_company_profile'!D646</f>
        <v>Vertex Pharmaceuticals Incorporated</v>
      </c>
      <c r="E646" s="36">
        <f>'13all_company_profile'!E646</f>
        <v>51796496384</v>
      </c>
      <c r="F646" s="37">
        <f>'13all_company_profile'!F646</f>
        <v>2104306</v>
      </c>
      <c r="G646" s="35">
        <f>'13all_company_profile'!G646</f>
        <v>0</v>
      </c>
      <c r="H646" s="38">
        <f>'13all_company_profile'!H646</f>
        <v>44405</v>
      </c>
      <c r="I646" s="35">
        <f>'13all_company_profile'!I646</f>
        <v>19.252691</v>
      </c>
      <c r="J646" s="35">
        <f>'13all_company_profile'!J646</f>
        <v>10.491</v>
      </c>
      <c r="K646" s="42" t="str">
        <f t="shared" si="1"/>
        <v>NaN</v>
      </c>
      <c r="L646" s="35">
        <f>'7company_info'!B646</f>
        <v>196.55</v>
      </c>
      <c r="M646" s="35">
        <f>'7company_info'!C646</f>
        <v>196.99</v>
      </c>
      <c r="N646" s="35">
        <f>'7company_info'!D646</f>
        <v>193.88</v>
      </c>
      <c r="O646" s="35">
        <f>'7company_info'!E646</f>
        <v>-2.69</v>
      </c>
      <c r="P646" s="35">
        <f>'7company_info'!F646</f>
        <v>-0.0135</v>
      </c>
      <c r="Q646" s="35">
        <f>'7company_info'!G646</f>
        <v>195</v>
      </c>
      <c r="R646" s="35">
        <f>'7company_info'!H646</f>
        <v>199.24</v>
      </c>
      <c r="S646" s="35">
        <f>'7company_info'!I646</f>
        <v>185.33</v>
      </c>
      <c r="T646" s="35">
        <f>'7company_info'!J646</f>
        <v>304</v>
      </c>
      <c r="U646" s="39">
        <v>197.553333333333</v>
      </c>
      <c r="V646" s="39">
        <v>199.356666666666</v>
      </c>
      <c r="W646" s="40">
        <v>200.823333333333</v>
      </c>
      <c r="X646" s="40">
        <v>204.093333333333</v>
      </c>
      <c r="Y646" s="40">
        <v>196.086666666666</v>
      </c>
      <c r="Z646" s="40">
        <v>194.283333333333</v>
      </c>
      <c r="AA646" s="40">
        <v>191.013333333333</v>
      </c>
      <c r="AB646" s="40">
        <v>185.325</v>
      </c>
      <c r="AC646" s="40">
        <v>203.24</v>
      </c>
      <c r="AD646" s="40">
        <v>198.538053709787</v>
      </c>
      <c r="AE646" s="40">
        <v>191.167</v>
      </c>
      <c r="AF646" s="40">
        <v>3.3455</v>
      </c>
      <c r="AG646" s="40">
        <v>242.99</v>
      </c>
      <c r="AH646" s="45">
        <v>44221.0</v>
      </c>
      <c r="AI646" s="44" t="str">
        <f>'6image_RS_benchmark_performance'!B646</f>
        <v>https://3arbzfbsh-cname-us.ngrok.io/Desktop/seabridge%20fintech/image_app/VRTX_resistance_support.jpg</v>
      </c>
      <c r="AJ646" s="44" t="str">
        <f>'6image_RS_benchmark_performance'!C646</f>
        <v>https://3arbzfbsh-cname-us.ngrok.io/Desktop/seabridge%20fintech/profit_graph_app/VRTX_Return.jpg</v>
      </c>
      <c r="AK646" s="46" t="str">
        <f>'5price_action_icon'!B646</f>
        <v>https://3arbzfbsh-cname-us.ngrok.io/Desktop/seabridge%20fintech/icon/VRTX_pa_trend_signal</v>
      </c>
      <c r="AL646" s="42">
        <f>'1kpi_performance'!B646</f>
        <v>1.00119631</v>
      </c>
      <c r="AM646" s="42">
        <f>'1kpi_performance'!C646</f>
        <v>1.119910545</v>
      </c>
      <c r="AN646" s="42">
        <f>'1kpi_performance'!D646</f>
        <v>1.08745473</v>
      </c>
      <c r="AO646" s="42">
        <f>'1kpi_performance'!E646</f>
        <v>0.2212047816</v>
      </c>
      <c r="AP646" s="42">
        <f>'1kpi_performance'!F646</f>
        <v>0.4482780418</v>
      </c>
      <c r="AQ646" s="42">
        <f>'1kpi_performance'!G646</f>
        <v>0.4563953324</v>
      </c>
      <c r="AR646" s="42">
        <f>'1kpi_performance'!H646</f>
        <v>0.3991046826</v>
      </c>
      <c r="AS646" s="42">
        <f>'1kpi_performance'!I646</f>
        <v>0.5648201152</v>
      </c>
      <c r="AT646" s="35">
        <f>'1kpi_performance'!J646</f>
        <v>2.177658103</v>
      </c>
      <c r="AU646" s="35">
        <f>'1kpi_performance'!K646</f>
        <v>2.399039752</v>
      </c>
      <c r="AV646" s="35">
        <f>'1kpi_performance'!L646</f>
        <v>2.662095376</v>
      </c>
      <c r="AW646" s="35">
        <f>'1kpi_performance'!M646</f>
        <v>0.3473756977</v>
      </c>
      <c r="AX646" s="42">
        <f>'1kpi_performance'!N646</f>
        <v>0.1675045461</v>
      </c>
      <c r="AY646" s="42">
        <f>'1kpi_performance'!O646</f>
        <v>0.1751639777</v>
      </c>
      <c r="AZ646" s="42">
        <f>'1kpi_performance'!P646</f>
        <v>0.2860620729</v>
      </c>
      <c r="BA646" s="42">
        <f>'1kpi_performance'!Q646</f>
        <v>0.5414583692</v>
      </c>
      <c r="BB646" s="35">
        <f>'1kpi_performance'!R646</f>
        <v>7.314321289</v>
      </c>
      <c r="BC646" s="35">
        <f>'1kpi_performance'!S646</f>
        <v>8.185371636</v>
      </c>
      <c r="BD646" s="35">
        <f>'1kpi_performance'!T646</f>
        <v>7.175395813</v>
      </c>
      <c r="BE646" s="35">
        <f>'1kpi_performance'!U646</f>
        <v>0.8558622419</v>
      </c>
      <c r="BF646" s="47"/>
      <c r="BG646" s="47"/>
      <c r="BH646" s="47"/>
      <c r="BI646" s="47"/>
      <c r="BJ646" s="47"/>
      <c r="BK646" s="47"/>
      <c r="BL646" s="47"/>
      <c r="BM646" s="47"/>
      <c r="BN646" s="47"/>
      <c r="BO646" s="47"/>
      <c r="BP646" s="47"/>
      <c r="BQ646" s="47"/>
      <c r="BR646" s="47"/>
      <c r="BS646" s="47"/>
      <c r="BT646" s="47"/>
    </row>
    <row r="647" ht="11.25" customHeight="1">
      <c r="A647" s="35" t="str">
        <f>'13all_company_profile'!A647</f>
        <v>VT</v>
      </c>
      <c r="B647" s="35" t="str">
        <f>'13all_company_profile'!B647</f>
        <v>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v>
      </c>
      <c r="C647" s="44" t="str">
        <f>'13all_company_profile'!C647</f>
        <v>https://financialmodelingprep.com/image-stock/VT.png</v>
      </c>
      <c r="D647" s="35" t="str">
        <f>'13all_company_profile'!D647</f>
        <v>Vanguard Total World Stock Index Fund ETF Shares</v>
      </c>
      <c r="E647" s="36">
        <f>'13all_company_profile'!E647</f>
        <v>12971533757</v>
      </c>
      <c r="F647" s="37">
        <f>'13all_company_profile'!F647</f>
        <v>2041220</v>
      </c>
      <c r="G647" s="35">
        <f>'13all_company_profile'!G647</f>
        <v>1.208</v>
      </c>
      <c r="H647" s="38" t="str">
        <f>'13all_company_profile'!H647</f>
        <v>not avaiable</v>
      </c>
      <c r="I647" s="35" t="str">
        <f>'13all_company_profile'!I647</f>
        <v>NaN</v>
      </c>
      <c r="J647" s="35" t="str">
        <f>'13all_company_profile'!J647</f>
        <v>NaN</v>
      </c>
      <c r="K647" s="42">
        <f t="shared" si="1"/>
        <v>0.01175783531</v>
      </c>
      <c r="L647" s="35">
        <f>'7company_info'!B647</f>
        <v>102.74</v>
      </c>
      <c r="M647" s="35">
        <f>'7company_info'!C647</f>
        <v>102.99</v>
      </c>
      <c r="N647" s="35">
        <f>'7company_info'!D647</f>
        <v>101.29</v>
      </c>
      <c r="O647" s="35">
        <f>'7company_info'!E647</f>
        <v>1.22</v>
      </c>
      <c r="P647" s="35">
        <f>'7company_info'!F647</f>
        <v>0.012</v>
      </c>
      <c r="Q647" s="35">
        <f>'7company_info'!G647</f>
        <v>101.48</v>
      </c>
      <c r="R647" s="35">
        <f>'7company_info'!H647</f>
        <v>101.52</v>
      </c>
      <c r="S647" s="35">
        <f>'7company_info'!I647</f>
        <v>77.64</v>
      </c>
      <c r="T647" s="35">
        <f>'7company_info'!J647</f>
        <v>104.83</v>
      </c>
      <c r="U647" s="39">
        <v>104.426666666666</v>
      </c>
      <c r="V647" s="39">
        <v>104.733333333333</v>
      </c>
      <c r="W647" s="40">
        <v>105.136666666666</v>
      </c>
      <c r="X647" s="40">
        <v>105.846666666666</v>
      </c>
      <c r="Y647" s="40">
        <v>104.023333333333</v>
      </c>
      <c r="Z647" s="40">
        <v>103.716666666666</v>
      </c>
      <c r="AA647" s="40">
        <v>103.006666666666</v>
      </c>
      <c r="AB647" s="40">
        <v>101.56</v>
      </c>
      <c r="AC647" s="40">
        <v>104.83</v>
      </c>
      <c r="AD647" s="40">
        <v>103.800435943812</v>
      </c>
      <c r="AE647" s="40">
        <v>102.59111</v>
      </c>
      <c r="AF647" s="40">
        <v>0.84114</v>
      </c>
      <c r="AG647" s="40">
        <v>104.51</v>
      </c>
      <c r="AH647" s="45">
        <v>44361.0</v>
      </c>
      <c r="AI647" s="44" t="str">
        <f>'6image_RS_benchmark_performance'!B647</f>
        <v>https://3arbzfbsh-cname-us.ngrok.io/Desktop/seabridge%20fintech/image_app/VT_resistance_support.jpg</v>
      </c>
      <c r="AJ647" s="44" t="str">
        <f>'6image_RS_benchmark_performance'!C647</f>
        <v>https://3arbzfbsh-cname-us.ngrok.io/Desktop/seabridge%20fintech/profit_graph_app/VT_Return.jpg</v>
      </c>
      <c r="AK647" s="46" t="str">
        <f>'5price_action_icon'!B647</f>
        <v>https://3arbzfbsh-cname-us.ngrok.io/Desktop/seabridge%20fintech/icon/VT_pa_trend_signal</v>
      </c>
      <c r="AL647" s="42">
        <f>'1kpi_performance'!B647</f>
        <v>0.3074746456</v>
      </c>
      <c r="AM647" s="42">
        <f>'1kpi_performance'!C647</f>
        <v>0.4950942896</v>
      </c>
      <c r="AN647" s="42">
        <f>'1kpi_performance'!D647</f>
        <v>0.4145116397</v>
      </c>
      <c r="AO647" s="42">
        <f>'1kpi_performance'!E647</f>
        <v>0.1172990736</v>
      </c>
      <c r="AP647" s="42">
        <f>'1kpi_performance'!F647</f>
        <v>0.1259929372</v>
      </c>
      <c r="AQ647" s="42">
        <f>'1kpi_performance'!G647</f>
        <v>0.1271896847</v>
      </c>
      <c r="AR647" s="42">
        <f>'1kpi_performance'!H647</f>
        <v>0.1207936783</v>
      </c>
      <c r="AS647" s="42">
        <f>'1kpi_performance'!I647</f>
        <v>0.2148929369</v>
      </c>
      <c r="AT647" s="35">
        <f>'1kpi_performance'!J647</f>
        <v>2.24198794</v>
      </c>
      <c r="AU647" s="35">
        <f>'1kpi_performance'!K647</f>
        <v>3.696009552</v>
      </c>
      <c r="AV647" s="35">
        <f>'1kpi_performance'!L647</f>
        <v>3.224602853</v>
      </c>
      <c r="AW647" s="35">
        <f>'1kpi_performance'!M647</f>
        <v>0.4295118996</v>
      </c>
      <c r="AX647" s="42">
        <f>'1kpi_performance'!N647</f>
        <v>0.08506052903</v>
      </c>
      <c r="AY647" s="42">
        <f>'1kpi_performance'!O647</f>
        <v>0.06056338028</v>
      </c>
      <c r="AZ647" s="42">
        <f>'1kpi_performance'!P647</f>
        <v>0.1112228891</v>
      </c>
      <c r="BA647" s="42">
        <f>'1kpi_performance'!Q647</f>
        <v>0.344956114</v>
      </c>
      <c r="BB647" s="35">
        <f>'1kpi_performance'!R647</f>
        <v>4.481010898</v>
      </c>
      <c r="BC647" s="35">
        <f>'1kpi_performance'!S647</f>
        <v>8.386199779</v>
      </c>
      <c r="BD647" s="35">
        <f>'1kpi_performance'!T647</f>
        <v>6.708732795</v>
      </c>
      <c r="BE647" s="35">
        <f>'1kpi_performance'!U647</f>
        <v>0.7777232211</v>
      </c>
      <c r="BF647" s="47"/>
      <c r="BG647" s="47"/>
      <c r="BH647" s="47"/>
      <c r="BI647" s="47"/>
      <c r="BJ647" s="47"/>
      <c r="BK647" s="47"/>
      <c r="BL647" s="47"/>
      <c r="BM647" s="47"/>
      <c r="BN647" s="47"/>
      <c r="BO647" s="47"/>
      <c r="BP647" s="47"/>
      <c r="BQ647" s="47"/>
      <c r="BR647" s="47"/>
      <c r="BS647" s="47"/>
      <c r="BT647" s="47"/>
    </row>
    <row r="648" ht="11.25" customHeight="1">
      <c r="A648" s="35" t="str">
        <f>'13all_company_profile'!A648</f>
        <v>VTI</v>
      </c>
      <c r="B648" s="35" t="str">
        <f>'13all_company_profile'!B648</f>
        <v>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v>
      </c>
      <c r="C648" s="44" t="str">
        <f>'13all_company_profile'!C648</f>
        <v>https://financialmodelingprep.com/image-stock/VTI.png</v>
      </c>
      <c r="D648" s="35" t="str">
        <f>'13all_company_profile'!D648</f>
        <v>Vanguard Total Stock Market Index Fund ETF Shares</v>
      </c>
      <c r="E648" s="36">
        <f>'13all_company_profile'!E648</f>
        <v>464824336384</v>
      </c>
      <c r="F648" s="37">
        <f>'13all_company_profile'!F648</f>
        <v>3648087</v>
      </c>
      <c r="G648" s="35">
        <f>'13all_company_profile'!G648</f>
        <v>2.128</v>
      </c>
      <c r="H648" s="38" t="str">
        <f>'13all_company_profile'!H648</f>
        <v>not avaiable</v>
      </c>
      <c r="I648" s="35">
        <f>'13all_company_profile'!I648</f>
        <v>10.562625</v>
      </c>
      <c r="J648" s="35">
        <f>'13all_company_profile'!J648</f>
        <v>21.062</v>
      </c>
      <c r="K648" s="42">
        <f t="shared" si="1"/>
        <v>0.009541745135</v>
      </c>
      <c r="L648" s="35">
        <f>'7company_info'!B648</f>
        <v>223.02</v>
      </c>
      <c r="M648" s="35">
        <f>'7company_info'!C648</f>
        <v>223.7</v>
      </c>
      <c r="N648" s="35">
        <f>'7company_info'!D648</f>
        <v>219.39</v>
      </c>
      <c r="O648" s="35">
        <f>'7company_info'!E648</f>
        <v>3.79</v>
      </c>
      <c r="P648" s="35">
        <f>'7company_info'!F648</f>
        <v>0.0173</v>
      </c>
      <c r="Q648" s="35">
        <f>'7company_info'!G648</f>
        <v>219.95</v>
      </c>
      <c r="R648" s="35">
        <f>'7company_info'!H648</f>
        <v>219.23</v>
      </c>
      <c r="S648" s="35">
        <f>'7company_info'!I648</f>
        <v>161.9</v>
      </c>
      <c r="T648" s="35">
        <f>'7company_info'!J648</f>
        <v>226.61</v>
      </c>
      <c r="U648" s="39">
        <v>225.271666666666</v>
      </c>
      <c r="V648" s="39">
        <v>226.123333333333</v>
      </c>
      <c r="W648" s="40">
        <v>227.306666666666</v>
      </c>
      <c r="X648" s="40">
        <v>229.341666666666</v>
      </c>
      <c r="Y648" s="40">
        <v>224.088333333333</v>
      </c>
      <c r="Z648" s="40">
        <v>223.236666666666</v>
      </c>
      <c r="AA648" s="40">
        <v>221.201666666666</v>
      </c>
      <c r="AB648" s="40">
        <v>221.8601</v>
      </c>
      <c r="AC648" s="40">
        <v>226.61</v>
      </c>
      <c r="AD648" s="40">
        <v>223.071422185031</v>
      </c>
      <c r="AE648" s="40">
        <v>221.67146</v>
      </c>
      <c r="AF648" s="40">
        <v>1.822995</v>
      </c>
      <c r="AG648" s="40">
        <v>221.53</v>
      </c>
      <c r="AH648" s="45">
        <v>44362.0</v>
      </c>
      <c r="AI648" s="44" t="str">
        <f>'6image_RS_benchmark_performance'!B648</f>
        <v>https://3arbzfbsh-cname-us.ngrok.io/Desktop/seabridge%20fintech/image_app/VTI_resistance_support.jpg</v>
      </c>
      <c r="AJ648" s="44" t="str">
        <f>'6image_RS_benchmark_performance'!C648</f>
        <v>https://3arbzfbsh-cname-us.ngrok.io/Desktop/seabridge%20fintech/profit_graph_app/VTI_Return.jpg</v>
      </c>
      <c r="AK648" s="46" t="str">
        <f>'5price_action_icon'!B648</f>
        <v>https://3arbzfbsh-cname-us.ngrok.io/Desktop/seabridge%20fintech/icon/VTI_pa_trend_signal</v>
      </c>
      <c r="AL648" s="42">
        <f>'1kpi_performance'!B648</f>
        <v>0.3368495752</v>
      </c>
      <c r="AM648" s="42">
        <f>'1kpi_performance'!C648</f>
        <v>0.478860438</v>
      </c>
      <c r="AN648" s="42">
        <f>'1kpi_performance'!D648</f>
        <v>0.3924695593</v>
      </c>
      <c r="AO648" s="42">
        <f>'1kpi_performance'!E648</f>
        <v>0.1874507096</v>
      </c>
      <c r="AP648" s="42">
        <f>'1kpi_performance'!F648</f>
        <v>0.1205204446</v>
      </c>
      <c r="AQ648" s="42">
        <f>'1kpi_performance'!G648</f>
        <v>0.133878612</v>
      </c>
      <c r="AR648" s="42">
        <f>'1kpi_performance'!H648</f>
        <v>0.1115452204</v>
      </c>
      <c r="AS648" s="42">
        <f>'1kpi_performance'!I648</f>
        <v>0.2095165446</v>
      </c>
      <c r="AT648" s="35">
        <f>'1kpi_performance'!J648</f>
        <v>2.587524267</v>
      </c>
      <c r="AU648" s="35">
        <f>'1kpi_performance'!K648</f>
        <v>3.39008921</v>
      </c>
      <c r="AV648" s="35">
        <f>'1kpi_performance'!L648</f>
        <v>3.294355041</v>
      </c>
      <c r="AW648" s="35">
        <f>'1kpi_performance'!M648</f>
        <v>0.7753598168</v>
      </c>
      <c r="AX648" s="42">
        <f>'1kpi_performance'!N648</f>
        <v>0.08499563361</v>
      </c>
      <c r="AY648" s="42">
        <f>'1kpi_performance'!O648</f>
        <v>0.09596858408</v>
      </c>
      <c r="AZ648" s="42">
        <f>'1kpi_performance'!P648</f>
        <v>0.1093247588</v>
      </c>
      <c r="BA648" s="42">
        <f>'1kpi_performance'!Q648</f>
        <v>0.3500029041</v>
      </c>
      <c r="BB648" s="35">
        <f>'1kpi_performance'!R648</f>
        <v>5.170575435</v>
      </c>
      <c r="BC648" s="35">
        <f>'1kpi_performance'!S648</f>
        <v>7.321646271</v>
      </c>
      <c r="BD648" s="35">
        <f>'1kpi_performance'!T648</f>
        <v>7.110381279</v>
      </c>
      <c r="BE648" s="35">
        <f>'1kpi_performance'!U648</f>
        <v>1.412605956</v>
      </c>
      <c r="BF648" s="47"/>
      <c r="BG648" s="47"/>
      <c r="BH648" s="47"/>
      <c r="BI648" s="47"/>
      <c r="BJ648" s="47"/>
      <c r="BK648" s="47"/>
      <c r="BL648" s="47"/>
      <c r="BM648" s="47"/>
      <c r="BN648" s="47"/>
      <c r="BO648" s="47"/>
      <c r="BP648" s="47"/>
      <c r="BQ648" s="47"/>
      <c r="BR648" s="47"/>
      <c r="BS648" s="47"/>
      <c r="BT648" s="47"/>
    </row>
    <row r="649" ht="11.25" customHeight="1">
      <c r="A649" s="35" t="str">
        <f>'13all_company_profile'!A649</f>
        <v>VTIP</v>
      </c>
      <c r="B649" s="35" t="str">
        <f>'13all_company_profile'!B649</f>
        <v>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v>
      </c>
      <c r="C649" s="44" t="str">
        <f>'13all_company_profile'!C649</f>
        <v>https://financialmodelingprep.com/image-stock/VTIP.png</v>
      </c>
      <c r="D649" s="35" t="str">
        <f>'13all_company_profile'!D649</f>
        <v>Vanguard Short-Term Inflation-Protected Securities Index Fund ETF Shares</v>
      </c>
      <c r="E649" s="36">
        <f>'13all_company_profile'!E649</f>
        <v>6096952141</v>
      </c>
      <c r="F649" s="37">
        <f>'13all_company_profile'!F649</f>
        <v>2292352</v>
      </c>
      <c r="G649" s="35">
        <f>'13all_company_profile'!G649</f>
        <v>1.188</v>
      </c>
      <c r="H649" s="38" t="str">
        <f>'13all_company_profile'!H649</f>
        <v>not avaiable</v>
      </c>
      <c r="I649" s="35" t="str">
        <f>'13all_company_profile'!I649</f>
        <v>NaN</v>
      </c>
      <c r="J649" s="35" t="str">
        <f>'13all_company_profile'!J649</f>
        <v>NaN</v>
      </c>
      <c r="K649" s="42">
        <f t="shared" si="1"/>
        <v>0.02275426164</v>
      </c>
      <c r="L649" s="35">
        <f>'7company_info'!B649</f>
        <v>52.21</v>
      </c>
      <c r="M649" s="35">
        <f>'7company_info'!C649</f>
        <v>52.23</v>
      </c>
      <c r="N649" s="35">
        <f>'7company_info'!D649</f>
        <v>52.18</v>
      </c>
      <c r="O649" s="35">
        <f>'7company_info'!E649</f>
        <v>0.04</v>
      </c>
      <c r="P649" s="35">
        <f>'7company_info'!F649</f>
        <v>0.0008</v>
      </c>
      <c r="Q649" s="35">
        <f>'7company_info'!G649</f>
        <v>52.19</v>
      </c>
      <c r="R649" s="35">
        <f>'7company_info'!H649</f>
        <v>52.17</v>
      </c>
      <c r="S649" s="35">
        <f>'7company_info'!I649</f>
        <v>50.38</v>
      </c>
      <c r="T649" s="35">
        <f>'7company_info'!J649</f>
        <v>52.46</v>
      </c>
      <c r="U649" s="39">
        <v>52.24</v>
      </c>
      <c r="V649" s="39">
        <v>52.27</v>
      </c>
      <c r="W649" s="40">
        <v>52.31</v>
      </c>
      <c r="X649" s="40">
        <v>52.38</v>
      </c>
      <c r="Y649" s="40">
        <v>52.2</v>
      </c>
      <c r="Z649" s="40">
        <v>52.17</v>
      </c>
      <c r="AA649" s="40">
        <v>52.1</v>
      </c>
      <c r="AB649" s="40">
        <v>52.21</v>
      </c>
      <c r="AC649" s="40">
        <v>52.33</v>
      </c>
      <c r="AD649" s="40">
        <v>52.1782233775871</v>
      </c>
      <c r="AE649" s="40">
        <v>51.97852</v>
      </c>
      <c r="AF649" s="40">
        <v>0.114989999999998</v>
      </c>
      <c r="AG649" s="40">
        <v>52.46</v>
      </c>
      <c r="AH649" s="45">
        <v>44349.0</v>
      </c>
      <c r="AI649" s="44" t="str">
        <f>'6image_RS_benchmark_performance'!B649</f>
        <v>https://3arbzfbsh-cname-us.ngrok.io/Desktop/seabridge%20fintech/image_app/VTIP_resistance_support.jpg</v>
      </c>
      <c r="AJ649" s="44" t="str">
        <f>'6image_RS_benchmark_performance'!C649</f>
        <v>https://3arbzfbsh-cname-us.ngrok.io/Desktop/seabridge%20fintech/profit_graph_app/VTIP_Return.jpg</v>
      </c>
      <c r="AK649" s="46" t="str">
        <f>'5price_action_icon'!B649</f>
        <v>https://3arbzfbsh-cname-us.ngrok.io/Desktop/seabridge%20fintech/icon/VTIP_pa_trend_signal</v>
      </c>
      <c r="AL649" s="42">
        <f>'1kpi_performance'!B649</f>
        <v>0.03680018129</v>
      </c>
      <c r="AM649" s="42">
        <f>'1kpi_performance'!C649</f>
        <v>0.04341697092</v>
      </c>
      <c r="AN649" s="42">
        <f>'1kpi_performance'!D649</f>
        <v>0.03085282237</v>
      </c>
      <c r="AO649" s="42">
        <f>'1kpi_performance'!E649</f>
        <v>0.007535587285</v>
      </c>
      <c r="AP649" s="42">
        <f>'1kpi_performance'!F649</f>
        <v>0.01559310614</v>
      </c>
      <c r="AQ649" s="42">
        <f>'1kpi_performance'!G649</f>
        <v>0.01636457096</v>
      </c>
      <c r="AR649" s="42">
        <f>'1kpi_performance'!H649</f>
        <v>0.01735177271</v>
      </c>
      <c r="AS649" s="42">
        <f>'1kpi_performance'!I649</f>
        <v>0.03094339539</v>
      </c>
      <c r="AT649" s="35">
        <f>'1kpi_performance'!J649</f>
        <v>0.7567562985</v>
      </c>
      <c r="AU649" s="35">
        <f>'1kpi_performance'!K649</f>
        <v>1.125417279</v>
      </c>
      <c r="AV649" s="35">
        <f>'1kpi_performance'!L649</f>
        <v>0.3373040018</v>
      </c>
      <c r="AW649" s="35">
        <f>'1kpi_performance'!M649</f>
        <v>-0.5643987189</v>
      </c>
      <c r="AX649" s="42">
        <f>'1kpi_performance'!N649</f>
        <v>0.0106704248</v>
      </c>
      <c r="AY649" s="42">
        <f>'1kpi_performance'!O649</f>
        <v>0.0106704248</v>
      </c>
      <c r="AZ649" s="42">
        <f>'1kpi_performance'!P649</f>
        <v>0.02872531418</v>
      </c>
      <c r="BA649" s="42">
        <f>'1kpi_performance'!Q649</f>
        <v>0.07088959492</v>
      </c>
      <c r="BB649" s="35">
        <f>'1kpi_performance'!R649</f>
        <v>1.719532804</v>
      </c>
      <c r="BC649" s="35">
        <f>'1kpi_performance'!S649</f>
        <v>2.65659959</v>
      </c>
      <c r="BD649" s="35">
        <f>'1kpi_performance'!T649</f>
        <v>0.6520117555</v>
      </c>
      <c r="BE649" s="35">
        <f>'1kpi_performance'!U649</f>
        <v>-0.9754678611</v>
      </c>
      <c r="BF649" s="47"/>
      <c r="BG649" s="47"/>
      <c r="BH649" s="47"/>
      <c r="BI649" s="47"/>
      <c r="BJ649" s="47"/>
      <c r="BK649" s="47"/>
      <c r="BL649" s="47"/>
      <c r="BM649" s="47"/>
      <c r="BN649" s="47"/>
      <c r="BO649" s="47"/>
      <c r="BP649" s="47"/>
      <c r="BQ649" s="47"/>
      <c r="BR649" s="47"/>
      <c r="BS649" s="47"/>
      <c r="BT649" s="47"/>
    </row>
    <row r="650" ht="11.25" customHeight="1">
      <c r="A650" s="35" t="str">
        <f>'13all_company_profile'!A650</f>
        <v>VTR</v>
      </c>
      <c r="B650" s="35" t="str">
        <f>'13all_company_profile'!B650</f>
        <v>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v>
      </c>
      <c r="C650" s="44" t="str">
        <f>'13all_company_profile'!C650</f>
        <v>https://financialmodelingprep.com/image-stock/VTR.png</v>
      </c>
      <c r="D650" s="35" t="str">
        <f>'13all_company_profile'!D650</f>
        <v>Ventas, Inc.</v>
      </c>
      <c r="E650" s="36">
        <f>'13all_company_profile'!E650</f>
        <v>22252994560</v>
      </c>
      <c r="F650" s="37">
        <f>'13all_company_profile'!F650</f>
        <v>2280593</v>
      </c>
      <c r="G650" s="35">
        <f>'13all_company_profile'!G650</f>
        <v>1.8</v>
      </c>
      <c r="H650" s="38">
        <f>'13all_company_profile'!H650</f>
        <v>44413</v>
      </c>
      <c r="I650" s="35" t="str">
        <f>'13all_company_profile'!I650</f>
        <v>NaN</v>
      </c>
      <c r="J650" s="35">
        <f>'13all_company_profile'!J650</f>
        <v>-0.244</v>
      </c>
      <c r="K650" s="42">
        <f t="shared" si="1"/>
        <v>0.02996005326</v>
      </c>
      <c r="L650" s="35">
        <f>'7company_info'!B650</f>
        <v>60.08</v>
      </c>
      <c r="M650" s="35">
        <f>'7company_info'!C650</f>
        <v>60.38</v>
      </c>
      <c r="N650" s="35">
        <f>'7company_info'!D650</f>
        <v>57.81</v>
      </c>
      <c r="O650" s="35">
        <f>'7company_info'!E650</f>
        <v>2.53</v>
      </c>
      <c r="P650" s="35">
        <f>'7company_info'!F650</f>
        <v>0.044</v>
      </c>
      <c r="Q650" s="35">
        <f>'7company_info'!G650</f>
        <v>57.87</v>
      </c>
      <c r="R650" s="35">
        <f>'7company_info'!H650</f>
        <v>57.55</v>
      </c>
      <c r="S650" s="35">
        <f>'7company_info'!I650</f>
        <v>33.95</v>
      </c>
      <c r="T650" s="35">
        <f>'7company_info'!J650</f>
        <v>60.38</v>
      </c>
      <c r="U650" s="39">
        <v>59.3616666666666</v>
      </c>
      <c r="V650" s="39">
        <v>60.0933333333333</v>
      </c>
      <c r="W650" s="40">
        <v>60.5166666666666</v>
      </c>
      <c r="X650" s="40">
        <v>61.6716666666666</v>
      </c>
      <c r="Y650" s="40">
        <v>58.9383333333333</v>
      </c>
      <c r="Z650" s="40">
        <v>58.2066666666666</v>
      </c>
      <c r="AA650" s="40">
        <v>57.0516666666666</v>
      </c>
      <c r="AB650" s="40">
        <v>56.43</v>
      </c>
      <c r="AC650" s="40">
        <v>59.785</v>
      </c>
      <c r="AD650" s="40">
        <v>58.0340819099385</v>
      </c>
      <c r="AE650" s="40">
        <v>56.4475</v>
      </c>
      <c r="AF650" s="40">
        <v>1.24</v>
      </c>
      <c r="AG650" s="40">
        <v>59.75</v>
      </c>
      <c r="AH650" s="45">
        <v>44362.0</v>
      </c>
      <c r="AI650" s="44" t="str">
        <f>'6image_RS_benchmark_performance'!B650</f>
        <v>https://3arbzfbsh-cname-us.ngrok.io/Desktop/seabridge%20fintech/image_app/VTR_resistance_support.jpg</v>
      </c>
      <c r="AJ650" s="44" t="str">
        <f>'6image_RS_benchmark_performance'!C650</f>
        <v>https://3arbzfbsh-cname-us.ngrok.io/Desktop/seabridge%20fintech/profit_graph_app/VTR_Return.jpg</v>
      </c>
      <c r="AK650" s="46" t="str">
        <f>'5price_action_icon'!B650</f>
        <v>https://3arbzfbsh-cname-us.ngrok.io/Desktop/seabridge%20fintech/icon/VTR_pa_trend_signal</v>
      </c>
      <c r="AL650" s="42">
        <f>'1kpi_performance'!B650</f>
        <v>0.5586825391</v>
      </c>
      <c r="AM650" s="42">
        <f>'1kpi_performance'!C650</f>
        <v>0.6511164618</v>
      </c>
      <c r="AN650" s="42">
        <f>'1kpi_performance'!D650</f>
        <v>0.6637688647</v>
      </c>
      <c r="AO650" s="42">
        <f>'1kpi_performance'!E650</f>
        <v>0.05769987318</v>
      </c>
      <c r="AP650" s="42">
        <f>'1kpi_performance'!F650</f>
        <v>0.2551144639</v>
      </c>
      <c r="AQ650" s="42">
        <f>'1kpi_performance'!G650</f>
        <v>0.2582343979</v>
      </c>
      <c r="AR650" s="42">
        <f>'1kpi_performance'!H650</f>
        <v>0.2275281724</v>
      </c>
      <c r="AS650" s="42">
        <f>'1kpi_performance'!I650</f>
        <v>0.393078282</v>
      </c>
      <c r="AT650" s="35">
        <f>'1kpi_performance'!J650</f>
        <v>2.09193368</v>
      </c>
      <c r="AU650" s="35">
        <f>'1kpi_performance'!K650</f>
        <v>2.424605191</v>
      </c>
      <c r="AV650" s="35">
        <f>'1kpi_performance'!L650</f>
        <v>2.807427573</v>
      </c>
      <c r="AW650" s="35">
        <f>'1kpi_performance'!M650</f>
        <v>0.08318921366</v>
      </c>
      <c r="AX650" s="42">
        <f>'1kpi_performance'!N650</f>
        <v>0.2589667654</v>
      </c>
      <c r="AY650" s="42">
        <f>'1kpi_performance'!O650</f>
        <v>0.2589667654</v>
      </c>
      <c r="AZ650" s="42">
        <f>'1kpi_performance'!P650</f>
        <v>0.2565468114</v>
      </c>
      <c r="BA650" s="42">
        <f>'1kpi_performance'!Q650</f>
        <v>0.7783437827</v>
      </c>
      <c r="BB650" s="35">
        <f>'1kpi_performance'!R650</f>
        <v>4.515400595</v>
      </c>
      <c r="BC650" s="35">
        <f>'1kpi_performance'!S650</f>
        <v>5.430193397</v>
      </c>
      <c r="BD650" s="35">
        <f>'1kpi_performance'!T650</f>
        <v>6.164937888</v>
      </c>
      <c r="BE650" s="35">
        <f>'1kpi_performance'!U650</f>
        <v>0.149680427</v>
      </c>
      <c r="BF650" s="47"/>
      <c r="BG650" s="47"/>
      <c r="BH650" s="47"/>
      <c r="BI650" s="47"/>
      <c r="BJ650" s="47"/>
      <c r="BK650" s="47"/>
      <c r="BL650" s="47"/>
      <c r="BM650" s="47"/>
      <c r="BN650" s="47"/>
      <c r="BO650" s="47"/>
      <c r="BP650" s="47"/>
      <c r="BQ650" s="47"/>
      <c r="BR650" s="47"/>
      <c r="BS650" s="47"/>
      <c r="BT650" s="47"/>
    </row>
    <row r="651" ht="11.25" customHeight="1">
      <c r="A651" s="35" t="str">
        <f>'13all_company_profile'!A651</f>
        <v>VTRS</v>
      </c>
      <c r="B651" s="35" t="str">
        <f>'13all_company_profile'!B651</f>
        <v>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v>
      </c>
      <c r="C651" s="44" t="str">
        <f>'13all_company_profile'!C651</f>
        <v>https://financialmodelingprep.com/image-stock/VTRS.png</v>
      </c>
      <c r="D651" s="35" t="str">
        <f>'13all_company_profile'!D651</f>
        <v>Viatris Inc.</v>
      </c>
      <c r="E651" s="36">
        <f>'13all_company_profile'!E651</f>
        <v>16776200192</v>
      </c>
      <c r="F651" s="37">
        <f>'13all_company_profile'!F651</f>
        <v>8392806</v>
      </c>
      <c r="G651" s="35">
        <f>'13all_company_profile'!G651</f>
        <v>0.11</v>
      </c>
      <c r="H651" s="38" t="str">
        <f>'13all_company_profile'!H651</f>
        <v>not avaiable</v>
      </c>
      <c r="I651" s="35" t="str">
        <f>'13all_company_profile'!I651</f>
        <v>NaN</v>
      </c>
      <c r="J651" s="35">
        <f>'13all_company_profile'!J651</f>
        <v>-2.233</v>
      </c>
      <c r="K651" s="42">
        <f t="shared" si="1"/>
        <v>0.007919366451</v>
      </c>
      <c r="L651" s="35">
        <f>'7company_info'!B651</f>
        <v>13.89</v>
      </c>
      <c r="M651" s="35">
        <f>'7company_info'!C651</f>
        <v>13.97</v>
      </c>
      <c r="N651" s="35">
        <f>'7company_info'!D651</f>
        <v>13.6</v>
      </c>
      <c r="O651" s="35">
        <f>'7company_info'!E651</f>
        <v>0.29</v>
      </c>
      <c r="P651" s="35">
        <f>'7company_info'!F651</f>
        <v>0.0213</v>
      </c>
      <c r="Q651" s="35">
        <f>'7company_info'!G651</f>
        <v>13.62</v>
      </c>
      <c r="R651" s="35">
        <f>'7company_info'!H651</f>
        <v>13.6</v>
      </c>
      <c r="S651" s="35">
        <f>'7company_info'!I651</f>
        <v>12.94</v>
      </c>
      <c r="T651" s="35">
        <f>'7company_info'!J651</f>
        <v>18.86</v>
      </c>
      <c r="U651" s="39">
        <v>14.04</v>
      </c>
      <c r="V651" s="39">
        <v>14.19</v>
      </c>
      <c r="W651" s="40">
        <v>14.31</v>
      </c>
      <c r="X651" s="40">
        <v>14.58</v>
      </c>
      <c r="Y651" s="40">
        <v>13.92</v>
      </c>
      <c r="Z651" s="40">
        <v>13.77</v>
      </c>
      <c r="AA651" s="40">
        <v>13.5</v>
      </c>
      <c r="AB651" s="40">
        <v>14.05</v>
      </c>
      <c r="AC651" s="40">
        <v>14.16</v>
      </c>
      <c r="AD651" s="40">
        <v>14.4104161397337</v>
      </c>
      <c r="AE651" s="40">
        <v>13.16726</v>
      </c>
      <c r="AF651" s="40">
        <v>0.36187</v>
      </c>
      <c r="AG651" s="40">
        <v>18.68</v>
      </c>
      <c r="AH651" s="45">
        <v>44245.0</v>
      </c>
      <c r="AI651" s="44" t="str">
        <f>'6image_RS_benchmark_performance'!B651</f>
        <v>https://3arbzfbsh-cname-us.ngrok.io/Desktop/seabridge%20fintech/image_app/VTRS_resistance_support.jpg</v>
      </c>
      <c r="AJ651" s="44" t="str">
        <f>'6image_RS_benchmark_performance'!C651</f>
        <v>https://3arbzfbsh-cname-us.ngrok.io/Desktop/seabridge%20fintech/profit_graph_app/VTRS_Return.jpg</v>
      </c>
      <c r="AK651" s="46" t="str">
        <f>'5price_action_icon'!B651</f>
        <v>https://3arbzfbsh-cname-us.ngrok.io/Desktop/seabridge%20fintech/icon/VTRS_pa_trend_signal</v>
      </c>
      <c r="AL651" s="42">
        <f>'1kpi_performance'!B651</f>
        <v>0.5619829465</v>
      </c>
      <c r="AM651" s="42">
        <f>'1kpi_performance'!C651</f>
        <v>0.7760715315</v>
      </c>
      <c r="AN651" s="42">
        <f>'1kpi_performance'!D651</f>
        <v>0.6962600663</v>
      </c>
      <c r="AO651" s="42">
        <f>'1kpi_performance'!E651</f>
        <v>-0.02984190904</v>
      </c>
      <c r="AP651" s="42">
        <f>'1kpi_performance'!F651</f>
        <v>0.2926421611</v>
      </c>
      <c r="AQ651" s="42">
        <f>'1kpi_performance'!G651</f>
        <v>0.2864502724</v>
      </c>
      <c r="AR651" s="42">
        <f>'1kpi_performance'!H651</f>
        <v>0.2736214422</v>
      </c>
      <c r="AS651" s="42">
        <f>'1kpi_performance'!I651</f>
        <v>0.4216573313</v>
      </c>
      <c r="AT651" s="35">
        <f>'1kpi_performance'!J651</f>
        <v>1.834947311</v>
      </c>
      <c r="AU651" s="35">
        <f>'1kpi_performance'!K651</f>
        <v>2.62199622</v>
      </c>
      <c r="AV651" s="35">
        <f>'1kpi_performance'!L651</f>
        <v>2.453243652</v>
      </c>
      <c r="AW651" s="35">
        <f>'1kpi_performance'!M651</f>
        <v>-0.1300627428</v>
      </c>
      <c r="AX651" s="42">
        <f>'1kpi_performance'!N651</f>
        <v>0.2533758097</v>
      </c>
      <c r="AY651" s="42">
        <f>'1kpi_performance'!O651</f>
        <v>0.1280165416</v>
      </c>
      <c r="AZ651" s="42">
        <f>'1kpi_performance'!P651</f>
        <v>0.3277763529</v>
      </c>
      <c r="BA651" s="42">
        <f>'1kpi_performance'!Q651</f>
        <v>0.8294767289</v>
      </c>
      <c r="BB651" s="35">
        <f>'1kpi_performance'!R651</f>
        <v>3.982580983</v>
      </c>
      <c r="BC651" s="35">
        <f>'1kpi_performance'!S651</f>
        <v>6.415704033</v>
      </c>
      <c r="BD651" s="35">
        <f>'1kpi_performance'!T651</f>
        <v>5.790771269</v>
      </c>
      <c r="BE651" s="35">
        <f>'1kpi_performance'!U651</f>
        <v>-0.2486109526</v>
      </c>
      <c r="BF651" s="47"/>
      <c r="BG651" s="47"/>
      <c r="BH651" s="47"/>
      <c r="BI651" s="47"/>
      <c r="BJ651" s="47"/>
      <c r="BK651" s="47"/>
      <c r="BL651" s="47"/>
      <c r="BM651" s="47"/>
      <c r="BN651" s="47"/>
      <c r="BO651" s="47"/>
      <c r="BP651" s="47"/>
      <c r="BQ651" s="47"/>
      <c r="BR651" s="47"/>
      <c r="BS651" s="47"/>
      <c r="BT651" s="47"/>
    </row>
    <row r="652" ht="11.25" customHeight="1">
      <c r="A652" s="35" t="str">
        <f>'13all_company_profile'!A652</f>
        <v>VTV</v>
      </c>
      <c r="B652" s="35" t="str">
        <f>'13all_company_profile'!B652</f>
        <v>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v>
      </c>
      <c r="C652" s="44" t="str">
        <f>'13all_company_profile'!C652</f>
        <v>https://financialmodelingprep.com/image-stock/VTV.png</v>
      </c>
      <c r="D652" s="35" t="str">
        <f>'13all_company_profile'!D652</f>
        <v>Vanguard Value Index Fund ETF Shares</v>
      </c>
      <c r="E652" s="36">
        <f>'13all_company_profile'!E652</f>
        <v>58563604480</v>
      </c>
      <c r="F652" s="37">
        <f>'13all_company_profile'!F652</f>
        <v>2836896</v>
      </c>
      <c r="G652" s="35">
        <f>'13all_company_profile'!G652</f>
        <v>2.211</v>
      </c>
      <c r="H652" s="38" t="str">
        <f>'13all_company_profile'!H652</f>
        <v>not avaiable</v>
      </c>
      <c r="I652" s="35">
        <f>'13all_company_profile'!I652</f>
        <v>69.477684</v>
      </c>
      <c r="J652" s="35">
        <f>'13all_company_profile'!J652</f>
        <v>1.972</v>
      </c>
      <c r="K652" s="42">
        <f t="shared" si="1"/>
        <v>0.0161776542</v>
      </c>
      <c r="L652" s="35">
        <f>'7company_info'!B652</f>
        <v>136.67</v>
      </c>
      <c r="M652" s="35">
        <f>'7company_info'!C652</f>
        <v>137.19</v>
      </c>
      <c r="N652" s="35">
        <f>'7company_info'!D652</f>
        <v>134.62</v>
      </c>
      <c r="O652" s="35">
        <f>'7company_info'!E652</f>
        <v>2.17</v>
      </c>
      <c r="P652" s="35">
        <f>'7company_info'!F652</f>
        <v>0.0161</v>
      </c>
      <c r="Q652" s="35">
        <f>'7company_info'!G652</f>
        <v>134.8</v>
      </c>
      <c r="R652" s="35">
        <f>'7company_info'!H652</f>
        <v>134.5</v>
      </c>
      <c r="S652" s="35">
        <f>'7company_info'!I652</f>
        <v>100.68</v>
      </c>
      <c r="T652" s="35">
        <f>'7company_info'!J652</f>
        <v>142.28</v>
      </c>
      <c r="U652" s="39">
        <v>138.100033333333</v>
      </c>
      <c r="V652" s="39">
        <v>138.769966666666</v>
      </c>
      <c r="W652" s="40">
        <v>139.519933333333</v>
      </c>
      <c r="X652" s="40">
        <v>140.939833333333</v>
      </c>
      <c r="Y652" s="40">
        <v>137.350066666666</v>
      </c>
      <c r="Z652" s="40">
        <v>136.680133333333</v>
      </c>
      <c r="AA652" s="40">
        <v>135.260233333333</v>
      </c>
      <c r="AB652" s="40">
        <v>137.4301</v>
      </c>
      <c r="AC652" s="40">
        <v>139.419</v>
      </c>
      <c r="AD652" s="40">
        <v>138.064094120631</v>
      </c>
      <c r="AE652" s="40">
        <v>135.01678</v>
      </c>
      <c r="AF652" s="40">
        <v>1.56510499999999</v>
      </c>
      <c r="AG652" s="40">
        <v>142.28</v>
      </c>
      <c r="AH652" s="45">
        <v>44326.0</v>
      </c>
      <c r="AI652" s="44" t="str">
        <f>'6image_RS_benchmark_performance'!B652</f>
        <v>https://3arbzfbsh-cname-us.ngrok.io/Desktop/seabridge%20fintech/image_app/VTV_resistance_support.jpg</v>
      </c>
      <c r="AJ652" s="44" t="str">
        <f>'6image_RS_benchmark_performance'!C652</f>
        <v>https://3arbzfbsh-cname-us.ngrok.io/Desktop/seabridge%20fintech/profit_graph_app/VTV_Return.jpg</v>
      </c>
      <c r="AK652" s="46" t="str">
        <f>'5price_action_icon'!B652</f>
        <v>https://3arbzfbsh-cname-us.ngrok.io/Desktop/seabridge%20fintech/icon/VTV_pa_trend_signal</v>
      </c>
      <c r="AL652" s="42">
        <f>'1kpi_performance'!B652</f>
        <v>0.2923115785</v>
      </c>
      <c r="AM652" s="42">
        <f>'1kpi_performance'!C652</f>
        <v>0.4389458056</v>
      </c>
      <c r="AN652" s="42">
        <f>'1kpi_performance'!D652</f>
        <v>0.3473901215</v>
      </c>
      <c r="AO652" s="42">
        <f>'1kpi_performance'!E652</f>
        <v>0.1404897108</v>
      </c>
      <c r="AP652" s="42">
        <f>'1kpi_performance'!F652</f>
        <v>0.1199580894</v>
      </c>
      <c r="AQ652" s="42">
        <f>'1kpi_performance'!G652</f>
        <v>0.1304198929</v>
      </c>
      <c r="AR652" s="42">
        <f>'1kpi_performance'!H652</f>
        <v>0.125946977</v>
      </c>
      <c r="AS652" s="42">
        <f>'1kpi_performance'!I652</f>
        <v>0.2073117917</v>
      </c>
      <c r="AT652" s="35">
        <f>'1kpi_performance'!J652</f>
        <v>2.228374758</v>
      </c>
      <c r="AU652" s="35">
        <f>'1kpi_performance'!K652</f>
        <v>3.17394683</v>
      </c>
      <c r="AV652" s="35">
        <f>'1kpi_performance'!L652</f>
        <v>2.559728936</v>
      </c>
      <c r="AW652" s="35">
        <f>'1kpi_performance'!M652</f>
        <v>0.5570822086</v>
      </c>
      <c r="AX652" s="42">
        <f>'1kpi_performance'!N652</f>
        <v>0.09912854031</v>
      </c>
      <c r="AY652" s="42">
        <f>'1kpi_performance'!O652</f>
        <v>0.1040928768</v>
      </c>
      <c r="AZ652" s="42">
        <f>'1kpi_performance'!P652</f>
        <v>0.1838116653</v>
      </c>
      <c r="BA652" s="42">
        <f>'1kpi_performance'!Q652</f>
        <v>0.3678141986</v>
      </c>
      <c r="BB652" s="35">
        <f>'1kpi_performance'!R652</f>
        <v>4.472276426</v>
      </c>
      <c r="BC652" s="35">
        <f>'1kpi_performance'!S652</f>
        <v>7.076766849</v>
      </c>
      <c r="BD652" s="35">
        <f>'1kpi_performance'!T652</f>
        <v>5.096948244</v>
      </c>
      <c r="BE652" s="35">
        <f>'1kpi_performance'!U652</f>
        <v>1.018679236</v>
      </c>
      <c r="BF652" s="47"/>
      <c r="BG652" s="47"/>
      <c r="BH652" s="47"/>
      <c r="BI652" s="47"/>
      <c r="BJ652" s="47"/>
      <c r="BK652" s="47"/>
      <c r="BL652" s="47"/>
      <c r="BM652" s="47"/>
      <c r="BN652" s="47"/>
      <c r="BO652" s="47"/>
      <c r="BP652" s="47"/>
      <c r="BQ652" s="47"/>
      <c r="BR652" s="47"/>
      <c r="BS652" s="47"/>
      <c r="BT652" s="47"/>
    </row>
    <row r="653" ht="11.25" customHeight="1">
      <c r="A653" s="35" t="str">
        <f>'13all_company_profile'!A653</f>
        <v>VWO</v>
      </c>
      <c r="B653" s="35" t="str">
        <f>'13all_company_profile'!B653</f>
        <v>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v>
      </c>
      <c r="C653" s="44" t="str">
        <f>'13all_company_profile'!C653</f>
        <v>https://financialmodelingprep.com/image-stock/VWO.png</v>
      </c>
      <c r="D653" s="35" t="str">
        <f>'13all_company_profile'!D653</f>
        <v>Vanguard FTSE Emerging Markets Index Fund ETF Shares</v>
      </c>
      <c r="E653" s="36">
        <f>'13all_company_profile'!E653</f>
        <v>75656699904</v>
      </c>
      <c r="F653" s="37">
        <f>'13all_company_profile'!F653</f>
        <v>8036250</v>
      </c>
      <c r="G653" s="35">
        <f>'13all_company_profile'!G653</f>
        <v>0.795</v>
      </c>
      <c r="H653" s="38" t="str">
        <f>'13all_company_profile'!H653</f>
        <v>not avaiable</v>
      </c>
      <c r="I653" s="35">
        <f>'13all_company_profile'!I653</f>
        <v>3.4421751</v>
      </c>
      <c r="J653" s="35">
        <f>'13all_company_profile'!J653</f>
        <v>15.374</v>
      </c>
      <c r="K653" s="42">
        <f t="shared" si="1"/>
        <v>0.015215311</v>
      </c>
      <c r="L653" s="35">
        <f>'7company_info'!B653</f>
        <v>52.25</v>
      </c>
      <c r="M653" s="35">
        <f>'7company_info'!C653</f>
        <v>52.4</v>
      </c>
      <c r="N653" s="35">
        <f>'7company_info'!D653</f>
        <v>51.75</v>
      </c>
      <c r="O653" s="35">
        <f>'7company_info'!E653</f>
        <v>0.04</v>
      </c>
      <c r="P653" s="35">
        <f>'7company_info'!F653</f>
        <v>0.0008</v>
      </c>
      <c r="Q653" s="35">
        <f>'7company_info'!G653</f>
        <v>51.91</v>
      </c>
      <c r="R653" s="35">
        <f>'7company_info'!H653</f>
        <v>52.21</v>
      </c>
      <c r="S653" s="35">
        <f>'7company_info'!I653</f>
        <v>41.53</v>
      </c>
      <c r="T653" s="35">
        <f>'7company_info'!J653</f>
        <v>56.66</v>
      </c>
      <c r="U653" s="39">
        <v>53.3483333333333</v>
      </c>
      <c r="V653" s="39">
        <v>53.5216666666666</v>
      </c>
      <c r="W653" s="40">
        <v>53.7433333333333</v>
      </c>
      <c r="X653" s="40">
        <v>54.1383333333333</v>
      </c>
      <c r="Y653" s="40">
        <v>53.1266666666666</v>
      </c>
      <c r="Z653" s="40">
        <v>52.9533333333333</v>
      </c>
      <c r="AA653" s="40">
        <v>52.5583333333333</v>
      </c>
      <c r="AB653" s="40">
        <v>52.68</v>
      </c>
      <c r="AC653" s="40">
        <v>52.99</v>
      </c>
      <c r="AD653" s="40">
        <v>53.532372372284</v>
      </c>
      <c r="AE653" s="40">
        <v>51.83712</v>
      </c>
      <c r="AF653" s="40">
        <v>0.603439999999999</v>
      </c>
      <c r="AG653" s="40">
        <v>56.6599</v>
      </c>
      <c r="AH653" s="45">
        <v>44243.0</v>
      </c>
      <c r="AI653" s="44" t="str">
        <f>'6image_RS_benchmark_performance'!B653</f>
        <v>https://3arbzfbsh-cname-us.ngrok.io/Desktop/seabridge%20fintech/image_app/VWO_resistance_support.jpg</v>
      </c>
      <c r="AJ653" s="44" t="str">
        <f>'6image_RS_benchmark_performance'!C653</f>
        <v>https://3arbzfbsh-cname-us.ngrok.io/Desktop/seabridge%20fintech/profit_graph_app/VWO_Return.jpg</v>
      </c>
      <c r="AK653" s="46" t="str">
        <f>'5price_action_icon'!B653</f>
        <v>https://3arbzfbsh-cname-us.ngrok.io/Desktop/seabridge%20fintech/icon/VWO_pa_trend_signal</v>
      </c>
      <c r="AL653" s="42">
        <f>'1kpi_performance'!B653</f>
        <v>0.3142692338</v>
      </c>
      <c r="AM653" s="42">
        <f>'1kpi_performance'!C653</f>
        <v>0.5412702359</v>
      </c>
      <c r="AN653" s="42">
        <f>'1kpi_performance'!D653</f>
        <v>0.4692665075</v>
      </c>
      <c r="AO653" s="42">
        <f>'1kpi_performance'!E653</f>
        <v>0.0358380794</v>
      </c>
      <c r="AP653" s="42">
        <f>'1kpi_performance'!F653</f>
        <v>0.1650384605</v>
      </c>
      <c r="AQ653" s="42">
        <f>'1kpi_performance'!G653</f>
        <v>0.1678841633</v>
      </c>
      <c r="AR653" s="42">
        <f>'1kpi_performance'!H653</f>
        <v>0.1618448093</v>
      </c>
      <c r="AS653" s="42">
        <f>'1kpi_performance'!I653</f>
        <v>0.2597572292</v>
      </c>
      <c r="AT653" s="35">
        <f>'1kpi_performance'!J653</f>
        <v>1.752738318</v>
      </c>
      <c r="AU653" s="35">
        <f>'1kpi_performance'!K653</f>
        <v>3.075157452</v>
      </c>
      <c r="AV653" s="35">
        <f>'1kpi_performance'!L653</f>
        <v>2.745015484</v>
      </c>
      <c r="AW653" s="35">
        <f>'1kpi_performance'!M653</f>
        <v>0.04172387976</v>
      </c>
      <c r="AX653" s="42">
        <f>'1kpi_performance'!N653</f>
        <v>0.1388755513</v>
      </c>
      <c r="AY653" s="42">
        <f>'1kpi_performance'!O653</f>
        <v>0.07085224407</v>
      </c>
      <c r="AZ653" s="42">
        <f>'1kpi_performance'!P653</f>
        <v>0.196455317</v>
      </c>
      <c r="BA653" s="42">
        <f>'1kpi_performance'!Q653</f>
        <v>0.4369946756</v>
      </c>
      <c r="BB653" s="35">
        <f>'1kpi_performance'!R653</f>
        <v>3.444319632</v>
      </c>
      <c r="BC653" s="35">
        <f>'1kpi_performance'!S653</f>
        <v>6.753680644</v>
      </c>
      <c r="BD653" s="35">
        <f>'1kpi_performance'!T653</f>
        <v>5.820330476</v>
      </c>
      <c r="BE653" s="35">
        <f>'1kpi_performance'!U653</f>
        <v>0.07809214907</v>
      </c>
      <c r="BF653" s="47"/>
      <c r="BG653" s="47"/>
      <c r="BH653" s="47"/>
      <c r="BI653" s="47"/>
      <c r="BJ653" s="47"/>
      <c r="BK653" s="47"/>
      <c r="BL653" s="47"/>
      <c r="BM653" s="47"/>
      <c r="BN653" s="47"/>
      <c r="BO653" s="47"/>
      <c r="BP653" s="47"/>
      <c r="BQ653" s="47"/>
      <c r="BR653" s="47"/>
      <c r="BS653" s="47"/>
      <c r="BT653" s="47"/>
    </row>
    <row r="654" ht="11.25" customHeight="1">
      <c r="A654" s="35" t="str">
        <f>'13all_company_profile'!A654</f>
        <v>VXUS</v>
      </c>
      <c r="B654" s="35" t="str">
        <f>'13all_company_profile'!B654</f>
        <v>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v>
      </c>
      <c r="C654" s="44" t="str">
        <f>'13all_company_profile'!C654</f>
        <v>https://financialmodelingprep.com/image-stock/VXUS.png</v>
      </c>
      <c r="D654" s="35" t="str">
        <f>'13all_company_profile'!D654</f>
        <v>Vanguard Total International Stock Index Fund ETF Shares</v>
      </c>
      <c r="E654" s="36">
        <f>'13all_company_profile'!E654</f>
        <v>12294335907</v>
      </c>
      <c r="F654" s="37">
        <f>'13all_company_profile'!F654</f>
        <v>2850890</v>
      </c>
      <c r="G654" s="35">
        <f>'13all_company_profile'!G654</f>
        <v>1.599</v>
      </c>
      <c r="H654" s="38" t="str">
        <f>'13all_company_profile'!H654</f>
        <v>not avaiable</v>
      </c>
      <c r="I654" s="35" t="str">
        <f>'13all_company_profile'!I654</f>
        <v>NaN</v>
      </c>
      <c r="J654" s="35" t="str">
        <f>'13all_company_profile'!J654</f>
        <v>NaN</v>
      </c>
      <c r="K654" s="42">
        <f t="shared" si="1"/>
        <v>0.02494539782</v>
      </c>
      <c r="L654" s="35">
        <f>'7company_info'!B654</f>
        <v>64.1</v>
      </c>
      <c r="M654" s="35">
        <f>'7company_info'!C654</f>
        <v>64.2</v>
      </c>
      <c r="N654" s="35">
        <f>'7company_info'!D654</f>
        <v>63.37</v>
      </c>
      <c r="O654" s="35">
        <f>'7company_info'!E654</f>
        <v>0.37</v>
      </c>
      <c r="P654" s="35">
        <f>'7company_info'!F654</f>
        <v>0.0058</v>
      </c>
      <c r="Q654" s="35">
        <f>'7company_info'!G654</f>
        <v>63.49</v>
      </c>
      <c r="R654" s="35">
        <f>'7company_info'!H654</f>
        <v>63.73</v>
      </c>
      <c r="S654" s="35">
        <f>'7company_info'!I654</f>
        <v>50.69</v>
      </c>
      <c r="T654" s="35">
        <f>'7company_info'!J654</f>
        <v>67.51</v>
      </c>
      <c r="U654" s="39">
        <v>65.7183333333333</v>
      </c>
      <c r="V654" s="39">
        <v>65.8466666666666</v>
      </c>
      <c r="W654" s="40">
        <v>66.0233333333333</v>
      </c>
      <c r="X654" s="40">
        <v>66.3283333333333</v>
      </c>
      <c r="Y654" s="40">
        <v>65.5416666666667</v>
      </c>
      <c r="Z654" s="40">
        <v>65.4133333333333</v>
      </c>
      <c r="AA654" s="40">
        <v>65.1083333333333</v>
      </c>
      <c r="AB654" s="40">
        <v>64.13</v>
      </c>
      <c r="AC654" s="40">
        <v>65.905</v>
      </c>
      <c r="AD654" s="40">
        <v>65.8017478598028</v>
      </c>
      <c r="AE654" s="40">
        <v>64.37126</v>
      </c>
      <c r="AF654" s="40">
        <v>0.59812</v>
      </c>
      <c r="AG654" s="40">
        <v>67.51</v>
      </c>
      <c r="AH654" s="45">
        <v>44361.0</v>
      </c>
      <c r="AI654" s="44" t="str">
        <f>'6image_RS_benchmark_performance'!B654</f>
        <v>https://3arbzfbsh-cname-us.ngrok.io/Desktop/seabridge%20fintech/image_app/VXUS_resistance_support.jpg</v>
      </c>
      <c r="AJ654" s="44" t="str">
        <f>'6image_RS_benchmark_performance'!C654</f>
        <v>https://3arbzfbsh-cname-us.ngrok.io/Desktop/seabridge%20fintech/profit_graph_app/VXUS_Return.jpg</v>
      </c>
      <c r="AK654" s="46" t="str">
        <f>'5price_action_icon'!B654</f>
        <v>https://3arbzfbsh-cname-us.ngrok.io/Desktop/seabridge%20fintech/icon/VXUS_pa_trend_signal</v>
      </c>
      <c r="AL654" s="42">
        <f>'1kpi_performance'!B654</f>
        <v>0.3007648725</v>
      </c>
      <c r="AM654" s="42">
        <f>'1kpi_performance'!C654</f>
        <v>0.4393153674</v>
      </c>
      <c r="AN654" s="42">
        <f>'1kpi_performance'!D654</f>
        <v>0.3957639053</v>
      </c>
      <c r="AO654" s="42">
        <f>'1kpi_performance'!E654</f>
        <v>0.03992482952</v>
      </c>
      <c r="AP654" s="42">
        <f>'1kpi_performance'!F654</f>
        <v>0.1363432677</v>
      </c>
      <c r="AQ654" s="42">
        <f>'1kpi_performance'!G654</f>
        <v>0.133318122</v>
      </c>
      <c r="AR654" s="42">
        <f>'1kpi_performance'!H654</f>
        <v>0.1326880936</v>
      </c>
      <c r="AS654" s="42">
        <f>'1kpi_performance'!I654</f>
        <v>0.2212567575</v>
      </c>
      <c r="AT654" s="35">
        <f>'1kpi_performance'!J654</f>
        <v>2.022577844</v>
      </c>
      <c r="AU654" s="35">
        <f>'1kpi_performance'!K654</f>
        <v>3.1077198</v>
      </c>
      <c r="AV654" s="35">
        <f>'1kpi_performance'!L654</f>
        <v>2.794251505</v>
      </c>
      <c r="AW654" s="35">
        <f>'1kpi_performance'!M654</f>
        <v>0.06745479638</v>
      </c>
      <c r="AX654" s="42">
        <f>'1kpi_performance'!N654</f>
        <v>0.09096914811</v>
      </c>
      <c r="AY654" s="42">
        <f>'1kpi_performance'!O654</f>
        <v>0.08866726826</v>
      </c>
      <c r="AZ654" s="42">
        <f>'1kpi_performance'!P654</f>
        <v>0.1423473434</v>
      </c>
      <c r="BA654" s="42">
        <f>'1kpi_performance'!Q654</f>
        <v>0.3992153016</v>
      </c>
      <c r="BB654" s="35">
        <f>'1kpi_performance'!R654</f>
        <v>4.142413976</v>
      </c>
      <c r="BC654" s="35">
        <f>'1kpi_performance'!S654</f>
        <v>6.806573107</v>
      </c>
      <c r="BD654" s="35">
        <f>'1kpi_performance'!T654</f>
        <v>5.618133586</v>
      </c>
      <c r="BE654" s="35">
        <f>'1kpi_performance'!U654</f>
        <v>0.1206916888</v>
      </c>
      <c r="BF654" s="47"/>
      <c r="BG654" s="47"/>
      <c r="BH654" s="47"/>
      <c r="BI654" s="47"/>
      <c r="BJ654" s="47"/>
      <c r="BK654" s="47"/>
      <c r="BL654" s="47"/>
      <c r="BM654" s="47"/>
      <c r="BN654" s="47"/>
      <c r="BO654" s="47"/>
      <c r="BP654" s="47"/>
      <c r="BQ654" s="47"/>
      <c r="BR654" s="47"/>
      <c r="BS654" s="47"/>
      <c r="BT654" s="47"/>
    </row>
    <row r="655" ht="11.25" customHeight="1">
      <c r="A655" s="35" t="str">
        <f>'13all_company_profile'!A655</f>
        <v>VZ</v>
      </c>
      <c r="B655" s="35" t="str">
        <f>'13all_company_profile'!B655</f>
        <v>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v>
      </c>
      <c r="C655" s="44" t="str">
        <f>'13all_company_profile'!C655</f>
        <v>https://financialmodelingprep.com/image-stock/VZ.png</v>
      </c>
      <c r="D655" s="35" t="str">
        <f>'13all_company_profile'!D655</f>
        <v>Verizon Communications Inc.</v>
      </c>
      <c r="E655" s="36">
        <f>'13all_company_profile'!E655</f>
        <v>234120953856</v>
      </c>
      <c r="F655" s="37">
        <f>'13all_company_profile'!F655</f>
        <v>16246242</v>
      </c>
      <c r="G655" s="35">
        <f>'13all_company_profile'!G655</f>
        <v>2.511</v>
      </c>
      <c r="H655" s="38">
        <f>'13all_company_profile'!H655</f>
        <v>44398</v>
      </c>
      <c r="I655" s="35">
        <f>'13all_company_profile'!I655</f>
        <v>12.3922415</v>
      </c>
      <c r="J655" s="35">
        <f>'13all_company_profile'!J655</f>
        <v>4.562</v>
      </c>
      <c r="K655" s="42">
        <f t="shared" si="1"/>
        <v>0.04517812163</v>
      </c>
      <c r="L655" s="35">
        <f>'7company_info'!B655</f>
        <v>55.58</v>
      </c>
      <c r="M655" s="35">
        <f>'7company_info'!C655</f>
        <v>56.77</v>
      </c>
      <c r="N655" s="35">
        <f>'7company_info'!D655</f>
        <v>55.54</v>
      </c>
      <c r="O655" s="35">
        <f>'7company_info'!E655</f>
        <v>-0.26</v>
      </c>
      <c r="P655" s="35">
        <f>'7company_info'!F655</f>
        <v>-0.0047</v>
      </c>
      <c r="Q655" s="35">
        <f>'7company_info'!G655</f>
        <v>55.95</v>
      </c>
      <c r="R655" s="35">
        <f>'7company_info'!H655</f>
        <v>55.84</v>
      </c>
      <c r="S655" s="35">
        <f>'7company_info'!I655</f>
        <v>53.83</v>
      </c>
      <c r="T655" s="35">
        <f>'7company_info'!J655</f>
        <v>61.95</v>
      </c>
      <c r="U655" s="39">
        <v>56.26</v>
      </c>
      <c r="V655" s="39">
        <v>56.49</v>
      </c>
      <c r="W655" s="40">
        <v>56.66</v>
      </c>
      <c r="X655" s="40">
        <v>57.06</v>
      </c>
      <c r="Y655" s="40">
        <v>56.09</v>
      </c>
      <c r="Z655" s="40">
        <v>55.86</v>
      </c>
      <c r="AA655" s="40">
        <v>55.46</v>
      </c>
      <c r="AB655" s="40">
        <v>56.5</v>
      </c>
      <c r="AC655" s="40">
        <v>56.23</v>
      </c>
      <c r="AD655" s="40">
        <v>56.3490908516454</v>
      </c>
      <c r="AE655" s="40">
        <v>55.05251</v>
      </c>
      <c r="AF655" s="40">
        <v>0.524495</v>
      </c>
      <c r="AG655" s="40">
        <v>59.85</v>
      </c>
      <c r="AH655" s="45">
        <v>44326.0</v>
      </c>
      <c r="AI655" s="44" t="str">
        <f>'6image_RS_benchmark_performance'!B655</f>
        <v>https://3arbzfbsh-cname-us.ngrok.io/Desktop/seabridge%20fintech/image_app/VZ_resistance_support.jpg</v>
      </c>
      <c r="AJ655" s="44" t="str">
        <f>'6image_RS_benchmark_performance'!C655</f>
        <v>https://3arbzfbsh-cname-us.ngrok.io/Desktop/seabridge%20fintech/profit_graph_app/VZ_Return.jpg</v>
      </c>
      <c r="AK655" s="46" t="str">
        <f>'5price_action_icon'!B655</f>
        <v>https://3arbzfbsh-cname-us.ngrok.io/Desktop/seabridge%20fintech/icon/VZ_pa_trend_signal</v>
      </c>
      <c r="AL655" s="42">
        <f>'1kpi_performance'!B655</f>
        <v>0.3231272314</v>
      </c>
      <c r="AM655" s="42">
        <f>'1kpi_performance'!C655</f>
        <v>0.3721847509</v>
      </c>
      <c r="AN655" s="42">
        <f>'1kpi_performance'!D655</f>
        <v>0.4051216498</v>
      </c>
      <c r="AO655" s="42">
        <f>'1kpi_performance'!E655</f>
        <v>0.08796325052</v>
      </c>
      <c r="AP655" s="42">
        <f>'1kpi_performance'!F655</f>
        <v>0.1437181287</v>
      </c>
      <c r="AQ655" s="42">
        <f>'1kpi_performance'!G655</f>
        <v>0.147203409</v>
      </c>
      <c r="AR655" s="42">
        <f>'1kpi_performance'!H655</f>
        <v>0.1566027216</v>
      </c>
      <c r="AS655" s="42">
        <f>'1kpi_performance'!I655</f>
        <v>0.211454346</v>
      </c>
      <c r="AT655" s="35">
        <f>'1kpi_performance'!J655</f>
        <v>2.074388485</v>
      </c>
      <c r="AU655" s="35">
        <f>'1kpi_performance'!K655</f>
        <v>2.358537436</v>
      </c>
      <c r="AV655" s="35">
        <f>'1kpi_performance'!L655</f>
        <v>2.427299129</v>
      </c>
      <c r="AW655" s="35">
        <f>'1kpi_performance'!M655</f>
        <v>0.2977628586</v>
      </c>
      <c r="AX655" s="42">
        <f>'1kpi_performance'!N655</f>
        <v>0.1076192642</v>
      </c>
      <c r="AY655" s="42">
        <f>'1kpi_performance'!O655</f>
        <v>0.07552750937</v>
      </c>
      <c r="AZ655" s="42">
        <f>'1kpi_performance'!P655</f>
        <v>0.1709827357</v>
      </c>
      <c r="BA655" s="42">
        <f>'1kpi_performance'!Q655</f>
        <v>0.2412878118</v>
      </c>
      <c r="BB655" s="35">
        <f>'1kpi_performance'!R655</f>
        <v>4.39441482</v>
      </c>
      <c r="BC655" s="35">
        <f>'1kpi_performance'!S655</f>
        <v>5.10492522</v>
      </c>
      <c r="BD655" s="35">
        <f>'1kpi_performance'!T655</f>
        <v>5.120347178</v>
      </c>
      <c r="BE655" s="35">
        <f>'1kpi_performance'!U655</f>
        <v>0.5960856793</v>
      </c>
      <c r="BF655" s="47"/>
      <c r="BG655" s="47"/>
      <c r="BH655" s="47"/>
      <c r="BI655" s="47"/>
      <c r="BJ655" s="47"/>
      <c r="BK655" s="47"/>
      <c r="BL655" s="47"/>
      <c r="BM655" s="47"/>
      <c r="BN655" s="47"/>
      <c r="BO655" s="47"/>
      <c r="BP655" s="47"/>
      <c r="BQ655" s="47"/>
      <c r="BR655" s="47"/>
      <c r="BS655" s="47"/>
      <c r="BT655" s="47"/>
    </row>
    <row r="656" ht="11.25" customHeight="1">
      <c r="A656" s="35" t="str">
        <f>'13all_company_profile'!A656</f>
        <v>WAB</v>
      </c>
      <c r="B656" s="35" t="str">
        <f>'13all_company_profile'!B656</f>
        <v>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v>
      </c>
      <c r="C656" s="44" t="str">
        <f>'13all_company_profile'!C656</f>
        <v>https://financialmodelingprep.com/image-stock/WAB.png</v>
      </c>
      <c r="D656" s="35" t="str">
        <f>'13all_company_profile'!D656</f>
        <v>Westinghouse Air Brake Technologies Corporation</v>
      </c>
      <c r="E656" s="36">
        <f>'13all_company_profile'!E656</f>
        <v>15565875200</v>
      </c>
      <c r="F656" s="37">
        <f>'13all_company_profile'!F656</f>
        <v>1215473</v>
      </c>
      <c r="G656" s="35">
        <f>'13all_company_profile'!G656</f>
        <v>0.48</v>
      </c>
      <c r="H656" s="38">
        <f>'13all_company_profile'!H656</f>
        <v>44406</v>
      </c>
      <c r="I656" s="35">
        <f>'13all_company_profile'!I656</f>
        <v>37.396885</v>
      </c>
      <c r="J656" s="35">
        <f>'13all_company_profile'!J656</f>
        <v>2.182</v>
      </c>
      <c r="K656" s="42">
        <f t="shared" si="1"/>
        <v>0.005872277954</v>
      </c>
      <c r="L656" s="35">
        <f>'7company_info'!B656</f>
        <v>81.74</v>
      </c>
      <c r="M656" s="35">
        <f>'7company_info'!C656</f>
        <v>82.25</v>
      </c>
      <c r="N656" s="35">
        <f>'7company_info'!D656</f>
        <v>78.21</v>
      </c>
      <c r="O656" s="35">
        <f>'7company_info'!E656</f>
        <v>3.6</v>
      </c>
      <c r="P656" s="35">
        <f>'7company_info'!F656</f>
        <v>0.0461</v>
      </c>
      <c r="Q656" s="35">
        <f>'7company_info'!G656</f>
        <v>78.38</v>
      </c>
      <c r="R656" s="35">
        <f>'7company_info'!H656</f>
        <v>78.14</v>
      </c>
      <c r="S656" s="35">
        <f>'7company_info'!I656</f>
        <v>55.83</v>
      </c>
      <c r="T656" s="35">
        <f>'7company_info'!J656</f>
        <v>86.81</v>
      </c>
      <c r="U656" s="39">
        <v>82.7265</v>
      </c>
      <c r="V656" s="39">
        <v>83.5335</v>
      </c>
      <c r="W656" s="40">
        <v>84.597</v>
      </c>
      <c r="X656" s="40">
        <v>86.4675</v>
      </c>
      <c r="Y656" s="40">
        <v>81.663</v>
      </c>
      <c r="Z656" s="40">
        <v>80.856</v>
      </c>
      <c r="AA656" s="40">
        <v>78.9854999999999</v>
      </c>
      <c r="AB656" s="40">
        <v>81.17</v>
      </c>
      <c r="AC656" s="40">
        <v>83.47</v>
      </c>
      <c r="AD656" s="40">
        <v>81.671166903686</v>
      </c>
      <c r="AE656" s="40">
        <v>79.01097</v>
      </c>
      <c r="AF656" s="40">
        <v>1.91204</v>
      </c>
      <c r="AG656" s="40">
        <v>86.81</v>
      </c>
      <c r="AH656" s="45">
        <v>44315.0</v>
      </c>
      <c r="AI656" s="44" t="str">
        <f>'6image_RS_benchmark_performance'!B656</f>
        <v>https://3arbzfbsh-cname-us.ngrok.io/Desktop/seabridge%20fintech/image_app/WAB_resistance_support.jpg</v>
      </c>
      <c r="AJ656" s="44" t="str">
        <f>'6image_RS_benchmark_performance'!C656</f>
        <v>https://3arbzfbsh-cname-us.ngrok.io/Desktop/seabridge%20fintech/profit_graph_app/WAB_Return.jpg</v>
      </c>
      <c r="AK656" s="46" t="str">
        <f>'5price_action_icon'!B656</f>
        <v>https://3arbzfbsh-cname-us.ngrok.io/Desktop/seabridge%20fintech/icon/WAB_pa_trend_signal</v>
      </c>
      <c r="AL656" s="42">
        <f>'1kpi_performance'!B656</f>
        <v>0.6651832691</v>
      </c>
      <c r="AM656" s="42">
        <f>'1kpi_performance'!C656</f>
        <v>0.8882893543</v>
      </c>
      <c r="AN656" s="42">
        <f>'1kpi_performance'!D656</f>
        <v>0.8600791721</v>
      </c>
      <c r="AO656" s="42">
        <f>'1kpi_performance'!E656</f>
        <v>0.1936735349</v>
      </c>
      <c r="AP656" s="42">
        <f>'1kpi_performance'!F656</f>
        <v>0.2509728773</v>
      </c>
      <c r="AQ656" s="42">
        <f>'1kpi_performance'!G656</f>
        <v>0.2458328932</v>
      </c>
      <c r="AR656" s="42">
        <f>'1kpi_performance'!H656</f>
        <v>0.2480288184</v>
      </c>
      <c r="AS656" s="42">
        <f>'1kpi_performance'!I656</f>
        <v>0.3741817491</v>
      </c>
      <c r="AT656" s="35">
        <f>'1kpi_performance'!J656</f>
        <v>2.550806589</v>
      </c>
      <c r="AU656" s="35">
        <f>'1kpi_performance'!K656</f>
        <v>3.511691796</v>
      </c>
      <c r="AV656" s="35">
        <f>'1kpi_performance'!L656</f>
        <v>3.366863486</v>
      </c>
      <c r="AW656" s="35">
        <f>'1kpi_performance'!M656</f>
        <v>0.4507796955</v>
      </c>
      <c r="AX656" s="42">
        <f>'1kpi_performance'!N656</f>
        <v>0.2051204438</v>
      </c>
      <c r="AY656" s="42">
        <f>'1kpi_performance'!O656</f>
        <v>0.1400651466</v>
      </c>
      <c r="AZ656" s="42">
        <f>'1kpi_performance'!P656</f>
        <v>0.225497962</v>
      </c>
      <c r="BA656" s="42">
        <f>'1kpi_performance'!Q656</f>
        <v>0.6441358833</v>
      </c>
      <c r="BB656" s="35">
        <f>'1kpi_performance'!R656</f>
        <v>5.551059408</v>
      </c>
      <c r="BC656" s="35">
        <f>'1kpi_performance'!S656</f>
        <v>8.359542979</v>
      </c>
      <c r="BD656" s="35">
        <f>'1kpi_performance'!T656</f>
        <v>7.516799329</v>
      </c>
      <c r="BE656" s="35">
        <f>'1kpi_performance'!U656</f>
        <v>0.8715476454</v>
      </c>
      <c r="BF656" s="47"/>
      <c r="BG656" s="47"/>
      <c r="BH656" s="47"/>
      <c r="BI656" s="47"/>
      <c r="BJ656" s="47"/>
      <c r="BK656" s="47"/>
      <c r="BL656" s="47"/>
      <c r="BM656" s="47"/>
      <c r="BN656" s="47"/>
      <c r="BO656" s="47"/>
      <c r="BP656" s="47"/>
      <c r="BQ656" s="47"/>
      <c r="BR656" s="47"/>
      <c r="BS656" s="47"/>
      <c r="BT656" s="47"/>
    </row>
    <row r="657" ht="11.25" customHeight="1">
      <c r="A657" s="35" t="str">
        <f>'13all_company_profile'!A657</f>
        <v>WAT</v>
      </c>
      <c r="B657" s="35" t="str">
        <f>'13all_company_profile'!B657</f>
        <v>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v>
      </c>
      <c r="C657" s="44" t="str">
        <f>'13all_company_profile'!C657</f>
        <v>https://financialmodelingprep.com/image-stock/WAT.png</v>
      </c>
      <c r="D657" s="35" t="str">
        <f>'13all_company_profile'!D657</f>
        <v>Waters Corporation</v>
      </c>
      <c r="E657" s="36">
        <f>'13all_company_profile'!E657</f>
        <v>22968629248</v>
      </c>
      <c r="F657" s="37">
        <f>'13all_company_profile'!F657</f>
        <v>408233</v>
      </c>
      <c r="G657" s="35">
        <f>'13all_company_profile'!G657</f>
        <v>0</v>
      </c>
      <c r="H657" s="38">
        <f>'13all_company_profile'!H657</f>
        <v>44403</v>
      </c>
      <c r="I657" s="35">
        <f>'13all_company_profile'!I657</f>
        <v>37.596962</v>
      </c>
      <c r="J657" s="35">
        <f>'13all_company_profile'!J657</f>
        <v>9.875</v>
      </c>
      <c r="K657" s="42" t="str">
        <f t="shared" si="1"/>
        <v>NaN</v>
      </c>
      <c r="L657" s="35">
        <f>'7company_info'!B657</f>
        <v>372.12</v>
      </c>
      <c r="M657" s="35">
        <f>'7company_info'!C657</f>
        <v>373.04</v>
      </c>
      <c r="N657" s="35">
        <f>'7company_info'!D657</f>
        <v>362.1</v>
      </c>
      <c r="O657" s="35">
        <f>'7company_info'!E657</f>
        <v>9.13</v>
      </c>
      <c r="P657" s="35">
        <f>'7company_info'!F657</f>
        <v>0.0252</v>
      </c>
      <c r="Q657" s="35">
        <f>'7company_info'!G657</f>
        <v>364.12</v>
      </c>
      <c r="R657" s="35">
        <f>'7company_info'!H657</f>
        <v>362.99</v>
      </c>
      <c r="S657" s="35">
        <f>'7company_info'!I657</f>
        <v>187.31</v>
      </c>
      <c r="T657" s="35">
        <f>'7company_info'!J657</f>
        <v>373.53</v>
      </c>
      <c r="U657" s="39">
        <v>371.133333333333</v>
      </c>
      <c r="V657" s="39">
        <v>372.756666666666</v>
      </c>
      <c r="W657" s="40">
        <v>373.873333333333</v>
      </c>
      <c r="X657" s="40">
        <v>376.613333333333</v>
      </c>
      <c r="Y657" s="40">
        <v>370.016666666666</v>
      </c>
      <c r="Z657" s="40">
        <v>368.393333333333</v>
      </c>
      <c r="AA657" s="40">
        <v>365.653333333333</v>
      </c>
      <c r="AB657" s="40">
        <v>356.56</v>
      </c>
      <c r="AC657" s="40">
        <v>372.25</v>
      </c>
      <c r="AD657" s="40">
        <v>353.271517754363</v>
      </c>
      <c r="AE657" s="40">
        <v>356.85611</v>
      </c>
      <c r="AF657" s="40">
        <v>5.67194499999999</v>
      </c>
      <c r="AG657" s="40">
        <v>349.07</v>
      </c>
      <c r="AH657" s="45">
        <v>44370.0</v>
      </c>
      <c r="AI657" s="44" t="str">
        <f>'6image_RS_benchmark_performance'!B657</f>
        <v>https://3arbzfbsh-cname-us.ngrok.io/Desktop/seabridge%20fintech/image_app/WAT_resistance_support.jpg</v>
      </c>
      <c r="AJ657" s="44" t="str">
        <f>'6image_RS_benchmark_performance'!C657</f>
        <v>https://3arbzfbsh-cname-us.ngrok.io/Desktop/seabridge%20fintech/profit_graph_app/WAT_Return.jpg</v>
      </c>
      <c r="AK657" s="46" t="str">
        <f>'5price_action_icon'!B657</f>
        <v>https://3arbzfbsh-cname-us.ngrok.io/Desktop/seabridge%20fintech/icon/WAT_pa_trend_signal</v>
      </c>
      <c r="AL657" s="42">
        <f>'1kpi_performance'!B657</f>
        <v>0.5431911483</v>
      </c>
      <c r="AM657" s="42">
        <f>'1kpi_performance'!C657</f>
        <v>0.687716186</v>
      </c>
      <c r="AN657" s="42">
        <f>'1kpi_performance'!D657</f>
        <v>0.4373859408</v>
      </c>
      <c r="AO657" s="42">
        <f>'1kpi_performance'!E657</f>
        <v>0.2571232812</v>
      </c>
      <c r="AP657" s="42">
        <f>'1kpi_performance'!F657</f>
        <v>0.2110606152</v>
      </c>
      <c r="AQ657" s="42">
        <f>'1kpi_performance'!G657</f>
        <v>0.212339632</v>
      </c>
      <c r="AR657" s="42">
        <f>'1kpi_performance'!H657</f>
        <v>0.2068553631</v>
      </c>
      <c r="AS657" s="42">
        <f>'1kpi_performance'!I657</f>
        <v>0.3108585742</v>
      </c>
      <c r="AT657" s="35">
        <f>'1kpi_performance'!J657</f>
        <v>2.455176906</v>
      </c>
      <c r="AU657" s="35">
        <f>'1kpi_performance'!K657</f>
        <v>3.121019755</v>
      </c>
      <c r="AV657" s="35">
        <f>'1kpi_performance'!L657</f>
        <v>1.993595595</v>
      </c>
      <c r="AW657" s="35">
        <f>'1kpi_performance'!M657</f>
        <v>0.7467166759</v>
      </c>
      <c r="AX657" s="42">
        <f>'1kpi_performance'!N657</f>
        <v>0.1176824699</v>
      </c>
      <c r="AY657" s="42">
        <f>'1kpi_performance'!O657</f>
        <v>0.0848369405</v>
      </c>
      <c r="AZ657" s="42">
        <f>'1kpi_performance'!P657</f>
        <v>0.1378073322</v>
      </c>
      <c r="BA657" s="42">
        <f>'1kpi_performance'!Q657</f>
        <v>0.3586411219</v>
      </c>
      <c r="BB657" s="35">
        <f>'1kpi_performance'!R657</f>
        <v>5.344652728</v>
      </c>
      <c r="BC657" s="35">
        <f>'1kpi_performance'!S657</f>
        <v>7.240544975</v>
      </c>
      <c r="BD657" s="35">
        <f>'1kpi_performance'!T657</f>
        <v>3.879925902</v>
      </c>
      <c r="BE657" s="35">
        <f>'1kpi_performance'!U657</f>
        <v>1.434677591</v>
      </c>
      <c r="BF657" s="47"/>
      <c r="BG657" s="47"/>
      <c r="BH657" s="47"/>
      <c r="BI657" s="47"/>
      <c r="BJ657" s="47"/>
      <c r="BK657" s="47"/>
      <c r="BL657" s="47"/>
      <c r="BM657" s="47"/>
      <c r="BN657" s="47"/>
      <c r="BO657" s="47"/>
      <c r="BP657" s="47"/>
      <c r="BQ657" s="47"/>
      <c r="BR657" s="47"/>
      <c r="BS657" s="47"/>
      <c r="BT657" s="47"/>
    </row>
    <row r="658" ht="11.25" customHeight="1">
      <c r="A658" s="35" t="str">
        <f>'13all_company_profile'!A658</f>
        <v>WBA</v>
      </c>
      <c r="B658" s="35" t="str">
        <f>'13all_company_profile'!B658</f>
        <v>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v>
      </c>
      <c r="C658" s="44" t="str">
        <f>'13all_company_profile'!C658</f>
        <v>https://financialmodelingprep.com/image-stock/WBA.png</v>
      </c>
      <c r="D658" s="35" t="str">
        <f>'13all_company_profile'!D658</f>
        <v>Walgreens Boots Alliance, Inc.</v>
      </c>
      <c r="E658" s="36">
        <f>'13all_company_profile'!E658</f>
        <v>40005648384</v>
      </c>
      <c r="F658" s="37">
        <f>'13all_company_profile'!F658</f>
        <v>5573965</v>
      </c>
      <c r="G658" s="35">
        <f>'13all_company_profile'!G658</f>
        <v>1.8715</v>
      </c>
      <c r="H658" s="38" t="str">
        <f>'13all_company_profile'!H658</f>
        <v>not avaiable</v>
      </c>
      <c r="I658" s="35">
        <f>'13all_company_profile'!I658</f>
        <v>17.390661</v>
      </c>
      <c r="J658" s="35">
        <f>'13all_company_profile'!J658</f>
        <v>2.645</v>
      </c>
      <c r="K658" s="42">
        <f t="shared" si="1"/>
        <v>0.04063178463</v>
      </c>
      <c r="L658" s="35">
        <f>'7company_info'!B658</f>
        <v>46.06</v>
      </c>
      <c r="M658" s="35">
        <f>'7company_info'!C658</f>
        <v>46.65</v>
      </c>
      <c r="N658" s="35">
        <f>'7company_info'!D658</f>
        <v>45.44</v>
      </c>
      <c r="O658" s="35">
        <f>'7company_info'!E658</f>
        <v>0.48</v>
      </c>
      <c r="P658" s="35">
        <f>'7company_info'!F658</f>
        <v>0.0105</v>
      </c>
      <c r="Q658" s="35">
        <f>'7company_info'!G658</f>
        <v>45.73</v>
      </c>
      <c r="R658" s="35">
        <f>'7company_info'!H658</f>
        <v>45.58</v>
      </c>
      <c r="S658" s="35">
        <f>'7company_info'!I658</f>
        <v>33.36</v>
      </c>
      <c r="T658" s="35">
        <f>'7company_info'!J658</f>
        <v>57.05</v>
      </c>
      <c r="U658" s="39">
        <v>46.99</v>
      </c>
      <c r="V658" s="39">
        <v>47.49</v>
      </c>
      <c r="W658" s="40">
        <v>48.1</v>
      </c>
      <c r="X658" s="40">
        <v>49.21</v>
      </c>
      <c r="Y658" s="40">
        <v>46.38</v>
      </c>
      <c r="Z658" s="40">
        <v>45.88</v>
      </c>
      <c r="AA658" s="40">
        <v>44.77</v>
      </c>
      <c r="AB658" s="40">
        <v>46.68</v>
      </c>
      <c r="AC658" s="40">
        <v>47.6</v>
      </c>
      <c r="AD658" s="40">
        <v>49.753840170253</v>
      </c>
      <c r="AE658" s="40">
        <v>44.8395</v>
      </c>
      <c r="AF658" s="40">
        <v>1.25975</v>
      </c>
      <c r="AG658" s="40">
        <v>57.05</v>
      </c>
      <c r="AH658" s="45">
        <v>44292.0</v>
      </c>
      <c r="AI658" s="44" t="str">
        <f>'6image_RS_benchmark_performance'!B658</f>
        <v>https://3arbzfbsh-cname-us.ngrok.io/Desktop/seabridge%20fintech/image_app/WBA_resistance_support.jpg</v>
      </c>
      <c r="AJ658" s="44" t="str">
        <f>'6image_RS_benchmark_performance'!C658</f>
        <v>https://3arbzfbsh-cname-us.ngrok.io/Desktop/seabridge%20fintech/profit_graph_app/WBA_Return.jpg</v>
      </c>
      <c r="AK658" s="46" t="str">
        <f>'5price_action_icon'!B658</f>
        <v>https://3arbzfbsh-cname-us.ngrok.io/Desktop/seabridge%20fintech/icon/WBA_pa_trend_signal</v>
      </c>
      <c r="AL658" s="42">
        <f>'1kpi_performance'!B658</f>
        <v>0.3670048789</v>
      </c>
      <c r="AM658" s="42">
        <f>'1kpi_performance'!C658</f>
        <v>0.6202206103</v>
      </c>
      <c r="AN658" s="42">
        <f>'1kpi_performance'!D658</f>
        <v>0.5542500008</v>
      </c>
      <c r="AO658" s="42">
        <f>'1kpi_performance'!E658</f>
        <v>0.03185506512</v>
      </c>
      <c r="AP658" s="42">
        <f>'1kpi_performance'!F658</f>
        <v>0.2509735012</v>
      </c>
      <c r="AQ658" s="42">
        <f>'1kpi_performance'!G658</f>
        <v>0.2235691875</v>
      </c>
      <c r="AR658" s="42">
        <f>'1kpi_performance'!H658</f>
        <v>0.2521674274</v>
      </c>
      <c r="AS658" s="42">
        <f>'1kpi_performance'!I658</f>
        <v>0.3375924781</v>
      </c>
      <c r="AT658" s="35">
        <f>'1kpi_performance'!J658</f>
        <v>1.362713104</v>
      </c>
      <c r="AU658" s="35">
        <f>'1kpi_performance'!K658</f>
        <v>2.662355296</v>
      </c>
      <c r="AV658" s="35">
        <f>'1kpi_performance'!L658</f>
        <v>2.098803983</v>
      </c>
      <c r="AW658" s="35">
        <f>'1kpi_performance'!M658</f>
        <v>0.02030574011</v>
      </c>
      <c r="AX658" s="42">
        <f>'1kpi_performance'!N658</f>
        <v>0.2538806746</v>
      </c>
      <c r="AY658" s="42">
        <f>'1kpi_performance'!O658</f>
        <v>0.17420943</v>
      </c>
      <c r="AZ658" s="42">
        <f>'1kpi_performance'!P658</f>
        <v>0.2365082371</v>
      </c>
      <c r="BA658" s="42">
        <f>'1kpi_performance'!Q658</f>
        <v>0.6532892015</v>
      </c>
      <c r="BB658" s="35">
        <f>'1kpi_performance'!R658</f>
        <v>2.630240022</v>
      </c>
      <c r="BC658" s="35">
        <f>'1kpi_performance'!S658</f>
        <v>6.226206949</v>
      </c>
      <c r="BD658" s="35">
        <f>'1kpi_performance'!T658</f>
        <v>4.191015837</v>
      </c>
      <c r="BE658" s="35">
        <f>'1kpi_performance'!U658</f>
        <v>0.03844550338</v>
      </c>
      <c r="BF658" s="47"/>
      <c r="BG658" s="47"/>
      <c r="BH658" s="47"/>
      <c r="BI658" s="47"/>
      <c r="BJ658" s="47"/>
      <c r="BK658" s="47"/>
      <c r="BL658" s="47"/>
      <c r="BM658" s="47"/>
      <c r="BN658" s="47"/>
      <c r="BO658" s="47"/>
      <c r="BP658" s="47"/>
      <c r="BQ658" s="47"/>
      <c r="BR658" s="47"/>
      <c r="BS658" s="47"/>
      <c r="BT658" s="47"/>
    </row>
    <row r="659" ht="11.25" customHeight="1">
      <c r="A659" s="35" t="str">
        <f>'13all_company_profile'!A659</f>
        <v>WDAY</v>
      </c>
      <c r="B659" s="35" t="str">
        <f>'13all_company_profile'!B659</f>
        <v>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v>
      </c>
      <c r="C659" s="44" t="str">
        <f>'13all_company_profile'!C659</f>
        <v>https://financialmodelingprep.com/image-stock/WDAY.png</v>
      </c>
      <c r="D659" s="35" t="str">
        <f>'13all_company_profile'!D659</f>
        <v>Workday, Inc.</v>
      </c>
      <c r="E659" s="36">
        <f>'13all_company_profile'!E659</f>
        <v>56488898560</v>
      </c>
      <c r="F659" s="37">
        <f>'13all_company_profile'!F659</f>
        <v>1554144</v>
      </c>
      <c r="G659" s="35">
        <f>'13all_company_profile'!G659</f>
        <v>0</v>
      </c>
      <c r="H659" s="38" t="str">
        <f>'13all_company_profile'!H659</f>
        <v>not avaiable</v>
      </c>
      <c r="I659" s="35" t="str">
        <f>'13all_company_profile'!I659</f>
        <v>NaN</v>
      </c>
      <c r="J659" s="35">
        <f>'13all_company_profile'!J659</f>
        <v>-0.712</v>
      </c>
      <c r="K659" s="42" t="str">
        <f t="shared" si="1"/>
        <v>NaN</v>
      </c>
      <c r="L659" s="35">
        <f>'7company_info'!B659</f>
        <v>230.83</v>
      </c>
      <c r="M659" s="35">
        <f>'7company_info'!C659</f>
        <v>233.58</v>
      </c>
      <c r="N659" s="35">
        <f>'7company_info'!D659</f>
        <v>225.55</v>
      </c>
      <c r="O659" s="35">
        <f>'7company_info'!E659</f>
        <v>4.68</v>
      </c>
      <c r="P659" s="35">
        <f>'7company_info'!F659</f>
        <v>0.0207</v>
      </c>
      <c r="Q659" s="35">
        <f>'7company_info'!G659</f>
        <v>227.2</v>
      </c>
      <c r="R659" s="35">
        <f>'7company_info'!H659</f>
        <v>226.15</v>
      </c>
      <c r="S659" s="35">
        <f>'7company_info'!I659</f>
        <v>174.52</v>
      </c>
      <c r="T659" s="35">
        <f>'7company_info'!J659</f>
        <v>282.77</v>
      </c>
      <c r="U659" s="39">
        <v>232.995666666666</v>
      </c>
      <c r="V659" s="39">
        <v>234.754333333333</v>
      </c>
      <c r="W659" s="40">
        <v>237.478666666666</v>
      </c>
      <c r="X659" s="40">
        <v>241.961666666666</v>
      </c>
      <c r="Y659" s="40">
        <v>230.271333333333</v>
      </c>
      <c r="Z659" s="40">
        <v>228.512666666666</v>
      </c>
      <c r="AA659" s="40">
        <v>224.029666666666</v>
      </c>
      <c r="AB659" s="40">
        <v>237.69</v>
      </c>
      <c r="AC659" s="40">
        <v>242.46</v>
      </c>
      <c r="AD659" s="40">
        <v>236.379715738822</v>
      </c>
      <c r="AE659" s="40">
        <v>222.15304</v>
      </c>
      <c r="AF659" s="40">
        <v>5.51113</v>
      </c>
      <c r="AG659" s="40">
        <v>282.77</v>
      </c>
      <c r="AH659" s="45">
        <v>44243.0</v>
      </c>
      <c r="AI659" s="44" t="str">
        <f>'6image_RS_benchmark_performance'!B659</f>
        <v>https://3arbzfbsh-cname-us.ngrok.io/Desktop/seabridge%20fintech/image_app/WDAY_resistance_support.jpg</v>
      </c>
      <c r="AJ659" s="44" t="str">
        <f>'6image_RS_benchmark_performance'!C659</f>
        <v>https://3arbzfbsh-cname-us.ngrok.io/Desktop/seabridge%20fintech/profit_graph_app/WDAY_Return.jpg</v>
      </c>
      <c r="AK659" s="46" t="str">
        <f>'5price_action_icon'!B659</f>
        <v>https://3arbzfbsh-cname-us.ngrok.io/Desktop/seabridge%20fintech/icon/WDAY_pa_trend_signal</v>
      </c>
      <c r="AL659" s="42">
        <f>'1kpi_performance'!B659</f>
        <v>0.9894047534</v>
      </c>
      <c r="AM659" s="42">
        <f>'1kpi_performance'!C659</f>
        <v>1.104247343</v>
      </c>
      <c r="AN659" s="42">
        <f>'1kpi_performance'!D659</f>
        <v>1.078652684</v>
      </c>
      <c r="AO659" s="42">
        <f>'1kpi_performance'!E659</f>
        <v>0.2911078823</v>
      </c>
      <c r="AP659" s="42">
        <f>'1kpi_performance'!F659</f>
        <v>0.331568325</v>
      </c>
      <c r="AQ659" s="42">
        <f>'1kpi_performance'!G659</f>
        <v>0.3222481039</v>
      </c>
      <c r="AR659" s="42">
        <f>'1kpi_performance'!H659</f>
        <v>0.3308817711</v>
      </c>
      <c r="AS659" s="42">
        <f>'1kpi_performance'!I659</f>
        <v>0.4641606516</v>
      </c>
      <c r="AT659" s="35">
        <f>'1kpi_performance'!J659</f>
        <v>2.908615451</v>
      </c>
      <c r="AU659" s="35">
        <f>'1kpi_performance'!K659</f>
        <v>3.349119298</v>
      </c>
      <c r="AV659" s="35">
        <f>'1kpi_performance'!L659</f>
        <v>3.184378155</v>
      </c>
      <c r="AW659" s="35">
        <f>'1kpi_performance'!M659</f>
        <v>0.5733098689</v>
      </c>
      <c r="AX659" s="42">
        <f>'1kpi_performance'!N659</f>
        <v>0.2101073836</v>
      </c>
      <c r="AY659" s="42">
        <f>'1kpi_performance'!O659</f>
        <v>0.1576954846</v>
      </c>
      <c r="AZ659" s="42">
        <f>'1kpi_performance'!P659</f>
        <v>0.4752657183</v>
      </c>
      <c r="BA659" s="42">
        <f>'1kpi_performance'!Q659</f>
        <v>0.5765133801</v>
      </c>
      <c r="BB659" s="35">
        <f>'1kpi_performance'!R659</f>
        <v>6.46533348</v>
      </c>
      <c r="BC659" s="35">
        <f>'1kpi_performance'!S659</f>
        <v>7.859707723</v>
      </c>
      <c r="BD659" s="35">
        <f>'1kpi_performance'!T659</f>
        <v>6.81247597</v>
      </c>
      <c r="BE659" s="35">
        <f>'1kpi_performance'!U659</f>
        <v>1.125467968</v>
      </c>
      <c r="BF659" s="47"/>
      <c r="BG659" s="47"/>
      <c r="BH659" s="47"/>
      <c r="BI659" s="47"/>
      <c r="BJ659" s="47"/>
      <c r="BK659" s="47"/>
      <c r="BL659" s="47"/>
      <c r="BM659" s="47"/>
      <c r="BN659" s="47"/>
      <c r="BO659" s="47"/>
      <c r="BP659" s="47"/>
      <c r="BQ659" s="47"/>
      <c r="BR659" s="47"/>
      <c r="BS659" s="47"/>
      <c r="BT659" s="47"/>
    </row>
    <row r="660" ht="11.25" customHeight="1">
      <c r="A660" s="35" t="str">
        <f>'13all_company_profile'!A660</f>
        <v>WDC</v>
      </c>
      <c r="B660" s="35" t="str">
        <f>'13all_company_profile'!B660</f>
        <v>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v>
      </c>
      <c r="C660" s="44" t="str">
        <f>'13all_company_profile'!C660</f>
        <v>https://financialmodelingprep.com/image-stock/WDC.png</v>
      </c>
      <c r="D660" s="35" t="str">
        <f>'13all_company_profile'!D660</f>
        <v>Western Digital Corporation</v>
      </c>
      <c r="E660" s="36">
        <f>'13all_company_profile'!E660</f>
        <v>20504770560</v>
      </c>
      <c r="F660" s="37">
        <f>'13all_company_profile'!F660</f>
        <v>4033873</v>
      </c>
      <c r="G660" s="35">
        <f>'13all_company_profile'!G660</f>
        <v>0.5</v>
      </c>
      <c r="H660" s="38">
        <f>'13all_company_profile'!H660</f>
        <v>44411</v>
      </c>
      <c r="I660" s="35">
        <f>'13all_company_profile'!I660</f>
        <v>56.027996</v>
      </c>
      <c r="J660" s="35">
        <f>'13all_company_profile'!J660</f>
        <v>1.143</v>
      </c>
      <c r="K660" s="42">
        <f t="shared" si="1"/>
        <v>0.007735148515</v>
      </c>
      <c r="L660" s="35">
        <f>'7company_info'!B660</f>
        <v>64.64</v>
      </c>
      <c r="M660" s="35">
        <f>'7company_info'!C660</f>
        <v>64.84</v>
      </c>
      <c r="N660" s="35">
        <f>'7company_info'!D660</f>
        <v>62.36</v>
      </c>
      <c r="O660" s="35">
        <f>'7company_info'!E660</f>
        <v>1.65</v>
      </c>
      <c r="P660" s="35">
        <f>'7company_info'!F660</f>
        <v>0.0262</v>
      </c>
      <c r="Q660" s="35">
        <f>'7company_info'!G660</f>
        <v>62.8</v>
      </c>
      <c r="R660" s="35">
        <f>'7company_info'!H660</f>
        <v>62.99</v>
      </c>
      <c r="S660" s="35">
        <f>'7company_info'!I660</f>
        <v>33.53</v>
      </c>
      <c r="T660" s="35">
        <f>'7company_info'!J660</f>
        <v>78.19</v>
      </c>
      <c r="U660" s="39">
        <v>70.5933333333333</v>
      </c>
      <c r="V660" s="39">
        <v>71.5666666666666</v>
      </c>
      <c r="W660" s="40">
        <v>73.1233333333333</v>
      </c>
      <c r="X660" s="40">
        <v>75.6533333333333</v>
      </c>
      <c r="Y660" s="40">
        <v>69.0366666666666</v>
      </c>
      <c r="Z660" s="40">
        <v>68.0633333333333</v>
      </c>
      <c r="AA660" s="40">
        <v>65.5333333333333</v>
      </c>
      <c r="AB660" s="40">
        <v>68.21</v>
      </c>
      <c r="AC660" s="40">
        <v>70.98</v>
      </c>
      <c r="AD660" s="40">
        <v>70.6063403139426</v>
      </c>
      <c r="AE660" s="40">
        <v>66.16951</v>
      </c>
      <c r="AF660" s="40">
        <v>2.016745</v>
      </c>
      <c r="AG660" s="40">
        <v>78.19</v>
      </c>
      <c r="AH660" s="45">
        <v>44351.0</v>
      </c>
      <c r="AI660" s="44" t="str">
        <f>'6image_RS_benchmark_performance'!B660</f>
        <v>https://3arbzfbsh-cname-us.ngrok.io/Desktop/seabridge%20fintech/image_app/WDC_resistance_support.jpg</v>
      </c>
      <c r="AJ660" s="44" t="str">
        <f>'6image_RS_benchmark_performance'!C660</f>
        <v>https://3arbzfbsh-cname-us.ngrok.io/Desktop/seabridge%20fintech/profit_graph_app/WDC_Return.jpg</v>
      </c>
      <c r="AK660" s="46" t="str">
        <f>'5price_action_icon'!B660</f>
        <v>https://3arbzfbsh-cname-us.ngrok.io/Desktop/seabridge%20fintech/icon/WDC_pa_trend_signal</v>
      </c>
      <c r="AL660" s="42">
        <f>'1kpi_performance'!B660</f>
        <v>0.9140347269</v>
      </c>
      <c r="AM660" s="42">
        <f>'1kpi_performance'!C660</f>
        <v>1.408590537</v>
      </c>
      <c r="AN660" s="42">
        <f>'1kpi_performance'!D660</f>
        <v>1.095116323</v>
      </c>
      <c r="AO660" s="42">
        <f>'1kpi_performance'!E660</f>
        <v>0.0557742368</v>
      </c>
      <c r="AP660" s="42">
        <f>'1kpi_performance'!F660</f>
        <v>0.346185528</v>
      </c>
      <c r="AQ660" s="42">
        <f>'1kpi_performance'!G660</f>
        <v>0.3551024425</v>
      </c>
      <c r="AR660" s="42">
        <f>'1kpi_performance'!H660</f>
        <v>0.3473872066</v>
      </c>
      <c r="AS660" s="42">
        <f>'1kpi_performance'!I660</f>
        <v>0.5154690076</v>
      </c>
      <c r="AT660" s="35">
        <f>'1kpi_performance'!J660</f>
        <v>2.568087499</v>
      </c>
      <c r="AU660" s="35">
        <f>'1kpi_performance'!K660</f>
        <v>3.896313772</v>
      </c>
      <c r="AV660" s="35">
        <f>'1kpi_performance'!L660</f>
        <v>3.08047131</v>
      </c>
      <c r="AW660" s="35">
        <f>'1kpi_performance'!M660</f>
        <v>0.05970142986</v>
      </c>
      <c r="AX660" s="42">
        <f>'1kpi_performance'!N660</f>
        <v>0.2783722247</v>
      </c>
      <c r="AY660" s="42">
        <f>'1kpi_performance'!O660</f>
        <v>0.1656374063</v>
      </c>
      <c r="AZ660" s="42">
        <f>'1kpi_performance'!P660</f>
        <v>0.3800874154</v>
      </c>
      <c r="BA660" s="42">
        <f>'1kpi_performance'!Q660</f>
        <v>0.7445747287</v>
      </c>
      <c r="BB660" s="35">
        <f>'1kpi_performance'!R660</f>
        <v>5.410294829</v>
      </c>
      <c r="BC660" s="35">
        <f>'1kpi_performance'!S660</f>
        <v>9.350257618</v>
      </c>
      <c r="BD660" s="35">
        <f>'1kpi_performance'!T660</f>
        <v>6.590547174</v>
      </c>
      <c r="BE660" s="35">
        <f>'1kpi_performance'!U660</f>
        <v>0.114804811</v>
      </c>
      <c r="BF660" s="47"/>
      <c r="BG660" s="47"/>
      <c r="BH660" s="47"/>
      <c r="BI660" s="47"/>
      <c r="BJ660" s="47"/>
      <c r="BK660" s="47"/>
      <c r="BL660" s="47"/>
      <c r="BM660" s="47"/>
      <c r="BN660" s="47"/>
      <c r="BO660" s="47"/>
      <c r="BP660" s="47"/>
      <c r="BQ660" s="47"/>
      <c r="BR660" s="47"/>
      <c r="BS660" s="47"/>
      <c r="BT660" s="47"/>
    </row>
    <row r="661" ht="11.25" customHeight="1">
      <c r="A661" s="35" t="str">
        <f>'13all_company_profile'!A661</f>
        <v>WEC</v>
      </c>
      <c r="B661" s="35" t="str">
        <f>'13all_company_profile'!B661</f>
        <v>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v>
      </c>
      <c r="C661" s="44" t="str">
        <f>'13all_company_profile'!C661</f>
        <v>https://financialmodelingprep.com/image-stock/WEC.png</v>
      </c>
      <c r="D661" s="35" t="str">
        <f>'13all_company_profile'!D661</f>
        <v>WEC Energy Group, Inc.</v>
      </c>
      <c r="E661" s="36">
        <f>'13all_company_profile'!E661</f>
        <v>29887467520</v>
      </c>
      <c r="F661" s="37">
        <f>'13all_company_profile'!F661</f>
        <v>1176412</v>
      </c>
      <c r="G661" s="35">
        <f>'13all_company_profile'!G661</f>
        <v>2.6215</v>
      </c>
      <c r="H661" s="38">
        <f>'13all_company_profile'!H661</f>
        <v>44410</v>
      </c>
      <c r="I661" s="35">
        <f>'13all_company_profile'!I661</f>
        <v>24.167044</v>
      </c>
      <c r="J661" s="35">
        <f>'13all_company_profile'!J661</f>
        <v>3.969</v>
      </c>
      <c r="K661" s="42">
        <f t="shared" si="1"/>
        <v>0.02794180345</v>
      </c>
      <c r="L661" s="35">
        <f>'7company_info'!B661</f>
        <v>93.82</v>
      </c>
      <c r="M661" s="35">
        <f>'7company_info'!C661</f>
        <v>95.67</v>
      </c>
      <c r="N661" s="35">
        <f>'7company_info'!D661</f>
        <v>93.36</v>
      </c>
      <c r="O661" s="35">
        <f>'7company_info'!E661</f>
        <v>-0.41</v>
      </c>
      <c r="P661" s="35">
        <f>'7company_info'!F661</f>
        <v>-0.0044</v>
      </c>
      <c r="Q661" s="35">
        <f>'7company_info'!G661</f>
        <v>94</v>
      </c>
      <c r="R661" s="35">
        <f>'7company_info'!H661</f>
        <v>94.23</v>
      </c>
      <c r="S661" s="35">
        <f>'7company_info'!I661</f>
        <v>80.55</v>
      </c>
      <c r="T661" s="35">
        <f>'7company_info'!J661</f>
        <v>106.85</v>
      </c>
      <c r="U661" s="39">
        <v>92.77</v>
      </c>
      <c r="V661" s="39">
        <v>94.05</v>
      </c>
      <c r="W661" s="40">
        <v>94.95</v>
      </c>
      <c r="X661" s="40">
        <v>97.13</v>
      </c>
      <c r="Y661" s="40">
        <v>91.87</v>
      </c>
      <c r="Z661" s="40">
        <v>90.59</v>
      </c>
      <c r="AA661" s="40">
        <v>88.4099999999999</v>
      </c>
      <c r="AB661" s="40">
        <v>89.21</v>
      </c>
      <c r="AC661" s="40">
        <v>91.575</v>
      </c>
      <c r="AD661" s="40">
        <v>91.5781341703704</v>
      </c>
      <c r="AE661" s="40">
        <v>88.85025</v>
      </c>
      <c r="AF661" s="40">
        <v>1.564875</v>
      </c>
      <c r="AG661" s="40">
        <v>99.86</v>
      </c>
      <c r="AH661" s="45">
        <v>44306.0</v>
      </c>
      <c r="AI661" s="44" t="str">
        <f>'6image_RS_benchmark_performance'!B661</f>
        <v>https://3arbzfbsh-cname-us.ngrok.io/Desktop/seabridge%20fintech/image_app/WEC_resistance_support.jpg</v>
      </c>
      <c r="AJ661" s="44" t="str">
        <f>'6image_RS_benchmark_performance'!C661</f>
        <v>https://3arbzfbsh-cname-us.ngrok.io/Desktop/seabridge%20fintech/profit_graph_app/WEC_Return.jpg</v>
      </c>
      <c r="AK661" s="46" t="str">
        <f>'5price_action_icon'!B661</f>
        <v>https://3arbzfbsh-cname-us.ngrok.io/Desktop/seabridge%20fintech/icon/WEC_pa_trend_signal</v>
      </c>
      <c r="AL661" s="42">
        <f>'1kpi_performance'!B661</f>
        <v>0.3941450222</v>
      </c>
      <c r="AM661" s="42">
        <f>'1kpi_performance'!C661</f>
        <v>0.4512768123</v>
      </c>
      <c r="AN661" s="42">
        <f>'1kpi_performance'!D661</f>
        <v>0.425979995</v>
      </c>
      <c r="AO661" s="42">
        <f>'1kpi_performance'!E661</f>
        <v>0.177603863</v>
      </c>
      <c r="AP661" s="42">
        <f>'1kpi_performance'!F661</f>
        <v>0.1507127403</v>
      </c>
      <c r="AQ661" s="42">
        <f>'1kpi_performance'!G661</f>
        <v>0.1702944556</v>
      </c>
      <c r="AR661" s="42">
        <f>'1kpi_performance'!H661</f>
        <v>0.1406976243</v>
      </c>
      <c r="AS661" s="42">
        <f>'1kpi_performance'!I661</f>
        <v>0.2414014541</v>
      </c>
      <c r="AT661" s="35">
        <f>'1kpi_performance'!J661</f>
        <v>2.449328581</v>
      </c>
      <c r="AU661" s="35">
        <f>'1kpi_performance'!K661</f>
        <v>2.503174932</v>
      </c>
      <c r="AV661" s="35">
        <f>'1kpi_performance'!L661</f>
        <v>2.849941475</v>
      </c>
      <c r="AW661" s="35">
        <f>'1kpi_performance'!M661</f>
        <v>0.6321580109</v>
      </c>
      <c r="AX661" s="42">
        <f>'1kpi_performance'!N661</f>
        <v>0.08790113614</v>
      </c>
      <c r="AY661" s="42">
        <f>'1kpi_performance'!O661</f>
        <v>0.18897442</v>
      </c>
      <c r="AZ661" s="42">
        <f>'1kpi_performance'!P661</f>
        <v>0.09108716944</v>
      </c>
      <c r="BA661" s="42">
        <f>'1kpi_performance'!Q661</f>
        <v>0.3230519481</v>
      </c>
      <c r="BB661" s="35">
        <f>'1kpi_performance'!R661</f>
        <v>5.025782849</v>
      </c>
      <c r="BC661" s="35">
        <f>'1kpi_performance'!S661</f>
        <v>5.035151602</v>
      </c>
      <c r="BD661" s="35">
        <f>'1kpi_performance'!T661</f>
        <v>6.025635082</v>
      </c>
      <c r="BE661" s="35">
        <f>'1kpi_performance'!U661</f>
        <v>1.172560871</v>
      </c>
      <c r="BF661" s="47"/>
      <c r="BG661" s="47"/>
      <c r="BH661" s="47"/>
      <c r="BI661" s="47"/>
      <c r="BJ661" s="47"/>
      <c r="BK661" s="47"/>
      <c r="BL661" s="47"/>
      <c r="BM661" s="47"/>
      <c r="BN661" s="47"/>
      <c r="BO661" s="47"/>
      <c r="BP661" s="47"/>
      <c r="BQ661" s="47"/>
      <c r="BR661" s="47"/>
      <c r="BS661" s="47"/>
      <c r="BT661" s="47"/>
    </row>
    <row r="662" ht="11.25" customHeight="1">
      <c r="A662" s="35" t="str">
        <f>'13all_company_profile'!A662</f>
        <v>WELL</v>
      </c>
      <c r="B662" s="35" t="str">
        <f>'13all_company_profile'!B662</f>
        <v>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v>
      </c>
      <c r="C662" s="44" t="str">
        <f>'13all_company_profile'!C662</f>
        <v>https://financialmodelingprep.com/image-stock/WELL.png</v>
      </c>
      <c r="D662" s="35" t="str">
        <f>'13all_company_profile'!D662</f>
        <v>Welltower Inc.</v>
      </c>
      <c r="E662" s="36">
        <f>'13all_company_profile'!E662</f>
        <v>36992360448</v>
      </c>
      <c r="F662" s="37">
        <f>'13all_company_profile'!F662</f>
        <v>1989944</v>
      </c>
      <c r="G662" s="35">
        <f>'13all_company_profile'!G662</f>
        <v>2.44</v>
      </c>
      <c r="H662" s="38">
        <f>'13all_company_profile'!H662</f>
        <v>44411</v>
      </c>
      <c r="I662" s="35">
        <f>'13all_company_profile'!I662</f>
        <v>51.190067</v>
      </c>
      <c r="J662" s="35">
        <f>'13all_company_profile'!J662</f>
        <v>1.752</v>
      </c>
      <c r="K662" s="42">
        <f t="shared" si="1"/>
        <v>0.02772097251</v>
      </c>
      <c r="L662" s="35">
        <f>'7company_info'!B662</f>
        <v>88.02</v>
      </c>
      <c r="M662" s="35">
        <f>'7company_info'!C662</f>
        <v>88.42</v>
      </c>
      <c r="N662" s="35">
        <f>'7company_info'!D662</f>
        <v>84.31</v>
      </c>
      <c r="O662" s="35">
        <f>'7company_info'!E662</f>
        <v>3.59</v>
      </c>
      <c r="P662" s="35">
        <f>'7company_info'!F662</f>
        <v>0.0425</v>
      </c>
      <c r="Q662" s="35">
        <f>'7company_info'!G662</f>
        <v>84.93</v>
      </c>
      <c r="R662" s="35">
        <f>'7company_info'!H662</f>
        <v>84.43</v>
      </c>
      <c r="S662" s="35">
        <f>'7company_info'!I662</f>
        <v>48.9</v>
      </c>
      <c r="T662" s="35">
        <f>'7company_info'!J662</f>
        <v>89.8</v>
      </c>
      <c r="U662" s="39">
        <v>87.86</v>
      </c>
      <c r="V662" s="39">
        <v>89.16</v>
      </c>
      <c r="W662" s="40">
        <v>90.12</v>
      </c>
      <c r="X662" s="40">
        <v>92.3799999999999</v>
      </c>
      <c r="Y662" s="40">
        <v>86.9</v>
      </c>
      <c r="Z662" s="40">
        <v>85.6</v>
      </c>
      <c r="AA662" s="40">
        <v>83.34</v>
      </c>
      <c r="AB662" s="40">
        <v>84.9201</v>
      </c>
      <c r="AC662" s="40">
        <v>88.82</v>
      </c>
      <c r="AD662" s="40">
        <v>83.8174033464236</v>
      </c>
      <c r="AE662" s="40">
        <v>83.69665</v>
      </c>
      <c r="AF662" s="40">
        <v>1.68567499999999</v>
      </c>
      <c r="AG662" s="40">
        <v>77.54</v>
      </c>
      <c r="AH662" s="45">
        <v>44315.0</v>
      </c>
      <c r="AI662" s="44" t="str">
        <f>'6image_RS_benchmark_performance'!B662</f>
        <v>https://3arbzfbsh-cname-us.ngrok.io/Desktop/seabridge%20fintech/image_app/WELL_resistance_support.jpg</v>
      </c>
      <c r="AJ662" s="44" t="str">
        <f>'6image_RS_benchmark_performance'!C662</f>
        <v>https://3arbzfbsh-cname-us.ngrok.io/Desktop/seabridge%20fintech/profit_graph_app/WELL_Return.jpg</v>
      </c>
      <c r="AK662" s="46" t="str">
        <f>'5price_action_icon'!B662</f>
        <v>https://3arbzfbsh-cname-us.ngrok.io/Desktop/seabridge%20fintech/icon/WELL_pa_trend_signal</v>
      </c>
      <c r="AL662" s="42">
        <f>'1kpi_performance'!B662</f>
        <v>0.5107087755</v>
      </c>
      <c r="AM662" s="42">
        <f>'1kpi_performance'!C662</f>
        <v>0.6063179764</v>
      </c>
      <c r="AN662" s="42">
        <f>'1kpi_performance'!D662</f>
        <v>0.5593607969</v>
      </c>
      <c r="AO662" s="42">
        <f>'1kpi_performance'!E662</f>
        <v>0.08996723294</v>
      </c>
      <c r="AP662" s="42">
        <f>'1kpi_performance'!F662</f>
        <v>0.2384734877</v>
      </c>
      <c r="AQ662" s="42">
        <f>'1kpi_performance'!G662</f>
        <v>0.2307716233</v>
      </c>
      <c r="AR662" s="42">
        <f>'1kpi_performance'!H662</f>
        <v>0.2424885968</v>
      </c>
      <c r="AS662" s="42">
        <f>'1kpi_performance'!I662</f>
        <v>0.3596050564</v>
      </c>
      <c r="AT662" s="35">
        <f>'1kpi_performance'!J662</f>
        <v>2.036741192</v>
      </c>
      <c r="AU662" s="35">
        <f>'1kpi_performance'!K662</f>
        <v>2.519018449</v>
      </c>
      <c r="AV662" s="35">
        <f>'1kpi_performance'!L662</f>
        <v>2.203653302</v>
      </c>
      <c r="AW662" s="35">
        <f>'1kpi_performance'!M662</f>
        <v>0.1806627348</v>
      </c>
      <c r="AX662" s="42">
        <f>'1kpi_performance'!N662</f>
        <v>0.2608609403</v>
      </c>
      <c r="AY662" s="42">
        <f>'1kpi_performance'!O662</f>
        <v>0.2608609403</v>
      </c>
      <c r="AZ662" s="42">
        <f>'1kpi_performance'!P662</f>
        <v>0.2831962415</v>
      </c>
      <c r="BA662" s="42">
        <f>'1kpi_performance'!Q662</f>
        <v>0.640709496</v>
      </c>
      <c r="BB662" s="35">
        <f>'1kpi_performance'!R662</f>
        <v>4.22329129</v>
      </c>
      <c r="BC662" s="35">
        <f>'1kpi_performance'!S662</f>
        <v>5.473299288</v>
      </c>
      <c r="BD662" s="35">
        <f>'1kpi_performance'!T662</f>
        <v>4.642669048</v>
      </c>
      <c r="BE662" s="35">
        <f>'1kpi_performance'!U662</f>
        <v>0.3297237621</v>
      </c>
      <c r="BF662" s="47"/>
      <c r="BG662" s="47"/>
      <c r="BH662" s="47"/>
      <c r="BI662" s="47"/>
      <c r="BJ662" s="47"/>
      <c r="BK662" s="47"/>
      <c r="BL662" s="47"/>
      <c r="BM662" s="47"/>
      <c r="BN662" s="47"/>
      <c r="BO662" s="47"/>
      <c r="BP662" s="47"/>
      <c r="BQ662" s="47"/>
      <c r="BR662" s="47"/>
      <c r="BS662" s="47"/>
      <c r="BT662" s="47"/>
    </row>
    <row r="663" ht="11.25" customHeight="1">
      <c r="A663" s="35" t="str">
        <f>'13all_company_profile'!A663</f>
        <v>WFC</v>
      </c>
      <c r="B663" s="35" t="str">
        <f>'13all_company_profile'!B663</f>
        <v>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v>
      </c>
      <c r="C663" s="44" t="str">
        <f>'13all_company_profile'!C663</f>
        <v>https://financialmodelingprep.com/image-stock/WFC.png</v>
      </c>
      <c r="D663" s="35" t="str">
        <f>'13all_company_profile'!D663</f>
        <v>Wells Fargo &amp; Company</v>
      </c>
      <c r="E663" s="36">
        <f>'13all_company_profile'!E663</f>
        <v>186010648576</v>
      </c>
      <c r="F663" s="37">
        <f>'13all_company_profile'!F663</f>
        <v>27713728</v>
      </c>
      <c r="G663" s="35">
        <f>'13all_company_profile'!G663</f>
        <v>0.4</v>
      </c>
      <c r="H663" s="38" t="str">
        <f>'13all_company_profile'!H663</f>
        <v>not avaiable</v>
      </c>
      <c r="I663" s="35">
        <f>'13all_company_profile'!I663</f>
        <v>11.817086</v>
      </c>
      <c r="J663" s="35">
        <f>'13all_company_profile'!J663</f>
        <v>3.734</v>
      </c>
      <c r="K663" s="42">
        <f t="shared" si="1"/>
        <v>0.008920606601</v>
      </c>
      <c r="L663" s="35">
        <f>'7company_info'!B663</f>
        <v>44.84</v>
      </c>
      <c r="M663" s="35">
        <f>'7company_info'!C663</f>
        <v>45.15</v>
      </c>
      <c r="N663" s="35">
        <f>'7company_info'!D663</f>
        <v>42.87</v>
      </c>
      <c r="O663" s="35">
        <f>'7company_info'!E663</f>
        <v>1.79</v>
      </c>
      <c r="P663" s="35">
        <f>'7company_info'!F663</f>
        <v>0.0416</v>
      </c>
      <c r="Q663" s="35">
        <f>'7company_info'!G663</f>
        <v>43</v>
      </c>
      <c r="R663" s="35">
        <f>'7company_info'!H663</f>
        <v>43.05</v>
      </c>
      <c r="S663" s="35">
        <f>'7company_info'!I663</f>
        <v>20.76</v>
      </c>
      <c r="T663" s="35">
        <f>'7company_info'!J663</f>
        <v>48.13</v>
      </c>
      <c r="U663" s="39">
        <v>44.1966666666666</v>
      </c>
      <c r="V663" s="39">
        <v>45.8833333333333</v>
      </c>
      <c r="W663" s="40">
        <v>46.8166666666666</v>
      </c>
      <c r="X663" s="40">
        <v>49.4366666666666</v>
      </c>
      <c r="Y663" s="40">
        <v>43.2633333333333</v>
      </c>
      <c r="Z663" s="40">
        <v>41.5766666666666</v>
      </c>
      <c r="AA663" s="40">
        <v>38.9566666666666</v>
      </c>
      <c r="AB663" s="40">
        <v>46.035</v>
      </c>
      <c r="AC663" s="40">
        <v>44.82</v>
      </c>
      <c r="AD663" s="40">
        <v>44.4392370112599</v>
      </c>
      <c r="AE663" s="40">
        <v>40.5469</v>
      </c>
      <c r="AF663" s="40">
        <v>1.4363</v>
      </c>
      <c r="AG663" s="40">
        <v>48.13</v>
      </c>
      <c r="AH663" s="45">
        <v>44334.0</v>
      </c>
      <c r="AI663" s="44" t="str">
        <f>'6image_RS_benchmark_performance'!B663</f>
        <v>https://3arbzfbsh-cname-us.ngrok.io/Desktop/seabridge%20fintech/image_app/WFC_resistance_support.jpg</v>
      </c>
      <c r="AJ663" s="44" t="str">
        <f>'6image_RS_benchmark_performance'!C663</f>
        <v>https://3arbzfbsh-cname-us.ngrok.io/Desktop/seabridge%20fintech/profit_graph_app/WFC_Return.jpg</v>
      </c>
      <c r="AK663" s="46" t="str">
        <f>'5price_action_icon'!B663</f>
        <v>https://3arbzfbsh-cname-us.ngrok.io/Desktop/seabridge%20fintech/icon/WFC_pa_trend_signal</v>
      </c>
      <c r="AL663" s="42">
        <f>'1kpi_performance'!B663</f>
        <v>0.4428512056</v>
      </c>
      <c r="AM663" s="42">
        <f>'1kpi_performance'!C663</f>
        <v>0.6072247296</v>
      </c>
      <c r="AN663" s="42">
        <f>'1kpi_performance'!D663</f>
        <v>0.5888527983</v>
      </c>
      <c r="AO663" s="42">
        <f>'1kpi_performance'!E663</f>
        <v>0.06075822231</v>
      </c>
      <c r="AP663" s="42">
        <f>'1kpi_performance'!F663</f>
        <v>0.24845291</v>
      </c>
      <c r="AQ663" s="42">
        <f>'1kpi_performance'!G663</f>
        <v>0.2158899801</v>
      </c>
      <c r="AR663" s="42">
        <f>'1kpi_performance'!H663</f>
        <v>0.2139889554</v>
      </c>
      <c r="AS663" s="42">
        <f>'1kpi_performance'!I663</f>
        <v>0.3559222091</v>
      </c>
      <c r="AT663" s="35">
        <f>'1kpi_performance'!J663</f>
        <v>1.681812483</v>
      </c>
      <c r="AU663" s="35">
        <f>'1kpi_performance'!K663</f>
        <v>2.696858508</v>
      </c>
      <c r="AV663" s="35">
        <f>'1kpi_performance'!L663</f>
        <v>2.634962151</v>
      </c>
      <c r="AW663" s="35">
        <f>'1kpi_performance'!M663</f>
        <v>0.100466398</v>
      </c>
      <c r="AX663" s="42">
        <f>'1kpi_performance'!N663</f>
        <v>0.2377600755</v>
      </c>
      <c r="AY663" s="42">
        <f>'1kpi_performance'!O663</f>
        <v>0.143373494</v>
      </c>
      <c r="AZ663" s="42">
        <f>'1kpi_performance'!P663</f>
        <v>0.2634311042</v>
      </c>
      <c r="BA663" s="42">
        <f>'1kpi_performance'!Q663</f>
        <v>0.6793568937</v>
      </c>
      <c r="BB663" s="35">
        <f>'1kpi_performance'!R663</f>
        <v>3.473452882</v>
      </c>
      <c r="BC663" s="35">
        <f>'1kpi_performance'!S663</f>
        <v>6.228594924</v>
      </c>
      <c r="BD663" s="35">
        <f>'1kpi_performance'!T663</f>
        <v>5.878766347</v>
      </c>
      <c r="BE663" s="35">
        <f>'1kpi_performance'!U663</f>
        <v>0.1948988513</v>
      </c>
      <c r="BF663" s="47"/>
      <c r="BG663" s="47"/>
      <c r="BH663" s="47"/>
      <c r="BI663" s="47"/>
      <c r="BJ663" s="47"/>
      <c r="BK663" s="47"/>
      <c r="BL663" s="47"/>
      <c r="BM663" s="47"/>
      <c r="BN663" s="47"/>
      <c r="BO663" s="47"/>
      <c r="BP663" s="47"/>
      <c r="BQ663" s="47"/>
      <c r="BR663" s="47"/>
      <c r="BS663" s="47"/>
      <c r="BT663" s="47"/>
    </row>
    <row r="664" ht="11.25" customHeight="1">
      <c r="A664" s="35" t="str">
        <f>'13all_company_profile'!A664</f>
        <v>WHR</v>
      </c>
      <c r="B664" s="35" t="str">
        <f>'13all_company_profile'!B664</f>
        <v>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v>
      </c>
      <c r="C664" s="44" t="str">
        <f>'13all_company_profile'!C664</f>
        <v>https://financialmodelingprep.com/image-stock/WHR.png</v>
      </c>
      <c r="D664" s="35" t="str">
        <f>'13all_company_profile'!D664</f>
        <v>Whirlpool Corporation</v>
      </c>
      <c r="E664" s="36">
        <f>'13all_company_profile'!E664</f>
        <v>13962199040</v>
      </c>
      <c r="F664" s="37">
        <f>'13all_company_profile'!F664</f>
        <v>617395</v>
      </c>
      <c r="G664" s="35">
        <f>'13all_company_profile'!G664</f>
        <v>5.1</v>
      </c>
      <c r="H664" s="38">
        <f>'13all_company_profile'!H664</f>
        <v>44398</v>
      </c>
      <c r="I664" s="35">
        <f>'13all_company_profile'!I664</f>
        <v>10.271972</v>
      </c>
      <c r="J664" s="35">
        <f>'13all_company_profile'!J664</f>
        <v>21.436</v>
      </c>
      <c r="K664" s="42">
        <f t="shared" si="1"/>
        <v>0.02392344498</v>
      </c>
      <c r="L664" s="35">
        <f>'7company_info'!B664</f>
        <v>213.18</v>
      </c>
      <c r="M664" s="35">
        <f>'7company_info'!C664</f>
        <v>213.82</v>
      </c>
      <c r="N664" s="35">
        <f>'7company_info'!D664</f>
        <v>205.95</v>
      </c>
      <c r="O664" s="35">
        <f>'7company_info'!E664</f>
        <v>0.79</v>
      </c>
      <c r="P664" s="35">
        <f>'7company_info'!F664</f>
        <v>0.0037</v>
      </c>
      <c r="Q664" s="35">
        <f>'7company_info'!G664</f>
        <v>210.63</v>
      </c>
      <c r="R664" s="35">
        <f>'7company_info'!H664</f>
        <v>212.39</v>
      </c>
      <c r="S664" s="35">
        <f>'7company_info'!I664</f>
        <v>141.21</v>
      </c>
      <c r="T664" s="35">
        <f>'7company_info'!J664</f>
        <v>257.68</v>
      </c>
      <c r="U664" s="39">
        <v>221.653333333333</v>
      </c>
      <c r="V664" s="39">
        <v>223.276666666666</v>
      </c>
      <c r="W664" s="40">
        <v>225.223333333333</v>
      </c>
      <c r="X664" s="40">
        <v>228.793333333333</v>
      </c>
      <c r="Y664" s="40">
        <v>219.706666666666</v>
      </c>
      <c r="Z664" s="40">
        <v>218.083333333333</v>
      </c>
      <c r="AA664" s="40">
        <v>214.513333333333</v>
      </c>
      <c r="AB664" s="40">
        <v>217.59</v>
      </c>
      <c r="AC664" s="40">
        <v>219.75</v>
      </c>
      <c r="AD664" s="40">
        <v>221.363810214103</v>
      </c>
      <c r="AE664" s="40">
        <v>209.00652</v>
      </c>
      <c r="AF664" s="40">
        <v>4.915115</v>
      </c>
      <c r="AG664" s="40">
        <v>257.68</v>
      </c>
      <c r="AH664" s="45">
        <v>44326.0</v>
      </c>
      <c r="AI664" s="44" t="str">
        <f>'6image_RS_benchmark_performance'!B664</f>
        <v>https://3arbzfbsh-cname-us.ngrok.io/Desktop/seabridge%20fintech/image_app/WHR_resistance_support.jpg</v>
      </c>
      <c r="AJ664" s="44" t="str">
        <f>'6image_RS_benchmark_performance'!C664</f>
        <v>https://3arbzfbsh-cname-us.ngrok.io/Desktop/seabridge%20fintech/profit_graph_app/WHR_Return.jpg</v>
      </c>
      <c r="AK664" s="46" t="str">
        <f>'5price_action_icon'!B664</f>
        <v>https://3arbzfbsh-cname-us.ngrok.io/Desktop/seabridge%20fintech/icon/WHR_pa_trend_signal</v>
      </c>
      <c r="AL664" s="42">
        <f>'1kpi_performance'!B664</f>
        <v>0.7624891988</v>
      </c>
      <c r="AM664" s="42">
        <f>'1kpi_performance'!C664</f>
        <v>1.133217978</v>
      </c>
      <c r="AN664" s="42">
        <f>'1kpi_performance'!D664</f>
        <v>0.7003343997</v>
      </c>
      <c r="AO664" s="42">
        <f>'1kpi_performance'!E664</f>
        <v>0.1372841958</v>
      </c>
      <c r="AP664" s="42">
        <f>'1kpi_performance'!F664</f>
        <v>0.2879663398</v>
      </c>
      <c r="AQ664" s="42">
        <f>'1kpi_performance'!G664</f>
        <v>0.2714122331</v>
      </c>
      <c r="AR664" s="42">
        <f>'1kpi_performance'!H664</f>
        <v>0.2729537094</v>
      </c>
      <c r="AS664" s="42">
        <f>'1kpi_performance'!I664</f>
        <v>0.4303921693</v>
      </c>
      <c r="AT664" s="35">
        <f>'1kpi_performance'!J664</f>
        <v>2.561025707</v>
      </c>
      <c r="AU664" s="35">
        <f>'1kpi_performance'!K664</f>
        <v>4.083154121</v>
      </c>
      <c r="AV664" s="35">
        <f>'1kpi_performance'!L664</f>
        <v>2.474171907</v>
      </c>
      <c r="AW664" s="35">
        <f>'1kpi_performance'!M664</f>
        <v>0.2608881012</v>
      </c>
      <c r="AX664" s="42">
        <f>'1kpi_performance'!N664</f>
        <v>0.287255644</v>
      </c>
      <c r="AY664" s="42">
        <f>'1kpi_performance'!O664</f>
        <v>0.128344764</v>
      </c>
      <c r="AZ664" s="42">
        <f>'1kpi_performance'!P664</f>
        <v>0.2921985197</v>
      </c>
      <c r="BA664" s="42">
        <f>'1kpi_performance'!Q664</f>
        <v>0.7013023256</v>
      </c>
      <c r="BB664" s="35">
        <f>'1kpi_performance'!R664</f>
        <v>5.199821861</v>
      </c>
      <c r="BC664" s="35">
        <f>'1kpi_performance'!S664</f>
        <v>10.14374779</v>
      </c>
      <c r="BD664" s="35">
        <f>'1kpi_performance'!T664</f>
        <v>5.291297357</v>
      </c>
      <c r="BE664" s="35">
        <f>'1kpi_performance'!U664</f>
        <v>0.5054797897</v>
      </c>
      <c r="BF664" s="47"/>
      <c r="BG664" s="47"/>
      <c r="BH664" s="47"/>
      <c r="BI664" s="47"/>
      <c r="BJ664" s="47"/>
      <c r="BK664" s="47"/>
      <c r="BL664" s="47"/>
      <c r="BM664" s="47"/>
      <c r="BN664" s="47"/>
      <c r="BO664" s="47"/>
      <c r="BP664" s="47"/>
      <c r="BQ664" s="47"/>
      <c r="BR664" s="47"/>
      <c r="BS664" s="47"/>
      <c r="BT664" s="47"/>
    </row>
    <row r="665" ht="11.25" customHeight="1">
      <c r="A665" s="35" t="str">
        <f>'13all_company_profile'!A665</f>
        <v>WLTW</v>
      </c>
      <c r="B665" s="35" t="str">
        <f>'13all_company_profile'!B665</f>
        <v>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v>
      </c>
      <c r="C665" s="44" t="str">
        <f>'13all_company_profile'!C665</f>
        <v>https://financialmodelingprep.com/image-stock/WLTW.png</v>
      </c>
      <c r="D665" s="35" t="str">
        <f>'13all_company_profile'!D665</f>
        <v>Willis Towers Watson Public Limited Company</v>
      </c>
      <c r="E665" s="36">
        <f>'13all_company_profile'!E665</f>
        <v>28621287424</v>
      </c>
      <c r="F665" s="37">
        <f>'13all_company_profile'!F665</f>
        <v>1062134</v>
      </c>
      <c r="G665" s="35">
        <f>'13all_company_profile'!G665</f>
        <v>2.81</v>
      </c>
      <c r="H665" s="38">
        <f>'13all_company_profile'!H665</f>
        <v>44405</v>
      </c>
      <c r="I665" s="35">
        <f>'13all_company_profile'!I665</f>
        <v>20.300732</v>
      </c>
      <c r="J665" s="35">
        <f>'13all_company_profile'!J665</f>
        <v>10.94</v>
      </c>
      <c r="K665" s="42">
        <f t="shared" si="1"/>
        <v>0.01279016841</v>
      </c>
      <c r="L665" s="35">
        <f>'7company_info'!B665</f>
        <v>219.7</v>
      </c>
      <c r="M665" s="35">
        <f>'7company_info'!C665</f>
        <v>221.43</v>
      </c>
      <c r="N665" s="35">
        <f>'7company_info'!D665</f>
        <v>217.02</v>
      </c>
      <c r="O665" s="35">
        <f>'7company_info'!E665</f>
        <v>3.61</v>
      </c>
      <c r="P665" s="35">
        <f>'7company_info'!F665</f>
        <v>0.0167</v>
      </c>
      <c r="Q665" s="35">
        <f>'7company_info'!G665</f>
        <v>217.02</v>
      </c>
      <c r="R665" s="35">
        <f>'7company_info'!H665</f>
        <v>216.09</v>
      </c>
      <c r="S665" s="35">
        <f>'7company_info'!I665</f>
        <v>179.31</v>
      </c>
      <c r="T665" s="35">
        <f>'7company_info'!J665</f>
        <v>271.87</v>
      </c>
      <c r="U665" s="39">
        <v>222.759433333333</v>
      </c>
      <c r="V665" s="39">
        <v>224.290566666666</v>
      </c>
      <c r="W665" s="40">
        <v>225.531133333333</v>
      </c>
      <c r="X665" s="40">
        <v>228.302833333333</v>
      </c>
      <c r="Y665" s="40">
        <v>221.518866666666</v>
      </c>
      <c r="Z665" s="40">
        <v>219.987733333333</v>
      </c>
      <c r="AA665" s="40">
        <v>217.216033333333</v>
      </c>
      <c r="AB665" s="40">
        <v>252.34</v>
      </c>
      <c r="AC665" s="40">
        <v>233.03</v>
      </c>
      <c r="AD665" s="40">
        <v>232.728283997917</v>
      </c>
      <c r="AE665" s="40">
        <v>213.246</v>
      </c>
      <c r="AF665" s="40">
        <v>5.31958499999999</v>
      </c>
      <c r="AG665" s="40">
        <v>271.87</v>
      </c>
      <c r="AH665" s="45">
        <v>44326.0</v>
      </c>
      <c r="AI665" s="44" t="str">
        <f>'6image_RS_benchmark_performance'!B665</f>
        <v>https://3arbzfbsh-cname-us.ngrok.io/Desktop/seabridge%20fintech/image_app/WLTW_resistance_support.jpg</v>
      </c>
      <c r="AJ665" s="44" t="str">
        <f>'6image_RS_benchmark_performance'!C665</f>
        <v>https://3arbzfbsh-cname-us.ngrok.io/Desktop/seabridge%20fintech/profit_graph_app/WLTW_Return.jpg</v>
      </c>
      <c r="AK665" s="46" t="str">
        <f>'5price_action_icon'!B665</f>
        <v>https://3arbzfbsh-cname-us.ngrok.io/Desktop/seabridge%20fintech/icon/WLTW_pa_trend_signal</v>
      </c>
      <c r="AL665" s="42">
        <f>'1kpi_performance'!B665</f>
        <v>0.3869365212</v>
      </c>
      <c r="AM665" s="42">
        <f>'1kpi_performance'!C665</f>
        <v>0.4922266984</v>
      </c>
      <c r="AN665" s="42">
        <f>'1kpi_performance'!D665</f>
        <v>0.4758645894</v>
      </c>
      <c r="AO665" s="42">
        <f>'1kpi_performance'!E665</f>
        <v>0.1498936741</v>
      </c>
      <c r="AP665" s="42">
        <f>'1kpi_performance'!F665</f>
        <v>0.1720829767</v>
      </c>
      <c r="AQ665" s="42">
        <f>'1kpi_performance'!G665</f>
        <v>0.1670205394</v>
      </c>
      <c r="AR665" s="42">
        <f>'1kpi_performance'!H665</f>
        <v>0.1977410628</v>
      </c>
      <c r="AS665" s="42">
        <f>'1kpi_performance'!I665</f>
        <v>0.2651643195</v>
      </c>
      <c r="AT665" s="35">
        <f>'1kpi_performance'!J665</f>
        <v>2.103267435</v>
      </c>
      <c r="AU665" s="35">
        <f>'1kpi_performance'!K665</f>
        <v>2.797420605</v>
      </c>
      <c r="AV665" s="35">
        <f>'1kpi_performance'!L665</f>
        <v>2.280075686</v>
      </c>
      <c r="AW665" s="35">
        <f>'1kpi_performance'!M665</f>
        <v>0.4710048256</v>
      </c>
      <c r="AX665" s="42">
        <f>'1kpi_performance'!N665</f>
        <v>0.1072043275</v>
      </c>
      <c r="AY665" s="42">
        <f>'1kpi_performance'!O665</f>
        <v>0.1120304569</v>
      </c>
      <c r="AZ665" s="42">
        <f>'1kpi_performance'!P665</f>
        <v>0.2855967078</v>
      </c>
      <c r="BA665" s="42">
        <f>'1kpi_performance'!Q665</f>
        <v>0.329455603</v>
      </c>
      <c r="BB665" s="35">
        <f>'1kpi_performance'!R665</f>
        <v>4.381388984</v>
      </c>
      <c r="BC665" s="35">
        <f>'1kpi_performance'!S665</f>
        <v>6.370369551</v>
      </c>
      <c r="BD665" s="35">
        <f>'1kpi_performance'!T665</f>
        <v>4.480103127</v>
      </c>
      <c r="BE665" s="35">
        <f>'1kpi_performance'!U665</f>
        <v>0.8752621311</v>
      </c>
      <c r="BF665" s="47"/>
      <c r="BG665" s="47"/>
      <c r="BH665" s="47"/>
      <c r="BI665" s="47"/>
      <c r="BJ665" s="47"/>
      <c r="BK665" s="47"/>
      <c r="BL665" s="47"/>
      <c r="BM665" s="47"/>
      <c r="BN665" s="47"/>
      <c r="BO665" s="47"/>
      <c r="BP665" s="47"/>
      <c r="BQ665" s="47"/>
      <c r="BR665" s="47"/>
      <c r="BS665" s="47"/>
      <c r="BT665" s="47"/>
    </row>
    <row r="666" ht="11.25" customHeight="1">
      <c r="A666" s="35" t="str">
        <f>'13all_company_profile'!A666</f>
        <v>WM</v>
      </c>
      <c r="B666" s="35" t="str">
        <f>'13all_company_profile'!B666</f>
        <v>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v>
      </c>
      <c r="C666" s="44" t="str">
        <f>'13all_company_profile'!C666</f>
        <v>https://financialmodelingprep.com/image-stock/WM.png</v>
      </c>
      <c r="D666" s="35" t="str">
        <f>'13all_company_profile'!D666</f>
        <v>Waste Management, Inc.</v>
      </c>
      <c r="E666" s="36">
        <f>'13all_company_profile'!E666</f>
        <v>61360381952</v>
      </c>
      <c r="F666" s="37">
        <f>'13all_company_profile'!F666</f>
        <v>1318400</v>
      </c>
      <c r="G666" s="35">
        <f>'13all_company_profile'!G666</f>
        <v>2.24</v>
      </c>
      <c r="H666" s="38">
        <f>'13all_company_profile'!H666</f>
        <v>44404</v>
      </c>
      <c r="I666" s="35">
        <f>'13all_company_profile'!I666</f>
        <v>40.00273</v>
      </c>
      <c r="J666" s="35">
        <f>'13all_company_profile'!J666</f>
        <v>3.66</v>
      </c>
      <c r="K666" s="42">
        <f t="shared" si="1"/>
        <v>0.0154301853</v>
      </c>
      <c r="L666" s="35">
        <f>'7company_info'!B666</f>
        <v>145.17</v>
      </c>
      <c r="M666" s="35">
        <f>'7company_info'!C666</f>
        <v>146.39</v>
      </c>
      <c r="N666" s="35">
        <f>'7company_info'!D666</f>
        <v>143.91</v>
      </c>
      <c r="O666" s="35">
        <f>'7company_info'!E666</f>
        <v>1.54</v>
      </c>
      <c r="P666" s="35">
        <f>'7company_info'!F666</f>
        <v>0.0107</v>
      </c>
      <c r="Q666" s="35">
        <f>'7company_info'!G666</f>
        <v>143.95</v>
      </c>
      <c r="R666" s="35">
        <f>'7company_info'!H666</f>
        <v>143.63</v>
      </c>
      <c r="S666" s="35">
        <f>'7company_info'!I666</f>
        <v>106.11</v>
      </c>
      <c r="T666" s="35">
        <f>'7company_info'!J666</f>
        <v>146.92</v>
      </c>
      <c r="U666" s="39">
        <v>143.563333333333</v>
      </c>
      <c r="V666" s="39">
        <v>144.516666666666</v>
      </c>
      <c r="W666" s="40">
        <v>145.043333333333</v>
      </c>
      <c r="X666" s="40">
        <v>146.523333333333</v>
      </c>
      <c r="Y666" s="40">
        <v>143.036666666666</v>
      </c>
      <c r="Z666" s="40">
        <v>142.083333333333</v>
      </c>
      <c r="AA666" s="40">
        <v>140.603333333333</v>
      </c>
      <c r="AB666" s="40">
        <v>139.01</v>
      </c>
      <c r="AC666" s="40">
        <v>144.74</v>
      </c>
      <c r="AD666" s="40">
        <v>141.429082585289</v>
      </c>
      <c r="AE666" s="40">
        <v>139.41092</v>
      </c>
      <c r="AF666" s="40">
        <v>1.54853999999999</v>
      </c>
      <c r="AG666" s="40">
        <v>144.74</v>
      </c>
      <c r="AH666" s="45">
        <v>44384.0</v>
      </c>
      <c r="AI666" s="44" t="str">
        <f>'6image_RS_benchmark_performance'!B666</f>
        <v>https://3arbzfbsh-cname-us.ngrok.io/Desktop/seabridge%20fintech/image_app/WM_resistance_support.jpg</v>
      </c>
      <c r="AJ666" s="44" t="str">
        <f>'6image_RS_benchmark_performance'!C666</f>
        <v>https://3arbzfbsh-cname-us.ngrok.io/Desktop/seabridge%20fintech/profit_graph_app/WM_Return.jpg</v>
      </c>
      <c r="AK666" s="46" t="str">
        <f>'5price_action_icon'!B666</f>
        <v>https://3arbzfbsh-cname-us.ngrok.io/Desktop/seabridge%20fintech/icon/WM_pa_trend_signal</v>
      </c>
      <c r="AL666" s="42">
        <f>'1kpi_performance'!B666</f>
        <v>0.3892436672</v>
      </c>
      <c r="AM666" s="42">
        <f>'1kpi_performance'!C666</f>
        <v>0.5080925564</v>
      </c>
      <c r="AN666" s="42">
        <f>'1kpi_performance'!D666</f>
        <v>0.4990965086</v>
      </c>
      <c r="AO666" s="42">
        <f>'1kpi_performance'!E666</f>
        <v>0.2010591703</v>
      </c>
      <c r="AP666" s="42">
        <f>'1kpi_performance'!F666</f>
        <v>0.1417822034</v>
      </c>
      <c r="AQ666" s="42">
        <f>'1kpi_performance'!G666</f>
        <v>0.1413795003</v>
      </c>
      <c r="AR666" s="42">
        <f>'1kpi_performance'!H666</f>
        <v>0.1359200983</v>
      </c>
      <c r="AS666" s="42">
        <f>'1kpi_performance'!I666</f>
        <v>0.2243537458</v>
      </c>
      <c r="AT666" s="35">
        <f>'1kpi_performance'!J666</f>
        <v>2.569036582</v>
      </c>
      <c r="AU666" s="35">
        <f>'1kpi_performance'!K666</f>
        <v>3.41699154</v>
      </c>
      <c r="AV666" s="35">
        <f>'1kpi_performance'!L666</f>
        <v>3.488053013</v>
      </c>
      <c r="AW666" s="35">
        <f>'1kpi_performance'!M666</f>
        <v>0.7847391613</v>
      </c>
      <c r="AX666" s="42">
        <f>'1kpi_performance'!N666</f>
        <v>0.1008849558</v>
      </c>
      <c r="AY666" s="42">
        <f>'1kpi_performance'!O666</f>
        <v>0.06833485743</v>
      </c>
      <c r="AZ666" s="42">
        <f>'1kpi_performance'!P666</f>
        <v>0.1257703089</v>
      </c>
      <c r="BA666" s="42">
        <f>'1kpi_performance'!Q666</f>
        <v>0.3038345746</v>
      </c>
      <c r="BB666" s="35">
        <f>'1kpi_performance'!R666</f>
        <v>5.419761818</v>
      </c>
      <c r="BC666" s="35">
        <f>'1kpi_performance'!S666</f>
        <v>7.957761644</v>
      </c>
      <c r="BD666" s="35">
        <f>'1kpi_performance'!T666</f>
        <v>8.144778501</v>
      </c>
      <c r="BE666" s="35">
        <f>'1kpi_performance'!U666</f>
        <v>1.477000756</v>
      </c>
      <c r="BF666" s="47"/>
      <c r="BG666" s="47"/>
      <c r="BH666" s="47"/>
      <c r="BI666" s="47"/>
      <c r="BJ666" s="47"/>
      <c r="BK666" s="47"/>
      <c r="BL666" s="47"/>
      <c r="BM666" s="47"/>
      <c r="BN666" s="47"/>
      <c r="BO666" s="47"/>
      <c r="BP666" s="47"/>
      <c r="BQ666" s="47"/>
      <c r="BR666" s="47"/>
      <c r="BS666" s="47"/>
      <c r="BT666" s="47"/>
    </row>
    <row r="667" ht="11.25" customHeight="1">
      <c r="A667" s="35" t="str">
        <f>'13all_company_profile'!A667</f>
        <v>WMB</v>
      </c>
      <c r="B667" s="35" t="str">
        <f>'13all_company_profile'!B667</f>
        <v>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v>
      </c>
      <c r="C667" s="44" t="str">
        <f>'13all_company_profile'!C667</f>
        <v>https://financialmodelingprep.com/image-stock/WMB.png</v>
      </c>
      <c r="D667" s="35" t="str">
        <f>'13all_company_profile'!D667</f>
        <v>The Williams Companies, Inc.</v>
      </c>
      <c r="E667" s="36">
        <f>'13all_company_profile'!E667</f>
        <v>31049263104</v>
      </c>
      <c r="F667" s="37">
        <f>'13all_company_profile'!F667</f>
        <v>7210269</v>
      </c>
      <c r="G667" s="35">
        <f>'13all_company_profile'!G667</f>
        <v>1.62</v>
      </c>
      <c r="H667" s="38">
        <f>'13all_company_profile'!H667</f>
        <v>44410</v>
      </c>
      <c r="I667" s="35">
        <f>'13all_company_profile'!I667</f>
        <v>26.650843</v>
      </c>
      <c r="J667" s="35">
        <f>'13all_company_profile'!J667</f>
        <v>0.948</v>
      </c>
      <c r="K667" s="42">
        <f t="shared" si="1"/>
        <v>0.0647223332</v>
      </c>
      <c r="L667" s="35">
        <f>'7company_info'!B667</f>
        <v>25.03</v>
      </c>
      <c r="M667" s="35">
        <f>'7company_info'!C667</f>
        <v>25.23</v>
      </c>
      <c r="N667" s="35">
        <f>'7company_info'!D667</f>
        <v>24.67</v>
      </c>
      <c r="O667" s="35">
        <f>'7company_info'!E667</f>
        <v>0.31</v>
      </c>
      <c r="P667" s="35">
        <f>'7company_info'!F667</f>
        <v>0.0125</v>
      </c>
      <c r="Q667" s="35">
        <f>'7company_info'!G667</f>
        <v>24.84</v>
      </c>
      <c r="R667" s="35">
        <f>'7company_info'!H667</f>
        <v>24.72</v>
      </c>
      <c r="S667" s="35">
        <f>'7company_info'!I667</f>
        <v>18.26</v>
      </c>
      <c r="T667" s="35">
        <f>'7company_info'!J667</f>
        <v>28.35</v>
      </c>
      <c r="U667" s="39">
        <v>25.8333333333333</v>
      </c>
      <c r="V667" s="39">
        <v>26.1416666666666</v>
      </c>
      <c r="W667" s="40">
        <v>26.6833333333333</v>
      </c>
      <c r="X667" s="40">
        <v>27.5333333333333</v>
      </c>
      <c r="Y667" s="40">
        <v>25.2916666666666</v>
      </c>
      <c r="Z667" s="40">
        <v>24.9833333333333</v>
      </c>
      <c r="AA667" s="40">
        <v>24.1333333333333</v>
      </c>
      <c r="AB667" s="40">
        <v>27.0967</v>
      </c>
      <c r="AC667" s="40">
        <v>26.603</v>
      </c>
      <c r="AD667" s="40">
        <v>26.5122305670968</v>
      </c>
      <c r="AE667" s="40">
        <v>25.16713</v>
      </c>
      <c r="AF667" s="40">
        <v>0.538685000000001</v>
      </c>
      <c r="AG667" s="40">
        <v>28.35</v>
      </c>
      <c r="AH667" s="45">
        <v>44354.0</v>
      </c>
      <c r="AI667" s="44" t="str">
        <f>'6image_RS_benchmark_performance'!B667</f>
        <v>https://3arbzfbsh-cname-us.ngrok.io/Desktop/seabridge%20fintech/image_app/WMB_resistance_support.jpg</v>
      </c>
      <c r="AJ667" s="44" t="str">
        <f>'6image_RS_benchmark_performance'!C667</f>
        <v>https://3arbzfbsh-cname-us.ngrok.io/Desktop/seabridge%20fintech/profit_graph_app/WMB_Return.jpg</v>
      </c>
      <c r="AK667" s="46" t="str">
        <f>'5price_action_icon'!B667</f>
        <v>https://3arbzfbsh-cname-us.ngrok.io/Desktop/seabridge%20fintech/icon/WMB_pa_trend_signal</v>
      </c>
      <c r="AL667" s="42">
        <f>'1kpi_performance'!B667</f>
        <v>0.5639150901</v>
      </c>
      <c r="AM667" s="42">
        <f>'1kpi_performance'!C667</f>
        <v>0.839534913</v>
      </c>
      <c r="AN667" s="42">
        <f>'1kpi_performance'!D667</f>
        <v>0.4509721342</v>
      </c>
      <c r="AO667" s="42">
        <f>'1kpi_performance'!E667</f>
        <v>0.04151082744</v>
      </c>
      <c r="AP667" s="42">
        <f>'1kpi_performance'!F667</f>
        <v>0.3383497882</v>
      </c>
      <c r="AQ667" s="42">
        <f>'1kpi_performance'!G667</f>
        <v>0.3025028661</v>
      </c>
      <c r="AR667" s="42">
        <f>'1kpi_performance'!H667</f>
        <v>0.3495985374</v>
      </c>
      <c r="AS667" s="42">
        <f>'1kpi_performance'!I667</f>
        <v>0.4936641118</v>
      </c>
      <c r="AT667" s="35">
        <f>'1kpi_performance'!J667</f>
        <v>1.592775018</v>
      </c>
      <c r="AU667" s="35">
        <f>'1kpi_performance'!K667</f>
        <v>2.692651886</v>
      </c>
      <c r="AV667" s="35">
        <f>'1kpi_performance'!L667</f>
        <v>1.218460859</v>
      </c>
      <c r="AW667" s="35">
        <f>'1kpi_performance'!M667</f>
        <v>0.03344546837</v>
      </c>
      <c r="AX667" s="42">
        <f>'1kpi_performance'!N667</f>
        <v>0.5590321094</v>
      </c>
      <c r="AY667" s="42">
        <f>'1kpi_performance'!O667</f>
        <v>0.1733771683</v>
      </c>
      <c r="AZ667" s="42">
        <f>'1kpi_performance'!P667</f>
        <v>0.6953570194</v>
      </c>
      <c r="BA667" s="42">
        <f>'1kpi_performance'!Q667</f>
        <v>0.8480118304</v>
      </c>
      <c r="BB667" s="35">
        <f>'1kpi_performance'!R667</f>
        <v>3.10004485</v>
      </c>
      <c r="BC667" s="35">
        <f>'1kpi_performance'!S667</f>
        <v>6.806254293</v>
      </c>
      <c r="BD667" s="35">
        <f>'1kpi_performance'!T667</f>
        <v>2.472285974</v>
      </c>
      <c r="BE667" s="35">
        <f>'1kpi_performance'!U667</f>
        <v>0.06326971547</v>
      </c>
      <c r="BF667" s="47"/>
      <c r="BG667" s="47"/>
      <c r="BH667" s="47"/>
      <c r="BI667" s="47"/>
      <c r="BJ667" s="47"/>
      <c r="BK667" s="47"/>
      <c r="BL667" s="47"/>
      <c r="BM667" s="47"/>
      <c r="BN667" s="47"/>
      <c r="BO667" s="47"/>
      <c r="BP667" s="47"/>
      <c r="BQ667" s="47"/>
      <c r="BR667" s="47"/>
      <c r="BS667" s="47"/>
      <c r="BT667" s="47"/>
    </row>
    <row r="668" ht="11.25" customHeight="1">
      <c r="A668" s="35" t="str">
        <f>'13all_company_profile'!A668</f>
        <v>WMT</v>
      </c>
      <c r="B668" s="35" t="str">
        <f>'13all_company_profile'!B668</f>
        <v>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v>
      </c>
      <c r="C668" s="44" t="str">
        <f>'13all_company_profile'!C668</f>
        <v>https://financialmodelingprep.com/image-stock/WMT.png</v>
      </c>
      <c r="D668" s="35" t="str">
        <f>'13all_company_profile'!D668</f>
        <v>Walmart Inc.</v>
      </c>
      <c r="E668" s="36">
        <f>'13all_company_profile'!E668</f>
        <v>396952567808</v>
      </c>
      <c r="F668" s="37">
        <f>'13all_company_profile'!F668</f>
        <v>7758707</v>
      </c>
      <c r="G668" s="35">
        <f>'13all_company_profile'!G668</f>
        <v>2.18</v>
      </c>
      <c r="H668" s="38" t="str">
        <f>'13all_company_profile'!H668</f>
        <v>not avaiable</v>
      </c>
      <c r="I668" s="35">
        <f>'13all_company_profile'!I668</f>
        <v>32.82986</v>
      </c>
      <c r="J668" s="35">
        <f>'13all_company_profile'!J668</f>
        <v>4.32</v>
      </c>
      <c r="K668" s="42">
        <f t="shared" si="1"/>
        <v>0.01536618031</v>
      </c>
      <c r="L668" s="35">
        <f>'7company_info'!B668</f>
        <v>141.87</v>
      </c>
      <c r="M668" s="35">
        <f>'7company_info'!C668</f>
        <v>142.47</v>
      </c>
      <c r="N668" s="35">
        <f>'7company_info'!D668</f>
        <v>140.78</v>
      </c>
      <c r="O668" s="35">
        <f>'7company_info'!E668</f>
        <v>0.64</v>
      </c>
      <c r="P668" s="35">
        <f>'7company_info'!F668</f>
        <v>0.0045</v>
      </c>
      <c r="Q668" s="35">
        <f>'7company_info'!G668</f>
        <v>140.97</v>
      </c>
      <c r="R668" s="35">
        <f>'7company_info'!H668</f>
        <v>141.23</v>
      </c>
      <c r="S668" s="35">
        <f>'7company_info'!I668</f>
        <v>126.28</v>
      </c>
      <c r="T668" s="35">
        <f>'7company_info'!J668</f>
        <v>153.66</v>
      </c>
      <c r="U668" s="39">
        <v>141.06</v>
      </c>
      <c r="V668" s="39">
        <v>142.29</v>
      </c>
      <c r="W668" s="40">
        <v>143.03</v>
      </c>
      <c r="X668" s="40">
        <v>145.0</v>
      </c>
      <c r="Y668" s="40">
        <v>140.32</v>
      </c>
      <c r="Z668" s="40">
        <v>139.09</v>
      </c>
      <c r="AA668" s="40">
        <v>137.12</v>
      </c>
      <c r="AB668" s="40">
        <v>138.69</v>
      </c>
      <c r="AC668" s="40">
        <v>137.72</v>
      </c>
      <c r="AD668" s="40">
        <v>139.598249017551</v>
      </c>
      <c r="AE668" s="40">
        <v>136.71159</v>
      </c>
      <c r="AF668" s="40">
        <v>1.970205</v>
      </c>
      <c r="AG668" s="40">
        <v>147.86</v>
      </c>
      <c r="AH668" s="45">
        <v>44223.0</v>
      </c>
      <c r="AI668" s="44" t="str">
        <f>'6image_RS_benchmark_performance'!B668</f>
        <v>https://3arbzfbsh-cname-us.ngrok.io/Desktop/seabridge%20fintech/image_app/WMT_resistance_support.jpg</v>
      </c>
      <c r="AJ668" s="44" t="str">
        <f>'6image_RS_benchmark_performance'!C668</f>
        <v>https://3arbzfbsh-cname-us.ngrok.io/Desktop/seabridge%20fintech/profit_graph_app/WMT_Return.jpg</v>
      </c>
      <c r="AK668" s="46" t="str">
        <f>'5price_action_icon'!B668</f>
        <v>https://3arbzfbsh-cname-us.ngrok.io/Desktop/seabridge%20fintech/icon/WMT_pa_trend_signal</v>
      </c>
      <c r="AL668" s="42">
        <f>'1kpi_performance'!B668</f>
        <v>0.3217773843</v>
      </c>
      <c r="AM668" s="42">
        <f>'1kpi_performance'!C668</f>
        <v>0.4743213495</v>
      </c>
      <c r="AN668" s="42">
        <f>'1kpi_performance'!D668</f>
        <v>0.4278299669</v>
      </c>
      <c r="AO668" s="42">
        <f>'1kpi_performance'!E668</f>
        <v>0.1304330975</v>
      </c>
      <c r="AP668" s="42">
        <f>'1kpi_performance'!F668</f>
        <v>0.1591815895</v>
      </c>
      <c r="AQ668" s="42">
        <f>'1kpi_performance'!G668</f>
        <v>0.1620665212</v>
      </c>
      <c r="AR668" s="42">
        <f>'1kpi_performance'!H668</f>
        <v>0.1661430251</v>
      </c>
      <c r="AS668" s="42">
        <f>'1kpi_performance'!I668</f>
        <v>0.227200868</v>
      </c>
      <c r="AT668" s="35">
        <f>'1kpi_performance'!J668</f>
        <v>1.864395155</v>
      </c>
      <c r="AU668" s="35">
        <f>'1kpi_performance'!K668</f>
        <v>2.772450141</v>
      </c>
      <c r="AV668" s="35">
        <f>'1kpi_performance'!L668</f>
        <v>2.424597522</v>
      </c>
      <c r="AW668" s="35">
        <f>'1kpi_performance'!M668</f>
        <v>0.4640523535</v>
      </c>
      <c r="AX668" s="42">
        <f>'1kpi_performance'!N668</f>
        <v>0.1712435795</v>
      </c>
      <c r="AY668" s="42">
        <f>'1kpi_performance'!O668</f>
        <v>0.1075216185</v>
      </c>
      <c r="AZ668" s="42">
        <f>'1kpi_performance'!P668</f>
        <v>0.2796755846</v>
      </c>
      <c r="BA668" s="42">
        <f>'1kpi_performance'!Q668</f>
        <v>0.3763678567</v>
      </c>
      <c r="BB668" s="35">
        <f>'1kpi_performance'!R668</f>
        <v>3.91198111</v>
      </c>
      <c r="BC668" s="35">
        <f>'1kpi_performance'!S668</f>
        <v>7.096313541</v>
      </c>
      <c r="BD668" s="35">
        <f>'1kpi_performance'!T668</f>
        <v>5.192270563</v>
      </c>
      <c r="BE668" s="35">
        <f>'1kpi_performance'!U668</f>
        <v>0.9204498173</v>
      </c>
      <c r="BF668" s="47"/>
      <c r="BG668" s="47"/>
      <c r="BH668" s="47"/>
      <c r="BI668" s="47"/>
      <c r="BJ668" s="47"/>
      <c r="BK668" s="47"/>
      <c r="BL668" s="47"/>
      <c r="BM668" s="47"/>
      <c r="BN668" s="47"/>
      <c r="BO668" s="47"/>
      <c r="BP668" s="47"/>
      <c r="BQ668" s="47"/>
      <c r="BR668" s="47"/>
      <c r="BS668" s="47"/>
      <c r="BT668" s="47"/>
    </row>
    <row r="669" ht="11.25" customHeight="1">
      <c r="A669" s="35" t="str">
        <f>'13all_company_profile'!A669</f>
        <v>WORK</v>
      </c>
      <c r="B669" s="35" t="str">
        <f>'13all_company_profile'!B669</f>
        <v>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v>
      </c>
      <c r="C669" s="44" t="str">
        <f>'13all_company_profile'!C669</f>
        <v>https://financialmodelingprep.com/image-stock/WORK.png</v>
      </c>
      <c r="D669" s="35" t="str">
        <f>'13all_company_profile'!D669</f>
        <v>Slack Technologies, Inc.</v>
      </c>
      <c r="E669" s="36">
        <f>'13all_company_profile'!E669</f>
        <v>26149888000</v>
      </c>
      <c r="F669" s="37">
        <f>'13all_company_profile'!F669</f>
        <v>4503707</v>
      </c>
      <c r="G669" s="35">
        <f>'13all_company_profile'!G669</f>
        <v>0</v>
      </c>
      <c r="H669" s="38" t="str">
        <f>'13all_company_profile'!H669</f>
        <v>not avaiable</v>
      </c>
      <c r="I669" s="35" t="str">
        <f>'13all_company_profile'!I669</f>
        <v>NaN</v>
      </c>
      <c r="J669" s="35">
        <f>'13all_company_profile'!J669</f>
        <v>-0.442</v>
      </c>
      <c r="K669" s="42" t="str">
        <f t="shared" si="1"/>
        <v>NaN</v>
      </c>
      <c r="L669" s="35">
        <f>'7company_info'!B669</f>
        <v>45.2</v>
      </c>
      <c r="M669" s="35">
        <f>'7company_info'!C669</f>
        <v>45.64</v>
      </c>
      <c r="N669" s="35">
        <f>'7company_info'!D669</f>
        <v>45.06</v>
      </c>
      <c r="O669" s="35">
        <f>'7company_info'!E669</f>
        <v>0.04</v>
      </c>
      <c r="P669" s="35">
        <f>'7company_info'!F669</f>
        <v>0.0009</v>
      </c>
      <c r="Q669" s="35">
        <f>'7company_info'!G669</f>
        <v>45.16</v>
      </c>
      <c r="R669" s="35">
        <f>'7company_info'!H669</f>
        <v>45.16</v>
      </c>
      <c r="S669" s="35">
        <f>'7company_info'!I669</f>
        <v>24.09</v>
      </c>
      <c r="T669" s="35">
        <f>'7company_info'!J669</f>
        <v>45.64</v>
      </c>
      <c r="U669" s="39">
        <v>44.0383333333333</v>
      </c>
      <c r="V669" s="39">
        <v>44.2616666666666</v>
      </c>
      <c r="W669" s="40">
        <v>44.5233333333333</v>
      </c>
      <c r="X669" s="40">
        <v>45.0083333333333</v>
      </c>
      <c r="Y669" s="40">
        <v>43.7766666666666</v>
      </c>
      <c r="Z669" s="40">
        <v>43.5533333333333</v>
      </c>
      <c r="AA669" s="40">
        <v>43.0683333333333</v>
      </c>
      <c r="AB669" s="40">
        <v>44.09</v>
      </c>
      <c r="AC669" s="40">
        <v>44.53</v>
      </c>
      <c r="AD669" s="40">
        <v>44.1914200769306</v>
      </c>
      <c r="AE669" s="40">
        <v>42.96099</v>
      </c>
      <c r="AF669" s="40">
        <v>0.518255</v>
      </c>
      <c r="AG669" s="40">
        <v>44.99</v>
      </c>
      <c r="AH669" s="45">
        <v>44361.0</v>
      </c>
      <c r="AI669" s="44" t="str">
        <f>'6image_RS_benchmark_performance'!B669</f>
        <v>https://3arbzfbsh-cname-us.ngrok.io/Desktop/seabridge%20fintech/image_app/WORK_resistance_support.jpg</v>
      </c>
      <c r="AJ669" s="44" t="str">
        <f>'6image_RS_benchmark_performance'!C669</f>
        <v>https://3arbzfbsh-cname-us.ngrok.io/Desktop/seabridge%20fintech/profit_graph_app/WORK_Return.jpg</v>
      </c>
      <c r="AK669" s="46" t="str">
        <f>'5price_action_icon'!B669</f>
        <v>https://3arbzfbsh-cname-us.ngrok.io/Desktop/seabridge%20fintech/icon/WORK_pa_trend_signal</v>
      </c>
      <c r="AL669" s="42">
        <f>'1kpi_performance'!B669</f>
        <v>0.4421720116</v>
      </c>
      <c r="AM669" s="42">
        <f>'1kpi_performance'!C669</f>
        <v>1.164566212</v>
      </c>
      <c r="AN669" s="42">
        <f>'1kpi_performance'!D669</f>
        <v>0.9209765264</v>
      </c>
      <c r="AO669" s="42">
        <f>'1kpi_performance'!E669</f>
        <v>0.0944919949</v>
      </c>
      <c r="AP669" s="42">
        <f>'1kpi_performance'!F669</f>
        <v>0.5730577855</v>
      </c>
      <c r="AQ669" s="42">
        <f>'1kpi_performance'!G669</f>
        <v>0.5719543438</v>
      </c>
      <c r="AR669" s="42">
        <f>'1kpi_performance'!H669</f>
        <v>0.542764188</v>
      </c>
      <c r="AS669" s="42">
        <f>'1kpi_performance'!I669</f>
        <v>0.7205088684</v>
      </c>
      <c r="AT669" s="35">
        <f>'1kpi_performance'!J669</f>
        <v>0.7279754716</v>
      </c>
      <c r="AU669" s="35">
        <f>'1kpi_performance'!K669</f>
        <v>1.992407654</v>
      </c>
      <c r="AV669" s="35">
        <f>'1kpi_performance'!L669</f>
        <v>1.65076574</v>
      </c>
      <c r="AW669" s="35">
        <f>'1kpi_performance'!M669</f>
        <v>0.09644849348</v>
      </c>
      <c r="AX669" s="42">
        <f>'1kpi_performance'!N669</f>
        <v>0.3907067133</v>
      </c>
      <c r="AY669" s="42">
        <f>'1kpi_performance'!O669</f>
        <v>0.4117333333</v>
      </c>
      <c r="AZ669" s="42">
        <f>'1kpi_performance'!P669</f>
        <v>0.371944</v>
      </c>
      <c r="BA669" s="42">
        <f>'1kpi_performance'!Q669</f>
        <v>0.5456</v>
      </c>
      <c r="BB669" s="35">
        <f>'1kpi_performance'!R669</f>
        <v>1.63288126</v>
      </c>
      <c r="BC669" s="35">
        <f>'1kpi_performance'!S669</f>
        <v>5.196920731</v>
      </c>
      <c r="BD669" s="35">
        <f>'1kpi_performance'!T669</f>
        <v>4.273606658</v>
      </c>
      <c r="BE669" s="35">
        <f>'1kpi_performance'!U669</f>
        <v>0.2115159919</v>
      </c>
      <c r="BF669" s="47"/>
      <c r="BG669" s="47"/>
      <c r="BH669" s="47"/>
      <c r="BI669" s="47"/>
      <c r="BJ669" s="47"/>
      <c r="BK669" s="47"/>
      <c r="BL669" s="47"/>
      <c r="BM669" s="47"/>
      <c r="BN669" s="47"/>
      <c r="BO669" s="47"/>
      <c r="BP669" s="47"/>
      <c r="BQ669" s="47"/>
      <c r="BR669" s="47"/>
      <c r="BS669" s="47"/>
      <c r="BT669" s="47"/>
    </row>
    <row r="670" ht="11.25" customHeight="1">
      <c r="A670" s="35" t="str">
        <f>'13all_company_profile'!A670</f>
        <v>WRB</v>
      </c>
      <c r="B670" s="35" t="str">
        <f>'13all_company_profile'!B670</f>
        <v>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v>
      </c>
      <c r="C670" s="44" t="str">
        <f>'13all_company_profile'!C670</f>
        <v>https://financialmodelingprep.com/image-stock/WRB.png</v>
      </c>
      <c r="D670" s="35" t="str">
        <f>'13all_company_profile'!D670</f>
        <v>W. R. Berkley Corporation</v>
      </c>
      <c r="E670" s="36">
        <f>'13all_company_profile'!E670</f>
        <v>13564324864</v>
      </c>
      <c r="F670" s="37">
        <f>'13all_company_profile'!F670</f>
        <v>609115</v>
      </c>
      <c r="G670" s="35">
        <f>'13all_company_profile'!G670</f>
        <v>0.99</v>
      </c>
      <c r="H670" s="38">
        <f>'13all_company_profile'!H670</f>
        <v>44399</v>
      </c>
      <c r="I670" s="35">
        <f>'13all_company_profile'!I670</f>
        <v>18.878506</v>
      </c>
      <c r="J670" s="35">
        <f>'13all_company_profile'!J670</f>
        <v>4.066</v>
      </c>
      <c r="K670" s="42">
        <f t="shared" si="1"/>
        <v>0.01305207647</v>
      </c>
      <c r="L670" s="35">
        <f>'7company_info'!B670</f>
        <v>75.85</v>
      </c>
      <c r="M670" s="35">
        <f>'7company_info'!C670</f>
        <v>76.62</v>
      </c>
      <c r="N670" s="35">
        <f>'7company_info'!D670</f>
        <v>74.42</v>
      </c>
      <c r="O670" s="35">
        <f>'7company_info'!E670</f>
        <v>1.67</v>
      </c>
      <c r="P670" s="35">
        <f>'7company_info'!F670</f>
        <v>0.0225</v>
      </c>
      <c r="Q670" s="35">
        <f>'7company_info'!G670</f>
        <v>74.46</v>
      </c>
      <c r="R670" s="35">
        <f>'7company_info'!H670</f>
        <v>74.18</v>
      </c>
      <c r="S670" s="35">
        <f>'7company_info'!I670</f>
        <v>58.84</v>
      </c>
      <c r="T670" s="35">
        <f>'7company_info'!J670</f>
        <v>82.43</v>
      </c>
      <c r="U670" s="39">
        <v>75.3233333333333</v>
      </c>
      <c r="V670" s="39">
        <v>75.8266666666666</v>
      </c>
      <c r="W670" s="40">
        <v>76.2333333333333</v>
      </c>
      <c r="X670" s="40">
        <v>77.1433333333333</v>
      </c>
      <c r="Y670" s="40">
        <v>74.9166666666666</v>
      </c>
      <c r="Z670" s="40">
        <v>74.4133333333333</v>
      </c>
      <c r="AA670" s="40">
        <v>73.5033333333333</v>
      </c>
      <c r="AB670" s="40">
        <v>74.5</v>
      </c>
      <c r="AC670" s="40">
        <v>78.47</v>
      </c>
      <c r="AD670" s="40">
        <v>75.4213214869446</v>
      </c>
      <c r="AE670" s="40">
        <v>72.42201</v>
      </c>
      <c r="AF670" s="40">
        <v>1.290745</v>
      </c>
      <c r="AG670" s="40">
        <v>82.43</v>
      </c>
      <c r="AH670" s="45">
        <v>44326.0</v>
      </c>
      <c r="AI670" s="44" t="str">
        <f>'6image_RS_benchmark_performance'!B670</f>
        <v>https://3arbzfbsh-cname-us.ngrok.io/Desktop/seabridge%20fintech/image_app/WRB_resistance_support.jpg</v>
      </c>
      <c r="AJ670" s="44" t="str">
        <f>'6image_RS_benchmark_performance'!C670</f>
        <v>https://3arbzfbsh-cname-us.ngrok.io/Desktop/seabridge%20fintech/profit_graph_app/WRB_Return.jpg</v>
      </c>
      <c r="AK670" s="46" t="str">
        <f>'5price_action_icon'!B670</f>
        <v>https://3arbzfbsh-cname-us.ngrok.io/Desktop/seabridge%20fintech/icon/WRB_pa_trend_signal</v>
      </c>
      <c r="AL670" s="42">
        <f>'1kpi_performance'!B670</f>
        <v>0.3969577696</v>
      </c>
      <c r="AM670" s="42">
        <f>'1kpi_performance'!C670</f>
        <v>0.5184432702</v>
      </c>
      <c r="AN670" s="42">
        <f>'1kpi_performance'!D670</f>
        <v>0.4539577737</v>
      </c>
      <c r="AO670" s="42">
        <f>'1kpi_performance'!E670</f>
        <v>0.2195103355</v>
      </c>
      <c r="AP670" s="42">
        <f>'1kpi_performance'!F670</f>
        <v>0.1673951202</v>
      </c>
      <c r="AQ670" s="42">
        <f>'1kpi_performance'!G670</f>
        <v>0.1751024494</v>
      </c>
      <c r="AR670" s="42">
        <f>'1kpi_performance'!H670</f>
        <v>0.1631210247</v>
      </c>
      <c r="AS670" s="42">
        <f>'1kpi_performance'!I670</f>
        <v>0.2589170864</v>
      </c>
      <c r="AT670" s="35">
        <f>'1kpi_performance'!J670</f>
        <v>2.222034724</v>
      </c>
      <c r="AU670" s="35">
        <f>'1kpi_performance'!K670</f>
        <v>2.818026087</v>
      </c>
      <c r="AV670" s="35">
        <f>'1kpi_performance'!L670</f>
        <v>2.629690284</v>
      </c>
      <c r="AW670" s="35">
        <f>'1kpi_performance'!M670</f>
        <v>0.7512456525</v>
      </c>
      <c r="AX670" s="42">
        <f>'1kpi_performance'!N670</f>
        <v>0.1456558773</v>
      </c>
      <c r="AY670" s="42">
        <f>'1kpi_performance'!O670</f>
        <v>0.1360378349</v>
      </c>
      <c r="AZ670" s="42">
        <f>'1kpi_performance'!P670</f>
        <v>0.1925645533</v>
      </c>
      <c r="BA670" s="42">
        <f>'1kpi_performance'!Q670</f>
        <v>0.4544539507</v>
      </c>
      <c r="BB670" s="35">
        <f>'1kpi_performance'!R670</f>
        <v>4.591845219</v>
      </c>
      <c r="BC670" s="35">
        <f>'1kpi_performance'!S670</f>
        <v>6.307632513</v>
      </c>
      <c r="BD670" s="35">
        <f>'1kpi_performance'!T670</f>
        <v>5.623168691</v>
      </c>
      <c r="BE670" s="35">
        <f>'1kpi_performance'!U670</f>
        <v>1.449339872</v>
      </c>
      <c r="BF670" s="47"/>
      <c r="BG670" s="47"/>
      <c r="BH670" s="47"/>
      <c r="BI670" s="47"/>
      <c r="BJ670" s="47"/>
      <c r="BK670" s="47"/>
      <c r="BL670" s="47"/>
      <c r="BM670" s="47"/>
      <c r="BN670" s="47"/>
      <c r="BO670" s="47"/>
      <c r="BP670" s="47"/>
      <c r="BQ670" s="47"/>
      <c r="BR670" s="47"/>
      <c r="BS670" s="47"/>
      <c r="BT670" s="47"/>
    </row>
    <row r="671" ht="11.25" customHeight="1">
      <c r="A671" s="35" t="str">
        <f>'13all_company_profile'!A671</f>
        <v>WRK</v>
      </c>
      <c r="B671" s="35" t="str">
        <f>'13all_company_profile'!B671</f>
        <v>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v>
      </c>
      <c r="C671" s="44" t="str">
        <f>'13all_company_profile'!C671</f>
        <v>https://financialmodelingprep.com/image-stock/WRK.png</v>
      </c>
      <c r="D671" s="35" t="str">
        <f>'13all_company_profile'!D671</f>
        <v>WestRock Company</v>
      </c>
      <c r="E671" s="36">
        <f>'13all_company_profile'!E671</f>
        <v>13382973440</v>
      </c>
      <c r="F671" s="37">
        <f>'13all_company_profile'!F671</f>
        <v>1746733</v>
      </c>
      <c r="G671" s="35">
        <f>'13all_company_profile'!G671</f>
        <v>0.84</v>
      </c>
      <c r="H671" s="38">
        <f>'13all_company_profile'!H671</f>
        <v>44413</v>
      </c>
      <c r="I671" s="35" t="str">
        <f>'13all_company_profile'!I671</f>
        <v>NaN</v>
      </c>
      <c r="J671" s="35">
        <f>'13all_company_profile'!J671</f>
        <v>-2.731</v>
      </c>
      <c r="K671" s="42">
        <f t="shared" si="1"/>
        <v>0.01731958763</v>
      </c>
      <c r="L671" s="35">
        <f>'7company_info'!B671</f>
        <v>48.5</v>
      </c>
      <c r="M671" s="35">
        <f>'7company_info'!C671</f>
        <v>49.17</v>
      </c>
      <c r="N671" s="35">
        <f>'7company_info'!D671</f>
        <v>48.07</v>
      </c>
      <c r="O671" s="35">
        <f>'7company_info'!E671</f>
        <v>0.51</v>
      </c>
      <c r="P671" s="35">
        <f>'7company_info'!F671</f>
        <v>0.0106</v>
      </c>
      <c r="Q671" s="35">
        <f>'7company_info'!G671</f>
        <v>48.07</v>
      </c>
      <c r="R671" s="35">
        <f>'7company_info'!H671</f>
        <v>47.99</v>
      </c>
      <c r="S671" s="35">
        <f>'7company_info'!I671</f>
        <v>26.56</v>
      </c>
      <c r="T671" s="35">
        <f>'7company_info'!J671</f>
        <v>62.03</v>
      </c>
      <c r="U671" s="39">
        <v>51.4966666666666</v>
      </c>
      <c r="V671" s="39">
        <v>51.8633333333333</v>
      </c>
      <c r="W671" s="40">
        <v>52.4666666666666</v>
      </c>
      <c r="X671" s="40">
        <v>53.4366666666666</v>
      </c>
      <c r="Y671" s="40">
        <v>50.8933333333333</v>
      </c>
      <c r="Z671" s="40">
        <v>50.5266666666666</v>
      </c>
      <c r="AA671" s="40">
        <v>49.5566666666666</v>
      </c>
      <c r="AB671" s="40">
        <v>52.98</v>
      </c>
      <c r="AC671" s="40">
        <v>52.77</v>
      </c>
      <c r="AD671" s="40">
        <v>53.2201847258038</v>
      </c>
      <c r="AE671" s="40">
        <v>48.5886</v>
      </c>
      <c r="AF671" s="40">
        <v>1.4727</v>
      </c>
      <c r="AG671" s="40">
        <v>62.03</v>
      </c>
      <c r="AH671" s="45">
        <v>44333.0</v>
      </c>
      <c r="AI671" s="44" t="str">
        <f>'6image_RS_benchmark_performance'!B671</f>
        <v>https://3arbzfbsh-cname-us.ngrok.io/Desktop/seabridge%20fintech/image_app/WRK_resistance_support.jpg</v>
      </c>
      <c r="AJ671" s="44" t="str">
        <f>'6image_RS_benchmark_performance'!C671</f>
        <v>https://3arbzfbsh-cname-us.ngrok.io/Desktop/seabridge%20fintech/profit_graph_app/WRK_Return.jpg</v>
      </c>
      <c r="AK671" s="46" t="str">
        <f>'5price_action_icon'!B671</f>
        <v>https://3arbzfbsh-cname-us.ngrok.io/Desktop/seabridge%20fintech/icon/WRK_pa_trend_signal</v>
      </c>
      <c r="AL671" s="42">
        <f>'1kpi_performance'!B671</f>
        <v>0.35716771</v>
      </c>
      <c r="AM671" s="42">
        <f>'1kpi_performance'!C671</f>
        <v>0.7228000874</v>
      </c>
      <c r="AN671" s="42">
        <f>'1kpi_performance'!D671</f>
        <v>0.9583135995</v>
      </c>
      <c r="AO671" s="42">
        <f>'1kpi_performance'!E671</f>
        <v>-0.02546356935</v>
      </c>
      <c r="AP671" s="42">
        <f>'1kpi_performance'!F671</f>
        <v>0.2958794896</v>
      </c>
      <c r="AQ671" s="42">
        <f>'1kpi_performance'!G671</f>
        <v>0.2856896647</v>
      </c>
      <c r="AR671" s="42">
        <f>'1kpi_performance'!H671</f>
        <v>0.2586838118</v>
      </c>
      <c r="AS671" s="42">
        <f>'1kpi_performance'!I671</f>
        <v>0.468050953</v>
      </c>
      <c r="AT671" s="35">
        <f>'1kpi_performance'!J671</f>
        <v>1.122645272</v>
      </c>
      <c r="AU671" s="35">
        <f>'1kpi_performance'!K671</f>
        <v>2.442510785</v>
      </c>
      <c r="AV671" s="35">
        <f>'1kpi_performance'!L671</f>
        <v>3.607931988</v>
      </c>
      <c r="AW671" s="35">
        <f>'1kpi_performance'!M671</f>
        <v>-0.1078164013</v>
      </c>
      <c r="AX671" s="42">
        <f>'1kpi_performance'!N671</f>
        <v>0.2669443832</v>
      </c>
      <c r="AY671" s="42">
        <f>'1kpi_performance'!O671</f>
        <v>0.1223797781</v>
      </c>
      <c r="AZ671" s="42">
        <f>'1kpi_performance'!P671</f>
        <v>0.1392547735</v>
      </c>
      <c r="BA671" s="42">
        <f>'1kpi_performance'!Q671</f>
        <v>0.6857834069</v>
      </c>
      <c r="BB671" s="35">
        <f>'1kpi_performance'!R671</f>
        <v>2.336468316</v>
      </c>
      <c r="BC671" s="35">
        <f>'1kpi_performance'!S671</f>
        <v>5.644496704</v>
      </c>
      <c r="BD671" s="35">
        <f>'1kpi_performance'!T671</f>
        <v>8.63034581</v>
      </c>
      <c r="BE671" s="35">
        <f>'1kpi_performance'!U671</f>
        <v>-0.2062474926</v>
      </c>
      <c r="BF671" s="47"/>
      <c r="BG671" s="47"/>
      <c r="BH671" s="47"/>
      <c r="BI671" s="47"/>
      <c r="BJ671" s="47"/>
      <c r="BK671" s="47"/>
      <c r="BL671" s="47"/>
      <c r="BM671" s="47"/>
      <c r="BN671" s="47"/>
      <c r="BO671" s="47"/>
      <c r="BP671" s="47"/>
      <c r="BQ671" s="47"/>
      <c r="BR671" s="47"/>
      <c r="BS671" s="47"/>
      <c r="BT671" s="47"/>
    </row>
    <row r="672" ht="11.25" customHeight="1">
      <c r="A672" s="35" t="str">
        <f>'13all_company_profile'!A672</f>
        <v>WSC</v>
      </c>
      <c r="B672" s="35" t="str">
        <f>'13all_company_profile'!B672</f>
        <v>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v>
      </c>
      <c r="C672" s="44" t="str">
        <f>'13all_company_profile'!C672</f>
        <v>https://financialmodelingprep.com/image-stock/WSC.png</v>
      </c>
      <c r="D672" s="35" t="str">
        <f>'13all_company_profile'!D672</f>
        <v>WillScot Mobile Mini Holdings Corp.</v>
      </c>
      <c r="E672" s="36">
        <f>'13all_company_profile'!E672</f>
        <v>6379004416</v>
      </c>
      <c r="F672" s="37">
        <f>'13all_company_profile'!F672</f>
        <v>2011792</v>
      </c>
      <c r="G672" s="35">
        <f>'13all_company_profile'!G672</f>
        <v>0</v>
      </c>
      <c r="H672" s="38" t="str">
        <f>'13all_company_profile'!H672</f>
        <v>not avaiable</v>
      </c>
      <c r="I672" s="35" t="str">
        <f>'13all_company_profile'!I672</f>
        <v>NaN</v>
      </c>
      <c r="J672" s="35">
        <f>'13all_company_profile'!J672</f>
        <v>-0.219</v>
      </c>
      <c r="K672" s="42" t="str">
        <f t="shared" si="1"/>
        <v>NaN</v>
      </c>
      <c r="L672" s="35">
        <f>'7company_info'!B672</f>
        <v>27.4</v>
      </c>
      <c r="M672" s="35">
        <f>'7company_info'!C672</f>
        <v>27.56</v>
      </c>
      <c r="N672" s="35">
        <f>'7company_info'!D672</f>
        <v>26.52</v>
      </c>
      <c r="O672" s="35">
        <f>'7company_info'!E672</f>
        <v>0.91</v>
      </c>
      <c r="P672" s="35">
        <f>'7company_info'!F672</f>
        <v>0.0344</v>
      </c>
      <c r="Q672" s="35">
        <f>'7company_info'!G672</f>
        <v>26.66</v>
      </c>
      <c r="R672" s="35">
        <f>'7company_info'!H672</f>
        <v>26.49</v>
      </c>
      <c r="S672" s="35">
        <f>'7company_info'!I672</f>
        <v>13.73</v>
      </c>
      <c r="T672" s="35">
        <f>'7company_info'!J672</f>
        <v>30.38</v>
      </c>
      <c r="U672" s="39">
        <v>28.1866666666666</v>
      </c>
      <c r="V672" s="39">
        <v>28.4133333333333</v>
      </c>
      <c r="W672" s="40">
        <v>28.7266666666666</v>
      </c>
      <c r="X672" s="40">
        <v>29.2666666666666</v>
      </c>
      <c r="Y672" s="40">
        <v>27.8733333333333</v>
      </c>
      <c r="Z672" s="40">
        <v>27.6466666666666</v>
      </c>
      <c r="AA672" s="40">
        <v>27.1066666666666</v>
      </c>
      <c r="AB672" s="40">
        <v>27.5623</v>
      </c>
      <c r="AC672" s="40">
        <v>27.83</v>
      </c>
      <c r="AD672" s="40">
        <v>28.149109771981</v>
      </c>
      <c r="AE672" s="40">
        <v>26.87123</v>
      </c>
      <c r="AF672" s="40">
        <v>0.694134999999999</v>
      </c>
      <c r="AG672" s="40">
        <v>30.38</v>
      </c>
      <c r="AH672" s="45">
        <v>44315.0</v>
      </c>
      <c r="AI672" s="44" t="str">
        <f>'6image_RS_benchmark_performance'!B672</f>
        <v>https://3arbzfbsh-cname-us.ngrok.io/Desktop/seabridge%20fintech/image_app/WSC_resistance_support.jpg</v>
      </c>
      <c r="AJ672" s="44" t="str">
        <f>'6image_RS_benchmark_performance'!C672</f>
        <v>https://3arbzfbsh-cname-us.ngrok.io/Desktop/seabridge%20fintech/profit_graph_app/WSC_Return.jpg</v>
      </c>
      <c r="AK672" s="46" t="str">
        <f>'5price_action_icon'!B672</f>
        <v>https://3arbzfbsh-cname-us.ngrok.io/Desktop/seabridge%20fintech/icon/WSC_pa_trend_signal</v>
      </c>
      <c r="AL672" s="42">
        <f>'1kpi_performance'!B672</f>
        <v>1.123341271</v>
      </c>
      <c r="AM672" s="42">
        <f>'1kpi_performance'!C672</f>
        <v>1.023029306</v>
      </c>
      <c r="AN672" s="42">
        <f>'1kpi_performance'!D672</f>
        <v>1.279678607</v>
      </c>
      <c r="AO672" s="42">
        <f>'1kpi_performance'!E672</f>
        <v>0.3750911659</v>
      </c>
      <c r="AP672" s="42">
        <f>'1kpi_performance'!F672</f>
        <v>0.3551009741</v>
      </c>
      <c r="AQ672" s="42">
        <f>'1kpi_performance'!G672</f>
        <v>0.3232418948</v>
      </c>
      <c r="AR672" s="42">
        <f>'1kpi_performance'!H672</f>
        <v>0.2855059311</v>
      </c>
      <c r="AS672" s="42">
        <f>'1kpi_performance'!I672</f>
        <v>0.502476845</v>
      </c>
      <c r="AT672" s="35">
        <f>'1kpi_performance'!J672</f>
        <v>3.093039309</v>
      </c>
      <c r="AU672" s="35">
        <f>'1kpi_performance'!K672</f>
        <v>3.087561735</v>
      </c>
      <c r="AV672" s="35">
        <f>'1kpi_performance'!L672</f>
        <v>4.394579833</v>
      </c>
      <c r="AW672" s="35">
        <f>'1kpi_performance'!M672</f>
        <v>0.6967309428</v>
      </c>
      <c r="AX672" s="42">
        <f>'1kpi_performance'!N672</f>
        <v>0.2626527051</v>
      </c>
      <c r="AY672" s="42">
        <f>'1kpi_performance'!O672</f>
        <v>0.2478184991</v>
      </c>
      <c r="AZ672" s="42">
        <f>'1kpi_performance'!P672</f>
        <v>0.1160558464</v>
      </c>
      <c r="BA672" s="42">
        <f>'1kpi_performance'!Q672</f>
        <v>0.6005076142</v>
      </c>
      <c r="BB672" s="35">
        <f>'1kpi_performance'!R672</f>
        <v>7.794812042</v>
      </c>
      <c r="BC672" s="35">
        <f>'1kpi_performance'!S672</f>
        <v>7.637288513</v>
      </c>
      <c r="BD672" s="35">
        <f>'1kpi_performance'!T672</f>
        <v>14.5147719</v>
      </c>
      <c r="BE672" s="35">
        <f>'1kpi_performance'!U672</f>
        <v>1.343957921</v>
      </c>
      <c r="BF672" s="47"/>
      <c r="BG672" s="47"/>
      <c r="BH672" s="47"/>
      <c r="BI672" s="47"/>
      <c r="BJ672" s="47"/>
      <c r="BK672" s="47"/>
      <c r="BL672" s="47"/>
      <c r="BM672" s="47"/>
      <c r="BN672" s="47"/>
      <c r="BO672" s="47"/>
      <c r="BP672" s="47"/>
      <c r="BQ672" s="47"/>
      <c r="BR672" s="47"/>
      <c r="BS672" s="47"/>
      <c r="BT672" s="47"/>
    </row>
    <row r="673" ht="11.25" customHeight="1">
      <c r="A673" s="35" t="str">
        <f>'13all_company_profile'!A673</f>
        <v>WST</v>
      </c>
      <c r="B673" s="35" t="str">
        <f>'13all_company_profile'!B673</f>
        <v>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v>
      </c>
      <c r="C673" s="44" t="str">
        <f>'13all_company_profile'!C673</f>
        <v>https://financialmodelingprep.com/image-stock/WST.png</v>
      </c>
      <c r="D673" s="35" t="str">
        <f>'13all_company_profile'!D673</f>
        <v>West Pharmaceutical Services, Inc.</v>
      </c>
      <c r="E673" s="36">
        <f>'13all_company_profile'!E673</f>
        <v>27459461120</v>
      </c>
      <c r="F673" s="37">
        <f>'13all_company_profile'!F673</f>
        <v>385855</v>
      </c>
      <c r="G673" s="35">
        <f>'13all_company_profile'!G673</f>
        <v>0.84</v>
      </c>
      <c r="H673" s="38">
        <f>'13all_company_profile'!H673</f>
        <v>44398</v>
      </c>
      <c r="I673" s="35">
        <f>'13all_company_profile'!I673</f>
        <v>67.26383</v>
      </c>
      <c r="J673" s="35">
        <f>'13all_company_profile'!J673</f>
        <v>5.568</v>
      </c>
      <c r="K673" s="42">
        <f t="shared" si="1"/>
        <v>0.002253883925</v>
      </c>
      <c r="L673" s="35">
        <f>'7company_info'!B673</f>
        <v>372.69</v>
      </c>
      <c r="M673" s="35">
        <f>'7company_info'!C673</f>
        <v>376.75</v>
      </c>
      <c r="N673" s="35">
        <f>'7company_info'!D673</f>
        <v>371.52</v>
      </c>
      <c r="O673" s="35">
        <f>'7company_info'!E673</f>
        <v>1.86</v>
      </c>
      <c r="P673" s="35">
        <f>'7company_info'!F673</f>
        <v>0.005</v>
      </c>
      <c r="Q673" s="35">
        <f>'7company_info'!G673</f>
        <v>371.97</v>
      </c>
      <c r="R673" s="35">
        <f>'7company_info'!H673</f>
        <v>370.83</v>
      </c>
      <c r="S673" s="35">
        <f>'7company_info'!I673</f>
        <v>246.69</v>
      </c>
      <c r="T673" s="35">
        <f>'7company_info'!J673</f>
        <v>377.19</v>
      </c>
      <c r="U673" s="39">
        <v>371.886666666666</v>
      </c>
      <c r="V673" s="39">
        <v>373.553333333333</v>
      </c>
      <c r="W673" s="40">
        <v>375.666666666666</v>
      </c>
      <c r="X673" s="40">
        <v>379.446666666666</v>
      </c>
      <c r="Y673" s="40">
        <v>369.773333333333</v>
      </c>
      <c r="Z673" s="40">
        <v>368.106666666666</v>
      </c>
      <c r="AA673" s="40">
        <v>364.326666666666</v>
      </c>
      <c r="AB673" s="40">
        <v>368.74</v>
      </c>
      <c r="AC673" s="40">
        <v>377.19</v>
      </c>
      <c r="AD673" s="40">
        <v>362.727083143975</v>
      </c>
      <c r="AE673" s="40">
        <v>362.79048</v>
      </c>
      <c r="AF673" s="40">
        <v>4.89275999999999</v>
      </c>
      <c r="AG673" s="40">
        <v>349.29</v>
      </c>
      <c r="AH673" s="45">
        <v>44348.0</v>
      </c>
      <c r="AI673" s="44" t="str">
        <f>'6image_RS_benchmark_performance'!B673</f>
        <v>https://3arbzfbsh-cname-us.ngrok.io/Desktop/seabridge%20fintech/image_app/WST_resistance_support.jpg</v>
      </c>
      <c r="AJ673" s="44" t="str">
        <f>'6image_RS_benchmark_performance'!C673</f>
        <v>https://3arbzfbsh-cname-us.ngrok.io/Desktop/seabridge%20fintech/profit_graph_app/WST_Return.jpg</v>
      </c>
      <c r="AK673" s="46" t="str">
        <f>'5price_action_icon'!B673</f>
        <v>https://3arbzfbsh-cname-us.ngrok.io/Desktop/seabridge%20fintech/icon/WST_pa_trend_signal</v>
      </c>
      <c r="AL673" s="42">
        <f>'1kpi_performance'!B673</f>
        <v>0.7040174617</v>
      </c>
      <c r="AM673" s="42">
        <f>'1kpi_performance'!C673</f>
        <v>0.8592692927</v>
      </c>
      <c r="AN673" s="42">
        <f>'1kpi_performance'!D673</f>
        <v>0.5808653608</v>
      </c>
      <c r="AO673" s="42">
        <f>'1kpi_performance'!E673</f>
        <v>0.4496895164</v>
      </c>
      <c r="AP673" s="42">
        <f>'1kpi_performance'!F673</f>
        <v>0.2079628999</v>
      </c>
      <c r="AQ673" s="42">
        <f>'1kpi_performance'!G673</f>
        <v>0.2231707283</v>
      </c>
      <c r="AR673" s="42">
        <f>'1kpi_performance'!H673</f>
        <v>0.2025733998</v>
      </c>
      <c r="AS673" s="42">
        <f>'1kpi_performance'!I673</f>
        <v>0.2984572872</v>
      </c>
      <c r="AT673" s="35">
        <f>'1kpi_performance'!J673</f>
        <v>3.265089408</v>
      </c>
      <c r="AU673" s="35">
        <f>'1kpi_performance'!K673</f>
        <v>3.738255904</v>
      </c>
      <c r="AV673" s="35">
        <f>'1kpi_performance'!L673</f>
        <v>2.744019508</v>
      </c>
      <c r="AW673" s="35">
        <f>'1kpi_performance'!M673</f>
        <v>1.42294906</v>
      </c>
      <c r="AX673" s="42">
        <f>'1kpi_performance'!N673</f>
        <v>0.1266128966</v>
      </c>
      <c r="AY673" s="42">
        <f>'1kpi_performance'!O673</f>
        <v>0.1118522411</v>
      </c>
      <c r="AZ673" s="42">
        <f>'1kpi_performance'!P673</f>
        <v>0.200818666</v>
      </c>
      <c r="BA673" s="42">
        <f>'1kpi_performance'!Q673</f>
        <v>0.2620737011</v>
      </c>
      <c r="BB673" s="35">
        <f>'1kpi_performance'!R673</f>
        <v>7.607115987</v>
      </c>
      <c r="BC673" s="35">
        <f>'1kpi_performance'!S673</f>
        <v>9.24733532</v>
      </c>
      <c r="BD673" s="35">
        <f>'1kpi_performance'!T673</f>
        <v>6.443793659</v>
      </c>
      <c r="BE673" s="35">
        <f>'1kpi_performance'!U673</f>
        <v>3.002197837</v>
      </c>
      <c r="BF673" s="47"/>
      <c r="BG673" s="47"/>
      <c r="BH673" s="47"/>
      <c r="BI673" s="47"/>
      <c r="BJ673" s="47"/>
      <c r="BK673" s="47"/>
      <c r="BL673" s="47"/>
      <c r="BM673" s="47"/>
      <c r="BN673" s="47"/>
      <c r="BO673" s="47"/>
      <c r="BP673" s="47"/>
      <c r="BQ673" s="47"/>
      <c r="BR673" s="47"/>
      <c r="BS673" s="47"/>
      <c r="BT673" s="47"/>
    </row>
    <row r="674" ht="11.25" customHeight="1">
      <c r="A674" s="35" t="str">
        <f>'13all_company_profile'!A674</f>
        <v>WU</v>
      </c>
      <c r="B674" s="35" t="str">
        <f>'13all_company_profile'!B674</f>
        <v>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v>
      </c>
      <c r="C674" s="44" t="str">
        <f>'13all_company_profile'!C674</f>
        <v>https://financialmodelingprep.com/image-stock/WU.png</v>
      </c>
      <c r="D674" s="35" t="str">
        <f>'13all_company_profile'!D674</f>
        <v>The Western Union Company</v>
      </c>
      <c r="E674" s="36">
        <f>'13all_company_profile'!E674</f>
        <v>9592866816</v>
      </c>
      <c r="F674" s="37">
        <f>'13all_company_profile'!F674</f>
        <v>4010396</v>
      </c>
      <c r="G674" s="35">
        <f>'13all_company_profile'!G674</f>
        <v>0.92</v>
      </c>
      <c r="H674" s="38">
        <f>'13all_company_profile'!H674</f>
        <v>44410</v>
      </c>
      <c r="I674" s="35">
        <f>'13all_company_profile'!I674</f>
        <v>12.986188</v>
      </c>
      <c r="J674" s="35">
        <f>'13all_company_profile'!J674</f>
        <v>1.81</v>
      </c>
      <c r="K674" s="42">
        <f t="shared" si="1"/>
        <v>0.04</v>
      </c>
      <c r="L674" s="35">
        <f>'7company_info'!B674</f>
        <v>23</v>
      </c>
      <c r="M674" s="35">
        <f>'7company_info'!C674</f>
        <v>23.18</v>
      </c>
      <c r="N674" s="35">
        <f>'7company_info'!D674</f>
        <v>22.81</v>
      </c>
      <c r="O674" s="35">
        <f>'7company_info'!E674</f>
        <v>0.28</v>
      </c>
      <c r="P674" s="35">
        <f>'7company_info'!F674</f>
        <v>0.0123</v>
      </c>
      <c r="Q674" s="35">
        <f>'7company_info'!G674</f>
        <v>22.82</v>
      </c>
      <c r="R674" s="35">
        <f>'7company_info'!H674</f>
        <v>22.72</v>
      </c>
      <c r="S674" s="35">
        <f>'7company_info'!I674</f>
        <v>19.07</v>
      </c>
      <c r="T674" s="35">
        <f>'7company_info'!J674</f>
        <v>26.61</v>
      </c>
      <c r="U674" s="39">
        <v>23.5516666666666</v>
      </c>
      <c r="V674" s="39">
        <v>23.6933333333333</v>
      </c>
      <c r="W674" s="40">
        <v>23.8066666666666</v>
      </c>
      <c r="X674" s="40">
        <v>24.0616666666666</v>
      </c>
      <c r="Y674" s="40">
        <v>23.4383333333333</v>
      </c>
      <c r="Z674" s="40">
        <v>23.2966666666666</v>
      </c>
      <c r="AA674" s="40">
        <v>23.0416666666666</v>
      </c>
      <c r="AB674" s="40">
        <v>22.95</v>
      </c>
      <c r="AC674" s="40">
        <v>23.28</v>
      </c>
      <c r="AD674" s="40">
        <v>23.4938591940239</v>
      </c>
      <c r="AE674" s="40">
        <v>22.57688</v>
      </c>
      <c r="AF674" s="40">
        <v>0.44181</v>
      </c>
      <c r="AG674" s="40">
        <v>26.61</v>
      </c>
      <c r="AH674" s="45">
        <v>44312.0</v>
      </c>
      <c r="AI674" s="44" t="str">
        <f>'6image_RS_benchmark_performance'!B674</f>
        <v>https://3arbzfbsh-cname-us.ngrok.io/Desktop/seabridge%20fintech/image_app/WU_resistance_support.jpg</v>
      </c>
      <c r="AJ674" s="44" t="str">
        <f>'6image_RS_benchmark_performance'!C674</f>
        <v>https://3arbzfbsh-cname-us.ngrok.io/Desktop/seabridge%20fintech/profit_graph_app/WU_Return.jpg</v>
      </c>
      <c r="AK674" s="46" t="str">
        <f>'5price_action_icon'!B674</f>
        <v>https://3arbzfbsh-cname-us.ngrok.io/Desktop/seabridge%20fintech/icon/WU_pa_trend_signal</v>
      </c>
      <c r="AL674" s="42">
        <f>'1kpi_performance'!B674</f>
        <v>0.3729732277</v>
      </c>
      <c r="AM674" s="42">
        <f>'1kpi_performance'!C674</f>
        <v>0.4758655651</v>
      </c>
      <c r="AN674" s="42">
        <f>'1kpi_performance'!D674</f>
        <v>0.3763569035</v>
      </c>
      <c r="AO674" s="42">
        <f>'1kpi_performance'!E674</f>
        <v>0.02441549084</v>
      </c>
      <c r="AP674" s="42">
        <f>'1kpi_performance'!F674</f>
        <v>0.2186225358</v>
      </c>
      <c r="AQ674" s="42">
        <f>'1kpi_performance'!G674</f>
        <v>0.1991629504</v>
      </c>
      <c r="AR674" s="42">
        <f>'1kpi_performance'!H674</f>
        <v>0.2289399649</v>
      </c>
      <c r="AS674" s="42">
        <f>'1kpi_performance'!I674</f>
        <v>0.3194962947</v>
      </c>
      <c r="AT674" s="35">
        <f>'1kpi_performance'!J674</f>
        <v>1.591662206</v>
      </c>
      <c r="AU674" s="35">
        <f>'1kpi_performance'!K674</f>
        <v>2.263802401</v>
      </c>
      <c r="AV674" s="35">
        <f>'1kpi_performance'!L674</f>
        <v>1.534711966</v>
      </c>
      <c r="AW674" s="35">
        <f>'1kpi_performance'!M674</f>
        <v>-0.001829470845</v>
      </c>
      <c r="AX674" s="42">
        <f>'1kpi_performance'!N674</f>
        <v>0.2274282656</v>
      </c>
      <c r="AY674" s="42">
        <f>'1kpi_performance'!O674</f>
        <v>0.1665782493</v>
      </c>
      <c r="AZ674" s="42">
        <f>'1kpi_performance'!P674</f>
        <v>0.367883293</v>
      </c>
      <c r="BA674" s="42">
        <f>'1kpi_performance'!Q674</f>
        <v>0.4565711687</v>
      </c>
      <c r="BB674" s="35">
        <f>'1kpi_performance'!R674</f>
        <v>3.200742543</v>
      </c>
      <c r="BC674" s="35">
        <f>'1kpi_performance'!S674</f>
        <v>4.97921501</v>
      </c>
      <c r="BD674" s="35">
        <f>'1kpi_performance'!T674</f>
        <v>2.703910527</v>
      </c>
      <c r="BE674" s="35">
        <f>'1kpi_performance'!U674</f>
        <v>-0.003262783629</v>
      </c>
      <c r="BF674" s="47"/>
      <c r="BG674" s="47"/>
      <c r="BH674" s="47"/>
      <c r="BI674" s="47"/>
      <c r="BJ674" s="47"/>
      <c r="BK674" s="47"/>
      <c r="BL674" s="47"/>
      <c r="BM674" s="47"/>
      <c r="BN674" s="47"/>
      <c r="BO674" s="47"/>
      <c r="BP674" s="47"/>
      <c r="BQ674" s="47"/>
      <c r="BR674" s="47"/>
      <c r="BS674" s="47"/>
      <c r="BT674" s="47"/>
    </row>
    <row r="675" ht="11.25" customHeight="1">
      <c r="A675" s="35" t="str">
        <f>'13all_company_profile'!A675</f>
        <v>WY</v>
      </c>
      <c r="B675" s="35" t="str">
        <f>'13all_company_profile'!B675</f>
        <v>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v>
      </c>
      <c r="C675" s="44" t="str">
        <f>'13all_company_profile'!C675</f>
        <v>https://financialmodelingprep.com/image-stock/WY.png</v>
      </c>
      <c r="D675" s="35" t="str">
        <f>'13all_company_profile'!D675</f>
        <v>Weyerhaeuser Company</v>
      </c>
      <c r="E675" s="36">
        <f>'13all_company_profile'!E675</f>
        <v>25945315328</v>
      </c>
      <c r="F675" s="37">
        <f>'13all_company_profile'!F675</f>
        <v>5663946</v>
      </c>
      <c r="G675" s="35">
        <f>'13all_company_profile'!G675</f>
        <v>0.51</v>
      </c>
      <c r="H675" s="38">
        <f>'13all_company_profile'!H675</f>
        <v>44407</v>
      </c>
      <c r="I675" s="35">
        <f>'13all_company_profile'!I675</f>
        <v>19.217785</v>
      </c>
      <c r="J675" s="35">
        <f>'13all_company_profile'!J675</f>
        <v>1.777</v>
      </c>
      <c r="K675" s="42">
        <f t="shared" si="1"/>
        <v>0.01515601783</v>
      </c>
      <c r="L675" s="35">
        <f>'7company_info'!B675</f>
        <v>33.65</v>
      </c>
      <c r="M675" s="35">
        <f>'7company_info'!C675</f>
        <v>33.77</v>
      </c>
      <c r="N675" s="35">
        <f>'7company_info'!D675</f>
        <v>32.66</v>
      </c>
      <c r="O675" s="35">
        <f>'7company_info'!E675</f>
        <v>0.7</v>
      </c>
      <c r="P675" s="35">
        <f>'7company_info'!F675</f>
        <v>0.0212</v>
      </c>
      <c r="Q675" s="35">
        <f>'7company_info'!G675</f>
        <v>33.07</v>
      </c>
      <c r="R675" s="35">
        <f>'7company_info'!H675</f>
        <v>32.95</v>
      </c>
      <c r="S675" s="35">
        <f>'7company_info'!I675</f>
        <v>25.5</v>
      </c>
      <c r="T675" s="35">
        <f>'7company_info'!J675</f>
        <v>41.68</v>
      </c>
      <c r="U675" s="39">
        <v>34.6033333333333</v>
      </c>
      <c r="V675" s="39">
        <v>34.9466666666666</v>
      </c>
      <c r="W675" s="40">
        <v>35.1933333333333</v>
      </c>
      <c r="X675" s="40">
        <v>35.7833333333333</v>
      </c>
      <c r="Y675" s="40">
        <v>34.3566666666666</v>
      </c>
      <c r="Z675" s="40">
        <v>34.0133333333333</v>
      </c>
      <c r="AA675" s="40">
        <v>33.4233333333333</v>
      </c>
      <c r="AB675" s="40">
        <v>34.1</v>
      </c>
      <c r="AC675" s="40">
        <v>34.85</v>
      </c>
      <c r="AD675" s="40">
        <v>34.9060650852705</v>
      </c>
      <c r="AE675" s="40">
        <v>33.15188</v>
      </c>
      <c r="AF675" s="40">
        <v>0.719565</v>
      </c>
      <c r="AG675" s="40">
        <v>41.68</v>
      </c>
      <c r="AH675" s="45">
        <v>44326.0</v>
      </c>
      <c r="AI675" s="44" t="str">
        <f>'6image_RS_benchmark_performance'!B675</f>
        <v>https://3arbzfbsh-cname-us.ngrok.io/Desktop/seabridge%20fintech/image_app/WY_resistance_support.jpg</v>
      </c>
      <c r="AJ675" s="44" t="str">
        <f>'6image_RS_benchmark_performance'!C675</f>
        <v>https://3arbzfbsh-cname-us.ngrok.io/Desktop/seabridge%20fintech/profit_graph_app/WY_Return.jpg</v>
      </c>
      <c r="AK675" s="46" t="str">
        <f>'5price_action_icon'!B675</f>
        <v>https://3arbzfbsh-cname-us.ngrok.io/Desktop/seabridge%20fintech/icon/WY_pa_trend_signal</v>
      </c>
      <c r="AL675" s="42">
        <f>'1kpi_performance'!B675</f>
        <v>0.6006962734</v>
      </c>
      <c r="AM675" s="42">
        <f>'1kpi_performance'!C675</f>
        <v>0.7638284267</v>
      </c>
      <c r="AN675" s="42">
        <f>'1kpi_performance'!D675</f>
        <v>0.6896905152</v>
      </c>
      <c r="AO675" s="42">
        <f>'1kpi_performance'!E675</f>
        <v>0.09157733754</v>
      </c>
      <c r="AP675" s="42">
        <f>'1kpi_performance'!F675</f>
        <v>0.2494990028</v>
      </c>
      <c r="AQ675" s="42">
        <f>'1kpi_performance'!G675</f>
        <v>0.2283517606</v>
      </c>
      <c r="AR675" s="42">
        <f>'1kpi_performance'!H675</f>
        <v>0.237392508</v>
      </c>
      <c r="AS675" s="42">
        <f>'1kpi_performance'!I675</f>
        <v>0.3801555441</v>
      </c>
      <c r="AT675" s="35">
        <f>'1kpi_performance'!J675</f>
        <v>2.307409115</v>
      </c>
      <c r="AU675" s="35">
        <f>'1kpi_performance'!K675</f>
        <v>3.23548382</v>
      </c>
      <c r="AV675" s="35">
        <f>'1kpi_performance'!L675</f>
        <v>2.799964164</v>
      </c>
      <c r="AW675" s="35">
        <f>'1kpi_performance'!M675</f>
        <v>0.1751318337</v>
      </c>
      <c r="AX675" s="42">
        <f>'1kpi_performance'!N675</f>
        <v>0.2164579606</v>
      </c>
      <c r="AY675" s="42">
        <f>'1kpi_performance'!O675</f>
        <v>0.1089290579</v>
      </c>
      <c r="AZ675" s="42">
        <f>'1kpi_performance'!P675</f>
        <v>0.288005461</v>
      </c>
      <c r="BA675" s="42">
        <f>'1kpi_performance'!Q675</f>
        <v>0.6488529718</v>
      </c>
      <c r="BB675" s="35">
        <f>'1kpi_performance'!R675</f>
        <v>4.585156651</v>
      </c>
      <c r="BC675" s="35">
        <f>'1kpi_performance'!S675</f>
        <v>7.363642802</v>
      </c>
      <c r="BD675" s="35">
        <f>'1kpi_performance'!T675</f>
        <v>6.075413486</v>
      </c>
      <c r="BE675" s="35">
        <f>'1kpi_performance'!U675</f>
        <v>0.332277001</v>
      </c>
      <c r="BF675" s="47"/>
      <c r="BG675" s="47"/>
      <c r="BH675" s="47"/>
      <c r="BI675" s="47"/>
      <c r="BJ675" s="47"/>
      <c r="BK675" s="47"/>
      <c r="BL675" s="47"/>
      <c r="BM675" s="47"/>
      <c r="BN675" s="47"/>
      <c r="BO675" s="47"/>
      <c r="BP675" s="47"/>
      <c r="BQ675" s="47"/>
      <c r="BR675" s="47"/>
      <c r="BS675" s="47"/>
      <c r="BT675" s="47"/>
    </row>
    <row r="676" ht="11.25" customHeight="1">
      <c r="A676" s="35" t="str">
        <f>'13all_company_profile'!A676</f>
        <v>WYNN</v>
      </c>
      <c r="B676" s="35" t="str">
        <f>'13all_company_profile'!B676</f>
        <v>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v>
      </c>
      <c r="C676" s="44" t="str">
        <f>'13all_company_profile'!C676</f>
        <v>https://financialmodelingprep.com/image-stock/WYNN.png</v>
      </c>
      <c r="D676" s="35" t="str">
        <f>'13all_company_profile'!D676</f>
        <v>Wynn Resorts, Limited</v>
      </c>
      <c r="E676" s="36">
        <f>'13all_company_profile'!E676</f>
        <v>12517665792</v>
      </c>
      <c r="F676" s="37">
        <f>'13all_company_profile'!F676</f>
        <v>2334793</v>
      </c>
      <c r="G676" s="35">
        <f>'13all_company_profile'!G676</f>
        <v>1</v>
      </c>
      <c r="H676" s="38">
        <f>'13all_company_profile'!H676</f>
        <v>44410</v>
      </c>
      <c r="I676" s="35" t="str">
        <f>'13all_company_profile'!I676</f>
        <v>NaN</v>
      </c>
      <c r="J676" s="35">
        <f>'13all_company_profile'!J676</f>
        <v>-18.05</v>
      </c>
      <c r="K676" s="42">
        <f t="shared" si="1"/>
        <v>0.0093835038</v>
      </c>
      <c r="L676" s="35">
        <f>'7company_info'!B676</f>
        <v>106.57</v>
      </c>
      <c r="M676" s="35">
        <f>'7company_info'!C676</f>
        <v>107.66</v>
      </c>
      <c r="N676" s="35">
        <f>'7company_info'!D676</f>
        <v>103.39</v>
      </c>
      <c r="O676" s="35">
        <f>'7company_info'!E676</f>
        <v>1.83</v>
      </c>
      <c r="P676" s="35">
        <f>'7company_info'!F676</f>
        <v>0.0175</v>
      </c>
      <c r="Q676" s="35">
        <f>'7company_info'!G676</f>
        <v>104.7</v>
      </c>
      <c r="R676" s="35">
        <f>'7company_info'!H676</f>
        <v>104.74</v>
      </c>
      <c r="S676" s="35">
        <f>'7company_info'!I676</f>
        <v>67.7</v>
      </c>
      <c r="T676" s="35">
        <f>'7company_info'!J676</f>
        <v>143.88</v>
      </c>
      <c r="U676" s="39">
        <v>111.276666666666</v>
      </c>
      <c r="V676" s="39">
        <v>112.753333333333</v>
      </c>
      <c r="W676" s="40">
        <v>114.796666666666</v>
      </c>
      <c r="X676" s="40">
        <v>118.316666666666</v>
      </c>
      <c r="Y676" s="40">
        <v>109.233333333333</v>
      </c>
      <c r="Z676" s="40">
        <v>107.756666666666</v>
      </c>
      <c r="AA676" s="40">
        <v>104.236666666666</v>
      </c>
      <c r="AB676" s="40">
        <v>109.8</v>
      </c>
      <c r="AC676" s="40">
        <v>114.94</v>
      </c>
      <c r="AD676" s="40">
        <v>118.943216122054</v>
      </c>
      <c r="AE676" s="40">
        <v>105.13053</v>
      </c>
      <c r="AF676" s="40">
        <v>3.30373499999999</v>
      </c>
      <c r="AG676" s="40">
        <v>143.88</v>
      </c>
      <c r="AH676" s="45">
        <v>44270.0</v>
      </c>
      <c r="AI676" s="44" t="str">
        <f>'6image_RS_benchmark_performance'!B676</f>
        <v>https://3arbzfbsh-cname-us.ngrok.io/Desktop/seabridge%20fintech/image_app/WYNN_resistance_support.jpg</v>
      </c>
      <c r="AJ676" s="44" t="str">
        <f>'6image_RS_benchmark_performance'!C676</f>
        <v>https://3arbzfbsh-cname-us.ngrok.io/Desktop/seabridge%20fintech/profit_graph_app/WYNN_Return.jpg</v>
      </c>
      <c r="AK676" s="46" t="str">
        <f>'5price_action_icon'!B676</f>
        <v>https://3arbzfbsh-cname-us.ngrok.io/Desktop/seabridge%20fintech/icon/WYNN_pa_trend_signal</v>
      </c>
      <c r="AL676" s="42">
        <f>'1kpi_performance'!B676</f>
        <v>0.9433161299</v>
      </c>
      <c r="AM676" s="42">
        <f>'1kpi_performance'!C676</f>
        <v>1.146482585</v>
      </c>
      <c r="AN676" s="42">
        <f>'1kpi_performance'!D676</f>
        <v>0.9470081221</v>
      </c>
      <c r="AO676" s="42">
        <f>'1kpi_performance'!E676</f>
        <v>0.07102659224</v>
      </c>
      <c r="AP676" s="42">
        <f>'1kpi_performance'!F676</f>
        <v>0.3981323056</v>
      </c>
      <c r="AQ676" s="42">
        <f>'1kpi_performance'!G676</f>
        <v>0.3899179389</v>
      </c>
      <c r="AR676" s="42">
        <f>'1kpi_performance'!H676</f>
        <v>0.3985912956</v>
      </c>
      <c r="AS676" s="42">
        <f>'1kpi_performance'!I676</f>
        <v>0.5535637952</v>
      </c>
      <c r="AT676" s="35">
        <f>'1kpi_performance'!J676</f>
        <v>2.306560199</v>
      </c>
      <c r="AU676" s="35">
        <f>'1kpi_performance'!K676</f>
        <v>2.876201563</v>
      </c>
      <c r="AV676" s="35">
        <f>'1kpi_performance'!L676</f>
        <v>2.313166725</v>
      </c>
      <c r="AW676" s="35">
        <f>'1kpi_performance'!M676</f>
        <v>0.08314595832</v>
      </c>
      <c r="AX676" s="42">
        <f>'1kpi_performance'!N676</f>
        <v>0.3538502531</v>
      </c>
      <c r="AY676" s="42">
        <f>'1kpi_performance'!O676</f>
        <v>0.2805755396</v>
      </c>
      <c r="AZ676" s="42">
        <f>'1kpi_performance'!P676</f>
        <v>0.6183612621</v>
      </c>
      <c r="BA676" s="42">
        <f>'1kpi_performance'!Q676</f>
        <v>0.8255209125</v>
      </c>
      <c r="BB676" s="35">
        <f>'1kpi_performance'!R676</f>
        <v>5.182490291</v>
      </c>
      <c r="BC676" s="35">
        <f>'1kpi_performance'!S676</f>
        <v>6.958904055</v>
      </c>
      <c r="BD676" s="35">
        <f>'1kpi_performance'!T676</f>
        <v>5.177792048</v>
      </c>
      <c r="BE676" s="35">
        <f>'1kpi_performance'!U676</f>
        <v>0.1685279063</v>
      </c>
      <c r="BF676" s="47"/>
      <c r="BG676" s="47"/>
      <c r="BH676" s="47"/>
      <c r="BI676" s="47"/>
      <c r="BJ676" s="47"/>
      <c r="BK676" s="47"/>
      <c r="BL676" s="47"/>
      <c r="BM676" s="47"/>
      <c r="BN676" s="47"/>
      <c r="BO676" s="47"/>
      <c r="BP676" s="47"/>
      <c r="BQ676" s="47"/>
      <c r="BR676" s="47"/>
      <c r="BS676" s="47"/>
      <c r="BT676" s="47"/>
    </row>
    <row r="677" ht="11.25" customHeight="1">
      <c r="A677" s="35" t="str">
        <f>'13all_company_profile'!A677</f>
        <v>XBI</v>
      </c>
      <c r="B677" s="35" t="str">
        <f>'13all_company_profile'!B677</f>
        <v>XBI was created on 01/31/06 by State Street Global Advisors. The ETF tracks an equal-weighted index of US biotechnology stocks.</v>
      </c>
      <c r="C677" s="44" t="str">
        <f>'13all_company_profile'!C677</f>
        <v>https://financialmodelingprep.com/image-stock/XBI.png</v>
      </c>
      <c r="D677" s="35" t="str">
        <f>'13all_company_profile'!D677</f>
        <v>SPDR S&amp;P Biotech ETF</v>
      </c>
      <c r="E677" s="36">
        <f>'13all_company_profile'!E677</f>
        <v>4333180000</v>
      </c>
      <c r="F677" s="37">
        <f>'13all_company_profile'!F677</f>
        <v>6473134</v>
      </c>
      <c r="G677" s="35">
        <f>'13all_company_profile'!G677</f>
        <v>0.305</v>
      </c>
      <c r="H677" s="38" t="str">
        <f>'13all_company_profile'!H677</f>
        <v>not avaiable</v>
      </c>
      <c r="I677" s="35" t="str">
        <f>'13all_company_profile'!I677</f>
        <v>NaN</v>
      </c>
      <c r="J677" s="35" t="str">
        <f>'13all_company_profile'!J677</f>
        <v>NaN</v>
      </c>
      <c r="K677" s="42">
        <f t="shared" si="1"/>
        <v>0.002363241903</v>
      </c>
      <c r="L677" s="35">
        <f>'7company_info'!B677</f>
        <v>129.06</v>
      </c>
      <c r="M677" s="35">
        <f>'7company_info'!C677</f>
        <v>129.06</v>
      </c>
      <c r="N677" s="35">
        <f>'7company_info'!D677</f>
        <v>125.59</v>
      </c>
      <c r="O677" s="35">
        <f>'7company_info'!E677</f>
        <v>2.92</v>
      </c>
      <c r="P677" s="35">
        <f>'7company_info'!F677</f>
        <v>0.0231</v>
      </c>
      <c r="Q677" s="35">
        <f>'7company_info'!G677</f>
        <v>126.15</v>
      </c>
      <c r="R677" s="35">
        <f>'7company_info'!H677</f>
        <v>126.14</v>
      </c>
      <c r="S677" s="35">
        <f>'7company_info'!I677</f>
        <v>100.64</v>
      </c>
      <c r="T677" s="35">
        <f>'7company_info'!J677</f>
        <v>174.79</v>
      </c>
      <c r="U677" s="39">
        <v>127.313333333333</v>
      </c>
      <c r="V677" s="39">
        <v>128.806666666666</v>
      </c>
      <c r="W677" s="40">
        <v>131.663333333333</v>
      </c>
      <c r="X677" s="40">
        <v>136.013333333333</v>
      </c>
      <c r="Y677" s="40">
        <v>124.456666666666</v>
      </c>
      <c r="Z677" s="40">
        <v>122.963333333333</v>
      </c>
      <c r="AA677" s="40">
        <v>118.613333333333</v>
      </c>
      <c r="AB677" s="40">
        <v>125.08</v>
      </c>
      <c r="AC677" s="40">
        <v>137.43</v>
      </c>
      <c r="AD677" s="40">
        <v>132.775518071843</v>
      </c>
      <c r="AE677" s="40">
        <v>123.05401</v>
      </c>
      <c r="AF677" s="40">
        <v>3.29649499999999</v>
      </c>
      <c r="AG677" s="40">
        <v>174.79</v>
      </c>
      <c r="AH677" s="45">
        <v>44236.0</v>
      </c>
      <c r="AI677" s="44" t="str">
        <f>'6image_RS_benchmark_performance'!B677</f>
        <v>https://3arbzfbsh-cname-us.ngrok.io/Desktop/seabridge%20fintech/image_app/XBI_resistance_support.jpg</v>
      </c>
      <c r="AJ677" s="44" t="str">
        <f>'6image_RS_benchmark_performance'!C677</f>
        <v>https://3arbzfbsh-cname-us.ngrok.io/Desktop/seabridge%20fintech/profit_graph_app/XBI_Return.jpg</v>
      </c>
      <c r="AK677" s="46" t="str">
        <f>'5price_action_icon'!B677</f>
        <v>https://3arbzfbsh-cname-us.ngrok.io/Desktop/seabridge%20fintech/icon/XBI_pa_trend_signal</v>
      </c>
      <c r="AL677" s="42">
        <f>'1kpi_performance'!B677</f>
        <v>0.7267421237</v>
      </c>
      <c r="AM677" s="42">
        <f>'1kpi_performance'!C677</f>
        <v>0.9062652866</v>
      </c>
      <c r="AN677" s="42">
        <f>'1kpi_performance'!D677</f>
        <v>0.8912395282</v>
      </c>
      <c r="AO677" s="42">
        <f>'1kpi_performance'!E677</f>
        <v>0.2709381126</v>
      </c>
      <c r="AP677" s="42">
        <f>'1kpi_performance'!F677</f>
        <v>0.2428284984</v>
      </c>
      <c r="AQ677" s="42">
        <f>'1kpi_performance'!G677</f>
        <v>0.2503914592</v>
      </c>
      <c r="AR677" s="42">
        <f>'1kpi_performance'!H677</f>
        <v>0.2623556531</v>
      </c>
      <c r="AS677" s="42">
        <f>'1kpi_performance'!I677</f>
        <v>0.369866887</v>
      </c>
      <c r="AT677" s="35">
        <f>'1kpi_performance'!J677</f>
        <v>2.889867245</v>
      </c>
      <c r="AU677" s="35">
        <f>'1kpi_performance'!K677</f>
        <v>3.519550106</v>
      </c>
      <c r="AV677" s="35">
        <f>'1kpi_performance'!L677</f>
        <v>3.301775731</v>
      </c>
      <c r="AW677" s="35">
        <f>'1kpi_performance'!M677</f>
        <v>0.6649368227</v>
      </c>
      <c r="AX677" s="42">
        <f>'1kpi_performance'!N677</f>
        <v>0.1389925276</v>
      </c>
      <c r="AY677" s="42">
        <f>'1kpi_performance'!O677</f>
        <v>0.1418354798</v>
      </c>
      <c r="AZ677" s="42">
        <f>'1kpi_performance'!P677</f>
        <v>0.3006362672</v>
      </c>
      <c r="BA677" s="42">
        <f>'1kpi_performance'!Q677</f>
        <v>0.4938940059</v>
      </c>
      <c r="BB677" s="35">
        <f>'1kpi_performance'!R677</f>
        <v>6.161294787</v>
      </c>
      <c r="BC677" s="35">
        <f>'1kpi_performance'!S677</f>
        <v>7.768938194</v>
      </c>
      <c r="BD677" s="35">
        <f>'1kpi_performance'!T677</f>
        <v>6.865949569</v>
      </c>
      <c r="BE677" s="35">
        <f>'1kpi_performance'!U677</f>
        <v>1.318674984</v>
      </c>
      <c r="BF677" s="47"/>
      <c r="BG677" s="47"/>
      <c r="BH677" s="47"/>
      <c r="BI677" s="47"/>
      <c r="BJ677" s="47"/>
      <c r="BK677" s="47"/>
      <c r="BL677" s="47"/>
      <c r="BM677" s="47"/>
      <c r="BN677" s="47"/>
      <c r="BO677" s="47"/>
      <c r="BP677" s="47"/>
      <c r="BQ677" s="47"/>
      <c r="BR677" s="47"/>
      <c r="BS677" s="47"/>
      <c r="BT677" s="47"/>
    </row>
    <row r="678" ht="11.25" customHeight="1">
      <c r="A678" s="35" t="str">
        <f>'13all_company_profile'!A678</f>
        <v>XEL</v>
      </c>
      <c r="B678" s="35" t="str">
        <f>'13all_company_profile'!B678</f>
        <v>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v>
      </c>
      <c r="C678" s="44" t="str">
        <f>'13all_company_profile'!C678</f>
        <v>https://financialmodelingprep.com/image-stock/XEL.png</v>
      </c>
      <c r="D678" s="35" t="str">
        <f>'13all_company_profile'!D678</f>
        <v>Xcel Energy Inc.</v>
      </c>
      <c r="E678" s="36">
        <f>'13all_company_profile'!E678</f>
        <v>36985585664</v>
      </c>
      <c r="F678" s="37">
        <f>'13all_company_profile'!F678</f>
        <v>2694952</v>
      </c>
      <c r="G678" s="35">
        <f>'13all_company_profile'!G678</f>
        <v>1.7755</v>
      </c>
      <c r="H678" s="38">
        <f>'13all_company_profile'!H678</f>
        <v>44405</v>
      </c>
      <c r="I678" s="35">
        <f>'13all_company_profile'!I678</f>
        <v>23.963436</v>
      </c>
      <c r="J678" s="35">
        <f>'13all_company_profile'!J678</f>
        <v>2.899</v>
      </c>
      <c r="K678" s="42">
        <f t="shared" si="1"/>
        <v>0.02604900235</v>
      </c>
      <c r="L678" s="35">
        <f>'7company_info'!B678</f>
        <v>68.16</v>
      </c>
      <c r="M678" s="35">
        <f>'7company_info'!C678</f>
        <v>69.3</v>
      </c>
      <c r="N678" s="35">
        <f>'7company_info'!D678</f>
        <v>67.97</v>
      </c>
      <c r="O678" s="35">
        <f>'7company_info'!E678</f>
        <v>-0.11</v>
      </c>
      <c r="P678" s="35">
        <f>'7company_info'!F678</f>
        <v>-0.0016</v>
      </c>
      <c r="Q678" s="35">
        <f>'7company_info'!G678</f>
        <v>68.49</v>
      </c>
      <c r="R678" s="35">
        <f>'7company_info'!H678</f>
        <v>68.27</v>
      </c>
      <c r="S678" s="35">
        <f>'7company_info'!I678</f>
        <v>57.23</v>
      </c>
      <c r="T678" s="35">
        <f>'7company_info'!J678</f>
        <v>76.44</v>
      </c>
      <c r="U678" s="39">
        <v>67.9066666666666</v>
      </c>
      <c r="V678" s="39">
        <v>68.6333333333333</v>
      </c>
      <c r="W678" s="40">
        <v>69.1766666666666</v>
      </c>
      <c r="X678" s="40">
        <v>70.4466666666666</v>
      </c>
      <c r="Y678" s="40">
        <v>67.3633333333333</v>
      </c>
      <c r="Z678" s="40">
        <v>66.6366666666666</v>
      </c>
      <c r="AA678" s="40">
        <v>65.3666666666666</v>
      </c>
      <c r="AB678" s="40">
        <v>67.17</v>
      </c>
      <c r="AC678" s="40">
        <v>67.4</v>
      </c>
      <c r="AD678" s="40">
        <v>67.6741184250411</v>
      </c>
      <c r="AE678" s="40">
        <v>65.52016</v>
      </c>
      <c r="AF678" s="40">
        <v>1.06841999999999</v>
      </c>
      <c r="AG678" s="40">
        <v>72.94</v>
      </c>
      <c r="AH678" s="45">
        <v>44327.0</v>
      </c>
      <c r="AI678" s="44" t="str">
        <f>'6image_RS_benchmark_performance'!B678</f>
        <v>https://3arbzfbsh-cname-us.ngrok.io/Desktop/seabridge%20fintech/image_app/XEL_resistance_support.jpg</v>
      </c>
      <c r="AJ678" s="44" t="str">
        <f>'6image_RS_benchmark_performance'!C678</f>
        <v>https://3arbzfbsh-cname-us.ngrok.io/Desktop/seabridge%20fintech/profit_graph_app/XEL_Return.jpg</v>
      </c>
      <c r="AK678" s="46" t="str">
        <f>'5price_action_icon'!B678</f>
        <v>https://3arbzfbsh-cname-us.ngrok.io/Desktop/seabridge%20fintech/icon/XEL_pa_trend_signal</v>
      </c>
      <c r="AL678" s="42">
        <f>'1kpi_performance'!B678</f>
        <v>0.334297682</v>
      </c>
      <c r="AM678" s="42">
        <f>'1kpi_performance'!C678</f>
        <v>0.4014186803</v>
      </c>
      <c r="AN678" s="42">
        <f>'1kpi_performance'!D678</f>
        <v>0.3853984069</v>
      </c>
      <c r="AO678" s="42">
        <f>'1kpi_performance'!E678</f>
        <v>0.1553508033</v>
      </c>
      <c r="AP678" s="42">
        <f>'1kpi_performance'!F678</f>
        <v>0.1484949106</v>
      </c>
      <c r="AQ678" s="42">
        <f>'1kpi_performance'!G678</f>
        <v>0.1535918759</v>
      </c>
      <c r="AR678" s="42">
        <f>'1kpi_performance'!H678</f>
        <v>0.1740157786</v>
      </c>
      <c r="AS678" s="42">
        <f>'1kpi_performance'!I678</f>
        <v>0.2272288733</v>
      </c>
      <c r="AT678" s="35">
        <f>'1kpi_performance'!J678</f>
        <v>2.082884058</v>
      </c>
      <c r="AU678" s="35">
        <f>'1kpi_performance'!K678</f>
        <v>2.450772074</v>
      </c>
      <c r="AV678" s="35">
        <f>'1kpi_performance'!L678</f>
        <v>2.071067404</v>
      </c>
      <c r="AW678" s="35">
        <f>'1kpi_performance'!M678</f>
        <v>0.5736542255</v>
      </c>
      <c r="AX678" s="42">
        <f>'1kpi_performance'!N678</f>
        <v>0.09118845145</v>
      </c>
      <c r="AY678" s="42">
        <f>'1kpi_performance'!O678</f>
        <v>0.08830975428</v>
      </c>
      <c r="AZ678" s="42">
        <f>'1kpi_performance'!P678</f>
        <v>0.2872416251</v>
      </c>
      <c r="BA678" s="42">
        <f>'1kpi_performance'!Q678</f>
        <v>0.2973580663</v>
      </c>
      <c r="BB678" s="35">
        <f>'1kpi_performance'!R678</f>
        <v>4.147770222</v>
      </c>
      <c r="BC678" s="35">
        <f>'1kpi_performance'!S678</f>
        <v>5.173697822</v>
      </c>
      <c r="BD678" s="35">
        <f>'1kpi_performance'!T678</f>
        <v>3.881546862</v>
      </c>
      <c r="BE678" s="35">
        <f>'1kpi_performance'!U678</f>
        <v>1.085626182</v>
      </c>
      <c r="BF678" s="47"/>
      <c r="BG678" s="47"/>
      <c r="BH678" s="47"/>
      <c r="BI678" s="47"/>
      <c r="BJ678" s="47"/>
      <c r="BK678" s="47"/>
      <c r="BL678" s="47"/>
      <c r="BM678" s="47"/>
      <c r="BN678" s="47"/>
      <c r="BO678" s="47"/>
      <c r="BP678" s="47"/>
      <c r="BQ678" s="47"/>
      <c r="BR678" s="47"/>
      <c r="BS678" s="47"/>
      <c r="BT678" s="47"/>
    </row>
    <row r="679" ht="11.25" customHeight="1">
      <c r="A679" s="35" t="str">
        <f>'13all_company_profile'!A679</f>
        <v>XLB</v>
      </c>
      <c r="B679" s="35" t="str">
        <f>'13all_company_profile'!B679</f>
        <v>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v>
      </c>
      <c r="C679" s="44" t="str">
        <f>'13all_company_profile'!C679</f>
        <v>https://financialmodelingprep.com/image-stock/XLB.jpg</v>
      </c>
      <c r="D679" s="35" t="str">
        <f>'13all_company_profile'!D679</f>
        <v>Materials Select Sector SPDR Fund</v>
      </c>
      <c r="E679" s="36">
        <f>'13all_company_profile'!E679</f>
        <v>5921478144</v>
      </c>
      <c r="F679" s="37">
        <f>'13all_company_profile'!F679</f>
        <v>6999422</v>
      </c>
      <c r="G679" s="35">
        <f>'13all_company_profile'!G679</f>
        <v>0.995</v>
      </c>
      <c r="H679" s="38" t="str">
        <f>'13all_company_profile'!H679</f>
        <v>not avaiable</v>
      </c>
      <c r="I679" s="35">
        <f>'13all_company_profile'!I679</f>
        <v>3.1897638</v>
      </c>
      <c r="J679" s="35">
        <f>'13all_company_profile'!J679</f>
        <v>25.4</v>
      </c>
      <c r="K679" s="42">
        <f t="shared" si="1"/>
        <v>0.01239875389</v>
      </c>
      <c r="L679" s="35">
        <f>'7company_info'!B679</f>
        <v>80.25</v>
      </c>
      <c r="M679" s="35">
        <f>'7company_info'!C679</f>
        <v>80.82</v>
      </c>
      <c r="N679" s="35">
        <f>'7company_info'!D679</f>
        <v>78.89</v>
      </c>
      <c r="O679" s="35">
        <f>'7company_info'!E679</f>
        <v>0.9</v>
      </c>
      <c r="P679" s="35">
        <f>'7company_info'!F679</f>
        <v>0.0113</v>
      </c>
      <c r="Q679" s="35">
        <f>'7company_info'!G679</f>
        <v>79.14</v>
      </c>
      <c r="R679" s="35">
        <f>'7company_info'!H679</f>
        <v>79.35</v>
      </c>
      <c r="S679" s="35">
        <f>'7company_info'!I679</f>
        <v>59.6</v>
      </c>
      <c r="T679" s="35">
        <f>'7company_info'!J679</f>
        <v>89.21</v>
      </c>
      <c r="U679" s="39">
        <v>82.5483333333333</v>
      </c>
      <c r="V679" s="39">
        <v>83.0166666666666</v>
      </c>
      <c r="W679" s="40">
        <v>83.7133333333333</v>
      </c>
      <c r="X679" s="40">
        <v>84.8783333333333</v>
      </c>
      <c r="Y679" s="40">
        <v>81.8516666666666</v>
      </c>
      <c r="Z679" s="40">
        <v>81.3833333333333</v>
      </c>
      <c r="AA679" s="40">
        <v>80.2183333333333</v>
      </c>
      <c r="AB679" s="40">
        <v>80.67</v>
      </c>
      <c r="AC679" s="40">
        <v>82.93</v>
      </c>
      <c r="AD679" s="40">
        <v>82.9575682951841</v>
      </c>
      <c r="AE679" s="40">
        <v>80.065</v>
      </c>
      <c r="AF679" s="40">
        <v>1.2225</v>
      </c>
      <c r="AG679" s="40">
        <v>89.212</v>
      </c>
      <c r="AH679" s="45">
        <v>44326.0</v>
      </c>
      <c r="AI679" s="44" t="str">
        <f>'6image_RS_benchmark_performance'!B679</f>
        <v>https://3arbzfbsh-cname-us.ngrok.io/Desktop/seabridge%20fintech/image_app/XLB_resistance_support.jpg</v>
      </c>
      <c r="AJ679" s="44" t="str">
        <f>'6image_RS_benchmark_performance'!C679</f>
        <v>https://3arbzfbsh-cname-us.ngrok.io/Desktop/seabridge%20fintech/profit_graph_app/XLB_Return.jpg</v>
      </c>
      <c r="AK679" s="46" t="str">
        <f>'5price_action_icon'!B679</f>
        <v>https://3arbzfbsh-cname-us.ngrok.io/Desktop/seabridge%20fintech/icon/XLB_pa_trend_signal</v>
      </c>
      <c r="AL679" s="42">
        <f>'1kpi_performance'!B679</f>
        <v>0.3452790124</v>
      </c>
      <c r="AM679" s="42">
        <f>'1kpi_performance'!C679</f>
        <v>0.5023280899</v>
      </c>
      <c r="AN679" s="42">
        <f>'1kpi_performance'!D679</f>
        <v>0.4068464599</v>
      </c>
      <c r="AO679" s="42">
        <f>'1kpi_performance'!E679</f>
        <v>0.123776445</v>
      </c>
      <c r="AP679" s="42">
        <f>'1kpi_performance'!F679</f>
        <v>0.1636199445</v>
      </c>
      <c r="AQ679" s="42">
        <f>'1kpi_performance'!G679</f>
        <v>0.1702093663</v>
      </c>
      <c r="AR679" s="42">
        <f>'1kpi_performance'!H679</f>
        <v>0.1630774966</v>
      </c>
      <c r="AS679" s="42">
        <f>'1kpi_performance'!I679</f>
        <v>0.2569566622</v>
      </c>
      <c r="AT679" s="35">
        <f>'1kpi_performance'!J679</f>
        <v>1.957457042</v>
      </c>
      <c r="AU679" s="35">
        <f>'1kpi_performance'!K679</f>
        <v>2.80435854</v>
      </c>
      <c r="AV679" s="35">
        <f>'1kpi_performance'!L679</f>
        <v>2.341503075</v>
      </c>
      <c r="AW679" s="35">
        <f>'1kpi_performance'!M679</f>
        <v>0.3844089666</v>
      </c>
      <c r="AX679" s="42">
        <f>'1kpi_performance'!N679</f>
        <v>0.1196649301</v>
      </c>
      <c r="AY679" s="42">
        <f>'1kpi_performance'!O679</f>
        <v>0.08378422825</v>
      </c>
      <c r="AZ679" s="42">
        <f>'1kpi_performance'!P679</f>
        <v>0.2001205227</v>
      </c>
      <c r="BA679" s="42">
        <f>'1kpi_performance'!Q679</f>
        <v>0.4016227181</v>
      </c>
      <c r="BB679" s="35">
        <f>'1kpi_performance'!R679</f>
        <v>3.883158456</v>
      </c>
      <c r="BC679" s="35">
        <f>'1kpi_performance'!S679</f>
        <v>6.089398448</v>
      </c>
      <c r="BD679" s="35">
        <f>'1kpi_performance'!T679</f>
        <v>4.678693945</v>
      </c>
      <c r="BE679" s="35">
        <f>'1kpi_performance'!U679</f>
        <v>0.7272984127</v>
      </c>
      <c r="BF679" s="47"/>
      <c r="BG679" s="47"/>
      <c r="BH679" s="47"/>
      <c r="BI679" s="47"/>
      <c r="BJ679" s="47"/>
      <c r="BK679" s="47"/>
      <c r="BL679" s="47"/>
      <c r="BM679" s="47"/>
      <c r="BN679" s="47"/>
      <c r="BO679" s="47"/>
      <c r="BP679" s="47"/>
      <c r="BQ679" s="47"/>
      <c r="BR679" s="47"/>
      <c r="BS679" s="47"/>
      <c r="BT679" s="47"/>
    </row>
    <row r="680" ht="11.25" customHeight="1">
      <c r="A680" s="35" t="str">
        <f>'13all_company_profile'!A680</f>
        <v>XLC</v>
      </c>
      <c r="B680" s="35" t="str">
        <f>'13all_company_profile'!B680</f>
        <v>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v>
      </c>
      <c r="C680" s="44" t="str">
        <f>'13all_company_profile'!C680</f>
        <v>https://financialmodelingprep.com/image-stock/XLC.jpg</v>
      </c>
      <c r="D680" s="35" t="str">
        <f>'13all_company_profile'!D680</f>
        <v>Communication Services Select Sector SPDR Fund</v>
      </c>
      <c r="E680" s="36">
        <f>'13all_company_profile'!E680</f>
        <v>0</v>
      </c>
      <c r="F680" s="37">
        <f>'13all_company_profile'!F680</f>
        <v>4071733</v>
      </c>
      <c r="G680" s="35">
        <f>'13all_company_profile'!G680</f>
        <v>0.364</v>
      </c>
      <c r="H680" s="38" t="str">
        <f>'13all_company_profile'!H680</f>
        <v>not avaiable</v>
      </c>
      <c r="I680" s="35" t="str">
        <f>'13all_company_profile'!I680</f>
        <v>NaN</v>
      </c>
      <c r="J680" s="35" t="str">
        <f>'13all_company_profile'!J680</f>
        <v>NaN</v>
      </c>
      <c r="K680" s="42">
        <f t="shared" si="1"/>
        <v>0.004520054638</v>
      </c>
      <c r="L680" s="35">
        <f>'7company_info'!B680</f>
        <v>80.53</v>
      </c>
      <c r="M680" s="35">
        <f>'7company_info'!C680</f>
        <v>80.83</v>
      </c>
      <c r="N680" s="35">
        <f>'7company_info'!D680</f>
        <v>79.48</v>
      </c>
      <c r="O680" s="35">
        <f>'7company_info'!E680</f>
        <v>0.9</v>
      </c>
      <c r="P680" s="35">
        <f>'7company_info'!F680</f>
        <v>0.0113</v>
      </c>
      <c r="Q680" s="35">
        <f>'7company_info'!G680</f>
        <v>79.9</v>
      </c>
      <c r="R680" s="35">
        <f>'7company_info'!H680</f>
        <v>79.63</v>
      </c>
      <c r="S680" s="35">
        <f>'7company_info'!I680</f>
        <v>56.26</v>
      </c>
      <c r="T680" s="35">
        <f>'7company_info'!J680</f>
        <v>82.65</v>
      </c>
      <c r="U680" s="39">
        <v>82.1166666666666</v>
      </c>
      <c r="V680" s="39">
        <v>82.3733333333333</v>
      </c>
      <c r="W680" s="40">
        <v>82.7966666666666</v>
      </c>
      <c r="X680" s="40">
        <v>83.4766666666666</v>
      </c>
      <c r="Y680" s="40">
        <v>81.6933333333333</v>
      </c>
      <c r="Z680" s="40">
        <v>81.4366666666666</v>
      </c>
      <c r="AA680" s="40">
        <v>80.7566666666666</v>
      </c>
      <c r="AB680" s="40">
        <v>80.85</v>
      </c>
      <c r="AC680" s="40">
        <v>82.645</v>
      </c>
      <c r="AD680" s="40">
        <v>80.9510419143663</v>
      </c>
      <c r="AE680" s="40">
        <v>80.28704</v>
      </c>
      <c r="AF680" s="40">
        <v>0.85513</v>
      </c>
      <c r="AG680" s="40">
        <v>80.55</v>
      </c>
      <c r="AH680" s="45">
        <v>44362.0</v>
      </c>
      <c r="AI680" s="44" t="str">
        <f>'6image_RS_benchmark_performance'!B680</f>
        <v>https://3arbzfbsh-cname-us.ngrok.io/Desktop/seabridge%20fintech/image_app/XLC_resistance_support.jpg</v>
      </c>
      <c r="AJ680" s="44" t="str">
        <f>'6image_RS_benchmark_performance'!C680</f>
        <v>https://3arbzfbsh-cname-us.ngrok.io/Desktop/seabridge%20fintech/profit_graph_app/XLC_Return.jpg</v>
      </c>
      <c r="AK680" s="46" t="str">
        <f>'5price_action_icon'!B680</f>
        <v>https://3arbzfbsh-cname-us.ngrok.io/Desktop/seabridge%20fintech/icon/XLC_pa_trend_signal</v>
      </c>
      <c r="AL680" s="42">
        <f>'1kpi_performance'!B680</f>
        <v>0.4899944072</v>
      </c>
      <c r="AM680" s="42">
        <f>'1kpi_performance'!C680</f>
        <v>0.6664913214</v>
      </c>
      <c r="AN680" s="42">
        <f>'1kpi_performance'!D680</f>
        <v>0.482740876</v>
      </c>
      <c r="AO680" s="42">
        <f>'1kpi_performance'!E680</f>
        <v>0.259577244</v>
      </c>
      <c r="AP680" s="42">
        <f>'1kpi_performance'!F680</f>
        <v>0.1770017496</v>
      </c>
      <c r="AQ680" s="42">
        <f>'1kpi_performance'!G680</f>
        <v>0.1636154424</v>
      </c>
      <c r="AR680" s="42">
        <f>'1kpi_performance'!H680</f>
        <v>0.1733653795</v>
      </c>
      <c r="AS680" s="42">
        <f>'1kpi_performance'!I680</f>
        <v>0.2895767347</v>
      </c>
      <c r="AT680" s="35">
        <f>'1kpi_performance'!J680</f>
        <v>2.627061078</v>
      </c>
      <c r="AU680" s="35">
        <f>'1kpi_performance'!K680</f>
        <v>3.920726016</v>
      </c>
      <c r="AV680" s="35">
        <f>'1kpi_performance'!L680</f>
        <v>2.640324598</v>
      </c>
      <c r="AW680" s="35">
        <f>'1kpi_performance'!M680</f>
        <v>0.8100693733</v>
      </c>
      <c r="AX680" s="42">
        <f>'1kpi_performance'!N680</f>
        <v>0.08155809577</v>
      </c>
      <c r="AY680" s="42">
        <f>'1kpi_performance'!O680</f>
        <v>0.05321170658</v>
      </c>
      <c r="AZ680" s="42">
        <f>'1kpi_performance'!P680</f>
        <v>0.09901751732</v>
      </c>
      <c r="BA680" s="42">
        <f>'1kpi_performance'!Q680</f>
        <v>0.3014935742</v>
      </c>
      <c r="BB680" s="35">
        <f>'1kpi_performance'!R680</f>
        <v>5.463550509</v>
      </c>
      <c r="BC680" s="35">
        <f>'1kpi_performance'!S680</f>
        <v>8.707450331</v>
      </c>
      <c r="BD680" s="35">
        <f>'1kpi_performance'!T680</f>
        <v>5.640042537</v>
      </c>
      <c r="BE680" s="35">
        <f>'1kpi_performance'!U680</f>
        <v>1.4891717</v>
      </c>
      <c r="BF680" s="47"/>
      <c r="BG680" s="47"/>
      <c r="BH680" s="47"/>
      <c r="BI680" s="47"/>
      <c r="BJ680" s="47"/>
      <c r="BK680" s="47"/>
      <c r="BL680" s="47"/>
      <c r="BM680" s="47"/>
      <c r="BN680" s="47"/>
      <c r="BO680" s="47"/>
      <c r="BP680" s="47"/>
      <c r="BQ680" s="47"/>
      <c r="BR680" s="47"/>
      <c r="BS680" s="47"/>
      <c r="BT680" s="47"/>
    </row>
    <row r="681" ht="11.25" customHeight="1">
      <c r="A681" s="35" t="str">
        <f>'13all_company_profile'!A681</f>
        <v>XLE</v>
      </c>
      <c r="B681" s="35" t="str">
        <f>'13all_company_profile'!B681</f>
        <v>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v>
      </c>
      <c r="C681" s="44" t="str">
        <f>'13all_company_profile'!C681</f>
        <v>https://financialmodelingprep.com/image-stock/XLE.png</v>
      </c>
      <c r="D681" s="35" t="str">
        <f>'13all_company_profile'!D681</f>
        <v>Energy Select Sector SPDR Fund</v>
      </c>
      <c r="E681" s="36">
        <f>'13all_company_profile'!E681</f>
        <v>9339842560</v>
      </c>
      <c r="F681" s="37">
        <f>'13all_company_profile'!F681</f>
        <v>28778187</v>
      </c>
      <c r="G681" s="35">
        <f>'13all_company_profile'!G681</f>
        <v>1.584</v>
      </c>
      <c r="H681" s="38" t="str">
        <f>'13all_company_profile'!H681</f>
        <v>not avaiable</v>
      </c>
      <c r="I681" s="35">
        <f>'13all_company_profile'!I681</f>
        <v>3.040718</v>
      </c>
      <c r="J681" s="35">
        <f>'13all_company_profile'!J681</f>
        <v>15.988</v>
      </c>
      <c r="K681" s="42">
        <f t="shared" si="1"/>
        <v>0.03328430343</v>
      </c>
      <c r="L681" s="35">
        <f>'7company_info'!B681</f>
        <v>47.59</v>
      </c>
      <c r="M681" s="35">
        <f>'7company_info'!C681</f>
        <v>48.09</v>
      </c>
      <c r="N681" s="35">
        <f>'7company_info'!D681</f>
        <v>46.58</v>
      </c>
      <c r="O681" s="35">
        <f>'7company_info'!E681</f>
        <v>0.63</v>
      </c>
      <c r="P681" s="35">
        <f>'7company_info'!F681</f>
        <v>0.0134</v>
      </c>
      <c r="Q681" s="35">
        <f>'7company_info'!G681</f>
        <v>47</v>
      </c>
      <c r="R681" s="35">
        <f>'7company_info'!H681</f>
        <v>46.96</v>
      </c>
      <c r="S681" s="35">
        <f>'7company_info'!I681</f>
        <v>26.98</v>
      </c>
      <c r="T681" s="35">
        <f>'7company_info'!J681</f>
        <v>56.65</v>
      </c>
      <c r="U681" s="39">
        <v>51.52</v>
      </c>
      <c r="V681" s="39">
        <v>52.43</v>
      </c>
      <c r="W681" s="40">
        <v>54.05</v>
      </c>
      <c r="X681" s="40">
        <v>56.58</v>
      </c>
      <c r="Y681" s="40">
        <v>49.9</v>
      </c>
      <c r="Z681" s="40">
        <v>48.99</v>
      </c>
      <c r="AA681" s="40">
        <v>46.46</v>
      </c>
      <c r="AB681" s="40">
        <v>52.69</v>
      </c>
      <c r="AC681" s="40">
        <v>54.87</v>
      </c>
      <c r="AD681" s="40">
        <v>53.2429522429314</v>
      </c>
      <c r="AE681" s="40">
        <v>49.69216</v>
      </c>
      <c r="AF681" s="40">
        <v>1.40567</v>
      </c>
      <c r="AG681" s="40">
        <v>56.65</v>
      </c>
      <c r="AH681" s="45">
        <v>44357.0</v>
      </c>
      <c r="AI681" s="44" t="str">
        <f>'6image_RS_benchmark_performance'!B681</f>
        <v>https://3arbzfbsh-cname-us.ngrok.io/Desktop/seabridge%20fintech/image_app/XLE_resistance_support.jpg</v>
      </c>
      <c r="AJ681" s="44" t="str">
        <f>'6image_RS_benchmark_performance'!C681</f>
        <v>https://3arbzfbsh-cname-us.ngrok.io/Desktop/seabridge%20fintech/profit_graph_app/XLE_Return.jpg</v>
      </c>
      <c r="AK681" s="46" t="str">
        <f>'5price_action_icon'!B681</f>
        <v>https://3arbzfbsh-cname-us.ngrok.io/Desktop/seabridge%20fintech/icon/XLE_pa_trend_signal</v>
      </c>
      <c r="AL681" s="42">
        <f>'1kpi_performance'!B681</f>
        <v>0.4474223707</v>
      </c>
      <c r="AM681" s="42">
        <f>'1kpi_performance'!C681</f>
        <v>0.5390919591</v>
      </c>
      <c r="AN681" s="42">
        <f>'1kpi_performance'!D681</f>
        <v>0.2605376089</v>
      </c>
      <c r="AO681" s="42">
        <f>'1kpi_performance'!E681</f>
        <v>-0.01203596238</v>
      </c>
      <c r="AP681" s="42">
        <f>'1kpi_performance'!F681</f>
        <v>0.2320155954</v>
      </c>
      <c r="AQ681" s="42">
        <f>'1kpi_performance'!G681</f>
        <v>0.2173660064</v>
      </c>
      <c r="AR681" s="42">
        <f>'1kpi_performance'!H681</f>
        <v>0.2490947631</v>
      </c>
      <c r="AS681" s="42">
        <f>'1kpi_performance'!I681</f>
        <v>0.3326312659</v>
      </c>
      <c r="AT681" s="35">
        <f>'1kpi_performance'!J681</f>
        <v>1.820663693</v>
      </c>
      <c r="AU681" s="35">
        <f>'1kpi_performance'!K681</f>
        <v>2.36509824</v>
      </c>
      <c r="AV681" s="35">
        <f>'1kpi_performance'!L681</f>
        <v>0.9455743107</v>
      </c>
      <c r="AW681" s="35">
        <f>'1kpi_performance'!M681</f>
        <v>-0.1113423968</v>
      </c>
      <c r="AX681" s="42">
        <f>'1kpi_performance'!N681</f>
        <v>0.22060637</v>
      </c>
      <c r="AY681" s="42">
        <f>'1kpi_performance'!O681</f>
        <v>0.1031560491</v>
      </c>
      <c r="AZ681" s="42">
        <f>'1kpi_performance'!P681</f>
        <v>0.5717659884</v>
      </c>
      <c r="BA681" s="42">
        <f>'1kpi_performance'!Q681</f>
        <v>0.7603420489</v>
      </c>
      <c r="BB681" s="35">
        <f>'1kpi_performance'!R681</f>
        <v>3.932115192</v>
      </c>
      <c r="BC681" s="35">
        <f>'1kpi_performance'!S681</f>
        <v>5.290996248</v>
      </c>
      <c r="BD681" s="35">
        <f>'1kpi_performance'!T681</f>
        <v>1.650549854</v>
      </c>
      <c r="BE681" s="35">
        <f>'1kpi_performance'!U681</f>
        <v>-0.2089027208</v>
      </c>
      <c r="BF681" s="47"/>
      <c r="BG681" s="47"/>
      <c r="BH681" s="47"/>
      <c r="BI681" s="47"/>
      <c r="BJ681" s="47"/>
      <c r="BK681" s="47"/>
      <c r="BL681" s="47"/>
      <c r="BM681" s="47"/>
      <c r="BN681" s="47"/>
      <c r="BO681" s="47"/>
      <c r="BP681" s="47"/>
      <c r="BQ681" s="47"/>
      <c r="BR681" s="47"/>
      <c r="BS681" s="47"/>
      <c r="BT681" s="47"/>
    </row>
    <row r="682" ht="11.25" customHeight="1">
      <c r="A682" s="35" t="str">
        <f>'13all_company_profile'!A682</f>
        <v>XLF</v>
      </c>
      <c r="B682" s="35" t="str">
        <f>'13all_company_profile'!B682</f>
        <v>XLF was created on 12/16/98 by State Street Global Advisors. The ETF tracks an index of S&amp;P 500 financial stocks, weighted by market cap.</v>
      </c>
      <c r="C682" s="44" t="str">
        <f>'13all_company_profile'!C682</f>
        <v>https://financialmodelingprep.com/image-stock/XLF.png</v>
      </c>
      <c r="D682" s="35" t="str">
        <f>'13all_company_profile'!D682</f>
        <v>Financial Select Sector SPDR Fund</v>
      </c>
      <c r="E682" s="36">
        <f>'13all_company_profile'!E682</f>
        <v>32351754240</v>
      </c>
      <c r="F682" s="37">
        <f>'13all_company_profile'!F682</f>
        <v>52963203</v>
      </c>
      <c r="G682" s="35">
        <f>'13all_company_profile'!G682</f>
        <v>0.438</v>
      </c>
      <c r="H682" s="38" t="str">
        <f>'13all_company_profile'!H682</f>
        <v>not avaiable</v>
      </c>
      <c r="I682" s="35">
        <f>'13all_company_profile'!I682</f>
        <v>3.745844</v>
      </c>
      <c r="J682" s="35">
        <f>'13all_company_profile'!J682</f>
        <v>9.624</v>
      </c>
      <c r="K682" s="42">
        <f t="shared" si="1"/>
        <v>0.01217342968</v>
      </c>
      <c r="L682" s="35">
        <f>'7company_info'!B682</f>
        <v>35.98</v>
      </c>
      <c r="M682" s="35">
        <f>'7company_info'!C682</f>
        <v>36.22</v>
      </c>
      <c r="N682" s="35">
        <f>'7company_info'!D682</f>
        <v>35.01</v>
      </c>
      <c r="O682" s="35">
        <f>'7company_info'!E682</f>
        <v>0.87</v>
      </c>
      <c r="P682" s="35">
        <f>'7company_info'!F682</f>
        <v>0.0248</v>
      </c>
      <c r="Q682" s="35">
        <f>'7company_info'!G682</f>
        <v>35.06</v>
      </c>
      <c r="R682" s="35">
        <f>'7company_info'!H682</f>
        <v>35.11</v>
      </c>
      <c r="S682" s="35">
        <f>'7company_info'!I682</f>
        <v>22.94</v>
      </c>
      <c r="T682" s="35">
        <f>'7company_info'!J682</f>
        <v>38.6</v>
      </c>
      <c r="U682" s="39">
        <v>36.51</v>
      </c>
      <c r="V682" s="39">
        <v>36.92</v>
      </c>
      <c r="W682" s="40">
        <v>37.34</v>
      </c>
      <c r="X682" s="40">
        <v>38.17</v>
      </c>
      <c r="Y682" s="40">
        <v>36.09</v>
      </c>
      <c r="Z682" s="40">
        <v>35.68</v>
      </c>
      <c r="AA682" s="40">
        <v>34.85</v>
      </c>
      <c r="AB682" s="40">
        <v>36.41</v>
      </c>
      <c r="AC682" s="40">
        <v>38.6</v>
      </c>
      <c r="AD682" s="40">
        <v>36.6788109408553</v>
      </c>
      <c r="AE682" s="40">
        <v>35.40952</v>
      </c>
      <c r="AF682" s="40">
        <v>0.650239999999999</v>
      </c>
      <c r="AG682" s="40">
        <v>38.6</v>
      </c>
      <c r="AH682" s="45">
        <v>44350.0</v>
      </c>
      <c r="AI682" s="44" t="str">
        <f>'6image_RS_benchmark_performance'!B682</f>
        <v>https://3arbzfbsh-cname-us.ngrok.io/Desktop/seabridge%20fintech/image_app/XLF_resistance_support.jpg</v>
      </c>
      <c r="AJ682" s="44" t="str">
        <f>'6image_RS_benchmark_performance'!C682</f>
        <v>https://3arbzfbsh-cname-us.ngrok.io/Desktop/seabridge%20fintech/profit_graph_app/XLF_Return.jpg</v>
      </c>
      <c r="AK682" s="46" t="str">
        <f>'5price_action_icon'!B682</f>
        <v>https://3arbzfbsh-cname-us.ngrok.io/Desktop/seabridge%20fintech/icon/XLF_pa_trend_signal</v>
      </c>
      <c r="AL682" s="42">
        <f>'1kpi_performance'!B682</f>
        <v>0.4255004468</v>
      </c>
      <c r="AM682" s="42">
        <f>'1kpi_performance'!C682</f>
        <v>0.5588864707</v>
      </c>
      <c r="AN682" s="42">
        <f>'1kpi_performance'!D682</f>
        <v>0.5026531778</v>
      </c>
      <c r="AO682" s="42">
        <f>'1kpi_performance'!E682</f>
        <v>0.1498313448</v>
      </c>
      <c r="AP682" s="42">
        <f>'1kpi_performance'!F682</f>
        <v>0.1749485057</v>
      </c>
      <c r="AQ682" s="42">
        <f>'1kpi_performance'!G682</f>
        <v>0.1701892666</v>
      </c>
      <c r="AR682" s="42">
        <f>'1kpi_performance'!H682</f>
        <v>0.1668585521</v>
      </c>
      <c r="AS682" s="42">
        <f>'1kpi_performance'!I682</f>
        <v>0.2763614067</v>
      </c>
      <c r="AT682" s="35">
        <f>'1kpi_performance'!J682</f>
        <v>2.2892476</v>
      </c>
      <c r="AU682" s="35">
        <f>'1kpi_performance'!K682</f>
        <v>3.137016108</v>
      </c>
      <c r="AV682" s="35">
        <f>'1kpi_performance'!L682</f>
        <v>2.862623292</v>
      </c>
      <c r="AW682" s="35">
        <f>'1kpi_performance'!M682</f>
        <v>0.4516960102</v>
      </c>
      <c r="AX682" s="42">
        <f>'1kpi_performance'!N682</f>
        <v>0.1350037397</v>
      </c>
      <c r="AY682" s="42">
        <f>'1kpi_performance'!O682</f>
        <v>0.09783110291</v>
      </c>
      <c r="AZ682" s="42">
        <f>'1kpi_performance'!P682</f>
        <v>0.1493037919</v>
      </c>
      <c r="BA682" s="42">
        <f>'1kpi_performance'!Q682</f>
        <v>0.4334295797</v>
      </c>
      <c r="BB682" s="35">
        <f>'1kpi_performance'!R682</f>
        <v>4.857062187</v>
      </c>
      <c r="BC682" s="35">
        <f>'1kpi_performance'!S682</f>
        <v>7.058035313</v>
      </c>
      <c r="BD682" s="35">
        <f>'1kpi_performance'!T682</f>
        <v>6.049790918</v>
      </c>
      <c r="BE682" s="35">
        <f>'1kpi_performance'!U682</f>
        <v>0.8487218355</v>
      </c>
      <c r="BF682" s="47"/>
      <c r="BG682" s="47"/>
      <c r="BH682" s="47"/>
      <c r="BI682" s="47"/>
      <c r="BJ682" s="47"/>
      <c r="BK682" s="47"/>
      <c r="BL682" s="47"/>
      <c r="BM682" s="47"/>
      <c r="BN682" s="47"/>
      <c r="BO682" s="47"/>
      <c r="BP682" s="47"/>
      <c r="BQ682" s="47"/>
      <c r="BR682" s="47"/>
      <c r="BS682" s="47"/>
      <c r="BT682" s="47"/>
    </row>
    <row r="683" ht="11.25" customHeight="1">
      <c r="A683" s="35" t="str">
        <f>'13all_company_profile'!A683</f>
        <v>XLI</v>
      </c>
      <c r="B683" s="35" t="str">
        <f>'13all_company_profile'!B683</f>
        <v>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v>
      </c>
      <c r="C683" s="44" t="str">
        <f>'13all_company_profile'!C683</f>
        <v>https://financialmodelingprep.com/image-stock/XLI.png</v>
      </c>
      <c r="D683" s="35" t="str">
        <f>'13all_company_profile'!D683</f>
        <v>Industrial Select Sector SPDR Fund</v>
      </c>
      <c r="E683" s="36">
        <f>'13all_company_profile'!E683</f>
        <v>14047885312</v>
      </c>
      <c r="F683" s="37">
        <f>'13all_company_profile'!F683</f>
        <v>12111874</v>
      </c>
      <c r="G683" s="35">
        <f>'13all_company_profile'!G683</f>
        <v>0.967</v>
      </c>
      <c r="H683" s="38" t="str">
        <f>'13all_company_profile'!H683</f>
        <v>not avaiable</v>
      </c>
      <c r="I683" s="35">
        <f>'13all_company_profile'!I683</f>
        <v>3.4977014</v>
      </c>
      <c r="J683" s="35">
        <f>'13all_company_profile'!J683</f>
        <v>29.152</v>
      </c>
      <c r="K683" s="42">
        <f t="shared" si="1"/>
        <v>0.009427707907</v>
      </c>
      <c r="L683" s="35">
        <f>'7company_info'!B683</f>
        <v>102.57</v>
      </c>
      <c r="M683" s="35">
        <f>'7company_info'!C683</f>
        <v>102.69</v>
      </c>
      <c r="N683" s="35">
        <f>'7company_info'!D683</f>
        <v>99.94</v>
      </c>
      <c r="O683" s="35">
        <f>'7company_info'!E683</f>
        <v>2.79</v>
      </c>
      <c r="P683" s="35">
        <f>'7company_info'!F683</f>
        <v>0.028</v>
      </c>
      <c r="Q683" s="35">
        <f>'7company_info'!G683</f>
        <v>100.08</v>
      </c>
      <c r="R683" s="35">
        <f>'7company_info'!H683</f>
        <v>99.78</v>
      </c>
      <c r="S683" s="35">
        <f>'7company_info'!I683</f>
        <v>70.53</v>
      </c>
      <c r="T683" s="35">
        <f>'7company_info'!J683</f>
        <v>106.81</v>
      </c>
      <c r="U683" s="39">
        <v>102.721666666666</v>
      </c>
      <c r="V683" s="39">
        <v>103.188333333333</v>
      </c>
      <c r="W683" s="40">
        <v>103.756666666666</v>
      </c>
      <c r="X683" s="40">
        <v>104.791666666666</v>
      </c>
      <c r="Y683" s="40">
        <v>102.153333333333</v>
      </c>
      <c r="Z683" s="40">
        <v>101.686666666666</v>
      </c>
      <c r="AA683" s="40">
        <v>100.651666666666</v>
      </c>
      <c r="AB683" s="40">
        <v>100.895</v>
      </c>
      <c r="AC683" s="40">
        <v>102.07</v>
      </c>
      <c r="AD683" s="40">
        <v>102.715879017223</v>
      </c>
      <c r="AE683" s="40">
        <v>99.9866</v>
      </c>
      <c r="AF683" s="40">
        <v>1.32695</v>
      </c>
      <c r="AG683" s="40">
        <v>106.805</v>
      </c>
      <c r="AH683" s="45">
        <v>44326.0</v>
      </c>
      <c r="AI683" s="44" t="str">
        <f>'6image_RS_benchmark_performance'!B683</f>
        <v>https://3arbzfbsh-cname-us.ngrok.io/Desktop/seabridge%20fintech/image_app/XLI_resistance_support.jpg</v>
      </c>
      <c r="AJ683" s="44" t="str">
        <f>'6image_RS_benchmark_performance'!C683</f>
        <v>https://3arbzfbsh-cname-us.ngrok.io/Desktop/seabridge%20fintech/profit_graph_app/XLI_Return.jpg</v>
      </c>
      <c r="AK683" s="46" t="str">
        <f>'5price_action_icon'!B683</f>
        <v>https://3arbzfbsh-cname-us.ngrok.io/Desktop/seabridge%20fintech/icon/XLI_pa_trend_signal</v>
      </c>
      <c r="AL683" s="42">
        <f>'1kpi_performance'!B683</f>
        <v>0.3599551523</v>
      </c>
      <c r="AM683" s="42">
        <f>'1kpi_performance'!C683</f>
        <v>0.5225479333</v>
      </c>
      <c r="AN683" s="42">
        <f>'1kpi_performance'!D683</f>
        <v>0.4571941307</v>
      </c>
      <c r="AO683" s="42">
        <f>'1kpi_performance'!E683</f>
        <v>0.1742761579</v>
      </c>
      <c r="AP683" s="42">
        <f>'1kpi_performance'!F683</f>
        <v>0.1469745306</v>
      </c>
      <c r="AQ683" s="42">
        <f>'1kpi_performance'!G683</f>
        <v>0.1507052273</v>
      </c>
      <c r="AR683" s="42">
        <f>'1kpi_performance'!H683</f>
        <v>0.1477834618</v>
      </c>
      <c r="AS683" s="42">
        <f>'1kpi_performance'!I683</f>
        <v>0.241566444</v>
      </c>
      <c r="AT683" s="35">
        <f>'1kpi_performance'!J683</f>
        <v>2.27900134</v>
      </c>
      <c r="AU683" s="35">
        <f>'1kpi_performance'!K683</f>
        <v>3.301464338</v>
      </c>
      <c r="AV683" s="35">
        <f>'1kpi_performance'!L683</f>
        <v>2.924509451</v>
      </c>
      <c r="AW683" s="35">
        <f>'1kpi_performance'!M683</f>
        <v>0.6179507197</v>
      </c>
      <c r="AX683" s="42">
        <f>'1kpi_performance'!N683</f>
        <v>0.1150871674</v>
      </c>
      <c r="AY683" s="42">
        <f>'1kpi_performance'!O683</f>
        <v>0.0836044242</v>
      </c>
      <c r="AZ683" s="42">
        <f>'1kpi_performance'!P683</f>
        <v>0.2477203094</v>
      </c>
      <c r="BA683" s="42">
        <f>'1kpi_performance'!Q683</f>
        <v>0.4277836443</v>
      </c>
      <c r="BB683" s="35">
        <f>'1kpi_performance'!R683</f>
        <v>4.62680531</v>
      </c>
      <c r="BC683" s="35">
        <f>'1kpi_performance'!S683</f>
        <v>7.438710957</v>
      </c>
      <c r="BD683" s="35">
        <f>'1kpi_performance'!T683</f>
        <v>6.0448452</v>
      </c>
      <c r="BE683" s="35">
        <f>'1kpi_performance'!U683</f>
        <v>1.151791116</v>
      </c>
      <c r="BF683" s="47"/>
      <c r="BG683" s="47"/>
      <c r="BH683" s="47"/>
      <c r="BI683" s="47"/>
      <c r="BJ683" s="47"/>
      <c r="BK683" s="47"/>
      <c r="BL683" s="47"/>
      <c r="BM683" s="47"/>
      <c r="BN683" s="47"/>
      <c r="BO683" s="47"/>
      <c r="BP683" s="47"/>
      <c r="BQ683" s="47"/>
      <c r="BR683" s="47"/>
      <c r="BS683" s="47"/>
      <c r="BT683" s="47"/>
    </row>
    <row r="684" ht="11.25" customHeight="1">
      <c r="A684" s="35" t="str">
        <f>'13all_company_profile'!A684</f>
        <v>XLK</v>
      </c>
      <c r="B684" s="35" t="str">
        <f>'13all_company_profile'!B684</f>
        <v>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v>
      </c>
      <c r="C684" s="44" t="str">
        <f>'13all_company_profile'!C684</f>
        <v>https://financialmodelingprep.com/image-stock/XLK.png</v>
      </c>
      <c r="D684" s="35" t="str">
        <f>'13all_company_profile'!D684</f>
        <v>Technology Select Sector SPDR Fund</v>
      </c>
      <c r="E684" s="36">
        <f>'13all_company_profile'!E684</f>
        <v>41298100224</v>
      </c>
      <c r="F684" s="37">
        <f>'13all_company_profile'!F684</f>
        <v>6779523</v>
      </c>
      <c r="G684" s="35">
        <f>'13all_company_profile'!G684</f>
        <v>1.077</v>
      </c>
      <c r="H684" s="38" t="str">
        <f>'13all_company_profile'!H684</f>
        <v>not avaiable</v>
      </c>
      <c r="I684" s="35">
        <f>'13all_company_profile'!I684</f>
        <v>2.7394617</v>
      </c>
      <c r="J684" s="35">
        <f>'13all_company_profile'!J684</f>
        <v>54.894</v>
      </c>
      <c r="K684" s="42">
        <f t="shared" si="1"/>
        <v>0.007159476168</v>
      </c>
      <c r="L684" s="35">
        <f>'7company_info'!B684</f>
        <v>150.43</v>
      </c>
      <c r="M684" s="35">
        <f>'7company_info'!C684</f>
        <v>151.26</v>
      </c>
      <c r="N684" s="35">
        <f>'7company_info'!D684</f>
        <v>148.11</v>
      </c>
      <c r="O684" s="35">
        <f>'7company_info'!E684</f>
        <v>2.2</v>
      </c>
      <c r="P684" s="35">
        <f>'7company_info'!F684</f>
        <v>0.0148</v>
      </c>
      <c r="Q684" s="35">
        <f>'7company_info'!G684</f>
        <v>148.97</v>
      </c>
      <c r="R684" s="35">
        <f>'7company_info'!H684</f>
        <v>148.23</v>
      </c>
      <c r="S684" s="35">
        <f>'7company_info'!I684</f>
        <v>103.47</v>
      </c>
      <c r="T684" s="35">
        <f>'7company_info'!J684</f>
        <v>153.84</v>
      </c>
      <c r="U684" s="39">
        <v>153.096666666666</v>
      </c>
      <c r="V684" s="39">
        <v>153.803333333333</v>
      </c>
      <c r="W684" s="40">
        <v>154.546666666666</v>
      </c>
      <c r="X684" s="40">
        <v>155.996666666666</v>
      </c>
      <c r="Y684" s="40">
        <v>152.353333333333</v>
      </c>
      <c r="Z684" s="40">
        <v>151.646666666666</v>
      </c>
      <c r="AA684" s="40">
        <v>150.196666666666</v>
      </c>
      <c r="AB684" s="40">
        <v>148.2</v>
      </c>
      <c r="AC684" s="40">
        <v>153.84</v>
      </c>
      <c r="AD684" s="40">
        <v>147.771276455986</v>
      </c>
      <c r="AE684" s="40">
        <v>148.5714</v>
      </c>
      <c r="AF684" s="40">
        <v>1.72229999999999</v>
      </c>
      <c r="AG684" s="40">
        <v>143.77</v>
      </c>
      <c r="AH684" s="45">
        <v>44313.0</v>
      </c>
      <c r="AI684" s="44" t="str">
        <f>'6image_RS_benchmark_performance'!B684</f>
        <v>https://3arbzfbsh-cname-us.ngrok.io/Desktop/seabridge%20fintech/image_app/XLK_resistance_support.jpg</v>
      </c>
      <c r="AJ684" s="44" t="str">
        <f>'6image_RS_benchmark_performance'!C684</f>
        <v>https://3arbzfbsh-cname-us.ngrok.io/Desktop/seabridge%20fintech/profit_graph_app/XLK_Return.jpg</v>
      </c>
      <c r="AK684" s="46" t="str">
        <f>'5price_action_icon'!B684</f>
        <v>https://3arbzfbsh-cname-us.ngrok.io/Desktop/seabridge%20fintech/icon/XLK_pa_trend_signal</v>
      </c>
      <c r="AL684" s="42">
        <f>'1kpi_performance'!B684</f>
        <v>0.4571615794</v>
      </c>
      <c r="AM684" s="42">
        <f>'1kpi_performance'!C684</f>
        <v>0.6214195893</v>
      </c>
      <c r="AN684" s="42">
        <f>'1kpi_performance'!D684</f>
        <v>0.5020356538</v>
      </c>
      <c r="AO684" s="42">
        <f>'1kpi_performance'!E684</f>
        <v>0.270296652</v>
      </c>
      <c r="AP684" s="42">
        <f>'1kpi_performance'!F684</f>
        <v>0.1427848982</v>
      </c>
      <c r="AQ684" s="42">
        <f>'1kpi_performance'!G684</f>
        <v>0.154162482</v>
      </c>
      <c r="AR684" s="42">
        <f>'1kpi_performance'!H684</f>
        <v>0.1317535299</v>
      </c>
      <c r="AS684" s="42">
        <f>'1kpi_performance'!I684</f>
        <v>0.2426620265</v>
      </c>
      <c r="AT684" s="35">
        <f>'1kpi_performance'!J684</f>
        <v>3.026661677</v>
      </c>
      <c r="AU684" s="35">
        <f>'1kpi_performance'!K684</f>
        <v>3.868772618</v>
      </c>
      <c r="AV684" s="35">
        <f>'1kpi_performance'!L684</f>
        <v>3.62066697</v>
      </c>
      <c r="AW684" s="35">
        <f>'1kpi_performance'!M684</f>
        <v>1.010857181</v>
      </c>
      <c r="AX684" s="42">
        <f>'1kpi_performance'!N684</f>
        <v>0.07013248848</v>
      </c>
      <c r="AY684" s="42">
        <f>'1kpi_performance'!O684</f>
        <v>0.07010083829</v>
      </c>
      <c r="AZ684" s="42">
        <f>'1kpi_performance'!P684</f>
        <v>0.1317880739</v>
      </c>
      <c r="BA684" s="42">
        <f>'1kpi_performance'!Q684</f>
        <v>0.3151084736</v>
      </c>
      <c r="BB684" s="35">
        <f>'1kpi_performance'!R684</f>
        <v>6.166236731</v>
      </c>
      <c r="BC684" s="35">
        <f>'1kpi_performance'!S684</f>
        <v>8.485992551</v>
      </c>
      <c r="BD684" s="35">
        <f>'1kpi_performance'!T684</f>
        <v>7.9191123</v>
      </c>
      <c r="BE684" s="35">
        <f>'1kpi_performance'!U684</f>
        <v>1.901820819</v>
      </c>
      <c r="BF684" s="47"/>
      <c r="BG684" s="47"/>
      <c r="BH684" s="47"/>
      <c r="BI684" s="47"/>
      <c r="BJ684" s="47"/>
      <c r="BK684" s="47"/>
      <c r="BL684" s="47"/>
      <c r="BM684" s="47"/>
      <c r="BN684" s="47"/>
      <c r="BO684" s="47"/>
      <c r="BP684" s="47"/>
      <c r="BQ684" s="47"/>
      <c r="BR684" s="47"/>
      <c r="BS684" s="47"/>
      <c r="BT684" s="47"/>
    </row>
    <row r="685" ht="11.25" customHeight="1">
      <c r="A685" s="35" t="str">
        <f>'13all_company_profile'!A685</f>
        <v>XLNX</v>
      </c>
      <c r="B685" s="35" t="str">
        <f>'13all_company_profile'!B685</f>
        <v>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v>
      </c>
      <c r="C685" s="44" t="str">
        <f>'13all_company_profile'!C685</f>
        <v>https://financialmodelingprep.com/image-stock/XLNX.png</v>
      </c>
      <c r="D685" s="35" t="str">
        <f>'13all_company_profile'!D685</f>
        <v>Xilinx, Inc.</v>
      </c>
      <c r="E685" s="36">
        <f>'13all_company_profile'!E685</f>
        <v>31892705280</v>
      </c>
      <c r="F685" s="37">
        <f>'13all_company_profile'!F685</f>
        <v>2058965</v>
      </c>
      <c r="G685" s="35">
        <f>'13all_company_profile'!G685</f>
        <v>0.76</v>
      </c>
      <c r="H685" s="38">
        <f>'13all_company_profile'!H685</f>
        <v>44405</v>
      </c>
      <c r="I685" s="35">
        <f>'13all_company_profile'!I685</f>
        <v>49.082066</v>
      </c>
      <c r="J685" s="35">
        <f>'13all_company_profile'!J685</f>
        <v>2.62</v>
      </c>
      <c r="K685" s="42">
        <f t="shared" si="1"/>
        <v>0.005797101449</v>
      </c>
      <c r="L685" s="35">
        <f>'7company_info'!B685</f>
        <v>131.1</v>
      </c>
      <c r="M685" s="35">
        <f>'7company_info'!C685</f>
        <v>132.17</v>
      </c>
      <c r="N685" s="35">
        <f>'7company_info'!D685</f>
        <v>127.26</v>
      </c>
      <c r="O685" s="35">
        <f>'7company_info'!E685</f>
        <v>1.77</v>
      </c>
      <c r="P685" s="35">
        <f>'7company_info'!F685</f>
        <v>0.0137</v>
      </c>
      <c r="Q685" s="35">
        <f>'7company_info'!G685</f>
        <v>129.66</v>
      </c>
      <c r="R685" s="35">
        <f>'7company_info'!H685</f>
        <v>129.33</v>
      </c>
      <c r="S685" s="35">
        <f>'7company_info'!I685</f>
        <v>96.71</v>
      </c>
      <c r="T685" s="35">
        <f>'7company_info'!J685</f>
        <v>154.93</v>
      </c>
      <c r="U685" s="39">
        <v>133.503333333333</v>
      </c>
      <c r="V685" s="39">
        <v>134.656666666666</v>
      </c>
      <c r="W685" s="40">
        <v>136.573333333333</v>
      </c>
      <c r="X685" s="40">
        <v>139.643333333333</v>
      </c>
      <c r="Y685" s="40">
        <v>131.586666666666</v>
      </c>
      <c r="Z685" s="40">
        <v>130.433333333333</v>
      </c>
      <c r="AA685" s="40">
        <v>127.363333333333</v>
      </c>
      <c r="AB685" s="40">
        <v>142.9</v>
      </c>
      <c r="AC685" s="40">
        <v>129.01</v>
      </c>
      <c r="AD685" s="40">
        <v>134.545225716431</v>
      </c>
      <c r="AE685" s="40">
        <v>125.20641</v>
      </c>
      <c r="AF685" s="40">
        <v>4.41729499999999</v>
      </c>
      <c r="AG685" s="40">
        <v>148.32</v>
      </c>
      <c r="AH685" s="45">
        <v>44218.0</v>
      </c>
      <c r="AI685" s="44" t="str">
        <f>'6image_RS_benchmark_performance'!B685</f>
        <v>https://3arbzfbsh-cname-us.ngrok.io/Desktop/seabridge%20fintech/image_app/XLNX_resistance_support.jpg</v>
      </c>
      <c r="AJ685" s="44" t="str">
        <f>'6image_RS_benchmark_performance'!C685</f>
        <v>https://3arbzfbsh-cname-us.ngrok.io/Desktop/seabridge%20fintech/profit_graph_app/XLNX_Return.jpg</v>
      </c>
      <c r="AK685" s="46" t="str">
        <f>'5price_action_icon'!B685</f>
        <v>https://3arbzfbsh-cname-us.ngrok.io/Desktop/seabridge%20fintech/icon/XLNX_pa_trend_signal</v>
      </c>
      <c r="AL685" s="42">
        <f>'1kpi_performance'!B685</f>
        <v>0.7738278307</v>
      </c>
      <c r="AM685" s="42">
        <f>'1kpi_performance'!C685</f>
        <v>0.882076714</v>
      </c>
      <c r="AN685" s="42">
        <f>'1kpi_performance'!D685</f>
        <v>0.8108130792</v>
      </c>
      <c r="AO685" s="42">
        <f>'1kpi_performance'!E685</f>
        <v>0.2297360133</v>
      </c>
      <c r="AP685" s="42">
        <f>'1kpi_performance'!F685</f>
        <v>0.2604618815</v>
      </c>
      <c r="AQ685" s="42">
        <f>'1kpi_performance'!G685</f>
        <v>0.2636279458</v>
      </c>
      <c r="AR685" s="42">
        <f>'1kpi_performance'!H685</f>
        <v>0.2416685808</v>
      </c>
      <c r="AS685" s="42">
        <f>'1kpi_performance'!I685</f>
        <v>0.3759923311</v>
      </c>
      <c r="AT685" s="35">
        <f>'1kpi_performance'!J685</f>
        <v>2.874999698</v>
      </c>
      <c r="AU685" s="35">
        <f>'1kpi_performance'!K685</f>
        <v>3.251084445</v>
      </c>
      <c r="AV685" s="35">
        <f>'1kpi_performance'!L685</f>
        <v>3.251614574</v>
      </c>
      <c r="AW685" s="35">
        <f>'1kpi_performance'!M685</f>
        <v>0.5445217796</v>
      </c>
      <c r="AX685" s="42">
        <f>'1kpi_performance'!N685</f>
        <v>0.09481119232</v>
      </c>
      <c r="AY685" s="42">
        <f>'1kpi_performance'!O685</f>
        <v>0.1341998647</v>
      </c>
      <c r="AZ685" s="42">
        <f>'1kpi_performance'!P685</f>
        <v>0.1593832327</v>
      </c>
      <c r="BA685" s="42">
        <f>'1kpi_performance'!Q685</f>
        <v>0.5062983109</v>
      </c>
      <c r="BB685" s="35">
        <f>'1kpi_performance'!R685</f>
        <v>6.770307782</v>
      </c>
      <c r="BC685" s="35">
        <f>'1kpi_performance'!S685</f>
        <v>8.048407303</v>
      </c>
      <c r="BD685" s="35">
        <f>'1kpi_performance'!T685</f>
        <v>7.656726813</v>
      </c>
      <c r="BE685" s="35">
        <f>'1kpi_performance'!U685</f>
        <v>1.091509405</v>
      </c>
      <c r="BF685" s="47"/>
      <c r="BG685" s="47"/>
      <c r="BH685" s="47"/>
      <c r="BI685" s="47"/>
      <c r="BJ685" s="47"/>
      <c r="BK685" s="47"/>
      <c r="BL685" s="47"/>
      <c r="BM685" s="47"/>
      <c r="BN685" s="47"/>
      <c r="BO685" s="47"/>
      <c r="BP685" s="47"/>
      <c r="BQ685" s="47"/>
      <c r="BR685" s="47"/>
      <c r="BS685" s="47"/>
      <c r="BT685" s="47"/>
    </row>
    <row r="686" ht="11.25" customHeight="1">
      <c r="A686" s="35" t="str">
        <f>'13all_company_profile'!A686</f>
        <v>XLP</v>
      </c>
      <c r="B686" s="35" t="str">
        <f>'13all_company_profile'!B686</f>
        <v>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v>
      </c>
      <c r="C686" s="44" t="str">
        <f>'13all_company_profile'!C686</f>
        <v>https://financialmodelingprep.com/image-stock/XLP.png</v>
      </c>
      <c r="D686" s="35" t="str">
        <f>'13all_company_profile'!D686</f>
        <v>Consumer Staples Select Sector SPDR Fund</v>
      </c>
      <c r="E686" s="36">
        <f>'13all_company_profile'!E686</f>
        <v>14907499520</v>
      </c>
      <c r="F686" s="37">
        <f>'13all_company_profile'!F686</f>
        <v>9905206</v>
      </c>
      <c r="G686" s="35">
        <f>'13all_company_profile'!G686</f>
        <v>1.298</v>
      </c>
      <c r="H686" s="38" t="str">
        <f>'13all_company_profile'!H686</f>
        <v>not avaiable</v>
      </c>
      <c r="I686" s="35">
        <f>'13all_company_profile'!I686</f>
        <v>3.4406312</v>
      </c>
      <c r="J686" s="35">
        <f>'13all_company_profile'!J686</f>
        <v>20.659</v>
      </c>
      <c r="K686" s="42">
        <f t="shared" si="1"/>
        <v>0.0183203952</v>
      </c>
      <c r="L686" s="35">
        <f>'7company_info'!B686</f>
        <v>70.85</v>
      </c>
      <c r="M686" s="35">
        <f>'7company_info'!C686</f>
        <v>71.54</v>
      </c>
      <c r="N686" s="35">
        <f>'7company_info'!D686</f>
        <v>70.66</v>
      </c>
      <c r="O686" s="35">
        <f>'7company_info'!E686</f>
        <v>0.02</v>
      </c>
      <c r="P686" s="35">
        <f>'7company_info'!F686</f>
        <v>0.0003</v>
      </c>
      <c r="Q686" s="35">
        <f>'7company_info'!G686</f>
        <v>70.82</v>
      </c>
      <c r="R686" s="35">
        <f>'7company_info'!H686</f>
        <v>70.83</v>
      </c>
      <c r="S686" s="35">
        <f>'7company_info'!I686</f>
        <v>61.06</v>
      </c>
      <c r="T686" s="35">
        <f>'7company_info'!J686</f>
        <v>71.69</v>
      </c>
      <c r="U686" s="39">
        <v>70.4633333333333</v>
      </c>
      <c r="V686" s="39">
        <v>70.9166666666666</v>
      </c>
      <c r="W686" s="40">
        <v>71.1933333333333</v>
      </c>
      <c r="X686" s="40">
        <v>71.9233333333333</v>
      </c>
      <c r="Y686" s="40">
        <v>70.1866666666666</v>
      </c>
      <c r="Z686" s="40">
        <v>69.7333333333333</v>
      </c>
      <c r="AA686" s="40">
        <v>69.0033333333333</v>
      </c>
      <c r="AB686" s="40">
        <v>70.44</v>
      </c>
      <c r="AC686" s="40">
        <v>70.06</v>
      </c>
      <c r="AD686" s="40">
        <v>69.9938990370218</v>
      </c>
      <c r="AE686" s="40">
        <v>68.84825</v>
      </c>
      <c r="AF686" s="40">
        <v>0.599575000000001</v>
      </c>
      <c r="AG686" s="40">
        <v>71.685</v>
      </c>
      <c r="AH686" s="45">
        <v>44351.0</v>
      </c>
      <c r="AI686" s="44" t="str">
        <f>'6image_RS_benchmark_performance'!B686</f>
        <v>https://3arbzfbsh-cname-us.ngrok.io/Desktop/seabridge%20fintech/image_app/XLP_resistance_support.jpg</v>
      </c>
      <c r="AJ686" s="44" t="str">
        <f>'6image_RS_benchmark_performance'!C686</f>
        <v>https://3arbzfbsh-cname-us.ngrok.io/Desktop/seabridge%20fintech/profit_graph_app/XLP_Return.jpg</v>
      </c>
      <c r="AK686" s="46" t="str">
        <f>'5price_action_icon'!B686</f>
        <v>https://3arbzfbsh-cname-us.ngrok.io/Desktop/seabridge%20fintech/icon/XLP_pa_trend_signal</v>
      </c>
      <c r="AL686" s="42">
        <f>'1kpi_performance'!B686</f>
        <v>0.2530288256</v>
      </c>
      <c r="AM686" s="42">
        <f>'1kpi_performance'!C686</f>
        <v>0.319197289</v>
      </c>
      <c r="AN686" s="42">
        <f>'1kpi_performance'!D686</f>
        <v>0.2735383042</v>
      </c>
      <c r="AO686" s="42">
        <f>'1kpi_performance'!E686</f>
        <v>0.1307510171</v>
      </c>
      <c r="AP686" s="42">
        <f>'1kpi_performance'!F686</f>
        <v>0.09407062808</v>
      </c>
      <c r="AQ686" s="42">
        <f>'1kpi_performance'!G686</f>
        <v>0.1085021953</v>
      </c>
      <c r="AR686" s="42">
        <f>'1kpi_performance'!H686</f>
        <v>0.1261774425</v>
      </c>
      <c r="AS686" s="42">
        <f>'1kpi_performance'!I686</f>
        <v>0.1674275603</v>
      </c>
      <c r="AT686" s="35">
        <f>'1kpi_performance'!J686</f>
        <v>2.424017255</v>
      </c>
      <c r="AU686" s="35">
        <f>'1kpi_performance'!K686</f>
        <v>2.711440891</v>
      </c>
      <c r="AV686" s="35">
        <f>'1kpi_performance'!L686</f>
        <v>1.969752273</v>
      </c>
      <c r="AW686" s="35">
        <f>'1kpi_performance'!M686</f>
        <v>0.6316225169</v>
      </c>
      <c r="AX686" s="42">
        <f>'1kpi_performance'!N686</f>
        <v>0.04975308748</v>
      </c>
      <c r="AY686" s="42">
        <f>'1kpi_performance'!O686</f>
        <v>0.06033057851</v>
      </c>
      <c r="AZ686" s="42">
        <f>'1kpi_performance'!P686</f>
        <v>0.2307813983</v>
      </c>
      <c r="BA686" s="42">
        <f>'1kpi_performance'!Q686</f>
        <v>0.249421207</v>
      </c>
      <c r="BB686" s="35">
        <f>'1kpi_performance'!R686</f>
        <v>5.041580865</v>
      </c>
      <c r="BC686" s="35">
        <f>'1kpi_performance'!S686</f>
        <v>5.963035222</v>
      </c>
      <c r="BD686" s="35">
        <f>'1kpi_performance'!T686</f>
        <v>3.779548516</v>
      </c>
      <c r="BE686" s="35">
        <f>'1kpi_performance'!U686</f>
        <v>1.191838696</v>
      </c>
      <c r="BF686" s="47"/>
      <c r="BG686" s="47"/>
      <c r="BH686" s="47"/>
      <c r="BI686" s="47"/>
      <c r="BJ686" s="47"/>
      <c r="BK686" s="47"/>
      <c r="BL686" s="47"/>
      <c r="BM686" s="47"/>
      <c r="BN686" s="47"/>
      <c r="BO686" s="47"/>
      <c r="BP686" s="47"/>
      <c r="BQ686" s="47"/>
      <c r="BR686" s="47"/>
      <c r="BS686" s="47"/>
      <c r="BT686" s="47"/>
    </row>
    <row r="687" ht="11.25" customHeight="1">
      <c r="A687" s="35" t="str">
        <f>'13all_company_profile'!A687</f>
        <v>XLRE</v>
      </c>
      <c r="B687" s="35" t="str">
        <f>'13all_company_profile'!B687</f>
        <v>XLRE was created on 10/07/15 by State Street Global Advisors. The ETF tracks a market cap-weighted index of REITs and real estate stocks, excluding mortgage REITs, from the S&amp;P 500.</v>
      </c>
      <c r="C687" s="44" t="str">
        <f>'13all_company_profile'!C687</f>
        <v>https://financialmodelingprep.com/image-stock/XLRE.png</v>
      </c>
      <c r="D687" s="35" t="str">
        <f>'13all_company_profile'!D687</f>
        <v>The Real Estate Select Sector SPDR Fund</v>
      </c>
      <c r="E687" s="36">
        <f>'13all_company_profile'!E687</f>
        <v>3115830000</v>
      </c>
      <c r="F687" s="37">
        <f>'13all_company_profile'!F687</f>
        <v>4551766</v>
      </c>
      <c r="G687" s="35">
        <f>'13all_company_profile'!G687</f>
        <v>1.061</v>
      </c>
      <c r="H687" s="38" t="str">
        <f>'13all_company_profile'!H687</f>
        <v>not avaiable</v>
      </c>
      <c r="I687" s="35" t="str">
        <f>'13all_company_profile'!I687</f>
        <v>NaN</v>
      </c>
      <c r="J687" s="35" t="str">
        <f>'13all_company_profile'!J687</f>
        <v>NaN</v>
      </c>
      <c r="K687" s="42">
        <f t="shared" si="1"/>
        <v>0.02290092812</v>
      </c>
      <c r="L687" s="35">
        <f>'7company_info'!B687</f>
        <v>46.33</v>
      </c>
      <c r="M687" s="35">
        <f>'7company_info'!C687</f>
        <v>46.48</v>
      </c>
      <c r="N687" s="35">
        <f>'7company_info'!D687</f>
        <v>45.67</v>
      </c>
      <c r="O687" s="35">
        <f>'7company_info'!E687</f>
        <v>0.82</v>
      </c>
      <c r="P687" s="35">
        <f>'7company_info'!F687</f>
        <v>0.018</v>
      </c>
      <c r="Q687" s="35">
        <f>'7company_info'!G687</f>
        <v>45.74</v>
      </c>
      <c r="R687" s="35">
        <f>'7company_info'!H687</f>
        <v>45.51</v>
      </c>
      <c r="S687" s="35">
        <f>'7company_info'!I687</f>
        <v>33.71</v>
      </c>
      <c r="T687" s="35">
        <f>'7company_info'!J687</f>
        <v>46.55</v>
      </c>
      <c r="U687" s="39">
        <v>45.9883333333333</v>
      </c>
      <c r="V687" s="39">
        <v>46.3666666666666</v>
      </c>
      <c r="W687" s="40">
        <v>46.6233333333333</v>
      </c>
      <c r="X687" s="40">
        <v>47.2583333333333</v>
      </c>
      <c r="Y687" s="40">
        <v>45.7316666666666</v>
      </c>
      <c r="Z687" s="40">
        <v>45.3533333333333</v>
      </c>
      <c r="AA687" s="40">
        <v>44.7183333333333</v>
      </c>
      <c r="AB687" s="40">
        <v>44.83</v>
      </c>
      <c r="AC687" s="40">
        <v>46.36</v>
      </c>
      <c r="AD687" s="40">
        <v>45.1042131781464</v>
      </c>
      <c r="AE687" s="40">
        <v>44.60996</v>
      </c>
      <c r="AF687" s="40">
        <v>0.55877</v>
      </c>
      <c r="AG687" s="40">
        <v>45.81</v>
      </c>
      <c r="AH687" s="45">
        <v>44357.0</v>
      </c>
      <c r="AI687" s="44" t="str">
        <f>'6image_RS_benchmark_performance'!B687</f>
        <v>https://3arbzfbsh-cname-us.ngrok.io/Desktop/seabridge%20fintech/image_app/XLRE_resistance_support.jpg</v>
      </c>
      <c r="AJ687" s="44" t="str">
        <f>'6image_RS_benchmark_performance'!C687</f>
        <v>https://3arbzfbsh-cname-us.ngrok.io/Desktop/seabridge%20fintech/profit_graph_app/XLRE_Return.jpg</v>
      </c>
      <c r="AK687" s="46" t="str">
        <f>'5price_action_icon'!B687</f>
        <v>https://3arbzfbsh-cname-us.ngrok.io/Desktop/seabridge%20fintech/icon/XLRE_pa_trend_signal</v>
      </c>
      <c r="AL687" s="42">
        <f>'1kpi_performance'!B687</f>
        <v>0.289065582</v>
      </c>
      <c r="AM687" s="42">
        <f>'1kpi_performance'!C687</f>
        <v>0.4329492783</v>
      </c>
      <c r="AN687" s="42">
        <f>'1kpi_performance'!D687</f>
        <v>0.3713273416</v>
      </c>
      <c r="AO687" s="42">
        <f>'1kpi_performance'!E687</f>
        <v>0.1112599177</v>
      </c>
      <c r="AP687" s="42">
        <f>'1kpi_performance'!F687</f>
        <v>0.1549917874</v>
      </c>
      <c r="AQ687" s="42">
        <f>'1kpi_performance'!G687</f>
        <v>0.1591348706</v>
      </c>
      <c r="AR687" s="42">
        <f>'1kpi_performance'!H687</f>
        <v>0.1475993474</v>
      </c>
      <c r="AS687" s="42">
        <f>'1kpi_performance'!I687</f>
        <v>0.2561754189</v>
      </c>
      <c r="AT687" s="35">
        <f>'1kpi_performance'!J687</f>
        <v>1.703739188</v>
      </c>
      <c r="AU687" s="35">
        <f>'1kpi_performance'!K687</f>
        <v>2.563544223</v>
      </c>
      <c r="AV687" s="35">
        <f>'1kpi_performance'!L687</f>
        <v>2.346401577</v>
      </c>
      <c r="AW687" s="35">
        <f>'1kpi_performance'!M687</f>
        <v>0.3367220716</v>
      </c>
      <c r="AX687" s="42">
        <f>'1kpi_performance'!N687</f>
        <v>0.09056839475</v>
      </c>
      <c r="AY687" s="42">
        <f>'1kpi_performance'!O687</f>
        <v>0.09056839475</v>
      </c>
      <c r="AZ687" s="42">
        <f>'1kpi_performance'!P687</f>
        <v>0.1123525759</v>
      </c>
      <c r="BA687" s="42">
        <f>'1kpi_performance'!Q687</f>
        <v>0.3927975197</v>
      </c>
      <c r="BB687" s="35">
        <f>'1kpi_performance'!R687</f>
        <v>3.354165558</v>
      </c>
      <c r="BC687" s="35">
        <f>'1kpi_performance'!S687</f>
        <v>5.632448928</v>
      </c>
      <c r="BD687" s="35">
        <f>'1kpi_performance'!T687</f>
        <v>4.810120106</v>
      </c>
      <c r="BE687" s="35">
        <f>'1kpi_performance'!U687</f>
        <v>0.6004045178</v>
      </c>
      <c r="BF687" s="47"/>
      <c r="BG687" s="47"/>
      <c r="BH687" s="47"/>
      <c r="BI687" s="47"/>
      <c r="BJ687" s="47"/>
      <c r="BK687" s="47"/>
      <c r="BL687" s="47"/>
      <c r="BM687" s="47"/>
      <c r="BN687" s="47"/>
      <c r="BO687" s="47"/>
      <c r="BP687" s="47"/>
      <c r="BQ687" s="47"/>
      <c r="BR687" s="47"/>
      <c r="BS687" s="47"/>
      <c r="BT687" s="47"/>
    </row>
    <row r="688" ht="11.25" customHeight="1">
      <c r="A688" s="35" t="str">
        <f>'13all_company_profile'!A688</f>
        <v>XLU</v>
      </c>
      <c r="B688" s="35" t="str">
        <f>'13all_company_profile'!B688</f>
        <v>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v>
      </c>
      <c r="C688" s="44" t="str">
        <f>'13all_company_profile'!C688</f>
        <v>https://financialmodelingprep.com/image-stock/XLU.png</v>
      </c>
      <c r="D688" s="35" t="str">
        <f>'13all_company_profile'!D688</f>
        <v>Utilities Select Sector SPDR Fund</v>
      </c>
      <c r="E688" s="36">
        <f>'13all_company_profile'!E688</f>
        <v>10712407040</v>
      </c>
      <c r="F688" s="37">
        <f>'13all_company_profile'!F688</f>
        <v>10818082</v>
      </c>
      <c r="G688" s="35">
        <f>'13all_company_profile'!G688</f>
        <v>1.482</v>
      </c>
      <c r="H688" s="38" t="str">
        <f>'13all_company_profile'!H688</f>
        <v>not avaiable</v>
      </c>
      <c r="I688" s="35">
        <f>'13all_company_profile'!I688</f>
        <v>6.6519995</v>
      </c>
      <c r="J688" s="35">
        <f>'13all_company_profile'!J688</f>
        <v>10</v>
      </c>
      <c r="K688" s="42">
        <f t="shared" si="1"/>
        <v>0.0226259542</v>
      </c>
      <c r="L688" s="35">
        <f>'7company_info'!B688</f>
        <v>65.5</v>
      </c>
      <c r="M688" s="35">
        <f>'7company_info'!C688</f>
        <v>66.15</v>
      </c>
      <c r="N688" s="35">
        <f>'7company_info'!D688</f>
        <v>65.28</v>
      </c>
      <c r="O688" s="35">
        <f>'7company_info'!E688</f>
        <v>0.28</v>
      </c>
      <c r="P688" s="35">
        <f>'7company_info'!F688</f>
        <v>0.0043</v>
      </c>
      <c r="Q688" s="35">
        <f>'7company_info'!G688</f>
        <v>65.28</v>
      </c>
      <c r="R688" s="35">
        <f>'7company_info'!H688</f>
        <v>65.22</v>
      </c>
      <c r="S688" s="35">
        <f>'7company_info'!I688</f>
        <v>56.72</v>
      </c>
      <c r="T688" s="35">
        <f>'7company_info'!J688</f>
        <v>68.05</v>
      </c>
      <c r="U688" s="39">
        <v>64.6933333333333</v>
      </c>
      <c r="V688" s="39">
        <v>65.3466666666666</v>
      </c>
      <c r="W688" s="40">
        <v>65.8133333333333</v>
      </c>
      <c r="X688" s="40">
        <v>66.9333333333333</v>
      </c>
      <c r="Y688" s="40">
        <v>64.2266666666666</v>
      </c>
      <c r="Z688" s="40">
        <v>63.5733333333333</v>
      </c>
      <c r="AA688" s="40">
        <v>62.4533333333333</v>
      </c>
      <c r="AB688" s="40">
        <v>63.96</v>
      </c>
      <c r="AC688" s="40">
        <v>64.33</v>
      </c>
      <c r="AD688" s="40">
        <v>64.5284593635278</v>
      </c>
      <c r="AE688" s="40">
        <v>62.572</v>
      </c>
      <c r="AF688" s="40">
        <v>0.896499999999999</v>
      </c>
      <c r="AG688" s="40">
        <v>68.05</v>
      </c>
      <c r="AH688" s="45">
        <v>44307.0</v>
      </c>
      <c r="AI688" s="44" t="str">
        <f>'6image_RS_benchmark_performance'!B688</f>
        <v>https://3arbzfbsh-cname-us.ngrok.io/Desktop/seabridge%20fintech/image_app/XLU_resistance_support.jpg</v>
      </c>
      <c r="AJ688" s="44" t="str">
        <f>'6image_RS_benchmark_performance'!C688</f>
        <v>https://3arbzfbsh-cname-us.ngrok.io/Desktop/seabridge%20fintech/profit_graph_app/XLU_Return.jpg</v>
      </c>
      <c r="AK688" s="46" t="str">
        <f>'5price_action_icon'!B688</f>
        <v>https://3arbzfbsh-cname-us.ngrok.io/Desktop/seabridge%20fintech/icon/XLU_pa_trend_signal</v>
      </c>
      <c r="AL688" s="42">
        <f>'1kpi_performance'!B688</f>
        <v>0.2554424677</v>
      </c>
      <c r="AM688" s="42">
        <f>'1kpi_performance'!C688</f>
        <v>0.3447058324</v>
      </c>
      <c r="AN688" s="42">
        <f>'1kpi_performance'!D688</f>
        <v>0.2687017452</v>
      </c>
      <c r="AO688" s="42">
        <f>'1kpi_performance'!E688</f>
        <v>0.09866798489</v>
      </c>
      <c r="AP688" s="42">
        <f>'1kpi_performance'!F688</f>
        <v>0.1325821686</v>
      </c>
      <c r="AQ688" s="42">
        <f>'1kpi_performance'!G688</f>
        <v>0.1418678734</v>
      </c>
      <c r="AR688" s="42">
        <f>'1kpi_performance'!H688</f>
        <v>0.1570986757</v>
      </c>
      <c r="AS688" s="42">
        <f>'1kpi_performance'!I688</f>
        <v>0.2105410994</v>
      </c>
      <c r="AT688" s="35">
        <f>'1kpi_performance'!J688</f>
        <v>1.738110563</v>
      </c>
      <c r="AU688" s="35">
        <f>'1kpi_performance'!K688</f>
        <v>2.25354638</v>
      </c>
      <c r="AV688" s="35">
        <f>'1kpi_performance'!L688</f>
        <v>1.551265433</v>
      </c>
      <c r="AW688" s="35">
        <f>'1kpi_performance'!M688</f>
        <v>0.3498983576</v>
      </c>
      <c r="AX688" s="42">
        <f>'1kpi_performance'!N688</f>
        <v>0.1030481469</v>
      </c>
      <c r="AY688" s="42">
        <f>'1kpi_performance'!O688</f>
        <v>0.1030481469</v>
      </c>
      <c r="AZ688" s="42">
        <f>'1kpi_performance'!P688</f>
        <v>0.3461874272</v>
      </c>
      <c r="BA688" s="42">
        <f>'1kpi_performance'!Q688</f>
        <v>0.3670047901</v>
      </c>
      <c r="BB688" s="35">
        <f>'1kpi_performance'!R688</f>
        <v>3.350122831</v>
      </c>
      <c r="BC688" s="35">
        <f>'1kpi_performance'!S688</f>
        <v>4.828937055</v>
      </c>
      <c r="BD688" s="35">
        <f>'1kpi_performance'!T688</f>
        <v>2.899174257</v>
      </c>
      <c r="BE688" s="35">
        <f>'1kpi_performance'!U688</f>
        <v>0.6597726592</v>
      </c>
      <c r="BF688" s="47"/>
      <c r="BG688" s="47"/>
      <c r="BH688" s="47"/>
      <c r="BI688" s="47"/>
      <c r="BJ688" s="47"/>
      <c r="BK688" s="47"/>
      <c r="BL688" s="47"/>
      <c r="BM688" s="47"/>
      <c r="BN688" s="47"/>
      <c r="BO688" s="47"/>
      <c r="BP688" s="47"/>
      <c r="BQ688" s="47"/>
      <c r="BR688" s="47"/>
      <c r="BS688" s="47"/>
      <c r="BT688" s="47"/>
    </row>
    <row r="689" ht="11.25" customHeight="1">
      <c r="A689" s="35" t="str">
        <f>'13all_company_profile'!A689</f>
        <v>XLV</v>
      </c>
      <c r="B689" s="35" t="str">
        <f>'13all_company_profile'!B689</f>
        <v>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v>
      </c>
      <c r="C689" s="44" t="str">
        <f>'13all_company_profile'!C689</f>
        <v>https://financialmodelingprep.com/image-stock/XLV.png</v>
      </c>
      <c r="D689" s="35" t="str">
        <f>'13all_company_profile'!D689</f>
        <v>Health Care Select Sector SPDR Fund</v>
      </c>
      <c r="E689" s="36">
        <f>'13all_company_profile'!E689</f>
        <v>25324396544</v>
      </c>
      <c r="F689" s="37">
        <f>'13all_company_profile'!F689</f>
        <v>9168785</v>
      </c>
      <c r="G689" s="35">
        <f>'13all_company_profile'!G689</f>
        <v>1.28</v>
      </c>
      <c r="H689" s="38" t="str">
        <f>'13all_company_profile'!H689</f>
        <v>not avaiable</v>
      </c>
      <c r="I689" s="35">
        <f>'13all_company_profile'!I689</f>
        <v>4.1336713</v>
      </c>
      <c r="J689" s="35">
        <f>'13all_company_profile'!J689</f>
        <v>31.166</v>
      </c>
      <c r="K689" s="42">
        <f t="shared" si="1"/>
        <v>0.009936345288</v>
      </c>
      <c r="L689" s="35">
        <f>'7company_info'!B689</f>
        <v>128.82</v>
      </c>
      <c r="M689" s="35">
        <f>'7company_info'!C689</f>
        <v>129.53</v>
      </c>
      <c r="N689" s="35">
        <f>'7company_info'!D689</f>
        <v>127.68</v>
      </c>
      <c r="O689" s="35">
        <f>'7company_info'!E689</f>
        <v>1.55</v>
      </c>
      <c r="P689" s="35">
        <f>'7company_info'!F689</f>
        <v>0.0122</v>
      </c>
      <c r="Q689" s="35">
        <f>'7company_info'!G689</f>
        <v>127.68</v>
      </c>
      <c r="R689" s="35">
        <f>'7company_info'!H689</f>
        <v>127.27</v>
      </c>
      <c r="S689" s="35">
        <f>'7company_info'!I689</f>
        <v>100.31</v>
      </c>
      <c r="T689" s="35">
        <f>'7company_info'!J689</f>
        <v>129.6</v>
      </c>
      <c r="U689" s="39">
        <v>128.816666666666</v>
      </c>
      <c r="V689" s="39">
        <v>129.143333333333</v>
      </c>
      <c r="W689" s="40">
        <v>129.566666666666</v>
      </c>
      <c r="X689" s="40">
        <v>130.316666666666</v>
      </c>
      <c r="Y689" s="40">
        <v>128.393333333333</v>
      </c>
      <c r="Z689" s="40">
        <v>128.066666666666</v>
      </c>
      <c r="AA689" s="40">
        <v>127.316666666666</v>
      </c>
      <c r="AB689" s="40">
        <v>127.005</v>
      </c>
      <c r="AC689" s="40">
        <v>129.6</v>
      </c>
      <c r="AD689" s="40">
        <v>126.867064756822</v>
      </c>
      <c r="AE689" s="40">
        <v>126.56599</v>
      </c>
      <c r="AF689" s="40">
        <v>1.13400499999999</v>
      </c>
      <c r="AG689" s="40">
        <v>125.66</v>
      </c>
      <c r="AH689" s="45">
        <v>44337.0</v>
      </c>
      <c r="AI689" s="44" t="str">
        <f>'6image_RS_benchmark_performance'!B689</f>
        <v>https://3arbzfbsh-cname-us.ngrok.io/Desktop/seabridge%20fintech/image_app/XLV_resistance_support.jpg</v>
      </c>
      <c r="AJ689" s="44" t="str">
        <f>'6image_RS_benchmark_performance'!C689</f>
        <v>https://3arbzfbsh-cname-us.ngrok.io/Desktop/seabridge%20fintech/profit_graph_app/XLV_Return.jpg</v>
      </c>
      <c r="AK689" s="46" t="str">
        <f>'5price_action_icon'!B689</f>
        <v>https://3arbzfbsh-cname-us.ngrok.io/Desktop/seabridge%20fintech/icon/XLV_pa_trend_signal</v>
      </c>
      <c r="AL689" s="42">
        <f>'1kpi_performance'!B689</f>
        <v>0.3204825229</v>
      </c>
      <c r="AM689" s="42">
        <f>'1kpi_performance'!C689</f>
        <v>0.4351418052</v>
      </c>
      <c r="AN689" s="42">
        <f>'1kpi_performance'!D689</f>
        <v>0.3929454077</v>
      </c>
      <c r="AO689" s="42">
        <f>'1kpi_performance'!E689</f>
        <v>0.1903115084</v>
      </c>
      <c r="AP689" s="42">
        <f>'1kpi_performance'!F689</f>
        <v>0.1177014673</v>
      </c>
      <c r="AQ689" s="42">
        <f>'1kpi_performance'!G689</f>
        <v>0.1326506035</v>
      </c>
      <c r="AR689" s="42">
        <f>'1kpi_performance'!H689</f>
        <v>0.1519998151</v>
      </c>
      <c r="AS689" s="42">
        <f>'1kpi_performance'!I689</f>
        <v>0.1997036274</v>
      </c>
      <c r="AT689" s="35">
        <f>'1kpi_performance'!J689</f>
        <v>2.510440437</v>
      </c>
      <c r="AU689" s="35">
        <f>'1kpi_performance'!K689</f>
        <v>3.091895509</v>
      </c>
      <c r="AV689" s="35">
        <f>'1kpi_performance'!L689</f>
        <v>2.420696416</v>
      </c>
      <c r="AW689" s="35">
        <f>'1kpi_performance'!M689</f>
        <v>0.8277842048</v>
      </c>
      <c r="AX689" s="42">
        <f>'1kpi_performance'!N689</f>
        <v>0.07530045768</v>
      </c>
      <c r="AY689" s="42">
        <f>'1kpi_performance'!O689</f>
        <v>0.06376389464</v>
      </c>
      <c r="AZ689" s="42">
        <f>'1kpi_performance'!P689</f>
        <v>0.2537253725</v>
      </c>
      <c r="BA689" s="42">
        <f>'1kpi_performance'!Q689</f>
        <v>0.2875011935</v>
      </c>
      <c r="BB689" s="35">
        <f>'1kpi_performance'!R689</f>
        <v>5.339877228</v>
      </c>
      <c r="BC689" s="35">
        <f>'1kpi_performance'!S689</f>
        <v>6.983695677</v>
      </c>
      <c r="BD689" s="35">
        <f>'1kpi_performance'!T689</f>
        <v>4.698747929</v>
      </c>
      <c r="BE689" s="35">
        <f>'1kpi_performance'!U689</f>
        <v>1.575136117</v>
      </c>
      <c r="BF689" s="47"/>
      <c r="BG689" s="47"/>
      <c r="BH689" s="47"/>
      <c r="BI689" s="47"/>
      <c r="BJ689" s="47"/>
      <c r="BK689" s="47"/>
      <c r="BL689" s="47"/>
      <c r="BM689" s="47"/>
      <c r="BN689" s="47"/>
      <c r="BO689" s="47"/>
      <c r="BP689" s="47"/>
      <c r="BQ689" s="47"/>
      <c r="BR689" s="47"/>
      <c r="BS689" s="47"/>
      <c r="BT689" s="47"/>
    </row>
    <row r="690" ht="11.25" customHeight="1">
      <c r="A690" s="35" t="str">
        <f>'13all_company_profile'!A690</f>
        <v>XLY</v>
      </c>
      <c r="B690" s="35" t="str">
        <f>'13all_company_profile'!B690</f>
        <v>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v>
      </c>
      <c r="C690" s="44" t="str">
        <f>'13all_company_profile'!C690</f>
        <v>https://financialmodelingprep.com/image-stock/XLY.png</v>
      </c>
      <c r="D690" s="35" t="str">
        <f>'13all_company_profile'!D690</f>
        <v>Consumer Discretionary Select Sector SPDR Fund</v>
      </c>
      <c r="E690" s="36">
        <f>'13all_company_profile'!E690</f>
        <v>21673197568</v>
      </c>
      <c r="F690" s="37">
        <f>'13all_company_profile'!F690</f>
        <v>3828352</v>
      </c>
      <c r="G690" s="35">
        <f>'13all_company_profile'!G690</f>
        <v>0.866</v>
      </c>
      <c r="H690" s="38" t="str">
        <f>'13all_company_profile'!H690</f>
        <v>not avaiable</v>
      </c>
      <c r="I690" s="35">
        <f>'13all_company_profile'!I690</f>
        <v>2.7463584</v>
      </c>
      <c r="J690" s="35">
        <f>'13all_company_profile'!J690</f>
        <v>64.875</v>
      </c>
      <c r="K690" s="42">
        <f t="shared" si="1"/>
        <v>0.004832049994</v>
      </c>
      <c r="L690" s="35">
        <f>'7company_info'!B690</f>
        <v>179.22</v>
      </c>
      <c r="M690" s="35">
        <f>'7company_info'!C690</f>
        <v>179.69</v>
      </c>
      <c r="N690" s="35">
        <f>'7company_info'!D690</f>
        <v>175.62</v>
      </c>
      <c r="O690" s="35">
        <f>'7company_info'!E690</f>
        <v>3.25</v>
      </c>
      <c r="P690" s="35">
        <f>'7company_info'!F690</f>
        <v>0.0185</v>
      </c>
      <c r="Q690" s="35">
        <f>'7company_info'!G690</f>
        <v>176.49</v>
      </c>
      <c r="R690" s="35">
        <f>'7company_info'!H690</f>
        <v>175.97</v>
      </c>
      <c r="S690" s="35">
        <f>'7company_info'!I690</f>
        <v>133.87</v>
      </c>
      <c r="T690" s="35">
        <f>'7company_info'!J690</f>
        <v>183.79</v>
      </c>
      <c r="U690" s="39">
        <v>181.69</v>
      </c>
      <c r="V690" s="39">
        <v>182.27</v>
      </c>
      <c r="W690" s="40">
        <v>183.33</v>
      </c>
      <c r="X690" s="40">
        <v>184.97</v>
      </c>
      <c r="Y690" s="40">
        <v>180.63</v>
      </c>
      <c r="Z690" s="40">
        <v>180.05</v>
      </c>
      <c r="AA690" s="40">
        <v>178.41</v>
      </c>
      <c r="AB690" s="40">
        <v>179.705</v>
      </c>
      <c r="AC690" s="40">
        <v>183.79</v>
      </c>
      <c r="AD690" s="40">
        <v>178.708272143623</v>
      </c>
      <c r="AE690" s="40">
        <v>177.9285</v>
      </c>
      <c r="AF690" s="40">
        <v>1.81074999999999</v>
      </c>
      <c r="AG690" s="40">
        <v>180.16</v>
      </c>
      <c r="AH690" s="45">
        <v>44300.0</v>
      </c>
      <c r="AI690" s="44" t="str">
        <f>'6image_RS_benchmark_performance'!B690</f>
        <v>https://3arbzfbsh-cname-us.ngrok.io/Desktop/seabridge%20fintech/image_app/XLY_resistance_support.jpg</v>
      </c>
      <c r="AJ690" s="44" t="str">
        <f>'6image_RS_benchmark_performance'!C690</f>
        <v>https://3arbzfbsh-cname-us.ngrok.io/Desktop/seabridge%20fintech/profit_graph_app/XLY_Return.jpg</v>
      </c>
      <c r="AK690" s="46" t="str">
        <f>'5price_action_icon'!B690</f>
        <v>https://3arbzfbsh-cname-us.ngrok.io/Desktop/seabridge%20fintech/icon/XLY_pa_trend_signal</v>
      </c>
      <c r="AL690" s="42">
        <f>'1kpi_performance'!B690</f>
        <v>0.3974914369</v>
      </c>
      <c r="AM690" s="42">
        <f>'1kpi_performance'!C690</f>
        <v>0.5411590699</v>
      </c>
      <c r="AN690" s="42">
        <f>'1kpi_performance'!D690</f>
        <v>0.3621275305</v>
      </c>
      <c r="AO690" s="42">
        <f>'1kpi_performance'!E690</f>
        <v>0.2533523243</v>
      </c>
      <c r="AP690" s="42">
        <f>'1kpi_performance'!F690</f>
        <v>0.1317965956</v>
      </c>
      <c r="AQ690" s="42">
        <f>'1kpi_performance'!G690</f>
        <v>0.1405447943</v>
      </c>
      <c r="AR690" s="42">
        <f>'1kpi_performance'!H690</f>
        <v>0.1222426101</v>
      </c>
      <c r="AS690" s="42">
        <f>'1kpi_performance'!I690</f>
        <v>0.2220550505</v>
      </c>
      <c r="AT690" s="35">
        <f>'1kpi_performance'!J690</f>
        <v>2.826259929</v>
      </c>
      <c r="AU690" s="35">
        <f>'1kpi_performance'!K690</f>
        <v>3.672559147</v>
      </c>
      <c r="AV690" s="35">
        <f>'1kpi_performance'!L690</f>
        <v>2.75785612</v>
      </c>
      <c r="AW690" s="35">
        <f>'1kpi_performance'!M690</f>
        <v>1.028359066</v>
      </c>
      <c r="AX690" s="42">
        <f>'1kpi_performance'!N690</f>
        <v>0.08910793494</v>
      </c>
      <c r="AY690" s="42">
        <f>'1kpi_performance'!O690</f>
        <v>0.10083575</v>
      </c>
      <c r="AZ690" s="42">
        <f>'1kpi_performance'!P690</f>
        <v>0.1130781698</v>
      </c>
      <c r="BA690" s="42">
        <f>'1kpi_performance'!Q690</f>
        <v>0.3391021765</v>
      </c>
      <c r="BB690" s="35">
        <f>'1kpi_performance'!R690</f>
        <v>5.761426428</v>
      </c>
      <c r="BC690" s="35">
        <f>'1kpi_performance'!S690</f>
        <v>7.902687139</v>
      </c>
      <c r="BD690" s="35">
        <f>'1kpi_performance'!T690</f>
        <v>5.629314923</v>
      </c>
      <c r="BE690" s="35">
        <f>'1kpi_performance'!U690</f>
        <v>1.902429163</v>
      </c>
      <c r="BF690" s="47"/>
      <c r="BG690" s="47"/>
      <c r="BH690" s="47"/>
      <c r="BI690" s="47"/>
      <c r="BJ690" s="47"/>
      <c r="BK690" s="47"/>
      <c r="BL690" s="47"/>
      <c r="BM690" s="47"/>
      <c r="BN690" s="47"/>
      <c r="BO690" s="47"/>
      <c r="BP690" s="47"/>
      <c r="BQ690" s="47"/>
      <c r="BR690" s="47"/>
      <c r="BS690" s="47"/>
      <c r="BT690" s="47"/>
    </row>
    <row r="691" ht="11.25" customHeight="1">
      <c r="A691" s="35" t="str">
        <f>'13all_company_profile'!A691</f>
        <v>XOM</v>
      </c>
      <c r="B691" s="35" t="str">
        <f>'13all_company_profile'!B691</f>
        <v>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v>
      </c>
      <c r="C691" s="44" t="str">
        <f>'13all_company_profile'!C691</f>
        <v>https://financialmodelingprep.com/image-stock/XOM.png</v>
      </c>
      <c r="D691" s="35" t="str">
        <f>'13all_company_profile'!D691</f>
        <v>Exxon Mobil Corporation</v>
      </c>
      <c r="E691" s="36">
        <f>'13all_company_profile'!E691</f>
        <v>249567199232</v>
      </c>
      <c r="F691" s="37">
        <f>'13all_company_profile'!F691</f>
        <v>23627926</v>
      </c>
      <c r="G691" s="35">
        <f>'13all_company_profile'!G691</f>
        <v>3.48</v>
      </c>
      <c r="H691" s="38">
        <f>'13all_company_profile'!H691</f>
        <v>44407</v>
      </c>
      <c r="I691" s="35" t="str">
        <f>'13all_company_profile'!I691</f>
        <v>NaN</v>
      </c>
      <c r="J691" s="35">
        <f>'13all_company_profile'!J691</f>
        <v>-4.471</v>
      </c>
      <c r="K691" s="42">
        <f t="shared" si="1"/>
        <v>0.06218727663</v>
      </c>
      <c r="L691" s="35">
        <f>'7company_info'!B691</f>
        <v>55.96</v>
      </c>
      <c r="M691" s="35">
        <f>'7company_info'!C691</f>
        <v>56.6</v>
      </c>
      <c r="N691" s="35">
        <f>'7company_info'!D691</f>
        <v>55.03</v>
      </c>
      <c r="O691" s="35">
        <f>'7company_info'!E691</f>
        <v>0.61</v>
      </c>
      <c r="P691" s="35">
        <f>'7company_info'!F691</f>
        <v>0.011</v>
      </c>
      <c r="Q691" s="35">
        <f>'7company_info'!G691</f>
        <v>55.5</v>
      </c>
      <c r="R691" s="35">
        <f>'7company_info'!H691</f>
        <v>55.35</v>
      </c>
      <c r="S691" s="35">
        <f>'7company_info'!I691</f>
        <v>31.11</v>
      </c>
      <c r="T691" s="35">
        <f>'7company_info'!J691</f>
        <v>64.93</v>
      </c>
      <c r="U691" s="39">
        <v>60.205</v>
      </c>
      <c r="V691" s="39">
        <v>61.055</v>
      </c>
      <c r="W691" s="40">
        <v>62.58</v>
      </c>
      <c r="X691" s="40">
        <v>64.955</v>
      </c>
      <c r="Y691" s="40">
        <v>58.68</v>
      </c>
      <c r="Z691" s="40">
        <v>57.83</v>
      </c>
      <c r="AA691" s="40">
        <v>55.455</v>
      </c>
      <c r="AB691" s="40">
        <v>62.14</v>
      </c>
      <c r="AC691" s="40">
        <v>64.925</v>
      </c>
      <c r="AD691" s="40">
        <v>61.6522439772822</v>
      </c>
      <c r="AE691" s="40">
        <v>57.78399</v>
      </c>
      <c r="AF691" s="40">
        <v>1.550255</v>
      </c>
      <c r="AG691" s="40">
        <v>64.925</v>
      </c>
      <c r="AH691" s="45">
        <v>44372.0</v>
      </c>
      <c r="AI691" s="44" t="str">
        <f>'6image_RS_benchmark_performance'!B691</f>
        <v>https://3arbzfbsh-cname-us.ngrok.io/Desktop/seabridge%20fintech/image_app/XOM_resistance_support.jpg</v>
      </c>
      <c r="AJ691" s="44" t="str">
        <f>'6image_RS_benchmark_performance'!C691</f>
        <v>https://3arbzfbsh-cname-us.ngrok.io/Desktop/seabridge%20fintech/profit_graph_app/XOM_Return.jpg</v>
      </c>
      <c r="AK691" s="46" t="str">
        <f>'5price_action_icon'!B691</f>
        <v>https://3arbzfbsh-cname-us.ngrok.io/Desktop/seabridge%20fintech/icon/XOM_pa_trend_signal</v>
      </c>
      <c r="AL691" s="42">
        <f>'1kpi_performance'!B691</f>
        <v>0.3355809343</v>
      </c>
      <c r="AM691" s="42">
        <f>'1kpi_performance'!C691</f>
        <v>0.4797774264</v>
      </c>
      <c r="AN691" s="42">
        <f>'1kpi_performance'!D691</f>
        <v>0.5038849375</v>
      </c>
      <c r="AO691" s="42">
        <f>'1kpi_performance'!E691</f>
        <v>-0.01407134544</v>
      </c>
      <c r="AP691" s="42">
        <f>'1kpi_performance'!F691</f>
        <v>0.2090299664</v>
      </c>
      <c r="AQ691" s="42">
        <f>'1kpi_performance'!G691</f>
        <v>0.2016144522</v>
      </c>
      <c r="AR691" s="42">
        <f>'1kpi_performance'!H691</f>
        <v>0.1968103581</v>
      </c>
      <c r="AS691" s="42">
        <f>'1kpi_performance'!I691</f>
        <v>0.2918728556</v>
      </c>
      <c r="AT691" s="35">
        <f>'1kpi_performance'!J691</f>
        <v>1.485820142</v>
      </c>
      <c r="AU691" s="35">
        <f>'1kpi_performance'!K691</f>
        <v>2.255678705</v>
      </c>
      <c r="AV691" s="35">
        <f>'1kpi_performance'!L691</f>
        <v>2.433230355</v>
      </c>
      <c r="AW691" s="35">
        <f>'1kpi_performance'!M691</f>
        <v>-0.1338642655</v>
      </c>
      <c r="AX691" s="42">
        <f>'1kpi_performance'!N691</f>
        <v>0.2317182852</v>
      </c>
      <c r="AY691" s="42">
        <f>'1kpi_performance'!O691</f>
        <v>0.116519174</v>
      </c>
      <c r="AZ691" s="42">
        <f>'1kpi_performance'!P691</f>
        <v>0.1735626654</v>
      </c>
      <c r="BA691" s="42">
        <f>'1kpi_performance'!Q691</f>
        <v>0.6986970684</v>
      </c>
      <c r="BB691" s="35">
        <f>'1kpi_performance'!R691</f>
        <v>3.142822787</v>
      </c>
      <c r="BC691" s="35">
        <f>'1kpi_performance'!S691</f>
        <v>5.025122648</v>
      </c>
      <c r="BD691" s="35">
        <f>'1kpi_performance'!T691</f>
        <v>5.48284251</v>
      </c>
      <c r="BE691" s="35">
        <f>'1kpi_performance'!U691</f>
        <v>-0.2601828943</v>
      </c>
      <c r="BF691" s="47"/>
      <c r="BG691" s="47"/>
      <c r="BH691" s="47"/>
      <c r="BI691" s="47"/>
      <c r="BJ691" s="47"/>
      <c r="BK691" s="47"/>
      <c r="BL691" s="47"/>
      <c r="BM691" s="47"/>
      <c r="BN691" s="47"/>
      <c r="BO691" s="47"/>
      <c r="BP691" s="47"/>
      <c r="BQ691" s="47"/>
      <c r="BR691" s="47"/>
      <c r="BS691" s="47"/>
      <c r="BT691" s="47"/>
    </row>
    <row r="692" ht="11.25" customHeight="1">
      <c r="A692" s="35" t="str">
        <f>'13all_company_profile'!A692</f>
        <v>XOP</v>
      </c>
      <c r="B692" s="35" t="str">
        <f>'13all_company_profile'!B692</f>
        <v>XOP was created on 06/19/06 by State Street Global Advisors. The ETF tracks an equal-weighted index of companies in the US oil &amp; gas exploration &amp; production space.</v>
      </c>
      <c r="C692" s="44" t="str">
        <f>'13all_company_profile'!C692</f>
        <v>https://financialmodelingprep.com/image-stock/XOP.png</v>
      </c>
      <c r="D692" s="35" t="str">
        <f>'13all_company_profile'!D692</f>
        <v>SPDR S&amp;P Oil &amp; Gas Exploration &amp; Production ETF</v>
      </c>
      <c r="E692" s="36">
        <f>'13all_company_profile'!E692</f>
        <v>6043259904</v>
      </c>
      <c r="F692" s="37">
        <f>'13all_company_profile'!F692</f>
        <v>6911820</v>
      </c>
      <c r="G692" s="35">
        <f>'13all_company_profile'!G692</f>
        <v>1.04</v>
      </c>
      <c r="H692" s="38" t="str">
        <f>'13all_company_profile'!H692</f>
        <v>not avaiable</v>
      </c>
      <c r="I692" s="35" t="str">
        <f>'13all_company_profile'!I692</f>
        <v>NaN</v>
      </c>
      <c r="J692" s="35">
        <f>'13all_company_profile'!J692</f>
        <v>-26.076</v>
      </c>
      <c r="K692" s="42">
        <f t="shared" si="1"/>
        <v>0.01286173633</v>
      </c>
      <c r="L692" s="35">
        <f>'7company_info'!B692</f>
        <v>80.86</v>
      </c>
      <c r="M692" s="35">
        <f>'7company_info'!C692</f>
        <v>81.35</v>
      </c>
      <c r="N692" s="35">
        <f>'7company_info'!D692</f>
        <v>78.26</v>
      </c>
      <c r="O692" s="35">
        <f>'7company_info'!E692</f>
        <v>1.9</v>
      </c>
      <c r="P692" s="35">
        <f>'7company_info'!F692</f>
        <v>0.0241</v>
      </c>
      <c r="Q692" s="35">
        <f>'7company_info'!G692</f>
        <v>79.05</v>
      </c>
      <c r="R692" s="35">
        <f>'7company_info'!H692</f>
        <v>78.96</v>
      </c>
      <c r="S692" s="35">
        <f>'7company_info'!I692</f>
        <v>38.39</v>
      </c>
      <c r="T692" s="35">
        <f>'7company_info'!J692</f>
        <v>100.2</v>
      </c>
      <c r="U692" s="39">
        <v>89.32</v>
      </c>
      <c r="V692" s="39">
        <v>91.58</v>
      </c>
      <c r="W692" s="40">
        <v>95.68</v>
      </c>
      <c r="X692" s="40">
        <v>102.04</v>
      </c>
      <c r="Y692" s="40">
        <v>85.22</v>
      </c>
      <c r="Z692" s="40">
        <v>82.96</v>
      </c>
      <c r="AA692" s="40">
        <v>76.6</v>
      </c>
      <c r="AB692" s="40">
        <v>89.37</v>
      </c>
      <c r="AC692" s="40">
        <v>100.2</v>
      </c>
      <c r="AD692" s="40">
        <v>93.6306628539443</v>
      </c>
      <c r="AE692" s="40">
        <v>85.53521</v>
      </c>
      <c r="AF692" s="40">
        <v>3.460395</v>
      </c>
      <c r="AG692" s="40">
        <v>100.2</v>
      </c>
      <c r="AH692" s="45">
        <v>44378.0</v>
      </c>
      <c r="AI692" s="44" t="str">
        <f>'6image_RS_benchmark_performance'!B692</f>
        <v>https://3arbzfbsh-cname-us.ngrok.io/Desktop/seabridge%20fintech/image_app/XOP_resistance_support.jpg</v>
      </c>
      <c r="AJ692" s="44" t="str">
        <f>'6image_RS_benchmark_performance'!C692</f>
        <v>https://3arbzfbsh-cname-us.ngrok.io/Desktop/seabridge%20fintech/profit_graph_app/XOP_Return.jpg</v>
      </c>
      <c r="AK692" s="46" t="str">
        <f>'5price_action_icon'!B692</f>
        <v>https://3arbzfbsh-cname-us.ngrok.io/Desktop/seabridge%20fintech/icon/XOP_pa_trend_signal</v>
      </c>
      <c r="AL692" s="42">
        <f>'1kpi_performance'!B692</f>
        <v>0.6756564312</v>
      </c>
      <c r="AM692" s="42">
        <f>'1kpi_performance'!C692</f>
        <v>0.7859046564</v>
      </c>
      <c r="AN692" s="42">
        <f>'1kpi_performance'!D692</f>
        <v>0.4799021296</v>
      </c>
      <c r="AO692" s="42">
        <f>'1kpi_performance'!E692</f>
        <v>-0.07891414256</v>
      </c>
      <c r="AP692" s="42">
        <f>'1kpi_performance'!F692</f>
        <v>0.3193532773</v>
      </c>
      <c r="AQ692" s="42">
        <f>'1kpi_performance'!G692</f>
        <v>0.3083491148</v>
      </c>
      <c r="AR692" s="42">
        <f>'1kpi_performance'!H692</f>
        <v>0.3566001852</v>
      </c>
      <c r="AS692" s="42">
        <f>'1kpi_performance'!I692</f>
        <v>0.4753692077</v>
      </c>
      <c r="AT692" s="35">
        <f>'1kpi_performance'!J692</f>
        <v>2.037418989</v>
      </c>
      <c r="AU692" s="35">
        <f>'1kpi_performance'!K692</f>
        <v>2.467672582</v>
      </c>
      <c r="AV692" s="35">
        <f>'1kpi_performance'!L692</f>
        <v>1.275664311</v>
      </c>
      <c r="AW692" s="35">
        <f>'1kpi_performance'!M692</f>
        <v>-0.2185967052</v>
      </c>
      <c r="AX692" s="42">
        <f>'1kpi_performance'!N692</f>
        <v>0.2702918316</v>
      </c>
      <c r="AY692" s="42">
        <f>'1kpi_performance'!O692</f>
        <v>0.1391068982</v>
      </c>
      <c r="AZ692" s="42">
        <f>'1kpi_performance'!P692</f>
        <v>0.6218403569</v>
      </c>
      <c r="BA692" s="42">
        <f>'1kpi_performance'!Q692</f>
        <v>0.9096464949</v>
      </c>
      <c r="BB692" s="35">
        <f>'1kpi_performance'!R692</f>
        <v>4.310394341</v>
      </c>
      <c r="BC692" s="35">
        <f>'1kpi_performance'!S692</f>
        <v>5.453977039</v>
      </c>
      <c r="BD692" s="35">
        <f>'1kpi_performance'!T692</f>
        <v>2.361070568</v>
      </c>
      <c r="BE692" s="35">
        <f>'1kpi_performance'!U692</f>
        <v>-0.4208519456</v>
      </c>
      <c r="BF692" s="47"/>
      <c r="BG692" s="47"/>
      <c r="BH692" s="47"/>
      <c r="BI692" s="47"/>
      <c r="BJ692" s="47"/>
      <c r="BK692" s="47"/>
      <c r="BL692" s="47"/>
      <c r="BM692" s="47"/>
      <c r="BN692" s="47"/>
      <c r="BO692" s="47"/>
      <c r="BP692" s="47"/>
      <c r="BQ692" s="47"/>
      <c r="BR692" s="47"/>
      <c r="BS692" s="47"/>
      <c r="BT692" s="47"/>
    </row>
    <row r="693" ht="11.25" customHeight="1">
      <c r="A693" s="35" t="str">
        <f>'13all_company_profile'!A693</f>
        <v>XRAY</v>
      </c>
      <c r="B693" s="35" t="str">
        <f>'13all_company_profile'!B693</f>
        <v>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v>
      </c>
      <c r="C693" s="44" t="str">
        <f>'13all_company_profile'!C693</f>
        <v>https://financialmodelingprep.com/image-stock/XRAY.png</v>
      </c>
      <c r="D693" s="35" t="str">
        <f>'13all_company_profile'!D693</f>
        <v>DENTSPLY SIRONA Inc.</v>
      </c>
      <c r="E693" s="36">
        <f>'13all_company_profile'!E693</f>
        <v>13492051968</v>
      </c>
      <c r="F693" s="37">
        <f>'13all_company_profile'!F693</f>
        <v>1382815</v>
      </c>
      <c r="G693" s="35">
        <f>'13all_company_profile'!G693</f>
        <v>0.41</v>
      </c>
      <c r="H693" s="38">
        <f>'13all_company_profile'!H693</f>
        <v>44413</v>
      </c>
      <c r="I693" s="35">
        <f>'13all_company_profile'!I693</f>
        <v>77.88437</v>
      </c>
      <c r="J693" s="35">
        <f>'13all_company_profile'!J693</f>
        <v>0.787</v>
      </c>
      <c r="K693" s="42">
        <f t="shared" si="1"/>
        <v>0.006551613934</v>
      </c>
      <c r="L693" s="35">
        <f>'7company_info'!B693</f>
        <v>62.58</v>
      </c>
      <c r="M693" s="35">
        <f>'7company_info'!C693</f>
        <v>63.25</v>
      </c>
      <c r="N693" s="35">
        <f>'7company_info'!D693</f>
        <v>60.81</v>
      </c>
      <c r="O693" s="35">
        <f>'7company_info'!E693</f>
        <v>1.89</v>
      </c>
      <c r="P693" s="35">
        <f>'7company_info'!F693</f>
        <v>0.0311</v>
      </c>
      <c r="Q693" s="35">
        <f>'7company_info'!G693</f>
        <v>60.96</v>
      </c>
      <c r="R693" s="35">
        <f>'7company_info'!H693</f>
        <v>60.69</v>
      </c>
      <c r="S693" s="35">
        <f>'7company_info'!I693</f>
        <v>41.52</v>
      </c>
      <c r="T693" s="35">
        <f>'7company_info'!J693</f>
        <v>69.54</v>
      </c>
      <c r="U693" s="39">
        <v>62.2133333333333</v>
      </c>
      <c r="V693" s="39">
        <v>62.5366666666666</v>
      </c>
      <c r="W693" s="40">
        <v>62.9133333333333</v>
      </c>
      <c r="X693" s="40">
        <v>63.6133333333333</v>
      </c>
      <c r="Y693" s="40">
        <v>61.8366666666666</v>
      </c>
      <c r="Z693" s="40">
        <v>61.5133333333333</v>
      </c>
      <c r="AA693" s="40">
        <v>60.8133333333333</v>
      </c>
      <c r="AB693" s="40">
        <v>61.65</v>
      </c>
      <c r="AC693" s="40">
        <v>65.6</v>
      </c>
      <c r="AD693" s="40">
        <v>63.5676241631859</v>
      </c>
      <c r="AE693" s="40">
        <v>59.4795</v>
      </c>
      <c r="AF693" s="40">
        <v>1.22125</v>
      </c>
      <c r="AG693" s="40">
        <v>69.54</v>
      </c>
      <c r="AH693" s="45">
        <v>44326.0</v>
      </c>
      <c r="AI693" s="44" t="str">
        <f>'6image_RS_benchmark_performance'!B693</f>
        <v>https://3arbzfbsh-cname-us.ngrok.io/Desktop/seabridge%20fintech/image_app/XRAY_resistance_support.jpg</v>
      </c>
      <c r="AJ693" s="44" t="str">
        <f>'6image_RS_benchmark_performance'!C693</f>
        <v>https://3arbzfbsh-cname-us.ngrok.io/Desktop/seabridge%20fintech/profit_graph_app/XRAY_Return.jpg</v>
      </c>
      <c r="AK693" s="46" t="str">
        <f>'5price_action_icon'!B693</f>
        <v>https://3arbzfbsh-cname-us.ngrok.io/Desktop/seabridge%20fintech/icon/XRAY_pa_trend_signal</v>
      </c>
      <c r="AL693" s="42">
        <f>'1kpi_performance'!B693</f>
        <v>0.4402762049</v>
      </c>
      <c r="AM693" s="42">
        <f>'1kpi_performance'!C693</f>
        <v>0.4911735998</v>
      </c>
      <c r="AN693" s="42">
        <f>'1kpi_performance'!D693</f>
        <v>0.5400063295</v>
      </c>
      <c r="AO693" s="42">
        <f>'1kpi_performance'!E693</f>
        <v>0.07484720848</v>
      </c>
      <c r="AP693" s="42">
        <f>'1kpi_performance'!F693</f>
        <v>0.2193844452</v>
      </c>
      <c r="AQ693" s="42">
        <f>'1kpi_performance'!G693</f>
        <v>0.220050138</v>
      </c>
      <c r="AR693" s="42">
        <f>'1kpi_performance'!H693</f>
        <v>0.2018042742</v>
      </c>
      <c r="AS693" s="42">
        <f>'1kpi_performance'!I693</f>
        <v>0.3152627425</v>
      </c>
      <c r="AT693" s="35">
        <f>'1kpi_performance'!J693</f>
        <v>1.892915446</v>
      </c>
      <c r="AU693" s="35">
        <f>'1kpi_performance'!K693</f>
        <v>2.118488105</v>
      </c>
      <c r="AV693" s="35">
        <f>'1kpi_performance'!L693</f>
        <v>2.552009027</v>
      </c>
      <c r="AW693" s="35">
        <f>'1kpi_performance'!M693</f>
        <v>0.1581132236</v>
      </c>
      <c r="AX693" s="42">
        <f>'1kpi_performance'!N693</f>
        <v>0.1272145402</v>
      </c>
      <c r="AY693" s="42">
        <f>'1kpi_performance'!O693</f>
        <v>0.123546238</v>
      </c>
      <c r="AZ693" s="42">
        <f>'1kpi_performance'!P693</f>
        <v>0.219852338</v>
      </c>
      <c r="BA693" s="42">
        <f>'1kpi_performance'!Q693</f>
        <v>0.5348498104</v>
      </c>
      <c r="BB693" s="35">
        <f>'1kpi_performance'!R693</f>
        <v>4.015741134</v>
      </c>
      <c r="BC693" s="35">
        <f>'1kpi_performance'!S693</f>
        <v>5.009228157</v>
      </c>
      <c r="BD693" s="35">
        <f>'1kpi_performance'!T693</f>
        <v>6.020996021</v>
      </c>
      <c r="BE693" s="35">
        <f>'1kpi_performance'!U693</f>
        <v>0.3034483962</v>
      </c>
      <c r="BF693" s="47"/>
      <c r="BG693" s="47"/>
      <c r="BH693" s="47"/>
      <c r="BI693" s="47"/>
      <c r="BJ693" s="47"/>
      <c r="BK693" s="47"/>
      <c r="BL693" s="47"/>
      <c r="BM693" s="47"/>
      <c r="BN693" s="47"/>
      <c r="BO693" s="47"/>
      <c r="BP693" s="47"/>
      <c r="BQ693" s="47"/>
      <c r="BR693" s="47"/>
      <c r="BS693" s="47"/>
      <c r="BT693" s="47"/>
    </row>
    <row r="694" ht="11.25" customHeight="1">
      <c r="A694" s="35" t="str">
        <f>'13all_company_profile'!A694</f>
        <v>XYL</v>
      </c>
      <c r="B694" s="35" t="str">
        <f>'13all_company_profile'!B694</f>
        <v>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v>
      </c>
      <c r="C694" s="44" t="str">
        <f>'13all_company_profile'!C694</f>
        <v>https://financialmodelingprep.com/image-stock/XYL.png</v>
      </c>
      <c r="D694" s="35" t="str">
        <f>'13all_company_profile'!D694</f>
        <v>Xylem Inc.</v>
      </c>
      <c r="E694" s="36">
        <f>'13all_company_profile'!E694</f>
        <v>21606840320</v>
      </c>
      <c r="F694" s="37">
        <f>'13all_company_profile'!F694</f>
        <v>783147</v>
      </c>
      <c r="G694" s="35">
        <f>'13all_company_profile'!G694</f>
        <v>1.08</v>
      </c>
      <c r="H694" s="38">
        <f>'13all_company_profile'!H694</f>
        <v>44405</v>
      </c>
      <c r="I694" s="35">
        <f>'13all_company_profile'!I694</f>
        <v>71.49701</v>
      </c>
      <c r="J694" s="35">
        <f>'13all_company_profile'!J694</f>
        <v>1.67</v>
      </c>
      <c r="K694" s="42">
        <f t="shared" si="1"/>
        <v>0.008886694643</v>
      </c>
      <c r="L694" s="35">
        <f>'7company_info'!B694</f>
        <v>121.53</v>
      </c>
      <c r="M694" s="35">
        <f>'7company_info'!C694</f>
        <v>121.78</v>
      </c>
      <c r="N694" s="35">
        <f>'7company_info'!D694</f>
        <v>117.76</v>
      </c>
      <c r="O694" s="35">
        <f>'7company_info'!E694</f>
        <v>4.3</v>
      </c>
      <c r="P694" s="35">
        <f>'7company_info'!F694</f>
        <v>0.0367</v>
      </c>
      <c r="Q694" s="35">
        <f>'7company_info'!G694</f>
        <v>117.92</v>
      </c>
      <c r="R694" s="35">
        <f>'7company_info'!H694</f>
        <v>117.23</v>
      </c>
      <c r="S694" s="35">
        <f>'7company_info'!I694</f>
        <v>71.87</v>
      </c>
      <c r="T694" s="35">
        <f>'7company_info'!J694</f>
        <v>121.97</v>
      </c>
      <c r="U694" s="39">
        <v>120.973333333333</v>
      </c>
      <c r="V694" s="39">
        <v>121.896666666666</v>
      </c>
      <c r="W694" s="40">
        <v>122.783333333333</v>
      </c>
      <c r="X694" s="40">
        <v>124.593333333333</v>
      </c>
      <c r="Y694" s="40">
        <v>120.086666666666</v>
      </c>
      <c r="Z694" s="40">
        <v>119.163333333333</v>
      </c>
      <c r="AA694" s="40">
        <v>117.353333333333</v>
      </c>
      <c r="AB694" s="40">
        <v>118.91</v>
      </c>
      <c r="AC694" s="40">
        <v>121.97</v>
      </c>
      <c r="AD694" s="40">
        <v>119.260551663851</v>
      </c>
      <c r="AE694" s="40">
        <v>116.64343</v>
      </c>
      <c r="AF694" s="40">
        <v>2.06753499999999</v>
      </c>
      <c r="AG694" s="40">
        <v>121.53</v>
      </c>
      <c r="AH694" s="45">
        <v>44378.0</v>
      </c>
      <c r="AI694" s="44" t="str">
        <f>'6image_RS_benchmark_performance'!B694</f>
        <v>https://3arbzfbsh-cname-us.ngrok.io/Desktop/seabridge%20fintech/image_app/XYL_resistance_support.jpg</v>
      </c>
      <c r="AJ694" s="44" t="str">
        <f>'6image_RS_benchmark_performance'!C694</f>
        <v>https://3arbzfbsh-cname-us.ngrok.io/Desktop/seabridge%20fintech/profit_graph_app/XYL_Return.jpg</v>
      </c>
      <c r="AK694" s="46" t="str">
        <f>'5price_action_icon'!B694</f>
        <v>https://3arbzfbsh-cname-us.ngrok.io/Desktop/seabridge%20fintech/icon/XYL_pa_trend_signal</v>
      </c>
      <c r="AL694" s="42">
        <f>'1kpi_performance'!B694</f>
        <v>0.4911787368</v>
      </c>
      <c r="AM694" s="42">
        <f>'1kpi_performance'!C694</f>
        <v>0.7522035189</v>
      </c>
      <c r="AN694" s="42">
        <f>'1kpi_performance'!D694</f>
        <v>0.5567056496</v>
      </c>
      <c r="AO694" s="42">
        <f>'1kpi_performance'!E694</f>
        <v>0.2661806953</v>
      </c>
      <c r="AP694" s="42">
        <f>'1kpi_performance'!F694</f>
        <v>0.2117597623</v>
      </c>
      <c r="AQ694" s="42">
        <f>'1kpi_performance'!G694</f>
        <v>0.2164880062</v>
      </c>
      <c r="AR694" s="42">
        <f>'1kpi_performance'!H694</f>
        <v>0.2265403644</v>
      </c>
      <c r="AS694" s="42">
        <f>'1kpi_performance'!I694</f>
        <v>0.3133145047</v>
      </c>
      <c r="AT694" s="35">
        <f>'1kpi_performance'!J694</f>
        <v>2.201450982</v>
      </c>
      <c r="AU694" s="35">
        <f>'1kpi_performance'!K694</f>
        <v>3.359093798</v>
      </c>
      <c r="AV694" s="35">
        <f>'1kpi_performance'!L694</f>
        <v>2.347068042</v>
      </c>
      <c r="AW694" s="35">
        <f>'1kpi_performance'!M694</f>
        <v>0.7697718798</v>
      </c>
      <c r="AX694" s="42">
        <f>'1kpi_performance'!N694</f>
        <v>0.1578176492</v>
      </c>
      <c r="AY694" s="42">
        <f>'1kpi_performance'!O694</f>
        <v>0.1302458374</v>
      </c>
      <c r="AZ694" s="42">
        <f>'1kpi_performance'!P694</f>
        <v>0.3361462729</v>
      </c>
      <c r="BA694" s="42">
        <f>'1kpi_performance'!Q694</f>
        <v>0.3645237294</v>
      </c>
      <c r="BB694" s="35">
        <f>'1kpi_performance'!R694</f>
        <v>4.621786229</v>
      </c>
      <c r="BC694" s="35">
        <f>'1kpi_performance'!S694</f>
        <v>8.112255462</v>
      </c>
      <c r="BD694" s="35">
        <f>'1kpi_performance'!T694</f>
        <v>4.897677278</v>
      </c>
      <c r="BE694" s="35">
        <f>'1kpi_performance'!U694</f>
        <v>1.528533304</v>
      </c>
      <c r="BF694" s="47"/>
      <c r="BG694" s="47"/>
      <c r="BH694" s="47"/>
      <c r="BI694" s="47"/>
      <c r="BJ694" s="47"/>
      <c r="BK694" s="47"/>
      <c r="BL694" s="47"/>
      <c r="BM694" s="47"/>
      <c r="BN694" s="47"/>
      <c r="BO694" s="47"/>
      <c r="BP694" s="47"/>
      <c r="BQ694" s="47"/>
      <c r="BR694" s="47"/>
      <c r="BS694" s="47"/>
      <c r="BT694" s="47"/>
    </row>
    <row r="695" ht="11.25" customHeight="1">
      <c r="A695" s="35" t="str">
        <f>'13all_company_profile'!A695</f>
        <v>YUM</v>
      </c>
      <c r="B695" s="35" t="str">
        <f>'13all_company_profile'!B695</f>
        <v>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v>
      </c>
      <c r="C695" s="44" t="str">
        <f>'13all_company_profile'!C695</f>
        <v>https://financialmodelingprep.com/image-stock/YUM.png</v>
      </c>
      <c r="D695" s="35" t="str">
        <f>'13all_company_profile'!D695</f>
        <v>Yum! Brands, Inc.</v>
      </c>
      <c r="E695" s="36">
        <f>'13all_company_profile'!E695</f>
        <v>34851434496</v>
      </c>
      <c r="F695" s="37">
        <f>'13all_company_profile'!F695</f>
        <v>1540963</v>
      </c>
      <c r="G695" s="35">
        <f>'13all_company_profile'!G695</f>
        <v>1.94</v>
      </c>
      <c r="H695" s="38">
        <f>'13all_company_profile'!H695</f>
        <v>44406</v>
      </c>
      <c r="I695" s="35">
        <f>'13all_company_profile'!I695</f>
        <v>31.053757</v>
      </c>
      <c r="J695" s="35">
        <f>'13all_company_profile'!J695</f>
        <v>3.739</v>
      </c>
      <c r="K695" s="42">
        <f t="shared" si="1"/>
        <v>0.01670110193</v>
      </c>
      <c r="L695" s="35">
        <f>'7company_info'!B695</f>
        <v>116.16</v>
      </c>
      <c r="M695" s="35">
        <f>'7company_info'!C695</f>
        <v>116.43</v>
      </c>
      <c r="N695" s="35">
        <f>'7company_info'!D695</f>
        <v>113.54</v>
      </c>
      <c r="O695" s="35">
        <f>'7company_info'!E695</f>
        <v>2.71</v>
      </c>
      <c r="P695" s="35">
        <f>'7company_info'!F695</f>
        <v>0.0239</v>
      </c>
      <c r="Q695" s="35">
        <f>'7company_info'!G695</f>
        <v>113.9</v>
      </c>
      <c r="R695" s="35">
        <f>'7company_info'!H695</f>
        <v>113.45</v>
      </c>
      <c r="S695" s="35">
        <f>'7company_info'!I695</f>
        <v>88.08</v>
      </c>
      <c r="T695" s="35">
        <f>'7company_info'!J695</f>
        <v>122.73</v>
      </c>
      <c r="U695" s="39">
        <v>117.36</v>
      </c>
      <c r="V695" s="39">
        <v>117.8</v>
      </c>
      <c r="W695" s="40">
        <v>118.48</v>
      </c>
      <c r="X695" s="40">
        <v>119.6</v>
      </c>
      <c r="Y695" s="40">
        <v>116.68</v>
      </c>
      <c r="Z695" s="40">
        <v>116.24</v>
      </c>
      <c r="AA695" s="40">
        <v>115.12</v>
      </c>
      <c r="AB695" s="40">
        <v>116.03</v>
      </c>
      <c r="AC695" s="40">
        <v>116.56</v>
      </c>
      <c r="AD695" s="40">
        <v>117.285849390748</v>
      </c>
      <c r="AE695" s="40">
        <v>114.13801</v>
      </c>
      <c r="AF695" s="40">
        <v>1.485995</v>
      </c>
      <c r="AG695" s="40">
        <v>122.725</v>
      </c>
      <c r="AH695" s="45">
        <v>44326.0</v>
      </c>
      <c r="AI695" s="44" t="str">
        <f>'6image_RS_benchmark_performance'!B695</f>
        <v>https://3arbzfbsh-cname-us.ngrok.io/Desktop/seabridge%20fintech/image_app/YUM_resistance_support.jpg</v>
      </c>
      <c r="AJ695" s="44" t="str">
        <f>'6image_RS_benchmark_performance'!C695</f>
        <v>https://3arbzfbsh-cname-us.ngrok.io/Desktop/seabridge%20fintech/profit_graph_app/YUM_Return.jpg</v>
      </c>
      <c r="AK695" s="46" t="str">
        <f>'5price_action_icon'!B695</f>
        <v>https://3arbzfbsh-cname-us.ngrok.io/Desktop/seabridge%20fintech/icon/YUM_pa_trend_signal</v>
      </c>
      <c r="AL695" s="42">
        <f>'1kpi_performance'!B695</f>
        <v>0.4821471266</v>
      </c>
      <c r="AM695" s="42">
        <f>'1kpi_performance'!C695</f>
        <v>0.6664292781</v>
      </c>
      <c r="AN695" s="42">
        <f>'1kpi_performance'!D695</f>
        <v>0.4127897861</v>
      </c>
      <c r="AO695" s="42">
        <f>'1kpi_performance'!E695</f>
        <v>0.2113275306</v>
      </c>
      <c r="AP695" s="42">
        <f>'1kpi_performance'!F695</f>
        <v>0.1841444599</v>
      </c>
      <c r="AQ695" s="42">
        <f>'1kpi_performance'!G695</f>
        <v>0.2154761991</v>
      </c>
      <c r="AR695" s="42">
        <f>'1kpi_performance'!H695</f>
        <v>0.2222203365</v>
      </c>
      <c r="AS695" s="42">
        <f>'1kpi_performance'!I695</f>
        <v>0.2972213492</v>
      </c>
      <c r="AT695" s="35">
        <f>'1kpi_performance'!J695</f>
        <v>2.482546186</v>
      </c>
      <c r="AU695" s="35">
        <f>'1kpi_performance'!K695</f>
        <v>2.976798741</v>
      </c>
      <c r="AV695" s="35">
        <f>'1kpi_performance'!L695</f>
        <v>1.745068846</v>
      </c>
      <c r="AW695" s="35">
        <f>'1kpi_performance'!M695</f>
        <v>0.6268982061</v>
      </c>
      <c r="AX695" s="42">
        <f>'1kpi_performance'!N695</f>
        <v>0.1643564356</v>
      </c>
      <c r="AY695" s="42">
        <f>'1kpi_performance'!O695</f>
        <v>0.1643564356</v>
      </c>
      <c r="AZ695" s="42">
        <f>'1kpi_performance'!P695</f>
        <v>0.5300411814</v>
      </c>
      <c r="BA695" s="42">
        <f>'1kpi_performance'!Q695</f>
        <v>0.5258787015</v>
      </c>
      <c r="BB695" s="35">
        <f>'1kpi_performance'!R695</f>
        <v>5.369577611</v>
      </c>
      <c r="BC695" s="35">
        <f>'1kpi_performance'!S695</f>
        <v>7.338373147</v>
      </c>
      <c r="BD695" s="35">
        <f>'1kpi_performance'!T695</f>
        <v>3.653592036</v>
      </c>
      <c r="BE695" s="35">
        <f>'1kpi_performance'!U695</f>
        <v>1.199532087</v>
      </c>
      <c r="BF695" s="47"/>
      <c r="BG695" s="47"/>
      <c r="BH695" s="47"/>
      <c r="BI695" s="47"/>
      <c r="BJ695" s="47"/>
      <c r="BK695" s="47"/>
      <c r="BL695" s="47"/>
      <c r="BM695" s="47"/>
      <c r="BN695" s="47"/>
      <c r="BO695" s="47"/>
      <c r="BP695" s="47"/>
      <c r="BQ695" s="47"/>
      <c r="BR695" s="47"/>
      <c r="BS695" s="47"/>
      <c r="BT695" s="47"/>
    </row>
    <row r="696" ht="11.25" customHeight="1">
      <c r="A696" s="35" t="str">
        <f>'13all_company_profile'!A696</f>
        <v>Z</v>
      </c>
      <c r="B696" s="35" t="str">
        <f>'13all_company_profile'!B696</f>
        <v>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v>
      </c>
      <c r="C696" s="44" t="str">
        <f>'13all_company_profile'!C696</f>
        <v>https://financialmodelingprep.com/image-stock/Z.png</v>
      </c>
      <c r="D696" s="35" t="str">
        <f>'13all_company_profile'!D696</f>
        <v>Zillow Group, Inc.</v>
      </c>
      <c r="E696" s="36">
        <f>'13all_company_profile'!E696</f>
        <v>26062084096</v>
      </c>
      <c r="F696" s="37">
        <f>'13all_company_profile'!F696</f>
        <v>3148853</v>
      </c>
      <c r="G696" s="35">
        <f>'13all_company_profile'!G696</f>
        <v>0</v>
      </c>
      <c r="H696" s="38" t="str">
        <f>'13all_company_profile'!H696</f>
        <v>not avaiable</v>
      </c>
      <c r="I696" s="35">
        <f>'13all_company_profile'!I696</f>
        <v>453.9738</v>
      </c>
      <c r="J696" s="35">
        <f>'13all_company_profile'!J696</f>
        <v>0.229</v>
      </c>
      <c r="K696" s="42" t="str">
        <f t="shared" si="1"/>
        <v>NaN</v>
      </c>
      <c r="L696" s="35">
        <f>'7company_info'!B696</f>
        <v>107.99</v>
      </c>
      <c r="M696" s="35">
        <f>'7company_info'!C696</f>
        <v>109.07</v>
      </c>
      <c r="N696" s="35">
        <f>'7company_info'!D696</f>
        <v>104.47</v>
      </c>
      <c r="O696" s="35">
        <f>'7company_info'!E696</f>
        <v>3.22</v>
      </c>
      <c r="P696" s="35">
        <f>'7company_info'!F696</f>
        <v>0.0307</v>
      </c>
      <c r="Q696" s="35">
        <f>'7company_info'!G696</f>
        <v>105.2</v>
      </c>
      <c r="R696" s="35">
        <f>'7company_info'!H696</f>
        <v>104.77</v>
      </c>
      <c r="S696" s="35">
        <f>'7company_info'!I696</f>
        <v>64.24</v>
      </c>
      <c r="T696" s="35">
        <f>'7company_info'!J696</f>
        <v>208.11</v>
      </c>
      <c r="U696" s="39">
        <v>107.823333333333</v>
      </c>
      <c r="V696" s="39">
        <v>109.876666666666</v>
      </c>
      <c r="W696" s="40">
        <v>113.803333333333</v>
      </c>
      <c r="X696" s="40">
        <v>119.783333333333</v>
      </c>
      <c r="Y696" s="40">
        <v>103.896666666666</v>
      </c>
      <c r="Z696" s="40">
        <v>101.843333333333</v>
      </c>
      <c r="AA696" s="40">
        <v>95.8633333333333</v>
      </c>
      <c r="AB696" s="40">
        <v>120.03</v>
      </c>
      <c r="AC696" s="40">
        <v>124.7</v>
      </c>
      <c r="AD696" s="40">
        <v>115.147474196392</v>
      </c>
      <c r="AE696" s="40">
        <v>100.85564</v>
      </c>
      <c r="AF696" s="40">
        <v>4.77568</v>
      </c>
      <c r="AG696" s="40">
        <v>208.11</v>
      </c>
      <c r="AH696" s="45">
        <v>44243.0</v>
      </c>
      <c r="AI696" s="44" t="str">
        <f>'6image_RS_benchmark_performance'!B696</f>
        <v>https://3arbzfbsh-cname-us.ngrok.io/Desktop/seabridge%20fintech/image_app/Z_resistance_support.jpg</v>
      </c>
      <c r="AJ696" s="44" t="str">
        <f>'6image_RS_benchmark_performance'!C696</f>
        <v>https://3arbzfbsh-cname-us.ngrok.io/Desktop/seabridge%20fintech/profit_graph_app/Z_Return.jpg</v>
      </c>
      <c r="AK696" s="46" t="str">
        <f>'5price_action_icon'!B696</f>
        <v>https://3arbzfbsh-cname-us.ngrok.io/Desktop/seabridge%20fintech/icon/Z_pa_trend_signal</v>
      </c>
      <c r="AL696" s="42">
        <f>'1kpi_performance'!B696</f>
        <v>1.390455525</v>
      </c>
      <c r="AM696" s="42">
        <f>'1kpi_performance'!C696</f>
        <v>2.128003929</v>
      </c>
      <c r="AN696" s="42">
        <f>'1kpi_performance'!D696</f>
        <v>1.172346999</v>
      </c>
      <c r="AO696" s="42">
        <f>'1kpi_performance'!E696</f>
        <v>0.3802526773</v>
      </c>
      <c r="AP696" s="42">
        <f>'1kpi_performance'!F696</f>
        <v>0.4769659253</v>
      </c>
      <c r="AQ696" s="42">
        <f>'1kpi_performance'!G696</f>
        <v>0.4700804704</v>
      </c>
      <c r="AR696" s="42">
        <f>'1kpi_performance'!H696</f>
        <v>0.3845227523</v>
      </c>
      <c r="AS696" s="42">
        <f>'1kpi_performance'!I696</f>
        <v>0.6315832631</v>
      </c>
      <c r="AT696" s="35">
        <f>'1kpi_performance'!J696</f>
        <v>2.862794705</v>
      </c>
      <c r="AU696" s="35">
        <f>'1kpi_performance'!K696</f>
        <v>4.473710485</v>
      </c>
      <c r="AV696" s="35">
        <f>'1kpi_performance'!L696</f>
        <v>2.983820832</v>
      </c>
      <c r="AW696" s="35">
        <f>'1kpi_performance'!M696</f>
        <v>0.5624795622</v>
      </c>
      <c r="AX696" s="42">
        <f>'1kpi_performance'!N696</f>
        <v>0.359024721</v>
      </c>
      <c r="AY696" s="42">
        <f>'1kpi_performance'!O696</f>
        <v>0.2611574301</v>
      </c>
      <c r="AZ696" s="42">
        <f>'1kpi_performance'!P696</f>
        <v>0.3386448109</v>
      </c>
      <c r="BA696" s="42">
        <f>'1kpi_performance'!Q696</f>
        <v>0.6185755681</v>
      </c>
      <c r="BB696" s="35">
        <f>'1kpi_performance'!R696</f>
        <v>6.016663752</v>
      </c>
      <c r="BC696" s="35">
        <f>'1kpi_performance'!S696</f>
        <v>10.66891899</v>
      </c>
      <c r="BD696" s="35">
        <f>'1kpi_performance'!T696</f>
        <v>6.400408868</v>
      </c>
      <c r="BE696" s="35">
        <f>'1kpi_performance'!U696</f>
        <v>1.107544683</v>
      </c>
      <c r="BF696" s="47"/>
      <c r="BG696" s="47"/>
      <c r="BH696" s="47"/>
      <c r="BI696" s="47"/>
      <c r="BJ696" s="47"/>
      <c r="BK696" s="47"/>
      <c r="BL696" s="47"/>
      <c r="BM696" s="47"/>
      <c r="BN696" s="47"/>
      <c r="BO696" s="47"/>
      <c r="BP696" s="47"/>
      <c r="BQ696" s="47"/>
      <c r="BR696" s="47"/>
      <c r="BS696" s="47"/>
      <c r="BT696" s="47"/>
    </row>
    <row r="697" ht="11.25" customHeight="1">
      <c r="A697" s="35" t="str">
        <f>'13all_company_profile'!A697</f>
        <v>ZBH</v>
      </c>
      <c r="B697" s="35" t="str">
        <f>'13all_company_profile'!B697</f>
        <v>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v>
      </c>
      <c r="C697" s="44" t="str">
        <f>'13all_company_profile'!C697</f>
        <v>https://financialmodelingprep.com/image-stock/ZBH.png</v>
      </c>
      <c r="D697" s="35" t="str">
        <f>'13all_company_profile'!D697</f>
        <v>Zimmer Biomet Holdings, Inc.</v>
      </c>
      <c r="E697" s="36">
        <f>'13all_company_profile'!E697</f>
        <v>31918596096</v>
      </c>
      <c r="F697" s="37">
        <f>'13all_company_profile'!F697</f>
        <v>1167655</v>
      </c>
      <c r="G697" s="35">
        <f>'13all_company_profile'!G697</f>
        <v>0.96</v>
      </c>
      <c r="H697" s="38">
        <f>'13all_company_profile'!H697</f>
        <v>44411</v>
      </c>
      <c r="I697" s="35">
        <f>'13all_company_profile'!I697</f>
        <v>56.430668</v>
      </c>
      <c r="J697" s="35">
        <f>'13all_company_profile'!J697</f>
        <v>2.726</v>
      </c>
      <c r="K697" s="42">
        <f t="shared" si="1"/>
        <v>0.006168476515</v>
      </c>
      <c r="L697" s="35">
        <f>'7company_info'!B697</f>
        <v>155.63</v>
      </c>
      <c r="M697" s="35">
        <f>'7company_info'!C697</f>
        <v>156.02</v>
      </c>
      <c r="N697" s="35">
        <f>'7company_info'!D697</f>
        <v>150.26</v>
      </c>
      <c r="O697" s="35">
        <f>'7company_info'!E697</f>
        <v>5.46</v>
      </c>
      <c r="P697" s="35">
        <f>'7company_info'!F697</f>
        <v>0.0364</v>
      </c>
      <c r="Q697" s="35">
        <f>'7company_info'!G697</f>
        <v>150.26</v>
      </c>
      <c r="R697" s="35">
        <f>'7company_info'!H697</f>
        <v>150.17</v>
      </c>
      <c r="S697" s="35">
        <f>'7company_info'!I697</f>
        <v>129.15</v>
      </c>
      <c r="T697" s="35">
        <f>'7company_info'!J697</f>
        <v>180.36</v>
      </c>
      <c r="U697" s="39">
        <v>156.176633333333</v>
      </c>
      <c r="V697" s="39">
        <v>157.133266666666</v>
      </c>
      <c r="W697" s="40">
        <v>158.686533333333</v>
      </c>
      <c r="X697" s="40">
        <v>161.196433333333</v>
      </c>
      <c r="Y697" s="40">
        <v>154.623366666666</v>
      </c>
      <c r="Z697" s="40">
        <v>153.666733333333</v>
      </c>
      <c r="AA697" s="40">
        <v>151.156833333333</v>
      </c>
      <c r="AB697" s="40">
        <v>167.07</v>
      </c>
      <c r="AC697" s="40">
        <v>163.17</v>
      </c>
      <c r="AD697" s="40">
        <v>160.820408512541</v>
      </c>
      <c r="AE697" s="40">
        <v>151.37932</v>
      </c>
      <c r="AF697" s="40">
        <v>2.84849499999999</v>
      </c>
      <c r="AG697" s="40">
        <v>180.36</v>
      </c>
      <c r="AH697" s="45">
        <v>44315.0</v>
      </c>
      <c r="AI697" s="44" t="str">
        <f>'6image_RS_benchmark_performance'!B697</f>
        <v>https://3arbzfbsh-cname-us.ngrok.io/Desktop/seabridge%20fintech/image_app/ZBH_resistance_support.jpg</v>
      </c>
      <c r="AJ697" s="44" t="str">
        <f>'6image_RS_benchmark_performance'!C697</f>
        <v>https://3arbzfbsh-cname-us.ngrok.io/Desktop/seabridge%20fintech/profit_graph_app/ZBH_Return.jpg</v>
      </c>
      <c r="AK697" s="46" t="str">
        <f>'5price_action_icon'!B697</f>
        <v>https://3arbzfbsh-cname-us.ngrok.io/Desktop/seabridge%20fintech/icon/ZBH_pa_trend_signal</v>
      </c>
      <c r="AL697" s="42">
        <f>'1kpi_performance'!B697</f>
        <v>0.5197237962</v>
      </c>
      <c r="AM697" s="42">
        <f>'1kpi_performance'!C697</f>
        <v>0.5969768931</v>
      </c>
      <c r="AN697" s="42">
        <f>'1kpi_performance'!D697</f>
        <v>0.5689305619</v>
      </c>
      <c r="AO697" s="42">
        <f>'1kpi_performance'!E697</f>
        <v>0.1229489798</v>
      </c>
      <c r="AP697" s="42">
        <f>'1kpi_performance'!F697</f>
        <v>0.2108579858</v>
      </c>
      <c r="AQ697" s="42">
        <f>'1kpi_performance'!G697</f>
        <v>0.2150583942</v>
      </c>
      <c r="AR697" s="42">
        <f>'1kpi_performance'!H697</f>
        <v>0.2266469051</v>
      </c>
      <c r="AS697" s="42">
        <f>'1kpi_performance'!I697</f>
        <v>0.3083194367</v>
      </c>
      <c r="AT697" s="35">
        <f>'1kpi_performance'!J697</f>
        <v>2.346241687</v>
      </c>
      <c r="AU697" s="35">
        <f>'1kpi_performance'!K697</f>
        <v>2.659635283</v>
      </c>
      <c r="AV697" s="35">
        <f>'1kpi_performance'!L697</f>
        <v>2.399902887</v>
      </c>
      <c r="AW697" s="35">
        <f>'1kpi_performance'!M697</f>
        <v>0.3176866852</v>
      </c>
      <c r="AX697" s="42">
        <f>'1kpi_performance'!N697</f>
        <v>0.1132766126</v>
      </c>
      <c r="AY697" s="42">
        <f>'1kpi_performance'!O697</f>
        <v>0.1132766126</v>
      </c>
      <c r="AZ697" s="42">
        <f>'1kpi_performance'!P697</f>
        <v>0.2409759876</v>
      </c>
      <c r="BA697" s="42">
        <f>'1kpi_performance'!Q697</f>
        <v>0.497319202</v>
      </c>
      <c r="BB697" s="35">
        <f>'1kpi_performance'!R697</f>
        <v>5.242726661</v>
      </c>
      <c r="BC697" s="35">
        <f>'1kpi_performance'!S697</f>
        <v>6.265781422</v>
      </c>
      <c r="BD697" s="35">
        <f>'1kpi_performance'!T697</f>
        <v>5.022093492</v>
      </c>
      <c r="BE697" s="35">
        <f>'1kpi_performance'!U697</f>
        <v>0.6221450531</v>
      </c>
      <c r="BF697" s="47"/>
      <c r="BG697" s="47"/>
      <c r="BH697" s="47"/>
      <c r="BI697" s="47"/>
      <c r="BJ697" s="47"/>
      <c r="BK697" s="47"/>
      <c r="BL697" s="47"/>
      <c r="BM697" s="47"/>
      <c r="BN697" s="47"/>
      <c r="BO697" s="47"/>
      <c r="BP697" s="47"/>
      <c r="BQ697" s="47"/>
      <c r="BR697" s="47"/>
      <c r="BS697" s="47"/>
      <c r="BT697" s="47"/>
    </row>
    <row r="698" ht="11.25" customHeight="1">
      <c r="A698" s="35" t="str">
        <f>'13all_company_profile'!A698</f>
        <v>ZBRA</v>
      </c>
      <c r="B698" s="35" t="str">
        <f>'13all_company_profile'!B698</f>
        <v>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v>
      </c>
      <c r="C698" s="44" t="str">
        <f>'13all_company_profile'!C698</f>
        <v>https://financialmodelingprep.com/image-stock/ZBRA.png</v>
      </c>
      <c r="D698" s="35" t="str">
        <f>'13all_company_profile'!D698</f>
        <v>Zebra Technologies Corporation</v>
      </c>
      <c r="E698" s="36">
        <f>'13all_company_profile'!E698</f>
        <v>27966074880</v>
      </c>
      <c r="F698" s="37">
        <f>'13all_company_profile'!F698</f>
        <v>269311</v>
      </c>
      <c r="G698" s="35">
        <f>'13all_company_profile'!G698</f>
        <v>0</v>
      </c>
      <c r="H698" s="38">
        <f>'13all_company_profile'!H698</f>
        <v>44411</v>
      </c>
      <c r="I698" s="35">
        <f>'13all_company_profile'!I698</f>
        <v>43.567177</v>
      </c>
      <c r="J698" s="35">
        <f>'13all_company_profile'!J698</f>
        <v>11.931</v>
      </c>
      <c r="K698" s="42" t="str">
        <f t="shared" si="1"/>
        <v>NaN</v>
      </c>
      <c r="L698" s="35">
        <f>'7company_info'!B698</f>
        <v>519.67</v>
      </c>
      <c r="M698" s="35">
        <f>'7company_info'!C698</f>
        <v>524.18</v>
      </c>
      <c r="N698" s="35">
        <f>'7company_info'!D698</f>
        <v>507.27</v>
      </c>
      <c r="O698" s="35">
        <f>'7company_info'!E698</f>
        <v>12.76</v>
      </c>
      <c r="P698" s="35">
        <f>'7company_info'!F698</f>
        <v>0.0252</v>
      </c>
      <c r="Q698" s="35">
        <f>'7company_info'!G698</f>
        <v>510.98</v>
      </c>
      <c r="R698" s="35">
        <f>'7company_info'!H698</f>
        <v>506.91</v>
      </c>
      <c r="S698" s="35">
        <f>'7company_info'!I698</f>
        <v>246.83</v>
      </c>
      <c r="T698" s="35">
        <f>'7company_info'!J698</f>
        <v>549.98</v>
      </c>
      <c r="U698" s="39">
        <v>532.673333333333</v>
      </c>
      <c r="V698" s="39">
        <v>536.946666666666</v>
      </c>
      <c r="W698" s="40">
        <v>543.753333333333</v>
      </c>
      <c r="X698" s="40">
        <v>554.833333333333</v>
      </c>
      <c r="Y698" s="40">
        <v>525.866666666666</v>
      </c>
      <c r="Z698" s="40">
        <v>521.593333333333</v>
      </c>
      <c r="AA698" s="40">
        <v>510.513333333333</v>
      </c>
      <c r="AB698" s="40">
        <v>521.02</v>
      </c>
      <c r="AC698" s="40">
        <v>549.9821</v>
      </c>
      <c r="AD698" s="40">
        <v>527.406482399829</v>
      </c>
      <c r="AE698" s="40">
        <v>511.2578</v>
      </c>
      <c r="AF698" s="40">
        <v>11.4551</v>
      </c>
      <c r="AG698" s="40">
        <v>518.66</v>
      </c>
      <c r="AH698" s="45">
        <v>44305.0</v>
      </c>
      <c r="AI698" s="44" t="str">
        <f>'6image_RS_benchmark_performance'!B698</f>
        <v>https://3arbzfbsh-cname-us.ngrok.io/Desktop/seabridge%20fintech/image_app/ZBRA_resistance_support.jpg</v>
      </c>
      <c r="AJ698" s="44" t="str">
        <f>'6image_RS_benchmark_performance'!C698</f>
        <v>https://3arbzfbsh-cname-us.ngrok.io/Desktop/seabridge%20fintech/profit_graph_app/ZBRA_Return.jpg</v>
      </c>
      <c r="AK698" s="46" t="str">
        <f>'5price_action_icon'!B698</f>
        <v>https://3arbzfbsh-cname-us.ngrok.io/Desktop/seabridge%20fintech/icon/ZBRA_pa_trend_signal</v>
      </c>
      <c r="AL698" s="42">
        <f>'1kpi_performance'!B698</f>
        <v>1.048007743</v>
      </c>
      <c r="AM698" s="42">
        <f>'1kpi_performance'!C698</f>
        <v>1.128299389</v>
      </c>
      <c r="AN698" s="42">
        <f>'1kpi_performance'!D698</f>
        <v>0.849890597</v>
      </c>
      <c r="AO698" s="42">
        <f>'1kpi_performance'!E698</f>
        <v>0.4405944016</v>
      </c>
      <c r="AP698" s="42">
        <f>'1kpi_performance'!F698</f>
        <v>0.2911786412</v>
      </c>
      <c r="AQ698" s="42">
        <f>'1kpi_performance'!G698</f>
        <v>0.2874358925</v>
      </c>
      <c r="AR698" s="42">
        <f>'1kpi_performance'!H698</f>
        <v>0.3241351965</v>
      </c>
      <c r="AS698" s="42">
        <f>'1kpi_performance'!I698</f>
        <v>0.4167457449</v>
      </c>
      <c r="AT698" s="35">
        <f>'1kpi_performance'!J698</f>
        <v>3.513333733</v>
      </c>
      <c r="AU698" s="35">
        <f>'1kpi_performance'!K698</f>
        <v>3.838418992</v>
      </c>
      <c r="AV698" s="35">
        <f>'1kpi_performance'!L698</f>
        <v>2.544896716</v>
      </c>
      <c r="AW698" s="35">
        <f>'1kpi_performance'!M698</f>
        <v>0.9972373004</v>
      </c>
      <c r="AX698" s="42">
        <f>'1kpi_performance'!N698</f>
        <v>0.2274137826</v>
      </c>
      <c r="AY698" s="42">
        <f>'1kpi_performance'!O698</f>
        <v>0.1195326916</v>
      </c>
      <c r="AZ698" s="42">
        <f>'1kpi_performance'!P698</f>
        <v>0.4297841684</v>
      </c>
      <c r="BA698" s="42">
        <f>'1kpi_performance'!Q698</f>
        <v>0.6029274896</v>
      </c>
      <c r="BB698" s="35">
        <f>'1kpi_performance'!R698</f>
        <v>8.370780273</v>
      </c>
      <c r="BC698" s="35">
        <f>'1kpi_performance'!S698</f>
        <v>10.05184761</v>
      </c>
      <c r="BD698" s="35">
        <f>'1kpi_performance'!T698</f>
        <v>5.037069381</v>
      </c>
      <c r="BE698" s="35">
        <f>'1kpi_performance'!U698</f>
        <v>1.94550671</v>
      </c>
      <c r="BF698" s="47"/>
      <c r="BG698" s="47"/>
      <c r="BH698" s="47"/>
      <c r="BI698" s="47"/>
      <c r="BJ698" s="47"/>
      <c r="BK698" s="47"/>
      <c r="BL698" s="47"/>
      <c r="BM698" s="47"/>
      <c r="BN698" s="47"/>
      <c r="BO698" s="47"/>
      <c r="BP698" s="47"/>
      <c r="BQ698" s="47"/>
      <c r="BR698" s="47"/>
      <c r="BS698" s="47"/>
      <c r="BT698" s="47"/>
    </row>
    <row r="699" ht="11.25" customHeight="1">
      <c r="A699" s="35" t="str">
        <f>'13all_company_profile'!A699</f>
        <v>ZION</v>
      </c>
      <c r="B699" s="35" t="str">
        <f>'13all_company_profile'!B699</f>
        <v>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v>
      </c>
      <c r="C699" s="44" t="str">
        <f>'13all_company_profile'!C699</f>
        <v>https://financialmodelingprep.com/image-stock/ZION.png</v>
      </c>
      <c r="D699" s="35" t="str">
        <f>'13all_company_profile'!D699</f>
        <v>Zions Bancorporation, National Association</v>
      </c>
      <c r="E699" s="36">
        <f>'13all_company_profile'!E699</f>
        <v>8464372224</v>
      </c>
      <c r="F699" s="37">
        <f>'13all_company_profile'!F699</f>
        <v>1306904</v>
      </c>
      <c r="G699" s="35">
        <f>'13all_company_profile'!G699</f>
        <v>1.36</v>
      </c>
      <c r="H699" s="38">
        <f>'13all_company_profile'!H699</f>
        <v>44396</v>
      </c>
      <c r="I699" s="35">
        <f>'13all_company_profile'!I699</f>
        <v>10.06607</v>
      </c>
      <c r="J699" s="35">
        <f>'13all_company_profile'!J699</f>
        <v>4.919</v>
      </c>
      <c r="K699" s="42">
        <f t="shared" si="1"/>
        <v>0.02709163347</v>
      </c>
      <c r="L699" s="35">
        <f>'7company_info'!B699</f>
        <v>50.2</v>
      </c>
      <c r="M699" s="35">
        <f>'7company_info'!C699</f>
        <v>51.61</v>
      </c>
      <c r="N699" s="35">
        <f>'7company_info'!D699</f>
        <v>48.06</v>
      </c>
      <c r="O699" s="35">
        <f>'7company_info'!E699</f>
        <v>2.5</v>
      </c>
      <c r="P699" s="35">
        <f>'7company_info'!F699</f>
        <v>0.0524</v>
      </c>
      <c r="Q699" s="35">
        <f>'7company_info'!G699</f>
        <v>48.46</v>
      </c>
      <c r="R699" s="35">
        <f>'7company_info'!H699</f>
        <v>47.7</v>
      </c>
      <c r="S699" s="35">
        <f>'7company_info'!I699</f>
        <v>27.55</v>
      </c>
      <c r="T699" s="35">
        <f>'7company_info'!J699</f>
        <v>60.65</v>
      </c>
      <c r="U699" s="39">
        <v>51.4</v>
      </c>
      <c r="V699" s="39">
        <v>52.36</v>
      </c>
      <c r="W699" s="40">
        <v>53.36</v>
      </c>
      <c r="X699" s="40">
        <v>55.32</v>
      </c>
      <c r="Y699" s="40">
        <v>50.4</v>
      </c>
      <c r="Z699" s="40">
        <v>49.44</v>
      </c>
      <c r="AA699" s="40">
        <v>47.48</v>
      </c>
      <c r="AB699" s="40">
        <v>53.66</v>
      </c>
      <c r="AC699" s="40">
        <v>51.97</v>
      </c>
      <c r="AD699" s="40">
        <v>52.932604217418</v>
      </c>
      <c r="AE699" s="40">
        <v>47.82131</v>
      </c>
      <c r="AF699" s="40">
        <v>1.833345</v>
      </c>
      <c r="AG699" s="40">
        <v>60.65</v>
      </c>
      <c r="AH699" s="45">
        <v>44334.0</v>
      </c>
      <c r="AI699" s="44" t="str">
        <f>'6image_RS_benchmark_performance'!B699</f>
        <v>https://3arbzfbsh-cname-us.ngrok.io/Desktop/seabridge%20fintech/image_app/ZION_resistance_support.jpg</v>
      </c>
      <c r="AJ699" s="44" t="str">
        <f>'6image_RS_benchmark_performance'!C699</f>
        <v>https://3arbzfbsh-cname-us.ngrok.io/Desktop/seabridge%20fintech/profit_graph_app/ZION_Return.jpg</v>
      </c>
      <c r="AK699" s="46" t="str">
        <f>'5price_action_icon'!B699</f>
        <v>https://3arbzfbsh-cname-us.ngrok.io/Desktop/seabridge%20fintech/icon/ZION_pa_trend_signal</v>
      </c>
      <c r="AL699" s="42">
        <f>'1kpi_performance'!B699</f>
        <v>1.039593726</v>
      </c>
      <c r="AM699" s="42">
        <f>'1kpi_performance'!C699</f>
        <v>0.9095811084</v>
      </c>
      <c r="AN699" s="42">
        <f>'1kpi_performance'!D699</f>
        <v>1.624098684</v>
      </c>
      <c r="AO699" s="42">
        <f>'1kpi_performance'!E699</f>
        <v>0.5652346127</v>
      </c>
      <c r="AP699" s="42">
        <f>'1kpi_performance'!F699</f>
        <v>0.3224104365</v>
      </c>
      <c r="AQ699" s="42">
        <f>'1kpi_performance'!G699</f>
        <v>0.349001453</v>
      </c>
      <c r="AR699" s="42">
        <f>'1kpi_performance'!H699</f>
        <v>0.3591934977</v>
      </c>
      <c r="AS699" s="42">
        <f>'1kpi_performance'!I699</f>
        <v>0.4516552627</v>
      </c>
      <c r="AT699" s="35">
        <f>'1kpi_performance'!J699</f>
        <v>3.146901004</v>
      </c>
      <c r="AU699" s="35">
        <f>'1kpi_performance'!K699</f>
        <v>2.534605804</v>
      </c>
      <c r="AV699" s="35">
        <f>'1kpi_performance'!L699</f>
        <v>4.451914342</v>
      </c>
      <c r="AW699" s="35">
        <f>'1kpi_performance'!M699</f>
        <v>1.196121594</v>
      </c>
      <c r="AX699" s="42">
        <f>'1kpi_performance'!N699</f>
        <v>0.06923303545</v>
      </c>
      <c r="AY699" s="42">
        <f>'1kpi_performance'!O699</f>
        <v>0.08930638542</v>
      </c>
      <c r="AZ699" s="42">
        <f>'1kpi_performance'!P699</f>
        <v>0.1126546443</v>
      </c>
      <c r="BA699" s="42">
        <f>'1kpi_performance'!Q699</f>
        <v>0.1730545877</v>
      </c>
      <c r="BB699" s="35">
        <f>'1kpi_performance'!R699</f>
        <v>8.037337315</v>
      </c>
      <c r="BC699" s="35">
        <f>'1kpi_performance'!S699</f>
        <v>6.26401504</v>
      </c>
      <c r="BD699" s="35">
        <f>'1kpi_performance'!T699</f>
        <v>11.26190726</v>
      </c>
      <c r="BE699" s="35">
        <f>'1kpi_performance'!U699</f>
        <v>2.660487024</v>
      </c>
      <c r="BF699" s="47"/>
      <c r="BG699" s="47"/>
      <c r="BH699" s="47"/>
      <c r="BI699" s="47"/>
      <c r="BJ699" s="47"/>
      <c r="BK699" s="47"/>
      <c r="BL699" s="47"/>
      <c r="BM699" s="47"/>
      <c r="BN699" s="47"/>
      <c r="BO699" s="47"/>
      <c r="BP699" s="47"/>
      <c r="BQ699" s="47"/>
      <c r="BR699" s="47"/>
      <c r="BS699" s="47"/>
      <c r="BT699" s="47"/>
    </row>
    <row r="700" ht="11.25" customHeight="1">
      <c r="A700" s="35" t="str">
        <f>'13all_company_profile'!A700</f>
        <v>ZM</v>
      </c>
      <c r="B700" s="35" t="str">
        <f>'13all_company_profile'!B700</f>
        <v>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v>
      </c>
      <c r="C700" s="44" t="str">
        <f>'13all_company_profile'!C700</f>
        <v>https://financialmodelingprep.com/image-stock/ZM.png</v>
      </c>
      <c r="D700" s="35" t="str">
        <f>'13all_company_profile'!D700</f>
        <v>Zoom Video Communications, Inc.</v>
      </c>
      <c r="E700" s="36">
        <f>'13all_company_profile'!E700</f>
        <v>105132646400</v>
      </c>
      <c r="F700" s="37">
        <f>'13all_company_profile'!F700</f>
        <v>2981055</v>
      </c>
      <c r="G700" s="35">
        <f>'13all_company_profile'!G700</f>
        <v>0</v>
      </c>
      <c r="H700" s="38" t="str">
        <f>'13all_company_profile'!H700</f>
        <v>not avaiable</v>
      </c>
      <c r="I700" s="35">
        <f>'13all_company_profile'!I700</f>
        <v>124.77586</v>
      </c>
      <c r="J700" s="35">
        <f>'13all_company_profile'!J700</f>
        <v>2.9</v>
      </c>
      <c r="K700" s="42" t="str">
        <f t="shared" si="1"/>
        <v>NaN</v>
      </c>
      <c r="L700" s="35">
        <f>'7company_info'!B700</f>
        <v>355.81</v>
      </c>
      <c r="M700" s="35">
        <f>'7company_info'!C700</f>
        <v>359.24</v>
      </c>
      <c r="N700" s="35">
        <f>'7company_info'!D700</f>
        <v>347.08</v>
      </c>
      <c r="O700" s="35">
        <f>'7company_info'!E700</f>
        <v>1.61</v>
      </c>
      <c r="P700" s="35">
        <f>'7company_info'!F700</f>
        <v>0.0045</v>
      </c>
      <c r="Q700" s="35">
        <f>'7company_info'!G700</f>
        <v>357.83</v>
      </c>
      <c r="R700" s="35">
        <f>'7company_info'!H700</f>
        <v>354.2</v>
      </c>
      <c r="S700" s="35">
        <f>'7company_info'!I700</f>
        <v>230</v>
      </c>
      <c r="T700" s="35">
        <f>'7company_info'!J700</f>
        <v>588.84</v>
      </c>
      <c r="U700" s="39">
        <v>367.456666666666</v>
      </c>
      <c r="V700" s="39">
        <v>374.463333333333</v>
      </c>
      <c r="W700" s="40">
        <v>388.316666666666</v>
      </c>
      <c r="X700" s="40">
        <v>409.176666666666</v>
      </c>
      <c r="Y700" s="40">
        <v>353.603333333333</v>
      </c>
      <c r="Z700" s="40">
        <v>346.596666666666</v>
      </c>
      <c r="AA700" s="40">
        <v>325.736666666666</v>
      </c>
      <c r="AB700" s="40">
        <v>382.0</v>
      </c>
      <c r="AC700" s="40">
        <v>406.48</v>
      </c>
      <c r="AD700" s="40">
        <v>374.572017959555</v>
      </c>
      <c r="AE700" s="40">
        <v>355.06135</v>
      </c>
      <c r="AF700" s="40">
        <v>12.264225</v>
      </c>
      <c r="AG700" s="40">
        <v>451.77</v>
      </c>
      <c r="AH700" s="45">
        <v>44243.0</v>
      </c>
      <c r="AI700" s="44" t="str">
        <f>'6image_RS_benchmark_performance'!B700</f>
        <v>https://3arbzfbsh-cname-us.ngrok.io/Desktop/seabridge%20fintech/image_app/ZM_resistance_support.jpg</v>
      </c>
      <c r="AJ700" s="44" t="str">
        <f>'6image_RS_benchmark_performance'!C700</f>
        <v>https://3arbzfbsh-cname-us.ngrok.io/Desktop/seabridge%20fintech/profit_graph_app/ZM_Return.jpg</v>
      </c>
      <c r="AK700" s="46" t="str">
        <f>'5price_action_icon'!B700</f>
        <v>https://3arbzfbsh-cname-us.ngrok.io/Desktop/seabridge%20fintech/icon/ZM_pa_trend_signal</v>
      </c>
      <c r="AL700" s="42">
        <f>'1kpi_performance'!B700</f>
        <v>3.295698419</v>
      </c>
      <c r="AM700" s="42">
        <f>'1kpi_performance'!C700</f>
        <v>5.649919477</v>
      </c>
      <c r="AN700" s="42">
        <f>'1kpi_performance'!D700</f>
        <v>2.616582039</v>
      </c>
      <c r="AO700" s="42">
        <f>'1kpi_performance'!E700</f>
        <v>2.082754047</v>
      </c>
      <c r="AP700" s="42">
        <f>'1kpi_performance'!F700</f>
        <v>0.6837519774</v>
      </c>
      <c r="AQ700" s="42">
        <f>'1kpi_performance'!G700</f>
        <v>0.6813433081</v>
      </c>
      <c r="AR700" s="42">
        <f>'1kpi_performance'!H700</f>
        <v>0.7076270414</v>
      </c>
      <c r="AS700" s="42">
        <f>'1kpi_performance'!I700</f>
        <v>0.852681843</v>
      </c>
      <c r="AT700" s="35">
        <f>'1kpi_performance'!J700</f>
        <v>4.783457346</v>
      </c>
      <c r="AU700" s="35">
        <f>'1kpi_performance'!K700</f>
        <v>8.255631793</v>
      </c>
      <c r="AV700" s="35">
        <f>'1kpi_performance'!L700</f>
        <v>3.662355856</v>
      </c>
      <c r="AW700" s="35">
        <f>'1kpi_performance'!M700</f>
        <v>2.413272974</v>
      </c>
      <c r="AX700" s="42">
        <f>'1kpi_performance'!N700</f>
        <v>0.2333675632</v>
      </c>
      <c r="AY700" s="42">
        <f>'1kpi_performance'!O700</f>
        <v>0.1579239831</v>
      </c>
      <c r="AZ700" s="42">
        <f>'1kpi_performance'!P700</f>
        <v>0.3669672823</v>
      </c>
      <c r="BA700" s="42">
        <f>'1kpi_performance'!Q700</f>
        <v>0.4923989161</v>
      </c>
      <c r="BB700" s="35">
        <f>'1kpi_performance'!R700</f>
        <v>11.85801242</v>
      </c>
      <c r="BC700" s="35">
        <f>'1kpi_performance'!S700</f>
        <v>22.32456921</v>
      </c>
      <c r="BD700" s="35">
        <f>'1kpi_performance'!T700</f>
        <v>8.746622169</v>
      </c>
      <c r="BE700" s="35">
        <f>'1kpi_performance'!U700</f>
        <v>5.475493436</v>
      </c>
      <c r="BF700" s="47"/>
      <c r="BG700" s="47"/>
      <c r="BH700" s="47"/>
      <c r="BI700" s="47"/>
      <c r="BJ700" s="47"/>
      <c r="BK700" s="47"/>
      <c r="BL700" s="47"/>
      <c r="BM700" s="47"/>
      <c r="BN700" s="47"/>
      <c r="BO700" s="47"/>
      <c r="BP700" s="47"/>
      <c r="BQ700" s="47"/>
      <c r="BR700" s="47"/>
      <c r="BS700" s="47"/>
      <c r="BT700" s="47"/>
    </row>
    <row r="701" ht="11.25" customHeight="1">
      <c r="A701" s="35" t="str">
        <f>'13all_company_profile'!A701</f>
        <v>ZTS</v>
      </c>
      <c r="B701" s="35" t="str">
        <f>'13all_company_profile'!B701</f>
        <v>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v>
      </c>
      <c r="C701" s="44" t="str">
        <f>'13all_company_profile'!C701</f>
        <v>https://financialmodelingprep.com/image-stock/ZTS.png</v>
      </c>
      <c r="D701" s="35" t="str">
        <f>'13all_company_profile'!D701</f>
        <v>Zoetis Inc.</v>
      </c>
      <c r="E701" s="36">
        <f>'13all_company_profile'!E701</f>
        <v>95067348992</v>
      </c>
      <c r="F701" s="37">
        <f>'13all_company_profile'!F701</f>
        <v>1785292</v>
      </c>
      <c r="G701" s="35">
        <f>'13all_company_profile'!G701</f>
        <v>1.15</v>
      </c>
      <c r="H701" s="38">
        <f>'13all_company_profile'!H701</f>
        <v>44413</v>
      </c>
      <c r="I701" s="35">
        <f>'13all_company_profile'!I701</f>
        <v>53.795174</v>
      </c>
      <c r="J701" s="35">
        <f>'13all_company_profile'!J701</f>
        <v>3.71</v>
      </c>
      <c r="K701" s="42">
        <f t="shared" si="1"/>
        <v>0.005746839238</v>
      </c>
      <c r="L701" s="35">
        <f>'7company_info'!B701</f>
        <v>200.11</v>
      </c>
      <c r="M701" s="35">
        <f>'7company_info'!C701</f>
        <v>201.45</v>
      </c>
      <c r="N701" s="35">
        <f>'7company_info'!D701</f>
        <v>197.24</v>
      </c>
      <c r="O701" s="35">
        <f>'7company_info'!E701</f>
        <v>2.53</v>
      </c>
      <c r="P701" s="35">
        <f>'7company_info'!F701</f>
        <v>0.0128</v>
      </c>
      <c r="Q701" s="35">
        <f>'7company_info'!G701</f>
        <v>197.24</v>
      </c>
      <c r="R701" s="35">
        <f>'7company_info'!H701</f>
        <v>197.58</v>
      </c>
      <c r="S701" s="35">
        <f>'7company_info'!I701</f>
        <v>141.41</v>
      </c>
      <c r="T701" s="35">
        <f>'7company_info'!J701</f>
        <v>202.04</v>
      </c>
      <c r="U701" s="39">
        <v>200.956666666666</v>
      </c>
      <c r="V701" s="39">
        <v>202.363333333333</v>
      </c>
      <c r="W701" s="40">
        <v>203.446666666666</v>
      </c>
      <c r="X701" s="40">
        <v>205.936666666666</v>
      </c>
      <c r="Y701" s="40">
        <v>199.873333333333</v>
      </c>
      <c r="Z701" s="40">
        <v>198.466666666666</v>
      </c>
      <c r="AA701" s="40">
        <v>195.976666666666</v>
      </c>
      <c r="AB701" s="40">
        <v>196.16</v>
      </c>
      <c r="AC701" s="40">
        <v>202.04</v>
      </c>
      <c r="AD701" s="40">
        <v>191.170579787853</v>
      </c>
      <c r="AE701" s="40">
        <v>193.88065</v>
      </c>
      <c r="AF701" s="40">
        <v>2.740675</v>
      </c>
      <c r="AG701" s="40">
        <v>178.71</v>
      </c>
      <c r="AH701" s="45">
        <v>44340.0</v>
      </c>
      <c r="AI701" s="44" t="str">
        <f>'6image_RS_benchmark_performance'!B701</f>
        <v>https://3arbzfbsh-cname-us.ngrok.io/Desktop/seabridge%20fintech/image_app/ZTS_resistance_support.jpg</v>
      </c>
      <c r="AJ701" s="44" t="str">
        <f>'6image_RS_benchmark_performance'!C701</f>
        <v>https://3arbzfbsh-cname-us.ngrok.io/Desktop/seabridge%20fintech/profit_graph_app/ZTS_Return.jpg</v>
      </c>
      <c r="AK701" s="46" t="str">
        <f>'5price_action_icon'!B701</f>
        <v>https://3arbzfbsh-cname-us.ngrok.io/Desktop/seabridge%20fintech/icon/ZTS_pa_trend_signal</v>
      </c>
      <c r="AL701" s="42">
        <f>'1kpi_performance'!B701</f>
        <v>0.5920268633</v>
      </c>
      <c r="AM701" s="42">
        <f>'1kpi_performance'!C701</f>
        <v>0.7159681629</v>
      </c>
      <c r="AN701" s="42">
        <f>'1kpi_performance'!D701</f>
        <v>0.5103207292</v>
      </c>
      <c r="AO701" s="42">
        <f>'1kpi_performance'!E701</f>
        <v>0.3726134632</v>
      </c>
      <c r="AP701" s="42">
        <f>'1kpi_performance'!F701</f>
        <v>0.1946464815</v>
      </c>
      <c r="AQ701" s="42">
        <f>'1kpi_performance'!G701</f>
        <v>0.2192601993</v>
      </c>
      <c r="AR701" s="42">
        <f>'1kpi_performance'!H701</f>
        <v>0.2233998181</v>
      </c>
      <c r="AS701" s="42">
        <f>'1kpi_performance'!I701</f>
        <v>0.2981294004</v>
      </c>
      <c r="AT701" s="35">
        <f>'1kpi_performance'!J701</f>
        <v>2.913111293</v>
      </c>
      <c r="AU701" s="35">
        <f>'1kpi_performance'!K701</f>
        <v>3.151361556</v>
      </c>
      <c r="AV701" s="35">
        <f>'1kpi_performance'!L701</f>
        <v>2.172431175</v>
      </c>
      <c r="AW701" s="35">
        <f>'1kpi_performance'!M701</f>
        <v>1.165981828</v>
      </c>
      <c r="AX701" s="42">
        <f>'1kpi_performance'!N701</f>
        <v>0.1160508083</v>
      </c>
      <c r="AY701" s="42">
        <f>'1kpi_performance'!O701</f>
        <v>0.1088223311</v>
      </c>
      <c r="AZ701" s="42">
        <f>'1kpi_performance'!P701</f>
        <v>0.3638371672</v>
      </c>
      <c r="BA701" s="42">
        <f>'1kpi_performance'!Q701</f>
        <v>0.3607009797</v>
      </c>
      <c r="BB701" s="35">
        <f>'1kpi_performance'!R701</f>
        <v>6.71985487</v>
      </c>
      <c r="BC701" s="35">
        <f>'1kpi_performance'!S701</f>
        <v>7.428982138</v>
      </c>
      <c r="BD701" s="35">
        <f>'1kpi_performance'!T701</f>
        <v>4.381894172</v>
      </c>
      <c r="BE701" s="35">
        <f>'1kpi_performance'!U701</f>
        <v>2.319582418</v>
      </c>
      <c r="BF701" s="47"/>
      <c r="BG701" s="47"/>
      <c r="BH701" s="47"/>
      <c r="BI701" s="47"/>
      <c r="BJ701" s="47"/>
      <c r="BK701" s="47"/>
      <c r="BL701" s="47"/>
      <c r="BM701" s="47"/>
      <c r="BN701" s="47"/>
      <c r="BO701" s="47"/>
      <c r="BP701" s="47"/>
      <c r="BQ701" s="47"/>
      <c r="BR701" s="47"/>
      <c r="BS701" s="47"/>
      <c r="BT701" s="47"/>
    </row>
    <row r="702" ht="11.25" customHeight="1">
      <c r="A702" s="35" t="str">
        <f>'13all_company_profile'!A702</f>
        <v/>
      </c>
      <c r="B702" s="35" t="str">
        <f>'13all_company_profile'!B702</f>
        <v/>
      </c>
      <c r="C702" s="35" t="str">
        <f>'13all_company_profile'!C702</f>
        <v/>
      </c>
      <c r="D702" s="35" t="str">
        <f>'13all_company_profile'!D702</f>
        <v/>
      </c>
      <c r="E702" s="36" t="str">
        <f>'13all_company_profile'!E702</f>
        <v/>
      </c>
      <c r="F702" s="37" t="str">
        <f>'13all_company_profile'!F702</f>
        <v/>
      </c>
      <c r="G702" s="35" t="str">
        <f>'13all_company_profile'!G702</f>
        <v/>
      </c>
      <c r="H702" s="38" t="str">
        <f>'13all_company_profile'!H702</f>
        <v/>
      </c>
      <c r="I702" s="35" t="str">
        <f>'13all_company_profile'!I702</f>
        <v/>
      </c>
      <c r="J702" s="35" t="str">
        <f>'13all_company_profile'!J702</f>
        <v/>
      </c>
      <c r="K702" s="48"/>
      <c r="L702" s="48"/>
      <c r="M702" s="48"/>
      <c r="N702" s="48"/>
      <c r="O702" s="48"/>
      <c r="P702" s="48"/>
      <c r="Q702" s="48"/>
      <c r="R702" s="48"/>
      <c r="S702" s="48"/>
      <c r="T702" s="48"/>
      <c r="U702" s="48"/>
      <c r="V702" s="48"/>
      <c r="W702" s="49"/>
      <c r="X702" s="49"/>
      <c r="Y702" s="49"/>
      <c r="Z702" s="49"/>
      <c r="AA702" s="49"/>
      <c r="AB702" s="49"/>
      <c r="AC702" s="49"/>
      <c r="AD702" s="49"/>
      <c r="AE702" s="49"/>
      <c r="AF702" s="49"/>
      <c r="AG702" s="49"/>
      <c r="AH702" s="49"/>
      <c r="AI702" s="48"/>
      <c r="AJ702" s="48"/>
      <c r="AK702" s="24"/>
      <c r="AL702" s="50"/>
      <c r="AM702" s="50"/>
      <c r="AN702" s="50"/>
      <c r="AO702" s="50"/>
      <c r="AP702" s="50"/>
      <c r="AQ702" s="50"/>
      <c r="AR702" s="50"/>
      <c r="AS702" s="50"/>
      <c r="AT702" s="51"/>
      <c r="AU702" s="51"/>
      <c r="AV702" s="51"/>
      <c r="AW702" s="51"/>
      <c r="AX702" s="50"/>
      <c r="AY702" s="50"/>
      <c r="AZ702" s="50"/>
      <c r="BA702" s="50"/>
      <c r="BB702" s="51"/>
      <c r="BC702" s="51"/>
      <c r="BD702" s="51"/>
      <c r="BE702" s="51"/>
      <c r="BF702" s="47"/>
      <c r="BG702" s="47"/>
      <c r="BH702" s="47"/>
      <c r="BI702" s="47"/>
      <c r="BJ702" s="47"/>
      <c r="BK702" s="47"/>
      <c r="BL702" s="47"/>
      <c r="BM702" s="47"/>
      <c r="BN702" s="47"/>
      <c r="BO702" s="47"/>
      <c r="BP702" s="47"/>
      <c r="BQ702" s="47"/>
      <c r="BR702" s="47"/>
      <c r="BS702" s="47"/>
      <c r="BT702" s="47"/>
    </row>
    <row r="703" ht="11.25" customHeight="1">
      <c r="A703" s="35" t="str">
        <f>'13all_company_profile'!A703</f>
        <v/>
      </c>
      <c r="B703" s="35" t="str">
        <f>'13all_company_profile'!B703</f>
        <v/>
      </c>
      <c r="C703" s="35" t="str">
        <f>'13all_company_profile'!C703</f>
        <v/>
      </c>
      <c r="D703" s="35" t="str">
        <f>'13all_company_profile'!D703</f>
        <v/>
      </c>
      <c r="E703" s="36" t="str">
        <f>'13all_company_profile'!E703</f>
        <v/>
      </c>
      <c r="F703" s="37" t="str">
        <f>'13all_company_profile'!F703</f>
        <v/>
      </c>
      <c r="G703" s="35" t="str">
        <f>'13all_company_profile'!G703</f>
        <v/>
      </c>
      <c r="H703" s="38" t="str">
        <f>'13all_company_profile'!H703</f>
        <v/>
      </c>
      <c r="I703" s="35" t="str">
        <f>'13all_company_profile'!I703</f>
        <v/>
      </c>
      <c r="J703" s="35" t="str">
        <f>'13all_company_profile'!J703</f>
        <v/>
      </c>
      <c r="K703" s="48"/>
      <c r="L703" s="48"/>
      <c r="M703" s="48"/>
      <c r="N703" s="48"/>
      <c r="O703" s="48"/>
      <c r="P703" s="48"/>
      <c r="Q703" s="48"/>
      <c r="R703" s="48"/>
      <c r="S703" s="48"/>
      <c r="T703" s="48"/>
      <c r="U703" s="48"/>
      <c r="V703" s="48"/>
      <c r="W703" s="49"/>
      <c r="X703" s="49"/>
      <c r="Y703" s="49"/>
      <c r="Z703" s="49"/>
      <c r="AA703" s="49"/>
      <c r="AB703" s="49"/>
      <c r="AC703" s="49"/>
      <c r="AD703" s="49"/>
      <c r="AE703" s="49"/>
      <c r="AF703" s="49"/>
      <c r="AG703" s="49"/>
      <c r="AH703" s="49"/>
      <c r="AI703" s="48"/>
      <c r="AJ703" s="48"/>
      <c r="AK703" s="24"/>
      <c r="AL703" s="50"/>
      <c r="AM703" s="50"/>
      <c r="AN703" s="50"/>
      <c r="AO703" s="50"/>
      <c r="AP703" s="50"/>
      <c r="AQ703" s="50"/>
      <c r="AR703" s="50"/>
      <c r="AS703" s="50"/>
      <c r="AT703" s="51"/>
      <c r="AU703" s="51"/>
      <c r="AV703" s="51"/>
      <c r="AW703" s="51"/>
      <c r="AX703" s="50"/>
      <c r="AY703" s="50"/>
      <c r="AZ703" s="50"/>
      <c r="BA703" s="50"/>
      <c r="BB703" s="51"/>
      <c r="BC703" s="51"/>
      <c r="BD703" s="51"/>
      <c r="BE703" s="51"/>
      <c r="BF703" s="47"/>
      <c r="BG703" s="47"/>
      <c r="BH703" s="47"/>
      <c r="BI703" s="47"/>
      <c r="BJ703" s="47"/>
      <c r="BK703" s="47"/>
      <c r="BL703" s="47"/>
      <c r="BM703" s="47"/>
      <c r="BN703" s="47"/>
      <c r="BO703" s="47"/>
      <c r="BP703" s="47"/>
      <c r="BQ703" s="47"/>
      <c r="BR703" s="47"/>
      <c r="BS703" s="47"/>
      <c r="BT703" s="47"/>
    </row>
    <row r="704" ht="11.25" customHeight="1">
      <c r="A704" s="35" t="str">
        <f>'13all_company_profile'!A704</f>
        <v/>
      </c>
      <c r="B704" s="35" t="str">
        <f>'13all_company_profile'!B704</f>
        <v/>
      </c>
      <c r="C704" s="35" t="str">
        <f>'13all_company_profile'!C704</f>
        <v/>
      </c>
      <c r="D704" s="35" t="str">
        <f>'13all_company_profile'!D704</f>
        <v/>
      </c>
      <c r="E704" s="36" t="str">
        <f>'13all_company_profile'!E704</f>
        <v/>
      </c>
      <c r="F704" s="37" t="str">
        <f>'13all_company_profile'!F704</f>
        <v/>
      </c>
      <c r="G704" s="35" t="str">
        <f>'13all_company_profile'!G704</f>
        <v/>
      </c>
      <c r="H704" s="38" t="str">
        <f>'13all_company_profile'!H704</f>
        <v/>
      </c>
      <c r="I704" s="35" t="str">
        <f>'13all_company_profile'!I704</f>
        <v/>
      </c>
      <c r="J704" s="35" t="str">
        <f>'13all_company_profile'!J704</f>
        <v/>
      </c>
      <c r="K704" s="48"/>
      <c r="L704" s="48"/>
      <c r="M704" s="48"/>
      <c r="N704" s="48"/>
      <c r="O704" s="48"/>
      <c r="P704" s="48"/>
      <c r="Q704" s="48"/>
      <c r="R704" s="48"/>
      <c r="S704" s="48"/>
      <c r="T704" s="48"/>
      <c r="U704" s="48"/>
      <c r="V704" s="48"/>
      <c r="W704" s="49"/>
      <c r="X704" s="49"/>
      <c r="Y704" s="49"/>
      <c r="Z704" s="49"/>
      <c r="AA704" s="49"/>
      <c r="AB704" s="49"/>
      <c r="AC704" s="49"/>
      <c r="AD704" s="49"/>
      <c r="AE704" s="49"/>
      <c r="AF704" s="49"/>
      <c r="AG704" s="49"/>
      <c r="AH704" s="49"/>
      <c r="AI704" s="48"/>
      <c r="AJ704" s="48"/>
      <c r="AK704" s="24"/>
      <c r="AL704" s="50"/>
      <c r="AM704" s="50"/>
      <c r="AN704" s="50"/>
      <c r="AO704" s="50"/>
      <c r="AP704" s="50"/>
      <c r="AQ704" s="50"/>
      <c r="AR704" s="50"/>
      <c r="AS704" s="50"/>
      <c r="AT704" s="51"/>
      <c r="AU704" s="51"/>
      <c r="AV704" s="51"/>
      <c r="AW704" s="51"/>
      <c r="AX704" s="50"/>
      <c r="AY704" s="50"/>
      <c r="AZ704" s="50"/>
      <c r="BA704" s="50"/>
      <c r="BB704" s="51"/>
      <c r="BC704" s="51"/>
      <c r="BD704" s="51"/>
      <c r="BE704" s="51"/>
      <c r="BF704" s="47"/>
      <c r="BG704" s="47"/>
      <c r="BH704" s="47"/>
      <c r="BI704" s="47"/>
      <c r="BJ704" s="47"/>
      <c r="BK704" s="47"/>
      <c r="BL704" s="47"/>
      <c r="BM704" s="47"/>
      <c r="BN704" s="47"/>
      <c r="BO704" s="47"/>
      <c r="BP704" s="47"/>
      <c r="BQ704" s="47"/>
      <c r="BR704" s="47"/>
      <c r="BS704" s="47"/>
      <c r="BT704" s="47"/>
    </row>
    <row r="705" ht="11.25" customHeight="1">
      <c r="A705" s="35" t="str">
        <f>'13all_company_profile'!A705</f>
        <v/>
      </c>
      <c r="B705" s="35" t="str">
        <f>'13all_company_profile'!B705</f>
        <v/>
      </c>
      <c r="C705" s="35" t="str">
        <f>'13all_company_profile'!C705</f>
        <v/>
      </c>
      <c r="D705" s="35" t="str">
        <f>'13all_company_profile'!D705</f>
        <v/>
      </c>
      <c r="E705" s="36" t="str">
        <f>'13all_company_profile'!E705</f>
        <v/>
      </c>
      <c r="F705" s="37" t="str">
        <f>'13all_company_profile'!F705</f>
        <v/>
      </c>
      <c r="G705" s="35" t="str">
        <f>'13all_company_profile'!G705</f>
        <v/>
      </c>
      <c r="H705" s="38" t="str">
        <f>'13all_company_profile'!H705</f>
        <v/>
      </c>
      <c r="I705" s="35" t="str">
        <f>'13all_company_profile'!I705</f>
        <v/>
      </c>
      <c r="J705" s="35" t="str">
        <f>'13all_company_profile'!J705</f>
        <v/>
      </c>
      <c r="K705" s="48"/>
      <c r="L705" s="48"/>
      <c r="M705" s="48"/>
      <c r="N705" s="48"/>
      <c r="O705" s="48"/>
      <c r="P705" s="48"/>
      <c r="Q705" s="48"/>
      <c r="R705" s="48"/>
      <c r="S705" s="48"/>
      <c r="T705" s="48"/>
      <c r="U705" s="48"/>
      <c r="V705" s="48"/>
      <c r="W705" s="49"/>
      <c r="X705" s="49"/>
      <c r="Y705" s="49"/>
      <c r="Z705" s="49"/>
      <c r="AA705" s="49"/>
      <c r="AB705" s="49"/>
      <c r="AC705" s="49"/>
      <c r="AD705" s="49"/>
      <c r="AE705" s="49"/>
      <c r="AF705" s="49"/>
      <c r="AG705" s="49"/>
      <c r="AH705" s="49"/>
      <c r="AI705" s="48"/>
      <c r="AJ705" s="48"/>
      <c r="AK705" s="24"/>
      <c r="AL705" s="50"/>
      <c r="AM705" s="50"/>
      <c r="AN705" s="50"/>
      <c r="AO705" s="50"/>
      <c r="AP705" s="50"/>
      <c r="AQ705" s="50"/>
      <c r="AR705" s="50"/>
      <c r="AS705" s="50"/>
      <c r="AT705" s="51"/>
      <c r="AU705" s="51"/>
      <c r="AV705" s="51"/>
      <c r="AW705" s="51"/>
      <c r="AX705" s="50"/>
      <c r="AY705" s="50"/>
      <c r="AZ705" s="50"/>
      <c r="BA705" s="50"/>
      <c r="BB705" s="51"/>
      <c r="BC705" s="51"/>
      <c r="BD705" s="51"/>
      <c r="BE705" s="51"/>
      <c r="BF705" s="47"/>
      <c r="BG705" s="47"/>
      <c r="BH705" s="47"/>
      <c r="BI705" s="47"/>
      <c r="BJ705" s="47"/>
      <c r="BK705" s="47"/>
      <c r="BL705" s="47"/>
      <c r="BM705" s="47"/>
      <c r="BN705" s="47"/>
      <c r="BO705" s="47"/>
      <c r="BP705" s="47"/>
      <c r="BQ705" s="47"/>
      <c r="BR705" s="47"/>
      <c r="BS705" s="47"/>
      <c r="BT705" s="47"/>
    </row>
    <row r="706" ht="11.25" customHeight="1">
      <c r="A706" s="35" t="str">
        <f>'13all_company_profile'!A706</f>
        <v/>
      </c>
      <c r="B706" s="35" t="str">
        <f>'13all_company_profile'!B706</f>
        <v/>
      </c>
      <c r="C706" s="35" t="str">
        <f>'13all_company_profile'!C706</f>
        <v/>
      </c>
      <c r="D706" s="35" t="str">
        <f>'13all_company_profile'!D706</f>
        <v/>
      </c>
      <c r="E706" s="36" t="str">
        <f>'13all_company_profile'!E706</f>
        <v/>
      </c>
      <c r="F706" s="37" t="str">
        <f>'13all_company_profile'!F706</f>
        <v/>
      </c>
      <c r="G706" s="35" t="str">
        <f>'13all_company_profile'!G706</f>
        <v/>
      </c>
      <c r="H706" s="38" t="str">
        <f>'13all_company_profile'!H706</f>
        <v/>
      </c>
      <c r="I706" s="35" t="str">
        <f>'13all_company_profile'!I706</f>
        <v/>
      </c>
      <c r="J706" s="35" t="str">
        <f>'13all_company_profile'!J706</f>
        <v/>
      </c>
      <c r="K706" s="48"/>
      <c r="L706" s="48"/>
      <c r="M706" s="48"/>
      <c r="N706" s="48"/>
      <c r="O706" s="48"/>
      <c r="P706" s="48"/>
      <c r="Q706" s="48"/>
      <c r="R706" s="48"/>
      <c r="S706" s="48"/>
      <c r="T706" s="48"/>
      <c r="U706" s="48"/>
      <c r="V706" s="48"/>
      <c r="W706" s="49"/>
      <c r="X706" s="49"/>
      <c r="Y706" s="49"/>
      <c r="Z706" s="49"/>
      <c r="AA706" s="49"/>
      <c r="AB706" s="49"/>
      <c r="AC706" s="49"/>
      <c r="AD706" s="49"/>
      <c r="AE706" s="49"/>
      <c r="AF706" s="49"/>
      <c r="AG706" s="49"/>
      <c r="AH706" s="49"/>
      <c r="AI706" s="48"/>
      <c r="AJ706" s="48"/>
      <c r="AK706" s="24"/>
      <c r="AL706" s="50"/>
      <c r="AM706" s="50"/>
      <c r="AN706" s="50"/>
      <c r="AO706" s="50"/>
      <c r="AP706" s="50"/>
      <c r="AQ706" s="50"/>
      <c r="AR706" s="50"/>
      <c r="AS706" s="50"/>
      <c r="AT706" s="51"/>
      <c r="AU706" s="51"/>
      <c r="AV706" s="51"/>
      <c r="AW706" s="51"/>
      <c r="AX706" s="50"/>
      <c r="AY706" s="50"/>
      <c r="AZ706" s="50"/>
      <c r="BA706" s="50"/>
      <c r="BB706" s="51"/>
      <c r="BC706" s="51"/>
      <c r="BD706" s="51"/>
      <c r="BE706" s="51"/>
      <c r="BF706" s="47"/>
      <c r="BG706" s="47"/>
      <c r="BH706" s="47"/>
      <c r="BI706" s="47"/>
      <c r="BJ706" s="47"/>
      <c r="BK706" s="47"/>
      <c r="BL706" s="47"/>
      <c r="BM706" s="47"/>
      <c r="BN706" s="47"/>
      <c r="BO706" s="47"/>
      <c r="BP706" s="47"/>
      <c r="BQ706" s="47"/>
      <c r="BR706" s="47"/>
      <c r="BS706" s="47"/>
      <c r="BT706" s="47"/>
    </row>
    <row r="707" ht="11.25" customHeight="1">
      <c r="A707" s="35" t="str">
        <f>'13all_company_profile'!A707</f>
        <v/>
      </c>
      <c r="B707" s="35" t="str">
        <f>'13all_company_profile'!B707</f>
        <v/>
      </c>
      <c r="C707" s="35" t="str">
        <f>'13all_company_profile'!C707</f>
        <v/>
      </c>
      <c r="D707" s="35" t="str">
        <f>'13all_company_profile'!D707</f>
        <v/>
      </c>
      <c r="E707" s="36" t="str">
        <f>'13all_company_profile'!E707</f>
        <v/>
      </c>
      <c r="F707" s="37" t="str">
        <f>'13all_company_profile'!F707</f>
        <v/>
      </c>
      <c r="G707" s="35" t="str">
        <f>'13all_company_profile'!G707</f>
        <v/>
      </c>
      <c r="H707" s="38" t="str">
        <f>'13all_company_profile'!H707</f>
        <v/>
      </c>
      <c r="I707" s="35" t="str">
        <f>'13all_company_profile'!I707</f>
        <v/>
      </c>
      <c r="J707" s="35" t="str">
        <f>'13all_company_profile'!J707</f>
        <v/>
      </c>
      <c r="K707" s="48"/>
      <c r="L707" s="48"/>
      <c r="M707" s="48"/>
      <c r="N707" s="48"/>
      <c r="O707" s="48"/>
      <c r="P707" s="48"/>
      <c r="Q707" s="48"/>
      <c r="R707" s="48"/>
      <c r="S707" s="48"/>
      <c r="T707" s="48"/>
      <c r="U707" s="48"/>
      <c r="V707" s="48"/>
      <c r="W707" s="49"/>
      <c r="X707" s="49"/>
      <c r="Y707" s="49"/>
      <c r="Z707" s="49"/>
      <c r="AA707" s="49"/>
      <c r="AB707" s="49"/>
      <c r="AC707" s="49"/>
      <c r="AD707" s="49"/>
      <c r="AE707" s="49"/>
      <c r="AF707" s="49"/>
      <c r="AG707" s="49"/>
      <c r="AH707" s="49"/>
      <c r="AI707" s="48"/>
      <c r="AJ707" s="48"/>
      <c r="AK707" s="24"/>
      <c r="AL707" s="50"/>
      <c r="AM707" s="50"/>
      <c r="AN707" s="50"/>
      <c r="AO707" s="50"/>
      <c r="AP707" s="50"/>
      <c r="AQ707" s="50"/>
      <c r="AR707" s="50"/>
      <c r="AS707" s="50"/>
      <c r="AT707" s="51"/>
      <c r="AU707" s="51"/>
      <c r="AV707" s="51"/>
      <c r="AW707" s="51"/>
      <c r="AX707" s="50"/>
      <c r="AY707" s="50"/>
      <c r="AZ707" s="50"/>
      <c r="BA707" s="50"/>
      <c r="BB707" s="51"/>
      <c r="BC707" s="51"/>
      <c r="BD707" s="51"/>
      <c r="BE707" s="51"/>
      <c r="BF707" s="47"/>
      <c r="BG707" s="47"/>
      <c r="BH707" s="47"/>
      <c r="BI707" s="47"/>
      <c r="BJ707" s="47"/>
      <c r="BK707" s="47"/>
      <c r="BL707" s="47"/>
      <c r="BM707" s="47"/>
      <c r="BN707" s="47"/>
      <c r="BO707" s="47"/>
      <c r="BP707" s="47"/>
      <c r="BQ707" s="47"/>
      <c r="BR707" s="47"/>
      <c r="BS707" s="47"/>
      <c r="BT707" s="47"/>
    </row>
    <row r="708" ht="11.25" customHeight="1">
      <c r="A708" s="35" t="str">
        <f>'13all_company_profile'!A708</f>
        <v/>
      </c>
      <c r="B708" s="35" t="str">
        <f>'13all_company_profile'!B708</f>
        <v/>
      </c>
      <c r="C708" s="35" t="str">
        <f>'13all_company_profile'!C708</f>
        <v/>
      </c>
      <c r="D708" s="35" t="str">
        <f>'13all_company_profile'!D708</f>
        <v/>
      </c>
      <c r="E708" s="36" t="str">
        <f>'13all_company_profile'!E708</f>
        <v/>
      </c>
      <c r="F708" s="37" t="str">
        <f>'13all_company_profile'!F708</f>
        <v/>
      </c>
      <c r="G708" s="35" t="str">
        <f>'13all_company_profile'!G708</f>
        <v/>
      </c>
      <c r="H708" s="38" t="str">
        <f>'13all_company_profile'!H708</f>
        <v/>
      </c>
      <c r="I708" s="35" t="str">
        <f>'13all_company_profile'!I708</f>
        <v/>
      </c>
      <c r="J708" s="35" t="str">
        <f>'13all_company_profile'!J708</f>
        <v/>
      </c>
      <c r="K708" s="48"/>
      <c r="L708" s="48"/>
      <c r="M708" s="48"/>
      <c r="N708" s="48"/>
      <c r="O708" s="48"/>
      <c r="P708" s="48"/>
      <c r="Q708" s="48"/>
      <c r="R708" s="48"/>
      <c r="S708" s="48"/>
      <c r="T708" s="48"/>
      <c r="U708" s="48"/>
      <c r="V708" s="48"/>
      <c r="W708" s="49"/>
      <c r="X708" s="49"/>
      <c r="Y708" s="49"/>
      <c r="Z708" s="49"/>
      <c r="AA708" s="49"/>
      <c r="AB708" s="49"/>
      <c r="AC708" s="49"/>
      <c r="AD708" s="49"/>
      <c r="AE708" s="49"/>
      <c r="AF708" s="49"/>
      <c r="AG708" s="49"/>
      <c r="AH708" s="49"/>
      <c r="AI708" s="48"/>
      <c r="AJ708" s="48"/>
      <c r="AK708" s="24"/>
      <c r="AL708" s="50"/>
      <c r="AM708" s="50"/>
      <c r="AN708" s="50"/>
      <c r="AO708" s="50"/>
      <c r="AP708" s="50"/>
      <c r="AQ708" s="50"/>
      <c r="AR708" s="50"/>
      <c r="AS708" s="50"/>
      <c r="AT708" s="51"/>
      <c r="AU708" s="51"/>
      <c r="AV708" s="51"/>
      <c r="AW708" s="51"/>
      <c r="AX708" s="50"/>
      <c r="AY708" s="50"/>
      <c r="AZ708" s="50"/>
      <c r="BA708" s="50"/>
      <c r="BB708" s="51"/>
      <c r="BC708" s="51"/>
      <c r="BD708" s="51"/>
      <c r="BE708" s="51"/>
      <c r="BF708" s="47"/>
      <c r="BG708" s="47"/>
      <c r="BH708" s="47"/>
      <c r="BI708" s="47"/>
      <c r="BJ708" s="47"/>
      <c r="BK708" s="47"/>
      <c r="BL708" s="47"/>
      <c r="BM708" s="47"/>
      <c r="BN708" s="47"/>
      <c r="BO708" s="47"/>
      <c r="BP708" s="47"/>
      <c r="BQ708" s="47"/>
      <c r="BR708" s="47"/>
      <c r="BS708" s="47"/>
      <c r="BT708" s="47"/>
    </row>
    <row r="709" ht="11.25" customHeight="1">
      <c r="A709" s="35" t="str">
        <f>'13all_company_profile'!A709</f>
        <v/>
      </c>
      <c r="B709" s="35" t="str">
        <f>'13all_company_profile'!B709</f>
        <v/>
      </c>
      <c r="C709" s="35" t="str">
        <f>'13all_company_profile'!C709</f>
        <v/>
      </c>
      <c r="D709" s="35" t="str">
        <f>'13all_company_profile'!D709</f>
        <v/>
      </c>
      <c r="E709" s="36" t="str">
        <f>'13all_company_profile'!E709</f>
        <v/>
      </c>
      <c r="F709" s="37" t="str">
        <f>'13all_company_profile'!F709</f>
        <v/>
      </c>
      <c r="G709" s="35" t="str">
        <f>'13all_company_profile'!G709</f>
        <v/>
      </c>
      <c r="H709" s="38" t="str">
        <f>'13all_company_profile'!H709</f>
        <v/>
      </c>
      <c r="I709" s="35" t="str">
        <f>'13all_company_profile'!I709</f>
        <v/>
      </c>
      <c r="J709" s="35" t="str">
        <f>'13all_company_profile'!J709</f>
        <v/>
      </c>
      <c r="K709" s="48"/>
      <c r="L709" s="48"/>
      <c r="M709" s="48"/>
      <c r="N709" s="48"/>
      <c r="O709" s="48"/>
      <c r="P709" s="48"/>
      <c r="Q709" s="48"/>
      <c r="R709" s="48"/>
      <c r="S709" s="48"/>
      <c r="T709" s="48"/>
      <c r="U709" s="48"/>
      <c r="V709" s="48"/>
      <c r="W709" s="49"/>
      <c r="X709" s="49"/>
      <c r="Y709" s="49"/>
      <c r="Z709" s="49"/>
      <c r="AA709" s="49"/>
      <c r="AB709" s="49"/>
      <c r="AC709" s="49"/>
      <c r="AD709" s="49"/>
      <c r="AE709" s="49"/>
      <c r="AF709" s="49"/>
      <c r="AG709" s="49"/>
      <c r="AH709" s="49"/>
      <c r="AI709" s="48"/>
      <c r="AJ709" s="48"/>
      <c r="AK709" s="24"/>
      <c r="AL709" s="50"/>
      <c r="AM709" s="50"/>
      <c r="AN709" s="50"/>
      <c r="AO709" s="50"/>
      <c r="AP709" s="50"/>
      <c r="AQ709" s="50"/>
      <c r="AR709" s="50"/>
      <c r="AS709" s="50"/>
      <c r="AT709" s="51"/>
      <c r="AU709" s="51"/>
      <c r="AV709" s="51"/>
      <c r="AW709" s="51"/>
      <c r="AX709" s="50"/>
      <c r="AY709" s="50"/>
      <c r="AZ709" s="50"/>
      <c r="BA709" s="50"/>
      <c r="BB709" s="51"/>
      <c r="BC709" s="51"/>
      <c r="BD709" s="51"/>
      <c r="BE709" s="51"/>
      <c r="BF709" s="47"/>
      <c r="BG709" s="47"/>
      <c r="BH709" s="47"/>
      <c r="BI709" s="47"/>
      <c r="BJ709" s="47"/>
      <c r="BK709" s="47"/>
      <c r="BL709" s="47"/>
      <c r="BM709" s="47"/>
      <c r="BN709" s="47"/>
      <c r="BO709" s="47"/>
      <c r="BP709" s="47"/>
      <c r="BQ709" s="47"/>
      <c r="BR709" s="47"/>
      <c r="BS709" s="47"/>
      <c r="BT709" s="47"/>
    </row>
    <row r="710" ht="11.25" customHeight="1">
      <c r="A710" s="35" t="str">
        <f>'13all_company_profile'!A710</f>
        <v/>
      </c>
      <c r="B710" s="35" t="str">
        <f>'13all_company_profile'!B710</f>
        <v/>
      </c>
      <c r="C710" s="35" t="str">
        <f>'13all_company_profile'!C710</f>
        <v/>
      </c>
      <c r="D710" s="35" t="str">
        <f>'13all_company_profile'!D710</f>
        <v/>
      </c>
      <c r="E710" s="36" t="str">
        <f>'13all_company_profile'!E710</f>
        <v/>
      </c>
      <c r="F710" s="37" t="str">
        <f>'13all_company_profile'!F710</f>
        <v/>
      </c>
      <c r="G710" s="35" t="str">
        <f>'13all_company_profile'!G710</f>
        <v/>
      </c>
      <c r="H710" s="38" t="str">
        <f>'13all_company_profile'!H710</f>
        <v/>
      </c>
      <c r="I710" s="35" t="str">
        <f>'13all_company_profile'!I710</f>
        <v/>
      </c>
      <c r="J710" s="35" t="str">
        <f>'13all_company_profile'!J710</f>
        <v/>
      </c>
      <c r="K710" s="48"/>
      <c r="L710" s="48"/>
      <c r="M710" s="48"/>
      <c r="N710" s="48"/>
      <c r="O710" s="48"/>
      <c r="P710" s="48"/>
      <c r="Q710" s="48"/>
      <c r="R710" s="48"/>
      <c r="S710" s="48"/>
      <c r="T710" s="48"/>
      <c r="U710" s="48"/>
      <c r="V710" s="48"/>
      <c r="W710" s="49"/>
      <c r="X710" s="49"/>
      <c r="Y710" s="49"/>
      <c r="Z710" s="49"/>
      <c r="AA710" s="49"/>
      <c r="AB710" s="49"/>
      <c r="AC710" s="49"/>
      <c r="AD710" s="49"/>
      <c r="AE710" s="49"/>
      <c r="AF710" s="49"/>
      <c r="AG710" s="49"/>
      <c r="AH710" s="49"/>
      <c r="AI710" s="48"/>
      <c r="AJ710" s="48"/>
      <c r="AK710" s="24"/>
      <c r="AL710" s="50"/>
      <c r="AM710" s="50"/>
      <c r="AN710" s="50"/>
      <c r="AO710" s="50"/>
      <c r="AP710" s="50"/>
      <c r="AQ710" s="50"/>
      <c r="AR710" s="50"/>
      <c r="AS710" s="50"/>
      <c r="AT710" s="51"/>
      <c r="AU710" s="51"/>
      <c r="AV710" s="51"/>
      <c r="AW710" s="51"/>
      <c r="AX710" s="50"/>
      <c r="AY710" s="50"/>
      <c r="AZ710" s="50"/>
      <c r="BA710" s="50"/>
      <c r="BB710" s="51"/>
      <c r="BC710" s="51"/>
      <c r="BD710" s="51"/>
      <c r="BE710" s="51"/>
      <c r="BF710" s="47"/>
      <c r="BG710" s="47"/>
      <c r="BH710" s="47"/>
      <c r="BI710" s="47"/>
      <c r="BJ710" s="47"/>
      <c r="BK710" s="47"/>
      <c r="BL710" s="47"/>
      <c r="BM710" s="47"/>
      <c r="BN710" s="47"/>
      <c r="BO710" s="47"/>
      <c r="BP710" s="47"/>
      <c r="BQ710" s="47"/>
      <c r="BR710" s="47"/>
      <c r="BS710" s="47"/>
      <c r="BT710" s="47"/>
    </row>
    <row r="711" ht="11.25" customHeight="1">
      <c r="A711" s="35" t="str">
        <f>'13all_company_profile'!A711</f>
        <v/>
      </c>
      <c r="B711" s="35" t="str">
        <f>'13all_company_profile'!B711</f>
        <v/>
      </c>
      <c r="C711" s="35" t="str">
        <f>'13all_company_profile'!C711</f>
        <v/>
      </c>
      <c r="D711" s="35" t="str">
        <f>'13all_company_profile'!D711</f>
        <v/>
      </c>
      <c r="E711" s="36" t="str">
        <f>'13all_company_profile'!E711</f>
        <v/>
      </c>
      <c r="F711" s="37" t="str">
        <f>'13all_company_profile'!F711</f>
        <v/>
      </c>
      <c r="G711" s="35" t="str">
        <f>'13all_company_profile'!G711</f>
        <v/>
      </c>
      <c r="H711" s="38" t="str">
        <f>'13all_company_profile'!H711</f>
        <v/>
      </c>
      <c r="I711" s="35" t="str">
        <f>'13all_company_profile'!I711</f>
        <v/>
      </c>
      <c r="J711" s="35" t="str">
        <f>'13all_company_profile'!J711</f>
        <v/>
      </c>
      <c r="K711" s="48"/>
      <c r="L711" s="48"/>
      <c r="M711" s="48"/>
      <c r="N711" s="48"/>
      <c r="O711" s="48"/>
      <c r="P711" s="48"/>
      <c r="Q711" s="48"/>
      <c r="R711" s="48"/>
      <c r="S711" s="48"/>
      <c r="T711" s="48"/>
      <c r="U711" s="48"/>
      <c r="V711" s="48"/>
      <c r="W711" s="49"/>
      <c r="X711" s="49"/>
      <c r="Y711" s="49"/>
      <c r="Z711" s="49"/>
      <c r="AA711" s="49"/>
      <c r="AB711" s="49"/>
      <c r="AC711" s="49"/>
      <c r="AD711" s="49"/>
      <c r="AE711" s="49"/>
      <c r="AF711" s="49"/>
      <c r="AG711" s="49"/>
      <c r="AH711" s="49"/>
      <c r="AI711" s="48"/>
      <c r="AJ711" s="48"/>
      <c r="AK711" s="24"/>
      <c r="AL711" s="50"/>
      <c r="AM711" s="50"/>
      <c r="AN711" s="50"/>
      <c r="AO711" s="50"/>
      <c r="AP711" s="50"/>
      <c r="AQ711" s="50"/>
      <c r="AR711" s="50"/>
      <c r="AS711" s="50"/>
      <c r="AT711" s="51"/>
      <c r="AU711" s="51"/>
      <c r="AV711" s="51"/>
      <c r="AW711" s="51"/>
      <c r="AX711" s="50"/>
      <c r="AY711" s="50"/>
      <c r="AZ711" s="50"/>
      <c r="BA711" s="50"/>
      <c r="BB711" s="51"/>
      <c r="BC711" s="51"/>
      <c r="BD711" s="51"/>
      <c r="BE711" s="51"/>
      <c r="BF711" s="47"/>
      <c r="BG711" s="47"/>
      <c r="BH711" s="47"/>
      <c r="BI711" s="47"/>
      <c r="BJ711" s="47"/>
      <c r="BK711" s="47"/>
      <c r="BL711" s="47"/>
      <c r="BM711" s="47"/>
      <c r="BN711" s="47"/>
      <c r="BO711" s="47"/>
      <c r="BP711" s="47"/>
      <c r="BQ711" s="47"/>
      <c r="BR711" s="47"/>
      <c r="BS711" s="47"/>
      <c r="BT711" s="47"/>
    </row>
    <row r="712" ht="11.25" customHeight="1">
      <c r="A712" s="35" t="str">
        <f>'13all_company_profile'!A712</f>
        <v/>
      </c>
      <c r="B712" s="35" t="str">
        <f>'13all_company_profile'!B712</f>
        <v/>
      </c>
      <c r="C712" s="35" t="str">
        <f>'13all_company_profile'!C712</f>
        <v/>
      </c>
      <c r="D712" s="35" t="str">
        <f>'13all_company_profile'!D712</f>
        <v/>
      </c>
      <c r="E712" s="36" t="str">
        <f>'13all_company_profile'!E712</f>
        <v/>
      </c>
      <c r="F712" s="37" t="str">
        <f>'13all_company_profile'!F712</f>
        <v/>
      </c>
      <c r="G712" s="35" t="str">
        <f>'13all_company_profile'!G712</f>
        <v/>
      </c>
      <c r="H712" s="38" t="str">
        <f>'13all_company_profile'!H712</f>
        <v/>
      </c>
      <c r="I712" s="35" t="str">
        <f>'13all_company_profile'!I712</f>
        <v/>
      </c>
      <c r="J712" s="35" t="str">
        <f>'13all_company_profile'!J712</f>
        <v/>
      </c>
      <c r="K712" s="48"/>
      <c r="L712" s="48"/>
      <c r="M712" s="48"/>
      <c r="N712" s="48"/>
      <c r="O712" s="48"/>
      <c r="P712" s="48"/>
      <c r="Q712" s="48"/>
      <c r="R712" s="48"/>
      <c r="S712" s="48"/>
      <c r="T712" s="48"/>
      <c r="U712" s="48"/>
      <c r="V712" s="48"/>
      <c r="W712" s="49"/>
      <c r="X712" s="49"/>
      <c r="Y712" s="49"/>
      <c r="Z712" s="49"/>
      <c r="AA712" s="49"/>
      <c r="AB712" s="49"/>
      <c r="AC712" s="49"/>
      <c r="AD712" s="49"/>
      <c r="AE712" s="49"/>
      <c r="AF712" s="49"/>
      <c r="AG712" s="49"/>
      <c r="AH712" s="49"/>
      <c r="AI712" s="48"/>
      <c r="AJ712" s="48"/>
      <c r="AK712" s="24"/>
      <c r="AL712" s="50"/>
      <c r="AM712" s="50"/>
      <c r="AN712" s="50"/>
      <c r="AO712" s="50"/>
      <c r="AP712" s="50"/>
      <c r="AQ712" s="50"/>
      <c r="AR712" s="50"/>
      <c r="AS712" s="50"/>
      <c r="AT712" s="51"/>
      <c r="AU712" s="51"/>
      <c r="AV712" s="51"/>
      <c r="AW712" s="51"/>
      <c r="AX712" s="50"/>
      <c r="AY712" s="50"/>
      <c r="AZ712" s="50"/>
      <c r="BA712" s="50"/>
      <c r="BB712" s="51"/>
      <c r="BC712" s="51"/>
      <c r="BD712" s="51"/>
      <c r="BE712" s="51"/>
      <c r="BF712" s="47"/>
      <c r="BG712" s="47"/>
      <c r="BH712" s="47"/>
      <c r="BI712" s="47"/>
      <c r="BJ712" s="47"/>
      <c r="BK712" s="47"/>
      <c r="BL712" s="47"/>
      <c r="BM712" s="47"/>
      <c r="BN712" s="47"/>
      <c r="BO712" s="47"/>
      <c r="BP712" s="47"/>
      <c r="BQ712" s="47"/>
      <c r="BR712" s="47"/>
      <c r="BS712" s="47"/>
      <c r="BT712" s="47"/>
    </row>
    <row r="713" ht="11.25" customHeight="1">
      <c r="A713" s="35" t="str">
        <f>'13all_company_profile'!A713</f>
        <v/>
      </c>
      <c r="B713" s="35" t="str">
        <f>'13all_company_profile'!B713</f>
        <v/>
      </c>
      <c r="C713" s="35" t="str">
        <f>'13all_company_profile'!C713</f>
        <v/>
      </c>
      <c r="D713" s="35" t="str">
        <f>'13all_company_profile'!D713</f>
        <v/>
      </c>
      <c r="E713" s="36" t="str">
        <f>'13all_company_profile'!E713</f>
        <v/>
      </c>
      <c r="F713" s="37" t="str">
        <f>'13all_company_profile'!F713</f>
        <v/>
      </c>
      <c r="G713" s="35" t="str">
        <f>'13all_company_profile'!G713</f>
        <v/>
      </c>
      <c r="H713" s="38" t="str">
        <f>'13all_company_profile'!H713</f>
        <v/>
      </c>
      <c r="I713" s="35" t="str">
        <f>'13all_company_profile'!I713</f>
        <v/>
      </c>
      <c r="J713" s="35" t="str">
        <f>'13all_company_profile'!J713</f>
        <v/>
      </c>
      <c r="K713" s="48"/>
      <c r="L713" s="48"/>
      <c r="M713" s="48"/>
      <c r="N713" s="48"/>
      <c r="O713" s="48"/>
      <c r="P713" s="48"/>
      <c r="Q713" s="48"/>
      <c r="R713" s="48"/>
      <c r="S713" s="48"/>
      <c r="T713" s="48"/>
      <c r="U713" s="48"/>
      <c r="V713" s="48"/>
      <c r="W713" s="49"/>
      <c r="X713" s="49"/>
      <c r="Y713" s="49"/>
      <c r="Z713" s="49"/>
      <c r="AA713" s="49"/>
      <c r="AB713" s="49"/>
      <c r="AC713" s="49"/>
      <c r="AD713" s="49"/>
      <c r="AE713" s="49"/>
      <c r="AF713" s="49"/>
      <c r="AG713" s="49"/>
      <c r="AH713" s="49"/>
      <c r="AI713" s="48"/>
      <c r="AJ713" s="48"/>
      <c r="AK713" s="24"/>
      <c r="AL713" s="50"/>
      <c r="AM713" s="50"/>
      <c r="AN713" s="50"/>
      <c r="AO713" s="50"/>
      <c r="AP713" s="50"/>
      <c r="AQ713" s="50"/>
      <c r="AR713" s="50"/>
      <c r="AS713" s="50"/>
      <c r="AT713" s="51"/>
      <c r="AU713" s="51"/>
      <c r="AV713" s="51"/>
      <c r="AW713" s="51"/>
      <c r="AX713" s="50"/>
      <c r="AY713" s="50"/>
      <c r="AZ713" s="50"/>
      <c r="BA713" s="50"/>
      <c r="BB713" s="51"/>
      <c r="BC713" s="51"/>
      <c r="BD713" s="51"/>
      <c r="BE713" s="51"/>
      <c r="BF713" s="47"/>
      <c r="BG713" s="47"/>
      <c r="BH713" s="47"/>
      <c r="BI713" s="47"/>
      <c r="BJ713" s="47"/>
      <c r="BK713" s="47"/>
      <c r="BL713" s="47"/>
      <c r="BM713" s="47"/>
      <c r="BN713" s="47"/>
      <c r="BO713" s="47"/>
      <c r="BP713" s="47"/>
      <c r="BQ713" s="47"/>
      <c r="BR713" s="47"/>
      <c r="BS713" s="47"/>
      <c r="BT713" s="47"/>
    </row>
    <row r="714" ht="11.25" customHeight="1">
      <c r="A714" s="35" t="str">
        <f>'13all_company_profile'!A714</f>
        <v/>
      </c>
      <c r="B714" s="35" t="str">
        <f>'13all_company_profile'!B714</f>
        <v/>
      </c>
      <c r="C714" s="35" t="str">
        <f>'13all_company_profile'!C714</f>
        <v/>
      </c>
      <c r="D714" s="35" t="str">
        <f>'13all_company_profile'!D714</f>
        <v/>
      </c>
      <c r="E714" s="36" t="str">
        <f>'13all_company_profile'!E714</f>
        <v/>
      </c>
      <c r="F714" s="37" t="str">
        <f>'13all_company_profile'!F714</f>
        <v/>
      </c>
      <c r="G714" s="35" t="str">
        <f>'13all_company_profile'!G714</f>
        <v/>
      </c>
      <c r="H714" s="38" t="str">
        <f>'13all_company_profile'!H714</f>
        <v/>
      </c>
      <c r="I714" s="35" t="str">
        <f>'13all_company_profile'!I714</f>
        <v/>
      </c>
      <c r="J714" s="35" t="str">
        <f>'13all_company_profile'!J714</f>
        <v/>
      </c>
      <c r="K714" s="48"/>
      <c r="L714" s="48"/>
      <c r="M714" s="48"/>
      <c r="N714" s="48"/>
      <c r="O714" s="48"/>
      <c r="P714" s="48"/>
      <c r="Q714" s="48"/>
      <c r="R714" s="48"/>
      <c r="S714" s="48"/>
      <c r="T714" s="48"/>
      <c r="U714" s="48"/>
      <c r="V714" s="48"/>
      <c r="W714" s="49"/>
      <c r="X714" s="49"/>
      <c r="Y714" s="49"/>
      <c r="Z714" s="49"/>
      <c r="AA714" s="49"/>
      <c r="AB714" s="49"/>
      <c r="AC714" s="49"/>
      <c r="AD714" s="49"/>
      <c r="AE714" s="49"/>
      <c r="AF714" s="49"/>
      <c r="AG714" s="49"/>
      <c r="AH714" s="49"/>
      <c r="AI714" s="48"/>
      <c r="AJ714" s="48"/>
      <c r="AK714" s="24"/>
      <c r="AL714" s="50"/>
      <c r="AM714" s="50"/>
      <c r="AN714" s="50"/>
      <c r="AO714" s="50"/>
      <c r="AP714" s="50"/>
      <c r="AQ714" s="50"/>
      <c r="AR714" s="50"/>
      <c r="AS714" s="50"/>
      <c r="AT714" s="51"/>
      <c r="AU714" s="51"/>
      <c r="AV714" s="51"/>
      <c r="AW714" s="51"/>
      <c r="AX714" s="50"/>
      <c r="AY714" s="50"/>
      <c r="AZ714" s="50"/>
      <c r="BA714" s="50"/>
      <c r="BB714" s="51"/>
      <c r="BC714" s="51"/>
      <c r="BD714" s="51"/>
      <c r="BE714" s="51"/>
      <c r="BF714" s="47"/>
      <c r="BG714" s="47"/>
      <c r="BH714" s="47"/>
      <c r="BI714" s="47"/>
      <c r="BJ714" s="47"/>
      <c r="BK714" s="47"/>
      <c r="BL714" s="47"/>
      <c r="BM714" s="47"/>
      <c r="BN714" s="47"/>
      <c r="BO714" s="47"/>
      <c r="BP714" s="47"/>
      <c r="BQ714" s="47"/>
      <c r="BR714" s="47"/>
      <c r="BS714" s="47"/>
      <c r="BT714" s="47"/>
    </row>
    <row r="715">
      <c r="A715" s="24"/>
      <c r="B715" s="48"/>
      <c r="C715" s="49"/>
      <c r="D715" s="24"/>
      <c r="E715" s="52"/>
      <c r="F715" s="53"/>
      <c r="G715" s="48"/>
      <c r="H715" s="49"/>
      <c r="I715" s="49"/>
      <c r="J715" s="48"/>
      <c r="K715" s="48"/>
      <c r="L715" s="48"/>
      <c r="M715" s="48"/>
      <c r="N715" s="48"/>
      <c r="O715" s="48"/>
      <c r="P715" s="48"/>
      <c r="Q715" s="48"/>
      <c r="R715" s="48"/>
      <c r="S715" s="48"/>
      <c r="T715" s="48"/>
      <c r="U715" s="48"/>
      <c r="V715" s="48"/>
      <c r="W715" s="49"/>
      <c r="X715" s="49"/>
      <c r="Y715" s="49"/>
      <c r="Z715" s="49"/>
      <c r="AA715" s="49"/>
      <c r="AB715" s="49"/>
      <c r="AC715" s="49"/>
      <c r="AD715" s="49"/>
      <c r="AE715" s="49"/>
      <c r="AF715" s="49"/>
      <c r="AG715" s="49"/>
      <c r="AH715" s="49"/>
      <c r="AI715" s="48"/>
      <c r="AJ715" s="48"/>
      <c r="AK715" s="24"/>
      <c r="AL715" s="50"/>
      <c r="AM715" s="50"/>
      <c r="AN715" s="50"/>
      <c r="AO715" s="50"/>
      <c r="AP715" s="50"/>
      <c r="AQ715" s="50"/>
      <c r="AR715" s="50"/>
      <c r="AS715" s="50"/>
      <c r="AT715" s="51"/>
      <c r="AU715" s="51"/>
      <c r="AV715" s="51"/>
      <c r="AW715" s="51"/>
      <c r="AX715" s="50"/>
      <c r="AY715" s="50"/>
      <c r="AZ715" s="50"/>
      <c r="BA715" s="50"/>
      <c r="BB715" s="51"/>
      <c r="BC715" s="51"/>
      <c r="BD715" s="51"/>
      <c r="BE715" s="51"/>
      <c r="BF715" s="47"/>
      <c r="BG715" s="47"/>
      <c r="BH715" s="47"/>
      <c r="BI715" s="47"/>
      <c r="BJ715" s="47"/>
      <c r="BK715" s="47"/>
      <c r="BL715" s="47"/>
      <c r="BM715" s="47"/>
      <c r="BN715" s="47"/>
      <c r="BO715" s="47"/>
      <c r="BP715" s="47"/>
      <c r="BQ715" s="47"/>
      <c r="BR715" s="47"/>
      <c r="BS715" s="47"/>
      <c r="BT715" s="47"/>
    </row>
    <row r="716">
      <c r="A716" s="24"/>
      <c r="B716" s="48"/>
      <c r="C716" s="49"/>
      <c r="D716" s="24"/>
      <c r="E716" s="52"/>
      <c r="F716" s="53"/>
      <c r="G716" s="48"/>
      <c r="H716" s="49"/>
      <c r="I716" s="49"/>
      <c r="J716" s="48"/>
      <c r="K716" s="48"/>
      <c r="L716" s="48"/>
      <c r="M716" s="48"/>
      <c r="N716" s="48"/>
      <c r="O716" s="48"/>
      <c r="P716" s="48"/>
      <c r="Q716" s="48"/>
      <c r="R716" s="48"/>
      <c r="S716" s="48"/>
      <c r="T716" s="48"/>
      <c r="U716" s="48"/>
      <c r="V716" s="48"/>
      <c r="W716" s="49"/>
      <c r="X716" s="49"/>
      <c r="Y716" s="49"/>
      <c r="Z716" s="49"/>
      <c r="AA716" s="49"/>
      <c r="AB716" s="49"/>
      <c r="AC716" s="49"/>
      <c r="AD716" s="49"/>
      <c r="AE716" s="49"/>
      <c r="AF716" s="49"/>
      <c r="AG716" s="49"/>
      <c r="AH716" s="49"/>
      <c r="AI716" s="48"/>
      <c r="AJ716" s="48"/>
      <c r="AK716" s="24"/>
      <c r="AL716" s="50"/>
      <c r="AM716" s="50"/>
      <c r="AN716" s="50"/>
      <c r="AO716" s="50"/>
      <c r="AP716" s="50"/>
      <c r="AQ716" s="50"/>
      <c r="AR716" s="50"/>
      <c r="AS716" s="50"/>
      <c r="AT716" s="51"/>
      <c r="AU716" s="51"/>
      <c r="AV716" s="51"/>
      <c r="AW716" s="51"/>
      <c r="AX716" s="50"/>
      <c r="AY716" s="50"/>
      <c r="AZ716" s="50"/>
      <c r="BA716" s="50"/>
      <c r="BB716" s="51"/>
      <c r="BC716" s="51"/>
      <c r="BD716" s="51"/>
      <c r="BE716" s="51"/>
      <c r="BF716" s="47"/>
      <c r="BG716" s="47"/>
      <c r="BH716" s="47"/>
      <c r="BI716" s="47"/>
      <c r="BJ716" s="47"/>
      <c r="BK716" s="47"/>
      <c r="BL716" s="47"/>
      <c r="BM716" s="47"/>
      <c r="BN716" s="47"/>
      <c r="BO716" s="47"/>
      <c r="BP716" s="47"/>
      <c r="BQ716" s="47"/>
      <c r="BR716" s="47"/>
      <c r="BS716" s="47"/>
      <c r="BT716" s="47"/>
    </row>
    <row r="717">
      <c r="A717" s="24"/>
      <c r="B717" s="48"/>
      <c r="C717" s="49"/>
      <c r="D717" s="24"/>
      <c r="E717" s="52"/>
      <c r="F717" s="53"/>
      <c r="G717" s="48"/>
      <c r="H717" s="49"/>
      <c r="I717" s="49"/>
      <c r="J717" s="48"/>
      <c r="K717" s="48"/>
      <c r="L717" s="48"/>
      <c r="M717" s="48"/>
      <c r="N717" s="48"/>
      <c r="O717" s="48"/>
      <c r="P717" s="48"/>
      <c r="Q717" s="48"/>
      <c r="R717" s="48"/>
      <c r="S717" s="48"/>
      <c r="T717" s="48"/>
      <c r="U717" s="48"/>
      <c r="V717" s="48"/>
      <c r="W717" s="49"/>
      <c r="X717" s="49"/>
      <c r="Y717" s="49"/>
      <c r="Z717" s="49"/>
      <c r="AA717" s="49"/>
      <c r="AB717" s="49"/>
      <c r="AC717" s="49"/>
      <c r="AD717" s="49"/>
      <c r="AE717" s="49"/>
      <c r="AF717" s="49"/>
      <c r="AG717" s="49"/>
      <c r="AH717" s="49"/>
      <c r="AI717" s="48"/>
      <c r="AJ717" s="48"/>
      <c r="AK717" s="24"/>
      <c r="AL717" s="50"/>
      <c r="AM717" s="50"/>
      <c r="AN717" s="50"/>
      <c r="AO717" s="50"/>
      <c r="AP717" s="50"/>
      <c r="AQ717" s="50"/>
      <c r="AR717" s="50"/>
      <c r="AS717" s="50"/>
      <c r="AT717" s="51"/>
      <c r="AU717" s="51"/>
      <c r="AV717" s="51"/>
      <c r="AW717" s="51"/>
      <c r="AX717" s="50"/>
      <c r="AY717" s="50"/>
      <c r="AZ717" s="50"/>
      <c r="BA717" s="50"/>
      <c r="BB717" s="51"/>
      <c r="BC717" s="51"/>
      <c r="BD717" s="51"/>
      <c r="BE717" s="51"/>
      <c r="BF717" s="47"/>
      <c r="BG717" s="47"/>
      <c r="BH717" s="47"/>
      <c r="BI717" s="47"/>
      <c r="BJ717" s="47"/>
      <c r="BK717" s="47"/>
      <c r="BL717" s="47"/>
      <c r="BM717" s="47"/>
      <c r="BN717" s="47"/>
      <c r="BO717" s="47"/>
      <c r="BP717" s="47"/>
      <c r="BQ717" s="47"/>
      <c r="BR717" s="47"/>
      <c r="BS717" s="47"/>
      <c r="BT717" s="47"/>
    </row>
    <row r="718">
      <c r="A718" s="24"/>
      <c r="B718" s="48"/>
      <c r="C718" s="49"/>
      <c r="D718" s="24"/>
      <c r="E718" s="52"/>
      <c r="F718" s="53"/>
      <c r="G718" s="48"/>
      <c r="H718" s="49"/>
      <c r="I718" s="49"/>
      <c r="J718" s="48"/>
      <c r="K718" s="48"/>
      <c r="L718" s="48"/>
      <c r="M718" s="48"/>
      <c r="N718" s="48"/>
      <c r="O718" s="48"/>
      <c r="P718" s="48"/>
      <c r="Q718" s="48"/>
      <c r="R718" s="48"/>
      <c r="S718" s="48"/>
      <c r="T718" s="48"/>
      <c r="U718" s="48"/>
      <c r="V718" s="48"/>
      <c r="W718" s="49"/>
      <c r="X718" s="49"/>
      <c r="Y718" s="49"/>
      <c r="Z718" s="49"/>
      <c r="AA718" s="49"/>
      <c r="AB718" s="49"/>
      <c r="AC718" s="49"/>
      <c r="AD718" s="49"/>
      <c r="AE718" s="49"/>
      <c r="AF718" s="49"/>
      <c r="AG718" s="49"/>
      <c r="AH718" s="49"/>
      <c r="AI718" s="48"/>
      <c r="AJ718" s="48"/>
      <c r="AK718" s="24"/>
      <c r="AL718" s="50"/>
      <c r="AM718" s="50"/>
      <c r="AN718" s="50"/>
      <c r="AO718" s="50"/>
      <c r="AP718" s="50"/>
      <c r="AQ718" s="50"/>
      <c r="AR718" s="50"/>
      <c r="AS718" s="50"/>
      <c r="AT718" s="51"/>
      <c r="AU718" s="51"/>
      <c r="AV718" s="51"/>
      <c r="AW718" s="51"/>
      <c r="AX718" s="50"/>
      <c r="AY718" s="50"/>
      <c r="AZ718" s="50"/>
      <c r="BA718" s="50"/>
      <c r="BB718" s="51"/>
      <c r="BC718" s="51"/>
      <c r="BD718" s="51"/>
      <c r="BE718" s="51"/>
      <c r="BF718" s="47"/>
      <c r="BG718" s="47"/>
      <c r="BH718" s="47"/>
      <c r="BI718" s="47"/>
      <c r="BJ718" s="47"/>
      <c r="BK718" s="47"/>
      <c r="BL718" s="47"/>
      <c r="BM718" s="47"/>
      <c r="BN718" s="47"/>
      <c r="BO718" s="47"/>
      <c r="BP718" s="47"/>
      <c r="BQ718" s="47"/>
      <c r="BR718" s="47"/>
      <c r="BS718" s="47"/>
      <c r="BT718" s="47"/>
    </row>
    <row r="719">
      <c r="A719" s="24"/>
      <c r="B719" s="48"/>
      <c r="C719" s="49"/>
      <c r="D719" s="24"/>
      <c r="E719" s="52"/>
      <c r="F719" s="53"/>
      <c r="G719" s="48"/>
      <c r="H719" s="49"/>
      <c r="I719" s="49"/>
      <c r="J719" s="48"/>
      <c r="K719" s="48"/>
      <c r="L719" s="48"/>
      <c r="M719" s="48"/>
      <c r="N719" s="48"/>
      <c r="O719" s="48"/>
      <c r="P719" s="48"/>
      <c r="Q719" s="48"/>
      <c r="R719" s="48"/>
      <c r="S719" s="48"/>
      <c r="T719" s="48"/>
      <c r="U719" s="48"/>
      <c r="V719" s="48"/>
      <c r="W719" s="49"/>
      <c r="X719" s="49"/>
      <c r="Y719" s="49"/>
      <c r="Z719" s="49"/>
      <c r="AA719" s="49"/>
      <c r="AB719" s="49"/>
      <c r="AC719" s="49"/>
      <c r="AD719" s="49"/>
      <c r="AE719" s="49"/>
      <c r="AF719" s="49"/>
      <c r="AG719" s="49"/>
      <c r="AH719" s="49"/>
      <c r="AI719" s="48"/>
      <c r="AJ719" s="48"/>
      <c r="AK719" s="24"/>
      <c r="AL719" s="50"/>
      <c r="AM719" s="50"/>
      <c r="AN719" s="50"/>
      <c r="AO719" s="50"/>
      <c r="AP719" s="50"/>
      <c r="AQ719" s="50"/>
      <c r="AR719" s="50"/>
      <c r="AS719" s="50"/>
      <c r="AT719" s="51"/>
      <c r="AU719" s="51"/>
      <c r="AV719" s="51"/>
      <c r="AW719" s="51"/>
      <c r="AX719" s="50"/>
      <c r="AY719" s="50"/>
      <c r="AZ719" s="50"/>
      <c r="BA719" s="50"/>
      <c r="BB719" s="51"/>
      <c r="BC719" s="51"/>
      <c r="BD719" s="51"/>
      <c r="BE719" s="51"/>
      <c r="BF719" s="47"/>
      <c r="BG719" s="47"/>
      <c r="BH719" s="47"/>
      <c r="BI719" s="47"/>
      <c r="BJ719" s="47"/>
      <c r="BK719" s="47"/>
      <c r="BL719" s="47"/>
      <c r="BM719" s="47"/>
      <c r="BN719" s="47"/>
      <c r="BO719" s="47"/>
      <c r="BP719" s="47"/>
      <c r="BQ719" s="47"/>
      <c r="BR719" s="47"/>
      <c r="BS719" s="47"/>
      <c r="BT719" s="47"/>
    </row>
    <row r="720">
      <c r="A720" s="24"/>
      <c r="B720" s="48"/>
      <c r="C720" s="49"/>
      <c r="D720" s="24"/>
      <c r="E720" s="52"/>
      <c r="F720" s="53"/>
      <c r="G720" s="48"/>
      <c r="H720" s="49"/>
      <c r="I720" s="49"/>
      <c r="J720" s="48"/>
      <c r="K720" s="48"/>
      <c r="L720" s="48"/>
      <c r="M720" s="48"/>
      <c r="N720" s="48"/>
      <c r="O720" s="48"/>
      <c r="P720" s="48"/>
      <c r="Q720" s="48"/>
      <c r="R720" s="48"/>
      <c r="S720" s="48"/>
      <c r="T720" s="48"/>
      <c r="U720" s="48"/>
      <c r="V720" s="48"/>
      <c r="W720" s="49"/>
      <c r="X720" s="49"/>
      <c r="Y720" s="49"/>
      <c r="Z720" s="49"/>
      <c r="AA720" s="49"/>
      <c r="AB720" s="49"/>
      <c r="AC720" s="49"/>
      <c r="AD720" s="49"/>
      <c r="AE720" s="49"/>
      <c r="AF720" s="49"/>
      <c r="AG720" s="49"/>
      <c r="AH720" s="49"/>
      <c r="AI720" s="48"/>
      <c r="AJ720" s="48"/>
      <c r="AK720" s="24"/>
      <c r="AL720" s="50"/>
      <c r="AM720" s="50"/>
      <c r="AN720" s="50"/>
      <c r="AO720" s="50"/>
      <c r="AP720" s="50"/>
      <c r="AQ720" s="50"/>
      <c r="AR720" s="50"/>
      <c r="AS720" s="50"/>
      <c r="AT720" s="51"/>
      <c r="AU720" s="51"/>
      <c r="AV720" s="51"/>
      <c r="AW720" s="51"/>
      <c r="AX720" s="50"/>
      <c r="AY720" s="50"/>
      <c r="AZ720" s="50"/>
      <c r="BA720" s="50"/>
      <c r="BB720" s="51"/>
      <c r="BC720" s="51"/>
      <c r="BD720" s="51"/>
      <c r="BE720" s="51"/>
      <c r="BF720" s="47"/>
      <c r="BG720" s="47"/>
      <c r="BH720" s="47"/>
      <c r="BI720" s="47"/>
      <c r="BJ720" s="47"/>
      <c r="BK720" s="47"/>
      <c r="BL720" s="47"/>
      <c r="BM720" s="47"/>
      <c r="BN720" s="47"/>
      <c r="BO720" s="47"/>
      <c r="BP720" s="47"/>
      <c r="BQ720" s="47"/>
      <c r="BR720" s="47"/>
      <c r="BS720" s="47"/>
      <c r="BT720" s="47"/>
    </row>
    <row r="721">
      <c r="A721" s="24"/>
      <c r="B721" s="48"/>
      <c r="C721" s="49"/>
      <c r="D721" s="24"/>
      <c r="E721" s="52"/>
      <c r="F721" s="53"/>
      <c r="G721" s="48"/>
      <c r="H721" s="49"/>
      <c r="I721" s="49"/>
      <c r="J721" s="48"/>
      <c r="K721" s="48"/>
      <c r="L721" s="48"/>
      <c r="M721" s="48"/>
      <c r="N721" s="48"/>
      <c r="O721" s="48"/>
      <c r="P721" s="48"/>
      <c r="Q721" s="48"/>
      <c r="R721" s="48"/>
      <c r="S721" s="48"/>
      <c r="T721" s="48"/>
      <c r="U721" s="48"/>
      <c r="V721" s="48"/>
      <c r="W721" s="49"/>
      <c r="X721" s="49"/>
      <c r="Y721" s="49"/>
      <c r="Z721" s="49"/>
      <c r="AA721" s="49"/>
      <c r="AB721" s="49"/>
      <c r="AC721" s="49"/>
      <c r="AD721" s="49"/>
      <c r="AE721" s="49"/>
      <c r="AF721" s="49"/>
      <c r="AG721" s="49"/>
      <c r="AH721" s="49"/>
      <c r="AI721" s="48"/>
      <c r="AJ721" s="48"/>
      <c r="AK721" s="24"/>
      <c r="AL721" s="50"/>
      <c r="AM721" s="50"/>
      <c r="AN721" s="50"/>
      <c r="AO721" s="50"/>
      <c r="AP721" s="50"/>
      <c r="AQ721" s="50"/>
      <c r="AR721" s="50"/>
      <c r="AS721" s="50"/>
      <c r="AT721" s="51"/>
      <c r="AU721" s="51"/>
      <c r="AV721" s="51"/>
      <c r="AW721" s="51"/>
      <c r="AX721" s="50"/>
      <c r="AY721" s="50"/>
      <c r="AZ721" s="50"/>
      <c r="BA721" s="50"/>
      <c r="BB721" s="51"/>
      <c r="BC721" s="51"/>
      <c r="BD721" s="51"/>
      <c r="BE721" s="51"/>
      <c r="BF721" s="47"/>
      <c r="BG721" s="47"/>
      <c r="BH721" s="47"/>
      <c r="BI721" s="47"/>
      <c r="BJ721" s="47"/>
      <c r="BK721" s="47"/>
      <c r="BL721" s="47"/>
      <c r="BM721" s="47"/>
      <c r="BN721" s="47"/>
      <c r="BO721" s="47"/>
      <c r="BP721" s="47"/>
      <c r="BQ721" s="47"/>
      <c r="BR721" s="47"/>
      <c r="BS721" s="47"/>
      <c r="BT721" s="47"/>
    </row>
    <row r="722">
      <c r="A722" s="24"/>
      <c r="B722" s="48"/>
      <c r="C722" s="49"/>
      <c r="D722" s="24"/>
      <c r="E722" s="52"/>
      <c r="F722" s="53"/>
      <c r="G722" s="48"/>
      <c r="H722" s="49"/>
      <c r="I722" s="49"/>
      <c r="J722" s="48"/>
      <c r="K722" s="48"/>
      <c r="L722" s="48"/>
      <c r="M722" s="48"/>
      <c r="N722" s="48"/>
      <c r="O722" s="48"/>
      <c r="P722" s="48"/>
      <c r="Q722" s="48"/>
      <c r="R722" s="48"/>
      <c r="S722" s="48"/>
      <c r="T722" s="48"/>
      <c r="U722" s="48"/>
      <c r="V722" s="48"/>
      <c r="W722" s="49"/>
      <c r="X722" s="49"/>
      <c r="Y722" s="49"/>
      <c r="Z722" s="49"/>
      <c r="AA722" s="49"/>
      <c r="AB722" s="49"/>
      <c r="AC722" s="49"/>
      <c r="AD722" s="49"/>
      <c r="AE722" s="49"/>
      <c r="AF722" s="49"/>
      <c r="AG722" s="49"/>
      <c r="AH722" s="49"/>
      <c r="AI722" s="48"/>
      <c r="AJ722" s="48"/>
      <c r="AK722" s="24"/>
      <c r="AL722" s="50"/>
      <c r="AM722" s="50"/>
      <c r="AN722" s="50"/>
      <c r="AO722" s="50"/>
      <c r="AP722" s="50"/>
      <c r="AQ722" s="50"/>
      <c r="AR722" s="50"/>
      <c r="AS722" s="50"/>
      <c r="AT722" s="51"/>
      <c r="AU722" s="51"/>
      <c r="AV722" s="51"/>
      <c r="AW722" s="51"/>
      <c r="AX722" s="50"/>
      <c r="AY722" s="50"/>
      <c r="AZ722" s="50"/>
      <c r="BA722" s="50"/>
      <c r="BB722" s="51"/>
      <c r="BC722" s="51"/>
      <c r="BD722" s="51"/>
      <c r="BE722" s="51"/>
      <c r="BF722" s="47"/>
      <c r="BG722" s="47"/>
      <c r="BH722" s="47"/>
      <c r="BI722" s="47"/>
      <c r="BJ722" s="47"/>
      <c r="BK722" s="47"/>
      <c r="BL722" s="47"/>
      <c r="BM722" s="47"/>
      <c r="BN722" s="47"/>
      <c r="BO722" s="47"/>
      <c r="BP722" s="47"/>
      <c r="BQ722" s="47"/>
      <c r="BR722" s="47"/>
      <c r="BS722" s="47"/>
      <c r="BT722" s="47"/>
    </row>
    <row r="723">
      <c r="A723" s="24"/>
      <c r="B723" s="48"/>
      <c r="C723" s="49"/>
      <c r="D723" s="24"/>
      <c r="E723" s="52"/>
      <c r="F723" s="53"/>
      <c r="G723" s="48"/>
      <c r="H723" s="49"/>
      <c r="I723" s="49"/>
      <c r="J723" s="48"/>
      <c r="K723" s="48"/>
      <c r="L723" s="48"/>
      <c r="M723" s="48"/>
      <c r="N723" s="48"/>
      <c r="O723" s="48"/>
      <c r="P723" s="48"/>
      <c r="Q723" s="48"/>
      <c r="R723" s="48"/>
      <c r="S723" s="48"/>
      <c r="T723" s="48"/>
      <c r="U723" s="48"/>
      <c r="V723" s="48"/>
      <c r="W723" s="49"/>
      <c r="X723" s="49"/>
      <c r="Y723" s="49"/>
      <c r="Z723" s="49"/>
      <c r="AA723" s="49"/>
      <c r="AB723" s="49"/>
      <c r="AC723" s="49"/>
      <c r="AD723" s="49"/>
      <c r="AE723" s="49"/>
      <c r="AF723" s="49"/>
      <c r="AG723" s="49"/>
      <c r="AH723" s="49"/>
      <c r="AI723" s="48"/>
      <c r="AJ723" s="48"/>
      <c r="AK723" s="24"/>
      <c r="AL723" s="50"/>
      <c r="AM723" s="50"/>
      <c r="AN723" s="50"/>
      <c r="AO723" s="50"/>
      <c r="AP723" s="50"/>
      <c r="AQ723" s="50"/>
      <c r="AR723" s="50"/>
      <c r="AS723" s="50"/>
      <c r="AT723" s="51"/>
      <c r="AU723" s="51"/>
      <c r="AV723" s="51"/>
      <c r="AW723" s="51"/>
      <c r="AX723" s="50"/>
      <c r="AY723" s="50"/>
      <c r="AZ723" s="50"/>
      <c r="BA723" s="50"/>
      <c r="BB723" s="51"/>
      <c r="BC723" s="51"/>
      <c r="BD723" s="51"/>
      <c r="BE723" s="51"/>
      <c r="BF723" s="47"/>
      <c r="BG723" s="47"/>
      <c r="BH723" s="47"/>
      <c r="BI723" s="47"/>
      <c r="BJ723" s="47"/>
      <c r="BK723" s="47"/>
      <c r="BL723" s="47"/>
      <c r="BM723" s="47"/>
      <c r="BN723" s="47"/>
      <c r="BO723" s="47"/>
      <c r="BP723" s="47"/>
      <c r="BQ723" s="47"/>
      <c r="BR723" s="47"/>
      <c r="BS723" s="47"/>
      <c r="BT723" s="47"/>
    </row>
    <row r="724">
      <c r="A724" s="24"/>
      <c r="B724" s="48"/>
      <c r="C724" s="49"/>
      <c r="D724" s="24"/>
      <c r="E724" s="52"/>
      <c r="F724" s="53"/>
      <c r="G724" s="48"/>
      <c r="H724" s="49"/>
      <c r="I724" s="49"/>
      <c r="J724" s="48"/>
      <c r="K724" s="48"/>
      <c r="L724" s="48"/>
      <c r="M724" s="48"/>
      <c r="N724" s="48"/>
      <c r="O724" s="48"/>
      <c r="P724" s="48"/>
      <c r="Q724" s="48"/>
      <c r="R724" s="48"/>
      <c r="S724" s="48"/>
      <c r="T724" s="48"/>
      <c r="U724" s="48"/>
      <c r="V724" s="48"/>
      <c r="W724" s="49"/>
      <c r="X724" s="49"/>
      <c r="Y724" s="49"/>
      <c r="Z724" s="49"/>
      <c r="AA724" s="49"/>
      <c r="AB724" s="49"/>
      <c r="AC724" s="49"/>
      <c r="AD724" s="49"/>
      <c r="AE724" s="49"/>
      <c r="AF724" s="49"/>
      <c r="AG724" s="49"/>
      <c r="AH724" s="49"/>
      <c r="AI724" s="48"/>
      <c r="AJ724" s="48"/>
      <c r="AK724" s="24"/>
      <c r="AL724" s="50"/>
      <c r="AM724" s="50"/>
      <c r="AN724" s="50"/>
      <c r="AO724" s="50"/>
      <c r="AP724" s="50"/>
      <c r="AQ724" s="50"/>
      <c r="AR724" s="50"/>
      <c r="AS724" s="50"/>
      <c r="AT724" s="51"/>
      <c r="AU724" s="51"/>
      <c r="AV724" s="51"/>
      <c r="AW724" s="51"/>
      <c r="AX724" s="50"/>
      <c r="AY724" s="50"/>
      <c r="AZ724" s="50"/>
      <c r="BA724" s="50"/>
      <c r="BB724" s="51"/>
      <c r="BC724" s="51"/>
      <c r="BD724" s="51"/>
      <c r="BE724" s="51"/>
      <c r="BF724" s="47"/>
      <c r="BG724" s="47"/>
      <c r="BH724" s="47"/>
      <c r="BI724" s="47"/>
      <c r="BJ724" s="47"/>
      <c r="BK724" s="47"/>
      <c r="BL724" s="47"/>
      <c r="BM724" s="47"/>
      <c r="BN724" s="47"/>
      <c r="BO724" s="47"/>
      <c r="BP724" s="47"/>
      <c r="BQ724" s="47"/>
      <c r="BR724" s="47"/>
      <c r="BS724" s="47"/>
      <c r="BT724" s="47"/>
    </row>
    <row r="725">
      <c r="A725" s="24"/>
      <c r="B725" s="48"/>
      <c r="C725" s="49"/>
      <c r="D725" s="24"/>
      <c r="E725" s="52"/>
      <c r="F725" s="53"/>
      <c r="G725" s="48"/>
      <c r="H725" s="49"/>
      <c r="I725" s="49"/>
      <c r="J725" s="48"/>
      <c r="K725" s="48"/>
      <c r="L725" s="48"/>
      <c r="M725" s="48"/>
      <c r="N725" s="48"/>
      <c r="O725" s="48"/>
      <c r="P725" s="48"/>
      <c r="Q725" s="48"/>
      <c r="R725" s="48"/>
      <c r="S725" s="48"/>
      <c r="T725" s="48"/>
      <c r="U725" s="48"/>
      <c r="V725" s="48"/>
      <c r="W725" s="49"/>
      <c r="X725" s="49"/>
      <c r="Y725" s="49"/>
      <c r="Z725" s="49"/>
      <c r="AA725" s="49"/>
      <c r="AB725" s="49"/>
      <c r="AC725" s="49"/>
      <c r="AD725" s="49"/>
      <c r="AE725" s="49"/>
      <c r="AF725" s="49"/>
      <c r="AG725" s="49"/>
      <c r="AH725" s="49"/>
      <c r="AI725" s="48"/>
      <c r="AJ725" s="48"/>
      <c r="AK725" s="24"/>
      <c r="AL725" s="50"/>
      <c r="AM725" s="50"/>
      <c r="AN725" s="50"/>
      <c r="AO725" s="50"/>
      <c r="AP725" s="50"/>
      <c r="AQ725" s="50"/>
      <c r="AR725" s="50"/>
      <c r="AS725" s="50"/>
      <c r="AT725" s="51"/>
      <c r="AU725" s="51"/>
      <c r="AV725" s="51"/>
      <c r="AW725" s="51"/>
      <c r="AX725" s="50"/>
      <c r="AY725" s="50"/>
      <c r="AZ725" s="50"/>
      <c r="BA725" s="50"/>
      <c r="BB725" s="51"/>
      <c r="BC725" s="51"/>
      <c r="BD725" s="51"/>
      <c r="BE725" s="51"/>
      <c r="BF725" s="47"/>
      <c r="BG725" s="47"/>
      <c r="BH725" s="47"/>
      <c r="BI725" s="47"/>
      <c r="BJ725" s="47"/>
      <c r="BK725" s="47"/>
      <c r="BL725" s="47"/>
      <c r="BM725" s="47"/>
      <c r="BN725" s="47"/>
      <c r="BO725" s="47"/>
      <c r="BP725" s="47"/>
      <c r="BQ725" s="47"/>
      <c r="BR725" s="47"/>
      <c r="BS725" s="47"/>
      <c r="BT725" s="47"/>
    </row>
    <row r="726">
      <c r="A726" s="24"/>
      <c r="B726" s="48"/>
      <c r="C726" s="49"/>
      <c r="D726" s="24"/>
      <c r="E726" s="52"/>
      <c r="F726" s="53"/>
      <c r="G726" s="48"/>
      <c r="H726" s="49"/>
      <c r="I726" s="49"/>
      <c r="J726" s="48"/>
      <c r="K726" s="48"/>
      <c r="L726" s="48"/>
      <c r="M726" s="48"/>
      <c r="N726" s="48"/>
      <c r="O726" s="48"/>
      <c r="P726" s="48"/>
      <c r="Q726" s="48"/>
      <c r="R726" s="48"/>
      <c r="S726" s="48"/>
      <c r="T726" s="48"/>
      <c r="U726" s="48"/>
      <c r="V726" s="48"/>
      <c r="W726" s="49"/>
      <c r="X726" s="49"/>
      <c r="Y726" s="49"/>
      <c r="Z726" s="49"/>
      <c r="AA726" s="49"/>
      <c r="AB726" s="49"/>
      <c r="AC726" s="49"/>
      <c r="AD726" s="49"/>
      <c r="AE726" s="49"/>
      <c r="AF726" s="49"/>
      <c r="AG726" s="49"/>
      <c r="AH726" s="49"/>
      <c r="AI726" s="48"/>
      <c r="AJ726" s="48"/>
      <c r="AK726" s="24"/>
      <c r="AL726" s="50"/>
      <c r="AM726" s="50"/>
      <c r="AN726" s="50"/>
      <c r="AO726" s="50"/>
      <c r="AP726" s="50"/>
      <c r="AQ726" s="50"/>
      <c r="AR726" s="50"/>
      <c r="AS726" s="50"/>
      <c r="AT726" s="51"/>
      <c r="AU726" s="51"/>
      <c r="AV726" s="51"/>
      <c r="AW726" s="51"/>
      <c r="AX726" s="50"/>
      <c r="AY726" s="50"/>
      <c r="AZ726" s="50"/>
      <c r="BA726" s="50"/>
      <c r="BB726" s="51"/>
      <c r="BC726" s="51"/>
      <c r="BD726" s="51"/>
      <c r="BE726" s="51"/>
      <c r="BF726" s="47"/>
      <c r="BG726" s="47"/>
      <c r="BH726" s="47"/>
      <c r="BI726" s="47"/>
      <c r="BJ726" s="47"/>
      <c r="BK726" s="47"/>
      <c r="BL726" s="47"/>
      <c r="BM726" s="47"/>
      <c r="BN726" s="47"/>
      <c r="BO726" s="47"/>
      <c r="BP726" s="47"/>
      <c r="BQ726" s="47"/>
      <c r="BR726" s="47"/>
      <c r="BS726" s="47"/>
      <c r="BT726" s="47"/>
    </row>
    <row r="727">
      <c r="A727" s="24"/>
      <c r="B727" s="48"/>
      <c r="C727" s="49"/>
      <c r="D727" s="24"/>
      <c r="E727" s="52"/>
      <c r="F727" s="53"/>
      <c r="G727" s="48"/>
      <c r="H727" s="49"/>
      <c r="I727" s="49"/>
      <c r="J727" s="48"/>
      <c r="K727" s="48"/>
      <c r="L727" s="48"/>
      <c r="M727" s="48"/>
      <c r="N727" s="48"/>
      <c r="O727" s="48"/>
      <c r="P727" s="48"/>
      <c r="Q727" s="48"/>
      <c r="R727" s="48"/>
      <c r="S727" s="48"/>
      <c r="T727" s="48"/>
      <c r="U727" s="48"/>
      <c r="V727" s="48"/>
      <c r="W727" s="49"/>
      <c r="X727" s="49"/>
      <c r="Y727" s="49"/>
      <c r="Z727" s="49"/>
      <c r="AA727" s="49"/>
      <c r="AB727" s="49"/>
      <c r="AC727" s="49"/>
      <c r="AD727" s="49"/>
      <c r="AE727" s="49"/>
      <c r="AF727" s="49"/>
      <c r="AG727" s="49"/>
      <c r="AH727" s="49"/>
      <c r="AI727" s="48"/>
      <c r="AJ727" s="48"/>
      <c r="AK727" s="24"/>
      <c r="AL727" s="50"/>
      <c r="AM727" s="50"/>
      <c r="AN727" s="50"/>
      <c r="AO727" s="50"/>
      <c r="AP727" s="50"/>
      <c r="AQ727" s="50"/>
      <c r="AR727" s="50"/>
      <c r="AS727" s="50"/>
      <c r="AT727" s="51"/>
      <c r="AU727" s="51"/>
      <c r="AV727" s="51"/>
      <c r="AW727" s="51"/>
      <c r="AX727" s="50"/>
      <c r="AY727" s="50"/>
      <c r="AZ727" s="50"/>
      <c r="BA727" s="50"/>
      <c r="BB727" s="51"/>
      <c r="BC727" s="51"/>
      <c r="BD727" s="51"/>
      <c r="BE727" s="51"/>
      <c r="BF727" s="47"/>
      <c r="BG727" s="47"/>
      <c r="BH727" s="47"/>
      <c r="BI727" s="47"/>
      <c r="BJ727" s="47"/>
      <c r="BK727" s="47"/>
      <c r="BL727" s="47"/>
      <c r="BM727" s="47"/>
      <c r="BN727" s="47"/>
      <c r="BO727" s="47"/>
      <c r="BP727" s="47"/>
      <c r="BQ727" s="47"/>
      <c r="BR727" s="47"/>
      <c r="BS727" s="47"/>
      <c r="BT727" s="47"/>
    </row>
    <row r="728">
      <c r="A728" s="24"/>
      <c r="B728" s="48"/>
      <c r="C728" s="49"/>
      <c r="D728" s="24"/>
      <c r="E728" s="52"/>
      <c r="F728" s="53"/>
      <c r="G728" s="48"/>
      <c r="H728" s="49"/>
      <c r="I728" s="49"/>
      <c r="J728" s="48"/>
      <c r="K728" s="48"/>
      <c r="L728" s="48"/>
      <c r="M728" s="48"/>
      <c r="N728" s="48"/>
      <c r="O728" s="48"/>
      <c r="P728" s="48"/>
      <c r="Q728" s="48"/>
      <c r="R728" s="48"/>
      <c r="S728" s="48"/>
      <c r="T728" s="48"/>
      <c r="U728" s="48"/>
      <c r="V728" s="48"/>
      <c r="W728" s="49"/>
      <c r="X728" s="49"/>
      <c r="Y728" s="49"/>
      <c r="Z728" s="49"/>
      <c r="AA728" s="49"/>
      <c r="AB728" s="49"/>
      <c r="AC728" s="49"/>
      <c r="AD728" s="49"/>
      <c r="AE728" s="49"/>
      <c r="AF728" s="49"/>
      <c r="AG728" s="49"/>
      <c r="AH728" s="49"/>
      <c r="AI728" s="48"/>
      <c r="AJ728" s="48"/>
      <c r="AK728" s="24"/>
      <c r="AL728" s="50"/>
      <c r="AM728" s="50"/>
      <c r="AN728" s="50"/>
      <c r="AO728" s="50"/>
      <c r="AP728" s="50"/>
      <c r="AQ728" s="50"/>
      <c r="AR728" s="50"/>
      <c r="AS728" s="50"/>
      <c r="AT728" s="51"/>
      <c r="AU728" s="51"/>
      <c r="AV728" s="51"/>
      <c r="AW728" s="51"/>
      <c r="AX728" s="50"/>
      <c r="AY728" s="50"/>
      <c r="AZ728" s="50"/>
      <c r="BA728" s="50"/>
      <c r="BB728" s="51"/>
      <c r="BC728" s="51"/>
      <c r="BD728" s="51"/>
      <c r="BE728" s="51"/>
      <c r="BF728" s="47"/>
      <c r="BG728" s="47"/>
      <c r="BH728" s="47"/>
      <c r="BI728" s="47"/>
      <c r="BJ728" s="47"/>
      <c r="BK728" s="47"/>
      <c r="BL728" s="47"/>
      <c r="BM728" s="47"/>
      <c r="BN728" s="47"/>
      <c r="BO728" s="47"/>
      <c r="BP728" s="47"/>
      <c r="BQ728" s="47"/>
      <c r="BR728" s="47"/>
      <c r="BS728" s="47"/>
      <c r="BT728" s="47"/>
    </row>
    <row r="729">
      <c r="A729" s="24"/>
      <c r="B729" s="48"/>
      <c r="C729" s="49"/>
      <c r="D729" s="24"/>
      <c r="E729" s="52"/>
      <c r="F729" s="53"/>
      <c r="G729" s="48"/>
      <c r="H729" s="49"/>
      <c r="I729" s="49"/>
      <c r="J729" s="48"/>
      <c r="K729" s="48"/>
      <c r="L729" s="48"/>
      <c r="M729" s="48"/>
      <c r="N729" s="48"/>
      <c r="O729" s="48"/>
      <c r="P729" s="48"/>
      <c r="Q729" s="48"/>
      <c r="R729" s="48"/>
      <c r="S729" s="48"/>
      <c r="T729" s="48"/>
      <c r="U729" s="48"/>
      <c r="V729" s="48"/>
      <c r="W729" s="49"/>
      <c r="X729" s="49"/>
      <c r="Y729" s="49"/>
      <c r="Z729" s="49"/>
      <c r="AA729" s="49"/>
      <c r="AB729" s="49"/>
      <c r="AC729" s="49"/>
      <c r="AD729" s="49"/>
      <c r="AE729" s="49"/>
      <c r="AF729" s="49"/>
      <c r="AG729" s="49"/>
      <c r="AH729" s="49"/>
      <c r="AI729" s="48"/>
      <c r="AJ729" s="48"/>
      <c r="AK729" s="24"/>
      <c r="AL729" s="50"/>
      <c r="AM729" s="50"/>
      <c r="AN729" s="50"/>
      <c r="AO729" s="50"/>
      <c r="AP729" s="50"/>
      <c r="AQ729" s="50"/>
      <c r="AR729" s="50"/>
      <c r="AS729" s="50"/>
      <c r="AT729" s="51"/>
      <c r="AU729" s="51"/>
      <c r="AV729" s="51"/>
      <c r="AW729" s="51"/>
      <c r="AX729" s="50"/>
      <c r="AY729" s="50"/>
      <c r="AZ729" s="50"/>
      <c r="BA729" s="50"/>
      <c r="BB729" s="51"/>
      <c r="BC729" s="51"/>
      <c r="BD729" s="51"/>
      <c r="BE729" s="51"/>
      <c r="BF729" s="47"/>
      <c r="BG729" s="47"/>
      <c r="BH729" s="47"/>
      <c r="BI729" s="47"/>
      <c r="BJ729" s="47"/>
      <c r="BK729" s="47"/>
      <c r="BL729" s="47"/>
      <c r="BM729" s="47"/>
      <c r="BN729" s="47"/>
      <c r="BO729" s="47"/>
      <c r="BP729" s="47"/>
      <c r="BQ729" s="47"/>
      <c r="BR729" s="47"/>
      <c r="BS729" s="47"/>
      <c r="BT729" s="47"/>
    </row>
    <row r="730">
      <c r="A730" s="24"/>
      <c r="B730" s="48"/>
      <c r="C730" s="49"/>
      <c r="D730" s="24"/>
      <c r="E730" s="52"/>
      <c r="F730" s="53"/>
      <c r="G730" s="48"/>
      <c r="H730" s="49"/>
      <c r="I730" s="49"/>
      <c r="J730" s="48"/>
      <c r="K730" s="48"/>
      <c r="L730" s="48"/>
      <c r="M730" s="48"/>
      <c r="N730" s="48"/>
      <c r="O730" s="48"/>
      <c r="P730" s="48"/>
      <c r="Q730" s="48"/>
      <c r="R730" s="48"/>
      <c r="S730" s="48"/>
      <c r="T730" s="48"/>
      <c r="U730" s="48"/>
      <c r="V730" s="48"/>
      <c r="W730" s="49"/>
      <c r="X730" s="49"/>
      <c r="Y730" s="49"/>
      <c r="Z730" s="49"/>
      <c r="AA730" s="49"/>
      <c r="AB730" s="49"/>
      <c r="AC730" s="49"/>
      <c r="AD730" s="49"/>
      <c r="AE730" s="49"/>
      <c r="AF730" s="49"/>
      <c r="AG730" s="49"/>
      <c r="AH730" s="49"/>
      <c r="AI730" s="48"/>
      <c r="AJ730" s="48"/>
      <c r="AK730" s="24"/>
      <c r="AL730" s="50"/>
      <c r="AM730" s="50"/>
      <c r="AN730" s="50"/>
      <c r="AO730" s="50"/>
      <c r="AP730" s="50"/>
      <c r="AQ730" s="50"/>
      <c r="AR730" s="50"/>
      <c r="AS730" s="50"/>
      <c r="AT730" s="51"/>
      <c r="AU730" s="51"/>
      <c r="AV730" s="51"/>
      <c r="AW730" s="51"/>
      <c r="AX730" s="50"/>
      <c r="AY730" s="50"/>
      <c r="AZ730" s="50"/>
      <c r="BA730" s="50"/>
      <c r="BB730" s="51"/>
      <c r="BC730" s="51"/>
      <c r="BD730" s="51"/>
      <c r="BE730" s="51"/>
      <c r="BF730" s="47"/>
      <c r="BG730" s="47"/>
      <c r="BH730" s="47"/>
      <c r="BI730" s="47"/>
      <c r="BJ730" s="47"/>
      <c r="BK730" s="47"/>
      <c r="BL730" s="47"/>
      <c r="BM730" s="47"/>
      <c r="BN730" s="47"/>
      <c r="BO730" s="47"/>
      <c r="BP730" s="47"/>
      <c r="BQ730" s="47"/>
      <c r="BR730" s="47"/>
      <c r="BS730" s="47"/>
      <c r="BT730" s="47"/>
    </row>
    <row r="731">
      <c r="A731" s="24"/>
      <c r="B731" s="48"/>
      <c r="C731" s="49"/>
      <c r="D731" s="24"/>
      <c r="E731" s="52"/>
      <c r="F731" s="53"/>
      <c r="G731" s="48"/>
      <c r="H731" s="49"/>
      <c r="I731" s="49"/>
      <c r="J731" s="48"/>
      <c r="K731" s="48"/>
      <c r="L731" s="48"/>
      <c r="M731" s="48"/>
      <c r="N731" s="48"/>
      <c r="O731" s="48"/>
      <c r="P731" s="48"/>
      <c r="Q731" s="48"/>
      <c r="R731" s="48"/>
      <c r="S731" s="48"/>
      <c r="T731" s="48"/>
      <c r="U731" s="48"/>
      <c r="V731" s="48"/>
      <c r="W731" s="49"/>
      <c r="X731" s="49"/>
      <c r="Y731" s="49"/>
      <c r="Z731" s="49"/>
      <c r="AA731" s="49"/>
      <c r="AB731" s="49"/>
      <c r="AC731" s="49"/>
      <c r="AD731" s="49"/>
      <c r="AE731" s="49"/>
      <c r="AF731" s="49"/>
      <c r="AG731" s="49"/>
      <c r="AH731" s="49"/>
      <c r="AI731" s="48"/>
      <c r="AJ731" s="48"/>
      <c r="AK731" s="24"/>
      <c r="AL731" s="50"/>
      <c r="AM731" s="50"/>
      <c r="AN731" s="50"/>
      <c r="AO731" s="50"/>
      <c r="AP731" s="50"/>
      <c r="AQ731" s="50"/>
      <c r="AR731" s="50"/>
      <c r="AS731" s="50"/>
      <c r="AT731" s="51"/>
      <c r="AU731" s="51"/>
      <c r="AV731" s="51"/>
      <c r="AW731" s="51"/>
      <c r="AX731" s="50"/>
      <c r="AY731" s="50"/>
      <c r="AZ731" s="50"/>
      <c r="BA731" s="50"/>
      <c r="BB731" s="51"/>
      <c r="BC731" s="51"/>
      <c r="BD731" s="51"/>
      <c r="BE731" s="51"/>
      <c r="BF731" s="47"/>
      <c r="BG731" s="47"/>
      <c r="BH731" s="47"/>
      <c r="BI731" s="47"/>
      <c r="BJ731" s="47"/>
      <c r="BK731" s="47"/>
      <c r="BL731" s="47"/>
      <c r="BM731" s="47"/>
      <c r="BN731" s="47"/>
      <c r="BO731" s="47"/>
      <c r="BP731" s="47"/>
      <c r="BQ731" s="47"/>
      <c r="BR731" s="47"/>
      <c r="BS731" s="47"/>
      <c r="BT731" s="47"/>
    </row>
    <row r="732">
      <c r="A732" s="24"/>
      <c r="B732" s="48"/>
      <c r="C732" s="49"/>
      <c r="D732" s="24"/>
      <c r="E732" s="52"/>
      <c r="F732" s="53"/>
      <c r="G732" s="48"/>
      <c r="H732" s="49"/>
      <c r="I732" s="49"/>
      <c r="J732" s="48"/>
      <c r="K732" s="48"/>
      <c r="L732" s="48"/>
      <c r="M732" s="48"/>
      <c r="N732" s="48"/>
      <c r="O732" s="48"/>
      <c r="P732" s="48"/>
      <c r="Q732" s="48"/>
      <c r="R732" s="48"/>
      <c r="S732" s="48"/>
      <c r="T732" s="48"/>
      <c r="U732" s="48"/>
      <c r="V732" s="48"/>
      <c r="W732" s="49"/>
      <c r="X732" s="49"/>
      <c r="Y732" s="49"/>
      <c r="Z732" s="49"/>
      <c r="AA732" s="49"/>
      <c r="AB732" s="49"/>
      <c r="AC732" s="49"/>
      <c r="AD732" s="49"/>
      <c r="AE732" s="49"/>
      <c r="AF732" s="49"/>
      <c r="AG732" s="49"/>
      <c r="AH732" s="49"/>
      <c r="AI732" s="48"/>
      <c r="AJ732" s="48"/>
      <c r="AK732" s="24"/>
      <c r="AL732" s="50"/>
      <c r="AM732" s="50"/>
      <c r="AN732" s="50"/>
      <c r="AO732" s="50"/>
      <c r="AP732" s="50"/>
      <c r="AQ732" s="50"/>
      <c r="AR732" s="50"/>
      <c r="AS732" s="50"/>
      <c r="AT732" s="51"/>
      <c r="AU732" s="51"/>
      <c r="AV732" s="51"/>
      <c r="AW732" s="51"/>
      <c r="AX732" s="50"/>
      <c r="AY732" s="50"/>
      <c r="AZ732" s="50"/>
      <c r="BA732" s="50"/>
      <c r="BB732" s="51"/>
      <c r="BC732" s="51"/>
      <c r="BD732" s="51"/>
      <c r="BE732" s="51"/>
      <c r="BF732" s="47"/>
      <c r="BG732" s="47"/>
      <c r="BH732" s="47"/>
      <c r="BI732" s="47"/>
      <c r="BJ732" s="47"/>
      <c r="BK732" s="47"/>
      <c r="BL732" s="47"/>
      <c r="BM732" s="47"/>
      <c r="BN732" s="47"/>
      <c r="BO732" s="47"/>
      <c r="BP732" s="47"/>
      <c r="BQ732" s="47"/>
      <c r="BR732" s="47"/>
      <c r="BS732" s="47"/>
      <c r="BT732" s="47"/>
    </row>
    <row r="733">
      <c r="A733" s="24"/>
      <c r="B733" s="48"/>
      <c r="C733" s="49"/>
      <c r="D733" s="24"/>
      <c r="E733" s="52"/>
      <c r="F733" s="53"/>
      <c r="G733" s="48"/>
      <c r="H733" s="49"/>
      <c r="I733" s="49"/>
      <c r="J733" s="48"/>
      <c r="K733" s="48"/>
      <c r="L733" s="48"/>
      <c r="M733" s="48"/>
      <c r="N733" s="48"/>
      <c r="O733" s="48"/>
      <c r="P733" s="48"/>
      <c r="Q733" s="48"/>
      <c r="R733" s="48"/>
      <c r="S733" s="48"/>
      <c r="T733" s="48"/>
      <c r="U733" s="48"/>
      <c r="V733" s="48"/>
      <c r="W733" s="49"/>
      <c r="X733" s="49"/>
      <c r="Y733" s="49"/>
      <c r="Z733" s="49"/>
      <c r="AA733" s="49"/>
      <c r="AB733" s="49"/>
      <c r="AC733" s="49"/>
      <c r="AD733" s="49"/>
      <c r="AE733" s="49"/>
      <c r="AF733" s="49"/>
      <c r="AG733" s="49"/>
      <c r="AH733" s="49"/>
      <c r="AI733" s="48"/>
      <c r="AJ733" s="48"/>
      <c r="AK733" s="24"/>
      <c r="AL733" s="50"/>
      <c r="AM733" s="50"/>
      <c r="AN733" s="50"/>
      <c r="AO733" s="50"/>
      <c r="AP733" s="50"/>
      <c r="AQ733" s="50"/>
      <c r="AR733" s="50"/>
      <c r="AS733" s="50"/>
      <c r="AT733" s="51"/>
      <c r="AU733" s="51"/>
      <c r="AV733" s="51"/>
      <c r="AW733" s="51"/>
      <c r="AX733" s="50"/>
      <c r="AY733" s="50"/>
      <c r="AZ733" s="50"/>
      <c r="BA733" s="50"/>
      <c r="BB733" s="51"/>
      <c r="BC733" s="51"/>
      <c r="BD733" s="51"/>
      <c r="BE733" s="51"/>
      <c r="BF733" s="47"/>
      <c r="BG733" s="47"/>
      <c r="BH733" s="47"/>
      <c r="BI733" s="47"/>
      <c r="BJ733" s="47"/>
      <c r="BK733" s="47"/>
      <c r="BL733" s="47"/>
      <c r="BM733" s="47"/>
      <c r="BN733" s="47"/>
      <c r="BO733" s="47"/>
      <c r="BP733" s="47"/>
      <c r="BQ733" s="47"/>
      <c r="BR733" s="47"/>
      <c r="BS733" s="47"/>
      <c r="BT733" s="47"/>
    </row>
    <row r="734">
      <c r="A734" s="24"/>
      <c r="B734" s="48"/>
      <c r="C734" s="49"/>
      <c r="D734" s="24"/>
      <c r="E734" s="52"/>
      <c r="F734" s="53"/>
      <c r="G734" s="48"/>
      <c r="H734" s="49"/>
      <c r="I734" s="49"/>
      <c r="J734" s="48"/>
      <c r="K734" s="48"/>
      <c r="L734" s="48"/>
      <c r="M734" s="48"/>
      <c r="N734" s="48"/>
      <c r="O734" s="48"/>
      <c r="P734" s="48"/>
      <c r="Q734" s="48"/>
      <c r="R734" s="48"/>
      <c r="S734" s="48"/>
      <c r="T734" s="48"/>
      <c r="U734" s="48"/>
      <c r="V734" s="48"/>
      <c r="W734" s="49"/>
      <c r="X734" s="49"/>
      <c r="Y734" s="49"/>
      <c r="Z734" s="49"/>
      <c r="AA734" s="49"/>
      <c r="AB734" s="49"/>
      <c r="AC734" s="49"/>
      <c r="AD734" s="49"/>
      <c r="AE734" s="49"/>
      <c r="AF734" s="49"/>
      <c r="AG734" s="49"/>
      <c r="AH734" s="49"/>
      <c r="AI734" s="48"/>
      <c r="AJ734" s="48"/>
      <c r="AK734" s="24"/>
      <c r="AL734" s="50"/>
      <c r="AM734" s="50"/>
      <c r="AN734" s="50"/>
      <c r="AO734" s="50"/>
      <c r="AP734" s="50"/>
      <c r="AQ734" s="50"/>
      <c r="AR734" s="50"/>
      <c r="AS734" s="50"/>
      <c r="AT734" s="51"/>
      <c r="AU734" s="51"/>
      <c r="AV734" s="51"/>
      <c r="AW734" s="51"/>
      <c r="AX734" s="50"/>
      <c r="AY734" s="50"/>
      <c r="AZ734" s="50"/>
      <c r="BA734" s="50"/>
      <c r="BB734" s="51"/>
      <c r="BC734" s="51"/>
      <c r="BD734" s="51"/>
      <c r="BE734" s="51"/>
      <c r="BF734" s="47"/>
      <c r="BG734" s="47"/>
      <c r="BH734" s="47"/>
      <c r="BI734" s="47"/>
      <c r="BJ734" s="47"/>
      <c r="BK734" s="47"/>
      <c r="BL734" s="47"/>
      <c r="BM734" s="47"/>
      <c r="BN734" s="47"/>
      <c r="BO734" s="47"/>
      <c r="BP734" s="47"/>
      <c r="BQ734" s="47"/>
      <c r="BR734" s="47"/>
      <c r="BS734" s="47"/>
      <c r="BT734" s="47"/>
    </row>
    <row r="735">
      <c r="A735" s="24"/>
      <c r="B735" s="48"/>
      <c r="C735" s="49"/>
      <c r="D735" s="24"/>
      <c r="E735" s="52"/>
      <c r="F735" s="53"/>
      <c r="G735" s="48"/>
      <c r="H735" s="49"/>
      <c r="I735" s="49"/>
      <c r="J735" s="48"/>
      <c r="K735" s="48"/>
      <c r="L735" s="48"/>
      <c r="M735" s="48"/>
      <c r="N735" s="48"/>
      <c r="O735" s="48"/>
      <c r="P735" s="48"/>
      <c r="Q735" s="48"/>
      <c r="R735" s="48"/>
      <c r="S735" s="48"/>
      <c r="T735" s="48"/>
      <c r="U735" s="48"/>
      <c r="V735" s="48"/>
      <c r="W735" s="49"/>
      <c r="X735" s="49"/>
      <c r="Y735" s="49"/>
      <c r="Z735" s="49"/>
      <c r="AA735" s="49"/>
      <c r="AB735" s="49"/>
      <c r="AC735" s="49"/>
      <c r="AD735" s="49"/>
      <c r="AE735" s="49"/>
      <c r="AF735" s="49"/>
      <c r="AG735" s="49"/>
      <c r="AH735" s="49"/>
      <c r="AI735" s="48"/>
      <c r="AJ735" s="48"/>
      <c r="AK735" s="24"/>
      <c r="AL735" s="50"/>
      <c r="AM735" s="50"/>
      <c r="AN735" s="50"/>
      <c r="AO735" s="50"/>
      <c r="AP735" s="50"/>
      <c r="AQ735" s="50"/>
      <c r="AR735" s="50"/>
      <c r="AS735" s="50"/>
      <c r="AT735" s="51"/>
      <c r="AU735" s="51"/>
      <c r="AV735" s="51"/>
      <c r="AW735" s="51"/>
      <c r="AX735" s="50"/>
      <c r="AY735" s="50"/>
      <c r="AZ735" s="50"/>
      <c r="BA735" s="50"/>
      <c r="BB735" s="51"/>
      <c r="BC735" s="51"/>
      <c r="BD735" s="51"/>
      <c r="BE735" s="51"/>
      <c r="BF735" s="47"/>
      <c r="BG735" s="47"/>
      <c r="BH735" s="47"/>
      <c r="BI735" s="47"/>
      <c r="BJ735" s="47"/>
      <c r="BK735" s="47"/>
      <c r="BL735" s="47"/>
      <c r="BM735" s="47"/>
      <c r="BN735" s="47"/>
      <c r="BO735" s="47"/>
      <c r="BP735" s="47"/>
      <c r="BQ735" s="47"/>
      <c r="BR735" s="47"/>
      <c r="BS735" s="47"/>
      <c r="BT735" s="47"/>
    </row>
    <row r="736">
      <c r="A736" s="24"/>
      <c r="B736" s="48"/>
      <c r="C736" s="49"/>
      <c r="D736" s="24"/>
      <c r="E736" s="52"/>
      <c r="F736" s="53"/>
      <c r="G736" s="48"/>
      <c r="H736" s="49"/>
      <c r="I736" s="49"/>
      <c r="J736" s="48"/>
      <c r="K736" s="48"/>
      <c r="L736" s="48"/>
      <c r="M736" s="48"/>
      <c r="N736" s="48"/>
      <c r="O736" s="48"/>
      <c r="P736" s="48"/>
      <c r="Q736" s="48"/>
      <c r="R736" s="48"/>
      <c r="S736" s="48"/>
      <c r="T736" s="48"/>
      <c r="U736" s="48"/>
      <c r="V736" s="48"/>
      <c r="W736" s="49"/>
      <c r="X736" s="49"/>
      <c r="Y736" s="49"/>
      <c r="Z736" s="49"/>
      <c r="AA736" s="49"/>
      <c r="AB736" s="49"/>
      <c r="AC736" s="49"/>
      <c r="AD736" s="49"/>
      <c r="AE736" s="49"/>
      <c r="AF736" s="49"/>
      <c r="AG736" s="49"/>
      <c r="AH736" s="49"/>
      <c r="AI736" s="48"/>
      <c r="AJ736" s="48"/>
      <c r="AK736" s="24"/>
      <c r="AL736" s="50"/>
      <c r="AM736" s="50"/>
      <c r="AN736" s="50"/>
      <c r="AO736" s="50"/>
      <c r="AP736" s="50"/>
      <c r="AQ736" s="50"/>
      <c r="AR736" s="50"/>
      <c r="AS736" s="50"/>
      <c r="AT736" s="51"/>
      <c r="AU736" s="51"/>
      <c r="AV736" s="51"/>
      <c r="AW736" s="51"/>
      <c r="AX736" s="50"/>
      <c r="AY736" s="50"/>
      <c r="AZ736" s="50"/>
      <c r="BA736" s="50"/>
      <c r="BB736" s="51"/>
      <c r="BC736" s="51"/>
      <c r="BD736" s="51"/>
      <c r="BE736" s="51"/>
      <c r="BF736" s="47"/>
      <c r="BG736" s="47"/>
      <c r="BH736" s="47"/>
      <c r="BI736" s="47"/>
      <c r="BJ736" s="47"/>
      <c r="BK736" s="47"/>
      <c r="BL736" s="47"/>
      <c r="BM736" s="47"/>
      <c r="BN736" s="47"/>
      <c r="BO736" s="47"/>
      <c r="BP736" s="47"/>
      <c r="BQ736" s="47"/>
      <c r="BR736" s="47"/>
      <c r="BS736" s="47"/>
      <c r="BT736" s="47"/>
    </row>
    <row r="737">
      <c r="A737" s="24"/>
      <c r="B737" s="48"/>
      <c r="C737" s="49"/>
      <c r="D737" s="24"/>
      <c r="E737" s="52"/>
      <c r="F737" s="53"/>
      <c r="G737" s="48"/>
      <c r="H737" s="49"/>
      <c r="I737" s="49"/>
      <c r="J737" s="48"/>
      <c r="K737" s="48"/>
      <c r="L737" s="48"/>
      <c r="M737" s="48"/>
      <c r="N737" s="48"/>
      <c r="O737" s="48"/>
      <c r="P737" s="48"/>
      <c r="Q737" s="48"/>
      <c r="R737" s="48"/>
      <c r="S737" s="48"/>
      <c r="T737" s="48"/>
      <c r="U737" s="48"/>
      <c r="V737" s="48"/>
      <c r="W737" s="49"/>
      <c r="X737" s="49"/>
      <c r="Y737" s="49"/>
      <c r="Z737" s="49"/>
      <c r="AA737" s="49"/>
      <c r="AB737" s="49"/>
      <c r="AC737" s="49"/>
      <c r="AD737" s="49"/>
      <c r="AE737" s="49"/>
      <c r="AF737" s="49"/>
      <c r="AG737" s="49"/>
      <c r="AH737" s="49"/>
      <c r="AI737" s="48"/>
      <c r="AJ737" s="48"/>
      <c r="AK737" s="24"/>
      <c r="AL737" s="50"/>
      <c r="AM737" s="50"/>
      <c r="AN737" s="50"/>
      <c r="AO737" s="50"/>
      <c r="AP737" s="50"/>
      <c r="AQ737" s="50"/>
      <c r="AR737" s="50"/>
      <c r="AS737" s="50"/>
      <c r="AT737" s="51"/>
      <c r="AU737" s="51"/>
      <c r="AV737" s="51"/>
      <c r="AW737" s="51"/>
      <c r="AX737" s="50"/>
      <c r="AY737" s="50"/>
      <c r="AZ737" s="50"/>
      <c r="BA737" s="50"/>
      <c r="BB737" s="51"/>
      <c r="BC737" s="51"/>
      <c r="BD737" s="51"/>
      <c r="BE737" s="51"/>
      <c r="BF737" s="47"/>
      <c r="BG737" s="47"/>
      <c r="BH737" s="47"/>
      <c r="BI737" s="47"/>
      <c r="BJ737" s="47"/>
      <c r="BK737" s="47"/>
      <c r="BL737" s="47"/>
      <c r="BM737" s="47"/>
      <c r="BN737" s="47"/>
      <c r="BO737" s="47"/>
      <c r="BP737" s="47"/>
      <c r="BQ737" s="47"/>
      <c r="BR737" s="47"/>
      <c r="BS737" s="47"/>
      <c r="BT737" s="47"/>
    </row>
    <row r="738">
      <c r="A738" s="24"/>
      <c r="B738" s="48"/>
      <c r="C738" s="49"/>
      <c r="D738" s="24"/>
      <c r="E738" s="52"/>
      <c r="F738" s="53"/>
      <c r="G738" s="48"/>
      <c r="H738" s="49"/>
      <c r="I738" s="49"/>
      <c r="J738" s="48"/>
      <c r="K738" s="48"/>
      <c r="L738" s="48"/>
      <c r="M738" s="48"/>
      <c r="N738" s="48"/>
      <c r="O738" s="48"/>
      <c r="P738" s="48"/>
      <c r="Q738" s="48"/>
      <c r="R738" s="48"/>
      <c r="S738" s="48"/>
      <c r="T738" s="48"/>
      <c r="U738" s="48"/>
      <c r="V738" s="48"/>
      <c r="W738" s="49"/>
      <c r="X738" s="49"/>
      <c r="Y738" s="49"/>
      <c r="Z738" s="49"/>
      <c r="AA738" s="49"/>
      <c r="AB738" s="49"/>
      <c r="AC738" s="49"/>
      <c r="AD738" s="49"/>
      <c r="AE738" s="49"/>
      <c r="AF738" s="49"/>
      <c r="AG738" s="49"/>
      <c r="AH738" s="49"/>
      <c r="AI738" s="48"/>
      <c r="AJ738" s="48"/>
      <c r="AK738" s="24"/>
      <c r="AL738" s="50"/>
      <c r="AM738" s="50"/>
      <c r="AN738" s="50"/>
      <c r="AO738" s="50"/>
      <c r="AP738" s="50"/>
      <c r="AQ738" s="50"/>
      <c r="AR738" s="50"/>
      <c r="AS738" s="50"/>
      <c r="AT738" s="51"/>
      <c r="AU738" s="51"/>
      <c r="AV738" s="51"/>
      <c r="AW738" s="51"/>
      <c r="AX738" s="50"/>
      <c r="AY738" s="50"/>
      <c r="AZ738" s="50"/>
      <c r="BA738" s="50"/>
      <c r="BB738" s="51"/>
      <c r="BC738" s="51"/>
      <c r="BD738" s="51"/>
      <c r="BE738" s="51"/>
      <c r="BF738" s="47"/>
      <c r="BG738" s="47"/>
      <c r="BH738" s="47"/>
      <c r="BI738" s="47"/>
      <c r="BJ738" s="47"/>
      <c r="BK738" s="47"/>
      <c r="BL738" s="47"/>
      <c r="BM738" s="47"/>
      <c r="BN738" s="47"/>
      <c r="BO738" s="47"/>
      <c r="BP738" s="47"/>
      <c r="BQ738" s="47"/>
      <c r="BR738" s="47"/>
      <c r="BS738" s="47"/>
      <c r="BT738" s="47"/>
    </row>
    <row r="739">
      <c r="A739" s="24"/>
      <c r="B739" s="48"/>
      <c r="C739" s="49"/>
      <c r="D739" s="24"/>
      <c r="E739" s="52"/>
      <c r="F739" s="53"/>
      <c r="G739" s="48"/>
      <c r="H739" s="49"/>
      <c r="I739" s="49"/>
      <c r="J739" s="48"/>
      <c r="K739" s="48"/>
      <c r="L739" s="48"/>
      <c r="M739" s="48"/>
      <c r="N739" s="48"/>
      <c r="O739" s="48"/>
      <c r="P739" s="48"/>
      <c r="Q739" s="48"/>
      <c r="R739" s="48"/>
      <c r="S739" s="48"/>
      <c r="T739" s="48"/>
      <c r="U739" s="48"/>
      <c r="V739" s="48"/>
      <c r="W739" s="49"/>
      <c r="X739" s="49"/>
      <c r="Y739" s="49"/>
      <c r="Z739" s="49"/>
      <c r="AA739" s="49"/>
      <c r="AB739" s="49"/>
      <c r="AC739" s="49"/>
      <c r="AD739" s="49"/>
      <c r="AE739" s="49"/>
      <c r="AF739" s="49"/>
      <c r="AG739" s="49"/>
      <c r="AH739" s="49"/>
      <c r="AI739" s="48"/>
      <c r="AJ739" s="48"/>
      <c r="AK739" s="24"/>
      <c r="AL739" s="50"/>
      <c r="AM739" s="50"/>
      <c r="AN739" s="50"/>
      <c r="AO739" s="50"/>
      <c r="AP739" s="50"/>
      <c r="AQ739" s="50"/>
      <c r="AR739" s="50"/>
      <c r="AS739" s="50"/>
      <c r="AT739" s="51"/>
      <c r="AU739" s="51"/>
      <c r="AV739" s="51"/>
      <c r="AW739" s="51"/>
      <c r="AX739" s="50"/>
      <c r="AY739" s="50"/>
      <c r="AZ739" s="50"/>
      <c r="BA739" s="50"/>
      <c r="BB739" s="51"/>
      <c r="BC739" s="51"/>
      <c r="BD739" s="51"/>
      <c r="BE739" s="51"/>
      <c r="BF739" s="47"/>
      <c r="BG739" s="47"/>
      <c r="BH739" s="47"/>
      <c r="BI739" s="47"/>
      <c r="BJ739" s="47"/>
      <c r="BK739" s="47"/>
      <c r="BL739" s="47"/>
      <c r="BM739" s="47"/>
      <c r="BN739" s="47"/>
      <c r="BO739" s="47"/>
      <c r="BP739" s="47"/>
      <c r="BQ739" s="47"/>
      <c r="BR739" s="47"/>
      <c r="BS739" s="47"/>
      <c r="BT739" s="47"/>
    </row>
    <row r="740">
      <c r="A740" s="24"/>
      <c r="B740" s="48"/>
      <c r="C740" s="49"/>
      <c r="D740" s="24"/>
      <c r="E740" s="52"/>
      <c r="F740" s="53"/>
      <c r="G740" s="48"/>
      <c r="H740" s="49"/>
      <c r="I740" s="49"/>
      <c r="J740" s="48"/>
      <c r="K740" s="48"/>
      <c r="L740" s="48"/>
      <c r="M740" s="48"/>
      <c r="N740" s="48"/>
      <c r="O740" s="48"/>
      <c r="P740" s="48"/>
      <c r="Q740" s="48"/>
      <c r="R740" s="48"/>
      <c r="S740" s="48"/>
      <c r="T740" s="48"/>
      <c r="U740" s="48"/>
      <c r="V740" s="48"/>
      <c r="W740" s="49"/>
      <c r="X740" s="49"/>
      <c r="Y740" s="49"/>
      <c r="Z740" s="49"/>
      <c r="AA740" s="49"/>
      <c r="AB740" s="49"/>
      <c r="AC740" s="49"/>
      <c r="AD740" s="49"/>
      <c r="AE740" s="49"/>
      <c r="AF740" s="49"/>
      <c r="AG740" s="49"/>
      <c r="AH740" s="49"/>
      <c r="AI740" s="48"/>
      <c r="AJ740" s="48"/>
      <c r="AK740" s="24"/>
      <c r="AL740" s="50"/>
      <c r="AM740" s="50"/>
      <c r="AN740" s="50"/>
      <c r="AO740" s="50"/>
      <c r="AP740" s="50"/>
      <c r="AQ740" s="50"/>
      <c r="AR740" s="50"/>
      <c r="AS740" s="50"/>
      <c r="AT740" s="51"/>
      <c r="AU740" s="51"/>
      <c r="AV740" s="51"/>
      <c r="AW740" s="51"/>
      <c r="AX740" s="50"/>
      <c r="AY740" s="50"/>
      <c r="AZ740" s="50"/>
      <c r="BA740" s="50"/>
      <c r="BB740" s="51"/>
      <c r="BC740" s="51"/>
      <c r="BD740" s="51"/>
      <c r="BE740" s="51"/>
      <c r="BF740" s="47"/>
      <c r="BG740" s="47"/>
      <c r="BH740" s="47"/>
      <c r="BI740" s="47"/>
      <c r="BJ740" s="47"/>
      <c r="BK740" s="47"/>
      <c r="BL740" s="47"/>
      <c r="BM740" s="47"/>
      <c r="BN740" s="47"/>
      <c r="BO740" s="47"/>
      <c r="BP740" s="47"/>
      <c r="BQ740" s="47"/>
      <c r="BR740" s="47"/>
      <c r="BS740" s="47"/>
      <c r="BT740" s="47"/>
    </row>
    <row r="741">
      <c r="A741" s="24"/>
      <c r="B741" s="48"/>
      <c r="C741" s="49"/>
      <c r="D741" s="24"/>
      <c r="E741" s="52"/>
      <c r="F741" s="53"/>
      <c r="G741" s="48"/>
      <c r="H741" s="49"/>
      <c r="I741" s="49"/>
      <c r="J741" s="48"/>
      <c r="K741" s="48"/>
      <c r="L741" s="48"/>
      <c r="M741" s="48"/>
      <c r="N741" s="48"/>
      <c r="O741" s="48"/>
      <c r="P741" s="48"/>
      <c r="Q741" s="48"/>
      <c r="R741" s="48"/>
      <c r="S741" s="48"/>
      <c r="T741" s="48"/>
      <c r="U741" s="48"/>
      <c r="V741" s="48"/>
      <c r="W741" s="49"/>
      <c r="X741" s="49"/>
      <c r="Y741" s="49"/>
      <c r="Z741" s="49"/>
      <c r="AA741" s="49"/>
      <c r="AB741" s="49"/>
      <c r="AC741" s="49"/>
      <c r="AD741" s="49"/>
      <c r="AE741" s="49"/>
      <c r="AF741" s="49"/>
      <c r="AG741" s="49"/>
      <c r="AH741" s="49"/>
      <c r="AI741" s="48"/>
      <c r="AJ741" s="48"/>
      <c r="AK741" s="24"/>
      <c r="AL741" s="50"/>
      <c r="AM741" s="50"/>
      <c r="AN741" s="50"/>
      <c r="AO741" s="50"/>
      <c r="AP741" s="50"/>
      <c r="AQ741" s="50"/>
      <c r="AR741" s="50"/>
      <c r="AS741" s="50"/>
      <c r="AT741" s="51"/>
      <c r="AU741" s="51"/>
      <c r="AV741" s="51"/>
      <c r="AW741" s="51"/>
      <c r="AX741" s="50"/>
      <c r="AY741" s="50"/>
      <c r="AZ741" s="50"/>
      <c r="BA741" s="50"/>
      <c r="BB741" s="51"/>
      <c r="BC741" s="51"/>
      <c r="BD741" s="51"/>
      <c r="BE741" s="51"/>
      <c r="BF741" s="47"/>
      <c r="BG741" s="47"/>
      <c r="BH741" s="47"/>
      <c r="BI741" s="47"/>
      <c r="BJ741" s="47"/>
      <c r="BK741" s="47"/>
      <c r="BL741" s="47"/>
      <c r="BM741" s="47"/>
      <c r="BN741" s="47"/>
      <c r="BO741" s="47"/>
      <c r="BP741" s="47"/>
      <c r="BQ741" s="47"/>
      <c r="BR741" s="47"/>
      <c r="BS741" s="47"/>
      <c r="BT741" s="47"/>
    </row>
    <row r="742">
      <c r="A742" s="24"/>
      <c r="B742" s="48"/>
      <c r="C742" s="49"/>
      <c r="D742" s="24"/>
      <c r="E742" s="52"/>
      <c r="F742" s="53"/>
      <c r="G742" s="48"/>
      <c r="H742" s="49"/>
      <c r="I742" s="49"/>
      <c r="J742" s="48"/>
      <c r="K742" s="48"/>
      <c r="L742" s="48"/>
      <c r="M742" s="48"/>
      <c r="N742" s="48"/>
      <c r="O742" s="48"/>
      <c r="P742" s="48"/>
      <c r="Q742" s="48"/>
      <c r="R742" s="48"/>
      <c r="S742" s="48"/>
      <c r="T742" s="48"/>
      <c r="U742" s="48"/>
      <c r="V742" s="48"/>
      <c r="W742" s="49"/>
      <c r="X742" s="49"/>
      <c r="Y742" s="49"/>
      <c r="Z742" s="49"/>
      <c r="AA742" s="49"/>
      <c r="AB742" s="49"/>
      <c r="AC742" s="49"/>
      <c r="AD742" s="49"/>
      <c r="AE742" s="49"/>
      <c r="AF742" s="49"/>
      <c r="AG742" s="49"/>
      <c r="AH742" s="49"/>
      <c r="AI742" s="48"/>
      <c r="AJ742" s="48"/>
      <c r="AK742" s="24"/>
      <c r="AL742" s="50"/>
      <c r="AM742" s="50"/>
      <c r="AN742" s="50"/>
      <c r="AO742" s="50"/>
      <c r="AP742" s="50"/>
      <c r="AQ742" s="50"/>
      <c r="AR742" s="50"/>
      <c r="AS742" s="50"/>
      <c r="AT742" s="51"/>
      <c r="AU742" s="51"/>
      <c r="AV742" s="51"/>
      <c r="AW742" s="51"/>
      <c r="AX742" s="50"/>
      <c r="AY742" s="50"/>
      <c r="AZ742" s="50"/>
      <c r="BA742" s="50"/>
      <c r="BB742" s="51"/>
      <c r="BC742" s="51"/>
      <c r="BD742" s="51"/>
      <c r="BE742" s="51"/>
      <c r="BF742" s="47"/>
      <c r="BG742" s="47"/>
      <c r="BH742" s="47"/>
      <c r="BI742" s="47"/>
      <c r="BJ742" s="47"/>
      <c r="BK742" s="47"/>
      <c r="BL742" s="47"/>
      <c r="BM742" s="47"/>
      <c r="BN742" s="47"/>
      <c r="BO742" s="47"/>
      <c r="BP742" s="47"/>
      <c r="BQ742" s="47"/>
      <c r="BR742" s="47"/>
      <c r="BS742" s="47"/>
      <c r="BT742" s="47"/>
    </row>
    <row r="743">
      <c r="A743" s="24"/>
      <c r="B743" s="48"/>
      <c r="C743" s="49"/>
      <c r="D743" s="24"/>
      <c r="E743" s="52"/>
      <c r="F743" s="53"/>
      <c r="G743" s="48"/>
      <c r="H743" s="49"/>
      <c r="I743" s="49"/>
      <c r="J743" s="48"/>
      <c r="K743" s="48"/>
      <c r="L743" s="48"/>
      <c r="M743" s="48"/>
      <c r="N743" s="48"/>
      <c r="O743" s="48"/>
      <c r="P743" s="48"/>
      <c r="Q743" s="48"/>
      <c r="R743" s="48"/>
      <c r="S743" s="48"/>
      <c r="T743" s="48"/>
      <c r="U743" s="48"/>
      <c r="V743" s="48"/>
      <c r="W743" s="49"/>
      <c r="X743" s="49"/>
      <c r="Y743" s="49"/>
      <c r="Z743" s="49"/>
      <c r="AA743" s="49"/>
      <c r="AB743" s="49"/>
      <c r="AC743" s="49"/>
      <c r="AD743" s="49"/>
      <c r="AE743" s="49"/>
      <c r="AF743" s="49"/>
      <c r="AG743" s="49"/>
      <c r="AH743" s="49"/>
      <c r="AI743" s="48"/>
      <c r="AJ743" s="48"/>
      <c r="AK743" s="24"/>
      <c r="AL743" s="50"/>
      <c r="AM743" s="50"/>
      <c r="AN743" s="50"/>
      <c r="AO743" s="50"/>
      <c r="AP743" s="50"/>
      <c r="AQ743" s="50"/>
      <c r="AR743" s="50"/>
      <c r="AS743" s="50"/>
      <c r="AT743" s="51"/>
      <c r="AU743" s="51"/>
      <c r="AV743" s="51"/>
      <c r="AW743" s="51"/>
      <c r="AX743" s="50"/>
      <c r="AY743" s="50"/>
      <c r="AZ743" s="50"/>
      <c r="BA743" s="50"/>
      <c r="BB743" s="51"/>
      <c r="BC743" s="51"/>
      <c r="BD743" s="51"/>
      <c r="BE743" s="51"/>
      <c r="BF743" s="47"/>
      <c r="BG743" s="47"/>
      <c r="BH743" s="47"/>
      <c r="BI743" s="47"/>
      <c r="BJ743" s="47"/>
      <c r="BK743" s="47"/>
      <c r="BL743" s="47"/>
      <c r="BM743" s="47"/>
      <c r="BN743" s="47"/>
      <c r="BO743" s="47"/>
      <c r="BP743" s="47"/>
      <c r="BQ743" s="47"/>
      <c r="BR743" s="47"/>
      <c r="BS743" s="47"/>
      <c r="BT743" s="47"/>
    </row>
    <row r="744">
      <c r="A744" s="24"/>
      <c r="B744" s="48"/>
      <c r="C744" s="49"/>
      <c r="D744" s="24"/>
      <c r="E744" s="52"/>
      <c r="F744" s="53"/>
      <c r="G744" s="48"/>
      <c r="H744" s="49"/>
      <c r="I744" s="49"/>
      <c r="J744" s="48"/>
      <c r="K744" s="48"/>
      <c r="L744" s="48"/>
      <c r="M744" s="48"/>
      <c r="N744" s="48"/>
      <c r="O744" s="48"/>
      <c r="P744" s="48"/>
      <c r="Q744" s="48"/>
      <c r="R744" s="48"/>
      <c r="S744" s="48"/>
      <c r="T744" s="48"/>
      <c r="U744" s="48"/>
      <c r="V744" s="48"/>
      <c r="W744" s="49"/>
      <c r="X744" s="49"/>
      <c r="Y744" s="49"/>
      <c r="Z744" s="49"/>
      <c r="AA744" s="49"/>
      <c r="AB744" s="49"/>
      <c r="AC744" s="49"/>
      <c r="AD744" s="49"/>
      <c r="AE744" s="49"/>
      <c r="AF744" s="49"/>
      <c r="AG744" s="49"/>
      <c r="AH744" s="49"/>
      <c r="AI744" s="48"/>
      <c r="AJ744" s="48"/>
      <c r="AK744" s="24"/>
      <c r="AL744" s="50"/>
      <c r="AM744" s="50"/>
      <c r="AN744" s="50"/>
      <c r="AO744" s="50"/>
      <c r="AP744" s="50"/>
      <c r="AQ744" s="50"/>
      <c r="AR744" s="50"/>
      <c r="AS744" s="50"/>
      <c r="AT744" s="51"/>
      <c r="AU744" s="51"/>
      <c r="AV744" s="51"/>
      <c r="AW744" s="51"/>
      <c r="AX744" s="50"/>
      <c r="AY744" s="50"/>
      <c r="AZ744" s="50"/>
      <c r="BA744" s="50"/>
      <c r="BB744" s="51"/>
      <c r="BC744" s="51"/>
      <c r="BD744" s="51"/>
      <c r="BE744" s="51"/>
      <c r="BF744" s="47"/>
      <c r="BG744" s="47"/>
      <c r="BH744" s="47"/>
      <c r="BI744" s="47"/>
      <c r="BJ744" s="47"/>
      <c r="BK744" s="47"/>
      <c r="BL744" s="47"/>
      <c r="BM744" s="47"/>
      <c r="BN744" s="47"/>
      <c r="BO744" s="47"/>
      <c r="BP744" s="47"/>
      <c r="BQ744" s="47"/>
      <c r="BR744" s="47"/>
      <c r="BS744" s="47"/>
      <c r="BT744" s="47"/>
    </row>
    <row r="745">
      <c r="A745" s="24"/>
      <c r="B745" s="48"/>
      <c r="C745" s="49"/>
      <c r="D745" s="24"/>
      <c r="E745" s="52"/>
      <c r="F745" s="53"/>
      <c r="G745" s="48"/>
      <c r="H745" s="49"/>
      <c r="I745" s="49"/>
      <c r="J745" s="48"/>
      <c r="K745" s="48"/>
      <c r="L745" s="48"/>
      <c r="M745" s="48"/>
      <c r="N745" s="48"/>
      <c r="O745" s="48"/>
      <c r="P745" s="48"/>
      <c r="Q745" s="48"/>
      <c r="R745" s="48"/>
      <c r="S745" s="48"/>
      <c r="T745" s="48"/>
      <c r="U745" s="48"/>
      <c r="V745" s="48"/>
      <c r="W745" s="49"/>
      <c r="X745" s="49"/>
      <c r="Y745" s="49"/>
      <c r="Z745" s="49"/>
      <c r="AA745" s="49"/>
      <c r="AB745" s="49"/>
      <c r="AC745" s="49"/>
      <c r="AD745" s="49"/>
      <c r="AE745" s="49"/>
      <c r="AF745" s="49"/>
      <c r="AG745" s="49"/>
      <c r="AH745" s="49"/>
      <c r="AI745" s="48"/>
      <c r="AJ745" s="48"/>
      <c r="AK745" s="24"/>
      <c r="AL745" s="50"/>
      <c r="AM745" s="50"/>
      <c r="AN745" s="50"/>
      <c r="AO745" s="50"/>
      <c r="AP745" s="50"/>
      <c r="AQ745" s="50"/>
      <c r="AR745" s="50"/>
      <c r="AS745" s="50"/>
      <c r="AT745" s="51"/>
      <c r="AU745" s="51"/>
      <c r="AV745" s="51"/>
      <c r="AW745" s="51"/>
      <c r="AX745" s="50"/>
      <c r="AY745" s="50"/>
      <c r="AZ745" s="50"/>
      <c r="BA745" s="50"/>
      <c r="BB745" s="51"/>
      <c r="BC745" s="51"/>
      <c r="BD745" s="51"/>
      <c r="BE745" s="51"/>
      <c r="BF745" s="47"/>
      <c r="BG745" s="47"/>
      <c r="BH745" s="47"/>
      <c r="BI745" s="47"/>
      <c r="BJ745" s="47"/>
      <c r="BK745" s="47"/>
      <c r="BL745" s="47"/>
      <c r="BM745" s="47"/>
      <c r="BN745" s="47"/>
      <c r="BO745" s="47"/>
      <c r="BP745" s="47"/>
      <c r="BQ745" s="47"/>
      <c r="BR745" s="47"/>
      <c r="BS745" s="47"/>
      <c r="BT745" s="47"/>
    </row>
    <row r="746">
      <c r="A746" s="24"/>
      <c r="B746" s="48"/>
      <c r="C746" s="49"/>
      <c r="D746" s="24"/>
      <c r="E746" s="52"/>
      <c r="F746" s="53"/>
      <c r="G746" s="48"/>
      <c r="H746" s="49"/>
      <c r="I746" s="49"/>
      <c r="J746" s="48"/>
      <c r="K746" s="48"/>
      <c r="L746" s="48"/>
      <c r="M746" s="48"/>
      <c r="N746" s="48"/>
      <c r="O746" s="48"/>
      <c r="P746" s="48"/>
      <c r="Q746" s="48"/>
      <c r="R746" s="48"/>
      <c r="S746" s="48"/>
      <c r="T746" s="48"/>
      <c r="U746" s="48"/>
      <c r="V746" s="48"/>
      <c r="W746" s="49"/>
      <c r="X746" s="49"/>
      <c r="Y746" s="49"/>
      <c r="Z746" s="49"/>
      <c r="AA746" s="49"/>
      <c r="AB746" s="49"/>
      <c r="AC746" s="49"/>
      <c r="AD746" s="49"/>
      <c r="AE746" s="49"/>
      <c r="AF746" s="49"/>
      <c r="AG746" s="49"/>
      <c r="AH746" s="49"/>
      <c r="AI746" s="48"/>
      <c r="AJ746" s="48"/>
      <c r="AK746" s="24"/>
      <c r="AL746" s="50"/>
      <c r="AM746" s="50"/>
      <c r="AN746" s="50"/>
      <c r="AO746" s="50"/>
      <c r="AP746" s="50"/>
      <c r="AQ746" s="50"/>
      <c r="AR746" s="50"/>
      <c r="AS746" s="50"/>
      <c r="AT746" s="51"/>
      <c r="AU746" s="51"/>
      <c r="AV746" s="51"/>
      <c r="AW746" s="51"/>
      <c r="AX746" s="50"/>
      <c r="AY746" s="50"/>
      <c r="AZ746" s="50"/>
      <c r="BA746" s="50"/>
      <c r="BB746" s="51"/>
      <c r="BC746" s="51"/>
      <c r="BD746" s="51"/>
      <c r="BE746" s="51"/>
      <c r="BF746" s="47"/>
      <c r="BG746" s="47"/>
      <c r="BH746" s="47"/>
      <c r="BI746" s="47"/>
      <c r="BJ746" s="47"/>
      <c r="BK746" s="47"/>
      <c r="BL746" s="47"/>
      <c r="BM746" s="47"/>
      <c r="BN746" s="47"/>
      <c r="BO746" s="47"/>
      <c r="BP746" s="47"/>
      <c r="BQ746" s="47"/>
      <c r="BR746" s="47"/>
      <c r="BS746" s="47"/>
      <c r="BT746" s="47"/>
    </row>
    <row r="747">
      <c r="A747" s="24"/>
      <c r="B747" s="48"/>
      <c r="C747" s="49"/>
      <c r="D747" s="24"/>
      <c r="E747" s="52"/>
      <c r="F747" s="53"/>
      <c r="G747" s="48"/>
      <c r="H747" s="49"/>
      <c r="I747" s="49"/>
      <c r="J747" s="48"/>
      <c r="K747" s="48"/>
      <c r="L747" s="48"/>
      <c r="M747" s="48"/>
      <c r="N747" s="48"/>
      <c r="O747" s="48"/>
      <c r="P747" s="48"/>
      <c r="Q747" s="48"/>
      <c r="R747" s="48"/>
      <c r="S747" s="48"/>
      <c r="T747" s="48"/>
      <c r="U747" s="48"/>
      <c r="V747" s="48"/>
      <c r="W747" s="49"/>
      <c r="X747" s="49"/>
      <c r="Y747" s="49"/>
      <c r="Z747" s="49"/>
      <c r="AA747" s="49"/>
      <c r="AB747" s="49"/>
      <c r="AC747" s="49"/>
      <c r="AD747" s="49"/>
      <c r="AE747" s="49"/>
      <c r="AF747" s="49"/>
      <c r="AG747" s="49"/>
      <c r="AH747" s="49"/>
      <c r="AI747" s="48"/>
      <c r="AJ747" s="48"/>
      <c r="AK747" s="24"/>
      <c r="AL747" s="50"/>
      <c r="AM747" s="50"/>
      <c r="AN747" s="50"/>
      <c r="AO747" s="50"/>
      <c r="AP747" s="50"/>
      <c r="AQ747" s="50"/>
      <c r="AR747" s="50"/>
      <c r="AS747" s="50"/>
      <c r="AT747" s="51"/>
      <c r="AU747" s="51"/>
      <c r="AV747" s="51"/>
      <c r="AW747" s="51"/>
      <c r="AX747" s="50"/>
      <c r="AY747" s="50"/>
      <c r="AZ747" s="50"/>
      <c r="BA747" s="50"/>
      <c r="BB747" s="51"/>
      <c r="BC747" s="51"/>
      <c r="BD747" s="51"/>
      <c r="BE747" s="51"/>
      <c r="BF747" s="47"/>
      <c r="BG747" s="47"/>
      <c r="BH747" s="47"/>
      <c r="BI747" s="47"/>
      <c r="BJ747" s="47"/>
      <c r="BK747" s="47"/>
      <c r="BL747" s="47"/>
      <c r="BM747" s="47"/>
      <c r="BN747" s="47"/>
      <c r="BO747" s="47"/>
      <c r="BP747" s="47"/>
      <c r="BQ747" s="47"/>
      <c r="BR747" s="47"/>
      <c r="BS747" s="47"/>
      <c r="BT747" s="47"/>
    </row>
    <row r="748">
      <c r="A748" s="24"/>
      <c r="B748" s="48"/>
      <c r="C748" s="49"/>
      <c r="D748" s="24"/>
      <c r="E748" s="52"/>
      <c r="F748" s="53"/>
      <c r="G748" s="48"/>
      <c r="H748" s="49"/>
      <c r="I748" s="49"/>
      <c r="J748" s="48"/>
      <c r="K748" s="48"/>
      <c r="L748" s="48"/>
      <c r="M748" s="48"/>
      <c r="N748" s="48"/>
      <c r="O748" s="48"/>
      <c r="P748" s="48"/>
      <c r="Q748" s="48"/>
      <c r="R748" s="48"/>
      <c r="S748" s="48"/>
      <c r="T748" s="48"/>
      <c r="U748" s="48"/>
      <c r="V748" s="48"/>
      <c r="W748" s="49"/>
      <c r="X748" s="49"/>
      <c r="Y748" s="49"/>
      <c r="Z748" s="49"/>
      <c r="AA748" s="49"/>
      <c r="AB748" s="49"/>
      <c r="AC748" s="49"/>
      <c r="AD748" s="49"/>
      <c r="AE748" s="49"/>
      <c r="AF748" s="49"/>
      <c r="AG748" s="49"/>
      <c r="AH748" s="49"/>
      <c r="AI748" s="48"/>
      <c r="AJ748" s="48"/>
      <c r="AK748" s="24"/>
      <c r="AL748" s="50"/>
      <c r="AM748" s="50"/>
      <c r="AN748" s="50"/>
      <c r="AO748" s="50"/>
      <c r="AP748" s="50"/>
      <c r="AQ748" s="50"/>
      <c r="AR748" s="50"/>
      <c r="AS748" s="50"/>
      <c r="AT748" s="51"/>
      <c r="AU748" s="51"/>
      <c r="AV748" s="51"/>
      <c r="AW748" s="51"/>
      <c r="AX748" s="50"/>
      <c r="AY748" s="50"/>
      <c r="AZ748" s="50"/>
      <c r="BA748" s="50"/>
      <c r="BB748" s="51"/>
      <c r="BC748" s="51"/>
      <c r="BD748" s="51"/>
      <c r="BE748" s="51"/>
      <c r="BF748" s="47"/>
      <c r="BG748" s="47"/>
      <c r="BH748" s="47"/>
      <c r="BI748" s="47"/>
      <c r="BJ748" s="47"/>
      <c r="BK748" s="47"/>
      <c r="BL748" s="47"/>
      <c r="BM748" s="47"/>
      <c r="BN748" s="47"/>
      <c r="BO748" s="47"/>
      <c r="BP748" s="47"/>
      <c r="BQ748" s="47"/>
      <c r="BR748" s="47"/>
      <c r="BS748" s="47"/>
      <c r="BT748" s="47"/>
    </row>
    <row r="749">
      <c r="A749" s="24"/>
      <c r="B749" s="48"/>
      <c r="C749" s="49"/>
      <c r="D749" s="24"/>
      <c r="E749" s="52"/>
      <c r="F749" s="53"/>
      <c r="G749" s="48"/>
      <c r="H749" s="49"/>
      <c r="I749" s="49"/>
      <c r="J749" s="48"/>
      <c r="K749" s="48"/>
      <c r="L749" s="48"/>
      <c r="M749" s="48"/>
      <c r="N749" s="48"/>
      <c r="O749" s="48"/>
      <c r="P749" s="48"/>
      <c r="Q749" s="48"/>
      <c r="R749" s="48"/>
      <c r="S749" s="48"/>
      <c r="T749" s="48"/>
      <c r="U749" s="48"/>
      <c r="V749" s="48"/>
      <c r="W749" s="49"/>
      <c r="X749" s="49"/>
      <c r="Y749" s="49"/>
      <c r="Z749" s="49"/>
      <c r="AA749" s="49"/>
      <c r="AB749" s="49"/>
      <c r="AC749" s="49"/>
      <c r="AD749" s="49"/>
      <c r="AE749" s="49"/>
      <c r="AF749" s="49"/>
      <c r="AG749" s="49"/>
      <c r="AH749" s="49"/>
      <c r="AI749" s="48"/>
      <c r="AJ749" s="48"/>
      <c r="AK749" s="24"/>
      <c r="AL749" s="50"/>
      <c r="AM749" s="50"/>
      <c r="AN749" s="50"/>
      <c r="AO749" s="50"/>
      <c r="AP749" s="50"/>
      <c r="AQ749" s="50"/>
      <c r="AR749" s="50"/>
      <c r="AS749" s="50"/>
      <c r="AT749" s="51"/>
      <c r="AU749" s="51"/>
      <c r="AV749" s="51"/>
      <c r="AW749" s="51"/>
      <c r="AX749" s="50"/>
      <c r="AY749" s="50"/>
      <c r="AZ749" s="50"/>
      <c r="BA749" s="50"/>
      <c r="BB749" s="51"/>
      <c r="BC749" s="51"/>
      <c r="BD749" s="51"/>
      <c r="BE749" s="51"/>
      <c r="BF749" s="47"/>
      <c r="BG749" s="47"/>
      <c r="BH749" s="47"/>
      <c r="BI749" s="47"/>
      <c r="BJ749" s="47"/>
      <c r="BK749" s="47"/>
      <c r="BL749" s="47"/>
      <c r="BM749" s="47"/>
      <c r="BN749" s="47"/>
      <c r="BO749" s="47"/>
      <c r="BP749" s="47"/>
      <c r="BQ749" s="47"/>
      <c r="BR749" s="47"/>
      <c r="BS749" s="47"/>
      <c r="BT749" s="47"/>
    </row>
    <row r="750">
      <c r="A750" s="24"/>
      <c r="B750" s="48"/>
      <c r="C750" s="49"/>
      <c r="D750" s="24"/>
      <c r="E750" s="52"/>
      <c r="F750" s="53"/>
      <c r="G750" s="48"/>
      <c r="H750" s="49"/>
      <c r="I750" s="49"/>
      <c r="J750" s="48"/>
      <c r="K750" s="48"/>
      <c r="L750" s="48"/>
      <c r="M750" s="48"/>
      <c r="N750" s="48"/>
      <c r="O750" s="48"/>
      <c r="P750" s="48"/>
      <c r="Q750" s="48"/>
      <c r="R750" s="48"/>
      <c r="S750" s="48"/>
      <c r="T750" s="48"/>
      <c r="U750" s="48"/>
      <c r="V750" s="48"/>
      <c r="W750" s="49"/>
      <c r="X750" s="49"/>
      <c r="Y750" s="49"/>
      <c r="Z750" s="49"/>
      <c r="AA750" s="49"/>
      <c r="AB750" s="49"/>
      <c r="AC750" s="49"/>
      <c r="AD750" s="49"/>
      <c r="AE750" s="49"/>
      <c r="AF750" s="49"/>
      <c r="AG750" s="49"/>
      <c r="AH750" s="49"/>
      <c r="AI750" s="48"/>
      <c r="AJ750" s="48"/>
      <c r="AK750" s="24"/>
      <c r="AL750" s="50"/>
      <c r="AM750" s="50"/>
      <c r="AN750" s="50"/>
      <c r="AO750" s="50"/>
      <c r="AP750" s="50"/>
      <c r="AQ750" s="50"/>
      <c r="AR750" s="50"/>
      <c r="AS750" s="50"/>
      <c r="AT750" s="51"/>
      <c r="AU750" s="51"/>
      <c r="AV750" s="51"/>
      <c r="AW750" s="51"/>
      <c r="AX750" s="50"/>
      <c r="AY750" s="50"/>
      <c r="AZ750" s="50"/>
      <c r="BA750" s="50"/>
      <c r="BB750" s="51"/>
      <c r="BC750" s="51"/>
      <c r="BD750" s="51"/>
      <c r="BE750" s="51"/>
      <c r="BF750" s="47"/>
      <c r="BG750" s="47"/>
      <c r="BH750" s="47"/>
      <c r="BI750" s="47"/>
      <c r="BJ750" s="47"/>
      <c r="BK750" s="47"/>
      <c r="BL750" s="47"/>
      <c r="BM750" s="47"/>
      <c r="BN750" s="47"/>
      <c r="BO750" s="47"/>
      <c r="BP750" s="47"/>
      <c r="BQ750" s="47"/>
      <c r="BR750" s="47"/>
      <c r="BS750" s="47"/>
      <c r="BT750" s="47"/>
    </row>
    <row r="751">
      <c r="A751" s="24"/>
      <c r="B751" s="48"/>
      <c r="C751" s="49"/>
      <c r="D751" s="24"/>
      <c r="E751" s="52"/>
      <c r="F751" s="53"/>
      <c r="G751" s="48"/>
      <c r="H751" s="49"/>
      <c r="I751" s="49"/>
      <c r="J751" s="48"/>
      <c r="K751" s="48"/>
      <c r="L751" s="48"/>
      <c r="M751" s="48"/>
      <c r="N751" s="48"/>
      <c r="O751" s="48"/>
      <c r="P751" s="48"/>
      <c r="Q751" s="48"/>
      <c r="R751" s="48"/>
      <c r="S751" s="48"/>
      <c r="T751" s="48"/>
      <c r="U751" s="48"/>
      <c r="V751" s="48"/>
      <c r="W751" s="49"/>
      <c r="X751" s="49"/>
      <c r="Y751" s="49"/>
      <c r="Z751" s="49"/>
      <c r="AA751" s="49"/>
      <c r="AB751" s="49"/>
      <c r="AC751" s="49"/>
      <c r="AD751" s="49"/>
      <c r="AE751" s="49"/>
      <c r="AF751" s="49"/>
      <c r="AG751" s="49"/>
      <c r="AH751" s="49"/>
      <c r="AI751" s="48"/>
      <c r="AJ751" s="48"/>
      <c r="AK751" s="24"/>
      <c r="AL751" s="50"/>
      <c r="AM751" s="50"/>
      <c r="AN751" s="50"/>
      <c r="AO751" s="50"/>
      <c r="AP751" s="50"/>
      <c r="AQ751" s="50"/>
      <c r="AR751" s="50"/>
      <c r="AS751" s="50"/>
      <c r="AT751" s="51"/>
      <c r="AU751" s="51"/>
      <c r="AV751" s="51"/>
      <c r="AW751" s="51"/>
      <c r="AX751" s="50"/>
      <c r="AY751" s="50"/>
      <c r="AZ751" s="50"/>
      <c r="BA751" s="50"/>
      <c r="BB751" s="51"/>
      <c r="BC751" s="51"/>
      <c r="BD751" s="51"/>
      <c r="BE751" s="51"/>
      <c r="BF751" s="47"/>
      <c r="BG751" s="47"/>
      <c r="BH751" s="47"/>
      <c r="BI751" s="47"/>
      <c r="BJ751" s="47"/>
      <c r="BK751" s="47"/>
      <c r="BL751" s="47"/>
      <c r="BM751" s="47"/>
      <c r="BN751" s="47"/>
      <c r="BO751" s="47"/>
      <c r="BP751" s="47"/>
      <c r="BQ751" s="47"/>
      <c r="BR751" s="47"/>
      <c r="BS751" s="47"/>
      <c r="BT751" s="47"/>
    </row>
    <row r="752">
      <c r="A752" s="24"/>
      <c r="B752" s="48"/>
      <c r="C752" s="49"/>
      <c r="D752" s="24"/>
      <c r="E752" s="52"/>
      <c r="F752" s="53"/>
      <c r="G752" s="48"/>
      <c r="H752" s="49"/>
      <c r="I752" s="49"/>
      <c r="J752" s="48"/>
      <c r="K752" s="48"/>
      <c r="L752" s="48"/>
      <c r="M752" s="48"/>
      <c r="N752" s="48"/>
      <c r="O752" s="48"/>
      <c r="P752" s="48"/>
      <c r="Q752" s="48"/>
      <c r="R752" s="48"/>
      <c r="S752" s="48"/>
      <c r="T752" s="48"/>
      <c r="U752" s="48"/>
      <c r="V752" s="48"/>
      <c r="W752" s="49"/>
      <c r="X752" s="49"/>
      <c r="Y752" s="49"/>
      <c r="Z752" s="49"/>
      <c r="AA752" s="49"/>
      <c r="AB752" s="49"/>
      <c r="AC752" s="49"/>
      <c r="AD752" s="49"/>
      <c r="AE752" s="49"/>
      <c r="AF752" s="49"/>
      <c r="AG752" s="49"/>
      <c r="AH752" s="49"/>
      <c r="AI752" s="48"/>
      <c r="AJ752" s="48"/>
      <c r="AK752" s="24"/>
      <c r="AL752" s="50"/>
      <c r="AM752" s="50"/>
      <c r="AN752" s="50"/>
      <c r="AO752" s="50"/>
      <c r="AP752" s="50"/>
      <c r="AQ752" s="50"/>
      <c r="AR752" s="50"/>
      <c r="AS752" s="50"/>
      <c r="AT752" s="51"/>
      <c r="AU752" s="51"/>
      <c r="AV752" s="51"/>
      <c r="AW752" s="51"/>
      <c r="AX752" s="50"/>
      <c r="AY752" s="50"/>
      <c r="AZ752" s="50"/>
      <c r="BA752" s="50"/>
      <c r="BB752" s="51"/>
      <c r="BC752" s="51"/>
      <c r="BD752" s="51"/>
      <c r="BE752" s="51"/>
      <c r="BF752" s="47"/>
      <c r="BG752" s="47"/>
      <c r="BH752" s="47"/>
      <c r="BI752" s="47"/>
      <c r="BJ752" s="47"/>
      <c r="BK752" s="47"/>
      <c r="BL752" s="47"/>
      <c r="BM752" s="47"/>
      <c r="BN752" s="47"/>
      <c r="BO752" s="47"/>
      <c r="BP752" s="47"/>
      <c r="BQ752" s="47"/>
      <c r="BR752" s="47"/>
      <c r="BS752" s="47"/>
      <c r="BT752" s="47"/>
    </row>
    <row r="753">
      <c r="A753" s="24"/>
      <c r="B753" s="48"/>
      <c r="C753" s="49"/>
      <c r="D753" s="24"/>
      <c r="E753" s="52"/>
      <c r="F753" s="53"/>
      <c r="G753" s="48"/>
      <c r="H753" s="49"/>
      <c r="I753" s="49"/>
      <c r="J753" s="48"/>
      <c r="K753" s="48"/>
      <c r="L753" s="48"/>
      <c r="M753" s="48"/>
      <c r="N753" s="48"/>
      <c r="O753" s="48"/>
      <c r="P753" s="48"/>
      <c r="Q753" s="48"/>
      <c r="R753" s="48"/>
      <c r="S753" s="48"/>
      <c r="T753" s="48"/>
      <c r="U753" s="48"/>
      <c r="V753" s="48"/>
      <c r="W753" s="49"/>
      <c r="X753" s="49"/>
      <c r="Y753" s="49"/>
      <c r="Z753" s="49"/>
      <c r="AA753" s="49"/>
      <c r="AB753" s="49"/>
      <c r="AC753" s="49"/>
      <c r="AD753" s="49"/>
      <c r="AE753" s="49"/>
      <c r="AF753" s="49"/>
      <c r="AG753" s="49"/>
      <c r="AH753" s="49"/>
      <c r="AI753" s="48"/>
      <c r="AJ753" s="48"/>
      <c r="AK753" s="24"/>
      <c r="AL753" s="50"/>
      <c r="AM753" s="50"/>
      <c r="AN753" s="50"/>
      <c r="AO753" s="50"/>
      <c r="AP753" s="50"/>
      <c r="AQ753" s="50"/>
      <c r="AR753" s="50"/>
      <c r="AS753" s="50"/>
      <c r="AT753" s="51"/>
      <c r="AU753" s="51"/>
      <c r="AV753" s="51"/>
      <c r="AW753" s="51"/>
      <c r="AX753" s="50"/>
      <c r="AY753" s="50"/>
      <c r="AZ753" s="50"/>
      <c r="BA753" s="50"/>
      <c r="BB753" s="51"/>
      <c r="BC753" s="51"/>
      <c r="BD753" s="51"/>
      <c r="BE753" s="51"/>
      <c r="BF753" s="47"/>
      <c r="BG753" s="47"/>
      <c r="BH753" s="47"/>
      <c r="BI753" s="47"/>
      <c r="BJ753" s="47"/>
      <c r="BK753" s="47"/>
      <c r="BL753" s="47"/>
      <c r="BM753" s="47"/>
      <c r="BN753" s="47"/>
      <c r="BO753" s="47"/>
      <c r="BP753" s="47"/>
      <c r="BQ753" s="47"/>
      <c r="BR753" s="47"/>
      <c r="BS753" s="47"/>
      <c r="BT753" s="47"/>
    </row>
    <row r="754">
      <c r="A754" s="24"/>
      <c r="B754" s="48"/>
      <c r="C754" s="49"/>
      <c r="D754" s="24"/>
      <c r="E754" s="52"/>
      <c r="F754" s="53"/>
      <c r="G754" s="48"/>
      <c r="H754" s="49"/>
      <c r="I754" s="49"/>
      <c r="J754" s="48"/>
      <c r="K754" s="48"/>
      <c r="L754" s="48"/>
      <c r="M754" s="48"/>
      <c r="N754" s="48"/>
      <c r="O754" s="48"/>
      <c r="P754" s="48"/>
      <c r="Q754" s="48"/>
      <c r="R754" s="48"/>
      <c r="S754" s="48"/>
      <c r="T754" s="48"/>
      <c r="U754" s="48"/>
      <c r="V754" s="48"/>
      <c r="W754" s="49"/>
      <c r="X754" s="49"/>
      <c r="Y754" s="49"/>
      <c r="Z754" s="49"/>
      <c r="AA754" s="49"/>
      <c r="AB754" s="49"/>
      <c r="AC754" s="49"/>
      <c r="AD754" s="49"/>
      <c r="AE754" s="49"/>
      <c r="AF754" s="49"/>
      <c r="AG754" s="49"/>
      <c r="AH754" s="49"/>
      <c r="AI754" s="48"/>
      <c r="AJ754" s="48"/>
      <c r="AK754" s="24"/>
      <c r="AL754" s="50"/>
      <c r="AM754" s="50"/>
      <c r="AN754" s="50"/>
      <c r="AO754" s="50"/>
      <c r="AP754" s="50"/>
      <c r="AQ754" s="50"/>
      <c r="AR754" s="50"/>
      <c r="AS754" s="50"/>
      <c r="AT754" s="51"/>
      <c r="AU754" s="51"/>
      <c r="AV754" s="51"/>
      <c r="AW754" s="51"/>
      <c r="AX754" s="50"/>
      <c r="AY754" s="50"/>
      <c r="AZ754" s="50"/>
      <c r="BA754" s="50"/>
      <c r="BB754" s="51"/>
      <c r="BC754" s="51"/>
      <c r="BD754" s="51"/>
      <c r="BE754" s="51"/>
      <c r="BF754" s="47"/>
      <c r="BG754" s="47"/>
      <c r="BH754" s="47"/>
      <c r="BI754" s="47"/>
      <c r="BJ754" s="47"/>
      <c r="BK754" s="47"/>
      <c r="BL754" s="47"/>
      <c r="BM754" s="47"/>
      <c r="BN754" s="47"/>
      <c r="BO754" s="47"/>
      <c r="BP754" s="47"/>
      <c r="BQ754" s="47"/>
      <c r="BR754" s="47"/>
      <c r="BS754" s="47"/>
      <c r="BT754" s="47"/>
    </row>
    <row r="755">
      <c r="A755" s="24"/>
      <c r="B755" s="48"/>
      <c r="C755" s="49"/>
      <c r="D755" s="24"/>
      <c r="E755" s="52"/>
      <c r="F755" s="53"/>
      <c r="G755" s="48"/>
      <c r="H755" s="49"/>
      <c r="I755" s="49"/>
      <c r="J755" s="48"/>
      <c r="K755" s="48"/>
      <c r="L755" s="48"/>
      <c r="M755" s="48"/>
      <c r="N755" s="48"/>
      <c r="O755" s="48"/>
      <c r="P755" s="48"/>
      <c r="Q755" s="48"/>
      <c r="R755" s="48"/>
      <c r="S755" s="48"/>
      <c r="T755" s="48"/>
      <c r="U755" s="48"/>
      <c r="V755" s="48"/>
      <c r="W755" s="49"/>
      <c r="X755" s="49"/>
      <c r="Y755" s="49"/>
      <c r="Z755" s="49"/>
      <c r="AA755" s="49"/>
      <c r="AB755" s="49"/>
      <c r="AC755" s="49"/>
      <c r="AD755" s="49"/>
      <c r="AE755" s="49"/>
      <c r="AF755" s="49"/>
      <c r="AG755" s="49"/>
      <c r="AH755" s="49"/>
      <c r="AI755" s="48"/>
      <c r="AJ755" s="48"/>
      <c r="AK755" s="24"/>
      <c r="AL755" s="50"/>
      <c r="AM755" s="50"/>
      <c r="AN755" s="50"/>
      <c r="AO755" s="50"/>
      <c r="AP755" s="50"/>
      <c r="AQ755" s="50"/>
      <c r="AR755" s="50"/>
      <c r="AS755" s="50"/>
      <c r="AT755" s="51"/>
      <c r="AU755" s="51"/>
      <c r="AV755" s="51"/>
      <c r="AW755" s="51"/>
      <c r="AX755" s="50"/>
      <c r="AY755" s="50"/>
      <c r="AZ755" s="50"/>
      <c r="BA755" s="50"/>
      <c r="BB755" s="51"/>
      <c r="BC755" s="51"/>
      <c r="BD755" s="51"/>
      <c r="BE755" s="51"/>
      <c r="BF755" s="47"/>
      <c r="BG755" s="47"/>
      <c r="BH755" s="47"/>
      <c r="BI755" s="47"/>
      <c r="BJ755" s="47"/>
      <c r="BK755" s="47"/>
      <c r="BL755" s="47"/>
      <c r="BM755" s="47"/>
      <c r="BN755" s="47"/>
      <c r="BO755" s="47"/>
      <c r="BP755" s="47"/>
      <c r="BQ755" s="47"/>
      <c r="BR755" s="47"/>
      <c r="BS755" s="47"/>
      <c r="BT755" s="47"/>
    </row>
    <row r="756">
      <c r="A756" s="24"/>
      <c r="B756" s="48"/>
      <c r="C756" s="49"/>
      <c r="D756" s="24"/>
      <c r="E756" s="52"/>
      <c r="F756" s="53"/>
      <c r="G756" s="48"/>
      <c r="H756" s="49"/>
      <c r="I756" s="49"/>
      <c r="J756" s="48"/>
      <c r="K756" s="48"/>
      <c r="L756" s="48"/>
      <c r="M756" s="48"/>
      <c r="N756" s="48"/>
      <c r="O756" s="48"/>
      <c r="P756" s="48"/>
      <c r="Q756" s="48"/>
      <c r="R756" s="48"/>
      <c r="S756" s="48"/>
      <c r="T756" s="48"/>
      <c r="U756" s="48"/>
      <c r="V756" s="48"/>
      <c r="W756" s="49"/>
      <c r="X756" s="49"/>
      <c r="Y756" s="49"/>
      <c r="Z756" s="49"/>
      <c r="AA756" s="49"/>
      <c r="AB756" s="49"/>
      <c r="AC756" s="49"/>
      <c r="AD756" s="49"/>
      <c r="AE756" s="49"/>
      <c r="AF756" s="49"/>
      <c r="AG756" s="49"/>
      <c r="AH756" s="49"/>
      <c r="AI756" s="48"/>
      <c r="AJ756" s="48"/>
      <c r="AK756" s="24"/>
      <c r="AL756" s="50"/>
      <c r="AM756" s="50"/>
      <c r="AN756" s="50"/>
      <c r="AO756" s="50"/>
      <c r="AP756" s="50"/>
      <c r="AQ756" s="50"/>
      <c r="AR756" s="50"/>
      <c r="AS756" s="50"/>
      <c r="AT756" s="51"/>
      <c r="AU756" s="51"/>
      <c r="AV756" s="51"/>
      <c r="AW756" s="51"/>
      <c r="AX756" s="50"/>
      <c r="AY756" s="50"/>
      <c r="AZ756" s="50"/>
      <c r="BA756" s="50"/>
      <c r="BB756" s="51"/>
      <c r="BC756" s="51"/>
      <c r="BD756" s="51"/>
      <c r="BE756" s="51"/>
      <c r="BF756" s="47"/>
      <c r="BG756" s="47"/>
      <c r="BH756" s="47"/>
      <c r="BI756" s="47"/>
      <c r="BJ756" s="47"/>
      <c r="BK756" s="47"/>
      <c r="BL756" s="47"/>
      <c r="BM756" s="47"/>
      <c r="BN756" s="47"/>
      <c r="BO756" s="47"/>
      <c r="BP756" s="47"/>
      <c r="BQ756" s="47"/>
      <c r="BR756" s="47"/>
      <c r="BS756" s="47"/>
      <c r="BT756" s="47"/>
    </row>
    <row r="757">
      <c r="A757" s="24"/>
      <c r="B757" s="48"/>
      <c r="C757" s="49"/>
      <c r="D757" s="24"/>
      <c r="E757" s="52"/>
      <c r="F757" s="53"/>
      <c r="G757" s="48"/>
      <c r="H757" s="49"/>
      <c r="I757" s="49"/>
      <c r="J757" s="48"/>
      <c r="K757" s="48"/>
      <c r="L757" s="48"/>
      <c r="M757" s="48"/>
      <c r="N757" s="48"/>
      <c r="O757" s="48"/>
      <c r="P757" s="48"/>
      <c r="Q757" s="48"/>
      <c r="R757" s="48"/>
      <c r="S757" s="48"/>
      <c r="T757" s="48"/>
      <c r="U757" s="48"/>
      <c r="V757" s="48"/>
      <c r="W757" s="49"/>
      <c r="X757" s="49"/>
      <c r="Y757" s="49"/>
      <c r="Z757" s="49"/>
      <c r="AA757" s="49"/>
      <c r="AB757" s="49"/>
      <c r="AC757" s="49"/>
      <c r="AD757" s="49"/>
      <c r="AE757" s="49"/>
      <c r="AF757" s="49"/>
      <c r="AG757" s="49"/>
      <c r="AH757" s="49"/>
      <c r="AI757" s="48"/>
      <c r="AJ757" s="48"/>
      <c r="AK757" s="24"/>
      <c r="AL757" s="50"/>
      <c r="AM757" s="50"/>
      <c r="AN757" s="50"/>
      <c r="AO757" s="50"/>
      <c r="AP757" s="50"/>
      <c r="AQ757" s="50"/>
      <c r="AR757" s="50"/>
      <c r="AS757" s="50"/>
      <c r="AT757" s="51"/>
      <c r="AU757" s="51"/>
      <c r="AV757" s="51"/>
      <c r="AW757" s="51"/>
      <c r="AX757" s="50"/>
      <c r="AY757" s="50"/>
      <c r="AZ757" s="50"/>
      <c r="BA757" s="50"/>
      <c r="BB757" s="51"/>
      <c r="BC757" s="51"/>
      <c r="BD757" s="51"/>
      <c r="BE757" s="51"/>
      <c r="BF757" s="47"/>
      <c r="BG757" s="47"/>
      <c r="BH757" s="47"/>
      <c r="BI757" s="47"/>
      <c r="BJ757" s="47"/>
      <c r="BK757" s="47"/>
      <c r="BL757" s="47"/>
      <c r="BM757" s="47"/>
      <c r="BN757" s="47"/>
      <c r="BO757" s="47"/>
      <c r="BP757" s="47"/>
      <c r="BQ757" s="47"/>
      <c r="BR757" s="47"/>
      <c r="BS757" s="47"/>
      <c r="BT757" s="47"/>
    </row>
    <row r="758">
      <c r="A758" s="24"/>
      <c r="B758" s="48"/>
      <c r="C758" s="49"/>
      <c r="D758" s="24"/>
      <c r="E758" s="52"/>
      <c r="F758" s="53"/>
      <c r="G758" s="48"/>
      <c r="H758" s="49"/>
      <c r="I758" s="49"/>
      <c r="J758" s="48"/>
      <c r="K758" s="48"/>
      <c r="L758" s="48"/>
      <c r="M758" s="48"/>
      <c r="N758" s="48"/>
      <c r="O758" s="48"/>
      <c r="P758" s="48"/>
      <c r="Q758" s="48"/>
      <c r="R758" s="48"/>
      <c r="S758" s="48"/>
      <c r="T758" s="48"/>
      <c r="U758" s="48"/>
      <c r="V758" s="48"/>
      <c r="W758" s="49"/>
      <c r="X758" s="49"/>
      <c r="Y758" s="49"/>
      <c r="Z758" s="49"/>
      <c r="AA758" s="49"/>
      <c r="AB758" s="49"/>
      <c r="AC758" s="49"/>
      <c r="AD758" s="49"/>
      <c r="AE758" s="49"/>
      <c r="AF758" s="49"/>
      <c r="AG758" s="49"/>
      <c r="AH758" s="49"/>
      <c r="AI758" s="48"/>
      <c r="AJ758" s="48"/>
      <c r="AK758" s="24"/>
      <c r="AL758" s="50"/>
      <c r="AM758" s="50"/>
      <c r="AN758" s="50"/>
      <c r="AO758" s="50"/>
      <c r="AP758" s="50"/>
      <c r="AQ758" s="50"/>
      <c r="AR758" s="50"/>
      <c r="AS758" s="50"/>
      <c r="AT758" s="51"/>
      <c r="AU758" s="51"/>
      <c r="AV758" s="51"/>
      <c r="AW758" s="51"/>
      <c r="AX758" s="50"/>
      <c r="AY758" s="50"/>
      <c r="AZ758" s="50"/>
      <c r="BA758" s="50"/>
      <c r="BB758" s="51"/>
      <c r="BC758" s="51"/>
      <c r="BD758" s="51"/>
      <c r="BE758" s="51"/>
      <c r="BF758" s="47"/>
      <c r="BG758" s="47"/>
      <c r="BH758" s="47"/>
      <c r="BI758" s="47"/>
      <c r="BJ758" s="47"/>
      <c r="BK758" s="47"/>
      <c r="BL758" s="47"/>
      <c r="BM758" s="47"/>
      <c r="BN758" s="47"/>
      <c r="BO758" s="47"/>
      <c r="BP758" s="47"/>
      <c r="BQ758" s="47"/>
      <c r="BR758" s="47"/>
      <c r="BS758" s="47"/>
      <c r="BT758" s="47"/>
    </row>
    <row r="759">
      <c r="A759" s="24"/>
      <c r="B759" s="48"/>
      <c r="C759" s="49"/>
      <c r="D759" s="24"/>
      <c r="E759" s="52"/>
      <c r="F759" s="53"/>
      <c r="G759" s="48"/>
      <c r="H759" s="49"/>
      <c r="I759" s="49"/>
      <c r="J759" s="48"/>
      <c r="K759" s="48"/>
      <c r="L759" s="48"/>
      <c r="M759" s="48"/>
      <c r="N759" s="48"/>
      <c r="O759" s="48"/>
      <c r="P759" s="48"/>
      <c r="Q759" s="48"/>
      <c r="R759" s="48"/>
      <c r="S759" s="48"/>
      <c r="T759" s="48"/>
      <c r="U759" s="48"/>
      <c r="V759" s="48"/>
      <c r="W759" s="49"/>
      <c r="X759" s="49"/>
      <c r="Y759" s="49"/>
      <c r="Z759" s="49"/>
      <c r="AA759" s="49"/>
      <c r="AB759" s="49"/>
      <c r="AC759" s="49"/>
      <c r="AD759" s="49"/>
      <c r="AE759" s="49"/>
      <c r="AF759" s="49"/>
      <c r="AG759" s="49"/>
      <c r="AH759" s="49"/>
      <c r="AI759" s="48"/>
      <c r="AJ759" s="48"/>
      <c r="AK759" s="24"/>
      <c r="AL759" s="50"/>
      <c r="AM759" s="50"/>
      <c r="AN759" s="50"/>
      <c r="AO759" s="50"/>
      <c r="AP759" s="50"/>
      <c r="AQ759" s="50"/>
      <c r="AR759" s="50"/>
      <c r="AS759" s="50"/>
      <c r="AT759" s="51"/>
      <c r="AU759" s="51"/>
      <c r="AV759" s="51"/>
      <c r="AW759" s="51"/>
      <c r="AX759" s="50"/>
      <c r="AY759" s="50"/>
      <c r="AZ759" s="50"/>
      <c r="BA759" s="50"/>
      <c r="BB759" s="51"/>
      <c r="BC759" s="51"/>
      <c r="BD759" s="51"/>
      <c r="BE759" s="51"/>
      <c r="BF759" s="47"/>
      <c r="BG759" s="47"/>
      <c r="BH759" s="47"/>
      <c r="BI759" s="47"/>
      <c r="BJ759" s="47"/>
      <c r="BK759" s="47"/>
      <c r="BL759" s="47"/>
      <c r="BM759" s="47"/>
      <c r="BN759" s="47"/>
      <c r="BO759" s="47"/>
      <c r="BP759" s="47"/>
      <c r="BQ759" s="47"/>
      <c r="BR759" s="47"/>
      <c r="BS759" s="47"/>
      <c r="BT759" s="47"/>
    </row>
    <row r="760">
      <c r="A760" s="24"/>
      <c r="B760" s="48"/>
      <c r="C760" s="49"/>
      <c r="D760" s="24"/>
      <c r="E760" s="52"/>
      <c r="F760" s="53"/>
      <c r="G760" s="48"/>
      <c r="H760" s="49"/>
      <c r="I760" s="49"/>
      <c r="J760" s="48"/>
      <c r="K760" s="48"/>
      <c r="L760" s="48"/>
      <c r="M760" s="48"/>
      <c r="N760" s="48"/>
      <c r="O760" s="48"/>
      <c r="P760" s="48"/>
      <c r="Q760" s="48"/>
      <c r="R760" s="48"/>
      <c r="S760" s="48"/>
      <c r="T760" s="48"/>
      <c r="U760" s="48"/>
      <c r="V760" s="48"/>
      <c r="W760" s="49"/>
      <c r="X760" s="49"/>
      <c r="Y760" s="49"/>
      <c r="Z760" s="49"/>
      <c r="AA760" s="49"/>
      <c r="AB760" s="49"/>
      <c r="AC760" s="49"/>
      <c r="AD760" s="49"/>
      <c r="AE760" s="49"/>
      <c r="AF760" s="49"/>
      <c r="AG760" s="49"/>
      <c r="AH760" s="49"/>
      <c r="AI760" s="48"/>
      <c r="AJ760" s="48"/>
      <c r="AK760" s="24"/>
      <c r="AL760" s="50"/>
      <c r="AM760" s="50"/>
      <c r="AN760" s="50"/>
      <c r="AO760" s="50"/>
      <c r="AP760" s="50"/>
      <c r="AQ760" s="50"/>
      <c r="AR760" s="50"/>
      <c r="AS760" s="50"/>
      <c r="AT760" s="51"/>
      <c r="AU760" s="51"/>
      <c r="AV760" s="51"/>
      <c r="AW760" s="51"/>
      <c r="AX760" s="50"/>
      <c r="AY760" s="50"/>
      <c r="AZ760" s="50"/>
      <c r="BA760" s="50"/>
      <c r="BB760" s="51"/>
      <c r="BC760" s="51"/>
      <c r="BD760" s="51"/>
      <c r="BE760" s="51"/>
      <c r="BF760" s="47"/>
      <c r="BG760" s="47"/>
      <c r="BH760" s="47"/>
      <c r="BI760" s="47"/>
      <c r="BJ760" s="47"/>
      <c r="BK760" s="47"/>
      <c r="BL760" s="47"/>
      <c r="BM760" s="47"/>
      <c r="BN760" s="47"/>
      <c r="BO760" s="47"/>
      <c r="BP760" s="47"/>
      <c r="BQ760" s="47"/>
      <c r="BR760" s="47"/>
      <c r="BS760" s="47"/>
      <c r="BT760" s="47"/>
    </row>
    <row r="761">
      <c r="A761" s="24"/>
      <c r="B761" s="48"/>
      <c r="C761" s="49"/>
      <c r="D761" s="24"/>
      <c r="E761" s="52"/>
      <c r="F761" s="53"/>
      <c r="G761" s="48"/>
      <c r="H761" s="49"/>
      <c r="I761" s="49"/>
      <c r="J761" s="48"/>
      <c r="K761" s="48"/>
      <c r="L761" s="48"/>
      <c r="M761" s="48"/>
      <c r="N761" s="48"/>
      <c r="O761" s="48"/>
      <c r="P761" s="48"/>
      <c r="Q761" s="48"/>
      <c r="R761" s="48"/>
      <c r="S761" s="48"/>
      <c r="T761" s="48"/>
      <c r="U761" s="48"/>
      <c r="V761" s="48"/>
      <c r="W761" s="49"/>
      <c r="X761" s="49"/>
      <c r="Y761" s="49"/>
      <c r="Z761" s="49"/>
      <c r="AA761" s="49"/>
      <c r="AB761" s="49"/>
      <c r="AC761" s="49"/>
      <c r="AD761" s="49"/>
      <c r="AE761" s="49"/>
      <c r="AF761" s="49"/>
      <c r="AG761" s="49"/>
      <c r="AH761" s="49"/>
      <c r="AI761" s="48"/>
      <c r="AJ761" s="48"/>
      <c r="AK761" s="24"/>
      <c r="AL761" s="50"/>
      <c r="AM761" s="50"/>
      <c r="AN761" s="50"/>
      <c r="AO761" s="50"/>
      <c r="AP761" s="50"/>
      <c r="AQ761" s="50"/>
      <c r="AR761" s="50"/>
      <c r="AS761" s="50"/>
      <c r="AT761" s="51"/>
      <c r="AU761" s="51"/>
      <c r="AV761" s="51"/>
      <c r="AW761" s="51"/>
      <c r="AX761" s="50"/>
      <c r="AY761" s="50"/>
      <c r="AZ761" s="50"/>
      <c r="BA761" s="50"/>
      <c r="BB761" s="51"/>
      <c r="BC761" s="51"/>
      <c r="BD761" s="51"/>
      <c r="BE761" s="51"/>
      <c r="BF761" s="47"/>
      <c r="BG761" s="47"/>
      <c r="BH761" s="47"/>
      <c r="BI761" s="47"/>
      <c r="BJ761" s="47"/>
      <c r="BK761" s="47"/>
      <c r="BL761" s="47"/>
      <c r="BM761" s="47"/>
      <c r="BN761" s="47"/>
      <c r="BO761" s="47"/>
      <c r="BP761" s="47"/>
      <c r="BQ761" s="47"/>
      <c r="BR761" s="47"/>
      <c r="BS761" s="47"/>
      <c r="BT761" s="47"/>
    </row>
    <row r="762">
      <c r="A762" s="24"/>
      <c r="B762" s="48"/>
      <c r="C762" s="49"/>
      <c r="D762" s="24"/>
      <c r="E762" s="52"/>
      <c r="F762" s="53"/>
      <c r="G762" s="48"/>
      <c r="H762" s="49"/>
      <c r="I762" s="49"/>
      <c r="J762" s="48"/>
      <c r="K762" s="48"/>
      <c r="L762" s="48"/>
      <c r="M762" s="48"/>
      <c r="N762" s="48"/>
      <c r="O762" s="48"/>
      <c r="P762" s="48"/>
      <c r="Q762" s="48"/>
      <c r="R762" s="48"/>
      <c r="S762" s="48"/>
      <c r="T762" s="48"/>
      <c r="U762" s="48"/>
      <c r="V762" s="48"/>
      <c r="W762" s="49"/>
      <c r="X762" s="49"/>
      <c r="Y762" s="49"/>
      <c r="Z762" s="49"/>
      <c r="AA762" s="49"/>
      <c r="AB762" s="49"/>
      <c r="AC762" s="49"/>
      <c r="AD762" s="49"/>
      <c r="AE762" s="49"/>
      <c r="AF762" s="49"/>
      <c r="AG762" s="49"/>
      <c r="AH762" s="49"/>
      <c r="AI762" s="48"/>
      <c r="AJ762" s="48"/>
      <c r="AK762" s="24"/>
      <c r="AL762" s="50"/>
      <c r="AM762" s="50"/>
      <c r="AN762" s="50"/>
      <c r="AO762" s="50"/>
      <c r="AP762" s="50"/>
      <c r="AQ762" s="50"/>
      <c r="AR762" s="50"/>
      <c r="AS762" s="50"/>
      <c r="AT762" s="51"/>
      <c r="AU762" s="51"/>
      <c r="AV762" s="51"/>
      <c r="AW762" s="51"/>
      <c r="AX762" s="50"/>
      <c r="AY762" s="50"/>
      <c r="AZ762" s="50"/>
      <c r="BA762" s="50"/>
      <c r="BB762" s="51"/>
      <c r="BC762" s="51"/>
      <c r="BD762" s="51"/>
      <c r="BE762" s="51"/>
      <c r="BF762" s="47"/>
      <c r="BG762" s="47"/>
      <c r="BH762" s="47"/>
      <c r="BI762" s="47"/>
      <c r="BJ762" s="47"/>
      <c r="BK762" s="47"/>
      <c r="BL762" s="47"/>
      <c r="BM762" s="47"/>
      <c r="BN762" s="47"/>
      <c r="BO762" s="47"/>
      <c r="BP762" s="47"/>
      <c r="BQ762" s="47"/>
      <c r="BR762" s="47"/>
      <c r="BS762" s="47"/>
      <c r="BT762" s="47"/>
    </row>
    <row r="763">
      <c r="A763" s="24"/>
      <c r="B763" s="48"/>
      <c r="C763" s="49"/>
      <c r="D763" s="24"/>
      <c r="E763" s="52"/>
      <c r="F763" s="53"/>
      <c r="G763" s="48"/>
      <c r="H763" s="49"/>
      <c r="I763" s="49"/>
      <c r="J763" s="48"/>
      <c r="K763" s="48"/>
      <c r="L763" s="48"/>
      <c r="M763" s="48"/>
      <c r="N763" s="48"/>
      <c r="O763" s="48"/>
      <c r="P763" s="48"/>
      <c r="Q763" s="48"/>
      <c r="R763" s="48"/>
      <c r="S763" s="48"/>
      <c r="T763" s="48"/>
      <c r="U763" s="48"/>
      <c r="V763" s="48"/>
      <c r="W763" s="49"/>
      <c r="X763" s="49"/>
      <c r="Y763" s="49"/>
      <c r="Z763" s="49"/>
      <c r="AA763" s="49"/>
      <c r="AB763" s="49"/>
      <c r="AC763" s="49"/>
      <c r="AD763" s="49"/>
      <c r="AE763" s="49"/>
      <c r="AF763" s="49"/>
      <c r="AG763" s="49"/>
      <c r="AH763" s="49"/>
      <c r="AI763" s="48"/>
      <c r="AJ763" s="48"/>
      <c r="AK763" s="24"/>
      <c r="AL763" s="50"/>
      <c r="AM763" s="50"/>
      <c r="AN763" s="50"/>
      <c r="AO763" s="50"/>
      <c r="AP763" s="50"/>
      <c r="AQ763" s="50"/>
      <c r="AR763" s="50"/>
      <c r="AS763" s="50"/>
      <c r="AT763" s="51"/>
      <c r="AU763" s="51"/>
      <c r="AV763" s="51"/>
      <c r="AW763" s="51"/>
      <c r="AX763" s="50"/>
      <c r="AY763" s="50"/>
      <c r="AZ763" s="50"/>
      <c r="BA763" s="50"/>
      <c r="BB763" s="51"/>
      <c r="BC763" s="51"/>
      <c r="BD763" s="51"/>
      <c r="BE763" s="51"/>
      <c r="BF763" s="47"/>
      <c r="BG763" s="47"/>
      <c r="BH763" s="47"/>
      <c r="BI763" s="47"/>
      <c r="BJ763" s="47"/>
      <c r="BK763" s="47"/>
      <c r="BL763" s="47"/>
      <c r="BM763" s="47"/>
      <c r="BN763" s="47"/>
      <c r="BO763" s="47"/>
      <c r="BP763" s="47"/>
      <c r="BQ763" s="47"/>
      <c r="BR763" s="47"/>
      <c r="BS763" s="47"/>
      <c r="BT763" s="47"/>
    </row>
    <row r="764">
      <c r="A764" s="24"/>
      <c r="B764" s="48"/>
      <c r="C764" s="49"/>
      <c r="D764" s="24"/>
      <c r="E764" s="52"/>
      <c r="F764" s="53"/>
      <c r="G764" s="48"/>
      <c r="H764" s="49"/>
      <c r="I764" s="49"/>
      <c r="J764" s="48"/>
      <c r="K764" s="48"/>
      <c r="L764" s="48"/>
      <c r="M764" s="48"/>
      <c r="N764" s="48"/>
      <c r="O764" s="48"/>
      <c r="P764" s="48"/>
      <c r="Q764" s="48"/>
      <c r="R764" s="48"/>
      <c r="S764" s="48"/>
      <c r="T764" s="48"/>
      <c r="U764" s="48"/>
      <c r="V764" s="48"/>
      <c r="W764" s="49"/>
      <c r="X764" s="49"/>
      <c r="Y764" s="49"/>
      <c r="Z764" s="49"/>
      <c r="AA764" s="49"/>
      <c r="AB764" s="49"/>
      <c r="AC764" s="49"/>
      <c r="AD764" s="49"/>
      <c r="AE764" s="49"/>
      <c r="AF764" s="49"/>
      <c r="AG764" s="49"/>
      <c r="AH764" s="49"/>
      <c r="AI764" s="48"/>
      <c r="AJ764" s="48"/>
      <c r="AK764" s="24"/>
      <c r="AL764" s="50"/>
      <c r="AM764" s="50"/>
      <c r="AN764" s="50"/>
      <c r="AO764" s="50"/>
      <c r="AP764" s="50"/>
      <c r="AQ764" s="50"/>
      <c r="AR764" s="50"/>
      <c r="AS764" s="50"/>
      <c r="AT764" s="51"/>
      <c r="AU764" s="51"/>
      <c r="AV764" s="51"/>
      <c r="AW764" s="51"/>
      <c r="AX764" s="50"/>
      <c r="AY764" s="50"/>
      <c r="AZ764" s="50"/>
      <c r="BA764" s="50"/>
      <c r="BB764" s="51"/>
      <c r="BC764" s="51"/>
      <c r="BD764" s="51"/>
      <c r="BE764" s="51"/>
      <c r="BF764" s="47"/>
      <c r="BG764" s="47"/>
      <c r="BH764" s="47"/>
      <c r="BI764" s="47"/>
      <c r="BJ764" s="47"/>
      <c r="BK764" s="47"/>
      <c r="BL764" s="47"/>
      <c r="BM764" s="47"/>
      <c r="BN764" s="47"/>
      <c r="BO764" s="47"/>
      <c r="BP764" s="47"/>
      <c r="BQ764" s="47"/>
      <c r="BR764" s="47"/>
      <c r="BS764" s="47"/>
      <c r="BT764" s="47"/>
    </row>
    <row r="765">
      <c r="A765" s="24"/>
      <c r="B765" s="48"/>
      <c r="C765" s="49"/>
      <c r="D765" s="24"/>
      <c r="E765" s="52"/>
      <c r="F765" s="53"/>
      <c r="G765" s="48"/>
      <c r="H765" s="49"/>
      <c r="I765" s="49"/>
      <c r="J765" s="48"/>
      <c r="K765" s="48"/>
      <c r="L765" s="48"/>
      <c r="M765" s="48"/>
      <c r="N765" s="48"/>
      <c r="O765" s="48"/>
      <c r="P765" s="48"/>
      <c r="Q765" s="48"/>
      <c r="R765" s="48"/>
      <c r="S765" s="48"/>
      <c r="T765" s="48"/>
      <c r="U765" s="48"/>
      <c r="V765" s="48"/>
      <c r="W765" s="49"/>
      <c r="X765" s="49"/>
      <c r="Y765" s="49"/>
      <c r="Z765" s="49"/>
      <c r="AA765" s="49"/>
      <c r="AB765" s="49"/>
      <c r="AC765" s="49"/>
      <c r="AD765" s="49"/>
      <c r="AE765" s="49"/>
      <c r="AF765" s="49"/>
      <c r="AG765" s="49"/>
      <c r="AH765" s="49"/>
      <c r="AI765" s="48"/>
      <c r="AJ765" s="48"/>
      <c r="AK765" s="24"/>
      <c r="AL765" s="50"/>
      <c r="AM765" s="50"/>
      <c r="AN765" s="50"/>
      <c r="AO765" s="50"/>
      <c r="AP765" s="50"/>
      <c r="AQ765" s="50"/>
      <c r="AR765" s="50"/>
      <c r="AS765" s="50"/>
      <c r="AT765" s="51"/>
      <c r="AU765" s="51"/>
      <c r="AV765" s="51"/>
      <c r="AW765" s="51"/>
      <c r="AX765" s="50"/>
      <c r="AY765" s="50"/>
      <c r="AZ765" s="50"/>
      <c r="BA765" s="50"/>
      <c r="BB765" s="51"/>
      <c r="BC765" s="51"/>
      <c r="BD765" s="51"/>
      <c r="BE765" s="51"/>
      <c r="BF765" s="47"/>
      <c r="BG765" s="47"/>
      <c r="BH765" s="47"/>
      <c r="BI765" s="47"/>
      <c r="BJ765" s="47"/>
      <c r="BK765" s="47"/>
      <c r="BL765" s="47"/>
      <c r="BM765" s="47"/>
      <c r="BN765" s="47"/>
      <c r="BO765" s="47"/>
      <c r="BP765" s="47"/>
      <c r="BQ765" s="47"/>
      <c r="BR765" s="47"/>
      <c r="BS765" s="47"/>
      <c r="BT765" s="47"/>
    </row>
    <row r="766">
      <c r="A766" s="24"/>
      <c r="B766" s="48"/>
      <c r="C766" s="49"/>
      <c r="D766" s="24"/>
      <c r="E766" s="52"/>
      <c r="F766" s="53"/>
      <c r="G766" s="48"/>
      <c r="H766" s="49"/>
      <c r="I766" s="49"/>
      <c r="J766" s="48"/>
      <c r="K766" s="48"/>
      <c r="L766" s="48"/>
      <c r="M766" s="48"/>
      <c r="N766" s="48"/>
      <c r="O766" s="48"/>
      <c r="P766" s="48"/>
      <c r="Q766" s="48"/>
      <c r="R766" s="48"/>
      <c r="S766" s="48"/>
      <c r="T766" s="48"/>
      <c r="U766" s="48"/>
      <c r="V766" s="48"/>
      <c r="W766" s="49"/>
      <c r="X766" s="49"/>
      <c r="Y766" s="49"/>
      <c r="Z766" s="49"/>
      <c r="AA766" s="49"/>
      <c r="AB766" s="49"/>
      <c r="AC766" s="49"/>
      <c r="AD766" s="49"/>
      <c r="AE766" s="49"/>
      <c r="AF766" s="49"/>
      <c r="AG766" s="49"/>
      <c r="AH766" s="49"/>
      <c r="AI766" s="48"/>
      <c r="AJ766" s="48"/>
      <c r="AK766" s="24"/>
      <c r="AL766" s="50"/>
      <c r="AM766" s="50"/>
      <c r="AN766" s="50"/>
      <c r="AO766" s="50"/>
      <c r="AP766" s="50"/>
      <c r="AQ766" s="50"/>
      <c r="AR766" s="50"/>
      <c r="AS766" s="50"/>
      <c r="AT766" s="51"/>
      <c r="AU766" s="51"/>
      <c r="AV766" s="51"/>
      <c r="AW766" s="51"/>
      <c r="AX766" s="50"/>
      <c r="AY766" s="50"/>
      <c r="AZ766" s="50"/>
      <c r="BA766" s="50"/>
      <c r="BB766" s="51"/>
      <c r="BC766" s="51"/>
      <c r="BD766" s="51"/>
      <c r="BE766" s="51"/>
      <c r="BF766" s="47"/>
      <c r="BG766" s="47"/>
      <c r="BH766" s="47"/>
      <c r="BI766" s="47"/>
      <c r="BJ766" s="47"/>
      <c r="BK766" s="47"/>
      <c r="BL766" s="47"/>
      <c r="BM766" s="47"/>
      <c r="BN766" s="47"/>
      <c r="BO766" s="47"/>
      <c r="BP766" s="47"/>
      <c r="BQ766" s="47"/>
      <c r="BR766" s="47"/>
      <c r="BS766" s="47"/>
      <c r="BT766" s="47"/>
    </row>
    <row r="767">
      <c r="A767" s="24"/>
      <c r="B767" s="48"/>
      <c r="C767" s="49"/>
      <c r="D767" s="24"/>
      <c r="E767" s="52"/>
      <c r="F767" s="53"/>
      <c r="G767" s="48"/>
      <c r="H767" s="49"/>
      <c r="I767" s="49"/>
      <c r="J767" s="48"/>
      <c r="K767" s="48"/>
      <c r="L767" s="48"/>
      <c r="M767" s="48"/>
      <c r="N767" s="48"/>
      <c r="O767" s="48"/>
      <c r="P767" s="48"/>
      <c r="Q767" s="48"/>
      <c r="R767" s="48"/>
      <c r="S767" s="48"/>
      <c r="T767" s="48"/>
      <c r="U767" s="48"/>
      <c r="V767" s="48"/>
      <c r="W767" s="49"/>
      <c r="X767" s="49"/>
      <c r="Y767" s="49"/>
      <c r="Z767" s="49"/>
      <c r="AA767" s="49"/>
      <c r="AB767" s="49"/>
      <c r="AC767" s="49"/>
      <c r="AD767" s="49"/>
      <c r="AE767" s="49"/>
      <c r="AF767" s="49"/>
      <c r="AG767" s="49"/>
      <c r="AH767" s="49"/>
      <c r="AI767" s="48"/>
      <c r="AJ767" s="48"/>
      <c r="AK767" s="24"/>
      <c r="AL767" s="50"/>
      <c r="AM767" s="50"/>
      <c r="AN767" s="50"/>
      <c r="AO767" s="50"/>
      <c r="AP767" s="50"/>
      <c r="AQ767" s="50"/>
      <c r="AR767" s="50"/>
      <c r="AS767" s="50"/>
      <c r="AT767" s="51"/>
      <c r="AU767" s="51"/>
      <c r="AV767" s="51"/>
      <c r="AW767" s="51"/>
      <c r="AX767" s="50"/>
      <c r="AY767" s="50"/>
      <c r="AZ767" s="50"/>
      <c r="BA767" s="50"/>
      <c r="BB767" s="51"/>
      <c r="BC767" s="51"/>
      <c r="BD767" s="51"/>
      <c r="BE767" s="51"/>
      <c r="BF767" s="47"/>
      <c r="BG767" s="47"/>
      <c r="BH767" s="47"/>
      <c r="BI767" s="47"/>
      <c r="BJ767" s="47"/>
      <c r="BK767" s="47"/>
      <c r="BL767" s="47"/>
      <c r="BM767" s="47"/>
      <c r="BN767" s="47"/>
      <c r="BO767" s="47"/>
      <c r="BP767" s="47"/>
      <c r="BQ767" s="47"/>
      <c r="BR767" s="47"/>
      <c r="BS767" s="47"/>
      <c r="BT767" s="47"/>
    </row>
    <row r="768">
      <c r="A768" s="24"/>
      <c r="B768" s="48"/>
      <c r="C768" s="49"/>
      <c r="D768" s="24"/>
      <c r="E768" s="52"/>
      <c r="F768" s="53"/>
      <c r="G768" s="48"/>
      <c r="H768" s="49"/>
      <c r="I768" s="49"/>
      <c r="J768" s="48"/>
      <c r="K768" s="48"/>
      <c r="L768" s="48"/>
      <c r="M768" s="48"/>
      <c r="N768" s="48"/>
      <c r="O768" s="48"/>
      <c r="P768" s="48"/>
      <c r="Q768" s="48"/>
      <c r="R768" s="48"/>
      <c r="S768" s="48"/>
      <c r="T768" s="48"/>
      <c r="U768" s="48"/>
      <c r="V768" s="48"/>
      <c r="W768" s="49"/>
      <c r="X768" s="49"/>
      <c r="Y768" s="49"/>
      <c r="Z768" s="49"/>
      <c r="AA768" s="49"/>
      <c r="AB768" s="49"/>
      <c r="AC768" s="49"/>
      <c r="AD768" s="49"/>
      <c r="AE768" s="49"/>
      <c r="AF768" s="49"/>
      <c r="AG768" s="49"/>
      <c r="AH768" s="49"/>
      <c r="AI768" s="48"/>
      <c r="AJ768" s="48"/>
      <c r="AK768" s="24"/>
      <c r="AL768" s="50"/>
      <c r="AM768" s="50"/>
      <c r="AN768" s="50"/>
      <c r="AO768" s="50"/>
      <c r="AP768" s="50"/>
      <c r="AQ768" s="50"/>
      <c r="AR768" s="50"/>
      <c r="AS768" s="50"/>
      <c r="AT768" s="51"/>
      <c r="AU768" s="51"/>
      <c r="AV768" s="51"/>
      <c r="AW768" s="51"/>
      <c r="AX768" s="50"/>
      <c r="AY768" s="50"/>
      <c r="AZ768" s="50"/>
      <c r="BA768" s="50"/>
      <c r="BB768" s="51"/>
      <c r="BC768" s="51"/>
      <c r="BD768" s="51"/>
      <c r="BE768" s="51"/>
      <c r="BF768" s="47"/>
      <c r="BG768" s="47"/>
      <c r="BH768" s="47"/>
      <c r="BI768" s="47"/>
      <c r="BJ768" s="47"/>
      <c r="BK768" s="47"/>
      <c r="BL768" s="47"/>
      <c r="BM768" s="47"/>
      <c r="BN768" s="47"/>
      <c r="BO768" s="47"/>
      <c r="BP768" s="47"/>
      <c r="BQ768" s="47"/>
      <c r="BR768" s="47"/>
      <c r="BS768" s="47"/>
      <c r="BT768" s="47"/>
    </row>
    <row r="769">
      <c r="A769" s="24"/>
      <c r="B769" s="48"/>
      <c r="C769" s="49"/>
      <c r="D769" s="24"/>
      <c r="E769" s="52"/>
      <c r="F769" s="53"/>
      <c r="G769" s="48"/>
      <c r="H769" s="49"/>
      <c r="I769" s="49"/>
      <c r="J769" s="48"/>
      <c r="K769" s="48"/>
      <c r="L769" s="48"/>
      <c r="M769" s="48"/>
      <c r="N769" s="48"/>
      <c r="O769" s="48"/>
      <c r="P769" s="48"/>
      <c r="Q769" s="48"/>
      <c r="R769" s="48"/>
      <c r="S769" s="48"/>
      <c r="T769" s="48"/>
      <c r="U769" s="48"/>
      <c r="V769" s="48"/>
      <c r="W769" s="49"/>
      <c r="X769" s="49"/>
      <c r="Y769" s="49"/>
      <c r="Z769" s="49"/>
      <c r="AA769" s="49"/>
      <c r="AB769" s="49"/>
      <c r="AC769" s="49"/>
      <c r="AD769" s="49"/>
      <c r="AE769" s="49"/>
      <c r="AF769" s="49"/>
      <c r="AG769" s="49"/>
      <c r="AH769" s="49"/>
      <c r="AI769" s="48"/>
      <c r="AJ769" s="48"/>
      <c r="AK769" s="24"/>
      <c r="AL769" s="50"/>
      <c r="AM769" s="50"/>
      <c r="AN769" s="50"/>
      <c r="AO769" s="50"/>
      <c r="AP769" s="50"/>
      <c r="AQ769" s="50"/>
      <c r="AR769" s="50"/>
      <c r="AS769" s="50"/>
      <c r="AT769" s="51"/>
      <c r="AU769" s="51"/>
      <c r="AV769" s="51"/>
      <c r="AW769" s="51"/>
      <c r="AX769" s="50"/>
      <c r="AY769" s="50"/>
      <c r="AZ769" s="50"/>
      <c r="BA769" s="50"/>
      <c r="BB769" s="51"/>
      <c r="BC769" s="51"/>
      <c r="BD769" s="51"/>
      <c r="BE769" s="51"/>
      <c r="BF769" s="47"/>
      <c r="BG769" s="47"/>
      <c r="BH769" s="47"/>
      <c r="BI769" s="47"/>
      <c r="BJ769" s="47"/>
      <c r="BK769" s="47"/>
      <c r="BL769" s="47"/>
      <c r="BM769" s="47"/>
      <c r="BN769" s="47"/>
      <c r="BO769" s="47"/>
      <c r="BP769" s="47"/>
      <c r="BQ769" s="47"/>
      <c r="BR769" s="47"/>
      <c r="BS769" s="47"/>
      <c r="BT769" s="47"/>
    </row>
    <row r="770">
      <c r="A770" s="24"/>
      <c r="B770" s="48"/>
      <c r="C770" s="49"/>
      <c r="D770" s="24"/>
      <c r="E770" s="52"/>
      <c r="F770" s="53"/>
      <c r="G770" s="48"/>
      <c r="H770" s="49"/>
      <c r="I770" s="49"/>
      <c r="J770" s="48"/>
      <c r="K770" s="48"/>
      <c r="L770" s="48"/>
      <c r="M770" s="48"/>
      <c r="N770" s="48"/>
      <c r="O770" s="48"/>
      <c r="P770" s="48"/>
      <c r="Q770" s="48"/>
      <c r="R770" s="48"/>
      <c r="S770" s="48"/>
      <c r="T770" s="48"/>
      <c r="U770" s="48"/>
      <c r="V770" s="48"/>
      <c r="W770" s="49"/>
      <c r="X770" s="49"/>
      <c r="Y770" s="49"/>
      <c r="Z770" s="49"/>
      <c r="AA770" s="49"/>
      <c r="AB770" s="49"/>
      <c r="AC770" s="49"/>
      <c r="AD770" s="49"/>
      <c r="AE770" s="49"/>
      <c r="AF770" s="49"/>
      <c r="AG770" s="49"/>
      <c r="AH770" s="49"/>
      <c r="AI770" s="48"/>
      <c r="AJ770" s="48"/>
      <c r="AK770" s="24"/>
      <c r="AL770" s="50"/>
      <c r="AM770" s="50"/>
      <c r="AN770" s="50"/>
      <c r="AO770" s="50"/>
      <c r="AP770" s="50"/>
      <c r="AQ770" s="50"/>
      <c r="AR770" s="50"/>
      <c r="AS770" s="50"/>
      <c r="AT770" s="51"/>
      <c r="AU770" s="51"/>
      <c r="AV770" s="51"/>
      <c r="AW770" s="51"/>
      <c r="AX770" s="50"/>
      <c r="AY770" s="50"/>
      <c r="AZ770" s="50"/>
      <c r="BA770" s="50"/>
      <c r="BB770" s="51"/>
      <c r="BC770" s="51"/>
      <c r="BD770" s="51"/>
      <c r="BE770" s="51"/>
      <c r="BF770" s="47"/>
      <c r="BG770" s="47"/>
      <c r="BH770" s="47"/>
      <c r="BI770" s="47"/>
      <c r="BJ770" s="47"/>
      <c r="BK770" s="47"/>
      <c r="BL770" s="47"/>
      <c r="BM770" s="47"/>
      <c r="BN770" s="47"/>
      <c r="BO770" s="47"/>
      <c r="BP770" s="47"/>
      <c r="BQ770" s="47"/>
      <c r="BR770" s="47"/>
      <c r="BS770" s="47"/>
      <c r="BT770" s="47"/>
    </row>
    <row r="771">
      <c r="A771" s="24"/>
      <c r="B771" s="48"/>
      <c r="C771" s="49"/>
      <c r="D771" s="24"/>
      <c r="E771" s="52"/>
      <c r="F771" s="53"/>
      <c r="G771" s="48"/>
      <c r="H771" s="49"/>
      <c r="I771" s="49"/>
      <c r="J771" s="48"/>
      <c r="K771" s="48"/>
      <c r="L771" s="48"/>
      <c r="M771" s="48"/>
      <c r="N771" s="48"/>
      <c r="O771" s="48"/>
      <c r="P771" s="48"/>
      <c r="Q771" s="48"/>
      <c r="R771" s="48"/>
      <c r="S771" s="48"/>
      <c r="T771" s="48"/>
      <c r="U771" s="48"/>
      <c r="V771" s="48"/>
      <c r="W771" s="49"/>
      <c r="X771" s="49"/>
      <c r="Y771" s="49"/>
      <c r="Z771" s="49"/>
      <c r="AA771" s="49"/>
      <c r="AB771" s="49"/>
      <c r="AC771" s="49"/>
      <c r="AD771" s="49"/>
      <c r="AE771" s="49"/>
      <c r="AF771" s="49"/>
      <c r="AG771" s="49"/>
      <c r="AH771" s="49"/>
      <c r="AI771" s="48"/>
      <c r="AJ771" s="48"/>
      <c r="AK771" s="24"/>
      <c r="AL771" s="50"/>
      <c r="AM771" s="50"/>
      <c r="AN771" s="50"/>
      <c r="AO771" s="50"/>
      <c r="AP771" s="50"/>
      <c r="AQ771" s="50"/>
      <c r="AR771" s="50"/>
      <c r="AS771" s="50"/>
      <c r="AT771" s="51"/>
      <c r="AU771" s="51"/>
      <c r="AV771" s="51"/>
      <c r="AW771" s="51"/>
      <c r="AX771" s="50"/>
      <c r="AY771" s="50"/>
      <c r="AZ771" s="50"/>
      <c r="BA771" s="50"/>
      <c r="BB771" s="51"/>
      <c r="BC771" s="51"/>
      <c r="BD771" s="51"/>
      <c r="BE771" s="51"/>
      <c r="BF771" s="47"/>
      <c r="BG771" s="47"/>
      <c r="BH771" s="47"/>
      <c r="BI771" s="47"/>
      <c r="BJ771" s="47"/>
      <c r="BK771" s="47"/>
      <c r="BL771" s="47"/>
      <c r="BM771" s="47"/>
      <c r="BN771" s="47"/>
      <c r="BO771" s="47"/>
      <c r="BP771" s="47"/>
      <c r="BQ771" s="47"/>
      <c r="BR771" s="47"/>
      <c r="BS771" s="47"/>
      <c r="BT771" s="47"/>
    </row>
    <row r="772">
      <c r="A772" s="24"/>
      <c r="B772" s="48"/>
      <c r="C772" s="49"/>
      <c r="D772" s="24"/>
      <c r="E772" s="52"/>
      <c r="F772" s="53"/>
      <c r="G772" s="48"/>
      <c r="H772" s="49"/>
      <c r="I772" s="49"/>
      <c r="J772" s="48"/>
      <c r="K772" s="48"/>
      <c r="L772" s="48"/>
      <c r="M772" s="48"/>
      <c r="N772" s="48"/>
      <c r="O772" s="48"/>
      <c r="P772" s="48"/>
      <c r="Q772" s="48"/>
      <c r="R772" s="48"/>
      <c r="S772" s="48"/>
      <c r="T772" s="48"/>
      <c r="U772" s="48"/>
      <c r="V772" s="48"/>
      <c r="W772" s="49"/>
      <c r="X772" s="49"/>
      <c r="Y772" s="49"/>
      <c r="Z772" s="49"/>
      <c r="AA772" s="49"/>
      <c r="AB772" s="49"/>
      <c r="AC772" s="49"/>
      <c r="AD772" s="49"/>
      <c r="AE772" s="49"/>
      <c r="AF772" s="49"/>
      <c r="AG772" s="49"/>
      <c r="AH772" s="49"/>
      <c r="AI772" s="48"/>
      <c r="AJ772" s="48"/>
      <c r="AK772" s="24"/>
      <c r="AL772" s="50"/>
      <c r="AM772" s="50"/>
      <c r="AN772" s="50"/>
      <c r="AO772" s="50"/>
      <c r="AP772" s="50"/>
      <c r="AQ772" s="50"/>
      <c r="AR772" s="50"/>
      <c r="AS772" s="50"/>
      <c r="AT772" s="51"/>
      <c r="AU772" s="51"/>
      <c r="AV772" s="51"/>
      <c r="AW772" s="51"/>
      <c r="AX772" s="50"/>
      <c r="AY772" s="50"/>
      <c r="AZ772" s="50"/>
      <c r="BA772" s="50"/>
      <c r="BB772" s="51"/>
      <c r="BC772" s="51"/>
      <c r="BD772" s="51"/>
      <c r="BE772" s="51"/>
      <c r="BF772" s="47"/>
      <c r="BG772" s="47"/>
      <c r="BH772" s="47"/>
      <c r="BI772" s="47"/>
      <c r="BJ772" s="47"/>
      <c r="BK772" s="47"/>
      <c r="BL772" s="47"/>
      <c r="BM772" s="47"/>
      <c r="BN772" s="47"/>
      <c r="BO772" s="47"/>
      <c r="BP772" s="47"/>
      <c r="BQ772" s="47"/>
      <c r="BR772" s="47"/>
      <c r="BS772" s="47"/>
      <c r="BT772" s="47"/>
    </row>
    <row r="773">
      <c r="A773" s="24"/>
      <c r="B773" s="48"/>
      <c r="C773" s="49"/>
      <c r="D773" s="24"/>
      <c r="E773" s="52"/>
      <c r="F773" s="53"/>
      <c r="G773" s="48"/>
      <c r="H773" s="49"/>
      <c r="I773" s="49"/>
      <c r="J773" s="48"/>
      <c r="K773" s="48"/>
      <c r="L773" s="48"/>
      <c r="M773" s="48"/>
      <c r="N773" s="48"/>
      <c r="O773" s="48"/>
      <c r="P773" s="48"/>
      <c r="Q773" s="48"/>
      <c r="R773" s="48"/>
      <c r="S773" s="48"/>
      <c r="T773" s="48"/>
      <c r="U773" s="48"/>
      <c r="V773" s="48"/>
      <c r="W773" s="49"/>
      <c r="X773" s="49"/>
      <c r="Y773" s="49"/>
      <c r="Z773" s="49"/>
      <c r="AA773" s="49"/>
      <c r="AB773" s="49"/>
      <c r="AC773" s="49"/>
      <c r="AD773" s="49"/>
      <c r="AE773" s="49"/>
      <c r="AF773" s="49"/>
      <c r="AG773" s="49"/>
      <c r="AH773" s="49"/>
      <c r="AI773" s="48"/>
      <c r="AJ773" s="48"/>
      <c r="AK773" s="24"/>
      <c r="AL773" s="50"/>
      <c r="AM773" s="50"/>
      <c r="AN773" s="50"/>
      <c r="AO773" s="50"/>
      <c r="AP773" s="50"/>
      <c r="AQ773" s="50"/>
      <c r="AR773" s="50"/>
      <c r="AS773" s="50"/>
      <c r="AT773" s="51"/>
      <c r="AU773" s="51"/>
      <c r="AV773" s="51"/>
      <c r="AW773" s="51"/>
      <c r="AX773" s="50"/>
      <c r="AY773" s="50"/>
      <c r="AZ773" s="50"/>
      <c r="BA773" s="50"/>
      <c r="BB773" s="51"/>
      <c r="BC773" s="51"/>
      <c r="BD773" s="51"/>
      <c r="BE773" s="51"/>
      <c r="BF773" s="47"/>
      <c r="BG773" s="47"/>
      <c r="BH773" s="47"/>
      <c r="BI773" s="47"/>
      <c r="BJ773" s="47"/>
      <c r="BK773" s="47"/>
      <c r="BL773" s="47"/>
      <c r="BM773" s="47"/>
      <c r="BN773" s="47"/>
      <c r="BO773" s="47"/>
      <c r="BP773" s="47"/>
      <c r="BQ773" s="47"/>
      <c r="BR773" s="47"/>
      <c r="BS773" s="47"/>
      <c r="BT773" s="47"/>
    </row>
    <row r="774">
      <c r="A774" s="24"/>
      <c r="B774" s="48"/>
      <c r="C774" s="49"/>
      <c r="D774" s="24"/>
      <c r="E774" s="52"/>
      <c r="F774" s="53"/>
      <c r="G774" s="48"/>
      <c r="H774" s="49"/>
      <c r="I774" s="49"/>
      <c r="J774" s="48"/>
      <c r="K774" s="48"/>
      <c r="L774" s="48"/>
      <c r="M774" s="48"/>
      <c r="N774" s="48"/>
      <c r="O774" s="48"/>
      <c r="P774" s="48"/>
      <c r="Q774" s="48"/>
      <c r="R774" s="48"/>
      <c r="S774" s="48"/>
      <c r="T774" s="48"/>
      <c r="U774" s="48"/>
      <c r="V774" s="48"/>
      <c r="W774" s="49"/>
      <c r="X774" s="49"/>
      <c r="Y774" s="49"/>
      <c r="Z774" s="49"/>
      <c r="AA774" s="49"/>
      <c r="AB774" s="49"/>
      <c r="AC774" s="49"/>
      <c r="AD774" s="49"/>
      <c r="AE774" s="49"/>
      <c r="AF774" s="49"/>
      <c r="AG774" s="49"/>
      <c r="AH774" s="49"/>
      <c r="AI774" s="48"/>
      <c r="AJ774" s="48"/>
      <c r="AK774" s="24"/>
      <c r="AL774" s="50"/>
      <c r="AM774" s="50"/>
      <c r="AN774" s="50"/>
      <c r="AO774" s="50"/>
      <c r="AP774" s="50"/>
      <c r="AQ774" s="50"/>
      <c r="AR774" s="50"/>
      <c r="AS774" s="50"/>
      <c r="AT774" s="51"/>
      <c r="AU774" s="51"/>
      <c r="AV774" s="51"/>
      <c r="AW774" s="51"/>
      <c r="AX774" s="50"/>
      <c r="AY774" s="50"/>
      <c r="AZ774" s="50"/>
      <c r="BA774" s="50"/>
      <c r="BB774" s="51"/>
      <c r="BC774" s="51"/>
      <c r="BD774" s="51"/>
      <c r="BE774" s="51"/>
      <c r="BF774" s="47"/>
      <c r="BG774" s="47"/>
      <c r="BH774" s="47"/>
      <c r="BI774" s="47"/>
      <c r="BJ774" s="47"/>
      <c r="BK774" s="47"/>
      <c r="BL774" s="47"/>
      <c r="BM774" s="47"/>
      <c r="BN774" s="47"/>
      <c r="BO774" s="47"/>
      <c r="BP774" s="47"/>
      <c r="BQ774" s="47"/>
      <c r="BR774" s="47"/>
      <c r="BS774" s="47"/>
      <c r="BT774" s="47"/>
    </row>
    <row r="775">
      <c r="A775" s="24"/>
      <c r="B775" s="48"/>
      <c r="C775" s="49"/>
      <c r="D775" s="24"/>
      <c r="E775" s="52"/>
      <c r="F775" s="53"/>
      <c r="G775" s="48"/>
      <c r="H775" s="49"/>
      <c r="I775" s="49"/>
      <c r="J775" s="48"/>
      <c r="K775" s="48"/>
      <c r="L775" s="48"/>
      <c r="M775" s="48"/>
      <c r="N775" s="48"/>
      <c r="O775" s="48"/>
      <c r="P775" s="48"/>
      <c r="Q775" s="48"/>
      <c r="R775" s="48"/>
      <c r="S775" s="48"/>
      <c r="T775" s="48"/>
      <c r="U775" s="48"/>
      <c r="V775" s="48"/>
      <c r="W775" s="49"/>
      <c r="X775" s="49"/>
      <c r="Y775" s="49"/>
      <c r="Z775" s="49"/>
      <c r="AA775" s="49"/>
      <c r="AB775" s="49"/>
      <c r="AC775" s="49"/>
      <c r="AD775" s="49"/>
      <c r="AE775" s="49"/>
      <c r="AF775" s="49"/>
      <c r="AG775" s="49"/>
      <c r="AH775" s="49"/>
      <c r="AI775" s="48"/>
      <c r="AJ775" s="48"/>
      <c r="AK775" s="24"/>
      <c r="AL775" s="50"/>
      <c r="AM775" s="50"/>
      <c r="AN775" s="50"/>
      <c r="AO775" s="50"/>
      <c r="AP775" s="50"/>
      <c r="AQ775" s="50"/>
      <c r="AR775" s="50"/>
      <c r="AS775" s="50"/>
      <c r="AT775" s="51"/>
      <c r="AU775" s="51"/>
      <c r="AV775" s="51"/>
      <c r="AW775" s="51"/>
      <c r="AX775" s="50"/>
      <c r="AY775" s="50"/>
      <c r="AZ775" s="50"/>
      <c r="BA775" s="50"/>
      <c r="BB775" s="51"/>
      <c r="BC775" s="51"/>
      <c r="BD775" s="51"/>
      <c r="BE775" s="51"/>
      <c r="BF775" s="47"/>
      <c r="BG775" s="47"/>
      <c r="BH775" s="47"/>
      <c r="BI775" s="47"/>
      <c r="BJ775" s="47"/>
      <c r="BK775" s="47"/>
      <c r="BL775" s="47"/>
      <c r="BM775" s="47"/>
      <c r="BN775" s="47"/>
      <c r="BO775" s="47"/>
      <c r="BP775" s="47"/>
      <c r="BQ775" s="47"/>
      <c r="BR775" s="47"/>
      <c r="BS775" s="47"/>
      <c r="BT775" s="47"/>
    </row>
    <row r="776">
      <c r="A776" s="24"/>
      <c r="B776" s="48"/>
      <c r="C776" s="49"/>
      <c r="D776" s="24"/>
      <c r="E776" s="52"/>
      <c r="F776" s="53"/>
      <c r="G776" s="48"/>
      <c r="H776" s="49"/>
      <c r="I776" s="49"/>
      <c r="J776" s="48"/>
      <c r="K776" s="48"/>
      <c r="L776" s="48"/>
      <c r="M776" s="48"/>
      <c r="N776" s="48"/>
      <c r="O776" s="48"/>
      <c r="P776" s="48"/>
      <c r="Q776" s="48"/>
      <c r="R776" s="48"/>
      <c r="S776" s="48"/>
      <c r="T776" s="48"/>
      <c r="U776" s="48"/>
      <c r="V776" s="48"/>
      <c r="W776" s="49"/>
      <c r="X776" s="49"/>
      <c r="Y776" s="49"/>
      <c r="Z776" s="49"/>
      <c r="AA776" s="49"/>
      <c r="AB776" s="49"/>
      <c r="AC776" s="49"/>
      <c r="AD776" s="49"/>
      <c r="AE776" s="49"/>
      <c r="AF776" s="49"/>
      <c r="AG776" s="49"/>
      <c r="AH776" s="49"/>
      <c r="AI776" s="48"/>
      <c r="AJ776" s="48"/>
      <c r="AK776" s="24"/>
      <c r="AL776" s="50"/>
      <c r="AM776" s="50"/>
      <c r="AN776" s="50"/>
      <c r="AO776" s="50"/>
      <c r="AP776" s="50"/>
      <c r="AQ776" s="50"/>
      <c r="AR776" s="50"/>
      <c r="AS776" s="50"/>
      <c r="AT776" s="51"/>
      <c r="AU776" s="51"/>
      <c r="AV776" s="51"/>
      <c r="AW776" s="51"/>
      <c r="AX776" s="50"/>
      <c r="AY776" s="50"/>
      <c r="AZ776" s="50"/>
      <c r="BA776" s="50"/>
      <c r="BB776" s="51"/>
      <c r="BC776" s="51"/>
      <c r="BD776" s="51"/>
      <c r="BE776" s="51"/>
      <c r="BF776" s="47"/>
      <c r="BG776" s="47"/>
      <c r="BH776" s="47"/>
      <c r="BI776" s="47"/>
      <c r="BJ776" s="47"/>
      <c r="BK776" s="47"/>
      <c r="BL776" s="47"/>
      <c r="BM776" s="47"/>
      <c r="BN776" s="47"/>
      <c r="BO776" s="47"/>
      <c r="BP776" s="47"/>
      <c r="BQ776" s="47"/>
      <c r="BR776" s="47"/>
      <c r="BS776" s="47"/>
      <c r="BT776" s="47"/>
    </row>
    <row r="777">
      <c r="A777" s="24"/>
      <c r="B777" s="48"/>
      <c r="C777" s="49"/>
      <c r="D777" s="24"/>
      <c r="E777" s="52"/>
      <c r="F777" s="53"/>
      <c r="G777" s="48"/>
      <c r="H777" s="49"/>
      <c r="I777" s="49"/>
      <c r="J777" s="48"/>
      <c r="K777" s="48"/>
      <c r="L777" s="48"/>
      <c r="M777" s="48"/>
      <c r="N777" s="48"/>
      <c r="O777" s="48"/>
      <c r="P777" s="48"/>
      <c r="Q777" s="48"/>
      <c r="R777" s="48"/>
      <c r="S777" s="48"/>
      <c r="T777" s="48"/>
      <c r="U777" s="48"/>
      <c r="V777" s="48"/>
      <c r="W777" s="49"/>
      <c r="X777" s="49"/>
      <c r="Y777" s="49"/>
      <c r="Z777" s="49"/>
      <c r="AA777" s="49"/>
      <c r="AB777" s="49"/>
      <c r="AC777" s="49"/>
      <c r="AD777" s="49"/>
      <c r="AE777" s="49"/>
      <c r="AF777" s="49"/>
      <c r="AG777" s="49"/>
      <c r="AH777" s="49"/>
      <c r="AI777" s="48"/>
      <c r="AJ777" s="48"/>
      <c r="AK777" s="24"/>
      <c r="AL777" s="50"/>
      <c r="AM777" s="50"/>
      <c r="AN777" s="50"/>
      <c r="AO777" s="50"/>
      <c r="AP777" s="50"/>
      <c r="AQ777" s="50"/>
      <c r="AR777" s="50"/>
      <c r="AS777" s="50"/>
      <c r="AT777" s="51"/>
      <c r="AU777" s="51"/>
      <c r="AV777" s="51"/>
      <c r="AW777" s="51"/>
      <c r="AX777" s="50"/>
      <c r="AY777" s="50"/>
      <c r="AZ777" s="50"/>
      <c r="BA777" s="50"/>
      <c r="BB777" s="51"/>
      <c r="BC777" s="51"/>
      <c r="BD777" s="51"/>
      <c r="BE777" s="51"/>
      <c r="BF777" s="47"/>
      <c r="BG777" s="47"/>
      <c r="BH777" s="47"/>
      <c r="BI777" s="47"/>
      <c r="BJ777" s="47"/>
      <c r="BK777" s="47"/>
      <c r="BL777" s="47"/>
      <c r="BM777" s="47"/>
      <c r="BN777" s="47"/>
      <c r="BO777" s="47"/>
      <c r="BP777" s="47"/>
      <c r="BQ777" s="47"/>
      <c r="BR777" s="47"/>
      <c r="BS777" s="47"/>
      <c r="BT777" s="47"/>
    </row>
    <row r="778">
      <c r="A778" s="24"/>
      <c r="B778" s="48"/>
      <c r="C778" s="49"/>
      <c r="D778" s="24"/>
      <c r="E778" s="52"/>
      <c r="F778" s="53"/>
      <c r="G778" s="48"/>
      <c r="H778" s="49"/>
      <c r="I778" s="49"/>
      <c r="J778" s="48"/>
      <c r="K778" s="48"/>
      <c r="L778" s="48"/>
      <c r="M778" s="48"/>
      <c r="N778" s="48"/>
      <c r="O778" s="48"/>
      <c r="P778" s="48"/>
      <c r="Q778" s="48"/>
      <c r="R778" s="48"/>
      <c r="S778" s="48"/>
      <c r="T778" s="48"/>
      <c r="U778" s="48"/>
      <c r="V778" s="48"/>
      <c r="W778" s="49"/>
      <c r="X778" s="49"/>
      <c r="Y778" s="49"/>
      <c r="Z778" s="49"/>
      <c r="AA778" s="49"/>
      <c r="AB778" s="49"/>
      <c r="AC778" s="49"/>
      <c r="AD778" s="49"/>
      <c r="AE778" s="49"/>
      <c r="AF778" s="49"/>
      <c r="AG778" s="49"/>
      <c r="AH778" s="49"/>
      <c r="AI778" s="48"/>
      <c r="AJ778" s="48"/>
      <c r="AK778" s="24"/>
      <c r="AL778" s="50"/>
      <c r="AM778" s="50"/>
      <c r="AN778" s="50"/>
      <c r="AO778" s="50"/>
      <c r="AP778" s="50"/>
      <c r="AQ778" s="50"/>
      <c r="AR778" s="50"/>
      <c r="AS778" s="50"/>
      <c r="AT778" s="51"/>
      <c r="AU778" s="51"/>
      <c r="AV778" s="51"/>
      <c r="AW778" s="51"/>
      <c r="AX778" s="50"/>
      <c r="AY778" s="50"/>
      <c r="AZ778" s="50"/>
      <c r="BA778" s="50"/>
      <c r="BB778" s="51"/>
      <c r="BC778" s="51"/>
      <c r="BD778" s="51"/>
      <c r="BE778" s="51"/>
      <c r="BF778" s="47"/>
      <c r="BG778" s="47"/>
      <c r="BH778" s="47"/>
      <c r="BI778" s="47"/>
      <c r="BJ778" s="47"/>
      <c r="BK778" s="47"/>
      <c r="BL778" s="47"/>
      <c r="BM778" s="47"/>
      <c r="BN778" s="47"/>
      <c r="BO778" s="47"/>
      <c r="BP778" s="47"/>
      <c r="BQ778" s="47"/>
      <c r="BR778" s="47"/>
      <c r="BS778" s="47"/>
      <c r="BT778" s="47"/>
    </row>
    <row r="779">
      <c r="A779" s="24"/>
      <c r="B779" s="48"/>
      <c r="C779" s="49"/>
      <c r="D779" s="24"/>
      <c r="E779" s="52"/>
      <c r="F779" s="53"/>
      <c r="G779" s="48"/>
      <c r="H779" s="49"/>
      <c r="I779" s="49"/>
      <c r="J779" s="48"/>
      <c r="K779" s="48"/>
      <c r="L779" s="48"/>
      <c r="M779" s="48"/>
      <c r="N779" s="48"/>
      <c r="O779" s="48"/>
      <c r="P779" s="48"/>
      <c r="Q779" s="48"/>
      <c r="R779" s="48"/>
      <c r="S779" s="48"/>
      <c r="T779" s="48"/>
      <c r="U779" s="48"/>
      <c r="V779" s="48"/>
      <c r="W779" s="49"/>
      <c r="X779" s="49"/>
      <c r="Y779" s="49"/>
      <c r="Z779" s="49"/>
      <c r="AA779" s="49"/>
      <c r="AB779" s="49"/>
      <c r="AC779" s="49"/>
      <c r="AD779" s="49"/>
      <c r="AE779" s="49"/>
      <c r="AF779" s="49"/>
      <c r="AG779" s="49"/>
      <c r="AH779" s="49"/>
      <c r="AI779" s="48"/>
      <c r="AJ779" s="48"/>
      <c r="AK779" s="24"/>
      <c r="AL779" s="50"/>
      <c r="AM779" s="50"/>
      <c r="AN779" s="50"/>
      <c r="AO779" s="50"/>
      <c r="AP779" s="50"/>
      <c r="AQ779" s="50"/>
      <c r="AR779" s="50"/>
      <c r="AS779" s="50"/>
      <c r="AT779" s="51"/>
      <c r="AU779" s="51"/>
      <c r="AV779" s="51"/>
      <c r="AW779" s="51"/>
      <c r="AX779" s="50"/>
      <c r="AY779" s="50"/>
      <c r="AZ779" s="50"/>
      <c r="BA779" s="50"/>
      <c r="BB779" s="51"/>
      <c r="BC779" s="51"/>
      <c r="BD779" s="51"/>
      <c r="BE779" s="51"/>
      <c r="BF779" s="47"/>
      <c r="BG779" s="47"/>
      <c r="BH779" s="47"/>
      <c r="BI779" s="47"/>
      <c r="BJ779" s="47"/>
      <c r="BK779" s="47"/>
      <c r="BL779" s="47"/>
      <c r="BM779" s="47"/>
      <c r="BN779" s="47"/>
      <c r="BO779" s="47"/>
      <c r="BP779" s="47"/>
      <c r="BQ779" s="47"/>
      <c r="BR779" s="47"/>
      <c r="BS779" s="47"/>
      <c r="BT779" s="47"/>
    </row>
    <row r="780">
      <c r="A780" s="24"/>
      <c r="B780" s="48"/>
      <c r="C780" s="49"/>
      <c r="D780" s="24"/>
      <c r="E780" s="52"/>
      <c r="F780" s="53"/>
      <c r="G780" s="48"/>
      <c r="H780" s="49"/>
      <c r="I780" s="49"/>
      <c r="J780" s="48"/>
      <c r="K780" s="48"/>
      <c r="L780" s="48"/>
      <c r="M780" s="48"/>
      <c r="N780" s="48"/>
      <c r="O780" s="48"/>
      <c r="P780" s="48"/>
      <c r="Q780" s="48"/>
      <c r="R780" s="48"/>
      <c r="S780" s="48"/>
      <c r="T780" s="48"/>
      <c r="U780" s="48"/>
      <c r="V780" s="48"/>
      <c r="W780" s="49"/>
      <c r="X780" s="49"/>
      <c r="Y780" s="49"/>
      <c r="Z780" s="49"/>
      <c r="AA780" s="49"/>
      <c r="AB780" s="49"/>
      <c r="AC780" s="49"/>
      <c r="AD780" s="49"/>
      <c r="AE780" s="49"/>
      <c r="AF780" s="49"/>
      <c r="AG780" s="49"/>
      <c r="AH780" s="49"/>
      <c r="AI780" s="48"/>
      <c r="AJ780" s="48"/>
      <c r="AK780" s="24"/>
      <c r="AL780" s="50"/>
      <c r="AM780" s="50"/>
      <c r="AN780" s="50"/>
      <c r="AO780" s="50"/>
      <c r="AP780" s="50"/>
      <c r="AQ780" s="50"/>
      <c r="AR780" s="50"/>
      <c r="AS780" s="50"/>
      <c r="AT780" s="51"/>
      <c r="AU780" s="51"/>
      <c r="AV780" s="51"/>
      <c r="AW780" s="51"/>
      <c r="AX780" s="50"/>
      <c r="AY780" s="50"/>
      <c r="AZ780" s="50"/>
      <c r="BA780" s="50"/>
      <c r="BB780" s="51"/>
      <c r="BC780" s="51"/>
      <c r="BD780" s="51"/>
      <c r="BE780" s="51"/>
      <c r="BF780" s="47"/>
      <c r="BG780" s="47"/>
      <c r="BH780" s="47"/>
      <c r="BI780" s="47"/>
      <c r="BJ780" s="47"/>
      <c r="BK780" s="47"/>
      <c r="BL780" s="47"/>
      <c r="BM780" s="47"/>
      <c r="BN780" s="47"/>
      <c r="BO780" s="47"/>
      <c r="BP780" s="47"/>
      <c r="BQ780" s="47"/>
      <c r="BR780" s="47"/>
      <c r="BS780" s="47"/>
      <c r="BT780" s="47"/>
    </row>
    <row r="781">
      <c r="A781" s="24"/>
      <c r="B781" s="48"/>
      <c r="C781" s="49"/>
      <c r="D781" s="24"/>
      <c r="E781" s="52"/>
      <c r="F781" s="53"/>
      <c r="G781" s="48"/>
      <c r="H781" s="49"/>
      <c r="I781" s="49"/>
      <c r="J781" s="48"/>
      <c r="K781" s="48"/>
      <c r="L781" s="48"/>
      <c r="M781" s="48"/>
      <c r="N781" s="48"/>
      <c r="O781" s="48"/>
      <c r="P781" s="48"/>
      <c r="Q781" s="48"/>
      <c r="R781" s="48"/>
      <c r="S781" s="48"/>
      <c r="T781" s="48"/>
      <c r="U781" s="48"/>
      <c r="V781" s="48"/>
      <c r="W781" s="49"/>
      <c r="X781" s="49"/>
      <c r="Y781" s="49"/>
      <c r="Z781" s="49"/>
      <c r="AA781" s="49"/>
      <c r="AB781" s="49"/>
      <c r="AC781" s="49"/>
      <c r="AD781" s="49"/>
      <c r="AE781" s="49"/>
      <c r="AF781" s="49"/>
      <c r="AG781" s="49"/>
      <c r="AH781" s="49"/>
      <c r="AI781" s="48"/>
      <c r="AJ781" s="48"/>
      <c r="AK781" s="24"/>
      <c r="AL781" s="50"/>
      <c r="AM781" s="50"/>
      <c r="AN781" s="50"/>
      <c r="AO781" s="50"/>
      <c r="AP781" s="50"/>
      <c r="AQ781" s="50"/>
      <c r="AR781" s="50"/>
      <c r="AS781" s="50"/>
      <c r="AT781" s="51"/>
      <c r="AU781" s="51"/>
      <c r="AV781" s="51"/>
      <c r="AW781" s="51"/>
      <c r="AX781" s="50"/>
      <c r="AY781" s="50"/>
      <c r="AZ781" s="50"/>
      <c r="BA781" s="50"/>
      <c r="BB781" s="51"/>
      <c r="BC781" s="51"/>
      <c r="BD781" s="51"/>
      <c r="BE781" s="51"/>
      <c r="BF781" s="47"/>
      <c r="BG781" s="47"/>
      <c r="BH781" s="47"/>
      <c r="BI781" s="47"/>
      <c r="BJ781" s="47"/>
      <c r="BK781" s="47"/>
      <c r="BL781" s="47"/>
      <c r="BM781" s="47"/>
      <c r="BN781" s="47"/>
      <c r="BO781" s="47"/>
      <c r="BP781" s="47"/>
      <c r="BQ781" s="47"/>
      <c r="BR781" s="47"/>
      <c r="BS781" s="47"/>
      <c r="BT781" s="47"/>
    </row>
    <row r="782">
      <c r="A782" s="24"/>
      <c r="B782" s="48"/>
      <c r="C782" s="49"/>
      <c r="D782" s="24"/>
      <c r="E782" s="52"/>
      <c r="F782" s="53"/>
      <c r="G782" s="48"/>
      <c r="H782" s="49"/>
      <c r="I782" s="49"/>
      <c r="J782" s="48"/>
      <c r="K782" s="48"/>
      <c r="L782" s="48"/>
      <c r="M782" s="48"/>
      <c r="N782" s="48"/>
      <c r="O782" s="48"/>
      <c r="P782" s="48"/>
      <c r="Q782" s="48"/>
      <c r="R782" s="48"/>
      <c r="S782" s="48"/>
      <c r="T782" s="48"/>
      <c r="U782" s="48"/>
      <c r="V782" s="48"/>
      <c r="W782" s="49"/>
      <c r="X782" s="49"/>
      <c r="Y782" s="49"/>
      <c r="Z782" s="49"/>
      <c r="AA782" s="49"/>
      <c r="AB782" s="49"/>
      <c r="AC782" s="49"/>
      <c r="AD782" s="49"/>
      <c r="AE782" s="49"/>
      <c r="AF782" s="49"/>
      <c r="AG782" s="49"/>
      <c r="AH782" s="49"/>
      <c r="AI782" s="48"/>
      <c r="AJ782" s="48"/>
      <c r="AK782" s="24"/>
      <c r="AL782" s="50"/>
      <c r="AM782" s="50"/>
      <c r="AN782" s="50"/>
      <c r="AO782" s="50"/>
      <c r="AP782" s="50"/>
      <c r="AQ782" s="50"/>
      <c r="AR782" s="50"/>
      <c r="AS782" s="50"/>
      <c r="AT782" s="51"/>
      <c r="AU782" s="51"/>
      <c r="AV782" s="51"/>
      <c r="AW782" s="51"/>
      <c r="AX782" s="50"/>
      <c r="AY782" s="50"/>
      <c r="AZ782" s="50"/>
      <c r="BA782" s="50"/>
      <c r="BB782" s="51"/>
      <c r="BC782" s="51"/>
      <c r="BD782" s="51"/>
      <c r="BE782" s="51"/>
      <c r="BF782" s="47"/>
      <c r="BG782" s="47"/>
      <c r="BH782" s="47"/>
      <c r="BI782" s="47"/>
      <c r="BJ782" s="47"/>
      <c r="BK782" s="47"/>
      <c r="BL782" s="47"/>
      <c r="BM782" s="47"/>
      <c r="BN782" s="47"/>
      <c r="BO782" s="47"/>
      <c r="BP782" s="47"/>
      <c r="BQ782" s="47"/>
      <c r="BR782" s="47"/>
      <c r="BS782" s="47"/>
      <c r="BT782" s="47"/>
    </row>
    <row r="783">
      <c r="A783" s="24"/>
      <c r="B783" s="48"/>
      <c r="C783" s="49"/>
      <c r="D783" s="24"/>
      <c r="E783" s="52"/>
      <c r="F783" s="53"/>
      <c r="G783" s="48"/>
      <c r="H783" s="49"/>
      <c r="I783" s="49"/>
      <c r="J783" s="48"/>
      <c r="K783" s="48"/>
      <c r="L783" s="48"/>
      <c r="M783" s="48"/>
      <c r="N783" s="48"/>
      <c r="O783" s="48"/>
      <c r="P783" s="48"/>
      <c r="Q783" s="48"/>
      <c r="R783" s="48"/>
      <c r="S783" s="48"/>
      <c r="T783" s="48"/>
      <c r="U783" s="48"/>
      <c r="V783" s="48"/>
      <c r="W783" s="49"/>
      <c r="X783" s="49"/>
      <c r="Y783" s="49"/>
      <c r="Z783" s="49"/>
      <c r="AA783" s="49"/>
      <c r="AB783" s="49"/>
      <c r="AC783" s="49"/>
      <c r="AD783" s="49"/>
      <c r="AE783" s="49"/>
      <c r="AF783" s="49"/>
      <c r="AG783" s="49"/>
      <c r="AH783" s="49"/>
      <c r="AI783" s="48"/>
      <c r="AJ783" s="48"/>
      <c r="AK783" s="24"/>
      <c r="AL783" s="50"/>
      <c r="AM783" s="50"/>
      <c r="AN783" s="50"/>
      <c r="AO783" s="50"/>
      <c r="AP783" s="50"/>
      <c r="AQ783" s="50"/>
      <c r="AR783" s="50"/>
      <c r="AS783" s="50"/>
      <c r="AT783" s="51"/>
      <c r="AU783" s="51"/>
      <c r="AV783" s="51"/>
      <c r="AW783" s="51"/>
      <c r="AX783" s="50"/>
      <c r="AY783" s="50"/>
      <c r="AZ783" s="50"/>
      <c r="BA783" s="50"/>
      <c r="BB783" s="51"/>
      <c r="BC783" s="51"/>
      <c r="BD783" s="51"/>
      <c r="BE783" s="51"/>
      <c r="BF783" s="47"/>
      <c r="BG783" s="47"/>
      <c r="BH783" s="47"/>
      <c r="BI783" s="47"/>
      <c r="BJ783" s="47"/>
      <c r="BK783" s="47"/>
      <c r="BL783" s="47"/>
      <c r="BM783" s="47"/>
      <c r="BN783" s="47"/>
      <c r="BO783" s="47"/>
      <c r="BP783" s="47"/>
      <c r="BQ783" s="47"/>
      <c r="BR783" s="47"/>
      <c r="BS783" s="47"/>
      <c r="BT783" s="47"/>
    </row>
    <row r="784">
      <c r="A784" s="24"/>
      <c r="B784" s="48"/>
      <c r="C784" s="49"/>
      <c r="D784" s="24"/>
      <c r="E784" s="52"/>
      <c r="F784" s="53"/>
      <c r="G784" s="48"/>
      <c r="H784" s="49"/>
      <c r="I784" s="49"/>
      <c r="J784" s="48"/>
      <c r="K784" s="48"/>
      <c r="L784" s="48"/>
      <c r="M784" s="48"/>
      <c r="N784" s="48"/>
      <c r="O784" s="48"/>
      <c r="P784" s="48"/>
      <c r="Q784" s="48"/>
      <c r="R784" s="48"/>
      <c r="S784" s="48"/>
      <c r="T784" s="48"/>
      <c r="U784" s="48"/>
      <c r="V784" s="48"/>
      <c r="W784" s="49"/>
      <c r="X784" s="49"/>
      <c r="Y784" s="49"/>
      <c r="Z784" s="49"/>
      <c r="AA784" s="49"/>
      <c r="AB784" s="49"/>
      <c r="AC784" s="49"/>
      <c r="AD784" s="49"/>
      <c r="AE784" s="49"/>
      <c r="AF784" s="49"/>
      <c r="AG784" s="49"/>
      <c r="AH784" s="49"/>
      <c r="AI784" s="48"/>
      <c r="AJ784" s="48"/>
      <c r="AK784" s="24"/>
      <c r="AL784" s="50"/>
      <c r="AM784" s="50"/>
      <c r="AN784" s="50"/>
      <c r="AO784" s="50"/>
      <c r="AP784" s="50"/>
      <c r="AQ784" s="50"/>
      <c r="AR784" s="50"/>
      <c r="AS784" s="50"/>
      <c r="AT784" s="51"/>
      <c r="AU784" s="51"/>
      <c r="AV784" s="51"/>
      <c r="AW784" s="51"/>
      <c r="AX784" s="50"/>
      <c r="AY784" s="50"/>
      <c r="AZ784" s="50"/>
      <c r="BA784" s="50"/>
      <c r="BB784" s="51"/>
      <c r="BC784" s="51"/>
      <c r="BD784" s="51"/>
      <c r="BE784" s="51"/>
      <c r="BF784" s="47"/>
      <c r="BG784" s="47"/>
      <c r="BH784" s="47"/>
      <c r="BI784" s="47"/>
      <c r="BJ784" s="47"/>
      <c r="BK784" s="47"/>
      <c r="BL784" s="47"/>
      <c r="BM784" s="47"/>
      <c r="BN784" s="47"/>
      <c r="BO784" s="47"/>
      <c r="BP784" s="47"/>
      <c r="BQ784" s="47"/>
      <c r="BR784" s="47"/>
      <c r="BS784" s="47"/>
      <c r="BT784" s="47"/>
    </row>
    <row r="785">
      <c r="A785" s="24"/>
      <c r="B785" s="48"/>
      <c r="C785" s="49"/>
      <c r="D785" s="24"/>
      <c r="E785" s="52"/>
      <c r="F785" s="53"/>
      <c r="G785" s="48"/>
      <c r="H785" s="49"/>
      <c r="I785" s="49"/>
      <c r="J785" s="48"/>
      <c r="K785" s="48"/>
      <c r="L785" s="48"/>
      <c r="M785" s="48"/>
      <c r="N785" s="48"/>
      <c r="O785" s="48"/>
      <c r="P785" s="48"/>
      <c r="Q785" s="48"/>
      <c r="R785" s="48"/>
      <c r="S785" s="48"/>
      <c r="T785" s="48"/>
      <c r="U785" s="48"/>
      <c r="V785" s="48"/>
      <c r="W785" s="49"/>
      <c r="X785" s="49"/>
      <c r="Y785" s="49"/>
      <c r="Z785" s="49"/>
      <c r="AA785" s="49"/>
      <c r="AB785" s="49"/>
      <c r="AC785" s="49"/>
      <c r="AD785" s="49"/>
      <c r="AE785" s="49"/>
      <c r="AF785" s="49"/>
      <c r="AG785" s="49"/>
      <c r="AH785" s="49"/>
      <c r="AI785" s="48"/>
      <c r="AJ785" s="48"/>
      <c r="AK785" s="24"/>
      <c r="AL785" s="50"/>
      <c r="AM785" s="50"/>
      <c r="AN785" s="50"/>
      <c r="AO785" s="50"/>
      <c r="AP785" s="50"/>
      <c r="AQ785" s="50"/>
      <c r="AR785" s="50"/>
      <c r="AS785" s="50"/>
      <c r="AT785" s="51"/>
      <c r="AU785" s="51"/>
      <c r="AV785" s="51"/>
      <c r="AW785" s="51"/>
      <c r="AX785" s="50"/>
      <c r="AY785" s="50"/>
      <c r="AZ785" s="50"/>
      <c r="BA785" s="50"/>
      <c r="BB785" s="51"/>
      <c r="BC785" s="51"/>
      <c r="BD785" s="51"/>
      <c r="BE785" s="51"/>
      <c r="BF785" s="47"/>
      <c r="BG785" s="47"/>
      <c r="BH785" s="47"/>
      <c r="BI785" s="47"/>
      <c r="BJ785" s="47"/>
      <c r="BK785" s="47"/>
      <c r="BL785" s="47"/>
      <c r="BM785" s="47"/>
      <c r="BN785" s="47"/>
      <c r="BO785" s="47"/>
      <c r="BP785" s="47"/>
      <c r="BQ785" s="47"/>
      <c r="BR785" s="47"/>
      <c r="BS785" s="47"/>
      <c r="BT785" s="47"/>
    </row>
    <row r="786">
      <c r="A786" s="24"/>
      <c r="B786" s="48"/>
      <c r="C786" s="49"/>
      <c r="D786" s="24"/>
      <c r="E786" s="52"/>
      <c r="F786" s="53"/>
      <c r="G786" s="48"/>
      <c r="H786" s="49"/>
      <c r="I786" s="49"/>
      <c r="J786" s="48"/>
      <c r="K786" s="48"/>
      <c r="L786" s="48"/>
      <c r="M786" s="48"/>
      <c r="N786" s="48"/>
      <c r="O786" s="48"/>
      <c r="P786" s="48"/>
      <c r="Q786" s="48"/>
      <c r="R786" s="48"/>
      <c r="S786" s="48"/>
      <c r="T786" s="48"/>
      <c r="U786" s="48"/>
      <c r="V786" s="48"/>
      <c r="W786" s="49"/>
      <c r="X786" s="49"/>
      <c r="Y786" s="49"/>
      <c r="Z786" s="49"/>
      <c r="AA786" s="49"/>
      <c r="AB786" s="49"/>
      <c r="AC786" s="49"/>
      <c r="AD786" s="49"/>
      <c r="AE786" s="49"/>
      <c r="AF786" s="49"/>
      <c r="AG786" s="49"/>
      <c r="AH786" s="49"/>
      <c r="AI786" s="48"/>
      <c r="AJ786" s="48"/>
      <c r="AK786" s="24"/>
      <c r="AL786" s="50"/>
      <c r="AM786" s="50"/>
      <c r="AN786" s="50"/>
      <c r="AO786" s="50"/>
      <c r="AP786" s="50"/>
      <c r="AQ786" s="50"/>
      <c r="AR786" s="50"/>
      <c r="AS786" s="50"/>
      <c r="AT786" s="51"/>
      <c r="AU786" s="51"/>
      <c r="AV786" s="51"/>
      <c r="AW786" s="51"/>
      <c r="AX786" s="50"/>
      <c r="AY786" s="50"/>
      <c r="AZ786" s="50"/>
      <c r="BA786" s="50"/>
      <c r="BB786" s="51"/>
      <c r="BC786" s="51"/>
      <c r="BD786" s="51"/>
      <c r="BE786" s="51"/>
      <c r="BF786" s="47"/>
      <c r="BG786" s="47"/>
      <c r="BH786" s="47"/>
      <c r="BI786" s="47"/>
      <c r="BJ786" s="47"/>
      <c r="BK786" s="47"/>
      <c r="BL786" s="47"/>
      <c r="BM786" s="47"/>
      <c r="BN786" s="47"/>
      <c r="BO786" s="47"/>
      <c r="BP786" s="47"/>
      <c r="BQ786" s="47"/>
      <c r="BR786" s="47"/>
      <c r="BS786" s="47"/>
      <c r="BT786" s="47"/>
    </row>
    <row r="787">
      <c r="A787" s="24"/>
      <c r="B787" s="48"/>
      <c r="C787" s="49"/>
      <c r="D787" s="24"/>
      <c r="E787" s="52"/>
      <c r="F787" s="53"/>
      <c r="G787" s="48"/>
      <c r="H787" s="49"/>
      <c r="I787" s="49"/>
      <c r="J787" s="48"/>
      <c r="K787" s="48"/>
      <c r="L787" s="48"/>
      <c r="M787" s="48"/>
      <c r="N787" s="48"/>
      <c r="O787" s="48"/>
      <c r="P787" s="48"/>
      <c r="Q787" s="48"/>
      <c r="R787" s="48"/>
      <c r="S787" s="48"/>
      <c r="T787" s="48"/>
      <c r="U787" s="48"/>
      <c r="V787" s="48"/>
      <c r="W787" s="49"/>
      <c r="X787" s="49"/>
      <c r="Y787" s="49"/>
      <c r="Z787" s="49"/>
      <c r="AA787" s="49"/>
      <c r="AB787" s="49"/>
      <c r="AC787" s="49"/>
      <c r="AD787" s="49"/>
      <c r="AE787" s="49"/>
      <c r="AF787" s="49"/>
      <c r="AG787" s="49"/>
      <c r="AH787" s="49"/>
      <c r="AI787" s="48"/>
      <c r="AJ787" s="48"/>
      <c r="AK787" s="24"/>
      <c r="AL787" s="50"/>
      <c r="AM787" s="50"/>
      <c r="AN787" s="50"/>
      <c r="AO787" s="50"/>
      <c r="AP787" s="50"/>
      <c r="AQ787" s="50"/>
      <c r="AR787" s="50"/>
      <c r="AS787" s="50"/>
      <c r="AT787" s="51"/>
      <c r="AU787" s="51"/>
      <c r="AV787" s="51"/>
      <c r="AW787" s="51"/>
      <c r="AX787" s="50"/>
      <c r="AY787" s="50"/>
      <c r="AZ787" s="50"/>
      <c r="BA787" s="50"/>
      <c r="BB787" s="51"/>
      <c r="BC787" s="51"/>
      <c r="BD787" s="51"/>
      <c r="BE787" s="51"/>
      <c r="BF787" s="47"/>
      <c r="BG787" s="47"/>
      <c r="BH787" s="47"/>
      <c r="BI787" s="47"/>
      <c r="BJ787" s="47"/>
      <c r="BK787" s="47"/>
      <c r="BL787" s="47"/>
      <c r="BM787" s="47"/>
      <c r="BN787" s="47"/>
      <c r="BO787" s="47"/>
      <c r="BP787" s="47"/>
      <c r="BQ787" s="47"/>
      <c r="BR787" s="47"/>
      <c r="BS787" s="47"/>
      <c r="BT787" s="47"/>
    </row>
    <row r="788">
      <c r="A788" s="24"/>
      <c r="B788" s="48"/>
      <c r="C788" s="49"/>
      <c r="D788" s="24"/>
      <c r="E788" s="52"/>
      <c r="F788" s="53"/>
      <c r="G788" s="48"/>
      <c r="H788" s="49"/>
      <c r="I788" s="49"/>
      <c r="J788" s="48"/>
      <c r="K788" s="48"/>
      <c r="L788" s="48"/>
      <c r="M788" s="48"/>
      <c r="N788" s="48"/>
      <c r="O788" s="48"/>
      <c r="P788" s="48"/>
      <c r="Q788" s="48"/>
      <c r="R788" s="48"/>
      <c r="S788" s="48"/>
      <c r="T788" s="48"/>
      <c r="U788" s="48"/>
      <c r="V788" s="48"/>
      <c r="W788" s="49"/>
      <c r="X788" s="49"/>
      <c r="Y788" s="49"/>
      <c r="Z788" s="49"/>
      <c r="AA788" s="49"/>
      <c r="AB788" s="49"/>
      <c r="AC788" s="49"/>
      <c r="AD788" s="49"/>
      <c r="AE788" s="49"/>
      <c r="AF788" s="49"/>
      <c r="AG788" s="49"/>
      <c r="AH788" s="49"/>
      <c r="AI788" s="48"/>
      <c r="AJ788" s="48"/>
      <c r="AK788" s="24"/>
      <c r="AL788" s="50"/>
      <c r="AM788" s="50"/>
      <c r="AN788" s="50"/>
      <c r="AO788" s="50"/>
      <c r="AP788" s="50"/>
      <c r="AQ788" s="50"/>
      <c r="AR788" s="50"/>
      <c r="AS788" s="50"/>
      <c r="AT788" s="51"/>
      <c r="AU788" s="51"/>
      <c r="AV788" s="51"/>
      <c r="AW788" s="51"/>
      <c r="AX788" s="50"/>
      <c r="AY788" s="50"/>
      <c r="AZ788" s="50"/>
      <c r="BA788" s="50"/>
      <c r="BB788" s="51"/>
      <c r="BC788" s="51"/>
      <c r="BD788" s="51"/>
      <c r="BE788" s="51"/>
      <c r="BF788" s="47"/>
      <c r="BG788" s="47"/>
      <c r="BH788" s="47"/>
      <c r="BI788" s="47"/>
      <c r="BJ788" s="47"/>
      <c r="BK788" s="47"/>
      <c r="BL788" s="47"/>
      <c r="BM788" s="47"/>
      <c r="BN788" s="47"/>
      <c r="BO788" s="47"/>
      <c r="BP788" s="47"/>
      <c r="BQ788" s="47"/>
      <c r="BR788" s="47"/>
      <c r="BS788" s="47"/>
      <c r="BT788" s="47"/>
    </row>
    <row r="789">
      <c r="A789" s="24"/>
      <c r="B789" s="48"/>
      <c r="C789" s="49"/>
      <c r="D789" s="24"/>
      <c r="E789" s="52"/>
      <c r="F789" s="53"/>
      <c r="G789" s="48"/>
      <c r="H789" s="49"/>
      <c r="I789" s="49"/>
      <c r="J789" s="48"/>
      <c r="K789" s="48"/>
      <c r="L789" s="48"/>
      <c r="M789" s="48"/>
      <c r="N789" s="48"/>
      <c r="O789" s="48"/>
      <c r="P789" s="48"/>
      <c r="Q789" s="48"/>
      <c r="R789" s="48"/>
      <c r="S789" s="48"/>
      <c r="T789" s="48"/>
      <c r="U789" s="48"/>
      <c r="V789" s="48"/>
      <c r="W789" s="49"/>
      <c r="X789" s="49"/>
      <c r="Y789" s="49"/>
      <c r="Z789" s="49"/>
      <c r="AA789" s="49"/>
      <c r="AB789" s="49"/>
      <c r="AC789" s="49"/>
      <c r="AD789" s="49"/>
      <c r="AE789" s="49"/>
      <c r="AF789" s="49"/>
      <c r="AG789" s="49"/>
      <c r="AH789" s="49"/>
      <c r="AI789" s="48"/>
      <c r="AJ789" s="48"/>
      <c r="AK789" s="24"/>
      <c r="AL789" s="50"/>
      <c r="AM789" s="50"/>
      <c r="AN789" s="50"/>
      <c r="AO789" s="50"/>
      <c r="AP789" s="50"/>
      <c r="AQ789" s="50"/>
      <c r="AR789" s="50"/>
      <c r="AS789" s="50"/>
      <c r="AT789" s="51"/>
      <c r="AU789" s="51"/>
      <c r="AV789" s="51"/>
      <c r="AW789" s="51"/>
      <c r="AX789" s="50"/>
      <c r="AY789" s="50"/>
      <c r="AZ789" s="50"/>
      <c r="BA789" s="50"/>
      <c r="BB789" s="51"/>
      <c r="BC789" s="51"/>
      <c r="BD789" s="51"/>
      <c r="BE789" s="51"/>
      <c r="BF789" s="47"/>
      <c r="BG789" s="47"/>
      <c r="BH789" s="47"/>
      <c r="BI789" s="47"/>
      <c r="BJ789" s="47"/>
      <c r="BK789" s="47"/>
      <c r="BL789" s="47"/>
      <c r="BM789" s="47"/>
      <c r="BN789" s="47"/>
      <c r="BO789" s="47"/>
      <c r="BP789" s="47"/>
      <c r="BQ789" s="47"/>
      <c r="BR789" s="47"/>
      <c r="BS789" s="47"/>
      <c r="BT789" s="47"/>
    </row>
    <row r="790">
      <c r="A790" s="24"/>
      <c r="B790" s="48"/>
      <c r="C790" s="49"/>
      <c r="D790" s="24"/>
      <c r="E790" s="52"/>
      <c r="F790" s="53"/>
      <c r="G790" s="48"/>
      <c r="H790" s="49"/>
      <c r="I790" s="49"/>
      <c r="J790" s="48"/>
      <c r="K790" s="48"/>
      <c r="L790" s="48"/>
      <c r="M790" s="48"/>
      <c r="N790" s="48"/>
      <c r="O790" s="48"/>
      <c r="P790" s="48"/>
      <c r="Q790" s="48"/>
      <c r="R790" s="48"/>
      <c r="S790" s="48"/>
      <c r="T790" s="48"/>
      <c r="U790" s="48"/>
      <c r="V790" s="48"/>
      <c r="W790" s="49"/>
      <c r="X790" s="49"/>
      <c r="Y790" s="49"/>
      <c r="Z790" s="49"/>
      <c r="AA790" s="49"/>
      <c r="AB790" s="49"/>
      <c r="AC790" s="49"/>
      <c r="AD790" s="49"/>
      <c r="AE790" s="49"/>
      <c r="AF790" s="49"/>
      <c r="AG790" s="49"/>
      <c r="AH790" s="49"/>
      <c r="AI790" s="48"/>
      <c r="AJ790" s="48"/>
      <c r="AK790" s="24"/>
      <c r="AL790" s="50"/>
      <c r="AM790" s="50"/>
      <c r="AN790" s="50"/>
      <c r="AO790" s="50"/>
      <c r="AP790" s="50"/>
      <c r="AQ790" s="50"/>
      <c r="AR790" s="50"/>
      <c r="AS790" s="50"/>
      <c r="AT790" s="51"/>
      <c r="AU790" s="51"/>
      <c r="AV790" s="51"/>
      <c r="AW790" s="51"/>
      <c r="AX790" s="50"/>
      <c r="AY790" s="50"/>
      <c r="AZ790" s="50"/>
      <c r="BA790" s="50"/>
      <c r="BB790" s="51"/>
      <c r="BC790" s="51"/>
      <c r="BD790" s="51"/>
      <c r="BE790" s="51"/>
      <c r="BF790" s="47"/>
      <c r="BG790" s="47"/>
      <c r="BH790" s="47"/>
      <c r="BI790" s="47"/>
      <c r="BJ790" s="47"/>
      <c r="BK790" s="47"/>
      <c r="BL790" s="47"/>
      <c r="BM790" s="47"/>
      <c r="BN790" s="47"/>
      <c r="BO790" s="47"/>
      <c r="BP790" s="47"/>
      <c r="BQ790" s="47"/>
      <c r="BR790" s="47"/>
      <c r="BS790" s="47"/>
      <c r="BT790" s="47"/>
    </row>
    <row r="791">
      <c r="A791" s="24"/>
      <c r="B791" s="48"/>
      <c r="C791" s="49"/>
      <c r="D791" s="24"/>
      <c r="E791" s="52"/>
      <c r="F791" s="53"/>
      <c r="G791" s="48"/>
      <c r="H791" s="49"/>
      <c r="I791" s="49"/>
      <c r="J791" s="48"/>
      <c r="K791" s="48"/>
      <c r="L791" s="48"/>
      <c r="M791" s="48"/>
      <c r="N791" s="48"/>
      <c r="O791" s="48"/>
      <c r="P791" s="48"/>
      <c r="Q791" s="48"/>
      <c r="R791" s="48"/>
      <c r="S791" s="48"/>
      <c r="T791" s="48"/>
      <c r="U791" s="48"/>
      <c r="V791" s="48"/>
      <c r="W791" s="49"/>
      <c r="X791" s="49"/>
      <c r="Y791" s="49"/>
      <c r="Z791" s="49"/>
      <c r="AA791" s="49"/>
      <c r="AB791" s="49"/>
      <c r="AC791" s="49"/>
      <c r="AD791" s="49"/>
      <c r="AE791" s="49"/>
      <c r="AF791" s="49"/>
      <c r="AG791" s="49"/>
      <c r="AH791" s="49"/>
      <c r="AI791" s="48"/>
      <c r="AJ791" s="48"/>
      <c r="AK791" s="24"/>
      <c r="AL791" s="50"/>
      <c r="AM791" s="50"/>
      <c r="AN791" s="50"/>
      <c r="AO791" s="50"/>
      <c r="AP791" s="50"/>
      <c r="AQ791" s="50"/>
      <c r="AR791" s="50"/>
      <c r="AS791" s="50"/>
      <c r="AT791" s="51"/>
      <c r="AU791" s="51"/>
      <c r="AV791" s="51"/>
      <c r="AW791" s="51"/>
      <c r="AX791" s="50"/>
      <c r="AY791" s="50"/>
      <c r="AZ791" s="50"/>
      <c r="BA791" s="50"/>
      <c r="BB791" s="51"/>
      <c r="BC791" s="51"/>
      <c r="BD791" s="51"/>
      <c r="BE791" s="51"/>
      <c r="BF791" s="47"/>
      <c r="BG791" s="47"/>
      <c r="BH791" s="47"/>
      <c r="BI791" s="47"/>
      <c r="BJ791" s="47"/>
      <c r="BK791" s="47"/>
      <c r="BL791" s="47"/>
      <c r="BM791" s="47"/>
      <c r="BN791" s="47"/>
      <c r="BO791" s="47"/>
      <c r="BP791" s="47"/>
      <c r="BQ791" s="47"/>
      <c r="BR791" s="47"/>
      <c r="BS791" s="47"/>
      <c r="BT791" s="47"/>
    </row>
    <row r="792">
      <c r="A792" s="24"/>
      <c r="B792" s="48"/>
      <c r="C792" s="49"/>
      <c r="D792" s="24"/>
      <c r="E792" s="52"/>
      <c r="F792" s="53"/>
      <c r="G792" s="48"/>
      <c r="H792" s="49"/>
      <c r="I792" s="49"/>
      <c r="J792" s="48"/>
      <c r="K792" s="48"/>
      <c r="L792" s="48"/>
      <c r="M792" s="48"/>
      <c r="N792" s="48"/>
      <c r="O792" s="48"/>
      <c r="P792" s="48"/>
      <c r="Q792" s="48"/>
      <c r="R792" s="48"/>
      <c r="S792" s="48"/>
      <c r="T792" s="48"/>
      <c r="U792" s="48"/>
      <c r="V792" s="48"/>
      <c r="W792" s="49"/>
      <c r="X792" s="49"/>
      <c r="Y792" s="49"/>
      <c r="Z792" s="49"/>
      <c r="AA792" s="49"/>
      <c r="AB792" s="49"/>
      <c r="AC792" s="49"/>
      <c r="AD792" s="49"/>
      <c r="AE792" s="49"/>
      <c r="AF792" s="49"/>
      <c r="AG792" s="49"/>
      <c r="AH792" s="49"/>
      <c r="AI792" s="48"/>
      <c r="AJ792" s="48"/>
      <c r="AK792" s="24"/>
      <c r="AL792" s="50"/>
      <c r="AM792" s="50"/>
      <c r="AN792" s="50"/>
      <c r="AO792" s="50"/>
      <c r="AP792" s="50"/>
      <c r="AQ792" s="50"/>
      <c r="AR792" s="50"/>
      <c r="AS792" s="50"/>
      <c r="AT792" s="51"/>
      <c r="AU792" s="51"/>
      <c r="AV792" s="51"/>
      <c r="AW792" s="51"/>
      <c r="AX792" s="50"/>
      <c r="AY792" s="50"/>
      <c r="AZ792" s="50"/>
      <c r="BA792" s="50"/>
      <c r="BB792" s="51"/>
      <c r="BC792" s="51"/>
      <c r="BD792" s="51"/>
      <c r="BE792" s="51"/>
      <c r="BF792" s="47"/>
      <c r="BG792" s="47"/>
      <c r="BH792" s="47"/>
      <c r="BI792" s="47"/>
      <c r="BJ792" s="47"/>
      <c r="BK792" s="47"/>
      <c r="BL792" s="47"/>
      <c r="BM792" s="47"/>
      <c r="BN792" s="47"/>
      <c r="BO792" s="47"/>
      <c r="BP792" s="47"/>
      <c r="BQ792" s="47"/>
      <c r="BR792" s="47"/>
      <c r="BS792" s="47"/>
      <c r="BT792" s="47"/>
    </row>
    <row r="793">
      <c r="A793" s="24"/>
      <c r="B793" s="48"/>
      <c r="C793" s="49"/>
      <c r="D793" s="24"/>
      <c r="E793" s="52"/>
      <c r="F793" s="53"/>
      <c r="G793" s="48"/>
      <c r="H793" s="49"/>
      <c r="I793" s="49"/>
      <c r="J793" s="48"/>
      <c r="K793" s="48"/>
      <c r="L793" s="48"/>
      <c r="M793" s="48"/>
      <c r="N793" s="48"/>
      <c r="O793" s="48"/>
      <c r="P793" s="48"/>
      <c r="Q793" s="48"/>
      <c r="R793" s="48"/>
      <c r="S793" s="48"/>
      <c r="T793" s="48"/>
      <c r="U793" s="48"/>
      <c r="V793" s="48"/>
      <c r="W793" s="49"/>
      <c r="X793" s="49"/>
      <c r="Y793" s="49"/>
      <c r="Z793" s="49"/>
      <c r="AA793" s="49"/>
      <c r="AB793" s="49"/>
      <c r="AC793" s="49"/>
      <c r="AD793" s="49"/>
      <c r="AE793" s="49"/>
      <c r="AF793" s="49"/>
      <c r="AG793" s="49"/>
      <c r="AH793" s="49"/>
      <c r="AI793" s="48"/>
      <c r="AJ793" s="48"/>
      <c r="AK793" s="24"/>
      <c r="AL793" s="50"/>
      <c r="AM793" s="50"/>
      <c r="AN793" s="50"/>
      <c r="AO793" s="50"/>
      <c r="AP793" s="50"/>
      <c r="AQ793" s="50"/>
      <c r="AR793" s="50"/>
      <c r="AS793" s="50"/>
      <c r="AT793" s="51"/>
      <c r="AU793" s="51"/>
      <c r="AV793" s="51"/>
      <c r="AW793" s="51"/>
      <c r="AX793" s="50"/>
      <c r="AY793" s="50"/>
      <c r="AZ793" s="50"/>
      <c r="BA793" s="50"/>
      <c r="BB793" s="51"/>
      <c r="BC793" s="51"/>
      <c r="BD793" s="51"/>
      <c r="BE793" s="51"/>
      <c r="BF793" s="47"/>
      <c r="BG793" s="47"/>
      <c r="BH793" s="47"/>
      <c r="BI793" s="47"/>
      <c r="BJ793" s="47"/>
      <c r="BK793" s="47"/>
      <c r="BL793" s="47"/>
      <c r="BM793" s="47"/>
      <c r="BN793" s="47"/>
      <c r="BO793" s="47"/>
      <c r="BP793" s="47"/>
      <c r="BQ793" s="47"/>
      <c r="BR793" s="47"/>
      <c r="BS793" s="47"/>
      <c r="BT793" s="47"/>
    </row>
    <row r="794">
      <c r="A794" s="24"/>
      <c r="B794" s="48"/>
      <c r="C794" s="49"/>
      <c r="D794" s="24"/>
      <c r="E794" s="52"/>
      <c r="F794" s="53"/>
      <c r="G794" s="48"/>
      <c r="H794" s="49"/>
      <c r="I794" s="49"/>
      <c r="J794" s="48"/>
      <c r="K794" s="48"/>
      <c r="L794" s="48"/>
      <c r="M794" s="48"/>
      <c r="N794" s="48"/>
      <c r="O794" s="48"/>
      <c r="P794" s="48"/>
      <c r="Q794" s="48"/>
      <c r="R794" s="48"/>
      <c r="S794" s="48"/>
      <c r="T794" s="48"/>
      <c r="U794" s="48"/>
      <c r="V794" s="48"/>
      <c r="W794" s="49"/>
      <c r="X794" s="49"/>
      <c r="Y794" s="49"/>
      <c r="Z794" s="49"/>
      <c r="AA794" s="49"/>
      <c r="AB794" s="49"/>
      <c r="AC794" s="49"/>
      <c r="AD794" s="49"/>
      <c r="AE794" s="49"/>
      <c r="AF794" s="49"/>
      <c r="AG794" s="49"/>
      <c r="AH794" s="49"/>
      <c r="AI794" s="48"/>
      <c r="AJ794" s="48"/>
      <c r="AK794" s="24"/>
      <c r="AL794" s="50"/>
      <c r="AM794" s="50"/>
      <c r="AN794" s="50"/>
      <c r="AO794" s="50"/>
      <c r="AP794" s="50"/>
      <c r="AQ794" s="50"/>
      <c r="AR794" s="50"/>
      <c r="AS794" s="50"/>
      <c r="AT794" s="51"/>
      <c r="AU794" s="51"/>
      <c r="AV794" s="51"/>
      <c r="AW794" s="51"/>
      <c r="AX794" s="50"/>
      <c r="AY794" s="50"/>
      <c r="AZ794" s="50"/>
      <c r="BA794" s="50"/>
      <c r="BB794" s="51"/>
      <c r="BC794" s="51"/>
      <c r="BD794" s="51"/>
      <c r="BE794" s="51"/>
      <c r="BF794" s="47"/>
      <c r="BG794" s="47"/>
      <c r="BH794" s="47"/>
      <c r="BI794" s="47"/>
      <c r="BJ794" s="47"/>
      <c r="BK794" s="47"/>
      <c r="BL794" s="47"/>
      <c r="BM794" s="47"/>
      <c r="BN794" s="47"/>
      <c r="BO794" s="47"/>
      <c r="BP794" s="47"/>
      <c r="BQ794" s="47"/>
      <c r="BR794" s="47"/>
      <c r="BS794" s="47"/>
      <c r="BT794" s="47"/>
    </row>
    <row r="795">
      <c r="A795" s="24"/>
      <c r="B795" s="48"/>
      <c r="C795" s="49"/>
      <c r="D795" s="24"/>
      <c r="E795" s="52"/>
      <c r="F795" s="53"/>
      <c r="G795" s="48"/>
      <c r="H795" s="49"/>
      <c r="I795" s="49"/>
      <c r="J795" s="48"/>
      <c r="K795" s="48"/>
      <c r="L795" s="48"/>
      <c r="M795" s="48"/>
      <c r="N795" s="48"/>
      <c r="O795" s="48"/>
      <c r="P795" s="48"/>
      <c r="Q795" s="48"/>
      <c r="R795" s="48"/>
      <c r="S795" s="48"/>
      <c r="T795" s="48"/>
      <c r="U795" s="48"/>
      <c r="V795" s="48"/>
      <c r="W795" s="49"/>
      <c r="X795" s="49"/>
      <c r="Y795" s="49"/>
      <c r="Z795" s="49"/>
      <c r="AA795" s="49"/>
      <c r="AB795" s="49"/>
      <c r="AC795" s="49"/>
      <c r="AD795" s="49"/>
      <c r="AE795" s="49"/>
      <c r="AF795" s="49"/>
      <c r="AG795" s="49"/>
      <c r="AH795" s="49"/>
      <c r="AI795" s="48"/>
      <c r="AJ795" s="48"/>
      <c r="AK795" s="24"/>
      <c r="AL795" s="50"/>
      <c r="AM795" s="50"/>
      <c r="AN795" s="50"/>
      <c r="AO795" s="50"/>
      <c r="AP795" s="50"/>
      <c r="AQ795" s="50"/>
      <c r="AR795" s="50"/>
      <c r="AS795" s="50"/>
      <c r="AT795" s="51"/>
      <c r="AU795" s="51"/>
      <c r="AV795" s="51"/>
      <c r="AW795" s="51"/>
      <c r="AX795" s="50"/>
      <c r="AY795" s="50"/>
      <c r="AZ795" s="50"/>
      <c r="BA795" s="50"/>
      <c r="BB795" s="51"/>
      <c r="BC795" s="51"/>
      <c r="BD795" s="51"/>
      <c r="BE795" s="51"/>
      <c r="BF795" s="47"/>
      <c r="BG795" s="47"/>
      <c r="BH795" s="47"/>
      <c r="BI795" s="47"/>
      <c r="BJ795" s="47"/>
      <c r="BK795" s="47"/>
      <c r="BL795" s="47"/>
      <c r="BM795" s="47"/>
      <c r="BN795" s="47"/>
      <c r="BO795" s="47"/>
      <c r="BP795" s="47"/>
      <c r="BQ795" s="47"/>
      <c r="BR795" s="47"/>
      <c r="BS795" s="47"/>
      <c r="BT795" s="47"/>
    </row>
    <row r="796">
      <c r="A796" s="24"/>
      <c r="B796" s="48"/>
      <c r="C796" s="49"/>
      <c r="D796" s="24"/>
      <c r="E796" s="52"/>
      <c r="F796" s="53"/>
      <c r="G796" s="48"/>
      <c r="H796" s="49"/>
      <c r="I796" s="49"/>
      <c r="J796" s="48"/>
      <c r="K796" s="48"/>
      <c r="L796" s="48"/>
      <c r="M796" s="48"/>
      <c r="N796" s="48"/>
      <c r="O796" s="48"/>
      <c r="P796" s="48"/>
      <c r="Q796" s="48"/>
      <c r="R796" s="48"/>
      <c r="S796" s="48"/>
      <c r="T796" s="48"/>
      <c r="U796" s="48"/>
      <c r="V796" s="48"/>
      <c r="W796" s="49"/>
      <c r="X796" s="49"/>
      <c r="Y796" s="49"/>
      <c r="Z796" s="49"/>
      <c r="AA796" s="49"/>
      <c r="AB796" s="49"/>
      <c r="AC796" s="49"/>
      <c r="AD796" s="49"/>
      <c r="AE796" s="49"/>
      <c r="AF796" s="49"/>
      <c r="AG796" s="49"/>
      <c r="AH796" s="49"/>
      <c r="AI796" s="48"/>
      <c r="AJ796" s="48"/>
      <c r="AK796" s="24"/>
      <c r="AL796" s="50"/>
      <c r="AM796" s="50"/>
      <c r="AN796" s="50"/>
      <c r="AO796" s="50"/>
      <c r="AP796" s="50"/>
      <c r="AQ796" s="50"/>
      <c r="AR796" s="50"/>
      <c r="AS796" s="50"/>
      <c r="AT796" s="51"/>
      <c r="AU796" s="51"/>
      <c r="AV796" s="51"/>
      <c r="AW796" s="51"/>
      <c r="AX796" s="50"/>
      <c r="AY796" s="50"/>
      <c r="AZ796" s="50"/>
      <c r="BA796" s="50"/>
      <c r="BB796" s="51"/>
      <c r="BC796" s="51"/>
      <c r="BD796" s="51"/>
      <c r="BE796" s="51"/>
      <c r="BF796" s="47"/>
      <c r="BG796" s="47"/>
      <c r="BH796" s="47"/>
      <c r="BI796" s="47"/>
      <c r="BJ796" s="47"/>
      <c r="BK796" s="47"/>
      <c r="BL796" s="47"/>
      <c r="BM796" s="47"/>
      <c r="BN796" s="47"/>
      <c r="BO796" s="47"/>
      <c r="BP796" s="47"/>
      <c r="BQ796" s="47"/>
      <c r="BR796" s="47"/>
      <c r="BS796" s="47"/>
      <c r="BT796" s="47"/>
    </row>
    <row r="797">
      <c r="A797" s="24"/>
      <c r="B797" s="48"/>
      <c r="C797" s="49"/>
      <c r="D797" s="24"/>
      <c r="E797" s="52"/>
      <c r="F797" s="53"/>
      <c r="G797" s="48"/>
      <c r="H797" s="49"/>
      <c r="I797" s="49"/>
      <c r="J797" s="48"/>
      <c r="K797" s="48"/>
      <c r="L797" s="48"/>
      <c r="M797" s="48"/>
      <c r="N797" s="48"/>
      <c r="O797" s="48"/>
      <c r="P797" s="48"/>
      <c r="Q797" s="48"/>
      <c r="R797" s="48"/>
      <c r="S797" s="48"/>
      <c r="T797" s="48"/>
      <c r="U797" s="48"/>
      <c r="V797" s="48"/>
      <c r="W797" s="49"/>
      <c r="X797" s="49"/>
      <c r="Y797" s="49"/>
      <c r="Z797" s="49"/>
      <c r="AA797" s="49"/>
      <c r="AB797" s="49"/>
      <c r="AC797" s="49"/>
      <c r="AD797" s="49"/>
      <c r="AE797" s="49"/>
      <c r="AF797" s="49"/>
      <c r="AG797" s="49"/>
      <c r="AH797" s="49"/>
      <c r="AI797" s="48"/>
      <c r="AJ797" s="48"/>
      <c r="AK797" s="24"/>
      <c r="AL797" s="50"/>
      <c r="AM797" s="50"/>
      <c r="AN797" s="50"/>
      <c r="AO797" s="50"/>
      <c r="AP797" s="50"/>
      <c r="AQ797" s="50"/>
      <c r="AR797" s="50"/>
      <c r="AS797" s="50"/>
      <c r="AT797" s="51"/>
      <c r="AU797" s="51"/>
      <c r="AV797" s="51"/>
      <c r="AW797" s="51"/>
      <c r="AX797" s="50"/>
      <c r="AY797" s="50"/>
      <c r="AZ797" s="50"/>
      <c r="BA797" s="50"/>
      <c r="BB797" s="51"/>
      <c r="BC797" s="51"/>
      <c r="BD797" s="51"/>
      <c r="BE797" s="51"/>
      <c r="BF797" s="47"/>
      <c r="BG797" s="47"/>
      <c r="BH797" s="47"/>
      <c r="BI797" s="47"/>
      <c r="BJ797" s="47"/>
      <c r="BK797" s="47"/>
      <c r="BL797" s="47"/>
      <c r="BM797" s="47"/>
      <c r="BN797" s="47"/>
      <c r="BO797" s="47"/>
      <c r="BP797" s="47"/>
      <c r="BQ797" s="47"/>
      <c r="BR797" s="47"/>
      <c r="BS797" s="47"/>
      <c r="BT797" s="47"/>
    </row>
    <row r="798">
      <c r="A798" s="24"/>
      <c r="B798" s="48"/>
      <c r="C798" s="49"/>
      <c r="D798" s="24"/>
      <c r="E798" s="52"/>
      <c r="F798" s="53"/>
      <c r="G798" s="48"/>
      <c r="H798" s="49"/>
      <c r="I798" s="49"/>
      <c r="J798" s="48"/>
      <c r="K798" s="48"/>
      <c r="L798" s="48"/>
      <c r="M798" s="48"/>
      <c r="N798" s="48"/>
      <c r="O798" s="48"/>
      <c r="P798" s="48"/>
      <c r="Q798" s="48"/>
      <c r="R798" s="48"/>
      <c r="S798" s="48"/>
      <c r="T798" s="48"/>
      <c r="U798" s="48"/>
      <c r="V798" s="48"/>
      <c r="W798" s="49"/>
      <c r="X798" s="49"/>
      <c r="Y798" s="49"/>
      <c r="Z798" s="49"/>
      <c r="AA798" s="49"/>
      <c r="AB798" s="49"/>
      <c r="AC798" s="49"/>
      <c r="AD798" s="49"/>
      <c r="AE798" s="49"/>
      <c r="AF798" s="49"/>
      <c r="AG798" s="49"/>
      <c r="AH798" s="49"/>
      <c r="AI798" s="48"/>
      <c r="AJ798" s="48"/>
      <c r="AK798" s="24"/>
      <c r="AL798" s="50"/>
      <c r="AM798" s="50"/>
      <c r="AN798" s="50"/>
      <c r="AO798" s="50"/>
      <c r="AP798" s="50"/>
      <c r="AQ798" s="50"/>
      <c r="AR798" s="50"/>
      <c r="AS798" s="50"/>
      <c r="AT798" s="51"/>
      <c r="AU798" s="51"/>
      <c r="AV798" s="51"/>
      <c r="AW798" s="51"/>
      <c r="AX798" s="50"/>
      <c r="AY798" s="50"/>
      <c r="AZ798" s="50"/>
      <c r="BA798" s="50"/>
      <c r="BB798" s="51"/>
      <c r="BC798" s="51"/>
      <c r="BD798" s="51"/>
      <c r="BE798" s="51"/>
      <c r="BF798" s="47"/>
      <c r="BG798" s="47"/>
      <c r="BH798" s="47"/>
      <c r="BI798" s="47"/>
      <c r="BJ798" s="47"/>
      <c r="BK798" s="47"/>
      <c r="BL798" s="47"/>
      <c r="BM798" s="47"/>
      <c r="BN798" s="47"/>
      <c r="BO798" s="47"/>
      <c r="BP798" s="47"/>
      <c r="BQ798" s="47"/>
      <c r="BR798" s="47"/>
      <c r="BS798" s="47"/>
      <c r="BT798" s="47"/>
    </row>
    <row r="799">
      <c r="A799" s="24"/>
      <c r="B799" s="48"/>
      <c r="C799" s="49"/>
      <c r="D799" s="24"/>
      <c r="E799" s="52"/>
      <c r="F799" s="53"/>
      <c r="G799" s="48"/>
      <c r="H799" s="49"/>
      <c r="I799" s="49"/>
      <c r="J799" s="48"/>
      <c r="K799" s="48"/>
      <c r="L799" s="48"/>
      <c r="M799" s="48"/>
      <c r="N799" s="48"/>
      <c r="O799" s="48"/>
      <c r="P799" s="48"/>
      <c r="Q799" s="48"/>
      <c r="R799" s="48"/>
      <c r="S799" s="48"/>
      <c r="T799" s="48"/>
      <c r="U799" s="48"/>
      <c r="V799" s="48"/>
      <c r="W799" s="49"/>
      <c r="X799" s="49"/>
      <c r="Y799" s="49"/>
      <c r="Z799" s="49"/>
      <c r="AA799" s="49"/>
      <c r="AB799" s="49"/>
      <c r="AC799" s="49"/>
      <c r="AD799" s="49"/>
      <c r="AE799" s="49"/>
      <c r="AF799" s="49"/>
      <c r="AG799" s="49"/>
      <c r="AH799" s="49"/>
      <c r="AI799" s="48"/>
      <c r="AJ799" s="48"/>
      <c r="AK799" s="24"/>
      <c r="AL799" s="50"/>
      <c r="AM799" s="50"/>
      <c r="AN799" s="50"/>
      <c r="AO799" s="50"/>
      <c r="AP799" s="50"/>
      <c r="AQ799" s="50"/>
      <c r="AR799" s="50"/>
      <c r="AS799" s="50"/>
      <c r="AT799" s="51"/>
      <c r="AU799" s="51"/>
      <c r="AV799" s="51"/>
      <c r="AW799" s="51"/>
      <c r="AX799" s="50"/>
      <c r="AY799" s="50"/>
      <c r="AZ799" s="50"/>
      <c r="BA799" s="50"/>
      <c r="BB799" s="51"/>
      <c r="BC799" s="51"/>
      <c r="BD799" s="51"/>
      <c r="BE799" s="51"/>
      <c r="BF799" s="47"/>
      <c r="BG799" s="47"/>
      <c r="BH799" s="47"/>
      <c r="BI799" s="47"/>
      <c r="BJ799" s="47"/>
      <c r="BK799" s="47"/>
      <c r="BL799" s="47"/>
      <c r="BM799" s="47"/>
      <c r="BN799" s="47"/>
      <c r="BO799" s="47"/>
      <c r="BP799" s="47"/>
      <c r="BQ799" s="47"/>
      <c r="BR799" s="47"/>
      <c r="BS799" s="47"/>
      <c r="BT799" s="47"/>
    </row>
    <row r="800">
      <c r="A800" s="24"/>
      <c r="B800" s="48"/>
      <c r="C800" s="49"/>
      <c r="D800" s="24"/>
      <c r="E800" s="52"/>
      <c r="F800" s="53"/>
      <c r="G800" s="48"/>
      <c r="H800" s="49"/>
      <c r="I800" s="49"/>
      <c r="J800" s="48"/>
      <c r="K800" s="48"/>
      <c r="L800" s="48"/>
      <c r="M800" s="48"/>
      <c r="N800" s="48"/>
      <c r="O800" s="48"/>
      <c r="P800" s="48"/>
      <c r="Q800" s="48"/>
      <c r="R800" s="48"/>
      <c r="S800" s="48"/>
      <c r="T800" s="48"/>
      <c r="U800" s="48"/>
      <c r="V800" s="48"/>
      <c r="W800" s="49"/>
      <c r="X800" s="49"/>
      <c r="Y800" s="49"/>
      <c r="Z800" s="49"/>
      <c r="AA800" s="49"/>
      <c r="AB800" s="49"/>
      <c r="AC800" s="49"/>
      <c r="AD800" s="49"/>
      <c r="AE800" s="49"/>
      <c r="AF800" s="49"/>
      <c r="AG800" s="49"/>
      <c r="AH800" s="49"/>
      <c r="AI800" s="48"/>
      <c r="AJ800" s="48"/>
      <c r="AK800" s="24"/>
      <c r="AL800" s="50"/>
      <c r="AM800" s="50"/>
      <c r="AN800" s="50"/>
      <c r="AO800" s="50"/>
      <c r="AP800" s="50"/>
      <c r="AQ800" s="50"/>
      <c r="AR800" s="50"/>
      <c r="AS800" s="50"/>
      <c r="AT800" s="51"/>
      <c r="AU800" s="51"/>
      <c r="AV800" s="51"/>
      <c r="AW800" s="51"/>
      <c r="AX800" s="50"/>
      <c r="AY800" s="50"/>
      <c r="AZ800" s="50"/>
      <c r="BA800" s="50"/>
      <c r="BB800" s="51"/>
      <c r="BC800" s="51"/>
      <c r="BD800" s="51"/>
      <c r="BE800" s="51"/>
      <c r="BF800" s="47"/>
      <c r="BG800" s="47"/>
      <c r="BH800" s="47"/>
      <c r="BI800" s="47"/>
      <c r="BJ800" s="47"/>
      <c r="BK800" s="47"/>
      <c r="BL800" s="47"/>
      <c r="BM800" s="47"/>
      <c r="BN800" s="47"/>
      <c r="BO800" s="47"/>
      <c r="BP800" s="47"/>
      <c r="BQ800" s="47"/>
      <c r="BR800" s="47"/>
      <c r="BS800" s="47"/>
      <c r="BT800" s="47"/>
    </row>
    <row r="801">
      <c r="A801" s="24"/>
      <c r="B801" s="48"/>
      <c r="C801" s="49"/>
      <c r="D801" s="24"/>
      <c r="E801" s="52"/>
      <c r="F801" s="53"/>
      <c r="G801" s="48"/>
      <c r="H801" s="49"/>
      <c r="I801" s="49"/>
      <c r="J801" s="48"/>
      <c r="K801" s="48"/>
      <c r="L801" s="48"/>
      <c r="M801" s="48"/>
      <c r="N801" s="48"/>
      <c r="O801" s="48"/>
      <c r="P801" s="48"/>
      <c r="Q801" s="48"/>
      <c r="R801" s="48"/>
      <c r="S801" s="48"/>
      <c r="T801" s="48"/>
      <c r="U801" s="48"/>
      <c r="V801" s="48"/>
      <c r="W801" s="49"/>
      <c r="X801" s="49"/>
      <c r="Y801" s="49"/>
      <c r="Z801" s="49"/>
      <c r="AA801" s="49"/>
      <c r="AB801" s="49"/>
      <c r="AC801" s="49"/>
      <c r="AD801" s="49"/>
      <c r="AE801" s="49"/>
      <c r="AF801" s="49"/>
      <c r="AG801" s="49"/>
      <c r="AH801" s="49"/>
      <c r="AI801" s="48"/>
      <c r="AJ801" s="48"/>
      <c r="AK801" s="24"/>
      <c r="AL801" s="50"/>
      <c r="AM801" s="50"/>
      <c r="AN801" s="50"/>
      <c r="AO801" s="50"/>
      <c r="AP801" s="50"/>
      <c r="AQ801" s="50"/>
      <c r="AR801" s="50"/>
      <c r="AS801" s="50"/>
      <c r="AT801" s="51"/>
      <c r="AU801" s="51"/>
      <c r="AV801" s="51"/>
      <c r="AW801" s="51"/>
      <c r="AX801" s="50"/>
      <c r="AY801" s="50"/>
      <c r="AZ801" s="50"/>
      <c r="BA801" s="50"/>
      <c r="BB801" s="51"/>
      <c r="BC801" s="51"/>
      <c r="BD801" s="51"/>
      <c r="BE801" s="51"/>
      <c r="BF801" s="47"/>
      <c r="BG801" s="47"/>
      <c r="BH801" s="47"/>
      <c r="BI801" s="47"/>
      <c r="BJ801" s="47"/>
      <c r="BK801" s="47"/>
      <c r="BL801" s="47"/>
      <c r="BM801" s="47"/>
      <c r="BN801" s="47"/>
      <c r="BO801" s="47"/>
      <c r="BP801" s="47"/>
      <c r="BQ801" s="47"/>
      <c r="BR801" s="47"/>
      <c r="BS801" s="47"/>
      <c r="BT801" s="47"/>
    </row>
    <row r="802">
      <c r="A802" s="24"/>
      <c r="B802" s="48"/>
      <c r="C802" s="49"/>
      <c r="D802" s="24"/>
      <c r="E802" s="52"/>
      <c r="F802" s="53"/>
      <c r="G802" s="48"/>
      <c r="H802" s="49"/>
      <c r="I802" s="49"/>
      <c r="J802" s="48"/>
      <c r="K802" s="48"/>
      <c r="L802" s="48"/>
      <c r="M802" s="48"/>
      <c r="N802" s="48"/>
      <c r="O802" s="48"/>
      <c r="P802" s="48"/>
      <c r="Q802" s="48"/>
      <c r="R802" s="48"/>
      <c r="S802" s="48"/>
      <c r="T802" s="48"/>
      <c r="U802" s="48"/>
      <c r="V802" s="48"/>
      <c r="W802" s="49"/>
      <c r="X802" s="49"/>
      <c r="Y802" s="49"/>
      <c r="Z802" s="49"/>
      <c r="AA802" s="49"/>
      <c r="AB802" s="49"/>
      <c r="AC802" s="49"/>
      <c r="AD802" s="49"/>
      <c r="AE802" s="49"/>
      <c r="AF802" s="49"/>
      <c r="AG802" s="49"/>
      <c r="AH802" s="49"/>
      <c r="AI802" s="48"/>
      <c r="AJ802" s="48"/>
      <c r="AK802" s="24"/>
      <c r="AL802" s="50"/>
      <c r="AM802" s="50"/>
      <c r="AN802" s="50"/>
      <c r="AO802" s="50"/>
      <c r="AP802" s="50"/>
      <c r="AQ802" s="50"/>
      <c r="AR802" s="50"/>
      <c r="AS802" s="50"/>
      <c r="AT802" s="51"/>
      <c r="AU802" s="51"/>
      <c r="AV802" s="51"/>
      <c r="AW802" s="51"/>
      <c r="AX802" s="50"/>
      <c r="AY802" s="50"/>
      <c r="AZ802" s="50"/>
      <c r="BA802" s="50"/>
      <c r="BB802" s="51"/>
      <c r="BC802" s="51"/>
      <c r="BD802" s="51"/>
      <c r="BE802" s="51"/>
      <c r="BF802" s="47"/>
      <c r="BG802" s="47"/>
      <c r="BH802" s="47"/>
      <c r="BI802" s="47"/>
      <c r="BJ802" s="47"/>
      <c r="BK802" s="47"/>
      <c r="BL802" s="47"/>
      <c r="BM802" s="47"/>
      <c r="BN802" s="47"/>
      <c r="BO802" s="47"/>
      <c r="BP802" s="47"/>
      <c r="BQ802" s="47"/>
      <c r="BR802" s="47"/>
      <c r="BS802" s="47"/>
      <c r="BT802" s="47"/>
    </row>
    <row r="803">
      <c r="A803" s="24"/>
      <c r="B803" s="48"/>
      <c r="C803" s="49"/>
      <c r="D803" s="24"/>
      <c r="E803" s="52"/>
      <c r="F803" s="53"/>
      <c r="G803" s="48"/>
      <c r="H803" s="49"/>
      <c r="I803" s="49"/>
      <c r="J803" s="48"/>
      <c r="K803" s="48"/>
      <c r="L803" s="48"/>
      <c r="M803" s="48"/>
      <c r="N803" s="48"/>
      <c r="O803" s="48"/>
      <c r="P803" s="48"/>
      <c r="Q803" s="48"/>
      <c r="R803" s="48"/>
      <c r="S803" s="48"/>
      <c r="T803" s="48"/>
      <c r="U803" s="48"/>
      <c r="V803" s="48"/>
      <c r="W803" s="49"/>
      <c r="X803" s="49"/>
      <c r="Y803" s="49"/>
      <c r="Z803" s="49"/>
      <c r="AA803" s="49"/>
      <c r="AB803" s="49"/>
      <c r="AC803" s="49"/>
      <c r="AD803" s="49"/>
      <c r="AE803" s="49"/>
      <c r="AF803" s="49"/>
      <c r="AG803" s="49"/>
      <c r="AH803" s="49"/>
      <c r="AI803" s="48"/>
      <c r="AJ803" s="48"/>
      <c r="AK803" s="24"/>
      <c r="AL803" s="50"/>
      <c r="AM803" s="50"/>
      <c r="AN803" s="50"/>
      <c r="AO803" s="50"/>
      <c r="AP803" s="50"/>
      <c r="AQ803" s="50"/>
      <c r="AR803" s="50"/>
      <c r="AS803" s="50"/>
      <c r="AT803" s="51"/>
      <c r="AU803" s="51"/>
      <c r="AV803" s="51"/>
      <c r="AW803" s="51"/>
      <c r="AX803" s="50"/>
      <c r="AY803" s="50"/>
      <c r="AZ803" s="50"/>
      <c r="BA803" s="50"/>
      <c r="BB803" s="51"/>
      <c r="BC803" s="51"/>
      <c r="BD803" s="51"/>
      <c r="BE803" s="51"/>
      <c r="BF803" s="47"/>
      <c r="BG803" s="47"/>
      <c r="BH803" s="47"/>
      <c r="BI803" s="47"/>
      <c r="BJ803" s="47"/>
      <c r="BK803" s="47"/>
      <c r="BL803" s="47"/>
      <c r="BM803" s="47"/>
      <c r="BN803" s="47"/>
      <c r="BO803" s="47"/>
      <c r="BP803" s="47"/>
      <c r="BQ803" s="47"/>
      <c r="BR803" s="47"/>
      <c r="BS803" s="47"/>
      <c r="BT803" s="47"/>
    </row>
    <row r="804">
      <c r="A804" s="24"/>
      <c r="B804" s="48"/>
      <c r="C804" s="49"/>
      <c r="D804" s="24"/>
      <c r="E804" s="52"/>
      <c r="F804" s="53"/>
      <c r="G804" s="48"/>
      <c r="H804" s="49"/>
      <c r="I804" s="49"/>
      <c r="J804" s="48"/>
      <c r="K804" s="48"/>
      <c r="L804" s="48"/>
      <c r="M804" s="48"/>
      <c r="N804" s="48"/>
      <c r="O804" s="48"/>
      <c r="P804" s="48"/>
      <c r="Q804" s="48"/>
      <c r="R804" s="48"/>
      <c r="S804" s="48"/>
      <c r="T804" s="48"/>
      <c r="U804" s="48"/>
      <c r="V804" s="48"/>
      <c r="W804" s="49"/>
      <c r="X804" s="49"/>
      <c r="Y804" s="49"/>
      <c r="Z804" s="49"/>
      <c r="AA804" s="49"/>
      <c r="AB804" s="49"/>
      <c r="AC804" s="49"/>
      <c r="AD804" s="49"/>
      <c r="AE804" s="49"/>
      <c r="AF804" s="49"/>
      <c r="AG804" s="49"/>
      <c r="AH804" s="49"/>
      <c r="AI804" s="48"/>
      <c r="AJ804" s="48"/>
      <c r="AK804" s="24"/>
      <c r="AL804" s="50"/>
      <c r="AM804" s="50"/>
      <c r="AN804" s="50"/>
      <c r="AO804" s="50"/>
      <c r="AP804" s="50"/>
      <c r="AQ804" s="50"/>
      <c r="AR804" s="50"/>
      <c r="AS804" s="50"/>
      <c r="AT804" s="51"/>
      <c r="AU804" s="51"/>
      <c r="AV804" s="51"/>
      <c r="AW804" s="51"/>
      <c r="AX804" s="50"/>
      <c r="AY804" s="50"/>
      <c r="AZ804" s="50"/>
      <c r="BA804" s="50"/>
      <c r="BB804" s="51"/>
      <c r="BC804" s="51"/>
      <c r="BD804" s="51"/>
      <c r="BE804" s="51"/>
      <c r="BF804" s="47"/>
      <c r="BG804" s="47"/>
      <c r="BH804" s="47"/>
      <c r="BI804" s="47"/>
      <c r="BJ804" s="47"/>
      <c r="BK804" s="47"/>
      <c r="BL804" s="47"/>
      <c r="BM804" s="47"/>
      <c r="BN804" s="47"/>
      <c r="BO804" s="47"/>
      <c r="BP804" s="47"/>
      <c r="BQ804" s="47"/>
      <c r="BR804" s="47"/>
      <c r="BS804" s="47"/>
      <c r="BT804" s="47"/>
    </row>
    <row r="805">
      <c r="A805" s="24"/>
      <c r="B805" s="48"/>
      <c r="C805" s="49"/>
      <c r="D805" s="24"/>
      <c r="E805" s="52"/>
      <c r="F805" s="53"/>
      <c r="G805" s="48"/>
      <c r="H805" s="49"/>
      <c r="I805" s="49"/>
      <c r="J805" s="48"/>
      <c r="K805" s="48"/>
      <c r="L805" s="48"/>
      <c r="M805" s="48"/>
      <c r="N805" s="48"/>
      <c r="O805" s="48"/>
      <c r="P805" s="48"/>
      <c r="Q805" s="48"/>
      <c r="R805" s="48"/>
      <c r="S805" s="48"/>
      <c r="T805" s="48"/>
      <c r="U805" s="48"/>
      <c r="V805" s="48"/>
      <c r="W805" s="49"/>
      <c r="X805" s="49"/>
      <c r="Y805" s="49"/>
      <c r="Z805" s="49"/>
      <c r="AA805" s="49"/>
      <c r="AB805" s="49"/>
      <c r="AC805" s="49"/>
      <c r="AD805" s="49"/>
      <c r="AE805" s="49"/>
      <c r="AF805" s="49"/>
      <c r="AG805" s="49"/>
      <c r="AH805" s="49"/>
      <c r="AI805" s="48"/>
      <c r="AJ805" s="48"/>
      <c r="AK805" s="24"/>
      <c r="AL805" s="50"/>
      <c r="AM805" s="50"/>
      <c r="AN805" s="50"/>
      <c r="AO805" s="50"/>
      <c r="AP805" s="50"/>
      <c r="AQ805" s="50"/>
      <c r="AR805" s="50"/>
      <c r="AS805" s="50"/>
      <c r="AT805" s="51"/>
      <c r="AU805" s="51"/>
      <c r="AV805" s="51"/>
      <c r="AW805" s="51"/>
      <c r="AX805" s="50"/>
      <c r="AY805" s="50"/>
      <c r="AZ805" s="50"/>
      <c r="BA805" s="50"/>
      <c r="BB805" s="51"/>
      <c r="BC805" s="51"/>
      <c r="BD805" s="51"/>
      <c r="BE805" s="51"/>
      <c r="BF805" s="47"/>
      <c r="BG805" s="47"/>
      <c r="BH805" s="47"/>
      <c r="BI805" s="47"/>
      <c r="BJ805" s="47"/>
      <c r="BK805" s="47"/>
      <c r="BL805" s="47"/>
      <c r="BM805" s="47"/>
      <c r="BN805" s="47"/>
      <c r="BO805" s="47"/>
      <c r="BP805" s="47"/>
      <c r="BQ805" s="47"/>
      <c r="BR805" s="47"/>
      <c r="BS805" s="47"/>
      <c r="BT805" s="47"/>
    </row>
    <row r="806">
      <c r="A806" s="24"/>
      <c r="B806" s="48"/>
      <c r="C806" s="49"/>
      <c r="D806" s="24"/>
      <c r="E806" s="52"/>
      <c r="F806" s="53"/>
      <c r="G806" s="48"/>
      <c r="H806" s="49"/>
      <c r="I806" s="49"/>
      <c r="J806" s="48"/>
      <c r="K806" s="48"/>
      <c r="L806" s="48"/>
      <c r="M806" s="48"/>
      <c r="N806" s="48"/>
      <c r="O806" s="48"/>
      <c r="P806" s="48"/>
      <c r="Q806" s="48"/>
      <c r="R806" s="48"/>
      <c r="S806" s="48"/>
      <c r="T806" s="48"/>
      <c r="U806" s="48"/>
      <c r="V806" s="48"/>
      <c r="W806" s="49"/>
      <c r="X806" s="49"/>
      <c r="Y806" s="49"/>
      <c r="Z806" s="49"/>
      <c r="AA806" s="49"/>
      <c r="AB806" s="49"/>
      <c r="AC806" s="49"/>
      <c r="AD806" s="49"/>
      <c r="AE806" s="49"/>
      <c r="AF806" s="49"/>
      <c r="AG806" s="49"/>
      <c r="AH806" s="49"/>
      <c r="AI806" s="48"/>
      <c r="AJ806" s="48"/>
      <c r="AK806" s="24"/>
      <c r="AL806" s="50"/>
      <c r="AM806" s="50"/>
      <c r="AN806" s="50"/>
      <c r="AO806" s="50"/>
      <c r="AP806" s="50"/>
      <c r="AQ806" s="50"/>
      <c r="AR806" s="50"/>
      <c r="AS806" s="50"/>
      <c r="AT806" s="51"/>
      <c r="AU806" s="51"/>
      <c r="AV806" s="51"/>
      <c r="AW806" s="51"/>
      <c r="AX806" s="50"/>
      <c r="AY806" s="50"/>
      <c r="AZ806" s="50"/>
      <c r="BA806" s="50"/>
      <c r="BB806" s="51"/>
      <c r="BC806" s="51"/>
      <c r="BD806" s="51"/>
      <c r="BE806" s="51"/>
      <c r="BF806" s="47"/>
      <c r="BG806" s="47"/>
      <c r="BH806" s="47"/>
      <c r="BI806" s="47"/>
      <c r="BJ806" s="47"/>
      <c r="BK806" s="47"/>
      <c r="BL806" s="47"/>
      <c r="BM806" s="47"/>
      <c r="BN806" s="47"/>
      <c r="BO806" s="47"/>
      <c r="BP806" s="47"/>
      <c r="BQ806" s="47"/>
      <c r="BR806" s="47"/>
      <c r="BS806" s="47"/>
      <c r="BT806" s="47"/>
    </row>
    <row r="807">
      <c r="A807" s="24"/>
      <c r="B807" s="48"/>
      <c r="C807" s="49"/>
      <c r="D807" s="24"/>
      <c r="E807" s="52"/>
      <c r="F807" s="53"/>
      <c r="G807" s="48"/>
      <c r="H807" s="49"/>
      <c r="I807" s="49"/>
      <c r="J807" s="48"/>
      <c r="K807" s="48"/>
      <c r="L807" s="48"/>
      <c r="M807" s="48"/>
      <c r="N807" s="48"/>
      <c r="O807" s="48"/>
      <c r="P807" s="48"/>
      <c r="Q807" s="48"/>
      <c r="R807" s="48"/>
      <c r="S807" s="48"/>
      <c r="T807" s="48"/>
      <c r="U807" s="48"/>
      <c r="V807" s="48"/>
      <c r="W807" s="49"/>
      <c r="X807" s="49"/>
      <c r="Y807" s="49"/>
      <c r="Z807" s="49"/>
      <c r="AA807" s="49"/>
      <c r="AB807" s="49"/>
      <c r="AC807" s="49"/>
      <c r="AD807" s="49"/>
      <c r="AE807" s="49"/>
      <c r="AF807" s="49"/>
      <c r="AG807" s="49"/>
      <c r="AH807" s="49"/>
      <c r="AI807" s="48"/>
      <c r="AJ807" s="48"/>
      <c r="AK807" s="24"/>
      <c r="AL807" s="50"/>
      <c r="AM807" s="50"/>
      <c r="AN807" s="50"/>
      <c r="AO807" s="50"/>
      <c r="AP807" s="50"/>
      <c r="AQ807" s="50"/>
      <c r="AR807" s="50"/>
      <c r="AS807" s="50"/>
      <c r="AT807" s="51"/>
      <c r="AU807" s="51"/>
      <c r="AV807" s="51"/>
      <c r="AW807" s="51"/>
      <c r="AX807" s="50"/>
      <c r="AY807" s="50"/>
      <c r="AZ807" s="50"/>
      <c r="BA807" s="50"/>
      <c r="BB807" s="51"/>
      <c r="BC807" s="51"/>
      <c r="BD807" s="51"/>
      <c r="BE807" s="51"/>
      <c r="BF807" s="47"/>
      <c r="BG807" s="47"/>
      <c r="BH807" s="47"/>
      <c r="BI807" s="47"/>
      <c r="BJ807" s="47"/>
      <c r="BK807" s="47"/>
      <c r="BL807" s="47"/>
      <c r="BM807" s="47"/>
      <c r="BN807" s="47"/>
      <c r="BO807" s="47"/>
      <c r="BP807" s="47"/>
      <c r="BQ807" s="47"/>
      <c r="BR807" s="47"/>
      <c r="BS807" s="47"/>
      <c r="BT807" s="47"/>
    </row>
    <row r="808">
      <c r="A808" s="24"/>
      <c r="B808" s="48"/>
      <c r="C808" s="49"/>
      <c r="D808" s="24"/>
      <c r="E808" s="52"/>
      <c r="F808" s="53"/>
      <c r="G808" s="48"/>
      <c r="H808" s="49"/>
      <c r="I808" s="49"/>
      <c r="J808" s="48"/>
      <c r="K808" s="48"/>
      <c r="L808" s="48"/>
      <c r="M808" s="48"/>
      <c r="N808" s="48"/>
      <c r="O808" s="48"/>
      <c r="P808" s="48"/>
      <c r="Q808" s="48"/>
      <c r="R808" s="48"/>
      <c r="S808" s="48"/>
      <c r="T808" s="48"/>
      <c r="U808" s="48"/>
      <c r="V808" s="48"/>
      <c r="W808" s="49"/>
      <c r="X808" s="49"/>
      <c r="Y808" s="49"/>
      <c r="Z808" s="49"/>
      <c r="AA808" s="49"/>
      <c r="AB808" s="49"/>
      <c r="AC808" s="49"/>
      <c r="AD808" s="49"/>
      <c r="AE808" s="49"/>
      <c r="AF808" s="49"/>
      <c r="AG808" s="49"/>
      <c r="AH808" s="49"/>
      <c r="AI808" s="48"/>
      <c r="AJ808" s="48"/>
      <c r="AK808" s="24"/>
      <c r="AL808" s="50"/>
      <c r="AM808" s="50"/>
      <c r="AN808" s="50"/>
      <c r="AO808" s="50"/>
      <c r="AP808" s="50"/>
      <c r="AQ808" s="50"/>
      <c r="AR808" s="50"/>
      <c r="AS808" s="50"/>
      <c r="AT808" s="51"/>
      <c r="AU808" s="51"/>
      <c r="AV808" s="51"/>
      <c r="AW808" s="51"/>
      <c r="AX808" s="50"/>
      <c r="AY808" s="50"/>
      <c r="AZ808" s="50"/>
      <c r="BA808" s="50"/>
      <c r="BB808" s="51"/>
      <c r="BC808" s="51"/>
      <c r="BD808" s="51"/>
      <c r="BE808" s="51"/>
      <c r="BF808" s="47"/>
      <c r="BG808" s="47"/>
      <c r="BH808" s="47"/>
      <c r="BI808" s="47"/>
      <c r="BJ808" s="47"/>
      <c r="BK808" s="47"/>
      <c r="BL808" s="47"/>
      <c r="BM808" s="47"/>
      <c r="BN808" s="47"/>
      <c r="BO808" s="47"/>
      <c r="BP808" s="47"/>
      <c r="BQ808" s="47"/>
      <c r="BR808" s="47"/>
      <c r="BS808" s="47"/>
      <c r="BT808" s="47"/>
    </row>
    <row r="809">
      <c r="A809" s="24"/>
      <c r="B809" s="48"/>
      <c r="C809" s="49"/>
      <c r="D809" s="24"/>
      <c r="E809" s="52"/>
      <c r="F809" s="53"/>
      <c r="G809" s="48"/>
      <c r="H809" s="49"/>
      <c r="I809" s="49"/>
      <c r="J809" s="48"/>
      <c r="K809" s="48"/>
      <c r="L809" s="48"/>
      <c r="M809" s="48"/>
      <c r="N809" s="48"/>
      <c r="O809" s="48"/>
      <c r="P809" s="48"/>
      <c r="Q809" s="48"/>
      <c r="R809" s="48"/>
      <c r="S809" s="48"/>
      <c r="T809" s="48"/>
      <c r="U809" s="48"/>
      <c r="V809" s="48"/>
      <c r="W809" s="49"/>
      <c r="X809" s="49"/>
      <c r="Y809" s="49"/>
      <c r="Z809" s="49"/>
      <c r="AA809" s="49"/>
      <c r="AB809" s="49"/>
      <c r="AC809" s="49"/>
      <c r="AD809" s="49"/>
      <c r="AE809" s="49"/>
      <c r="AF809" s="49"/>
      <c r="AG809" s="49"/>
      <c r="AH809" s="49"/>
      <c r="AI809" s="48"/>
      <c r="AJ809" s="48"/>
      <c r="AK809" s="24"/>
      <c r="AL809" s="50"/>
      <c r="AM809" s="50"/>
      <c r="AN809" s="50"/>
      <c r="AO809" s="50"/>
      <c r="AP809" s="50"/>
      <c r="AQ809" s="50"/>
      <c r="AR809" s="50"/>
      <c r="AS809" s="50"/>
      <c r="AT809" s="51"/>
      <c r="AU809" s="51"/>
      <c r="AV809" s="51"/>
      <c r="AW809" s="51"/>
      <c r="AX809" s="50"/>
      <c r="AY809" s="50"/>
      <c r="AZ809" s="50"/>
      <c r="BA809" s="50"/>
      <c r="BB809" s="51"/>
      <c r="BC809" s="51"/>
      <c r="BD809" s="51"/>
      <c r="BE809" s="51"/>
      <c r="BF809" s="47"/>
      <c r="BG809" s="47"/>
      <c r="BH809" s="47"/>
      <c r="BI809" s="47"/>
      <c r="BJ809" s="47"/>
      <c r="BK809" s="47"/>
      <c r="BL809" s="47"/>
      <c r="BM809" s="47"/>
      <c r="BN809" s="47"/>
      <c r="BO809" s="47"/>
      <c r="BP809" s="47"/>
      <c r="BQ809" s="47"/>
      <c r="BR809" s="47"/>
      <c r="BS809" s="47"/>
      <c r="BT809" s="47"/>
    </row>
    <row r="810">
      <c r="A810" s="24"/>
      <c r="B810" s="48"/>
      <c r="C810" s="49"/>
      <c r="D810" s="24"/>
      <c r="E810" s="52"/>
      <c r="F810" s="53"/>
      <c r="G810" s="48"/>
      <c r="H810" s="49"/>
      <c r="I810" s="49"/>
      <c r="J810" s="48"/>
      <c r="K810" s="48"/>
      <c r="L810" s="48"/>
      <c r="M810" s="48"/>
      <c r="N810" s="48"/>
      <c r="O810" s="48"/>
      <c r="P810" s="48"/>
      <c r="Q810" s="48"/>
      <c r="R810" s="48"/>
      <c r="S810" s="48"/>
      <c r="T810" s="48"/>
      <c r="U810" s="48"/>
      <c r="V810" s="48"/>
      <c r="W810" s="49"/>
      <c r="X810" s="49"/>
      <c r="Y810" s="49"/>
      <c r="Z810" s="49"/>
      <c r="AA810" s="49"/>
      <c r="AB810" s="49"/>
      <c r="AC810" s="49"/>
      <c r="AD810" s="49"/>
      <c r="AE810" s="49"/>
      <c r="AF810" s="49"/>
      <c r="AG810" s="49"/>
      <c r="AH810" s="49"/>
      <c r="AI810" s="48"/>
      <c r="AJ810" s="48"/>
      <c r="AK810" s="24"/>
      <c r="AL810" s="50"/>
      <c r="AM810" s="50"/>
      <c r="AN810" s="50"/>
      <c r="AO810" s="50"/>
      <c r="AP810" s="50"/>
      <c r="AQ810" s="50"/>
      <c r="AR810" s="50"/>
      <c r="AS810" s="50"/>
      <c r="AT810" s="51"/>
      <c r="AU810" s="51"/>
      <c r="AV810" s="51"/>
      <c r="AW810" s="51"/>
      <c r="AX810" s="50"/>
      <c r="AY810" s="50"/>
      <c r="AZ810" s="50"/>
      <c r="BA810" s="50"/>
      <c r="BB810" s="51"/>
      <c r="BC810" s="51"/>
      <c r="BD810" s="51"/>
      <c r="BE810" s="51"/>
      <c r="BF810" s="47"/>
      <c r="BG810" s="47"/>
      <c r="BH810" s="47"/>
      <c r="BI810" s="47"/>
      <c r="BJ810" s="47"/>
      <c r="BK810" s="47"/>
      <c r="BL810" s="47"/>
      <c r="BM810" s="47"/>
      <c r="BN810" s="47"/>
      <c r="BO810" s="47"/>
      <c r="BP810" s="47"/>
      <c r="BQ810" s="47"/>
      <c r="BR810" s="47"/>
      <c r="BS810" s="47"/>
      <c r="BT810" s="47"/>
    </row>
    <row r="811">
      <c r="A811" s="24"/>
      <c r="B811" s="48"/>
      <c r="C811" s="49"/>
      <c r="D811" s="24"/>
      <c r="E811" s="52"/>
      <c r="F811" s="53"/>
      <c r="G811" s="48"/>
      <c r="H811" s="49"/>
      <c r="I811" s="49"/>
      <c r="J811" s="48"/>
      <c r="K811" s="48"/>
      <c r="L811" s="48"/>
      <c r="M811" s="48"/>
      <c r="N811" s="48"/>
      <c r="O811" s="48"/>
      <c r="P811" s="48"/>
      <c r="Q811" s="48"/>
      <c r="R811" s="48"/>
      <c r="S811" s="48"/>
      <c r="T811" s="48"/>
      <c r="U811" s="48"/>
      <c r="V811" s="48"/>
      <c r="W811" s="49"/>
      <c r="X811" s="49"/>
      <c r="Y811" s="49"/>
      <c r="Z811" s="49"/>
      <c r="AA811" s="49"/>
      <c r="AB811" s="49"/>
      <c r="AC811" s="49"/>
      <c r="AD811" s="49"/>
      <c r="AE811" s="49"/>
      <c r="AF811" s="49"/>
      <c r="AG811" s="49"/>
      <c r="AH811" s="49"/>
      <c r="AI811" s="48"/>
      <c r="AJ811" s="48"/>
      <c r="AK811" s="24"/>
      <c r="AL811" s="50"/>
      <c r="AM811" s="50"/>
      <c r="AN811" s="50"/>
      <c r="AO811" s="50"/>
      <c r="AP811" s="50"/>
      <c r="AQ811" s="50"/>
      <c r="AR811" s="50"/>
      <c r="AS811" s="50"/>
      <c r="AT811" s="51"/>
      <c r="AU811" s="51"/>
      <c r="AV811" s="51"/>
      <c r="AW811" s="51"/>
      <c r="AX811" s="50"/>
      <c r="AY811" s="50"/>
      <c r="AZ811" s="50"/>
      <c r="BA811" s="50"/>
      <c r="BB811" s="51"/>
      <c r="BC811" s="51"/>
      <c r="BD811" s="51"/>
      <c r="BE811" s="51"/>
      <c r="BF811" s="47"/>
      <c r="BG811" s="47"/>
      <c r="BH811" s="47"/>
      <c r="BI811" s="47"/>
      <c r="BJ811" s="47"/>
      <c r="BK811" s="47"/>
      <c r="BL811" s="47"/>
      <c r="BM811" s="47"/>
      <c r="BN811" s="47"/>
      <c r="BO811" s="47"/>
      <c r="BP811" s="47"/>
      <c r="BQ811" s="47"/>
      <c r="BR811" s="47"/>
      <c r="BS811" s="47"/>
      <c r="BT811" s="47"/>
    </row>
    <row r="812">
      <c r="A812" s="24"/>
      <c r="B812" s="48"/>
      <c r="C812" s="49"/>
      <c r="D812" s="24"/>
      <c r="E812" s="52"/>
      <c r="F812" s="53"/>
      <c r="G812" s="48"/>
      <c r="H812" s="49"/>
      <c r="I812" s="49"/>
      <c r="J812" s="48"/>
      <c r="K812" s="48"/>
      <c r="L812" s="48"/>
      <c r="M812" s="48"/>
      <c r="N812" s="48"/>
      <c r="O812" s="48"/>
      <c r="P812" s="48"/>
      <c r="Q812" s="48"/>
      <c r="R812" s="48"/>
      <c r="S812" s="48"/>
      <c r="T812" s="48"/>
      <c r="U812" s="48"/>
      <c r="V812" s="48"/>
      <c r="W812" s="49"/>
      <c r="X812" s="49"/>
      <c r="Y812" s="49"/>
      <c r="Z812" s="49"/>
      <c r="AA812" s="49"/>
      <c r="AB812" s="49"/>
      <c r="AC812" s="49"/>
      <c r="AD812" s="49"/>
      <c r="AE812" s="49"/>
      <c r="AF812" s="49"/>
      <c r="AG812" s="49"/>
      <c r="AH812" s="49"/>
      <c r="AI812" s="48"/>
      <c r="AJ812" s="48"/>
      <c r="AK812" s="24"/>
      <c r="AL812" s="50"/>
      <c r="AM812" s="50"/>
      <c r="AN812" s="50"/>
      <c r="AO812" s="50"/>
      <c r="AP812" s="50"/>
      <c r="AQ812" s="50"/>
      <c r="AR812" s="50"/>
      <c r="AS812" s="50"/>
      <c r="AT812" s="51"/>
      <c r="AU812" s="51"/>
      <c r="AV812" s="51"/>
      <c r="AW812" s="51"/>
      <c r="AX812" s="50"/>
      <c r="AY812" s="50"/>
      <c r="AZ812" s="50"/>
      <c r="BA812" s="50"/>
      <c r="BB812" s="51"/>
      <c r="BC812" s="51"/>
      <c r="BD812" s="51"/>
      <c r="BE812" s="51"/>
      <c r="BF812" s="47"/>
      <c r="BG812" s="47"/>
      <c r="BH812" s="47"/>
      <c r="BI812" s="47"/>
      <c r="BJ812" s="47"/>
      <c r="BK812" s="47"/>
      <c r="BL812" s="47"/>
      <c r="BM812" s="47"/>
      <c r="BN812" s="47"/>
      <c r="BO812" s="47"/>
      <c r="BP812" s="47"/>
      <c r="BQ812" s="47"/>
      <c r="BR812" s="47"/>
      <c r="BS812" s="47"/>
      <c r="BT812" s="47"/>
    </row>
    <row r="813">
      <c r="A813" s="24"/>
      <c r="B813" s="48"/>
      <c r="C813" s="49"/>
      <c r="D813" s="24"/>
      <c r="E813" s="52"/>
      <c r="F813" s="53"/>
      <c r="G813" s="48"/>
      <c r="H813" s="49"/>
      <c r="I813" s="49"/>
      <c r="J813" s="48"/>
      <c r="K813" s="48"/>
      <c r="L813" s="48"/>
      <c r="M813" s="48"/>
      <c r="N813" s="48"/>
      <c r="O813" s="48"/>
      <c r="P813" s="48"/>
      <c r="Q813" s="48"/>
      <c r="R813" s="48"/>
      <c r="S813" s="48"/>
      <c r="T813" s="48"/>
      <c r="U813" s="48"/>
      <c r="V813" s="48"/>
      <c r="W813" s="49"/>
      <c r="X813" s="49"/>
      <c r="Y813" s="49"/>
      <c r="Z813" s="49"/>
      <c r="AA813" s="49"/>
      <c r="AB813" s="49"/>
      <c r="AC813" s="49"/>
      <c r="AD813" s="49"/>
      <c r="AE813" s="49"/>
      <c r="AF813" s="49"/>
      <c r="AG813" s="49"/>
      <c r="AH813" s="49"/>
      <c r="AI813" s="48"/>
      <c r="AJ813" s="48"/>
      <c r="AK813" s="24"/>
      <c r="AL813" s="50"/>
      <c r="AM813" s="50"/>
      <c r="AN813" s="50"/>
      <c r="AO813" s="50"/>
      <c r="AP813" s="50"/>
      <c r="AQ813" s="50"/>
      <c r="AR813" s="50"/>
      <c r="AS813" s="50"/>
      <c r="AT813" s="51"/>
      <c r="AU813" s="51"/>
      <c r="AV813" s="51"/>
      <c r="AW813" s="51"/>
      <c r="AX813" s="50"/>
      <c r="AY813" s="50"/>
      <c r="AZ813" s="50"/>
      <c r="BA813" s="50"/>
      <c r="BB813" s="51"/>
      <c r="BC813" s="51"/>
      <c r="BD813" s="51"/>
      <c r="BE813" s="51"/>
      <c r="BF813" s="47"/>
      <c r="BG813" s="47"/>
      <c r="BH813" s="47"/>
      <c r="BI813" s="47"/>
      <c r="BJ813" s="47"/>
      <c r="BK813" s="47"/>
      <c r="BL813" s="47"/>
      <c r="BM813" s="47"/>
      <c r="BN813" s="47"/>
      <c r="BO813" s="47"/>
      <c r="BP813" s="47"/>
      <c r="BQ813" s="47"/>
      <c r="BR813" s="47"/>
      <c r="BS813" s="47"/>
      <c r="BT813" s="47"/>
    </row>
    <row r="814">
      <c r="A814" s="24"/>
      <c r="B814" s="48"/>
      <c r="C814" s="49"/>
      <c r="D814" s="24"/>
      <c r="E814" s="52"/>
      <c r="F814" s="53"/>
      <c r="G814" s="48"/>
      <c r="H814" s="49"/>
      <c r="I814" s="49"/>
      <c r="J814" s="48"/>
      <c r="K814" s="48"/>
      <c r="L814" s="48"/>
      <c r="M814" s="48"/>
      <c r="N814" s="48"/>
      <c r="O814" s="48"/>
      <c r="P814" s="48"/>
      <c r="Q814" s="48"/>
      <c r="R814" s="48"/>
      <c r="S814" s="48"/>
      <c r="T814" s="48"/>
      <c r="U814" s="48"/>
      <c r="V814" s="48"/>
      <c r="W814" s="49"/>
      <c r="X814" s="49"/>
      <c r="Y814" s="49"/>
      <c r="Z814" s="49"/>
      <c r="AA814" s="49"/>
      <c r="AB814" s="49"/>
      <c r="AC814" s="49"/>
      <c r="AD814" s="49"/>
      <c r="AE814" s="49"/>
      <c r="AF814" s="49"/>
      <c r="AG814" s="49"/>
      <c r="AH814" s="49"/>
      <c r="AI814" s="48"/>
      <c r="AJ814" s="48"/>
      <c r="AK814" s="24"/>
      <c r="AL814" s="50"/>
      <c r="AM814" s="50"/>
      <c r="AN814" s="50"/>
      <c r="AO814" s="50"/>
      <c r="AP814" s="50"/>
      <c r="AQ814" s="50"/>
      <c r="AR814" s="50"/>
      <c r="AS814" s="50"/>
      <c r="AT814" s="51"/>
      <c r="AU814" s="51"/>
      <c r="AV814" s="51"/>
      <c r="AW814" s="51"/>
      <c r="AX814" s="50"/>
      <c r="AY814" s="50"/>
      <c r="AZ814" s="50"/>
      <c r="BA814" s="50"/>
      <c r="BB814" s="51"/>
      <c r="BC814" s="51"/>
      <c r="BD814" s="51"/>
      <c r="BE814" s="51"/>
      <c r="BF814" s="47"/>
      <c r="BG814" s="47"/>
      <c r="BH814" s="47"/>
      <c r="BI814" s="47"/>
      <c r="BJ814" s="47"/>
      <c r="BK814" s="47"/>
      <c r="BL814" s="47"/>
      <c r="BM814" s="47"/>
      <c r="BN814" s="47"/>
      <c r="BO814" s="47"/>
      <c r="BP814" s="47"/>
      <c r="BQ814" s="47"/>
      <c r="BR814" s="47"/>
      <c r="BS814" s="47"/>
      <c r="BT814" s="47"/>
    </row>
    <row r="815">
      <c r="A815" s="24"/>
      <c r="B815" s="48"/>
      <c r="C815" s="49"/>
      <c r="D815" s="24"/>
      <c r="E815" s="52"/>
      <c r="F815" s="53"/>
      <c r="G815" s="48"/>
      <c r="H815" s="49"/>
      <c r="I815" s="49"/>
      <c r="J815" s="48"/>
      <c r="K815" s="48"/>
      <c r="L815" s="48"/>
      <c r="M815" s="48"/>
      <c r="N815" s="48"/>
      <c r="O815" s="48"/>
      <c r="P815" s="48"/>
      <c r="Q815" s="48"/>
      <c r="R815" s="48"/>
      <c r="S815" s="48"/>
      <c r="T815" s="48"/>
      <c r="U815" s="48"/>
      <c r="V815" s="48"/>
      <c r="W815" s="49"/>
      <c r="X815" s="49"/>
      <c r="Y815" s="49"/>
      <c r="Z815" s="49"/>
      <c r="AA815" s="49"/>
      <c r="AB815" s="49"/>
      <c r="AC815" s="49"/>
      <c r="AD815" s="49"/>
      <c r="AE815" s="49"/>
      <c r="AF815" s="49"/>
      <c r="AG815" s="49"/>
      <c r="AH815" s="49"/>
      <c r="AI815" s="48"/>
      <c r="AJ815" s="48"/>
      <c r="AK815" s="24"/>
      <c r="AL815" s="50"/>
      <c r="AM815" s="50"/>
      <c r="AN815" s="50"/>
      <c r="AO815" s="50"/>
      <c r="AP815" s="50"/>
      <c r="AQ815" s="50"/>
      <c r="AR815" s="50"/>
      <c r="AS815" s="50"/>
      <c r="AT815" s="51"/>
      <c r="AU815" s="51"/>
      <c r="AV815" s="51"/>
      <c r="AW815" s="51"/>
      <c r="AX815" s="50"/>
      <c r="AY815" s="50"/>
      <c r="AZ815" s="50"/>
      <c r="BA815" s="50"/>
      <c r="BB815" s="51"/>
      <c r="BC815" s="51"/>
      <c r="BD815" s="51"/>
      <c r="BE815" s="51"/>
      <c r="BF815" s="47"/>
      <c r="BG815" s="47"/>
      <c r="BH815" s="47"/>
      <c r="BI815" s="47"/>
      <c r="BJ815" s="47"/>
      <c r="BK815" s="47"/>
      <c r="BL815" s="47"/>
      <c r="BM815" s="47"/>
      <c r="BN815" s="47"/>
      <c r="BO815" s="47"/>
      <c r="BP815" s="47"/>
      <c r="BQ815" s="47"/>
      <c r="BR815" s="47"/>
      <c r="BS815" s="47"/>
      <c r="BT815" s="47"/>
    </row>
    <row r="816">
      <c r="A816" s="24"/>
      <c r="B816" s="48"/>
      <c r="C816" s="49"/>
      <c r="D816" s="24"/>
      <c r="E816" s="52"/>
      <c r="F816" s="53"/>
      <c r="G816" s="48"/>
      <c r="H816" s="49"/>
      <c r="I816" s="49"/>
      <c r="J816" s="48"/>
      <c r="K816" s="48"/>
      <c r="L816" s="48"/>
      <c r="M816" s="48"/>
      <c r="N816" s="48"/>
      <c r="O816" s="48"/>
      <c r="P816" s="48"/>
      <c r="Q816" s="48"/>
      <c r="R816" s="48"/>
      <c r="S816" s="48"/>
      <c r="T816" s="48"/>
      <c r="U816" s="48"/>
      <c r="V816" s="48"/>
      <c r="W816" s="49"/>
      <c r="X816" s="49"/>
      <c r="Y816" s="49"/>
      <c r="Z816" s="49"/>
      <c r="AA816" s="49"/>
      <c r="AB816" s="49"/>
      <c r="AC816" s="49"/>
      <c r="AD816" s="49"/>
      <c r="AE816" s="49"/>
      <c r="AF816" s="49"/>
      <c r="AG816" s="49"/>
      <c r="AH816" s="49"/>
      <c r="AI816" s="48"/>
      <c r="AJ816" s="48"/>
      <c r="AK816" s="24"/>
      <c r="AL816" s="50"/>
      <c r="AM816" s="50"/>
      <c r="AN816" s="50"/>
      <c r="AO816" s="50"/>
      <c r="AP816" s="50"/>
      <c r="AQ816" s="50"/>
      <c r="AR816" s="50"/>
      <c r="AS816" s="50"/>
      <c r="AT816" s="51"/>
      <c r="AU816" s="51"/>
      <c r="AV816" s="51"/>
      <c r="AW816" s="51"/>
      <c r="AX816" s="50"/>
      <c r="AY816" s="50"/>
      <c r="AZ816" s="50"/>
      <c r="BA816" s="50"/>
      <c r="BB816" s="51"/>
      <c r="BC816" s="51"/>
      <c r="BD816" s="51"/>
      <c r="BE816" s="51"/>
      <c r="BF816" s="47"/>
      <c r="BG816" s="47"/>
      <c r="BH816" s="47"/>
      <c r="BI816" s="47"/>
      <c r="BJ816" s="47"/>
      <c r="BK816" s="47"/>
      <c r="BL816" s="47"/>
      <c r="BM816" s="47"/>
      <c r="BN816" s="47"/>
      <c r="BO816" s="47"/>
      <c r="BP816" s="47"/>
      <c r="BQ816" s="47"/>
      <c r="BR816" s="47"/>
      <c r="BS816" s="47"/>
      <c r="BT816" s="47"/>
    </row>
    <row r="817">
      <c r="A817" s="24"/>
      <c r="B817" s="48"/>
      <c r="C817" s="49"/>
      <c r="D817" s="24"/>
      <c r="E817" s="52"/>
      <c r="F817" s="53"/>
      <c r="G817" s="48"/>
      <c r="H817" s="49"/>
      <c r="I817" s="49"/>
      <c r="J817" s="48"/>
      <c r="K817" s="48"/>
      <c r="L817" s="48"/>
      <c r="M817" s="48"/>
      <c r="N817" s="48"/>
      <c r="O817" s="48"/>
      <c r="P817" s="48"/>
      <c r="Q817" s="48"/>
      <c r="R817" s="48"/>
      <c r="S817" s="48"/>
      <c r="T817" s="48"/>
      <c r="U817" s="48"/>
      <c r="V817" s="48"/>
      <c r="W817" s="49"/>
      <c r="X817" s="49"/>
      <c r="Y817" s="49"/>
      <c r="Z817" s="49"/>
      <c r="AA817" s="49"/>
      <c r="AB817" s="49"/>
      <c r="AC817" s="49"/>
      <c r="AD817" s="49"/>
      <c r="AE817" s="49"/>
      <c r="AF817" s="49"/>
      <c r="AG817" s="49"/>
      <c r="AH817" s="49"/>
      <c r="AI817" s="48"/>
      <c r="AJ817" s="48"/>
      <c r="AK817" s="24"/>
      <c r="AL817" s="50"/>
      <c r="AM817" s="50"/>
      <c r="AN817" s="50"/>
      <c r="AO817" s="50"/>
      <c r="AP817" s="50"/>
      <c r="AQ817" s="50"/>
      <c r="AR817" s="50"/>
      <c r="AS817" s="50"/>
      <c r="AT817" s="51"/>
      <c r="AU817" s="51"/>
      <c r="AV817" s="51"/>
      <c r="AW817" s="51"/>
      <c r="AX817" s="50"/>
      <c r="AY817" s="50"/>
      <c r="AZ817" s="50"/>
      <c r="BA817" s="50"/>
      <c r="BB817" s="51"/>
      <c r="BC817" s="51"/>
      <c r="BD817" s="51"/>
      <c r="BE817" s="51"/>
      <c r="BF817" s="47"/>
      <c r="BG817" s="47"/>
      <c r="BH817" s="47"/>
      <c r="BI817" s="47"/>
      <c r="BJ817" s="47"/>
      <c r="BK817" s="47"/>
      <c r="BL817" s="47"/>
      <c r="BM817" s="47"/>
      <c r="BN817" s="47"/>
      <c r="BO817" s="47"/>
      <c r="BP817" s="47"/>
      <c r="BQ817" s="47"/>
      <c r="BR817" s="47"/>
      <c r="BS817" s="47"/>
      <c r="BT817" s="47"/>
    </row>
    <row r="818">
      <c r="A818" s="24"/>
      <c r="B818" s="48"/>
      <c r="C818" s="49"/>
      <c r="D818" s="24"/>
      <c r="E818" s="52"/>
      <c r="F818" s="53"/>
      <c r="G818" s="48"/>
      <c r="H818" s="49"/>
      <c r="I818" s="49"/>
      <c r="J818" s="48"/>
      <c r="K818" s="48"/>
      <c r="L818" s="48"/>
      <c r="M818" s="48"/>
      <c r="N818" s="48"/>
      <c r="O818" s="48"/>
      <c r="P818" s="48"/>
      <c r="Q818" s="48"/>
      <c r="R818" s="48"/>
      <c r="S818" s="48"/>
      <c r="T818" s="48"/>
      <c r="U818" s="48"/>
      <c r="V818" s="48"/>
      <c r="W818" s="49"/>
      <c r="X818" s="49"/>
      <c r="Y818" s="49"/>
      <c r="Z818" s="49"/>
      <c r="AA818" s="49"/>
      <c r="AB818" s="49"/>
      <c r="AC818" s="49"/>
      <c r="AD818" s="49"/>
      <c r="AE818" s="49"/>
      <c r="AF818" s="49"/>
      <c r="AG818" s="49"/>
      <c r="AH818" s="49"/>
      <c r="AI818" s="48"/>
      <c r="AJ818" s="48"/>
      <c r="AK818" s="24"/>
      <c r="AL818" s="50"/>
      <c r="AM818" s="50"/>
      <c r="AN818" s="50"/>
      <c r="AO818" s="50"/>
      <c r="AP818" s="50"/>
      <c r="AQ818" s="50"/>
      <c r="AR818" s="50"/>
      <c r="AS818" s="50"/>
      <c r="AT818" s="51"/>
      <c r="AU818" s="51"/>
      <c r="AV818" s="51"/>
      <c r="AW818" s="51"/>
      <c r="AX818" s="50"/>
      <c r="AY818" s="50"/>
      <c r="AZ818" s="50"/>
      <c r="BA818" s="50"/>
      <c r="BB818" s="51"/>
      <c r="BC818" s="51"/>
      <c r="BD818" s="51"/>
      <c r="BE818" s="51"/>
      <c r="BF818" s="47"/>
      <c r="BG818" s="47"/>
      <c r="BH818" s="47"/>
      <c r="BI818" s="47"/>
      <c r="BJ818" s="47"/>
      <c r="BK818" s="47"/>
      <c r="BL818" s="47"/>
      <c r="BM818" s="47"/>
      <c r="BN818" s="47"/>
      <c r="BO818" s="47"/>
      <c r="BP818" s="47"/>
      <c r="BQ818" s="47"/>
      <c r="BR818" s="47"/>
      <c r="BS818" s="47"/>
      <c r="BT818" s="47"/>
    </row>
    <row r="819">
      <c r="A819" s="24"/>
      <c r="B819" s="48"/>
      <c r="C819" s="49"/>
      <c r="D819" s="24"/>
      <c r="E819" s="52"/>
      <c r="F819" s="53"/>
      <c r="G819" s="48"/>
      <c r="H819" s="49"/>
      <c r="I819" s="49"/>
      <c r="J819" s="48"/>
      <c r="K819" s="48"/>
      <c r="L819" s="48"/>
      <c r="M819" s="48"/>
      <c r="N819" s="48"/>
      <c r="O819" s="48"/>
      <c r="P819" s="48"/>
      <c r="Q819" s="48"/>
      <c r="R819" s="48"/>
      <c r="S819" s="48"/>
      <c r="T819" s="48"/>
      <c r="U819" s="48"/>
      <c r="V819" s="48"/>
      <c r="W819" s="49"/>
      <c r="X819" s="49"/>
      <c r="Y819" s="49"/>
      <c r="Z819" s="49"/>
      <c r="AA819" s="49"/>
      <c r="AB819" s="49"/>
      <c r="AC819" s="49"/>
      <c r="AD819" s="49"/>
      <c r="AE819" s="49"/>
      <c r="AF819" s="49"/>
      <c r="AG819" s="49"/>
      <c r="AH819" s="49"/>
      <c r="AI819" s="48"/>
      <c r="AJ819" s="48"/>
      <c r="AK819" s="24"/>
      <c r="AL819" s="50"/>
      <c r="AM819" s="50"/>
      <c r="AN819" s="50"/>
      <c r="AO819" s="50"/>
      <c r="AP819" s="50"/>
      <c r="AQ819" s="50"/>
      <c r="AR819" s="50"/>
      <c r="AS819" s="50"/>
      <c r="AT819" s="51"/>
      <c r="AU819" s="51"/>
      <c r="AV819" s="51"/>
      <c r="AW819" s="51"/>
      <c r="AX819" s="50"/>
      <c r="AY819" s="50"/>
      <c r="AZ819" s="50"/>
      <c r="BA819" s="50"/>
      <c r="BB819" s="51"/>
      <c r="BC819" s="51"/>
      <c r="BD819" s="51"/>
      <c r="BE819" s="51"/>
      <c r="BF819" s="47"/>
      <c r="BG819" s="47"/>
      <c r="BH819" s="47"/>
      <c r="BI819" s="47"/>
      <c r="BJ819" s="47"/>
      <c r="BK819" s="47"/>
      <c r="BL819" s="47"/>
      <c r="BM819" s="47"/>
      <c r="BN819" s="47"/>
      <c r="BO819" s="47"/>
      <c r="BP819" s="47"/>
      <c r="BQ819" s="47"/>
      <c r="BR819" s="47"/>
      <c r="BS819" s="47"/>
      <c r="BT819" s="47"/>
    </row>
    <row r="820">
      <c r="A820" s="24"/>
      <c r="B820" s="48"/>
      <c r="C820" s="49"/>
      <c r="D820" s="24"/>
      <c r="E820" s="52"/>
      <c r="F820" s="53"/>
      <c r="G820" s="48"/>
      <c r="H820" s="49"/>
      <c r="I820" s="49"/>
      <c r="J820" s="48"/>
      <c r="K820" s="48"/>
      <c r="L820" s="48"/>
      <c r="M820" s="48"/>
      <c r="N820" s="48"/>
      <c r="O820" s="48"/>
      <c r="P820" s="48"/>
      <c r="Q820" s="48"/>
      <c r="R820" s="48"/>
      <c r="S820" s="48"/>
      <c r="T820" s="48"/>
      <c r="U820" s="48"/>
      <c r="V820" s="48"/>
      <c r="W820" s="49"/>
      <c r="X820" s="49"/>
      <c r="Y820" s="49"/>
      <c r="Z820" s="49"/>
      <c r="AA820" s="49"/>
      <c r="AB820" s="49"/>
      <c r="AC820" s="49"/>
      <c r="AD820" s="49"/>
      <c r="AE820" s="49"/>
      <c r="AF820" s="49"/>
      <c r="AG820" s="49"/>
      <c r="AH820" s="49"/>
      <c r="AI820" s="48"/>
      <c r="AJ820" s="48"/>
      <c r="AK820" s="24"/>
      <c r="AL820" s="50"/>
      <c r="AM820" s="50"/>
      <c r="AN820" s="50"/>
      <c r="AO820" s="50"/>
      <c r="AP820" s="50"/>
      <c r="AQ820" s="50"/>
      <c r="AR820" s="50"/>
      <c r="AS820" s="50"/>
      <c r="AT820" s="51"/>
      <c r="AU820" s="51"/>
      <c r="AV820" s="51"/>
      <c r="AW820" s="51"/>
      <c r="AX820" s="50"/>
      <c r="AY820" s="50"/>
      <c r="AZ820" s="50"/>
      <c r="BA820" s="50"/>
      <c r="BB820" s="51"/>
      <c r="BC820" s="51"/>
      <c r="BD820" s="51"/>
      <c r="BE820" s="51"/>
      <c r="BF820" s="47"/>
      <c r="BG820" s="47"/>
      <c r="BH820" s="47"/>
      <c r="BI820" s="47"/>
      <c r="BJ820" s="47"/>
      <c r="BK820" s="47"/>
      <c r="BL820" s="47"/>
      <c r="BM820" s="47"/>
      <c r="BN820" s="47"/>
      <c r="BO820" s="47"/>
      <c r="BP820" s="47"/>
      <c r="BQ820" s="47"/>
      <c r="BR820" s="47"/>
      <c r="BS820" s="47"/>
      <c r="BT820" s="47"/>
    </row>
    <row r="821">
      <c r="A821" s="24"/>
      <c r="B821" s="48"/>
      <c r="C821" s="49"/>
      <c r="D821" s="24"/>
      <c r="E821" s="52"/>
      <c r="F821" s="53"/>
      <c r="G821" s="48"/>
      <c r="H821" s="49"/>
      <c r="I821" s="49"/>
      <c r="J821" s="48"/>
      <c r="K821" s="48"/>
      <c r="L821" s="48"/>
      <c r="M821" s="48"/>
      <c r="N821" s="48"/>
      <c r="O821" s="48"/>
      <c r="P821" s="48"/>
      <c r="Q821" s="48"/>
      <c r="R821" s="48"/>
      <c r="S821" s="48"/>
      <c r="T821" s="48"/>
      <c r="U821" s="48"/>
      <c r="V821" s="48"/>
      <c r="W821" s="49"/>
      <c r="X821" s="49"/>
      <c r="Y821" s="49"/>
      <c r="Z821" s="49"/>
      <c r="AA821" s="49"/>
      <c r="AB821" s="49"/>
      <c r="AC821" s="49"/>
      <c r="AD821" s="49"/>
      <c r="AE821" s="49"/>
      <c r="AF821" s="49"/>
      <c r="AG821" s="49"/>
      <c r="AH821" s="49"/>
      <c r="AI821" s="48"/>
      <c r="AJ821" s="48"/>
      <c r="AK821" s="24"/>
      <c r="AL821" s="50"/>
      <c r="AM821" s="50"/>
      <c r="AN821" s="50"/>
      <c r="AO821" s="50"/>
      <c r="AP821" s="50"/>
      <c r="AQ821" s="50"/>
      <c r="AR821" s="50"/>
      <c r="AS821" s="50"/>
      <c r="AT821" s="51"/>
      <c r="AU821" s="51"/>
      <c r="AV821" s="51"/>
      <c r="AW821" s="51"/>
      <c r="AX821" s="50"/>
      <c r="AY821" s="50"/>
      <c r="AZ821" s="50"/>
      <c r="BA821" s="50"/>
      <c r="BB821" s="51"/>
      <c r="BC821" s="51"/>
      <c r="BD821" s="51"/>
      <c r="BE821" s="51"/>
      <c r="BF821" s="47"/>
      <c r="BG821" s="47"/>
      <c r="BH821" s="47"/>
      <c r="BI821" s="47"/>
      <c r="BJ821" s="47"/>
      <c r="BK821" s="47"/>
      <c r="BL821" s="47"/>
      <c r="BM821" s="47"/>
      <c r="BN821" s="47"/>
      <c r="BO821" s="47"/>
      <c r="BP821" s="47"/>
      <c r="BQ821" s="47"/>
      <c r="BR821" s="47"/>
      <c r="BS821" s="47"/>
      <c r="BT821" s="47"/>
    </row>
    <row r="822">
      <c r="A822" s="24"/>
      <c r="B822" s="48"/>
      <c r="C822" s="49"/>
      <c r="D822" s="24"/>
      <c r="E822" s="52"/>
      <c r="F822" s="53"/>
      <c r="G822" s="48"/>
      <c r="H822" s="49"/>
      <c r="I822" s="49"/>
      <c r="J822" s="48"/>
      <c r="K822" s="48"/>
      <c r="L822" s="48"/>
      <c r="M822" s="48"/>
      <c r="N822" s="48"/>
      <c r="O822" s="48"/>
      <c r="P822" s="48"/>
      <c r="Q822" s="48"/>
      <c r="R822" s="48"/>
      <c r="S822" s="48"/>
      <c r="T822" s="48"/>
      <c r="U822" s="48"/>
      <c r="V822" s="48"/>
      <c r="W822" s="49"/>
      <c r="X822" s="49"/>
      <c r="Y822" s="49"/>
      <c r="Z822" s="49"/>
      <c r="AA822" s="49"/>
      <c r="AB822" s="49"/>
      <c r="AC822" s="49"/>
      <c r="AD822" s="49"/>
      <c r="AE822" s="49"/>
      <c r="AF822" s="49"/>
      <c r="AG822" s="49"/>
      <c r="AH822" s="49"/>
      <c r="AI822" s="48"/>
      <c r="AJ822" s="48"/>
      <c r="AK822" s="24"/>
      <c r="AL822" s="50"/>
      <c r="AM822" s="50"/>
      <c r="AN822" s="50"/>
      <c r="AO822" s="50"/>
      <c r="AP822" s="50"/>
      <c r="AQ822" s="50"/>
      <c r="AR822" s="50"/>
      <c r="AS822" s="50"/>
      <c r="AT822" s="51"/>
      <c r="AU822" s="51"/>
      <c r="AV822" s="51"/>
      <c r="AW822" s="51"/>
      <c r="AX822" s="50"/>
      <c r="AY822" s="50"/>
      <c r="AZ822" s="50"/>
      <c r="BA822" s="50"/>
      <c r="BB822" s="51"/>
      <c r="BC822" s="51"/>
      <c r="BD822" s="51"/>
      <c r="BE822" s="51"/>
      <c r="BF822" s="47"/>
      <c r="BG822" s="47"/>
      <c r="BH822" s="47"/>
      <c r="BI822" s="47"/>
      <c r="BJ822" s="47"/>
      <c r="BK822" s="47"/>
      <c r="BL822" s="47"/>
      <c r="BM822" s="47"/>
      <c r="BN822" s="47"/>
      <c r="BO822" s="47"/>
      <c r="BP822" s="47"/>
      <c r="BQ822" s="47"/>
      <c r="BR822" s="47"/>
      <c r="BS822" s="47"/>
      <c r="BT822" s="47"/>
    </row>
    <row r="823">
      <c r="A823" s="24"/>
      <c r="B823" s="48"/>
      <c r="C823" s="49"/>
      <c r="D823" s="24"/>
      <c r="E823" s="52"/>
      <c r="F823" s="53"/>
      <c r="G823" s="48"/>
      <c r="H823" s="49"/>
      <c r="I823" s="49"/>
      <c r="J823" s="48"/>
      <c r="K823" s="48"/>
      <c r="L823" s="48"/>
      <c r="M823" s="48"/>
      <c r="N823" s="48"/>
      <c r="O823" s="48"/>
      <c r="P823" s="48"/>
      <c r="Q823" s="48"/>
      <c r="R823" s="48"/>
      <c r="S823" s="48"/>
      <c r="T823" s="48"/>
      <c r="U823" s="48"/>
      <c r="V823" s="48"/>
      <c r="W823" s="49"/>
      <c r="X823" s="49"/>
      <c r="Y823" s="49"/>
      <c r="Z823" s="49"/>
      <c r="AA823" s="49"/>
      <c r="AB823" s="49"/>
      <c r="AC823" s="49"/>
      <c r="AD823" s="49"/>
      <c r="AE823" s="49"/>
      <c r="AF823" s="49"/>
      <c r="AG823" s="49"/>
      <c r="AH823" s="49"/>
      <c r="AI823" s="48"/>
      <c r="AJ823" s="48"/>
      <c r="AK823" s="24"/>
      <c r="AL823" s="50"/>
      <c r="AM823" s="50"/>
      <c r="AN823" s="50"/>
      <c r="AO823" s="50"/>
      <c r="AP823" s="50"/>
      <c r="AQ823" s="50"/>
      <c r="AR823" s="50"/>
      <c r="AS823" s="50"/>
      <c r="AT823" s="51"/>
      <c r="AU823" s="51"/>
      <c r="AV823" s="51"/>
      <c r="AW823" s="51"/>
      <c r="AX823" s="50"/>
      <c r="AY823" s="50"/>
      <c r="AZ823" s="50"/>
      <c r="BA823" s="50"/>
      <c r="BB823" s="51"/>
      <c r="BC823" s="51"/>
      <c r="BD823" s="51"/>
      <c r="BE823" s="51"/>
      <c r="BF823" s="47"/>
      <c r="BG823" s="47"/>
      <c r="BH823" s="47"/>
      <c r="BI823" s="47"/>
      <c r="BJ823" s="47"/>
      <c r="BK823" s="47"/>
      <c r="BL823" s="47"/>
      <c r="BM823" s="47"/>
      <c r="BN823" s="47"/>
      <c r="BO823" s="47"/>
      <c r="BP823" s="47"/>
      <c r="BQ823" s="47"/>
      <c r="BR823" s="47"/>
      <c r="BS823" s="47"/>
      <c r="BT823" s="47"/>
    </row>
    <row r="824">
      <c r="A824" s="24"/>
      <c r="B824" s="48"/>
      <c r="C824" s="49"/>
      <c r="D824" s="24"/>
      <c r="E824" s="52"/>
      <c r="F824" s="53"/>
      <c r="G824" s="48"/>
      <c r="H824" s="49"/>
      <c r="I824" s="49"/>
      <c r="J824" s="48"/>
      <c r="K824" s="48"/>
      <c r="L824" s="48"/>
      <c r="M824" s="48"/>
      <c r="N824" s="48"/>
      <c r="O824" s="48"/>
      <c r="P824" s="48"/>
      <c r="Q824" s="48"/>
      <c r="R824" s="48"/>
      <c r="S824" s="48"/>
      <c r="T824" s="48"/>
      <c r="U824" s="48"/>
      <c r="V824" s="48"/>
      <c r="W824" s="49"/>
      <c r="X824" s="49"/>
      <c r="Y824" s="49"/>
      <c r="Z824" s="49"/>
      <c r="AA824" s="49"/>
      <c r="AB824" s="49"/>
      <c r="AC824" s="49"/>
      <c r="AD824" s="49"/>
      <c r="AE824" s="49"/>
      <c r="AF824" s="49"/>
      <c r="AG824" s="49"/>
      <c r="AH824" s="49"/>
      <c r="AI824" s="48"/>
      <c r="AJ824" s="48"/>
      <c r="AK824" s="24"/>
      <c r="AL824" s="50"/>
      <c r="AM824" s="50"/>
      <c r="AN824" s="50"/>
      <c r="AO824" s="50"/>
      <c r="AP824" s="50"/>
      <c r="AQ824" s="50"/>
      <c r="AR824" s="50"/>
      <c r="AS824" s="50"/>
      <c r="AT824" s="51"/>
      <c r="AU824" s="51"/>
      <c r="AV824" s="51"/>
      <c r="AW824" s="51"/>
      <c r="AX824" s="50"/>
      <c r="AY824" s="50"/>
      <c r="AZ824" s="50"/>
      <c r="BA824" s="50"/>
      <c r="BB824" s="51"/>
      <c r="BC824" s="51"/>
      <c r="BD824" s="51"/>
      <c r="BE824" s="51"/>
      <c r="BF824" s="47"/>
      <c r="BG824" s="47"/>
      <c r="BH824" s="47"/>
      <c r="BI824" s="47"/>
      <c r="BJ824" s="47"/>
      <c r="BK824" s="47"/>
      <c r="BL824" s="47"/>
      <c r="BM824" s="47"/>
      <c r="BN824" s="47"/>
      <c r="BO824" s="47"/>
      <c r="BP824" s="47"/>
      <c r="BQ824" s="47"/>
      <c r="BR824" s="47"/>
      <c r="BS824" s="47"/>
      <c r="BT824" s="47"/>
    </row>
    <row r="825">
      <c r="A825" s="24"/>
      <c r="B825" s="48"/>
      <c r="C825" s="49"/>
      <c r="D825" s="24"/>
      <c r="E825" s="52"/>
      <c r="F825" s="53"/>
      <c r="G825" s="48"/>
      <c r="H825" s="49"/>
      <c r="I825" s="49"/>
      <c r="J825" s="48"/>
      <c r="K825" s="48"/>
      <c r="L825" s="48"/>
      <c r="M825" s="48"/>
      <c r="N825" s="48"/>
      <c r="O825" s="48"/>
      <c r="P825" s="48"/>
      <c r="Q825" s="48"/>
      <c r="R825" s="48"/>
      <c r="S825" s="48"/>
      <c r="T825" s="48"/>
      <c r="U825" s="48"/>
      <c r="V825" s="48"/>
      <c r="W825" s="49"/>
      <c r="X825" s="49"/>
      <c r="Y825" s="49"/>
      <c r="Z825" s="49"/>
      <c r="AA825" s="49"/>
      <c r="AB825" s="49"/>
      <c r="AC825" s="49"/>
      <c r="AD825" s="49"/>
      <c r="AE825" s="49"/>
      <c r="AF825" s="49"/>
      <c r="AG825" s="49"/>
      <c r="AH825" s="49"/>
      <c r="AI825" s="48"/>
      <c r="AJ825" s="48"/>
      <c r="AK825" s="24"/>
      <c r="AL825" s="50"/>
      <c r="AM825" s="50"/>
      <c r="AN825" s="50"/>
      <c r="AO825" s="50"/>
      <c r="AP825" s="50"/>
      <c r="AQ825" s="50"/>
      <c r="AR825" s="50"/>
      <c r="AS825" s="50"/>
      <c r="AT825" s="51"/>
      <c r="AU825" s="51"/>
      <c r="AV825" s="51"/>
      <c r="AW825" s="51"/>
      <c r="AX825" s="50"/>
      <c r="AY825" s="50"/>
      <c r="AZ825" s="50"/>
      <c r="BA825" s="50"/>
      <c r="BB825" s="51"/>
      <c r="BC825" s="51"/>
      <c r="BD825" s="51"/>
      <c r="BE825" s="51"/>
      <c r="BF825" s="47"/>
      <c r="BG825" s="47"/>
      <c r="BH825" s="47"/>
      <c r="BI825" s="47"/>
      <c r="BJ825" s="47"/>
      <c r="BK825" s="47"/>
      <c r="BL825" s="47"/>
      <c r="BM825" s="47"/>
      <c r="BN825" s="47"/>
      <c r="BO825" s="47"/>
      <c r="BP825" s="47"/>
      <c r="BQ825" s="47"/>
      <c r="BR825" s="47"/>
      <c r="BS825" s="47"/>
      <c r="BT825" s="47"/>
    </row>
    <row r="826">
      <c r="A826" s="24"/>
      <c r="B826" s="48"/>
      <c r="C826" s="49"/>
      <c r="D826" s="24"/>
      <c r="E826" s="52"/>
      <c r="F826" s="53"/>
      <c r="G826" s="48"/>
      <c r="H826" s="49"/>
      <c r="I826" s="49"/>
      <c r="J826" s="48"/>
      <c r="K826" s="48"/>
      <c r="L826" s="48"/>
      <c r="M826" s="48"/>
      <c r="N826" s="48"/>
      <c r="O826" s="48"/>
      <c r="P826" s="48"/>
      <c r="Q826" s="48"/>
      <c r="R826" s="48"/>
      <c r="S826" s="48"/>
      <c r="T826" s="48"/>
      <c r="U826" s="48"/>
      <c r="V826" s="48"/>
      <c r="W826" s="49"/>
      <c r="X826" s="49"/>
      <c r="Y826" s="49"/>
      <c r="Z826" s="49"/>
      <c r="AA826" s="49"/>
      <c r="AB826" s="49"/>
      <c r="AC826" s="49"/>
      <c r="AD826" s="49"/>
      <c r="AE826" s="49"/>
      <c r="AF826" s="49"/>
      <c r="AG826" s="49"/>
      <c r="AH826" s="49"/>
      <c r="AI826" s="48"/>
      <c r="AJ826" s="48"/>
      <c r="AK826" s="24"/>
      <c r="AL826" s="50"/>
      <c r="AM826" s="50"/>
      <c r="AN826" s="50"/>
      <c r="AO826" s="50"/>
      <c r="AP826" s="50"/>
      <c r="AQ826" s="50"/>
      <c r="AR826" s="50"/>
      <c r="AS826" s="50"/>
      <c r="AT826" s="51"/>
      <c r="AU826" s="51"/>
      <c r="AV826" s="51"/>
      <c r="AW826" s="51"/>
      <c r="AX826" s="50"/>
      <c r="AY826" s="50"/>
      <c r="AZ826" s="50"/>
      <c r="BA826" s="50"/>
      <c r="BB826" s="51"/>
      <c r="BC826" s="51"/>
      <c r="BD826" s="51"/>
      <c r="BE826" s="51"/>
      <c r="BF826" s="47"/>
      <c r="BG826" s="47"/>
      <c r="BH826" s="47"/>
      <c r="BI826" s="47"/>
      <c r="BJ826" s="47"/>
      <c r="BK826" s="47"/>
      <c r="BL826" s="47"/>
      <c r="BM826" s="47"/>
      <c r="BN826" s="47"/>
      <c r="BO826" s="47"/>
      <c r="BP826" s="47"/>
      <c r="BQ826" s="47"/>
      <c r="BR826" s="47"/>
      <c r="BS826" s="47"/>
      <c r="BT826" s="47"/>
    </row>
    <row r="827">
      <c r="A827" s="24"/>
      <c r="B827" s="48"/>
      <c r="C827" s="49"/>
      <c r="D827" s="24"/>
      <c r="E827" s="52"/>
      <c r="F827" s="53"/>
      <c r="G827" s="48"/>
      <c r="H827" s="49"/>
      <c r="I827" s="49"/>
      <c r="J827" s="48"/>
      <c r="K827" s="48"/>
      <c r="L827" s="48"/>
      <c r="M827" s="48"/>
      <c r="N827" s="48"/>
      <c r="O827" s="48"/>
      <c r="P827" s="48"/>
      <c r="Q827" s="48"/>
      <c r="R827" s="48"/>
      <c r="S827" s="48"/>
      <c r="T827" s="48"/>
      <c r="U827" s="48"/>
      <c r="V827" s="48"/>
      <c r="W827" s="49"/>
      <c r="X827" s="49"/>
      <c r="Y827" s="49"/>
      <c r="Z827" s="49"/>
      <c r="AA827" s="49"/>
      <c r="AB827" s="49"/>
      <c r="AC827" s="49"/>
      <c r="AD827" s="49"/>
      <c r="AE827" s="49"/>
      <c r="AF827" s="49"/>
      <c r="AG827" s="49"/>
      <c r="AH827" s="49"/>
      <c r="AI827" s="48"/>
      <c r="AJ827" s="48"/>
      <c r="AK827" s="24"/>
      <c r="AL827" s="50"/>
      <c r="AM827" s="50"/>
      <c r="AN827" s="50"/>
      <c r="AO827" s="50"/>
      <c r="AP827" s="50"/>
      <c r="AQ827" s="50"/>
      <c r="AR827" s="50"/>
      <c r="AS827" s="50"/>
      <c r="AT827" s="51"/>
      <c r="AU827" s="51"/>
      <c r="AV827" s="51"/>
      <c r="AW827" s="51"/>
      <c r="AX827" s="50"/>
      <c r="AY827" s="50"/>
      <c r="AZ827" s="50"/>
      <c r="BA827" s="50"/>
      <c r="BB827" s="51"/>
      <c r="BC827" s="51"/>
      <c r="BD827" s="51"/>
      <c r="BE827" s="51"/>
      <c r="BF827" s="47"/>
      <c r="BG827" s="47"/>
      <c r="BH827" s="47"/>
      <c r="BI827" s="47"/>
      <c r="BJ827" s="47"/>
      <c r="BK827" s="47"/>
      <c r="BL827" s="47"/>
      <c r="BM827" s="47"/>
      <c r="BN827" s="47"/>
      <c r="BO827" s="47"/>
      <c r="BP827" s="47"/>
      <c r="BQ827" s="47"/>
      <c r="BR827" s="47"/>
      <c r="BS827" s="47"/>
      <c r="BT827" s="47"/>
    </row>
    <row r="828">
      <c r="A828" s="24"/>
      <c r="B828" s="48"/>
      <c r="C828" s="49"/>
      <c r="D828" s="24"/>
      <c r="E828" s="52"/>
      <c r="F828" s="53"/>
      <c r="G828" s="48"/>
      <c r="H828" s="49"/>
      <c r="I828" s="49"/>
      <c r="J828" s="48"/>
      <c r="K828" s="48"/>
      <c r="L828" s="48"/>
      <c r="M828" s="48"/>
      <c r="N828" s="48"/>
      <c r="O828" s="48"/>
      <c r="P828" s="48"/>
      <c r="Q828" s="48"/>
      <c r="R828" s="48"/>
      <c r="S828" s="48"/>
      <c r="T828" s="48"/>
      <c r="U828" s="48"/>
      <c r="V828" s="48"/>
      <c r="W828" s="49"/>
      <c r="X828" s="49"/>
      <c r="Y828" s="49"/>
      <c r="Z828" s="49"/>
      <c r="AA828" s="49"/>
      <c r="AB828" s="49"/>
      <c r="AC828" s="49"/>
      <c r="AD828" s="49"/>
      <c r="AE828" s="49"/>
      <c r="AF828" s="49"/>
      <c r="AG828" s="49"/>
      <c r="AH828" s="49"/>
      <c r="AI828" s="48"/>
      <c r="AJ828" s="48"/>
      <c r="AK828" s="24"/>
      <c r="AL828" s="50"/>
      <c r="AM828" s="50"/>
      <c r="AN828" s="50"/>
      <c r="AO828" s="50"/>
      <c r="AP828" s="50"/>
      <c r="AQ828" s="50"/>
      <c r="AR828" s="50"/>
      <c r="AS828" s="50"/>
      <c r="AT828" s="51"/>
      <c r="AU828" s="51"/>
      <c r="AV828" s="51"/>
      <c r="AW828" s="51"/>
      <c r="AX828" s="50"/>
      <c r="AY828" s="50"/>
      <c r="AZ828" s="50"/>
      <c r="BA828" s="50"/>
      <c r="BB828" s="51"/>
      <c r="BC828" s="51"/>
      <c r="BD828" s="51"/>
      <c r="BE828" s="51"/>
      <c r="BF828" s="47"/>
      <c r="BG828" s="47"/>
      <c r="BH828" s="47"/>
      <c r="BI828" s="47"/>
      <c r="BJ828" s="47"/>
      <c r="BK828" s="47"/>
      <c r="BL828" s="47"/>
      <c r="BM828" s="47"/>
      <c r="BN828" s="47"/>
      <c r="BO828" s="47"/>
      <c r="BP828" s="47"/>
      <c r="BQ828" s="47"/>
      <c r="BR828" s="47"/>
      <c r="BS828" s="47"/>
      <c r="BT828" s="47"/>
    </row>
    <row r="829">
      <c r="A829" s="24"/>
      <c r="B829" s="48"/>
      <c r="C829" s="49"/>
      <c r="D829" s="24"/>
      <c r="E829" s="52"/>
      <c r="F829" s="53"/>
      <c r="G829" s="48"/>
      <c r="H829" s="49"/>
      <c r="I829" s="49"/>
      <c r="J829" s="48"/>
      <c r="K829" s="48"/>
      <c r="L829" s="48"/>
      <c r="M829" s="48"/>
      <c r="N829" s="48"/>
      <c r="O829" s="48"/>
      <c r="P829" s="48"/>
      <c r="Q829" s="48"/>
      <c r="R829" s="48"/>
      <c r="S829" s="48"/>
      <c r="T829" s="48"/>
      <c r="U829" s="48"/>
      <c r="V829" s="48"/>
      <c r="W829" s="49"/>
      <c r="X829" s="49"/>
      <c r="Y829" s="49"/>
      <c r="Z829" s="49"/>
      <c r="AA829" s="49"/>
      <c r="AB829" s="49"/>
      <c r="AC829" s="49"/>
      <c r="AD829" s="49"/>
      <c r="AE829" s="49"/>
      <c r="AF829" s="49"/>
      <c r="AG829" s="49"/>
      <c r="AH829" s="49"/>
      <c r="AI829" s="48"/>
      <c r="AJ829" s="48"/>
      <c r="AK829" s="24"/>
      <c r="AL829" s="50"/>
      <c r="AM829" s="50"/>
      <c r="AN829" s="50"/>
      <c r="AO829" s="50"/>
      <c r="AP829" s="50"/>
      <c r="AQ829" s="50"/>
      <c r="AR829" s="50"/>
      <c r="AS829" s="50"/>
      <c r="AT829" s="51"/>
      <c r="AU829" s="51"/>
      <c r="AV829" s="51"/>
      <c r="AW829" s="51"/>
      <c r="AX829" s="50"/>
      <c r="AY829" s="50"/>
      <c r="AZ829" s="50"/>
      <c r="BA829" s="50"/>
      <c r="BB829" s="51"/>
      <c r="BC829" s="51"/>
      <c r="BD829" s="51"/>
      <c r="BE829" s="51"/>
      <c r="BF829" s="47"/>
      <c r="BG829" s="47"/>
      <c r="BH829" s="47"/>
      <c r="BI829" s="47"/>
      <c r="BJ829" s="47"/>
      <c r="BK829" s="47"/>
      <c r="BL829" s="47"/>
      <c r="BM829" s="47"/>
      <c r="BN829" s="47"/>
      <c r="BO829" s="47"/>
      <c r="BP829" s="47"/>
      <c r="BQ829" s="47"/>
      <c r="BR829" s="47"/>
      <c r="BS829" s="47"/>
      <c r="BT829" s="47"/>
    </row>
    <row r="830">
      <c r="A830" s="24"/>
      <c r="B830" s="48"/>
      <c r="C830" s="49"/>
      <c r="D830" s="24"/>
      <c r="E830" s="52"/>
      <c r="F830" s="53"/>
      <c r="G830" s="48"/>
      <c r="H830" s="49"/>
      <c r="I830" s="49"/>
      <c r="J830" s="48"/>
      <c r="K830" s="48"/>
      <c r="L830" s="48"/>
      <c r="M830" s="48"/>
      <c r="N830" s="48"/>
      <c r="O830" s="48"/>
      <c r="P830" s="48"/>
      <c r="Q830" s="48"/>
      <c r="R830" s="48"/>
      <c r="S830" s="48"/>
      <c r="T830" s="48"/>
      <c r="U830" s="48"/>
      <c r="V830" s="48"/>
      <c r="W830" s="49"/>
      <c r="X830" s="49"/>
      <c r="Y830" s="49"/>
      <c r="Z830" s="49"/>
      <c r="AA830" s="49"/>
      <c r="AB830" s="49"/>
      <c r="AC830" s="49"/>
      <c r="AD830" s="49"/>
      <c r="AE830" s="49"/>
      <c r="AF830" s="49"/>
      <c r="AG830" s="49"/>
      <c r="AH830" s="49"/>
      <c r="AI830" s="48"/>
      <c r="AJ830" s="48"/>
      <c r="AK830" s="24"/>
      <c r="AL830" s="50"/>
      <c r="AM830" s="50"/>
      <c r="AN830" s="50"/>
      <c r="AO830" s="50"/>
      <c r="AP830" s="50"/>
      <c r="AQ830" s="50"/>
      <c r="AR830" s="50"/>
      <c r="AS830" s="50"/>
      <c r="AT830" s="51"/>
      <c r="AU830" s="51"/>
      <c r="AV830" s="51"/>
      <c r="AW830" s="51"/>
      <c r="AX830" s="50"/>
      <c r="AY830" s="50"/>
      <c r="AZ830" s="50"/>
      <c r="BA830" s="50"/>
      <c r="BB830" s="51"/>
      <c r="BC830" s="51"/>
      <c r="BD830" s="51"/>
      <c r="BE830" s="51"/>
      <c r="BF830" s="47"/>
      <c r="BG830" s="47"/>
      <c r="BH830" s="47"/>
      <c r="BI830" s="47"/>
      <c r="BJ830" s="47"/>
      <c r="BK830" s="47"/>
      <c r="BL830" s="47"/>
      <c r="BM830" s="47"/>
      <c r="BN830" s="47"/>
      <c r="BO830" s="47"/>
      <c r="BP830" s="47"/>
      <c r="BQ830" s="47"/>
      <c r="BR830" s="47"/>
      <c r="BS830" s="47"/>
      <c r="BT830" s="47"/>
    </row>
    <row r="831">
      <c r="A831" s="24"/>
      <c r="B831" s="48"/>
      <c r="C831" s="49"/>
      <c r="D831" s="24"/>
      <c r="E831" s="52"/>
      <c r="F831" s="53"/>
      <c r="G831" s="48"/>
      <c r="H831" s="49"/>
      <c r="I831" s="49"/>
      <c r="J831" s="48"/>
      <c r="K831" s="48"/>
      <c r="L831" s="48"/>
      <c r="M831" s="48"/>
      <c r="N831" s="48"/>
      <c r="O831" s="48"/>
      <c r="P831" s="48"/>
      <c r="Q831" s="48"/>
      <c r="R831" s="48"/>
      <c r="S831" s="48"/>
      <c r="T831" s="48"/>
      <c r="U831" s="48"/>
      <c r="V831" s="48"/>
      <c r="W831" s="49"/>
      <c r="X831" s="49"/>
      <c r="Y831" s="49"/>
      <c r="Z831" s="49"/>
      <c r="AA831" s="49"/>
      <c r="AB831" s="49"/>
      <c r="AC831" s="49"/>
      <c r="AD831" s="49"/>
      <c r="AE831" s="49"/>
      <c r="AF831" s="49"/>
      <c r="AG831" s="49"/>
      <c r="AH831" s="49"/>
      <c r="AI831" s="48"/>
      <c r="AJ831" s="48"/>
      <c r="AK831" s="24"/>
      <c r="AL831" s="50"/>
      <c r="AM831" s="50"/>
      <c r="AN831" s="50"/>
      <c r="AO831" s="50"/>
      <c r="AP831" s="50"/>
      <c r="AQ831" s="50"/>
      <c r="AR831" s="50"/>
      <c r="AS831" s="50"/>
      <c r="AT831" s="51"/>
      <c r="AU831" s="51"/>
      <c r="AV831" s="51"/>
      <c r="AW831" s="51"/>
      <c r="AX831" s="50"/>
      <c r="AY831" s="50"/>
      <c r="AZ831" s="50"/>
      <c r="BA831" s="50"/>
      <c r="BB831" s="51"/>
      <c r="BC831" s="51"/>
      <c r="BD831" s="51"/>
      <c r="BE831" s="51"/>
      <c r="BF831" s="47"/>
      <c r="BG831" s="47"/>
      <c r="BH831" s="47"/>
      <c r="BI831" s="47"/>
      <c r="BJ831" s="47"/>
      <c r="BK831" s="47"/>
      <c r="BL831" s="47"/>
      <c r="BM831" s="47"/>
      <c r="BN831" s="47"/>
      <c r="BO831" s="47"/>
      <c r="BP831" s="47"/>
      <c r="BQ831" s="47"/>
      <c r="BR831" s="47"/>
      <c r="BS831" s="47"/>
      <c r="BT831" s="47"/>
    </row>
    <row r="832">
      <c r="A832" s="24"/>
      <c r="B832" s="48"/>
      <c r="C832" s="49"/>
      <c r="D832" s="24"/>
      <c r="E832" s="52"/>
      <c r="F832" s="53"/>
      <c r="G832" s="48"/>
      <c r="H832" s="49"/>
      <c r="I832" s="49"/>
      <c r="J832" s="48"/>
      <c r="K832" s="48"/>
      <c r="L832" s="48"/>
      <c r="M832" s="48"/>
      <c r="N832" s="48"/>
      <c r="O832" s="48"/>
      <c r="P832" s="48"/>
      <c r="Q832" s="48"/>
      <c r="R832" s="48"/>
      <c r="S832" s="48"/>
      <c r="T832" s="48"/>
      <c r="U832" s="48"/>
      <c r="V832" s="48"/>
      <c r="W832" s="49"/>
      <c r="X832" s="49"/>
      <c r="Y832" s="49"/>
      <c r="Z832" s="49"/>
      <c r="AA832" s="49"/>
      <c r="AB832" s="49"/>
      <c r="AC832" s="49"/>
      <c r="AD832" s="49"/>
      <c r="AE832" s="49"/>
      <c r="AF832" s="49"/>
      <c r="AG832" s="49"/>
      <c r="AH832" s="49"/>
      <c r="AI832" s="48"/>
      <c r="AJ832" s="48"/>
      <c r="AK832" s="24"/>
      <c r="AL832" s="50"/>
      <c r="AM832" s="50"/>
      <c r="AN832" s="50"/>
      <c r="AO832" s="50"/>
      <c r="AP832" s="50"/>
      <c r="AQ832" s="50"/>
      <c r="AR832" s="50"/>
      <c r="AS832" s="50"/>
      <c r="AT832" s="51"/>
      <c r="AU832" s="51"/>
      <c r="AV832" s="51"/>
      <c r="AW832" s="51"/>
      <c r="AX832" s="50"/>
      <c r="AY832" s="50"/>
      <c r="AZ832" s="50"/>
      <c r="BA832" s="50"/>
      <c r="BB832" s="51"/>
      <c r="BC832" s="51"/>
      <c r="BD832" s="51"/>
      <c r="BE832" s="51"/>
      <c r="BF832" s="47"/>
      <c r="BG832" s="47"/>
      <c r="BH832" s="47"/>
      <c r="BI832" s="47"/>
      <c r="BJ832" s="47"/>
      <c r="BK832" s="47"/>
      <c r="BL832" s="47"/>
      <c r="BM832" s="47"/>
      <c r="BN832" s="47"/>
      <c r="BO832" s="47"/>
      <c r="BP832" s="47"/>
      <c r="BQ832" s="47"/>
      <c r="BR832" s="47"/>
      <c r="BS832" s="47"/>
      <c r="BT832" s="47"/>
    </row>
    <row r="833">
      <c r="A833" s="24"/>
      <c r="B833" s="48"/>
      <c r="C833" s="49"/>
      <c r="D833" s="24"/>
      <c r="E833" s="52"/>
      <c r="F833" s="53"/>
      <c r="G833" s="48"/>
      <c r="H833" s="49"/>
      <c r="I833" s="49"/>
      <c r="J833" s="48"/>
      <c r="K833" s="48"/>
      <c r="L833" s="48"/>
      <c r="M833" s="48"/>
      <c r="N833" s="48"/>
      <c r="O833" s="48"/>
      <c r="P833" s="48"/>
      <c r="Q833" s="48"/>
      <c r="R833" s="48"/>
      <c r="S833" s="48"/>
      <c r="T833" s="48"/>
      <c r="U833" s="48"/>
      <c r="V833" s="48"/>
      <c r="W833" s="49"/>
      <c r="X833" s="49"/>
      <c r="Y833" s="49"/>
      <c r="Z833" s="49"/>
      <c r="AA833" s="49"/>
      <c r="AB833" s="49"/>
      <c r="AC833" s="49"/>
      <c r="AD833" s="49"/>
      <c r="AE833" s="49"/>
      <c r="AF833" s="49"/>
      <c r="AG833" s="49"/>
      <c r="AH833" s="49"/>
      <c r="AI833" s="48"/>
      <c r="AJ833" s="48"/>
      <c r="AK833" s="24"/>
      <c r="AL833" s="50"/>
      <c r="AM833" s="50"/>
      <c r="AN833" s="50"/>
      <c r="AO833" s="50"/>
      <c r="AP833" s="50"/>
      <c r="AQ833" s="50"/>
      <c r="AR833" s="50"/>
      <c r="AS833" s="50"/>
      <c r="AT833" s="51"/>
      <c r="AU833" s="51"/>
      <c r="AV833" s="51"/>
      <c r="AW833" s="51"/>
      <c r="AX833" s="50"/>
      <c r="AY833" s="50"/>
      <c r="AZ833" s="50"/>
      <c r="BA833" s="50"/>
      <c r="BB833" s="51"/>
      <c r="BC833" s="51"/>
      <c r="BD833" s="51"/>
      <c r="BE833" s="51"/>
      <c r="BF833" s="47"/>
      <c r="BG833" s="47"/>
      <c r="BH833" s="47"/>
      <c r="BI833" s="47"/>
      <c r="BJ833" s="47"/>
      <c r="BK833" s="47"/>
      <c r="BL833" s="47"/>
      <c r="BM833" s="47"/>
      <c r="BN833" s="47"/>
      <c r="BO833" s="47"/>
      <c r="BP833" s="47"/>
      <c r="BQ833" s="47"/>
      <c r="BR833" s="47"/>
      <c r="BS833" s="47"/>
      <c r="BT833" s="47"/>
    </row>
    <row r="834">
      <c r="A834" s="24"/>
      <c r="B834" s="48"/>
      <c r="C834" s="49"/>
      <c r="D834" s="24"/>
      <c r="E834" s="52"/>
      <c r="F834" s="53"/>
      <c r="G834" s="48"/>
      <c r="H834" s="49"/>
      <c r="I834" s="49"/>
      <c r="J834" s="48"/>
      <c r="K834" s="48"/>
      <c r="L834" s="48"/>
      <c r="M834" s="48"/>
      <c r="N834" s="48"/>
      <c r="O834" s="48"/>
      <c r="P834" s="48"/>
      <c r="Q834" s="48"/>
      <c r="R834" s="48"/>
      <c r="S834" s="48"/>
      <c r="T834" s="48"/>
      <c r="U834" s="48"/>
      <c r="V834" s="48"/>
      <c r="W834" s="49"/>
      <c r="X834" s="49"/>
      <c r="Y834" s="49"/>
      <c r="Z834" s="49"/>
      <c r="AA834" s="49"/>
      <c r="AB834" s="49"/>
      <c r="AC834" s="49"/>
      <c r="AD834" s="49"/>
      <c r="AE834" s="49"/>
      <c r="AF834" s="49"/>
      <c r="AG834" s="49"/>
      <c r="AH834" s="49"/>
      <c r="AI834" s="48"/>
      <c r="AJ834" s="48"/>
      <c r="AK834" s="24"/>
      <c r="AL834" s="50"/>
      <c r="AM834" s="50"/>
      <c r="AN834" s="50"/>
      <c r="AO834" s="50"/>
      <c r="AP834" s="50"/>
      <c r="AQ834" s="50"/>
      <c r="AR834" s="50"/>
      <c r="AS834" s="50"/>
      <c r="AT834" s="51"/>
      <c r="AU834" s="51"/>
      <c r="AV834" s="51"/>
      <c r="AW834" s="51"/>
      <c r="AX834" s="50"/>
      <c r="AY834" s="50"/>
      <c r="AZ834" s="50"/>
      <c r="BA834" s="50"/>
      <c r="BB834" s="51"/>
      <c r="BC834" s="51"/>
      <c r="BD834" s="51"/>
      <c r="BE834" s="51"/>
      <c r="BF834" s="47"/>
      <c r="BG834" s="47"/>
      <c r="BH834" s="47"/>
      <c r="BI834" s="47"/>
      <c r="BJ834" s="47"/>
      <c r="BK834" s="47"/>
      <c r="BL834" s="47"/>
      <c r="BM834" s="47"/>
      <c r="BN834" s="47"/>
      <c r="BO834" s="47"/>
      <c r="BP834" s="47"/>
      <c r="BQ834" s="47"/>
      <c r="BR834" s="47"/>
      <c r="BS834" s="47"/>
      <c r="BT834" s="47"/>
    </row>
    <row r="835">
      <c r="A835" s="24"/>
      <c r="B835" s="48"/>
      <c r="C835" s="49"/>
      <c r="D835" s="24"/>
      <c r="E835" s="52"/>
      <c r="F835" s="53"/>
      <c r="G835" s="48"/>
      <c r="H835" s="49"/>
      <c r="I835" s="49"/>
      <c r="J835" s="48"/>
      <c r="K835" s="48"/>
      <c r="L835" s="48"/>
      <c r="M835" s="48"/>
      <c r="N835" s="48"/>
      <c r="O835" s="48"/>
      <c r="P835" s="48"/>
      <c r="Q835" s="48"/>
      <c r="R835" s="48"/>
      <c r="S835" s="48"/>
      <c r="T835" s="48"/>
      <c r="U835" s="48"/>
      <c r="V835" s="48"/>
      <c r="W835" s="49"/>
      <c r="X835" s="49"/>
      <c r="Y835" s="49"/>
      <c r="Z835" s="49"/>
      <c r="AA835" s="49"/>
      <c r="AB835" s="49"/>
      <c r="AC835" s="49"/>
      <c r="AD835" s="49"/>
      <c r="AE835" s="49"/>
      <c r="AF835" s="49"/>
      <c r="AG835" s="49"/>
      <c r="AH835" s="49"/>
      <c r="AI835" s="48"/>
      <c r="AJ835" s="48"/>
      <c r="AK835" s="24"/>
      <c r="AL835" s="50"/>
      <c r="AM835" s="50"/>
      <c r="AN835" s="50"/>
      <c r="AO835" s="50"/>
      <c r="AP835" s="50"/>
      <c r="AQ835" s="50"/>
      <c r="AR835" s="50"/>
      <c r="AS835" s="50"/>
      <c r="AT835" s="51"/>
      <c r="AU835" s="51"/>
      <c r="AV835" s="51"/>
      <c r="AW835" s="51"/>
      <c r="AX835" s="50"/>
      <c r="AY835" s="50"/>
      <c r="AZ835" s="50"/>
      <c r="BA835" s="50"/>
      <c r="BB835" s="51"/>
      <c r="BC835" s="51"/>
      <c r="BD835" s="51"/>
      <c r="BE835" s="51"/>
      <c r="BF835" s="47"/>
      <c r="BG835" s="47"/>
      <c r="BH835" s="47"/>
      <c r="BI835" s="47"/>
      <c r="BJ835" s="47"/>
      <c r="BK835" s="47"/>
      <c r="BL835" s="47"/>
      <c r="BM835" s="47"/>
      <c r="BN835" s="47"/>
      <c r="BO835" s="47"/>
      <c r="BP835" s="47"/>
      <c r="BQ835" s="47"/>
      <c r="BR835" s="47"/>
      <c r="BS835" s="47"/>
      <c r="BT835" s="47"/>
    </row>
    <row r="836">
      <c r="A836" s="24"/>
      <c r="B836" s="48"/>
      <c r="C836" s="49"/>
      <c r="D836" s="24"/>
      <c r="E836" s="52"/>
      <c r="F836" s="53"/>
      <c r="G836" s="48"/>
      <c r="H836" s="49"/>
      <c r="I836" s="49"/>
      <c r="J836" s="48"/>
      <c r="K836" s="48"/>
      <c r="L836" s="48"/>
      <c r="M836" s="48"/>
      <c r="N836" s="48"/>
      <c r="O836" s="48"/>
      <c r="P836" s="48"/>
      <c r="Q836" s="48"/>
      <c r="R836" s="48"/>
      <c r="S836" s="48"/>
      <c r="T836" s="48"/>
      <c r="U836" s="48"/>
      <c r="V836" s="48"/>
      <c r="W836" s="49"/>
      <c r="X836" s="49"/>
      <c r="Y836" s="49"/>
      <c r="Z836" s="49"/>
      <c r="AA836" s="49"/>
      <c r="AB836" s="49"/>
      <c r="AC836" s="49"/>
      <c r="AD836" s="49"/>
      <c r="AE836" s="49"/>
      <c r="AF836" s="49"/>
      <c r="AG836" s="49"/>
      <c r="AH836" s="49"/>
      <c r="AI836" s="48"/>
      <c r="AJ836" s="48"/>
      <c r="AK836" s="24"/>
      <c r="AL836" s="50"/>
      <c r="AM836" s="50"/>
      <c r="AN836" s="50"/>
      <c r="AO836" s="50"/>
      <c r="AP836" s="50"/>
      <c r="AQ836" s="50"/>
      <c r="AR836" s="50"/>
      <c r="AS836" s="50"/>
      <c r="AT836" s="51"/>
      <c r="AU836" s="51"/>
      <c r="AV836" s="51"/>
      <c r="AW836" s="51"/>
      <c r="AX836" s="50"/>
      <c r="AY836" s="50"/>
      <c r="AZ836" s="50"/>
      <c r="BA836" s="50"/>
      <c r="BB836" s="51"/>
      <c r="BC836" s="51"/>
      <c r="BD836" s="51"/>
      <c r="BE836" s="51"/>
      <c r="BF836" s="47"/>
      <c r="BG836" s="47"/>
      <c r="BH836" s="47"/>
      <c r="BI836" s="47"/>
      <c r="BJ836" s="47"/>
      <c r="BK836" s="47"/>
      <c r="BL836" s="47"/>
      <c r="BM836" s="47"/>
      <c r="BN836" s="47"/>
      <c r="BO836" s="47"/>
      <c r="BP836" s="47"/>
      <c r="BQ836" s="47"/>
      <c r="BR836" s="47"/>
      <c r="BS836" s="47"/>
      <c r="BT836" s="47"/>
    </row>
    <row r="837">
      <c r="A837" s="24"/>
      <c r="B837" s="48"/>
      <c r="C837" s="49"/>
      <c r="D837" s="24"/>
      <c r="E837" s="52"/>
      <c r="F837" s="53"/>
      <c r="G837" s="48"/>
      <c r="H837" s="49"/>
      <c r="I837" s="49"/>
      <c r="J837" s="48"/>
      <c r="K837" s="48"/>
      <c r="L837" s="48"/>
      <c r="M837" s="48"/>
      <c r="N837" s="48"/>
      <c r="O837" s="48"/>
      <c r="P837" s="48"/>
      <c r="Q837" s="48"/>
      <c r="R837" s="48"/>
      <c r="S837" s="48"/>
      <c r="T837" s="48"/>
      <c r="U837" s="48"/>
      <c r="V837" s="48"/>
      <c r="W837" s="49"/>
      <c r="X837" s="49"/>
      <c r="Y837" s="49"/>
      <c r="Z837" s="49"/>
      <c r="AA837" s="49"/>
      <c r="AB837" s="49"/>
      <c r="AC837" s="49"/>
      <c r="AD837" s="49"/>
      <c r="AE837" s="49"/>
      <c r="AF837" s="49"/>
      <c r="AG837" s="49"/>
      <c r="AH837" s="49"/>
      <c r="AI837" s="48"/>
      <c r="AJ837" s="48"/>
      <c r="AK837" s="24"/>
      <c r="AL837" s="50"/>
      <c r="AM837" s="50"/>
      <c r="AN837" s="50"/>
      <c r="AO837" s="50"/>
      <c r="AP837" s="50"/>
      <c r="AQ837" s="50"/>
      <c r="AR837" s="50"/>
      <c r="AS837" s="50"/>
      <c r="AT837" s="51"/>
      <c r="AU837" s="51"/>
      <c r="AV837" s="51"/>
      <c r="AW837" s="51"/>
      <c r="AX837" s="50"/>
      <c r="AY837" s="50"/>
      <c r="AZ837" s="50"/>
      <c r="BA837" s="50"/>
      <c r="BB837" s="51"/>
      <c r="BC837" s="51"/>
      <c r="BD837" s="51"/>
      <c r="BE837" s="51"/>
      <c r="BF837" s="47"/>
      <c r="BG837" s="47"/>
      <c r="BH837" s="47"/>
      <c r="BI837" s="47"/>
      <c r="BJ837" s="47"/>
      <c r="BK837" s="47"/>
      <c r="BL837" s="47"/>
      <c r="BM837" s="47"/>
      <c r="BN837" s="47"/>
      <c r="BO837" s="47"/>
      <c r="BP837" s="47"/>
      <c r="BQ837" s="47"/>
      <c r="BR837" s="47"/>
      <c r="BS837" s="47"/>
      <c r="BT837" s="47"/>
    </row>
    <row r="838">
      <c r="A838" s="24"/>
      <c r="B838" s="48"/>
      <c r="C838" s="49"/>
      <c r="D838" s="24"/>
      <c r="E838" s="52"/>
      <c r="F838" s="53"/>
      <c r="G838" s="48"/>
      <c r="H838" s="49"/>
      <c r="I838" s="49"/>
      <c r="J838" s="48"/>
      <c r="K838" s="48"/>
      <c r="L838" s="48"/>
      <c r="M838" s="48"/>
      <c r="N838" s="48"/>
      <c r="O838" s="48"/>
      <c r="P838" s="48"/>
      <c r="Q838" s="48"/>
      <c r="R838" s="48"/>
      <c r="S838" s="48"/>
      <c r="T838" s="48"/>
      <c r="U838" s="48"/>
      <c r="V838" s="48"/>
      <c r="W838" s="49"/>
      <c r="X838" s="49"/>
      <c r="Y838" s="49"/>
      <c r="Z838" s="49"/>
      <c r="AA838" s="49"/>
      <c r="AB838" s="49"/>
      <c r="AC838" s="49"/>
      <c r="AD838" s="49"/>
      <c r="AE838" s="49"/>
      <c r="AF838" s="49"/>
      <c r="AG838" s="49"/>
      <c r="AH838" s="49"/>
      <c r="AI838" s="48"/>
      <c r="AJ838" s="48"/>
      <c r="AK838" s="24"/>
      <c r="AL838" s="50"/>
      <c r="AM838" s="50"/>
      <c r="AN838" s="50"/>
      <c r="AO838" s="50"/>
      <c r="AP838" s="50"/>
      <c r="AQ838" s="50"/>
      <c r="AR838" s="50"/>
      <c r="AS838" s="50"/>
      <c r="AT838" s="51"/>
      <c r="AU838" s="51"/>
      <c r="AV838" s="51"/>
      <c r="AW838" s="51"/>
      <c r="AX838" s="50"/>
      <c r="AY838" s="50"/>
      <c r="AZ838" s="50"/>
      <c r="BA838" s="50"/>
      <c r="BB838" s="51"/>
      <c r="BC838" s="51"/>
      <c r="BD838" s="51"/>
      <c r="BE838" s="51"/>
      <c r="BF838" s="47"/>
      <c r="BG838" s="47"/>
      <c r="BH838" s="47"/>
      <c r="BI838" s="47"/>
      <c r="BJ838" s="47"/>
      <c r="BK838" s="47"/>
      <c r="BL838" s="47"/>
      <c r="BM838" s="47"/>
      <c r="BN838" s="47"/>
      <c r="BO838" s="47"/>
      <c r="BP838" s="47"/>
      <c r="BQ838" s="47"/>
      <c r="BR838" s="47"/>
      <c r="BS838" s="47"/>
      <c r="BT838" s="47"/>
    </row>
    <row r="839">
      <c r="A839" s="24"/>
      <c r="B839" s="48"/>
      <c r="C839" s="49"/>
      <c r="D839" s="24"/>
      <c r="E839" s="52"/>
      <c r="F839" s="53"/>
      <c r="G839" s="48"/>
      <c r="H839" s="49"/>
      <c r="I839" s="49"/>
      <c r="J839" s="48"/>
      <c r="K839" s="48"/>
      <c r="L839" s="48"/>
      <c r="M839" s="48"/>
      <c r="N839" s="48"/>
      <c r="O839" s="48"/>
      <c r="P839" s="48"/>
      <c r="Q839" s="48"/>
      <c r="R839" s="48"/>
      <c r="S839" s="48"/>
      <c r="T839" s="48"/>
      <c r="U839" s="48"/>
      <c r="V839" s="48"/>
      <c r="W839" s="49"/>
      <c r="X839" s="49"/>
      <c r="Y839" s="49"/>
      <c r="Z839" s="49"/>
      <c r="AA839" s="49"/>
      <c r="AB839" s="49"/>
      <c r="AC839" s="49"/>
      <c r="AD839" s="49"/>
      <c r="AE839" s="49"/>
      <c r="AF839" s="49"/>
      <c r="AG839" s="49"/>
      <c r="AH839" s="49"/>
      <c r="AI839" s="48"/>
      <c r="AJ839" s="48"/>
      <c r="AK839" s="24"/>
      <c r="AL839" s="50"/>
      <c r="AM839" s="50"/>
      <c r="AN839" s="50"/>
      <c r="AO839" s="50"/>
      <c r="AP839" s="50"/>
      <c r="AQ839" s="50"/>
      <c r="AR839" s="50"/>
      <c r="AS839" s="50"/>
      <c r="AT839" s="51"/>
      <c r="AU839" s="51"/>
      <c r="AV839" s="51"/>
      <c r="AW839" s="51"/>
      <c r="AX839" s="50"/>
      <c r="AY839" s="50"/>
      <c r="AZ839" s="50"/>
      <c r="BA839" s="50"/>
      <c r="BB839" s="51"/>
      <c r="BC839" s="51"/>
      <c r="BD839" s="51"/>
      <c r="BE839" s="51"/>
      <c r="BF839" s="47"/>
      <c r="BG839" s="47"/>
      <c r="BH839" s="47"/>
      <c r="BI839" s="47"/>
      <c r="BJ839" s="47"/>
      <c r="BK839" s="47"/>
      <c r="BL839" s="47"/>
      <c r="BM839" s="47"/>
      <c r="BN839" s="47"/>
      <c r="BO839" s="47"/>
      <c r="BP839" s="47"/>
      <c r="BQ839" s="47"/>
      <c r="BR839" s="47"/>
      <c r="BS839" s="47"/>
      <c r="BT839" s="47"/>
    </row>
    <row r="840">
      <c r="A840" s="24"/>
      <c r="B840" s="48"/>
      <c r="C840" s="49"/>
      <c r="D840" s="24"/>
      <c r="E840" s="52"/>
      <c r="F840" s="53"/>
      <c r="G840" s="48"/>
      <c r="H840" s="49"/>
      <c r="I840" s="49"/>
      <c r="J840" s="48"/>
      <c r="K840" s="48"/>
      <c r="L840" s="48"/>
      <c r="M840" s="48"/>
      <c r="N840" s="48"/>
      <c r="O840" s="48"/>
      <c r="P840" s="48"/>
      <c r="Q840" s="48"/>
      <c r="R840" s="48"/>
      <c r="S840" s="48"/>
      <c r="T840" s="48"/>
      <c r="U840" s="48"/>
      <c r="V840" s="48"/>
      <c r="W840" s="49"/>
      <c r="X840" s="49"/>
      <c r="Y840" s="49"/>
      <c r="Z840" s="49"/>
      <c r="AA840" s="49"/>
      <c r="AB840" s="49"/>
      <c r="AC840" s="49"/>
      <c r="AD840" s="49"/>
      <c r="AE840" s="49"/>
      <c r="AF840" s="49"/>
      <c r="AG840" s="49"/>
      <c r="AH840" s="49"/>
      <c r="AI840" s="48"/>
      <c r="AJ840" s="48"/>
      <c r="AK840" s="24"/>
      <c r="AL840" s="50"/>
      <c r="AM840" s="50"/>
      <c r="AN840" s="50"/>
      <c r="AO840" s="50"/>
      <c r="AP840" s="50"/>
      <c r="AQ840" s="50"/>
      <c r="AR840" s="50"/>
      <c r="AS840" s="50"/>
      <c r="AT840" s="51"/>
      <c r="AU840" s="51"/>
      <c r="AV840" s="51"/>
      <c r="AW840" s="51"/>
      <c r="AX840" s="50"/>
      <c r="AY840" s="50"/>
      <c r="AZ840" s="50"/>
      <c r="BA840" s="50"/>
      <c r="BB840" s="51"/>
      <c r="BC840" s="51"/>
      <c r="BD840" s="51"/>
      <c r="BE840" s="51"/>
      <c r="BF840" s="47"/>
      <c r="BG840" s="47"/>
      <c r="BH840" s="47"/>
      <c r="BI840" s="47"/>
      <c r="BJ840" s="47"/>
      <c r="BK840" s="47"/>
      <c r="BL840" s="47"/>
      <c r="BM840" s="47"/>
      <c r="BN840" s="47"/>
      <c r="BO840" s="47"/>
      <c r="BP840" s="47"/>
      <c r="BQ840" s="47"/>
      <c r="BR840" s="47"/>
      <c r="BS840" s="47"/>
      <c r="BT840" s="47"/>
    </row>
    <row r="841">
      <c r="A841" s="24"/>
      <c r="B841" s="48"/>
      <c r="C841" s="49"/>
      <c r="D841" s="24"/>
      <c r="E841" s="52"/>
      <c r="F841" s="53"/>
      <c r="G841" s="48"/>
      <c r="H841" s="49"/>
      <c r="I841" s="49"/>
      <c r="J841" s="48"/>
      <c r="K841" s="48"/>
      <c r="L841" s="48"/>
      <c r="M841" s="48"/>
      <c r="N841" s="48"/>
      <c r="O841" s="48"/>
      <c r="P841" s="48"/>
      <c r="Q841" s="48"/>
      <c r="R841" s="48"/>
      <c r="S841" s="48"/>
      <c r="T841" s="48"/>
      <c r="U841" s="48"/>
      <c r="V841" s="48"/>
      <c r="W841" s="49"/>
      <c r="X841" s="49"/>
      <c r="Y841" s="49"/>
      <c r="Z841" s="49"/>
      <c r="AA841" s="49"/>
      <c r="AB841" s="49"/>
      <c r="AC841" s="49"/>
      <c r="AD841" s="49"/>
      <c r="AE841" s="49"/>
      <c r="AF841" s="49"/>
      <c r="AG841" s="49"/>
      <c r="AH841" s="49"/>
      <c r="AI841" s="48"/>
      <c r="AJ841" s="48"/>
      <c r="AK841" s="24"/>
      <c r="AL841" s="50"/>
      <c r="AM841" s="50"/>
      <c r="AN841" s="50"/>
      <c r="AO841" s="50"/>
      <c r="AP841" s="50"/>
      <c r="AQ841" s="50"/>
      <c r="AR841" s="50"/>
      <c r="AS841" s="50"/>
      <c r="AT841" s="51"/>
      <c r="AU841" s="51"/>
      <c r="AV841" s="51"/>
      <c r="AW841" s="51"/>
      <c r="AX841" s="50"/>
      <c r="AY841" s="50"/>
      <c r="AZ841" s="50"/>
      <c r="BA841" s="50"/>
      <c r="BB841" s="51"/>
      <c r="BC841" s="51"/>
      <c r="BD841" s="51"/>
      <c r="BE841" s="51"/>
      <c r="BF841" s="47"/>
      <c r="BG841" s="47"/>
      <c r="BH841" s="47"/>
      <c r="BI841" s="47"/>
      <c r="BJ841" s="47"/>
      <c r="BK841" s="47"/>
      <c r="BL841" s="47"/>
      <c r="BM841" s="47"/>
      <c r="BN841" s="47"/>
      <c r="BO841" s="47"/>
      <c r="BP841" s="47"/>
      <c r="BQ841" s="47"/>
      <c r="BR841" s="47"/>
      <c r="BS841" s="47"/>
      <c r="BT841" s="47"/>
    </row>
    <row r="842">
      <c r="A842" s="24"/>
      <c r="B842" s="48"/>
      <c r="C842" s="49"/>
      <c r="D842" s="24"/>
      <c r="E842" s="52"/>
      <c r="F842" s="53"/>
      <c r="G842" s="48"/>
      <c r="H842" s="49"/>
      <c r="I842" s="49"/>
      <c r="J842" s="48"/>
      <c r="K842" s="48"/>
      <c r="L842" s="48"/>
      <c r="M842" s="48"/>
      <c r="N842" s="48"/>
      <c r="O842" s="48"/>
      <c r="P842" s="48"/>
      <c r="Q842" s="48"/>
      <c r="R842" s="48"/>
      <c r="S842" s="48"/>
      <c r="T842" s="48"/>
      <c r="U842" s="48"/>
      <c r="V842" s="48"/>
      <c r="W842" s="49"/>
      <c r="X842" s="49"/>
      <c r="Y842" s="49"/>
      <c r="Z842" s="49"/>
      <c r="AA842" s="49"/>
      <c r="AB842" s="49"/>
      <c r="AC842" s="49"/>
      <c r="AD842" s="49"/>
      <c r="AE842" s="49"/>
      <c r="AF842" s="49"/>
      <c r="AG842" s="49"/>
      <c r="AH842" s="49"/>
      <c r="AI842" s="48"/>
      <c r="AJ842" s="48"/>
      <c r="AK842" s="24"/>
      <c r="AL842" s="50"/>
      <c r="AM842" s="50"/>
      <c r="AN842" s="50"/>
      <c r="AO842" s="50"/>
      <c r="AP842" s="50"/>
      <c r="AQ842" s="50"/>
      <c r="AR842" s="50"/>
      <c r="AS842" s="50"/>
      <c r="AT842" s="51"/>
      <c r="AU842" s="51"/>
      <c r="AV842" s="51"/>
      <c r="AW842" s="51"/>
      <c r="AX842" s="50"/>
      <c r="AY842" s="50"/>
      <c r="AZ842" s="50"/>
      <c r="BA842" s="50"/>
      <c r="BB842" s="51"/>
      <c r="BC842" s="51"/>
      <c r="BD842" s="51"/>
      <c r="BE842" s="51"/>
      <c r="BF842" s="47"/>
      <c r="BG842" s="47"/>
      <c r="BH842" s="47"/>
      <c r="BI842" s="47"/>
      <c r="BJ842" s="47"/>
      <c r="BK842" s="47"/>
      <c r="BL842" s="47"/>
      <c r="BM842" s="47"/>
      <c r="BN842" s="47"/>
      <c r="BO842" s="47"/>
      <c r="BP842" s="47"/>
      <c r="BQ842" s="47"/>
      <c r="BR842" s="47"/>
      <c r="BS842" s="47"/>
      <c r="BT842" s="47"/>
    </row>
    <row r="843">
      <c r="A843" s="24"/>
      <c r="B843" s="48"/>
      <c r="C843" s="49"/>
      <c r="D843" s="24"/>
      <c r="E843" s="52"/>
      <c r="F843" s="53"/>
      <c r="G843" s="48"/>
      <c r="H843" s="49"/>
      <c r="I843" s="49"/>
      <c r="J843" s="48"/>
      <c r="K843" s="48"/>
      <c r="L843" s="48"/>
      <c r="M843" s="48"/>
      <c r="N843" s="48"/>
      <c r="O843" s="48"/>
      <c r="P843" s="48"/>
      <c r="Q843" s="48"/>
      <c r="R843" s="48"/>
      <c r="S843" s="48"/>
      <c r="T843" s="48"/>
      <c r="U843" s="48"/>
      <c r="V843" s="48"/>
      <c r="W843" s="49"/>
      <c r="X843" s="49"/>
      <c r="Y843" s="49"/>
      <c r="Z843" s="49"/>
      <c r="AA843" s="49"/>
      <c r="AB843" s="49"/>
      <c r="AC843" s="49"/>
      <c r="AD843" s="49"/>
      <c r="AE843" s="49"/>
      <c r="AF843" s="49"/>
      <c r="AG843" s="49"/>
      <c r="AH843" s="49"/>
      <c r="AI843" s="48"/>
      <c r="AJ843" s="48"/>
      <c r="AK843" s="24"/>
      <c r="AL843" s="50"/>
      <c r="AM843" s="50"/>
      <c r="AN843" s="50"/>
      <c r="AO843" s="50"/>
      <c r="AP843" s="50"/>
      <c r="AQ843" s="50"/>
      <c r="AR843" s="50"/>
      <c r="AS843" s="50"/>
      <c r="AT843" s="51"/>
      <c r="AU843" s="51"/>
      <c r="AV843" s="51"/>
      <c r="AW843" s="51"/>
      <c r="AX843" s="50"/>
      <c r="AY843" s="50"/>
      <c r="AZ843" s="50"/>
      <c r="BA843" s="50"/>
      <c r="BB843" s="51"/>
      <c r="BC843" s="51"/>
      <c r="BD843" s="51"/>
      <c r="BE843" s="51"/>
      <c r="BF843" s="47"/>
      <c r="BG843" s="47"/>
      <c r="BH843" s="47"/>
      <c r="BI843" s="47"/>
      <c r="BJ843" s="47"/>
      <c r="BK843" s="47"/>
      <c r="BL843" s="47"/>
      <c r="BM843" s="47"/>
      <c r="BN843" s="47"/>
      <c r="BO843" s="47"/>
      <c r="BP843" s="47"/>
      <c r="BQ843" s="47"/>
      <c r="BR843" s="47"/>
      <c r="BS843" s="47"/>
      <c r="BT843" s="47"/>
    </row>
    <row r="844">
      <c r="A844" s="24"/>
      <c r="B844" s="48"/>
      <c r="C844" s="49"/>
      <c r="D844" s="24"/>
      <c r="E844" s="52"/>
      <c r="F844" s="53"/>
      <c r="G844" s="48"/>
      <c r="H844" s="49"/>
      <c r="I844" s="49"/>
      <c r="J844" s="48"/>
      <c r="K844" s="48"/>
      <c r="L844" s="48"/>
      <c r="M844" s="48"/>
      <c r="N844" s="48"/>
      <c r="O844" s="48"/>
      <c r="P844" s="48"/>
      <c r="Q844" s="48"/>
      <c r="R844" s="48"/>
      <c r="S844" s="48"/>
      <c r="T844" s="48"/>
      <c r="U844" s="48"/>
      <c r="V844" s="48"/>
      <c r="W844" s="49"/>
      <c r="X844" s="49"/>
      <c r="Y844" s="49"/>
      <c r="Z844" s="49"/>
      <c r="AA844" s="49"/>
      <c r="AB844" s="49"/>
      <c r="AC844" s="49"/>
      <c r="AD844" s="49"/>
      <c r="AE844" s="49"/>
      <c r="AF844" s="49"/>
      <c r="AG844" s="49"/>
      <c r="AH844" s="49"/>
      <c r="AI844" s="48"/>
      <c r="AJ844" s="48"/>
      <c r="AK844" s="24"/>
      <c r="AL844" s="50"/>
      <c r="AM844" s="50"/>
      <c r="AN844" s="50"/>
      <c r="AO844" s="50"/>
      <c r="AP844" s="50"/>
      <c r="AQ844" s="50"/>
      <c r="AR844" s="50"/>
      <c r="AS844" s="50"/>
      <c r="AT844" s="51"/>
      <c r="AU844" s="51"/>
      <c r="AV844" s="51"/>
      <c r="AW844" s="51"/>
      <c r="AX844" s="50"/>
      <c r="AY844" s="50"/>
      <c r="AZ844" s="50"/>
      <c r="BA844" s="50"/>
      <c r="BB844" s="51"/>
      <c r="BC844" s="51"/>
      <c r="BD844" s="51"/>
      <c r="BE844" s="51"/>
      <c r="BF844" s="47"/>
      <c r="BG844" s="47"/>
      <c r="BH844" s="47"/>
      <c r="BI844" s="47"/>
      <c r="BJ844" s="47"/>
      <c r="BK844" s="47"/>
      <c r="BL844" s="47"/>
      <c r="BM844" s="47"/>
      <c r="BN844" s="47"/>
      <c r="BO844" s="47"/>
      <c r="BP844" s="47"/>
      <c r="BQ844" s="47"/>
      <c r="BR844" s="47"/>
      <c r="BS844" s="47"/>
      <c r="BT844" s="47"/>
    </row>
    <row r="845">
      <c r="A845" s="24"/>
      <c r="B845" s="48"/>
      <c r="C845" s="49"/>
      <c r="D845" s="24"/>
      <c r="E845" s="52"/>
      <c r="F845" s="53"/>
      <c r="G845" s="48"/>
      <c r="H845" s="49"/>
      <c r="I845" s="49"/>
      <c r="J845" s="48"/>
      <c r="K845" s="48"/>
      <c r="L845" s="48"/>
      <c r="M845" s="48"/>
      <c r="N845" s="48"/>
      <c r="O845" s="48"/>
      <c r="P845" s="48"/>
      <c r="Q845" s="48"/>
      <c r="R845" s="48"/>
      <c r="S845" s="48"/>
      <c r="T845" s="48"/>
      <c r="U845" s="48"/>
      <c r="V845" s="48"/>
      <c r="W845" s="49"/>
      <c r="X845" s="49"/>
      <c r="Y845" s="49"/>
      <c r="Z845" s="49"/>
      <c r="AA845" s="49"/>
      <c r="AB845" s="49"/>
      <c r="AC845" s="49"/>
      <c r="AD845" s="49"/>
      <c r="AE845" s="49"/>
      <c r="AF845" s="49"/>
      <c r="AG845" s="49"/>
      <c r="AH845" s="49"/>
      <c r="AI845" s="48"/>
      <c r="AJ845" s="48"/>
      <c r="AK845" s="24"/>
      <c r="AL845" s="50"/>
      <c r="AM845" s="50"/>
      <c r="AN845" s="50"/>
      <c r="AO845" s="50"/>
      <c r="AP845" s="50"/>
      <c r="AQ845" s="50"/>
      <c r="AR845" s="50"/>
      <c r="AS845" s="50"/>
      <c r="AT845" s="51"/>
      <c r="AU845" s="51"/>
      <c r="AV845" s="51"/>
      <c r="AW845" s="51"/>
      <c r="AX845" s="50"/>
      <c r="AY845" s="50"/>
      <c r="AZ845" s="50"/>
      <c r="BA845" s="50"/>
      <c r="BB845" s="51"/>
      <c r="BC845" s="51"/>
      <c r="BD845" s="51"/>
      <c r="BE845" s="51"/>
      <c r="BF845" s="47"/>
      <c r="BG845" s="47"/>
      <c r="BH845" s="47"/>
      <c r="BI845" s="47"/>
      <c r="BJ845" s="47"/>
      <c r="BK845" s="47"/>
      <c r="BL845" s="47"/>
      <c r="BM845" s="47"/>
      <c r="BN845" s="47"/>
      <c r="BO845" s="47"/>
      <c r="BP845" s="47"/>
      <c r="BQ845" s="47"/>
      <c r="BR845" s="47"/>
      <c r="BS845" s="47"/>
      <c r="BT845" s="47"/>
    </row>
    <row r="846">
      <c r="A846" s="24"/>
      <c r="B846" s="48"/>
      <c r="C846" s="49"/>
      <c r="D846" s="24"/>
      <c r="E846" s="52"/>
      <c r="F846" s="53"/>
      <c r="G846" s="48"/>
      <c r="H846" s="49"/>
      <c r="I846" s="49"/>
      <c r="J846" s="48"/>
      <c r="K846" s="48"/>
      <c r="L846" s="48"/>
      <c r="M846" s="48"/>
      <c r="N846" s="48"/>
      <c r="O846" s="48"/>
      <c r="P846" s="48"/>
      <c r="Q846" s="48"/>
      <c r="R846" s="48"/>
      <c r="S846" s="48"/>
      <c r="T846" s="48"/>
      <c r="U846" s="48"/>
      <c r="V846" s="48"/>
      <c r="W846" s="49"/>
      <c r="X846" s="49"/>
      <c r="Y846" s="49"/>
      <c r="Z846" s="49"/>
      <c r="AA846" s="49"/>
      <c r="AB846" s="49"/>
      <c r="AC846" s="49"/>
      <c r="AD846" s="49"/>
      <c r="AE846" s="49"/>
      <c r="AF846" s="49"/>
      <c r="AG846" s="49"/>
      <c r="AH846" s="49"/>
      <c r="AI846" s="48"/>
      <c r="AJ846" s="48"/>
      <c r="AK846" s="24"/>
      <c r="AL846" s="50"/>
      <c r="AM846" s="50"/>
      <c r="AN846" s="50"/>
      <c r="AO846" s="50"/>
      <c r="AP846" s="50"/>
      <c r="AQ846" s="50"/>
      <c r="AR846" s="50"/>
      <c r="AS846" s="50"/>
      <c r="AT846" s="51"/>
      <c r="AU846" s="51"/>
      <c r="AV846" s="51"/>
      <c r="AW846" s="51"/>
      <c r="AX846" s="50"/>
      <c r="AY846" s="50"/>
      <c r="AZ846" s="50"/>
      <c r="BA846" s="50"/>
      <c r="BB846" s="51"/>
      <c r="BC846" s="51"/>
      <c r="BD846" s="51"/>
      <c r="BE846" s="51"/>
      <c r="BF846" s="47"/>
      <c r="BG846" s="47"/>
      <c r="BH846" s="47"/>
      <c r="BI846" s="47"/>
      <c r="BJ846" s="47"/>
      <c r="BK846" s="47"/>
      <c r="BL846" s="47"/>
      <c r="BM846" s="47"/>
      <c r="BN846" s="47"/>
      <c r="BO846" s="47"/>
      <c r="BP846" s="47"/>
      <c r="BQ846" s="47"/>
      <c r="BR846" s="47"/>
      <c r="BS846" s="47"/>
      <c r="BT846" s="47"/>
    </row>
    <row r="847">
      <c r="A847" s="24"/>
      <c r="B847" s="48"/>
      <c r="C847" s="49"/>
      <c r="D847" s="24"/>
      <c r="E847" s="52"/>
      <c r="F847" s="53"/>
      <c r="G847" s="48"/>
      <c r="H847" s="49"/>
      <c r="I847" s="49"/>
      <c r="J847" s="48"/>
      <c r="K847" s="48"/>
      <c r="L847" s="48"/>
      <c r="M847" s="48"/>
      <c r="N847" s="48"/>
      <c r="O847" s="48"/>
      <c r="P847" s="48"/>
      <c r="Q847" s="48"/>
      <c r="R847" s="48"/>
      <c r="S847" s="48"/>
      <c r="T847" s="48"/>
      <c r="U847" s="48"/>
      <c r="V847" s="48"/>
      <c r="W847" s="49"/>
      <c r="X847" s="49"/>
      <c r="Y847" s="49"/>
      <c r="Z847" s="49"/>
      <c r="AA847" s="49"/>
      <c r="AB847" s="49"/>
      <c r="AC847" s="49"/>
      <c r="AD847" s="49"/>
      <c r="AE847" s="49"/>
      <c r="AF847" s="49"/>
      <c r="AG847" s="49"/>
      <c r="AH847" s="49"/>
      <c r="AI847" s="48"/>
      <c r="AJ847" s="48"/>
      <c r="AK847" s="24"/>
      <c r="AL847" s="50"/>
      <c r="AM847" s="50"/>
      <c r="AN847" s="50"/>
      <c r="AO847" s="50"/>
      <c r="AP847" s="50"/>
      <c r="AQ847" s="50"/>
      <c r="AR847" s="50"/>
      <c r="AS847" s="50"/>
      <c r="AT847" s="51"/>
      <c r="AU847" s="51"/>
      <c r="AV847" s="51"/>
      <c r="AW847" s="51"/>
      <c r="AX847" s="50"/>
      <c r="AY847" s="50"/>
      <c r="AZ847" s="50"/>
      <c r="BA847" s="50"/>
      <c r="BB847" s="51"/>
      <c r="BC847" s="51"/>
      <c r="BD847" s="51"/>
      <c r="BE847" s="51"/>
      <c r="BF847" s="47"/>
      <c r="BG847" s="47"/>
      <c r="BH847" s="47"/>
      <c r="BI847" s="47"/>
      <c r="BJ847" s="47"/>
      <c r="BK847" s="47"/>
      <c r="BL847" s="47"/>
      <c r="BM847" s="47"/>
      <c r="BN847" s="47"/>
      <c r="BO847" s="47"/>
      <c r="BP847" s="47"/>
      <c r="BQ847" s="47"/>
      <c r="BR847" s="47"/>
      <c r="BS847" s="47"/>
      <c r="BT847" s="47"/>
    </row>
    <row r="848">
      <c r="A848" s="24"/>
      <c r="B848" s="48"/>
      <c r="C848" s="49"/>
      <c r="D848" s="24"/>
      <c r="E848" s="52"/>
      <c r="F848" s="53"/>
      <c r="G848" s="48"/>
      <c r="H848" s="49"/>
      <c r="I848" s="49"/>
      <c r="J848" s="48"/>
      <c r="K848" s="48"/>
      <c r="L848" s="48"/>
      <c r="M848" s="48"/>
      <c r="N848" s="48"/>
      <c r="O848" s="48"/>
      <c r="P848" s="48"/>
      <c r="Q848" s="48"/>
      <c r="R848" s="48"/>
      <c r="S848" s="48"/>
      <c r="T848" s="48"/>
      <c r="U848" s="48"/>
      <c r="V848" s="48"/>
      <c r="W848" s="49"/>
      <c r="X848" s="49"/>
      <c r="Y848" s="49"/>
      <c r="Z848" s="49"/>
      <c r="AA848" s="49"/>
      <c r="AB848" s="49"/>
      <c r="AC848" s="49"/>
      <c r="AD848" s="49"/>
      <c r="AE848" s="49"/>
      <c r="AF848" s="49"/>
      <c r="AG848" s="49"/>
      <c r="AH848" s="49"/>
      <c r="AI848" s="48"/>
      <c r="AJ848" s="48"/>
      <c r="AK848" s="24"/>
      <c r="AL848" s="50"/>
      <c r="AM848" s="50"/>
      <c r="AN848" s="50"/>
      <c r="AO848" s="50"/>
      <c r="AP848" s="50"/>
      <c r="AQ848" s="50"/>
      <c r="AR848" s="50"/>
      <c r="AS848" s="50"/>
      <c r="AT848" s="51"/>
      <c r="AU848" s="51"/>
      <c r="AV848" s="51"/>
      <c r="AW848" s="51"/>
      <c r="AX848" s="50"/>
      <c r="AY848" s="50"/>
      <c r="AZ848" s="50"/>
      <c r="BA848" s="50"/>
      <c r="BB848" s="51"/>
      <c r="BC848" s="51"/>
      <c r="BD848" s="51"/>
      <c r="BE848" s="51"/>
      <c r="BF848" s="47"/>
      <c r="BG848" s="47"/>
      <c r="BH848" s="47"/>
      <c r="BI848" s="47"/>
      <c r="BJ848" s="47"/>
      <c r="BK848" s="47"/>
      <c r="BL848" s="47"/>
      <c r="BM848" s="47"/>
      <c r="BN848" s="47"/>
      <c r="BO848" s="47"/>
      <c r="BP848" s="47"/>
      <c r="BQ848" s="47"/>
      <c r="BR848" s="47"/>
      <c r="BS848" s="47"/>
      <c r="BT848" s="47"/>
    </row>
    <row r="849">
      <c r="A849" s="24"/>
      <c r="B849" s="48"/>
      <c r="C849" s="49"/>
      <c r="D849" s="24"/>
      <c r="E849" s="52"/>
      <c r="F849" s="53"/>
      <c r="G849" s="48"/>
      <c r="H849" s="49"/>
      <c r="I849" s="49"/>
      <c r="J849" s="48"/>
      <c r="K849" s="48"/>
      <c r="L849" s="48"/>
      <c r="M849" s="48"/>
      <c r="N849" s="48"/>
      <c r="O849" s="48"/>
      <c r="P849" s="48"/>
      <c r="Q849" s="48"/>
      <c r="R849" s="48"/>
      <c r="S849" s="48"/>
      <c r="T849" s="48"/>
      <c r="U849" s="48"/>
      <c r="V849" s="48"/>
      <c r="W849" s="49"/>
      <c r="X849" s="49"/>
      <c r="Y849" s="49"/>
      <c r="Z849" s="49"/>
      <c r="AA849" s="49"/>
      <c r="AB849" s="49"/>
      <c r="AC849" s="49"/>
      <c r="AD849" s="49"/>
      <c r="AE849" s="49"/>
      <c r="AF849" s="49"/>
      <c r="AG849" s="49"/>
      <c r="AH849" s="49"/>
      <c r="AI849" s="48"/>
      <c r="AJ849" s="48"/>
      <c r="AK849" s="24"/>
      <c r="AL849" s="50"/>
      <c r="AM849" s="50"/>
      <c r="AN849" s="50"/>
      <c r="AO849" s="50"/>
      <c r="AP849" s="50"/>
      <c r="AQ849" s="50"/>
      <c r="AR849" s="50"/>
      <c r="AS849" s="50"/>
      <c r="AT849" s="51"/>
      <c r="AU849" s="51"/>
      <c r="AV849" s="51"/>
      <c r="AW849" s="51"/>
      <c r="AX849" s="50"/>
      <c r="AY849" s="50"/>
      <c r="AZ849" s="50"/>
      <c r="BA849" s="50"/>
      <c r="BB849" s="51"/>
      <c r="BC849" s="51"/>
      <c r="BD849" s="51"/>
      <c r="BE849" s="51"/>
      <c r="BF849" s="47"/>
      <c r="BG849" s="47"/>
      <c r="BH849" s="47"/>
      <c r="BI849" s="47"/>
      <c r="BJ849" s="47"/>
      <c r="BK849" s="47"/>
      <c r="BL849" s="47"/>
      <c r="BM849" s="47"/>
      <c r="BN849" s="47"/>
      <c r="BO849" s="47"/>
      <c r="BP849" s="47"/>
      <c r="BQ849" s="47"/>
      <c r="BR849" s="47"/>
      <c r="BS849" s="47"/>
      <c r="BT849" s="47"/>
    </row>
    <row r="850">
      <c r="A850" s="24"/>
      <c r="B850" s="48"/>
      <c r="C850" s="49"/>
      <c r="D850" s="24"/>
      <c r="E850" s="52"/>
      <c r="F850" s="53"/>
      <c r="G850" s="48"/>
      <c r="H850" s="49"/>
      <c r="I850" s="49"/>
      <c r="J850" s="48"/>
      <c r="K850" s="48"/>
      <c r="L850" s="48"/>
      <c r="M850" s="48"/>
      <c r="N850" s="48"/>
      <c r="O850" s="48"/>
      <c r="P850" s="48"/>
      <c r="Q850" s="48"/>
      <c r="R850" s="48"/>
      <c r="S850" s="48"/>
      <c r="T850" s="48"/>
      <c r="U850" s="48"/>
      <c r="V850" s="48"/>
      <c r="W850" s="49"/>
      <c r="X850" s="49"/>
      <c r="Y850" s="49"/>
      <c r="Z850" s="49"/>
      <c r="AA850" s="49"/>
      <c r="AB850" s="49"/>
      <c r="AC850" s="49"/>
      <c r="AD850" s="49"/>
      <c r="AE850" s="49"/>
      <c r="AF850" s="49"/>
      <c r="AG850" s="49"/>
      <c r="AH850" s="49"/>
      <c r="AI850" s="48"/>
      <c r="AJ850" s="48"/>
      <c r="AK850" s="24"/>
      <c r="AL850" s="50"/>
      <c r="AM850" s="50"/>
      <c r="AN850" s="50"/>
      <c r="AO850" s="50"/>
      <c r="AP850" s="50"/>
      <c r="AQ850" s="50"/>
      <c r="AR850" s="50"/>
      <c r="AS850" s="50"/>
      <c r="AT850" s="51"/>
      <c r="AU850" s="51"/>
      <c r="AV850" s="51"/>
      <c r="AW850" s="51"/>
      <c r="AX850" s="50"/>
      <c r="AY850" s="50"/>
      <c r="AZ850" s="50"/>
      <c r="BA850" s="50"/>
      <c r="BB850" s="51"/>
      <c r="BC850" s="51"/>
      <c r="BD850" s="51"/>
      <c r="BE850" s="51"/>
      <c r="BF850" s="47"/>
      <c r="BG850" s="47"/>
      <c r="BH850" s="47"/>
      <c r="BI850" s="47"/>
      <c r="BJ850" s="47"/>
      <c r="BK850" s="47"/>
      <c r="BL850" s="47"/>
      <c r="BM850" s="47"/>
      <c r="BN850" s="47"/>
      <c r="BO850" s="47"/>
      <c r="BP850" s="47"/>
      <c r="BQ850" s="47"/>
      <c r="BR850" s="47"/>
      <c r="BS850" s="47"/>
      <c r="BT850" s="47"/>
    </row>
    <row r="851">
      <c r="A851" s="24"/>
      <c r="B851" s="48"/>
      <c r="C851" s="49"/>
      <c r="D851" s="24"/>
      <c r="E851" s="52"/>
      <c r="F851" s="53"/>
      <c r="G851" s="48"/>
      <c r="H851" s="49"/>
      <c r="I851" s="49"/>
      <c r="J851" s="48"/>
      <c r="K851" s="48"/>
      <c r="L851" s="48"/>
      <c r="M851" s="48"/>
      <c r="N851" s="48"/>
      <c r="O851" s="48"/>
      <c r="P851" s="48"/>
      <c r="Q851" s="48"/>
      <c r="R851" s="48"/>
      <c r="S851" s="48"/>
      <c r="T851" s="48"/>
      <c r="U851" s="48"/>
      <c r="V851" s="48"/>
      <c r="W851" s="49"/>
      <c r="X851" s="49"/>
      <c r="Y851" s="49"/>
      <c r="Z851" s="49"/>
      <c r="AA851" s="49"/>
      <c r="AB851" s="49"/>
      <c r="AC851" s="49"/>
      <c r="AD851" s="49"/>
      <c r="AE851" s="49"/>
      <c r="AF851" s="49"/>
      <c r="AG851" s="49"/>
      <c r="AH851" s="49"/>
      <c r="AI851" s="48"/>
      <c r="AJ851" s="48"/>
      <c r="AK851" s="24"/>
      <c r="AL851" s="50"/>
      <c r="AM851" s="50"/>
      <c r="AN851" s="50"/>
      <c r="AO851" s="50"/>
      <c r="AP851" s="50"/>
      <c r="AQ851" s="50"/>
      <c r="AR851" s="50"/>
      <c r="AS851" s="50"/>
      <c r="AT851" s="51"/>
      <c r="AU851" s="51"/>
      <c r="AV851" s="51"/>
      <c r="AW851" s="51"/>
      <c r="AX851" s="50"/>
      <c r="AY851" s="50"/>
      <c r="AZ851" s="50"/>
      <c r="BA851" s="50"/>
      <c r="BB851" s="51"/>
      <c r="BC851" s="51"/>
      <c r="BD851" s="51"/>
      <c r="BE851" s="51"/>
      <c r="BF851" s="47"/>
      <c r="BG851" s="47"/>
      <c r="BH851" s="47"/>
      <c r="BI851" s="47"/>
      <c r="BJ851" s="47"/>
      <c r="BK851" s="47"/>
      <c r="BL851" s="47"/>
      <c r="BM851" s="47"/>
      <c r="BN851" s="47"/>
      <c r="BO851" s="47"/>
      <c r="BP851" s="47"/>
      <c r="BQ851" s="47"/>
      <c r="BR851" s="47"/>
      <c r="BS851" s="47"/>
      <c r="BT851" s="47"/>
    </row>
    <row r="852">
      <c r="A852" s="24"/>
      <c r="B852" s="48"/>
      <c r="C852" s="49"/>
      <c r="D852" s="24"/>
      <c r="E852" s="52"/>
      <c r="F852" s="53"/>
      <c r="G852" s="48"/>
      <c r="H852" s="49"/>
      <c r="I852" s="49"/>
      <c r="J852" s="48"/>
      <c r="K852" s="48"/>
      <c r="L852" s="48"/>
      <c r="M852" s="48"/>
      <c r="N852" s="48"/>
      <c r="O852" s="48"/>
      <c r="P852" s="48"/>
      <c r="Q852" s="48"/>
      <c r="R852" s="48"/>
      <c r="S852" s="48"/>
      <c r="T852" s="48"/>
      <c r="U852" s="48"/>
      <c r="V852" s="48"/>
      <c r="W852" s="49"/>
      <c r="X852" s="49"/>
      <c r="Y852" s="49"/>
      <c r="Z852" s="49"/>
      <c r="AA852" s="49"/>
      <c r="AB852" s="49"/>
      <c r="AC852" s="49"/>
      <c r="AD852" s="49"/>
      <c r="AE852" s="49"/>
      <c r="AF852" s="49"/>
      <c r="AG852" s="49"/>
      <c r="AH852" s="49"/>
      <c r="AI852" s="48"/>
      <c r="AJ852" s="48"/>
      <c r="AK852" s="24"/>
      <c r="AL852" s="50"/>
      <c r="AM852" s="50"/>
      <c r="AN852" s="50"/>
      <c r="AO852" s="50"/>
      <c r="AP852" s="50"/>
      <c r="AQ852" s="50"/>
      <c r="AR852" s="50"/>
      <c r="AS852" s="50"/>
      <c r="AT852" s="51"/>
      <c r="AU852" s="51"/>
      <c r="AV852" s="51"/>
      <c r="AW852" s="51"/>
      <c r="AX852" s="50"/>
      <c r="AY852" s="50"/>
      <c r="AZ852" s="50"/>
      <c r="BA852" s="50"/>
      <c r="BB852" s="51"/>
      <c r="BC852" s="51"/>
      <c r="BD852" s="51"/>
      <c r="BE852" s="51"/>
      <c r="BF852" s="47"/>
      <c r="BG852" s="47"/>
      <c r="BH852" s="47"/>
      <c r="BI852" s="47"/>
      <c r="BJ852" s="47"/>
      <c r="BK852" s="47"/>
      <c r="BL852" s="47"/>
      <c r="BM852" s="47"/>
      <c r="BN852" s="47"/>
      <c r="BO852" s="47"/>
      <c r="BP852" s="47"/>
      <c r="BQ852" s="47"/>
      <c r="BR852" s="47"/>
      <c r="BS852" s="47"/>
      <c r="BT852" s="47"/>
    </row>
    <row r="853">
      <c r="A853" s="24"/>
      <c r="B853" s="48"/>
      <c r="C853" s="49"/>
      <c r="D853" s="24"/>
      <c r="E853" s="52"/>
      <c r="F853" s="53"/>
      <c r="G853" s="48"/>
      <c r="H853" s="49"/>
      <c r="I853" s="49"/>
      <c r="J853" s="48"/>
      <c r="K853" s="48"/>
      <c r="L853" s="48"/>
      <c r="M853" s="48"/>
      <c r="N853" s="48"/>
      <c r="O853" s="48"/>
      <c r="P853" s="48"/>
      <c r="Q853" s="48"/>
      <c r="R853" s="48"/>
      <c r="S853" s="48"/>
      <c r="T853" s="48"/>
      <c r="U853" s="48"/>
      <c r="V853" s="48"/>
      <c r="W853" s="49"/>
      <c r="X853" s="49"/>
      <c r="Y853" s="49"/>
      <c r="Z853" s="49"/>
      <c r="AA853" s="49"/>
      <c r="AB853" s="49"/>
      <c r="AC853" s="49"/>
      <c r="AD853" s="49"/>
      <c r="AE853" s="49"/>
      <c r="AF853" s="49"/>
      <c r="AG853" s="49"/>
      <c r="AH853" s="49"/>
      <c r="AI853" s="48"/>
      <c r="AJ853" s="48"/>
      <c r="AK853" s="24"/>
      <c r="AL853" s="50"/>
      <c r="AM853" s="50"/>
      <c r="AN853" s="50"/>
      <c r="AO853" s="50"/>
      <c r="AP853" s="50"/>
      <c r="AQ853" s="50"/>
      <c r="AR853" s="50"/>
      <c r="AS853" s="50"/>
      <c r="AT853" s="51"/>
      <c r="AU853" s="51"/>
      <c r="AV853" s="51"/>
      <c r="AW853" s="51"/>
      <c r="AX853" s="50"/>
      <c r="AY853" s="50"/>
      <c r="AZ853" s="50"/>
      <c r="BA853" s="50"/>
      <c r="BB853" s="51"/>
      <c r="BC853" s="51"/>
      <c r="BD853" s="51"/>
      <c r="BE853" s="51"/>
      <c r="BF853" s="47"/>
      <c r="BG853" s="47"/>
      <c r="BH853" s="47"/>
      <c r="BI853" s="47"/>
      <c r="BJ853" s="47"/>
      <c r="BK853" s="47"/>
      <c r="BL853" s="47"/>
      <c r="BM853" s="47"/>
      <c r="BN853" s="47"/>
      <c r="BO853" s="47"/>
      <c r="BP853" s="47"/>
      <c r="BQ853" s="47"/>
      <c r="BR853" s="47"/>
      <c r="BS853" s="47"/>
      <c r="BT853" s="47"/>
    </row>
    <row r="854">
      <c r="A854" s="24"/>
      <c r="B854" s="48"/>
      <c r="C854" s="49"/>
      <c r="D854" s="24"/>
      <c r="E854" s="52"/>
      <c r="F854" s="53"/>
      <c r="G854" s="48"/>
      <c r="H854" s="49"/>
      <c r="I854" s="49"/>
      <c r="J854" s="48"/>
      <c r="K854" s="48"/>
      <c r="L854" s="48"/>
      <c r="M854" s="48"/>
      <c r="N854" s="48"/>
      <c r="O854" s="48"/>
      <c r="P854" s="48"/>
      <c r="Q854" s="48"/>
      <c r="R854" s="48"/>
      <c r="S854" s="48"/>
      <c r="T854" s="48"/>
      <c r="U854" s="48"/>
      <c r="V854" s="48"/>
      <c r="W854" s="49"/>
      <c r="X854" s="49"/>
      <c r="Y854" s="49"/>
      <c r="Z854" s="49"/>
      <c r="AA854" s="49"/>
      <c r="AB854" s="49"/>
      <c r="AC854" s="49"/>
      <c r="AD854" s="49"/>
      <c r="AE854" s="49"/>
      <c r="AF854" s="49"/>
      <c r="AG854" s="49"/>
      <c r="AH854" s="49"/>
      <c r="AI854" s="48"/>
      <c r="AJ854" s="48"/>
      <c r="AK854" s="24"/>
      <c r="AL854" s="50"/>
      <c r="AM854" s="50"/>
      <c r="AN854" s="50"/>
      <c r="AO854" s="50"/>
      <c r="AP854" s="50"/>
      <c r="AQ854" s="50"/>
      <c r="AR854" s="50"/>
      <c r="AS854" s="50"/>
      <c r="AT854" s="51"/>
      <c r="AU854" s="51"/>
      <c r="AV854" s="51"/>
      <c r="AW854" s="51"/>
      <c r="AX854" s="50"/>
      <c r="AY854" s="50"/>
      <c r="AZ854" s="50"/>
      <c r="BA854" s="50"/>
      <c r="BB854" s="51"/>
      <c r="BC854" s="51"/>
      <c r="BD854" s="51"/>
      <c r="BE854" s="51"/>
      <c r="BF854" s="47"/>
      <c r="BG854" s="47"/>
      <c r="BH854" s="47"/>
      <c r="BI854" s="47"/>
      <c r="BJ854" s="47"/>
      <c r="BK854" s="47"/>
      <c r="BL854" s="47"/>
      <c r="BM854" s="47"/>
      <c r="BN854" s="47"/>
      <c r="BO854" s="47"/>
      <c r="BP854" s="47"/>
      <c r="BQ854" s="47"/>
      <c r="BR854" s="47"/>
      <c r="BS854" s="47"/>
      <c r="BT854" s="47"/>
    </row>
    <row r="855">
      <c r="A855" s="24"/>
      <c r="B855" s="48"/>
      <c r="C855" s="49"/>
      <c r="D855" s="24"/>
      <c r="E855" s="52"/>
      <c r="F855" s="53"/>
      <c r="G855" s="48"/>
      <c r="H855" s="49"/>
      <c r="I855" s="49"/>
      <c r="J855" s="48"/>
      <c r="K855" s="48"/>
      <c r="L855" s="48"/>
      <c r="M855" s="48"/>
      <c r="N855" s="48"/>
      <c r="O855" s="48"/>
      <c r="P855" s="48"/>
      <c r="Q855" s="48"/>
      <c r="R855" s="48"/>
      <c r="S855" s="48"/>
      <c r="T855" s="48"/>
      <c r="U855" s="48"/>
      <c r="V855" s="48"/>
      <c r="W855" s="49"/>
      <c r="X855" s="49"/>
      <c r="Y855" s="49"/>
      <c r="Z855" s="49"/>
      <c r="AA855" s="49"/>
      <c r="AB855" s="49"/>
      <c r="AC855" s="49"/>
      <c r="AD855" s="49"/>
      <c r="AE855" s="49"/>
      <c r="AF855" s="49"/>
      <c r="AG855" s="49"/>
      <c r="AH855" s="49"/>
      <c r="AI855" s="48"/>
      <c r="AJ855" s="48"/>
      <c r="AK855" s="24"/>
      <c r="AL855" s="50"/>
      <c r="AM855" s="50"/>
      <c r="AN855" s="50"/>
      <c r="AO855" s="50"/>
      <c r="AP855" s="50"/>
      <c r="AQ855" s="50"/>
      <c r="AR855" s="50"/>
      <c r="AS855" s="50"/>
      <c r="AT855" s="51"/>
      <c r="AU855" s="51"/>
      <c r="AV855" s="51"/>
      <c r="AW855" s="51"/>
      <c r="AX855" s="50"/>
      <c r="AY855" s="50"/>
      <c r="AZ855" s="50"/>
      <c r="BA855" s="50"/>
      <c r="BB855" s="51"/>
      <c r="BC855" s="51"/>
      <c r="BD855" s="51"/>
      <c r="BE855" s="51"/>
      <c r="BF855" s="47"/>
      <c r="BG855" s="47"/>
      <c r="BH855" s="47"/>
      <c r="BI855" s="47"/>
      <c r="BJ855" s="47"/>
      <c r="BK855" s="47"/>
      <c r="BL855" s="47"/>
      <c r="BM855" s="47"/>
      <c r="BN855" s="47"/>
      <c r="BO855" s="47"/>
      <c r="BP855" s="47"/>
      <c r="BQ855" s="47"/>
      <c r="BR855" s="47"/>
      <c r="BS855" s="47"/>
      <c r="BT855" s="47"/>
    </row>
    <row r="856">
      <c r="A856" s="24"/>
      <c r="B856" s="48"/>
      <c r="C856" s="49"/>
      <c r="D856" s="24"/>
      <c r="E856" s="52"/>
      <c r="F856" s="53"/>
      <c r="G856" s="48"/>
      <c r="H856" s="49"/>
      <c r="I856" s="49"/>
      <c r="J856" s="48"/>
      <c r="K856" s="48"/>
      <c r="L856" s="48"/>
      <c r="M856" s="48"/>
      <c r="N856" s="48"/>
      <c r="O856" s="48"/>
      <c r="P856" s="48"/>
      <c r="Q856" s="48"/>
      <c r="R856" s="48"/>
      <c r="S856" s="48"/>
      <c r="T856" s="48"/>
      <c r="U856" s="48"/>
      <c r="V856" s="48"/>
      <c r="W856" s="49"/>
      <c r="X856" s="49"/>
      <c r="Y856" s="49"/>
      <c r="Z856" s="49"/>
      <c r="AA856" s="49"/>
      <c r="AB856" s="49"/>
      <c r="AC856" s="49"/>
      <c r="AD856" s="49"/>
      <c r="AE856" s="49"/>
      <c r="AF856" s="49"/>
      <c r="AG856" s="49"/>
      <c r="AH856" s="49"/>
      <c r="AI856" s="48"/>
      <c r="AJ856" s="48"/>
      <c r="AK856" s="24"/>
      <c r="AL856" s="50"/>
      <c r="AM856" s="50"/>
      <c r="AN856" s="50"/>
      <c r="AO856" s="50"/>
      <c r="AP856" s="50"/>
      <c r="AQ856" s="50"/>
      <c r="AR856" s="50"/>
      <c r="AS856" s="50"/>
      <c r="AT856" s="51"/>
      <c r="AU856" s="51"/>
      <c r="AV856" s="51"/>
      <c r="AW856" s="51"/>
      <c r="AX856" s="50"/>
      <c r="AY856" s="50"/>
      <c r="AZ856" s="50"/>
      <c r="BA856" s="50"/>
      <c r="BB856" s="51"/>
      <c r="BC856" s="51"/>
      <c r="BD856" s="51"/>
      <c r="BE856" s="51"/>
      <c r="BF856" s="47"/>
      <c r="BG856" s="47"/>
      <c r="BH856" s="47"/>
      <c r="BI856" s="47"/>
      <c r="BJ856" s="47"/>
      <c r="BK856" s="47"/>
      <c r="BL856" s="47"/>
      <c r="BM856" s="47"/>
      <c r="BN856" s="47"/>
      <c r="BO856" s="47"/>
      <c r="BP856" s="47"/>
      <c r="BQ856" s="47"/>
      <c r="BR856" s="47"/>
      <c r="BS856" s="47"/>
      <c r="BT856" s="47"/>
    </row>
    <row r="857">
      <c r="A857" s="24"/>
      <c r="B857" s="48"/>
      <c r="C857" s="49"/>
      <c r="D857" s="24"/>
      <c r="E857" s="52"/>
      <c r="F857" s="53"/>
      <c r="G857" s="48"/>
      <c r="H857" s="49"/>
      <c r="I857" s="49"/>
      <c r="J857" s="48"/>
      <c r="K857" s="48"/>
      <c r="L857" s="48"/>
      <c r="M857" s="48"/>
      <c r="N857" s="48"/>
      <c r="O857" s="48"/>
      <c r="P857" s="48"/>
      <c r="Q857" s="48"/>
      <c r="R857" s="48"/>
      <c r="S857" s="48"/>
      <c r="T857" s="48"/>
      <c r="U857" s="48"/>
      <c r="V857" s="48"/>
      <c r="W857" s="49"/>
      <c r="X857" s="49"/>
      <c r="Y857" s="49"/>
      <c r="Z857" s="49"/>
      <c r="AA857" s="49"/>
      <c r="AB857" s="49"/>
      <c r="AC857" s="49"/>
      <c r="AD857" s="49"/>
      <c r="AE857" s="49"/>
      <c r="AF857" s="49"/>
      <c r="AG857" s="49"/>
      <c r="AH857" s="49"/>
      <c r="AI857" s="48"/>
      <c r="AJ857" s="48"/>
      <c r="AK857" s="24"/>
      <c r="AL857" s="50"/>
      <c r="AM857" s="50"/>
      <c r="AN857" s="50"/>
      <c r="AO857" s="50"/>
      <c r="AP857" s="50"/>
      <c r="AQ857" s="50"/>
      <c r="AR857" s="50"/>
      <c r="AS857" s="50"/>
      <c r="AT857" s="51"/>
      <c r="AU857" s="51"/>
      <c r="AV857" s="51"/>
      <c r="AW857" s="51"/>
      <c r="AX857" s="50"/>
      <c r="AY857" s="50"/>
      <c r="AZ857" s="50"/>
      <c r="BA857" s="50"/>
      <c r="BB857" s="51"/>
      <c r="BC857" s="51"/>
      <c r="BD857" s="51"/>
      <c r="BE857" s="51"/>
      <c r="BF857" s="47"/>
      <c r="BG857" s="47"/>
      <c r="BH857" s="47"/>
      <c r="BI857" s="47"/>
      <c r="BJ857" s="47"/>
      <c r="BK857" s="47"/>
      <c r="BL857" s="47"/>
      <c r="BM857" s="47"/>
      <c r="BN857" s="47"/>
      <c r="BO857" s="47"/>
      <c r="BP857" s="47"/>
      <c r="BQ857" s="47"/>
      <c r="BR857" s="47"/>
      <c r="BS857" s="47"/>
      <c r="BT857" s="47"/>
    </row>
    <row r="858">
      <c r="A858" s="24"/>
      <c r="B858" s="48"/>
      <c r="C858" s="49"/>
      <c r="D858" s="24"/>
      <c r="E858" s="52"/>
      <c r="F858" s="53"/>
      <c r="G858" s="48"/>
      <c r="H858" s="49"/>
      <c r="I858" s="49"/>
      <c r="J858" s="48"/>
      <c r="K858" s="48"/>
      <c r="L858" s="48"/>
      <c r="M858" s="48"/>
      <c r="N858" s="48"/>
      <c r="O858" s="48"/>
      <c r="P858" s="48"/>
      <c r="Q858" s="48"/>
      <c r="R858" s="48"/>
      <c r="S858" s="48"/>
      <c r="T858" s="48"/>
      <c r="U858" s="48"/>
      <c r="V858" s="48"/>
      <c r="W858" s="49"/>
      <c r="X858" s="49"/>
      <c r="Y858" s="49"/>
      <c r="Z858" s="49"/>
      <c r="AA858" s="49"/>
      <c r="AB858" s="49"/>
      <c r="AC858" s="49"/>
      <c r="AD858" s="49"/>
      <c r="AE858" s="49"/>
      <c r="AF858" s="49"/>
      <c r="AG858" s="49"/>
      <c r="AH858" s="49"/>
      <c r="AI858" s="48"/>
      <c r="AJ858" s="48"/>
      <c r="AK858" s="24"/>
      <c r="AL858" s="50"/>
      <c r="AM858" s="50"/>
      <c r="AN858" s="50"/>
      <c r="AO858" s="50"/>
      <c r="AP858" s="50"/>
      <c r="AQ858" s="50"/>
      <c r="AR858" s="50"/>
      <c r="AS858" s="50"/>
      <c r="AT858" s="51"/>
      <c r="AU858" s="51"/>
      <c r="AV858" s="51"/>
      <c r="AW858" s="51"/>
      <c r="AX858" s="50"/>
      <c r="AY858" s="50"/>
      <c r="AZ858" s="50"/>
      <c r="BA858" s="50"/>
      <c r="BB858" s="51"/>
      <c r="BC858" s="51"/>
      <c r="BD858" s="51"/>
      <c r="BE858" s="51"/>
      <c r="BF858" s="47"/>
      <c r="BG858" s="47"/>
      <c r="BH858" s="47"/>
      <c r="BI858" s="47"/>
      <c r="BJ858" s="47"/>
      <c r="BK858" s="47"/>
      <c r="BL858" s="47"/>
      <c r="BM858" s="47"/>
      <c r="BN858" s="47"/>
      <c r="BO858" s="47"/>
      <c r="BP858" s="47"/>
      <c r="BQ858" s="47"/>
      <c r="BR858" s="47"/>
      <c r="BS858" s="47"/>
      <c r="BT858" s="47"/>
    </row>
    <row r="859">
      <c r="A859" s="24"/>
      <c r="B859" s="48"/>
      <c r="C859" s="49"/>
      <c r="D859" s="24"/>
      <c r="E859" s="52"/>
      <c r="F859" s="53"/>
      <c r="G859" s="48"/>
      <c r="H859" s="49"/>
      <c r="I859" s="49"/>
      <c r="J859" s="48"/>
      <c r="K859" s="48"/>
      <c r="L859" s="48"/>
      <c r="M859" s="48"/>
      <c r="N859" s="48"/>
      <c r="O859" s="48"/>
      <c r="P859" s="48"/>
      <c r="Q859" s="48"/>
      <c r="R859" s="48"/>
      <c r="S859" s="48"/>
      <c r="T859" s="48"/>
      <c r="U859" s="48"/>
      <c r="V859" s="48"/>
      <c r="W859" s="49"/>
      <c r="X859" s="49"/>
      <c r="Y859" s="49"/>
      <c r="Z859" s="49"/>
      <c r="AA859" s="49"/>
      <c r="AB859" s="49"/>
      <c r="AC859" s="49"/>
      <c r="AD859" s="49"/>
      <c r="AE859" s="49"/>
      <c r="AF859" s="49"/>
      <c r="AG859" s="49"/>
      <c r="AH859" s="49"/>
      <c r="AI859" s="48"/>
      <c r="AJ859" s="48"/>
      <c r="AK859" s="24"/>
      <c r="AL859" s="50"/>
      <c r="AM859" s="50"/>
      <c r="AN859" s="50"/>
      <c r="AO859" s="50"/>
      <c r="AP859" s="50"/>
      <c r="AQ859" s="50"/>
      <c r="AR859" s="50"/>
      <c r="AS859" s="50"/>
      <c r="AT859" s="51"/>
      <c r="AU859" s="51"/>
      <c r="AV859" s="51"/>
      <c r="AW859" s="51"/>
      <c r="AX859" s="50"/>
      <c r="AY859" s="50"/>
      <c r="AZ859" s="50"/>
      <c r="BA859" s="50"/>
      <c r="BB859" s="51"/>
      <c r="BC859" s="51"/>
      <c r="BD859" s="51"/>
      <c r="BE859" s="51"/>
      <c r="BF859" s="47"/>
      <c r="BG859" s="47"/>
      <c r="BH859" s="47"/>
      <c r="BI859" s="47"/>
      <c r="BJ859" s="47"/>
      <c r="BK859" s="47"/>
      <c r="BL859" s="47"/>
      <c r="BM859" s="47"/>
      <c r="BN859" s="47"/>
      <c r="BO859" s="47"/>
      <c r="BP859" s="47"/>
      <c r="BQ859" s="47"/>
      <c r="BR859" s="47"/>
      <c r="BS859" s="47"/>
      <c r="BT859" s="47"/>
    </row>
    <row r="860">
      <c r="A860" s="24"/>
      <c r="B860" s="48"/>
      <c r="C860" s="49"/>
      <c r="D860" s="24"/>
      <c r="E860" s="52"/>
      <c r="F860" s="53"/>
      <c r="G860" s="48"/>
      <c r="H860" s="49"/>
      <c r="I860" s="49"/>
      <c r="J860" s="48"/>
      <c r="K860" s="48"/>
      <c r="L860" s="48"/>
      <c r="M860" s="48"/>
      <c r="N860" s="48"/>
      <c r="O860" s="48"/>
      <c r="P860" s="48"/>
      <c r="Q860" s="48"/>
      <c r="R860" s="48"/>
      <c r="S860" s="48"/>
      <c r="T860" s="48"/>
      <c r="U860" s="48"/>
      <c r="V860" s="48"/>
      <c r="W860" s="49"/>
      <c r="X860" s="49"/>
      <c r="Y860" s="49"/>
      <c r="Z860" s="49"/>
      <c r="AA860" s="49"/>
      <c r="AB860" s="49"/>
      <c r="AC860" s="49"/>
      <c r="AD860" s="49"/>
      <c r="AE860" s="49"/>
      <c r="AF860" s="49"/>
      <c r="AG860" s="49"/>
      <c r="AH860" s="49"/>
      <c r="AI860" s="48"/>
      <c r="AJ860" s="48"/>
      <c r="AK860" s="24"/>
      <c r="AL860" s="50"/>
      <c r="AM860" s="50"/>
      <c r="AN860" s="50"/>
      <c r="AO860" s="50"/>
      <c r="AP860" s="50"/>
      <c r="AQ860" s="50"/>
      <c r="AR860" s="50"/>
      <c r="AS860" s="50"/>
      <c r="AT860" s="51"/>
      <c r="AU860" s="51"/>
      <c r="AV860" s="51"/>
      <c r="AW860" s="51"/>
      <c r="AX860" s="50"/>
      <c r="AY860" s="50"/>
      <c r="AZ860" s="50"/>
      <c r="BA860" s="50"/>
      <c r="BB860" s="51"/>
      <c r="BC860" s="51"/>
      <c r="BD860" s="51"/>
      <c r="BE860" s="51"/>
      <c r="BF860" s="47"/>
      <c r="BG860" s="47"/>
      <c r="BH860" s="47"/>
      <c r="BI860" s="47"/>
      <c r="BJ860" s="47"/>
      <c r="BK860" s="47"/>
      <c r="BL860" s="47"/>
      <c r="BM860" s="47"/>
      <c r="BN860" s="47"/>
      <c r="BO860" s="47"/>
      <c r="BP860" s="47"/>
      <c r="BQ860" s="47"/>
      <c r="BR860" s="47"/>
      <c r="BS860" s="47"/>
      <c r="BT860" s="47"/>
    </row>
    <row r="861">
      <c r="A861" s="24"/>
      <c r="B861" s="48"/>
      <c r="C861" s="49"/>
      <c r="D861" s="24"/>
      <c r="E861" s="52"/>
      <c r="F861" s="53"/>
      <c r="G861" s="48"/>
      <c r="H861" s="49"/>
      <c r="I861" s="49"/>
      <c r="J861" s="48"/>
      <c r="K861" s="48"/>
      <c r="L861" s="48"/>
      <c r="M861" s="48"/>
      <c r="N861" s="48"/>
      <c r="O861" s="48"/>
      <c r="P861" s="48"/>
      <c r="Q861" s="48"/>
      <c r="R861" s="48"/>
      <c r="S861" s="48"/>
      <c r="T861" s="48"/>
      <c r="U861" s="48"/>
      <c r="V861" s="48"/>
      <c r="W861" s="49"/>
      <c r="X861" s="49"/>
      <c r="Y861" s="49"/>
      <c r="Z861" s="49"/>
      <c r="AA861" s="49"/>
      <c r="AB861" s="49"/>
      <c r="AC861" s="49"/>
      <c r="AD861" s="49"/>
      <c r="AE861" s="49"/>
      <c r="AF861" s="49"/>
      <c r="AG861" s="49"/>
      <c r="AH861" s="49"/>
      <c r="AI861" s="48"/>
      <c r="AJ861" s="48"/>
      <c r="AK861" s="24"/>
      <c r="AL861" s="50"/>
      <c r="AM861" s="50"/>
      <c r="AN861" s="50"/>
      <c r="AO861" s="50"/>
      <c r="AP861" s="50"/>
      <c r="AQ861" s="50"/>
      <c r="AR861" s="50"/>
      <c r="AS861" s="50"/>
      <c r="AT861" s="51"/>
      <c r="AU861" s="51"/>
      <c r="AV861" s="51"/>
      <c r="AW861" s="51"/>
      <c r="AX861" s="50"/>
      <c r="AY861" s="50"/>
      <c r="AZ861" s="50"/>
      <c r="BA861" s="50"/>
      <c r="BB861" s="51"/>
      <c r="BC861" s="51"/>
      <c r="BD861" s="51"/>
      <c r="BE861" s="51"/>
      <c r="BF861" s="47"/>
      <c r="BG861" s="47"/>
      <c r="BH861" s="47"/>
      <c r="BI861" s="47"/>
      <c r="BJ861" s="47"/>
      <c r="BK861" s="47"/>
      <c r="BL861" s="47"/>
      <c r="BM861" s="47"/>
      <c r="BN861" s="47"/>
      <c r="BO861" s="47"/>
      <c r="BP861" s="47"/>
      <c r="BQ861" s="47"/>
      <c r="BR861" s="47"/>
      <c r="BS861" s="47"/>
      <c r="BT861" s="47"/>
    </row>
    <row r="862">
      <c r="A862" s="24"/>
      <c r="B862" s="48"/>
      <c r="C862" s="49"/>
      <c r="D862" s="24"/>
      <c r="E862" s="52"/>
      <c r="F862" s="53"/>
      <c r="G862" s="48"/>
      <c r="H862" s="49"/>
      <c r="I862" s="49"/>
      <c r="J862" s="48"/>
      <c r="K862" s="48"/>
      <c r="L862" s="48"/>
      <c r="M862" s="48"/>
      <c r="N862" s="48"/>
      <c r="O862" s="48"/>
      <c r="P862" s="48"/>
      <c r="Q862" s="48"/>
      <c r="R862" s="48"/>
      <c r="S862" s="48"/>
      <c r="T862" s="48"/>
      <c r="U862" s="48"/>
      <c r="V862" s="48"/>
      <c r="W862" s="49"/>
      <c r="X862" s="49"/>
      <c r="Y862" s="49"/>
      <c r="Z862" s="49"/>
      <c r="AA862" s="49"/>
      <c r="AB862" s="49"/>
      <c r="AC862" s="49"/>
      <c r="AD862" s="49"/>
      <c r="AE862" s="49"/>
      <c r="AF862" s="49"/>
      <c r="AG862" s="49"/>
      <c r="AH862" s="49"/>
      <c r="AI862" s="48"/>
      <c r="AJ862" s="48"/>
      <c r="AK862" s="24"/>
      <c r="AL862" s="50"/>
      <c r="AM862" s="50"/>
      <c r="AN862" s="50"/>
      <c r="AO862" s="50"/>
      <c r="AP862" s="50"/>
      <c r="AQ862" s="50"/>
      <c r="AR862" s="50"/>
      <c r="AS862" s="50"/>
      <c r="AT862" s="51"/>
      <c r="AU862" s="51"/>
      <c r="AV862" s="51"/>
      <c r="AW862" s="51"/>
      <c r="AX862" s="50"/>
      <c r="AY862" s="50"/>
      <c r="AZ862" s="50"/>
      <c r="BA862" s="50"/>
      <c r="BB862" s="51"/>
      <c r="BC862" s="51"/>
      <c r="BD862" s="51"/>
      <c r="BE862" s="51"/>
      <c r="BF862" s="47"/>
      <c r="BG862" s="47"/>
      <c r="BH862" s="47"/>
      <c r="BI862" s="47"/>
      <c r="BJ862" s="47"/>
      <c r="BK862" s="47"/>
      <c r="BL862" s="47"/>
      <c r="BM862" s="47"/>
      <c r="BN862" s="47"/>
      <c r="BO862" s="47"/>
      <c r="BP862" s="47"/>
      <c r="BQ862" s="47"/>
      <c r="BR862" s="47"/>
      <c r="BS862" s="47"/>
      <c r="BT862" s="47"/>
    </row>
    <row r="863">
      <c r="A863" s="24"/>
      <c r="B863" s="48"/>
      <c r="C863" s="49"/>
      <c r="D863" s="24"/>
      <c r="E863" s="52"/>
      <c r="F863" s="53"/>
      <c r="G863" s="48"/>
      <c r="H863" s="49"/>
      <c r="I863" s="49"/>
      <c r="J863" s="48"/>
      <c r="K863" s="48"/>
      <c r="L863" s="48"/>
      <c r="M863" s="48"/>
      <c r="N863" s="48"/>
      <c r="O863" s="48"/>
      <c r="P863" s="48"/>
      <c r="Q863" s="48"/>
      <c r="R863" s="48"/>
      <c r="S863" s="48"/>
      <c r="T863" s="48"/>
      <c r="U863" s="48"/>
      <c r="V863" s="48"/>
      <c r="W863" s="49"/>
      <c r="X863" s="49"/>
      <c r="Y863" s="49"/>
      <c r="Z863" s="49"/>
      <c r="AA863" s="49"/>
      <c r="AB863" s="49"/>
      <c r="AC863" s="49"/>
      <c r="AD863" s="49"/>
      <c r="AE863" s="49"/>
      <c r="AF863" s="49"/>
      <c r="AG863" s="49"/>
      <c r="AH863" s="49"/>
      <c r="AI863" s="48"/>
      <c r="AJ863" s="48"/>
      <c r="AK863" s="24"/>
      <c r="AL863" s="50"/>
      <c r="AM863" s="50"/>
      <c r="AN863" s="50"/>
      <c r="AO863" s="50"/>
      <c r="AP863" s="50"/>
      <c r="AQ863" s="50"/>
      <c r="AR863" s="50"/>
      <c r="AS863" s="50"/>
      <c r="AT863" s="51"/>
      <c r="AU863" s="51"/>
      <c r="AV863" s="51"/>
      <c r="AW863" s="51"/>
      <c r="AX863" s="50"/>
      <c r="AY863" s="50"/>
      <c r="AZ863" s="50"/>
      <c r="BA863" s="50"/>
      <c r="BB863" s="51"/>
      <c r="BC863" s="51"/>
      <c r="BD863" s="51"/>
      <c r="BE863" s="51"/>
      <c r="BF863" s="47"/>
      <c r="BG863" s="47"/>
      <c r="BH863" s="47"/>
      <c r="BI863" s="47"/>
      <c r="BJ863" s="47"/>
      <c r="BK863" s="47"/>
      <c r="BL863" s="47"/>
      <c r="BM863" s="47"/>
      <c r="BN863" s="47"/>
      <c r="BO863" s="47"/>
      <c r="BP863" s="47"/>
      <c r="BQ863" s="47"/>
      <c r="BR863" s="47"/>
      <c r="BS863" s="47"/>
      <c r="BT863" s="47"/>
    </row>
    <row r="864">
      <c r="A864" s="24"/>
      <c r="B864" s="48"/>
      <c r="C864" s="49"/>
      <c r="D864" s="24"/>
      <c r="E864" s="52"/>
      <c r="F864" s="53"/>
      <c r="G864" s="48"/>
      <c r="H864" s="49"/>
      <c r="I864" s="49"/>
      <c r="J864" s="48"/>
      <c r="K864" s="48"/>
      <c r="L864" s="48"/>
      <c r="M864" s="48"/>
      <c r="N864" s="48"/>
      <c r="O864" s="48"/>
      <c r="P864" s="48"/>
      <c r="Q864" s="48"/>
      <c r="R864" s="48"/>
      <c r="S864" s="48"/>
      <c r="T864" s="48"/>
      <c r="U864" s="48"/>
      <c r="V864" s="48"/>
      <c r="W864" s="49"/>
      <c r="X864" s="49"/>
      <c r="Y864" s="49"/>
      <c r="Z864" s="49"/>
      <c r="AA864" s="49"/>
      <c r="AB864" s="49"/>
      <c r="AC864" s="49"/>
      <c r="AD864" s="49"/>
      <c r="AE864" s="49"/>
      <c r="AF864" s="49"/>
      <c r="AG864" s="49"/>
      <c r="AH864" s="49"/>
      <c r="AI864" s="48"/>
      <c r="AJ864" s="48"/>
      <c r="AK864" s="24"/>
      <c r="AL864" s="50"/>
      <c r="AM864" s="50"/>
      <c r="AN864" s="50"/>
      <c r="AO864" s="50"/>
      <c r="AP864" s="50"/>
      <c r="AQ864" s="50"/>
      <c r="AR864" s="50"/>
      <c r="AS864" s="50"/>
      <c r="AT864" s="51"/>
      <c r="AU864" s="51"/>
      <c r="AV864" s="51"/>
      <c r="AW864" s="51"/>
      <c r="AX864" s="50"/>
      <c r="AY864" s="50"/>
      <c r="AZ864" s="50"/>
      <c r="BA864" s="50"/>
      <c r="BB864" s="51"/>
      <c r="BC864" s="51"/>
      <c r="BD864" s="51"/>
      <c r="BE864" s="51"/>
      <c r="BF864" s="47"/>
      <c r="BG864" s="47"/>
      <c r="BH864" s="47"/>
      <c r="BI864" s="47"/>
      <c r="BJ864" s="47"/>
      <c r="BK864" s="47"/>
      <c r="BL864" s="47"/>
      <c r="BM864" s="47"/>
      <c r="BN864" s="47"/>
      <c r="BO864" s="47"/>
      <c r="BP864" s="47"/>
      <c r="BQ864" s="47"/>
      <c r="BR864" s="47"/>
      <c r="BS864" s="47"/>
      <c r="BT864" s="47"/>
    </row>
    <row r="865">
      <c r="A865" s="24"/>
      <c r="B865" s="48"/>
      <c r="C865" s="49"/>
      <c r="D865" s="24"/>
      <c r="E865" s="52"/>
      <c r="F865" s="53"/>
      <c r="G865" s="48"/>
      <c r="H865" s="49"/>
      <c r="I865" s="49"/>
      <c r="J865" s="48"/>
      <c r="K865" s="48"/>
      <c r="L865" s="48"/>
      <c r="M865" s="48"/>
      <c r="N865" s="48"/>
      <c r="O865" s="48"/>
      <c r="P865" s="48"/>
      <c r="Q865" s="48"/>
      <c r="R865" s="48"/>
      <c r="S865" s="48"/>
      <c r="T865" s="48"/>
      <c r="U865" s="48"/>
      <c r="V865" s="48"/>
      <c r="W865" s="49"/>
      <c r="X865" s="49"/>
      <c r="Y865" s="49"/>
      <c r="Z865" s="49"/>
      <c r="AA865" s="49"/>
      <c r="AB865" s="49"/>
      <c r="AC865" s="49"/>
      <c r="AD865" s="49"/>
      <c r="AE865" s="49"/>
      <c r="AF865" s="49"/>
      <c r="AG865" s="49"/>
      <c r="AH865" s="49"/>
      <c r="AI865" s="48"/>
      <c r="AJ865" s="48"/>
      <c r="AK865" s="24"/>
      <c r="AL865" s="50"/>
      <c r="AM865" s="50"/>
      <c r="AN865" s="50"/>
      <c r="AO865" s="50"/>
      <c r="AP865" s="50"/>
      <c r="AQ865" s="50"/>
      <c r="AR865" s="50"/>
      <c r="AS865" s="50"/>
      <c r="AT865" s="51"/>
      <c r="AU865" s="51"/>
      <c r="AV865" s="51"/>
      <c r="AW865" s="51"/>
      <c r="AX865" s="50"/>
      <c r="AY865" s="50"/>
      <c r="AZ865" s="50"/>
      <c r="BA865" s="50"/>
      <c r="BB865" s="51"/>
      <c r="BC865" s="51"/>
      <c r="BD865" s="51"/>
      <c r="BE865" s="51"/>
      <c r="BF865" s="47"/>
      <c r="BG865" s="47"/>
      <c r="BH865" s="47"/>
      <c r="BI865" s="47"/>
      <c r="BJ865" s="47"/>
      <c r="BK865" s="47"/>
      <c r="BL865" s="47"/>
      <c r="BM865" s="47"/>
      <c r="BN865" s="47"/>
      <c r="BO865" s="47"/>
      <c r="BP865" s="47"/>
      <c r="BQ865" s="47"/>
      <c r="BR865" s="47"/>
      <c r="BS865" s="47"/>
      <c r="BT865" s="47"/>
    </row>
    <row r="866">
      <c r="A866" s="24"/>
      <c r="B866" s="48"/>
      <c r="C866" s="49"/>
      <c r="D866" s="24"/>
      <c r="E866" s="52"/>
      <c r="F866" s="53"/>
      <c r="G866" s="48"/>
      <c r="H866" s="49"/>
      <c r="I866" s="49"/>
      <c r="J866" s="48"/>
      <c r="K866" s="48"/>
      <c r="L866" s="48"/>
      <c r="M866" s="48"/>
      <c r="N866" s="48"/>
      <c r="O866" s="48"/>
      <c r="P866" s="48"/>
      <c r="Q866" s="48"/>
      <c r="R866" s="48"/>
      <c r="S866" s="48"/>
      <c r="T866" s="48"/>
      <c r="U866" s="48"/>
      <c r="V866" s="48"/>
      <c r="W866" s="49"/>
      <c r="X866" s="49"/>
      <c r="Y866" s="49"/>
      <c r="Z866" s="49"/>
      <c r="AA866" s="49"/>
      <c r="AB866" s="49"/>
      <c r="AC866" s="49"/>
      <c r="AD866" s="49"/>
      <c r="AE866" s="49"/>
      <c r="AF866" s="49"/>
      <c r="AG866" s="49"/>
      <c r="AH866" s="49"/>
      <c r="AI866" s="48"/>
      <c r="AJ866" s="48"/>
      <c r="AK866" s="24"/>
      <c r="AL866" s="50"/>
      <c r="AM866" s="50"/>
      <c r="AN866" s="50"/>
      <c r="AO866" s="50"/>
      <c r="AP866" s="50"/>
      <c r="AQ866" s="50"/>
      <c r="AR866" s="50"/>
      <c r="AS866" s="50"/>
      <c r="AT866" s="51"/>
      <c r="AU866" s="51"/>
      <c r="AV866" s="51"/>
      <c r="AW866" s="51"/>
      <c r="AX866" s="50"/>
      <c r="AY866" s="50"/>
      <c r="AZ866" s="50"/>
      <c r="BA866" s="50"/>
      <c r="BB866" s="51"/>
      <c r="BC866" s="51"/>
      <c r="BD866" s="51"/>
      <c r="BE866" s="51"/>
      <c r="BF866" s="47"/>
      <c r="BG866" s="47"/>
      <c r="BH866" s="47"/>
      <c r="BI866" s="47"/>
      <c r="BJ866" s="47"/>
      <c r="BK866" s="47"/>
      <c r="BL866" s="47"/>
      <c r="BM866" s="47"/>
      <c r="BN866" s="47"/>
      <c r="BO866" s="47"/>
      <c r="BP866" s="47"/>
      <c r="BQ866" s="47"/>
      <c r="BR866" s="47"/>
      <c r="BS866" s="47"/>
      <c r="BT866" s="47"/>
    </row>
    <row r="867">
      <c r="A867" s="24"/>
      <c r="B867" s="48"/>
      <c r="C867" s="49"/>
      <c r="D867" s="24"/>
      <c r="E867" s="52"/>
      <c r="F867" s="53"/>
      <c r="G867" s="48"/>
      <c r="H867" s="49"/>
      <c r="I867" s="49"/>
      <c r="J867" s="48"/>
      <c r="K867" s="48"/>
      <c r="L867" s="48"/>
      <c r="M867" s="48"/>
      <c r="N867" s="48"/>
      <c r="O867" s="48"/>
      <c r="P867" s="48"/>
      <c r="Q867" s="48"/>
      <c r="R867" s="48"/>
      <c r="S867" s="48"/>
      <c r="T867" s="48"/>
      <c r="U867" s="48"/>
      <c r="V867" s="48"/>
      <c r="W867" s="49"/>
      <c r="X867" s="49"/>
      <c r="Y867" s="49"/>
      <c r="Z867" s="49"/>
      <c r="AA867" s="49"/>
      <c r="AB867" s="49"/>
      <c r="AC867" s="49"/>
      <c r="AD867" s="49"/>
      <c r="AE867" s="49"/>
      <c r="AF867" s="49"/>
      <c r="AG867" s="49"/>
      <c r="AH867" s="49"/>
      <c r="AI867" s="48"/>
      <c r="AJ867" s="48"/>
      <c r="AK867" s="24"/>
      <c r="AL867" s="50"/>
      <c r="AM867" s="50"/>
      <c r="AN867" s="50"/>
      <c r="AO867" s="50"/>
      <c r="AP867" s="50"/>
      <c r="AQ867" s="50"/>
      <c r="AR867" s="50"/>
      <c r="AS867" s="50"/>
      <c r="AT867" s="51"/>
      <c r="AU867" s="51"/>
      <c r="AV867" s="51"/>
      <c r="AW867" s="51"/>
      <c r="AX867" s="50"/>
      <c r="AY867" s="50"/>
      <c r="AZ867" s="50"/>
      <c r="BA867" s="50"/>
      <c r="BB867" s="51"/>
      <c r="BC867" s="51"/>
      <c r="BD867" s="51"/>
      <c r="BE867" s="51"/>
      <c r="BF867" s="47"/>
      <c r="BG867" s="47"/>
      <c r="BH867" s="47"/>
      <c r="BI867" s="47"/>
      <c r="BJ867" s="47"/>
      <c r="BK867" s="47"/>
      <c r="BL867" s="47"/>
      <c r="BM867" s="47"/>
      <c r="BN867" s="47"/>
      <c r="BO867" s="47"/>
      <c r="BP867" s="47"/>
      <c r="BQ867" s="47"/>
      <c r="BR867" s="47"/>
      <c r="BS867" s="47"/>
      <c r="BT867" s="47"/>
    </row>
    <row r="868">
      <c r="A868" s="24"/>
      <c r="B868" s="48"/>
      <c r="C868" s="49"/>
      <c r="D868" s="24"/>
      <c r="E868" s="52"/>
      <c r="F868" s="53"/>
      <c r="G868" s="48"/>
      <c r="H868" s="49"/>
      <c r="I868" s="49"/>
      <c r="J868" s="48"/>
      <c r="K868" s="48"/>
      <c r="L868" s="48"/>
      <c r="M868" s="48"/>
      <c r="N868" s="48"/>
      <c r="O868" s="48"/>
      <c r="P868" s="48"/>
      <c r="Q868" s="48"/>
      <c r="R868" s="48"/>
      <c r="S868" s="48"/>
      <c r="T868" s="48"/>
      <c r="U868" s="48"/>
      <c r="V868" s="48"/>
      <c r="W868" s="49"/>
      <c r="X868" s="49"/>
      <c r="Y868" s="49"/>
      <c r="Z868" s="49"/>
      <c r="AA868" s="49"/>
      <c r="AB868" s="49"/>
      <c r="AC868" s="49"/>
      <c r="AD868" s="49"/>
      <c r="AE868" s="49"/>
      <c r="AF868" s="49"/>
      <c r="AG868" s="49"/>
      <c r="AH868" s="49"/>
      <c r="AI868" s="48"/>
      <c r="AJ868" s="48"/>
      <c r="AK868" s="24"/>
      <c r="AL868" s="50"/>
      <c r="AM868" s="50"/>
      <c r="AN868" s="50"/>
      <c r="AO868" s="50"/>
      <c r="AP868" s="50"/>
      <c r="AQ868" s="50"/>
      <c r="AR868" s="50"/>
      <c r="AS868" s="50"/>
      <c r="AT868" s="51"/>
      <c r="AU868" s="51"/>
      <c r="AV868" s="51"/>
      <c r="AW868" s="51"/>
      <c r="AX868" s="50"/>
      <c r="AY868" s="50"/>
      <c r="AZ868" s="50"/>
      <c r="BA868" s="50"/>
      <c r="BB868" s="51"/>
      <c r="BC868" s="51"/>
      <c r="BD868" s="51"/>
      <c r="BE868" s="51"/>
      <c r="BF868" s="47"/>
      <c r="BG868" s="47"/>
      <c r="BH868" s="47"/>
      <c r="BI868" s="47"/>
      <c r="BJ868" s="47"/>
      <c r="BK868" s="47"/>
      <c r="BL868" s="47"/>
      <c r="BM868" s="47"/>
      <c r="BN868" s="47"/>
      <c r="BO868" s="47"/>
      <c r="BP868" s="47"/>
      <c r="BQ868" s="47"/>
      <c r="BR868" s="47"/>
      <c r="BS868" s="47"/>
      <c r="BT868" s="47"/>
    </row>
    <row r="869">
      <c r="A869" s="24"/>
      <c r="B869" s="48"/>
      <c r="C869" s="49"/>
      <c r="D869" s="24"/>
      <c r="E869" s="52"/>
      <c r="F869" s="53"/>
      <c r="G869" s="48"/>
      <c r="H869" s="49"/>
      <c r="I869" s="49"/>
      <c r="J869" s="48"/>
      <c r="K869" s="48"/>
      <c r="L869" s="48"/>
      <c r="M869" s="48"/>
      <c r="N869" s="48"/>
      <c r="O869" s="48"/>
      <c r="P869" s="48"/>
      <c r="Q869" s="48"/>
      <c r="R869" s="48"/>
      <c r="S869" s="48"/>
      <c r="T869" s="48"/>
      <c r="U869" s="48"/>
      <c r="V869" s="48"/>
      <c r="W869" s="49"/>
      <c r="X869" s="49"/>
      <c r="Y869" s="49"/>
      <c r="Z869" s="49"/>
      <c r="AA869" s="49"/>
      <c r="AB869" s="49"/>
      <c r="AC869" s="49"/>
      <c r="AD869" s="49"/>
      <c r="AE869" s="49"/>
      <c r="AF869" s="49"/>
      <c r="AG869" s="49"/>
      <c r="AH869" s="49"/>
      <c r="AI869" s="48"/>
      <c r="AJ869" s="48"/>
      <c r="AK869" s="24"/>
      <c r="AL869" s="50"/>
      <c r="AM869" s="50"/>
      <c r="AN869" s="50"/>
      <c r="AO869" s="50"/>
      <c r="AP869" s="50"/>
      <c r="AQ869" s="50"/>
      <c r="AR869" s="50"/>
      <c r="AS869" s="50"/>
      <c r="AT869" s="51"/>
      <c r="AU869" s="51"/>
      <c r="AV869" s="51"/>
      <c r="AW869" s="51"/>
      <c r="AX869" s="50"/>
      <c r="AY869" s="50"/>
      <c r="AZ869" s="50"/>
      <c r="BA869" s="50"/>
      <c r="BB869" s="51"/>
      <c r="BC869" s="51"/>
      <c r="BD869" s="51"/>
      <c r="BE869" s="51"/>
      <c r="BF869" s="47"/>
      <c r="BG869" s="47"/>
      <c r="BH869" s="47"/>
      <c r="BI869" s="47"/>
      <c r="BJ869" s="47"/>
      <c r="BK869" s="47"/>
      <c r="BL869" s="47"/>
      <c r="BM869" s="47"/>
      <c r="BN869" s="47"/>
      <c r="BO869" s="47"/>
      <c r="BP869" s="47"/>
      <c r="BQ869" s="47"/>
      <c r="BR869" s="47"/>
      <c r="BS869" s="47"/>
      <c r="BT869" s="47"/>
    </row>
    <row r="870">
      <c r="A870" s="24"/>
      <c r="B870" s="48"/>
      <c r="C870" s="49"/>
      <c r="D870" s="24"/>
      <c r="E870" s="52"/>
      <c r="F870" s="53"/>
      <c r="G870" s="48"/>
      <c r="H870" s="49"/>
      <c r="I870" s="49"/>
      <c r="J870" s="48"/>
      <c r="K870" s="48"/>
      <c r="L870" s="48"/>
      <c r="M870" s="48"/>
      <c r="N870" s="48"/>
      <c r="O870" s="48"/>
      <c r="P870" s="48"/>
      <c r="Q870" s="48"/>
      <c r="R870" s="48"/>
      <c r="S870" s="48"/>
      <c r="T870" s="48"/>
      <c r="U870" s="48"/>
      <c r="V870" s="48"/>
      <c r="W870" s="49"/>
      <c r="X870" s="49"/>
      <c r="Y870" s="49"/>
      <c r="Z870" s="49"/>
      <c r="AA870" s="49"/>
      <c r="AB870" s="49"/>
      <c r="AC870" s="49"/>
      <c r="AD870" s="49"/>
      <c r="AE870" s="49"/>
      <c r="AF870" s="49"/>
      <c r="AG870" s="49"/>
      <c r="AH870" s="49"/>
      <c r="AI870" s="48"/>
      <c r="AJ870" s="48"/>
      <c r="AK870" s="24"/>
      <c r="AL870" s="50"/>
      <c r="AM870" s="50"/>
      <c r="AN870" s="50"/>
      <c r="AO870" s="50"/>
      <c r="AP870" s="50"/>
      <c r="AQ870" s="50"/>
      <c r="AR870" s="50"/>
      <c r="AS870" s="50"/>
      <c r="AT870" s="51"/>
      <c r="AU870" s="51"/>
      <c r="AV870" s="51"/>
      <c r="AW870" s="51"/>
      <c r="AX870" s="50"/>
      <c r="AY870" s="50"/>
      <c r="AZ870" s="50"/>
      <c r="BA870" s="50"/>
      <c r="BB870" s="51"/>
      <c r="BC870" s="51"/>
      <c r="BD870" s="51"/>
      <c r="BE870" s="51"/>
      <c r="BF870" s="47"/>
      <c r="BG870" s="47"/>
      <c r="BH870" s="47"/>
      <c r="BI870" s="47"/>
      <c r="BJ870" s="47"/>
      <c r="BK870" s="47"/>
      <c r="BL870" s="47"/>
      <c r="BM870" s="47"/>
      <c r="BN870" s="47"/>
      <c r="BO870" s="47"/>
      <c r="BP870" s="47"/>
      <c r="BQ870" s="47"/>
      <c r="BR870" s="47"/>
      <c r="BS870" s="47"/>
      <c r="BT870" s="47"/>
    </row>
    <row r="871">
      <c r="A871" s="24"/>
      <c r="B871" s="48"/>
      <c r="C871" s="49"/>
      <c r="D871" s="24"/>
      <c r="E871" s="52"/>
      <c r="F871" s="53"/>
      <c r="G871" s="48"/>
      <c r="H871" s="49"/>
      <c r="I871" s="49"/>
      <c r="J871" s="48"/>
      <c r="K871" s="48"/>
      <c r="L871" s="48"/>
      <c r="M871" s="48"/>
      <c r="N871" s="48"/>
      <c r="O871" s="48"/>
      <c r="P871" s="48"/>
      <c r="Q871" s="48"/>
      <c r="R871" s="48"/>
      <c r="S871" s="48"/>
      <c r="T871" s="48"/>
      <c r="U871" s="48"/>
      <c r="V871" s="48"/>
      <c r="W871" s="49"/>
      <c r="X871" s="49"/>
      <c r="Y871" s="49"/>
      <c r="Z871" s="49"/>
      <c r="AA871" s="49"/>
      <c r="AB871" s="49"/>
      <c r="AC871" s="49"/>
      <c r="AD871" s="49"/>
      <c r="AE871" s="49"/>
      <c r="AF871" s="49"/>
      <c r="AG871" s="49"/>
      <c r="AH871" s="49"/>
      <c r="AI871" s="48"/>
      <c r="AJ871" s="48"/>
      <c r="AK871" s="24"/>
      <c r="AL871" s="50"/>
      <c r="AM871" s="50"/>
      <c r="AN871" s="50"/>
      <c r="AO871" s="50"/>
      <c r="AP871" s="50"/>
      <c r="AQ871" s="50"/>
      <c r="AR871" s="50"/>
      <c r="AS871" s="50"/>
      <c r="AT871" s="51"/>
      <c r="AU871" s="51"/>
      <c r="AV871" s="51"/>
      <c r="AW871" s="51"/>
      <c r="AX871" s="50"/>
      <c r="AY871" s="50"/>
      <c r="AZ871" s="50"/>
      <c r="BA871" s="50"/>
      <c r="BB871" s="51"/>
      <c r="BC871" s="51"/>
      <c r="BD871" s="51"/>
      <c r="BE871" s="51"/>
      <c r="BF871" s="47"/>
      <c r="BG871" s="47"/>
      <c r="BH871" s="47"/>
      <c r="BI871" s="47"/>
      <c r="BJ871" s="47"/>
      <c r="BK871" s="47"/>
      <c r="BL871" s="47"/>
      <c r="BM871" s="47"/>
      <c r="BN871" s="47"/>
      <c r="BO871" s="47"/>
      <c r="BP871" s="47"/>
      <c r="BQ871" s="47"/>
      <c r="BR871" s="47"/>
      <c r="BS871" s="47"/>
      <c r="BT871" s="47"/>
    </row>
    <row r="872">
      <c r="A872" s="24"/>
      <c r="B872" s="48"/>
      <c r="C872" s="49"/>
      <c r="D872" s="24"/>
      <c r="E872" s="52"/>
      <c r="F872" s="53"/>
      <c r="G872" s="48"/>
      <c r="H872" s="49"/>
      <c r="I872" s="49"/>
      <c r="J872" s="48"/>
      <c r="K872" s="48"/>
      <c r="L872" s="48"/>
      <c r="M872" s="48"/>
      <c r="N872" s="48"/>
      <c r="O872" s="48"/>
      <c r="P872" s="48"/>
      <c r="Q872" s="48"/>
      <c r="R872" s="48"/>
      <c r="S872" s="48"/>
      <c r="T872" s="48"/>
      <c r="U872" s="48"/>
      <c r="V872" s="48"/>
      <c r="W872" s="49"/>
      <c r="X872" s="49"/>
      <c r="Y872" s="49"/>
      <c r="Z872" s="49"/>
      <c r="AA872" s="49"/>
      <c r="AB872" s="49"/>
      <c r="AC872" s="49"/>
      <c r="AD872" s="49"/>
      <c r="AE872" s="49"/>
      <c r="AF872" s="49"/>
      <c r="AG872" s="49"/>
      <c r="AH872" s="49"/>
      <c r="AI872" s="48"/>
      <c r="AJ872" s="48"/>
      <c r="AK872" s="24"/>
      <c r="AL872" s="50"/>
      <c r="AM872" s="50"/>
      <c r="AN872" s="50"/>
      <c r="AO872" s="50"/>
      <c r="AP872" s="50"/>
      <c r="AQ872" s="50"/>
      <c r="AR872" s="50"/>
      <c r="AS872" s="50"/>
      <c r="AT872" s="51"/>
      <c r="AU872" s="51"/>
      <c r="AV872" s="51"/>
      <c r="AW872" s="51"/>
      <c r="AX872" s="50"/>
      <c r="AY872" s="50"/>
      <c r="AZ872" s="50"/>
      <c r="BA872" s="50"/>
      <c r="BB872" s="51"/>
      <c r="BC872" s="51"/>
      <c r="BD872" s="51"/>
      <c r="BE872" s="51"/>
      <c r="BF872" s="47"/>
      <c r="BG872" s="47"/>
      <c r="BH872" s="47"/>
      <c r="BI872" s="47"/>
      <c r="BJ872" s="47"/>
      <c r="BK872" s="47"/>
      <c r="BL872" s="47"/>
      <c r="BM872" s="47"/>
      <c r="BN872" s="47"/>
      <c r="BO872" s="47"/>
      <c r="BP872" s="47"/>
      <c r="BQ872" s="47"/>
      <c r="BR872" s="47"/>
      <c r="BS872" s="47"/>
      <c r="BT872" s="47"/>
    </row>
    <row r="873">
      <c r="A873" s="24"/>
      <c r="B873" s="48"/>
      <c r="C873" s="49"/>
      <c r="D873" s="24"/>
      <c r="E873" s="52"/>
      <c r="F873" s="53"/>
      <c r="G873" s="48"/>
      <c r="H873" s="49"/>
      <c r="I873" s="49"/>
      <c r="J873" s="48"/>
      <c r="K873" s="48"/>
      <c r="L873" s="48"/>
      <c r="M873" s="48"/>
      <c r="N873" s="48"/>
      <c r="O873" s="48"/>
      <c r="P873" s="48"/>
      <c r="Q873" s="48"/>
      <c r="R873" s="48"/>
      <c r="S873" s="48"/>
      <c r="T873" s="48"/>
      <c r="U873" s="48"/>
      <c r="V873" s="48"/>
      <c r="W873" s="49"/>
      <c r="X873" s="49"/>
      <c r="Y873" s="49"/>
      <c r="Z873" s="49"/>
      <c r="AA873" s="49"/>
      <c r="AB873" s="49"/>
      <c r="AC873" s="49"/>
      <c r="AD873" s="49"/>
      <c r="AE873" s="49"/>
      <c r="AF873" s="49"/>
      <c r="AG873" s="49"/>
      <c r="AH873" s="49"/>
      <c r="AI873" s="48"/>
      <c r="AJ873" s="48"/>
      <c r="AK873" s="24"/>
      <c r="AL873" s="50"/>
      <c r="AM873" s="50"/>
      <c r="AN873" s="50"/>
      <c r="AO873" s="50"/>
      <c r="AP873" s="50"/>
      <c r="AQ873" s="50"/>
      <c r="AR873" s="50"/>
      <c r="AS873" s="50"/>
      <c r="AT873" s="51"/>
      <c r="AU873" s="51"/>
      <c r="AV873" s="51"/>
      <c r="AW873" s="51"/>
      <c r="AX873" s="50"/>
      <c r="AY873" s="50"/>
      <c r="AZ873" s="50"/>
      <c r="BA873" s="50"/>
      <c r="BB873" s="51"/>
      <c r="BC873" s="51"/>
      <c r="BD873" s="51"/>
      <c r="BE873" s="51"/>
      <c r="BF873" s="47"/>
      <c r="BG873" s="47"/>
      <c r="BH873" s="47"/>
      <c r="BI873" s="47"/>
      <c r="BJ873" s="47"/>
      <c r="BK873" s="47"/>
      <c r="BL873" s="47"/>
      <c r="BM873" s="47"/>
      <c r="BN873" s="47"/>
      <c r="BO873" s="47"/>
      <c r="BP873" s="47"/>
      <c r="BQ873" s="47"/>
      <c r="BR873" s="47"/>
      <c r="BS873" s="47"/>
      <c r="BT873" s="47"/>
    </row>
    <row r="874">
      <c r="A874" s="24"/>
      <c r="B874" s="48"/>
      <c r="C874" s="49"/>
      <c r="D874" s="24"/>
      <c r="E874" s="52"/>
      <c r="F874" s="53"/>
      <c r="G874" s="48"/>
      <c r="H874" s="49"/>
      <c r="I874" s="49"/>
      <c r="J874" s="48"/>
      <c r="K874" s="48"/>
      <c r="L874" s="48"/>
      <c r="M874" s="48"/>
      <c r="N874" s="48"/>
      <c r="O874" s="48"/>
      <c r="P874" s="48"/>
      <c r="Q874" s="48"/>
      <c r="R874" s="48"/>
      <c r="S874" s="48"/>
      <c r="T874" s="48"/>
      <c r="U874" s="48"/>
      <c r="V874" s="48"/>
      <c r="W874" s="49"/>
      <c r="X874" s="49"/>
      <c r="Y874" s="49"/>
      <c r="Z874" s="49"/>
      <c r="AA874" s="49"/>
      <c r="AB874" s="49"/>
      <c r="AC874" s="49"/>
      <c r="AD874" s="49"/>
      <c r="AE874" s="49"/>
      <c r="AF874" s="49"/>
      <c r="AG874" s="49"/>
      <c r="AH874" s="49"/>
      <c r="AI874" s="48"/>
      <c r="AJ874" s="48"/>
      <c r="AK874" s="24"/>
      <c r="AL874" s="50"/>
      <c r="AM874" s="50"/>
      <c r="AN874" s="50"/>
      <c r="AO874" s="50"/>
      <c r="AP874" s="50"/>
      <c r="AQ874" s="50"/>
      <c r="AR874" s="50"/>
      <c r="AS874" s="50"/>
      <c r="AT874" s="51"/>
      <c r="AU874" s="51"/>
      <c r="AV874" s="51"/>
      <c r="AW874" s="51"/>
      <c r="AX874" s="50"/>
      <c r="AY874" s="50"/>
      <c r="AZ874" s="50"/>
      <c r="BA874" s="50"/>
      <c r="BB874" s="51"/>
      <c r="BC874" s="51"/>
      <c r="BD874" s="51"/>
      <c r="BE874" s="51"/>
      <c r="BF874" s="47"/>
      <c r="BG874" s="47"/>
      <c r="BH874" s="47"/>
      <c r="BI874" s="47"/>
      <c r="BJ874" s="47"/>
      <c r="BK874" s="47"/>
      <c r="BL874" s="47"/>
      <c r="BM874" s="47"/>
      <c r="BN874" s="47"/>
      <c r="BO874" s="47"/>
      <c r="BP874" s="47"/>
      <c r="BQ874" s="47"/>
      <c r="BR874" s="47"/>
      <c r="BS874" s="47"/>
      <c r="BT874" s="47"/>
    </row>
    <row r="875">
      <c r="A875" s="24"/>
      <c r="B875" s="48"/>
      <c r="C875" s="49"/>
      <c r="D875" s="24"/>
      <c r="E875" s="52"/>
      <c r="F875" s="53"/>
      <c r="G875" s="48"/>
      <c r="H875" s="49"/>
      <c r="I875" s="49"/>
      <c r="J875" s="48"/>
      <c r="K875" s="48"/>
      <c r="L875" s="48"/>
      <c r="M875" s="48"/>
      <c r="N875" s="48"/>
      <c r="O875" s="48"/>
      <c r="P875" s="48"/>
      <c r="Q875" s="48"/>
      <c r="R875" s="48"/>
      <c r="S875" s="48"/>
      <c r="T875" s="48"/>
      <c r="U875" s="48"/>
      <c r="V875" s="48"/>
      <c r="W875" s="49"/>
      <c r="X875" s="49"/>
      <c r="Y875" s="49"/>
      <c r="Z875" s="49"/>
      <c r="AA875" s="49"/>
      <c r="AB875" s="49"/>
      <c r="AC875" s="49"/>
      <c r="AD875" s="49"/>
      <c r="AE875" s="49"/>
      <c r="AF875" s="49"/>
      <c r="AG875" s="49"/>
      <c r="AH875" s="49"/>
      <c r="AI875" s="48"/>
      <c r="AJ875" s="48"/>
      <c r="AK875" s="24"/>
      <c r="AL875" s="50"/>
      <c r="AM875" s="50"/>
      <c r="AN875" s="50"/>
      <c r="AO875" s="50"/>
      <c r="AP875" s="50"/>
      <c r="AQ875" s="50"/>
      <c r="AR875" s="50"/>
      <c r="AS875" s="50"/>
      <c r="AT875" s="51"/>
      <c r="AU875" s="51"/>
      <c r="AV875" s="51"/>
      <c r="AW875" s="51"/>
      <c r="AX875" s="50"/>
      <c r="AY875" s="50"/>
      <c r="AZ875" s="50"/>
      <c r="BA875" s="50"/>
      <c r="BB875" s="51"/>
      <c r="BC875" s="51"/>
      <c r="BD875" s="51"/>
      <c r="BE875" s="51"/>
      <c r="BF875" s="47"/>
      <c r="BG875" s="47"/>
      <c r="BH875" s="47"/>
      <c r="BI875" s="47"/>
      <c r="BJ875" s="47"/>
      <c r="BK875" s="47"/>
      <c r="BL875" s="47"/>
      <c r="BM875" s="47"/>
      <c r="BN875" s="47"/>
      <c r="BO875" s="47"/>
      <c r="BP875" s="47"/>
      <c r="BQ875" s="47"/>
      <c r="BR875" s="47"/>
      <c r="BS875" s="47"/>
      <c r="BT875" s="47"/>
    </row>
    <row r="876">
      <c r="A876" s="24"/>
      <c r="B876" s="48"/>
      <c r="C876" s="49"/>
      <c r="D876" s="24"/>
      <c r="E876" s="52"/>
      <c r="F876" s="53"/>
      <c r="G876" s="48"/>
      <c r="H876" s="49"/>
      <c r="I876" s="49"/>
      <c r="J876" s="48"/>
      <c r="K876" s="48"/>
      <c r="L876" s="48"/>
      <c r="M876" s="48"/>
      <c r="N876" s="48"/>
      <c r="O876" s="48"/>
      <c r="P876" s="48"/>
      <c r="Q876" s="48"/>
      <c r="R876" s="48"/>
      <c r="S876" s="48"/>
      <c r="T876" s="48"/>
      <c r="U876" s="48"/>
      <c r="V876" s="48"/>
      <c r="W876" s="49"/>
      <c r="X876" s="49"/>
      <c r="Y876" s="49"/>
      <c r="Z876" s="49"/>
      <c r="AA876" s="49"/>
      <c r="AB876" s="49"/>
      <c r="AC876" s="49"/>
      <c r="AD876" s="49"/>
      <c r="AE876" s="49"/>
      <c r="AF876" s="49"/>
      <c r="AG876" s="49"/>
      <c r="AH876" s="49"/>
      <c r="AI876" s="48"/>
      <c r="AJ876" s="48"/>
      <c r="AK876" s="24"/>
      <c r="AL876" s="50"/>
      <c r="AM876" s="50"/>
      <c r="AN876" s="50"/>
      <c r="AO876" s="50"/>
      <c r="AP876" s="50"/>
      <c r="AQ876" s="50"/>
      <c r="AR876" s="50"/>
      <c r="AS876" s="50"/>
      <c r="AT876" s="51"/>
      <c r="AU876" s="51"/>
      <c r="AV876" s="51"/>
      <c r="AW876" s="51"/>
      <c r="AX876" s="50"/>
      <c r="AY876" s="50"/>
      <c r="AZ876" s="50"/>
      <c r="BA876" s="50"/>
      <c r="BB876" s="51"/>
      <c r="BC876" s="51"/>
      <c r="BD876" s="51"/>
      <c r="BE876" s="51"/>
      <c r="BF876" s="47"/>
      <c r="BG876" s="47"/>
      <c r="BH876" s="47"/>
      <c r="BI876" s="47"/>
      <c r="BJ876" s="47"/>
      <c r="BK876" s="47"/>
      <c r="BL876" s="47"/>
      <c r="BM876" s="47"/>
      <c r="BN876" s="47"/>
      <c r="BO876" s="47"/>
      <c r="BP876" s="47"/>
      <c r="BQ876" s="47"/>
      <c r="BR876" s="47"/>
      <c r="BS876" s="47"/>
      <c r="BT876" s="47"/>
    </row>
    <row r="877">
      <c r="A877" s="24"/>
      <c r="B877" s="48"/>
      <c r="C877" s="49"/>
      <c r="D877" s="24"/>
      <c r="E877" s="52"/>
      <c r="F877" s="53"/>
      <c r="G877" s="48"/>
      <c r="H877" s="49"/>
      <c r="I877" s="49"/>
      <c r="J877" s="48"/>
      <c r="K877" s="48"/>
      <c r="L877" s="48"/>
      <c r="M877" s="48"/>
      <c r="N877" s="48"/>
      <c r="O877" s="48"/>
      <c r="P877" s="48"/>
      <c r="Q877" s="48"/>
      <c r="R877" s="48"/>
      <c r="S877" s="48"/>
      <c r="T877" s="48"/>
      <c r="U877" s="48"/>
      <c r="V877" s="48"/>
      <c r="W877" s="49"/>
      <c r="X877" s="49"/>
      <c r="Y877" s="49"/>
      <c r="Z877" s="49"/>
      <c r="AA877" s="49"/>
      <c r="AB877" s="49"/>
      <c r="AC877" s="49"/>
      <c r="AD877" s="49"/>
      <c r="AE877" s="49"/>
      <c r="AF877" s="49"/>
      <c r="AG877" s="49"/>
      <c r="AH877" s="49"/>
      <c r="AI877" s="48"/>
      <c r="AJ877" s="48"/>
      <c r="AK877" s="24"/>
      <c r="AL877" s="50"/>
      <c r="AM877" s="50"/>
      <c r="AN877" s="50"/>
      <c r="AO877" s="50"/>
      <c r="AP877" s="50"/>
      <c r="AQ877" s="50"/>
      <c r="AR877" s="50"/>
      <c r="AS877" s="50"/>
      <c r="AT877" s="51"/>
      <c r="AU877" s="51"/>
      <c r="AV877" s="51"/>
      <c r="AW877" s="51"/>
      <c r="AX877" s="50"/>
      <c r="AY877" s="50"/>
      <c r="AZ877" s="50"/>
      <c r="BA877" s="50"/>
      <c r="BB877" s="51"/>
      <c r="BC877" s="51"/>
      <c r="BD877" s="51"/>
      <c r="BE877" s="51"/>
      <c r="BF877" s="47"/>
      <c r="BG877" s="47"/>
      <c r="BH877" s="47"/>
      <c r="BI877" s="47"/>
      <c r="BJ877" s="47"/>
      <c r="BK877" s="47"/>
      <c r="BL877" s="47"/>
      <c r="BM877" s="47"/>
      <c r="BN877" s="47"/>
      <c r="BO877" s="47"/>
      <c r="BP877" s="47"/>
      <c r="BQ877" s="47"/>
      <c r="BR877" s="47"/>
      <c r="BS877" s="47"/>
      <c r="BT877" s="47"/>
    </row>
    <row r="878">
      <c r="A878" s="24"/>
      <c r="B878" s="48"/>
      <c r="C878" s="49"/>
      <c r="D878" s="24"/>
      <c r="E878" s="52"/>
      <c r="F878" s="53"/>
      <c r="G878" s="48"/>
      <c r="H878" s="49"/>
      <c r="I878" s="49"/>
      <c r="J878" s="48"/>
      <c r="K878" s="48"/>
      <c r="L878" s="48"/>
      <c r="M878" s="48"/>
      <c r="N878" s="48"/>
      <c r="O878" s="48"/>
      <c r="P878" s="48"/>
      <c r="Q878" s="48"/>
      <c r="R878" s="48"/>
      <c r="S878" s="48"/>
      <c r="T878" s="48"/>
      <c r="U878" s="48"/>
      <c r="V878" s="48"/>
      <c r="W878" s="49"/>
      <c r="X878" s="49"/>
      <c r="Y878" s="49"/>
      <c r="Z878" s="49"/>
      <c r="AA878" s="49"/>
      <c r="AB878" s="49"/>
      <c r="AC878" s="49"/>
      <c r="AD878" s="49"/>
      <c r="AE878" s="49"/>
      <c r="AF878" s="49"/>
      <c r="AG878" s="49"/>
      <c r="AH878" s="49"/>
      <c r="AI878" s="48"/>
      <c r="AJ878" s="48"/>
      <c r="AK878" s="24"/>
      <c r="AL878" s="50"/>
      <c r="AM878" s="50"/>
      <c r="AN878" s="50"/>
      <c r="AO878" s="50"/>
      <c r="AP878" s="50"/>
      <c r="AQ878" s="50"/>
      <c r="AR878" s="50"/>
      <c r="AS878" s="50"/>
      <c r="AT878" s="51"/>
      <c r="AU878" s="51"/>
      <c r="AV878" s="51"/>
      <c r="AW878" s="51"/>
      <c r="AX878" s="50"/>
      <c r="AY878" s="50"/>
      <c r="AZ878" s="50"/>
      <c r="BA878" s="50"/>
      <c r="BB878" s="51"/>
      <c r="BC878" s="51"/>
      <c r="BD878" s="51"/>
      <c r="BE878" s="51"/>
      <c r="BF878" s="47"/>
      <c r="BG878" s="47"/>
      <c r="BH878" s="47"/>
      <c r="BI878" s="47"/>
      <c r="BJ878" s="47"/>
      <c r="BK878" s="47"/>
      <c r="BL878" s="47"/>
      <c r="BM878" s="47"/>
      <c r="BN878" s="47"/>
      <c r="BO878" s="47"/>
      <c r="BP878" s="47"/>
      <c r="BQ878" s="47"/>
      <c r="BR878" s="47"/>
      <c r="BS878" s="47"/>
      <c r="BT878" s="47"/>
    </row>
    <row r="879">
      <c r="A879" s="24"/>
      <c r="B879" s="48"/>
      <c r="C879" s="49"/>
      <c r="D879" s="24"/>
      <c r="E879" s="52"/>
      <c r="F879" s="53"/>
      <c r="G879" s="48"/>
      <c r="H879" s="49"/>
      <c r="I879" s="49"/>
      <c r="J879" s="48"/>
      <c r="K879" s="48"/>
      <c r="L879" s="48"/>
      <c r="M879" s="48"/>
      <c r="N879" s="48"/>
      <c r="O879" s="48"/>
      <c r="P879" s="48"/>
      <c r="Q879" s="48"/>
      <c r="R879" s="48"/>
      <c r="S879" s="48"/>
      <c r="T879" s="48"/>
      <c r="U879" s="48"/>
      <c r="V879" s="48"/>
      <c r="W879" s="49"/>
      <c r="X879" s="49"/>
      <c r="Y879" s="49"/>
      <c r="Z879" s="49"/>
      <c r="AA879" s="49"/>
      <c r="AB879" s="49"/>
      <c r="AC879" s="49"/>
      <c r="AD879" s="49"/>
      <c r="AE879" s="49"/>
      <c r="AF879" s="49"/>
      <c r="AG879" s="49"/>
      <c r="AH879" s="49"/>
      <c r="AI879" s="48"/>
      <c r="AJ879" s="48"/>
      <c r="AK879" s="24"/>
      <c r="AL879" s="50"/>
      <c r="AM879" s="50"/>
      <c r="AN879" s="50"/>
      <c r="AO879" s="50"/>
      <c r="AP879" s="50"/>
      <c r="AQ879" s="50"/>
      <c r="AR879" s="50"/>
      <c r="AS879" s="50"/>
      <c r="AT879" s="51"/>
      <c r="AU879" s="51"/>
      <c r="AV879" s="51"/>
      <c r="AW879" s="51"/>
      <c r="AX879" s="50"/>
      <c r="AY879" s="50"/>
      <c r="AZ879" s="50"/>
      <c r="BA879" s="50"/>
      <c r="BB879" s="51"/>
      <c r="BC879" s="51"/>
      <c r="BD879" s="51"/>
      <c r="BE879" s="51"/>
      <c r="BF879" s="47"/>
      <c r="BG879" s="47"/>
      <c r="BH879" s="47"/>
      <c r="BI879" s="47"/>
      <c r="BJ879" s="47"/>
      <c r="BK879" s="47"/>
      <c r="BL879" s="47"/>
      <c r="BM879" s="47"/>
      <c r="BN879" s="47"/>
      <c r="BO879" s="47"/>
      <c r="BP879" s="47"/>
      <c r="BQ879" s="47"/>
      <c r="BR879" s="47"/>
      <c r="BS879" s="47"/>
      <c r="BT879" s="47"/>
    </row>
    <row r="880">
      <c r="A880" s="24"/>
      <c r="B880" s="48"/>
      <c r="C880" s="49"/>
      <c r="D880" s="24"/>
      <c r="E880" s="52"/>
      <c r="F880" s="53"/>
      <c r="G880" s="48"/>
      <c r="H880" s="49"/>
      <c r="I880" s="49"/>
      <c r="J880" s="48"/>
      <c r="K880" s="48"/>
      <c r="L880" s="48"/>
      <c r="M880" s="48"/>
      <c r="N880" s="48"/>
      <c r="O880" s="48"/>
      <c r="P880" s="48"/>
      <c r="Q880" s="48"/>
      <c r="R880" s="48"/>
      <c r="S880" s="48"/>
      <c r="T880" s="48"/>
      <c r="U880" s="48"/>
      <c r="V880" s="48"/>
      <c r="W880" s="49"/>
      <c r="X880" s="49"/>
      <c r="Y880" s="49"/>
      <c r="Z880" s="49"/>
      <c r="AA880" s="49"/>
      <c r="AB880" s="49"/>
      <c r="AC880" s="49"/>
      <c r="AD880" s="49"/>
      <c r="AE880" s="49"/>
      <c r="AF880" s="49"/>
      <c r="AG880" s="49"/>
      <c r="AH880" s="49"/>
      <c r="AI880" s="48"/>
      <c r="AJ880" s="48"/>
      <c r="AK880" s="24"/>
      <c r="AL880" s="50"/>
      <c r="AM880" s="50"/>
      <c r="AN880" s="50"/>
      <c r="AO880" s="50"/>
      <c r="AP880" s="50"/>
      <c r="AQ880" s="50"/>
      <c r="AR880" s="50"/>
      <c r="AS880" s="50"/>
      <c r="AT880" s="51"/>
      <c r="AU880" s="51"/>
      <c r="AV880" s="51"/>
      <c r="AW880" s="51"/>
      <c r="AX880" s="50"/>
      <c r="AY880" s="50"/>
      <c r="AZ880" s="50"/>
      <c r="BA880" s="50"/>
      <c r="BB880" s="51"/>
      <c r="BC880" s="51"/>
      <c r="BD880" s="51"/>
      <c r="BE880" s="51"/>
      <c r="BF880" s="47"/>
      <c r="BG880" s="47"/>
      <c r="BH880" s="47"/>
      <c r="BI880" s="47"/>
      <c r="BJ880" s="47"/>
      <c r="BK880" s="47"/>
      <c r="BL880" s="47"/>
      <c r="BM880" s="47"/>
      <c r="BN880" s="47"/>
      <c r="BO880" s="47"/>
      <c r="BP880" s="47"/>
      <c r="BQ880" s="47"/>
      <c r="BR880" s="47"/>
      <c r="BS880" s="47"/>
      <c r="BT880" s="47"/>
    </row>
    <row r="881">
      <c r="A881" s="24"/>
      <c r="B881" s="48"/>
      <c r="C881" s="49"/>
      <c r="D881" s="24"/>
      <c r="E881" s="52"/>
      <c r="F881" s="53"/>
      <c r="G881" s="48"/>
      <c r="H881" s="49"/>
      <c r="I881" s="49"/>
      <c r="J881" s="48"/>
      <c r="K881" s="48"/>
      <c r="L881" s="48"/>
      <c r="M881" s="48"/>
      <c r="N881" s="48"/>
      <c r="O881" s="48"/>
      <c r="P881" s="48"/>
      <c r="Q881" s="48"/>
      <c r="R881" s="48"/>
      <c r="S881" s="48"/>
      <c r="T881" s="48"/>
      <c r="U881" s="48"/>
      <c r="V881" s="48"/>
      <c r="W881" s="49"/>
      <c r="X881" s="49"/>
      <c r="Y881" s="49"/>
      <c r="Z881" s="49"/>
      <c r="AA881" s="49"/>
      <c r="AB881" s="49"/>
      <c r="AC881" s="49"/>
      <c r="AD881" s="49"/>
      <c r="AE881" s="49"/>
      <c r="AF881" s="49"/>
      <c r="AG881" s="49"/>
      <c r="AH881" s="49"/>
      <c r="AI881" s="48"/>
      <c r="AJ881" s="48"/>
      <c r="AK881" s="24"/>
      <c r="AL881" s="50"/>
      <c r="AM881" s="50"/>
      <c r="AN881" s="50"/>
      <c r="AO881" s="50"/>
      <c r="AP881" s="50"/>
      <c r="AQ881" s="50"/>
      <c r="AR881" s="50"/>
      <c r="AS881" s="50"/>
      <c r="AT881" s="51"/>
      <c r="AU881" s="51"/>
      <c r="AV881" s="51"/>
      <c r="AW881" s="51"/>
      <c r="AX881" s="50"/>
      <c r="AY881" s="50"/>
      <c r="AZ881" s="50"/>
      <c r="BA881" s="50"/>
      <c r="BB881" s="51"/>
      <c r="BC881" s="51"/>
      <c r="BD881" s="51"/>
      <c r="BE881" s="51"/>
      <c r="BF881" s="47"/>
      <c r="BG881" s="47"/>
      <c r="BH881" s="47"/>
      <c r="BI881" s="47"/>
      <c r="BJ881" s="47"/>
      <c r="BK881" s="47"/>
      <c r="BL881" s="47"/>
      <c r="BM881" s="47"/>
      <c r="BN881" s="47"/>
      <c r="BO881" s="47"/>
      <c r="BP881" s="47"/>
      <c r="BQ881" s="47"/>
      <c r="BR881" s="47"/>
      <c r="BS881" s="47"/>
      <c r="BT881" s="47"/>
    </row>
    <row r="882">
      <c r="A882" s="24"/>
      <c r="B882" s="48"/>
      <c r="C882" s="49"/>
      <c r="D882" s="24"/>
      <c r="E882" s="52"/>
      <c r="F882" s="53"/>
      <c r="G882" s="48"/>
      <c r="H882" s="49"/>
      <c r="I882" s="49"/>
      <c r="J882" s="48"/>
      <c r="K882" s="48"/>
      <c r="L882" s="48"/>
      <c r="M882" s="48"/>
      <c r="N882" s="48"/>
      <c r="O882" s="48"/>
      <c r="P882" s="48"/>
      <c r="Q882" s="48"/>
      <c r="R882" s="48"/>
      <c r="S882" s="48"/>
      <c r="T882" s="48"/>
      <c r="U882" s="48"/>
      <c r="V882" s="48"/>
      <c r="W882" s="49"/>
      <c r="X882" s="49"/>
      <c r="Y882" s="49"/>
      <c r="Z882" s="49"/>
      <c r="AA882" s="49"/>
      <c r="AB882" s="49"/>
      <c r="AC882" s="49"/>
      <c r="AD882" s="49"/>
      <c r="AE882" s="49"/>
      <c r="AF882" s="49"/>
      <c r="AG882" s="49"/>
      <c r="AH882" s="49"/>
      <c r="AI882" s="48"/>
      <c r="AJ882" s="48"/>
      <c r="AK882" s="24"/>
      <c r="AL882" s="50"/>
      <c r="AM882" s="50"/>
      <c r="AN882" s="50"/>
      <c r="AO882" s="50"/>
      <c r="AP882" s="50"/>
      <c r="AQ882" s="50"/>
      <c r="AR882" s="50"/>
      <c r="AS882" s="50"/>
      <c r="AT882" s="51"/>
      <c r="AU882" s="51"/>
      <c r="AV882" s="51"/>
      <c r="AW882" s="51"/>
      <c r="AX882" s="50"/>
      <c r="AY882" s="50"/>
      <c r="AZ882" s="50"/>
      <c r="BA882" s="50"/>
      <c r="BB882" s="51"/>
      <c r="BC882" s="51"/>
      <c r="BD882" s="51"/>
      <c r="BE882" s="51"/>
      <c r="BF882" s="47"/>
      <c r="BG882" s="47"/>
      <c r="BH882" s="47"/>
      <c r="BI882" s="47"/>
      <c r="BJ882" s="47"/>
      <c r="BK882" s="47"/>
      <c r="BL882" s="47"/>
      <c r="BM882" s="47"/>
      <c r="BN882" s="47"/>
      <c r="BO882" s="47"/>
      <c r="BP882" s="47"/>
      <c r="BQ882" s="47"/>
      <c r="BR882" s="47"/>
      <c r="BS882" s="47"/>
      <c r="BT882" s="47"/>
    </row>
    <row r="883">
      <c r="A883" s="24"/>
      <c r="B883" s="48"/>
      <c r="C883" s="49"/>
      <c r="D883" s="24"/>
      <c r="E883" s="52"/>
      <c r="F883" s="53"/>
      <c r="G883" s="48"/>
      <c r="H883" s="49"/>
      <c r="I883" s="49"/>
      <c r="J883" s="48"/>
      <c r="K883" s="48"/>
      <c r="L883" s="48"/>
      <c r="M883" s="48"/>
      <c r="N883" s="48"/>
      <c r="O883" s="48"/>
      <c r="P883" s="48"/>
      <c r="Q883" s="48"/>
      <c r="R883" s="48"/>
      <c r="S883" s="48"/>
      <c r="T883" s="48"/>
      <c r="U883" s="48"/>
      <c r="V883" s="48"/>
      <c r="W883" s="49"/>
      <c r="X883" s="49"/>
      <c r="Y883" s="49"/>
      <c r="Z883" s="49"/>
      <c r="AA883" s="49"/>
      <c r="AB883" s="49"/>
      <c r="AC883" s="49"/>
      <c r="AD883" s="49"/>
      <c r="AE883" s="49"/>
      <c r="AF883" s="49"/>
      <c r="AG883" s="49"/>
      <c r="AH883" s="49"/>
      <c r="AI883" s="48"/>
      <c r="AJ883" s="48"/>
      <c r="AK883" s="24"/>
      <c r="AL883" s="50"/>
      <c r="AM883" s="50"/>
      <c r="AN883" s="50"/>
      <c r="AO883" s="50"/>
      <c r="AP883" s="50"/>
      <c r="AQ883" s="50"/>
      <c r="AR883" s="50"/>
      <c r="AS883" s="50"/>
      <c r="AT883" s="51"/>
      <c r="AU883" s="51"/>
      <c r="AV883" s="51"/>
      <c r="AW883" s="51"/>
      <c r="AX883" s="50"/>
      <c r="AY883" s="50"/>
      <c r="AZ883" s="50"/>
      <c r="BA883" s="50"/>
      <c r="BB883" s="51"/>
      <c r="BC883" s="51"/>
      <c r="BD883" s="51"/>
      <c r="BE883" s="51"/>
      <c r="BF883" s="47"/>
      <c r="BG883" s="47"/>
      <c r="BH883" s="47"/>
      <c r="BI883" s="47"/>
      <c r="BJ883" s="47"/>
      <c r="BK883" s="47"/>
      <c r="BL883" s="47"/>
      <c r="BM883" s="47"/>
      <c r="BN883" s="47"/>
      <c r="BO883" s="47"/>
      <c r="BP883" s="47"/>
      <c r="BQ883" s="47"/>
      <c r="BR883" s="47"/>
      <c r="BS883" s="47"/>
      <c r="BT883" s="47"/>
    </row>
    <row r="884">
      <c r="A884" s="24"/>
      <c r="B884" s="48"/>
      <c r="C884" s="49"/>
      <c r="D884" s="24"/>
      <c r="E884" s="52"/>
      <c r="F884" s="53"/>
      <c r="G884" s="48"/>
      <c r="H884" s="49"/>
      <c r="I884" s="49"/>
      <c r="J884" s="48"/>
      <c r="K884" s="48"/>
      <c r="L884" s="48"/>
      <c r="M884" s="48"/>
      <c r="N884" s="48"/>
      <c r="O884" s="48"/>
      <c r="P884" s="48"/>
      <c r="Q884" s="48"/>
      <c r="R884" s="48"/>
      <c r="S884" s="48"/>
      <c r="T884" s="48"/>
      <c r="U884" s="48"/>
      <c r="V884" s="48"/>
      <c r="W884" s="49"/>
      <c r="X884" s="49"/>
      <c r="Y884" s="49"/>
      <c r="Z884" s="49"/>
      <c r="AA884" s="49"/>
      <c r="AB884" s="49"/>
      <c r="AC884" s="49"/>
      <c r="AD884" s="49"/>
      <c r="AE884" s="49"/>
      <c r="AF884" s="49"/>
      <c r="AG884" s="49"/>
      <c r="AH884" s="49"/>
      <c r="AI884" s="48"/>
      <c r="AJ884" s="48"/>
      <c r="AK884" s="24"/>
      <c r="AL884" s="50"/>
      <c r="AM884" s="50"/>
      <c r="AN884" s="50"/>
      <c r="AO884" s="50"/>
      <c r="AP884" s="50"/>
      <c r="AQ884" s="50"/>
      <c r="AR884" s="50"/>
      <c r="AS884" s="50"/>
      <c r="AT884" s="51"/>
      <c r="AU884" s="51"/>
      <c r="AV884" s="51"/>
      <c r="AW884" s="51"/>
      <c r="AX884" s="50"/>
      <c r="AY884" s="50"/>
      <c r="AZ884" s="50"/>
      <c r="BA884" s="50"/>
      <c r="BB884" s="51"/>
      <c r="BC884" s="51"/>
      <c r="BD884" s="51"/>
      <c r="BE884" s="51"/>
      <c r="BF884" s="47"/>
      <c r="BG884" s="47"/>
      <c r="BH884" s="47"/>
      <c r="BI884" s="47"/>
      <c r="BJ884" s="47"/>
      <c r="BK884" s="47"/>
      <c r="BL884" s="47"/>
      <c r="BM884" s="47"/>
      <c r="BN884" s="47"/>
      <c r="BO884" s="47"/>
      <c r="BP884" s="47"/>
      <c r="BQ884" s="47"/>
      <c r="BR884" s="47"/>
      <c r="BS884" s="47"/>
      <c r="BT884" s="47"/>
    </row>
    <row r="885">
      <c r="A885" s="24"/>
      <c r="B885" s="48"/>
      <c r="C885" s="49"/>
      <c r="D885" s="24"/>
      <c r="E885" s="52"/>
      <c r="F885" s="53"/>
      <c r="G885" s="48"/>
      <c r="H885" s="49"/>
      <c r="I885" s="49"/>
      <c r="J885" s="48"/>
      <c r="K885" s="48"/>
      <c r="L885" s="48"/>
      <c r="M885" s="48"/>
      <c r="N885" s="48"/>
      <c r="O885" s="48"/>
      <c r="P885" s="48"/>
      <c r="Q885" s="48"/>
      <c r="R885" s="48"/>
      <c r="S885" s="48"/>
      <c r="T885" s="48"/>
      <c r="U885" s="48"/>
      <c r="V885" s="48"/>
      <c r="W885" s="49"/>
      <c r="X885" s="49"/>
      <c r="Y885" s="49"/>
      <c r="Z885" s="49"/>
      <c r="AA885" s="49"/>
      <c r="AB885" s="49"/>
      <c r="AC885" s="49"/>
      <c r="AD885" s="49"/>
      <c r="AE885" s="49"/>
      <c r="AF885" s="49"/>
      <c r="AG885" s="49"/>
      <c r="AH885" s="49"/>
      <c r="AI885" s="48"/>
      <c r="AJ885" s="48"/>
      <c r="AK885" s="24"/>
      <c r="AL885" s="50"/>
      <c r="AM885" s="50"/>
      <c r="AN885" s="50"/>
      <c r="AO885" s="50"/>
      <c r="AP885" s="50"/>
      <c r="AQ885" s="50"/>
      <c r="AR885" s="50"/>
      <c r="AS885" s="50"/>
      <c r="AT885" s="51"/>
      <c r="AU885" s="51"/>
      <c r="AV885" s="51"/>
      <c r="AW885" s="51"/>
      <c r="AX885" s="50"/>
      <c r="AY885" s="50"/>
      <c r="AZ885" s="50"/>
      <c r="BA885" s="50"/>
      <c r="BB885" s="51"/>
      <c r="BC885" s="51"/>
      <c r="BD885" s="51"/>
      <c r="BE885" s="51"/>
      <c r="BF885" s="47"/>
      <c r="BG885" s="47"/>
      <c r="BH885" s="47"/>
      <c r="BI885" s="47"/>
      <c r="BJ885" s="47"/>
      <c r="BK885" s="47"/>
      <c r="BL885" s="47"/>
      <c r="BM885" s="47"/>
      <c r="BN885" s="47"/>
      <c r="BO885" s="47"/>
      <c r="BP885" s="47"/>
      <c r="BQ885" s="47"/>
      <c r="BR885" s="47"/>
      <c r="BS885" s="47"/>
      <c r="BT885" s="47"/>
    </row>
    <row r="886">
      <c r="A886" s="24"/>
      <c r="B886" s="48"/>
      <c r="C886" s="49"/>
      <c r="D886" s="24"/>
      <c r="E886" s="52"/>
      <c r="F886" s="53"/>
      <c r="G886" s="48"/>
      <c r="H886" s="49"/>
      <c r="I886" s="49"/>
      <c r="J886" s="48"/>
      <c r="K886" s="48"/>
      <c r="L886" s="48"/>
      <c r="M886" s="48"/>
      <c r="N886" s="48"/>
      <c r="O886" s="48"/>
      <c r="P886" s="48"/>
      <c r="Q886" s="48"/>
      <c r="R886" s="48"/>
      <c r="S886" s="48"/>
      <c r="T886" s="48"/>
      <c r="U886" s="48"/>
      <c r="V886" s="48"/>
      <c r="W886" s="49"/>
      <c r="X886" s="49"/>
      <c r="Y886" s="49"/>
      <c r="Z886" s="49"/>
      <c r="AA886" s="49"/>
      <c r="AB886" s="49"/>
      <c r="AC886" s="49"/>
      <c r="AD886" s="49"/>
      <c r="AE886" s="49"/>
      <c r="AF886" s="49"/>
      <c r="AG886" s="49"/>
      <c r="AH886" s="49"/>
      <c r="AI886" s="48"/>
      <c r="AJ886" s="48"/>
      <c r="AK886" s="24"/>
      <c r="AL886" s="50"/>
      <c r="AM886" s="50"/>
      <c r="AN886" s="50"/>
      <c r="AO886" s="50"/>
      <c r="AP886" s="50"/>
      <c r="AQ886" s="50"/>
      <c r="AR886" s="50"/>
      <c r="AS886" s="50"/>
      <c r="AT886" s="51"/>
      <c r="AU886" s="51"/>
      <c r="AV886" s="51"/>
      <c r="AW886" s="51"/>
      <c r="AX886" s="50"/>
      <c r="AY886" s="50"/>
      <c r="AZ886" s="50"/>
      <c r="BA886" s="50"/>
      <c r="BB886" s="51"/>
      <c r="BC886" s="51"/>
      <c r="BD886" s="51"/>
      <c r="BE886" s="51"/>
      <c r="BF886" s="47"/>
      <c r="BG886" s="47"/>
      <c r="BH886" s="47"/>
      <c r="BI886" s="47"/>
      <c r="BJ886" s="47"/>
      <c r="BK886" s="47"/>
      <c r="BL886" s="47"/>
      <c r="BM886" s="47"/>
      <c r="BN886" s="47"/>
      <c r="BO886" s="47"/>
      <c r="BP886" s="47"/>
      <c r="BQ886" s="47"/>
      <c r="BR886" s="47"/>
      <c r="BS886" s="47"/>
      <c r="BT886" s="47"/>
    </row>
    <row r="887">
      <c r="A887" s="24"/>
      <c r="B887" s="48"/>
      <c r="C887" s="49"/>
      <c r="D887" s="24"/>
      <c r="E887" s="52"/>
      <c r="F887" s="53"/>
      <c r="G887" s="48"/>
      <c r="H887" s="49"/>
      <c r="I887" s="49"/>
      <c r="J887" s="48"/>
      <c r="K887" s="48"/>
      <c r="L887" s="48"/>
      <c r="M887" s="48"/>
      <c r="N887" s="48"/>
      <c r="O887" s="48"/>
      <c r="P887" s="48"/>
      <c r="Q887" s="48"/>
      <c r="R887" s="48"/>
      <c r="S887" s="48"/>
      <c r="T887" s="48"/>
      <c r="U887" s="48"/>
      <c r="V887" s="48"/>
      <c r="W887" s="49"/>
      <c r="X887" s="49"/>
      <c r="Y887" s="49"/>
      <c r="Z887" s="49"/>
      <c r="AA887" s="49"/>
      <c r="AB887" s="49"/>
      <c r="AC887" s="49"/>
      <c r="AD887" s="49"/>
      <c r="AE887" s="49"/>
      <c r="AF887" s="49"/>
      <c r="AG887" s="49"/>
      <c r="AH887" s="49"/>
      <c r="AI887" s="48"/>
      <c r="AJ887" s="48"/>
      <c r="AK887" s="24"/>
      <c r="AL887" s="50"/>
      <c r="AM887" s="50"/>
      <c r="AN887" s="50"/>
      <c r="AO887" s="50"/>
      <c r="AP887" s="50"/>
      <c r="AQ887" s="50"/>
      <c r="AR887" s="50"/>
      <c r="AS887" s="50"/>
      <c r="AT887" s="51"/>
      <c r="AU887" s="51"/>
      <c r="AV887" s="51"/>
      <c r="AW887" s="51"/>
      <c r="AX887" s="50"/>
      <c r="AY887" s="50"/>
      <c r="AZ887" s="50"/>
      <c r="BA887" s="50"/>
      <c r="BB887" s="51"/>
      <c r="BC887" s="51"/>
      <c r="BD887" s="51"/>
      <c r="BE887" s="51"/>
      <c r="BF887" s="47"/>
      <c r="BG887" s="47"/>
      <c r="BH887" s="47"/>
      <c r="BI887" s="47"/>
      <c r="BJ887" s="47"/>
      <c r="BK887" s="47"/>
      <c r="BL887" s="47"/>
      <c r="BM887" s="47"/>
      <c r="BN887" s="47"/>
      <c r="BO887" s="47"/>
      <c r="BP887" s="47"/>
      <c r="BQ887" s="47"/>
      <c r="BR887" s="47"/>
      <c r="BS887" s="47"/>
      <c r="BT887" s="47"/>
    </row>
    <row r="888">
      <c r="A888" s="24"/>
      <c r="B888" s="48"/>
      <c r="C888" s="49"/>
      <c r="D888" s="24"/>
      <c r="E888" s="52"/>
      <c r="F888" s="53"/>
      <c r="G888" s="48"/>
      <c r="H888" s="49"/>
      <c r="I888" s="49"/>
      <c r="J888" s="48"/>
      <c r="K888" s="48"/>
      <c r="L888" s="48"/>
      <c r="M888" s="48"/>
      <c r="N888" s="48"/>
      <c r="O888" s="48"/>
      <c r="P888" s="48"/>
      <c r="Q888" s="48"/>
      <c r="R888" s="48"/>
      <c r="S888" s="48"/>
      <c r="T888" s="48"/>
      <c r="U888" s="48"/>
      <c r="V888" s="48"/>
      <c r="W888" s="49"/>
      <c r="X888" s="49"/>
      <c r="Y888" s="49"/>
      <c r="Z888" s="49"/>
      <c r="AA888" s="49"/>
      <c r="AB888" s="49"/>
      <c r="AC888" s="49"/>
      <c r="AD888" s="49"/>
      <c r="AE888" s="49"/>
      <c r="AF888" s="49"/>
      <c r="AG888" s="49"/>
      <c r="AH888" s="49"/>
      <c r="AI888" s="48"/>
      <c r="AJ888" s="48"/>
      <c r="AK888" s="24"/>
      <c r="AL888" s="50"/>
      <c r="AM888" s="50"/>
      <c r="AN888" s="50"/>
      <c r="AO888" s="50"/>
      <c r="AP888" s="50"/>
      <c r="AQ888" s="50"/>
      <c r="AR888" s="50"/>
      <c r="AS888" s="50"/>
      <c r="AT888" s="51"/>
      <c r="AU888" s="51"/>
      <c r="AV888" s="51"/>
      <c r="AW888" s="51"/>
      <c r="AX888" s="50"/>
      <c r="AY888" s="50"/>
      <c r="AZ888" s="50"/>
      <c r="BA888" s="50"/>
      <c r="BB888" s="51"/>
      <c r="BC888" s="51"/>
      <c r="BD888" s="51"/>
      <c r="BE888" s="51"/>
      <c r="BF888" s="47"/>
      <c r="BG888" s="47"/>
      <c r="BH888" s="47"/>
      <c r="BI888" s="47"/>
      <c r="BJ888" s="47"/>
      <c r="BK888" s="47"/>
      <c r="BL888" s="47"/>
      <c r="BM888" s="47"/>
      <c r="BN888" s="47"/>
      <c r="BO888" s="47"/>
      <c r="BP888" s="47"/>
      <c r="BQ888" s="47"/>
      <c r="BR888" s="47"/>
      <c r="BS888" s="47"/>
      <c r="BT888" s="47"/>
    </row>
    <row r="889">
      <c r="A889" s="24"/>
      <c r="B889" s="48"/>
      <c r="C889" s="49"/>
      <c r="D889" s="24"/>
      <c r="E889" s="52"/>
      <c r="F889" s="53"/>
      <c r="G889" s="48"/>
      <c r="H889" s="49"/>
      <c r="I889" s="49"/>
      <c r="J889" s="48"/>
      <c r="K889" s="48"/>
      <c r="L889" s="48"/>
      <c r="M889" s="48"/>
      <c r="N889" s="48"/>
      <c r="O889" s="48"/>
      <c r="P889" s="48"/>
      <c r="Q889" s="48"/>
      <c r="R889" s="48"/>
      <c r="S889" s="48"/>
      <c r="T889" s="48"/>
      <c r="U889" s="48"/>
      <c r="V889" s="48"/>
      <c r="W889" s="49"/>
      <c r="X889" s="49"/>
      <c r="Y889" s="49"/>
      <c r="Z889" s="49"/>
      <c r="AA889" s="49"/>
      <c r="AB889" s="49"/>
      <c r="AC889" s="49"/>
      <c r="AD889" s="49"/>
      <c r="AE889" s="49"/>
      <c r="AF889" s="49"/>
      <c r="AG889" s="49"/>
      <c r="AH889" s="49"/>
      <c r="AI889" s="48"/>
      <c r="AJ889" s="48"/>
      <c r="AK889" s="24"/>
      <c r="AL889" s="50"/>
      <c r="AM889" s="50"/>
      <c r="AN889" s="50"/>
      <c r="AO889" s="50"/>
      <c r="AP889" s="50"/>
      <c r="AQ889" s="50"/>
      <c r="AR889" s="50"/>
      <c r="AS889" s="50"/>
      <c r="AT889" s="51"/>
      <c r="AU889" s="51"/>
      <c r="AV889" s="51"/>
      <c r="AW889" s="51"/>
      <c r="AX889" s="50"/>
      <c r="AY889" s="50"/>
      <c r="AZ889" s="50"/>
      <c r="BA889" s="50"/>
      <c r="BB889" s="51"/>
      <c r="BC889" s="51"/>
      <c r="BD889" s="51"/>
      <c r="BE889" s="51"/>
      <c r="BF889" s="47"/>
      <c r="BG889" s="47"/>
      <c r="BH889" s="47"/>
      <c r="BI889" s="47"/>
      <c r="BJ889" s="47"/>
      <c r="BK889" s="47"/>
      <c r="BL889" s="47"/>
      <c r="BM889" s="47"/>
      <c r="BN889" s="47"/>
      <c r="BO889" s="47"/>
      <c r="BP889" s="47"/>
      <c r="BQ889" s="47"/>
      <c r="BR889" s="47"/>
      <c r="BS889" s="47"/>
      <c r="BT889" s="47"/>
    </row>
    <row r="890">
      <c r="A890" s="24"/>
      <c r="B890" s="48"/>
      <c r="C890" s="49"/>
      <c r="D890" s="24"/>
      <c r="E890" s="52"/>
      <c r="F890" s="53"/>
      <c r="G890" s="48"/>
      <c r="H890" s="49"/>
      <c r="I890" s="49"/>
      <c r="J890" s="48"/>
      <c r="K890" s="48"/>
      <c r="L890" s="48"/>
      <c r="M890" s="48"/>
      <c r="N890" s="48"/>
      <c r="O890" s="48"/>
      <c r="P890" s="48"/>
      <c r="Q890" s="48"/>
      <c r="R890" s="48"/>
      <c r="S890" s="48"/>
      <c r="T890" s="48"/>
      <c r="U890" s="48"/>
      <c r="V890" s="48"/>
      <c r="W890" s="49"/>
      <c r="X890" s="49"/>
      <c r="Y890" s="49"/>
      <c r="Z890" s="49"/>
      <c r="AA890" s="49"/>
      <c r="AB890" s="49"/>
      <c r="AC890" s="49"/>
      <c r="AD890" s="49"/>
      <c r="AE890" s="49"/>
      <c r="AF890" s="49"/>
      <c r="AG890" s="49"/>
      <c r="AH890" s="49"/>
      <c r="AI890" s="48"/>
      <c r="AJ890" s="48"/>
      <c r="AK890" s="24"/>
      <c r="AL890" s="50"/>
      <c r="AM890" s="50"/>
      <c r="AN890" s="50"/>
      <c r="AO890" s="50"/>
      <c r="AP890" s="50"/>
      <c r="AQ890" s="50"/>
      <c r="AR890" s="50"/>
      <c r="AS890" s="50"/>
      <c r="AT890" s="51"/>
      <c r="AU890" s="51"/>
      <c r="AV890" s="51"/>
      <c r="AW890" s="51"/>
      <c r="AX890" s="50"/>
      <c r="AY890" s="50"/>
      <c r="AZ890" s="50"/>
      <c r="BA890" s="50"/>
      <c r="BB890" s="51"/>
      <c r="BC890" s="51"/>
      <c r="BD890" s="51"/>
      <c r="BE890" s="51"/>
      <c r="BF890" s="47"/>
      <c r="BG890" s="47"/>
      <c r="BH890" s="47"/>
      <c r="BI890" s="47"/>
      <c r="BJ890" s="47"/>
      <c r="BK890" s="47"/>
      <c r="BL890" s="47"/>
      <c r="BM890" s="47"/>
      <c r="BN890" s="47"/>
      <c r="BO890" s="47"/>
      <c r="BP890" s="47"/>
      <c r="BQ890" s="47"/>
      <c r="BR890" s="47"/>
      <c r="BS890" s="47"/>
      <c r="BT890" s="47"/>
    </row>
    <row r="891">
      <c r="A891" s="24"/>
      <c r="B891" s="48"/>
      <c r="C891" s="49"/>
      <c r="D891" s="24"/>
      <c r="E891" s="52"/>
      <c r="F891" s="53"/>
      <c r="G891" s="48"/>
      <c r="H891" s="49"/>
      <c r="I891" s="49"/>
      <c r="J891" s="48"/>
      <c r="K891" s="48"/>
      <c r="L891" s="48"/>
      <c r="M891" s="48"/>
      <c r="N891" s="48"/>
      <c r="O891" s="48"/>
      <c r="P891" s="48"/>
      <c r="Q891" s="48"/>
      <c r="R891" s="48"/>
      <c r="S891" s="48"/>
      <c r="T891" s="48"/>
      <c r="U891" s="48"/>
      <c r="V891" s="48"/>
      <c r="W891" s="49"/>
      <c r="X891" s="49"/>
      <c r="Y891" s="49"/>
      <c r="Z891" s="49"/>
      <c r="AA891" s="49"/>
      <c r="AB891" s="49"/>
      <c r="AC891" s="49"/>
      <c r="AD891" s="49"/>
      <c r="AE891" s="49"/>
      <c r="AF891" s="49"/>
      <c r="AG891" s="49"/>
      <c r="AH891" s="49"/>
      <c r="AI891" s="48"/>
      <c r="AJ891" s="48"/>
      <c r="AK891" s="24"/>
      <c r="AL891" s="50"/>
      <c r="AM891" s="50"/>
      <c r="AN891" s="50"/>
      <c r="AO891" s="50"/>
      <c r="AP891" s="50"/>
      <c r="AQ891" s="50"/>
      <c r="AR891" s="50"/>
      <c r="AS891" s="50"/>
      <c r="AT891" s="51"/>
      <c r="AU891" s="51"/>
      <c r="AV891" s="51"/>
      <c r="AW891" s="51"/>
      <c r="AX891" s="50"/>
      <c r="AY891" s="50"/>
      <c r="AZ891" s="50"/>
      <c r="BA891" s="50"/>
      <c r="BB891" s="51"/>
      <c r="BC891" s="51"/>
      <c r="BD891" s="51"/>
      <c r="BE891" s="51"/>
      <c r="BF891" s="47"/>
      <c r="BG891" s="47"/>
      <c r="BH891" s="47"/>
      <c r="BI891" s="47"/>
      <c r="BJ891" s="47"/>
      <c r="BK891" s="47"/>
      <c r="BL891" s="47"/>
      <c r="BM891" s="47"/>
      <c r="BN891" s="47"/>
      <c r="BO891" s="47"/>
      <c r="BP891" s="47"/>
      <c r="BQ891" s="47"/>
      <c r="BR891" s="47"/>
      <c r="BS891" s="47"/>
      <c r="BT891" s="47"/>
    </row>
    <row r="892">
      <c r="A892" s="24"/>
      <c r="B892" s="48"/>
      <c r="C892" s="49"/>
      <c r="D892" s="24"/>
      <c r="E892" s="52"/>
      <c r="F892" s="53"/>
      <c r="G892" s="48"/>
      <c r="H892" s="49"/>
      <c r="I892" s="49"/>
      <c r="J892" s="48"/>
      <c r="K892" s="48"/>
      <c r="L892" s="48"/>
      <c r="M892" s="48"/>
      <c r="N892" s="48"/>
      <c r="O892" s="48"/>
      <c r="P892" s="48"/>
      <c r="Q892" s="48"/>
      <c r="R892" s="48"/>
      <c r="S892" s="48"/>
      <c r="T892" s="48"/>
      <c r="U892" s="48"/>
      <c r="V892" s="48"/>
      <c r="W892" s="49"/>
      <c r="X892" s="49"/>
      <c r="Y892" s="49"/>
      <c r="Z892" s="49"/>
      <c r="AA892" s="49"/>
      <c r="AB892" s="49"/>
      <c r="AC892" s="49"/>
      <c r="AD892" s="49"/>
      <c r="AE892" s="49"/>
      <c r="AF892" s="49"/>
      <c r="AG892" s="49"/>
      <c r="AH892" s="49"/>
      <c r="AI892" s="48"/>
      <c r="AJ892" s="48"/>
      <c r="AK892" s="24"/>
      <c r="AL892" s="50"/>
      <c r="AM892" s="50"/>
      <c r="AN892" s="50"/>
      <c r="AO892" s="50"/>
      <c r="AP892" s="50"/>
      <c r="AQ892" s="50"/>
      <c r="AR892" s="50"/>
      <c r="AS892" s="50"/>
      <c r="AT892" s="51"/>
      <c r="AU892" s="51"/>
      <c r="AV892" s="51"/>
      <c r="AW892" s="51"/>
      <c r="AX892" s="50"/>
      <c r="AY892" s="50"/>
      <c r="AZ892" s="50"/>
      <c r="BA892" s="50"/>
      <c r="BB892" s="51"/>
      <c r="BC892" s="51"/>
      <c r="BD892" s="51"/>
      <c r="BE892" s="51"/>
      <c r="BF892" s="47"/>
      <c r="BG892" s="47"/>
      <c r="BH892" s="47"/>
      <c r="BI892" s="47"/>
      <c r="BJ892" s="47"/>
      <c r="BK892" s="47"/>
      <c r="BL892" s="47"/>
      <c r="BM892" s="47"/>
      <c r="BN892" s="47"/>
      <c r="BO892" s="47"/>
      <c r="BP892" s="47"/>
      <c r="BQ892" s="47"/>
      <c r="BR892" s="47"/>
      <c r="BS892" s="47"/>
      <c r="BT892" s="47"/>
    </row>
    <row r="893">
      <c r="A893" s="24"/>
      <c r="B893" s="48"/>
      <c r="C893" s="49"/>
      <c r="D893" s="24"/>
      <c r="E893" s="52"/>
      <c r="F893" s="53"/>
      <c r="G893" s="48"/>
      <c r="H893" s="49"/>
      <c r="I893" s="49"/>
      <c r="J893" s="48"/>
      <c r="K893" s="48"/>
      <c r="L893" s="48"/>
      <c r="M893" s="48"/>
      <c r="N893" s="48"/>
      <c r="O893" s="48"/>
      <c r="P893" s="48"/>
      <c r="Q893" s="48"/>
      <c r="R893" s="48"/>
      <c r="S893" s="48"/>
      <c r="T893" s="48"/>
      <c r="U893" s="48"/>
      <c r="V893" s="48"/>
      <c r="W893" s="49"/>
      <c r="X893" s="49"/>
      <c r="Y893" s="49"/>
      <c r="Z893" s="49"/>
      <c r="AA893" s="49"/>
      <c r="AB893" s="49"/>
      <c r="AC893" s="49"/>
      <c r="AD893" s="49"/>
      <c r="AE893" s="49"/>
      <c r="AF893" s="49"/>
      <c r="AG893" s="49"/>
      <c r="AH893" s="49"/>
      <c r="AI893" s="48"/>
      <c r="AJ893" s="48"/>
      <c r="AK893" s="24"/>
      <c r="AL893" s="50"/>
      <c r="AM893" s="50"/>
      <c r="AN893" s="50"/>
      <c r="AO893" s="50"/>
      <c r="AP893" s="50"/>
      <c r="AQ893" s="50"/>
      <c r="AR893" s="50"/>
      <c r="AS893" s="50"/>
      <c r="AT893" s="51"/>
      <c r="AU893" s="51"/>
      <c r="AV893" s="51"/>
      <c r="AW893" s="51"/>
      <c r="AX893" s="50"/>
      <c r="AY893" s="50"/>
      <c r="AZ893" s="50"/>
      <c r="BA893" s="50"/>
      <c r="BB893" s="51"/>
      <c r="BC893" s="51"/>
      <c r="BD893" s="51"/>
      <c r="BE893" s="51"/>
      <c r="BF893" s="47"/>
      <c r="BG893" s="47"/>
      <c r="BH893" s="47"/>
      <c r="BI893" s="47"/>
      <c r="BJ893" s="47"/>
      <c r="BK893" s="47"/>
      <c r="BL893" s="47"/>
      <c r="BM893" s="47"/>
      <c r="BN893" s="47"/>
      <c r="BO893" s="47"/>
      <c r="BP893" s="47"/>
      <c r="BQ893" s="47"/>
      <c r="BR893" s="47"/>
      <c r="BS893" s="47"/>
      <c r="BT893" s="47"/>
    </row>
    <row r="894">
      <c r="A894" s="24"/>
      <c r="B894" s="48"/>
      <c r="C894" s="49"/>
      <c r="D894" s="24"/>
      <c r="E894" s="52"/>
      <c r="F894" s="53"/>
      <c r="G894" s="48"/>
      <c r="H894" s="49"/>
      <c r="I894" s="49"/>
      <c r="J894" s="48"/>
      <c r="K894" s="48"/>
      <c r="L894" s="48"/>
      <c r="M894" s="48"/>
      <c r="N894" s="48"/>
      <c r="O894" s="48"/>
      <c r="P894" s="48"/>
      <c r="Q894" s="48"/>
      <c r="R894" s="48"/>
      <c r="S894" s="48"/>
      <c r="T894" s="48"/>
      <c r="U894" s="48"/>
      <c r="V894" s="48"/>
      <c r="W894" s="49"/>
      <c r="X894" s="49"/>
      <c r="Y894" s="49"/>
      <c r="Z894" s="49"/>
      <c r="AA894" s="49"/>
      <c r="AB894" s="49"/>
      <c r="AC894" s="49"/>
      <c r="AD894" s="49"/>
      <c r="AE894" s="49"/>
      <c r="AF894" s="49"/>
      <c r="AG894" s="49"/>
      <c r="AH894" s="49"/>
      <c r="AI894" s="48"/>
      <c r="AJ894" s="48"/>
      <c r="AK894" s="24"/>
      <c r="AL894" s="50"/>
      <c r="AM894" s="50"/>
      <c r="AN894" s="50"/>
      <c r="AO894" s="50"/>
      <c r="AP894" s="50"/>
      <c r="AQ894" s="50"/>
      <c r="AR894" s="50"/>
      <c r="AS894" s="50"/>
      <c r="AT894" s="51"/>
      <c r="AU894" s="51"/>
      <c r="AV894" s="51"/>
      <c r="AW894" s="51"/>
      <c r="AX894" s="50"/>
      <c r="AY894" s="50"/>
      <c r="AZ894" s="50"/>
      <c r="BA894" s="50"/>
      <c r="BB894" s="51"/>
      <c r="BC894" s="51"/>
      <c r="BD894" s="51"/>
      <c r="BE894" s="51"/>
      <c r="BF894" s="47"/>
      <c r="BG894" s="47"/>
      <c r="BH894" s="47"/>
      <c r="BI894" s="47"/>
      <c r="BJ894" s="47"/>
      <c r="BK894" s="47"/>
      <c r="BL894" s="47"/>
      <c r="BM894" s="47"/>
      <c r="BN894" s="47"/>
      <c r="BO894" s="47"/>
      <c r="BP894" s="47"/>
      <c r="BQ894" s="47"/>
      <c r="BR894" s="47"/>
      <c r="BS894" s="47"/>
      <c r="BT894" s="47"/>
    </row>
    <row r="895">
      <c r="A895" s="24"/>
      <c r="B895" s="48"/>
      <c r="C895" s="49"/>
      <c r="D895" s="24"/>
      <c r="E895" s="52"/>
      <c r="F895" s="53"/>
      <c r="G895" s="48"/>
      <c r="H895" s="49"/>
      <c r="I895" s="49"/>
      <c r="J895" s="48"/>
      <c r="K895" s="48"/>
      <c r="L895" s="48"/>
      <c r="M895" s="48"/>
      <c r="N895" s="48"/>
      <c r="O895" s="48"/>
      <c r="P895" s="48"/>
      <c r="Q895" s="48"/>
      <c r="R895" s="48"/>
      <c r="S895" s="48"/>
      <c r="T895" s="48"/>
      <c r="U895" s="48"/>
      <c r="V895" s="48"/>
      <c r="W895" s="49"/>
      <c r="X895" s="49"/>
      <c r="Y895" s="49"/>
      <c r="Z895" s="49"/>
      <c r="AA895" s="49"/>
      <c r="AB895" s="49"/>
      <c r="AC895" s="49"/>
      <c r="AD895" s="49"/>
      <c r="AE895" s="49"/>
      <c r="AF895" s="49"/>
      <c r="AG895" s="49"/>
      <c r="AH895" s="49"/>
      <c r="AI895" s="48"/>
      <c r="AJ895" s="48"/>
      <c r="AK895" s="24"/>
      <c r="AL895" s="50"/>
      <c r="AM895" s="50"/>
      <c r="AN895" s="50"/>
      <c r="AO895" s="50"/>
      <c r="AP895" s="50"/>
      <c r="AQ895" s="50"/>
      <c r="AR895" s="50"/>
      <c r="AS895" s="50"/>
      <c r="AT895" s="51"/>
      <c r="AU895" s="51"/>
      <c r="AV895" s="51"/>
      <c r="AW895" s="51"/>
      <c r="AX895" s="50"/>
      <c r="AY895" s="50"/>
      <c r="AZ895" s="50"/>
      <c r="BA895" s="50"/>
      <c r="BB895" s="51"/>
      <c r="BC895" s="51"/>
      <c r="BD895" s="51"/>
      <c r="BE895" s="51"/>
      <c r="BF895" s="47"/>
      <c r="BG895" s="47"/>
      <c r="BH895" s="47"/>
      <c r="BI895" s="47"/>
      <c r="BJ895" s="47"/>
      <c r="BK895" s="47"/>
      <c r="BL895" s="47"/>
      <c r="BM895" s="47"/>
      <c r="BN895" s="47"/>
      <c r="BO895" s="47"/>
      <c r="BP895" s="47"/>
      <c r="BQ895" s="47"/>
      <c r="BR895" s="47"/>
      <c r="BS895" s="47"/>
      <c r="BT895" s="47"/>
    </row>
    <row r="896">
      <c r="A896" s="24"/>
      <c r="B896" s="48"/>
      <c r="C896" s="49"/>
      <c r="D896" s="24"/>
      <c r="E896" s="52"/>
      <c r="F896" s="53"/>
      <c r="G896" s="48"/>
      <c r="H896" s="49"/>
      <c r="I896" s="49"/>
      <c r="J896" s="48"/>
      <c r="K896" s="48"/>
      <c r="L896" s="48"/>
      <c r="M896" s="48"/>
      <c r="N896" s="48"/>
      <c r="O896" s="48"/>
      <c r="P896" s="48"/>
      <c r="Q896" s="48"/>
      <c r="R896" s="48"/>
      <c r="S896" s="48"/>
      <c r="T896" s="48"/>
      <c r="U896" s="48"/>
      <c r="V896" s="48"/>
      <c r="W896" s="49"/>
      <c r="X896" s="49"/>
      <c r="Y896" s="49"/>
      <c r="Z896" s="49"/>
      <c r="AA896" s="49"/>
      <c r="AB896" s="49"/>
      <c r="AC896" s="49"/>
      <c r="AD896" s="49"/>
      <c r="AE896" s="49"/>
      <c r="AF896" s="49"/>
      <c r="AG896" s="49"/>
      <c r="AH896" s="49"/>
      <c r="AI896" s="48"/>
      <c r="AJ896" s="48"/>
      <c r="AK896" s="24"/>
      <c r="AL896" s="50"/>
      <c r="AM896" s="50"/>
      <c r="AN896" s="50"/>
      <c r="AO896" s="50"/>
      <c r="AP896" s="50"/>
      <c r="AQ896" s="50"/>
      <c r="AR896" s="50"/>
      <c r="AS896" s="50"/>
      <c r="AT896" s="51"/>
      <c r="AU896" s="51"/>
      <c r="AV896" s="51"/>
      <c r="AW896" s="51"/>
      <c r="AX896" s="50"/>
      <c r="AY896" s="50"/>
      <c r="AZ896" s="50"/>
      <c r="BA896" s="50"/>
      <c r="BB896" s="51"/>
      <c r="BC896" s="51"/>
      <c r="BD896" s="51"/>
      <c r="BE896" s="51"/>
      <c r="BF896" s="47"/>
      <c r="BG896" s="47"/>
      <c r="BH896" s="47"/>
      <c r="BI896" s="47"/>
      <c r="BJ896" s="47"/>
      <c r="BK896" s="47"/>
      <c r="BL896" s="47"/>
      <c r="BM896" s="47"/>
      <c r="BN896" s="47"/>
      <c r="BO896" s="47"/>
      <c r="BP896" s="47"/>
      <c r="BQ896" s="47"/>
      <c r="BR896" s="47"/>
      <c r="BS896" s="47"/>
      <c r="BT896" s="47"/>
    </row>
    <row r="897">
      <c r="A897" s="24"/>
      <c r="B897" s="48"/>
      <c r="C897" s="49"/>
      <c r="D897" s="24"/>
      <c r="E897" s="52"/>
      <c r="F897" s="53"/>
      <c r="G897" s="48"/>
      <c r="H897" s="49"/>
      <c r="I897" s="49"/>
      <c r="J897" s="48"/>
      <c r="K897" s="48"/>
      <c r="L897" s="48"/>
      <c r="M897" s="48"/>
      <c r="N897" s="48"/>
      <c r="O897" s="48"/>
      <c r="P897" s="48"/>
      <c r="Q897" s="48"/>
      <c r="R897" s="48"/>
      <c r="S897" s="48"/>
      <c r="T897" s="48"/>
      <c r="U897" s="48"/>
      <c r="V897" s="48"/>
      <c r="W897" s="49"/>
      <c r="X897" s="49"/>
      <c r="Y897" s="49"/>
      <c r="Z897" s="49"/>
      <c r="AA897" s="49"/>
      <c r="AB897" s="49"/>
      <c r="AC897" s="49"/>
      <c r="AD897" s="49"/>
      <c r="AE897" s="49"/>
      <c r="AF897" s="49"/>
      <c r="AG897" s="49"/>
      <c r="AH897" s="49"/>
      <c r="AI897" s="48"/>
      <c r="AJ897" s="48"/>
      <c r="AK897" s="24"/>
      <c r="AL897" s="50"/>
      <c r="AM897" s="50"/>
      <c r="AN897" s="50"/>
      <c r="AO897" s="50"/>
      <c r="AP897" s="50"/>
      <c r="AQ897" s="50"/>
      <c r="AR897" s="50"/>
      <c r="AS897" s="50"/>
      <c r="AT897" s="51"/>
      <c r="AU897" s="51"/>
      <c r="AV897" s="51"/>
      <c r="AW897" s="51"/>
      <c r="AX897" s="50"/>
      <c r="AY897" s="50"/>
      <c r="AZ897" s="50"/>
      <c r="BA897" s="50"/>
      <c r="BB897" s="51"/>
      <c r="BC897" s="51"/>
      <c r="BD897" s="51"/>
      <c r="BE897" s="51"/>
      <c r="BF897" s="47"/>
      <c r="BG897" s="47"/>
      <c r="BH897" s="47"/>
      <c r="BI897" s="47"/>
      <c r="BJ897" s="47"/>
      <c r="BK897" s="47"/>
      <c r="BL897" s="47"/>
      <c r="BM897" s="47"/>
      <c r="BN897" s="47"/>
      <c r="BO897" s="47"/>
      <c r="BP897" s="47"/>
      <c r="BQ897" s="47"/>
      <c r="BR897" s="47"/>
      <c r="BS897" s="47"/>
      <c r="BT897" s="47"/>
    </row>
    <row r="898">
      <c r="A898" s="24"/>
      <c r="B898" s="48"/>
      <c r="C898" s="49"/>
      <c r="D898" s="24"/>
      <c r="E898" s="52"/>
      <c r="F898" s="53"/>
      <c r="G898" s="48"/>
      <c r="H898" s="49"/>
      <c r="I898" s="49"/>
      <c r="J898" s="48"/>
      <c r="K898" s="48"/>
      <c r="L898" s="48"/>
      <c r="M898" s="48"/>
      <c r="N898" s="48"/>
      <c r="O898" s="48"/>
      <c r="P898" s="48"/>
      <c r="Q898" s="48"/>
      <c r="R898" s="48"/>
      <c r="S898" s="48"/>
      <c r="T898" s="48"/>
      <c r="U898" s="48"/>
      <c r="V898" s="48"/>
      <c r="W898" s="49"/>
      <c r="X898" s="49"/>
      <c r="Y898" s="49"/>
      <c r="Z898" s="49"/>
      <c r="AA898" s="49"/>
      <c r="AB898" s="49"/>
      <c r="AC898" s="49"/>
      <c r="AD898" s="49"/>
      <c r="AE898" s="49"/>
      <c r="AF898" s="49"/>
      <c r="AG898" s="49"/>
      <c r="AH898" s="49"/>
      <c r="AI898" s="48"/>
      <c r="AJ898" s="48"/>
      <c r="AK898" s="24"/>
      <c r="AL898" s="50"/>
      <c r="AM898" s="50"/>
      <c r="AN898" s="50"/>
      <c r="AO898" s="50"/>
      <c r="AP898" s="50"/>
      <c r="AQ898" s="50"/>
      <c r="AR898" s="50"/>
      <c r="AS898" s="50"/>
      <c r="AT898" s="51"/>
      <c r="AU898" s="51"/>
      <c r="AV898" s="51"/>
      <c r="AW898" s="51"/>
      <c r="AX898" s="50"/>
      <c r="AY898" s="50"/>
      <c r="AZ898" s="50"/>
      <c r="BA898" s="50"/>
      <c r="BB898" s="51"/>
      <c r="BC898" s="51"/>
      <c r="BD898" s="51"/>
      <c r="BE898" s="51"/>
      <c r="BF898" s="47"/>
      <c r="BG898" s="47"/>
      <c r="BH898" s="47"/>
      <c r="BI898" s="47"/>
      <c r="BJ898" s="47"/>
      <c r="BK898" s="47"/>
      <c r="BL898" s="47"/>
      <c r="BM898" s="47"/>
      <c r="BN898" s="47"/>
      <c r="BO898" s="47"/>
      <c r="BP898" s="47"/>
      <c r="BQ898" s="47"/>
      <c r="BR898" s="47"/>
      <c r="BS898" s="47"/>
      <c r="BT898" s="47"/>
    </row>
    <row r="899">
      <c r="A899" s="24"/>
      <c r="B899" s="48"/>
      <c r="C899" s="49"/>
      <c r="D899" s="24"/>
      <c r="E899" s="52"/>
      <c r="F899" s="53"/>
      <c r="G899" s="48"/>
      <c r="H899" s="49"/>
      <c r="I899" s="49"/>
      <c r="J899" s="48"/>
      <c r="K899" s="48"/>
      <c r="L899" s="48"/>
      <c r="M899" s="48"/>
      <c r="N899" s="48"/>
      <c r="O899" s="48"/>
      <c r="P899" s="48"/>
      <c r="Q899" s="48"/>
      <c r="R899" s="48"/>
      <c r="S899" s="48"/>
      <c r="T899" s="48"/>
      <c r="U899" s="48"/>
      <c r="V899" s="48"/>
      <c r="W899" s="49"/>
      <c r="X899" s="49"/>
      <c r="Y899" s="49"/>
      <c r="Z899" s="49"/>
      <c r="AA899" s="49"/>
      <c r="AB899" s="49"/>
      <c r="AC899" s="49"/>
      <c r="AD899" s="49"/>
      <c r="AE899" s="49"/>
      <c r="AF899" s="49"/>
      <c r="AG899" s="49"/>
      <c r="AH899" s="49"/>
      <c r="AI899" s="48"/>
      <c r="AJ899" s="48"/>
      <c r="AK899" s="24"/>
      <c r="AL899" s="50"/>
      <c r="AM899" s="50"/>
      <c r="AN899" s="50"/>
      <c r="AO899" s="50"/>
      <c r="AP899" s="50"/>
      <c r="AQ899" s="50"/>
      <c r="AR899" s="50"/>
      <c r="AS899" s="50"/>
      <c r="AT899" s="51"/>
      <c r="AU899" s="51"/>
      <c r="AV899" s="51"/>
      <c r="AW899" s="51"/>
      <c r="AX899" s="50"/>
      <c r="AY899" s="50"/>
      <c r="AZ899" s="50"/>
      <c r="BA899" s="50"/>
      <c r="BB899" s="51"/>
      <c r="BC899" s="51"/>
      <c r="BD899" s="51"/>
      <c r="BE899" s="51"/>
      <c r="BF899" s="47"/>
      <c r="BG899" s="47"/>
      <c r="BH899" s="47"/>
      <c r="BI899" s="47"/>
      <c r="BJ899" s="47"/>
      <c r="BK899" s="47"/>
      <c r="BL899" s="47"/>
      <c r="BM899" s="47"/>
      <c r="BN899" s="47"/>
      <c r="BO899" s="47"/>
      <c r="BP899" s="47"/>
      <c r="BQ899" s="47"/>
      <c r="BR899" s="47"/>
      <c r="BS899" s="47"/>
      <c r="BT899" s="47"/>
    </row>
    <row r="900">
      <c r="A900" s="24"/>
      <c r="B900" s="48"/>
      <c r="C900" s="49"/>
      <c r="D900" s="24"/>
      <c r="E900" s="52"/>
      <c r="F900" s="53"/>
      <c r="G900" s="48"/>
      <c r="H900" s="49"/>
      <c r="I900" s="49"/>
      <c r="J900" s="48"/>
      <c r="K900" s="48"/>
      <c r="L900" s="48"/>
      <c r="M900" s="48"/>
      <c r="N900" s="48"/>
      <c r="O900" s="48"/>
      <c r="P900" s="48"/>
      <c r="Q900" s="48"/>
      <c r="R900" s="48"/>
      <c r="S900" s="48"/>
      <c r="T900" s="48"/>
      <c r="U900" s="48"/>
      <c r="V900" s="48"/>
      <c r="W900" s="49"/>
      <c r="X900" s="49"/>
      <c r="Y900" s="49"/>
      <c r="Z900" s="49"/>
      <c r="AA900" s="49"/>
      <c r="AB900" s="49"/>
      <c r="AC900" s="49"/>
      <c r="AD900" s="49"/>
      <c r="AE900" s="49"/>
      <c r="AF900" s="49"/>
      <c r="AG900" s="49"/>
      <c r="AH900" s="49"/>
      <c r="AI900" s="48"/>
      <c r="AJ900" s="48"/>
      <c r="AK900" s="24"/>
      <c r="AL900" s="50"/>
      <c r="AM900" s="50"/>
      <c r="AN900" s="50"/>
      <c r="AO900" s="50"/>
      <c r="AP900" s="50"/>
      <c r="AQ900" s="50"/>
      <c r="AR900" s="50"/>
      <c r="AS900" s="50"/>
      <c r="AT900" s="51"/>
      <c r="AU900" s="51"/>
      <c r="AV900" s="51"/>
      <c r="AW900" s="51"/>
      <c r="AX900" s="50"/>
      <c r="AY900" s="50"/>
      <c r="AZ900" s="50"/>
      <c r="BA900" s="50"/>
      <c r="BB900" s="51"/>
      <c r="BC900" s="51"/>
      <c r="BD900" s="51"/>
      <c r="BE900" s="51"/>
      <c r="BF900" s="47"/>
      <c r="BG900" s="47"/>
      <c r="BH900" s="47"/>
      <c r="BI900" s="47"/>
      <c r="BJ900" s="47"/>
      <c r="BK900" s="47"/>
      <c r="BL900" s="47"/>
      <c r="BM900" s="47"/>
      <c r="BN900" s="47"/>
      <c r="BO900" s="47"/>
      <c r="BP900" s="47"/>
      <c r="BQ900" s="47"/>
      <c r="BR900" s="47"/>
      <c r="BS900" s="47"/>
      <c r="BT900" s="47"/>
    </row>
    <row r="901">
      <c r="A901" s="24"/>
      <c r="B901" s="48"/>
      <c r="C901" s="49"/>
      <c r="D901" s="24"/>
      <c r="E901" s="52"/>
      <c r="F901" s="53"/>
      <c r="G901" s="48"/>
      <c r="H901" s="49"/>
      <c r="I901" s="49"/>
      <c r="J901" s="48"/>
      <c r="K901" s="48"/>
      <c r="L901" s="48"/>
      <c r="M901" s="48"/>
      <c r="N901" s="48"/>
      <c r="O901" s="48"/>
      <c r="P901" s="48"/>
      <c r="Q901" s="48"/>
      <c r="R901" s="48"/>
      <c r="S901" s="48"/>
      <c r="T901" s="48"/>
      <c r="U901" s="48"/>
      <c r="V901" s="48"/>
      <c r="W901" s="49"/>
      <c r="X901" s="49"/>
      <c r="Y901" s="49"/>
      <c r="Z901" s="49"/>
      <c r="AA901" s="49"/>
      <c r="AB901" s="49"/>
      <c r="AC901" s="49"/>
      <c r="AD901" s="49"/>
      <c r="AE901" s="49"/>
      <c r="AF901" s="49"/>
      <c r="AG901" s="49"/>
      <c r="AH901" s="49"/>
      <c r="AI901" s="48"/>
      <c r="AJ901" s="48"/>
      <c r="AK901" s="24"/>
      <c r="AL901" s="50"/>
      <c r="AM901" s="50"/>
      <c r="AN901" s="50"/>
      <c r="AO901" s="50"/>
      <c r="AP901" s="50"/>
      <c r="AQ901" s="50"/>
      <c r="AR901" s="50"/>
      <c r="AS901" s="50"/>
      <c r="AT901" s="51"/>
      <c r="AU901" s="51"/>
      <c r="AV901" s="51"/>
      <c r="AW901" s="51"/>
      <c r="AX901" s="50"/>
      <c r="AY901" s="50"/>
      <c r="AZ901" s="50"/>
      <c r="BA901" s="50"/>
      <c r="BB901" s="51"/>
      <c r="BC901" s="51"/>
      <c r="BD901" s="51"/>
      <c r="BE901" s="51"/>
      <c r="BF901" s="47"/>
      <c r="BG901" s="47"/>
      <c r="BH901" s="47"/>
      <c r="BI901" s="47"/>
      <c r="BJ901" s="47"/>
      <c r="BK901" s="47"/>
      <c r="BL901" s="47"/>
      <c r="BM901" s="47"/>
      <c r="BN901" s="47"/>
      <c r="BO901" s="47"/>
      <c r="BP901" s="47"/>
      <c r="BQ901" s="47"/>
      <c r="BR901" s="47"/>
      <c r="BS901" s="47"/>
      <c r="BT901" s="47"/>
    </row>
    <row r="902">
      <c r="A902" s="24"/>
      <c r="B902" s="48"/>
      <c r="C902" s="49"/>
      <c r="D902" s="24"/>
      <c r="E902" s="52"/>
      <c r="F902" s="53"/>
      <c r="G902" s="48"/>
      <c r="H902" s="49"/>
      <c r="I902" s="49"/>
      <c r="J902" s="48"/>
      <c r="K902" s="48"/>
      <c r="L902" s="48"/>
      <c r="M902" s="48"/>
      <c r="N902" s="48"/>
      <c r="O902" s="48"/>
      <c r="P902" s="48"/>
      <c r="Q902" s="48"/>
      <c r="R902" s="48"/>
      <c r="S902" s="48"/>
      <c r="T902" s="48"/>
      <c r="U902" s="48"/>
      <c r="V902" s="48"/>
      <c r="W902" s="49"/>
      <c r="X902" s="49"/>
      <c r="Y902" s="49"/>
      <c r="Z902" s="49"/>
      <c r="AA902" s="49"/>
      <c r="AB902" s="49"/>
      <c r="AC902" s="49"/>
      <c r="AD902" s="49"/>
      <c r="AE902" s="49"/>
      <c r="AF902" s="49"/>
      <c r="AG902" s="49"/>
      <c r="AH902" s="49"/>
      <c r="AI902" s="48"/>
      <c r="AJ902" s="48"/>
      <c r="AK902" s="24"/>
      <c r="AL902" s="50"/>
      <c r="AM902" s="50"/>
      <c r="AN902" s="50"/>
      <c r="AO902" s="50"/>
      <c r="AP902" s="50"/>
      <c r="AQ902" s="50"/>
      <c r="AR902" s="50"/>
      <c r="AS902" s="50"/>
      <c r="AT902" s="51"/>
      <c r="AU902" s="51"/>
      <c r="AV902" s="51"/>
      <c r="AW902" s="51"/>
      <c r="AX902" s="50"/>
      <c r="AY902" s="50"/>
      <c r="AZ902" s="50"/>
      <c r="BA902" s="50"/>
      <c r="BB902" s="51"/>
      <c r="BC902" s="51"/>
      <c r="BD902" s="51"/>
      <c r="BE902" s="51"/>
      <c r="BF902" s="47"/>
      <c r="BG902" s="47"/>
      <c r="BH902" s="47"/>
      <c r="BI902" s="47"/>
      <c r="BJ902" s="47"/>
      <c r="BK902" s="47"/>
      <c r="BL902" s="47"/>
      <c r="BM902" s="47"/>
      <c r="BN902" s="47"/>
      <c r="BO902" s="47"/>
      <c r="BP902" s="47"/>
      <c r="BQ902" s="47"/>
      <c r="BR902" s="47"/>
      <c r="BS902" s="47"/>
      <c r="BT902" s="47"/>
    </row>
    <row r="903">
      <c r="A903" s="24"/>
      <c r="B903" s="48"/>
      <c r="C903" s="49"/>
      <c r="D903" s="24"/>
      <c r="E903" s="52"/>
      <c r="F903" s="53"/>
      <c r="G903" s="48"/>
      <c r="H903" s="49"/>
      <c r="I903" s="49"/>
      <c r="J903" s="48"/>
      <c r="K903" s="48"/>
      <c r="L903" s="48"/>
      <c r="M903" s="48"/>
      <c r="N903" s="48"/>
      <c r="O903" s="48"/>
      <c r="P903" s="48"/>
      <c r="Q903" s="48"/>
      <c r="R903" s="48"/>
      <c r="S903" s="48"/>
      <c r="T903" s="48"/>
      <c r="U903" s="48"/>
      <c r="V903" s="48"/>
      <c r="W903" s="49"/>
      <c r="X903" s="49"/>
      <c r="Y903" s="49"/>
      <c r="Z903" s="49"/>
      <c r="AA903" s="49"/>
      <c r="AB903" s="49"/>
      <c r="AC903" s="49"/>
      <c r="AD903" s="49"/>
      <c r="AE903" s="49"/>
      <c r="AF903" s="49"/>
      <c r="AG903" s="49"/>
      <c r="AH903" s="49"/>
      <c r="AI903" s="48"/>
      <c r="AJ903" s="48"/>
      <c r="AK903" s="24"/>
      <c r="AL903" s="50"/>
      <c r="AM903" s="50"/>
      <c r="AN903" s="50"/>
      <c r="AO903" s="50"/>
      <c r="AP903" s="50"/>
      <c r="AQ903" s="50"/>
      <c r="AR903" s="50"/>
      <c r="AS903" s="50"/>
      <c r="AT903" s="51"/>
      <c r="AU903" s="51"/>
      <c r="AV903" s="51"/>
      <c r="AW903" s="51"/>
      <c r="AX903" s="50"/>
      <c r="AY903" s="50"/>
      <c r="AZ903" s="50"/>
      <c r="BA903" s="50"/>
      <c r="BB903" s="51"/>
      <c r="BC903" s="51"/>
      <c r="BD903" s="51"/>
      <c r="BE903" s="51"/>
      <c r="BF903" s="47"/>
      <c r="BG903" s="47"/>
      <c r="BH903" s="47"/>
      <c r="BI903" s="47"/>
      <c r="BJ903" s="47"/>
      <c r="BK903" s="47"/>
      <c r="BL903" s="47"/>
      <c r="BM903" s="47"/>
      <c r="BN903" s="47"/>
      <c r="BO903" s="47"/>
      <c r="BP903" s="47"/>
      <c r="BQ903" s="47"/>
      <c r="BR903" s="47"/>
      <c r="BS903" s="47"/>
      <c r="BT903" s="47"/>
    </row>
    <row r="904">
      <c r="A904" s="24"/>
      <c r="B904" s="48"/>
      <c r="C904" s="49"/>
      <c r="D904" s="24"/>
      <c r="E904" s="52"/>
      <c r="F904" s="53"/>
      <c r="G904" s="48"/>
      <c r="H904" s="49"/>
      <c r="I904" s="49"/>
      <c r="J904" s="48"/>
      <c r="K904" s="48"/>
      <c r="L904" s="48"/>
      <c r="M904" s="48"/>
      <c r="N904" s="48"/>
      <c r="O904" s="48"/>
      <c r="P904" s="48"/>
      <c r="Q904" s="48"/>
      <c r="R904" s="48"/>
      <c r="S904" s="48"/>
      <c r="T904" s="48"/>
      <c r="U904" s="48"/>
      <c r="V904" s="48"/>
      <c r="W904" s="49"/>
      <c r="X904" s="49"/>
      <c r="Y904" s="49"/>
      <c r="Z904" s="49"/>
      <c r="AA904" s="49"/>
      <c r="AB904" s="49"/>
      <c r="AC904" s="49"/>
      <c r="AD904" s="49"/>
      <c r="AE904" s="49"/>
      <c r="AF904" s="49"/>
      <c r="AG904" s="49"/>
      <c r="AH904" s="49"/>
      <c r="AI904" s="48"/>
      <c r="AJ904" s="48"/>
      <c r="AK904" s="24"/>
      <c r="AL904" s="50"/>
      <c r="AM904" s="50"/>
      <c r="AN904" s="50"/>
      <c r="AO904" s="50"/>
      <c r="AP904" s="50"/>
      <c r="AQ904" s="50"/>
      <c r="AR904" s="50"/>
      <c r="AS904" s="50"/>
      <c r="AT904" s="51"/>
      <c r="AU904" s="51"/>
      <c r="AV904" s="51"/>
      <c r="AW904" s="51"/>
      <c r="AX904" s="50"/>
      <c r="AY904" s="50"/>
      <c r="AZ904" s="50"/>
      <c r="BA904" s="50"/>
      <c r="BB904" s="51"/>
      <c r="BC904" s="51"/>
      <c r="BD904" s="51"/>
      <c r="BE904" s="51"/>
      <c r="BF904" s="47"/>
      <c r="BG904" s="47"/>
      <c r="BH904" s="47"/>
      <c r="BI904" s="47"/>
      <c r="BJ904" s="47"/>
      <c r="BK904" s="47"/>
      <c r="BL904" s="47"/>
      <c r="BM904" s="47"/>
      <c r="BN904" s="47"/>
      <c r="BO904" s="47"/>
      <c r="BP904" s="47"/>
      <c r="BQ904" s="47"/>
      <c r="BR904" s="47"/>
      <c r="BS904" s="47"/>
      <c r="BT904" s="47"/>
    </row>
    <row r="905">
      <c r="A905" s="24"/>
      <c r="B905" s="48"/>
      <c r="C905" s="49"/>
      <c r="D905" s="24"/>
      <c r="E905" s="52"/>
      <c r="F905" s="53"/>
      <c r="G905" s="48"/>
      <c r="H905" s="49"/>
      <c r="I905" s="49"/>
      <c r="J905" s="48"/>
      <c r="K905" s="48"/>
      <c r="L905" s="48"/>
      <c r="M905" s="48"/>
      <c r="N905" s="48"/>
      <c r="O905" s="48"/>
      <c r="P905" s="48"/>
      <c r="Q905" s="48"/>
      <c r="R905" s="48"/>
      <c r="S905" s="48"/>
      <c r="T905" s="48"/>
      <c r="U905" s="48"/>
      <c r="V905" s="48"/>
      <c r="W905" s="49"/>
      <c r="X905" s="49"/>
      <c r="Y905" s="49"/>
      <c r="Z905" s="49"/>
      <c r="AA905" s="49"/>
      <c r="AB905" s="49"/>
      <c r="AC905" s="49"/>
      <c r="AD905" s="49"/>
      <c r="AE905" s="49"/>
      <c r="AF905" s="49"/>
      <c r="AG905" s="49"/>
      <c r="AH905" s="49"/>
      <c r="AI905" s="48"/>
      <c r="AJ905" s="48"/>
      <c r="AK905" s="24"/>
      <c r="AL905" s="50"/>
      <c r="AM905" s="50"/>
      <c r="AN905" s="50"/>
      <c r="AO905" s="50"/>
      <c r="AP905" s="50"/>
      <c r="AQ905" s="50"/>
      <c r="AR905" s="50"/>
      <c r="AS905" s="50"/>
      <c r="AT905" s="51"/>
      <c r="AU905" s="51"/>
      <c r="AV905" s="51"/>
      <c r="AW905" s="51"/>
      <c r="AX905" s="50"/>
      <c r="AY905" s="50"/>
      <c r="AZ905" s="50"/>
      <c r="BA905" s="50"/>
      <c r="BB905" s="51"/>
      <c r="BC905" s="51"/>
      <c r="BD905" s="51"/>
      <c r="BE905" s="51"/>
      <c r="BF905" s="47"/>
      <c r="BG905" s="47"/>
      <c r="BH905" s="47"/>
      <c r="BI905" s="47"/>
      <c r="BJ905" s="47"/>
      <c r="BK905" s="47"/>
      <c r="BL905" s="47"/>
      <c r="BM905" s="47"/>
      <c r="BN905" s="47"/>
      <c r="BO905" s="47"/>
      <c r="BP905" s="47"/>
      <c r="BQ905" s="47"/>
      <c r="BR905" s="47"/>
      <c r="BS905" s="47"/>
      <c r="BT905" s="47"/>
    </row>
    <row r="906">
      <c r="A906" s="24"/>
      <c r="B906" s="48"/>
      <c r="C906" s="49"/>
      <c r="D906" s="24"/>
      <c r="E906" s="52"/>
      <c r="F906" s="53"/>
      <c r="G906" s="48"/>
      <c r="H906" s="49"/>
      <c r="I906" s="49"/>
      <c r="J906" s="48"/>
      <c r="K906" s="48"/>
      <c r="L906" s="48"/>
      <c r="M906" s="48"/>
      <c r="N906" s="48"/>
      <c r="O906" s="48"/>
      <c r="P906" s="48"/>
      <c r="Q906" s="48"/>
      <c r="R906" s="48"/>
      <c r="S906" s="48"/>
      <c r="T906" s="48"/>
      <c r="U906" s="48"/>
      <c r="V906" s="48"/>
      <c r="W906" s="49"/>
      <c r="X906" s="49"/>
      <c r="Y906" s="49"/>
      <c r="Z906" s="49"/>
      <c r="AA906" s="49"/>
      <c r="AB906" s="49"/>
      <c r="AC906" s="49"/>
      <c r="AD906" s="49"/>
      <c r="AE906" s="49"/>
      <c r="AF906" s="49"/>
      <c r="AG906" s="49"/>
      <c r="AH906" s="49"/>
      <c r="AI906" s="48"/>
      <c r="AJ906" s="48"/>
      <c r="AK906" s="24"/>
      <c r="AL906" s="50"/>
      <c r="AM906" s="50"/>
      <c r="AN906" s="50"/>
      <c r="AO906" s="50"/>
      <c r="AP906" s="50"/>
      <c r="AQ906" s="50"/>
      <c r="AR906" s="50"/>
      <c r="AS906" s="50"/>
      <c r="AT906" s="51"/>
      <c r="AU906" s="51"/>
      <c r="AV906" s="51"/>
      <c r="AW906" s="51"/>
      <c r="AX906" s="50"/>
      <c r="AY906" s="50"/>
      <c r="AZ906" s="50"/>
      <c r="BA906" s="50"/>
      <c r="BB906" s="51"/>
      <c r="BC906" s="51"/>
      <c r="BD906" s="51"/>
      <c r="BE906" s="51"/>
      <c r="BF906" s="47"/>
      <c r="BG906" s="47"/>
      <c r="BH906" s="47"/>
      <c r="BI906" s="47"/>
      <c r="BJ906" s="47"/>
      <c r="BK906" s="47"/>
      <c r="BL906" s="47"/>
      <c r="BM906" s="47"/>
      <c r="BN906" s="47"/>
      <c r="BO906" s="47"/>
      <c r="BP906" s="47"/>
      <c r="BQ906" s="47"/>
      <c r="BR906" s="47"/>
      <c r="BS906" s="47"/>
      <c r="BT906" s="47"/>
    </row>
    <row r="907">
      <c r="A907" s="24"/>
      <c r="B907" s="48"/>
      <c r="C907" s="49"/>
      <c r="D907" s="24"/>
      <c r="E907" s="52"/>
      <c r="F907" s="53"/>
      <c r="G907" s="48"/>
      <c r="H907" s="49"/>
      <c r="I907" s="49"/>
      <c r="J907" s="48"/>
      <c r="K907" s="48"/>
      <c r="L907" s="48"/>
      <c r="M907" s="48"/>
      <c r="N907" s="48"/>
      <c r="O907" s="48"/>
      <c r="P907" s="48"/>
      <c r="Q907" s="48"/>
      <c r="R907" s="48"/>
      <c r="S907" s="48"/>
      <c r="T907" s="48"/>
      <c r="U907" s="48"/>
      <c r="V907" s="48"/>
      <c r="W907" s="49"/>
      <c r="X907" s="49"/>
      <c r="Y907" s="49"/>
      <c r="Z907" s="49"/>
      <c r="AA907" s="49"/>
      <c r="AB907" s="49"/>
      <c r="AC907" s="49"/>
      <c r="AD907" s="49"/>
      <c r="AE907" s="49"/>
      <c r="AF907" s="49"/>
      <c r="AG907" s="49"/>
      <c r="AH907" s="49"/>
      <c r="AI907" s="48"/>
      <c r="AJ907" s="48"/>
      <c r="AK907" s="24"/>
      <c r="AL907" s="50"/>
      <c r="AM907" s="50"/>
      <c r="AN907" s="50"/>
      <c r="AO907" s="50"/>
      <c r="AP907" s="50"/>
      <c r="AQ907" s="50"/>
      <c r="AR907" s="50"/>
      <c r="AS907" s="50"/>
      <c r="AT907" s="51"/>
      <c r="AU907" s="51"/>
      <c r="AV907" s="51"/>
      <c r="AW907" s="51"/>
      <c r="AX907" s="50"/>
      <c r="AY907" s="50"/>
      <c r="AZ907" s="50"/>
      <c r="BA907" s="50"/>
      <c r="BB907" s="51"/>
      <c r="BC907" s="51"/>
      <c r="BD907" s="51"/>
      <c r="BE907" s="51"/>
      <c r="BF907" s="47"/>
      <c r="BG907" s="47"/>
      <c r="BH907" s="47"/>
      <c r="BI907" s="47"/>
      <c r="BJ907" s="47"/>
      <c r="BK907" s="47"/>
      <c r="BL907" s="47"/>
      <c r="BM907" s="47"/>
      <c r="BN907" s="47"/>
      <c r="BO907" s="47"/>
      <c r="BP907" s="47"/>
      <c r="BQ907" s="47"/>
      <c r="BR907" s="47"/>
      <c r="BS907" s="47"/>
      <c r="BT907" s="47"/>
    </row>
    <row r="908">
      <c r="A908" s="24"/>
      <c r="B908" s="48"/>
      <c r="C908" s="49"/>
      <c r="D908" s="24"/>
      <c r="E908" s="52"/>
      <c r="F908" s="53"/>
      <c r="G908" s="48"/>
      <c r="H908" s="49"/>
      <c r="I908" s="49"/>
      <c r="J908" s="48"/>
      <c r="K908" s="48"/>
      <c r="L908" s="48"/>
      <c r="M908" s="48"/>
      <c r="N908" s="48"/>
      <c r="O908" s="48"/>
      <c r="P908" s="48"/>
      <c r="Q908" s="48"/>
      <c r="R908" s="48"/>
      <c r="S908" s="48"/>
      <c r="T908" s="48"/>
      <c r="U908" s="48"/>
      <c r="V908" s="48"/>
      <c r="W908" s="49"/>
      <c r="X908" s="49"/>
      <c r="Y908" s="49"/>
      <c r="Z908" s="49"/>
      <c r="AA908" s="49"/>
      <c r="AB908" s="49"/>
      <c r="AC908" s="49"/>
      <c r="AD908" s="49"/>
      <c r="AE908" s="49"/>
      <c r="AF908" s="49"/>
      <c r="AG908" s="49"/>
      <c r="AH908" s="49"/>
      <c r="AI908" s="48"/>
      <c r="AJ908" s="48"/>
      <c r="AK908" s="24"/>
      <c r="AL908" s="50"/>
      <c r="AM908" s="50"/>
      <c r="AN908" s="50"/>
      <c r="AO908" s="50"/>
      <c r="AP908" s="50"/>
      <c r="AQ908" s="50"/>
      <c r="AR908" s="50"/>
      <c r="AS908" s="50"/>
      <c r="AT908" s="51"/>
      <c r="AU908" s="51"/>
      <c r="AV908" s="51"/>
      <c r="AW908" s="51"/>
      <c r="AX908" s="50"/>
      <c r="AY908" s="50"/>
      <c r="AZ908" s="50"/>
      <c r="BA908" s="50"/>
      <c r="BB908" s="51"/>
      <c r="BC908" s="51"/>
      <c r="BD908" s="51"/>
      <c r="BE908" s="51"/>
      <c r="BF908" s="47"/>
      <c r="BG908" s="47"/>
      <c r="BH908" s="47"/>
      <c r="BI908" s="47"/>
      <c r="BJ908" s="47"/>
      <c r="BK908" s="47"/>
      <c r="BL908" s="47"/>
      <c r="BM908" s="47"/>
      <c r="BN908" s="47"/>
      <c r="BO908" s="47"/>
      <c r="BP908" s="47"/>
      <c r="BQ908" s="47"/>
      <c r="BR908" s="47"/>
      <c r="BS908" s="47"/>
      <c r="BT908" s="47"/>
    </row>
    <row r="909">
      <c r="A909" s="24"/>
      <c r="B909" s="48"/>
      <c r="C909" s="49"/>
      <c r="D909" s="24"/>
      <c r="E909" s="52"/>
      <c r="F909" s="53"/>
      <c r="G909" s="48"/>
      <c r="H909" s="49"/>
      <c r="I909" s="49"/>
      <c r="J909" s="48"/>
      <c r="K909" s="48"/>
      <c r="L909" s="48"/>
      <c r="M909" s="48"/>
      <c r="N909" s="48"/>
      <c r="O909" s="48"/>
      <c r="P909" s="48"/>
      <c r="Q909" s="48"/>
      <c r="R909" s="48"/>
      <c r="S909" s="48"/>
      <c r="T909" s="48"/>
      <c r="U909" s="48"/>
      <c r="V909" s="48"/>
      <c r="W909" s="49"/>
      <c r="X909" s="49"/>
      <c r="Y909" s="49"/>
      <c r="Z909" s="49"/>
      <c r="AA909" s="49"/>
      <c r="AB909" s="49"/>
      <c r="AC909" s="49"/>
      <c r="AD909" s="49"/>
      <c r="AE909" s="49"/>
      <c r="AF909" s="49"/>
      <c r="AG909" s="49"/>
      <c r="AH909" s="49"/>
      <c r="AI909" s="48"/>
      <c r="AJ909" s="48"/>
      <c r="AK909" s="24"/>
      <c r="AL909" s="50"/>
      <c r="AM909" s="50"/>
      <c r="AN909" s="50"/>
      <c r="AO909" s="50"/>
      <c r="AP909" s="50"/>
      <c r="AQ909" s="50"/>
      <c r="AR909" s="50"/>
      <c r="AS909" s="50"/>
      <c r="AT909" s="51"/>
      <c r="AU909" s="51"/>
      <c r="AV909" s="51"/>
      <c r="AW909" s="51"/>
      <c r="AX909" s="50"/>
      <c r="AY909" s="50"/>
      <c r="AZ909" s="50"/>
      <c r="BA909" s="50"/>
      <c r="BB909" s="51"/>
      <c r="BC909" s="51"/>
      <c r="BD909" s="51"/>
      <c r="BE909" s="51"/>
      <c r="BF909" s="47"/>
      <c r="BG909" s="47"/>
      <c r="BH909" s="47"/>
      <c r="BI909" s="47"/>
      <c r="BJ909" s="47"/>
      <c r="BK909" s="47"/>
      <c r="BL909" s="47"/>
      <c r="BM909" s="47"/>
      <c r="BN909" s="47"/>
      <c r="BO909" s="47"/>
      <c r="BP909" s="47"/>
      <c r="BQ909" s="47"/>
      <c r="BR909" s="47"/>
      <c r="BS909" s="47"/>
      <c r="BT909" s="47"/>
    </row>
    <row r="910">
      <c r="A910" s="24"/>
      <c r="B910" s="48"/>
      <c r="C910" s="49"/>
      <c r="D910" s="24"/>
      <c r="E910" s="52"/>
      <c r="F910" s="53"/>
      <c r="G910" s="48"/>
      <c r="H910" s="49"/>
      <c r="I910" s="49"/>
      <c r="J910" s="48"/>
      <c r="K910" s="48"/>
      <c r="L910" s="48"/>
      <c r="M910" s="48"/>
      <c r="N910" s="48"/>
      <c r="O910" s="48"/>
      <c r="P910" s="48"/>
      <c r="Q910" s="48"/>
      <c r="R910" s="48"/>
      <c r="S910" s="48"/>
      <c r="T910" s="48"/>
      <c r="U910" s="48"/>
      <c r="V910" s="48"/>
      <c r="W910" s="49"/>
      <c r="X910" s="49"/>
      <c r="Y910" s="49"/>
      <c r="Z910" s="49"/>
      <c r="AA910" s="49"/>
      <c r="AB910" s="49"/>
      <c r="AC910" s="49"/>
      <c r="AD910" s="49"/>
      <c r="AE910" s="49"/>
      <c r="AF910" s="49"/>
      <c r="AG910" s="49"/>
      <c r="AH910" s="49"/>
      <c r="AI910" s="48"/>
      <c r="AJ910" s="48"/>
      <c r="AK910" s="24"/>
      <c r="AL910" s="50"/>
      <c r="AM910" s="50"/>
      <c r="AN910" s="50"/>
      <c r="AO910" s="50"/>
      <c r="AP910" s="50"/>
      <c r="AQ910" s="50"/>
      <c r="AR910" s="50"/>
      <c r="AS910" s="50"/>
      <c r="AT910" s="51"/>
      <c r="AU910" s="51"/>
      <c r="AV910" s="51"/>
      <c r="AW910" s="51"/>
      <c r="AX910" s="50"/>
      <c r="AY910" s="50"/>
      <c r="AZ910" s="50"/>
      <c r="BA910" s="50"/>
      <c r="BB910" s="51"/>
      <c r="BC910" s="51"/>
      <c r="BD910" s="51"/>
      <c r="BE910" s="51"/>
      <c r="BF910" s="47"/>
      <c r="BG910" s="47"/>
      <c r="BH910" s="47"/>
      <c r="BI910" s="47"/>
      <c r="BJ910" s="47"/>
      <c r="BK910" s="47"/>
      <c r="BL910" s="47"/>
      <c r="BM910" s="47"/>
      <c r="BN910" s="47"/>
      <c r="BO910" s="47"/>
      <c r="BP910" s="47"/>
      <c r="BQ910" s="47"/>
      <c r="BR910" s="47"/>
      <c r="BS910" s="47"/>
      <c r="BT910" s="47"/>
    </row>
    <row r="911">
      <c r="A911" s="24"/>
      <c r="B911" s="48"/>
      <c r="C911" s="49"/>
      <c r="D911" s="24"/>
      <c r="E911" s="52"/>
      <c r="F911" s="53"/>
      <c r="G911" s="48"/>
      <c r="H911" s="49"/>
      <c r="I911" s="49"/>
      <c r="J911" s="48"/>
      <c r="K911" s="48"/>
      <c r="L911" s="48"/>
      <c r="M911" s="48"/>
      <c r="N911" s="48"/>
      <c r="O911" s="48"/>
      <c r="P911" s="48"/>
      <c r="Q911" s="48"/>
      <c r="R911" s="48"/>
      <c r="S911" s="48"/>
      <c r="T911" s="48"/>
      <c r="U911" s="48"/>
      <c r="V911" s="48"/>
      <c r="W911" s="49"/>
      <c r="X911" s="49"/>
      <c r="Y911" s="49"/>
      <c r="Z911" s="49"/>
      <c r="AA911" s="49"/>
      <c r="AB911" s="49"/>
      <c r="AC911" s="49"/>
      <c r="AD911" s="49"/>
      <c r="AE911" s="49"/>
      <c r="AF911" s="49"/>
      <c r="AG911" s="49"/>
      <c r="AH911" s="49"/>
      <c r="AI911" s="48"/>
      <c r="AJ911" s="48"/>
      <c r="AK911" s="24"/>
      <c r="AL911" s="50"/>
      <c r="AM911" s="50"/>
      <c r="AN911" s="50"/>
      <c r="AO911" s="50"/>
      <c r="AP911" s="50"/>
      <c r="AQ911" s="50"/>
      <c r="AR911" s="50"/>
      <c r="AS911" s="50"/>
      <c r="AT911" s="51"/>
      <c r="AU911" s="51"/>
      <c r="AV911" s="51"/>
      <c r="AW911" s="51"/>
      <c r="AX911" s="50"/>
      <c r="AY911" s="50"/>
      <c r="AZ911" s="50"/>
      <c r="BA911" s="50"/>
      <c r="BB911" s="51"/>
      <c r="BC911" s="51"/>
      <c r="BD911" s="51"/>
      <c r="BE911" s="51"/>
      <c r="BF911" s="47"/>
      <c r="BG911" s="47"/>
      <c r="BH911" s="47"/>
      <c r="BI911" s="47"/>
      <c r="BJ911" s="47"/>
      <c r="BK911" s="47"/>
      <c r="BL911" s="47"/>
      <c r="BM911" s="47"/>
      <c r="BN911" s="47"/>
      <c r="BO911" s="47"/>
      <c r="BP911" s="47"/>
      <c r="BQ911" s="47"/>
      <c r="BR911" s="47"/>
      <c r="BS911" s="47"/>
      <c r="BT911" s="47"/>
    </row>
    <row r="912">
      <c r="A912" s="24"/>
      <c r="B912" s="48"/>
      <c r="C912" s="49"/>
      <c r="D912" s="24"/>
      <c r="E912" s="52"/>
      <c r="F912" s="53"/>
      <c r="G912" s="48"/>
      <c r="H912" s="49"/>
      <c r="I912" s="49"/>
      <c r="J912" s="48"/>
      <c r="K912" s="48"/>
      <c r="L912" s="48"/>
      <c r="M912" s="48"/>
      <c r="N912" s="48"/>
      <c r="O912" s="48"/>
      <c r="P912" s="48"/>
      <c r="Q912" s="48"/>
      <c r="R912" s="48"/>
      <c r="S912" s="48"/>
      <c r="T912" s="48"/>
      <c r="U912" s="48"/>
      <c r="V912" s="48"/>
      <c r="W912" s="49"/>
      <c r="X912" s="49"/>
      <c r="Y912" s="49"/>
      <c r="Z912" s="49"/>
      <c r="AA912" s="49"/>
      <c r="AB912" s="49"/>
      <c r="AC912" s="49"/>
      <c r="AD912" s="49"/>
      <c r="AE912" s="49"/>
      <c r="AF912" s="49"/>
      <c r="AG912" s="49"/>
      <c r="AH912" s="49"/>
      <c r="AI912" s="48"/>
      <c r="AJ912" s="48"/>
      <c r="AK912" s="24"/>
      <c r="AL912" s="50"/>
      <c r="AM912" s="50"/>
      <c r="AN912" s="50"/>
      <c r="AO912" s="50"/>
      <c r="AP912" s="50"/>
      <c r="AQ912" s="50"/>
      <c r="AR912" s="50"/>
      <c r="AS912" s="50"/>
      <c r="AT912" s="51"/>
      <c r="AU912" s="51"/>
      <c r="AV912" s="51"/>
      <c r="AW912" s="51"/>
      <c r="AX912" s="50"/>
      <c r="AY912" s="50"/>
      <c r="AZ912" s="50"/>
      <c r="BA912" s="50"/>
      <c r="BB912" s="51"/>
      <c r="BC912" s="51"/>
      <c r="BD912" s="51"/>
      <c r="BE912" s="51"/>
      <c r="BF912" s="47"/>
      <c r="BG912" s="47"/>
      <c r="BH912" s="47"/>
      <c r="BI912" s="47"/>
      <c r="BJ912" s="47"/>
      <c r="BK912" s="47"/>
      <c r="BL912" s="47"/>
      <c r="BM912" s="47"/>
      <c r="BN912" s="47"/>
      <c r="BO912" s="47"/>
      <c r="BP912" s="47"/>
      <c r="BQ912" s="47"/>
      <c r="BR912" s="47"/>
      <c r="BS912" s="47"/>
      <c r="BT912" s="47"/>
    </row>
    <row r="913">
      <c r="A913" s="24"/>
      <c r="B913" s="48"/>
      <c r="C913" s="49"/>
      <c r="D913" s="24"/>
      <c r="E913" s="52"/>
      <c r="F913" s="53"/>
      <c r="G913" s="48"/>
      <c r="H913" s="49"/>
      <c r="I913" s="49"/>
      <c r="J913" s="48"/>
      <c r="K913" s="48"/>
      <c r="L913" s="48"/>
      <c r="M913" s="48"/>
      <c r="N913" s="48"/>
      <c r="O913" s="48"/>
      <c r="P913" s="48"/>
      <c r="Q913" s="48"/>
      <c r="R913" s="48"/>
      <c r="S913" s="48"/>
      <c r="T913" s="48"/>
      <c r="U913" s="48"/>
      <c r="V913" s="48"/>
      <c r="W913" s="49"/>
      <c r="X913" s="49"/>
      <c r="Y913" s="49"/>
      <c r="Z913" s="49"/>
      <c r="AA913" s="49"/>
      <c r="AB913" s="49"/>
      <c r="AC913" s="49"/>
      <c r="AD913" s="49"/>
      <c r="AE913" s="49"/>
      <c r="AF913" s="49"/>
      <c r="AG913" s="49"/>
      <c r="AH913" s="49"/>
      <c r="AI913" s="48"/>
      <c r="AJ913" s="48"/>
      <c r="AK913" s="24"/>
      <c r="AL913" s="50"/>
      <c r="AM913" s="50"/>
      <c r="AN913" s="50"/>
      <c r="AO913" s="50"/>
      <c r="AP913" s="50"/>
      <c r="AQ913" s="50"/>
      <c r="AR913" s="50"/>
      <c r="AS913" s="50"/>
      <c r="AT913" s="51"/>
      <c r="AU913" s="51"/>
      <c r="AV913" s="51"/>
      <c r="AW913" s="51"/>
      <c r="AX913" s="50"/>
      <c r="AY913" s="50"/>
      <c r="AZ913" s="50"/>
      <c r="BA913" s="50"/>
      <c r="BB913" s="51"/>
      <c r="BC913" s="51"/>
      <c r="BD913" s="51"/>
      <c r="BE913" s="51"/>
      <c r="BF913" s="47"/>
      <c r="BG913" s="47"/>
      <c r="BH913" s="47"/>
      <c r="BI913" s="47"/>
      <c r="BJ913" s="47"/>
      <c r="BK913" s="47"/>
      <c r="BL913" s="47"/>
      <c r="BM913" s="47"/>
      <c r="BN913" s="47"/>
      <c r="BO913" s="47"/>
      <c r="BP913" s="47"/>
      <c r="BQ913" s="47"/>
      <c r="BR913" s="47"/>
      <c r="BS913" s="47"/>
      <c r="BT913" s="47"/>
    </row>
    <row r="914">
      <c r="A914" s="24"/>
      <c r="B914" s="48"/>
      <c r="C914" s="49"/>
      <c r="D914" s="24"/>
      <c r="E914" s="52"/>
      <c r="F914" s="53"/>
      <c r="G914" s="48"/>
      <c r="H914" s="49"/>
      <c r="I914" s="49"/>
      <c r="J914" s="48"/>
      <c r="K914" s="48"/>
      <c r="L914" s="48"/>
      <c r="M914" s="48"/>
      <c r="N914" s="48"/>
      <c r="O914" s="48"/>
      <c r="P914" s="48"/>
      <c r="Q914" s="48"/>
      <c r="R914" s="48"/>
      <c r="S914" s="48"/>
      <c r="T914" s="48"/>
      <c r="U914" s="48"/>
      <c r="V914" s="48"/>
      <c r="W914" s="49"/>
      <c r="X914" s="49"/>
      <c r="Y914" s="49"/>
      <c r="Z914" s="49"/>
      <c r="AA914" s="49"/>
      <c r="AB914" s="49"/>
      <c r="AC914" s="49"/>
      <c r="AD914" s="49"/>
      <c r="AE914" s="49"/>
      <c r="AF914" s="49"/>
      <c r="AG914" s="49"/>
      <c r="AH914" s="49"/>
      <c r="AI914" s="48"/>
      <c r="AJ914" s="48"/>
      <c r="AK914" s="24"/>
      <c r="AL914" s="50"/>
      <c r="AM914" s="50"/>
      <c r="AN914" s="50"/>
      <c r="AO914" s="50"/>
      <c r="AP914" s="50"/>
      <c r="AQ914" s="50"/>
      <c r="AR914" s="50"/>
      <c r="AS914" s="50"/>
      <c r="AT914" s="51"/>
      <c r="AU914" s="51"/>
      <c r="AV914" s="51"/>
      <c r="AW914" s="51"/>
      <c r="AX914" s="50"/>
      <c r="AY914" s="50"/>
      <c r="AZ914" s="50"/>
      <c r="BA914" s="50"/>
      <c r="BB914" s="51"/>
      <c r="BC914" s="51"/>
      <c r="BD914" s="51"/>
      <c r="BE914" s="51"/>
      <c r="BF914" s="47"/>
      <c r="BG914" s="47"/>
      <c r="BH914" s="47"/>
      <c r="BI914" s="47"/>
      <c r="BJ914" s="47"/>
      <c r="BK914" s="47"/>
      <c r="BL914" s="47"/>
      <c r="BM914" s="47"/>
      <c r="BN914" s="47"/>
      <c r="BO914" s="47"/>
      <c r="BP914" s="47"/>
      <c r="BQ914" s="47"/>
      <c r="BR914" s="47"/>
      <c r="BS914" s="47"/>
      <c r="BT914" s="47"/>
    </row>
    <row r="915">
      <c r="A915" s="24"/>
      <c r="B915" s="48"/>
      <c r="C915" s="49"/>
      <c r="D915" s="24"/>
      <c r="E915" s="52"/>
      <c r="F915" s="53"/>
      <c r="G915" s="48"/>
      <c r="H915" s="49"/>
      <c r="I915" s="49"/>
      <c r="J915" s="48"/>
      <c r="K915" s="48"/>
      <c r="L915" s="48"/>
      <c r="M915" s="48"/>
      <c r="N915" s="48"/>
      <c r="O915" s="48"/>
      <c r="P915" s="48"/>
      <c r="Q915" s="48"/>
      <c r="R915" s="48"/>
      <c r="S915" s="48"/>
      <c r="T915" s="48"/>
      <c r="U915" s="48"/>
      <c r="V915" s="48"/>
      <c r="W915" s="49"/>
      <c r="X915" s="49"/>
      <c r="Y915" s="49"/>
      <c r="Z915" s="49"/>
      <c r="AA915" s="49"/>
      <c r="AB915" s="49"/>
      <c r="AC915" s="49"/>
      <c r="AD915" s="49"/>
      <c r="AE915" s="49"/>
      <c r="AF915" s="49"/>
      <c r="AG915" s="49"/>
      <c r="AH915" s="49"/>
      <c r="AI915" s="48"/>
      <c r="AJ915" s="48"/>
      <c r="AK915" s="24"/>
      <c r="AL915" s="50"/>
      <c r="AM915" s="50"/>
      <c r="AN915" s="50"/>
      <c r="AO915" s="50"/>
      <c r="AP915" s="50"/>
      <c r="AQ915" s="50"/>
      <c r="AR915" s="50"/>
      <c r="AS915" s="50"/>
      <c r="AT915" s="51"/>
      <c r="AU915" s="51"/>
      <c r="AV915" s="51"/>
      <c r="AW915" s="51"/>
      <c r="AX915" s="50"/>
      <c r="AY915" s="50"/>
      <c r="AZ915" s="50"/>
      <c r="BA915" s="50"/>
      <c r="BB915" s="51"/>
      <c r="BC915" s="51"/>
      <c r="BD915" s="51"/>
      <c r="BE915" s="51"/>
      <c r="BF915" s="47"/>
      <c r="BG915" s="47"/>
      <c r="BH915" s="47"/>
      <c r="BI915" s="47"/>
      <c r="BJ915" s="47"/>
      <c r="BK915" s="47"/>
      <c r="BL915" s="47"/>
      <c r="BM915" s="47"/>
      <c r="BN915" s="47"/>
      <c r="BO915" s="47"/>
      <c r="BP915" s="47"/>
      <c r="BQ915" s="47"/>
      <c r="BR915" s="47"/>
      <c r="BS915" s="47"/>
      <c r="BT915" s="47"/>
    </row>
    <row r="916">
      <c r="A916" s="24"/>
      <c r="B916" s="48"/>
      <c r="C916" s="49"/>
      <c r="D916" s="24"/>
      <c r="E916" s="52"/>
      <c r="F916" s="53"/>
      <c r="G916" s="48"/>
      <c r="H916" s="49"/>
      <c r="I916" s="49"/>
      <c r="J916" s="48"/>
      <c r="K916" s="48"/>
      <c r="L916" s="48"/>
      <c r="M916" s="48"/>
      <c r="N916" s="48"/>
      <c r="O916" s="48"/>
      <c r="P916" s="48"/>
      <c r="Q916" s="48"/>
      <c r="R916" s="48"/>
      <c r="S916" s="48"/>
      <c r="T916" s="48"/>
      <c r="U916" s="48"/>
      <c r="V916" s="48"/>
      <c r="W916" s="49"/>
      <c r="X916" s="49"/>
      <c r="Y916" s="49"/>
      <c r="Z916" s="49"/>
      <c r="AA916" s="49"/>
      <c r="AB916" s="49"/>
      <c r="AC916" s="49"/>
      <c r="AD916" s="49"/>
      <c r="AE916" s="49"/>
      <c r="AF916" s="49"/>
      <c r="AG916" s="49"/>
      <c r="AH916" s="49"/>
      <c r="AI916" s="48"/>
      <c r="AJ916" s="48"/>
      <c r="AK916" s="24"/>
      <c r="AL916" s="50"/>
      <c r="AM916" s="50"/>
      <c r="AN916" s="50"/>
      <c r="AO916" s="50"/>
      <c r="AP916" s="50"/>
      <c r="AQ916" s="50"/>
      <c r="AR916" s="50"/>
      <c r="AS916" s="50"/>
      <c r="AT916" s="51"/>
      <c r="AU916" s="51"/>
      <c r="AV916" s="51"/>
      <c r="AW916" s="51"/>
      <c r="AX916" s="50"/>
      <c r="AY916" s="50"/>
      <c r="AZ916" s="50"/>
      <c r="BA916" s="50"/>
      <c r="BB916" s="51"/>
      <c r="BC916" s="51"/>
      <c r="BD916" s="51"/>
      <c r="BE916" s="51"/>
      <c r="BF916" s="47"/>
      <c r="BG916" s="47"/>
      <c r="BH916" s="47"/>
      <c r="BI916" s="47"/>
      <c r="BJ916" s="47"/>
      <c r="BK916" s="47"/>
      <c r="BL916" s="47"/>
      <c r="BM916" s="47"/>
      <c r="BN916" s="47"/>
      <c r="BO916" s="47"/>
      <c r="BP916" s="47"/>
      <c r="BQ916" s="47"/>
      <c r="BR916" s="47"/>
      <c r="BS916" s="47"/>
      <c r="BT916" s="47"/>
    </row>
    <row r="917">
      <c r="A917" s="24"/>
      <c r="B917" s="48"/>
      <c r="C917" s="49"/>
      <c r="D917" s="24"/>
      <c r="E917" s="52"/>
      <c r="F917" s="53"/>
      <c r="G917" s="48"/>
      <c r="H917" s="49"/>
      <c r="I917" s="49"/>
      <c r="J917" s="48"/>
      <c r="K917" s="48"/>
      <c r="L917" s="48"/>
      <c r="M917" s="48"/>
      <c r="N917" s="48"/>
      <c r="O917" s="48"/>
      <c r="P917" s="48"/>
      <c r="Q917" s="48"/>
      <c r="R917" s="48"/>
      <c r="S917" s="48"/>
      <c r="T917" s="48"/>
      <c r="U917" s="48"/>
      <c r="V917" s="48"/>
      <c r="W917" s="49"/>
      <c r="X917" s="49"/>
      <c r="Y917" s="49"/>
      <c r="Z917" s="49"/>
      <c r="AA917" s="49"/>
      <c r="AB917" s="49"/>
      <c r="AC917" s="49"/>
      <c r="AD917" s="49"/>
      <c r="AE917" s="49"/>
      <c r="AF917" s="49"/>
      <c r="AG917" s="49"/>
      <c r="AH917" s="49"/>
      <c r="AI917" s="48"/>
      <c r="AJ917" s="48"/>
      <c r="AK917" s="24"/>
      <c r="AL917" s="50"/>
      <c r="AM917" s="50"/>
      <c r="AN917" s="50"/>
      <c r="AO917" s="50"/>
      <c r="AP917" s="50"/>
      <c r="AQ917" s="50"/>
      <c r="AR917" s="50"/>
      <c r="AS917" s="50"/>
      <c r="AT917" s="51"/>
      <c r="AU917" s="51"/>
      <c r="AV917" s="51"/>
      <c r="AW917" s="51"/>
      <c r="AX917" s="50"/>
      <c r="AY917" s="50"/>
      <c r="AZ917" s="50"/>
      <c r="BA917" s="50"/>
      <c r="BB917" s="51"/>
      <c r="BC917" s="51"/>
      <c r="BD917" s="51"/>
      <c r="BE917" s="51"/>
      <c r="BF917" s="47"/>
      <c r="BG917" s="47"/>
      <c r="BH917" s="47"/>
      <c r="BI917" s="47"/>
      <c r="BJ917" s="47"/>
      <c r="BK917" s="47"/>
      <c r="BL917" s="47"/>
      <c r="BM917" s="47"/>
      <c r="BN917" s="47"/>
      <c r="BO917" s="47"/>
      <c r="BP917" s="47"/>
      <c r="BQ917" s="47"/>
      <c r="BR917" s="47"/>
      <c r="BS917" s="47"/>
      <c r="BT917" s="47"/>
    </row>
    <row r="918">
      <c r="A918" s="24"/>
      <c r="B918" s="48"/>
      <c r="C918" s="49"/>
      <c r="D918" s="24"/>
      <c r="E918" s="52"/>
      <c r="F918" s="53"/>
      <c r="G918" s="48"/>
      <c r="H918" s="49"/>
      <c r="I918" s="49"/>
      <c r="J918" s="48"/>
      <c r="K918" s="48"/>
      <c r="L918" s="48"/>
      <c r="M918" s="48"/>
      <c r="N918" s="48"/>
      <c r="O918" s="48"/>
      <c r="P918" s="48"/>
      <c r="Q918" s="48"/>
      <c r="R918" s="48"/>
      <c r="S918" s="48"/>
      <c r="T918" s="48"/>
      <c r="U918" s="48"/>
      <c r="V918" s="48"/>
      <c r="W918" s="49"/>
      <c r="X918" s="49"/>
      <c r="Y918" s="49"/>
      <c r="Z918" s="49"/>
      <c r="AA918" s="49"/>
      <c r="AB918" s="49"/>
      <c r="AC918" s="49"/>
      <c r="AD918" s="49"/>
      <c r="AE918" s="49"/>
      <c r="AF918" s="49"/>
      <c r="AG918" s="49"/>
      <c r="AH918" s="49"/>
      <c r="AI918" s="48"/>
      <c r="AJ918" s="48"/>
      <c r="AK918" s="24"/>
      <c r="AL918" s="50"/>
      <c r="AM918" s="50"/>
      <c r="AN918" s="50"/>
      <c r="AO918" s="50"/>
      <c r="AP918" s="50"/>
      <c r="AQ918" s="50"/>
      <c r="AR918" s="50"/>
      <c r="AS918" s="50"/>
      <c r="AT918" s="51"/>
      <c r="AU918" s="51"/>
      <c r="AV918" s="51"/>
      <c r="AW918" s="51"/>
      <c r="AX918" s="50"/>
      <c r="AY918" s="50"/>
      <c r="AZ918" s="50"/>
      <c r="BA918" s="50"/>
      <c r="BB918" s="51"/>
      <c r="BC918" s="51"/>
      <c r="BD918" s="51"/>
      <c r="BE918" s="51"/>
      <c r="BF918" s="47"/>
      <c r="BG918" s="47"/>
      <c r="BH918" s="47"/>
      <c r="BI918" s="47"/>
      <c r="BJ918" s="47"/>
      <c r="BK918" s="47"/>
      <c r="BL918" s="47"/>
      <c r="BM918" s="47"/>
      <c r="BN918" s="47"/>
      <c r="BO918" s="47"/>
      <c r="BP918" s="47"/>
      <c r="BQ918" s="47"/>
      <c r="BR918" s="47"/>
      <c r="BS918" s="47"/>
      <c r="BT918" s="47"/>
    </row>
    <row r="919">
      <c r="A919" s="24"/>
      <c r="B919" s="48"/>
      <c r="C919" s="49"/>
      <c r="D919" s="24"/>
      <c r="E919" s="52"/>
      <c r="F919" s="53"/>
      <c r="G919" s="48"/>
      <c r="H919" s="49"/>
      <c r="I919" s="49"/>
      <c r="J919" s="48"/>
      <c r="K919" s="48"/>
      <c r="L919" s="48"/>
      <c r="M919" s="48"/>
      <c r="N919" s="48"/>
      <c r="O919" s="48"/>
      <c r="P919" s="48"/>
      <c r="Q919" s="48"/>
      <c r="R919" s="48"/>
      <c r="S919" s="48"/>
      <c r="T919" s="48"/>
      <c r="U919" s="48"/>
      <c r="V919" s="48"/>
      <c r="W919" s="49"/>
      <c r="X919" s="49"/>
      <c r="Y919" s="49"/>
      <c r="Z919" s="49"/>
      <c r="AA919" s="49"/>
      <c r="AB919" s="49"/>
      <c r="AC919" s="49"/>
      <c r="AD919" s="49"/>
      <c r="AE919" s="49"/>
      <c r="AF919" s="49"/>
      <c r="AG919" s="49"/>
      <c r="AH919" s="49"/>
      <c r="AI919" s="48"/>
      <c r="AJ919" s="48"/>
      <c r="AK919" s="24"/>
      <c r="AL919" s="50"/>
      <c r="AM919" s="50"/>
      <c r="AN919" s="50"/>
      <c r="AO919" s="50"/>
      <c r="AP919" s="50"/>
      <c r="AQ919" s="50"/>
      <c r="AR919" s="50"/>
      <c r="AS919" s="50"/>
      <c r="AT919" s="51"/>
      <c r="AU919" s="51"/>
      <c r="AV919" s="51"/>
      <c r="AW919" s="51"/>
      <c r="AX919" s="50"/>
      <c r="AY919" s="50"/>
      <c r="AZ919" s="50"/>
      <c r="BA919" s="50"/>
      <c r="BB919" s="51"/>
      <c r="BC919" s="51"/>
      <c r="BD919" s="51"/>
      <c r="BE919" s="51"/>
      <c r="BF919" s="47"/>
      <c r="BG919" s="47"/>
      <c r="BH919" s="47"/>
      <c r="BI919" s="47"/>
      <c r="BJ919" s="47"/>
      <c r="BK919" s="47"/>
      <c r="BL919" s="47"/>
      <c r="BM919" s="47"/>
      <c r="BN919" s="47"/>
      <c r="BO919" s="47"/>
      <c r="BP919" s="47"/>
      <c r="BQ919" s="47"/>
      <c r="BR919" s="47"/>
      <c r="BS919" s="47"/>
      <c r="BT919" s="47"/>
    </row>
    <row r="920">
      <c r="A920" s="24"/>
      <c r="B920" s="48"/>
      <c r="C920" s="49"/>
      <c r="D920" s="24"/>
      <c r="E920" s="52"/>
      <c r="F920" s="53"/>
      <c r="G920" s="48"/>
      <c r="H920" s="49"/>
      <c r="I920" s="49"/>
      <c r="J920" s="48"/>
      <c r="K920" s="48"/>
      <c r="L920" s="48"/>
      <c r="M920" s="48"/>
      <c r="N920" s="48"/>
      <c r="O920" s="48"/>
      <c r="P920" s="48"/>
      <c r="Q920" s="48"/>
      <c r="R920" s="48"/>
      <c r="S920" s="48"/>
      <c r="T920" s="48"/>
      <c r="U920" s="48"/>
      <c r="V920" s="48"/>
      <c r="W920" s="49"/>
      <c r="X920" s="49"/>
      <c r="Y920" s="49"/>
      <c r="Z920" s="49"/>
      <c r="AA920" s="49"/>
      <c r="AB920" s="49"/>
      <c r="AC920" s="49"/>
      <c r="AD920" s="49"/>
      <c r="AE920" s="49"/>
      <c r="AF920" s="49"/>
      <c r="AG920" s="49"/>
      <c r="AH920" s="49"/>
      <c r="AI920" s="48"/>
      <c r="AJ920" s="48"/>
      <c r="AK920" s="24"/>
      <c r="AL920" s="50"/>
      <c r="AM920" s="50"/>
      <c r="AN920" s="50"/>
      <c r="AO920" s="50"/>
      <c r="AP920" s="50"/>
      <c r="AQ920" s="50"/>
      <c r="AR920" s="50"/>
      <c r="AS920" s="50"/>
      <c r="AT920" s="51"/>
      <c r="AU920" s="51"/>
      <c r="AV920" s="51"/>
      <c r="AW920" s="51"/>
      <c r="AX920" s="50"/>
      <c r="AY920" s="50"/>
      <c r="AZ920" s="50"/>
      <c r="BA920" s="50"/>
      <c r="BB920" s="51"/>
      <c r="BC920" s="51"/>
      <c r="BD920" s="51"/>
      <c r="BE920" s="51"/>
      <c r="BF920" s="47"/>
      <c r="BG920" s="47"/>
      <c r="BH920" s="47"/>
      <c r="BI920" s="47"/>
      <c r="BJ920" s="47"/>
      <c r="BK920" s="47"/>
      <c r="BL920" s="47"/>
      <c r="BM920" s="47"/>
      <c r="BN920" s="47"/>
      <c r="BO920" s="47"/>
      <c r="BP920" s="47"/>
      <c r="BQ920" s="47"/>
      <c r="BR920" s="47"/>
      <c r="BS920" s="47"/>
      <c r="BT920" s="47"/>
    </row>
    <row r="921">
      <c r="A921" s="24"/>
      <c r="B921" s="48"/>
      <c r="C921" s="49"/>
      <c r="D921" s="24"/>
      <c r="E921" s="52"/>
      <c r="F921" s="53"/>
      <c r="G921" s="48"/>
      <c r="H921" s="49"/>
      <c r="I921" s="49"/>
      <c r="J921" s="48"/>
      <c r="K921" s="48"/>
      <c r="L921" s="48"/>
      <c r="M921" s="48"/>
      <c r="N921" s="48"/>
      <c r="O921" s="48"/>
      <c r="P921" s="48"/>
      <c r="Q921" s="48"/>
      <c r="R921" s="48"/>
      <c r="S921" s="48"/>
      <c r="T921" s="48"/>
      <c r="U921" s="48"/>
      <c r="V921" s="48"/>
      <c r="W921" s="49"/>
      <c r="X921" s="49"/>
      <c r="Y921" s="49"/>
      <c r="Z921" s="49"/>
      <c r="AA921" s="49"/>
      <c r="AB921" s="49"/>
      <c r="AC921" s="49"/>
      <c r="AD921" s="49"/>
      <c r="AE921" s="49"/>
      <c r="AF921" s="49"/>
      <c r="AG921" s="49"/>
      <c r="AH921" s="49"/>
      <c r="AI921" s="48"/>
      <c r="AJ921" s="48"/>
      <c r="AK921" s="24"/>
      <c r="AL921" s="50"/>
      <c r="AM921" s="50"/>
      <c r="AN921" s="50"/>
      <c r="AO921" s="50"/>
      <c r="AP921" s="50"/>
      <c r="AQ921" s="50"/>
      <c r="AR921" s="50"/>
      <c r="AS921" s="50"/>
      <c r="AT921" s="51"/>
      <c r="AU921" s="51"/>
      <c r="AV921" s="51"/>
      <c r="AW921" s="51"/>
      <c r="AX921" s="50"/>
      <c r="AY921" s="50"/>
      <c r="AZ921" s="50"/>
      <c r="BA921" s="50"/>
      <c r="BB921" s="51"/>
      <c r="BC921" s="51"/>
      <c r="BD921" s="51"/>
      <c r="BE921" s="51"/>
      <c r="BF921" s="47"/>
      <c r="BG921" s="47"/>
      <c r="BH921" s="47"/>
      <c r="BI921" s="47"/>
      <c r="BJ921" s="47"/>
      <c r="BK921" s="47"/>
      <c r="BL921" s="47"/>
      <c r="BM921" s="47"/>
      <c r="BN921" s="47"/>
      <c r="BO921" s="47"/>
      <c r="BP921" s="47"/>
      <c r="BQ921" s="47"/>
      <c r="BR921" s="47"/>
      <c r="BS921" s="47"/>
      <c r="BT921" s="47"/>
    </row>
    <row r="922">
      <c r="A922" s="24"/>
      <c r="B922" s="48"/>
      <c r="C922" s="49"/>
      <c r="D922" s="24"/>
      <c r="E922" s="52"/>
      <c r="F922" s="53"/>
      <c r="G922" s="48"/>
      <c r="H922" s="49"/>
      <c r="I922" s="49"/>
      <c r="J922" s="48"/>
      <c r="K922" s="48"/>
      <c r="L922" s="48"/>
      <c r="M922" s="48"/>
      <c r="N922" s="48"/>
      <c r="O922" s="48"/>
      <c r="P922" s="48"/>
      <c r="Q922" s="48"/>
      <c r="R922" s="48"/>
      <c r="S922" s="48"/>
      <c r="T922" s="48"/>
      <c r="U922" s="48"/>
      <c r="V922" s="48"/>
      <c r="W922" s="49"/>
      <c r="X922" s="49"/>
      <c r="Y922" s="49"/>
      <c r="Z922" s="49"/>
      <c r="AA922" s="49"/>
      <c r="AB922" s="49"/>
      <c r="AC922" s="49"/>
      <c r="AD922" s="49"/>
      <c r="AE922" s="49"/>
      <c r="AF922" s="49"/>
      <c r="AG922" s="49"/>
      <c r="AH922" s="49"/>
      <c r="AI922" s="48"/>
      <c r="AJ922" s="48"/>
      <c r="AK922" s="24"/>
      <c r="AL922" s="50"/>
      <c r="AM922" s="50"/>
      <c r="AN922" s="50"/>
      <c r="AO922" s="50"/>
      <c r="AP922" s="50"/>
      <c r="AQ922" s="50"/>
      <c r="AR922" s="50"/>
      <c r="AS922" s="50"/>
      <c r="AT922" s="51"/>
      <c r="AU922" s="51"/>
      <c r="AV922" s="51"/>
      <c r="AW922" s="51"/>
      <c r="AX922" s="50"/>
      <c r="AY922" s="50"/>
      <c r="AZ922" s="50"/>
      <c r="BA922" s="50"/>
      <c r="BB922" s="51"/>
      <c r="BC922" s="51"/>
      <c r="BD922" s="51"/>
      <c r="BE922" s="51"/>
      <c r="BF922" s="47"/>
      <c r="BG922" s="47"/>
      <c r="BH922" s="47"/>
      <c r="BI922" s="47"/>
      <c r="BJ922" s="47"/>
      <c r="BK922" s="47"/>
      <c r="BL922" s="47"/>
      <c r="BM922" s="47"/>
      <c r="BN922" s="47"/>
      <c r="BO922" s="47"/>
      <c r="BP922" s="47"/>
      <c r="BQ922" s="47"/>
      <c r="BR922" s="47"/>
      <c r="BS922" s="47"/>
      <c r="BT922" s="47"/>
    </row>
    <row r="923">
      <c r="A923" s="24"/>
      <c r="B923" s="48"/>
      <c r="C923" s="49"/>
      <c r="D923" s="24"/>
      <c r="E923" s="52"/>
      <c r="F923" s="53"/>
      <c r="G923" s="48"/>
      <c r="H923" s="49"/>
      <c r="I923" s="49"/>
      <c r="J923" s="48"/>
      <c r="K923" s="48"/>
      <c r="L923" s="48"/>
      <c r="M923" s="48"/>
      <c r="N923" s="48"/>
      <c r="O923" s="48"/>
      <c r="P923" s="48"/>
      <c r="Q923" s="48"/>
      <c r="R923" s="48"/>
      <c r="S923" s="48"/>
      <c r="T923" s="48"/>
      <c r="U923" s="48"/>
      <c r="V923" s="48"/>
      <c r="W923" s="49"/>
      <c r="X923" s="49"/>
      <c r="Y923" s="49"/>
      <c r="Z923" s="49"/>
      <c r="AA923" s="49"/>
      <c r="AB923" s="49"/>
      <c r="AC923" s="49"/>
      <c r="AD923" s="49"/>
      <c r="AE923" s="49"/>
      <c r="AF923" s="49"/>
      <c r="AG923" s="49"/>
      <c r="AH923" s="49"/>
      <c r="AI923" s="48"/>
      <c r="AJ923" s="48"/>
      <c r="AK923" s="24"/>
      <c r="AL923" s="50"/>
      <c r="AM923" s="50"/>
      <c r="AN923" s="50"/>
      <c r="AO923" s="50"/>
      <c r="AP923" s="50"/>
      <c r="AQ923" s="50"/>
      <c r="AR923" s="50"/>
      <c r="AS923" s="50"/>
      <c r="AT923" s="51"/>
      <c r="AU923" s="51"/>
      <c r="AV923" s="51"/>
      <c r="AW923" s="51"/>
      <c r="AX923" s="50"/>
      <c r="AY923" s="50"/>
      <c r="AZ923" s="50"/>
      <c r="BA923" s="50"/>
      <c r="BB923" s="51"/>
      <c r="BC923" s="51"/>
      <c r="BD923" s="51"/>
      <c r="BE923" s="51"/>
      <c r="BF923" s="47"/>
      <c r="BG923" s="47"/>
      <c r="BH923" s="47"/>
      <c r="BI923" s="47"/>
      <c r="BJ923" s="47"/>
      <c r="BK923" s="47"/>
      <c r="BL923" s="47"/>
      <c r="BM923" s="47"/>
      <c r="BN923" s="47"/>
      <c r="BO923" s="47"/>
      <c r="BP923" s="47"/>
      <c r="BQ923" s="47"/>
      <c r="BR923" s="47"/>
      <c r="BS923" s="47"/>
      <c r="BT923" s="47"/>
    </row>
    <row r="924">
      <c r="A924" s="24"/>
      <c r="B924" s="48"/>
      <c r="C924" s="49"/>
      <c r="D924" s="24"/>
      <c r="E924" s="52"/>
      <c r="F924" s="53"/>
      <c r="G924" s="48"/>
      <c r="H924" s="49"/>
      <c r="I924" s="49"/>
      <c r="J924" s="48"/>
      <c r="K924" s="48"/>
      <c r="L924" s="48"/>
      <c r="M924" s="48"/>
      <c r="N924" s="48"/>
      <c r="O924" s="48"/>
      <c r="P924" s="48"/>
      <c r="Q924" s="48"/>
      <c r="R924" s="48"/>
      <c r="S924" s="48"/>
      <c r="T924" s="48"/>
      <c r="U924" s="48"/>
      <c r="V924" s="48"/>
      <c r="W924" s="49"/>
      <c r="X924" s="49"/>
      <c r="Y924" s="49"/>
      <c r="Z924" s="49"/>
      <c r="AA924" s="49"/>
      <c r="AB924" s="49"/>
      <c r="AC924" s="49"/>
      <c r="AD924" s="49"/>
      <c r="AE924" s="49"/>
      <c r="AF924" s="49"/>
      <c r="AG924" s="49"/>
      <c r="AH924" s="49"/>
      <c r="AI924" s="48"/>
      <c r="AJ924" s="48"/>
      <c r="AK924" s="24"/>
      <c r="AL924" s="50"/>
      <c r="AM924" s="50"/>
      <c r="AN924" s="50"/>
      <c r="AO924" s="50"/>
      <c r="AP924" s="50"/>
      <c r="AQ924" s="50"/>
      <c r="AR924" s="50"/>
      <c r="AS924" s="50"/>
      <c r="AT924" s="51"/>
      <c r="AU924" s="51"/>
      <c r="AV924" s="51"/>
      <c r="AW924" s="51"/>
      <c r="AX924" s="50"/>
      <c r="AY924" s="50"/>
      <c r="AZ924" s="50"/>
      <c r="BA924" s="50"/>
      <c r="BB924" s="51"/>
      <c r="BC924" s="51"/>
      <c r="BD924" s="51"/>
      <c r="BE924" s="51"/>
      <c r="BF924" s="47"/>
      <c r="BG924" s="47"/>
      <c r="BH924" s="47"/>
      <c r="BI924" s="47"/>
      <c r="BJ924" s="47"/>
      <c r="BK924" s="47"/>
      <c r="BL924" s="47"/>
      <c r="BM924" s="47"/>
      <c r="BN924" s="47"/>
      <c r="BO924" s="47"/>
      <c r="BP924" s="47"/>
      <c r="BQ924" s="47"/>
      <c r="BR924" s="47"/>
      <c r="BS924" s="47"/>
      <c r="BT924" s="47"/>
    </row>
    <row r="925">
      <c r="A925" s="24"/>
      <c r="B925" s="48"/>
      <c r="C925" s="49"/>
      <c r="D925" s="24"/>
      <c r="E925" s="52"/>
      <c r="F925" s="53"/>
      <c r="G925" s="48"/>
      <c r="H925" s="49"/>
      <c r="I925" s="49"/>
      <c r="J925" s="48"/>
      <c r="K925" s="48"/>
      <c r="L925" s="48"/>
      <c r="M925" s="48"/>
      <c r="N925" s="48"/>
      <c r="O925" s="48"/>
      <c r="P925" s="48"/>
      <c r="Q925" s="48"/>
      <c r="R925" s="48"/>
      <c r="S925" s="48"/>
      <c r="T925" s="48"/>
      <c r="U925" s="48"/>
      <c r="V925" s="48"/>
      <c r="W925" s="49"/>
      <c r="X925" s="49"/>
      <c r="Y925" s="49"/>
      <c r="Z925" s="49"/>
      <c r="AA925" s="49"/>
      <c r="AB925" s="49"/>
      <c r="AC925" s="49"/>
      <c r="AD925" s="49"/>
      <c r="AE925" s="49"/>
      <c r="AF925" s="49"/>
      <c r="AG925" s="49"/>
      <c r="AH925" s="49"/>
      <c r="AI925" s="48"/>
      <c r="AJ925" s="48"/>
      <c r="AK925" s="24"/>
      <c r="AL925" s="50"/>
      <c r="AM925" s="50"/>
      <c r="AN925" s="50"/>
      <c r="AO925" s="50"/>
      <c r="AP925" s="50"/>
      <c r="AQ925" s="50"/>
      <c r="AR925" s="50"/>
      <c r="AS925" s="50"/>
      <c r="AT925" s="51"/>
      <c r="AU925" s="51"/>
      <c r="AV925" s="51"/>
      <c r="AW925" s="51"/>
      <c r="AX925" s="50"/>
      <c r="AY925" s="50"/>
      <c r="AZ925" s="50"/>
      <c r="BA925" s="50"/>
      <c r="BB925" s="51"/>
      <c r="BC925" s="51"/>
      <c r="BD925" s="51"/>
      <c r="BE925" s="51"/>
      <c r="BF925" s="47"/>
      <c r="BG925" s="47"/>
      <c r="BH925" s="47"/>
      <c r="BI925" s="47"/>
      <c r="BJ925" s="47"/>
      <c r="BK925" s="47"/>
      <c r="BL925" s="47"/>
      <c r="BM925" s="47"/>
      <c r="BN925" s="47"/>
      <c r="BO925" s="47"/>
      <c r="BP925" s="47"/>
      <c r="BQ925" s="47"/>
      <c r="BR925" s="47"/>
      <c r="BS925" s="47"/>
      <c r="BT925" s="47"/>
    </row>
    <row r="926">
      <c r="A926" s="24"/>
      <c r="B926" s="48"/>
      <c r="C926" s="49"/>
      <c r="D926" s="24"/>
      <c r="E926" s="52"/>
      <c r="F926" s="53"/>
      <c r="G926" s="48"/>
      <c r="H926" s="49"/>
      <c r="I926" s="49"/>
      <c r="J926" s="48"/>
      <c r="K926" s="48"/>
      <c r="L926" s="48"/>
      <c r="M926" s="48"/>
      <c r="N926" s="48"/>
      <c r="O926" s="48"/>
      <c r="P926" s="48"/>
      <c r="Q926" s="48"/>
      <c r="R926" s="48"/>
      <c r="S926" s="48"/>
      <c r="T926" s="48"/>
      <c r="U926" s="48"/>
      <c r="V926" s="48"/>
      <c r="W926" s="49"/>
      <c r="X926" s="49"/>
      <c r="Y926" s="49"/>
      <c r="Z926" s="49"/>
      <c r="AA926" s="49"/>
      <c r="AB926" s="49"/>
      <c r="AC926" s="49"/>
      <c r="AD926" s="49"/>
      <c r="AE926" s="49"/>
      <c r="AF926" s="49"/>
      <c r="AG926" s="49"/>
      <c r="AH926" s="49"/>
      <c r="AI926" s="48"/>
      <c r="AJ926" s="48"/>
      <c r="AK926" s="24"/>
      <c r="AL926" s="50"/>
      <c r="AM926" s="50"/>
      <c r="AN926" s="50"/>
      <c r="AO926" s="50"/>
      <c r="AP926" s="50"/>
      <c r="AQ926" s="50"/>
      <c r="AR926" s="50"/>
      <c r="AS926" s="50"/>
      <c r="AT926" s="51"/>
      <c r="AU926" s="51"/>
      <c r="AV926" s="51"/>
      <c r="AW926" s="51"/>
      <c r="AX926" s="50"/>
      <c r="AY926" s="50"/>
      <c r="AZ926" s="50"/>
      <c r="BA926" s="50"/>
      <c r="BB926" s="51"/>
      <c r="BC926" s="51"/>
      <c r="BD926" s="51"/>
      <c r="BE926" s="51"/>
      <c r="BF926" s="47"/>
      <c r="BG926" s="47"/>
      <c r="BH926" s="47"/>
      <c r="BI926" s="47"/>
      <c r="BJ926" s="47"/>
      <c r="BK926" s="47"/>
      <c r="BL926" s="47"/>
      <c r="BM926" s="47"/>
      <c r="BN926" s="47"/>
      <c r="BO926" s="47"/>
      <c r="BP926" s="47"/>
      <c r="BQ926" s="47"/>
      <c r="BR926" s="47"/>
      <c r="BS926" s="47"/>
      <c r="BT926" s="47"/>
    </row>
    <row r="927">
      <c r="A927" s="24"/>
      <c r="B927" s="48"/>
      <c r="C927" s="49"/>
      <c r="D927" s="24"/>
      <c r="E927" s="52"/>
      <c r="F927" s="53"/>
      <c r="G927" s="48"/>
      <c r="H927" s="49"/>
      <c r="I927" s="49"/>
      <c r="J927" s="48"/>
      <c r="K927" s="48"/>
      <c r="L927" s="48"/>
      <c r="M927" s="48"/>
      <c r="N927" s="48"/>
      <c r="O927" s="48"/>
      <c r="P927" s="48"/>
      <c r="Q927" s="48"/>
      <c r="R927" s="48"/>
      <c r="S927" s="48"/>
      <c r="T927" s="48"/>
      <c r="U927" s="48"/>
      <c r="V927" s="48"/>
      <c r="W927" s="49"/>
      <c r="X927" s="49"/>
      <c r="Y927" s="49"/>
      <c r="Z927" s="49"/>
      <c r="AA927" s="49"/>
      <c r="AB927" s="49"/>
      <c r="AC927" s="49"/>
      <c r="AD927" s="49"/>
      <c r="AE927" s="49"/>
      <c r="AF927" s="49"/>
      <c r="AG927" s="49"/>
      <c r="AH927" s="49"/>
      <c r="AI927" s="48"/>
      <c r="AJ927" s="48"/>
      <c r="AK927" s="24"/>
      <c r="AL927" s="50"/>
      <c r="AM927" s="50"/>
      <c r="AN927" s="50"/>
      <c r="AO927" s="50"/>
      <c r="AP927" s="50"/>
      <c r="AQ927" s="50"/>
      <c r="AR927" s="50"/>
      <c r="AS927" s="50"/>
      <c r="AT927" s="51"/>
      <c r="AU927" s="51"/>
      <c r="AV927" s="51"/>
      <c r="AW927" s="51"/>
      <c r="AX927" s="50"/>
      <c r="AY927" s="50"/>
      <c r="AZ927" s="50"/>
      <c r="BA927" s="50"/>
      <c r="BB927" s="51"/>
      <c r="BC927" s="51"/>
      <c r="BD927" s="51"/>
      <c r="BE927" s="51"/>
      <c r="BF927" s="47"/>
      <c r="BG927" s="47"/>
      <c r="BH927" s="47"/>
      <c r="BI927" s="47"/>
      <c r="BJ927" s="47"/>
      <c r="BK927" s="47"/>
      <c r="BL927" s="47"/>
      <c r="BM927" s="47"/>
      <c r="BN927" s="47"/>
      <c r="BO927" s="47"/>
      <c r="BP927" s="47"/>
      <c r="BQ927" s="47"/>
      <c r="BR927" s="47"/>
      <c r="BS927" s="47"/>
      <c r="BT927" s="47"/>
    </row>
    <row r="928">
      <c r="A928" s="24"/>
      <c r="B928" s="48"/>
      <c r="C928" s="49"/>
      <c r="D928" s="24"/>
      <c r="E928" s="52"/>
      <c r="F928" s="53"/>
      <c r="G928" s="48"/>
      <c r="H928" s="49"/>
      <c r="I928" s="49"/>
      <c r="J928" s="48"/>
      <c r="K928" s="48"/>
      <c r="L928" s="48"/>
      <c r="M928" s="48"/>
      <c r="N928" s="48"/>
      <c r="O928" s="48"/>
      <c r="P928" s="48"/>
      <c r="Q928" s="48"/>
      <c r="R928" s="48"/>
      <c r="S928" s="48"/>
      <c r="T928" s="48"/>
      <c r="U928" s="48"/>
      <c r="V928" s="48"/>
      <c r="W928" s="49"/>
      <c r="X928" s="49"/>
      <c r="Y928" s="49"/>
      <c r="Z928" s="49"/>
      <c r="AA928" s="49"/>
      <c r="AB928" s="49"/>
      <c r="AC928" s="49"/>
      <c r="AD928" s="49"/>
      <c r="AE928" s="49"/>
      <c r="AF928" s="49"/>
      <c r="AG928" s="49"/>
      <c r="AH928" s="49"/>
      <c r="AI928" s="48"/>
      <c r="AJ928" s="48"/>
      <c r="AK928" s="24"/>
      <c r="AL928" s="50"/>
      <c r="AM928" s="50"/>
      <c r="AN928" s="50"/>
      <c r="AO928" s="50"/>
      <c r="AP928" s="50"/>
      <c r="AQ928" s="50"/>
      <c r="AR928" s="50"/>
      <c r="AS928" s="50"/>
      <c r="AT928" s="51"/>
      <c r="AU928" s="51"/>
      <c r="AV928" s="51"/>
      <c r="AW928" s="51"/>
      <c r="AX928" s="50"/>
      <c r="AY928" s="50"/>
      <c r="AZ928" s="50"/>
      <c r="BA928" s="50"/>
      <c r="BB928" s="51"/>
      <c r="BC928" s="51"/>
      <c r="BD928" s="51"/>
      <c r="BE928" s="51"/>
      <c r="BF928" s="47"/>
      <c r="BG928" s="47"/>
      <c r="BH928" s="47"/>
      <c r="BI928" s="47"/>
      <c r="BJ928" s="47"/>
      <c r="BK928" s="47"/>
      <c r="BL928" s="47"/>
      <c r="BM928" s="47"/>
      <c r="BN928" s="47"/>
      <c r="BO928" s="47"/>
      <c r="BP928" s="47"/>
      <c r="BQ928" s="47"/>
      <c r="BR928" s="47"/>
      <c r="BS928" s="47"/>
      <c r="BT928" s="47"/>
    </row>
    <row r="929">
      <c r="A929" s="24"/>
      <c r="B929" s="48"/>
      <c r="C929" s="49"/>
      <c r="D929" s="24"/>
      <c r="E929" s="52"/>
      <c r="F929" s="53"/>
      <c r="G929" s="48"/>
      <c r="H929" s="49"/>
      <c r="I929" s="49"/>
      <c r="J929" s="48"/>
      <c r="K929" s="48"/>
      <c r="L929" s="48"/>
      <c r="M929" s="48"/>
      <c r="N929" s="48"/>
      <c r="O929" s="48"/>
      <c r="P929" s="48"/>
      <c r="Q929" s="48"/>
      <c r="R929" s="48"/>
      <c r="S929" s="48"/>
      <c r="T929" s="48"/>
      <c r="U929" s="48"/>
      <c r="V929" s="48"/>
      <c r="W929" s="49"/>
      <c r="X929" s="49"/>
      <c r="Y929" s="49"/>
      <c r="Z929" s="49"/>
      <c r="AA929" s="49"/>
      <c r="AB929" s="49"/>
      <c r="AC929" s="49"/>
      <c r="AD929" s="49"/>
      <c r="AE929" s="49"/>
      <c r="AF929" s="49"/>
      <c r="AG929" s="49"/>
      <c r="AH929" s="49"/>
      <c r="AI929" s="48"/>
      <c r="AJ929" s="48"/>
      <c r="AK929" s="24"/>
      <c r="AL929" s="50"/>
      <c r="AM929" s="50"/>
      <c r="AN929" s="50"/>
      <c r="AO929" s="50"/>
      <c r="AP929" s="50"/>
      <c r="AQ929" s="50"/>
      <c r="AR929" s="50"/>
      <c r="AS929" s="50"/>
      <c r="AT929" s="51"/>
      <c r="AU929" s="51"/>
      <c r="AV929" s="51"/>
      <c r="AW929" s="51"/>
      <c r="AX929" s="50"/>
      <c r="AY929" s="50"/>
      <c r="AZ929" s="50"/>
      <c r="BA929" s="50"/>
      <c r="BB929" s="51"/>
      <c r="BC929" s="51"/>
      <c r="BD929" s="51"/>
      <c r="BE929" s="51"/>
      <c r="BF929" s="47"/>
      <c r="BG929" s="47"/>
      <c r="BH929" s="47"/>
      <c r="BI929" s="47"/>
      <c r="BJ929" s="47"/>
      <c r="BK929" s="47"/>
      <c r="BL929" s="47"/>
      <c r="BM929" s="47"/>
      <c r="BN929" s="47"/>
      <c r="BO929" s="47"/>
      <c r="BP929" s="47"/>
      <c r="BQ929" s="47"/>
      <c r="BR929" s="47"/>
      <c r="BS929" s="47"/>
      <c r="BT929" s="47"/>
    </row>
    <row r="930">
      <c r="A930" s="24"/>
      <c r="B930" s="48"/>
      <c r="C930" s="49"/>
      <c r="D930" s="24"/>
      <c r="E930" s="52"/>
      <c r="F930" s="53"/>
      <c r="G930" s="48"/>
      <c r="H930" s="49"/>
      <c r="I930" s="49"/>
      <c r="J930" s="48"/>
      <c r="K930" s="48"/>
      <c r="L930" s="48"/>
      <c r="M930" s="48"/>
      <c r="N930" s="48"/>
      <c r="O930" s="48"/>
      <c r="P930" s="48"/>
      <c r="Q930" s="48"/>
      <c r="R930" s="48"/>
      <c r="S930" s="48"/>
      <c r="T930" s="48"/>
      <c r="U930" s="48"/>
      <c r="V930" s="48"/>
      <c r="W930" s="49"/>
      <c r="X930" s="49"/>
      <c r="Y930" s="49"/>
      <c r="Z930" s="49"/>
      <c r="AA930" s="49"/>
      <c r="AB930" s="49"/>
      <c r="AC930" s="49"/>
      <c r="AD930" s="49"/>
      <c r="AE930" s="49"/>
      <c r="AF930" s="49"/>
      <c r="AG930" s="49"/>
      <c r="AH930" s="49"/>
      <c r="AI930" s="48"/>
      <c r="AJ930" s="48"/>
      <c r="AK930" s="24"/>
      <c r="AL930" s="50"/>
      <c r="AM930" s="50"/>
      <c r="AN930" s="50"/>
      <c r="AO930" s="50"/>
      <c r="AP930" s="50"/>
      <c r="AQ930" s="50"/>
      <c r="AR930" s="50"/>
      <c r="AS930" s="50"/>
      <c r="AT930" s="51"/>
      <c r="AU930" s="51"/>
      <c r="AV930" s="51"/>
      <c r="AW930" s="51"/>
      <c r="AX930" s="50"/>
      <c r="AY930" s="50"/>
      <c r="AZ930" s="50"/>
      <c r="BA930" s="50"/>
      <c r="BB930" s="51"/>
      <c r="BC930" s="51"/>
      <c r="BD930" s="51"/>
      <c r="BE930" s="51"/>
      <c r="BF930" s="47"/>
      <c r="BG930" s="47"/>
      <c r="BH930" s="47"/>
      <c r="BI930" s="47"/>
      <c r="BJ930" s="47"/>
      <c r="BK930" s="47"/>
      <c r="BL930" s="47"/>
      <c r="BM930" s="47"/>
      <c r="BN930" s="47"/>
      <c r="BO930" s="47"/>
      <c r="BP930" s="47"/>
      <c r="BQ930" s="47"/>
      <c r="BR930" s="47"/>
      <c r="BS930" s="47"/>
      <c r="BT930" s="47"/>
    </row>
    <row r="931">
      <c r="A931" s="24"/>
      <c r="B931" s="48"/>
      <c r="C931" s="49"/>
      <c r="D931" s="24"/>
      <c r="E931" s="52"/>
      <c r="F931" s="53"/>
      <c r="G931" s="48"/>
      <c r="H931" s="49"/>
      <c r="I931" s="49"/>
      <c r="J931" s="48"/>
      <c r="K931" s="48"/>
      <c r="L931" s="48"/>
      <c r="M931" s="48"/>
      <c r="N931" s="48"/>
      <c r="O931" s="48"/>
      <c r="P931" s="48"/>
      <c r="Q931" s="48"/>
      <c r="R931" s="48"/>
      <c r="S931" s="48"/>
      <c r="T931" s="48"/>
      <c r="U931" s="48"/>
      <c r="V931" s="48"/>
      <c r="W931" s="49"/>
      <c r="X931" s="49"/>
      <c r="Y931" s="49"/>
      <c r="Z931" s="49"/>
      <c r="AA931" s="49"/>
      <c r="AB931" s="49"/>
      <c r="AC931" s="49"/>
      <c r="AD931" s="49"/>
      <c r="AE931" s="49"/>
      <c r="AF931" s="49"/>
      <c r="AG931" s="49"/>
      <c r="AH931" s="49"/>
      <c r="AI931" s="48"/>
      <c r="AJ931" s="48"/>
      <c r="AK931" s="24"/>
      <c r="AL931" s="50"/>
      <c r="AM931" s="50"/>
      <c r="AN931" s="50"/>
      <c r="AO931" s="50"/>
      <c r="AP931" s="50"/>
      <c r="AQ931" s="50"/>
      <c r="AR931" s="50"/>
      <c r="AS931" s="50"/>
      <c r="AT931" s="51"/>
      <c r="AU931" s="51"/>
      <c r="AV931" s="51"/>
      <c r="AW931" s="51"/>
      <c r="AX931" s="50"/>
      <c r="AY931" s="50"/>
      <c r="AZ931" s="50"/>
      <c r="BA931" s="50"/>
      <c r="BB931" s="51"/>
      <c r="BC931" s="51"/>
      <c r="BD931" s="51"/>
      <c r="BE931" s="51"/>
      <c r="BF931" s="47"/>
      <c r="BG931" s="47"/>
      <c r="BH931" s="47"/>
      <c r="BI931" s="47"/>
      <c r="BJ931" s="47"/>
      <c r="BK931" s="47"/>
      <c r="BL931" s="47"/>
      <c r="BM931" s="47"/>
      <c r="BN931" s="47"/>
      <c r="BO931" s="47"/>
      <c r="BP931" s="47"/>
      <c r="BQ931" s="47"/>
      <c r="BR931" s="47"/>
      <c r="BS931" s="47"/>
      <c r="BT931" s="47"/>
    </row>
    <row r="932">
      <c r="A932" s="24"/>
      <c r="B932" s="48"/>
      <c r="C932" s="49"/>
      <c r="D932" s="24"/>
      <c r="E932" s="52"/>
      <c r="F932" s="53"/>
      <c r="G932" s="48"/>
      <c r="H932" s="49"/>
      <c r="I932" s="49"/>
      <c r="J932" s="48"/>
      <c r="K932" s="48"/>
      <c r="L932" s="48"/>
      <c r="M932" s="48"/>
      <c r="N932" s="48"/>
      <c r="O932" s="48"/>
      <c r="P932" s="48"/>
      <c r="Q932" s="48"/>
      <c r="R932" s="48"/>
      <c r="S932" s="48"/>
      <c r="T932" s="48"/>
      <c r="U932" s="48"/>
      <c r="V932" s="48"/>
      <c r="W932" s="49"/>
      <c r="X932" s="49"/>
      <c r="Y932" s="49"/>
      <c r="Z932" s="49"/>
      <c r="AA932" s="49"/>
      <c r="AB932" s="49"/>
      <c r="AC932" s="49"/>
      <c r="AD932" s="49"/>
      <c r="AE932" s="49"/>
      <c r="AF932" s="49"/>
      <c r="AG932" s="49"/>
      <c r="AH932" s="49"/>
      <c r="AI932" s="48"/>
      <c r="AJ932" s="48"/>
      <c r="AK932" s="24"/>
      <c r="AL932" s="50"/>
      <c r="AM932" s="50"/>
      <c r="AN932" s="50"/>
      <c r="AO932" s="50"/>
      <c r="AP932" s="50"/>
      <c r="AQ932" s="50"/>
      <c r="AR932" s="50"/>
      <c r="AS932" s="50"/>
      <c r="AT932" s="51"/>
      <c r="AU932" s="51"/>
      <c r="AV932" s="51"/>
      <c r="AW932" s="51"/>
      <c r="AX932" s="50"/>
      <c r="AY932" s="50"/>
      <c r="AZ932" s="50"/>
      <c r="BA932" s="50"/>
      <c r="BB932" s="51"/>
      <c r="BC932" s="51"/>
      <c r="BD932" s="51"/>
      <c r="BE932" s="51"/>
      <c r="BF932" s="47"/>
      <c r="BG932" s="47"/>
      <c r="BH932" s="47"/>
      <c r="BI932" s="47"/>
      <c r="BJ932" s="47"/>
      <c r="BK932" s="47"/>
      <c r="BL932" s="47"/>
      <c r="BM932" s="47"/>
      <c r="BN932" s="47"/>
      <c r="BO932" s="47"/>
      <c r="BP932" s="47"/>
      <c r="BQ932" s="47"/>
      <c r="BR932" s="47"/>
      <c r="BS932" s="47"/>
      <c r="BT932" s="47"/>
    </row>
    <row r="933">
      <c r="A933" s="24"/>
      <c r="B933" s="48"/>
      <c r="C933" s="49"/>
      <c r="D933" s="24"/>
      <c r="E933" s="52"/>
      <c r="F933" s="53"/>
      <c r="G933" s="48"/>
      <c r="H933" s="49"/>
      <c r="I933" s="49"/>
      <c r="J933" s="48"/>
      <c r="K933" s="48"/>
      <c r="L933" s="48"/>
      <c r="M933" s="48"/>
      <c r="N933" s="48"/>
      <c r="O933" s="48"/>
      <c r="P933" s="48"/>
      <c r="Q933" s="48"/>
      <c r="R933" s="48"/>
      <c r="S933" s="48"/>
      <c r="T933" s="48"/>
      <c r="U933" s="48"/>
      <c r="V933" s="48"/>
      <c r="W933" s="49"/>
      <c r="X933" s="49"/>
      <c r="Y933" s="49"/>
      <c r="Z933" s="49"/>
      <c r="AA933" s="49"/>
      <c r="AB933" s="49"/>
      <c r="AC933" s="49"/>
      <c r="AD933" s="49"/>
      <c r="AE933" s="49"/>
      <c r="AF933" s="49"/>
      <c r="AG933" s="49"/>
      <c r="AH933" s="49"/>
      <c r="AI933" s="48"/>
      <c r="AJ933" s="48"/>
      <c r="AK933" s="24"/>
      <c r="AL933" s="50"/>
      <c r="AM933" s="50"/>
      <c r="AN933" s="50"/>
      <c r="AO933" s="50"/>
      <c r="AP933" s="50"/>
      <c r="AQ933" s="50"/>
      <c r="AR933" s="50"/>
      <c r="AS933" s="50"/>
      <c r="AT933" s="51"/>
      <c r="AU933" s="51"/>
      <c r="AV933" s="51"/>
      <c r="AW933" s="51"/>
      <c r="AX933" s="50"/>
      <c r="AY933" s="50"/>
      <c r="AZ933" s="50"/>
      <c r="BA933" s="50"/>
      <c r="BB933" s="51"/>
      <c r="BC933" s="51"/>
      <c r="BD933" s="51"/>
      <c r="BE933" s="51"/>
      <c r="BF933" s="47"/>
      <c r="BG933" s="47"/>
      <c r="BH933" s="47"/>
      <c r="BI933" s="47"/>
      <c r="BJ933" s="47"/>
      <c r="BK933" s="47"/>
      <c r="BL933" s="47"/>
      <c r="BM933" s="47"/>
      <c r="BN933" s="47"/>
      <c r="BO933" s="47"/>
      <c r="BP933" s="47"/>
      <c r="BQ933" s="47"/>
      <c r="BR933" s="47"/>
      <c r="BS933" s="47"/>
      <c r="BT933" s="47"/>
    </row>
    <row r="934">
      <c r="A934" s="24"/>
      <c r="B934" s="48"/>
      <c r="C934" s="49"/>
      <c r="D934" s="24"/>
      <c r="E934" s="52"/>
      <c r="F934" s="53"/>
      <c r="G934" s="48"/>
      <c r="H934" s="49"/>
      <c r="I934" s="49"/>
      <c r="J934" s="48"/>
      <c r="K934" s="48"/>
      <c r="L934" s="48"/>
      <c r="M934" s="48"/>
      <c r="N934" s="48"/>
      <c r="O934" s="48"/>
      <c r="P934" s="48"/>
      <c r="Q934" s="48"/>
      <c r="R934" s="48"/>
      <c r="S934" s="48"/>
      <c r="T934" s="48"/>
      <c r="U934" s="48"/>
      <c r="V934" s="48"/>
      <c r="W934" s="49"/>
      <c r="X934" s="49"/>
      <c r="Y934" s="49"/>
      <c r="Z934" s="49"/>
      <c r="AA934" s="49"/>
      <c r="AB934" s="49"/>
      <c r="AC934" s="49"/>
      <c r="AD934" s="49"/>
      <c r="AE934" s="49"/>
      <c r="AF934" s="49"/>
      <c r="AG934" s="49"/>
      <c r="AH934" s="49"/>
      <c r="AI934" s="48"/>
      <c r="AJ934" s="48"/>
      <c r="AK934" s="24"/>
      <c r="AL934" s="50"/>
      <c r="AM934" s="50"/>
      <c r="AN934" s="50"/>
      <c r="AO934" s="50"/>
      <c r="AP934" s="50"/>
      <c r="AQ934" s="50"/>
      <c r="AR934" s="50"/>
      <c r="AS934" s="50"/>
      <c r="AT934" s="51"/>
      <c r="AU934" s="51"/>
      <c r="AV934" s="51"/>
      <c r="AW934" s="51"/>
      <c r="AX934" s="50"/>
      <c r="AY934" s="50"/>
      <c r="AZ934" s="50"/>
      <c r="BA934" s="50"/>
      <c r="BB934" s="51"/>
      <c r="BC934" s="51"/>
      <c r="BD934" s="51"/>
      <c r="BE934" s="51"/>
      <c r="BF934" s="47"/>
      <c r="BG934" s="47"/>
      <c r="BH934" s="47"/>
      <c r="BI934" s="47"/>
      <c r="BJ934" s="47"/>
      <c r="BK934" s="47"/>
      <c r="BL934" s="47"/>
      <c r="BM934" s="47"/>
      <c r="BN934" s="47"/>
      <c r="BO934" s="47"/>
      <c r="BP934" s="47"/>
      <c r="BQ934" s="47"/>
      <c r="BR934" s="47"/>
      <c r="BS934" s="47"/>
      <c r="BT934" s="47"/>
    </row>
    <row r="935">
      <c r="A935" s="24"/>
      <c r="B935" s="48"/>
      <c r="C935" s="49"/>
      <c r="D935" s="24"/>
      <c r="E935" s="52"/>
      <c r="F935" s="53"/>
      <c r="G935" s="48"/>
      <c r="H935" s="49"/>
      <c r="I935" s="49"/>
      <c r="J935" s="48"/>
      <c r="K935" s="48"/>
      <c r="L935" s="48"/>
      <c r="M935" s="48"/>
      <c r="N935" s="48"/>
      <c r="O935" s="48"/>
      <c r="P935" s="48"/>
      <c r="Q935" s="48"/>
      <c r="R935" s="48"/>
      <c r="S935" s="48"/>
      <c r="T935" s="48"/>
      <c r="U935" s="48"/>
      <c r="V935" s="48"/>
      <c r="W935" s="49"/>
      <c r="X935" s="49"/>
      <c r="Y935" s="49"/>
      <c r="Z935" s="49"/>
      <c r="AA935" s="49"/>
      <c r="AB935" s="49"/>
      <c r="AC935" s="49"/>
      <c r="AD935" s="49"/>
      <c r="AE935" s="49"/>
      <c r="AF935" s="49"/>
      <c r="AG935" s="49"/>
      <c r="AH935" s="49"/>
      <c r="AI935" s="48"/>
      <c r="AJ935" s="48"/>
      <c r="AK935" s="24"/>
      <c r="AL935" s="50"/>
      <c r="AM935" s="50"/>
      <c r="AN935" s="50"/>
      <c r="AO935" s="50"/>
      <c r="AP935" s="50"/>
      <c r="AQ935" s="50"/>
      <c r="AR935" s="50"/>
      <c r="AS935" s="50"/>
      <c r="AT935" s="51"/>
      <c r="AU935" s="51"/>
      <c r="AV935" s="51"/>
      <c r="AW935" s="51"/>
      <c r="AX935" s="50"/>
      <c r="AY935" s="50"/>
      <c r="AZ935" s="50"/>
      <c r="BA935" s="50"/>
      <c r="BB935" s="51"/>
      <c r="BC935" s="51"/>
      <c r="BD935" s="51"/>
      <c r="BE935" s="51"/>
      <c r="BF935" s="47"/>
      <c r="BG935" s="47"/>
      <c r="BH935" s="47"/>
      <c r="BI935" s="47"/>
      <c r="BJ935" s="47"/>
      <c r="BK935" s="47"/>
      <c r="BL935" s="47"/>
      <c r="BM935" s="47"/>
      <c r="BN935" s="47"/>
      <c r="BO935" s="47"/>
      <c r="BP935" s="47"/>
      <c r="BQ935" s="47"/>
      <c r="BR935" s="47"/>
      <c r="BS935" s="47"/>
      <c r="BT935" s="47"/>
    </row>
    <row r="936">
      <c r="A936" s="24"/>
      <c r="B936" s="48"/>
      <c r="C936" s="49"/>
      <c r="D936" s="24"/>
      <c r="E936" s="52"/>
      <c r="F936" s="53"/>
      <c r="G936" s="48"/>
      <c r="H936" s="49"/>
      <c r="I936" s="49"/>
      <c r="J936" s="48"/>
      <c r="K936" s="48"/>
      <c r="L936" s="48"/>
      <c r="M936" s="48"/>
      <c r="N936" s="48"/>
      <c r="O936" s="48"/>
      <c r="P936" s="48"/>
      <c r="Q936" s="48"/>
      <c r="R936" s="48"/>
      <c r="S936" s="48"/>
      <c r="T936" s="48"/>
      <c r="U936" s="48"/>
      <c r="V936" s="48"/>
      <c r="W936" s="49"/>
      <c r="X936" s="49"/>
      <c r="Y936" s="49"/>
      <c r="Z936" s="49"/>
      <c r="AA936" s="49"/>
      <c r="AB936" s="49"/>
      <c r="AC936" s="49"/>
      <c r="AD936" s="49"/>
      <c r="AE936" s="49"/>
      <c r="AF936" s="49"/>
      <c r="AG936" s="49"/>
      <c r="AH936" s="49"/>
      <c r="AI936" s="48"/>
      <c r="AJ936" s="48"/>
      <c r="AK936" s="24"/>
      <c r="AL936" s="50"/>
      <c r="AM936" s="50"/>
      <c r="AN936" s="50"/>
      <c r="AO936" s="50"/>
      <c r="AP936" s="50"/>
      <c r="AQ936" s="50"/>
      <c r="AR936" s="50"/>
      <c r="AS936" s="50"/>
      <c r="AT936" s="51"/>
      <c r="AU936" s="51"/>
      <c r="AV936" s="51"/>
      <c r="AW936" s="51"/>
      <c r="AX936" s="50"/>
      <c r="AY936" s="50"/>
      <c r="AZ936" s="50"/>
      <c r="BA936" s="50"/>
      <c r="BB936" s="51"/>
      <c r="BC936" s="51"/>
      <c r="BD936" s="51"/>
      <c r="BE936" s="51"/>
      <c r="BF936" s="47"/>
      <c r="BG936" s="47"/>
      <c r="BH936" s="47"/>
      <c r="BI936" s="47"/>
      <c r="BJ936" s="47"/>
      <c r="BK936" s="47"/>
      <c r="BL936" s="47"/>
      <c r="BM936" s="47"/>
      <c r="BN936" s="47"/>
      <c r="BO936" s="47"/>
      <c r="BP936" s="47"/>
      <c r="BQ936" s="47"/>
      <c r="BR936" s="47"/>
      <c r="BS936" s="47"/>
      <c r="BT936" s="47"/>
    </row>
    <row r="937">
      <c r="A937" s="24"/>
      <c r="B937" s="48"/>
      <c r="C937" s="49"/>
      <c r="D937" s="24"/>
      <c r="E937" s="52"/>
      <c r="F937" s="53"/>
      <c r="G937" s="48"/>
      <c r="H937" s="49"/>
      <c r="I937" s="49"/>
      <c r="J937" s="48"/>
      <c r="K937" s="48"/>
      <c r="L937" s="48"/>
      <c r="M937" s="48"/>
      <c r="N937" s="48"/>
      <c r="O937" s="48"/>
      <c r="P937" s="48"/>
      <c r="Q937" s="48"/>
      <c r="R937" s="48"/>
      <c r="S937" s="48"/>
      <c r="T937" s="48"/>
      <c r="U937" s="48"/>
      <c r="V937" s="48"/>
      <c r="W937" s="49"/>
      <c r="X937" s="49"/>
      <c r="Y937" s="49"/>
      <c r="Z937" s="49"/>
      <c r="AA937" s="49"/>
      <c r="AB937" s="49"/>
      <c r="AC937" s="49"/>
      <c r="AD937" s="49"/>
      <c r="AE937" s="49"/>
      <c r="AF937" s="49"/>
      <c r="AG937" s="49"/>
      <c r="AH937" s="49"/>
      <c r="AI937" s="48"/>
      <c r="AJ937" s="48"/>
      <c r="AK937" s="24"/>
      <c r="AL937" s="50"/>
      <c r="AM937" s="50"/>
      <c r="AN937" s="50"/>
      <c r="AO937" s="50"/>
      <c r="AP937" s="50"/>
      <c r="AQ937" s="50"/>
      <c r="AR937" s="50"/>
      <c r="AS937" s="50"/>
      <c r="AT937" s="51"/>
      <c r="AU937" s="51"/>
      <c r="AV937" s="51"/>
      <c r="AW937" s="51"/>
      <c r="AX937" s="50"/>
      <c r="AY937" s="50"/>
      <c r="AZ937" s="50"/>
      <c r="BA937" s="50"/>
      <c r="BB937" s="51"/>
      <c r="BC937" s="51"/>
      <c r="BD937" s="51"/>
      <c r="BE937" s="51"/>
      <c r="BF937" s="47"/>
      <c r="BG937" s="47"/>
      <c r="BH937" s="47"/>
      <c r="BI937" s="47"/>
      <c r="BJ937" s="47"/>
      <c r="BK937" s="47"/>
      <c r="BL937" s="47"/>
      <c r="BM937" s="47"/>
      <c r="BN937" s="47"/>
      <c r="BO937" s="47"/>
      <c r="BP937" s="47"/>
      <c r="BQ937" s="47"/>
      <c r="BR937" s="47"/>
      <c r="BS937" s="47"/>
      <c r="BT937" s="47"/>
    </row>
    <row r="938">
      <c r="A938" s="24"/>
      <c r="B938" s="48"/>
      <c r="C938" s="49"/>
      <c r="D938" s="24"/>
      <c r="E938" s="52"/>
      <c r="F938" s="53"/>
      <c r="G938" s="48"/>
      <c r="H938" s="49"/>
      <c r="I938" s="49"/>
      <c r="J938" s="48"/>
      <c r="K938" s="48"/>
      <c r="L938" s="48"/>
      <c r="M938" s="48"/>
      <c r="N938" s="48"/>
      <c r="O938" s="48"/>
      <c r="P938" s="48"/>
      <c r="Q938" s="48"/>
      <c r="R938" s="48"/>
      <c r="S938" s="48"/>
      <c r="T938" s="48"/>
      <c r="U938" s="48"/>
      <c r="V938" s="48"/>
      <c r="W938" s="49"/>
      <c r="X938" s="49"/>
      <c r="Y938" s="49"/>
      <c r="Z938" s="49"/>
      <c r="AA938" s="49"/>
      <c r="AB938" s="49"/>
      <c r="AC938" s="49"/>
      <c r="AD938" s="49"/>
      <c r="AE938" s="49"/>
      <c r="AF938" s="49"/>
      <c r="AG938" s="49"/>
      <c r="AH938" s="49"/>
      <c r="AI938" s="48"/>
      <c r="AJ938" s="48"/>
      <c r="AK938" s="24"/>
      <c r="AL938" s="50"/>
      <c r="AM938" s="50"/>
      <c r="AN938" s="50"/>
      <c r="AO938" s="50"/>
      <c r="AP938" s="50"/>
      <c r="AQ938" s="50"/>
      <c r="AR938" s="50"/>
      <c r="AS938" s="50"/>
      <c r="AT938" s="51"/>
      <c r="AU938" s="51"/>
      <c r="AV938" s="51"/>
      <c r="AW938" s="51"/>
      <c r="AX938" s="50"/>
      <c r="AY938" s="50"/>
      <c r="AZ938" s="50"/>
      <c r="BA938" s="50"/>
      <c r="BB938" s="51"/>
      <c r="BC938" s="51"/>
      <c r="BD938" s="51"/>
      <c r="BE938" s="51"/>
      <c r="BF938" s="47"/>
      <c r="BG938" s="47"/>
      <c r="BH938" s="47"/>
      <c r="BI938" s="47"/>
      <c r="BJ938" s="47"/>
      <c r="BK938" s="47"/>
      <c r="BL938" s="47"/>
      <c r="BM938" s="47"/>
      <c r="BN938" s="47"/>
      <c r="BO938" s="47"/>
      <c r="BP938" s="47"/>
      <c r="BQ938" s="47"/>
      <c r="BR938" s="47"/>
      <c r="BS938" s="47"/>
      <c r="BT938" s="47"/>
    </row>
    <row r="939">
      <c r="A939" s="24"/>
      <c r="B939" s="48"/>
      <c r="C939" s="49"/>
      <c r="D939" s="24"/>
      <c r="E939" s="52"/>
      <c r="F939" s="53"/>
      <c r="G939" s="48"/>
      <c r="H939" s="49"/>
      <c r="I939" s="49"/>
      <c r="J939" s="48"/>
      <c r="K939" s="48"/>
      <c r="L939" s="48"/>
      <c r="M939" s="48"/>
      <c r="N939" s="48"/>
      <c r="O939" s="48"/>
      <c r="P939" s="48"/>
      <c r="Q939" s="48"/>
      <c r="R939" s="48"/>
      <c r="S939" s="48"/>
      <c r="T939" s="48"/>
      <c r="U939" s="48"/>
      <c r="V939" s="48"/>
      <c r="W939" s="49"/>
      <c r="X939" s="49"/>
      <c r="Y939" s="49"/>
      <c r="Z939" s="49"/>
      <c r="AA939" s="49"/>
      <c r="AB939" s="49"/>
      <c r="AC939" s="49"/>
      <c r="AD939" s="49"/>
      <c r="AE939" s="49"/>
      <c r="AF939" s="49"/>
      <c r="AG939" s="49"/>
      <c r="AH939" s="49"/>
      <c r="AI939" s="48"/>
      <c r="AJ939" s="48"/>
      <c r="AK939" s="24"/>
      <c r="AL939" s="50"/>
      <c r="AM939" s="50"/>
      <c r="AN939" s="50"/>
      <c r="AO939" s="50"/>
      <c r="AP939" s="50"/>
      <c r="AQ939" s="50"/>
      <c r="AR939" s="50"/>
      <c r="AS939" s="50"/>
      <c r="AT939" s="51"/>
      <c r="AU939" s="51"/>
      <c r="AV939" s="51"/>
      <c r="AW939" s="51"/>
      <c r="AX939" s="50"/>
      <c r="AY939" s="50"/>
      <c r="AZ939" s="50"/>
      <c r="BA939" s="50"/>
      <c r="BB939" s="51"/>
      <c r="BC939" s="51"/>
      <c r="BD939" s="51"/>
      <c r="BE939" s="51"/>
      <c r="BF939" s="47"/>
      <c r="BG939" s="47"/>
      <c r="BH939" s="47"/>
      <c r="BI939" s="47"/>
      <c r="BJ939" s="47"/>
      <c r="BK939" s="47"/>
      <c r="BL939" s="47"/>
      <c r="BM939" s="47"/>
      <c r="BN939" s="47"/>
      <c r="BO939" s="47"/>
      <c r="BP939" s="47"/>
      <c r="BQ939" s="47"/>
      <c r="BR939" s="47"/>
      <c r="BS939" s="47"/>
      <c r="BT939" s="47"/>
    </row>
    <row r="940">
      <c r="A940" s="24"/>
      <c r="B940" s="48"/>
      <c r="C940" s="49"/>
      <c r="D940" s="24"/>
      <c r="E940" s="52"/>
      <c r="F940" s="53"/>
      <c r="G940" s="48"/>
      <c r="H940" s="49"/>
      <c r="I940" s="49"/>
      <c r="J940" s="48"/>
      <c r="K940" s="48"/>
      <c r="L940" s="48"/>
      <c r="M940" s="48"/>
      <c r="N940" s="48"/>
      <c r="O940" s="48"/>
      <c r="P940" s="48"/>
      <c r="Q940" s="48"/>
      <c r="R940" s="48"/>
      <c r="S940" s="48"/>
      <c r="T940" s="48"/>
      <c r="U940" s="48"/>
      <c r="V940" s="48"/>
      <c r="W940" s="49"/>
      <c r="X940" s="49"/>
      <c r="Y940" s="49"/>
      <c r="Z940" s="49"/>
      <c r="AA940" s="49"/>
      <c r="AB940" s="49"/>
      <c r="AC940" s="49"/>
      <c r="AD940" s="49"/>
      <c r="AE940" s="49"/>
      <c r="AF940" s="49"/>
      <c r="AG940" s="49"/>
      <c r="AH940" s="49"/>
      <c r="AI940" s="48"/>
      <c r="AJ940" s="48"/>
      <c r="AK940" s="24"/>
      <c r="AL940" s="50"/>
      <c r="AM940" s="50"/>
      <c r="AN940" s="50"/>
      <c r="AO940" s="50"/>
      <c r="AP940" s="50"/>
      <c r="AQ940" s="50"/>
      <c r="AR940" s="50"/>
      <c r="AS940" s="50"/>
      <c r="AT940" s="51"/>
      <c r="AU940" s="51"/>
      <c r="AV940" s="51"/>
      <c r="AW940" s="51"/>
      <c r="AX940" s="50"/>
      <c r="AY940" s="50"/>
      <c r="AZ940" s="50"/>
      <c r="BA940" s="50"/>
      <c r="BB940" s="51"/>
      <c r="BC940" s="51"/>
      <c r="BD940" s="51"/>
      <c r="BE940" s="51"/>
      <c r="BF940" s="47"/>
      <c r="BG940" s="47"/>
      <c r="BH940" s="47"/>
      <c r="BI940" s="47"/>
      <c r="BJ940" s="47"/>
      <c r="BK940" s="47"/>
      <c r="BL940" s="47"/>
      <c r="BM940" s="47"/>
      <c r="BN940" s="47"/>
      <c r="BO940" s="47"/>
      <c r="BP940" s="47"/>
      <c r="BQ940" s="47"/>
      <c r="BR940" s="47"/>
      <c r="BS940" s="47"/>
      <c r="BT940" s="47"/>
    </row>
    <row r="941">
      <c r="A941" s="24"/>
      <c r="B941" s="48"/>
      <c r="C941" s="49"/>
      <c r="D941" s="24"/>
      <c r="E941" s="52"/>
      <c r="F941" s="53"/>
      <c r="G941" s="48"/>
      <c r="H941" s="49"/>
      <c r="I941" s="49"/>
      <c r="J941" s="48"/>
      <c r="K941" s="48"/>
      <c r="L941" s="48"/>
      <c r="M941" s="48"/>
      <c r="N941" s="48"/>
      <c r="O941" s="48"/>
      <c r="P941" s="48"/>
      <c r="Q941" s="48"/>
      <c r="R941" s="48"/>
      <c r="S941" s="48"/>
      <c r="T941" s="48"/>
      <c r="U941" s="48"/>
      <c r="V941" s="48"/>
      <c r="W941" s="49"/>
      <c r="X941" s="49"/>
      <c r="Y941" s="49"/>
      <c r="Z941" s="49"/>
      <c r="AA941" s="49"/>
      <c r="AB941" s="49"/>
      <c r="AC941" s="49"/>
      <c r="AD941" s="49"/>
      <c r="AE941" s="49"/>
      <c r="AF941" s="49"/>
      <c r="AG941" s="49"/>
      <c r="AH941" s="49"/>
      <c r="AI941" s="48"/>
      <c r="AJ941" s="48"/>
      <c r="AK941" s="24"/>
      <c r="AL941" s="50"/>
      <c r="AM941" s="50"/>
      <c r="AN941" s="50"/>
      <c r="AO941" s="50"/>
      <c r="AP941" s="50"/>
      <c r="AQ941" s="50"/>
      <c r="AR941" s="50"/>
      <c r="AS941" s="50"/>
      <c r="AT941" s="51"/>
      <c r="AU941" s="51"/>
      <c r="AV941" s="51"/>
      <c r="AW941" s="51"/>
      <c r="AX941" s="50"/>
      <c r="AY941" s="50"/>
      <c r="AZ941" s="50"/>
      <c r="BA941" s="50"/>
      <c r="BB941" s="51"/>
      <c r="BC941" s="51"/>
      <c r="BD941" s="51"/>
      <c r="BE941" s="51"/>
      <c r="BF941" s="47"/>
      <c r="BG941" s="47"/>
      <c r="BH941" s="47"/>
      <c r="BI941" s="47"/>
      <c r="BJ941" s="47"/>
      <c r="BK941" s="47"/>
      <c r="BL941" s="47"/>
      <c r="BM941" s="47"/>
      <c r="BN941" s="47"/>
      <c r="BO941" s="47"/>
      <c r="BP941" s="47"/>
      <c r="BQ941" s="47"/>
      <c r="BR941" s="47"/>
      <c r="BS941" s="47"/>
      <c r="BT941" s="47"/>
    </row>
    <row r="942">
      <c r="A942" s="24"/>
      <c r="B942" s="48"/>
      <c r="C942" s="49"/>
      <c r="D942" s="24"/>
      <c r="E942" s="52"/>
      <c r="F942" s="53"/>
      <c r="G942" s="48"/>
      <c r="H942" s="49"/>
      <c r="I942" s="49"/>
      <c r="J942" s="48"/>
      <c r="K942" s="48"/>
      <c r="L942" s="48"/>
      <c r="M942" s="48"/>
      <c r="N942" s="48"/>
      <c r="O942" s="48"/>
      <c r="P942" s="48"/>
      <c r="Q942" s="48"/>
      <c r="R942" s="48"/>
      <c r="S942" s="48"/>
      <c r="T942" s="48"/>
      <c r="U942" s="48"/>
      <c r="V942" s="48"/>
      <c r="W942" s="49"/>
      <c r="X942" s="49"/>
      <c r="Y942" s="49"/>
      <c r="Z942" s="49"/>
      <c r="AA942" s="49"/>
      <c r="AB942" s="49"/>
      <c r="AC942" s="49"/>
      <c r="AD942" s="49"/>
      <c r="AE942" s="49"/>
      <c r="AF942" s="49"/>
      <c r="AG942" s="49"/>
      <c r="AH942" s="49"/>
      <c r="AI942" s="48"/>
      <c r="AJ942" s="48"/>
      <c r="AK942" s="24"/>
      <c r="AL942" s="50"/>
      <c r="AM942" s="50"/>
      <c r="AN942" s="50"/>
      <c r="AO942" s="50"/>
      <c r="AP942" s="50"/>
      <c r="AQ942" s="50"/>
      <c r="AR942" s="50"/>
      <c r="AS942" s="50"/>
      <c r="AT942" s="51"/>
      <c r="AU942" s="51"/>
      <c r="AV942" s="51"/>
      <c r="AW942" s="51"/>
      <c r="AX942" s="50"/>
      <c r="AY942" s="50"/>
      <c r="AZ942" s="50"/>
      <c r="BA942" s="50"/>
      <c r="BB942" s="51"/>
      <c r="BC942" s="51"/>
      <c r="BD942" s="51"/>
      <c r="BE942" s="51"/>
      <c r="BF942" s="47"/>
      <c r="BG942" s="47"/>
      <c r="BH942" s="47"/>
      <c r="BI942" s="47"/>
      <c r="BJ942" s="47"/>
      <c r="BK942" s="47"/>
      <c r="BL942" s="47"/>
      <c r="BM942" s="47"/>
      <c r="BN942" s="47"/>
      <c r="BO942" s="47"/>
      <c r="BP942" s="47"/>
      <c r="BQ942" s="47"/>
      <c r="BR942" s="47"/>
      <c r="BS942" s="47"/>
      <c r="BT942" s="47"/>
    </row>
    <row r="943">
      <c r="A943" s="24"/>
      <c r="B943" s="48"/>
      <c r="C943" s="49"/>
      <c r="D943" s="24"/>
      <c r="E943" s="52"/>
      <c r="F943" s="53"/>
      <c r="G943" s="48"/>
      <c r="H943" s="49"/>
      <c r="I943" s="49"/>
      <c r="J943" s="48"/>
      <c r="K943" s="48"/>
      <c r="L943" s="48"/>
      <c r="M943" s="48"/>
      <c r="N943" s="48"/>
      <c r="O943" s="48"/>
      <c r="P943" s="48"/>
      <c r="Q943" s="48"/>
      <c r="R943" s="48"/>
      <c r="S943" s="48"/>
      <c r="T943" s="48"/>
      <c r="U943" s="48"/>
      <c r="V943" s="48"/>
      <c r="W943" s="49"/>
      <c r="X943" s="49"/>
      <c r="Y943" s="49"/>
      <c r="Z943" s="49"/>
      <c r="AA943" s="49"/>
      <c r="AB943" s="49"/>
      <c r="AC943" s="49"/>
      <c r="AD943" s="49"/>
      <c r="AE943" s="49"/>
      <c r="AF943" s="49"/>
      <c r="AG943" s="49"/>
      <c r="AH943" s="49"/>
      <c r="AI943" s="48"/>
      <c r="AJ943" s="48"/>
      <c r="AK943" s="24"/>
      <c r="AL943" s="50"/>
      <c r="AM943" s="50"/>
      <c r="AN943" s="50"/>
      <c r="AO943" s="50"/>
      <c r="AP943" s="50"/>
      <c r="AQ943" s="50"/>
      <c r="AR943" s="50"/>
      <c r="AS943" s="50"/>
      <c r="AT943" s="51"/>
      <c r="AU943" s="51"/>
      <c r="AV943" s="51"/>
      <c r="AW943" s="51"/>
      <c r="AX943" s="50"/>
      <c r="AY943" s="50"/>
      <c r="AZ943" s="50"/>
      <c r="BA943" s="50"/>
      <c r="BB943" s="51"/>
      <c r="BC943" s="51"/>
      <c r="BD943" s="51"/>
      <c r="BE943" s="51"/>
      <c r="BF943" s="47"/>
      <c r="BG943" s="47"/>
      <c r="BH943" s="47"/>
      <c r="BI943" s="47"/>
      <c r="BJ943" s="47"/>
      <c r="BK943" s="47"/>
      <c r="BL943" s="47"/>
      <c r="BM943" s="47"/>
      <c r="BN943" s="47"/>
      <c r="BO943" s="47"/>
      <c r="BP943" s="47"/>
      <c r="BQ943" s="47"/>
      <c r="BR943" s="47"/>
      <c r="BS943" s="47"/>
      <c r="BT943" s="47"/>
    </row>
    <row r="944">
      <c r="A944" s="24"/>
      <c r="B944" s="48"/>
      <c r="C944" s="49"/>
      <c r="D944" s="24"/>
      <c r="E944" s="52"/>
      <c r="F944" s="53"/>
      <c r="G944" s="48"/>
      <c r="H944" s="49"/>
      <c r="I944" s="49"/>
      <c r="J944" s="48"/>
      <c r="K944" s="48"/>
      <c r="L944" s="48"/>
      <c r="M944" s="48"/>
      <c r="N944" s="48"/>
      <c r="O944" s="48"/>
      <c r="P944" s="48"/>
      <c r="Q944" s="48"/>
      <c r="R944" s="48"/>
      <c r="S944" s="48"/>
      <c r="T944" s="48"/>
      <c r="U944" s="48"/>
      <c r="V944" s="48"/>
      <c r="W944" s="49"/>
      <c r="X944" s="49"/>
      <c r="Y944" s="49"/>
      <c r="Z944" s="49"/>
      <c r="AA944" s="49"/>
      <c r="AB944" s="49"/>
      <c r="AC944" s="49"/>
      <c r="AD944" s="49"/>
      <c r="AE944" s="49"/>
      <c r="AF944" s="49"/>
      <c r="AG944" s="49"/>
      <c r="AH944" s="49"/>
      <c r="AI944" s="48"/>
      <c r="AJ944" s="48"/>
      <c r="AK944" s="24"/>
      <c r="AL944" s="50"/>
      <c r="AM944" s="50"/>
      <c r="AN944" s="50"/>
      <c r="AO944" s="50"/>
      <c r="AP944" s="50"/>
      <c r="AQ944" s="50"/>
      <c r="AR944" s="50"/>
      <c r="AS944" s="50"/>
      <c r="AT944" s="51"/>
      <c r="AU944" s="51"/>
      <c r="AV944" s="51"/>
      <c r="AW944" s="51"/>
      <c r="AX944" s="50"/>
      <c r="AY944" s="50"/>
      <c r="AZ944" s="50"/>
      <c r="BA944" s="50"/>
      <c r="BB944" s="51"/>
      <c r="BC944" s="51"/>
      <c r="BD944" s="51"/>
      <c r="BE944" s="51"/>
      <c r="BF944" s="47"/>
      <c r="BG944" s="47"/>
      <c r="BH944" s="47"/>
      <c r="BI944" s="47"/>
      <c r="BJ944" s="47"/>
      <c r="BK944" s="47"/>
      <c r="BL944" s="47"/>
      <c r="BM944" s="47"/>
      <c r="BN944" s="47"/>
      <c r="BO944" s="47"/>
      <c r="BP944" s="47"/>
      <c r="BQ944" s="47"/>
      <c r="BR944" s="47"/>
      <c r="BS944" s="47"/>
      <c r="BT944" s="47"/>
    </row>
    <row r="945">
      <c r="A945" s="24"/>
      <c r="B945" s="48"/>
      <c r="C945" s="49"/>
      <c r="D945" s="24"/>
      <c r="E945" s="52"/>
      <c r="F945" s="53"/>
      <c r="G945" s="48"/>
      <c r="H945" s="49"/>
      <c r="I945" s="49"/>
      <c r="J945" s="48"/>
      <c r="K945" s="48"/>
      <c r="L945" s="48"/>
      <c r="M945" s="48"/>
      <c r="N945" s="48"/>
      <c r="O945" s="48"/>
      <c r="P945" s="48"/>
      <c r="Q945" s="48"/>
      <c r="R945" s="48"/>
      <c r="S945" s="48"/>
      <c r="T945" s="48"/>
      <c r="U945" s="48"/>
      <c r="V945" s="48"/>
      <c r="W945" s="49"/>
      <c r="X945" s="49"/>
      <c r="Y945" s="49"/>
      <c r="Z945" s="49"/>
      <c r="AA945" s="49"/>
      <c r="AB945" s="49"/>
      <c r="AC945" s="49"/>
      <c r="AD945" s="49"/>
      <c r="AE945" s="49"/>
      <c r="AF945" s="49"/>
      <c r="AG945" s="49"/>
      <c r="AH945" s="49"/>
      <c r="AI945" s="48"/>
      <c r="AJ945" s="48"/>
      <c r="AK945" s="24"/>
      <c r="AL945" s="50"/>
      <c r="AM945" s="50"/>
      <c r="AN945" s="50"/>
      <c r="AO945" s="50"/>
      <c r="AP945" s="50"/>
      <c r="AQ945" s="50"/>
      <c r="AR945" s="50"/>
      <c r="AS945" s="50"/>
      <c r="AT945" s="51"/>
      <c r="AU945" s="51"/>
      <c r="AV945" s="51"/>
      <c r="AW945" s="51"/>
      <c r="AX945" s="50"/>
      <c r="AY945" s="50"/>
      <c r="AZ945" s="50"/>
      <c r="BA945" s="50"/>
      <c r="BB945" s="51"/>
      <c r="BC945" s="51"/>
      <c r="BD945" s="51"/>
      <c r="BE945" s="51"/>
      <c r="BF945" s="47"/>
      <c r="BG945" s="47"/>
      <c r="BH945" s="47"/>
      <c r="BI945" s="47"/>
      <c r="BJ945" s="47"/>
      <c r="BK945" s="47"/>
      <c r="BL945" s="47"/>
      <c r="BM945" s="47"/>
      <c r="BN945" s="47"/>
      <c r="BO945" s="47"/>
      <c r="BP945" s="47"/>
      <c r="BQ945" s="47"/>
      <c r="BR945" s="47"/>
      <c r="BS945" s="47"/>
      <c r="BT945" s="47"/>
    </row>
    <row r="946">
      <c r="A946" s="24"/>
      <c r="B946" s="48"/>
      <c r="C946" s="49"/>
      <c r="D946" s="24"/>
      <c r="E946" s="52"/>
      <c r="F946" s="53"/>
      <c r="G946" s="48"/>
      <c r="H946" s="49"/>
      <c r="I946" s="49"/>
      <c r="J946" s="48"/>
      <c r="K946" s="48"/>
      <c r="L946" s="48"/>
      <c r="M946" s="48"/>
      <c r="N946" s="48"/>
      <c r="O946" s="48"/>
      <c r="P946" s="48"/>
      <c r="Q946" s="48"/>
      <c r="R946" s="48"/>
      <c r="S946" s="48"/>
      <c r="T946" s="48"/>
      <c r="U946" s="48"/>
      <c r="V946" s="48"/>
      <c r="W946" s="49"/>
      <c r="X946" s="49"/>
      <c r="Y946" s="49"/>
      <c r="Z946" s="49"/>
      <c r="AA946" s="49"/>
      <c r="AB946" s="49"/>
      <c r="AC946" s="49"/>
      <c r="AD946" s="49"/>
      <c r="AE946" s="49"/>
      <c r="AF946" s="49"/>
      <c r="AG946" s="49"/>
      <c r="AH946" s="49"/>
      <c r="AI946" s="48"/>
      <c r="AJ946" s="48"/>
      <c r="AK946" s="24"/>
      <c r="AL946" s="50"/>
      <c r="AM946" s="50"/>
      <c r="AN946" s="50"/>
      <c r="AO946" s="50"/>
      <c r="AP946" s="50"/>
      <c r="AQ946" s="50"/>
      <c r="AR946" s="50"/>
      <c r="AS946" s="50"/>
      <c r="AT946" s="51"/>
      <c r="AU946" s="51"/>
      <c r="AV946" s="51"/>
      <c r="AW946" s="51"/>
      <c r="AX946" s="50"/>
      <c r="AY946" s="50"/>
      <c r="AZ946" s="50"/>
      <c r="BA946" s="50"/>
      <c r="BB946" s="51"/>
      <c r="BC946" s="51"/>
      <c r="BD946" s="51"/>
      <c r="BE946" s="51"/>
      <c r="BF946" s="47"/>
      <c r="BG946" s="47"/>
      <c r="BH946" s="47"/>
      <c r="BI946" s="47"/>
      <c r="BJ946" s="47"/>
      <c r="BK946" s="47"/>
      <c r="BL946" s="47"/>
      <c r="BM946" s="47"/>
      <c r="BN946" s="47"/>
      <c r="BO946" s="47"/>
      <c r="BP946" s="47"/>
      <c r="BQ946" s="47"/>
      <c r="BR946" s="47"/>
      <c r="BS946" s="47"/>
      <c r="BT946" s="47"/>
    </row>
    <row r="947">
      <c r="A947" s="24"/>
      <c r="B947" s="48"/>
      <c r="C947" s="49"/>
      <c r="D947" s="24"/>
      <c r="E947" s="52"/>
      <c r="F947" s="53"/>
      <c r="G947" s="48"/>
      <c r="H947" s="49"/>
      <c r="I947" s="49"/>
      <c r="J947" s="48"/>
      <c r="K947" s="48"/>
      <c r="L947" s="48"/>
      <c r="M947" s="48"/>
      <c r="N947" s="48"/>
      <c r="O947" s="48"/>
      <c r="P947" s="48"/>
      <c r="Q947" s="48"/>
      <c r="R947" s="48"/>
      <c r="S947" s="48"/>
      <c r="T947" s="48"/>
      <c r="U947" s="48"/>
      <c r="V947" s="48"/>
      <c r="W947" s="49"/>
      <c r="X947" s="49"/>
      <c r="Y947" s="49"/>
      <c r="Z947" s="49"/>
      <c r="AA947" s="49"/>
      <c r="AB947" s="49"/>
      <c r="AC947" s="49"/>
      <c r="AD947" s="49"/>
      <c r="AE947" s="49"/>
      <c r="AF947" s="49"/>
      <c r="AG947" s="49"/>
      <c r="AH947" s="49"/>
      <c r="AI947" s="48"/>
      <c r="AJ947" s="48"/>
      <c r="AK947" s="24"/>
      <c r="AL947" s="50"/>
      <c r="AM947" s="50"/>
      <c r="AN947" s="50"/>
      <c r="AO947" s="50"/>
      <c r="AP947" s="50"/>
      <c r="AQ947" s="50"/>
      <c r="AR947" s="50"/>
      <c r="AS947" s="50"/>
      <c r="AT947" s="51"/>
      <c r="AU947" s="51"/>
      <c r="AV947" s="51"/>
      <c r="AW947" s="51"/>
      <c r="AX947" s="50"/>
      <c r="AY947" s="50"/>
      <c r="AZ947" s="50"/>
      <c r="BA947" s="50"/>
      <c r="BB947" s="51"/>
      <c r="BC947" s="51"/>
      <c r="BD947" s="51"/>
      <c r="BE947" s="51"/>
      <c r="BF947" s="47"/>
      <c r="BG947" s="47"/>
      <c r="BH947" s="47"/>
      <c r="BI947" s="47"/>
      <c r="BJ947" s="47"/>
      <c r="BK947" s="47"/>
      <c r="BL947" s="47"/>
      <c r="BM947" s="47"/>
      <c r="BN947" s="47"/>
      <c r="BO947" s="47"/>
      <c r="BP947" s="47"/>
      <c r="BQ947" s="47"/>
      <c r="BR947" s="47"/>
      <c r="BS947" s="47"/>
      <c r="BT947" s="47"/>
    </row>
    <row r="948">
      <c r="A948" s="24"/>
      <c r="B948" s="48"/>
      <c r="C948" s="49"/>
      <c r="D948" s="24"/>
      <c r="E948" s="52"/>
      <c r="F948" s="53"/>
      <c r="G948" s="48"/>
      <c r="H948" s="49"/>
      <c r="I948" s="49"/>
      <c r="J948" s="48"/>
      <c r="K948" s="48"/>
      <c r="L948" s="48"/>
      <c r="M948" s="48"/>
      <c r="N948" s="48"/>
      <c r="O948" s="48"/>
      <c r="P948" s="48"/>
      <c r="Q948" s="48"/>
      <c r="R948" s="48"/>
      <c r="S948" s="48"/>
      <c r="T948" s="48"/>
      <c r="U948" s="48"/>
      <c r="V948" s="48"/>
      <c r="W948" s="49"/>
      <c r="X948" s="49"/>
      <c r="Y948" s="49"/>
      <c r="Z948" s="49"/>
      <c r="AA948" s="49"/>
      <c r="AB948" s="49"/>
      <c r="AC948" s="49"/>
      <c r="AD948" s="49"/>
      <c r="AE948" s="49"/>
      <c r="AF948" s="49"/>
      <c r="AG948" s="49"/>
      <c r="AH948" s="49"/>
      <c r="AI948" s="48"/>
      <c r="AJ948" s="48"/>
      <c r="AK948" s="24"/>
      <c r="AL948" s="50"/>
      <c r="AM948" s="50"/>
      <c r="AN948" s="50"/>
      <c r="AO948" s="50"/>
      <c r="AP948" s="50"/>
      <c r="AQ948" s="50"/>
      <c r="AR948" s="50"/>
      <c r="AS948" s="50"/>
      <c r="AT948" s="51"/>
      <c r="AU948" s="51"/>
      <c r="AV948" s="51"/>
      <c r="AW948" s="51"/>
      <c r="AX948" s="50"/>
      <c r="AY948" s="50"/>
      <c r="AZ948" s="50"/>
      <c r="BA948" s="50"/>
      <c r="BB948" s="51"/>
      <c r="BC948" s="51"/>
      <c r="BD948" s="51"/>
      <c r="BE948" s="51"/>
      <c r="BF948" s="47"/>
      <c r="BG948" s="47"/>
      <c r="BH948" s="47"/>
      <c r="BI948" s="47"/>
      <c r="BJ948" s="47"/>
      <c r="BK948" s="47"/>
      <c r="BL948" s="47"/>
      <c r="BM948" s="47"/>
      <c r="BN948" s="47"/>
      <c r="BO948" s="47"/>
      <c r="BP948" s="47"/>
      <c r="BQ948" s="47"/>
      <c r="BR948" s="47"/>
      <c r="BS948" s="47"/>
      <c r="BT948" s="47"/>
    </row>
    <row r="949">
      <c r="A949" s="24"/>
      <c r="B949" s="48"/>
      <c r="C949" s="49"/>
      <c r="D949" s="24"/>
      <c r="E949" s="52"/>
      <c r="F949" s="53"/>
      <c r="G949" s="48"/>
      <c r="H949" s="49"/>
      <c r="I949" s="49"/>
      <c r="J949" s="48"/>
      <c r="K949" s="48"/>
      <c r="L949" s="48"/>
      <c r="M949" s="48"/>
      <c r="N949" s="48"/>
      <c r="O949" s="48"/>
      <c r="P949" s="48"/>
      <c r="Q949" s="48"/>
      <c r="R949" s="48"/>
      <c r="S949" s="48"/>
      <c r="T949" s="48"/>
      <c r="U949" s="48"/>
      <c r="V949" s="48"/>
      <c r="W949" s="49"/>
      <c r="X949" s="49"/>
      <c r="Y949" s="49"/>
      <c r="Z949" s="49"/>
      <c r="AA949" s="49"/>
      <c r="AB949" s="49"/>
      <c r="AC949" s="49"/>
      <c r="AD949" s="49"/>
      <c r="AE949" s="49"/>
      <c r="AF949" s="49"/>
      <c r="AG949" s="49"/>
      <c r="AH949" s="49"/>
      <c r="AI949" s="48"/>
      <c r="AJ949" s="48"/>
      <c r="AK949" s="24"/>
      <c r="AL949" s="50"/>
      <c r="AM949" s="50"/>
      <c r="AN949" s="50"/>
      <c r="AO949" s="50"/>
      <c r="AP949" s="50"/>
      <c r="AQ949" s="50"/>
      <c r="AR949" s="50"/>
      <c r="AS949" s="50"/>
      <c r="AT949" s="51"/>
      <c r="AU949" s="51"/>
      <c r="AV949" s="51"/>
      <c r="AW949" s="51"/>
      <c r="AX949" s="50"/>
      <c r="AY949" s="50"/>
      <c r="AZ949" s="50"/>
      <c r="BA949" s="50"/>
      <c r="BB949" s="51"/>
      <c r="BC949" s="51"/>
      <c r="BD949" s="51"/>
      <c r="BE949" s="51"/>
      <c r="BF949" s="47"/>
      <c r="BG949" s="47"/>
      <c r="BH949" s="47"/>
      <c r="BI949" s="47"/>
      <c r="BJ949" s="47"/>
      <c r="BK949" s="47"/>
      <c r="BL949" s="47"/>
      <c r="BM949" s="47"/>
      <c r="BN949" s="47"/>
      <c r="BO949" s="47"/>
      <c r="BP949" s="47"/>
      <c r="BQ949" s="47"/>
      <c r="BR949" s="47"/>
      <c r="BS949" s="47"/>
      <c r="BT949" s="47"/>
    </row>
    <row r="950">
      <c r="A950" s="24"/>
      <c r="B950" s="48"/>
      <c r="C950" s="49"/>
      <c r="D950" s="24"/>
      <c r="E950" s="52"/>
      <c r="F950" s="53"/>
      <c r="G950" s="48"/>
      <c r="H950" s="49"/>
      <c r="I950" s="49"/>
      <c r="J950" s="48"/>
      <c r="K950" s="48"/>
      <c r="L950" s="48"/>
      <c r="M950" s="48"/>
      <c r="N950" s="48"/>
      <c r="O950" s="48"/>
      <c r="P950" s="48"/>
      <c r="Q950" s="48"/>
      <c r="R950" s="48"/>
      <c r="S950" s="48"/>
      <c r="T950" s="48"/>
      <c r="U950" s="48"/>
      <c r="V950" s="48"/>
      <c r="W950" s="49"/>
      <c r="X950" s="49"/>
      <c r="Y950" s="49"/>
      <c r="Z950" s="49"/>
      <c r="AA950" s="49"/>
      <c r="AB950" s="49"/>
      <c r="AC950" s="49"/>
      <c r="AD950" s="49"/>
      <c r="AE950" s="49"/>
      <c r="AF950" s="49"/>
      <c r="AG950" s="49"/>
      <c r="AH950" s="49"/>
      <c r="AI950" s="48"/>
      <c r="AJ950" s="48"/>
      <c r="AK950" s="24"/>
      <c r="AL950" s="50"/>
      <c r="AM950" s="50"/>
      <c r="AN950" s="50"/>
      <c r="AO950" s="50"/>
      <c r="AP950" s="50"/>
      <c r="AQ950" s="50"/>
      <c r="AR950" s="50"/>
      <c r="AS950" s="50"/>
      <c r="AT950" s="51"/>
      <c r="AU950" s="51"/>
      <c r="AV950" s="51"/>
      <c r="AW950" s="51"/>
      <c r="AX950" s="50"/>
      <c r="AY950" s="50"/>
      <c r="AZ950" s="50"/>
      <c r="BA950" s="50"/>
      <c r="BB950" s="51"/>
      <c r="BC950" s="51"/>
      <c r="BD950" s="51"/>
      <c r="BE950" s="51"/>
      <c r="BF950" s="47"/>
      <c r="BG950" s="47"/>
      <c r="BH950" s="47"/>
      <c r="BI950" s="47"/>
      <c r="BJ950" s="47"/>
      <c r="BK950" s="47"/>
      <c r="BL950" s="47"/>
      <c r="BM950" s="47"/>
      <c r="BN950" s="47"/>
      <c r="BO950" s="47"/>
      <c r="BP950" s="47"/>
      <c r="BQ950" s="47"/>
      <c r="BR950" s="47"/>
      <c r="BS950" s="47"/>
      <c r="BT950" s="47"/>
    </row>
    <row r="951">
      <c r="A951" s="24"/>
      <c r="B951" s="48"/>
      <c r="C951" s="49"/>
      <c r="D951" s="24"/>
      <c r="E951" s="52"/>
      <c r="F951" s="53"/>
      <c r="G951" s="48"/>
      <c r="H951" s="49"/>
      <c r="I951" s="49"/>
      <c r="J951" s="48"/>
      <c r="K951" s="48"/>
      <c r="L951" s="48"/>
      <c r="M951" s="48"/>
      <c r="N951" s="48"/>
      <c r="O951" s="48"/>
      <c r="P951" s="48"/>
      <c r="Q951" s="48"/>
      <c r="R951" s="48"/>
      <c r="S951" s="48"/>
      <c r="T951" s="48"/>
      <c r="U951" s="48"/>
      <c r="V951" s="48"/>
      <c r="W951" s="49"/>
      <c r="X951" s="49"/>
      <c r="Y951" s="49"/>
      <c r="Z951" s="49"/>
      <c r="AA951" s="49"/>
      <c r="AB951" s="49"/>
      <c r="AC951" s="49"/>
      <c r="AD951" s="49"/>
      <c r="AE951" s="49"/>
      <c r="AF951" s="49"/>
      <c r="AG951" s="49"/>
      <c r="AH951" s="49"/>
      <c r="AI951" s="48"/>
      <c r="AJ951" s="48"/>
      <c r="AK951" s="24"/>
      <c r="AL951" s="50"/>
      <c r="AM951" s="50"/>
      <c r="AN951" s="50"/>
      <c r="AO951" s="50"/>
      <c r="AP951" s="50"/>
      <c r="AQ951" s="50"/>
      <c r="AR951" s="50"/>
      <c r="AS951" s="50"/>
      <c r="AT951" s="51"/>
      <c r="AU951" s="51"/>
      <c r="AV951" s="51"/>
      <c r="AW951" s="51"/>
      <c r="AX951" s="50"/>
      <c r="AY951" s="50"/>
      <c r="AZ951" s="50"/>
      <c r="BA951" s="50"/>
      <c r="BB951" s="51"/>
      <c r="BC951" s="51"/>
      <c r="BD951" s="51"/>
      <c r="BE951" s="51"/>
      <c r="BF951" s="47"/>
      <c r="BG951" s="47"/>
      <c r="BH951" s="47"/>
      <c r="BI951" s="47"/>
      <c r="BJ951" s="47"/>
      <c r="BK951" s="47"/>
      <c r="BL951" s="47"/>
      <c r="BM951" s="47"/>
      <c r="BN951" s="47"/>
      <c r="BO951" s="47"/>
      <c r="BP951" s="47"/>
      <c r="BQ951" s="47"/>
      <c r="BR951" s="47"/>
      <c r="BS951" s="47"/>
      <c r="BT951" s="47"/>
    </row>
    <row r="952">
      <c r="A952" s="24"/>
      <c r="B952" s="48"/>
      <c r="C952" s="49"/>
      <c r="D952" s="24"/>
      <c r="E952" s="52"/>
      <c r="F952" s="53"/>
      <c r="G952" s="48"/>
      <c r="H952" s="49"/>
      <c r="I952" s="49"/>
      <c r="J952" s="48"/>
      <c r="K952" s="48"/>
      <c r="L952" s="48"/>
      <c r="M952" s="48"/>
      <c r="N952" s="48"/>
      <c r="O952" s="48"/>
      <c r="P952" s="48"/>
      <c r="Q952" s="48"/>
      <c r="R952" s="48"/>
      <c r="S952" s="48"/>
      <c r="T952" s="48"/>
      <c r="U952" s="48"/>
      <c r="V952" s="48"/>
      <c r="W952" s="49"/>
      <c r="X952" s="49"/>
      <c r="Y952" s="49"/>
      <c r="Z952" s="49"/>
      <c r="AA952" s="49"/>
      <c r="AB952" s="49"/>
      <c r="AC952" s="49"/>
      <c r="AD952" s="49"/>
      <c r="AE952" s="49"/>
      <c r="AF952" s="49"/>
      <c r="AG952" s="49"/>
      <c r="AH952" s="49"/>
      <c r="AI952" s="48"/>
      <c r="AJ952" s="48"/>
      <c r="AK952" s="24"/>
      <c r="AL952" s="50"/>
      <c r="AM952" s="50"/>
      <c r="AN952" s="50"/>
      <c r="AO952" s="50"/>
      <c r="AP952" s="50"/>
      <c r="AQ952" s="50"/>
      <c r="AR952" s="50"/>
      <c r="AS952" s="50"/>
      <c r="AT952" s="51"/>
      <c r="AU952" s="51"/>
      <c r="AV952" s="51"/>
      <c r="AW952" s="51"/>
      <c r="AX952" s="50"/>
      <c r="AY952" s="50"/>
      <c r="AZ952" s="50"/>
      <c r="BA952" s="50"/>
      <c r="BB952" s="51"/>
      <c r="BC952" s="51"/>
      <c r="BD952" s="51"/>
      <c r="BE952" s="51"/>
      <c r="BF952" s="47"/>
      <c r="BG952" s="47"/>
      <c r="BH952" s="47"/>
      <c r="BI952" s="47"/>
      <c r="BJ952" s="47"/>
      <c r="BK952" s="47"/>
      <c r="BL952" s="47"/>
      <c r="BM952" s="47"/>
      <c r="BN952" s="47"/>
      <c r="BO952" s="47"/>
      <c r="BP952" s="47"/>
      <c r="BQ952" s="47"/>
      <c r="BR952" s="47"/>
      <c r="BS952" s="47"/>
      <c r="BT952" s="47"/>
    </row>
    <row r="953">
      <c r="A953" s="24"/>
      <c r="B953" s="48"/>
      <c r="C953" s="49"/>
      <c r="D953" s="24"/>
      <c r="E953" s="52"/>
      <c r="F953" s="53"/>
      <c r="G953" s="48"/>
      <c r="H953" s="49"/>
      <c r="I953" s="49"/>
      <c r="J953" s="48"/>
      <c r="K953" s="48"/>
      <c r="L953" s="48"/>
      <c r="M953" s="48"/>
      <c r="N953" s="48"/>
      <c r="O953" s="48"/>
      <c r="P953" s="48"/>
      <c r="Q953" s="48"/>
      <c r="R953" s="48"/>
      <c r="S953" s="48"/>
      <c r="T953" s="48"/>
      <c r="U953" s="48"/>
      <c r="V953" s="48"/>
      <c r="W953" s="49"/>
      <c r="X953" s="49"/>
      <c r="Y953" s="49"/>
      <c r="Z953" s="49"/>
      <c r="AA953" s="49"/>
      <c r="AB953" s="49"/>
      <c r="AC953" s="49"/>
      <c r="AD953" s="49"/>
      <c r="AE953" s="49"/>
      <c r="AF953" s="49"/>
      <c r="AG953" s="49"/>
      <c r="AH953" s="49"/>
      <c r="AI953" s="48"/>
      <c r="AJ953" s="48"/>
      <c r="AK953" s="24"/>
      <c r="AL953" s="50"/>
      <c r="AM953" s="50"/>
      <c r="AN953" s="50"/>
      <c r="AO953" s="50"/>
      <c r="AP953" s="50"/>
      <c r="AQ953" s="50"/>
      <c r="AR953" s="50"/>
      <c r="AS953" s="50"/>
      <c r="AT953" s="51"/>
      <c r="AU953" s="51"/>
      <c r="AV953" s="51"/>
      <c r="AW953" s="51"/>
      <c r="AX953" s="50"/>
      <c r="AY953" s="50"/>
      <c r="AZ953" s="50"/>
      <c r="BA953" s="50"/>
      <c r="BB953" s="51"/>
      <c r="BC953" s="51"/>
      <c r="BD953" s="51"/>
      <c r="BE953" s="51"/>
      <c r="BF953" s="47"/>
      <c r="BG953" s="47"/>
      <c r="BH953" s="47"/>
      <c r="BI953" s="47"/>
      <c r="BJ953" s="47"/>
      <c r="BK953" s="47"/>
      <c r="BL953" s="47"/>
      <c r="BM953" s="47"/>
      <c r="BN953" s="47"/>
      <c r="BO953" s="47"/>
      <c r="BP953" s="47"/>
      <c r="BQ953" s="47"/>
      <c r="BR953" s="47"/>
      <c r="BS953" s="47"/>
      <c r="BT953" s="47"/>
    </row>
    <row r="954">
      <c r="A954" s="24"/>
      <c r="B954" s="48"/>
      <c r="C954" s="49"/>
      <c r="D954" s="24"/>
      <c r="E954" s="52"/>
      <c r="F954" s="53"/>
      <c r="G954" s="48"/>
      <c r="H954" s="49"/>
      <c r="I954" s="49"/>
      <c r="J954" s="48"/>
      <c r="K954" s="48"/>
      <c r="L954" s="48"/>
      <c r="M954" s="48"/>
      <c r="N954" s="48"/>
      <c r="O954" s="48"/>
      <c r="P954" s="48"/>
      <c r="Q954" s="48"/>
      <c r="R954" s="48"/>
      <c r="S954" s="48"/>
      <c r="T954" s="48"/>
      <c r="U954" s="48"/>
      <c r="V954" s="48"/>
      <c r="W954" s="49"/>
      <c r="X954" s="49"/>
      <c r="Y954" s="49"/>
      <c r="Z954" s="49"/>
      <c r="AA954" s="49"/>
      <c r="AB954" s="49"/>
      <c r="AC954" s="49"/>
      <c r="AD954" s="49"/>
      <c r="AE954" s="49"/>
      <c r="AF954" s="49"/>
      <c r="AG954" s="49"/>
      <c r="AH954" s="49"/>
      <c r="AI954" s="48"/>
      <c r="AJ954" s="48"/>
      <c r="AK954" s="24"/>
      <c r="AL954" s="50"/>
      <c r="AM954" s="50"/>
      <c r="AN954" s="50"/>
      <c r="AO954" s="50"/>
      <c r="AP954" s="50"/>
      <c r="AQ954" s="50"/>
      <c r="AR954" s="50"/>
      <c r="AS954" s="50"/>
      <c r="AT954" s="51"/>
      <c r="AU954" s="51"/>
      <c r="AV954" s="51"/>
      <c r="AW954" s="51"/>
      <c r="AX954" s="50"/>
      <c r="AY954" s="50"/>
      <c r="AZ954" s="50"/>
      <c r="BA954" s="50"/>
      <c r="BB954" s="51"/>
      <c r="BC954" s="51"/>
      <c r="BD954" s="51"/>
      <c r="BE954" s="51"/>
      <c r="BF954" s="47"/>
      <c r="BG954" s="47"/>
      <c r="BH954" s="47"/>
      <c r="BI954" s="47"/>
      <c r="BJ954" s="47"/>
      <c r="BK954" s="47"/>
      <c r="BL954" s="47"/>
      <c r="BM954" s="47"/>
      <c r="BN954" s="47"/>
      <c r="BO954" s="47"/>
      <c r="BP954" s="47"/>
      <c r="BQ954" s="47"/>
      <c r="BR954" s="47"/>
      <c r="BS954" s="47"/>
      <c r="BT954" s="47"/>
    </row>
    <row r="955">
      <c r="A955" s="24"/>
      <c r="B955" s="48"/>
      <c r="C955" s="49"/>
      <c r="D955" s="24"/>
      <c r="E955" s="52"/>
      <c r="F955" s="53"/>
      <c r="G955" s="48"/>
      <c r="H955" s="49"/>
      <c r="I955" s="49"/>
      <c r="J955" s="48"/>
      <c r="K955" s="48"/>
      <c r="L955" s="48"/>
      <c r="M955" s="48"/>
      <c r="N955" s="48"/>
      <c r="O955" s="48"/>
      <c r="P955" s="48"/>
      <c r="Q955" s="48"/>
      <c r="R955" s="48"/>
      <c r="S955" s="48"/>
      <c r="T955" s="48"/>
      <c r="U955" s="48"/>
      <c r="V955" s="48"/>
      <c r="W955" s="49"/>
      <c r="X955" s="49"/>
      <c r="Y955" s="49"/>
      <c r="Z955" s="49"/>
      <c r="AA955" s="49"/>
      <c r="AB955" s="49"/>
      <c r="AC955" s="49"/>
      <c r="AD955" s="49"/>
      <c r="AE955" s="49"/>
      <c r="AF955" s="49"/>
      <c r="AG955" s="49"/>
      <c r="AH955" s="49"/>
      <c r="AI955" s="48"/>
      <c r="AJ955" s="48"/>
      <c r="AK955" s="24"/>
      <c r="AL955" s="50"/>
      <c r="AM955" s="50"/>
      <c r="AN955" s="50"/>
      <c r="AO955" s="50"/>
      <c r="AP955" s="50"/>
      <c r="AQ955" s="50"/>
      <c r="AR955" s="50"/>
      <c r="AS955" s="50"/>
      <c r="AT955" s="51"/>
      <c r="AU955" s="51"/>
      <c r="AV955" s="51"/>
      <c r="AW955" s="51"/>
      <c r="AX955" s="50"/>
      <c r="AY955" s="50"/>
      <c r="AZ955" s="50"/>
      <c r="BA955" s="50"/>
      <c r="BB955" s="51"/>
      <c r="BC955" s="51"/>
      <c r="BD955" s="51"/>
      <c r="BE955" s="51"/>
      <c r="BF955" s="47"/>
      <c r="BG955" s="47"/>
      <c r="BH955" s="47"/>
      <c r="BI955" s="47"/>
      <c r="BJ955" s="47"/>
      <c r="BK955" s="47"/>
      <c r="BL955" s="47"/>
      <c r="BM955" s="47"/>
      <c r="BN955" s="47"/>
      <c r="BO955" s="47"/>
      <c r="BP955" s="47"/>
      <c r="BQ955" s="47"/>
      <c r="BR955" s="47"/>
      <c r="BS955" s="47"/>
      <c r="BT955" s="47"/>
    </row>
    <row r="956">
      <c r="A956" s="24"/>
      <c r="B956" s="48"/>
      <c r="C956" s="49"/>
      <c r="D956" s="24"/>
      <c r="E956" s="52"/>
      <c r="F956" s="53"/>
      <c r="G956" s="48"/>
      <c r="H956" s="49"/>
      <c r="I956" s="49"/>
      <c r="J956" s="48"/>
      <c r="K956" s="48"/>
      <c r="L956" s="48"/>
      <c r="M956" s="48"/>
      <c r="N956" s="48"/>
      <c r="O956" s="48"/>
      <c r="P956" s="48"/>
      <c r="Q956" s="48"/>
      <c r="R956" s="48"/>
      <c r="S956" s="48"/>
      <c r="T956" s="48"/>
      <c r="U956" s="48"/>
      <c r="V956" s="48"/>
      <c r="W956" s="49"/>
      <c r="X956" s="49"/>
      <c r="Y956" s="49"/>
      <c r="Z956" s="49"/>
      <c r="AA956" s="49"/>
      <c r="AB956" s="49"/>
      <c r="AC956" s="49"/>
      <c r="AD956" s="49"/>
      <c r="AE956" s="49"/>
      <c r="AF956" s="49"/>
      <c r="AG956" s="49"/>
      <c r="AH956" s="49"/>
      <c r="AI956" s="48"/>
      <c r="AJ956" s="48"/>
      <c r="AK956" s="24"/>
      <c r="AL956" s="50"/>
      <c r="AM956" s="50"/>
      <c r="AN956" s="50"/>
      <c r="AO956" s="50"/>
      <c r="AP956" s="50"/>
      <c r="AQ956" s="50"/>
      <c r="AR956" s="50"/>
      <c r="AS956" s="50"/>
      <c r="AT956" s="51"/>
      <c r="AU956" s="51"/>
      <c r="AV956" s="51"/>
      <c r="AW956" s="51"/>
      <c r="AX956" s="50"/>
      <c r="AY956" s="50"/>
      <c r="AZ956" s="50"/>
      <c r="BA956" s="50"/>
      <c r="BB956" s="51"/>
      <c r="BC956" s="51"/>
      <c r="BD956" s="51"/>
      <c r="BE956" s="51"/>
      <c r="BF956" s="47"/>
      <c r="BG956" s="47"/>
      <c r="BH956" s="47"/>
      <c r="BI956" s="47"/>
      <c r="BJ956" s="47"/>
      <c r="BK956" s="47"/>
      <c r="BL956" s="47"/>
      <c r="BM956" s="47"/>
      <c r="BN956" s="47"/>
      <c r="BO956" s="47"/>
      <c r="BP956" s="47"/>
      <c r="BQ956" s="47"/>
      <c r="BR956" s="47"/>
      <c r="BS956" s="47"/>
      <c r="BT956" s="47"/>
    </row>
    <row r="957">
      <c r="A957" s="24"/>
      <c r="B957" s="48"/>
      <c r="C957" s="49"/>
      <c r="D957" s="24"/>
      <c r="E957" s="52"/>
      <c r="F957" s="53"/>
      <c r="G957" s="48"/>
      <c r="H957" s="49"/>
      <c r="I957" s="49"/>
      <c r="J957" s="48"/>
      <c r="K957" s="48"/>
      <c r="L957" s="48"/>
      <c r="M957" s="48"/>
      <c r="N957" s="48"/>
      <c r="O957" s="48"/>
      <c r="P957" s="48"/>
      <c r="Q957" s="48"/>
      <c r="R957" s="48"/>
      <c r="S957" s="48"/>
      <c r="T957" s="48"/>
      <c r="U957" s="48"/>
      <c r="V957" s="48"/>
      <c r="W957" s="49"/>
      <c r="X957" s="49"/>
      <c r="Y957" s="49"/>
      <c r="Z957" s="49"/>
      <c r="AA957" s="49"/>
      <c r="AB957" s="49"/>
      <c r="AC957" s="49"/>
      <c r="AD957" s="49"/>
      <c r="AE957" s="49"/>
      <c r="AF957" s="49"/>
      <c r="AG957" s="49"/>
      <c r="AH957" s="49"/>
      <c r="AI957" s="48"/>
      <c r="AJ957" s="48"/>
      <c r="AK957" s="24"/>
      <c r="AL957" s="50"/>
      <c r="AM957" s="50"/>
      <c r="AN957" s="50"/>
      <c r="AO957" s="50"/>
      <c r="AP957" s="50"/>
      <c r="AQ957" s="50"/>
      <c r="AR957" s="50"/>
      <c r="AS957" s="50"/>
      <c r="AT957" s="51"/>
      <c r="AU957" s="51"/>
      <c r="AV957" s="51"/>
      <c r="AW957" s="51"/>
      <c r="AX957" s="50"/>
      <c r="AY957" s="50"/>
      <c r="AZ957" s="50"/>
      <c r="BA957" s="50"/>
      <c r="BB957" s="51"/>
      <c r="BC957" s="51"/>
      <c r="BD957" s="51"/>
      <c r="BE957" s="51"/>
      <c r="BF957" s="47"/>
      <c r="BG957" s="47"/>
      <c r="BH957" s="47"/>
      <c r="BI957" s="47"/>
      <c r="BJ957" s="47"/>
      <c r="BK957" s="47"/>
      <c r="BL957" s="47"/>
      <c r="BM957" s="47"/>
      <c r="BN957" s="47"/>
      <c r="BO957" s="47"/>
      <c r="BP957" s="47"/>
      <c r="BQ957" s="47"/>
      <c r="BR957" s="47"/>
      <c r="BS957" s="47"/>
      <c r="BT957" s="47"/>
    </row>
    <row r="958">
      <c r="A958" s="24"/>
      <c r="B958" s="48"/>
      <c r="C958" s="49"/>
      <c r="D958" s="24"/>
      <c r="E958" s="52"/>
      <c r="F958" s="53"/>
      <c r="G958" s="48"/>
      <c r="H958" s="49"/>
      <c r="I958" s="49"/>
      <c r="J958" s="48"/>
      <c r="K958" s="48"/>
      <c r="L958" s="48"/>
      <c r="M958" s="48"/>
      <c r="N958" s="48"/>
      <c r="O958" s="48"/>
      <c r="P958" s="48"/>
      <c r="Q958" s="48"/>
      <c r="R958" s="48"/>
      <c r="S958" s="48"/>
      <c r="T958" s="48"/>
      <c r="U958" s="48"/>
      <c r="V958" s="48"/>
      <c r="W958" s="49"/>
      <c r="X958" s="49"/>
      <c r="Y958" s="49"/>
      <c r="Z958" s="49"/>
      <c r="AA958" s="49"/>
      <c r="AB958" s="49"/>
      <c r="AC958" s="49"/>
      <c r="AD958" s="49"/>
      <c r="AE958" s="49"/>
      <c r="AF958" s="49"/>
      <c r="AG958" s="49"/>
      <c r="AH958" s="49"/>
      <c r="AI958" s="48"/>
      <c r="AJ958" s="48"/>
      <c r="AK958" s="24"/>
      <c r="AL958" s="50"/>
      <c r="AM958" s="50"/>
      <c r="AN958" s="50"/>
      <c r="AO958" s="50"/>
      <c r="AP958" s="50"/>
      <c r="AQ958" s="50"/>
      <c r="AR958" s="50"/>
      <c r="AS958" s="50"/>
      <c r="AT958" s="51"/>
      <c r="AU958" s="51"/>
      <c r="AV958" s="51"/>
      <c r="AW958" s="51"/>
      <c r="AX958" s="50"/>
      <c r="AY958" s="50"/>
      <c r="AZ958" s="50"/>
      <c r="BA958" s="50"/>
      <c r="BB958" s="51"/>
      <c r="BC958" s="51"/>
      <c r="BD958" s="51"/>
      <c r="BE958" s="51"/>
      <c r="BF958" s="47"/>
      <c r="BG958" s="47"/>
      <c r="BH958" s="47"/>
      <c r="BI958" s="47"/>
      <c r="BJ958" s="47"/>
      <c r="BK958" s="47"/>
      <c r="BL958" s="47"/>
      <c r="BM958" s="47"/>
      <c r="BN958" s="47"/>
      <c r="BO958" s="47"/>
      <c r="BP958" s="47"/>
      <c r="BQ958" s="47"/>
      <c r="BR958" s="47"/>
      <c r="BS958" s="47"/>
      <c r="BT958" s="47"/>
    </row>
    <row r="959">
      <c r="A959" s="24"/>
      <c r="B959" s="48"/>
      <c r="C959" s="49"/>
      <c r="D959" s="24"/>
      <c r="E959" s="52"/>
      <c r="F959" s="53"/>
      <c r="G959" s="48"/>
      <c r="H959" s="49"/>
      <c r="I959" s="49"/>
      <c r="J959" s="48"/>
      <c r="K959" s="48"/>
      <c r="L959" s="48"/>
      <c r="M959" s="48"/>
      <c r="N959" s="48"/>
      <c r="O959" s="48"/>
      <c r="P959" s="48"/>
      <c r="Q959" s="48"/>
      <c r="R959" s="48"/>
      <c r="S959" s="48"/>
      <c r="T959" s="48"/>
      <c r="U959" s="48"/>
      <c r="V959" s="48"/>
      <c r="W959" s="49"/>
      <c r="X959" s="49"/>
      <c r="Y959" s="49"/>
      <c r="Z959" s="49"/>
      <c r="AA959" s="49"/>
      <c r="AB959" s="49"/>
      <c r="AC959" s="49"/>
      <c r="AD959" s="49"/>
      <c r="AE959" s="49"/>
      <c r="AF959" s="49"/>
      <c r="AG959" s="49"/>
      <c r="AH959" s="49"/>
      <c r="AI959" s="48"/>
      <c r="AJ959" s="48"/>
      <c r="AK959" s="24"/>
      <c r="AL959" s="50"/>
      <c r="AM959" s="50"/>
      <c r="AN959" s="50"/>
      <c r="AO959" s="50"/>
      <c r="AP959" s="50"/>
      <c r="AQ959" s="50"/>
      <c r="AR959" s="50"/>
      <c r="AS959" s="50"/>
      <c r="AT959" s="51"/>
      <c r="AU959" s="51"/>
      <c r="AV959" s="51"/>
      <c r="AW959" s="51"/>
      <c r="AX959" s="50"/>
      <c r="AY959" s="50"/>
      <c r="AZ959" s="50"/>
      <c r="BA959" s="50"/>
      <c r="BB959" s="51"/>
      <c r="BC959" s="51"/>
      <c r="BD959" s="51"/>
      <c r="BE959" s="51"/>
      <c r="BF959" s="47"/>
      <c r="BG959" s="47"/>
      <c r="BH959" s="47"/>
      <c r="BI959" s="47"/>
      <c r="BJ959" s="47"/>
      <c r="BK959" s="47"/>
      <c r="BL959" s="47"/>
      <c r="BM959" s="47"/>
      <c r="BN959" s="47"/>
      <c r="BO959" s="47"/>
      <c r="BP959" s="47"/>
      <c r="BQ959" s="47"/>
      <c r="BR959" s="47"/>
      <c r="BS959" s="47"/>
      <c r="BT959" s="47"/>
    </row>
    <row r="960">
      <c r="A960" s="24"/>
      <c r="B960" s="48"/>
      <c r="C960" s="49"/>
      <c r="D960" s="24"/>
      <c r="E960" s="52"/>
      <c r="F960" s="53"/>
      <c r="G960" s="48"/>
      <c r="H960" s="49"/>
      <c r="I960" s="49"/>
      <c r="J960" s="48"/>
      <c r="K960" s="48"/>
      <c r="L960" s="48"/>
      <c r="M960" s="48"/>
      <c r="N960" s="48"/>
      <c r="O960" s="48"/>
      <c r="P960" s="48"/>
      <c r="Q960" s="48"/>
      <c r="R960" s="48"/>
      <c r="S960" s="48"/>
      <c r="T960" s="48"/>
      <c r="U960" s="48"/>
      <c r="V960" s="48"/>
      <c r="W960" s="49"/>
      <c r="X960" s="49"/>
      <c r="Y960" s="49"/>
      <c r="Z960" s="49"/>
      <c r="AA960" s="49"/>
      <c r="AB960" s="49"/>
      <c r="AC960" s="49"/>
      <c r="AD960" s="49"/>
      <c r="AE960" s="49"/>
      <c r="AF960" s="49"/>
      <c r="AG960" s="49"/>
      <c r="AH960" s="49"/>
      <c r="AI960" s="48"/>
      <c r="AJ960" s="48"/>
      <c r="AK960" s="24"/>
      <c r="AL960" s="50"/>
      <c r="AM960" s="50"/>
      <c r="AN960" s="50"/>
      <c r="AO960" s="50"/>
      <c r="AP960" s="50"/>
      <c r="AQ960" s="50"/>
      <c r="AR960" s="50"/>
      <c r="AS960" s="50"/>
      <c r="AT960" s="51"/>
      <c r="AU960" s="51"/>
      <c r="AV960" s="51"/>
      <c r="AW960" s="51"/>
      <c r="AX960" s="50"/>
      <c r="AY960" s="50"/>
      <c r="AZ960" s="50"/>
      <c r="BA960" s="50"/>
      <c r="BB960" s="51"/>
      <c r="BC960" s="51"/>
      <c r="BD960" s="51"/>
      <c r="BE960" s="51"/>
      <c r="BF960" s="47"/>
      <c r="BG960" s="47"/>
      <c r="BH960" s="47"/>
      <c r="BI960" s="47"/>
      <c r="BJ960" s="47"/>
      <c r="BK960" s="47"/>
      <c r="BL960" s="47"/>
      <c r="BM960" s="47"/>
      <c r="BN960" s="47"/>
      <c r="BO960" s="47"/>
      <c r="BP960" s="47"/>
      <c r="BQ960" s="47"/>
      <c r="BR960" s="47"/>
      <c r="BS960" s="47"/>
      <c r="BT960" s="47"/>
    </row>
    <row r="961">
      <c r="A961" s="24"/>
      <c r="B961" s="48"/>
      <c r="C961" s="49"/>
      <c r="D961" s="24"/>
      <c r="E961" s="52"/>
      <c r="F961" s="53"/>
      <c r="G961" s="48"/>
      <c r="H961" s="49"/>
      <c r="I961" s="49"/>
      <c r="J961" s="48"/>
      <c r="K961" s="48"/>
      <c r="L961" s="48"/>
      <c r="M961" s="48"/>
      <c r="N961" s="48"/>
      <c r="O961" s="48"/>
      <c r="P961" s="48"/>
      <c r="Q961" s="48"/>
      <c r="R961" s="48"/>
      <c r="S961" s="48"/>
      <c r="T961" s="48"/>
      <c r="U961" s="48"/>
      <c r="V961" s="48"/>
      <c r="W961" s="49"/>
      <c r="X961" s="49"/>
      <c r="Y961" s="49"/>
      <c r="Z961" s="49"/>
      <c r="AA961" s="49"/>
      <c r="AB961" s="49"/>
      <c r="AC961" s="49"/>
      <c r="AD961" s="49"/>
      <c r="AE961" s="49"/>
      <c r="AF961" s="49"/>
      <c r="AG961" s="49"/>
      <c r="AH961" s="49"/>
      <c r="AI961" s="48"/>
      <c r="AJ961" s="48"/>
      <c r="AK961" s="24"/>
      <c r="AL961" s="50"/>
      <c r="AM961" s="50"/>
      <c r="AN961" s="50"/>
      <c r="AO961" s="50"/>
      <c r="AP961" s="50"/>
      <c r="AQ961" s="50"/>
      <c r="AR961" s="50"/>
      <c r="AS961" s="50"/>
      <c r="AT961" s="51"/>
      <c r="AU961" s="51"/>
      <c r="AV961" s="51"/>
      <c r="AW961" s="51"/>
      <c r="AX961" s="50"/>
      <c r="AY961" s="50"/>
      <c r="AZ961" s="50"/>
      <c r="BA961" s="50"/>
      <c r="BB961" s="51"/>
      <c r="BC961" s="51"/>
      <c r="BD961" s="51"/>
      <c r="BE961" s="51"/>
      <c r="BF961" s="47"/>
      <c r="BG961" s="47"/>
      <c r="BH961" s="47"/>
      <c r="BI961" s="47"/>
      <c r="BJ961" s="47"/>
      <c r="BK961" s="47"/>
      <c r="BL961" s="47"/>
      <c r="BM961" s="47"/>
      <c r="BN961" s="47"/>
      <c r="BO961" s="47"/>
      <c r="BP961" s="47"/>
      <c r="BQ961" s="47"/>
      <c r="BR961" s="47"/>
      <c r="BS961" s="47"/>
      <c r="BT961" s="47"/>
    </row>
    <row r="962">
      <c r="A962" s="24"/>
      <c r="B962" s="48"/>
      <c r="C962" s="49"/>
      <c r="D962" s="24"/>
      <c r="E962" s="52"/>
      <c r="F962" s="53"/>
      <c r="G962" s="48"/>
      <c r="H962" s="49"/>
      <c r="I962" s="49"/>
      <c r="J962" s="48"/>
      <c r="K962" s="48"/>
      <c r="L962" s="48"/>
      <c r="M962" s="48"/>
      <c r="N962" s="48"/>
      <c r="O962" s="48"/>
      <c r="P962" s="48"/>
      <c r="Q962" s="48"/>
      <c r="R962" s="48"/>
      <c r="S962" s="48"/>
      <c r="T962" s="48"/>
      <c r="U962" s="48"/>
      <c r="V962" s="48"/>
      <c r="W962" s="49"/>
      <c r="X962" s="49"/>
      <c r="Y962" s="49"/>
      <c r="Z962" s="49"/>
      <c r="AA962" s="49"/>
      <c r="AB962" s="49"/>
      <c r="AC962" s="49"/>
      <c r="AD962" s="49"/>
      <c r="AE962" s="49"/>
      <c r="AF962" s="49"/>
      <c r="AG962" s="49"/>
      <c r="AH962" s="49"/>
      <c r="AI962" s="48"/>
      <c r="AJ962" s="48"/>
      <c r="AK962" s="24"/>
      <c r="AL962" s="50"/>
      <c r="AM962" s="50"/>
      <c r="AN962" s="50"/>
      <c r="AO962" s="50"/>
      <c r="AP962" s="50"/>
      <c r="AQ962" s="50"/>
      <c r="AR962" s="50"/>
      <c r="AS962" s="50"/>
      <c r="AT962" s="51"/>
      <c r="AU962" s="51"/>
      <c r="AV962" s="51"/>
      <c r="AW962" s="51"/>
      <c r="AX962" s="50"/>
      <c r="AY962" s="50"/>
      <c r="AZ962" s="50"/>
      <c r="BA962" s="50"/>
      <c r="BB962" s="51"/>
      <c r="BC962" s="51"/>
      <c r="BD962" s="51"/>
      <c r="BE962" s="51"/>
      <c r="BF962" s="47"/>
      <c r="BG962" s="47"/>
      <c r="BH962" s="47"/>
      <c r="BI962" s="47"/>
      <c r="BJ962" s="47"/>
      <c r="BK962" s="47"/>
      <c r="BL962" s="47"/>
      <c r="BM962" s="47"/>
      <c r="BN962" s="47"/>
      <c r="BO962" s="47"/>
      <c r="BP962" s="47"/>
      <c r="BQ962" s="47"/>
      <c r="BR962" s="47"/>
      <c r="BS962" s="47"/>
      <c r="BT962" s="47"/>
    </row>
    <row r="963">
      <c r="A963" s="24"/>
      <c r="B963" s="48"/>
      <c r="C963" s="49"/>
      <c r="D963" s="24"/>
      <c r="E963" s="52"/>
      <c r="F963" s="53"/>
      <c r="G963" s="48"/>
      <c r="H963" s="49"/>
      <c r="I963" s="49"/>
      <c r="J963" s="48"/>
      <c r="K963" s="48"/>
      <c r="L963" s="48"/>
      <c r="M963" s="48"/>
      <c r="N963" s="48"/>
      <c r="O963" s="48"/>
      <c r="P963" s="48"/>
      <c r="Q963" s="48"/>
      <c r="R963" s="48"/>
      <c r="S963" s="48"/>
      <c r="T963" s="48"/>
      <c r="U963" s="48"/>
      <c r="V963" s="48"/>
      <c r="W963" s="49"/>
      <c r="X963" s="49"/>
      <c r="Y963" s="49"/>
      <c r="Z963" s="49"/>
      <c r="AA963" s="49"/>
      <c r="AB963" s="49"/>
      <c r="AC963" s="49"/>
      <c r="AD963" s="49"/>
      <c r="AE963" s="49"/>
      <c r="AF963" s="49"/>
      <c r="AG963" s="49"/>
      <c r="AH963" s="49"/>
      <c r="AI963" s="48"/>
      <c r="AJ963" s="48"/>
      <c r="AK963" s="24"/>
      <c r="AL963" s="50"/>
      <c r="AM963" s="50"/>
      <c r="AN963" s="50"/>
      <c r="AO963" s="50"/>
      <c r="AP963" s="50"/>
      <c r="AQ963" s="50"/>
      <c r="AR963" s="50"/>
      <c r="AS963" s="50"/>
      <c r="AT963" s="51"/>
      <c r="AU963" s="51"/>
      <c r="AV963" s="51"/>
      <c r="AW963" s="51"/>
      <c r="AX963" s="50"/>
      <c r="AY963" s="50"/>
      <c r="AZ963" s="50"/>
      <c r="BA963" s="50"/>
      <c r="BB963" s="51"/>
      <c r="BC963" s="51"/>
      <c r="BD963" s="51"/>
      <c r="BE963" s="51"/>
      <c r="BF963" s="47"/>
      <c r="BG963" s="47"/>
      <c r="BH963" s="47"/>
      <c r="BI963" s="47"/>
      <c r="BJ963" s="47"/>
      <c r="BK963" s="47"/>
      <c r="BL963" s="47"/>
      <c r="BM963" s="47"/>
      <c r="BN963" s="47"/>
      <c r="BO963" s="47"/>
      <c r="BP963" s="47"/>
      <c r="BQ963" s="47"/>
      <c r="BR963" s="47"/>
      <c r="BS963" s="47"/>
      <c r="BT963" s="47"/>
    </row>
    <row r="964">
      <c r="A964" s="24"/>
      <c r="B964" s="48"/>
      <c r="C964" s="49"/>
      <c r="D964" s="24"/>
      <c r="E964" s="52"/>
      <c r="F964" s="53"/>
      <c r="G964" s="48"/>
      <c r="H964" s="49"/>
      <c r="I964" s="49"/>
      <c r="J964" s="48"/>
      <c r="K964" s="48"/>
      <c r="L964" s="48"/>
      <c r="M964" s="48"/>
      <c r="N964" s="48"/>
      <c r="O964" s="48"/>
      <c r="P964" s="48"/>
      <c r="Q964" s="48"/>
      <c r="R964" s="48"/>
      <c r="S964" s="48"/>
      <c r="T964" s="48"/>
      <c r="U964" s="48"/>
      <c r="V964" s="48"/>
      <c r="W964" s="49"/>
      <c r="X964" s="49"/>
      <c r="Y964" s="49"/>
      <c r="Z964" s="49"/>
      <c r="AA964" s="49"/>
      <c r="AB964" s="49"/>
      <c r="AC964" s="49"/>
      <c r="AD964" s="49"/>
      <c r="AE964" s="49"/>
      <c r="AF964" s="49"/>
      <c r="AG964" s="49"/>
      <c r="AH964" s="49"/>
      <c r="AI964" s="48"/>
      <c r="AJ964" s="48"/>
      <c r="AK964" s="24"/>
      <c r="AL964" s="50"/>
      <c r="AM964" s="50"/>
      <c r="AN964" s="50"/>
      <c r="AO964" s="50"/>
      <c r="AP964" s="50"/>
      <c r="AQ964" s="50"/>
      <c r="AR964" s="50"/>
      <c r="AS964" s="50"/>
      <c r="AT964" s="51"/>
      <c r="AU964" s="51"/>
      <c r="AV964" s="51"/>
      <c r="AW964" s="51"/>
      <c r="AX964" s="50"/>
      <c r="AY964" s="50"/>
      <c r="AZ964" s="50"/>
      <c r="BA964" s="50"/>
      <c r="BB964" s="51"/>
      <c r="BC964" s="51"/>
      <c r="BD964" s="51"/>
      <c r="BE964" s="51"/>
      <c r="BF964" s="47"/>
      <c r="BG964" s="47"/>
      <c r="BH964" s="47"/>
      <c r="BI964" s="47"/>
      <c r="BJ964" s="47"/>
      <c r="BK964" s="47"/>
      <c r="BL964" s="47"/>
      <c r="BM964" s="47"/>
      <c r="BN964" s="47"/>
      <c r="BO964" s="47"/>
      <c r="BP964" s="47"/>
      <c r="BQ964" s="47"/>
      <c r="BR964" s="47"/>
      <c r="BS964" s="47"/>
      <c r="BT964" s="47"/>
    </row>
    <row r="965">
      <c r="A965" s="24"/>
      <c r="B965" s="48"/>
      <c r="C965" s="49"/>
      <c r="D965" s="24"/>
      <c r="E965" s="52"/>
      <c r="F965" s="53"/>
      <c r="G965" s="48"/>
      <c r="H965" s="49"/>
      <c r="I965" s="49"/>
      <c r="J965" s="48"/>
      <c r="K965" s="48"/>
      <c r="L965" s="48"/>
      <c r="M965" s="48"/>
      <c r="N965" s="48"/>
      <c r="O965" s="48"/>
      <c r="P965" s="48"/>
      <c r="Q965" s="48"/>
      <c r="R965" s="48"/>
      <c r="S965" s="48"/>
      <c r="T965" s="48"/>
      <c r="U965" s="48"/>
      <c r="V965" s="48"/>
      <c r="W965" s="49"/>
      <c r="X965" s="49"/>
      <c r="Y965" s="49"/>
      <c r="Z965" s="49"/>
      <c r="AA965" s="49"/>
      <c r="AB965" s="49"/>
      <c r="AC965" s="49"/>
      <c r="AD965" s="49"/>
      <c r="AE965" s="49"/>
      <c r="AF965" s="49"/>
      <c r="AG965" s="49"/>
      <c r="AH965" s="49"/>
      <c r="AI965" s="48"/>
      <c r="AJ965" s="48"/>
      <c r="AK965" s="24"/>
      <c r="AL965" s="50"/>
      <c r="AM965" s="50"/>
      <c r="AN965" s="50"/>
      <c r="AO965" s="50"/>
      <c r="AP965" s="50"/>
      <c r="AQ965" s="50"/>
      <c r="AR965" s="50"/>
      <c r="AS965" s="50"/>
      <c r="AT965" s="51"/>
      <c r="AU965" s="51"/>
      <c r="AV965" s="51"/>
      <c r="AW965" s="51"/>
      <c r="AX965" s="50"/>
      <c r="AY965" s="50"/>
      <c r="AZ965" s="50"/>
      <c r="BA965" s="50"/>
      <c r="BB965" s="51"/>
      <c r="BC965" s="51"/>
      <c r="BD965" s="51"/>
      <c r="BE965" s="51"/>
      <c r="BF965" s="47"/>
      <c r="BG965" s="47"/>
      <c r="BH965" s="47"/>
      <c r="BI965" s="47"/>
      <c r="BJ965" s="47"/>
      <c r="BK965" s="47"/>
      <c r="BL965" s="47"/>
      <c r="BM965" s="47"/>
      <c r="BN965" s="47"/>
      <c r="BO965" s="47"/>
      <c r="BP965" s="47"/>
      <c r="BQ965" s="47"/>
      <c r="BR965" s="47"/>
      <c r="BS965" s="47"/>
      <c r="BT965" s="47"/>
    </row>
    <row r="966">
      <c r="A966" s="24"/>
      <c r="B966" s="48"/>
      <c r="C966" s="49"/>
      <c r="D966" s="24"/>
      <c r="E966" s="52"/>
      <c r="F966" s="53"/>
      <c r="G966" s="48"/>
      <c r="H966" s="49"/>
      <c r="I966" s="49"/>
      <c r="J966" s="48"/>
      <c r="K966" s="48"/>
      <c r="L966" s="48"/>
      <c r="M966" s="48"/>
      <c r="N966" s="48"/>
      <c r="O966" s="48"/>
      <c r="P966" s="48"/>
      <c r="Q966" s="48"/>
      <c r="R966" s="48"/>
      <c r="S966" s="48"/>
      <c r="T966" s="48"/>
      <c r="U966" s="48"/>
      <c r="V966" s="48"/>
      <c r="W966" s="49"/>
      <c r="X966" s="49"/>
      <c r="Y966" s="49"/>
      <c r="Z966" s="49"/>
      <c r="AA966" s="49"/>
      <c r="AB966" s="49"/>
      <c r="AC966" s="49"/>
      <c r="AD966" s="49"/>
      <c r="AE966" s="49"/>
      <c r="AF966" s="49"/>
      <c r="AG966" s="49"/>
      <c r="AH966" s="49"/>
      <c r="AI966" s="48"/>
      <c r="AJ966" s="48"/>
      <c r="AK966" s="24"/>
      <c r="AL966" s="50"/>
      <c r="AM966" s="50"/>
      <c r="AN966" s="50"/>
      <c r="AO966" s="50"/>
      <c r="AP966" s="50"/>
      <c r="AQ966" s="50"/>
      <c r="AR966" s="50"/>
      <c r="AS966" s="50"/>
      <c r="AT966" s="51"/>
      <c r="AU966" s="51"/>
      <c r="AV966" s="51"/>
      <c r="AW966" s="51"/>
      <c r="AX966" s="50"/>
      <c r="AY966" s="50"/>
      <c r="AZ966" s="50"/>
      <c r="BA966" s="50"/>
      <c r="BB966" s="51"/>
      <c r="BC966" s="51"/>
      <c r="BD966" s="51"/>
      <c r="BE966" s="51"/>
      <c r="BF966" s="47"/>
      <c r="BG966" s="47"/>
      <c r="BH966" s="47"/>
      <c r="BI966" s="47"/>
      <c r="BJ966" s="47"/>
      <c r="BK966" s="47"/>
      <c r="BL966" s="47"/>
      <c r="BM966" s="47"/>
      <c r="BN966" s="47"/>
      <c r="BO966" s="47"/>
      <c r="BP966" s="47"/>
      <c r="BQ966" s="47"/>
      <c r="BR966" s="47"/>
      <c r="BS966" s="47"/>
      <c r="BT966" s="47"/>
    </row>
    <row r="967">
      <c r="A967" s="24"/>
      <c r="B967" s="48"/>
      <c r="C967" s="49"/>
      <c r="D967" s="24"/>
      <c r="E967" s="52"/>
      <c r="F967" s="53"/>
      <c r="G967" s="48"/>
      <c r="H967" s="49"/>
      <c r="I967" s="49"/>
      <c r="J967" s="48"/>
      <c r="K967" s="48"/>
      <c r="L967" s="48"/>
      <c r="M967" s="48"/>
      <c r="N967" s="48"/>
      <c r="O967" s="48"/>
      <c r="P967" s="48"/>
      <c r="Q967" s="48"/>
      <c r="R967" s="48"/>
      <c r="S967" s="48"/>
      <c r="T967" s="48"/>
      <c r="U967" s="48"/>
      <c r="V967" s="48"/>
      <c r="W967" s="49"/>
      <c r="X967" s="49"/>
      <c r="Y967" s="49"/>
      <c r="Z967" s="49"/>
      <c r="AA967" s="49"/>
      <c r="AB967" s="49"/>
      <c r="AC967" s="49"/>
      <c r="AD967" s="49"/>
      <c r="AE967" s="49"/>
      <c r="AF967" s="49"/>
      <c r="AG967" s="49"/>
      <c r="AH967" s="49"/>
      <c r="AI967" s="48"/>
      <c r="AJ967" s="48"/>
      <c r="AK967" s="24"/>
      <c r="AL967" s="50"/>
      <c r="AM967" s="50"/>
      <c r="AN967" s="50"/>
      <c r="AO967" s="50"/>
      <c r="AP967" s="50"/>
      <c r="AQ967" s="50"/>
      <c r="AR967" s="50"/>
      <c r="AS967" s="50"/>
      <c r="AT967" s="51"/>
      <c r="AU967" s="51"/>
      <c r="AV967" s="51"/>
      <c r="AW967" s="51"/>
      <c r="AX967" s="50"/>
      <c r="AY967" s="50"/>
      <c r="AZ967" s="50"/>
      <c r="BA967" s="50"/>
      <c r="BB967" s="51"/>
      <c r="BC967" s="51"/>
      <c r="BD967" s="51"/>
      <c r="BE967" s="51"/>
      <c r="BF967" s="47"/>
      <c r="BG967" s="47"/>
      <c r="BH967" s="47"/>
      <c r="BI967" s="47"/>
      <c r="BJ967" s="47"/>
      <c r="BK967" s="47"/>
      <c r="BL967" s="47"/>
      <c r="BM967" s="47"/>
      <c r="BN967" s="47"/>
      <c r="BO967" s="47"/>
      <c r="BP967" s="47"/>
      <c r="BQ967" s="47"/>
      <c r="BR967" s="47"/>
      <c r="BS967" s="47"/>
      <c r="BT967" s="47"/>
    </row>
    <row r="968">
      <c r="A968" s="24"/>
      <c r="B968" s="48"/>
      <c r="C968" s="49"/>
      <c r="D968" s="24"/>
      <c r="E968" s="52"/>
      <c r="F968" s="53"/>
      <c r="G968" s="48"/>
      <c r="H968" s="49"/>
      <c r="I968" s="49"/>
      <c r="J968" s="48"/>
      <c r="K968" s="48"/>
      <c r="L968" s="48"/>
      <c r="M968" s="48"/>
      <c r="N968" s="48"/>
      <c r="O968" s="48"/>
      <c r="P968" s="48"/>
      <c r="Q968" s="48"/>
      <c r="R968" s="48"/>
      <c r="S968" s="48"/>
      <c r="T968" s="48"/>
      <c r="U968" s="48"/>
      <c r="V968" s="48"/>
      <c r="W968" s="49"/>
      <c r="X968" s="49"/>
      <c r="Y968" s="49"/>
      <c r="Z968" s="49"/>
      <c r="AA968" s="49"/>
      <c r="AB968" s="49"/>
      <c r="AC968" s="49"/>
      <c r="AD968" s="49"/>
      <c r="AE968" s="49"/>
      <c r="AF968" s="49"/>
      <c r="AG968" s="49"/>
      <c r="AH968" s="49"/>
      <c r="AI968" s="48"/>
      <c r="AJ968" s="48"/>
      <c r="AK968" s="24"/>
      <c r="AL968" s="50"/>
      <c r="AM968" s="50"/>
      <c r="AN968" s="50"/>
      <c r="AO968" s="50"/>
      <c r="AP968" s="50"/>
      <c r="AQ968" s="50"/>
      <c r="AR968" s="50"/>
      <c r="AS968" s="50"/>
      <c r="AT968" s="51"/>
      <c r="AU968" s="51"/>
      <c r="AV968" s="51"/>
      <c r="AW968" s="51"/>
      <c r="AX968" s="50"/>
      <c r="AY968" s="50"/>
      <c r="AZ968" s="50"/>
      <c r="BA968" s="50"/>
      <c r="BB968" s="51"/>
      <c r="BC968" s="51"/>
      <c r="BD968" s="51"/>
      <c r="BE968" s="51"/>
      <c r="BF968" s="47"/>
      <c r="BG968" s="47"/>
      <c r="BH968" s="47"/>
      <c r="BI968" s="47"/>
      <c r="BJ968" s="47"/>
      <c r="BK968" s="47"/>
      <c r="BL968" s="47"/>
      <c r="BM968" s="47"/>
      <c r="BN968" s="47"/>
      <c r="BO968" s="47"/>
      <c r="BP968" s="47"/>
      <c r="BQ968" s="47"/>
      <c r="BR968" s="47"/>
      <c r="BS968" s="47"/>
      <c r="BT968" s="47"/>
    </row>
    <row r="969">
      <c r="A969" s="24"/>
      <c r="B969" s="48"/>
      <c r="C969" s="49"/>
      <c r="D969" s="24"/>
      <c r="E969" s="52"/>
      <c r="F969" s="53"/>
      <c r="G969" s="48"/>
      <c r="H969" s="49"/>
      <c r="I969" s="49"/>
      <c r="J969" s="48"/>
      <c r="K969" s="48"/>
      <c r="L969" s="48"/>
      <c r="M969" s="48"/>
      <c r="N969" s="48"/>
      <c r="O969" s="48"/>
      <c r="P969" s="48"/>
      <c r="Q969" s="48"/>
      <c r="R969" s="48"/>
      <c r="S969" s="48"/>
      <c r="T969" s="48"/>
      <c r="U969" s="48"/>
      <c r="V969" s="48"/>
      <c r="W969" s="49"/>
      <c r="X969" s="49"/>
      <c r="Y969" s="49"/>
      <c r="Z969" s="49"/>
      <c r="AA969" s="49"/>
      <c r="AB969" s="49"/>
      <c r="AC969" s="49"/>
      <c r="AD969" s="49"/>
      <c r="AE969" s="49"/>
      <c r="AF969" s="49"/>
      <c r="AG969" s="49"/>
      <c r="AH969" s="49"/>
      <c r="AI969" s="48"/>
      <c r="AJ969" s="48"/>
      <c r="AK969" s="24"/>
      <c r="AL969" s="50"/>
      <c r="AM969" s="50"/>
      <c r="AN969" s="50"/>
      <c r="AO969" s="50"/>
      <c r="AP969" s="50"/>
      <c r="AQ969" s="50"/>
      <c r="AR969" s="50"/>
      <c r="AS969" s="50"/>
      <c r="AT969" s="51"/>
      <c r="AU969" s="51"/>
      <c r="AV969" s="51"/>
      <c r="AW969" s="51"/>
      <c r="AX969" s="50"/>
      <c r="AY969" s="50"/>
      <c r="AZ969" s="50"/>
      <c r="BA969" s="50"/>
      <c r="BB969" s="51"/>
      <c r="BC969" s="51"/>
      <c r="BD969" s="51"/>
      <c r="BE969" s="51"/>
      <c r="BF969" s="47"/>
      <c r="BG969" s="47"/>
      <c r="BH969" s="47"/>
      <c r="BI969" s="47"/>
      <c r="BJ969" s="47"/>
      <c r="BK969" s="47"/>
      <c r="BL969" s="47"/>
      <c r="BM969" s="47"/>
      <c r="BN969" s="47"/>
      <c r="BO969" s="47"/>
      <c r="BP969" s="47"/>
      <c r="BQ969" s="47"/>
      <c r="BR969" s="47"/>
      <c r="BS969" s="47"/>
      <c r="BT969" s="47"/>
    </row>
    <row r="970">
      <c r="A970" s="24"/>
      <c r="B970" s="48"/>
      <c r="C970" s="49"/>
      <c r="D970" s="24"/>
      <c r="E970" s="52"/>
      <c r="F970" s="53"/>
      <c r="G970" s="48"/>
      <c r="H970" s="49"/>
      <c r="I970" s="49"/>
      <c r="J970" s="48"/>
      <c r="K970" s="48"/>
      <c r="L970" s="48"/>
      <c r="M970" s="48"/>
      <c r="N970" s="48"/>
      <c r="O970" s="48"/>
      <c r="P970" s="48"/>
      <c r="Q970" s="48"/>
      <c r="R970" s="48"/>
      <c r="S970" s="48"/>
      <c r="T970" s="48"/>
      <c r="U970" s="48"/>
      <c r="V970" s="48"/>
      <c r="W970" s="49"/>
      <c r="X970" s="49"/>
      <c r="Y970" s="49"/>
      <c r="Z970" s="49"/>
      <c r="AA970" s="49"/>
      <c r="AB970" s="49"/>
      <c r="AC970" s="49"/>
      <c r="AD970" s="49"/>
      <c r="AE970" s="49"/>
      <c r="AF970" s="49"/>
      <c r="AG970" s="49"/>
      <c r="AH970" s="49"/>
      <c r="AI970" s="48"/>
      <c r="AJ970" s="48"/>
      <c r="AK970" s="24"/>
      <c r="AL970" s="50"/>
      <c r="AM970" s="50"/>
      <c r="AN970" s="50"/>
      <c r="AO970" s="50"/>
      <c r="AP970" s="50"/>
      <c r="AQ970" s="50"/>
      <c r="AR970" s="50"/>
      <c r="AS970" s="50"/>
      <c r="AT970" s="51"/>
      <c r="AU970" s="51"/>
      <c r="AV970" s="51"/>
      <c r="AW970" s="51"/>
      <c r="AX970" s="50"/>
      <c r="AY970" s="50"/>
      <c r="AZ970" s="50"/>
      <c r="BA970" s="50"/>
      <c r="BB970" s="51"/>
      <c r="BC970" s="51"/>
      <c r="BD970" s="51"/>
      <c r="BE970" s="51"/>
      <c r="BF970" s="47"/>
      <c r="BG970" s="47"/>
      <c r="BH970" s="47"/>
      <c r="BI970" s="47"/>
      <c r="BJ970" s="47"/>
      <c r="BK970" s="47"/>
      <c r="BL970" s="47"/>
      <c r="BM970" s="47"/>
      <c r="BN970" s="47"/>
      <c r="BO970" s="47"/>
      <c r="BP970" s="47"/>
      <c r="BQ970" s="47"/>
      <c r="BR970" s="47"/>
      <c r="BS970" s="47"/>
      <c r="BT970" s="47"/>
    </row>
    <row r="971">
      <c r="A971" s="24"/>
      <c r="B971" s="48"/>
      <c r="C971" s="49"/>
      <c r="D971" s="24"/>
      <c r="E971" s="52"/>
      <c r="F971" s="53"/>
      <c r="G971" s="48"/>
      <c r="H971" s="49"/>
      <c r="I971" s="49"/>
      <c r="J971" s="48"/>
      <c r="K971" s="48"/>
      <c r="L971" s="48"/>
      <c r="M971" s="48"/>
      <c r="N971" s="48"/>
      <c r="O971" s="48"/>
      <c r="P971" s="48"/>
      <c r="Q971" s="48"/>
      <c r="R971" s="48"/>
      <c r="S971" s="48"/>
      <c r="T971" s="48"/>
      <c r="U971" s="48"/>
      <c r="V971" s="48"/>
      <c r="W971" s="49"/>
      <c r="X971" s="49"/>
      <c r="Y971" s="49"/>
      <c r="Z971" s="49"/>
      <c r="AA971" s="49"/>
      <c r="AB971" s="49"/>
      <c r="AC971" s="49"/>
      <c r="AD971" s="49"/>
      <c r="AE971" s="49"/>
      <c r="AF971" s="49"/>
      <c r="AG971" s="49"/>
      <c r="AH971" s="49"/>
      <c r="AI971" s="48"/>
      <c r="AJ971" s="48"/>
      <c r="AK971" s="24"/>
      <c r="AL971" s="50"/>
      <c r="AM971" s="50"/>
      <c r="AN971" s="50"/>
      <c r="AO971" s="50"/>
      <c r="AP971" s="50"/>
      <c r="AQ971" s="50"/>
      <c r="AR971" s="50"/>
      <c r="AS971" s="50"/>
      <c r="AT971" s="51"/>
      <c r="AU971" s="51"/>
      <c r="AV971" s="51"/>
      <c r="AW971" s="51"/>
      <c r="AX971" s="50"/>
      <c r="AY971" s="50"/>
      <c r="AZ971" s="50"/>
      <c r="BA971" s="50"/>
      <c r="BB971" s="51"/>
      <c r="BC971" s="51"/>
      <c r="BD971" s="51"/>
      <c r="BE971" s="51"/>
      <c r="BF971" s="47"/>
      <c r="BG971" s="47"/>
      <c r="BH971" s="47"/>
      <c r="BI971" s="47"/>
      <c r="BJ971" s="47"/>
      <c r="BK971" s="47"/>
      <c r="BL971" s="47"/>
      <c r="BM971" s="47"/>
      <c r="BN971" s="47"/>
      <c r="BO971" s="47"/>
      <c r="BP971" s="47"/>
      <c r="BQ971" s="47"/>
      <c r="BR971" s="47"/>
      <c r="BS971" s="47"/>
      <c r="BT971" s="47"/>
    </row>
    <row r="972">
      <c r="A972" s="24"/>
      <c r="B972" s="48"/>
      <c r="C972" s="49"/>
      <c r="D972" s="24"/>
      <c r="E972" s="52"/>
      <c r="F972" s="53"/>
      <c r="G972" s="48"/>
      <c r="H972" s="49"/>
      <c r="I972" s="49"/>
      <c r="J972" s="48"/>
      <c r="K972" s="48"/>
      <c r="L972" s="48"/>
      <c r="M972" s="48"/>
      <c r="N972" s="48"/>
      <c r="O972" s="48"/>
      <c r="P972" s="48"/>
      <c r="Q972" s="48"/>
      <c r="R972" s="48"/>
      <c r="S972" s="48"/>
      <c r="T972" s="48"/>
      <c r="U972" s="48"/>
      <c r="V972" s="48"/>
      <c r="W972" s="49"/>
      <c r="X972" s="49"/>
      <c r="Y972" s="49"/>
      <c r="Z972" s="49"/>
      <c r="AA972" s="49"/>
      <c r="AB972" s="49"/>
      <c r="AC972" s="49"/>
      <c r="AD972" s="49"/>
      <c r="AE972" s="49"/>
      <c r="AF972" s="49"/>
      <c r="AG972" s="49"/>
      <c r="AH972" s="49"/>
      <c r="AI972" s="48"/>
      <c r="AJ972" s="48"/>
      <c r="AK972" s="24"/>
      <c r="AL972" s="50"/>
      <c r="AM972" s="50"/>
      <c r="AN972" s="50"/>
      <c r="AO972" s="50"/>
      <c r="AP972" s="50"/>
      <c r="AQ972" s="50"/>
      <c r="AR972" s="50"/>
      <c r="AS972" s="50"/>
      <c r="AT972" s="51"/>
      <c r="AU972" s="51"/>
      <c r="AV972" s="51"/>
      <c r="AW972" s="51"/>
      <c r="AX972" s="50"/>
      <c r="AY972" s="50"/>
      <c r="AZ972" s="50"/>
      <c r="BA972" s="50"/>
      <c r="BB972" s="51"/>
      <c r="BC972" s="51"/>
      <c r="BD972" s="51"/>
      <c r="BE972" s="51"/>
      <c r="BF972" s="47"/>
      <c r="BG972" s="47"/>
      <c r="BH972" s="47"/>
      <c r="BI972" s="47"/>
      <c r="BJ972" s="47"/>
      <c r="BK972" s="47"/>
      <c r="BL972" s="47"/>
      <c r="BM972" s="47"/>
      <c r="BN972" s="47"/>
      <c r="BO972" s="47"/>
      <c r="BP972" s="47"/>
      <c r="BQ972" s="47"/>
      <c r="BR972" s="47"/>
      <c r="BS972" s="47"/>
      <c r="BT972" s="47"/>
    </row>
    <row r="973">
      <c r="A973" s="24"/>
      <c r="B973" s="48"/>
      <c r="C973" s="49"/>
      <c r="D973" s="24"/>
      <c r="E973" s="52"/>
      <c r="F973" s="53"/>
      <c r="G973" s="48"/>
      <c r="H973" s="49"/>
      <c r="I973" s="49"/>
      <c r="J973" s="48"/>
      <c r="K973" s="48"/>
      <c r="L973" s="48"/>
      <c r="M973" s="48"/>
      <c r="N973" s="48"/>
      <c r="O973" s="48"/>
      <c r="P973" s="48"/>
      <c r="Q973" s="48"/>
      <c r="R973" s="48"/>
      <c r="S973" s="48"/>
      <c r="T973" s="48"/>
      <c r="U973" s="48"/>
      <c r="V973" s="48"/>
      <c r="W973" s="49"/>
      <c r="X973" s="49"/>
      <c r="Y973" s="49"/>
      <c r="Z973" s="49"/>
      <c r="AA973" s="49"/>
      <c r="AB973" s="49"/>
      <c r="AC973" s="49"/>
      <c r="AD973" s="49"/>
      <c r="AE973" s="49"/>
      <c r="AF973" s="49"/>
      <c r="AG973" s="49"/>
      <c r="AH973" s="49"/>
      <c r="AI973" s="48"/>
      <c r="AJ973" s="48"/>
      <c r="AK973" s="24"/>
      <c r="AL973" s="50"/>
      <c r="AM973" s="50"/>
      <c r="AN973" s="50"/>
      <c r="AO973" s="50"/>
      <c r="AP973" s="50"/>
      <c r="AQ973" s="50"/>
      <c r="AR973" s="50"/>
      <c r="AS973" s="50"/>
      <c r="AT973" s="51"/>
      <c r="AU973" s="51"/>
      <c r="AV973" s="51"/>
      <c r="AW973" s="51"/>
      <c r="AX973" s="50"/>
      <c r="AY973" s="50"/>
      <c r="AZ973" s="50"/>
      <c r="BA973" s="50"/>
      <c r="BB973" s="51"/>
      <c r="BC973" s="51"/>
      <c r="BD973" s="51"/>
      <c r="BE973" s="51"/>
      <c r="BF973" s="47"/>
      <c r="BG973" s="47"/>
      <c r="BH973" s="47"/>
      <c r="BI973" s="47"/>
      <c r="BJ973" s="47"/>
      <c r="BK973" s="47"/>
      <c r="BL973" s="47"/>
      <c r="BM973" s="47"/>
      <c r="BN973" s="47"/>
      <c r="BO973" s="47"/>
      <c r="BP973" s="47"/>
      <c r="BQ973" s="47"/>
      <c r="BR973" s="47"/>
      <c r="BS973" s="47"/>
      <c r="BT973" s="47"/>
    </row>
    <row r="974">
      <c r="A974" s="24"/>
      <c r="B974" s="48"/>
      <c r="C974" s="49"/>
      <c r="D974" s="24"/>
      <c r="E974" s="52"/>
      <c r="F974" s="53"/>
      <c r="G974" s="48"/>
      <c r="H974" s="49"/>
      <c r="I974" s="49"/>
      <c r="J974" s="48"/>
      <c r="K974" s="48"/>
      <c r="L974" s="48"/>
      <c r="M974" s="48"/>
      <c r="N974" s="48"/>
      <c r="O974" s="48"/>
      <c r="P974" s="48"/>
      <c r="Q974" s="48"/>
      <c r="R974" s="48"/>
      <c r="S974" s="48"/>
      <c r="T974" s="48"/>
      <c r="U974" s="48"/>
      <c r="V974" s="48"/>
      <c r="W974" s="49"/>
      <c r="X974" s="49"/>
      <c r="Y974" s="49"/>
      <c r="Z974" s="49"/>
      <c r="AA974" s="49"/>
      <c r="AB974" s="49"/>
      <c r="AC974" s="49"/>
      <c r="AD974" s="49"/>
      <c r="AE974" s="49"/>
      <c r="AF974" s="49"/>
      <c r="AG974" s="49"/>
      <c r="AH974" s="49"/>
      <c r="AI974" s="48"/>
      <c r="AJ974" s="48"/>
      <c r="AK974" s="24"/>
      <c r="AL974" s="50"/>
      <c r="AM974" s="50"/>
      <c r="AN974" s="50"/>
      <c r="AO974" s="50"/>
      <c r="AP974" s="50"/>
      <c r="AQ974" s="50"/>
      <c r="AR974" s="50"/>
      <c r="AS974" s="50"/>
      <c r="AT974" s="51"/>
      <c r="AU974" s="51"/>
      <c r="AV974" s="51"/>
      <c r="AW974" s="51"/>
      <c r="AX974" s="50"/>
      <c r="AY974" s="50"/>
      <c r="AZ974" s="50"/>
      <c r="BA974" s="50"/>
      <c r="BB974" s="51"/>
      <c r="BC974" s="51"/>
      <c r="BD974" s="51"/>
      <c r="BE974" s="51"/>
      <c r="BF974" s="47"/>
      <c r="BG974" s="47"/>
      <c r="BH974" s="47"/>
      <c r="BI974" s="47"/>
      <c r="BJ974" s="47"/>
      <c r="BK974" s="47"/>
      <c r="BL974" s="47"/>
      <c r="BM974" s="47"/>
      <c r="BN974" s="47"/>
      <c r="BO974" s="47"/>
      <c r="BP974" s="47"/>
      <c r="BQ974" s="47"/>
      <c r="BR974" s="47"/>
      <c r="BS974" s="47"/>
      <c r="BT974" s="47"/>
    </row>
    <row r="975">
      <c r="A975" s="24"/>
      <c r="B975" s="48"/>
      <c r="C975" s="49"/>
      <c r="D975" s="24"/>
      <c r="E975" s="52"/>
      <c r="F975" s="53"/>
      <c r="G975" s="48"/>
      <c r="H975" s="49"/>
      <c r="I975" s="49"/>
      <c r="J975" s="48"/>
      <c r="K975" s="48"/>
      <c r="L975" s="48"/>
      <c r="M975" s="48"/>
      <c r="N975" s="48"/>
      <c r="O975" s="48"/>
      <c r="P975" s="48"/>
      <c r="Q975" s="48"/>
      <c r="R975" s="48"/>
      <c r="S975" s="48"/>
      <c r="T975" s="48"/>
      <c r="U975" s="48"/>
      <c r="V975" s="48"/>
      <c r="W975" s="49"/>
      <c r="X975" s="49"/>
      <c r="Y975" s="49"/>
      <c r="Z975" s="49"/>
      <c r="AA975" s="49"/>
      <c r="AB975" s="49"/>
      <c r="AC975" s="49"/>
      <c r="AD975" s="49"/>
      <c r="AE975" s="49"/>
      <c r="AF975" s="49"/>
      <c r="AG975" s="49"/>
      <c r="AH975" s="49"/>
      <c r="AI975" s="48"/>
      <c r="AJ975" s="48"/>
      <c r="AK975" s="24"/>
      <c r="AL975" s="50"/>
      <c r="AM975" s="50"/>
      <c r="AN975" s="50"/>
      <c r="AO975" s="50"/>
      <c r="AP975" s="50"/>
      <c r="AQ975" s="50"/>
      <c r="AR975" s="50"/>
      <c r="AS975" s="50"/>
      <c r="AT975" s="51"/>
      <c r="AU975" s="51"/>
      <c r="AV975" s="51"/>
      <c r="AW975" s="51"/>
      <c r="AX975" s="50"/>
      <c r="AY975" s="50"/>
      <c r="AZ975" s="50"/>
      <c r="BA975" s="50"/>
      <c r="BB975" s="51"/>
      <c r="BC975" s="51"/>
      <c r="BD975" s="51"/>
      <c r="BE975" s="51"/>
      <c r="BF975" s="47"/>
      <c r="BG975" s="47"/>
      <c r="BH975" s="47"/>
      <c r="BI975" s="47"/>
      <c r="BJ975" s="47"/>
      <c r="BK975" s="47"/>
      <c r="BL975" s="47"/>
      <c r="BM975" s="47"/>
      <c r="BN975" s="47"/>
      <c r="BO975" s="47"/>
      <c r="BP975" s="47"/>
      <c r="BQ975" s="47"/>
      <c r="BR975" s="47"/>
      <c r="BS975" s="47"/>
      <c r="BT975" s="47"/>
    </row>
    <row r="976">
      <c r="A976" s="24"/>
      <c r="B976" s="48"/>
      <c r="C976" s="49"/>
      <c r="D976" s="24"/>
      <c r="E976" s="52"/>
      <c r="F976" s="53"/>
      <c r="G976" s="48"/>
      <c r="H976" s="49"/>
      <c r="I976" s="49"/>
      <c r="J976" s="48"/>
      <c r="K976" s="48"/>
      <c r="L976" s="48"/>
      <c r="M976" s="48"/>
      <c r="N976" s="48"/>
      <c r="O976" s="48"/>
      <c r="P976" s="48"/>
      <c r="Q976" s="48"/>
      <c r="R976" s="48"/>
      <c r="S976" s="48"/>
      <c r="T976" s="48"/>
      <c r="U976" s="48"/>
      <c r="V976" s="48"/>
      <c r="W976" s="49"/>
      <c r="X976" s="49"/>
      <c r="Y976" s="49"/>
      <c r="Z976" s="49"/>
      <c r="AA976" s="49"/>
      <c r="AB976" s="49"/>
      <c r="AC976" s="49"/>
      <c r="AD976" s="49"/>
      <c r="AE976" s="49"/>
      <c r="AF976" s="49"/>
      <c r="AG976" s="49"/>
      <c r="AH976" s="49"/>
      <c r="AI976" s="48"/>
      <c r="AJ976" s="48"/>
      <c r="AK976" s="24"/>
      <c r="AL976" s="50"/>
      <c r="AM976" s="50"/>
      <c r="AN976" s="50"/>
      <c r="AO976" s="50"/>
      <c r="AP976" s="50"/>
      <c r="AQ976" s="50"/>
      <c r="AR976" s="50"/>
      <c r="AS976" s="50"/>
      <c r="AT976" s="51"/>
      <c r="AU976" s="51"/>
      <c r="AV976" s="51"/>
      <c r="AW976" s="51"/>
      <c r="AX976" s="50"/>
      <c r="AY976" s="50"/>
      <c r="AZ976" s="50"/>
      <c r="BA976" s="50"/>
      <c r="BB976" s="51"/>
      <c r="BC976" s="51"/>
      <c r="BD976" s="51"/>
      <c r="BE976" s="51"/>
      <c r="BF976" s="47"/>
      <c r="BG976" s="47"/>
      <c r="BH976" s="47"/>
      <c r="BI976" s="47"/>
      <c r="BJ976" s="47"/>
      <c r="BK976" s="47"/>
      <c r="BL976" s="47"/>
      <c r="BM976" s="47"/>
      <c r="BN976" s="47"/>
      <c r="BO976" s="47"/>
      <c r="BP976" s="47"/>
      <c r="BQ976" s="47"/>
      <c r="BR976" s="47"/>
      <c r="BS976" s="47"/>
      <c r="BT976" s="47"/>
    </row>
    <row r="977">
      <c r="A977" s="24"/>
      <c r="B977" s="48"/>
      <c r="C977" s="49"/>
      <c r="D977" s="24"/>
      <c r="E977" s="52"/>
      <c r="F977" s="53"/>
      <c r="G977" s="48"/>
      <c r="H977" s="49"/>
      <c r="I977" s="49"/>
      <c r="J977" s="48"/>
      <c r="K977" s="48"/>
      <c r="L977" s="48"/>
      <c r="M977" s="48"/>
      <c r="N977" s="48"/>
      <c r="O977" s="48"/>
      <c r="P977" s="48"/>
      <c r="Q977" s="48"/>
      <c r="R977" s="48"/>
      <c r="S977" s="48"/>
      <c r="T977" s="48"/>
      <c r="U977" s="48"/>
      <c r="V977" s="48"/>
      <c r="W977" s="49"/>
      <c r="X977" s="49"/>
      <c r="Y977" s="49"/>
      <c r="Z977" s="49"/>
      <c r="AA977" s="49"/>
      <c r="AB977" s="49"/>
      <c r="AC977" s="49"/>
      <c r="AD977" s="49"/>
      <c r="AE977" s="49"/>
      <c r="AF977" s="49"/>
      <c r="AG977" s="49"/>
      <c r="AH977" s="49"/>
      <c r="AI977" s="48"/>
      <c r="AJ977" s="48"/>
      <c r="AK977" s="24"/>
      <c r="AL977" s="50"/>
      <c r="AM977" s="50"/>
      <c r="AN977" s="50"/>
      <c r="AO977" s="50"/>
      <c r="AP977" s="50"/>
      <c r="AQ977" s="50"/>
      <c r="AR977" s="50"/>
      <c r="AS977" s="50"/>
      <c r="AT977" s="51"/>
      <c r="AU977" s="51"/>
      <c r="AV977" s="51"/>
      <c r="AW977" s="51"/>
      <c r="AX977" s="50"/>
      <c r="AY977" s="50"/>
      <c r="AZ977" s="50"/>
      <c r="BA977" s="50"/>
      <c r="BB977" s="51"/>
      <c r="BC977" s="51"/>
      <c r="BD977" s="51"/>
      <c r="BE977" s="51"/>
      <c r="BF977" s="47"/>
      <c r="BG977" s="47"/>
      <c r="BH977" s="47"/>
      <c r="BI977" s="47"/>
      <c r="BJ977" s="47"/>
      <c r="BK977" s="47"/>
      <c r="BL977" s="47"/>
      <c r="BM977" s="47"/>
      <c r="BN977" s="47"/>
      <c r="BO977" s="47"/>
      <c r="BP977" s="47"/>
      <c r="BQ977" s="47"/>
      <c r="BR977" s="47"/>
      <c r="BS977" s="47"/>
      <c r="BT977" s="47"/>
    </row>
    <row r="978">
      <c r="A978" s="24"/>
      <c r="B978" s="48"/>
      <c r="C978" s="49"/>
      <c r="D978" s="24"/>
      <c r="E978" s="52"/>
      <c r="F978" s="53"/>
      <c r="G978" s="48"/>
      <c r="H978" s="49"/>
      <c r="I978" s="49"/>
      <c r="J978" s="48"/>
      <c r="K978" s="48"/>
      <c r="L978" s="48"/>
      <c r="M978" s="48"/>
      <c r="N978" s="48"/>
      <c r="O978" s="48"/>
      <c r="P978" s="48"/>
      <c r="Q978" s="48"/>
      <c r="R978" s="48"/>
      <c r="S978" s="48"/>
      <c r="T978" s="48"/>
      <c r="U978" s="48"/>
      <c r="V978" s="48"/>
      <c r="W978" s="49"/>
      <c r="X978" s="49"/>
      <c r="Y978" s="49"/>
      <c r="Z978" s="49"/>
      <c r="AA978" s="49"/>
      <c r="AB978" s="49"/>
      <c r="AC978" s="49"/>
      <c r="AD978" s="49"/>
      <c r="AE978" s="49"/>
      <c r="AF978" s="49"/>
      <c r="AG978" s="49"/>
      <c r="AH978" s="49"/>
      <c r="AI978" s="48"/>
      <c r="AJ978" s="48"/>
      <c r="AK978" s="24"/>
      <c r="AL978" s="50"/>
      <c r="AM978" s="50"/>
      <c r="AN978" s="50"/>
      <c r="AO978" s="50"/>
      <c r="AP978" s="50"/>
      <c r="AQ978" s="50"/>
      <c r="AR978" s="50"/>
      <c r="AS978" s="50"/>
      <c r="AT978" s="51"/>
      <c r="AU978" s="51"/>
      <c r="AV978" s="51"/>
      <c r="AW978" s="51"/>
      <c r="AX978" s="50"/>
      <c r="AY978" s="50"/>
      <c r="AZ978" s="50"/>
      <c r="BA978" s="50"/>
      <c r="BB978" s="51"/>
      <c r="BC978" s="51"/>
      <c r="BD978" s="51"/>
      <c r="BE978" s="51"/>
      <c r="BF978" s="47"/>
      <c r="BG978" s="47"/>
      <c r="BH978" s="47"/>
      <c r="BI978" s="47"/>
      <c r="BJ978" s="47"/>
      <c r="BK978" s="47"/>
      <c r="BL978" s="47"/>
      <c r="BM978" s="47"/>
      <c r="BN978" s="47"/>
      <c r="BO978" s="47"/>
      <c r="BP978" s="47"/>
      <c r="BQ978" s="47"/>
      <c r="BR978" s="47"/>
      <c r="BS978" s="47"/>
      <c r="BT978" s="47"/>
    </row>
    <row r="979">
      <c r="A979" s="24"/>
      <c r="B979" s="48"/>
      <c r="C979" s="49"/>
      <c r="D979" s="24"/>
      <c r="E979" s="52"/>
      <c r="F979" s="53"/>
      <c r="G979" s="48"/>
      <c r="H979" s="49"/>
      <c r="I979" s="49"/>
      <c r="J979" s="48"/>
      <c r="K979" s="48"/>
      <c r="L979" s="48"/>
      <c r="M979" s="48"/>
      <c r="N979" s="48"/>
      <c r="O979" s="48"/>
      <c r="P979" s="48"/>
      <c r="Q979" s="48"/>
      <c r="R979" s="48"/>
      <c r="S979" s="48"/>
      <c r="T979" s="48"/>
      <c r="U979" s="48"/>
      <c r="V979" s="48"/>
      <c r="W979" s="49"/>
      <c r="X979" s="49"/>
      <c r="Y979" s="49"/>
      <c r="Z979" s="49"/>
      <c r="AA979" s="49"/>
      <c r="AB979" s="49"/>
      <c r="AC979" s="49"/>
      <c r="AD979" s="49"/>
      <c r="AE979" s="49"/>
      <c r="AF979" s="49"/>
      <c r="AG979" s="49"/>
      <c r="AH979" s="49"/>
      <c r="AI979" s="48"/>
      <c r="AJ979" s="48"/>
      <c r="AK979" s="24"/>
      <c r="AL979" s="50"/>
      <c r="AM979" s="50"/>
      <c r="AN979" s="50"/>
      <c r="AO979" s="50"/>
      <c r="AP979" s="50"/>
      <c r="AQ979" s="50"/>
      <c r="AR979" s="50"/>
      <c r="AS979" s="50"/>
      <c r="AT979" s="51"/>
      <c r="AU979" s="51"/>
      <c r="AV979" s="51"/>
      <c r="AW979" s="51"/>
      <c r="AX979" s="50"/>
      <c r="AY979" s="50"/>
      <c r="AZ979" s="50"/>
      <c r="BA979" s="50"/>
      <c r="BB979" s="51"/>
      <c r="BC979" s="51"/>
      <c r="BD979" s="51"/>
      <c r="BE979" s="51"/>
      <c r="BF979" s="47"/>
      <c r="BG979" s="47"/>
      <c r="BH979" s="47"/>
      <c r="BI979" s="47"/>
      <c r="BJ979" s="47"/>
      <c r="BK979" s="47"/>
      <c r="BL979" s="47"/>
      <c r="BM979" s="47"/>
      <c r="BN979" s="47"/>
      <c r="BO979" s="47"/>
      <c r="BP979" s="47"/>
      <c r="BQ979" s="47"/>
      <c r="BR979" s="47"/>
      <c r="BS979" s="47"/>
      <c r="BT979" s="47"/>
    </row>
    <row r="980">
      <c r="A980" s="24"/>
      <c r="B980" s="48"/>
      <c r="C980" s="49"/>
      <c r="D980" s="24"/>
      <c r="E980" s="52"/>
      <c r="F980" s="53"/>
      <c r="G980" s="48"/>
      <c r="H980" s="49"/>
      <c r="I980" s="49"/>
      <c r="J980" s="48"/>
      <c r="K980" s="48"/>
      <c r="L980" s="48"/>
      <c r="M980" s="48"/>
      <c r="N980" s="48"/>
      <c r="O980" s="48"/>
      <c r="P980" s="48"/>
      <c r="Q980" s="48"/>
      <c r="R980" s="48"/>
      <c r="S980" s="48"/>
      <c r="T980" s="48"/>
      <c r="U980" s="48"/>
      <c r="V980" s="48"/>
      <c r="W980" s="49"/>
      <c r="X980" s="49"/>
      <c r="Y980" s="49"/>
      <c r="Z980" s="49"/>
      <c r="AA980" s="49"/>
      <c r="AB980" s="49"/>
      <c r="AC980" s="49"/>
      <c r="AD980" s="49"/>
      <c r="AE980" s="49"/>
      <c r="AF980" s="49"/>
      <c r="AG980" s="49"/>
      <c r="AH980" s="49"/>
      <c r="AI980" s="48"/>
      <c r="AJ980" s="48"/>
      <c r="AK980" s="24"/>
      <c r="AL980" s="50"/>
      <c r="AM980" s="50"/>
      <c r="AN980" s="50"/>
      <c r="AO980" s="50"/>
      <c r="AP980" s="50"/>
      <c r="AQ980" s="50"/>
      <c r="AR980" s="50"/>
      <c r="AS980" s="50"/>
      <c r="AT980" s="51"/>
      <c r="AU980" s="51"/>
      <c r="AV980" s="51"/>
      <c r="AW980" s="51"/>
      <c r="AX980" s="50"/>
      <c r="AY980" s="50"/>
      <c r="AZ980" s="50"/>
      <c r="BA980" s="50"/>
      <c r="BB980" s="51"/>
      <c r="BC980" s="51"/>
      <c r="BD980" s="51"/>
      <c r="BE980" s="51"/>
      <c r="BF980" s="47"/>
      <c r="BG980" s="47"/>
      <c r="BH980" s="47"/>
      <c r="BI980" s="47"/>
      <c r="BJ980" s="47"/>
      <c r="BK980" s="47"/>
      <c r="BL980" s="47"/>
      <c r="BM980" s="47"/>
      <c r="BN980" s="47"/>
      <c r="BO980" s="47"/>
      <c r="BP980" s="47"/>
      <c r="BQ980" s="47"/>
      <c r="BR980" s="47"/>
      <c r="BS980" s="47"/>
      <c r="BT980" s="47"/>
    </row>
    <row r="981">
      <c r="A981" s="24"/>
      <c r="B981" s="48"/>
      <c r="C981" s="49"/>
      <c r="D981" s="24"/>
      <c r="E981" s="52"/>
      <c r="F981" s="53"/>
      <c r="G981" s="48"/>
      <c r="H981" s="49"/>
      <c r="I981" s="49"/>
      <c r="J981" s="48"/>
      <c r="K981" s="48"/>
      <c r="L981" s="48"/>
      <c r="M981" s="48"/>
      <c r="N981" s="48"/>
      <c r="O981" s="48"/>
      <c r="P981" s="48"/>
      <c r="Q981" s="48"/>
      <c r="R981" s="48"/>
      <c r="S981" s="48"/>
      <c r="T981" s="48"/>
      <c r="U981" s="48"/>
      <c r="V981" s="48"/>
      <c r="W981" s="49"/>
      <c r="X981" s="49"/>
      <c r="Y981" s="49"/>
      <c r="Z981" s="49"/>
      <c r="AA981" s="49"/>
      <c r="AB981" s="49"/>
      <c r="AC981" s="49"/>
      <c r="AD981" s="49"/>
      <c r="AE981" s="49"/>
      <c r="AF981" s="49"/>
      <c r="AG981" s="49"/>
      <c r="AH981" s="49"/>
      <c r="AI981" s="48"/>
      <c r="AJ981" s="48"/>
      <c r="AK981" s="24"/>
      <c r="AL981" s="50"/>
      <c r="AM981" s="50"/>
      <c r="AN981" s="50"/>
      <c r="AO981" s="50"/>
      <c r="AP981" s="50"/>
      <c r="AQ981" s="50"/>
      <c r="AR981" s="50"/>
      <c r="AS981" s="50"/>
      <c r="AT981" s="51"/>
      <c r="AU981" s="51"/>
      <c r="AV981" s="51"/>
      <c r="AW981" s="51"/>
      <c r="AX981" s="50"/>
      <c r="AY981" s="50"/>
      <c r="AZ981" s="50"/>
      <c r="BA981" s="50"/>
      <c r="BB981" s="51"/>
      <c r="BC981" s="51"/>
      <c r="BD981" s="51"/>
      <c r="BE981" s="51"/>
      <c r="BF981" s="47"/>
      <c r="BG981" s="47"/>
      <c r="BH981" s="47"/>
      <c r="BI981" s="47"/>
      <c r="BJ981" s="47"/>
      <c r="BK981" s="47"/>
      <c r="BL981" s="47"/>
      <c r="BM981" s="47"/>
      <c r="BN981" s="47"/>
      <c r="BO981" s="47"/>
      <c r="BP981" s="47"/>
      <c r="BQ981" s="47"/>
      <c r="BR981" s="47"/>
      <c r="BS981" s="47"/>
      <c r="BT981" s="47"/>
    </row>
    <row r="982">
      <c r="A982" s="24"/>
      <c r="B982" s="48"/>
      <c r="C982" s="49"/>
      <c r="D982" s="24"/>
      <c r="E982" s="52"/>
      <c r="F982" s="53"/>
      <c r="G982" s="48"/>
      <c r="H982" s="49"/>
      <c r="I982" s="49"/>
      <c r="J982" s="48"/>
      <c r="K982" s="48"/>
      <c r="L982" s="48"/>
      <c r="M982" s="48"/>
      <c r="N982" s="48"/>
      <c r="O982" s="48"/>
      <c r="P982" s="48"/>
      <c r="Q982" s="48"/>
      <c r="R982" s="48"/>
      <c r="S982" s="48"/>
      <c r="T982" s="48"/>
      <c r="U982" s="48"/>
      <c r="V982" s="48"/>
      <c r="W982" s="49"/>
      <c r="X982" s="49"/>
      <c r="Y982" s="49"/>
      <c r="Z982" s="49"/>
      <c r="AA982" s="49"/>
      <c r="AB982" s="49"/>
      <c r="AC982" s="49"/>
      <c r="AD982" s="49"/>
      <c r="AE982" s="49"/>
      <c r="AF982" s="49"/>
      <c r="AG982" s="49"/>
      <c r="AH982" s="49"/>
      <c r="AI982" s="48"/>
      <c r="AJ982" s="48"/>
      <c r="AK982" s="24"/>
      <c r="AL982" s="50"/>
      <c r="AM982" s="50"/>
      <c r="AN982" s="50"/>
      <c r="AO982" s="50"/>
      <c r="AP982" s="50"/>
      <c r="AQ982" s="50"/>
      <c r="AR982" s="50"/>
      <c r="AS982" s="50"/>
      <c r="AT982" s="51"/>
      <c r="AU982" s="51"/>
      <c r="AV982" s="51"/>
      <c r="AW982" s="51"/>
      <c r="AX982" s="50"/>
      <c r="AY982" s="50"/>
      <c r="AZ982" s="50"/>
      <c r="BA982" s="50"/>
      <c r="BB982" s="51"/>
      <c r="BC982" s="51"/>
      <c r="BD982" s="51"/>
      <c r="BE982" s="51"/>
      <c r="BF982" s="47"/>
      <c r="BG982" s="47"/>
      <c r="BH982" s="47"/>
      <c r="BI982" s="47"/>
      <c r="BJ982" s="47"/>
      <c r="BK982" s="47"/>
      <c r="BL982" s="47"/>
      <c r="BM982" s="47"/>
      <c r="BN982" s="47"/>
      <c r="BO982" s="47"/>
      <c r="BP982" s="47"/>
      <c r="BQ982" s="47"/>
      <c r="BR982" s="47"/>
      <c r="BS982" s="47"/>
      <c r="BT982" s="47"/>
    </row>
    <row r="983">
      <c r="A983" s="24"/>
      <c r="B983" s="48"/>
      <c r="C983" s="49"/>
      <c r="D983" s="24"/>
      <c r="E983" s="52"/>
      <c r="F983" s="53"/>
      <c r="G983" s="48"/>
      <c r="H983" s="49"/>
      <c r="I983" s="49"/>
      <c r="J983" s="48"/>
      <c r="K983" s="48"/>
      <c r="L983" s="48"/>
      <c r="M983" s="48"/>
      <c r="N983" s="48"/>
      <c r="O983" s="48"/>
      <c r="P983" s="48"/>
      <c r="Q983" s="48"/>
      <c r="R983" s="48"/>
      <c r="S983" s="48"/>
      <c r="T983" s="48"/>
      <c r="U983" s="48"/>
      <c r="V983" s="48"/>
      <c r="W983" s="49"/>
      <c r="X983" s="49"/>
      <c r="Y983" s="49"/>
      <c r="Z983" s="49"/>
      <c r="AA983" s="49"/>
      <c r="AB983" s="49"/>
      <c r="AC983" s="49"/>
      <c r="AD983" s="49"/>
      <c r="AE983" s="49"/>
      <c r="AF983" s="49"/>
      <c r="AG983" s="49"/>
      <c r="AH983" s="49"/>
      <c r="AI983" s="48"/>
      <c r="AJ983" s="48"/>
      <c r="AK983" s="24"/>
      <c r="AL983" s="50"/>
      <c r="AM983" s="50"/>
      <c r="AN983" s="50"/>
      <c r="AO983" s="50"/>
      <c r="AP983" s="50"/>
      <c r="AQ983" s="50"/>
      <c r="AR983" s="50"/>
      <c r="AS983" s="50"/>
      <c r="AT983" s="51"/>
      <c r="AU983" s="51"/>
      <c r="AV983" s="51"/>
      <c r="AW983" s="51"/>
      <c r="AX983" s="50"/>
      <c r="AY983" s="50"/>
      <c r="AZ983" s="50"/>
      <c r="BA983" s="50"/>
      <c r="BB983" s="51"/>
      <c r="BC983" s="51"/>
      <c r="BD983" s="51"/>
      <c r="BE983" s="51"/>
      <c r="BF983" s="47"/>
      <c r="BG983" s="47"/>
      <c r="BH983" s="47"/>
      <c r="BI983" s="47"/>
      <c r="BJ983" s="47"/>
      <c r="BK983" s="47"/>
      <c r="BL983" s="47"/>
      <c r="BM983" s="47"/>
      <c r="BN983" s="47"/>
      <c r="BO983" s="47"/>
      <c r="BP983" s="47"/>
      <c r="BQ983" s="47"/>
      <c r="BR983" s="47"/>
      <c r="BS983" s="47"/>
      <c r="BT983" s="47"/>
    </row>
    <row r="984">
      <c r="A984" s="24"/>
      <c r="B984" s="48"/>
      <c r="C984" s="49"/>
      <c r="D984" s="24"/>
      <c r="E984" s="52"/>
      <c r="F984" s="53"/>
      <c r="G984" s="48"/>
      <c r="H984" s="49"/>
      <c r="I984" s="49"/>
      <c r="J984" s="48"/>
      <c r="K984" s="48"/>
      <c r="L984" s="48"/>
      <c r="M984" s="48"/>
      <c r="N984" s="48"/>
      <c r="O984" s="48"/>
      <c r="P984" s="48"/>
      <c r="Q984" s="48"/>
      <c r="R984" s="48"/>
      <c r="S984" s="48"/>
      <c r="T984" s="48"/>
      <c r="U984" s="48"/>
      <c r="V984" s="48"/>
      <c r="W984" s="49"/>
      <c r="X984" s="49"/>
      <c r="Y984" s="49"/>
      <c r="Z984" s="49"/>
      <c r="AA984" s="49"/>
      <c r="AB984" s="49"/>
      <c r="AC984" s="49"/>
      <c r="AD984" s="49"/>
      <c r="AE984" s="49"/>
      <c r="AF984" s="49"/>
      <c r="AG984" s="49"/>
      <c r="AH984" s="49"/>
      <c r="AI984" s="48"/>
      <c r="AJ984" s="48"/>
      <c r="AK984" s="24"/>
      <c r="AL984" s="50"/>
      <c r="AM984" s="50"/>
      <c r="AN984" s="50"/>
      <c r="AO984" s="50"/>
      <c r="AP984" s="50"/>
      <c r="AQ984" s="50"/>
      <c r="AR984" s="50"/>
      <c r="AS984" s="50"/>
      <c r="AT984" s="51"/>
      <c r="AU984" s="51"/>
      <c r="AV984" s="51"/>
      <c r="AW984" s="51"/>
      <c r="AX984" s="50"/>
      <c r="AY984" s="50"/>
      <c r="AZ984" s="50"/>
      <c r="BA984" s="50"/>
      <c r="BB984" s="51"/>
      <c r="BC984" s="51"/>
      <c r="BD984" s="51"/>
      <c r="BE984" s="51"/>
      <c r="BF984" s="47"/>
      <c r="BG984" s="47"/>
      <c r="BH984" s="47"/>
      <c r="BI984" s="47"/>
      <c r="BJ984" s="47"/>
      <c r="BK984" s="47"/>
      <c r="BL984" s="47"/>
      <c r="BM984" s="47"/>
      <c r="BN984" s="47"/>
      <c r="BO984" s="47"/>
      <c r="BP984" s="47"/>
      <c r="BQ984" s="47"/>
      <c r="BR984" s="47"/>
      <c r="BS984" s="47"/>
      <c r="BT984" s="47"/>
    </row>
    <row r="985">
      <c r="A985" s="24"/>
      <c r="B985" s="48"/>
      <c r="C985" s="49"/>
      <c r="D985" s="24"/>
      <c r="E985" s="52"/>
      <c r="F985" s="53"/>
      <c r="G985" s="48"/>
      <c r="H985" s="49"/>
      <c r="I985" s="49"/>
      <c r="J985" s="48"/>
      <c r="K985" s="48"/>
      <c r="L985" s="48"/>
      <c r="M985" s="48"/>
      <c r="N985" s="48"/>
      <c r="O985" s="48"/>
      <c r="P985" s="48"/>
      <c r="Q985" s="48"/>
      <c r="R985" s="48"/>
      <c r="S985" s="48"/>
      <c r="T985" s="48"/>
      <c r="U985" s="48"/>
      <c r="V985" s="48"/>
      <c r="W985" s="49"/>
      <c r="X985" s="49"/>
      <c r="Y985" s="49"/>
      <c r="Z985" s="49"/>
      <c r="AA985" s="49"/>
      <c r="AB985" s="49"/>
      <c r="AC985" s="49"/>
      <c r="AD985" s="49"/>
      <c r="AE985" s="49"/>
      <c r="AF985" s="49"/>
      <c r="AG985" s="49"/>
      <c r="AH985" s="49"/>
      <c r="AI985" s="48"/>
      <c r="AJ985" s="48"/>
      <c r="AK985" s="24"/>
      <c r="AL985" s="50"/>
      <c r="AM985" s="50"/>
      <c r="AN985" s="50"/>
      <c r="AO985" s="50"/>
      <c r="AP985" s="50"/>
      <c r="AQ985" s="50"/>
      <c r="AR985" s="50"/>
      <c r="AS985" s="50"/>
      <c r="AT985" s="51"/>
      <c r="AU985" s="51"/>
      <c r="AV985" s="51"/>
      <c r="AW985" s="51"/>
      <c r="AX985" s="50"/>
      <c r="AY985" s="50"/>
      <c r="AZ985" s="50"/>
      <c r="BA985" s="50"/>
      <c r="BB985" s="51"/>
      <c r="BC985" s="51"/>
      <c r="BD985" s="51"/>
      <c r="BE985" s="51"/>
      <c r="BF985" s="47"/>
      <c r="BG985" s="47"/>
      <c r="BH985" s="47"/>
      <c r="BI985" s="47"/>
      <c r="BJ985" s="47"/>
      <c r="BK985" s="47"/>
      <c r="BL985" s="47"/>
      <c r="BM985" s="47"/>
      <c r="BN985" s="47"/>
      <c r="BO985" s="47"/>
      <c r="BP985" s="47"/>
      <c r="BQ985" s="47"/>
      <c r="BR985" s="47"/>
      <c r="BS985" s="47"/>
      <c r="BT985" s="47"/>
    </row>
    <row r="986">
      <c r="A986" s="24"/>
      <c r="B986" s="48"/>
      <c r="C986" s="49"/>
      <c r="D986" s="24"/>
      <c r="E986" s="52"/>
      <c r="F986" s="53"/>
      <c r="G986" s="48"/>
      <c r="H986" s="49"/>
      <c r="I986" s="49"/>
      <c r="J986" s="48"/>
      <c r="K986" s="48"/>
      <c r="L986" s="48"/>
      <c r="M986" s="48"/>
      <c r="N986" s="48"/>
      <c r="O986" s="48"/>
      <c r="P986" s="48"/>
      <c r="Q986" s="48"/>
      <c r="R986" s="48"/>
      <c r="S986" s="48"/>
      <c r="T986" s="48"/>
      <c r="U986" s="48"/>
      <c r="V986" s="48"/>
      <c r="W986" s="49"/>
      <c r="X986" s="49"/>
      <c r="Y986" s="49"/>
      <c r="Z986" s="49"/>
      <c r="AA986" s="49"/>
      <c r="AB986" s="49"/>
      <c r="AC986" s="49"/>
      <c r="AD986" s="49"/>
      <c r="AE986" s="49"/>
      <c r="AF986" s="49"/>
      <c r="AG986" s="49"/>
      <c r="AH986" s="49"/>
      <c r="AI986" s="48"/>
      <c r="AJ986" s="48"/>
      <c r="AK986" s="24"/>
      <c r="AL986" s="50"/>
      <c r="AM986" s="50"/>
      <c r="AN986" s="50"/>
      <c r="AO986" s="50"/>
      <c r="AP986" s="50"/>
      <c r="AQ986" s="50"/>
      <c r="AR986" s="50"/>
      <c r="AS986" s="50"/>
      <c r="AT986" s="51"/>
      <c r="AU986" s="51"/>
      <c r="AV986" s="51"/>
      <c r="AW986" s="51"/>
      <c r="AX986" s="50"/>
      <c r="AY986" s="50"/>
      <c r="AZ986" s="50"/>
      <c r="BA986" s="50"/>
      <c r="BB986" s="51"/>
      <c r="BC986" s="51"/>
      <c r="BD986" s="51"/>
      <c r="BE986" s="51"/>
      <c r="BF986" s="47"/>
      <c r="BG986" s="47"/>
      <c r="BH986" s="47"/>
      <c r="BI986" s="47"/>
      <c r="BJ986" s="47"/>
      <c r="BK986" s="47"/>
      <c r="BL986" s="47"/>
      <c r="BM986" s="47"/>
      <c r="BN986" s="47"/>
      <c r="BO986" s="47"/>
      <c r="BP986" s="47"/>
      <c r="BQ986" s="47"/>
      <c r="BR986" s="47"/>
      <c r="BS986" s="47"/>
      <c r="BT986" s="47"/>
    </row>
    <row r="987">
      <c r="A987" s="24"/>
      <c r="B987" s="48"/>
      <c r="C987" s="49"/>
      <c r="D987" s="24"/>
      <c r="E987" s="52"/>
      <c r="F987" s="53"/>
      <c r="G987" s="48"/>
      <c r="H987" s="49"/>
      <c r="I987" s="49"/>
      <c r="J987" s="48"/>
      <c r="K987" s="48"/>
      <c r="L987" s="48"/>
      <c r="M987" s="48"/>
      <c r="N987" s="48"/>
      <c r="O987" s="48"/>
      <c r="P987" s="48"/>
      <c r="Q987" s="48"/>
      <c r="R987" s="48"/>
      <c r="S987" s="48"/>
      <c r="T987" s="48"/>
      <c r="U987" s="48"/>
      <c r="V987" s="48"/>
      <c r="W987" s="49"/>
      <c r="X987" s="49"/>
      <c r="Y987" s="49"/>
      <c r="Z987" s="49"/>
      <c r="AA987" s="49"/>
      <c r="AB987" s="49"/>
      <c r="AC987" s="49"/>
      <c r="AD987" s="49"/>
      <c r="AE987" s="49"/>
      <c r="AF987" s="49"/>
      <c r="AG987" s="49"/>
      <c r="AH987" s="49"/>
      <c r="AI987" s="48"/>
      <c r="AJ987" s="48"/>
      <c r="AK987" s="24"/>
      <c r="AL987" s="50"/>
      <c r="AM987" s="50"/>
      <c r="AN987" s="50"/>
      <c r="AO987" s="50"/>
      <c r="AP987" s="50"/>
      <c r="AQ987" s="50"/>
      <c r="AR987" s="50"/>
      <c r="AS987" s="50"/>
      <c r="AT987" s="51"/>
      <c r="AU987" s="51"/>
      <c r="AV987" s="51"/>
      <c r="AW987" s="51"/>
      <c r="AX987" s="50"/>
      <c r="AY987" s="50"/>
      <c r="AZ987" s="50"/>
      <c r="BA987" s="50"/>
      <c r="BB987" s="51"/>
      <c r="BC987" s="51"/>
      <c r="BD987" s="51"/>
      <c r="BE987" s="51"/>
      <c r="BF987" s="47"/>
      <c r="BG987" s="47"/>
      <c r="BH987" s="47"/>
      <c r="BI987" s="47"/>
      <c r="BJ987" s="47"/>
      <c r="BK987" s="47"/>
      <c r="BL987" s="47"/>
      <c r="BM987" s="47"/>
      <c r="BN987" s="47"/>
      <c r="BO987" s="47"/>
      <c r="BP987" s="47"/>
      <c r="BQ987" s="47"/>
      <c r="BR987" s="47"/>
      <c r="BS987" s="47"/>
      <c r="BT987" s="47"/>
    </row>
    <row r="988">
      <c r="A988" s="24"/>
      <c r="B988" s="48"/>
      <c r="C988" s="49"/>
      <c r="D988" s="24"/>
      <c r="E988" s="52"/>
      <c r="F988" s="53"/>
      <c r="G988" s="48"/>
      <c r="H988" s="49"/>
      <c r="I988" s="49"/>
      <c r="J988" s="48"/>
      <c r="K988" s="48"/>
      <c r="L988" s="48"/>
      <c r="M988" s="48"/>
      <c r="N988" s="48"/>
      <c r="O988" s="48"/>
      <c r="P988" s="48"/>
      <c r="Q988" s="48"/>
      <c r="R988" s="48"/>
      <c r="S988" s="48"/>
      <c r="T988" s="48"/>
      <c r="U988" s="48"/>
      <c r="V988" s="48"/>
      <c r="W988" s="49"/>
      <c r="X988" s="49"/>
      <c r="Y988" s="49"/>
      <c r="Z988" s="49"/>
      <c r="AA988" s="49"/>
      <c r="AB988" s="49"/>
      <c r="AC988" s="49"/>
      <c r="AD988" s="49"/>
      <c r="AE988" s="49"/>
      <c r="AF988" s="49"/>
      <c r="AG988" s="49"/>
      <c r="AH988" s="49"/>
      <c r="AI988" s="48"/>
      <c r="AJ988" s="48"/>
      <c r="AK988" s="24"/>
      <c r="AL988" s="50"/>
      <c r="AM988" s="50"/>
      <c r="AN988" s="50"/>
      <c r="AO988" s="50"/>
      <c r="AP988" s="50"/>
      <c r="AQ988" s="50"/>
      <c r="AR988" s="50"/>
      <c r="AS988" s="50"/>
      <c r="AT988" s="51"/>
      <c r="AU988" s="51"/>
      <c r="AV988" s="51"/>
      <c r="AW988" s="51"/>
      <c r="AX988" s="50"/>
      <c r="AY988" s="50"/>
      <c r="AZ988" s="50"/>
      <c r="BA988" s="50"/>
      <c r="BB988" s="51"/>
      <c r="BC988" s="51"/>
      <c r="BD988" s="51"/>
      <c r="BE988" s="51"/>
      <c r="BF988" s="47"/>
      <c r="BG988" s="47"/>
      <c r="BH988" s="47"/>
      <c r="BI988" s="47"/>
      <c r="BJ988" s="47"/>
      <c r="BK988" s="47"/>
      <c r="BL988" s="47"/>
      <c r="BM988" s="47"/>
      <c r="BN988" s="47"/>
      <c r="BO988" s="47"/>
      <c r="BP988" s="47"/>
      <c r="BQ988" s="47"/>
      <c r="BR988" s="47"/>
      <c r="BS988" s="47"/>
      <c r="BT988" s="47"/>
    </row>
    <row r="989">
      <c r="A989" s="24"/>
      <c r="B989" s="48"/>
      <c r="C989" s="49"/>
      <c r="D989" s="24"/>
      <c r="E989" s="52"/>
      <c r="F989" s="53"/>
      <c r="G989" s="48"/>
      <c r="H989" s="49"/>
      <c r="I989" s="49"/>
      <c r="J989" s="48"/>
      <c r="K989" s="48"/>
      <c r="L989" s="48"/>
      <c r="M989" s="48"/>
      <c r="N989" s="48"/>
      <c r="O989" s="48"/>
      <c r="P989" s="48"/>
      <c r="Q989" s="48"/>
      <c r="R989" s="48"/>
      <c r="S989" s="48"/>
      <c r="T989" s="48"/>
      <c r="U989" s="48"/>
      <c r="V989" s="48"/>
      <c r="W989" s="49"/>
      <c r="X989" s="49"/>
      <c r="Y989" s="49"/>
      <c r="Z989" s="49"/>
      <c r="AA989" s="49"/>
      <c r="AB989" s="49"/>
      <c r="AC989" s="49"/>
      <c r="AD989" s="49"/>
      <c r="AE989" s="49"/>
      <c r="AF989" s="49"/>
      <c r="AG989" s="49"/>
      <c r="AH989" s="49"/>
      <c r="AI989" s="48"/>
      <c r="AJ989" s="48"/>
      <c r="AK989" s="24"/>
      <c r="AL989" s="50"/>
      <c r="AM989" s="50"/>
      <c r="AN989" s="50"/>
      <c r="AO989" s="50"/>
      <c r="AP989" s="50"/>
      <c r="AQ989" s="50"/>
      <c r="AR989" s="50"/>
      <c r="AS989" s="50"/>
      <c r="AT989" s="51"/>
      <c r="AU989" s="51"/>
      <c r="AV989" s="51"/>
      <c r="AW989" s="51"/>
      <c r="AX989" s="50"/>
      <c r="AY989" s="50"/>
      <c r="AZ989" s="50"/>
      <c r="BA989" s="50"/>
      <c r="BB989" s="51"/>
      <c r="BC989" s="51"/>
      <c r="BD989" s="51"/>
      <c r="BE989" s="51"/>
      <c r="BF989" s="47"/>
      <c r="BG989" s="47"/>
      <c r="BH989" s="47"/>
      <c r="BI989" s="47"/>
      <c r="BJ989" s="47"/>
      <c r="BK989" s="47"/>
      <c r="BL989" s="47"/>
      <c r="BM989" s="47"/>
      <c r="BN989" s="47"/>
      <c r="BO989" s="47"/>
      <c r="BP989" s="47"/>
      <c r="BQ989" s="47"/>
      <c r="BR989" s="47"/>
      <c r="BS989" s="47"/>
      <c r="BT989" s="47"/>
    </row>
    <row r="990">
      <c r="A990" s="24"/>
      <c r="B990" s="48"/>
      <c r="C990" s="49"/>
      <c r="D990" s="24"/>
      <c r="E990" s="52"/>
      <c r="F990" s="53"/>
      <c r="G990" s="48"/>
      <c r="H990" s="49"/>
      <c r="I990" s="49"/>
      <c r="J990" s="48"/>
      <c r="K990" s="48"/>
      <c r="L990" s="48"/>
      <c r="M990" s="48"/>
      <c r="N990" s="48"/>
      <c r="O990" s="48"/>
      <c r="P990" s="48"/>
      <c r="Q990" s="48"/>
      <c r="R990" s="48"/>
      <c r="S990" s="48"/>
      <c r="T990" s="48"/>
      <c r="U990" s="48"/>
      <c r="V990" s="48"/>
      <c r="W990" s="49"/>
      <c r="X990" s="49"/>
      <c r="Y990" s="49"/>
      <c r="Z990" s="49"/>
      <c r="AA990" s="49"/>
      <c r="AB990" s="49"/>
      <c r="AC990" s="49"/>
      <c r="AD990" s="49"/>
      <c r="AE990" s="49"/>
      <c r="AF990" s="49"/>
      <c r="AG990" s="49"/>
      <c r="AH990" s="49"/>
      <c r="AI990" s="48"/>
      <c r="AJ990" s="48"/>
      <c r="AK990" s="24"/>
      <c r="AL990" s="50"/>
      <c r="AM990" s="50"/>
      <c r="AN990" s="50"/>
      <c r="AO990" s="50"/>
      <c r="AP990" s="50"/>
      <c r="AQ990" s="50"/>
      <c r="AR990" s="50"/>
      <c r="AS990" s="50"/>
      <c r="AT990" s="51"/>
      <c r="AU990" s="51"/>
      <c r="AV990" s="51"/>
      <c r="AW990" s="51"/>
      <c r="AX990" s="50"/>
      <c r="AY990" s="50"/>
      <c r="AZ990" s="50"/>
      <c r="BA990" s="50"/>
      <c r="BB990" s="51"/>
      <c r="BC990" s="51"/>
      <c r="BD990" s="51"/>
      <c r="BE990" s="51"/>
      <c r="BF990" s="47"/>
      <c r="BG990" s="47"/>
      <c r="BH990" s="47"/>
      <c r="BI990" s="47"/>
      <c r="BJ990" s="47"/>
      <c r="BK990" s="47"/>
      <c r="BL990" s="47"/>
      <c r="BM990" s="47"/>
      <c r="BN990" s="47"/>
      <c r="BO990" s="47"/>
      <c r="BP990" s="47"/>
      <c r="BQ990" s="47"/>
      <c r="BR990" s="47"/>
      <c r="BS990" s="47"/>
      <c r="BT990" s="47"/>
    </row>
    <row r="991">
      <c r="A991" s="24"/>
      <c r="B991" s="48"/>
      <c r="C991" s="49"/>
      <c r="D991" s="24"/>
      <c r="E991" s="52"/>
      <c r="F991" s="53"/>
      <c r="G991" s="48"/>
      <c r="H991" s="49"/>
      <c r="I991" s="49"/>
      <c r="J991" s="48"/>
      <c r="K991" s="48"/>
      <c r="L991" s="48"/>
      <c r="M991" s="48"/>
      <c r="N991" s="48"/>
      <c r="O991" s="48"/>
      <c r="P991" s="48"/>
      <c r="Q991" s="48"/>
      <c r="R991" s="48"/>
      <c r="S991" s="48"/>
      <c r="T991" s="48"/>
      <c r="U991" s="48"/>
      <c r="V991" s="48"/>
      <c r="W991" s="49"/>
      <c r="X991" s="49"/>
      <c r="Y991" s="49"/>
      <c r="Z991" s="49"/>
      <c r="AA991" s="49"/>
      <c r="AB991" s="49"/>
      <c r="AC991" s="49"/>
      <c r="AD991" s="49"/>
      <c r="AE991" s="49"/>
      <c r="AF991" s="49"/>
      <c r="AG991" s="49"/>
      <c r="AH991" s="49"/>
      <c r="AI991" s="48"/>
      <c r="AJ991" s="48"/>
      <c r="AK991" s="24"/>
      <c r="AL991" s="50"/>
      <c r="AM991" s="50"/>
      <c r="AN991" s="50"/>
      <c r="AO991" s="50"/>
      <c r="AP991" s="50"/>
      <c r="AQ991" s="50"/>
      <c r="AR991" s="50"/>
      <c r="AS991" s="50"/>
      <c r="AT991" s="51"/>
      <c r="AU991" s="51"/>
      <c r="AV991" s="51"/>
      <c r="AW991" s="51"/>
      <c r="AX991" s="50"/>
      <c r="AY991" s="50"/>
      <c r="AZ991" s="50"/>
      <c r="BA991" s="50"/>
      <c r="BB991" s="51"/>
      <c r="BC991" s="51"/>
      <c r="BD991" s="51"/>
      <c r="BE991" s="51"/>
      <c r="BF991" s="47"/>
      <c r="BG991" s="47"/>
      <c r="BH991" s="47"/>
      <c r="BI991" s="47"/>
      <c r="BJ991" s="47"/>
      <c r="BK991" s="47"/>
      <c r="BL991" s="47"/>
      <c r="BM991" s="47"/>
      <c r="BN991" s="47"/>
      <c r="BO991" s="47"/>
      <c r="BP991" s="47"/>
      <c r="BQ991" s="47"/>
      <c r="BR991" s="47"/>
      <c r="BS991" s="47"/>
      <c r="BT991" s="47"/>
    </row>
    <row r="992">
      <c r="A992" s="24"/>
      <c r="B992" s="48"/>
      <c r="C992" s="49"/>
      <c r="D992" s="24"/>
      <c r="E992" s="52"/>
      <c r="F992" s="53"/>
      <c r="G992" s="48"/>
      <c r="H992" s="49"/>
      <c r="I992" s="49"/>
      <c r="J992" s="48"/>
      <c r="K992" s="48"/>
      <c r="L992" s="48"/>
      <c r="M992" s="48"/>
      <c r="N992" s="48"/>
      <c r="O992" s="48"/>
      <c r="P992" s="48"/>
      <c r="Q992" s="48"/>
      <c r="R992" s="48"/>
      <c r="S992" s="48"/>
      <c r="T992" s="48"/>
      <c r="U992" s="48"/>
      <c r="V992" s="48"/>
      <c r="W992" s="49"/>
      <c r="X992" s="49"/>
      <c r="Y992" s="49"/>
      <c r="Z992" s="49"/>
      <c r="AA992" s="49"/>
      <c r="AB992" s="49"/>
      <c r="AC992" s="49"/>
      <c r="AD992" s="49"/>
      <c r="AE992" s="49"/>
      <c r="AF992" s="49"/>
      <c r="AG992" s="49"/>
      <c r="AH992" s="49"/>
      <c r="AI992" s="48"/>
      <c r="AJ992" s="48"/>
      <c r="AK992" s="24"/>
      <c r="AL992" s="50"/>
      <c r="AM992" s="50"/>
      <c r="AN992" s="50"/>
      <c r="AO992" s="50"/>
      <c r="AP992" s="50"/>
      <c r="AQ992" s="50"/>
      <c r="AR992" s="50"/>
      <c r="AS992" s="50"/>
      <c r="AT992" s="51"/>
      <c r="AU992" s="51"/>
      <c r="AV992" s="51"/>
      <c r="AW992" s="51"/>
      <c r="AX992" s="50"/>
      <c r="AY992" s="50"/>
      <c r="AZ992" s="50"/>
      <c r="BA992" s="50"/>
      <c r="BB992" s="51"/>
      <c r="BC992" s="51"/>
      <c r="BD992" s="51"/>
      <c r="BE992" s="51"/>
      <c r="BF992" s="47"/>
      <c r="BG992" s="47"/>
      <c r="BH992" s="47"/>
      <c r="BI992" s="47"/>
      <c r="BJ992" s="47"/>
      <c r="BK992" s="47"/>
      <c r="BL992" s="47"/>
      <c r="BM992" s="47"/>
      <c r="BN992" s="47"/>
      <c r="BO992" s="47"/>
      <c r="BP992" s="47"/>
      <c r="BQ992" s="47"/>
      <c r="BR992" s="47"/>
      <c r="BS992" s="47"/>
      <c r="BT992" s="47"/>
    </row>
    <row r="993">
      <c r="A993" s="24"/>
      <c r="B993" s="48"/>
      <c r="C993" s="49"/>
      <c r="D993" s="24"/>
      <c r="E993" s="52"/>
      <c r="F993" s="53"/>
      <c r="G993" s="48"/>
      <c r="H993" s="49"/>
      <c r="I993" s="49"/>
      <c r="J993" s="48"/>
      <c r="K993" s="48"/>
      <c r="L993" s="48"/>
      <c r="M993" s="48"/>
      <c r="N993" s="48"/>
      <c r="O993" s="48"/>
      <c r="P993" s="48"/>
      <c r="Q993" s="48"/>
      <c r="R993" s="48"/>
      <c r="S993" s="48"/>
      <c r="T993" s="48"/>
      <c r="U993" s="48"/>
      <c r="V993" s="48"/>
      <c r="W993" s="49"/>
      <c r="X993" s="49"/>
      <c r="Y993" s="49"/>
      <c r="Z993" s="49"/>
      <c r="AA993" s="49"/>
      <c r="AB993" s="49"/>
      <c r="AC993" s="49"/>
      <c r="AD993" s="49"/>
      <c r="AE993" s="49"/>
      <c r="AF993" s="49"/>
      <c r="AG993" s="49"/>
      <c r="AH993" s="49"/>
      <c r="AI993" s="48"/>
      <c r="AJ993" s="48"/>
      <c r="AK993" s="24"/>
      <c r="AL993" s="50"/>
      <c r="AM993" s="50"/>
      <c r="AN993" s="50"/>
      <c r="AO993" s="50"/>
      <c r="AP993" s="50"/>
      <c r="AQ993" s="50"/>
      <c r="AR993" s="50"/>
      <c r="AS993" s="50"/>
      <c r="AT993" s="51"/>
      <c r="AU993" s="51"/>
      <c r="AV993" s="51"/>
      <c r="AW993" s="51"/>
      <c r="AX993" s="50"/>
      <c r="AY993" s="50"/>
      <c r="AZ993" s="50"/>
      <c r="BA993" s="50"/>
      <c r="BB993" s="51"/>
      <c r="BC993" s="51"/>
      <c r="BD993" s="51"/>
      <c r="BE993" s="51"/>
      <c r="BF993" s="47"/>
      <c r="BG993" s="47"/>
      <c r="BH993" s="47"/>
      <c r="BI993" s="47"/>
      <c r="BJ993" s="47"/>
      <c r="BK993" s="47"/>
      <c r="BL993" s="47"/>
      <c r="BM993" s="47"/>
      <c r="BN993" s="47"/>
      <c r="BO993" s="47"/>
      <c r="BP993" s="47"/>
      <c r="BQ993" s="47"/>
      <c r="BR993" s="47"/>
      <c r="BS993" s="47"/>
      <c r="BT993" s="47"/>
    </row>
    <row r="994">
      <c r="A994" s="24"/>
      <c r="B994" s="48"/>
      <c r="C994" s="49"/>
      <c r="D994" s="24"/>
      <c r="E994" s="52"/>
      <c r="F994" s="53"/>
      <c r="G994" s="48"/>
      <c r="H994" s="49"/>
      <c r="I994" s="49"/>
      <c r="J994" s="48"/>
      <c r="K994" s="48"/>
      <c r="L994" s="48"/>
      <c r="M994" s="48"/>
      <c r="N994" s="48"/>
      <c r="O994" s="48"/>
      <c r="P994" s="48"/>
      <c r="Q994" s="48"/>
      <c r="R994" s="48"/>
      <c r="S994" s="48"/>
      <c r="T994" s="48"/>
      <c r="U994" s="48"/>
      <c r="V994" s="48"/>
      <c r="W994" s="49"/>
      <c r="X994" s="49"/>
      <c r="Y994" s="49"/>
      <c r="Z994" s="49"/>
      <c r="AA994" s="49"/>
      <c r="AB994" s="49"/>
      <c r="AC994" s="49"/>
      <c r="AD994" s="49"/>
      <c r="AE994" s="49"/>
      <c r="AF994" s="49"/>
      <c r="AG994" s="49"/>
      <c r="AH994" s="49"/>
      <c r="AI994" s="48"/>
      <c r="AJ994" s="48"/>
      <c r="AK994" s="24"/>
      <c r="AL994" s="50"/>
      <c r="AM994" s="50"/>
      <c r="AN994" s="50"/>
      <c r="AO994" s="50"/>
      <c r="AP994" s="50"/>
      <c r="AQ994" s="50"/>
      <c r="AR994" s="50"/>
      <c r="AS994" s="50"/>
      <c r="AT994" s="51"/>
      <c r="AU994" s="51"/>
      <c r="AV994" s="51"/>
      <c r="AW994" s="51"/>
      <c r="AX994" s="50"/>
      <c r="AY994" s="50"/>
      <c r="AZ994" s="50"/>
      <c r="BA994" s="50"/>
      <c r="BB994" s="51"/>
      <c r="BC994" s="51"/>
      <c r="BD994" s="51"/>
      <c r="BE994" s="51"/>
      <c r="BF994" s="47"/>
      <c r="BG994" s="47"/>
      <c r="BH994" s="47"/>
      <c r="BI994" s="47"/>
      <c r="BJ994" s="47"/>
      <c r="BK994" s="47"/>
      <c r="BL994" s="47"/>
      <c r="BM994" s="47"/>
      <c r="BN994" s="47"/>
      <c r="BO994" s="47"/>
      <c r="BP994" s="47"/>
      <c r="BQ994" s="47"/>
      <c r="BR994" s="47"/>
      <c r="BS994" s="47"/>
      <c r="BT994" s="47"/>
    </row>
    <row r="995">
      <c r="A995" s="24"/>
      <c r="B995" s="48"/>
      <c r="C995" s="49"/>
      <c r="D995" s="24"/>
      <c r="E995" s="52"/>
      <c r="F995" s="53"/>
      <c r="G995" s="48"/>
      <c r="H995" s="49"/>
      <c r="I995" s="49"/>
      <c r="J995" s="48"/>
      <c r="K995" s="48"/>
      <c r="L995" s="48"/>
      <c r="M995" s="48"/>
      <c r="N995" s="48"/>
      <c r="O995" s="48"/>
      <c r="P995" s="48"/>
      <c r="Q995" s="48"/>
      <c r="R995" s="48"/>
      <c r="S995" s="48"/>
      <c r="T995" s="48"/>
      <c r="U995" s="48"/>
      <c r="V995" s="48"/>
      <c r="W995" s="49"/>
      <c r="X995" s="49"/>
      <c r="Y995" s="49"/>
      <c r="Z995" s="49"/>
      <c r="AA995" s="49"/>
      <c r="AB995" s="49"/>
      <c r="AC995" s="49"/>
      <c r="AD995" s="49"/>
      <c r="AE995" s="49"/>
      <c r="AF995" s="49"/>
      <c r="AG995" s="49"/>
      <c r="AH995" s="49"/>
      <c r="AI995" s="48"/>
      <c r="AJ995" s="48"/>
      <c r="AK995" s="24"/>
      <c r="AL995" s="50"/>
      <c r="AM995" s="50"/>
      <c r="AN995" s="50"/>
      <c r="AO995" s="50"/>
      <c r="AP995" s="50"/>
      <c r="AQ995" s="50"/>
      <c r="AR995" s="50"/>
      <c r="AS995" s="50"/>
      <c r="AT995" s="51"/>
      <c r="AU995" s="51"/>
      <c r="AV995" s="51"/>
      <c r="AW995" s="51"/>
      <c r="AX995" s="50"/>
      <c r="AY995" s="50"/>
      <c r="AZ995" s="50"/>
      <c r="BA995" s="50"/>
      <c r="BB995" s="51"/>
      <c r="BC995" s="51"/>
      <c r="BD995" s="51"/>
      <c r="BE995" s="51"/>
      <c r="BF995" s="47"/>
      <c r="BG995" s="47"/>
      <c r="BH995" s="47"/>
      <c r="BI995" s="47"/>
      <c r="BJ995" s="47"/>
      <c r="BK995" s="47"/>
      <c r="BL995" s="47"/>
      <c r="BM995" s="47"/>
      <c r="BN995" s="47"/>
      <c r="BO995" s="47"/>
      <c r="BP995" s="47"/>
      <c r="BQ995" s="47"/>
      <c r="BR995" s="47"/>
      <c r="BS995" s="47"/>
      <c r="BT995" s="47"/>
    </row>
    <row r="996">
      <c r="A996" s="24"/>
      <c r="B996" s="48"/>
      <c r="C996" s="49"/>
      <c r="D996" s="24"/>
      <c r="E996" s="52"/>
      <c r="F996" s="53"/>
      <c r="G996" s="48"/>
      <c r="H996" s="49"/>
      <c r="I996" s="49"/>
      <c r="J996" s="48"/>
      <c r="K996" s="48"/>
      <c r="L996" s="48"/>
      <c r="M996" s="48"/>
      <c r="N996" s="48"/>
      <c r="O996" s="48"/>
      <c r="P996" s="48"/>
      <c r="Q996" s="48"/>
      <c r="R996" s="48"/>
      <c r="S996" s="48"/>
      <c r="T996" s="48"/>
      <c r="U996" s="48"/>
      <c r="V996" s="48"/>
      <c r="W996" s="49"/>
      <c r="X996" s="49"/>
      <c r="Y996" s="49"/>
      <c r="Z996" s="49"/>
      <c r="AA996" s="49"/>
      <c r="AB996" s="49"/>
      <c r="AC996" s="49"/>
      <c r="AD996" s="49"/>
      <c r="AE996" s="49"/>
      <c r="AF996" s="49"/>
      <c r="AG996" s="49"/>
      <c r="AH996" s="49"/>
      <c r="AI996" s="48"/>
      <c r="AJ996" s="48"/>
      <c r="AK996" s="24"/>
      <c r="AL996" s="50"/>
      <c r="AM996" s="50"/>
      <c r="AN996" s="50"/>
      <c r="AO996" s="50"/>
      <c r="AP996" s="50"/>
      <c r="AQ996" s="50"/>
      <c r="AR996" s="50"/>
      <c r="AS996" s="50"/>
      <c r="AT996" s="51"/>
      <c r="AU996" s="51"/>
      <c r="AV996" s="51"/>
      <c r="AW996" s="51"/>
      <c r="AX996" s="50"/>
      <c r="AY996" s="50"/>
      <c r="AZ996" s="50"/>
      <c r="BA996" s="50"/>
      <c r="BB996" s="51"/>
      <c r="BC996" s="51"/>
      <c r="BD996" s="51"/>
      <c r="BE996" s="51"/>
      <c r="BF996" s="47"/>
      <c r="BG996" s="47"/>
      <c r="BH996" s="47"/>
      <c r="BI996" s="47"/>
      <c r="BJ996" s="47"/>
      <c r="BK996" s="47"/>
      <c r="BL996" s="47"/>
      <c r="BM996" s="47"/>
      <c r="BN996" s="47"/>
      <c r="BO996" s="47"/>
      <c r="BP996" s="47"/>
      <c r="BQ996" s="47"/>
      <c r="BR996" s="47"/>
      <c r="BS996" s="47"/>
      <c r="BT996" s="47"/>
    </row>
    <row r="997">
      <c r="A997" s="24"/>
      <c r="B997" s="48"/>
      <c r="C997" s="49"/>
      <c r="D997" s="24"/>
      <c r="E997" s="52"/>
      <c r="F997" s="53"/>
      <c r="G997" s="48"/>
      <c r="H997" s="49"/>
      <c r="I997" s="49"/>
      <c r="J997" s="48"/>
      <c r="K997" s="48"/>
      <c r="L997" s="48"/>
      <c r="M997" s="48"/>
      <c r="N997" s="48"/>
      <c r="O997" s="48"/>
      <c r="P997" s="48"/>
      <c r="Q997" s="48"/>
      <c r="R997" s="48"/>
      <c r="S997" s="48"/>
      <c r="T997" s="48"/>
      <c r="U997" s="48"/>
      <c r="V997" s="48"/>
      <c r="W997" s="49"/>
      <c r="X997" s="49"/>
      <c r="Y997" s="49"/>
      <c r="Z997" s="49"/>
      <c r="AA997" s="49"/>
      <c r="AB997" s="49"/>
      <c r="AC997" s="49"/>
      <c r="AD997" s="49"/>
      <c r="AE997" s="49"/>
      <c r="AF997" s="49"/>
      <c r="AG997" s="49"/>
      <c r="AH997" s="49"/>
      <c r="AI997" s="48"/>
      <c r="AJ997" s="48"/>
      <c r="AK997" s="24"/>
      <c r="AL997" s="50"/>
      <c r="AM997" s="50"/>
      <c r="AN997" s="50"/>
      <c r="AO997" s="50"/>
      <c r="AP997" s="50"/>
      <c r="AQ997" s="50"/>
      <c r="AR997" s="50"/>
      <c r="AS997" s="50"/>
      <c r="AT997" s="51"/>
      <c r="AU997" s="51"/>
      <c r="AV997" s="51"/>
      <c r="AW997" s="51"/>
      <c r="AX997" s="50"/>
      <c r="AY997" s="50"/>
      <c r="AZ997" s="50"/>
      <c r="BA997" s="50"/>
      <c r="BB997" s="51"/>
      <c r="BC997" s="51"/>
      <c r="BD997" s="51"/>
      <c r="BE997" s="51"/>
      <c r="BF997" s="47"/>
      <c r="BG997" s="47"/>
      <c r="BH997" s="47"/>
      <c r="BI997" s="47"/>
      <c r="BJ997" s="47"/>
      <c r="BK997" s="47"/>
      <c r="BL997" s="47"/>
      <c r="BM997" s="47"/>
      <c r="BN997" s="47"/>
      <c r="BO997" s="47"/>
      <c r="BP997" s="47"/>
      <c r="BQ997" s="47"/>
      <c r="BR997" s="47"/>
      <c r="BS997" s="47"/>
      <c r="BT997" s="47"/>
    </row>
    <row r="998">
      <c r="A998" s="24"/>
      <c r="B998" s="48"/>
      <c r="C998" s="49"/>
      <c r="D998" s="24"/>
      <c r="E998" s="52"/>
      <c r="F998" s="53"/>
      <c r="G998" s="48"/>
      <c r="H998" s="49"/>
      <c r="I998" s="49"/>
      <c r="J998" s="48"/>
      <c r="K998" s="48"/>
      <c r="L998" s="48"/>
      <c r="M998" s="48"/>
      <c r="N998" s="48"/>
      <c r="O998" s="48"/>
      <c r="P998" s="48"/>
      <c r="Q998" s="48"/>
      <c r="R998" s="48"/>
      <c r="S998" s="48"/>
      <c r="T998" s="48"/>
      <c r="U998" s="48"/>
      <c r="V998" s="48"/>
      <c r="W998" s="49"/>
      <c r="X998" s="49"/>
      <c r="Y998" s="49"/>
      <c r="Z998" s="49"/>
      <c r="AA998" s="49"/>
      <c r="AB998" s="49"/>
      <c r="AC998" s="49"/>
      <c r="AD998" s="49"/>
      <c r="AE998" s="49"/>
      <c r="AF998" s="49"/>
      <c r="AG998" s="49"/>
      <c r="AH998" s="49"/>
      <c r="AI998" s="48"/>
      <c r="AJ998" s="48"/>
      <c r="AK998" s="24"/>
      <c r="AL998" s="50"/>
      <c r="AM998" s="50"/>
      <c r="AN998" s="50"/>
      <c r="AO998" s="50"/>
      <c r="AP998" s="50"/>
      <c r="AQ998" s="50"/>
      <c r="AR998" s="50"/>
      <c r="AS998" s="50"/>
      <c r="AT998" s="51"/>
      <c r="AU998" s="51"/>
      <c r="AV998" s="51"/>
      <c r="AW998" s="51"/>
      <c r="AX998" s="50"/>
      <c r="AY998" s="50"/>
      <c r="AZ998" s="50"/>
      <c r="BA998" s="50"/>
      <c r="BB998" s="51"/>
      <c r="BC998" s="51"/>
      <c r="BD998" s="51"/>
      <c r="BE998" s="51"/>
      <c r="BF998" s="47"/>
      <c r="BG998" s="47"/>
      <c r="BH998" s="47"/>
      <c r="BI998" s="47"/>
      <c r="BJ998" s="47"/>
      <c r="BK998" s="47"/>
      <c r="BL998" s="47"/>
      <c r="BM998" s="47"/>
      <c r="BN998" s="47"/>
      <c r="BO998" s="47"/>
      <c r="BP998" s="47"/>
      <c r="BQ998" s="47"/>
      <c r="BR998" s="47"/>
      <c r="BS998" s="47"/>
      <c r="BT998" s="47"/>
    </row>
    <row r="999">
      <c r="A999" s="24"/>
      <c r="B999" s="48"/>
      <c r="C999" s="49"/>
      <c r="D999" s="24"/>
      <c r="E999" s="52"/>
      <c r="F999" s="53"/>
      <c r="G999" s="48"/>
      <c r="H999" s="49"/>
      <c r="I999" s="49"/>
      <c r="J999" s="48"/>
      <c r="K999" s="48"/>
      <c r="L999" s="48"/>
      <c r="M999" s="48"/>
      <c r="N999" s="48"/>
      <c r="O999" s="48"/>
      <c r="P999" s="48"/>
      <c r="Q999" s="48"/>
      <c r="R999" s="48"/>
      <c r="S999" s="48"/>
      <c r="T999" s="48"/>
      <c r="U999" s="48"/>
      <c r="V999" s="48"/>
      <c r="W999" s="49"/>
      <c r="X999" s="49"/>
      <c r="Y999" s="49"/>
      <c r="Z999" s="49"/>
      <c r="AA999" s="49"/>
      <c r="AB999" s="49"/>
      <c r="AC999" s="49"/>
      <c r="AD999" s="49"/>
      <c r="AE999" s="49"/>
      <c r="AF999" s="49"/>
      <c r="AG999" s="49"/>
      <c r="AH999" s="49"/>
      <c r="AI999" s="48"/>
      <c r="AJ999" s="48"/>
      <c r="AK999" s="24"/>
      <c r="AL999" s="50"/>
      <c r="AM999" s="50"/>
      <c r="AN999" s="50"/>
      <c r="AO999" s="50"/>
      <c r="AP999" s="50"/>
      <c r="AQ999" s="50"/>
      <c r="AR999" s="50"/>
      <c r="AS999" s="50"/>
      <c r="AT999" s="51"/>
      <c r="AU999" s="51"/>
      <c r="AV999" s="51"/>
      <c r="AW999" s="51"/>
      <c r="AX999" s="50"/>
      <c r="AY999" s="50"/>
      <c r="AZ999" s="50"/>
      <c r="BA999" s="50"/>
      <c r="BB999" s="51"/>
      <c r="BC999" s="51"/>
      <c r="BD999" s="51"/>
      <c r="BE999" s="51"/>
      <c r="BF999" s="47"/>
      <c r="BG999" s="47"/>
      <c r="BH999" s="47"/>
      <c r="BI999" s="47"/>
      <c r="BJ999" s="47"/>
      <c r="BK999" s="47"/>
      <c r="BL999" s="47"/>
      <c r="BM999" s="47"/>
      <c r="BN999" s="47"/>
      <c r="BO999" s="47"/>
      <c r="BP999" s="47"/>
      <c r="BQ999" s="47"/>
      <c r="BR999" s="47"/>
      <c r="BS999" s="47"/>
      <c r="BT999" s="47"/>
    </row>
    <row r="1000">
      <c r="A1000" s="24"/>
      <c r="B1000" s="48"/>
      <c r="C1000" s="49"/>
      <c r="D1000" s="24"/>
      <c r="E1000" s="52"/>
      <c r="F1000" s="53"/>
      <c r="G1000" s="48"/>
      <c r="H1000" s="49"/>
      <c r="I1000" s="49"/>
      <c r="J1000" s="48"/>
      <c r="K1000" s="48"/>
      <c r="L1000" s="48"/>
      <c r="M1000" s="48"/>
      <c r="N1000" s="48"/>
      <c r="O1000" s="48"/>
      <c r="P1000" s="48"/>
      <c r="Q1000" s="48"/>
      <c r="R1000" s="48"/>
      <c r="S1000" s="48"/>
      <c r="T1000" s="48"/>
      <c r="U1000" s="48"/>
      <c r="V1000" s="48"/>
      <c r="W1000" s="49"/>
      <c r="X1000" s="49"/>
      <c r="Y1000" s="49"/>
      <c r="Z1000" s="49"/>
      <c r="AA1000" s="49"/>
      <c r="AB1000" s="49"/>
      <c r="AC1000" s="49"/>
      <c r="AD1000" s="49"/>
      <c r="AE1000" s="49"/>
      <c r="AF1000" s="49"/>
      <c r="AG1000" s="49"/>
      <c r="AH1000" s="49"/>
      <c r="AI1000" s="48"/>
      <c r="AJ1000" s="48"/>
      <c r="AK1000" s="24"/>
      <c r="AL1000" s="50"/>
      <c r="AM1000" s="50"/>
      <c r="AN1000" s="50"/>
      <c r="AO1000" s="50"/>
      <c r="AP1000" s="50"/>
      <c r="AQ1000" s="50"/>
      <c r="AR1000" s="50"/>
      <c r="AS1000" s="50"/>
      <c r="AT1000" s="51"/>
      <c r="AU1000" s="51"/>
      <c r="AV1000" s="51"/>
      <c r="AW1000" s="51"/>
      <c r="AX1000" s="50"/>
      <c r="AY1000" s="50"/>
      <c r="AZ1000" s="50"/>
      <c r="BA1000" s="50"/>
      <c r="BB1000" s="51"/>
      <c r="BC1000" s="51"/>
      <c r="BD1000" s="51"/>
      <c r="BE1000" s="51"/>
      <c r="BF1000" s="47"/>
      <c r="BG1000" s="47"/>
      <c r="BH1000" s="47"/>
      <c r="BI1000" s="47"/>
      <c r="BJ1000" s="47"/>
      <c r="BK1000" s="47"/>
      <c r="BL1000" s="47"/>
      <c r="BM1000" s="47"/>
      <c r="BN1000" s="47"/>
      <c r="BO1000" s="47"/>
      <c r="BP1000" s="47"/>
      <c r="BQ1000" s="47"/>
      <c r="BR1000" s="47"/>
      <c r="BS1000" s="47"/>
      <c r="BT1000" s="47"/>
    </row>
    <row r="1001">
      <c r="A1001" s="24"/>
      <c r="B1001" s="48"/>
      <c r="C1001" s="49"/>
      <c r="D1001" s="24"/>
      <c r="E1001" s="52"/>
      <c r="F1001" s="53"/>
      <c r="G1001" s="48"/>
      <c r="H1001" s="49"/>
      <c r="I1001" s="49"/>
      <c r="J1001" s="48"/>
      <c r="K1001" s="48"/>
      <c r="L1001" s="48"/>
      <c r="M1001" s="48"/>
      <c r="N1001" s="48"/>
      <c r="O1001" s="48"/>
      <c r="P1001" s="48"/>
      <c r="Q1001" s="48"/>
      <c r="R1001" s="48"/>
      <c r="S1001" s="48"/>
      <c r="T1001" s="48"/>
      <c r="U1001" s="48"/>
      <c r="V1001" s="48"/>
      <c r="W1001" s="49"/>
      <c r="X1001" s="49"/>
      <c r="Y1001" s="49"/>
      <c r="Z1001" s="49"/>
      <c r="AA1001" s="49"/>
      <c r="AB1001" s="49"/>
      <c r="AC1001" s="49"/>
      <c r="AD1001" s="49"/>
      <c r="AE1001" s="49"/>
      <c r="AF1001" s="49"/>
      <c r="AG1001" s="49"/>
      <c r="AH1001" s="49"/>
      <c r="AI1001" s="48"/>
      <c r="AJ1001" s="48"/>
      <c r="AK1001" s="24"/>
      <c r="AL1001" s="50"/>
      <c r="AM1001" s="50"/>
      <c r="AN1001" s="50"/>
      <c r="AO1001" s="50"/>
      <c r="AP1001" s="50"/>
      <c r="AQ1001" s="50"/>
      <c r="AR1001" s="50"/>
      <c r="AS1001" s="50"/>
      <c r="AT1001" s="51"/>
      <c r="AU1001" s="51"/>
      <c r="AV1001" s="51"/>
      <c r="AW1001" s="51"/>
      <c r="AX1001" s="50"/>
      <c r="AY1001" s="50"/>
      <c r="AZ1001" s="50"/>
      <c r="BA1001" s="50"/>
      <c r="BB1001" s="51"/>
      <c r="BC1001" s="51"/>
      <c r="BD1001" s="51"/>
      <c r="BE1001" s="51"/>
      <c r="BF1001" s="47"/>
      <c r="BG1001" s="47"/>
      <c r="BH1001" s="47"/>
      <c r="BI1001" s="47"/>
      <c r="BJ1001" s="47"/>
      <c r="BK1001" s="47"/>
      <c r="BL1001" s="47"/>
      <c r="BM1001" s="47"/>
      <c r="BN1001" s="47"/>
      <c r="BO1001" s="47"/>
      <c r="BP1001" s="47"/>
      <c r="BQ1001" s="47"/>
      <c r="BR1001" s="47"/>
      <c r="BS1001" s="47"/>
      <c r="BT1001" s="47"/>
    </row>
    <row r="1002">
      <c r="A1002" s="24"/>
      <c r="B1002" s="48"/>
      <c r="C1002" s="49"/>
      <c r="D1002" s="24"/>
      <c r="E1002" s="52"/>
      <c r="F1002" s="53"/>
      <c r="G1002" s="48"/>
      <c r="H1002" s="49"/>
      <c r="I1002" s="49"/>
      <c r="J1002" s="48"/>
      <c r="K1002" s="48"/>
      <c r="L1002" s="48"/>
      <c r="M1002" s="48"/>
      <c r="N1002" s="48"/>
      <c r="O1002" s="48"/>
      <c r="P1002" s="48"/>
      <c r="Q1002" s="48"/>
      <c r="R1002" s="48"/>
      <c r="S1002" s="48"/>
      <c r="T1002" s="48"/>
      <c r="U1002" s="48"/>
      <c r="V1002" s="48"/>
      <c r="W1002" s="49"/>
      <c r="X1002" s="49"/>
      <c r="Y1002" s="49"/>
      <c r="Z1002" s="49"/>
      <c r="AA1002" s="49"/>
      <c r="AB1002" s="49"/>
      <c r="AC1002" s="49"/>
      <c r="AD1002" s="49"/>
      <c r="AE1002" s="49"/>
      <c r="AF1002" s="49"/>
      <c r="AG1002" s="49"/>
      <c r="AH1002" s="49"/>
      <c r="AI1002" s="48"/>
      <c r="AJ1002" s="48"/>
      <c r="AK1002" s="24"/>
      <c r="AL1002" s="50"/>
      <c r="AM1002" s="50"/>
      <c r="AN1002" s="50"/>
      <c r="AO1002" s="50"/>
      <c r="AP1002" s="50"/>
      <c r="AQ1002" s="50"/>
      <c r="AR1002" s="50"/>
      <c r="AS1002" s="50"/>
      <c r="AT1002" s="51"/>
      <c r="AU1002" s="51"/>
      <c r="AV1002" s="51"/>
      <c r="AW1002" s="51"/>
      <c r="AX1002" s="50"/>
      <c r="AY1002" s="50"/>
      <c r="AZ1002" s="50"/>
      <c r="BA1002" s="50"/>
      <c r="BB1002" s="51"/>
      <c r="BC1002" s="51"/>
      <c r="BD1002" s="51"/>
      <c r="BE1002" s="51"/>
      <c r="BF1002" s="47"/>
      <c r="BG1002" s="47"/>
      <c r="BH1002" s="47"/>
      <c r="BI1002" s="47"/>
      <c r="BJ1002" s="47"/>
      <c r="BK1002" s="47"/>
      <c r="BL1002" s="47"/>
      <c r="BM1002" s="47"/>
      <c r="BN1002" s="47"/>
      <c r="BO1002" s="47"/>
      <c r="BP1002" s="47"/>
      <c r="BQ1002" s="47"/>
      <c r="BR1002" s="47"/>
      <c r="BS1002" s="47"/>
      <c r="BT1002" s="47"/>
    </row>
    <row r="1003">
      <c r="A1003" s="24"/>
      <c r="B1003" s="48"/>
      <c r="C1003" s="49"/>
      <c r="D1003" s="24"/>
      <c r="E1003" s="52"/>
      <c r="F1003" s="53"/>
      <c r="G1003" s="48"/>
      <c r="H1003" s="49"/>
      <c r="I1003" s="49"/>
      <c r="J1003" s="48"/>
      <c r="K1003" s="48"/>
      <c r="L1003" s="48"/>
      <c r="M1003" s="48"/>
      <c r="N1003" s="48"/>
      <c r="O1003" s="48"/>
      <c r="P1003" s="48"/>
      <c r="Q1003" s="48"/>
      <c r="R1003" s="48"/>
      <c r="S1003" s="48"/>
      <c r="T1003" s="48"/>
      <c r="U1003" s="48"/>
      <c r="V1003" s="48"/>
      <c r="W1003" s="49"/>
      <c r="X1003" s="49"/>
      <c r="Y1003" s="49"/>
      <c r="Z1003" s="49"/>
      <c r="AA1003" s="49"/>
      <c r="AB1003" s="49"/>
      <c r="AC1003" s="49"/>
      <c r="AD1003" s="49"/>
      <c r="AE1003" s="49"/>
      <c r="AF1003" s="49"/>
      <c r="AG1003" s="49"/>
      <c r="AH1003" s="49"/>
      <c r="AI1003" s="48"/>
      <c r="AJ1003" s="48"/>
      <c r="AK1003" s="24"/>
      <c r="AL1003" s="50"/>
      <c r="AM1003" s="50"/>
      <c r="AN1003" s="50"/>
      <c r="AO1003" s="50"/>
      <c r="AP1003" s="50"/>
      <c r="AQ1003" s="50"/>
      <c r="AR1003" s="50"/>
      <c r="AS1003" s="50"/>
      <c r="AT1003" s="51"/>
      <c r="AU1003" s="51"/>
      <c r="AV1003" s="51"/>
      <c r="AW1003" s="51"/>
      <c r="AX1003" s="50"/>
      <c r="AY1003" s="50"/>
      <c r="AZ1003" s="50"/>
      <c r="BA1003" s="50"/>
      <c r="BB1003" s="51"/>
      <c r="BC1003" s="51"/>
      <c r="BD1003" s="51"/>
      <c r="BE1003" s="51"/>
      <c r="BF1003" s="47"/>
      <c r="BG1003" s="47"/>
      <c r="BH1003" s="47"/>
      <c r="BI1003" s="47"/>
      <c r="BJ1003" s="47"/>
      <c r="BK1003" s="47"/>
      <c r="BL1003" s="47"/>
      <c r="BM1003" s="47"/>
      <c r="BN1003" s="47"/>
      <c r="BO1003" s="47"/>
      <c r="BP1003" s="47"/>
      <c r="BQ1003" s="47"/>
      <c r="BR1003" s="47"/>
      <c r="BS1003" s="47"/>
      <c r="BT1003" s="47"/>
    </row>
    <row r="1004">
      <c r="A1004" s="24"/>
      <c r="B1004" s="48"/>
      <c r="C1004" s="49"/>
      <c r="D1004" s="24"/>
      <c r="E1004" s="52"/>
      <c r="F1004" s="53"/>
      <c r="G1004" s="48"/>
      <c r="H1004" s="49"/>
      <c r="I1004" s="49"/>
      <c r="J1004" s="48"/>
      <c r="K1004" s="48"/>
      <c r="L1004" s="48"/>
      <c r="M1004" s="48"/>
      <c r="N1004" s="48"/>
      <c r="O1004" s="48"/>
      <c r="P1004" s="48"/>
      <c r="Q1004" s="48"/>
      <c r="R1004" s="48"/>
      <c r="S1004" s="48"/>
      <c r="T1004" s="48"/>
      <c r="U1004" s="48"/>
      <c r="V1004" s="48"/>
      <c r="W1004" s="49"/>
      <c r="X1004" s="49"/>
      <c r="Y1004" s="49"/>
      <c r="Z1004" s="49"/>
      <c r="AA1004" s="49"/>
      <c r="AB1004" s="49"/>
      <c r="AC1004" s="49"/>
      <c r="AD1004" s="49"/>
      <c r="AE1004" s="49"/>
      <c r="AF1004" s="49"/>
      <c r="AG1004" s="49"/>
      <c r="AH1004" s="49"/>
      <c r="AI1004" s="48"/>
      <c r="AJ1004" s="48"/>
      <c r="AK1004" s="24"/>
      <c r="AL1004" s="50"/>
      <c r="AM1004" s="50"/>
      <c r="AN1004" s="50"/>
      <c r="AO1004" s="50"/>
      <c r="AP1004" s="50"/>
      <c r="AQ1004" s="50"/>
      <c r="AR1004" s="50"/>
      <c r="AS1004" s="50"/>
      <c r="AT1004" s="51"/>
      <c r="AU1004" s="51"/>
      <c r="AV1004" s="51"/>
      <c r="AW1004" s="51"/>
      <c r="AX1004" s="50"/>
      <c r="AY1004" s="50"/>
      <c r="AZ1004" s="50"/>
      <c r="BA1004" s="50"/>
      <c r="BB1004" s="51"/>
      <c r="BC1004" s="51"/>
      <c r="BD1004" s="51"/>
      <c r="BE1004" s="51"/>
      <c r="BF1004" s="47"/>
      <c r="BG1004" s="47"/>
      <c r="BH1004" s="47"/>
      <c r="BI1004" s="47"/>
      <c r="BJ1004" s="47"/>
      <c r="BK1004" s="47"/>
      <c r="BL1004" s="47"/>
      <c r="BM1004" s="47"/>
      <c r="BN1004" s="47"/>
      <c r="BO1004" s="47"/>
      <c r="BP1004" s="47"/>
      <c r="BQ1004" s="47"/>
      <c r="BR1004" s="47"/>
      <c r="BS1004" s="47"/>
      <c r="BT1004" s="47"/>
    </row>
    <row r="1005">
      <c r="A1005" s="24"/>
      <c r="B1005" s="48"/>
      <c r="C1005" s="49"/>
      <c r="D1005" s="24"/>
      <c r="E1005" s="52"/>
      <c r="F1005" s="53"/>
      <c r="G1005" s="48"/>
      <c r="H1005" s="49"/>
      <c r="I1005" s="49"/>
      <c r="J1005" s="48"/>
      <c r="K1005" s="48"/>
      <c r="L1005" s="48"/>
      <c r="M1005" s="48"/>
      <c r="N1005" s="48"/>
      <c r="O1005" s="48"/>
      <c r="P1005" s="48"/>
      <c r="Q1005" s="48"/>
      <c r="R1005" s="48"/>
      <c r="S1005" s="48"/>
      <c r="T1005" s="48"/>
      <c r="U1005" s="48"/>
      <c r="V1005" s="48"/>
      <c r="W1005" s="49"/>
      <c r="X1005" s="49"/>
      <c r="Y1005" s="49"/>
      <c r="Z1005" s="49"/>
      <c r="AA1005" s="49"/>
      <c r="AB1005" s="49"/>
      <c r="AC1005" s="49"/>
      <c r="AD1005" s="49"/>
      <c r="AE1005" s="49"/>
      <c r="AF1005" s="49"/>
      <c r="AG1005" s="49"/>
      <c r="AH1005" s="49"/>
      <c r="AI1005" s="48"/>
      <c r="AJ1005" s="48"/>
      <c r="AK1005" s="24"/>
      <c r="AL1005" s="50"/>
      <c r="AM1005" s="50"/>
      <c r="AN1005" s="50"/>
      <c r="AO1005" s="50"/>
      <c r="AP1005" s="50"/>
      <c r="AQ1005" s="50"/>
      <c r="AR1005" s="50"/>
      <c r="AS1005" s="50"/>
      <c r="AT1005" s="51"/>
      <c r="AU1005" s="51"/>
      <c r="AV1005" s="51"/>
      <c r="AW1005" s="51"/>
      <c r="AX1005" s="50"/>
      <c r="AY1005" s="50"/>
      <c r="AZ1005" s="50"/>
      <c r="BA1005" s="50"/>
      <c r="BB1005" s="51"/>
      <c r="BC1005" s="51"/>
      <c r="BD1005" s="51"/>
      <c r="BE1005" s="51"/>
      <c r="BF1005" s="47"/>
      <c r="BG1005" s="47"/>
      <c r="BH1005" s="47"/>
      <c r="BI1005" s="47"/>
      <c r="BJ1005" s="47"/>
      <c r="BK1005" s="47"/>
      <c r="BL1005" s="47"/>
      <c r="BM1005" s="47"/>
      <c r="BN1005" s="47"/>
      <c r="BO1005" s="47"/>
      <c r="BP1005" s="47"/>
      <c r="BQ1005" s="47"/>
      <c r="BR1005" s="47"/>
      <c r="BS1005" s="47"/>
      <c r="BT1005" s="47"/>
    </row>
    <row r="1006">
      <c r="A1006" s="24"/>
      <c r="B1006" s="48"/>
      <c r="C1006" s="49"/>
      <c r="D1006" s="24"/>
      <c r="E1006" s="52"/>
      <c r="F1006" s="53"/>
      <c r="G1006" s="48"/>
      <c r="H1006" s="49"/>
      <c r="I1006" s="49"/>
      <c r="J1006" s="48"/>
      <c r="K1006" s="48"/>
      <c r="L1006" s="48"/>
      <c r="M1006" s="48"/>
      <c r="N1006" s="48"/>
      <c r="O1006" s="48"/>
      <c r="P1006" s="48"/>
      <c r="Q1006" s="48"/>
      <c r="R1006" s="48"/>
      <c r="S1006" s="48"/>
      <c r="T1006" s="48"/>
      <c r="U1006" s="48"/>
      <c r="V1006" s="48"/>
      <c r="W1006" s="49"/>
      <c r="X1006" s="49"/>
      <c r="Y1006" s="49"/>
      <c r="Z1006" s="49"/>
      <c r="AA1006" s="49"/>
      <c r="AB1006" s="49"/>
      <c r="AC1006" s="49"/>
      <c r="AD1006" s="49"/>
      <c r="AE1006" s="49"/>
      <c r="AF1006" s="49"/>
      <c r="AG1006" s="49"/>
      <c r="AH1006" s="49"/>
      <c r="AI1006" s="48"/>
      <c r="AJ1006" s="48"/>
      <c r="AK1006" s="24"/>
      <c r="AL1006" s="50"/>
      <c r="AM1006" s="50"/>
      <c r="AN1006" s="50"/>
      <c r="AO1006" s="50"/>
      <c r="AP1006" s="50"/>
      <c r="AQ1006" s="50"/>
      <c r="AR1006" s="50"/>
      <c r="AS1006" s="50"/>
      <c r="AT1006" s="51"/>
      <c r="AU1006" s="51"/>
      <c r="AV1006" s="51"/>
      <c r="AW1006" s="51"/>
      <c r="AX1006" s="50"/>
      <c r="AY1006" s="50"/>
      <c r="AZ1006" s="50"/>
      <c r="BA1006" s="50"/>
      <c r="BB1006" s="51"/>
      <c r="BC1006" s="51"/>
      <c r="BD1006" s="51"/>
      <c r="BE1006" s="51"/>
      <c r="BF1006" s="47"/>
      <c r="BG1006" s="47"/>
      <c r="BH1006" s="47"/>
      <c r="BI1006" s="47"/>
      <c r="BJ1006" s="47"/>
      <c r="BK1006" s="47"/>
      <c r="BL1006" s="47"/>
      <c r="BM1006" s="47"/>
      <c r="BN1006" s="47"/>
      <c r="BO1006" s="47"/>
      <c r="BP1006" s="47"/>
      <c r="BQ1006" s="47"/>
      <c r="BR1006" s="47"/>
      <c r="BS1006" s="47"/>
      <c r="BT1006" s="47"/>
    </row>
    <row r="1007">
      <c r="A1007" s="24"/>
      <c r="B1007" s="48"/>
      <c r="C1007" s="49"/>
      <c r="D1007" s="24"/>
      <c r="E1007" s="52"/>
      <c r="F1007" s="53"/>
      <c r="G1007" s="48"/>
      <c r="H1007" s="49"/>
      <c r="I1007" s="49"/>
      <c r="J1007" s="48"/>
      <c r="K1007" s="48"/>
      <c r="L1007" s="48"/>
      <c r="M1007" s="48"/>
      <c r="N1007" s="48"/>
      <c r="O1007" s="48"/>
      <c r="P1007" s="48"/>
      <c r="Q1007" s="48"/>
      <c r="R1007" s="48"/>
      <c r="S1007" s="48"/>
      <c r="T1007" s="48"/>
      <c r="U1007" s="48"/>
      <c r="V1007" s="48"/>
      <c r="W1007" s="49"/>
      <c r="X1007" s="49"/>
      <c r="Y1007" s="49"/>
      <c r="Z1007" s="49"/>
      <c r="AA1007" s="49"/>
      <c r="AB1007" s="49"/>
      <c r="AC1007" s="49"/>
      <c r="AD1007" s="49"/>
      <c r="AE1007" s="49"/>
      <c r="AF1007" s="49"/>
      <c r="AG1007" s="49"/>
      <c r="AH1007" s="49"/>
      <c r="AI1007" s="48"/>
      <c r="AJ1007" s="48"/>
      <c r="AK1007" s="24"/>
      <c r="AL1007" s="50"/>
      <c r="AM1007" s="50"/>
      <c r="AN1007" s="50"/>
      <c r="AO1007" s="50"/>
      <c r="AP1007" s="50"/>
      <c r="AQ1007" s="50"/>
      <c r="AR1007" s="50"/>
      <c r="AS1007" s="50"/>
      <c r="AT1007" s="51"/>
      <c r="AU1007" s="51"/>
      <c r="AV1007" s="51"/>
      <c r="AW1007" s="51"/>
      <c r="AX1007" s="50"/>
      <c r="AY1007" s="50"/>
      <c r="AZ1007" s="50"/>
      <c r="BA1007" s="50"/>
      <c r="BB1007" s="51"/>
      <c r="BC1007" s="51"/>
      <c r="BD1007" s="51"/>
      <c r="BE1007" s="51"/>
      <c r="BF1007" s="47"/>
      <c r="BG1007" s="47"/>
      <c r="BH1007" s="47"/>
      <c r="BI1007" s="47"/>
      <c r="BJ1007" s="47"/>
      <c r="BK1007" s="47"/>
      <c r="BL1007" s="47"/>
      <c r="BM1007" s="47"/>
      <c r="BN1007" s="47"/>
      <c r="BO1007" s="47"/>
      <c r="BP1007" s="47"/>
      <c r="BQ1007" s="47"/>
      <c r="BR1007" s="47"/>
      <c r="BS1007" s="47"/>
      <c r="BT1007" s="47"/>
    </row>
    <row r="1008">
      <c r="A1008" s="24"/>
      <c r="B1008" s="48"/>
      <c r="C1008" s="49"/>
      <c r="D1008" s="24"/>
      <c r="E1008" s="52"/>
      <c r="F1008" s="53"/>
      <c r="G1008" s="48"/>
      <c r="H1008" s="49"/>
      <c r="I1008" s="49"/>
      <c r="J1008" s="48"/>
      <c r="K1008" s="48"/>
      <c r="L1008" s="48"/>
      <c r="M1008" s="48"/>
      <c r="N1008" s="48"/>
      <c r="O1008" s="48"/>
      <c r="P1008" s="48"/>
      <c r="Q1008" s="48"/>
      <c r="R1008" s="48"/>
      <c r="S1008" s="48"/>
      <c r="T1008" s="48"/>
      <c r="U1008" s="48"/>
      <c r="V1008" s="48"/>
      <c r="W1008" s="49"/>
      <c r="X1008" s="49"/>
      <c r="Y1008" s="49"/>
      <c r="Z1008" s="49"/>
      <c r="AA1008" s="49"/>
      <c r="AB1008" s="49"/>
      <c r="AC1008" s="49"/>
      <c r="AD1008" s="49"/>
      <c r="AE1008" s="49"/>
      <c r="AF1008" s="49"/>
      <c r="AG1008" s="49"/>
      <c r="AH1008" s="49"/>
      <c r="AI1008" s="48"/>
      <c r="AJ1008" s="48"/>
      <c r="AK1008" s="24"/>
      <c r="AL1008" s="50"/>
      <c r="AM1008" s="50"/>
      <c r="AN1008" s="50"/>
      <c r="AO1008" s="50"/>
      <c r="AP1008" s="50"/>
      <c r="AQ1008" s="50"/>
      <c r="AR1008" s="50"/>
      <c r="AS1008" s="50"/>
      <c r="AT1008" s="51"/>
      <c r="AU1008" s="51"/>
      <c r="AV1008" s="51"/>
      <c r="AW1008" s="51"/>
      <c r="AX1008" s="50"/>
      <c r="AY1008" s="50"/>
      <c r="AZ1008" s="50"/>
      <c r="BA1008" s="50"/>
      <c r="BB1008" s="51"/>
      <c r="BC1008" s="51"/>
      <c r="BD1008" s="51"/>
      <c r="BE1008" s="51"/>
      <c r="BF1008" s="47"/>
      <c r="BG1008" s="47"/>
      <c r="BH1008" s="47"/>
      <c r="BI1008" s="47"/>
      <c r="BJ1008" s="47"/>
      <c r="BK1008" s="47"/>
      <c r="BL1008" s="47"/>
      <c r="BM1008" s="47"/>
      <c r="BN1008" s="47"/>
      <c r="BO1008" s="47"/>
      <c r="BP1008" s="47"/>
      <c r="BQ1008" s="47"/>
      <c r="BR1008" s="47"/>
      <c r="BS1008" s="47"/>
      <c r="BT1008" s="47"/>
    </row>
    <row r="1009">
      <c r="A1009" s="24"/>
      <c r="B1009" s="48"/>
      <c r="C1009" s="49"/>
      <c r="D1009" s="24"/>
      <c r="E1009" s="52"/>
      <c r="F1009" s="53"/>
      <c r="G1009" s="48"/>
      <c r="H1009" s="49"/>
      <c r="I1009" s="49"/>
      <c r="J1009" s="48"/>
      <c r="K1009" s="48"/>
      <c r="L1009" s="48"/>
      <c r="M1009" s="48"/>
      <c r="N1009" s="48"/>
      <c r="O1009" s="48"/>
      <c r="P1009" s="48"/>
      <c r="Q1009" s="48"/>
      <c r="R1009" s="48"/>
      <c r="S1009" s="48"/>
      <c r="T1009" s="48"/>
      <c r="U1009" s="48"/>
      <c r="V1009" s="48"/>
      <c r="W1009" s="49"/>
      <c r="X1009" s="49"/>
      <c r="Y1009" s="49"/>
      <c r="Z1009" s="49"/>
      <c r="AA1009" s="49"/>
      <c r="AB1009" s="49"/>
      <c r="AC1009" s="49"/>
      <c r="AD1009" s="49"/>
      <c r="AE1009" s="49"/>
      <c r="AF1009" s="49"/>
      <c r="AG1009" s="49"/>
      <c r="AH1009" s="49"/>
      <c r="AI1009" s="48"/>
      <c r="AJ1009" s="48"/>
      <c r="AK1009" s="24"/>
      <c r="AL1009" s="50"/>
      <c r="AM1009" s="50"/>
      <c r="AN1009" s="50"/>
      <c r="AO1009" s="50"/>
      <c r="AP1009" s="50"/>
      <c r="AQ1009" s="50"/>
      <c r="AR1009" s="50"/>
      <c r="AS1009" s="50"/>
      <c r="AT1009" s="51"/>
      <c r="AU1009" s="51"/>
      <c r="AV1009" s="51"/>
      <c r="AW1009" s="51"/>
      <c r="AX1009" s="50"/>
      <c r="AY1009" s="50"/>
      <c r="AZ1009" s="50"/>
      <c r="BA1009" s="50"/>
      <c r="BB1009" s="51"/>
      <c r="BC1009" s="51"/>
      <c r="BD1009" s="51"/>
      <c r="BE1009" s="51"/>
      <c r="BF1009" s="47"/>
      <c r="BG1009" s="47"/>
      <c r="BH1009" s="47"/>
      <c r="BI1009" s="47"/>
      <c r="BJ1009" s="47"/>
      <c r="BK1009" s="47"/>
      <c r="BL1009" s="47"/>
      <c r="BM1009" s="47"/>
      <c r="BN1009" s="47"/>
      <c r="BO1009" s="47"/>
      <c r="BP1009" s="47"/>
      <c r="BQ1009" s="47"/>
      <c r="BR1009" s="47"/>
      <c r="BS1009" s="47"/>
      <c r="BT1009" s="47"/>
    </row>
    <row r="1010">
      <c r="A1010" s="24"/>
      <c r="B1010" s="48"/>
      <c r="C1010" s="49"/>
      <c r="D1010" s="24"/>
      <c r="E1010" s="52"/>
      <c r="F1010" s="53"/>
      <c r="G1010" s="48"/>
      <c r="H1010" s="49"/>
      <c r="I1010" s="49"/>
      <c r="J1010" s="48"/>
      <c r="K1010" s="48"/>
      <c r="L1010" s="48"/>
      <c r="M1010" s="48"/>
      <c r="N1010" s="48"/>
      <c r="O1010" s="48"/>
      <c r="P1010" s="48"/>
      <c r="Q1010" s="48"/>
      <c r="R1010" s="48"/>
      <c r="S1010" s="48"/>
      <c r="T1010" s="48"/>
      <c r="U1010" s="48"/>
      <c r="V1010" s="48"/>
      <c r="W1010" s="49"/>
      <c r="X1010" s="49"/>
      <c r="Y1010" s="49"/>
      <c r="Z1010" s="49"/>
      <c r="AA1010" s="49"/>
      <c r="AB1010" s="49"/>
      <c r="AC1010" s="49"/>
      <c r="AD1010" s="49"/>
      <c r="AE1010" s="49"/>
      <c r="AF1010" s="49"/>
      <c r="AG1010" s="49"/>
      <c r="AH1010" s="49"/>
      <c r="AI1010" s="48"/>
      <c r="AJ1010" s="48"/>
      <c r="AK1010" s="24"/>
      <c r="AL1010" s="50"/>
      <c r="AM1010" s="50"/>
      <c r="AN1010" s="50"/>
      <c r="AO1010" s="50"/>
      <c r="AP1010" s="50"/>
      <c r="AQ1010" s="50"/>
      <c r="AR1010" s="50"/>
      <c r="AS1010" s="50"/>
      <c r="AT1010" s="51"/>
      <c r="AU1010" s="51"/>
      <c r="AV1010" s="51"/>
      <c r="AW1010" s="51"/>
      <c r="AX1010" s="50"/>
      <c r="AY1010" s="50"/>
      <c r="AZ1010" s="50"/>
      <c r="BA1010" s="50"/>
      <c r="BB1010" s="51"/>
      <c r="BC1010" s="51"/>
      <c r="BD1010" s="51"/>
      <c r="BE1010" s="51"/>
      <c r="BF1010" s="47"/>
      <c r="BG1010" s="47"/>
      <c r="BH1010" s="47"/>
      <c r="BI1010" s="47"/>
      <c r="BJ1010" s="47"/>
      <c r="BK1010" s="47"/>
      <c r="BL1010" s="47"/>
      <c r="BM1010" s="47"/>
      <c r="BN1010" s="47"/>
      <c r="BO1010" s="47"/>
      <c r="BP1010" s="47"/>
      <c r="BQ1010" s="47"/>
      <c r="BR1010" s="47"/>
      <c r="BS1010" s="47"/>
      <c r="BT1010" s="47"/>
    </row>
    <row r="1011">
      <c r="A1011" s="24"/>
      <c r="B1011" s="48"/>
      <c r="C1011" s="49"/>
      <c r="D1011" s="24"/>
      <c r="E1011" s="52"/>
      <c r="F1011" s="53"/>
      <c r="G1011" s="48"/>
      <c r="H1011" s="49"/>
      <c r="I1011" s="49"/>
      <c r="J1011" s="48"/>
      <c r="K1011" s="48"/>
      <c r="L1011" s="48"/>
      <c r="M1011" s="48"/>
      <c r="N1011" s="48"/>
      <c r="O1011" s="48"/>
      <c r="P1011" s="48"/>
      <c r="Q1011" s="48"/>
      <c r="R1011" s="48"/>
      <c r="S1011" s="48"/>
      <c r="T1011" s="48"/>
      <c r="U1011" s="48"/>
      <c r="V1011" s="48"/>
      <c r="W1011" s="49"/>
      <c r="X1011" s="49"/>
      <c r="Y1011" s="49"/>
      <c r="Z1011" s="49"/>
      <c r="AA1011" s="49"/>
      <c r="AB1011" s="49"/>
      <c r="AC1011" s="49"/>
      <c r="AD1011" s="49"/>
      <c r="AE1011" s="49"/>
      <c r="AF1011" s="49"/>
      <c r="AG1011" s="49"/>
      <c r="AH1011" s="49"/>
      <c r="AI1011" s="48"/>
      <c r="AJ1011" s="48"/>
      <c r="AK1011" s="24"/>
      <c r="AL1011" s="50"/>
      <c r="AM1011" s="50"/>
      <c r="AN1011" s="50"/>
      <c r="AO1011" s="50"/>
      <c r="AP1011" s="50"/>
      <c r="AQ1011" s="50"/>
      <c r="AR1011" s="50"/>
      <c r="AS1011" s="50"/>
      <c r="AT1011" s="51"/>
      <c r="AU1011" s="51"/>
      <c r="AV1011" s="51"/>
      <c r="AW1011" s="51"/>
      <c r="AX1011" s="50"/>
      <c r="AY1011" s="50"/>
      <c r="AZ1011" s="50"/>
      <c r="BA1011" s="50"/>
      <c r="BB1011" s="51"/>
      <c r="BC1011" s="51"/>
      <c r="BD1011" s="51"/>
      <c r="BE1011" s="51"/>
      <c r="BF1011" s="47"/>
      <c r="BG1011" s="47"/>
      <c r="BH1011" s="47"/>
      <c r="BI1011" s="47"/>
      <c r="BJ1011" s="47"/>
      <c r="BK1011" s="47"/>
      <c r="BL1011" s="47"/>
      <c r="BM1011" s="47"/>
      <c r="BN1011" s="47"/>
      <c r="BO1011" s="47"/>
      <c r="BP1011" s="47"/>
      <c r="BQ1011" s="47"/>
      <c r="BR1011" s="47"/>
      <c r="BS1011" s="47"/>
      <c r="BT1011" s="47"/>
    </row>
    <row r="1012">
      <c r="A1012" s="24"/>
      <c r="B1012" s="48"/>
      <c r="C1012" s="49"/>
      <c r="D1012" s="24"/>
      <c r="E1012" s="52"/>
      <c r="F1012" s="53"/>
      <c r="G1012" s="48"/>
      <c r="H1012" s="49"/>
      <c r="I1012" s="49"/>
      <c r="J1012" s="48"/>
      <c r="K1012" s="48"/>
      <c r="L1012" s="48"/>
      <c r="M1012" s="48"/>
      <c r="N1012" s="48"/>
      <c r="O1012" s="48"/>
      <c r="P1012" s="48"/>
      <c r="Q1012" s="48"/>
      <c r="R1012" s="48"/>
      <c r="S1012" s="48"/>
      <c r="T1012" s="48"/>
      <c r="U1012" s="48"/>
      <c r="V1012" s="48"/>
      <c r="W1012" s="49"/>
      <c r="X1012" s="49"/>
      <c r="Y1012" s="49"/>
      <c r="Z1012" s="49"/>
      <c r="AA1012" s="49"/>
      <c r="AB1012" s="49"/>
      <c r="AC1012" s="49"/>
      <c r="AD1012" s="49"/>
      <c r="AE1012" s="49"/>
      <c r="AF1012" s="49"/>
      <c r="AG1012" s="49"/>
      <c r="AH1012" s="49"/>
      <c r="AI1012" s="48"/>
      <c r="AJ1012" s="48"/>
      <c r="AK1012" s="24"/>
      <c r="AL1012" s="50"/>
      <c r="AM1012" s="50"/>
      <c r="AN1012" s="50"/>
      <c r="AO1012" s="50"/>
      <c r="AP1012" s="50"/>
      <c r="AQ1012" s="50"/>
      <c r="AR1012" s="50"/>
      <c r="AS1012" s="50"/>
      <c r="AT1012" s="51"/>
      <c r="AU1012" s="51"/>
      <c r="AV1012" s="51"/>
      <c r="AW1012" s="51"/>
      <c r="AX1012" s="50"/>
      <c r="AY1012" s="50"/>
      <c r="AZ1012" s="50"/>
      <c r="BA1012" s="50"/>
      <c r="BB1012" s="51"/>
      <c r="BC1012" s="51"/>
      <c r="BD1012" s="51"/>
      <c r="BE1012" s="51"/>
      <c r="BF1012" s="47"/>
      <c r="BG1012" s="47"/>
      <c r="BH1012" s="47"/>
      <c r="BI1012" s="47"/>
      <c r="BJ1012" s="47"/>
      <c r="BK1012" s="47"/>
      <c r="BL1012" s="47"/>
      <c r="BM1012" s="47"/>
      <c r="BN1012" s="47"/>
      <c r="BO1012" s="47"/>
      <c r="BP1012" s="47"/>
      <c r="BQ1012" s="47"/>
      <c r="BR1012" s="47"/>
      <c r="BS1012" s="47"/>
      <c r="BT1012" s="47"/>
    </row>
    <row r="1013">
      <c r="A1013" s="24"/>
      <c r="B1013" s="48"/>
      <c r="C1013" s="49"/>
      <c r="D1013" s="24"/>
      <c r="E1013" s="52"/>
      <c r="F1013" s="53"/>
      <c r="G1013" s="48"/>
      <c r="H1013" s="49"/>
      <c r="I1013" s="49"/>
      <c r="J1013" s="48"/>
      <c r="K1013" s="48"/>
      <c r="L1013" s="48"/>
      <c r="M1013" s="48"/>
      <c r="N1013" s="48"/>
      <c r="O1013" s="48"/>
      <c r="P1013" s="48"/>
      <c r="Q1013" s="48"/>
      <c r="R1013" s="48"/>
      <c r="S1013" s="48"/>
      <c r="T1013" s="48"/>
      <c r="U1013" s="48"/>
      <c r="V1013" s="48"/>
      <c r="W1013" s="49"/>
      <c r="X1013" s="49"/>
      <c r="Y1013" s="49"/>
      <c r="Z1013" s="49"/>
      <c r="AA1013" s="49"/>
      <c r="AB1013" s="49"/>
      <c r="AC1013" s="49"/>
      <c r="AD1013" s="49"/>
      <c r="AE1013" s="49"/>
      <c r="AF1013" s="49"/>
      <c r="AG1013" s="49"/>
      <c r="AH1013" s="49"/>
      <c r="AI1013" s="48"/>
      <c r="AJ1013" s="48"/>
      <c r="AK1013" s="24"/>
      <c r="AL1013" s="50"/>
      <c r="AM1013" s="50"/>
      <c r="AN1013" s="50"/>
      <c r="AO1013" s="50"/>
      <c r="AP1013" s="50"/>
      <c r="AQ1013" s="50"/>
      <c r="AR1013" s="50"/>
      <c r="AS1013" s="50"/>
      <c r="AT1013" s="51"/>
      <c r="AU1013" s="51"/>
      <c r="AV1013" s="51"/>
      <c r="AW1013" s="51"/>
      <c r="AX1013" s="50"/>
      <c r="AY1013" s="50"/>
      <c r="AZ1013" s="50"/>
      <c r="BA1013" s="50"/>
      <c r="BB1013" s="51"/>
      <c r="BC1013" s="51"/>
      <c r="BD1013" s="51"/>
      <c r="BE1013" s="51"/>
      <c r="BF1013" s="47"/>
      <c r="BG1013" s="47"/>
      <c r="BH1013" s="47"/>
      <c r="BI1013" s="47"/>
      <c r="BJ1013" s="47"/>
      <c r="BK1013" s="47"/>
      <c r="BL1013" s="47"/>
      <c r="BM1013" s="47"/>
      <c r="BN1013" s="47"/>
      <c r="BO1013" s="47"/>
      <c r="BP1013" s="47"/>
      <c r="BQ1013" s="47"/>
      <c r="BR1013" s="47"/>
      <c r="BS1013" s="47"/>
      <c r="BT1013" s="47"/>
    </row>
    <row r="1014">
      <c r="A1014" s="24"/>
      <c r="B1014" s="48"/>
      <c r="C1014" s="49"/>
      <c r="D1014" s="24"/>
      <c r="E1014" s="52"/>
      <c r="F1014" s="53"/>
      <c r="G1014" s="48"/>
      <c r="H1014" s="49"/>
      <c r="I1014" s="49"/>
      <c r="J1014" s="48"/>
      <c r="K1014" s="48"/>
      <c r="L1014" s="48"/>
      <c r="M1014" s="48"/>
      <c r="N1014" s="48"/>
      <c r="O1014" s="48"/>
      <c r="P1014" s="48"/>
      <c r="Q1014" s="48"/>
      <c r="R1014" s="48"/>
      <c r="S1014" s="48"/>
      <c r="T1014" s="48"/>
      <c r="U1014" s="48"/>
      <c r="V1014" s="48"/>
      <c r="W1014" s="49"/>
      <c r="X1014" s="49"/>
      <c r="Y1014" s="49"/>
      <c r="Z1014" s="49"/>
      <c r="AA1014" s="49"/>
      <c r="AB1014" s="49"/>
      <c r="AC1014" s="49"/>
      <c r="AD1014" s="49"/>
      <c r="AE1014" s="49"/>
      <c r="AF1014" s="49"/>
      <c r="AG1014" s="49"/>
      <c r="AH1014" s="49"/>
      <c r="AI1014" s="48"/>
      <c r="AJ1014" s="48"/>
      <c r="AK1014" s="24"/>
      <c r="AL1014" s="50"/>
      <c r="AM1014" s="50"/>
      <c r="AN1014" s="50"/>
      <c r="AO1014" s="50"/>
      <c r="AP1014" s="50"/>
      <c r="AQ1014" s="50"/>
      <c r="AR1014" s="50"/>
      <c r="AS1014" s="50"/>
      <c r="AT1014" s="51"/>
      <c r="AU1014" s="51"/>
      <c r="AV1014" s="51"/>
      <c r="AW1014" s="51"/>
      <c r="AX1014" s="50"/>
      <c r="AY1014" s="50"/>
      <c r="AZ1014" s="50"/>
      <c r="BA1014" s="50"/>
      <c r="BB1014" s="51"/>
      <c r="BC1014" s="51"/>
      <c r="BD1014" s="51"/>
      <c r="BE1014" s="51"/>
      <c r="BF1014" s="47"/>
      <c r="BG1014" s="47"/>
      <c r="BH1014" s="47"/>
      <c r="BI1014" s="47"/>
      <c r="BJ1014" s="47"/>
      <c r="BK1014" s="47"/>
      <c r="BL1014" s="47"/>
      <c r="BM1014" s="47"/>
      <c r="BN1014" s="47"/>
      <c r="BO1014" s="47"/>
      <c r="BP1014" s="47"/>
      <c r="BQ1014" s="47"/>
      <c r="BR1014" s="47"/>
      <c r="BS1014" s="47"/>
      <c r="BT1014" s="47"/>
    </row>
    <row r="1015">
      <c r="A1015" s="24"/>
      <c r="B1015" s="48"/>
      <c r="C1015" s="49"/>
      <c r="D1015" s="24"/>
      <c r="E1015" s="52"/>
      <c r="F1015" s="53"/>
      <c r="G1015" s="48"/>
      <c r="H1015" s="49"/>
      <c r="I1015" s="49"/>
      <c r="J1015" s="48"/>
      <c r="K1015" s="48"/>
      <c r="L1015" s="48"/>
      <c r="M1015" s="48"/>
      <c r="N1015" s="48"/>
      <c r="O1015" s="48"/>
      <c r="P1015" s="48"/>
      <c r="Q1015" s="48"/>
      <c r="R1015" s="48"/>
      <c r="S1015" s="48"/>
      <c r="T1015" s="48"/>
      <c r="U1015" s="48"/>
      <c r="V1015" s="48"/>
      <c r="W1015" s="49"/>
      <c r="X1015" s="49"/>
      <c r="Y1015" s="49"/>
      <c r="Z1015" s="49"/>
      <c r="AA1015" s="49"/>
      <c r="AB1015" s="49"/>
      <c r="AC1015" s="49"/>
      <c r="AD1015" s="49"/>
      <c r="AE1015" s="49"/>
      <c r="AF1015" s="49"/>
      <c r="AG1015" s="49"/>
      <c r="AH1015" s="49"/>
      <c r="AI1015" s="48"/>
      <c r="AJ1015" s="48"/>
      <c r="AK1015" s="24"/>
      <c r="AL1015" s="50"/>
      <c r="AM1015" s="50"/>
      <c r="AN1015" s="50"/>
      <c r="AO1015" s="50"/>
      <c r="AP1015" s="50"/>
      <c r="AQ1015" s="50"/>
      <c r="AR1015" s="50"/>
      <c r="AS1015" s="50"/>
      <c r="AT1015" s="51"/>
      <c r="AU1015" s="51"/>
      <c r="AV1015" s="51"/>
      <c r="AW1015" s="51"/>
      <c r="AX1015" s="50"/>
      <c r="AY1015" s="50"/>
      <c r="AZ1015" s="50"/>
      <c r="BA1015" s="50"/>
      <c r="BB1015" s="51"/>
      <c r="BC1015" s="51"/>
      <c r="BD1015" s="51"/>
      <c r="BE1015" s="51"/>
      <c r="BF1015" s="47"/>
      <c r="BG1015" s="47"/>
      <c r="BH1015" s="47"/>
      <c r="BI1015" s="47"/>
      <c r="BJ1015" s="47"/>
      <c r="BK1015" s="47"/>
      <c r="BL1015" s="47"/>
      <c r="BM1015" s="47"/>
      <c r="BN1015" s="47"/>
      <c r="BO1015" s="47"/>
      <c r="BP1015" s="47"/>
      <c r="BQ1015" s="47"/>
      <c r="BR1015" s="47"/>
      <c r="BS1015" s="47"/>
      <c r="BT1015" s="47"/>
    </row>
    <row r="1016">
      <c r="A1016" s="24"/>
      <c r="B1016" s="48"/>
      <c r="C1016" s="49"/>
      <c r="D1016" s="24"/>
      <c r="E1016" s="52"/>
      <c r="F1016" s="53"/>
      <c r="G1016" s="48"/>
      <c r="H1016" s="49"/>
      <c r="I1016" s="49"/>
      <c r="J1016" s="48"/>
      <c r="K1016" s="48"/>
      <c r="L1016" s="48"/>
      <c r="M1016" s="48"/>
      <c r="N1016" s="48"/>
      <c r="O1016" s="48"/>
      <c r="P1016" s="48"/>
      <c r="Q1016" s="48"/>
      <c r="R1016" s="48"/>
      <c r="S1016" s="48"/>
      <c r="T1016" s="48"/>
      <c r="U1016" s="48"/>
      <c r="V1016" s="48"/>
      <c r="W1016" s="49"/>
      <c r="X1016" s="49"/>
      <c r="Y1016" s="49"/>
      <c r="Z1016" s="49"/>
      <c r="AA1016" s="49"/>
      <c r="AB1016" s="49"/>
      <c r="AC1016" s="49"/>
      <c r="AD1016" s="49"/>
      <c r="AE1016" s="49"/>
      <c r="AF1016" s="49"/>
      <c r="AG1016" s="49"/>
      <c r="AH1016" s="49"/>
      <c r="AI1016" s="48"/>
      <c r="AJ1016" s="48"/>
      <c r="AK1016" s="24"/>
      <c r="AL1016" s="50"/>
      <c r="AM1016" s="50"/>
      <c r="AN1016" s="50"/>
      <c r="AO1016" s="50"/>
      <c r="AP1016" s="50"/>
      <c r="AQ1016" s="50"/>
      <c r="AR1016" s="50"/>
      <c r="AS1016" s="50"/>
      <c r="AT1016" s="51"/>
      <c r="AU1016" s="51"/>
      <c r="AV1016" s="51"/>
      <c r="AW1016" s="51"/>
      <c r="AX1016" s="50"/>
      <c r="AY1016" s="50"/>
      <c r="AZ1016" s="50"/>
      <c r="BA1016" s="50"/>
      <c r="BB1016" s="51"/>
      <c r="BC1016" s="51"/>
      <c r="BD1016" s="51"/>
      <c r="BE1016" s="51"/>
      <c r="BF1016" s="47"/>
      <c r="BG1016" s="47"/>
      <c r="BH1016" s="47"/>
      <c r="BI1016" s="47"/>
      <c r="BJ1016" s="47"/>
      <c r="BK1016" s="47"/>
      <c r="BL1016" s="47"/>
      <c r="BM1016" s="47"/>
      <c r="BN1016" s="47"/>
      <c r="BO1016" s="47"/>
      <c r="BP1016" s="47"/>
      <c r="BQ1016" s="47"/>
      <c r="BR1016" s="47"/>
      <c r="BS1016" s="47"/>
      <c r="BT1016" s="47"/>
    </row>
    <row r="1017">
      <c r="A1017" s="24"/>
      <c r="B1017" s="48"/>
      <c r="C1017" s="49"/>
      <c r="D1017" s="24"/>
      <c r="E1017" s="52"/>
      <c r="F1017" s="53"/>
      <c r="G1017" s="48"/>
      <c r="H1017" s="49"/>
      <c r="I1017" s="49"/>
      <c r="J1017" s="48"/>
      <c r="K1017" s="48"/>
      <c r="L1017" s="48"/>
      <c r="M1017" s="48"/>
      <c r="N1017" s="48"/>
      <c r="O1017" s="48"/>
      <c r="P1017" s="48"/>
      <c r="Q1017" s="48"/>
      <c r="R1017" s="48"/>
      <c r="S1017" s="48"/>
      <c r="T1017" s="48"/>
      <c r="U1017" s="48"/>
      <c r="V1017" s="48"/>
      <c r="W1017" s="49"/>
      <c r="X1017" s="49"/>
      <c r="Y1017" s="49"/>
      <c r="Z1017" s="49"/>
      <c r="AA1017" s="49"/>
      <c r="AB1017" s="49"/>
      <c r="AC1017" s="49"/>
      <c r="AD1017" s="49"/>
      <c r="AE1017" s="49"/>
      <c r="AF1017" s="49"/>
      <c r="AG1017" s="49"/>
      <c r="AH1017" s="49"/>
      <c r="AI1017" s="48"/>
      <c r="AJ1017" s="48"/>
      <c r="AK1017" s="24"/>
      <c r="AL1017" s="50"/>
      <c r="AM1017" s="50"/>
      <c r="AN1017" s="50"/>
      <c r="AO1017" s="50"/>
      <c r="AP1017" s="50"/>
      <c r="AQ1017" s="50"/>
      <c r="AR1017" s="50"/>
      <c r="AS1017" s="50"/>
      <c r="AT1017" s="51"/>
      <c r="AU1017" s="51"/>
      <c r="AV1017" s="51"/>
      <c r="AW1017" s="51"/>
      <c r="AX1017" s="50"/>
      <c r="AY1017" s="50"/>
      <c r="AZ1017" s="50"/>
      <c r="BA1017" s="50"/>
      <c r="BB1017" s="51"/>
      <c r="BC1017" s="51"/>
      <c r="BD1017" s="51"/>
      <c r="BE1017" s="51"/>
      <c r="BF1017" s="47"/>
      <c r="BG1017" s="47"/>
      <c r="BH1017" s="47"/>
      <c r="BI1017" s="47"/>
      <c r="BJ1017" s="47"/>
      <c r="BK1017" s="47"/>
      <c r="BL1017" s="47"/>
      <c r="BM1017" s="47"/>
      <c r="BN1017" s="47"/>
      <c r="BO1017" s="47"/>
      <c r="BP1017" s="47"/>
      <c r="BQ1017" s="47"/>
      <c r="BR1017" s="47"/>
      <c r="BS1017" s="47"/>
      <c r="BT1017" s="47"/>
    </row>
    <row r="1018">
      <c r="A1018" s="24"/>
      <c r="B1018" s="48"/>
      <c r="C1018" s="49"/>
      <c r="D1018" s="24"/>
      <c r="E1018" s="52"/>
      <c r="F1018" s="53"/>
      <c r="G1018" s="48"/>
      <c r="H1018" s="49"/>
      <c r="I1018" s="49"/>
      <c r="J1018" s="48"/>
      <c r="K1018" s="48"/>
      <c r="L1018" s="48"/>
      <c r="M1018" s="48"/>
      <c r="N1018" s="48"/>
      <c r="O1018" s="48"/>
      <c r="P1018" s="48"/>
      <c r="Q1018" s="48"/>
      <c r="R1018" s="48"/>
      <c r="S1018" s="48"/>
      <c r="T1018" s="48"/>
      <c r="U1018" s="48"/>
      <c r="V1018" s="48"/>
      <c r="W1018" s="49"/>
      <c r="X1018" s="49"/>
      <c r="Y1018" s="49"/>
      <c r="Z1018" s="49"/>
      <c r="AA1018" s="49"/>
      <c r="AB1018" s="49"/>
      <c r="AC1018" s="49"/>
      <c r="AD1018" s="49"/>
      <c r="AE1018" s="49"/>
      <c r="AF1018" s="49"/>
      <c r="AG1018" s="49"/>
      <c r="AH1018" s="49"/>
      <c r="AI1018" s="48"/>
      <c r="AJ1018" s="48"/>
      <c r="AK1018" s="24"/>
      <c r="AL1018" s="50"/>
      <c r="AM1018" s="50"/>
      <c r="AN1018" s="50"/>
      <c r="AO1018" s="50"/>
      <c r="AP1018" s="50"/>
      <c r="AQ1018" s="50"/>
      <c r="AR1018" s="50"/>
      <c r="AS1018" s="50"/>
      <c r="AT1018" s="51"/>
      <c r="AU1018" s="51"/>
      <c r="AV1018" s="51"/>
      <c r="AW1018" s="51"/>
      <c r="AX1018" s="50"/>
      <c r="AY1018" s="50"/>
      <c r="AZ1018" s="50"/>
      <c r="BA1018" s="50"/>
      <c r="BB1018" s="51"/>
      <c r="BC1018" s="51"/>
      <c r="BD1018" s="51"/>
      <c r="BE1018" s="51"/>
      <c r="BF1018" s="47"/>
      <c r="BG1018" s="47"/>
      <c r="BH1018" s="47"/>
      <c r="BI1018" s="47"/>
      <c r="BJ1018" s="47"/>
      <c r="BK1018" s="47"/>
      <c r="BL1018" s="47"/>
      <c r="BM1018" s="47"/>
      <c r="BN1018" s="47"/>
      <c r="BO1018" s="47"/>
      <c r="BP1018" s="47"/>
      <c r="BQ1018" s="47"/>
      <c r="BR1018" s="47"/>
      <c r="BS1018" s="47"/>
      <c r="BT1018" s="47"/>
    </row>
    <row r="1019">
      <c r="A1019" s="24"/>
      <c r="B1019" s="48"/>
      <c r="C1019" s="49"/>
      <c r="D1019" s="24"/>
      <c r="E1019" s="52"/>
      <c r="F1019" s="53"/>
      <c r="G1019" s="48"/>
      <c r="H1019" s="49"/>
      <c r="I1019" s="49"/>
      <c r="J1019" s="48"/>
      <c r="K1019" s="48"/>
      <c r="L1019" s="48"/>
      <c r="M1019" s="48"/>
      <c r="N1019" s="48"/>
      <c r="O1019" s="48"/>
      <c r="P1019" s="48"/>
      <c r="Q1019" s="48"/>
      <c r="R1019" s="48"/>
      <c r="S1019" s="48"/>
      <c r="T1019" s="48"/>
      <c r="U1019" s="48"/>
      <c r="V1019" s="48"/>
      <c r="W1019" s="49"/>
      <c r="X1019" s="49"/>
      <c r="Y1019" s="49"/>
      <c r="Z1019" s="49"/>
      <c r="AA1019" s="49"/>
      <c r="AB1019" s="49"/>
      <c r="AC1019" s="49"/>
      <c r="AD1019" s="49"/>
      <c r="AE1019" s="49"/>
      <c r="AF1019" s="49"/>
      <c r="AG1019" s="49"/>
      <c r="AH1019" s="49"/>
      <c r="AI1019" s="48"/>
      <c r="AJ1019" s="48"/>
      <c r="AK1019" s="24"/>
      <c r="AL1019" s="50"/>
      <c r="AM1019" s="50"/>
      <c r="AN1019" s="50"/>
      <c r="AO1019" s="50"/>
      <c r="AP1019" s="50"/>
      <c r="AQ1019" s="50"/>
      <c r="AR1019" s="50"/>
      <c r="AS1019" s="50"/>
      <c r="AT1019" s="51"/>
      <c r="AU1019" s="51"/>
      <c r="AV1019" s="51"/>
      <c r="AW1019" s="51"/>
      <c r="AX1019" s="50"/>
      <c r="AY1019" s="50"/>
      <c r="AZ1019" s="50"/>
      <c r="BA1019" s="50"/>
      <c r="BB1019" s="51"/>
      <c r="BC1019" s="51"/>
      <c r="BD1019" s="51"/>
      <c r="BE1019" s="51"/>
      <c r="BF1019" s="47"/>
      <c r="BG1019" s="47"/>
      <c r="BH1019" s="47"/>
      <c r="BI1019" s="47"/>
      <c r="BJ1019" s="47"/>
      <c r="BK1019" s="47"/>
      <c r="BL1019" s="47"/>
      <c r="BM1019" s="47"/>
      <c r="BN1019" s="47"/>
      <c r="BO1019" s="47"/>
      <c r="BP1019" s="47"/>
      <c r="BQ1019" s="47"/>
      <c r="BR1019" s="47"/>
      <c r="BS1019" s="47"/>
      <c r="BT1019" s="47"/>
    </row>
    <row r="1020">
      <c r="A1020" s="24"/>
      <c r="B1020" s="48"/>
      <c r="C1020" s="49"/>
      <c r="D1020" s="24"/>
      <c r="E1020" s="52"/>
      <c r="F1020" s="53"/>
      <c r="G1020" s="48"/>
      <c r="H1020" s="49"/>
      <c r="I1020" s="49"/>
      <c r="J1020" s="48"/>
      <c r="K1020" s="48"/>
      <c r="L1020" s="48"/>
      <c r="M1020" s="48"/>
      <c r="N1020" s="48"/>
      <c r="O1020" s="48"/>
      <c r="P1020" s="48"/>
      <c r="Q1020" s="48"/>
      <c r="R1020" s="48"/>
      <c r="S1020" s="48"/>
      <c r="T1020" s="48"/>
      <c r="U1020" s="48"/>
      <c r="V1020" s="48"/>
      <c r="W1020" s="49"/>
      <c r="X1020" s="49"/>
      <c r="Y1020" s="49"/>
      <c r="Z1020" s="49"/>
      <c r="AA1020" s="49"/>
      <c r="AB1020" s="49"/>
      <c r="AC1020" s="49"/>
      <c r="AD1020" s="49"/>
      <c r="AE1020" s="49"/>
      <c r="AF1020" s="49"/>
      <c r="AG1020" s="49"/>
      <c r="AH1020" s="49"/>
      <c r="AI1020" s="48"/>
      <c r="AJ1020" s="48"/>
      <c r="AK1020" s="24"/>
      <c r="AL1020" s="50"/>
      <c r="AM1020" s="50"/>
      <c r="AN1020" s="50"/>
      <c r="AO1020" s="50"/>
      <c r="AP1020" s="50"/>
      <c r="AQ1020" s="50"/>
      <c r="AR1020" s="50"/>
      <c r="AS1020" s="50"/>
      <c r="AT1020" s="51"/>
      <c r="AU1020" s="51"/>
      <c r="AV1020" s="51"/>
      <c r="AW1020" s="51"/>
      <c r="AX1020" s="50"/>
      <c r="AY1020" s="50"/>
      <c r="AZ1020" s="50"/>
      <c r="BA1020" s="50"/>
      <c r="BB1020" s="51"/>
      <c r="BC1020" s="51"/>
      <c r="BD1020" s="51"/>
      <c r="BE1020" s="51"/>
      <c r="BF1020" s="47"/>
      <c r="BG1020" s="47"/>
      <c r="BH1020" s="47"/>
      <c r="BI1020" s="47"/>
      <c r="BJ1020" s="47"/>
      <c r="BK1020" s="47"/>
      <c r="BL1020" s="47"/>
      <c r="BM1020" s="47"/>
      <c r="BN1020" s="47"/>
      <c r="BO1020" s="47"/>
      <c r="BP1020" s="47"/>
      <c r="BQ1020" s="47"/>
      <c r="BR1020" s="47"/>
      <c r="BS1020" s="47"/>
      <c r="BT1020" s="47"/>
    </row>
    <row r="1021">
      <c r="A1021" s="24"/>
      <c r="B1021" s="48"/>
      <c r="C1021" s="49"/>
      <c r="D1021" s="24"/>
      <c r="E1021" s="52"/>
      <c r="F1021" s="53"/>
      <c r="G1021" s="48"/>
      <c r="H1021" s="49"/>
      <c r="I1021" s="49"/>
      <c r="J1021" s="48"/>
      <c r="K1021" s="48"/>
      <c r="L1021" s="48"/>
      <c r="M1021" s="48"/>
      <c r="N1021" s="48"/>
      <c r="O1021" s="48"/>
      <c r="P1021" s="48"/>
      <c r="Q1021" s="48"/>
      <c r="R1021" s="48"/>
      <c r="S1021" s="48"/>
      <c r="T1021" s="48"/>
      <c r="U1021" s="48"/>
      <c r="V1021" s="48"/>
      <c r="W1021" s="49"/>
      <c r="X1021" s="49"/>
      <c r="Y1021" s="49"/>
      <c r="Z1021" s="49"/>
      <c r="AA1021" s="49"/>
      <c r="AB1021" s="49"/>
      <c r="AC1021" s="49"/>
      <c r="AD1021" s="49"/>
      <c r="AE1021" s="49"/>
      <c r="AF1021" s="49"/>
      <c r="AG1021" s="49"/>
      <c r="AH1021" s="49"/>
      <c r="AI1021" s="48"/>
      <c r="AJ1021" s="48"/>
      <c r="AK1021" s="24"/>
      <c r="AL1021" s="50"/>
      <c r="AM1021" s="50"/>
      <c r="AN1021" s="50"/>
      <c r="AO1021" s="50"/>
      <c r="AP1021" s="50"/>
      <c r="AQ1021" s="50"/>
      <c r="AR1021" s="50"/>
      <c r="AS1021" s="50"/>
      <c r="AT1021" s="51"/>
      <c r="AU1021" s="51"/>
      <c r="AV1021" s="51"/>
      <c r="AW1021" s="51"/>
      <c r="AX1021" s="50"/>
      <c r="AY1021" s="50"/>
      <c r="AZ1021" s="50"/>
      <c r="BA1021" s="50"/>
      <c r="BB1021" s="51"/>
      <c r="BC1021" s="51"/>
      <c r="BD1021" s="51"/>
      <c r="BE1021" s="51"/>
      <c r="BF1021" s="47"/>
      <c r="BG1021" s="47"/>
      <c r="BH1021" s="47"/>
      <c r="BI1021" s="47"/>
      <c r="BJ1021" s="47"/>
      <c r="BK1021" s="47"/>
      <c r="BL1021" s="47"/>
      <c r="BM1021" s="47"/>
      <c r="BN1021" s="47"/>
      <c r="BO1021" s="47"/>
      <c r="BP1021" s="47"/>
      <c r="BQ1021" s="47"/>
      <c r="BR1021" s="47"/>
      <c r="BS1021" s="47"/>
      <c r="BT1021" s="47"/>
    </row>
    <row r="1022">
      <c r="A1022" s="24"/>
      <c r="B1022" s="48"/>
      <c r="C1022" s="49"/>
      <c r="D1022" s="24"/>
      <c r="E1022" s="52"/>
      <c r="F1022" s="53"/>
      <c r="G1022" s="48"/>
      <c r="H1022" s="49"/>
      <c r="I1022" s="49"/>
      <c r="J1022" s="48"/>
      <c r="K1022" s="48"/>
      <c r="L1022" s="48"/>
      <c r="M1022" s="48"/>
      <c r="N1022" s="48"/>
      <c r="O1022" s="48"/>
      <c r="P1022" s="48"/>
      <c r="Q1022" s="48"/>
      <c r="R1022" s="48"/>
      <c r="S1022" s="48"/>
      <c r="T1022" s="48"/>
      <c r="U1022" s="48"/>
      <c r="V1022" s="48"/>
      <c r="W1022" s="49"/>
      <c r="X1022" s="49"/>
      <c r="Y1022" s="49"/>
      <c r="Z1022" s="49"/>
      <c r="AA1022" s="49"/>
      <c r="AB1022" s="49"/>
      <c r="AC1022" s="49"/>
      <c r="AD1022" s="49"/>
      <c r="AE1022" s="49"/>
      <c r="AF1022" s="49"/>
      <c r="AG1022" s="49"/>
      <c r="AH1022" s="49"/>
      <c r="AI1022" s="48"/>
      <c r="AJ1022" s="48"/>
      <c r="AK1022" s="24"/>
      <c r="AL1022" s="50"/>
      <c r="AM1022" s="50"/>
      <c r="AN1022" s="50"/>
      <c r="AO1022" s="50"/>
      <c r="AP1022" s="50"/>
      <c r="AQ1022" s="50"/>
      <c r="AR1022" s="50"/>
      <c r="AS1022" s="50"/>
      <c r="AT1022" s="51"/>
      <c r="AU1022" s="51"/>
      <c r="AV1022" s="51"/>
      <c r="AW1022" s="51"/>
      <c r="AX1022" s="50"/>
      <c r="AY1022" s="50"/>
      <c r="AZ1022" s="50"/>
      <c r="BA1022" s="50"/>
      <c r="BB1022" s="51"/>
      <c r="BC1022" s="51"/>
      <c r="BD1022" s="51"/>
      <c r="BE1022" s="51"/>
      <c r="BF1022" s="47"/>
      <c r="BG1022" s="47"/>
      <c r="BH1022" s="47"/>
      <c r="BI1022" s="47"/>
      <c r="BJ1022" s="47"/>
      <c r="BK1022" s="47"/>
      <c r="BL1022" s="47"/>
      <c r="BM1022" s="47"/>
      <c r="BN1022" s="47"/>
      <c r="BO1022" s="47"/>
      <c r="BP1022" s="47"/>
      <c r="BQ1022" s="47"/>
      <c r="BR1022" s="47"/>
      <c r="BS1022" s="47"/>
      <c r="BT1022" s="47"/>
    </row>
    <row r="1023">
      <c r="A1023" s="24"/>
      <c r="B1023" s="48"/>
      <c r="C1023" s="49"/>
      <c r="D1023" s="24"/>
      <c r="E1023" s="52"/>
      <c r="F1023" s="53"/>
      <c r="G1023" s="48"/>
      <c r="H1023" s="49"/>
      <c r="I1023" s="49"/>
      <c r="J1023" s="48"/>
      <c r="K1023" s="48"/>
      <c r="L1023" s="48"/>
      <c r="M1023" s="48"/>
      <c r="N1023" s="48"/>
      <c r="O1023" s="48"/>
      <c r="P1023" s="48"/>
      <c r="Q1023" s="48"/>
      <c r="R1023" s="48"/>
      <c r="S1023" s="48"/>
      <c r="T1023" s="48"/>
      <c r="U1023" s="48"/>
      <c r="V1023" s="48"/>
      <c r="W1023" s="49"/>
      <c r="X1023" s="49"/>
      <c r="Y1023" s="49"/>
      <c r="Z1023" s="49"/>
      <c r="AA1023" s="49"/>
      <c r="AB1023" s="49"/>
      <c r="AC1023" s="49"/>
      <c r="AD1023" s="49"/>
      <c r="AE1023" s="49"/>
      <c r="AF1023" s="49"/>
      <c r="AG1023" s="49"/>
      <c r="AH1023" s="49"/>
      <c r="AI1023" s="48"/>
      <c r="AJ1023" s="48"/>
      <c r="AK1023" s="24"/>
      <c r="AL1023" s="50"/>
      <c r="AM1023" s="50"/>
      <c r="AN1023" s="50"/>
      <c r="AO1023" s="50"/>
      <c r="AP1023" s="50"/>
      <c r="AQ1023" s="50"/>
      <c r="AR1023" s="50"/>
      <c r="AS1023" s="50"/>
      <c r="AT1023" s="51"/>
      <c r="AU1023" s="51"/>
      <c r="AV1023" s="51"/>
      <c r="AW1023" s="51"/>
      <c r="AX1023" s="50"/>
      <c r="AY1023" s="50"/>
      <c r="AZ1023" s="50"/>
      <c r="BA1023" s="50"/>
      <c r="BB1023" s="51"/>
      <c r="BC1023" s="51"/>
      <c r="BD1023" s="51"/>
      <c r="BE1023" s="51"/>
      <c r="BF1023" s="47"/>
      <c r="BG1023" s="47"/>
      <c r="BH1023" s="47"/>
      <c r="BI1023" s="47"/>
      <c r="BJ1023" s="47"/>
      <c r="BK1023" s="47"/>
      <c r="BL1023" s="47"/>
      <c r="BM1023" s="47"/>
      <c r="BN1023" s="47"/>
      <c r="BO1023" s="47"/>
      <c r="BP1023" s="47"/>
      <c r="BQ1023" s="47"/>
      <c r="BR1023" s="47"/>
      <c r="BS1023" s="47"/>
      <c r="BT1023" s="47"/>
    </row>
    <row r="1024">
      <c r="A1024" s="24"/>
      <c r="B1024" s="48"/>
      <c r="C1024" s="49"/>
      <c r="D1024" s="24"/>
      <c r="E1024" s="52"/>
      <c r="F1024" s="53"/>
      <c r="G1024" s="48"/>
      <c r="H1024" s="49"/>
      <c r="I1024" s="49"/>
      <c r="J1024" s="48"/>
      <c r="K1024" s="48"/>
      <c r="L1024" s="48"/>
      <c r="M1024" s="48"/>
      <c r="N1024" s="48"/>
      <c r="O1024" s="48"/>
      <c r="P1024" s="48"/>
      <c r="Q1024" s="48"/>
      <c r="R1024" s="48"/>
      <c r="S1024" s="48"/>
      <c r="T1024" s="48"/>
      <c r="U1024" s="48"/>
      <c r="V1024" s="48"/>
      <c r="W1024" s="49"/>
      <c r="X1024" s="49"/>
      <c r="Y1024" s="49"/>
      <c r="Z1024" s="49"/>
      <c r="AA1024" s="49"/>
      <c r="AB1024" s="49"/>
      <c r="AC1024" s="49"/>
      <c r="AD1024" s="49"/>
      <c r="AE1024" s="49"/>
      <c r="AF1024" s="49"/>
      <c r="AG1024" s="49"/>
      <c r="AH1024" s="49"/>
      <c r="AI1024" s="48"/>
      <c r="AJ1024" s="48"/>
      <c r="AK1024" s="24"/>
      <c r="AL1024" s="50"/>
      <c r="AM1024" s="50"/>
      <c r="AN1024" s="50"/>
      <c r="AO1024" s="50"/>
      <c r="AP1024" s="50"/>
      <c r="AQ1024" s="50"/>
      <c r="AR1024" s="50"/>
      <c r="AS1024" s="50"/>
      <c r="AT1024" s="51"/>
      <c r="AU1024" s="51"/>
      <c r="AV1024" s="51"/>
      <c r="AW1024" s="51"/>
      <c r="AX1024" s="50"/>
      <c r="AY1024" s="50"/>
      <c r="AZ1024" s="50"/>
      <c r="BA1024" s="50"/>
      <c r="BB1024" s="51"/>
      <c r="BC1024" s="51"/>
      <c r="BD1024" s="51"/>
      <c r="BE1024" s="51"/>
      <c r="BF1024" s="47"/>
      <c r="BG1024" s="47"/>
      <c r="BH1024" s="47"/>
      <c r="BI1024" s="47"/>
      <c r="BJ1024" s="47"/>
      <c r="BK1024" s="47"/>
      <c r="BL1024" s="47"/>
      <c r="BM1024" s="47"/>
      <c r="BN1024" s="47"/>
      <c r="BO1024" s="47"/>
      <c r="BP1024" s="47"/>
      <c r="BQ1024" s="47"/>
      <c r="BR1024" s="47"/>
      <c r="BS1024" s="47"/>
      <c r="BT1024" s="47"/>
    </row>
    <row r="1025">
      <c r="A1025" s="24"/>
      <c r="B1025" s="48"/>
      <c r="C1025" s="49"/>
      <c r="D1025" s="24"/>
      <c r="E1025" s="52"/>
      <c r="F1025" s="53"/>
      <c r="G1025" s="48"/>
      <c r="H1025" s="49"/>
      <c r="I1025" s="49"/>
      <c r="J1025" s="48"/>
      <c r="K1025" s="48"/>
      <c r="L1025" s="48"/>
      <c r="M1025" s="48"/>
      <c r="N1025" s="48"/>
      <c r="O1025" s="48"/>
      <c r="P1025" s="48"/>
      <c r="Q1025" s="48"/>
      <c r="R1025" s="48"/>
      <c r="S1025" s="48"/>
      <c r="T1025" s="48"/>
      <c r="U1025" s="48"/>
      <c r="V1025" s="48"/>
      <c r="W1025" s="49"/>
      <c r="X1025" s="49"/>
      <c r="Y1025" s="49"/>
      <c r="Z1025" s="49"/>
      <c r="AA1025" s="49"/>
      <c r="AB1025" s="49"/>
      <c r="AC1025" s="49"/>
      <c r="AD1025" s="49"/>
      <c r="AE1025" s="49"/>
      <c r="AF1025" s="49"/>
      <c r="AG1025" s="49"/>
      <c r="AH1025" s="49"/>
      <c r="AI1025" s="48"/>
      <c r="AJ1025" s="48"/>
      <c r="AK1025" s="24"/>
      <c r="AL1025" s="50"/>
      <c r="AM1025" s="50"/>
      <c r="AN1025" s="50"/>
      <c r="AO1025" s="50"/>
      <c r="AP1025" s="50"/>
      <c r="AQ1025" s="50"/>
      <c r="AR1025" s="50"/>
      <c r="AS1025" s="50"/>
      <c r="AT1025" s="51"/>
      <c r="AU1025" s="51"/>
      <c r="AV1025" s="51"/>
      <c r="AW1025" s="51"/>
      <c r="AX1025" s="50"/>
      <c r="AY1025" s="50"/>
      <c r="AZ1025" s="50"/>
      <c r="BA1025" s="50"/>
      <c r="BB1025" s="51"/>
      <c r="BC1025" s="51"/>
      <c r="BD1025" s="51"/>
      <c r="BE1025" s="51"/>
      <c r="BF1025" s="47"/>
      <c r="BG1025" s="47"/>
      <c r="BH1025" s="47"/>
      <c r="BI1025" s="47"/>
      <c r="BJ1025" s="47"/>
      <c r="BK1025" s="47"/>
      <c r="BL1025" s="47"/>
      <c r="BM1025" s="47"/>
      <c r="BN1025" s="47"/>
      <c r="BO1025" s="47"/>
      <c r="BP1025" s="47"/>
      <c r="BQ1025" s="47"/>
      <c r="BR1025" s="47"/>
      <c r="BS1025" s="47"/>
      <c r="BT1025" s="47"/>
    </row>
    <row r="1026">
      <c r="A1026" s="24"/>
      <c r="B1026" s="48"/>
      <c r="C1026" s="49"/>
      <c r="D1026" s="24"/>
      <c r="E1026" s="52"/>
      <c r="F1026" s="53"/>
      <c r="G1026" s="48"/>
      <c r="H1026" s="49"/>
      <c r="I1026" s="49"/>
      <c r="J1026" s="48"/>
      <c r="K1026" s="48"/>
      <c r="L1026" s="48"/>
      <c r="M1026" s="48"/>
      <c r="N1026" s="48"/>
      <c r="O1026" s="48"/>
      <c r="P1026" s="48"/>
      <c r="Q1026" s="48"/>
      <c r="R1026" s="48"/>
      <c r="S1026" s="48"/>
      <c r="T1026" s="48"/>
      <c r="U1026" s="48"/>
      <c r="V1026" s="48"/>
      <c r="W1026" s="49"/>
      <c r="X1026" s="49"/>
      <c r="Y1026" s="49"/>
      <c r="Z1026" s="49"/>
      <c r="AA1026" s="49"/>
      <c r="AB1026" s="49"/>
      <c r="AC1026" s="49"/>
      <c r="AD1026" s="49"/>
      <c r="AE1026" s="49"/>
      <c r="AF1026" s="49"/>
      <c r="AG1026" s="49"/>
      <c r="AH1026" s="49"/>
      <c r="AI1026" s="48"/>
      <c r="AJ1026" s="48"/>
      <c r="AK1026" s="24"/>
      <c r="AL1026" s="50"/>
      <c r="AM1026" s="50"/>
      <c r="AN1026" s="50"/>
      <c r="AO1026" s="50"/>
      <c r="AP1026" s="50"/>
      <c r="AQ1026" s="50"/>
      <c r="AR1026" s="50"/>
      <c r="AS1026" s="50"/>
      <c r="AT1026" s="51"/>
      <c r="AU1026" s="51"/>
      <c r="AV1026" s="51"/>
      <c r="AW1026" s="51"/>
      <c r="AX1026" s="50"/>
      <c r="AY1026" s="50"/>
      <c r="AZ1026" s="50"/>
      <c r="BA1026" s="50"/>
      <c r="BB1026" s="51"/>
      <c r="BC1026" s="51"/>
      <c r="BD1026" s="51"/>
      <c r="BE1026" s="51"/>
      <c r="BF1026" s="47"/>
      <c r="BG1026" s="47"/>
      <c r="BH1026" s="47"/>
      <c r="BI1026" s="47"/>
      <c r="BJ1026" s="47"/>
      <c r="BK1026" s="47"/>
      <c r="BL1026" s="47"/>
      <c r="BM1026" s="47"/>
      <c r="BN1026" s="47"/>
      <c r="BO1026" s="47"/>
      <c r="BP1026" s="47"/>
      <c r="BQ1026" s="47"/>
      <c r="BR1026" s="47"/>
      <c r="BS1026" s="47"/>
      <c r="BT1026" s="47"/>
    </row>
    <row r="1027">
      <c r="A1027" s="24"/>
      <c r="B1027" s="48"/>
      <c r="C1027" s="49"/>
      <c r="D1027" s="24"/>
      <c r="E1027" s="52"/>
      <c r="F1027" s="53"/>
      <c r="G1027" s="48"/>
      <c r="H1027" s="49"/>
      <c r="I1027" s="49"/>
      <c r="J1027" s="48"/>
      <c r="K1027" s="48"/>
      <c r="L1027" s="48"/>
      <c r="M1027" s="48"/>
      <c r="N1027" s="48"/>
      <c r="O1027" s="48"/>
      <c r="P1027" s="48"/>
      <c r="Q1027" s="48"/>
      <c r="R1027" s="48"/>
      <c r="S1027" s="48"/>
      <c r="T1027" s="48"/>
      <c r="U1027" s="48"/>
      <c r="V1027" s="48"/>
      <c r="W1027" s="49"/>
      <c r="X1027" s="49"/>
      <c r="Y1027" s="49"/>
      <c r="Z1027" s="49"/>
      <c r="AA1027" s="49"/>
      <c r="AB1027" s="49"/>
      <c r="AC1027" s="49"/>
      <c r="AD1027" s="49"/>
      <c r="AE1027" s="49"/>
      <c r="AF1027" s="49"/>
      <c r="AG1027" s="49"/>
      <c r="AH1027" s="49"/>
      <c r="AI1027" s="48"/>
      <c r="AJ1027" s="48"/>
      <c r="AK1027" s="24"/>
      <c r="AL1027" s="50"/>
      <c r="AM1027" s="50"/>
      <c r="AN1027" s="50"/>
      <c r="AO1027" s="50"/>
      <c r="AP1027" s="50"/>
      <c r="AQ1027" s="50"/>
      <c r="AR1027" s="50"/>
      <c r="AS1027" s="50"/>
      <c r="AT1027" s="51"/>
      <c r="AU1027" s="51"/>
      <c r="AV1027" s="51"/>
      <c r="AW1027" s="51"/>
      <c r="AX1027" s="50"/>
      <c r="AY1027" s="50"/>
      <c r="AZ1027" s="50"/>
      <c r="BA1027" s="50"/>
      <c r="BB1027" s="51"/>
      <c r="BC1027" s="51"/>
      <c r="BD1027" s="51"/>
      <c r="BE1027" s="51"/>
      <c r="BF1027" s="47"/>
      <c r="BG1027" s="47"/>
      <c r="BH1027" s="47"/>
      <c r="BI1027" s="47"/>
      <c r="BJ1027" s="47"/>
      <c r="BK1027" s="47"/>
      <c r="BL1027" s="47"/>
      <c r="BM1027" s="47"/>
      <c r="BN1027" s="47"/>
      <c r="BO1027" s="47"/>
      <c r="BP1027" s="47"/>
      <c r="BQ1027" s="47"/>
      <c r="BR1027" s="47"/>
      <c r="BS1027" s="47"/>
      <c r="BT1027" s="47"/>
    </row>
    <row r="1028">
      <c r="A1028" s="24"/>
      <c r="B1028" s="48"/>
      <c r="C1028" s="49"/>
      <c r="D1028" s="24"/>
      <c r="E1028" s="52"/>
      <c r="F1028" s="53"/>
      <c r="G1028" s="48"/>
      <c r="H1028" s="49"/>
      <c r="I1028" s="49"/>
      <c r="J1028" s="48"/>
      <c r="K1028" s="48"/>
      <c r="L1028" s="48"/>
      <c r="M1028" s="48"/>
      <c r="N1028" s="48"/>
      <c r="O1028" s="48"/>
      <c r="P1028" s="48"/>
      <c r="Q1028" s="48"/>
      <c r="R1028" s="48"/>
      <c r="S1028" s="48"/>
      <c r="T1028" s="48"/>
      <c r="U1028" s="48"/>
      <c r="V1028" s="48"/>
      <c r="W1028" s="49"/>
      <c r="X1028" s="49"/>
      <c r="Y1028" s="49"/>
      <c r="Z1028" s="49"/>
      <c r="AA1028" s="49"/>
      <c r="AB1028" s="49"/>
      <c r="AC1028" s="49"/>
      <c r="AD1028" s="49"/>
      <c r="AE1028" s="49"/>
      <c r="AF1028" s="49"/>
      <c r="AG1028" s="49"/>
      <c r="AH1028" s="49"/>
      <c r="AI1028" s="48"/>
      <c r="AJ1028" s="48"/>
      <c r="AK1028" s="24"/>
      <c r="AL1028" s="50"/>
      <c r="AM1028" s="50"/>
      <c r="AN1028" s="50"/>
      <c r="AO1028" s="50"/>
      <c r="AP1028" s="50"/>
      <c r="AQ1028" s="50"/>
      <c r="AR1028" s="50"/>
      <c r="AS1028" s="50"/>
      <c r="AT1028" s="51"/>
      <c r="AU1028" s="51"/>
      <c r="AV1028" s="51"/>
      <c r="AW1028" s="51"/>
      <c r="AX1028" s="50"/>
      <c r="AY1028" s="50"/>
      <c r="AZ1028" s="50"/>
      <c r="BA1028" s="50"/>
      <c r="BB1028" s="51"/>
      <c r="BC1028" s="51"/>
      <c r="BD1028" s="51"/>
      <c r="BE1028" s="51"/>
      <c r="BF1028" s="47"/>
      <c r="BG1028" s="47"/>
      <c r="BH1028" s="47"/>
      <c r="BI1028" s="47"/>
      <c r="BJ1028" s="47"/>
      <c r="BK1028" s="47"/>
      <c r="BL1028" s="47"/>
      <c r="BM1028" s="47"/>
      <c r="BN1028" s="47"/>
      <c r="BO1028" s="47"/>
      <c r="BP1028" s="47"/>
      <c r="BQ1028" s="47"/>
      <c r="BR1028" s="47"/>
      <c r="BS1028" s="47"/>
      <c r="BT1028" s="47"/>
    </row>
    <row r="1029">
      <c r="A1029" s="24"/>
      <c r="B1029" s="48"/>
      <c r="C1029" s="49"/>
      <c r="D1029" s="24"/>
      <c r="E1029" s="52"/>
      <c r="F1029" s="53"/>
      <c r="G1029" s="48"/>
      <c r="H1029" s="49"/>
      <c r="I1029" s="49"/>
      <c r="J1029" s="48"/>
      <c r="K1029" s="48"/>
      <c r="L1029" s="48"/>
      <c r="M1029" s="48"/>
      <c r="N1029" s="48"/>
      <c r="O1029" s="48"/>
      <c r="P1029" s="48"/>
      <c r="Q1029" s="48"/>
      <c r="R1029" s="48"/>
      <c r="S1029" s="48"/>
      <c r="T1029" s="48"/>
      <c r="U1029" s="48"/>
      <c r="V1029" s="48"/>
      <c r="W1029" s="49"/>
      <c r="X1029" s="49"/>
      <c r="Y1029" s="49"/>
      <c r="Z1029" s="49"/>
      <c r="AA1029" s="49"/>
      <c r="AB1029" s="49"/>
      <c r="AC1029" s="49"/>
      <c r="AD1029" s="49"/>
      <c r="AE1029" s="49"/>
      <c r="AF1029" s="49"/>
      <c r="AG1029" s="49"/>
      <c r="AH1029" s="49"/>
      <c r="AI1029" s="48"/>
      <c r="AJ1029" s="48"/>
      <c r="AK1029" s="24"/>
      <c r="AL1029" s="50"/>
      <c r="AM1029" s="50"/>
      <c r="AN1029" s="50"/>
      <c r="AO1029" s="50"/>
      <c r="AP1029" s="50"/>
      <c r="AQ1029" s="50"/>
      <c r="AR1029" s="50"/>
      <c r="AS1029" s="50"/>
      <c r="AT1029" s="51"/>
      <c r="AU1029" s="51"/>
      <c r="AV1029" s="51"/>
      <c r="AW1029" s="51"/>
      <c r="AX1029" s="50"/>
      <c r="AY1029" s="50"/>
      <c r="AZ1029" s="50"/>
      <c r="BA1029" s="50"/>
      <c r="BB1029" s="51"/>
      <c r="BC1029" s="51"/>
      <c r="BD1029" s="51"/>
      <c r="BE1029" s="51"/>
      <c r="BF1029" s="47"/>
      <c r="BG1029" s="47"/>
      <c r="BH1029" s="47"/>
      <c r="BI1029" s="47"/>
      <c r="BJ1029" s="47"/>
      <c r="BK1029" s="47"/>
      <c r="BL1029" s="47"/>
      <c r="BM1029" s="47"/>
      <c r="BN1029" s="47"/>
      <c r="BO1029" s="47"/>
      <c r="BP1029" s="47"/>
      <c r="BQ1029" s="47"/>
      <c r="BR1029" s="47"/>
      <c r="BS1029" s="47"/>
      <c r="BT1029" s="47"/>
    </row>
    <row r="1030">
      <c r="A1030" s="24"/>
      <c r="B1030" s="48"/>
      <c r="C1030" s="49"/>
      <c r="D1030" s="24"/>
      <c r="E1030" s="52"/>
      <c r="F1030" s="53"/>
      <c r="G1030" s="48"/>
      <c r="H1030" s="49"/>
      <c r="I1030" s="49"/>
      <c r="J1030" s="48"/>
      <c r="K1030" s="48"/>
      <c r="L1030" s="48"/>
      <c r="M1030" s="48"/>
      <c r="N1030" s="48"/>
      <c r="O1030" s="48"/>
      <c r="P1030" s="48"/>
      <c r="Q1030" s="48"/>
      <c r="R1030" s="48"/>
      <c r="S1030" s="48"/>
      <c r="T1030" s="48"/>
      <c r="U1030" s="48"/>
      <c r="V1030" s="48"/>
      <c r="W1030" s="49"/>
      <c r="X1030" s="49"/>
      <c r="Y1030" s="49"/>
      <c r="Z1030" s="49"/>
      <c r="AA1030" s="49"/>
      <c r="AB1030" s="49"/>
      <c r="AC1030" s="49"/>
      <c r="AD1030" s="49"/>
      <c r="AE1030" s="49"/>
      <c r="AF1030" s="49"/>
      <c r="AG1030" s="49"/>
      <c r="AH1030" s="49"/>
      <c r="AI1030" s="48"/>
      <c r="AJ1030" s="48"/>
      <c r="AK1030" s="24"/>
      <c r="AL1030" s="50"/>
      <c r="AM1030" s="50"/>
      <c r="AN1030" s="50"/>
      <c r="AO1030" s="50"/>
      <c r="AP1030" s="50"/>
      <c r="AQ1030" s="50"/>
      <c r="AR1030" s="50"/>
      <c r="AS1030" s="50"/>
      <c r="AT1030" s="51"/>
      <c r="AU1030" s="51"/>
      <c r="AV1030" s="51"/>
      <c r="AW1030" s="51"/>
      <c r="AX1030" s="50"/>
      <c r="AY1030" s="50"/>
      <c r="AZ1030" s="50"/>
      <c r="BA1030" s="50"/>
      <c r="BB1030" s="51"/>
      <c r="BC1030" s="51"/>
      <c r="BD1030" s="51"/>
      <c r="BE1030" s="51"/>
      <c r="BF1030" s="47"/>
      <c r="BG1030" s="47"/>
      <c r="BH1030" s="47"/>
      <c r="BI1030" s="47"/>
      <c r="BJ1030" s="47"/>
      <c r="BK1030" s="47"/>
      <c r="BL1030" s="47"/>
      <c r="BM1030" s="47"/>
      <c r="BN1030" s="47"/>
      <c r="BO1030" s="47"/>
      <c r="BP1030" s="47"/>
      <c r="BQ1030" s="47"/>
      <c r="BR1030" s="47"/>
      <c r="BS1030" s="47"/>
      <c r="BT1030" s="47"/>
    </row>
    <row r="1031">
      <c r="A1031" s="24"/>
      <c r="B1031" s="48"/>
      <c r="C1031" s="49"/>
      <c r="D1031" s="24"/>
      <c r="E1031" s="52"/>
      <c r="F1031" s="53"/>
      <c r="G1031" s="48"/>
      <c r="H1031" s="49"/>
      <c r="I1031" s="49"/>
      <c r="J1031" s="48"/>
      <c r="K1031" s="48"/>
      <c r="L1031" s="48"/>
      <c r="M1031" s="48"/>
      <c r="N1031" s="48"/>
      <c r="O1031" s="48"/>
      <c r="P1031" s="48"/>
      <c r="Q1031" s="48"/>
      <c r="R1031" s="48"/>
      <c r="S1031" s="48"/>
      <c r="T1031" s="48"/>
      <c r="U1031" s="48"/>
      <c r="V1031" s="48"/>
      <c r="W1031" s="49"/>
      <c r="X1031" s="49"/>
      <c r="Y1031" s="49"/>
      <c r="Z1031" s="49"/>
      <c r="AA1031" s="49"/>
      <c r="AB1031" s="49"/>
      <c r="AC1031" s="49"/>
      <c r="AD1031" s="49"/>
      <c r="AE1031" s="49"/>
      <c r="AF1031" s="49"/>
      <c r="AG1031" s="49"/>
      <c r="AH1031" s="49"/>
      <c r="AI1031" s="48"/>
      <c r="AJ1031" s="48"/>
      <c r="AK1031" s="24"/>
      <c r="AL1031" s="50"/>
      <c r="AM1031" s="50"/>
      <c r="AN1031" s="50"/>
      <c r="AO1031" s="50"/>
      <c r="AP1031" s="50"/>
      <c r="AQ1031" s="50"/>
      <c r="AR1031" s="50"/>
      <c r="AS1031" s="50"/>
      <c r="AT1031" s="51"/>
      <c r="AU1031" s="51"/>
      <c r="AV1031" s="51"/>
      <c r="AW1031" s="51"/>
      <c r="AX1031" s="50"/>
      <c r="AY1031" s="50"/>
      <c r="AZ1031" s="50"/>
      <c r="BA1031" s="50"/>
      <c r="BB1031" s="51"/>
      <c r="BC1031" s="51"/>
      <c r="BD1031" s="51"/>
      <c r="BE1031" s="51"/>
      <c r="BF1031" s="47"/>
      <c r="BG1031" s="47"/>
      <c r="BH1031" s="47"/>
      <c r="BI1031" s="47"/>
      <c r="BJ1031" s="47"/>
      <c r="BK1031" s="47"/>
      <c r="BL1031" s="47"/>
      <c r="BM1031" s="47"/>
      <c r="BN1031" s="47"/>
      <c r="BO1031" s="47"/>
      <c r="BP1031" s="47"/>
      <c r="BQ1031" s="47"/>
      <c r="BR1031" s="47"/>
      <c r="BS1031" s="47"/>
      <c r="BT1031" s="47"/>
    </row>
    <row r="1032">
      <c r="A1032" s="24"/>
      <c r="B1032" s="48"/>
      <c r="C1032" s="49"/>
      <c r="D1032" s="24"/>
      <c r="E1032" s="52"/>
      <c r="F1032" s="53"/>
      <c r="G1032" s="48"/>
      <c r="H1032" s="49"/>
      <c r="I1032" s="49"/>
      <c r="J1032" s="48"/>
      <c r="K1032" s="48"/>
      <c r="L1032" s="48"/>
      <c r="M1032" s="48"/>
      <c r="N1032" s="48"/>
      <c r="O1032" s="48"/>
      <c r="P1032" s="48"/>
      <c r="Q1032" s="48"/>
      <c r="R1032" s="48"/>
      <c r="S1032" s="48"/>
      <c r="T1032" s="48"/>
      <c r="U1032" s="48"/>
      <c r="V1032" s="48"/>
      <c r="W1032" s="49"/>
      <c r="X1032" s="49"/>
      <c r="Y1032" s="49"/>
      <c r="Z1032" s="49"/>
      <c r="AA1032" s="49"/>
      <c r="AB1032" s="49"/>
      <c r="AC1032" s="49"/>
      <c r="AD1032" s="49"/>
      <c r="AE1032" s="49"/>
      <c r="AF1032" s="49"/>
      <c r="AG1032" s="49"/>
      <c r="AH1032" s="49"/>
      <c r="AI1032" s="48"/>
      <c r="AJ1032" s="48"/>
      <c r="AK1032" s="24"/>
      <c r="AL1032" s="50"/>
      <c r="AM1032" s="50"/>
      <c r="AN1032" s="50"/>
      <c r="AO1032" s="50"/>
      <c r="AP1032" s="50"/>
      <c r="AQ1032" s="50"/>
      <c r="AR1032" s="50"/>
      <c r="AS1032" s="50"/>
      <c r="AT1032" s="51"/>
      <c r="AU1032" s="51"/>
      <c r="AV1032" s="51"/>
      <c r="AW1032" s="51"/>
      <c r="AX1032" s="50"/>
      <c r="AY1032" s="50"/>
      <c r="AZ1032" s="50"/>
      <c r="BA1032" s="50"/>
      <c r="BB1032" s="51"/>
      <c r="BC1032" s="51"/>
      <c r="BD1032" s="51"/>
      <c r="BE1032" s="51"/>
      <c r="BF1032" s="47"/>
      <c r="BG1032" s="47"/>
      <c r="BH1032" s="47"/>
      <c r="BI1032" s="47"/>
      <c r="BJ1032" s="47"/>
      <c r="BK1032" s="47"/>
      <c r="BL1032" s="47"/>
      <c r="BM1032" s="47"/>
      <c r="BN1032" s="47"/>
      <c r="BO1032" s="47"/>
      <c r="BP1032" s="47"/>
      <c r="BQ1032" s="47"/>
      <c r="BR1032" s="47"/>
      <c r="BS1032" s="47"/>
      <c r="BT1032" s="47"/>
    </row>
    <row r="1033">
      <c r="A1033" s="24"/>
      <c r="B1033" s="48"/>
      <c r="C1033" s="49"/>
      <c r="D1033" s="24"/>
      <c r="E1033" s="52"/>
      <c r="F1033" s="53"/>
      <c r="G1033" s="48"/>
      <c r="H1033" s="49"/>
      <c r="I1033" s="49"/>
      <c r="J1033" s="48"/>
      <c r="K1033" s="48"/>
      <c r="L1033" s="48"/>
      <c r="M1033" s="48"/>
      <c r="N1033" s="48"/>
      <c r="O1033" s="48"/>
      <c r="P1033" s="48"/>
      <c r="Q1033" s="48"/>
      <c r="R1033" s="48"/>
      <c r="S1033" s="48"/>
      <c r="T1033" s="48"/>
      <c r="U1033" s="48"/>
      <c r="V1033" s="48"/>
      <c r="W1033" s="49"/>
      <c r="X1033" s="49"/>
      <c r="Y1033" s="49"/>
      <c r="Z1033" s="49"/>
      <c r="AA1033" s="49"/>
      <c r="AB1033" s="49"/>
      <c r="AC1033" s="49"/>
      <c r="AD1033" s="49"/>
      <c r="AE1033" s="49"/>
      <c r="AF1033" s="49"/>
      <c r="AG1033" s="49"/>
      <c r="AH1033" s="49"/>
      <c r="AI1033" s="48"/>
      <c r="AJ1033" s="48"/>
      <c r="AK1033" s="24"/>
      <c r="AL1033" s="50"/>
      <c r="AM1033" s="50"/>
      <c r="AN1033" s="50"/>
      <c r="AO1033" s="50"/>
      <c r="AP1033" s="50"/>
      <c r="AQ1033" s="50"/>
      <c r="AR1033" s="50"/>
      <c r="AS1033" s="50"/>
      <c r="AT1033" s="51"/>
      <c r="AU1033" s="51"/>
      <c r="AV1033" s="51"/>
      <c r="AW1033" s="51"/>
      <c r="AX1033" s="50"/>
      <c r="AY1033" s="50"/>
      <c r="AZ1033" s="50"/>
      <c r="BA1033" s="50"/>
      <c r="BB1033" s="51"/>
      <c r="BC1033" s="51"/>
      <c r="BD1033" s="51"/>
      <c r="BE1033" s="51"/>
      <c r="BF1033" s="47"/>
      <c r="BG1033" s="47"/>
      <c r="BH1033" s="47"/>
      <c r="BI1033" s="47"/>
      <c r="BJ1033" s="47"/>
      <c r="BK1033" s="47"/>
      <c r="BL1033" s="47"/>
      <c r="BM1033" s="47"/>
      <c r="BN1033" s="47"/>
      <c r="BO1033" s="47"/>
      <c r="BP1033" s="47"/>
      <c r="BQ1033" s="47"/>
      <c r="BR1033" s="47"/>
      <c r="BS1033" s="47"/>
      <c r="BT1033" s="47"/>
    </row>
    <row r="1034">
      <c r="A1034" s="24"/>
      <c r="B1034" s="48"/>
      <c r="C1034" s="49"/>
      <c r="D1034" s="24"/>
      <c r="E1034" s="52"/>
      <c r="F1034" s="53"/>
      <c r="G1034" s="48"/>
      <c r="H1034" s="49"/>
      <c r="I1034" s="49"/>
      <c r="J1034" s="48"/>
      <c r="K1034" s="48"/>
      <c r="L1034" s="48"/>
      <c r="M1034" s="48"/>
      <c r="N1034" s="48"/>
      <c r="O1034" s="48"/>
      <c r="P1034" s="48"/>
      <c r="Q1034" s="48"/>
      <c r="R1034" s="48"/>
      <c r="S1034" s="48"/>
      <c r="T1034" s="48"/>
      <c r="U1034" s="48"/>
      <c r="V1034" s="48"/>
      <c r="W1034" s="49"/>
      <c r="X1034" s="49"/>
      <c r="Y1034" s="49"/>
      <c r="Z1034" s="49"/>
      <c r="AA1034" s="49"/>
      <c r="AB1034" s="49"/>
      <c r="AC1034" s="49"/>
      <c r="AD1034" s="49"/>
      <c r="AE1034" s="49"/>
      <c r="AF1034" s="49"/>
      <c r="AG1034" s="49"/>
      <c r="AH1034" s="49"/>
      <c r="AI1034" s="48"/>
      <c r="AJ1034" s="48"/>
      <c r="AK1034" s="24"/>
      <c r="AL1034" s="50"/>
      <c r="AM1034" s="50"/>
      <c r="AN1034" s="50"/>
      <c r="AO1034" s="50"/>
      <c r="AP1034" s="50"/>
      <c r="AQ1034" s="50"/>
      <c r="AR1034" s="50"/>
      <c r="AS1034" s="50"/>
      <c r="AT1034" s="51"/>
      <c r="AU1034" s="51"/>
      <c r="AV1034" s="51"/>
      <c r="AW1034" s="51"/>
      <c r="AX1034" s="50"/>
      <c r="AY1034" s="50"/>
      <c r="AZ1034" s="50"/>
      <c r="BA1034" s="50"/>
      <c r="BB1034" s="51"/>
      <c r="BC1034" s="51"/>
      <c r="BD1034" s="51"/>
      <c r="BE1034" s="51"/>
      <c r="BF1034" s="47"/>
      <c r="BG1034" s="47"/>
      <c r="BH1034" s="47"/>
      <c r="BI1034" s="47"/>
      <c r="BJ1034" s="47"/>
      <c r="BK1034" s="47"/>
      <c r="BL1034" s="47"/>
      <c r="BM1034" s="47"/>
      <c r="BN1034" s="47"/>
      <c r="BO1034" s="47"/>
      <c r="BP1034" s="47"/>
      <c r="BQ1034" s="47"/>
      <c r="BR1034" s="47"/>
      <c r="BS1034" s="47"/>
      <c r="BT1034" s="47"/>
    </row>
    <row r="1035">
      <c r="A1035" s="24"/>
      <c r="B1035" s="48"/>
      <c r="C1035" s="49"/>
      <c r="D1035" s="24"/>
      <c r="E1035" s="52"/>
      <c r="F1035" s="53"/>
      <c r="G1035" s="48"/>
      <c r="H1035" s="49"/>
      <c r="I1035" s="49"/>
      <c r="J1035" s="48"/>
      <c r="K1035" s="48"/>
      <c r="L1035" s="48"/>
      <c r="M1035" s="48"/>
      <c r="N1035" s="48"/>
      <c r="O1035" s="48"/>
      <c r="P1035" s="48"/>
      <c r="Q1035" s="48"/>
      <c r="R1035" s="48"/>
      <c r="S1035" s="48"/>
      <c r="T1035" s="48"/>
      <c r="U1035" s="48"/>
      <c r="V1035" s="48"/>
      <c r="W1035" s="49"/>
      <c r="X1035" s="49"/>
      <c r="Y1035" s="49"/>
      <c r="Z1035" s="49"/>
      <c r="AA1035" s="49"/>
      <c r="AB1035" s="49"/>
      <c r="AC1035" s="49"/>
      <c r="AD1035" s="49"/>
      <c r="AE1035" s="49"/>
      <c r="AF1035" s="49"/>
      <c r="AG1035" s="49"/>
      <c r="AH1035" s="49"/>
      <c r="AI1035" s="48"/>
      <c r="AJ1035" s="48"/>
      <c r="AK1035" s="24"/>
      <c r="AL1035" s="50"/>
      <c r="AM1035" s="50"/>
      <c r="AN1035" s="50"/>
      <c r="AO1035" s="50"/>
      <c r="AP1035" s="50"/>
      <c r="AQ1035" s="50"/>
      <c r="AR1035" s="50"/>
      <c r="AS1035" s="50"/>
      <c r="AT1035" s="51"/>
      <c r="AU1035" s="51"/>
      <c r="AV1035" s="51"/>
      <c r="AW1035" s="51"/>
      <c r="AX1035" s="50"/>
      <c r="AY1035" s="50"/>
      <c r="AZ1035" s="50"/>
      <c r="BA1035" s="50"/>
      <c r="BB1035" s="51"/>
      <c r="BC1035" s="51"/>
      <c r="BD1035" s="51"/>
      <c r="BE1035" s="51"/>
      <c r="BF1035" s="47"/>
      <c r="BG1035" s="47"/>
      <c r="BH1035" s="47"/>
      <c r="BI1035" s="47"/>
      <c r="BJ1035" s="47"/>
      <c r="BK1035" s="47"/>
      <c r="BL1035" s="47"/>
      <c r="BM1035" s="47"/>
      <c r="BN1035" s="47"/>
      <c r="BO1035" s="47"/>
      <c r="BP1035" s="47"/>
      <c r="BQ1035" s="47"/>
      <c r="BR1035" s="47"/>
      <c r="BS1035" s="47"/>
      <c r="BT1035" s="47"/>
    </row>
    <row r="1036">
      <c r="A1036" s="24"/>
      <c r="B1036" s="48"/>
      <c r="C1036" s="49"/>
      <c r="D1036" s="24"/>
      <c r="E1036" s="52"/>
      <c r="F1036" s="53"/>
      <c r="G1036" s="48"/>
      <c r="H1036" s="49"/>
      <c r="I1036" s="49"/>
      <c r="J1036" s="48"/>
      <c r="K1036" s="48"/>
      <c r="L1036" s="48"/>
      <c r="M1036" s="48"/>
      <c r="N1036" s="48"/>
      <c r="O1036" s="48"/>
      <c r="P1036" s="48"/>
      <c r="Q1036" s="48"/>
      <c r="R1036" s="48"/>
      <c r="S1036" s="48"/>
      <c r="T1036" s="48"/>
      <c r="U1036" s="48"/>
      <c r="V1036" s="48"/>
      <c r="W1036" s="49"/>
      <c r="X1036" s="49"/>
      <c r="Y1036" s="49"/>
      <c r="Z1036" s="49"/>
      <c r="AA1036" s="49"/>
      <c r="AB1036" s="49"/>
      <c r="AC1036" s="49"/>
      <c r="AD1036" s="49"/>
      <c r="AE1036" s="49"/>
      <c r="AF1036" s="49"/>
      <c r="AG1036" s="49"/>
      <c r="AH1036" s="49"/>
      <c r="AI1036" s="48"/>
      <c r="AJ1036" s="48"/>
      <c r="AK1036" s="24"/>
      <c r="AL1036" s="50"/>
      <c r="AM1036" s="50"/>
      <c r="AN1036" s="50"/>
      <c r="AO1036" s="50"/>
      <c r="AP1036" s="50"/>
      <c r="AQ1036" s="50"/>
      <c r="AR1036" s="50"/>
      <c r="AS1036" s="50"/>
      <c r="AT1036" s="51"/>
      <c r="AU1036" s="51"/>
      <c r="AV1036" s="51"/>
      <c r="AW1036" s="51"/>
      <c r="AX1036" s="50"/>
      <c r="AY1036" s="50"/>
      <c r="AZ1036" s="50"/>
      <c r="BA1036" s="50"/>
      <c r="BB1036" s="51"/>
      <c r="BC1036" s="51"/>
      <c r="BD1036" s="51"/>
      <c r="BE1036" s="51"/>
      <c r="BF1036" s="47"/>
      <c r="BG1036" s="47"/>
      <c r="BH1036" s="47"/>
      <c r="BI1036" s="47"/>
      <c r="BJ1036" s="47"/>
      <c r="BK1036" s="47"/>
      <c r="BL1036" s="47"/>
      <c r="BM1036" s="47"/>
      <c r="BN1036" s="47"/>
      <c r="BO1036" s="47"/>
      <c r="BP1036" s="47"/>
      <c r="BQ1036" s="47"/>
      <c r="BR1036" s="47"/>
      <c r="BS1036" s="47"/>
      <c r="BT1036" s="47"/>
    </row>
    <row r="1037">
      <c r="A1037" s="24"/>
      <c r="B1037" s="48"/>
      <c r="C1037" s="49"/>
      <c r="D1037" s="24"/>
      <c r="E1037" s="52"/>
      <c r="F1037" s="53"/>
      <c r="G1037" s="48"/>
      <c r="H1037" s="49"/>
      <c r="I1037" s="49"/>
      <c r="J1037" s="48"/>
      <c r="K1037" s="48"/>
      <c r="L1037" s="48"/>
      <c r="M1037" s="48"/>
      <c r="N1037" s="48"/>
      <c r="O1037" s="48"/>
      <c r="P1037" s="48"/>
      <c r="Q1037" s="48"/>
      <c r="R1037" s="48"/>
      <c r="S1037" s="48"/>
      <c r="T1037" s="48"/>
      <c r="U1037" s="48"/>
      <c r="V1037" s="48"/>
      <c r="W1037" s="49"/>
      <c r="X1037" s="49"/>
      <c r="Y1037" s="49"/>
      <c r="Z1037" s="49"/>
      <c r="AA1037" s="49"/>
      <c r="AB1037" s="49"/>
      <c r="AC1037" s="49"/>
      <c r="AD1037" s="49"/>
      <c r="AE1037" s="49"/>
      <c r="AF1037" s="49"/>
      <c r="AG1037" s="49"/>
      <c r="AH1037" s="49"/>
      <c r="AI1037" s="48"/>
      <c r="AJ1037" s="48"/>
      <c r="AK1037" s="24"/>
      <c r="AL1037" s="50"/>
      <c r="AM1037" s="50"/>
      <c r="AN1037" s="50"/>
      <c r="AO1037" s="50"/>
      <c r="AP1037" s="50"/>
      <c r="AQ1037" s="50"/>
      <c r="AR1037" s="50"/>
      <c r="AS1037" s="50"/>
      <c r="AT1037" s="51"/>
      <c r="AU1037" s="51"/>
      <c r="AV1037" s="51"/>
      <c r="AW1037" s="51"/>
      <c r="AX1037" s="50"/>
      <c r="AY1037" s="50"/>
      <c r="AZ1037" s="50"/>
      <c r="BA1037" s="50"/>
      <c r="BB1037" s="51"/>
      <c r="BC1037" s="51"/>
      <c r="BD1037" s="51"/>
      <c r="BE1037" s="51"/>
      <c r="BF1037" s="47"/>
      <c r="BG1037" s="47"/>
      <c r="BH1037" s="47"/>
      <c r="BI1037" s="47"/>
      <c r="BJ1037" s="47"/>
      <c r="BK1037" s="47"/>
      <c r="BL1037" s="47"/>
      <c r="BM1037" s="47"/>
      <c r="BN1037" s="47"/>
      <c r="BO1037" s="47"/>
      <c r="BP1037" s="47"/>
      <c r="BQ1037" s="47"/>
      <c r="BR1037" s="47"/>
      <c r="BS1037" s="47"/>
      <c r="BT1037" s="47"/>
    </row>
    <row r="1038">
      <c r="A1038" s="24"/>
      <c r="B1038" s="48"/>
      <c r="C1038" s="49"/>
      <c r="D1038" s="24"/>
      <c r="E1038" s="52"/>
      <c r="F1038" s="53"/>
      <c r="G1038" s="48"/>
      <c r="H1038" s="49"/>
      <c r="I1038" s="49"/>
      <c r="J1038" s="48"/>
      <c r="K1038" s="48"/>
      <c r="L1038" s="48"/>
      <c r="M1038" s="48"/>
      <c r="N1038" s="48"/>
      <c r="O1038" s="48"/>
      <c r="P1038" s="48"/>
      <c r="Q1038" s="48"/>
      <c r="R1038" s="48"/>
      <c r="S1038" s="48"/>
      <c r="T1038" s="48"/>
      <c r="U1038" s="48"/>
      <c r="V1038" s="48"/>
      <c r="W1038" s="49"/>
      <c r="X1038" s="49"/>
      <c r="Y1038" s="49"/>
      <c r="Z1038" s="49"/>
      <c r="AA1038" s="49"/>
      <c r="AB1038" s="49"/>
      <c r="AC1038" s="49"/>
      <c r="AD1038" s="49"/>
      <c r="AE1038" s="49"/>
      <c r="AF1038" s="49"/>
      <c r="AG1038" s="49"/>
      <c r="AH1038" s="49"/>
      <c r="AI1038" s="48"/>
      <c r="AJ1038" s="48"/>
      <c r="AK1038" s="24"/>
      <c r="AL1038" s="50"/>
      <c r="AM1038" s="50"/>
      <c r="AN1038" s="50"/>
      <c r="AO1038" s="50"/>
      <c r="AP1038" s="50"/>
      <c r="AQ1038" s="50"/>
      <c r="AR1038" s="50"/>
      <c r="AS1038" s="50"/>
      <c r="AT1038" s="51"/>
      <c r="AU1038" s="51"/>
      <c r="AV1038" s="51"/>
      <c r="AW1038" s="51"/>
      <c r="AX1038" s="50"/>
      <c r="AY1038" s="50"/>
      <c r="AZ1038" s="50"/>
      <c r="BA1038" s="50"/>
      <c r="BB1038" s="51"/>
      <c r="BC1038" s="51"/>
      <c r="BD1038" s="51"/>
      <c r="BE1038" s="51"/>
      <c r="BF1038" s="47"/>
      <c r="BG1038" s="47"/>
      <c r="BH1038" s="47"/>
      <c r="BI1038" s="47"/>
      <c r="BJ1038" s="47"/>
      <c r="BK1038" s="47"/>
      <c r="BL1038" s="47"/>
      <c r="BM1038" s="47"/>
      <c r="BN1038" s="47"/>
      <c r="BO1038" s="47"/>
      <c r="BP1038" s="47"/>
      <c r="BQ1038" s="47"/>
      <c r="BR1038" s="47"/>
      <c r="BS1038" s="47"/>
      <c r="BT1038" s="47"/>
    </row>
    <row r="1039">
      <c r="A1039" s="24"/>
      <c r="B1039" s="48"/>
      <c r="C1039" s="49"/>
      <c r="D1039" s="24"/>
      <c r="E1039" s="52"/>
      <c r="F1039" s="53"/>
      <c r="G1039" s="48"/>
      <c r="H1039" s="49"/>
      <c r="I1039" s="49"/>
      <c r="J1039" s="48"/>
      <c r="K1039" s="48"/>
      <c r="L1039" s="48"/>
      <c r="M1039" s="48"/>
      <c r="N1039" s="48"/>
      <c r="O1039" s="48"/>
      <c r="P1039" s="48"/>
      <c r="Q1039" s="48"/>
      <c r="R1039" s="48"/>
      <c r="S1039" s="48"/>
      <c r="T1039" s="48"/>
      <c r="U1039" s="48"/>
      <c r="V1039" s="48"/>
      <c r="W1039" s="49"/>
      <c r="X1039" s="49"/>
      <c r="Y1039" s="49"/>
      <c r="Z1039" s="49"/>
      <c r="AA1039" s="49"/>
      <c r="AB1039" s="49"/>
      <c r="AC1039" s="49"/>
      <c r="AD1039" s="49"/>
      <c r="AE1039" s="49"/>
      <c r="AF1039" s="49"/>
      <c r="AG1039" s="49"/>
      <c r="AH1039" s="49"/>
      <c r="AI1039" s="48"/>
      <c r="AJ1039" s="48"/>
      <c r="AK1039" s="24"/>
      <c r="AL1039" s="50"/>
      <c r="AM1039" s="50"/>
      <c r="AN1039" s="50"/>
      <c r="AO1039" s="50"/>
      <c r="AP1039" s="50"/>
      <c r="AQ1039" s="50"/>
      <c r="AR1039" s="50"/>
      <c r="AS1039" s="50"/>
      <c r="AT1039" s="51"/>
      <c r="AU1039" s="51"/>
      <c r="AV1039" s="51"/>
      <c r="AW1039" s="51"/>
      <c r="AX1039" s="50"/>
      <c r="AY1039" s="50"/>
      <c r="AZ1039" s="50"/>
      <c r="BA1039" s="50"/>
      <c r="BB1039" s="51"/>
      <c r="BC1039" s="51"/>
      <c r="BD1039" s="51"/>
      <c r="BE1039" s="51"/>
      <c r="BF1039" s="47"/>
      <c r="BG1039" s="47"/>
      <c r="BH1039" s="47"/>
      <c r="BI1039" s="47"/>
      <c r="BJ1039" s="47"/>
      <c r="BK1039" s="47"/>
      <c r="BL1039" s="47"/>
      <c r="BM1039" s="47"/>
      <c r="BN1039" s="47"/>
      <c r="BO1039" s="47"/>
      <c r="BP1039" s="47"/>
      <c r="BQ1039" s="47"/>
      <c r="BR1039" s="47"/>
      <c r="BS1039" s="47"/>
      <c r="BT1039" s="47"/>
    </row>
    <row r="1040">
      <c r="A1040" s="24"/>
      <c r="B1040" s="48"/>
      <c r="C1040" s="49"/>
      <c r="D1040" s="24"/>
      <c r="E1040" s="52"/>
      <c r="F1040" s="53"/>
      <c r="G1040" s="48"/>
      <c r="H1040" s="49"/>
      <c r="I1040" s="49"/>
      <c r="J1040" s="48"/>
      <c r="K1040" s="48"/>
      <c r="L1040" s="48"/>
      <c r="M1040" s="48"/>
      <c r="N1040" s="48"/>
      <c r="O1040" s="48"/>
      <c r="P1040" s="48"/>
      <c r="Q1040" s="48"/>
      <c r="R1040" s="48"/>
      <c r="S1040" s="48"/>
      <c r="T1040" s="48"/>
      <c r="U1040" s="48"/>
      <c r="V1040" s="48"/>
      <c r="W1040" s="49"/>
      <c r="X1040" s="49"/>
      <c r="Y1040" s="49"/>
      <c r="Z1040" s="49"/>
      <c r="AA1040" s="49"/>
      <c r="AB1040" s="49"/>
      <c r="AC1040" s="49"/>
      <c r="AD1040" s="49"/>
      <c r="AE1040" s="49"/>
      <c r="AF1040" s="49"/>
      <c r="AG1040" s="49"/>
      <c r="AH1040" s="49"/>
      <c r="AI1040" s="48"/>
      <c r="AJ1040" s="48"/>
      <c r="AK1040" s="24"/>
      <c r="AL1040" s="50"/>
      <c r="AM1040" s="50"/>
      <c r="AN1040" s="50"/>
      <c r="AO1040" s="50"/>
      <c r="AP1040" s="50"/>
      <c r="AQ1040" s="50"/>
      <c r="AR1040" s="50"/>
      <c r="AS1040" s="50"/>
      <c r="AT1040" s="51"/>
      <c r="AU1040" s="51"/>
      <c r="AV1040" s="51"/>
      <c r="AW1040" s="51"/>
      <c r="AX1040" s="50"/>
      <c r="AY1040" s="50"/>
      <c r="AZ1040" s="50"/>
      <c r="BA1040" s="50"/>
      <c r="BB1040" s="51"/>
      <c r="BC1040" s="51"/>
      <c r="BD1040" s="51"/>
      <c r="BE1040" s="51"/>
      <c r="BF1040" s="47"/>
      <c r="BG1040" s="47"/>
      <c r="BH1040" s="47"/>
      <c r="BI1040" s="47"/>
      <c r="BJ1040" s="47"/>
      <c r="BK1040" s="47"/>
      <c r="BL1040" s="47"/>
      <c r="BM1040" s="47"/>
      <c r="BN1040" s="47"/>
      <c r="BO1040" s="47"/>
      <c r="BP1040" s="47"/>
      <c r="BQ1040" s="47"/>
      <c r="BR1040" s="47"/>
      <c r="BS1040" s="47"/>
      <c r="BT1040" s="47"/>
    </row>
    <row r="1041">
      <c r="A1041" s="24"/>
      <c r="B1041" s="48"/>
      <c r="C1041" s="49"/>
      <c r="D1041" s="24"/>
      <c r="E1041" s="52"/>
      <c r="F1041" s="53"/>
      <c r="G1041" s="48"/>
      <c r="H1041" s="49"/>
      <c r="I1041" s="49"/>
      <c r="J1041" s="48"/>
      <c r="K1041" s="48"/>
      <c r="L1041" s="48"/>
      <c r="M1041" s="48"/>
      <c r="N1041" s="48"/>
      <c r="O1041" s="48"/>
      <c r="P1041" s="48"/>
      <c r="Q1041" s="48"/>
      <c r="R1041" s="48"/>
      <c r="S1041" s="48"/>
      <c r="T1041" s="48"/>
      <c r="U1041" s="48"/>
      <c r="V1041" s="48"/>
      <c r="W1041" s="49"/>
      <c r="X1041" s="49"/>
      <c r="Y1041" s="49"/>
      <c r="Z1041" s="49"/>
      <c r="AA1041" s="49"/>
      <c r="AB1041" s="49"/>
      <c r="AC1041" s="49"/>
      <c r="AD1041" s="49"/>
      <c r="AE1041" s="49"/>
      <c r="AF1041" s="49"/>
      <c r="AG1041" s="49"/>
      <c r="AH1041" s="49"/>
      <c r="AI1041" s="48"/>
      <c r="AJ1041" s="48"/>
      <c r="AK1041" s="24"/>
      <c r="AL1041" s="50"/>
      <c r="AM1041" s="50"/>
      <c r="AN1041" s="50"/>
      <c r="AO1041" s="50"/>
      <c r="AP1041" s="50"/>
      <c r="AQ1041" s="50"/>
      <c r="AR1041" s="50"/>
      <c r="AS1041" s="50"/>
      <c r="AT1041" s="51"/>
      <c r="AU1041" s="51"/>
      <c r="AV1041" s="51"/>
      <c r="AW1041" s="51"/>
      <c r="AX1041" s="50"/>
      <c r="AY1041" s="50"/>
      <c r="AZ1041" s="50"/>
      <c r="BA1041" s="50"/>
      <c r="BB1041" s="51"/>
      <c r="BC1041" s="51"/>
      <c r="BD1041" s="51"/>
      <c r="BE1041" s="51"/>
      <c r="BF1041" s="47"/>
      <c r="BG1041" s="47"/>
      <c r="BH1041" s="47"/>
      <c r="BI1041" s="47"/>
      <c r="BJ1041" s="47"/>
      <c r="BK1041" s="47"/>
      <c r="BL1041" s="47"/>
      <c r="BM1041" s="47"/>
      <c r="BN1041" s="47"/>
      <c r="BO1041" s="47"/>
      <c r="BP1041" s="47"/>
      <c r="BQ1041" s="47"/>
      <c r="BR1041" s="47"/>
      <c r="BS1041" s="47"/>
      <c r="BT1041" s="47"/>
    </row>
    <row r="1042">
      <c r="A1042" s="24"/>
      <c r="B1042" s="48"/>
      <c r="C1042" s="49"/>
      <c r="D1042" s="24"/>
      <c r="E1042" s="52"/>
      <c r="F1042" s="53"/>
      <c r="G1042" s="48"/>
      <c r="H1042" s="49"/>
      <c r="I1042" s="49"/>
      <c r="J1042" s="48"/>
      <c r="K1042" s="48"/>
      <c r="L1042" s="48"/>
      <c r="M1042" s="48"/>
      <c r="N1042" s="48"/>
      <c r="O1042" s="48"/>
      <c r="P1042" s="48"/>
      <c r="Q1042" s="48"/>
      <c r="R1042" s="48"/>
      <c r="S1042" s="48"/>
      <c r="T1042" s="48"/>
      <c r="U1042" s="48"/>
      <c r="V1042" s="48"/>
      <c r="W1042" s="49"/>
      <c r="X1042" s="49"/>
      <c r="Y1042" s="49"/>
      <c r="Z1042" s="49"/>
      <c r="AA1042" s="49"/>
      <c r="AB1042" s="49"/>
      <c r="AC1042" s="49"/>
      <c r="AD1042" s="49"/>
      <c r="AE1042" s="49"/>
      <c r="AF1042" s="49"/>
      <c r="AG1042" s="49"/>
      <c r="AH1042" s="49"/>
      <c r="AI1042" s="48"/>
      <c r="AJ1042" s="48"/>
      <c r="AK1042" s="24"/>
      <c r="AL1042" s="50"/>
      <c r="AM1042" s="50"/>
      <c r="AN1042" s="50"/>
      <c r="AO1042" s="50"/>
      <c r="AP1042" s="50"/>
      <c r="AQ1042" s="50"/>
      <c r="AR1042" s="50"/>
      <c r="AS1042" s="50"/>
      <c r="AT1042" s="51"/>
      <c r="AU1042" s="51"/>
      <c r="AV1042" s="51"/>
      <c r="AW1042" s="51"/>
      <c r="AX1042" s="50"/>
      <c r="AY1042" s="50"/>
      <c r="AZ1042" s="50"/>
      <c r="BA1042" s="50"/>
      <c r="BB1042" s="51"/>
      <c r="BC1042" s="51"/>
      <c r="BD1042" s="51"/>
      <c r="BE1042" s="51"/>
      <c r="BF1042" s="47"/>
      <c r="BG1042" s="47"/>
      <c r="BH1042" s="47"/>
      <c r="BI1042" s="47"/>
      <c r="BJ1042" s="47"/>
      <c r="BK1042" s="47"/>
      <c r="BL1042" s="47"/>
      <c r="BM1042" s="47"/>
      <c r="BN1042" s="47"/>
      <c r="BO1042" s="47"/>
      <c r="BP1042" s="47"/>
      <c r="BQ1042" s="47"/>
      <c r="BR1042" s="47"/>
      <c r="BS1042" s="47"/>
      <c r="BT1042" s="47"/>
    </row>
    <row r="1043">
      <c r="A1043" s="24"/>
      <c r="B1043" s="48"/>
      <c r="C1043" s="49"/>
      <c r="D1043" s="24"/>
      <c r="E1043" s="52"/>
      <c r="F1043" s="53"/>
      <c r="G1043" s="48"/>
      <c r="H1043" s="49"/>
      <c r="I1043" s="49"/>
      <c r="J1043" s="48"/>
      <c r="K1043" s="48"/>
      <c r="L1043" s="48"/>
      <c r="M1043" s="48"/>
      <c r="N1043" s="48"/>
      <c r="O1043" s="48"/>
      <c r="P1043" s="48"/>
      <c r="Q1043" s="48"/>
      <c r="R1043" s="48"/>
      <c r="S1043" s="48"/>
      <c r="T1043" s="48"/>
      <c r="U1043" s="48"/>
      <c r="V1043" s="48"/>
      <c r="W1043" s="49"/>
      <c r="X1043" s="49"/>
      <c r="Y1043" s="49"/>
      <c r="Z1043" s="49"/>
      <c r="AA1043" s="49"/>
      <c r="AB1043" s="49"/>
      <c r="AC1043" s="49"/>
      <c r="AD1043" s="49"/>
      <c r="AE1043" s="49"/>
      <c r="AF1043" s="49"/>
      <c r="AG1043" s="49"/>
      <c r="AH1043" s="49"/>
      <c r="AI1043" s="48"/>
      <c r="AJ1043" s="48"/>
      <c r="AK1043" s="24"/>
      <c r="AL1043" s="50"/>
      <c r="AM1043" s="50"/>
      <c r="AN1043" s="50"/>
      <c r="AO1043" s="50"/>
      <c r="AP1043" s="50"/>
      <c r="AQ1043" s="50"/>
      <c r="AR1043" s="50"/>
      <c r="AS1043" s="50"/>
      <c r="AT1043" s="51"/>
      <c r="AU1043" s="51"/>
      <c r="AV1043" s="51"/>
      <c r="AW1043" s="51"/>
      <c r="AX1043" s="50"/>
      <c r="AY1043" s="50"/>
      <c r="AZ1043" s="50"/>
      <c r="BA1043" s="50"/>
      <c r="BB1043" s="51"/>
      <c r="BC1043" s="51"/>
      <c r="BD1043" s="51"/>
      <c r="BE1043" s="51"/>
      <c r="BF1043" s="47"/>
      <c r="BG1043" s="47"/>
      <c r="BH1043" s="47"/>
      <c r="BI1043" s="47"/>
      <c r="BJ1043" s="47"/>
      <c r="BK1043" s="47"/>
      <c r="BL1043" s="47"/>
      <c r="BM1043" s="47"/>
      <c r="BN1043" s="47"/>
      <c r="BO1043" s="47"/>
      <c r="BP1043" s="47"/>
      <c r="BQ1043" s="47"/>
      <c r="BR1043" s="47"/>
      <c r="BS1043" s="47"/>
      <c r="BT1043" s="47"/>
    </row>
    <row r="1044">
      <c r="A1044" s="24"/>
      <c r="B1044" s="48"/>
      <c r="C1044" s="49"/>
      <c r="D1044" s="24"/>
      <c r="E1044" s="52"/>
      <c r="F1044" s="53"/>
      <c r="G1044" s="48"/>
      <c r="H1044" s="49"/>
      <c r="I1044" s="49"/>
      <c r="J1044" s="48"/>
      <c r="K1044" s="48"/>
      <c r="L1044" s="48"/>
      <c r="M1044" s="48"/>
      <c r="N1044" s="48"/>
      <c r="O1044" s="48"/>
      <c r="P1044" s="48"/>
      <c r="Q1044" s="48"/>
      <c r="R1044" s="48"/>
      <c r="S1044" s="48"/>
      <c r="T1044" s="48"/>
      <c r="U1044" s="48"/>
      <c r="V1044" s="48"/>
      <c r="W1044" s="49"/>
      <c r="X1044" s="49"/>
      <c r="Y1044" s="49"/>
      <c r="Z1044" s="49"/>
      <c r="AA1044" s="49"/>
      <c r="AB1044" s="49"/>
      <c r="AC1044" s="49"/>
      <c r="AD1044" s="49"/>
      <c r="AE1044" s="49"/>
      <c r="AF1044" s="49"/>
      <c r="AG1044" s="49"/>
      <c r="AH1044" s="49"/>
      <c r="AI1044" s="48"/>
      <c r="AJ1044" s="48"/>
      <c r="AK1044" s="24"/>
      <c r="AL1044" s="50"/>
      <c r="AM1044" s="50"/>
      <c r="AN1044" s="50"/>
      <c r="AO1044" s="50"/>
      <c r="AP1044" s="50"/>
      <c r="AQ1044" s="50"/>
      <c r="AR1044" s="50"/>
      <c r="AS1044" s="50"/>
      <c r="AT1044" s="51"/>
      <c r="AU1044" s="51"/>
      <c r="AV1044" s="51"/>
      <c r="AW1044" s="51"/>
      <c r="AX1044" s="50"/>
      <c r="AY1044" s="50"/>
      <c r="AZ1044" s="50"/>
      <c r="BA1044" s="50"/>
      <c r="BB1044" s="51"/>
      <c r="BC1044" s="51"/>
      <c r="BD1044" s="51"/>
      <c r="BE1044" s="51"/>
      <c r="BF1044" s="47"/>
      <c r="BG1044" s="47"/>
      <c r="BH1044" s="47"/>
      <c r="BI1044" s="47"/>
      <c r="BJ1044" s="47"/>
      <c r="BK1044" s="47"/>
      <c r="BL1044" s="47"/>
      <c r="BM1044" s="47"/>
      <c r="BN1044" s="47"/>
      <c r="BO1044" s="47"/>
      <c r="BP1044" s="47"/>
      <c r="BQ1044" s="47"/>
      <c r="BR1044" s="47"/>
      <c r="BS1044" s="47"/>
      <c r="BT1044" s="47"/>
    </row>
    <row r="1045">
      <c r="A1045" s="24"/>
      <c r="B1045" s="48"/>
      <c r="C1045" s="49"/>
      <c r="D1045" s="24"/>
      <c r="E1045" s="52"/>
      <c r="F1045" s="53"/>
      <c r="G1045" s="48"/>
      <c r="H1045" s="49"/>
      <c r="I1045" s="49"/>
      <c r="J1045" s="48"/>
      <c r="K1045" s="48"/>
      <c r="L1045" s="48"/>
      <c r="M1045" s="48"/>
      <c r="N1045" s="48"/>
      <c r="O1045" s="48"/>
      <c r="P1045" s="48"/>
      <c r="Q1045" s="48"/>
      <c r="R1045" s="48"/>
      <c r="S1045" s="48"/>
      <c r="T1045" s="48"/>
      <c r="U1045" s="48"/>
      <c r="V1045" s="48"/>
      <c r="W1045" s="49"/>
      <c r="X1045" s="49"/>
      <c r="Y1045" s="49"/>
      <c r="Z1045" s="49"/>
      <c r="AA1045" s="49"/>
      <c r="AB1045" s="49"/>
      <c r="AC1045" s="49"/>
      <c r="AD1045" s="49"/>
      <c r="AE1045" s="49"/>
      <c r="AF1045" s="49"/>
      <c r="AG1045" s="49"/>
      <c r="AH1045" s="49"/>
      <c r="AI1045" s="48"/>
      <c r="AJ1045" s="48"/>
      <c r="AK1045" s="24"/>
      <c r="AL1045" s="50"/>
      <c r="AM1045" s="50"/>
      <c r="AN1045" s="50"/>
      <c r="AO1045" s="50"/>
      <c r="AP1045" s="50"/>
      <c r="AQ1045" s="50"/>
      <c r="AR1045" s="50"/>
      <c r="AS1045" s="50"/>
      <c r="AT1045" s="51"/>
      <c r="AU1045" s="51"/>
      <c r="AV1045" s="51"/>
      <c r="AW1045" s="51"/>
      <c r="AX1045" s="50"/>
      <c r="AY1045" s="50"/>
      <c r="AZ1045" s="50"/>
      <c r="BA1045" s="50"/>
      <c r="BB1045" s="51"/>
      <c r="BC1045" s="51"/>
      <c r="BD1045" s="51"/>
      <c r="BE1045" s="51"/>
      <c r="BF1045" s="47"/>
      <c r="BG1045" s="47"/>
      <c r="BH1045" s="47"/>
      <c r="BI1045" s="47"/>
      <c r="BJ1045" s="47"/>
      <c r="BK1045" s="47"/>
      <c r="BL1045" s="47"/>
      <c r="BM1045" s="47"/>
      <c r="BN1045" s="47"/>
      <c r="BO1045" s="47"/>
      <c r="BP1045" s="47"/>
      <c r="BQ1045" s="47"/>
      <c r="BR1045" s="47"/>
      <c r="BS1045" s="47"/>
      <c r="BT1045" s="47"/>
    </row>
    <row r="1046">
      <c r="A1046" s="24"/>
      <c r="B1046" s="48"/>
      <c r="C1046" s="49"/>
      <c r="D1046" s="24"/>
      <c r="E1046" s="52"/>
      <c r="F1046" s="53"/>
      <c r="G1046" s="48"/>
      <c r="H1046" s="49"/>
      <c r="I1046" s="49"/>
      <c r="J1046" s="48"/>
      <c r="K1046" s="48"/>
      <c r="L1046" s="48"/>
      <c r="M1046" s="48"/>
      <c r="N1046" s="48"/>
      <c r="O1046" s="48"/>
      <c r="P1046" s="48"/>
      <c r="Q1046" s="48"/>
      <c r="R1046" s="48"/>
      <c r="S1046" s="48"/>
      <c r="T1046" s="48"/>
      <c r="U1046" s="48"/>
      <c r="V1046" s="48"/>
      <c r="W1046" s="49"/>
      <c r="X1046" s="49"/>
      <c r="Y1046" s="49"/>
      <c r="Z1046" s="49"/>
      <c r="AA1046" s="49"/>
      <c r="AB1046" s="49"/>
      <c r="AC1046" s="49"/>
      <c r="AD1046" s="49"/>
      <c r="AE1046" s="49"/>
      <c r="AF1046" s="49"/>
      <c r="AG1046" s="49"/>
      <c r="AH1046" s="49"/>
      <c r="AI1046" s="48"/>
      <c r="AJ1046" s="48"/>
      <c r="AK1046" s="24"/>
      <c r="AL1046" s="50"/>
      <c r="AM1046" s="50"/>
      <c r="AN1046" s="50"/>
      <c r="AO1046" s="50"/>
      <c r="AP1046" s="50"/>
      <c r="AQ1046" s="50"/>
      <c r="AR1046" s="50"/>
      <c r="AS1046" s="50"/>
      <c r="AT1046" s="51"/>
      <c r="AU1046" s="51"/>
      <c r="AV1046" s="51"/>
      <c r="AW1046" s="51"/>
      <c r="AX1046" s="50"/>
      <c r="AY1046" s="50"/>
      <c r="AZ1046" s="50"/>
      <c r="BA1046" s="50"/>
      <c r="BB1046" s="51"/>
      <c r="BC1046" s="51"/>
      <c r="BD1046" s="51"/>
      <c r="BE1046" s="51"/>
      <c r="BF1046" s="47"/>
      <c r="BG1046" s="47"/>
      <c r="BH1046" s="47"/>
      <c r="BI1046" s="47"/>
      <c r="BJ1046" s="47"/>
      <c r="BK1046" s="47"/>
      <c r="BL1046" s="47"/>
      <c r="BM1046" s="47"/>
      <c r="BN1046" s="47"/>
      <c r="BO1046" s="47"/>
      <c r="BP1046" s="47"/>
      <c r="BQ1046" s="47"/>
      <c r="BR1046" s="47"/>
      <c r="BS1046" s="47"/>
      <c r="BT1046" s="47"/>
    </row>
    <row r="1047">
      <c r="A1047" s="24"/>
      <c r="B1047" s="48"/>
      <c r="C1047" s="49"/>
      <c r="D1047" s="24"/>
      <c r="E1047" s="52"/>
      <c r="F1047" s="53"/>
      <c r="G1047" s="48"/>
      <c r="H1047" s="49"/>
      <c r="I1047" s="49"/>
      <c r="J1047" s="48"/>
      <c r="K1047" s="48"/>
      <c r="L1047" s="48"/>
      <c r="M1047" s="48"/>
      <c r="N1047" s="48"/>
      <c r="O1047" s="48"/>
      <c r="P1047" s="48"/>
      <c r="Q1047" s="48"/>
      <c r="R1047" s="48"/>
      <c r="S1047" s="48"/>
      <c r="T1047" s="48"/>
      <c r="U1047" s="48"/>
      <c r="V1047" s="48"/>
      <c r="W1047" s="49"/>
      <c r="X1047" s="49"/>
      <c r="Y1047" s="49"/>
      <c r="Z1047" s="49"/>
      <c r="AA1047" s="49"/>
      <c r="AB1047" s="49"/>
      <c r="AC1047" s="49"/>
      <c r="AD1047" s="49"/>
      <c r="AE1047" s="49"/>
      <c r="AF1047" s="49"/>
      <c r="AG1047" s="49"/>
      <c r="AH1047" s="49"/>
      <c r="AI1047" s="48"/>
      <c r="AJ1047" s="48"/>
      <c r="AK1047" s="24"/>
      <c r="AL1047" s="50"/>
      <c r="AM1047" s="50"/>
      <c r="AN1047" s="50"/>
      <c r="AO1047" s="50"/>
      <c r="AP1047" s="50"/>
      <c r="AQ1047" s="50"/>
      <c r="AR1047" s="50"/>
      <c r="AS1047" s="50"/>
      <c r="AT1047" s="51"/>
      <c r="AU1047" s="51"/>
      <c r="AV1047" s="51"/>
      <c r="AW1047" s="51"/>
      <c r="AX1047" s="50"/>
      <c r="AY1047" s="50"/>
      <c r="AZ1047" s="50"/>
      <c r="BA1047" s="50"/>
      <c r="BB1047" s="51"/>
      <c r="BC1047" s="51"/>
      <c r="BD1047" s="51"/>
      <c r="BE1047" s="51"/>
      <c r="BF1047" s="47"/>
      <c r="BG1047" s="47"/>
      <c r="BH1047" s="47"/>
      <c r="BI1047" s="47"/>
      <c r="BJ1047" s="47"/>
      <c r="BK1047" s="47"/>
      <c r="BL1047" s="47"/>
      <c r="BM1047" s="47"/>
      <c r="BN1047" s="47"/>
      <c r="BO1047" s="47"/>
      <c r="BP1047" s="47"/>
      <c r="BQ1047" s="47"/>
      <c r="BR1047" s="47"/>
      <c r="BS1047" s="47"/>
      <c r="BT1047" s="47"/>
    </row>
    <row r="1048">
      <c r="A1048" s="24"/>
      <c r="B1048" s="48"/>
      <c r="C1048" s="49"/>
      <c r="D1048" s="24"/>
      <c r="E1048" s="52"/>
      <c r="F1048" s="53"/>
      <c r="G1048" s="48"/>
      <c r="H1048" s="49"/>
      <c r="I1048" s="49"/>
      <c r="J1048" s="48"/>
      <c r="K1048" s="48"/>
      <c r="L1048" s="48"/>
      <c r="M1048" s="48"/>
      <c r="N1048" s="48"/>
      <c r="O1048" s="48"/>
      <c r="P1048" s="48"/>
      <c r="Q1048" s="48"/>
      <c r="R1048" s="48"/>
      <c r="S1048" s="48"/>
      <c r="T1048" s="48"/>
      <c r="U1048" s="48"/>
      <c r="V1048" s="48"/>
      <c r="W1048" s="49"/>
      <c r="X1048" s="49"/>
      <c r="Y1048" s="49"/>
      <c r="Z1048" s="49"/>
      <c r="AA1048" s="49"/>
      <c r="AB1048" s="49"/>
      <c r="AC1048" s="49"/>
      <c r="AD1048" s="49"/>
      <c r="AE1048" s="49"/>
      <c r="AF1048" s="49"/>
      <c r="AG1048" s="49"/>
      <c r="AH1048" s="49"/>
      <c r="AI1048" s="48"/>
      <c r="AJ1048" s="48"/>
      <c r="AK1048" s="24"/>
      <c r="AL1048" s="50"/>
      <c r="AM1048" s="50"/>
      <c r="AN1048" s="50"/>
      <c r="AO1048" s="50"/>
      <c r="AP1048" s="50"/>
      <c r="AQ1048" s="50"/>
      <c r="AR1048" s="50"/>
      <c r="AS1048" s="50"/>
      <c r="AT1048" s="51"/>
      <c r="AU1048" s="51"/>
      <c r="AV1048" s="51"/>
      <c r="AW1048" s="51"/>
      <c r="AX1048" s="50"/>
      <c r="AY1048" s="50"/>
      <c r="AZ1048" s="50"/>
      <c r="BA1048" s="50"/>
      <c r="BB1048" s="51"/>
      <c r="BC1048" s="51"/>
      <c r="BD1048" s="51"/>
      <c r="BE1048" s="51"/>
      <c r="BF1048" s="47"/>
      <c r="BG1048" s="47"/>
      <c r="BH1048" s="47"/>
      <c r="BI1048" s="47"/>
      <c r="BJ1048" s="47"/>
      <c r="BK1048" s="47"/>
      <c r="BL1048" s="47"/>
      <c r="BM1048" s="47"/>
      <c r="BN1048" s="47"/>
      <c r="BO1048" s="47"/>
      <c r="BP1048" s="47"/>
      <c r="BQ1048" s="47"/>
      <c r="BR1048" s="47"/>
      <c r="BS1048" s="47"/>
      <c r="BT1048" s="47"/>
    </row>
    <row r="1049">
      <c r="A1049" s="24"/>
      <c r="B1049" s="48"/>
      <c r="C1049" s="49"/>
      <c r="D1049" s="24"/>
      <c r="E1049" s="52"/>
      <c r="F1049" s="53"/>
      <c r="G1049" s="48"/>
      <c r="H1049" s="49"/>
      <c r="I1049" s="49"/>
      <c r="J1049" s="48"/>
      <c r="K1049" s="48"/>
      <c r="L1049" s="48"/>
      <c r="M1049" s="48"/>
      <c r="N1049" s="48"/>
      <c r="O1049" s="48"/>
      <c r="P1049" s="48"/>
      <c r="Q1049" s="48"/>
      <c r="R1049" s="48"/>
      <c r="S1049" s="48"/>
      <c r="T1049" s="48"/>
      <c r="U1049" s="48"/>
      <c r="V1049" s="48"/>
      <c r="W1049" s="49"/>
      <c r="X1049" s="49"/>
      <c r="Y1049" s="49"/>
      <c r="Z1049" s="49"/>
      <c r="AA1049" s="49"/>
      <c r="AB1049" s="49"/>
      <c r="AC1049" s="49"/>
      <c r="AD1049" s="49"/>
      <c r="AE1049" s="49"/>
      <c r="AF1049" s="49"/>
      <c r="AG1049" s="49"/>
      <c r="AH1049" s="49"/>
      <c r="AI1049" s="48"/>
      <c r="AJ1049" s="48"/>
      <c r="AK1049" s="24"/>
      <c r="AL1049" s="50"/>
      <c r="AM1049" s="50"/>
      <c r="AN1049" s="50"/>
      <c r="AO1049" s="50"/>
      <c r="AP1049" s="50"/>
      <c r="AQ1049" s="50"/>
      <c r="AR1049" s="50"/>
      <c r="AS1049" s="50"/>
      <c r="AT1049" s="51"/>
      <c r="AU1049" s="51"/>
      <c r="AV1049" s="51"/>
      <c r="AW1049" s="51"/>
      <c r="AX1049" s="50"/>
      <c r="AY1049" s="50"/>
      <c r="AZ1049" s="50"/>
      <c r="BA1049" s="50"/>
      <c r="BB1049" s="51"/>
      <c r="BC1049" s="51"/>
      <c r="BD1049" s="51"/>
      <c r="BE1049" s="51"/>
      <c r="BF1049" s="47"/>
      <c r="BG1049" s="47"/>
      <c r="BH1049" s="47"/>
      <c r="BI1049" s="47"/>
      <c r="BJ1049" s="47"/>
      <c r="BK1049" s="47"/>
      <c r="BL1049" s="47"/>
      <c r="BM1049" s="47"/>
      <c r="BN1049" s="47"/>
      <c r="BO1049" s="47"/>
      <c r="BP1049" s="47"/>
      <c r="BQ1049" s="47"/>
      <c r="BR1049" s="47"/>
      <c r="BS1049" s="47"/>
      <c r="BT1049" s="47"/>
    </row>
    <row r="1050">
      <c r="A1050" s="24"/>
      <c r="B1050" s="48"/>
      <c r="C1050" s="49"/>
      <c r="D1050" s="24"/>
      <c r="E1050" s="52"/>
      <c r="F1050" s="53"/>
      <c r="G1050" s="48"/>
      <c r="H1050" s="49"/>
      <c r="I1050" s="49"/>
      <c r="J1050" s="48"/>
      <c r="K1050" s="48"/>
      <c r="L1050" s="48"/>
      <c r="M1050" s="48"/>
      <c r="N1050" s="48"/>
      <c r="O1050" s="48"/>
      <c r="P1050" s="48"/>
      <c r="Q1050" s="48"/>
      <c r="R1050" s="48"/>
      <c r="S1050" s="48"/>
      <c r="T1050" s="48"/>
      <c r="U1050" s="48"/>
      <c r="V1050" s="48"/>
      <c r="W1050" s="49"/>
      <c r="X1050" s="49"/>
      <c r="Y1050" s="49"/>
      <c r="Z1050" s="49"/>
      <c r="AA1050" s="49"/>
      <c r="AB1050" s="49"/>
      <c r="AC1050" s="49"/>
      <c r="AD1050" s="49"/>
      <c r="AE1050" s="49"/>
      <c r="AF1050" s="49"/>
      <c r="AG1050" s="49"/>
      <c r="AH1050" s="49"/>
      <c r="AI1050" s="48"/>
      <c r="AJ1050" s="48"/>
      <c r="AK1050" s="24"/>
      <c r="AL1050" s="50"/>
      <c r="AM1050" s="50"/>
      <c r="AN1050" s="50"/>
      <c r="AO1050" s="50"/>
      <c r="AP1050" s="50"/>
      <c r="AQ1050" s="50"/>
      <c r="AR1050" s="50"/>
      <c r="AS1050" s="50"/>
      <c r="AT1050" s="51"/>
      <c r="AU1050" s="51"/>
      <c r="AV1050" s="51"/>
      <c r="AW1050" s="51"/>
      <c r="AX1050" s="50"/>
      <c r="AY1050" s="50"/>
      <c r="AZ1050" s="50"/>
      <c r="BA1050" s="50"/>
      <c r="BB1050" s="51"/>
      <c r="BC1050" s="51"/>
      <c r="BD1050" s="51"/>
      <c r="BE1050" s="51"/>
      <c r="BF1050" s="47"/>
      <c r="BG1050" s="47"/>
      <c r="BH1050" s="47"/>
      <c r="BI1050" s="47"/>
      <c r="BJ1050" s="47"/>
      <c r="BK1050" s="47"/>
      <c r="BL1050" s="47"/>
      <c r="BM1050" s="47"/>
      <c r="BN1050" s="47"/>
      <c r="BO1050" s="47"/>
      <c r="BP1050" s="47"/>
      <c r="BQ1050" s="47"/>
      <c r="BR1050" s="47"/>
      <c r="BS1050" s="47"/>
      <c r="BT1050" s="47"/>
    </row>
    <row r="1051">
      <c r="A1051" s="24"/>
      <c r="B1051" s="48"/>
      <c r="C1051" s="49"/>
      <c r="D1051" s="24"/>
      <c r="E1051" s="52"/>
      <c r="F1051" s="53"/>
      <c r="G1051" s="48"/>
      <c r="H1051" s="49"/>
      <c r="I1051" s="49"/>
      <c r="J1051" s="48"/>
      <c r="K1051" s="48"/>
      <c r="L1051" s="48"/>
      <c r="M1051" s="48"/>
      <c r="N1051" s="48"/>
      <c r="O1051" s="48"/>
      <c r="P1051" s="48"/>
      <c r="Q1051" s="48"/>
      <c r="R1051" s="48"/>
      <c r="S1051" s="48"/>
      <c r="T1051" s="48"/>
      <c r="U1051" s="48"/>
      <c r="V1051" s="48"/>
      <c r="W1051" s="49"/>
      <c r="X1051" s="49"/>
      <c r="Y1051" s="49"/>
      <c r="Z1051" s="49"/>
      <c r="AA1051" s="49"/>
      <c r="AB1051" s="49"/>
      <c r="AC1051" s="49"/>
      <c r="AD1051" s="49"/>
      <c r="AE1051" s="49"/>
      <c r="AF1051" s="49"/>
      <c r="AG1051" s="49"/>
      <c r="AH1051" s="49"/>
      <c r="AI1051" s="48"/>
      <c r="AJ1051" s="48"/>
      <c r="AK1051" s="24"/>
      <c r="AL1051" s="50"/>
      <c r="AM1051" s="50"/>
      <c r="AN1051" s="50"/>
      <c r="AO1051" s="50"/>
      <c r="AP1051" s="50"/>
      <c r="AQ1051" s="50"/>
      <c r="AR1051" s="50"/>
      <c r="AS1051" s="50"/>
      <c r="AT1051" s="51"/>
      <c r="AU1051" s="51"/>
      <c r="AV1051" s="51"/>
      <c r="AW1051" s="51"/>
      <c r="AX1051" s="50"/>
      <c r="AY1051" s="50"/>
      <c r="AZ1051" s="50"/>
      <c r="BA1051" s="50"/>
      <c r="BB1051" s="51"/>
      <c r="BC1051" s="51"/>
      <c r="BD1051" s="51"/>
      <c r="BE1051" s="51"/>
      <c r="BF1051" s="47"/>
      <c r="BG1051" s="47"/>
      <c r="BH1051" s="47"/>
      <c r="BI1051" s="47"/>
      <c r="BJ1051" s="47"/>
      <c r="BK1051" s="47"/>
      <c r="BL1051" s="47"/>
      <c r="BM1051" s="47"/>
      <c r="BN1051" s="47"/>
      <c r="BO1051" s="47"/>
      <c r="BP1051" s="47"/>
      <c r="BQ1051" s="47"/>
      <c r="BR1051" s="47"/>
      <c r="BS1051" s="47"/>
      <c r="BT1051" s="47"/>
    </row>
    <row r="1052">
      <c r="A1052" s="24"/>
      <c r="B1052" s="48"/>
      <c r="C1052" s="49"/>
      <c r="D1052" s="24"/>
      <c r="E1052" s="52"/>
      <c r="F1052" s="53"/>
      <c r="G1052" s="48"/>
      <c r="H1052" s="49"/>
      <c r="I1052" s="49"/>
      <c r="J1052" s="48"/>
      <c r="K1052" s="48"/>
      <c r="L1052" s="48"/>
      <c r="M1052" s="48"/>
      <c r="N1052" s="48"/>
      <c r="O1052" s="48"/>
      <c r="P1052" s="48"/>
      <c r="Q1052" s="48"/>
      <c r="R1052" s="48"/>
      <c r="S1052" s="48"/>
      <c r="T1052" s="48"/>
      <c r="U1052" s="48"/>
      <c r="V1052" s="48"/>
      <c r="W1052" s="49"/>
      <c r="X1052" s="49"/>
      <c r="Y1052" s="49"/>
      <c r="Z1052" s="49"/>
      <c r="AA1052" s="49"/>
      <c r="AB1052" s="49"/>
      <c r="AC1052" s="49"/>
      <c r="AD1052" s="49"/>
      <c r="AE1052" s="49"/>
      <c r="AF1052" s="49"/>
      <c r="AG1052" s="49"/>
      <c r="AH1052" s="49"/>
      <c r="AI1052" s="48"/>
      <c r="AJ1052" s="48"/>
      <c r="AK1052" s="24"/>
      <c r="AL1052" s="50"/>
      <c r="AM1052" s="50"/>
      <c r="AN1052" s="50"/>
      <c r="AO1052" s="50"/>
      <c r="AP1052" s="50"/>
      <c r="AQ1052" s="50"/>
      <c r="AR1052" s="50"/>
      <c r="AS1052" s="50"/>
      <c r="AT1052" s="51"/>
      <c r="AU1052" s="51"/>
      <c r="AV1052" s="51"/>
      <c r="AW1052" s="51"/>
      <c r="AX1052" s="50"/>
      <c r="AY1052" s="50"/>
      <c r="AZ1052" s="50"/>
      <c r="BA1052" s="50"/>
      <c r="BB1052" s="51"/>
      <c r="BC1052" s="51"/>
      <c r="BD1052" s="51"/>
      <c r="BE1052" s="51"/>
      <c r="BF1052" s="47"/>
      <c r="BG1052" s="47"/>
      <c r="BH1052" s="47"/>
      <c r="BI1052" s="47"/>
      <c r="BJ1052" s="47"/>
      <c r="BK1052" s="47"/>
      <c r="BL1052" s="47"/>
      <c r="BM1052" s="47"/>
      <c r="BN1052" s="47"/>
      <c r="BO1052" s="47"/>
      <c r="BP1052" s="47"/>
      <c r="BQ1052" s="47"/>
      <c r="BR1052" s="47"/>
      <c r="BS1052" s="47"/>
      <c r="BT1052" s="47"/>
    </row>
    <row r="1053">
      <c r="A1053" s="24"/>
      <c r="B1053" s="48"/>
      <c r="C1053" s="49"/>
      <c r="D1053" s="24"/>
      <c r="E1053" s="52"/>
      <c r="F1053" s="53"/>
      <c r="G1053" s="48"/>
      <c r="H1053" s="49"/>
      <c r="I1053" s="49"/>
      <c r="J1053" s="48"/>
      <c r="K1053" s="48"/>
      <c r="L1053" s="48"/>
      <c r="M1053" s="48"/>
      <c r="N1053" s="48"/>
      <c r="O1053" s="48"/>
      <c r="P1053" s="48"/>
      <c r="Q1053" s="48"/>
      <c r="R1053" s="48"/>
      <c r="S1053" s="48"/>
      <c r="T1053" s="48"/>
      <c r="U1053" s="48"/>
      <c r="V1053" s="48"/>
      <c r="W1053" s="49"/>
      <c r="X1053" s="49"/>
      <c r="Y1053" s="49"/>
      <c r="Z1053" s="49"/>
      <c r="AA1053" s="49"/>
      <c r="AB1053" s="49"/>
      <c r="AC1053" s="49"/>
      <c r="AD1053" s="49"/>
      <c r="AE1053" s="49"/>
      <c r="AF1053" s="49"/>
      <c r="AG1053" s="49"/>
      <c r="AH1053" s="49"/>
      <c r="AI1053" s="48"/>
      <c r="AJ1053" s="48"/>
      <c r="AK1053" s="24"/>
      <c r="AL1053" s="50"/>
      <c r="AM1053" s="50"/>
      <c r="AN1053" s="50"/>
      <c r="AO1053" s="50"/>
      <c r="AP1053" s="50"/>
      <c r="AQ1053" s="50"/>
      <c r="AR1053" s="50"/>
      <c r="AS1053" s="50"/>
      <c r="AT1053" s="51"/>
      <c r="AU1053" s="51"/>
      <c r="AV1053" s="51"/>
      <c r="AW1053" s="51"/>
      <c r="AX1053" s="50"/>
      <c r="AY1053" s="50"/>
      <c r="AZ1053" s="50"/>
      <c r="BA1053" s="50"/>
      <c r="BB1053" s="51"/>
      <c r="BC1053" s="51"/>
      <c r="BD1053" s="51"/>
      <c r="BE1053" s="51"/>
      <c r="BF1053" s="47"/>
      <c r="BG1053" s="47"/>
      <c r="BH1053" s="47"/>
      <c r="BI1053" s="47"/>
      <c r="BJ1053" s="47"/>
      <c r="BK1053" s="47"/>
      <c r="BL1053" s="47"/>
      <c r="BM1053" s="47"/>
      <c r="BN1053" s="47"/>
      <c r="BO1053" s="47"/>
      <c r="BP1053" s="47"/>
      <c r="BQ1053" s="47"/>
      <c r="BR1053" s="47"/>
      <c r="BS1053" s="47"/>
      <c r="BT1053" s="47"/>
    </row>
    <row r="1054">
      <c r="A1054" s="24"/>
      <c r="B1054" s="48"/>
      <c r="C1054" s="49"/>
      <c r="D1054" s="24"/>
      <c r="E1054" s="52"/>
      <c r="F1054" s="53"/>
      <c r="G1054" s="48"/>
      <c r="H1054" s="49"/>
      <c r="I1054" s="49"/>
      <c r="J1054" s="48"/>
      <c r="K1054" s="48"/>
      <c r="L1054" s="48"/>
      <c r="M1054" s="48"/>
      <c r="N1054" s="48"/>
      <c r="O1054" s="48"/>
      <c r="P1054" s="48"/>
      <c r="Q1054" s="48"/>
      <c r="R1054" s="48"/>
      <c r="S1054" s="48"/>
      <c r="T1054" s="48"/>
      <c r="U1054" s="48"/>
      <c r="V1054" s="48"/>
      <c r="W1054" s="49"/>
      <c r="X1054" s="49"/>
      <c r="Y1054" s="49"/>
      <c r="Z1054" s="49"/>
      <c r="AA1054" s="49"/>
      <c r="AB1054" s="49"/>
      <c r="AC1054" s="49"/>
      <c r="AD1054" s="49"/>
      <c r="AE1054" s="49"/>
      <c r="AF1054" s="49"/>
      <c r="AG1054" s="49"/>
      <c r="AH1054" s="49"/>
      <c r="AI1054" s="48"/>
      <c r="AJ1054" s="48"/>
      <c r="AK1054" s="24"/>
      <c r="AL1054" s="50"/>
      <c r="AM1054" s="50"/>
      <c r="AN1054" s="50"/>
      <c r="AO1054" s="50"/>
      <c r="AP1054" s="50"/>
      <c r="AQ1054" s="50"/>
      <c r="AR1054" s="50"/>
      <c r="AS1054" s="50"/>
      <c r="AT1054" s="51"/>
      <c r="AU1054" s="51"/>
      <c r="AV1054" s="51"/>
      <c r="AW1054" s="51"/>
      <c r="AX1054" s="50"/>
      <c r="AY1054" s="50"/>
      <c r="AZ1054" s="50"/>
      <c r="BA1054" s="50"/>
      <c r="BB1054" s="51"/>
      <c r="BC1054" s="51"/>
      <c r="BD1054" s="51"/>
      <c r="BE1054" s="51"/>
      <c r="BF1054" s="47"/>
      <c r="BG1054" s="47"/>
      <c r="BH1054" s="47"/>
      <c r="BI1054" s="47"/>
      <c r="BJ1054" s="47"/>
      <c r="BK1054" s="47"/>
      <c r="BL1054" s="47"/>
      <c r="BM1054" s="47"/>
      <c r="BN1054" s="47"/>
      <c r="BO1054" s="47"/>
      <c r="BP1054" s="47"/>
      <c r="BQ1054" s="47"/>
      <c r="BR1054" s="47"/>
      <c r="BS1054" s="47"/>
      <c r="BT1054" s="47"/>
    </row>
    <row r="1055">
      <c r="A1055" s="24"/>
      <c r="B1055" s="48"/>
      <c r="C1055" s="49"/>
      <c r="D1055" s="24"/>
      <c r="E1055" s="52"/>
      <c r="F1055" s="53"/>
      <c r="G1055" s="48"/>
      <c r="H1055" s="49"/>
      <c r="I1055" s="49"/>
      <c r="J1055" s="48"/>
      <c r="K1055" s="48"/>
      <c r="L1055" s="48"/>
      <c r="M1055" s="48"/>
      <c r="N1055" s="48"/>
      <c r="O1055" s="48"/>
      <c r="P1055" s="48"/>
      <c r="Q1055" s="48"/>
      <c r="R1055" s="48"/>
      <c r="S1055" s="48"/>
      <c r="T1055" s="48"/>
      <c r="U1055" s="48"/>
      <c r="V1055" s="48"/>
      <c r="W1055" s="49"/>
      <c r="X1055" s="49"/>
      <c r="Y1055" s="49"/>
      <c r="Z1055" s="49"/>
      <c r="AA1055" s="49"/>
      <c r="AB1055" s="49"/>
      <c r="AC1055" s="49"/>
      <c r="AD1055" s="49"/>
      <c r="AE1055" s="49"/>
      <c r="AF1055" s="49"/>
      <c r="AG1055" s="49"/>
      <c r="AH1055" s="49"/>
      <c r="AI1055" s="48"/>
      <c r="AJ1055" s="48"/>
      <c r="AK1055" s="24"/>
      <c r="AL1055" s="50"/>
      <c r="AM1055" s="50"/>
      <c r="AN1055" s="50"/>
      <c r="AO1055" s="50"/>
      <c r="AP1055" s="50"/>
      <c r="AQ1055" s="50"/>
      <c r="AR1055" s="50"/>
      <c r="AS1055" s="50"/>
      <c r="AT1055" s="51"/>
      <c r="AU1055" s="51"/>
      <c r="AV1055" s="51"/>
      <c r="AW1055" s="51"/>
      <c r="AX1055" s="50"/>
      <c r="AY1055" s="50"/>
      <c r="AZ1055" s="50"/>
      <c r="BA1055" s="50"/>
      <c r="BB1055" s="51"/>
      <c r="BC1055" s="51"/>
      <c r="BD1055" s="51"/>
      <c r="BE1055" s="51"/>
      <c r="BF1055" s="47"/>
      <c r="BG1055" s="47"/>
      <c r="BH1055" s="47"/>
      <c r="BI1055" s="47"/>
      <c r="BJ1055" s="47"/>
      <c r="BK1055" s="47"/>
      <c r="BL1055" s="47"/>
      <c r="BM1055" s="47"/>
      <c r="BN1055" s="47"/>
      <c r="BO1055" s="47"/>
      <c r="BP1055" s="47"/>
      <c r="BQ1055" s="47"/>
      <c r="BR1055" s="47"/>
      <c r="BS1055" s="47"/>
      <c r="BT1055" s="47"/>
    </row>
    <row r="1056">
      <c r="A1056" s="24"/>
      <c r="B1056" s="48"/>
      <c r="C1056" s="49"/>
      <c r="D1056" s="24"/>
      <c r="E1056" s="52"/>
      <c r="F1056" s="53"/>
      <c r="G1056" s="48"/>
      <c r="H1056" s="49"/>
      <c r="I1056" s="49"/>
      <c r="J1056" s="48"/>
      <c r="K1056" s="48"/>
      <c r="L1056" s="48"/>
      <c r="M1056" s="48"/>
      <c r="N1056" s="48"/>
      <c r="O1056" s="48"/>
      <c r="P1056" s="48"/>
      <c r="Q1056" s="48"/>
      <c r="R1056" s="48"/>
      <c r="S1056" s="48"/>
      <c r="T1056" s="48"/>
      <c r="U1056" s="48"/>
      <c r="V1056" s="48"/>
      <c r="W1056" s="49"/>
      <c r="X1056" s="49"/>
      <c r="Y1056" s="49"/>
      <c r="Z1056" s="49"/>
      <c r="AA1056" s="49"/>
      <c r="AB1056" s="49"/>
      <c r="AC1056" s="49"/>
      <c r="AD1056" s="49"/>
      <c r="AE1056" s="49"/>
      <c r="AF1056" s="49"/>
      <c r="AG1056" s="49"/>
      <c r="AH1056" s="49"/>
      <c r="AI1056" s="48"/>
      <c r="AJ1056" s="48"/>
      <c r="AK1056" s="24"/>
      <c r="AL1056" s="50"/>
      <c r="AM1056" s="50"/>
      <c r="AN1056" s="50"/>
      <c r="AO1056" s="50"/>
      <c r="AP1056" s="50"/>
      <c r="AQ1056" s="50"/>
      <c r="AR1056" s="50"/>
      <c r="AS1056" s="50"/>
      <c r="AT1056" s="51"/>
      <c r="AU1056" s="51"/>
      <c r="AV1056" s="51"/>
      <c r="AW1056" s="51"/>
      <c r="AX1056" s="50"/>
      <c r="AY1056" s="50"/>
      <c r="AZ1056" s="50"/>
      <c r="BA1056" s="50"/>
      <c r="BB1056" s="51"/>
      <c r="BC1056" s="51"/>
      <c r="BD1056" s="51"/>
      <c r="BE1056" s="51"/>
      <c r="BF1056" s="47"/>
      <c r="BG1056" s="47"/>
      <c r="BH1056" s="47"/>
      <c r="BI1056" s="47"/>
      <c r="BJ1056" s="47"/>
      <c r="BK1056" s="47"/>
      <c r="BL1056" s="47"/>
      <c r="BM1056" s="47"/>
      <c r="BN1056" s="47"/>
      <c r="BO1056" s="47"/>
      <c r="BP1056" s="47"/>
      <c r="BQ1056" s="47"/>
      <c r="BR1056" s="47"/>
      <c r="BS1056" s="47"/>
      <c r="BT1056" s="47"/>
    </row>
    <row r="1057">
      <c r="A1057" s="24"/>
      <c r="B1057" s="48"/>
      <c r="C1057" s="49"/>
      <c r="D1057" s="24"/>
      <c r="E1057" s="52"/>
      <c r="F1057" s="53"/>
      <c r="G1057" s="48"/>
      <c r="H1057" s="49"/>
      <c r="I1057" s="49"/>
      <c r="J1057" s="48"/>
      <c r="K1057" s="48"/>
      <c r="L1057" s="48"/>
      <c r="M1057" s="48"/>
      <c r="N1057" s="48"/>
      <c r="O1057" s="48"/>
      <c r="P1057" s="48"/>
      <c r="Q1057" s="48"/>
      <c r="R1057" s="48"/>
      <c r="S1057" s="48"/>
      <c r="T1057" s="48"/>
      <c r="U1057" s="48"/>
      <c r="V1057" s="48"/>
      <c r="W1057" s="49"/>
      <c r="X1057" s="49"/>
      <c r="Y1057" s="49"/>
      <c r="Z1057" s="49"/>
      <c r="AA1057" s="49"/>
      <c r="AB1057" s="49"/>
      <c r="AC1057" s="49"/>
      <c r="AD1057" s="49"/>
      <c r="AE1057" s="49"/>
      <c r="AF1057" s="49"/>
      <c r="AG1057" s="49"/>
      <c r="AH1057" s="49"/>
      <c r="AI1057" s="48"/>
      <c r="AJ1057" s="48"/>
      <c r="AK1057" s="24"/>
      <c r="AL1057" s="50"/>
      <c r="AM1057" s="50"/>
      <c r="AN1057" s="50"/>
      <c r="AO1057" s="50"/>
      <c r="AP1057" s="50"/>
      <c r="AQ1057" s="50"/>
      <c r="AR1057" s="50"/>
      <c r="AS1057" s="50"/>
      <c r="AT1057" s="51"/>
      <c r="AU1057" s="51"/>
      <c r="AV1057" s="51"/>
      <c r="AW1057" s="51"/>
      <c r="AX1057" s="50"/>
      <c r="AY1057" s="50"/>
      <c r="AZ1057" s="50"/>
      <c r="BA1057" s="50"/>
      <c r="BB1057" s="51"/>
      <c r="BC1057" s="51"/>
      <c r="BD1057" s="51"/>
      <c r="BE1057" s="51"/>
      <c r="BF1057" s="47"/>
      <c r="BG1057" s="47"/>
      <c r="BH1057" s="47"/>
      <c r="BI1057" s="47"/>
      <c r="BJ1057" s="47"/>
      <c r="BK1057" s="47"/>
      <c r="BL1057" s="47"/>
      <c r="BM1057" s="47"/>
      <c r="BN1057" s="47"/>
      <c r="BO1057" s="47"/>
      <c r="BP1057" s="47"/>
      <c r="BQ1057" s="47"/>
      <c r="BR1057" s="47"/>
      <c r="BS1057" s="47"/>
      <c r="BT1057" s="47"/>
    </row>
    <row r="1058">
      <c r="A1058" s="24"/>
      <c r="B1058" s="48"/>
      <c r="C1058" s="49"/>
      <c r="D1058" s="24"/>
      <c r="E1058" s="52"/>
      <c r="F1058" s="53"/>
      <c r="G1058" s="48"/>
      <c r="H1058" s="49"/>
      <c r="I1058" s="49"/>
      <c r="J1058" s="48"/>
      <c r="K1058" s="48"/>
      <c r="L1058" s="48"/>
      <c r="M1058" s="48"/>
      <c r="N1058" s="48"/>
      <c r="O1058" s="48"/>
      <c r="P1058" s="48"/>
      <c r="Q1058" s="48"/>
      <c r="R1058" s="48"/>
      <c r="S1058" s="48"/>
      <c r="T1058" s="48"/>
      <c r="U1058" s="48"/>
      <c r="V1058" s="48"/>
      <c r="W1058" s="49"/>
      <c r="X1058" s="49"/>
      <c r="Y1058" s="49"/>
      <c r="Z1058" s="49"/>
      <c r="AA1058" s="49"/>
      <c r="AB1058" s="49"/>
      <c r="AC1058" s="49"/>
      <c r="AD1058" s="49"/>
      <c r="AE1058" s="49"/>
      <c r="AF1058" s="49"/>
      <c r="AG1058" s="49"/>
      <c r="AH1058" s="49"/>
      <c r="AI1058" s="48"/>
      <c r="AJ1058" s="48"/>
      <c r="AK1058" s="24"/>
      <c r="AL1058" s="50"/>
      <c r="AM1058" s="50"/>
      <c r="AN1058" s="50"/>
      <c r="AO1058" s="50"/>
      <c r="AP1058" s="50"/>
      <c r="AQ1058" s="50"/>
      <c r="AR1058" s="50"/>
      <c r="AS1058" s="50"/>
      <c r="AT1058" s="51"/>
      <c r="AU1058" s="51"/>
      <c r="AV1058" s="51"/>
      <c r="AW1058" s="51"/>
      <c r="AX1058" s="50"/>
      <c r="AY1058" s="50"/>
      <c r="AZ1058" s="50"/>
      <c r="BA1058" s="50"/>
      <c r="BB1058" s="51"/>
      <c r="BC1058" s="51"/>
      <c r="BD1058" s="51"/>
      <c r="BE1058" s="51"/>
      <c r="BF1058" s="47"/>
      <c r="BG1058" s="47"/>
      <c r="BH1058" s="47"/>
      <c r="BI1058" s="47"/>
      <c r="BJ1058" s="47"/>
      <c r="BK1058" s="47"/>
      <c r="BL1058" s="47"/>
      <c r="BM1058" s="47"/>
      <c r="BN1058" s="47"/>
      <c r="BO1058" s="47"/>
      <c r="BP1058" s="47"/>
      <c r="BQ1058" s="47"/>
      <c r="BR1058" s="47"/>
      <c r="BS1058" s="47"/>
      <c r="BT1058" s="47"/>
    </row>
    <row r="1059">
      <c r="A1059" s="24"/>
      <c r="B1059" s="48"/>
      <c r="C1059" s="49"/>
      <c r="D1059" s="24"/>
      <c r="E1059" s="52"/>
      <c r="F1059" s="53"/>
      <c r="G1059" s="48"/>
      <c r="H1059" s="49"/>
      <c r="I1059" s="49"/>
      <c r="J1059" s="48"/>
      <c r="K1059" s="48"/>
      <c r="L1059" s="48"/>
      <c r="M1059" s="48"/>
      <c r="N1059" s="48"/>
      <c r="O1059" s="48"/>
      <c r="P1059" s="48"/>
      <c r="Q1059" s="48"/>
      <c r="R1059" s="48"/>
      <c r="S1059" s="48"/>
      <c r="T1059" s="48"/>
      <c r="U1059" s="48"/>
      <c r="V1059" s="48"/>
      <c r="W1059" s="49"/>
      <c r="X1059" s="49"/>
      <c r="Y1059" s="49"/>
      <c r="Z1059" s="49"/>
      <c r="AA1059" s="49"/>
      <c r="AB1059" s="49"/>
      <c r="AC1059" s="49"/>
      <c r="AD1059" s="49"/>
      <c r="AE1059" s="49"/>
      <c r="AF1059" s="49"/>
      <c r="AG1059" s="49"/>
      <c r="AH1059" s="49"/>
      <c r="AI1059" s="48"/>
      <c r="AJ1059" s="48"/>
      <c r="AK1059" s="24"/>
      <c r="AL1059" s="50"/>
      <c r="AM1059" s="50"/>
      <c r="AN1059" s="50"/>
      <c r="AO1059" s="50"/>
      <c r="AP1059" s="50"/>
      <c r="AQ1059" s="50"/>
      <c r="AR1059" s="50"/>
      <c r="AS1059" s="50"/>
      <c r="AT1059" s="51"/>
      <c r="AU1059" s="51"/>
      <c r="AV1059" s="51"/>
      <c r="AW1059" s="51"/>
      <c r="AX1059" s="50"/>
      <c r="AY1059" s="50"/>
      <c r="AZ1059" s="50"/>
      <c r="BA1059" s="50"/>
      <c r="BB1059" s="51"/>
      <c r="BC1059" s="51"/>
      <c r="BD1059" s="51"/>
      <c r="BE1059" s="51"/>
      <c r="BF1059" s="47"/>
      <c r="BG1059" s="47"/>
      <c r="BH1059" s="47"/>
      <c r="BI1059" s="47"/>
      <c r="BJ1059" s="47"/>
      <c r="BK1059" s="47"/>
      <c r="BL1059" s="47"/>
      <c r="BM1059" s="47"/>
      <c r="BN1059" s="47"/>
      <c r="BO1059" s="47"/>
      <c r="BP1059" s="47"/>
      <c r="BQ1059" s="47"/>
      <c r="BR1059" s="47"/>
      <c r="BS1059" s="47"/>
      <c r="BT1059" s="47"/>
    </row>
    <row r="1060">
      <c r="A1060" s="24"/>
      <c r="B1060" s="48"/>
      <c r="C1060" s="49"/>
      <c r="D1060" s="24"/>
      <c r="E1060" s="52"/>
      <c r="F1060" s="53"/>
      <c r="G1060" s="48"/>
      <c r="H1060" s="49"/>
      <c r="I1060" s="49"/>
      <c r="J1060" s="48"/>
      <c r="K1060" s="48"/>
      <c r="L1060" s="48"/>
      <c r="M1060" s="48"/>
      <c r="N1060" s="48"/>
      <c r="O1060" s="48"/>
      <c r="P1060" s="48"/>
      <c r="Q1060" s="48"/>
      <c r="R1060" s="48"/>
      <c r="S1060" s="48"/>
      <c r="T1060" s="48"/>
      <c r="U1060" s="48"/>
      <c r="V1060" s="48"/>
      <c r="W1060" s="49"/>
      <c r="X1060" s="49"/>
      <c r="Y1060" s="49"/>
      <c r="Z1060" s="49"/>
      <c r="AA1060" s="49"/>
      <c r="AB1060" s="49"/>
      <c r="AC1060" s="49"/>
      <c r="AD1060" s="49"/>
      <c r="AE1060" s="49"/>
      <c r="AF1060" s="49"/>
      <c r="AG1060" s="49"/>
      <c r="AH1060" s="49"/>
      <c r="AI1060" s="48"/>
      <c r="AJ1060" s="48"/>
      <c r="AK1060" s="24"/>
      <c r="AL1060" s="50"/>
      <c r="AM1060" s="50"/>
      <c r="AN1060" s="50"/>
      <c r="AO1060" s="50"/>
      <c r="AP1060" s="50"/>
      <c r="AQ1060" s="50"/>
      <c r="AR1060" s="50"/>
      <c r="AS1060" s="50"/>
      <c r="AT1060" s="51"/>
      <c r="AU1060" s="51"/>
      <c r="AV1060" s="51"/>
      <c r="AW1060" s="51"/>
      <c r="AX1060" s="50"/>
      <c r="AY1060" s="50"/>
      <c r="AZ1060" s="50"/>
      <c r="BA1060" s="50"/>
      <c r="BB1060" s="51"/>
      <c r="BC1060" s="51"/>
      <c r="BD1060" s="51"/>
      <c r="BE1060" s="51"/>
      <c r="BF1060" s="47"/>
      <c r="BG1060" s="47"/>
      <c r="BH1060" s="47"/>
      <c r="BI1060" s="47"/>
      <c r="BJ1060" s="47"/>
      <c r="BK1060" s="47"/>
      <c r="BL1060" s="47"/>
      <c r="BM1060" s="47"/>
      <c r="BN1060" s="47"/>
      <c r="BO1060" s="47"/>
      <c r="BP1060" s="47"/>
      <c r="BQ1060" s="47"/>
      <c r="BR1060" s="47"/>
      <c r="BS1060" s="47"/>
      <c r="BT1060" s="47"/>
    </row>
    <row r="1061">
      <c r="A1061" s="24"/>
      <c r="B1061" s="48"/>
      <c r="C1061" s="49"/>
      <c r="D1061" s="24"/>
      <c r="E1061" s="52"/>
      <c r="F1061" s="53"/>
      <c r="G1061" s="48"/>
      <c r="H1061" s="49"/>
      <c r="I1061" s="49"/>
      <c r="J1061" s="48"/>
      <c r="K1061" s="48"/>
      <c r="L1061" s="48"/>
      <c r="M1061" s="48"/>
      <c r="N1061" s="48"/>
      <c r="O1061" s="48"/>
      <c r="P1061" s="48"/>
      <c r="Q1061" s="48"/>
      <c r="R1061" s="48"/>
      <c r="S1061" s="48"/>
      <c r="T1061" s="48"/>
      <c r="U1061" s="48"/>
      <c r="V1061" s="48"/>
      <c r="W1061" s="49"/>
      <c r="X1061" s="49"/>
      <c r="Y1061" s="49"/>
      <c r="Z1061" s="49"/>
      <c r="AA1061" s="49"/>
      <c r="AB1061" s="49"/>
      <c r="AC1061" s="49"/>
      <c r="AD1061" s="49"/>
      <c r="AE1061" s="49"/>
      <c r="AF1061" s="49"/>
      <c r="AG1061" s="49"/>
      <c r="AH1061" s="49"/>
      <c r="AI1061" s="48"/>
      <c r="AJ1061" s="48"/>
      <c r="AK1061" s="24"/>
      <c r="AL1061" s="50"/>
      <c r="AM1061" s="50"/>
      <c r="AN1061" s="50"/>
      <c r="AO1061" s="50"/>
      <c r="AP1061" s="50"/>
      <c r="AQ1061" s="50"/>
      <c r="AR1061" s="50"/>
      <c r="AS1061" s="50"/>
      <c r="AT1061" s="51"/>
      <c r="AU1061" s="51"/>
      <c r="AV1061" s="51"/>
      <c r="AW1061" s="51"/>
      <c r="AX1061" s="50"/>
      <c r="AY1061" s="50"/>
      <c r="AZ1061" s="50"/>
      <c r="BA1061" s="50"/>
      <c r="BB1061" s="51"/>
      <c r="BC1061" s="51"/>
      <c r="BD1061" s="51"/>
      <c r="BE1061" s="51"/>
      <c r="BF1061" s="47"/>
      <c r="BG1061" s="47"/>
      <c r="BH1061" s="47"/>
      <c r="BI1061" s="47"/>
      <c r="BJ1061" s="47"/>
      <c r="BK1061" s="47"/>
      <c r="BL1061" s="47"/>
      <c r="BM1061" s="47"/>
      <c r="BN1061" s="47"/>
      <c r="BO1061" s="47"/>
      <c r="BP1061" s="47"/>
      <c r="BQ1061" s="47"/>
      <c r="BR1061" s="47"/>
      <c r="BS1061" s="47"/>
      <c r="BT1061" s="47"/>
    </row>
    <row r="1062">
      <c r="A1062" s="24"/>
      <c r="B1062" s="48"/>
      <c r="C1062" s="49"/>
      <c r="D1062" s="24"/>
      <c r="E1062" s="52"/>
      <c r="F1062" s="53"/>
      <c r="G1062" s="48"/>
      <c r="H1062" s="49"/>
      <c r="I1062" s="49"/>
      <c r="J1062" s="48"/>
      <c r="K1062" s="48"/>
      <c r="L1062" s="48"/>
      <c r="M1062" s="48"/>
      <c r="N1062" s="48"/>
      <c r="O1062" s="48"/>
      <c r="P1062" s="48"/>
      <c r="Q1062" s="48"/>
      <c r="R1062" s="48"/>
      <c r="S1062" s="48"/>
      <c r="T1062" s="48"/>
      <c r="U1062" s="48"/>
      <c r="V1062" s="48"/>
      <c r="W1062" s="49"/>
      <c r="X1062" s="49"/>
      <c r="Y1062" s="49"/>
      <c r="Z1062" s="49"/>
      <c r="AA1062" s="49"/>
      <c r="AB1062" s="49"/>
      <c r="AC1062" s="49"/>
      <c r="AD1062" s="49"/>
      <c r="AE1062" s="49"/>
      <c r="AF1062" s="49"/>
      <c r="AG1062" s="49"/>
      <c r="AH1062" s="49"/>
      <c r="AI1062" s="48"/>
      <c r="AJ1062" s="48"/>
      <c r="AK1062" s="24"/>
      <c r="AL1062" s="50"/>
      <c r="AM1062" s="50"/>
      <c r="AN1062" s="50"/>
      <c r="AO1062" s="50"/>
      <c r="AP1062" s="50"/>
      <c r="AQ1062" s="50"/>
      <c r="AR1062" s="50"/>
      <c r="AS1062" s="50"/>
      <c r="AT1062" s="51"/>
      <c r="AU1062" s="51"/>
      <c r="AV1062" s="51"/>
      <c r="AW1062" s="51"/>
      <c r="AX1062" s="50"/>
      <c r="AY1062" s="50"/>
      <c r="AZ1062" s="50"/>
      <c r="BA1062" s="50"/>
      <c r="BB1062" s="51"/>
      <c r="BC1062" s="51"/>
      <c r="BD1062" s="51"/>
      <c r="BE1062" s="51"/>
      <c r="BF1062" s="47"/>
      <c r="BG1062" s="47"/>
      <c r="BH1062" s="47"/>
      <c r="BI1062" s="47"/>
      <c r="BJ1062" s="47"/>
      <c r="BK1062" s="47"/>
      <c r="BL1062" s="47"/>
      <c r="BM1062" s="47"/>
      <c r="BN1062" s="47"/>
      <c r="BO1062" s="47"/>
      <c r="BP1062" s="47"/>
      <c r="BQ1062" s="47"/>
      <c r="BR1062" s="47"/>
      <c r="BS1062" s="47"/>
      <c r="BT1062" s="47"/>
    </row>
    <row r="1063">
      <c r="A1063" s="24"/>
      <c r="B1063" s="48"/>
      <c r="C1063" s="49"/>
      <c r="D1063" s="24"/>
      <c r="E1063" s="52"/>
      <c r="F1063" s="53"/>
      <c r="G1063" s="48"/>
      <c r="H1063" s="49"/>
      <c r="I1063" s="49"/>
      <c r="J1063" s="48"/>
      <c r="K1063" s="48"/>
      <c r="L1063" s="48"/>
      <c r="M1063" s="48"/>
      <c r="N1063" s="48"/>
      <c r="O1063" s="48"/>
      <c r="P1063" s="48"/>
      <c r="Q1063" s="48"/>
      <c r="R1063" s="48"/>
      <c r="S1063" s="48"/>
      <c r="T1063" s="48"/>
      <c r="U1063" s="48"/>
      <c r="V1063" s="48"/>
      <c r="W1063" s="49"/>
      <c r="X1063" s="49"/>
      <c r="Y1063" s="49"/>
      <c r="Z1063" s="49"/>
      <c r="AA1063" s="49"/>
      <c r="AB1063" s="49"/>
      <c r="AC1063" s="49"/>
      <c r="AD1063" s="49"/>
      <c r="AE1063" s="49"/>
      <c r="AF1063" s="49"/>
      <c r="AG1063" s="49"/>
      <c r="AH1063" s="49"/>
      <c r="AI1063" s="48"/>
      <c r="AJ1063" s="48"/>
      <c r="AK1063" s="24"/>
      <c r="AL1063" s="50"/>
      <c r="AM1063" s="50"/>
      <c r="AN1063" s="50"/>
      <c r="AO1063" s="50"/>
      <c r="AP1063" s="50"/>
      <c r="AQ1063" s="50"/>
      <c r="AR1063" s="50"/>
      <c r="AS1063" s="50"/>
      <c r="AT1063" s="51"/>
      <c r="AU1063" s="51"/>
      <c r="AV1063" s="51"/>
      <c r="AW1063" s="51"/>
      <c r="AX1063" s="50"/>
      <c r="AY1063" s="50"/>
      <c r="AZ1063" s="50"/>
      <c r="BA1063" s="50"/>
      <c r="BB1063" s="51"/>
      <c r="BC1063" s="51"/>
      <c r="BD1063" s="51"/>
      <c r="BE1063" s="51"/>
      <c r="BF1063" s="47"/>
      <c r="BG1063" s="47"/>
      <c r="BH1063" s="47"/>
      <c r="BI1063" s="47"/>
      <c r="BJ1063" s="47"/>
      <c r="BK1063" s="47"/>
      <c r="BL1063" s="47"/>
      <c r="BM1063" s="47"/>
      <c r="BN1063" s="47"/>
      <c r="BO1063" s="47"/>
      <c r="BP1063" s="47"/>
      <c r="BQ1063" s="47"/>
      <c r="BR1063" s="47"/>
      <c r="BS1063" s="47"/>
      <c r="BT1063" s="47"/>
    </row>
    <row r="1064">
      <c r="A1064" s="24"/>
      <c r="B1064" s="48"/>
      <c r="C1064" s="49"/>
      <c r="D1064" s="24"/>
      <c r="E1064" s="52"/>
      <c r="F1064" s="53"/>
      <c r="G1064" s="48"/>
      <c r="H1064" s="49"/>
      <c r="I1064" s="49"/>
      <c r="J1064" s="48"/>
      <c r="K1064" s="48"/>
      <c r="L1064" s="48"/>
      <c r="M1064" s="48"/>
      <c r="N1064" s="48"/>
      <c r="O1064" s="48"/>
      <c r="P1064" s="48"/>
      <c r="Q1064" s="48"/>
      <c r="R1064" s="48"/>
      <c r="S1064" s="48"/>
      <c r="T1064" s="48"/>
      <c r="U1064" s="48"/>
      <c r="V1064" s="48"/>
      <c r="W1064" s="49"/>
      <c r="X1064" s="49"/>
      <c r="Y1064" s="49"/>
      <c r="Z1064" s="49"/>
      <c r="AA1064" s="49"/>
      <c r="AB1064" s="49"/>
      <c r="AC1064" s="49"/>
      <c r="AD1064" s="49"/>
      <c r="AE1064" s="49"/>
      <c r="AF1064" s="49"/>
      <c r="AG1064" s="49"/>
      <c r="AH1064" s="49"/>
      <c r="AI1064" s="48"/>
      <c r="AJ1064" s="48"/>
      <c r="AK1064" s="24"/>
      <c r="AL1064" s="50"/>
      <c r="AM1064" s="50"/>
      <c r="AN1064" s="50"/>
      <c r="AO1064" s="50"/>
      <c r="AP1064" s="50"/>
      <c r="AQ1064" s="50"/>
      <c r="AR1064" s="50"/>
      <c r="AS1064" s="50"/>
      <c r="AT1064" s="51"/>
      <c r="AU1064" s="51"/>
      <c r="AV1064" s="51"/>
      <c r="AW1064" s="51"/>
      <c r="AX1064" s="50"/>
      <c r="AY1064" s="50"/>
      <c r="AZ1064" s="50"/>
      <c r="BA1064" s="50"/>
      <c r="BB1064" s="51"/>
      <c r="BC1064" s="51"/>
      <c r="BD1064" s="51"/>
      <c r="BE1064" s="51"/>
      <c r="BF1064" s="47"/>
      <c r="BG1064" s="47"/>
      <c r="BH1064" s="47"/>
      <c r="BI1064" s="47"/>
      <c r="BJ1064" s="47"/>
      <c r="BK1064" s="47"/>
      <c r="BL1064" s="47"/>
      <c r="BM1064" s="47"/>
      <c r="BN1064" s="47"/>
      <c r="BO1064" s="47"/>
      <c r="BP1064" s="47"/>
      <c r="BQ1064" s="47"/>
      <c r="BR1064" s="47"/>
      <c r="BS1064" s="47"/>
      <c r="BT1064" s="47"/>
    </row>
    <row r="1065">
      <c r="A1065" s="24"/>
      <c r="B1065" s="48"/>
      <c r="C1065" s="49"/>
      <c r="D1065" s="24"/>
      <c r="E1065" s="52"/>
      <c r="F1065" s="53"/>
      <c r="G1065" s="48"/>
      <c r="H1065" s="49"/>
      <c r="I1065" s="49"/>
      <c r="J1065" s="48"/>
      <c r="K1065" s="48"/>
      <c r="L1065" s="48"/>
      <c r="M1065" s="48"/>
      <c r="N1065" s="48"/>
      <c r="O1065" s="48"/>
      <c r="P1065" s="48"/>
      <c r="Q1065" s="48"/>
      <c r="R1065" s="48"/>
      <c r="S1065" s="48"/>
      <c r="T1065" s="48"/>
      <c r="U1065" s="48"/>
      <c r="V1065" s="48"/>
      <c r="W1065" s="49"/>
      <c r="X1065" s="49"/>
      <c r="Y1065" s="49"/>
      <c r="Z1065" s="49"/>
      <c r="AA1065" s="49"/>
      <c r="AB1065" s="49"/>
      <c r="AC1065" s="49"/>
      <c r="AD1065" s="49"/>
      <c r="AE1065" s="49"/>
      <c r="AF1065" s="49"/>
      <c r="AG1065" s="49"/>
      <c r="AH1065" s="49"/>
      <c r="AI1065" s="48"/>
      <c r="AJ1065" s="48"/>
      <c r="AK1065" s="24"/>
      <c r="AL1065" s="50"/>
      <c r="AM1065" s="50"/>
      <c r="AN1065" s="50"/>
      <c r="AO1065" s="50"/>
      <c r="AP1065" s="50"/>
      <c r="AQ1065" s="50"/>
      <c r="AR1065" s="50"/>
      <c r="AS1065" s="50"/>
      <c r="AT1065" s="51"/>
      <c r="AU1065" s="51"/>
      <c r="AV1065" s="51"/>
      <c r="AW1065" s="51"/>
      <c r="AX1065" s="50"/>
      <c r="AY1065" s="50"/>
      <c r="AZ1065" s="50"/>
      <c r="BA1065" s="50"/>
      <c r="BB1065" s="51"/>
      <c r="BC1065" s="51"/>
      <c r="BD1065" s="51"/>
      <c r="BE1065" s="51"/>
      <c r="BF1065" s="47"/>
      <c r="BG1065" s="47"/>
      <c r="BH1065" s="47"/>
      <c r="BI1065" s="47"/>
      <c r="BJ1065" s="47"/>
      <c r="BK1065" s="47"/>
      <c r="BL1065" s="47"/>
      <c r="BM1065" s="47"/>
      <c r="BN1065" s="47"/>
      <c r="BO1065" s="47"/>
      <c r="BP1065" s="47"/>
      <c r="BQ1065" s="47"/>
      <c r="BR1065" s="47"/>
      <c r="BS1065" s="47"/>
      <c r="BT1065" s="47"/>
    </row>
    <row r="1066">
      <c r="A1066" s="24"/>
      <c r="B1066" s="48"/>
      <c r="C1066" s="49"/>
      <c r="D1066" s="24"/>
      <c r="E1066" s="52"/>
      <c r="F1066" s="53"/>
      <c r="G1066" s="48"/>
      <c r="H1066" s="49"/>
      <c r="I1066" s="49"/>
      <c r="J1066" s="48"/>
      <c r="K1066" s="48"/>
      <c r="L1066" s="48"/>
      <c r="M1066" s="48"/>
      <c r="N1066" s="48"/>
      <c r="O1066" s="48"/>
      <c r="P1066" s="48"/>
      <c r="Q1066" s="48"/>
      <c r="R1066" s="48"/>
      <c r="S1066" s="48"/>
      <c r="T1066" s="48"/>
      <c r="U1066" s="48"/>
      <c r="V1066" s="48"/>
      <c r="W1066" s="49"/>
      <c r="X1066" s="49"/>
      <c r="Y1066" s="49"/>
      <c r="Z1066" s="49"/>
      <c r="AA1066" s="49"/>
      <c r="AB1066" s="49"/>
      <c r="AC1066" s="49"/>
      <c r="AD1066" s="49"/>
      <c r="AE1066" s="49"/>
      <c r="AF1066" s="49"/>
      <c r="AG1066" s="49"/>
      <c r="AH1066" s="49"/>
      <c r="AI1066" s="48"/>
      <c r="AJ1066" s="48"/>
      <c r="AK1066" s="24"/>
      <c r="AL1066" s="50"/>
      <c r="AM1066" s="50"/>
      <c r="AN1066" s="50"/>
      <c r="AO1066" s="50"/>
      <c r="AP1066" s="50"/>
      <c r="AQ1066" s="50"/>
      <c r="AR1066" s="50"/>
      <c r="AS1066" s="50"/>
      <c r="AT1066" s="51"/>
      <c r="AU1066" s="51"/>
      <c r="AV1066" s="51"/>
      <c r="AW1066" s="51"/>
      <c r="AX1066" s="50"/>
      <c r="AY1066" s="50"/>
      <c r="AZ1066" s="50"/>
      <c r="BA1066" s="50"/>
      <c r="BB1066" s="51"/>
      <c r="BC1066" s="51"/>
      <c r="BD1066" s="51"/>
      <c r="BE1066" s="51"/>
      <c r="BF1066" s="47"/>
      <c r="BG1066" s="47"/>
      <c r="BH1066" s="47"/>
      <c r="BI1066" s="47"/>
      <c r="BJ1066" s="47"/>
      <c r="BK1066" s="47"/>
      <c r="BL1066" s="47"/>
      <c r="BM1066" s="47"/>
      <c r="BN1066" s="47"/>
      <c r="BO1066" s="47"/>
      <c r="BP1066" s="47"/>
      <c r="BQ1066" s="47"/>
      <c r="BR1066" s="47"/>
      <c r="BS1066" s="47"/>
      <c r="BT1066" s="47"/>
    </row>
    <row r="1067">
      <c r="A1067" s="24"/>
      <c r="B1067" s="48"/>
      <c r="C1067" s="49"/>
      <c r="D1067" s="24"/>
      <c r="E1067" s="52"/>
      <c r="F1067" s="53"/>
      <c r="G1067" s="48"/>
      <c r="H1067" s="49"/>
      <c r="I1067" s="49"/>
      <c r="J1067" s="48"/>
      <c r="K1067" s="48"/>
      <c r="L1067" s="48"/>
      <c r="M1067" s="48"/>
      <c r="N1067" s="48"/>
      <c r="O1067" s="48"/>
      <c r="P1067" s="48"/>
      <c r="Q1067" s="48"/>
      <c r="R1067" s="48"/>
      <c r="S1067" s="48"/>
      <c r="T1067" s="48"/>
      <c r="U1067" s="48"/>
      <c r="V1067" s="48"/>
      <c r="W1067" s="49"/>
      <c r="X1067" s="49"/>
      <c r="Y1067" s="49"/>
      <c r="Z1067" s="49"/>
      <c r="AA1067" s="49"/>
      <c r="AB1067" s="49"/>
      <c r="AC1067" s="49"/>
      <c r="AD1067" s="49"/>
      <c r="AE1067" s="49"/>
      <c r="AF1067" s="49"/>
      <c r="AG1067" s="49"/>
      <c r="AH1067" s="49"/>
      <c r="AI1067" s="48"/>
      <c r="AJ1067" s="48"/>
      <c r="AK1067" s="24"/>
      <c r="AL1067" s="50"/>
      <c r="AM1067" s="50"/>
      <c r="AN1067" s="50"/>
      <c r="AO1067" s="50"/>
      <c r="AP1067" s="50"/>
      <c r="AQ1067" s="50"/>
      <c r="AR1067" s="50"/>
      <c r="AS1067" s="50"/>
      <c r="AT1067" s="51"/>
      <c r="AU1067" s="51"/>
      <c r="AV1067" s="51"/>
      <c r="AW1067" s="51"/>
      <c r="AX1067" s="50"/>
      <c r="AY1067" s="50"/>
      <c r="AZ1067" s="50"/>
      <c r="BA1067" s="50"/>
      <c r="BB1067" s="51"/>
      <c r="BC1067" s="51"/>
      <c r="BD1067" s="51"/>
      <c r="BE1067" s="51"/>
      <c r="BF1067" s="47"/>
      <c r="BG1067" s="47"/>
      <c r="BH1067" s="47"/>
      <c r="BI1067" s="47"/>
      <c r="BJ1067" s="47"/>
      <c r="BK1067" s="47"/>
      <c r="BL1067" s="47"/>
      <c r="BM1067" s="47"/>
      <c r="BN1067" s="47"/>
      <c r="BO1067" s="47"/>
      <c r="BP1067" s="47"/>
      <c r="BQ1067" s="47"/>
      <c r="BR1067" s="47"/>
      <c r="BS1067" s="47"/>
      <c r="BT1067" s="47"/>
    </row>
    <row r="1068">
      <c r="A1068" s="24"/>
      <c r="B1068" s="48"/>
      <c r="C1068" s="49"/>
      <c r="D1068" s="24"/>
      <c r="E1068" s="52"/>
      <c r="F1068" s="53"/>
      <c r="G1068" s="48"/>
      <c r="H1068" s="49"/>
      <c r="I1068" s="49"/>
      <c r="J1068" s="48"/>
      <c r="K1068" s="48"/>
      <c r="L1068" s="48"/>
      <c r="M1068" s="48"/>
      <c r="N1068" s="48"/>
      <c r="O1068" s="48"/>
      <c r="P1068" s="48"/>
      <c r="Q1068" s="48"/>
      <c r="R1068" s="48"/>
      <c r="S1068" s="48"/>
      <c r="T1068" s="48"/>
      <c r="U1068" s="48"/>
      <c r="V1068" s="48"/>
      <c r="W1068" s="49"/>
      <c r="X1068" s="49"/>
      <c r="Y1068" s="49"/>
      <c r="Z1068" s="49"/>
      <c r="AA1068" s="49"/>
      <c r="AB1068" s="49"/>
      <c r="AC1068" s="49"/>
      <c r="AD1068" s="49"/>
      <c r="AE1068" s="49"/>
      <c r="AF1068" s="49"/>
      <c r="AG1068" s="49"/>
      <c r="AH1068" s="49"/>
      <c r="AI1068" s="48"/>
      <c r="AJ1068" s="48"/>
      <c r="AK1068" s="24"/>
      <c r="AL1068" s="50"/>
      <c r="AM1068" s="50"/>
      <c r="AN1068" s="50"/>
      <c r="AO1068" s="50"/>
      <c r="AP1068" s="50"/>
      <c r="AQ1068" s="50"/>
      <c r="AR1068" s="50"/>
      <c r="AS1068" s="50"/>
      <c r="AT1068" s="51"/>
      <c r="AU1068" s="51"/>
      <c r="AV1068" s="51"/>
      <c r="AW1068" s="51"/>
      <c r="AX1068" s="50"/>
      <c r="AY1068" s="50"/>
      <c r="AZ1068" s="50"/>
      <c r="BA1068" s="50"/>
      <c r="BB1068" s="51"/>
      <c r="BC1068" s="51"/>
      <c r="BD1068" s="51"/>
      <c r="BE1068" s="51"/>
      <c r="BF1068" s="47"/>
      <c r="BG1068" s="47"/>
      <c r="BH1068" s="47"/>
      <c r="BI1068" s="47"/>
      <c r="BJ1068" s="47"/>
      <c r="BK1068" s="47"/>
      <c r="BL1068" s="47"/>
      <c r="BM1068" s="47"/>
      <c r="BN1068" s="47"/>
      <c r="BO1068" s="47"/>
      <c r="BP1068" s="47"/>
      <c r="BQ1068" s="47"/>
      <c r="BR1068" s="47"/>
      <c r="BS1068" s="47"/>
      <c r="BT1068" s="47"/>
    </row>
    <row r="1069">
      <c r="A1069" s="24"/>
      <c r="B1069" s="48"/>
      <c r="C1069" s="49"/>
      <c r="D1069" s="24"/>
      <c r="E1069" s="52"/>
      <c r="F1069" s="53"/>
      <c r="G1069" s="48"/>
      <c r="H1069" s="49"/>
      <c r="I1069" s="49"/>
      <c r="J1069" s="48"/>
      <c r="K1069" s="48"/>
      <c r="L1069" s="48"/>
      <c r="M1069" s="48"/>
      <c r="N1069" s="48"/>
      <c r="O1069" s="48"/>
      <c r="P1069" s="48"/>
      <c r="Q1069" s="48"/>
      <c r="R1069" s="48"/>
      <c r="S1069" s="48"/>
      <c r="T1069" s="48"/>
      <c r="U1069" s="48"/>
      <c r="V1069" s="48"/>
      <c r="W1069" s="49"/>
      <c r="X1069" s="49"/>
      <c r="Y1069" s="49"/>
      <c r="Z1069" s="49"/>
      <c r="AA1069" s="49"/>
      <c r="AB1069" s="49"/>
      <c r="AC1069" s="49"/>
      <c r="AD1069" s="49"/>
      <c r="AE1069" s="49"/>
      <c r="AF1069" s="49"/>
      <c r="AG1069" s="49"/>
      <c r="AH1069" s="49"/>
      <c r="AI1069" s="48"/>
      <c r="AJ1069" s="48"/>
      <c r="AK1069" s="24"/>
      <c r="AL1069" s="50"/>
      <c r="AM1069" s="50"/>
      <c r="AN1069" s="50"/>
      <c r="AO1069" s="50"/>
      <c r="AP1069" s="50"/>
      <c r="AQ1069" s="50"/>
      <c r="AR1069" s="50"/>
      <c r="AS1069" s="50"/>
      <c r="AT1069" s="51"/>
      <c r="AU1069" s="51"/>
      <c r="AV1069" s="51"/>
      <c r="AW1069" s="51"/>
      <c r="AX1069" s="50"/>
      <c r="AY1069" s="50"/>
      <c r="AZ1069" s="50"/>
      <c r="BA1069" s="50"/>
      <c r="BB1069" s="51"/>
      <c r="BC1069" s="51"/>
      <c r="BD1069" s="51"/>
      <c r="BE1069" s="51"/>
      <c r="BF1069" s="47"/>
      <c r="BG1069" s="47"/>
      <c r="BH1069" s="47"/>
      <c r="BI1069" s="47"/>
      <c r="BJ1069" s="47"/>
      <c r="BK1069" s="47"/>
      <c r="BL1069" s="47"/>
      <c r="BM1069" s="47"/>
      <c r="BN1069" s="47"/>
      <c r="BO1069" s="47"/>
      <c r="BP1069" s="47"/>
      <c r="BQ1069" s="47"/>
      <c r="BR1069" s="47"/>
      <c r="BS1069" s="47"/>
      <c r="BT1069" s="47"/>
    </row>
    <row r="1070">
      <c r="A1070" s="24"/>
      <c r="B1070" s="48"/>
      <c r="C1070" s="49"/>
      <c r="D1070" s="24"/>
      <c r="E1070" s="52"/>
      <c r="F1070" s="53"/>
      <c r="G1070" s="48"/>
      <c r="H1070" s="49"/>
      <c r="I1070" s="49"/>
      <c r="J1070" s="48"/>
      <c r="K1070" s="48"/>
      <c r="L1070" s="48"/>
      <c r="M1070" s="48"/>
      <c r="N1070" s="48"/>
      <c r="O1070" s="48"/>
      <c r="P1070" s="48"/>
      <c r="Q1070" s="48"/>
      <c r="R1070" s="48"/>
      <c r="S1070" s="48"/>
      <c r="T1070" s="48"/>
      <c r="U1070" s="48"/>
      <c r="V1070" s="48"/>
      <c r="W1070" s="49"/>
      <c r="X1070" s="49"/>
      <c r="Y1070" s="49"/>
      <c r="Z1070" s="49"/>
      <c r="AA1070" s="49"/>
      <c r="AB1070" s="49"/>
      <c r="AC1070" s="49"/>
      <c r="AD1070" s="49"/>
      <c r="AE1070" s="49"/>
      <c r="AF1070" s="49"/>
      <c r="AG1070" s="49"/>
      <c r="AH1070" s="49"/>
      <c r="AI1070" s="48"/>
      <c r="AJ1070" s="48"/>
      <c r="AK1070" s="24"/>
      <c r="AL1070" s="50"/>
      <c r="AM1070" s="50"/>
      <c r="AN1070" s="50"/>
      <c r="AO1070" s="50"/>
      <c r="AP1070" s="50"/>
      <c r="AQ1070" s="50"/>
      <c r="AR1070" s="50"/>
      <c r="AS1070" s="50"/>
      <c r="AT1070" s="51"/>
      <c r="AU1070" s="51"/>
      <c r="AV1070" s="51"/>
      <c r="AW1070" s="51"/>
      <c r="AX1070" s="50"/>
      <c r="AY1070" s="50"/>
      <c r="AZ1070" s="50"/>
      <c r="BA1070" s="50"/>
      <c r="BB1070" s="51"/>
      <c r="BC1070" s="51"/>
      <c r="BD1070" s="51"/>
      <c r="BE1070" s="51"/>
      <c r="BF1070" s="47"/>
      <c r="BG1070" s="47"/>
      <c r="BH1070" s="47"/>
      <c r="BI1070" s="47"/>
      <c r="BJ1070" s="47"/>
      <c r="BK1070" s="47"/>
      <c r="BL1070" s="47"/>
      <c r="BM1070" s="47"/>
      <c r="BN1070" s="47"/>
      <c r="BO1070" s="47"/>
      <c r="BP1070" s="47"/>
      <c r="BQ1070" s="47"/>
      <c r="BR1070" s="47"/>
      <c r="BS1070" s="47"/>
      <c r="BT1070" s="47"/>
    </row>
    <row r="1071">
      <c r="A1071" s="24"/>
      <c r="B1071" s="48"/>
      <c r="C1071" s="49"/>
      <c r="D1071" s="24"/>
      <c r="E1071" s="52"/>
      <c r="F1071" s="53"/>
      <c r="G1071" s="48"/>
      <c r="H1071" s="49"/>
      <c r="I1071" s="49"/>
      <c r="J1071" s="48"/>
      <c r="K1071" s="48"/>
      <c r="L1071" s="48"/>
      <c r="M1071" s="48"/>
      <c r="N1071" s="48"/>
      <c r="O1071" s="48"/>
      <c r="P1071" s="48"/>
      <c r="Q1071" s="48"/>
      <c r="R1071" s="48"/>
      <c r="S1071" s="48"/>
      <c r="T1071" s="48"/>
      <c r="U1071" s="48"/>
      <c r="V1071" s="48"/>
      <c r="W1071" s="49"/>
      <c r="X1071" s="49"/>
      <c r="Y1071" s="49"/>
      <c r="Z1071" s="49"/>
      <c r="AA1071" s="49"/>
      <c r="AB1071" s="49"/>
      <c r="AC1071" s="49"/>
      <c r="AD1071" s="49"/>
      <c r="AE1071" s="49"/>
      <c r="AF1071" s="49"/>
      <c r="AG1071" s="49"/>
      <c r="AH1071" s="49"/>
      <c r="AI1071" s="48"/>
      <c r="AJ1071" s="48"/>
      <c r="AK1071" s="24"/>
      <c r="AL1071" s="50"/>
      <c r="AM1071" s="50"/>
      <c r="AN1071" s="50"/>
      <c r="AO1071" s="50"/>
      <c r="AP1071" s="50"/>
      <c r="AQ1071" s="50"/>
      <c r="AR1071" s="50"/>
      <c r="AS1071" s="50"/>
      <c r="AT1071" s="51"/>
      <c r="AU1071" s="51"/>
      <c r="AV1071" s="51"/>
      <c r="AW1071" s="51"/>
      <c r="AX1071" s="50"/>
      <c r="AY1071" s="50"/>
      <c r="AZ1071" s="50"/>
      <c r="BA1071" s="50"/>
      <c r="BB1071" s="51"/>
      <c r="BC1071" s="51"/>
      <c r="BD1071" s="51"/>
      <c r="BE1071" s="51"/>
      <c r="BF1071" s="47"/>
      <c r="BG1071" s="47"/>
      <c r="BH1071" s="47"/>
      <c r="BI1071" s="47"/>
      <c r="BJ1071" s="47"/>
      <c r="BK1071" s="47"/>
      <c r="BL1071" s="47"/>
      <c r="BM1071" s="47"/>
      <c r="BN1071" s="47"/>
      <c r="BO1071" s="47"/>
      <c r="BP1071" s="47"/>
      <c r="BQ1071" s="47"/>
      <c r="BR1071" s="47"/>
      <c r="BS1071" s="47"/>
      <c r="BT1071" s="47"/>
    </row>
    <row r="1072">
      <c r="A1072" s="24"/>
      <c r="B1072" s="48"/>
      <c r="C1072" s="49"/>
      <c r="D1072" s="24"/>
      <c r="E1072" s="52"/>
      <c r="F1072" s="53"/>
      <c r="G1072" s="48"/>
      <c r="H1072" s="49"/>
      <c r="I1072" s="49"/>
      <c r="J1072" s="48"/>
      <c r="K1072" s="48"/>
      <c r="L1072" s="48"/>
      <c r="M1072" s="48"/>
      <c r="N1072" s="48"/>
      <c r="O1072" s="48"/>
      <c r="P1072" s="48"/>
      <c r="Q1072" s="48"/>
      <c r="R1072" s="48"/>
      <c r="S1072" s="48"/>
      <c r="T1072" s="48"/>
      <c r="U1072" s="48"/>
      <c r="V1072" s="48"/>
      <c r="W1072" s="49"/>
      <c r="X1072" s="49"/>
      <c r="Y1072" s="49"/>
      <c r="Z1072" s="49"/>
      <c r="AA1072" s="49"/>
      <c r="AB1072" s="49"/>
      <c r="AC1072" s="49"/>
      <c r="AD1072" s="49"/>
      <c r="AE1072" s="49"/>
      <c r="AF1072" s="49"/>
      <c r="AG1072" s="49"/>
      <c r="AH1072" s="49"/>
      <c r="AI1072" s="48"/>
      <c r="AJ1072" s="48"/>
      <c r="AK1072" s="24"/>
      <c r="AL1072" s="50"/>
      <c r="AM1072" s="50"/>
      <c r="AN1072" s="50"/>
      <c r="AO1072" s="50"/>
      <c r="AP1072" s="50"/>
      <c r="AQ1072" s="50"/>
      <c r="AR1072" s="50"/>
      <c r="AS1072" s="50"/>
      <c r="AT1072" s="51"/>
      <c r="AU1072" s="51"/>
      <c r="AV1072" s="51"/>
      <c r="AW1072" s="51"/>
      <c r="AX1072" s="50"/>
      <c r="AY1072" s="50"/>
      <c r="AZ1072" s="50"/>
      <c r="BA1072" s="50"/>
      <c r="BB1072" s="51"/>
      <c r="BC1072" s="51"/>
      <c r="BD1072" s="51"/>
      <c r="BE1072" s="51"/>
      <c r="BF1072" s="47"/>
      <c r="BG1072" s="47"/>
      <c r="BH1072" s="47"/>
      <c r="BI1072" s="47"/>
      <c r="BJ1072" s="47"/>
      <c r="BK1072" s="47"/>
      <c r="BL1072" s="47"/>
      <c r="BM1072" s="47"/>
      <c r="BN1072" s="47"/>
      <c r="BO1072" s="47"/>
      <c r="BP1072" s="47"/>
      <c r="BQ1072" s="47"/>
      <c r="BR1072" s="47"/>
      <c r="BS1072" s="47"/>
      <c r="BT1072" s="47"/>
    </row>
    <row r="1073">
      <c r="A1073" s="24"/>
      <c r="B1073" s="48"/>
      <c r="C1073" s="49"/>
      <c r="D1073" s="24"/>
      <c r="E1073" s="52"/>
      <c r="F1073" s="53"/>
      <c r="G1073" s="48"/>
      <c r="H1073" s="49"/>
      <c r="I1073" s="49"/>
      <c r="J1073" s="48"/>
      <c r="K1073" s="48"/>
      <c r="L1073" s="48"/>
      <c r="M1073" s="48"/>
      <c r="N1073" s="48"/>
      <c r="O1073" s="48"/>
      <c r="P1073" s="48"/>
      <c r="Q1073" s="48"/>
      <c r="R1073" s="48"/>
      <c r="S1073" s="48"/>
      <c r="T1073" s="48"/>
      <c r="U1073" s="48"/>
      <c r="V1073" s="48"/>
      <c r="W1073" s="49"/>
      <c r="X1073" s="49"/>
      <c r="Y1073" s="49"/>
      <c r="Z1073" s="49"/>
      <c r="AA1073" s="49"/>
      <c r="AB1073" s="49"/>
      <c r="AC1073" s="49"/>
      <c r="AD1073" s="49"/>
      <c r="AE1073" s="49"/>
      <c r="AF1073" s="49"/>
      <c r="AG1073" s="49"/>
      <c r="AH1073" s="49"/>
      <c r="AI1073" s="48"/>
      <c r="AJ1073" s="48"/>
      <c r="AK1073" s="24"/>
      <c r="AL1073" s="50"/>
      <c r="AM1073" s="50"/>
      <c r="AN1073" s="50"/>
      <c r="AO1073" s="50"/>
      <c r="AP1073" s="50"/>
      <c r="AQ1073" s="50"/>
      <c r="AR1073" s="50"/>
      <c r="AS1073" s="50"/>
      <c r="AT1073" s="51"/>
      <c r="AU1073" s="51"/>
      <c r="AV1073" s="51"/>
      <c r="AW1073" s="51"/>
      <c r="AX1073" s="50"/>
      <c r="AY1073" s="50"/>
      <c r="AZ1073" s="50"/>
      <c r="BA1073" s="50"/>
      <c r="BB1073" s="51"/>
      <c r="BC1073" s="51"/>
      <c r="BD1073" s="51"/>
      <c r="BE1073" s="51"/>
      <c r="BF1073" s="47"/>
      <c r="BG1073" s="47"/>
      <c r="BH1073" s="47"/>
      <c r="BI1073" s="47"/>
      <c r="BJ1073" s="47"/>
      <c r="BK1073" s="47"/>
      <c r="BL1073" s="47"/>
      <c r="BM1073" s="47"/>
      <c r="BN1073" s="47"/>
      <c r="BO1073" s="47"/>
      <c r="BP1073" s="47"/>
      <c r="BQ1073" s="47"/>
      <c r="BR1073" s="47"/>
      <c r="BS1073" s="47"/>
      <c r="BT1073" s="47"/>
    </row>
    <row r="1074">
      <c r="A1074" s="24"/>
      <c r="B1074" s="48"/>
      <c r="C1074" s="49"/>
      <c r="D1074" s="24"/>
      <c r="E1074" s="52"/>
      <c r="F1074" s="53"/>
      <c r="G1074" s="48"/>
      <c r="H1074" s="49"/>
      <c r="I1074" s="49"/>
      <c r="J1074" s="48"/>
      <c r="K1074" s="48"/>
      <c r="L1074" s="48"/>
      <c r="M1074" s="48"/>
      <c r="N1074" s="48"/>
      <c r="O1074" s="48"/>
      <c r="P1074" s="48"/>
      <c r="Q1074" s="48"/>
      <c r="R1074" s="48"/>
      <c r="S1074" s="48"/>
      <c r="T1074" s="48"/>
      <c r="U1074" s="48"/>
      <c r="V1074" s="48"/>
      <c r="W1074" s="49"/>
      <c r="X1074" s="49"/>
      <c r="Y1074" s="49"/>
      <c r="Z1074" s="49"/>
      <c r="AA1074" s="49"/>
      <c r="AB1074" s="49"/>
      <c r="AC1074" s="49"/>
      <c r="AD1074" s="49"/>
      <c r="AE1074" s="49"/>
      <c r="AF1074" s="49"/>
      <c r="AG1074" s="49"/>
      <c r="AH1074" s="49"/>
      <c r="AI1074" s="48"/>
      <c r="AJ1074" s="48"/>
      <c r="AK1074" s="24"/>
      <c r="AL1074" s="50"/>
      <c r="AM1074" s="50"/>
      <c r="AN1074" s="50"/>
      <c r="AO1074" s="50"/>
      <c r="AP1074" s="50"/>
      <c r="AQ1074" s="50"/>
      <c r="AR1074" s="50"/>
      <c r="AS1074" s="50"/>
      <c r="AT1074" s="51"/>
      <c r="AU1074" s="51"/>
      <c r="AV1074" s="51"/>
      <c r="AW1074" s="51"/>
      <c r="AX1074" s="50"/>
      <c r="AY1074" s="50"/>
      <c r="AZ1074" s="50"/>
      <c r="BA1074" s="50"/>
      <c r="BB1074" s="51"/>
      <c r="BC1074" s="51"/>
      <c r="BD1074" s="51"/>
      <c r="BE1074" s="51"/>
      <c r="BF1074" s="47"/>
      <c r="BG1074" s="47"/>
      <c r="BH1074" s="47"/>
      <c r="BI1074" s="47"/>
      <c r="BJ1074" s="47"/>
      <c r="BK1074" s="47"/>
      <c r="BL1074" s="47"/>
      <c r="BM1074" s="47"/>
      <c r="BN1074" s="47"/>
      <c r="BO1074" s="47"/>
      <c r="BP1074" s="47"/>
      <c r="BQ1074" s="47"/>
      <c r="BR1074" s="47"/>
      <c r="BS1074" s="47"/>
      <c r="BT1074" s="47"/>
    </row>
    <row r="1075">
      <c r="A1075" s="24"/>
      <c r="B1075" s="48"/>
      <c r="C1075" s="49"/>
      <c r="D1075" s="24"/>
      <c r="E1075" s="52"/>
      <c r="F1075" s="53"/>
      <c r="G1075" s="48"/>
      <c r="H1075" s="49"/>
      <c r="I1075" s="49"/>
      <c r="J1075" s="48"/>
      <c r="K1075" s="48"/>
      <c r="L1075" s="48"/>
      <c r="M1075" s="48"/>
      <c r="N1075" s="48"/>
      <c r="O1075" s="48"/>
      <c r="P1075" s="48"/>
      <c r="Q1075" s="48"/>
      <c r="R1075" s="48"/>
      <c r="S1075" s="48"/>
      <c r="T1075" s="48"/>
      <c r="U1075" s="48"/>
      <c r="V1075" s="48"/>
      <c r="W1075" s="49"/>
      <c r="X1075" s="49"/>
      <c r="Y1075" s="49"/>
      <c r="Z1075" s="49"/>
      <c r="AA1075" s="49"/>
      <c r="AB1075" s="49"/>
      <c r="AC1075" s="49"/>
      <c r="AD1075" s="49"/>
      <c r="AE1075" s="49"/>
      <c r="AF1075" s="49"/>
      <c r="AG1075" s="49"/>
      <c r="AH1075" s="49"/>
      <c r="AI1075" s="48"/>
      <c r="AJ1075" s="48"/>
      <c r="AK1075" s="24"/>
      <c r="AL1075" s="50"/>
      <c r="AM1075" s="50"/>
      <c r="AN1075" s="50"/>
      <c r="AO1075" s="50"/>
      <c r="AP1075" s="50"/>
      <c r="AQ1075" s="50"/>
      <c r="AR1075" s="50"/>
      <c r="AS1075" s="50"/>
      <c r="AT1075" s="51"/>
      <c r="AU1075" s="51"/>
      <c r="AV1075" s="51"/>
      <c r="AW1075" s="51"/>
      <c r="AX1075" s="50"/>
      <c r="AY1075" s="50"/>
      <c r="AZ1075" s="50"/>
      <c r="BA1075" s="50"/>
      <c r="BB1075" s="51"/>
      <c r="BC1075" s="51"/>
      <c r="BD1075" s="51"/>
      <c r="BE1075" s="51"/>
      <c r="BF1075" s="47"/>
      <c r="BG1075" s="47"/>
      <c r="BH1075" s="47"/>
      <c r="BI1075" s="47"/>
      <c r="BJ1075" s="47"/>
      <c r="BK1075" s="47"/>
      <c r="BL1075" s="47"/>
      <c r="BM1075" s="47"/>
      <c r="BN1075" s="47"/>
      <c r="BO1075" s="47"/>
      <c r="BP1075" s="47"/>
      <c r="BQ1075" s="47"/>
      <c r="BR1075" s="47"/>
      <c r="BS1075" s="47"/>
      <c r="BT1075" s="47"/>
    </row>
    <row r="1076">
      <c r="A1076" s="24"/>
      <c r="B1076" s="48"/>
      <c r="C1076" s="49"/>
      <c r="D1076" s="24"/>
      <c r="E1076" s="52"/>
      <c r="F1076" s="53"/>
      <c r="G1076" s="48"/>
      <c r="H1076" s="49"/>
      <c r="I1076" s="49"/>
      <c r="J1076" s="48"/>
      <c r="K1076" s="48"/>
      <c r="L1076" s="48"/>
      <c r="M1076" s="48"/>
      <c r="N1076" s="48"/>
      <c r="O1076" s="48"/>
      <c r="P1076" s="48"/>
      <c r="Q1076" s="48"/>
      <c r="R1076" s="48"/>
      <c r="S1076" s="48"/>
      <c r="T1076" s="48"/>
      <c r="U1076" s="48"/>
      <c r="V1076" s="48"/>
      <c r="W1076" s="49"/>
      <c r="X1076" s="49"/>
      <c r="Y1076" s="49"/>
      <c r="Z1076" s="49"/>
      <c r="AA1076" s="49"/>
      <c r="AB1076" s="49"/>
      <c r="AC1076" s="49"/>
      <c r="AD1076" s="49"/>
      <c r="AE1076" s="49"/>
      <c r="AF1076" s="49"/>
      <c r="AG1076" s="49"/>
      <c r="AH1076" s="49"/>
      <c r="AI1076" s="48"/>
      <c r="AJ1076" s="48"/>
      <c r="AK1076" s="24"/>
      <c r="AL1076" s="50"/>
      <c r="AM1076" s="50"/>
      <c r="AN1076" s="50"/>
      <c r="AO1076" s="50"/>
      <c r="AP1076" s="50"/>
      <c r="AQ1076" s="50"/>
      <c r="AR1076" s="50"/>
      <c r="AS1076" s="50"/>
      <c r="AT1076" s="51"/>
      <c r="AU1076" s="51"/>
      <c r="AV1076" s="51"/>
      <c r="AW1076" s="51"/>
      <c r="AX1076" s="50"/>
      <c r="AY1076" s="50"/>
      <c r="AZ1076" s="50"/>
      <c r="BA1076" s="50"/>
      <c r="BB1076" s="51"/>
      <c r="BC1076" s="51"/>
      <c r="BD1076" s="51"/>
      <c r="BE1076" s="51"/>
      <c r="BF1076" s="47"/>
      <c r="BG1076" s="47"/>
      <c r="BH1076" s="47"/>
      <c r="BI1076" s="47"/>
      <c r="BJ1076" s="47"/>
      <c r="BK1076" s="47"/>
      <c r="BL1076" s="47"/>
      <c r="BM1076" s="47"/>
      <c r="BN1076" s="47"/>
      <c r="BO1076" s="47"/>
      <c r="BP1076" s="47"/>
      <c r="BQ1076" s="47"/>
      <c r="BR1076" s="47"/>
      <c r="BS1076" s="47"/>
      <c r="BT1076" s="47"/>
    </row>
    <row r="1077">
      <c r="A1077" s="24"/>
      <c r="B1077" s="48"/>
      <c r="C1077" s="49"/>
      <c r="D1077" s="24"/>
      <c r="E1077" s="52"/>
      <c r="F1077" s="53"/>
      <c r="G1077" s="48"/>
      <c r="H1077" s="49"/>
      <c r="I1077" s="49"/>
      <c r="J1077" s="48"/>
      <c r="K1077" s="48"/>
      <c r="L1077" s="48"/>
      <c r="M1077" s="48"/>
      <c r="N1077" s="48"/>
      <c r="O1077" s="48"/>
      <c r="P1077" s="48"/>
      <c r="Q1077" s="48"/>
      <c r="R1077" s="48"/>
      <c r="S1077" s="48"/>
      <c r="T1077" s="48"/>
      <c r="U1077" s="48"/>
      <c r="V1077" s="48"/>
      <c r="W1077" s="49"/>
      <c r="X1077" s="49"/>
      <c r="Y1077" s="49"/>
      <c r="Z1077" s="49"/>
      <c r="AA1077" s="49"/>
      <c r="AB1077" s="49"/>
      <c r="AC1077" s="49"/>
      <c r="AD1077" s="49"/>
      <c r="AE1077" s="49"/>
      <c r="AF1077" s="49"/>
      <c r="AG1077" s="49"/>
      <c r="AH1077" s="49"/>
      <c r="AI1077" s="48"/>
      <c r="AJ1077" s="48"/>
      <c r="AK1077" s="24"/>
      <c r="AL1077" s="50"/>
      <c r="AM1077" s="50"/>
      <c r="AN1077" s="50"/>
      <c r="AO1077" s="50"/>
      <c r="AP1077" s="50"/>
      <c r="AQ1077" s="50"/>
      <c r="AR1077" s="50"/>
      <c r="AS1077" s="50"/>
      <c r="AT1077" s="51"/>
      <c r="AU1077" s="51"/>
      <c r="AV1077" s="51"/>
      <c r="AW1077" s="51"/>
      <c r="AX1077" s="50"/>
      <c r="AY1077" s="50"/>
      <c r="AZ1077" s="50"/>
      <c r="BA1077" s="50"/>
      <c r="BB1077" s="51"/>
      <c r="BC1077" s="51"/>
      <c r="BD1077" s="51"/>
      <c r="BE1077" s="51"/>
      <c r="BF1077" s="47"/>
      <c r="BG1077" s="47"/>
      <c r="BH1077" s="47"/>
      <c r="BI1077" s="47"/>
      <c r="BJ1077" s="47"/>
      <c r="BK1077" s="47"/>
      <c r="BL1077" s="47"/>
      <c r="BM1077" s="47"/>
      <c r="BN1077" s="47"/>
      <c r="BO1077" s="47"/>
      <c r="BP1077" s="47"/>
      <c r="BQ1077" s="47"/>
      <c r="BR1077" s="47"/>
      <c r="BS1077" s="47"/>
      <c r="BT1077" s="47"/>
    </row>
    <row r="1078">
      <c r="A1078" s="24"/>
      <c r="B1078" s="48"/>
      <c r="C1078" s="49"/>
      <c r="D1078" s="24"/>
      <c r="E1078" s="52"/>
      <c r="F1078" s="53"/>
      <c r="G1078" s="48"/>
      <c r="H1078" s="49"/>
      <c r="I1078" s="49"/>
      <c r="J1078" s="48"/>
      <c r="K1078" s="48"/>
      <c r="L1078" s="48"/>
      <c r="M1078" s="48"/>
      <c r="N1078" s="48"/>
      <c r="O1078" s="48"/>
      <c r="P1078" s="48"/>
      <c r="Q1078" s="48"/>
      <c r="R1078" s="48"/>
      <c r="S1078" s="48"/>
      <c r="T1078" s="48"/>
      <c r="U1078" s="48"/>
      <c r="V1078" s="48"/>
      <c r="W1078" s="49"/>
      <c r="X1078" s="49"/>
      <c r="Y1078" s="49"/>
      <c r="Z1078" s="49"/>
      <c r="AA1078" s="49"/>
      <c r="AB1078" s="49"/>
      <c r="AC1078" s="49"/>
      <c r="AD1078" s="49"/>
      <c r="AE1078" s="49"/>
      <c r="AF1078" s="49"/>
      <c r="AG1078" s="49"/>
      <c r="AH1078" s="49"/>
      <c r="AI1078" s="48"/>
      <c r="AJ1078" s="48"/>
      <c r="AK1078" s="24"/>
      <c r="AL1078" s="50"/>
      <c r="AM1078" s="50"/>
      <c r="AN1078" s="50"/>
      <c r="AO1078" s="50"/>
      <c r="AP1078" s="50"/>
      <c r="AQ1078" s="50"/>
      <c r="AR1078" s="50"/>
      <c r="AS1078" s="50"/>
      <c r="AT1078" s="51"/>
      <c r="AU1078" s="51"/>
      <c r="AV1078" s="51"/>
      <c r="AW1078" s="51"/>
      <c r="AX1078" s="50"/>
      <c r="AY1078" s="50"/>
      <c r="AZ1078" s="50"/>
      <c r="BA1078" s="50"/>
      <c r="BB1078" s="51"/>
      <c r="BC1078" s="51"/>
      <c r="BD1078" s="51"/>
      <c r="BE1078" s="51"/>
      <c r="BF1078" s="47"/>
      <c r="BG1078" s="47"/>
      <c r="BH1078" s="47"/>
      <c r="BI1078" s="47"/>
      <c r="BJ1078" s="47"/>
      <c r="BK1078" s="47"/>
      <c r="BL1078" s="47"/>
      <c r="BM1078" s="47"/>
      <c r="BN1078" s="47"/>
      <c r="BO1078" s="47"/>
      <c r="BP1078" s="47"/>
      <c r="BQ1078" s="47"/>
      <c r="BR1078" s="47"/>
      <c r="BS1078" s="47"/>
      <c r="BT1078" s="47"/>
    </row>
    <row r="1079">
      <c r="A1079" s="24"/>
      <c r="B1079" s="48"/>
      <c r="C1079" s="49"/>
      <c r="D1079" s="24"/>
      <c r="E1079" s="52"/>
      <c r="F1079" s="53"/>
      <c r="G1079" s="48"/>
      <c r="H1079" s="49"/>
      <c r="I1079" s="49"/>
      <c r="J1079" s="48"/>
      <c r="K1079" s="48"/>
      <c r="L1079" s="48"/>
      <c r="M1079" s="48"/>
      <c r="N1079" s="48"/>
      <c r="O1079" s="48"/>
      <c r="P1079" s="48"/>
      <c r="Q1079" s="48"/>
      <c r="R1079" s="48"/>
      <c r="S1079" s="48"/>
      <c r="T1079" s="48"/>
      <c r="U1079" s="48"/>
      <c r="V1079" s="48"/>
      <c r="W1079" s="49"/>
      <c r="X1079" s="49"/>
      <c r="Y1079" s="49"/>
      <c r="Z1079" s="49"/>
      <c r="AA1079" s="49"/>
      <c r="AB1079" s="49"/>
      <c r="AC1079" s="49"/>
      <c r="AD1079" s="49"/>
      <c r="AE1079" s="49"/>
      <c r="AF1079" s="49"/>
      <c r="AG1079" s="49"/>
      <c r="AH1079" s="49"/>
      <c r="AI1079" s="48"/>
      <c r="AJ1079" s="48"/>
      <c r="AK1079" s="24"/>
      <c r="AL1079" s="50"/>
      <c r="AM1079" s="50"/>
      <c r="AN1079" s="50"/>
      <c r="AO1079" s="50"/>
      <c r="AP1079" s="50"/>
      <c r="AQ1079" s="50"/>
      <c r="AR1079" s="50"/>
      <c r="AS1079" s="50"/>
      <c r="AT1079" s="51"/>
      <c r="AU1079" s="51"/>
      <c r="AV1079" s="51"/>
      <c r="AW1079" s="51"/>
      <c r="AX1079" s="50"/>
      <c r="AY1079" s="50"/>
      <c r="AZ1079" s="50"/>
      <c r="BA1079" s="50"/>
      <c r="BB1079" s="51"/>
      <c r="BC1079" s="51"/>
      <c r="BD1079" s="51"/>
      <c r="BE1079" s="51"/>
      <c r="BF1079" s="47"/>
      <c r="BG1079" s="47"/>
      <c r="BH1079" s="47"/>
      <c r="BI1079" s="47"/>
      <c r="BJ1079" s="47"/>
      <c r="BK1079" s="47"/>
      <c r="BL1079" s="47"/>
      <c r="BM1079" s="47"/>
      <c r="BN1079" s="47"/>
      <c r="BO1079" s="47"/>
      <c r="BP1079" s="47"/>
      <c r="BQ1079" s="47"/>
      <c r="BR1079" s="47"/>
      <c r="BS1079" s="47"/>
      <c r="BT1079" s="47"/>
    </row>
    <row r="1080">
      <c r="A1080" s="24"/>
      <c r="B1080" s="48"/>
      <c r="C1080" s="49"/>
      <c r="D1080" s="24"/>
      <c r="E1080" s="52"/>
      <c r="F1080" s="53"/>
      <c r="G1080" s="48"/>
      <c r="H1080" s="49"/>
      <c r="I1080" s="49"/>
      <c r="J1080" s="48"/>
      <c r="K1080" s="48"/>
      <c r="L1080" s="48"/>
      <c r="M1080" s="48"/>
      <c r="N1080" s="48"/>
      <c r="O1080" s="48"/>
      <c r="P1080" s="48"/>
      <c r="Q1080" s="48"/>
      <c r="R1080" s="48"/>
      <c r="S1080" s="48"/>
      <c r="T1080" s="48"/>
      <c r="U1080" s="48"/>
      <c r="V1080" s="48"/>
      <c r="W1080" s="49"/>
      <c r="X1080" s="49"/>
      <c r="Y1080" s="49"/>
      <c r="Z1080" s="49"/>
      <c r="AA1080" s="49"/>
      <c r="AB1080" s="49"/>
      <c r="AC1080" s="49"/>
      <c r="AD1080" s="49"/>
      <c r="AE1080" s="49"/>
      <c r="AF1080" s="49"/>
      <c r="AG1080" s="49"/>
      <c r="AH1080" s="49"/>
      <c r="AI1080" s="48"/>
      <c r="AJ1080" s="48"/>
      <c r="AK1080" s="24"/>
      <c r="AL1080" s="50"/>
      <c r="AM1080" s="50"/>
      <c r="AN1080" s="50"/>
      <c r="AO1080" s="50"/>
      <c r="AP1080" s="50"/>
      <c r="AQ1080" s="50"/>
      <c r="AR1080" s="50"/>
      <c r="AS1080" s="50"/>
      <c r="AT1080" s="51"/>
      <c r="AU1080" s="51"/>
      <c r="AV1080" s="51"/>
      <c r="AW1080" s="51"/>
      <c r="AX1080" s="50"/>
      <c r="AY1080" s="50"/>
      <c r="AZ1080" s="50"/>
      <c r="BA1080" s="50"/>
      <c r="BB1080" s="51"/>
      <c r="BC1080" s="51"/>
      <c r="BD1080" s="51"/>
      <c r="BE1080" s="51"/>
      <c r="BF1080" s="47"/>
      <c r="BG1080" s="47"/>
      <c r="BH1080" s="47"/>
      <c r="BI1080" s="47"/>
      <c r="BJ1080" s="47"/>
      <c r="BK1080" s="47"/>
      <c r="BL1080" s="47"/>
      <c r="BM1080" s="47"/>
      <c r="BN1080" s="47"/>
      <c r="BO1080" s="47"/>
      <c r="BP1080" s="47"/>
      <c r="BQ1080" s="47"/>
      <c r="BR1080" s="47"/>
      <c r="BS1080" s="47"/>
      <c r="BT1080" s="47"/>
    </row>
    <row r="1081">
      <c r="A1081" s="24"/>
      <c r="B1081" s="48"/>
      <c r="C1081" s="49"/>
      <c r="D1081" s="24"/>
      <c r="E1081" s="52"/>
      <c r="F1081" s="53"/>
      <c r="G1081" s="48"/>
      <c r="H1081" s="49"/>
      <c r="I1081" s="49"/>
      <c r="J1081" s="48"/>
      <c r="K1081" s="48"/>
      <c r="L1081" s="48"/>
      <c r="M1081" s="48"/>
      <c r="N1081" s="48"/>
      <c r="O1081" s="48"/>
      <c r="P1081" s="48"/>
      <c r="Q1081" s="48"/>
      <c r="R1081" s="48"/>
      <c r="S1081" s="48"/>
      <c r="T1081" s="48"/>
      <c r="U1081" s="48"/>
      <c r="V1081" s="48"/>
      <c r="W1081" s="49"/>
      <c r="X1081" s="49"/>
      <c r="Y1081" s="49"/>
      <c r="Z1081" s="49"/>
      <c r="AA1081" s="49"/>
      <c r="AB1081" s="49"/>
      <c r="AC1081" s="49"/>
      <c r="AD1081" s="49"/>
      <c r="AE1081" s="49"/>
      <c r="AF1081" s="49"/>
      <c r="AG1081" s="49"/>
      <c r="AH1081" s="49"/>
      <c r="AI1081" s="48"/>
      <c r="AJ1081" s="48"/>
      <c r="AK1081" s="24"/>
      <c r="AL1081" s="50"/>
      <c r="AM1081" s="50"/>
      <c r="AN1081" s="50"/>
      <c r="AO1081" s="50"/>
      <c r="AP1081" s="50"/>
      <c r="AQ1081" s="50"/>
      <c r="AR1081" s="50"/>
      <c r="AS1081" s="50"/>
      <c r="AT1081" s="51"/>
      <c r="AU1081" s="51"/>
      <c r="AV1081" s="51"/>
      <c r="AW1081" s="51"/>
      <c r="AX1081" s="50"/>
      <c r="AY1081" s="50"/>
      <c r="AZ1081" s="50"/>
      <c r="BA1081" s="50"/>
      <c r="BB1081" s="51"/>
      <c r="BC1081" s="51"/>
      <c r="BD1081" s="51"/>
      <c r="BE1081" s="51"/>
      <c r="BF1081" s="47"/>
      <c r="BG1081" s="47"/>
      <c r="BH1081" s="47"/>
      <c r="BI1081" s="47"/>
      <c r="BJ1081" s="47"/>
      <c r="BK1081" s="47"/>
      <c r="BL1081" s="47"/>
      <c r="BM1081" s="47"/>
      <c r="BN1081" s="47"/>
      <c r="BO1081" s="47"/>
      <c r="BP1081" s="47"/>
      <c r="BQ1081" s="47"/>
      <c r="BR1081" s="47"/>
      <c r="BS1081" s="47"/>
      <c r="BT1081" s="47"/>
    </row>
    <row r="1082">
      <c r="A1082" s="24"/>
      <c r="B1082" s="48"/>
      <c r="C1082" s="49"/>
      <c r="D1082" s="24"/>
      <c r="E1082" s="52"/>
      <c r="F1082" s="53"/>
      <c r="G1082" s="48"/>
      <c r="H1082" s="49"/>
      <c r="I1082" s="49"/>
      <c r="J1082" s="48"/>
      <c r="K1082" s="48"/>
      <c r="L1082" s="48"/>
      <c r="M1082" s="48"/>
      <c r="N1082" s="48"/>
      <c r="O1082" s="48"/>
      <c r="P1082" s="48"/>
      <c r="Q1082" s="48"/>
      <c r="R1082" s="48"/>
      <c r="S1082" s="48"/>
      <c r="T1082" s="48"/>
      <c r="U1082" s="48"/>
      <c r="V1082" s="48"/>
      <c r="W1082" s="49"/>
      <c r="X1082" s="49"/>
      <c r="Y1082" s="49"/>
      <c r="Z1082" s="49"/>
      <c r="AA1082" s="49"/>
      <c r="AB1082" s="49"/>
      <c r="AC1082" s="49"/>
      <c r="AD1082" s="49"/>
      <c r="AE1082" s="49"/>
      <c r="AF1082" s="49"/>
      <c r="AG1082" s="49"/>
      <c r="AH1082" s="49"/>
      <c r="AI1082" s="48"/>
      <c r="AJ1082" s="48"/>
      <c r="AK1082" s="24"/>
      <c r="AL1082" s="50"/>
      <c r="AM1082" s="50"/>
      <c r="AN1082" s="50"/>
      <c r="AO1082" s="50"/>
      <c r="AP1082" s="50"/>
      <c r="AQ1082" s="50"/>
      <c r="AR1082" s="50"/>
      <c r="AS1082" s="50"/>
      <c r="AT1082" s="51"/>
      <c r="AU1082" s="51"/>
      <c r="AV1082" s="51"/>
      <c r="AW1082" s="51"/>
      <c r="AX1082" s="50"/>
      <c r="AY1082" s="50"/>
      <c r="AZ1082" s="50"/>
      <c r="BA1082" s="50"/>
      <c r="BB1082" s="51"/>
      <c r="BC1082" s="51"/>
      <c r="BD1082" s="51"/>
      <c r="BE1082" s="51"/>
      <c r="BF1082" s="47"/>
      <c r="BG1082" s="47"/>
      <c r="BH1082" s="47"/>
      <c r="BI1082" s="47"/>
      <c r="BJ1082" s="47"/>
      <c r="BK1082" s="47"/>
      <c r="BL1082" s="47"/>
      <c r="BM1082" s="47"/>
      <c r="BN1082" s="47"/>
      <c r="BO1082" s="47"/>
      <c r="BP1082" s="47"/>
      <c r="BQ1082" s="47"/>
      <c r="BR1082" s="47"/>
      <c r="BS1082" s="47"/>
      <c r="BT1082" s="47"/>
    </row>
    <row r="1083">
      <c r="A1083" s="24"/>
      <c r="B1083" s="48"/>
      <c r="C1083" s="49"/>
      <c r="D1083" s="24"/>
      <c r="E1083" s="52"/>
      <c r="F1083" s="53"/>
      <c r="G1083" s="48"/>
      <c r="H1083" s="49"/>
      <c r="I1083" s="49"/>
      <c r="J1083" s="48"/>
      <c r="K1083" s="48"/>
      <c r="L1083" s="48"/>
      <c r="M1083" s="48"/>
      <c r="N1083" s="48"/>
      <c r="O1083" s="48"/>
      <c r="P1083" s="48"/>
      <c r="Q1083" s="48"/>
      <c r="R1083" s="48"/>
      <c r="S1083" s="48"/>
      <c r="T1083" s="48"/>
      <c r="U1083" s="48"/>
      <c r="V1083" s="48"/>
      <c r="W1083" s="49"/>
      <c r="X1083" s="49"/>
      <c r="Y1083" s="49"/>
      <c r="Z1083" s="49"/>
      <c r="AA1083" s="49"/>
      <c r="AB1083" s="49"/>
      <c r="AC1083" s="49"/>
      <c r="AD1083" s="49"/>
      <c r="AE1083" s="49"/>
      <c r="AF1083" s="49"/>
      <c r="AG1083" s="49"/>
      <c r="AH1083" s="49"/>
      <c r="AI1083" s="48"/>
      <c r="AJ1083" s="48"/>
      <c r="AK1083" s="24"/>
      <c r="AL1083" s="50"/>
      <c r="AM1083" s="50"/>
      <c r="AN1083" s="50"/>
      <c r="AO1083" s="50"/>
      <c r="AP1083" s="50"/>
      <c r="AQ1083" s="50"/>
      <c r="AR1083" s="50"/>
      <c r="AS1083" s="50"/>
      <c r="AT1083" s="51"/>
      <c r="AU1083" s="51"/>
      <c r="AV1083" s="51"/>
      <c r="AW1083" s="51"/>
      <c r="AX1083" s="50"/>
      <c r="AY1083" s="50"/>
      <c r="AZ1083" s="50"/>
      <c r="BA1083" s="50"/>
      <c r="BB1083" s="51"/>
      <c r="BC1083" s="51"/>
      <c r="BD1083" s="51"/>
      <c r="BE1083" s="51"/>
      <c r="BF1083" s="47"/>
      <c r="BG1083" s="47"/>
      <c r="BH1083" s="47"/>
      <c r="BI1083" s="47"/>
      <c r="BJ1083" s="47"/>
      <c r="BK1083" s="47"/>
      <c r="BL1083" s="47"/>
      <c r="BM1083" s="47"/>
      <c r="BN1083" s="47"/>
      <c r="BO1083" s="47"/>
      <c r="BP1083" s="47"/>
      <c r="BQ1083" s="47"/>
      <c r="BR1083" s="47"/>
      <c r="BS1083" s="47"/>
      <c r="BT1083" s="47"/>
    </row>
    <row r="1084">
      <c r="A1084" s="24"/>
      <c r="B1084" s="48"/>
      <c r="C1084" s="49"/>
      <c r="D1084" s="24"/>
      <c r="E1084" s="52"/>
      <c r="F1084" s="53"/>
      <c r="G1084" s="48"/>
      <c r="H1084" s="49"/>
      <c r="I1084" s="49"/>
      <c r="J1084" s="48"/>
      <c r="K1084" s="48"/>
      <c r="L1084" s="48"/>
      <c r="M1084" s="48"/>
      <c r="N1084" s="48"/>
      <c r="O1084" s="48"/>
      <c r="P1084" s="48"/>
      <c r="Q1084" s="48"/>
      <c r="R1084" s="48"/>
      <c r="S1084" s="48"/>
      <c r="T1084" s="48"/>
      <c r="U1084" s="48"/>
      <c r="V1084" s="48"/>
      <c r="W1084" s="49"/>
      <c r="X1084" s="49"/>
      <c r="Y1084" s="49"/>
      <c r="Z1084" s="49"/>
      <c r="AA1084" s="49"/>
      <c r="AB1084" s="49"/>
      <c r="AC1084" s="49"/>
      <c r="AD1084" s="49"/>
      <c r="AE1084" s="49"/>
      <c r="AF1084" s="49"/>
      <c r="AG1084" s="49"/>
      <c r="AH1084" s="49"/>
      <c r="AI1084" s="48"/>
      <c r="AJ1084" s="48"/>
      <c r="AK1084" s="24"/>
      <c r="AL1084" s="50"/>
      <c r="AM1084" s="50"/>
      <c r="AN1084" s="50"/>
      <c r="AO1084" s="50"/>
      <c r="AP1084" s="50"/>
      <c r="AQ1084" s="50"/>
      <c r="AR1084" s="50"/>
      <c r="AS1084" s="50"/>
      <c r="AT1084" s="51"/>
      <c r="AU1084" s="51"/>
      <c r="AV1084" s="51"/>
      <c r="AW1084" s="51"/>
      <c r="AX1084" s="50"/>
      <c r="AY1084" s="50"/>
      <c r="AZ1084" s="50"/>
      <c r="BA1084" s="50"/>
      <c r="BB1084" s="51"/>
      <c r="BC1084" s="51"/>
      <c r="BD1084" s="51"/>
      <c r="BE1084" s="51"/>
      <c r="BF1084" s="47"/>
      <c r="BG1084" s="47"/>
      <c r="BH1084" s="47"/>
      <c r="BI1084" s="47"/>
      <c r="BJ1084" s="47"/>
      <c r="BK1084" s="47"/>
      <c r="BL1084" s="47"/>
      <c r="BM1084" s="47"/>
      <c r="BN1084" s="47"/>
      <c r="BO1084" s="47"/>
      <c r="BP1084" s="47"/>
      <c r="BQ1084" s="47"/>
      <c r="BR1084" s="47"/>
      <c r="BS1084" s="47"/>
      <c r="BT1084" s="47"/>
    </row>
    <row r="1085">
      <c r="A1085" s="24"/>
      <c r="B1085" s="48"/>
      <c r="C1085" s="49"/>
      <c r="D1085" s="24"/>
      <c r="E1085" s="52"/>
      <c r="F1085" s="53"/>
      <c r="G1085" s="48"/>
      <c r="H1085" s="49"/>
      <c r="I1085" s="49"/>
      <c r="J1085" s="48"/>
      <c r="K1085" s="48"/>
      <c r="L1085" s="48"/>
      <c r="M1085" s="48"/>
      <c r="N1085" s="48"/>
      <c r="O1085" s="48"/>
      <c r="P1085" s="48"/>
      <c r="Q1085" s="48"/>
      <c r="R1085" s="48"/>
      <c r="S1085" s="48"/>
      <c r="T1085" s="48"/>
      <c r="U1085" s="48"/>
      <c r="V1085" s="48"/>
      <c r="W1085" s="49"/>
      <c r="X1085" s="49"/>
      <c r="Y1085" s="49"/>
      <c r="Z1085" s="49"/>
      <c r="AA1085" s="49"/>
      <c r="AB1085" s="49"/>
      <c r="AC1085" s="49"/>
      <c r="AD1085" s="49"/>
      <c r="AE1085" s="49"/>
      <c r="AF1085" s="49"/>
      <c r="AG1085" s="49"/>
      <c r="AH1085" s="49"/>
      <c r="AI1085" s="48"/>
      <c r="AJ1085" s="48"/>
      <c r="AK1085" s="24"/>
      <c r="AL1085" s="50"/>
      <c r="AM1085" s="50"/>
      <c r="AN1085" s="50"/>
      <c r="AO1085" s="50"/>
      <c r="AP1085" s="50"/>
      <c r="AQ1085" s="50"/>
      <c r="AR1085" s="50"/>
      <c r="AS1085" s="50"/>
      <c r="AT1085" s="51"/>
      <c r="AU1085" s="51"/>
      <c r="AV1085" s="51"/>
      <c r="AW1085" s="51"/>
      <c r="AX1085" s="50"/>
      <c r="AY1085" s="50"/>
      <c r="AZ1085" s="50"/>
      <c r="BA1085" s="50"/>
      <c r="BB1085" s="51"/>
      <c r="BC1085" s="51"/>
      <c r="BD1085" s="51"/>
      <c r="BE1085" s="51"/>
      <c r="BF1085" s="47"/>
      <c r="BG1085" s="47"/>
      <c r="BH1085" s="47"/>
      <c r="BI1085" s="47"/>
      <c r="BJ1085" s="47"/>
      <c r="BK1085" s="47"/>
      <c r="BL1085" s="47"/>
      <c r="BM1085" s="47"/>
      <c r="BN1085" s="47"/>
      <c r="BO1085" s="47"/>
      <c r="BP1085" s="47"/>
      <c r="BQ1085" s="47"/>
      <c r="BR1085" s="47"/>
      <c r="BS1085" s="47"/>
      <c r="BT1085" s="47"/>
    </row>
    <row r="1086">
      <c r="A1086" s="24"/>
      <c r="B1086" s="48"/>
      <c r="C1086" s="49"/>
      <c r="D1086" s="24"/>
      <c r="E1086" s="52"/>
      <c r="F1086" s="53"/>
      <c r="G1086" s="48"/>
      <c r="H1086" s="49"/>
      <c r="I1086" s="49"/>
      <c r="J1086" s="48"/>
      <c r="K1086" s="48"/>
      <c r="L1086" s="48"/>
      <c r="M1086" s="48"/>
      <c r="N1086" s="48"/>
      <c r="O1086" s="48"/>
      <c r="P1086" s="48"/>
      <c r="Q1086" s="48"/>
      <c r="R1086" s="48"/>
      <c r="S1086" s="48"/>
      <c r="T1086" s="48"/>
      <c r="U1086" s="48"/>
      <c r="V1086" s="48"/>
      <c r="W1086" s="49"/>
      <c r="X1086" s="49"/>
      <c r="Y1086" s="49"/>
      <c r="Z1086" s="49"/>
      <c r="AA1086" s="49"/>
      <c r="AB1086" s="49"/>
      <c r="AC1086" s="49"/>
      <c r="AD1086" s="49"/>
      <c r="AE1086" s="49"/>
      <c r="AF1086" s="49"/>
      <c r="AG1086" s="49"/>
      <c r="AH1086" s="49"/>
      <c r="AI1086" s="48"/>
      <c r="AJ1086" s="48"/>
      <c r="AK1086" s="24"/>
      <c r="AL1086" s="50"/>
      <c r="AM1086" s="50"/>
      <c r="AN1086" s="50"/>
      <c r="AO1086" s="50"/>
      <c r="AP1086" s="50"/>
      <c r="AQ1086" s="50"/>
      <c r="AR1086" s="50"/>
      <c r="AS1086" s="50"/>
      <c r="AT1086" s="51"/>
      <c r="AU1086" s="51"/>
      <c r="AV1086" s="51"/>
      <c r="AW1086" s="51"/>
      <c r="AX1086" s="50"/>
      <c r="AY1086" s="50"/>
      <c r="AZ1086" s="50"/>
      <c r="BA1086" s="50"/>
      <c r="BB1086" s="51"/>
      <c r="BC1086" s="51"/>
      <c r="BD1086" s="51"/>
      <c r="BE1086" s="51"/>
      <c r="BF1086" s="47"/>
      <c r="BG1086" s="47"/>
      <c r="BH1086" s="47"/>
      <c r="BI1086" s="47"/>
      <c r="BJ1086" s="47"/>
      <c r="BK1086" s="47"/>
      <c r="BL1086" s="47"/>
      <c r="BM1086" s="47"/>
      <c r="BN1086" s="47"/>
      <c r="BO1086" s="47"/>
      <c r="BP1086" s="47"/>
      <c r="BQ1086" s="47"/>
      <c r="BR1086" s="47"/>
      <c r="BS1086" s="47"/>
      <c r="BT1086" s="47"/>
    </row>
    <row r="1087">
      <c r="A1087" s="24"/>
      <c r="B1087" s="48"/>
      <c r="C1087" s="49"/>
      <c r="D1087" s="24"/>
      <c r="E1087" s="52"/>
      <c r="F1087" s="53"/>
      <c r="G1087" s="48"/>
      <c r="H1087" s="49"/>
      <c r="I1087" s="49"/>
      <c r="J1087" s="48"/>
      <c r="K1087" s="48"/>
      <c r="L1087" s="48"/>
      <c r="M1087" s="48"/>
      <c r="N1087" s="48"/>
      <c r="O1087" s="48"/>
      <c r="P1087" s="48"/>
      <c r="Q1087" s="48"/>
      <c r="R1087" s="48"/>
      <c r="S1087" s="48"/>
      <c r="T1087" s="48"/>
      <c r="U1087" s="48"/>
      <c r="V1087" s="48"/>
      <c r="W1087" s="49"/>
      <c r="X1087" s="49"/>
      <c r="Y1087" s="49"/>
      <c r="Z1087" s="49"/>
      <c r="AA1087" s="49"/>
      <c r="AB1087" s="49"/>
      <c r="AC1087" s="49"/>
      <c r="AD1087" s="49"/>
      <c r="AE1087" s="49"/>
      <c r="AF1087" s="49"/>
      <c r="AG1087" s="49"/>
      <c r="AH1087" s="49"/>
      <c r="AI1087" s="48"/>
      <c r="AJ1087" s="48"/>
      <c r="AK1087" s="24"/>
      <c r="AL1087" s="50"/>
      <c r="AM1087" s="50"/>
      <c r="AN1087" s="50"/>
      <c r="AO1087" s="50"/>
      <c r="AP1087" s="50"/>
      <c r="AQ1087" s="50"/>
      <c r="AR1087" s="50"/>
      <c r="AS1087" s="50"/>
      <c r="AT1087" s="51"/>
      <c r="AU1087" s="51"/>
      <c r="AV1087" s="51"/>
      <c r="AW1087" s="51"/>
      <c r="AX1087" s="50"/>
      <c r="AY1087" s="50"/>
      <c r="AZ1087" s="50"/>
      <c r="BA1087" s="50"/>
      <c r="BB1087" s="51"/>
      <c r="BC1087" s="51"/>
      <c r="BD1087" s="51"/>
      <c r="BE1087" s="51"/>
      <c r="BF1087" s="47"/>
      <c r="BG1087" s="47"/>
      <c r="BH1087" s="47"/>
      <c r="BI1087" s="47"/>
      <c r="BJ1087" s="47"/>
      <c r="BK1087" s="47"/>
      <c r="BL1087" s="47"/>
      <c r="BM1087" s="47"/>
      <c r="BN1087" s="47"/>
      <c r="BO1087" s="47"/>
      <c r="BP1087" s="47"/>
      <c r="BQ1087" s="47"/>
      <c r="BR1087" s="47"/>
      <c r="BS1087" s="47"/>
      <c r="BT1087" s="47"/>
    </row>
    <row r="1088">
      <c r="A1088" s="24"/>
      <c r="B1088" s="48"/>
      <c r="C1088" s="49"/>
      <c r="D1088" s="24"/>
      <c r="E1088" s="52"/>
      <c r="F1088" s="53"/>
      <c r="G1088" s="48"/>
      <c r="H1088" s="49"/>
      <c r="I1088" s="49"/>
      <c r="J1088" s="48"/>
      <c r="K1088" s="48"/>
      <c r="L1088" s="48"/>
      <c r="M1088" s="48"/>
      <c r="N1088" s="48"/>
      <c r="O1088" s="48"/>
      <c r="P1088" s="48"/>
      <c r="Q1088" s="48"/>
      <c r="R1088" s="48"/>
      <c r="S1088" s="48"/>
      <c r="T1088" s="48"/>
      <c r="U1088" s="48"/>
      <c r="V1088" s="48"/>
      <c r="W1088" s="49"/>
      <c r="X1088" s="49"/>
      <c r="Y1088" s="49"/>
      <c r="Z1088" s="49"/>
      <c r="AA1088" s="49"/>
      <c r="AB1088" s="49"/>
      <c r="AC1088" s="49"/>
      <c r="AD1088" s="49"/>
      <c r="AE1088" s="49"/>
      <c r="AF1088" s="49"/>
      <c r="AG1088" s="49"/>
      <c r="AH1088" s="49"/>
      <c r="AI1088" s="48"/>
      <c r="AJ1088" s="48"/>
      <c r="AK1088" s="24"/>
      <c r="AL1088" s="50"/>
      <c r="AM1088" s="50"/>
      <c r="AN1088" s="50"/>
      <c r="AO1088" s="50"/>
      <c r="AP1088" s="50"/>
      <c r="AQ1088" s="50"/>
      <c r="AR1088" s="50"/>
      <c r="AS1088" s="50"/>
      <c r="AT1088" s="51"/>
      <c r="AU1088" s="51"/>
      <c r="AV1088" s="51"/>
      <c r="AW1088" s="51"/>
      <c r="AX1088" s="50"/>
      <c r="AY1088" s="50"/>
      <c r="AZ1088" s="50"/>
      <c r="BA1088" s="50"/>
      <c r="BB1088" s="51"/>
      <c r="BC1088" s="51"/>
      <c r="BD1088" s="51"/>
      <c r="BE1088" s="51"/>
      <c r="BF1088" s="47"/>
      <c r="BG1088" s="47"/>
      <c r="BH1088" s="47"/>
      <c r="BI1088" s="47"/>
      <c r="BJ1088" s="47"/>
      <c r="BK1088" s="47"/>
      <c r="BL1088" s="47"/>
      <c r="BM1088" s="47"/>
      <c r="BN1088" s="47"/>
      <c r="BO1088" s="47"/>
      <c r="BP1088" s="47"/>
      <c r="BQ1088" s="47"/>
      <c r="BR1088" s="47"/>
      <c r="BS1088" s="47"/>
      <c r="BT1088" s="47"/>
    </row>
    <row r="1089">
      <c r="A1089" s="24"/>
      <c r="B1089" s="48"/>
      <c r="C1089" s="49"/>
      <c r="D1089" s="24"/>
      <c r="E1089" s="52"/>
      <c r="F1089" s="53"/>
      <c r="G1089" s="48"/>
      <c r="H1089" s="49"/>
      <c r="I1089" s="49"/>
      <c r="J1089" s="48"/>
      <c r="K1089" s="48"/>
      <c r="L1089" s="48"/>
      <c r="M1089" s="48"/>
      <c r="N1089" s="48"/>
      <c r="O1089" s="48"/>
      <c r="P1089" s="48"/>
      <c r="Q1089" s="48"/>
      <c r="R1089" s="48"/>
      <c r="S1089" s="48"/>
      <c r="T1089" s="48"/>
      <c r="U1089" s="48"/>
      <c r="V1089" s="48"/>
      <c r="W1089" s="49"/>
      <c r="X1089" s="49"/>
      <c r="Y1089" s="49"/>
      <c r="Z1089" s="49"/>
      <c r="AA1089" s="49"/>
      <c r="AB1089" s="49"/>
      <c r="AC1089" s="49"/>
      <c r="AD1089" s="49"/>
      <c r="AE1089" s="49"/>
      <c r="AF1089" s="49"/>
      <c r="AG1089" s="49"/>
      <c r="AH1089" s="49"/>
      <c r="AI1089" s="48"/>
      <c r="AJ1089" s="48"/>
      <c r="AK1089" s="24"/>
      <c r="AL1089" s="50"/>
      <c r="AM1089" s="50"/>
      <c r="AN1089" s="50"/>
      <c r="AO1089" s="50"/>
      <c r="AP1089" s="50"/>
      <c r="AQ1089" s="50"/>
      <c r="AR1089" s="50"/>
      <c r="AS1089" s="50"/>
      <c r="AT1089" s="51"/>
      <c r="AU1089" s="51"/>
      <c r="AV1089" s="51"/>
      <c r="AW1089" s="51"/>
      <c r="AX1089" s="50"/>
      <c r="AY1089" s="50"/>
      <c r="AZ1089" s="50"/>
      <c r="BA1089" s="50"/>
      <c r="BB1089" s="51"/>
      <c r="BC1089" s="51"/>
      <c r="BD1089" s="51"/>
      <c r="BE1089" s="51"/>
      <c r="BF1089" s="47"/>
      <c r="BG1089" s="47"/>
      <c r="BH1089" s="47"/>
      <c r="BI1089" s="47"/>
      <c r="BJ1089" s="47"/>
      <c r="BK1089" s="47"/>
      <c r="BL1089" s="47"/>
      <c r="BM1089" s="47"/>
      <c r="BN1089" s="47"/>
      <c r="BO1089" s="47"/>
      <c r="BP1089" s="47"/>
      <c r="BQ1089" s="47"/>
      <c r="BR1089" s="47"/>
      <c r="BS1089" s="47"/>
      <c r="BT1089" s="47"/>
    </row>
    <row r="1090">
      <c r="A1090" s="24"/>
      <c r="B1090" s="48"/>
      <c r="C1090" s="49"/>
      <c r="D1090" s="24"/>
      <c r="E1090" s="52"/>
      <c r="F1090" s="53"/>
      <c r="G1090" s="48"/>
      <c r="H1090" s="49"/>
      <c r="I1090" s="49"/>
      <c r="J1090" s="48"/>
      <c r="K1090" s="48"/>
      <c r="L1090" s="48"/>
      <c r="M1090" s="48"/>
      <c r="N1090" s="48"/>
      <c r="O1090" s="48"/>
      <c r="P1090" s="48"/>
      <c r="Q1090" s="48"/>
      <c r="R1090" s="48"/>
      <c r="S1090" s="48"/>
      <c r="T1090" s="48"/>
      <c r="U1090" s="48"/>
      <c r="V1090" s="48"/>
      <c r="W1090" s="49"/>
      <c r="X1090" s="49"/>
      <c r="Y1090" s="49"/>
      <c r="Z1090" s="49"/>
      <c r="AA1090" s="49"/>
      <c r="AB1090" s="49"/>
      <c r="AC1090" s="49"/>
      <c r="AD1090" s="49"/>
      <c r="AE1090" s="49"/>
      <c r="AF1090" s="49"/>
      <c r="AG1090" s="49"/>
      <c r="AH1090" s="49"/>
      <c r="AI1090" s="48"/>
      <c r="AJ1090" s="48"/>
      <c r="AK1090" s="24"/>
      <c r="AL1090" s="50"/>
      <c r="AM1090" s="50"/>
      <c r="AN1090" s="50"/>
      <c r="AO1090" s="50"/>
      <c r="AP1090" s="50"/>
      <c r="AQ1090" s="50"/>
      <c r="AR1090" s="50"/>
      <c r="AS1090" s="50"/>
      <c r="AT1090" s="51"/>
      <c r="AU1090" s="51"/>
      <c r="AV1090" s="51"/>
      <c r="AW1090" s="51"/>
      <c r="AX1090" s="50"/>
      <c r="AY1090" s="50"/>
      <c r="AZ1090" s="50"/>
      <c r="BA1090" s="50"/>
      <c r="BB1090" s="51"/>
      <c r="BC1090" s="51"/>
      <c r="BD1090" s="51"/>
      <c r="BE1090" s="51"/>
      <c r="BF1090" s="47"/>
      <c r="BG1090" s="47"/>
      <c r="BH1090" s="47"/>
      <c r="BI1090" s="47"/>
      <c r="BJ1090" s="47"/>
      <c r="BK1090" s="47"/>
      <c r="BL1090" s="47"/>
      <c r="BM1090" s="47"/>
      <c r="BN1090" s="47"/>
      <c r="BO1090" s="47"/>
      <c r="BP1090" s="47"/>
      <c r="BQ1090" s="47"/>
      <c r="BR1090" s="47"/>
      <c r="BS1090" s="47"/>
      <c r="BT1090" s="47"/>
    </row>
    <row r="1091">
      <c r="A1091" s="24"/>
      <c r="B1091" s="48"/>
      <c r="C1091" s="49"/>
      <c r="D1091" s="24"/>
      <c r="E1091" s="52"/>
      <c r="F1091" s="53"/>
      <c r="G1091" s="48"/>
      <c r="H1091" s="49"/>
      <c r="I1091" s="49"/>
      <c r="J1091" s="48"/>
      <c r="K1091" s="48"/>
      <c r="L1091" s="48"/>
      <c r="M1091" s="48"/>
      <c r="N1091" s="48"/>
      <c r="O1091" s="48"/>
      <c r="P1091" s="48"/>
      <c r="Q1091" s="48"/>
      <c r="R1091" s="48"/>
      <c r="S1091" s="48"/>
      <c r="T1091" s="48"/>
      <c r="U1091" s="48"/>
      <c r="V1091" s="48"/>
      <c r="W1091" s="49"/>
      <c r="X1091" s="49"/>
      <c r="Y1091" s="49"/>
      <c r="Z1091" s="49"/>
      <c r="AA1091" s="49"/>
      <c r="AB1091" s="49"/>
      <c r="AC1091" s="49"/>
      <c r="AD1091" s="49"/>
      <c r="AE1091" s="49"/>
      <c r="AF1091" s="49"/>
      <c r="AG1091" s="49"/>
      <c r="AH1091" s="49"/>
      <c r="AI1091" s="48"/>
      <c r="AJ1091" s="48"/>
      <c r="AK1091" s="24"/>
      <c r="AL1091" s="50"/>
      <c r="AM1091" s="50"/>
      <c r="AN1091" s="50"/>
      <c r="AO1091" s="50"/>
      <c r="AP1091" s="50"/>
      <c r="AQ1091" s="50"/>
      <c r="AR1091" s="50"/>
      <c r="AS1091" s="50"/>
      <c r="AT1091" s="51"/>
      <c r="AU1091" s="51"/>
      <c r="AV1091" s="51"/>
      <c r="AW1091" s="51"/>
      <c r="AX1091" s="50"/>
      <c r="AY1091" s="50"/>
      <c r="AZ1091" s="50"/>
      <c r="BA1091" s="50"/>
      <c r="BB1091" s="51"/>
      <c r="BC1091" s="51"/>
      <c r="BD1091" s="51"/>
      <c r="BE1091" s="51"/>
      <c r="BF1091" s="47"/>
      <c r="BG1091" s="47"/>
      <c r="BH1091" s="47"/>
      <c r="BI1091" s="47"/>
      <c r="BJ1091" s="47"/>
      <c r="BK1091" s="47"/>
      <c r="BL1091" s="47"/>
      <c r="BM1091" s="47"/>
      <c r="BN1091" s="47"/>
      <c r="BO1091" s="47"/>
      <c r="BP1091" s="47"/>
      <c r="BQ1091" s="47"/>
      <c r="BR1091" s="47"/>
      <c r="BS1091" s="47"/>
      <c r="BT1091" s="47"/>
    </row>
    <row r="1092">
      <c r="A1092" s="24"/>
      <c r="B1092" s="48"/>
      <c r="C1092" s="49"/>
      <c r="D1092" s="24"/>
      <c r="E1092" s="52"/>
      <c r="F1092" s="53"/>
      <c r="G1092" s="48"/>
      <c r="H1092" s="49"/>
      <c r="I1092" s="49"/>
      <c r="J1092" s="48"/>
      <c r="K1092" s="48"/>
      <c r="L1092" s="48"/>
      <c r="M1092" s="48"/>
      <c r="N1092" s="48"/>
      <c r="O1092" s="48"/>
      <c r="P1092" s="48"/>
      <c r="Q1092" s="48"/>
      <c r="R1092" s="48"/>
      <c r="S1092" s="48"/>
      <c r="T1092" s="48"/>
      <c r="U1092" s="48"/>
      <c r="V1092" s="48"/>
      <c r="W1092" s="49"/>
      <c r="X1092" s="49"/>
      <c r="Y1092" s="49"/>
      <c r="Z1092" s="49"/>
      <c r="AA1092" s="49"/>
      <c r="AB1092" s="49"/>
      <c r="AC1092" s="49"/>
      <c r="AD1092" s="49"/>
      <c r="AE1092" s="49"/>
      <c r="AF1092" s="49"/>
      <c r="AG1092" s="49"/>
      <c r="AH1092" s="49"/>
      <c r="AI1092" s="48"/>
      <c r="AJ1092" s="48"/>
      <c r="AK1092" s="24"/>
      <c r="AL1092" s="50"/>
      <c r="AM1092" s="50"/>
      <c r="AN1092" s="50"/>
      <c r="AO1092" s="50"/>
      <c r="AP1092" s="50"/>
      <c r="AQ1092" s="50"/>
      <c r="AR1092" s="50"/>
      <c r="AS1092" s="50"/>
      <c r="AT1092" s="51"/>
      <c r="AU1092" s="51"/>
      <c r="AV1092" s="51"/>
      <c r="AW1092" s="51"/>
      <c r="AX1092" s="50"/>
      <c r="AY1092" s="50"/>
      <c r="AZ1092" s="50"/>
      <c r="BA1092" s="50"/>
      <c r="BB1092" s="51"/>
      <c r="BC1092" s="51"/>
      <c r="BD1092" s="51"/>
      <c r="BE1092" s="51"/>
      <c r="BF1092" s="47"/>
      <c r="BG1092" s="47"/>
      <c r="BH1092" s="47"/>
      <c r="BI1092" s="47"/>
      <c r="BJ1092" s="47"/>
      <c r="BK1092" s="47"/>
      <c r="BL1092" s="47"/>
      <c r="BM1092" s="47"/>
      <c r="BN1092" s="47"/>
      <c r="BO1092" s="47"/>
      <c r="BP1092" s="47"/>
      <c r="BQ1092" s="47"/>
      <c r="BR1092" s="47"/>
      <c r="BS1092" s="47"/>
      <c r="BT1092" s="47"/>
    </row>
    <row r="1093">
      <c r="A1093" s="24"/>
      <c r="B1093" s="48"/>
      <c r="C1093" s="49"/>
      <c r="D1093" s="24"/>
      <c r="E1093" s="52"/>
      <c r="F1093" s="53"/>
      <c r="G1093" s="48"/>
      <c r="H1093" s="49"/>
      <c r="I1093" s="49"/>
      <c r="J1093" s="48"/>
      <c r="K1093" s="48"/>
      <c r="L1093" s="48"/>
      <c r="M1093" s="48"/>
      <c r="N1093" s="48"/>
      <c r="O1093" s="48"/>
      <c r="P1093" s="48"/>
      <c r="Q1093" s="48"/>
      <c r="R1093" s="48"/>
      <c r="S1093" s="48"/>
      <c r="T1093" s="48"/>
      <c r="U1093" s="48"/>
      <c r="V1093" s="48"/>
      <c r="W1093" s="49"/>
      <c r="X1093" s="49"/>
      <c r="Y1093" s="49"/>
      <c r="Z1093" s="49"/>
      <c r="AA1093" s="49"/>
      <c r="AB1093" s="49"/>
      <c r="AC1093" s="49"/>
      <c r="AD1093" s="49"/>
      <c r="AE1093" s="49"/>
      <c r="AF1093" s="49"/>
      <c r="AG1093" s="49"/>
      <c r="AH1093" s="49"/>
      <c r="AI1093" s="48"/>
      <c r="AJ1093" s="48"/>
      <c r="AK1093" s="24"/>
      <c r="AL1093" s="50"/>
      <c r="AM1093" s="50"/>
      <c r="AN1093" s="50"/>
      <c r="AO1093" s="50"/>
      <c r="AP1093" s="50"/>
      <c r="AQ1093" s="50"/>
      <c r="AR1093" s="50"/>
      <c r="AS1093" s="50"/>
      <c r="AT1093" s="51"/>
      <c r="AU1093" s="51"/>
      <c r="AV1093" s="51"/>
      <c r="AW1093" s="51"/>
      <c r="AX1093" s="50"/>
      <c r="AY1093" s="50"/>
      <c r="AZ1093" s="50"/>
      <c r="BA1093" s="50"/>
      <c r="BB1093" s="51"/>
      <c r="BC1093" s="51"/>
      <c r="BD1093" s="51"/>
      <c r="BE1093" s="51"/>
      <c r="BF1093" s="47"/>
      <c r="BG1093" s="47"/>
      <c r="BH1093" s="47"/>
      <c r="BI1093" s="47"/>
      <c r="BJ1093" s="47"/>
      <c r="BK1093" s="47"/>
      <c r="BL1093" s="47"/>
      <c r="BM1093" s="47"/>
      <c r="BN1093" s="47"/>
      <c r="BO1093" s="47"/>
      <c r="BP1093" s="47"/>
      <c r="BQ1093" s="47"/>
      <c r="BR1093" s="47"/>
      <c r="BS1093" s="47"/>
      <c r="BT1093" s="47"/>
    </row>
    <row r="1094">
      <c r="A1094" s="24"/>
      <c r="B1094" s="48"/>
      <c r="C1094" s="49"/>
      <c r="D1094" s="24"/>
      <c r="E1094" s="52"/>
      <c r="F1094" s="53"/>
      <c r="G1094" s="48"/>
      <c r="H1094" s="49"/>
      <c r="I1094" s="49"/>
      <c r="J1094" s="48"/>
      <c r="K1094" s="48"/>
      <c r="L1094" s="48"/>
      <c r="M1094" s="48"/>
      <c r="N1094" s="48"/>
      <c r="O1094" s="48"/>
      <c r="P1094" s="48"/>
      <c r="Q1094" s="48"/>
      <c r="R1094" s="48"/>
      <c r="S1094" s="48"/>
      <c r="T1094" s="48"/>
      <c r="U1094" s="48"/>
      <c r="V1094" s="48"/>
      <c r="W1094" s="49"/>
      <c r="X1094" s="49"/>
      <c r="Y1094" s="49"/>
      <c r="Z1094" s="49"/>
      <c r="AA1094" s="49"/>
      <c r="AB1094" s="49"/>
      <c r="AC1094" s="49"/>
      <c r="AD1094" s="49"/>
      <c r="AE1094" s="49"/>
      <c r="AF1094" s="49"/>
      <c r="AG1094" s="49"/>
      <c r="AH1094" s="49"/>
      <c r="AI1094" s="48"/>
      <c r="AJ1094" s="48"/>
      <c r="AK1094" s="24"/>
      <c r="AL1094" s="50"/>
      <c r="AM1094" s="50"/>
      <c r="AN1094" s="50"/>
      <c r="AO1094" s="50"/>
      <c r="AP1094" s="50"/>
      <c r="AQ1094" s="50"/>
      <c r="AR1094" s="50"/>
      <c r="AS1094" s="50"/>
      <c r="AT1094" s="51"/>
      <c r="AU1094" s="51"/>
      <c r="AV1094" s="51"/>
      <c r="AW1094" s="51"/>
      <c r="AX1094" s="50"/>
      <c r="AY1094" s="50"/>
      <c r="AZ1094" s="50"/>
      <c r="BA1094" s="50"/>
      <c r="BB1094" s="51"/>
      <c r="BC1094" s="51"/>
      <c r="BD1094" s="51"/>
      <c r="BE1094" s="51"/>
      <c r="BF1094" s="47"/>
      <c r="BG1094" s="47"/>
      <c r="BH1094" s="47"/>
      <c r="BI1094" s="47"/>
      <c r="BJ1094" s="47"/>
      <c r="BK1094" s="47"/>
      <c r="BL1094" s="47"/>
      <c r="BM1094" s="47"/>
      <c r="BN1094" s="47"/>
      <c r="BO1094" s="47"/>
      <c r="BP1094" s="47"/>
      <c r="BQ1094" s="47"/>
      <c r="BR1094" s="47"/>
      <c r="BS1094" s="47"/>
      <c r="BT1094" s="47"/>
    </row>
    <row r="1095">
      <c r="A1095" s="24"/>
      <c r="B1095" s="48"/>
      <c r="C1095" s="49"/>
      <c r="D1095" s="24"/>
      <c r="E1095" s="52"/>
      <c r="F1095" s="53"/>
      <c r="G1095" s="48"/>
      <c r="H1095" s="49"/>
      <c r="I1095" s="49"/>
      <c r="J1095" s="48"/>
      <c r="K1095" s="48"/>
      <c r="L1095" s="48"/>
      <c r="M1095" s="48"/>
      <c r="N1095" s="48"/>
      <c r="O1095" s="48"/>
      <c r="P1095" s="48"/>
      <c r="Q1095" s="48"/>
      <c r="R1095" s="48"/>
      <c r="S1095" s="48"/>
      <c r="T1095" s="48"/>
      <c r="U1095" s="48"/>
      <c r="V1095" s="48"/>
      <c r="W1095" s="49"/>
      <c r="X1095" s="49"/>
      <c r="Y1095" s="49"/>
      <c r="Z1095" s="49"/>
      <c r="AA1095" s="49"/>
      <c r="AB1095" s="49"/>
      <c r="AC1095" s="49"/>
      <c r="AD1095" s="49"/>
      <c r="AE1095" s="49"/>
      <c r="AF1095" s="49"/>
      <c r="AG1095" s="49"/>
      <c r="AH1095" s="49"/>
      <c r="AI1095" s="48"/>
      <c r="AJ1095" s="48"/>
      <c r="AK1095" s="24"/>
      <c r="AL1095" s="50"/>
      <c r="AM1095" s="50"/>
      <c r="AN1095" s="50"/>
      <c r="AO1095" s="50"/>
      <c r="AP1095" s="50"/>
      <c r="AQ1095" s="50"/>
      <c r="AR1095" s="50"/>
      <c r="AS1095" s="50"/>
      <c r="AT1095" s="51"/>
      <c r="AU1095" s="51"/>
      <c r="AV1095" s="51"/>
      <c r="AW1095" s="51"/>
      <c r="AX1095" s="50"/>
      <c r="AY1095" s="50"/>
      <c r="AZ1095" s="50"/>
      <c r="BA1095" s="50"/>
      <c r="BB1095" s="51"/>
      <c r="BC1095" s="51"/>
      <c r="BD1095" s="51"/>
      <c r="BE1095" s="51"/>
      <c r="BF1095" s="47"/>
      <c r="BG1095" s="47"/>
      <c r="BH1095" s="47"/>
      <c r="BI1095" s="47"/>
      <c r="BJ1095" s="47"/>
      <c r="BK1095" s="47"/>
      <c r="BL1095" s="47"/>
      <c r="BM1095" s="47"/>
      <c r="BN1095" s="47"/>
      <c r="BO1095" s="47"/>
      <c r="BP1095" s="47"/>
      <c r="BQ1095" s="47"/>
      <c r="BR1095" s="47"/>
      <c r="BS1095" s="47"/>
      <c r="BT1095" s="47"/>
    </row>
    <row r="1096">
      <c r="A1096" s="24"/>
      <c r="B1096" s="48"/>
      <c r="C1096" s="49"/>
      <c r="D1096" s="24"/>
      <c r="E1096" s="52"/>
      <c r="F1096" s="53"/>
      <c r="G1096" s="48"/>
      <c r="H1096" s="49"/>
      <c r="I1096" s="49"/>
      <c r="J1096" s="48"/>
      <c r="K1096" s="48"/>
      <c r="L1096" s="48"/>
      <c r="M1096" s="48"/>
      <c r="N1096" s="48"/>
      <c r="O1096" s="48"/>
      <c r="P1096" s="48"/>
      <c r="Q1096" s="48"/>
      <c r="R1096" s="48"/>
      <c r="S1096" s="48"/>
      <c r="T1096" s="48"/>
      <c r="U1096" s="48"/>
      <c r="V1096" s="48"/>
      <c r="W1096" s="49"/>
      <c r="X1096" s="49"/>
      <c r="Y1096" s="49"/>
      <c r="Z1096" s="49"/>
      <c r="AA1096" s="49"/>
      <c r="AB1096" s="49"/>
      <c r="AC1096" s="49"/>
      <c r="AD1096" s="49"/>
      <c r="AE1096" s="49"/>
      <c r="AF1096" s="49"/>
      <c r="AG1096" s="49"/>
      <c r="AH1096" s="49"/>
      <c r="AI1096" s="48"/>
      <c r="AJ1096" s="48"/>
      <c r="AK1096" s="24"/>
      <c r="AL1096" s="50"/>
      <c r="AM1096" s="50"/>
      <c r="AN1096" s="50"/>
      <c r="AO1096" s="50"/>
      <c r="AP1096" s="50"/>
      <c r="AQ1096" s="50"/>
      <c r="AR1096" s="50"/>
      <c r="AS1096" s="50"/>
      <c r="AT1096" s="51"/>
      <c r="AU1096" s="51"/>
      <c r="AV1096" s="51"/>
      <c r="AW1096" s="51"/>
      <c r="AX1096" s="50"/>
      <c r="AY1096" s="50"/>
      <c r="AZ1096" s="50"/>
      <c r="BA1096" s="50"/>
      <c r="BB1096" s="51"/>
      <c r="BC1096" s="51"/>
      <c r="BD1096" s="51"/>
      <c r="BE1096" s="51"/>
      <c r="BF1096" s="47"/>
      <c r="BG1096" s="47"/>
      <c r="BH1096" s="47"/>
      <c r="BI1096" s="47"/>
      <c r="BJ1096" s="47"/>
      <c r="BK1096" s="47"/>
      <c r="BL1096" s="47"/>
      <c r="BM1096" s="47"/>
      <c r="BN1096" s="47"/>
      <c r="BO1096" s="47"/>
      <c r="BP1096" s="47"/>
      <c r="BQ1096" s="47"/>
      <c r="BR1096" s="47"/>
      <c r="BS1096" s="47"/>
      <c r="BT1096" s="47"/>
    </row>
    <row r="1097">
      <c r="A1097" s="24"/>
      <c r="B1097" s="48"/>
      <c r="C1097" s="49"/>
      <c r="D1097" s="24"/>
      <c r="E1097" s="52"/>
      <c r="F1097" s="53"/>
      <c r="G1097" s="48"/>
      <c r="H1097" s="49"/>
      <c r="I1097" s="49"/>
      <c r="J1097" s="48"/>
      <c r="K1097" s="48"/>
      <c r="L1097" s="48"/>
      <c r="M1097" s="48"/>
      <c r="N1097" s="48"/>
      <c r="O1097" s="48"/>
      <c r="P1097" s="48"/>
      <c r="Q1097" s="48"/>
      <c r="R1097" s="48"/>
      <c r="S1097" s="48"/>
      <c r="T1097" s="48"/>
      <c r="U1097" s="48"/>
      <c r="V1097" s="48"/>
      <c r="W1097" s="49"/>
      <c r="X1097" s="49"/>
      <c r="Y1097" s="49"/>
      <c r="Z1097" s="49"/>
      <c r="AA1097" s="49"/>
      <c r="AB1097" s="49"/>
      <c r="AC1097" s="49"/>
      <c r="AD1097" s="49"/>
      <c r="AE1097" s="49"/>
      <c r="AF1097" s="49"/>
      <c r="AG1097" s="49"/>
      <c r="AH1097" s="49"/>
      <c r="AI1097" s="48"/>
      <c r="AJ1097" s="48"/>
      <c r="AK1097" s="24"/>
      <c r="AL1097" s="50"/>
      <c r="AM1097" s="50"/>
      <c r="AN1097" s="50"/>
      <c r="AO1097" s="50"/>
      <c r="AP1097" s="50"/>
      <c r="AQ1097" s="50"/>
      <c r="AR1097" s="50"/>
      <c r="AS1097" s="50"/>
      <c r="AT1097" s="51"/>
      <c r="AU1097" s="51"/>
      <c r="AV1097" s="51"/>
      <c r="AW1097" s="51"/>
      <c r="AX1097" s="50"/>
      <c r="AY1097" s="50"/>
      <c r="AZ1097" s="50"/>
      <c r="BA1097" s="50"/>
      <c r="BB1097" s="51"/>
      <c r="BC1097" s="51"/>
      <c r="BD1097" s="51"/>
      <c r="BE1097" s="51"/>
      <c r="BF1097" s="47"/>
      <c r="BG1097" s="47"/>
      <c r="BH1097" s="47"/>
      <c r="BI1097" s="47"/>
      <c r="BJ1097" s="47"/>
      <c r="BK1097" s="47"/>
      <c r="BL1097" s="47"/>
      <c r="BM1097" s="47"/>
      <c r="BN1097" s="47"/>
      <c r="BO1097" s="47"/>
      <c r="BP1097" s="47"/>
      <c r="BQ1097" s="47"/>
      <c r="BR1097" s="47"/>
      <c r="BS1097" s="47"/>
      <c r="BT1097" s="47"/>
    </row>
    <row r="1098">
      <c r="A1098" s="24"/>
      <c r="B1098" s="48"/>
      <c r="C1098" s="49"/>
      <c r="D1098" s="24"/>
      <c r="E1098" s="52"/>
      <c r="F1098" s="53"/>
      <c r="G1098" s="48"/>
      <c r="H1098" s="49"/>
      <c r="I1098" s="49"/>
      <c r="J1098" s="48"/>
      <c r="K1098" s="48"/>
      <c r="L1098" s="48"/>
      <c r="M1098" s="48"/>
      <c r="N1098" s="48"/>
      <c r="O1098" s="48"/>
      <c r="P1098" s="48"/>
      <c r="Q1098" s="48"/>
      <c r="R1098" s="48"/>
      <c r="S1098" s="48"/>
      <c r="T1098" s="48"/>
      <c r="U1098" s="48"/>
      <c r="V1098" s="48"/>
      <c r="W1098" s="49"/>
      <c r="X1098" s="49"/>
      <c r="Y1098" s="49"/>
      <c r="Z1098" s="49"/>
      <c r="AA1098" s="49"/>
      <c r="AB1098" s="49"/>
      <c r="AC1098" s="49"/>
      <c r="AD1098" s="49"/>
      <c r="AE1098" s="49"/>
      <c r="AF1098" s="49"/>
      <c r="AG1098" s="49"/>
      <c r="AH1098" s="49"/>
      <c r="AI1098" s="48"/>
      <c r="AJ1098" s="48"/>
      <c r="AK1098" s="24"/>
      <c r="AL1098" s="50"/>
      <c r="AM1098" s="50"/>
      <c r="AN1098" s="50"/>
      <c r="AO1098" s="50"/>
      <c r="AP1098" s="50"/>
      <c r="AQ1098" s="50"/>
      <c r="AR1098" s="50"/>
      <c r="AS1098" s="50"/>
      <c r="AT1098" s="51"/>
      <c r="AU1098" s="51"/>
      <c r="AV1098" s="51"/>
      <c r="AW1098" s="51"/>
      <c r="AX1098" s="50"/>
      <c r="AY1098" s="50"/>
      <c r="AZ1098" s="50"/>
      <c r="BA1098" s="50"/>
      <c r="BB1098" s="51"/>
      <c r="BC1098" s="51"/>
      <c r="BD1098" s="51"/>
      <c r="BE1098" s="51"/>
      <c r="BF1098" s="47"/>
      <c r="BG1098" s="47"/>
      <c r="BH1098" s="47"/>
      <c r="BI1098" s="47"/>
      <c r="BJ1098" s="47"/>
      <c r="BK1098" s="47"/>
      <c r="BL1098" s="47"/>
      <c r="BM1098" s="47"/>
      <c r="BN1098" s="47"/>
      <c r="BO1098" s="47"/>
      <c r="BP1098" s="47"/>
      <c r="BQ1098" s="47"/>
      <c r="BR1098" s="47"/>
      <c r="BS1098" s="47"/>
      <c r="BT1098" s="47"/>
    </row>
    <row r="1099">
      <c r="A1099" s="24"/>
      <c r="B1099" s="48"/>
      <c r="C1099" s="49"/>
      <c r="D1099" s="24"/>
      <c r="E1099" s="52"/>
      <c r="F1099" s="53"/>
      <c r="G1099" s="48"/>
      <c r="H1099" s="49"/>
      <c r="I1099" s="49"/>
      <c r="J1099" s="48"/>
      <c r="K1099" s="48"/>
      <c r="L1099" s="48"/>
      <c r="M1099" s="48"/>
      <c r="N1099" s="48"/>
      <c r="O1099" s="48"/>
      <c r="P1099" s="48"/>
      <c r="Q1099" s="48"/>
      <c r="R1099" s="48"/>
      <c r="S1099" s="48"/>
      <c r="T1099" s="48"/>
      <c r="U1099" s="48"/>
      <c r="V1099" s="48"/>
      <c r="W1099" s="49"/>
      <c r="X1099" s="49"/>
      <c r="Y1099" s="49"/>
      <c r="Z1099" s="49"/>
      <c r="AA1099" s="49"/>
      <c r="AB1099" s="49"/>
      <c r="AC1099" s="49"/>
      <c r="AD1099" s="49"/>
      <c r="AE1099" s="49"/>
      <c r="AF1099" s="49"/>
      <c r="AG1099" s="49"/>
      <c r="AH1099" s="49"/>
      <c r="AI1099" s="48"/>
      <c r="AJ1099" s="48"/>
      <c r="AK1099" s="24"/>
      <c r="AL1099" s="50"/>
      <c r="AM1099" s="50"/>
      <c r="AN1099" s="50"/>
      <c r="AO1099" s="50"/>
      <c r="AP1099" s="50"/>
      <c r="AQ1099" s="50"/>
      <c r="AR1099" s="50"/>
      <c r="AS1099" s="50"/>
      <c r="AT1099" s="51"/>
      <c r="AU1099" s="51"/>
      <c r="AV1099" s="51"/>
      <c r="AW1099" s="51"/>
      <c r="AX1099" s="50"/>
      <c r="AY1099" s="50"/>
      <c r="AZ1099" s="50"/>
      <c r="BA1099" s="50"/>
      <c r="BB1099" s="51"/>
      <c r="BC1099" s="51"/>
      <c r="BD1099" s="51"/>
      <c r="BE1099" s="51"/>
      <c r="BF1099" s="47"/>
      <c r="BG1099" s="47"/>
      <c r="BH1099" s="47"/>
      <c r="BI1099" s="47"/>
      <c r="BJ1099" s="47"/>
      <c r="BK1099" s="47"/>
      <c r="BL1099" s="47"/>
      <c r="BM1099" s="47"/>
      <c r="BN1099" s="47"/>
      <c r="BO1099" s="47"/>
      <c r="BP1099" s="47"/>
      <c r="BQ1099" s="47"/>
      <c r="BR1099" s="47"/>
      <c r="BS1099" s="47"/>
      <c r="BT1099" s="47"/>
    </row>
    <row r="1100">
      <c r="A1100" s="24"/>
      <c r="B1100" s="48"/>
      <c r="C1100" s="49"/>
      <c r="D1100" s="24"/>
      <c r="E1100" s="52"/>
      <c r="F1100" s="53"/>
      <c r="G1100" s="48"/>
      <c r="H1100" s="49"/>
      <c r="I1100" s="49"/>
      <c r="J1100" s="48"/>
      <c r="K1100" s="48"/>
      <c r="L1100" s="48"/>
      <c r="M1100" s="48"/>
      <c r="N1100" s="48"/>
      <c r="O1100" s="48"/>
      <c r="P1100" s="48"/>
      <c r="Q1100" s="48"/>
      <c r="R1100" s="48"/>
      <c r="S1100" s="48"/>
      <c r="T1100" s="48"/>
      <c r="U1100" s="48"/>
      <c r="V1100" s="48"/>
      <c r="W1100" s="49"/>
      <c r="X1100" s="49"/>
      <c r="Y1100" s="49"/>
      <c r="Z1100" s="49"/>
      <c r="AA1100" s="49"/>
      <c r="AB1100" s="49"/>
      <c r="AC1100" s="49"/>
      <c r="AD1100" s="49"/>
      <c r="AE1100" s="49"/>
      <c r="AF1100" s="49"/>
      <c r="AG1100" s="49"/>
      <c r="AH1100" s="49"/>
      <c r="AI1100" s="48"/>
      <c r="AJ1100" s="48"/>
      <c r="AK1100" s="24"/>
      <c r="AL1100" s="50"/>
      <c r="AM1100" s="50"/>
      <c r="AN1100" s="50"/>
      <c r="AO1100" s="50"/>
      <c r="AP1100" s="50"/>
      <c r="AQ1100" s="50"/>
      <c r="AR1100" s="50"/>
      <c r="AS1100" s="50"/>
      <c r="AT1100" s="51"/>
      <c r="AU1100" s="51"/>
      <c r="AV1100" s="51"/>
      <c r="AW1100" s="51"/>
      <c r="AX1100" s="50"/>
      <c r="AY1100" s="50"/>
      <c r="AZ1100" s="50"/>
      <c r="BA1100" s="50"/>
      <c r="BB1100" s="51"/>
      <c r="BC1100" s="51"/>
      <c r="BD1100" s="51"/>
      <c r="BE1100" s="51"/>
      <c r="BF1100" s="47"/>
      <c r="BG1100" s="47"/>
      <c r="BH1100" s="47"/>
      <c r="BI1100" s="47"/>
      <c r="BJ1100" s="47"/>
      <c r="BK1100" s="47"/>
      <c r="BL1100" s="47"/>
      <c r="BM1100" s="47"/>
      <c r="BN1100" s="47"/>
      <c r="BO1100" s="47"/>
      <c r="BP1100" s="47"/>
      <c r="BQ1100" s="47"/>
      <c r="BR1100" s="47"/>
      <c r="BS1100" s="47"/>
      <c r="BT1100" s="47"/>
    </row>
    <row r="1101">
      <c r="A1101" s="24"/>
      <c r="B1101" s="48"/>
      <c r="C1101" s="49"/>
      <c r="D1101" s="24"/>
      <c r="E1101" s="52"/>
      <c r="F1101" s="53"/>
      <c r="G1101" s="48"/>
      <c r="H1101" s="49"/>
      <c r="I1101" s="49"/>
      <c r="J1101" s="48"/>
      <c r="K1101" s="48"/>
      <c r="L1101" s="48"/>
      <c r="M1101" s="48"/>
      <c r="N1101" s="48"/>
      <c r="O1101" s="48"/>
      <c r="P1101" s="48"/>
      <c r="Q1101" s="48"/>
      <c r="R1101" s="48"/>
      <c r="S1101" s="48"/>
      <c r="T1101" s="48"/>
      <c r="U1101" s="48"/>
      <c r="V1101" s="48"/>
      <c r="W1101" s="49"/>
      <c r="X1101" s="49"/>
      <c r="Y1101" s="49"/>
      <c r="Z1101" s="49"/>
      <c r="AA1101" s="49"/>
      <c r="AB1101" s="49"/>
      <c r="AC1101" s="49"/>
      <c r="AD1101" s="49"/>
      <c r="AE1101" s="49"/>
      <c r="AF1101" s="49"/>
      <c r="AG1101" s="49"/>
      <c r="AH1101" s="49"/>
      <c r="AI1101" s="48"/>
      <c r="AJ1101" s="48"/>
      <c r="AK1101" s="24"/>
      <c r="AL1101" s="50"/>
      <c r="AM1101" s="50"/>
      <c r="AN1101" s="50"/>
      <c r="AO1101" s="50"/>
      <c r="AP1101" s="50"/>
      <c r="AQ1101" s="50"/>
      <c r="AR1101" s="50"/>
      <c r="AS1101" s="50"/>
      <c r="AT1101" s="51"/>
      <c r="AU1101" s="51"/>
      <c r="AV1101" s="51"/>
      <c r="AW1101" s="51"/>
      <c r="AX1101" s="50"/>
      <c r="AY1101" s="50"/>
      <c r="AZ1101" s="50"/>
      <c r="BA1101" s="50"/>
      <c r="BB1101" s="51"/>
      <c r="BC1101" s="51"/>
      <c r="BD1101" s="51"/>
      <c r="BE1101" s="51"/>
      <c r="BF1101" s="47"/>
      <c r="BG1101" s="47"/>
      <c r="BH1101" s="47"/>
      <c r="BI1101" s="47"/>
      <c r="BJ1101" s="47"/>
      <c r="BK1101" s="47"/>
      <c r="BL1101" s="47"/>
      <c r="BM1101" s="47"/>
      <c r="BN1101" s="47"/>
      <c r="BO1101" s="47"/>
      <c r="BP1101" s="47"/>
      <c r="BQ1101" s="47"/>
      <c r="BR1101" s="47"/>
      <c r="BS1101" s="47"/>
      <c r="BT1101" s="47"/>
    </row>
    <row r="1102">
      <c r="A1102" s="24"/>
      <c r="B1102" s="48"/>
      <c r="C1102" s="49"/>
      <c r="D1102" s="24"/>
      <c r="E1102" s="52"/>
      <c r="F1102" s="53"/>
      <c r="G1102" s="48"/>
      <c r="H1102" s="49"/>
      <c r="I1102" s="49"/>
      <c r="J1102" s="48"/>
      <c r="K1102" s="48"/>
      <c r="L1102" s="48"/>
      <c r="M1102" s="48"/>
      <c r="N1102" s="48"/>
      <c r="O1102" s="48"/>
      <c r="P1102" s="48"/>
      <c r="Q1102" s="48"/>
      <c r="R1102" s="48"/>
      <c r="S1102" s="48"/>
      <c r="T1102" s="48"/>
      <c r="U1102" s="48"/>
      <c r="V1102" s="48"/>
      <c r="W1102" s="49"/>
      <c r="X1102" s="49"/>
      <c r="Y1102" s="49"/>
      <c r="Z1102" s="49"/>
      <c r="AA1102" s="49"/>
      <c r="AB1102" s="49"/>
      <c r="AC1102" s="49"/>
      <c r="AD1102" s="49"/>
      <c r="AE1102" s="49"/>
      <c r="AF1102" s="49"/>
      <c r="AG1102" s="49"/>
      <c r="AH1102" s="49"/>
      <c r="AI1102" s="48"/>
      <c r="AJ1102" s="48"/>
      <c r="AK1102" s="24"/>
      <c r="AL1102" s="50"/>
      <c r="AM1102" s="50"/>
      <c r="AN1102" s="50"/>
      <c r="AO1102" s="50"/>
      <c r="AP1102" s="50"/>
      <c r="AQ1102" s="50"/>
      <c r="AR1102" s="50"/>
      <c r="AS1102" s="50"/>
      <c r="AT1102" s="51"/>
      <c r="AU1102" s="51"/>
      <c r="AV1102" s="51"/>
      <c r="AW1102" s="51"/>
      <c r="AX1102" s="50"/>
      <c r="AY1102" s="50"/>
      <c r="AZ1102" s="50"/>
      <c r="BA1102" s="50"/>
      <c r="BB1102" s="51"/>
      <c r="BC1102" s="51"/>
      <c r="BD1102" s="51"/>
      <c r="BE1102" s="51"/>
      <c r="BF1102" s="47"/>
      <c r="BG1102" s="47"/>
      <c r="BH1102" s="47"/>
      <c r="BI1102" s="47"/>
      <c r="BJ1102" s="47"/>
      <c r="BK1102" s="47"/>
      <c r="BL1102" s="47"/>
      <c r="BM1102" s="47"/>
      <c r="BN1102" s="47"/>
      <c r="BO1102" s="47"/>
      <c r="BP1102" s="47"/>
      <c r="BQ1102" s="47"/>
      <c r="BR1102" s="47"/>
      <c r="BS1102" s="47"/>
      <c r="BT1102" s="47"/>
    </row>
    <row r="1103">
      <c r="A1103" s="24"/>
      <c r="B1103" s="48"/>
      <c r="C1103" s="49"/>
      <c r="D1103" s="24"/>
      <c r="E1103" s="52"/>
      <c r="F1103" s="53"/>
      <c r="G1103" s="48"/>
      <c r="H1103" s="49"/>
      <c r="I1103" s="49"/>
      <c r="J1103" s="48"/>
      <c r="K1103" s="48"/>
      <c r="L1103" s="48"/>
      <c r="M1103" s="48"/>
      <c r="N1103" s="48"/>
      <c r="O1103" s="48"/>
      <c r="P1103" s="48"/>
      <c r="Q1103" s="48"/>
      <c r="R1103" s="48"/>
      <c r="S1103" s="48"/>
      <c r="T1103" s="48"/>
      <c r="U1103" s="48"/>
      <c r="V1103" s="48"/>
      <c r="W1103" s="49"/>
      <c r="X1103" s="49"/>
      <c r="Y1103" s="49"/>
      <c r="Z1103" s="49"/>
      <c r="AA1103" s="49"/>
      <c r="AB1103" s="49"/>
      <c r="AC1103" s="49"/>
      <c r="AD1103" s="49"/>
      <c r="AE1103" s="49"/>
      <c r="AF1103" s="49"/>
      <c r="AG1103" s="49"/>
      <c r="AH1103" s="49"/>
      <c r="AI1103" s="48"/>
      <c r="AJ1103" s="48"/>
      <c r="AK1103" s="24"/>
      <c r="AL1103" s="50"/>
      <c r="AM1103" s="50"/>
      <c r="AN1103" s="50"/>
      <c r="AO1103" s="50"/>
      <c r="AP1103" s="50"/>
      <c r="AQ1103" s="50"/>
      <c r="AR1103" s="50"/>
      <c r="AS1103" s="50"/>
      <c r="AT1103" s="51"/>
      <c r="AU1103" s="51"/>
      <c r="AV1103" s="51"/>
      <c r="AW1103" s="51"/>
      <c r="AX1103" s="50"/>
      <c r="AY1103" s="50"/>
      <c r="AZ1103" s="50"/>
      <c r="BA1103" s="50"/>
      <c r="BB1103" s="51"/>
      <c r="BC1103" s="51"/>
      <c r="BD1103" s="51"/>
      <c r="BE1103" s="51"/>
      <c r="BF1103" s="47"/>
      <c r="BG1103" s="47"/>
      <c r="BH1103" s="47"/>
      <c r="BI1103" s="47"/>
      <c r="BJ1103" s="47"/>
      <c r="BK1103" s="47"/>
      <c r="BL1103" s="47"/>
      <c r="BM1103" s="47"/>
      <c r="BN1103" s="47"/>
      <c r="BO1103" s="47"/>
      <c r="BP1103" s="47"/>
      <c r="BQ1103" s="47"/>
      <c r="BR1103" s="47"/>
      <c r="BS1103" s="47"/>
      <c r="BT1103" s="47"/>
    </row>
    <row r="1104">
      <c r="A1104" s="24"/>
      <c r="B1104" s="48"/>
      <c r="C1104" s="49"/>
      <c r="D1104" s="24"/>
      <c r="E1104" s="52"/>
      <c r="F1104" s="53"/>
      <c r="G1104" s="48"/>
      <c r="H1104" s="49"/>
      <c r="I1104" s="49"/>
      <c r="J1104" s="48"/>
      <c r="K1104" s="48"/>
      <c r="L1104" s="48"/>
      <c r="M1104" s="48"/>
      <c r="N1104" s="48"/>
      <c r="O1104" s="48"/>
      <c r="P1104" s="48"/>
      <c r="Q1104" s="48"/>
      <c r="R1104" s="48"/>
      <c r="S1104" s="48"/>
      <c r="T1104" s="48"/>
      <c r="U1104" s="48"/>
      <c r="V1104" s="48"/>
      <c r="W1104" s="49"/>
      <c r="X1104" s="49"/>
      <c r="Y1104" s="49"/>
      <c r="Z1104" s="49"/>
      <c r="AA1104" s="49"/>
      <c r="AB1104" s="49"/>
      <c r="AC1104" s="49"/>
      <c r="AD1104" s="49"/>
      <c r="AE1104" s="49"/>
      <c r="AF1104" s="49"/>
      <c r="AG1104" s="49"/>
      <c r="AH1104" s="49"/>
      <c r="AI1104" s="48"/>
      <c r="AJ1104" s="48"/>
      <c r="AK1104" s="24"/>
      <c r="AL1104" s="50"/>
      <c r="AM1104" s="50"/>
      <c r="AN1104" s="50"/>
      <c r="AO1104" s="50"/>
      <c r="AP1104" s="50"/>
      <c r="AQ1104" s="50"/>
      <c r="AR1104" s="50"/>
      <c r="AS1104" s="50"/>
      <c r="AT1104" s="51"/>
      <c r="AU1104" s="51"/>
      <c r="AV1104" s="51"/>
      <c r="AW1104" s="51"/>
      <c r="AX1104" s="50"/>
      <c r="AY1104" s="50"/>
      <c r="AZ1104" s="50"/>
      <c r="BA1104" s="50"/>
      <c r="BB1104" s="51"/>
      <c r="BC1104" s="51"/>
      <c r="BD1104" s="51"/>
      <c r="BE1104" s="51"/>
      <c r="BF1104" s="47"/>
      <c r="BG1104" s="47"/>
      <c r="BH1104" s="47"/>
      <c r="BI1104" s="47"/>
      <c r="BJ1104" s="47"/>
      <c r="BK1104" s="47"/>
      <c r="BL1104" s="47"/>
      <c r="BM1104" s="47"/>
      <c r="BN1104" s="47"/>
      <c r="BO1104" s="47"/>
      <c r="BP1104" s="47"/>
      <c r="BQ1104" s="47"/>
      <c r="BR1104" s="47"/>
      <c r="BS1104" s="47"/>
      <c r="BT1104" s="47"/>
    </row>
    <row r="1105">
      <c r="A1105" s="24"/>
      <c r="B1105" s="48"/>
      <c r="C1105" s="49"/>
      <c r="D1105" s="24"/>
      <c r="E1105" s="52"/>
      <c r="F1105" s="53"/>
      <c r="G1105" s="48"/>
      <c r="H1105" s="49"/>
      <c r="I1105" s="49"/>
      <c r="J1105" s="48"/>
      <c r="K1105" s="48"/>
      <c r="L1105" s="48"/>
      <c r="M1105" s="48"/>
      <c r="N1105" s="48"/>
      <c r="O1105" s="48"/>
      <c r="P1105" s="48"/>
      <c r="Q1105" s="48"/>
      <c r="R1105" s="48"/>
      <c r="S1105" s="48"/>
      <c r="T1105" s="48"/>
      <c r="U1105" s="48"/>
      <c r="V1105" s="48"/>
      <c r="W1105" s="49"/>
      <c r="X1105" s="49"/>
      <c r="Y1105" s="49"/>
      <c r="Z1105" s="49"/>
      <c r="AA1105" s="49"/>
      <c r="AB1105" s="49"/>
      <c r="AC1105" s="49"/>
      <c r="AD1105" s="49"/>
      <c r="AE1105" s="49"/>
      <c r="AF1105" s="49"/>
      <c r="AG1105" s="49"/>
      <c r="AH1105" s="49"/>
      <c r="AI1105" s="48"/>
      <c r="AJ1105" s="48"/>
      <c r="AK1105" s="24"/>
      <c r="AL1105" s="50"/>
      <c r="AM1105" s="50"/>
      <c r="AN1105" s="50"/>
      <c r="AO1105" s="50"/>
      <c r="AP1105" s="50"/>
      <c r="AQ1105" s="50"/>
      <c r="AR1105" s="50"/>
      <c r="AS1105" s="50"/>
      <c r="AT1105" s="51"/>
      <c r="AU1105" s="51"/>
      <c r="AV1105" s="51"/>
      <c r="AW1105" s="51"/>
      <c r="AX1105" s="50"/>
      <c r="AY1105" s="50"/>
      <c r="AZ1105" s="50"/>
      <c r="BA1105" s="50"/>
      <c r="BB1105" s="51"/>
      <c r="BC1105" s="51"/>
      <c r="BD1105" s="51"/>
      <c r="BE1105" s="51"/>
      <c r="BF1105" s="47"/>
      <c r="BG1105" s="47"/>
      <c r="BH1105" s="47"/>
      <c r="BI1105" s="47"/>
      <c r="BJ1105" s="47"/>
      <c r="BK1105" s="47"/>
      <c r="BL1105" s="47"/>
      <c r="BM1105" s="47"/>
      <c r="BN1105" s="47"/>
      <c r="BO1105" s="47"/>
      <c r="BP1105" s="47"/>
      <c r="BQ1105" s="47"/>
      <c r="BR1105" s="47"/>
      <c r="BS1105" s="47"/>
      <c r="BT1105" s="47"/>
    </row>
    <row r="1106">
      <c r="A1106" s="24"/>
      <c r="B1106" s="48"/>
      <c r="C1106" s="49"/>
      <c r="D1106" s="24"/>
      <c r="E1106" s="52"/>
      <c r="F1106" s="53"/>
      <c r="G1106" s="48"/>
      <c r="H1106" s="49"/>
      <c r="I1106" s="49"/>
      <c r="J1106" s="48"/>
      <c r="K1106" s="48"/>
      <c r="L1106" s="48"/>
      <c r="M1106" s="48"/>
      <c r="N1106" s="48"/>
      <c r="O1106" s="48"/>
      <c r="P1106" s="48"/>
      <c r="Q1106" s="48"/>
      <c r="R1106" s="48"/>
      <c r="S1106" s="48"/>
      <c r="T1106" s="48"/>
      <c r="U1106" s="48"/>
      <c r="V1106" s="48"/>
      <c r="W1106" s="49"/>
      <c r="X1106" s="49"/>
      <c r="Y1106" s="49"/>
      <c r="Z1106" s="49"/>
      <c r="AA1106" s="49"/>
      <c r="AB1106" s="49"/>
      <c r="AC1106" s="49"/>
      <c r="AD1106" s="49"/>
      <c r="AE1106" s="49"/>
      <c r="AF1106" s="49"/>
      <c r="AG1106" s="49"/>
      <c r="AH1106" s="49"/>
      <c r="AI1106" s="48"/>
      <c r="AJ1106" s="48"/>
      <c r="AK1106" s="24"/>
      <c r="AL1106" s="50"/>
      <c r="AM1106" s="50"/>
      <c r="AN1106" s="50"/>
      <c r="AO1106" s="50"/>
      <c r="AP1106" s="50"/>
      <c r="AQ1106" s="50"/>
      <c r="AR1106" s="50"/>
      <c r="AS1106" s="50"/>
      <c r="AT1106" s="51"/>
      <c r="AU1106" s="51"/>
      <c r="AV1106" s="51"/>
      <c r="AW1106" s="51"/>
      <c r="AX1106" s="50"/>
      <c r="AY1106" s="50"/>
      <c r="AZ1106" s="50"/>
      <c r="BA1106" s="50"/>
      <c r="BB1106" s="51"/>
      <c r="BC1106" s="51"/>
      <c r="BD1106" s="51"/>
      <c r="BE1106" s="51"/>
      <c r="BF1106" s="47"/>
      <c r="BG1106" s="47"/>
      <c r="BH1106" s="47"/>
      <c r="BI1106" s="47"/>
      <c r="BJ1106" s="47"/>
      <c r="BK1106" s="47"/>
      <c r="BL1106" s="47"/>
      <c r="BM1106" s="47"/>
      <c r="BN1106" s="47"/>
      <c r="BO1106" s="47"/>
      <c r="BP1106" s="47"/>
      <c r="BQ1106" s="47"/>
      <c r="BR1106" s="47"/>
      <c r="BS1106" s="47"/>
      <c r="BT1106" s="47"/>
    </row>
    <row r="1107">
      <c r="A1107" s="24"/>
      <c r="B1107" s="48"/>
      <c r="C1107" s="49"/>
      <c r="D1107" s="24"/>
      <c r="E1107" s="52"/>
      <c r="F1107" s="53"/>
      <c r="G1107" s="48"/>
      <c r="H1107" s="49"/>
      <c r="I1107" s="49"/>
      <c r="J1107" s="48"/>
      <c r="K1107" s="48"/>
      <c r="L1107" s="48"/>
      <c r="M1107" s="48"/>
      <c r="N1107" s="48"/>
      <c r="O1107" s="48"/>
      <c r="P1107" s="48"/>
      <c r="Q1107" s="48"/>
      <c r="R1107" s="48"/>
      <c r="S1107" s="48"/>
      <c r="T1107" s="48"/>
      <c r="U1107" s="48"/>
      <c r="V1107" s="48"/>
      <c r="W1107" s="49"/>
      <c r="X1107" s="49"/>
      <c r="Y1107" s="49"/>
      <c r="Z1107" s="49"/>
      <c r="AA1107" s="49"/>
      <c r="AB1107" s="49"/>
      <c r="AC1107" s="49"/>
      <c r="AD1107" s="49"/>
      <c r="AE1107" s="49"/>
      <c r="AF1107" s="49"/>
      <c r="AG1107" s="49"/>
      <c r="AH1107" s="49"/>
      <c r="AI1107" s="48"/>
      <c r="AJ1107" s="48"/>
      <c r="AK1107" s="24"/>
      <c r="AL1107" s="50"/>
      <c r="AM1107" s="50"/>
      <c r="AN1107" s="50"/>
      <c r="AO1107" s="50"/>
      <c r="AP1107" s="50"/>
      <c r="AQ1107" s="50"/>
      <c r="AR1107" s="50"/>
      <c r="AS1107" s="50"/>
      <c r="AT1107" s="51"/>
      <c r="AU1107" s="51"/>
      <c r="AV1107" s="51"/>
      <c r="AW1107" s="51"/>
      <c r="AX1107" s="50"/>
      <c r="AY1107" s="50"/>
      <c r="AZ1107" s="50"/>
      <c r="BA1107" s="50"/>
      <c r="BB1107" s="51"/>
      <c r="BC1107" s="51"/>
      <c r="BD1107" s="51"/>
      <c r="BE1107" s="51"/>
      <c r="BF1107" s="47"/>
      <c r="BG1107" s="47"/>
      <c r="BH1107" s="47"/>
      <c r="BI1107" s="47"/>
      <c r="BJ1107" s="47"/>
      <c r="BK1107" s="47"/>
      <c r="BL1107" s="47"/>
      <c r="BM1107" s="47"/>
      <c r="BN1107" s="47"/>
      <c r="BO1107" s="47"/>
      <c r="BP1107" s="47"/>
      <c r="BQ1107" s="47"/>
      <c r="BR1107" s="47"/>
      <c r="BS1107" s="47"/>
      <c r="BT1107" s="47"/>
    </row>
    <row r="1108">
      <c r="A1108" s="24"/>
      <c r="B1108" s="48"/>
      <c r="C1108" s="49"/>
      <c r="D1108" s="24"/>
      <c r="E1108" s="52"/>
      <c r="F1108" s="53"/>
      <c r="G1108" s="48"/>
      <c r="H1108" s="49"/>
      <c r="I1108" s="49"/>
      <c r="J1108" s="48"/>
      <c r="K1108" s="48"/>
      <c r="L1108" s="48"/>
      <c r="M1108" s="48"/>
      <c r="N1108" s="48"/>
      <c r="O1108" s="48"/>
      <c r="P1108" s="48"/>
      <c r="Q1108" s="48"/>
      <c r="R1108" s="48"/>
      <c r="S1108" s="48"/>
      <c r="T1108" s="48"/>
      <c r="U1108" s="48"/>
      <c r="V1108" s="48"/>
      <c r="W1108" s="49"/>
      <c r="X1108" s="49"/>
      <c r="Y1108" s="49"/>
      <c r="Z1108" s="49"/>
      <c r="AA1108" s="49"/>
      <c r="AB1108" s="49"/>
      <c r="AC1108" s="49"/>
      <c r="AD1108" s="49"/>
      <c r="AE1108" s="49"/>
      <c r="AF1108" s="49"/>
      <c r="AG1108" s="49"/>
      <c r="AH1108" s="49"/>
      <c r="AI1108" s="48"/>
      <c r="AJ1108" s="48"/>
      <c r="AK1108" s="24"/>
      <c r="AL1108" s="50"/>
      <c r="AM1108" s="50"/>
      <c r="AN1108" s="50"/>
      <c r="AO1108" s="50"/>
      <c r="AP1108" s="50"/>
      <c r="AQ1108" s="50"/>
      <c r="AR1108" s="50"/>
      <c r="AS1108" s="50"/>
      <c r="AT1108" s="51"/>
      <c r="AU1108" s="51"/>
      <c r="AV1108" s="51"/>
      <c r="AW1108" s="51"/>
      <c r="AX1108" s="50"/>
      <c r="AY1108" s="50"/>
      <c r="AZ1108" s="50"/>
      <c r="BA1108" s="50"/>
      <c r="BB1108" s="51"/>
      <c r="BC1108" s="51"/>
      <c r="BD1108" s="51"/>
      <c r="BE1108" s="51"/>
      <c r="BF1108" s="47"/>
      <c r="BG1108" s="47"/>
      <c r="BH1108" s="47"/>
      <c r="BI1108" s="47"/>
      <c r="BJ1108" s="47"/>
      <c r="BK1108" s="47"/>
      <c r="BL1108" s="47"/>
      <c r="BM1108" s="47"/>
      <c r="BN1108" s="47"/>
      <c r="BO1108" s="47"/>
      <c r="BP1108" s="47"/>
      <c r="BQ1108" s="47"/>
      <c r="BR1108" s="47"/>
      <c r="BS1108" s="47"/>
      <c r="BT1108" s="47"/>
    </row>
    <row r="1109">
      <c r="A1109" s="24"/>
      <c r="B1109" s="48"/>
      <c r="C1109" s="49"/>
      <c r="D1109" s="24"/>
      <c r="E1109" s="52"/>
      <c r="F1109" s="53"/>
      <c r="G1109" s="48"/>
      <c r="H1109" s="49"/>
      <c r="I1109" s="49"/>
      <c r="J1109" s="48"/>
      <c r="K1109" s="48"/>
      <c r="L1109" s="48"/>
      <c r="M1109" s="48"/>
      <c r="N1109" s="48"/>
      <c r="O1109" s="48"/>
      <c r="P1109" s="48"/>
      <c r="Q1109" s="48"/>
      <c r="R1109" s="48"/>
      <c r="S1109" s="48"/>
      <c r="T1109" s="48"/>
      <c r="U1109" s="48"/>
      <c r="V1109" s="48"/>
      <c r="W1109" s="49"/>
      <c r="X1109" s="49"/>
      <c r="Y1109" s="49"/>
      <c r="Z1109" s="49"/>
      <c r="AA1109" s="49"/>
      <c r="AB1109" s="49"/>
      <c r="AC1109" s="49"/>
      <c r="AD1109" s="49"/>
      <c r="AE1109" s="49"/>
      <c r="AF1109" s="49"/>
      <c r="AG1109" s="49"/>
      <c r="AH1109" s="49"/>
      <c r="AI1109" s="48"/>
      <c r="AJ1109" s="48"/>
      <c r="AK1109" s="24"/>
      <c r="AL1109" s="50"/>
      <c r="AM1109" s="50"/>
      <c r="AN1109" s="50"/>
      <c r="AO1109" s="50"/>
      <c r="AP1109" s="50"/>
      <c r="AQ1109" s="50"/>
      <c r="AR1109" s="50"/>
      <c r="AS1109" s="50"/>
      <c r="AT1109" s="51"/>
      <c r="AU1109" s="51"/>
      <c r="AV1109" s="51"/>
      <c r="AW1109" s="51"/>
      <c r="AX1109" s="50"/>
      <c r="AY1109" s="50"/>
      <c r="AZ1109" s="50"/>
      <c r="BA1109" s="50"/>
      <c r="BB1109" s="51"/>
      <c r="BC1109" s="51"/>
      <c r="BD1109" s="51"/>
      <c r="BE1109" s="51"/>
      <c r="BF1109" s="47"/>
      <c r="BG1109" s="47"/>
      <c r="BH1109" s="47"/>
      <c r="BI1109" s="47"/>
      <c r="BJ1109" s="47"/>
      <c r="BK1109" s="47"/>
      <c r="BL1109" s="47"/>
      <c r="BM1109" s="47"/>
      <c r="BN1109" s="47"/>
      <c r="BO1109" s="47"/>
      <c r="BP1109" s="47"/>
      <c r="BQ1109" s="47"/>
      <c r="BR1109" s="47"/>
      <c r="BS1109" s="47"/>
      <c r="BT1109" s="47"/>
    </row>
    <row r="1110">
      <c r="A1110" s="24"/>
      <c r="B1110" s="48"/>
      <c r="C1110" s="49"/>
      <c r="D1110" s="24"/>
      <c r="E1110" s="52"/>
      <c r="F1110" s="53"/>
      <c r="G1110" s="48"/>
      <c r="H1110" s="49"/>
      <c r="I1110" s="49"/>
      <c r="J1110" s="48"/>
      <c r="K1110" s="48"/>
      <c r="L1110" s="48"/>
      <c r="M1110" s="48"/>
      <c r="N1110" s="48"/>
      <c r="O1110" s="48"/>
      <c r="P1110" s="48"/>
      <c r="Q1110" s="48"/>
      <c r="R1110" s="48"/>
      <c r="S1110" s="48"/>
      <c r="T1110" s="48"/>
      <c r="U1110" s="48"/>
      <c r="V1110" s="48"/>
      <c r="W1110" s="49"/>
      <c r="X1110" s="49"/>
      <c r="Y1110" s="49"/>
      <c r="Z1110" s="49"/>
      <c r="AA1110" s="49"/>
      <c r="AB1110" s="49"/>
      <c r="AC1110" s="49"/>
      <c r="AD1110" s="49"/>
      <c r="AE1110" s="49"/>
      <c r="AF1110" s="49"/>
      <c r="AG1110" s="49"/>
      <c r="AH1110" s="49"/>
      <c r="AI1110" s="48"/>
      <c r="AJ1110" s="48"/>
      <c r="AK1110" s="24"/>
      <c r="AL1110" s="50"/>
      <c r="AM1110" s="50"/>
      <c r="AN1110" s="50"/>
      <c r="AO1110" s="50"/>
      <c r="AP1110" s="50"/>
      <c r="AQ1110" s="50"/>
      <c r="AR1110" s="50"/>
      <c r="AS1110" s="50"/>
      <c r="AT1110" s="51"/>
      <c r="AU1110" s="51"/>
      <c r="AV1110" s="51"/>
      <c r="AW1110" s="51"/>
      <c r="AX1110" s="50"/>
      <c r="AY1110" s="50"/>
      <c r="AZ1110" s="50"/>
      <c r="BA1110" s="50"/>
      <c r="BB1110" s="51"/>
      <c r="BC1110" s="51"/>
      <c r="BD1110" s="51"/>
      <c r="BE1110" s="51"/>
      <c r="BF1110" s="47"/>
      <c r="BG1110" s="47"/>
      <c r="BH1110" s="47"/>
      <c r="BI1110" s="47"/>
      <c r="BJ1110" s="47"/>
      <c r="BK1110" s="47"/>
      <c r="BL1110" s="47"/>
      <c r="BM1110" s="47"/>
      <c r="BN1110" s="47"/>
      <c r="BO1110" s="47"/>
      <c r="BP1110" s="47"/>
      <c r="BQ1110" s="47"/>
      <c r="BR1110" s="47"/>
      <c r="BS1110" s="47"/>
      <c r="BT1110" s="47"/>
    </row>
    <row r="1111">
      <c r="A1111" s="24"/>
      <c r="B1111" s="48"/>
      <c r="C1111" s="49"/>
      <c r="D1111" s="24"/>
      <c r="E1111" s="52"/>
      <c r="F1111" s="53"/>
      <c r="G1111" s="48"/>
      <c r="H1111" s="49"/>
      <c r="I1111" s="49"/>
      <c r="J1111" s="48"/>
      <c r="K1111" s="48"/>
      <c r="L1111" s="48"/>
      <c r="M1111" s="48"/>
      <c r="N1111" s="48"/>
      <c r="O1111" s="48"/>
      <c r="P1111" s="48"/>
      <c r="Q1111" s="48"/>
      <c r="R1111" s="48"/>
      <c r="S1111" s="48"/>
      <c r="T1111" s="48"/>
      <c r="U1111" s="48"/>
      <c r="V1111" s="48"/>
      <c r="W1111" s="49"/>
      <c r="X1111" s="49"/>
      <c r="Y1111" s="49"/>
      <c r="Z1111" s="49"/>
      <c r="AA1111" s="49"/>
      <c r="AB1111" s="49"/>
      <c r="AC1111" s="49"/>
      <c r="AD1111" s="49"/>
      <c r="AE1111" s="49"/>
      <c r="AF1111" s="49"/>
      <c r="AG1111" s="49"/>
      <c r="AH1111" s="49"/>
      <c r="AI1111" s="48"/>
      <c r="AJ1111" s="48"/>
      <c r="AK1111" s="24"/>
      <c r="AL1111" s="50"/>
      <c r="AM1111" s="50"/>
      <c r="AN1111" s="50"/>
      <c r="AO1111" s="50"/>
      <c r="AP1111" s="50"/>
      <c r="AQ1111" s="50"/>
      <c r="AR1111" s="50"/>
      <c r="AS1111" s="50"/>
      <c r="AT1111" s="51"/>
      <c r="AU1111" s="51"/>
      <c r="AV1111" s="51"/>
      <c r="AW1111" s="51"/>
      <c r="AX1111" s="50"/>
      <c r="AY1111" s="50"/>
      <c r="AZ1111" s="50"/>
      <c r="BA1111" s="50"/>
      <c r="BB1111" s="51"/>
      <c r="BC1111" s="51"/>
      <c r="BD1111" s="51"/>
      <c r="BE1111" s="51"/>
      <c r="BF1111" s="47"/>
      <c r="BG1111" s="47"/>
      <c r="BH1111" s="47"/>
      <c r="BI1111" s="47"/>
      <c r="BJ1111" s="47"/>
      <c r="BK1111" s="47"/>
      <c r="BL1111" s="47"/>
      <c r="BM1111" s="47"/>
      <c r="BN1111" s="47"/>
      <c r="BO1111" s="47"/>
      <c r="BP1111" s="47"/>
      <c r="BQ1111" s="47"/>
      <c r="BR1111" s="47"/>
      <c r="BS1111" s="47"/>
      <c r="BT1111" s="47"/>
    </row>
    <row r="1112">
      <c r="A1112" s="24"/>
      <c r="B1112" s="48"/>
      <c r="C1112" s="49"/>
      <c r="D1112" s="24"/>
      <c r="E1112" s="52"/>
      <c r="F1112" s="53"/>
      <c r="G1112" s="48"/>
      <c r="H1112" s="49"/>
      <c r="I1112" s="49"/>
      <c r="J1112" s="48"/>
      <c r="K1112" s="48"/>
      <c r="L1112" s="48"/>
      <c r="M1112" s="48"/>
      <c r="N1112" s="48"/>
      <c r="O1112" s="48"/>
      <c r="P1112" s="48"/>
      <c r="Q1112" s="48"/>
      <c r="R1112" s="48"/>
      <c r="S1112" s="48"/>
      <c r="T1112" s="48"/>
      <c r="U1112" s="48"/>
      <c r="V1112" s="48"/>
      <c r="W1112" s="49"/>
      <c r="X1112" s="49"/>
      <c r="Y1112" s="49"/>
      <c r="Z1112" s="49"/>
      <c r="AA1112" s="49"/>
      <c r="AB1112" s="49"/>
      <c r="AC1112" s="49"/>
      <c r="AD1112" s="49"/>
      <c r="AE1112" s="49"/>
      <c r="AF1112" s="49"/>
      <c r="AG1112" s="49"/>
      <c r="AH1112" s="49"/>
      <c r="AI1112" s="48"/>
      <c r="AJ1112" s="48"/>
      <c r="AK1112" s="24"/>
      <c r="AL1112" s="50"/>
      <c r="AM1112" s="50"/>
      <c r="AN1112" s="50"/>
      <c r="AO1112" s="50"/>
      <c r="AP1112" s="50"/>
      <c r="AQ1112" s="50"/>
      <c r="AR1112" s="50"/>
      <c r="AS1112" s="50"/>
      <c r="AT1112" s="51"/>
      <c r="AU1112" s="51"/>
      <c r="AV1112" s="51"/>
      <c r="AW1112" s="51"/>
      <c r="AX1112" s="50"/>
      <c r="AY1112" s="50"/>
      <c r="AZ1112" s="50"/>
      <c r="BA1112" s="50"/>
      <c r="BB1112" s="51"/>
      <c r="BC1112" s="51"/>
      <c r="BD1112" s="51"/>
      <c r="BE1112" s="51"/>
      <c r="BF1112" s="47"/>
      <c r="BG1112" s="47"/>
      <c r="BH1112" s="47"/>
      <c r="BI1112" s="47"/>
      <c r="BJ1112" s="47"/>
      <c r="BK1112" s="47"/>
      <c r="BL1112" s="47"/>
      <c r="BM1112" s="47"/>
      <c r="BN1112" s="47"/>
      <c r="BO1112" s="47"/>
      <c r="BP1112" s="47"/>
      <c r="BQ1112" s="47"/>
      <c r="BR1112" s="47"/>
      <c r="BS1112" s="47"/>
      <c r="BT1112" s="47"/>
    </row>
    <row r="1113">
      <c r="A1113" s="24"/>
      <c r="B1113" s="48"/>
      <c r="C1113" s="49"/>
      <c r="D1113" s="24"/>
      <c r="E1113" s="52"/>
      <c r="F1113" s="53"/>
      <c r="G1113" s="48"/>
      <c r="H1113" s="49"/>
      <c r="I1113" s="49"/>
      <c r="J1113" s="48"/>
      <c r="K1113" s="48"/>
      <c r="L1113" s="48"/>
      <c r="M1113" s="48"/>
      <c r="N1113" s="48"/>
      <c r="O1113" s="48"/>
      <c r="P1113" s="48"/>
      <c r="Q1113" s="48"/>
      <c r="R1113" s="48"/>
      <c r="S1113" s="48"/>
      <c r="T1113" s="48"/>
      <c r="U1113" s="48"/>
      <c r="V1113" s="48"/>
      <c r="W1113" s="49"/>
      <c r="X1113" s="49"/>
      <c r="Y1113" s="49"/>
      <c r="Z1113" s="49"/>
      <c r="AA1113" s="49"/>
      <c r="AB1113" s="49"/>
      <c r="AC1113" s="49"/>
      <c r="AD1113" s="49"/>
      <c r="AE1113" s="49"/>
      <c r="AF1113" s="49"/>
      <c r="AG1113" s="49"/>
      <c r="AH1113" s="49"/>
      <c r="AI1113" s="48"/>
      <c r="AJ1113" s="48"/>
      <c r="AK1113" s="24"/>
      <c r="AL1113" s="50"/>
      <c r="AM1113" s="50"/>
      <c r="AN1113" s="50"/>
      <c r="AO1113" s="50"/>
      <c r="AP1113" s="50"/>
      <c r="AQ1113" s="50"/>
      <c r="AR1113" s="50"/>
      <c r="AS1113" s="50"/>
      <c r="AT1113" s="51"/>
      <c r="AU1113" s="51"/>
      <c r="AV1113" s="51"/>
      <c r="AW1113" s="51"/>
      <c r="AX1113" s="50"/>
      <c r="AY1113" s="50"/>
      <c r="AZ1113" s="50"/>
      <c r="BA1113" s="50"/>
      <c r="BB1113" s="51"/>
      <c r="BC1113" s="51"/>
      <c r="BD1113" s="51"/>
      <c r="BE1113" s="51"/>
      <c r="BF1113" s="47"/>
      <c r="BG1113" s="47"/>
      <c r="BH1113" s="47"/>
      <c r="BI1113" s="47"/>
      <c r="BJ1113" s="47"/>
      <c r="BK1113" s="47"/>
      <c r="BL1113" s="47"/>
      <c r="BM1113" s="47"/>
      <c r="BN1113" s="47"/>
      <c r="BO1113" s="47"/>
      <c r="BP1113" s="47"/>
      <c r="BQ1113" s="47"/>
      <c r="BR1113" s="47"/>
      <c r="BS1113" s="47"/>
      <c r="BT1113" s="47"/>
    </row>
    <row r="1114">
      <c r="A1114" s="24"/>
      <c r="B1114" s="48"/>
      <c r="C1114" s="49"/>
      <c r="D1114" s="24"/>
      <c r="E1114" s="52"/>
      <c r="F1114" s="53"/>
      <c r="G1114" s="48"/>
      <c r="H1114" s="49"/>
      <c r="I1114" s="49"/>
      <c r="J1114" s="48"/>
      <c r="K1114" s="48"/>
      <c r="L1114" s="48"/>
      <c r="M1114" s="48"/>
      <c r="N1114" s="48"/>
      <c r="O1114" s="48"/>
      <c r="P1114" s="48"/>
      <c r="Q1114" s="48"/>
      <c r="R1114" s="48"/>
      <c r="S1114" s="48"/>
      <c r="T1114" s="48"/>
      <c r="U1114" s="48"/>
      <c r="V1114" s="48"/>
      <c r="W1114" s="49"/>
      <c r="X1114" s="49"/>
      <c r="Y1114" s="49"/>
      <c r="Z1114" s="49"/>
      <c r="AA1114" s="49"/>
      <c r="AB1114" s="49"/>
      <c r="AC1114" s="49"/>
      <c r="AD1114" s="49"/>
      <c r="AE1114" s="49"/>
      <c r="AF1114" s="49"/>
      <c r="AG1114" s="49"/>
      <c r="AH1114" s="49"/>
      <c r="AI1114" s="48"/>
      <c r="AJ1114" s="48"/>
      <c r="AK1114" s="24"/>
      <c r="AL1114" s="50"/>
      <c r="AM1114" s="50"/>
      <c r="AN1114" s="50"/>
      <c r="AO1114" s="50"/>
      <c r="AP1114" s="50"/>
      <c r="AQ1114" s="50"/>
      <c r="AR1114" s="50"/>
      <c r="AS1114" s="50"/>
      <c r="AT1114" s="51"/>
      <c r="AU1114" s="51"/>
      <c r="AV1114" s="51"/>
      <c r="AW1114" s="51"/>
      <c r="AX1114" s="50"/>
      <c r="AY1114" s="50"/>
      <c r="AZ1114" s="50"/>
      <c r="BA1114" s="50"/>
      <c r="BB1114" s="51"/>
      <c r="BC1114" s="51"/>
      <c r="BD1114" s="51"/>
      <c r="BE1114" s="51"/>
      <c r="BF1114" s="47"/>
      <c r="BG1114" s="47"/>
      <c r="BH1114" s="47"/>
      <c r="BI1114" s="47"/>
      <c r="BJ1114" s="47"/>
      <c r="BK1114" s="47"/>
      <c r="BL1114" s="47"/>
      <c r="BM1114" s="47"/>
      <c r="BN1114" s="47"/>
      <c r="BO1114" s="47"/>
      <c r="BP1114" s="47"/>
      <c r="BQ1114" s="47"/>
      <c r="BR1114" s="47"/>
      <c r="BS1114" s="47"/>
      <c r="BT1114" s="47"/>
    </row>
    <row r="1115">
      <c r="A1115" s="24"/>
      <c r="B1115" s="48"/>
      <c r="C1115" s="49"/>
      <c r="D1115" s="24"/>
      <c r="E1115" s="52"/>
      <c r="F1115" s="53"/>
      <c r="G1115" s="48"/>
      <c r="H1115" s="49"/>
      <c r="I1115" s="49"/>
      <c r="J1115" s="48"/>
      <c r="K1115" s="48"/>
      <c r="L1115" s="48"/>
      <c r="M1115" s="48"/>
      <c r="N1115" s="48"/>
      <c r="O1115" s="48"/>
      <c r="P1115" s="48"/>
      <c r="Q1115" s="48"/>
      <c r="R1115" s="48"/>
      <c r="S1115" s="48"/>
      <c r="T1115" s="48"/>
      <c r="U1115" s="48"/>
      <c r="V1115" s="48"/>
      <c r="W1115" s="49"/>
      <c r="X1115" s="49"/>
      <c r="Y1115" s="49"/>
      <c r="Z1115" s="49"/>
      <c r="AA1115" s="49"/>
      <c r="AB1115" s="49"/>
      <c r="AC1115" s="49"/>
      <c r="AD1115" s="49"/>
      <c r="AE1115" s="49"/>
      <c r="AF1115" s="49"/>
      <c r="AG1115" s="49"/>
      <c r="AH1115" s="49"/>
      <c r="AI1115" s="48"/>
      <c r="AJ1115" s="48"/>
      <c r="AK1115" s="24"/>
      <c r="AL1115" s="50"/>
      <c r="AM1115" s="50"/>
      <c r="AN1115" s="50"/>
      <c r="AO1115" s="50"/>
      <c r="AP1115" s="50"/>
      <c r="AQ1115" s="50"/>
      <c r="AR1115" s="50"/>
      <c r="AS1115" s="50"/>
      <c r="AT1115" s="51"/>
      <c r="AU1115" s="51"/>
      <c r="AV1115" s="51"/>
      <c r="AW1115" s="51"/>
      <c r="AX1115" s="50"/>
      <c r="AY1115" s="50"/>
      <c r="AZ1115" s="50"/>
      <c r="BA1115" s="50"/>
      <c r="BB1115" s="51"/>
      <c r="BC1115" s="51"/>
      <c r="BD1115" s="51"/>
      <c r="BE1115" s="51"/>
      <c r="BF1115" s="47"/>
      <c r="BG1115" s="47"/>
      <c r="BH1115" s="47"/>
      <c r="BI1115" s="47"/>
      <c r="BJ1115" s="47"/>
      <c r="BK1115" s="47"/>
      <c r="BL1115" s="47"/>
      <c r="BM1115" s="47"/>
      <c r="BN1115" s="47"/>
      <c r="BO1115" s="47"/>
      <c r="BP1115" s="47"/>
      <c r="BQ1115" s="47"/>
      <c r="BR1115" s="47"/>
      <c r="BS1115" s="47"/>
      <c r="BT1115" s="47"/>
    </row>
    <row r="1116">
      <c r="A1116" s="24"/>
      <c r="B1116" s="48"/>
      <c r="C1116" s="49"/>
      <c r="D1116" s="24"/>
      <c r="E1116" s="52"/>
      <c r="F1116" s="53"/>
      <c r="G1116" s="48"/>
      <c r="H1116" s="49"/>
      <c r="I1116" s="49"/>
      <c r="J1116" s="48"/>
      <c r="K1116" s="48"/>
      <c r="L1116" s="48"/>
      <c r="M1116" s="48"/>
      <c r="N1116" s="48"/>
      <c r="O1116" s="48"/>
      <c r="P1116" s="48"/>
      <c r="Q1116" s="48"/>
      <c r="R1116" s="48"/>
      <c r="S1116" s="48"/>
      <c r="T1116" s="48"/>
      <c r="U1116" s="48"/>
      <c r="V1116" s="48"/>
      <c r="W1116" s="49"/>
      <c r="X1116" s="49"/>
      <c r="Y1116" s="49"/>
      <c r="Z1116" s="49"/>
      <c r="AA1116" s="49"/>
      <c r="AB1116" s="49"/>
      <c r="AC1116" s="49"/>
      <c r="AD1116" s="49"/>
      <c r="AE1116" s="49"/>
      <c r="AF1116" s="49"/>
      <c r="AG1116" s="49"/>
      <c r="AH1116" s="49"/>
      <c r="AI1116" s="48"/>
      <c r="AJ1116" s="48"/>
      <c r="AK1116" s="24"/>
      <c r="AL1116" s="50"/>
      <c r="AM1116" s="50"/>
      <c r="AN1116" s="50"/>
      <c r="AO1116" s="50"/>
      <c r="AP1116" s="50"/>
      <c r="AQ1116" s="50"/>
      <c r="AR1116" s="50"/>
      <c r="AS1116" s="50"/>
      <c r="AT1116" s="51"/>
      <c r="AU1116" s="51"/>
      <c r="AV1116" s="51"/>
      <c r="AW1116" s="51"/>
      <c r="AX1116" s="50"/>
      <c r="AY1116" s="50"/>
      <c r="AZ1116" s="50"/>
      <c r="BA1116" s="50"/>
      <c r="BB1116" s="51"/>
      <c r="BC1116" s="51"/>
      <c r="BD1116" s="51"/>
      <c r="BE1116" s="51"/>
      <c r="BF1116" s="47"/>
      <c r="BG1116" s="47"/>
      <c r="BH1116" s="47"/>
      <c r="BI1116" s="47"/>
      <c r="BJ1116" s="47"/>
      <c r="BK1116" s="47"/>
      <c r="BL1116" s="47"/>
      <c r="BM1116" s="47"/>
      <c r="BN1116" s="47"/>
      <c r="BO1116" s="47"/>
      <c r="BP1116" s="47"/>
      <c r="BQ1116" s="47"/>
      <c r="BR1116" s="47"/>
      <c r="BS1116" s="47"/>
      <c r="BT1116" s="47"/>
    </row>
    <row r="1117">
      <c r="A1117" s="24"/>
      <c r="B1117" s="48"/>
      <c r="C1117" s="49"/>
      <c r="D1117" s="24"/>
      <c r="E1117" s="52"/>
      <c r="F1117" s="53"/>
      <c r="G1117" s="48"/>
      <c r="H1117" s="49"/>
      <c r="I1117" s="49"/>
      <c r="J1117" s="48"/>
      <c r="K1117" s="48"/>
      <c r="L1117" s="48"/>
      <c r="M1117" s="48"/>
      <c r="N1117" s="48"/>
      <c r="O1117" s="48"/>
      <c r="P1117" s="48"/>
      <c r="Q1117" s="48"/>
      <c r="R1117" s="48"/>
      <c r="S1117" s="48"/>
      <c r="T1117" s="48"/>
      <c r="U1117" s="48"/>
      <c r="V1117" s="48"/>
      <c r="W1117" s="49"/>
      <c r="X1117" s="49"/>
      <c r="Y1117" s="49"/>
      <c r="Z1117" s="49"/>
      <c r="AA1117" s="49"/>
      <c r="AB1117" s="49"/>
      <c r="AC1117" s="49"/>
      <c r="AD1117" s="49"/>
      <c r="AE1117" s="49"/>
      <c r="AF1117" s="49"/>
      <c r="AG1117" s="49"/>
      <c r="AH1117" s="49"/>
      <c r="AI1117" s="48"/>
      <c r="AJ1117" s="48"/>
      <c r="AK1117" s="24"/>
      <c r="AL1117" s="50"/>
      <c r="AM1117" s="50"/>
      <c r="AN1117" s="50"/>
      <c r="AO1117" s="50"/>
      <c r="AP1117" s="50"/>
      <c r="AQ1117" s="50"/>
      <c r="AR1117" s="50"/>
      <c r="AS1117" s="50"/>
      <c r="AT1117" s="51"/>
      <c r="AU1117" s="51"/>
      <c r="AV1117" s="51"/>
      <c r="AW1117" s="51"/>
      <c r="AX1117" s="50"/>
      <c r="AY1117" s="50"/>
      <c r="AZ1117" s="50"/>
      <c r="BA1117" s="50"/>
      <c r="BB1117" s="51"/>
      <c r="BC1117" s="51"/>
      <c r="BD1117" s="51"/>
      <c r="BE1117" s="51"/>
      <c r="BF1117" s="47"/>
      <c r="BG1117" s="47"/>
      <c r="BH1117" s="47"/>
      <c r="BI1117" s="47"/>
      <c r="BJ1117" s="47"/>
      <c r="BK1117" s="47"/>
      <c r="BL1117" s="47"/>
      <c r="BM1117" s="47"/>
      <c r="BN1117" s="47"/>
      <c r="BO1117" s="47"/>
      <c r="BP1117" s="47"/>
      <c r="BQ1117" s="47"/>
      <c r="BR1117" s="47"/>
      <c r="BS1117" s="47"/>
      <c r="BT1117" s="47"/>
    </row>
    <row r="1118">
      <c r="A1118" s="24"/>
      <c r="B1118" s="48"/>
      <c r="C1118" s="49"/>
      <c r="D1118" s="24"/>
      <c r="E1118" s="52"/>
      <c r="F1118" s="53"/>
      <c r="G1118" s="48"/>
      <c r="H1118" s="49"/>
      <c r="I1118" s="49"/>
      <c r="J1118" s="48"/>
      <c r="K1118" s="48"/>
      <c r="L1118" s="48"/>
      <c r="M1118" s="48"/>
      <c r="N1118" s="48"/>
      <c r="O1118" s="48"/>
      <c r="P1118" s="48"/>
      <c r="Q1118" s="48"/>
      <c r="R1118" s="48"/>
      <c r="S1118" s="48"/>
      <c r="T1118" s="48"/>
      <c r="U1118" s="48"/>
      <c r="V1118" s="48"/>
      <c r="W1118" s="49"/>
      <c r="X1118" s="49"/>
      <c r="Y1118" s="49"/>
      <c r="Z1118" s="49"/>
      <c r="AA1118" s="49"/>
      <c r="AB1118" s="49"/>
      <c r="AC1118" s="49"/>
      <c r="AD1118" s="49"/>
      <c r="AE1118" s="49"/>
      <c r="AF1118" s="49"/>
      <c r="AG1118" s="49"/>
      <c r="AH1118" s="49"/>
      <c r="AI1118" s="48"/>
      <c r="AJ1118" s="48"/>
      <c r="AK1118" s="24"/>
      <c r="AL1118" s="50"/>
      <c r="AM1118" s="50"/>
      <c r="AN1118" s="50"/>
      <c r="AO1118" s="50"/>
      <c r="AP1118" s="50"/>
      <c r="AQ1118" s="50"/>
      <c r="AR1118" s="50"/>
      <c r="AS1118" s="50"/>
      <c r="AT1118" s="51"/>
      <c r="AU1118" s="51"/>
      <c r="AV1118" s="51"/>
      <c r="AW1118" s="51"/>
      <c r="AX1118" s="50"/>
      <c r="AY1118" s="50"/>
      <c r="AZ1118" s="50"/>
      <c r="BA1118" s="50"/>
      <c r="BB1118" s="51"/>
      <c r="BC1118" s="51"/>
      <c r="BD1118" s="51"/>
      <c r="BE1118" s="51"/>
      <c r="BF1118" s="47"/>
      <c r="BG1118" s="47"/>
      <c r="BH1118" s="47"/>
      <c r="BI1118" s="47"/>
      <c r="BJ1118" s="47"/>
      <c r="BK1118" s="47"/>
      <c r="BL1118" s="47"/>
      <c r="BM1118" s="47"/>
      <c r="BN1118" s="47"/>
      <c r="BO1118" s="47"/>
      <c r="BP1118" s="47"/>
      <c r="BQ1118" s="47"/>
      <c r="BR1118" s="47"/>
      <c r="BS1118" s="47"/>
      <c r="BT1118" s="47"/>
    </row>
    <row r="1119">
      <c r="A1119" s="24"/>
      <c r="B1119" s="48"/>
      <c r="C1119" s="49"/>
      <c r="D1119" s="24"/>
      <c r="E1119" s="52"/>
      <c r="F1119" s="53"/>
      <c r="G1119" s="48"/>
      <c r="H1119" s="49"/>
      <c r="I1119" s="49"/>
      <c r="J1119" s="48"/>
      <c r="K1119" s="48"/>
      <c r="L1119" s="48"/>
      <c r="M1119" s="48"/>
      <c r="N1119" s="48"/>
      <c r="O1119" s="48"/>
      <c r="P1119" s="48"/>
      <c r="Q1119" s="48"/>
      <c r="R1119" s="48"/>
      <c r="S1119" s="48"/>
      <c r="T1119" s="48"/>
      <c r="U1119" s="48"/>
      <c r="V1119" s="48"/>
      <c r="W1119" s="49"/>
      <c r="X1119" s="49"/>
      <c r="Y1119" s="49"/>
      <c r="Z1119" s="49"/>
      <c r="AA1119" s="49"/>
      <c r="AB1119" s="49"/>
      <c r="AC1119" s="49"/>
      <c r="AD1119" s="49"/>
      <c r="AE1119" s="49"/>
      <c r="AF1119" s="49"/>
      <c r="AG1119" s="49"/>
      <c r="AH1119" s="49"/>
      <c r="AI1119" s="48"/>
      <c r="AJ1119" s="48"/>
      <c r="AK1119" s="24"/>
      <c r="AL1119" s="50"/>
      <c r="AM1119" s="50"/>
      <c r="AN1119" s="50"/>
      <c r="AO1119" s="50"/>
      <c r="AP1119" s="50"/>
      <c r="AQ1119" s="50"/>
      <c r="AR1119" s="50"/>
      <c r="AS1119" s="50"/>
      <c r="AT1119" s="51"/>
      <c r="AU1119" s="51"/>
      <c r="AV1119" s="51"/>
      <c r="AW1119" s="51"/>
      <c r="AX1119" s="50"/>
      <c r="AY1119" s="50"/>
      <c r="AZ1119" s="50"/>
      <c r="BA1119" s="50"/>
      <c r="BB1119" s="51"/>
      <c r="BC1119" s="51"/>
      <c r="BD1119" s="51"/>
      <c r="BE1119" s="51"/>
      <c r="BF1119" s="47"/>
      <c r="BG1119" s="47"/>
      <c r="BH1119" s="47"/>
      <c r="BI1119" s="47"/>
      <c r="BJ1119" s="47"/>
      <c r="BK1119" s="47"/>
      <c r="BL1119" s="47"/>
      <c r="BM1119" s="47"/>
      <c r="BN1119" s="47"/>
      <c r="BO1119" s="47"/>
      <c r="BP1119" s="47"/>
      <c r="BQ1119" s="47"/>
      <c r="BR1119" s="47"/>
      <c r="BS1119" s="47"/>
      <c r="BT1119" s="47"/>
    </row>
    <row r="1120">
      <c r="A1120" s="24"/>
      <c r="B1120" s="48"/>
      <c r="C1120" s="49"/>
      <c r="D1120" s="24"/>
      <c r="E1120" s="52"/>
      <c r="F1120" s="53"/>
      <c r="G1120" s="48"/>
      <c r="H1120" s="49"/>
      <c r="I1120" s="49"/>
      <c r="J1120" s="48"/>
      <c r="K1120" s="48"/>
      <c r="L1120" s="48"/>
      <c r="M1120" s="48"/>
      <c r="N1120" s="48"/>
      <c r="O1120" s="48"/>
      <c r="P1120" s="48"/>
      <c r="Q1120" s="48"/>
      <c r="R1120" s="48"/>
      <c r="S1120" s="48"/>
      <c r="T1120" s="48"/>
      <c r="U1120" s="48"/>
      <c r="V1120" s="48"/>
      <c r="W1120" s="49"/>
      <c r="X1120" s="49"/>
      <c r="Y1120" s="49"/>
      <c r="Z1120" s="49"/>
      <c r="AA1120" s="49"/>
      <c r="AB1120" s="49"/>
      <c r="AC1120" s="49"/>
      <c r="AD1120" s="49"/>
      <c r="AE1120" s="49"/>
      <c r="AF1120" s="49"/>
      <c r="AG1120" s="49"/>
      <c r="AH1120" s="49"/>
      <c r="AI1120" s="48"/>
      <c r="AJ1120" s="48"/>
      <c r="AK1120" s="24"/>
      <c r="AL1120" s="50"/>
      <c r="AM1120" s="50"/>
      <c r="AN1120" s="50"/>
      <c r="AO1120" s="50"/>
      <c r="AP1120" s="50"/>
      <c r="AQ1120" s="50"/>
      <c r="AR1120" s="50"/>
      <c r="AS1120" s="50"/>
      <c r="AT1120" s="51"/>
      <c r="AU1120" s="51"/>
      <c r="AV1120" s="51"/>
      <c r="AW1120" s="51"/>
      <c r="AX1120" s="50"/>
      <c r="AY1120" s="50"/>
      <c r="AZ1120" s="50"/>
      <c r="BA1120" s="50"/>
      <c r="BB1120" s="51"/>
      <c r="BC1120" s="51"/>
      <c r="BD1120" s="51"/>
      <c r="BE1120" s="51"/>
      <c r="BF1120" s="47"/>
      <c r="BG1120" s="47"/>
      <c r="BH1120" s="47"/>
      <c r="BI1120" s="47"/>
      <c r="BJ1120" s="47"/>
      <c r="BK1120" s="47"/>
      <c r="BL1120" s="47"/>
      <c r="BM1120" s="47"/>
      <c r="BN1120" s="47"/>
      <c r="BO1120" s="47"/>
      <c r="BP1120" s="47"/>
      <c r="BQ1120" s="47"/>
      <c r="BR1120" s="47"/>
      <c r="BS1120" s="47"/>
      <c r="BT1120" s="47"/>
    </row>
    <row r="1121">
      <c r="A1121" s="24"/>
      <c r="B1121" s="48"/>
      <c r="C1121" s="49"/>
      <c r="D1121" s="24"/>
      <c r="E1121" s="52"/>
      <c r="F1121" s="53"/>
      <c r="G1121" s="48"/>
      <c r="H1121" s="49"/>
      <c r="I1121" s="49"/>
      <c r="J1121" s="48"/>
      <c r="K1121" s="48"/>
      <c r="L1121" s="48"/>
      <c r="M1121" s="48"/>
      <c r="N1121" s="48"/>
      <c r="O1121" s="48"/>
      <c r="P1121" s="48"/>
      <c r="Q1121" s="48"/>
      <c r="R1121" s="48"/>
      <c r="S1121" s="48"/>
      <c r="T1121" s="48"/>
      <c r="U1121" s="48"/>
      <c r="V1121" s="48"/>
      <c r="W1121" s="49"/>
      <c r="X1121" s="49"/>
      <c r="Y1121" s="49"/>
      <c r="Z1121" s="49"/>
      <c r="AA1121" s="49"/>
      <c r="AB1121" s="49"/>
      <c r="AC1121" s="49"/>
      <c r="AD1121" s="49"/>
      <c r="AE1121" s="49"/>
      <c r="AF1121" s="49"/>
      <c r="AG1121" s="49"/>
      <c r="AH1121" s="49"/>
      <c r="AI1121" s="48"/>
      <c r="AJ1121" s="48"/>
      <c r="AK1121" s="24"/>
      <c r="AL1121" s="50"/>
      <c r="AM1121" s="50"/>
      <c r="AN1121" s="50"/>
      <c r="AO1121" s="50"/>
      <c r="AP1121" s="50"/>
      <c r="AQ1121" s="50"/>
      <c r="AR1121" s="50"/>
      <c r="AS1121" s="50"/>
      <c r="AT1121" s="51"/>
      <c r="AU1121" s="51"/>
      <c r="AV1121" s="51"/>
      <c r="AW1121" s="51"/>
      <c r="AX1121" s="50"/>
      <c r="AY1121" s="50"/>
      <c r="AZ1121" s="50"/>
      <c r="BA1121" s="50"/>
      <c r="BB1121" s="51"/>
      <c r="BC1121" s="51"/>
      <c r="BD1121" s="51"/>
      <c r="BE1121" s="51"/>
      <c r="BF1121" s="47"/>
      <c r="BG1121" s="47"/>
      <c r="BH1121" s="47"/>
      <c r="BI1121" s="47"/>
      <c r="BJ1121" s="47"/>
      <c r="BK1121" s="47"/>
      <c r="BL1121" s="47"/>
      <c r="BM1121" s="47"/>
      <c r="BN1121" s="47"/>
      <c r="BO1121" s="47"/>
      <c r="BP1121" s="47"/>
      <c r="BQ1121" s="47"/>
      <c r="BR1121" s="47"/>
      <c r="BS1121" s="47"/>
      <c r="BT1121" s="47"/>
    </row>
    <row r="1122">
      <c r="A1122" s="24"/>
      <c r="B1122" s="48"/>
      <c r="C1122" s="49"/>
      <c r="D1122" s="24"/>
      <c r="E1122" s="52"/>
      <c r="F1122" s="53"/>
      <c r="G1122" s="48"/>
      <c r="H1122" s="49"/>
      <c r="I1122" s="49"/>
      <c r="J1122" s="48"/>
      <c r="K1122" s="48"/>
      <c r="L1122" s="48"/>
      <c r="M1122" s="48"/>
      <c r="N1122" s="48"/>
      <c r="O1122" s="48"/>
      <c r="P1122" s="48"/>
      <c r="Q1122" s="48"/>
      <c r="R1122" s="48"/>
      <c r="S1122" s="48"/>
      <c r="T1122" s="48"/>
      <c r="U1122" s="48"/>
      <c r="V1122" s="48"/>
      <c r="W1122" s="49"/>
      <c r="X1122" s="49"/>
      <c r="Y1122" s="49"/>
      <c r="Z1122" s="49"/>
      <c r="AA1122" s="49"/>
      <c r="AB1122" s="49"/>
      <c r="AC1122" s="49"/>
      <c r="AD1122" s="49"/>
      <c r="AE1122" s="49"/>
      <c r="AF1122" s="49"/>
      <c r="AG1122" s="49"/>
      <c r="AH1122" s="49"/>
      <c r="AI1122" s="48"/>
      <c r="AJ1122" s="48"/>
      <c r="AK1122" s="24"/>
      <c r="AL1122" s="50"/>
      <c r="AM1122" s="50"/>
      <c r="AN1122" s="50"/>
      <c r="AO1122" s="50"/>
      <c r="AP1122" s="50"/>
      <c r="AQ1122" s="50"/>
      <c r="AR1122" s="50"/>
      <c r="AS1122" s="50"/>
      <c r="AT1122" s="51"/>
      <c r="AU1122" s="51"/>
      <c r="AV1122" s="51"/>
      <c r="AW1122" s="51"/>
      <c r="AX1122" s="50"/>
      <c r="AY1122" s="50"/>
      <c r="AZ1122" s="50"/>
      <c r="BA1122" s="50"/>
      <c r="BB1122" s="51"/>
      <c r="BC1122" s="51"/>
      <c r="BD1122" s="51"/>
      <c r="BE1122" s="51"/>
      <c r="BF1122" s="47"/>
      <c r="BG1122" s="47"/>
      <c r="BH1122" s="47"/>
      <c r="BI1122" s="47"/>
      <c r="BJ1122" s="47"/>
      <c r="BK1122" s="47"/>
      <c r="BL1122" s="47"/>
      <c r="BM1122" s="47"/>
      <c r="BN1122" s="47"/>
      <c r="BO1122" s="47"/>
      <c r="BP1122" s="47"/>
      <c r="BQ1122" s="47"/>
      <c r="BR1122" s="47"/>
      <c r="BS1122" s="47"/>
      <c r="BT1122" s="47"/>
    </row>
    <row r="1123">
      <c r="A1123" s="24"/>
      <c r="B1123" s="48"/>
      <c r="C1123" s="49"/>
      <c r="D1123" s="24"/>
      <c r="E1123" s="52"/>
      <c r="F1123" s="53"/>
      <c r="G1123" s="48"/>
      <c r="H1123" s="49"/>
      <c r="I1123" s="49"/>
      <c r="J1123" s="48"/>
      <c r="K1123" s="48"/>
      <c r="L1123" s="48"/>
      <c r="M1123" s="48"/>
      <c r="N1123" s="48"/>
      <c r="O1123" s="48"/>
      <c r="P1123" s="48"/>
      <c r="Q1123" s="48"/>
      <c r="R1123" s="48"/>
      <c r="S1123" s="48"/>
      <c r="T1123" s="48"/>
      <c r="U1123" s="48"/>
      <c r="V1123" s="48"/>
      <c r="W1123" s="49"/>
      <c r="X1123" s="49"/>
      <c r="Y1123" s="49"/>
      <c r="Z1123" s="49"/>
      <c r="AA1123" s="49"/>
      <c r="AB1123" s="49"/>
      <c r="AC1123" s="49"/>
      <c r="AD1123" s="49"/>
      <c r="AE1123" s="49"/>
      <c r="AF1123" s="49"/>
      <c r="AG1123" s="49"/>
      <c r="AH1123" s="49"/>
      <c r="AI1123" s="48"/>
      <c r="AJ1123" s="48"/>
      <c r="AK1123" s="24"/>
      <c r="AL1123" s="50"/>
      <c r="AM1123" s="50"/>
      <c r="AN1123" s="50"/>
      <c r="AO1123" s="50"/>
      <c r="AP1123" s="50"/>
      <c r="AQ1123" s="50"/>
      <c r="AR1123" s="50"/>
      <c r="AS1123" s="50"/>
      <c r="AT1123" s="51"/>
      <c r="AU1123" s="51"/>
      <c r="AV1123" s="51"/>
      <c r="AW1123" s="51"/>
      <c r="AX1123" s="50"/>
      <c r="AY1123" s="50"/>
      <c r="AZ1123" s="50"/>
      <c r="BA1123" s="50"/>
      <c r="BB1123" s="51"/>
      <c r="BC1123" s="51"/>
      <c r="BD1123" s="51"/>
      <c r="BE1123" s="51"/>
      <c r="BF1123" s="47"/>
      <c r="BG1123" s="47"/>
      <c r="BH1123" s="47"/>
      <c r="BI1123" s="47"/>
      <c r="BJ1123" s="47"/>
      <c r="BK1123" s="47"/>
      <c r="BL1123" s="47"/>
      <c r="BM1123" s="47"/>
      <c r="BN1123" s="47"/>
      <c r="BO1123" s="47"/>
      <c r="BP1123" s="47"/>
      <c r="BQ1123" s="47"/>
      <c r="BR1123" s="47"/>
      <c r="BS1123" s="47"/>
      <c r="BT1123" s="47"/>
    </row>
    <row r="1124">
      <c r="A1124" s="24"/>
      <c r="B1124" s="48"/>
      <c r="C1124" s="49"/>
      <c r="D1124" s="24"/>
      <c r="E1124" s="52"/>
      <c r="F1124" s="53"/>
      <c r="G1124" s="48"/>
      <c r="H1124" s="49"/>
      <c r="I1124" s="49"/>
      <c r="J1124" s="48"/>
      <c r="K1124" s="48"/>
      <c r="L1124" s="48"/>
      <c r="M1124" s="48"/>
      <c r="N1124" s="48"/>
      <c r="O1124" s="48"/>
      <c r="P1124" s="48"/>
      <c r="Q1124" s="48"/>
      <c r="R1124" s="48"/>
      <c r="S1124" s="48"/>
      <c r="T1124" s="48"/>
      <c r="U1124" s="48"/>
      <c r="V1124" s="48"/>
      <c r="W1124" s="49"/>
      <c r="X1124" s="49"/>
      <c r="Y1124" s="49"/>
      <c r="Z1124" s="49"/>
      <c r="AA1124" s="49"/>
      <c r="AB1124" s="49"/>
      <c r="AC1124" s="49"/>
      <c r="AD1124" s="49"/>
      <c r="AE1124" s="49"/>
      <c r="AF1124" s="49"/>
      <c r="AG1124" s="49"/>
      <c r="AH1124" s="49"/>
      <c r="AI1124" s="48"/>
      <c r="AJ1124" s="48"/>
      <c r="AK1124" s="24"/>
      <c r="AL1124" s="50"/>
      <c r="AM1124" s="50"/>
      <c r="AN1124" s="50"/>
      <c r="AO1124" s="50"/>
      <c r="AP1124" s="50"/>
      <c r="AQ1124" s="50"/>
      <c r="AR1124" s="50"/>
      <c r="AS1124" s="50"/>
      <c r="AT1124" s="51"/>
      <c r="AU1124" s="51"/>
      <c r="AV1124" s="51"/>
      <c r="AW1124" s="51"/>
      <c r="AX1124" s="50"/>
      <c r="AY1124" s="50"/>
      <c r="AZ1124" s="50"/>
      <c r="BA1124" s="50"/>
      <c r="BB1124" s="51"/>
      <c r="BC1124" s="51"/>
      <c r="BD1124" s="51"/>
      <c r="BE1124" s="51"/>
      <c r="BF1124" s="47"/>
      <c r="BG1124" s="47"/>
      <c r="BH1124" s="47"/>
      <c r="BI1124" s="47"/>
      <c r="BJ1124" s="47"/>
      <c r="BK1124" s="47"/>
      <c r="BL1124" s="47"/>
      <c r="BM1124" s="47"/>
      <c r="BN1124" s="47"/>
      <c r="BO1124" s="47"/>
      <c r="BP1124" s="47"/>
      <c r="BQ1124" s="47"/>
      <c r="BR1124" s="47"/>
      <c r="BS1124" s="47"/>
      <c r="BT1124" s="47"/>
    </row>
    <row r="1125">
      <c r="A1125" s="24"/>
      <c r="B1125" s="48"/>
      <c r="C1125" s="49"/>
      <c r="D1125" s="24"/>
      <c r="E1125" s="52"/>
      <c r="F1125" s="53"/>
      <c r="G1125" s="48"/>
      <c r="H1125" s="49"/>
      <c r="I1125" s="49"/>
      <c r="J1125" s="48"/>
      <c r="K1125" s="48"/>
      <c r="L1125" s="48"/>
      <c r="M1125" s="48"/>
      <c r="N1125" s="48"/>
      <c r="O1125" s="48"/>
      <c r="P1125" s="48"/>
      <c r="Q1125" s="48"/>
      <c r="R1125" s="48"/>
      <c r="S1125" s="48"/>
      <c r="T1125" s="48"/>
      <c r="U1125" s="48"/>
      <c r="V1125" s="48"/>
      <c r="W1125" s="49"/>
      <c r="X1125" s="49"/>
      <c r="Y1125" s="49"/>
      <c r="Z1125" s="49"/>
      <c r="AA1125" s="49"/>
      <c r="AB1125" s="49"/>
      <c r="AC1125" s="49"/>
      <c r="AD1125" s="49"/>
      <c r="AE1125" s="49"/>
      <c r="AF1125" s="49"/>
      <c r="AG1125" s="49"/>
      <c r="AH1125" s="49"/>
      <c r="AI1125" s="48"/>
      <c r="AJ1125" s="48"/>
      <c r="AK1125" s="24"/>
      <c r="AL1125" s="50"/>
      <c r="AM1125" s="50"/>
      <c r="AN1125" s="50"/>
      <c r="AO1125" s="50"/>
      <c r="AP1125" s="50"/>
      <c r="AQ1125" s="50"/>
      <c r="AR1125" s="50"/>
      <c r="AS1125" s="50"/>
      <c r="AT1125" s="51"/>
      <c r="AU1125" s="51"/>
      <c r="AV1125" s="51"/>
      <c r="AW1125" s="51"/>
      <c r="AX1125" s="50"/>
      <c r="AY1125" s="50"/>
      <c r="AZ1125" s="50"/>
      <c r="BA1125" s="50"/>
      <c r="BB1125" s="51"/>
      <c r="BC1125" s="51"/>
      <c r="BD1125" s="51"/>
      <c r="BE1125" s="51"/>
      <c r="BF1125" s="47"/>
      <c r="BG1125" s="47"/>
      <c r="BH1125" s="47"/>
      <c r="BI1125" s="47"/>
      <c r="BJ1125" s="47"/>
      <c r="BK1125" s="47"/>
      <c r="BL1125" s="47"/>
      <c r="BM1125" s="47"/>
      <c r="BN1125" s="47"/>
      <c r="BO1125" s="47"/>
      <c r="BP1125" s="47"/>
      <c r="BQ1125" s="47"/>
      <c r="BR1125" s="47"/>
      <c r="BS1125" s="47"/>
      <c r="BT1125" s="47"/>
    </row>
    <row r="1126">
      <c r="A1126" s="24"/>
      <c r="B1126" s="48"/>
      <c r="C1126" s="49"/>
      <c r="D1126" s="24"/>
      <c r="E1126" s="52"/>
      <c r="F1126" s="53"/>
      <c r="G1126" s="48"/>
      <c r="H1126" s="49"/>
      <c r="I1126" s="49"/>
      <c r="J1126" s="48"/>
      <c r="K1126" s="48"/>
      <c r="L1126" s="48"/>
      <c r="M1126" s="48"/>
      <c r="N1126" s="48"/>
      <c r="O1126" s="48"/>
      <c r="P1126" s="48"/>
      <c r="Q1126" s="48"/>
      <c r="R1126" s="48"/>
      <c r="S1126" s="48"/>
      <c r="T1126" s="48"/>
      <c r="U1126" s="48"/>
      <c r="V1126" s="48"/>
      <c r="W1126" s="49"/>
      <c r="X1126" s="49"/>
      <c r="Y1126" s="49"/>
      <c r="Z1126" s="49"/>
      <c r="AA1126" s="49"/>
      <c r="AB1126" s="49"/>
      <c r="AC1126" s="49"/>
      <c r="AD1126" s="49"/>
      <c r="AE1126" s="49"/>
      <c r="AF1126" s="49"/>
      <c r="AG1126" s="49"/>
      <c r="AH1126" s="49"/>
      <c r="AI1126" s="48"/>
      <c r="AJ1126" s="48"/>
      <c r="AK1126" s="24"/>
      <c r="AL1126" s="50"/>
      <c r="AM1126" s="50"/>
      <c r="AN1126" s="50"/>
      <c r="AO1126" s="50"/>
      <c r="AP1126" s="50"/>
      <c r="AQ1126" s="50"/>
      <c r="AR1126" s="50"/>
      <c r="AS1126" s="50"/>
      <c r="AT1126" s="51"/>
      <c r="AU1126" s="51"/>
      <c r="AV1126" s="51"/>
      <c r="AW1126" s="51"/>
      <c r="AX1126" s="50"/>
      <c r="AY1126" s="50"/>
      <c r="AZ1126" s="50"/>
      <c r="BA1126" s="50"/>
      <c r="BB1126" s="51"/>
      <c r="BC1126" s="51"/>
      <c r="BD1126" s="51"/>
      <c r="BE1126" s="51"/>
      <c r="BF1126" s="47"/>
      <c r="BG1126" s="47"/>
      <c r="BH1126" s="47"/>
      <c r="BI1126" s="47"/>
      <c r="BJ1126" s="47"/>
      <c r="BK1126" s="47"/>
      <c r="BL1126" s="47"/>
      <c r="BM1126" s="47"/>
      <c r="BN1126" s="47"/>
      <c r="BO1126" s="47"/>
      <c r="BP1126" s="47"/>
      <c r="BQ1126" s="47"/>
      <c r="BR1126" s="47"/>
      <c r="BS1126" s="47"/>
      <c r="BT1126" s="47"/>
    </row>
    <row r="1127">
      <c r="A1127" s="24"/>
      <c r="B1127" s="48"/>
      <c r="C1127" s="49"/>
      <c r="D1127" s="24"/>
      <c r="E1127" s="52"/>
      <c r="F1127" s="53"/>
      <c r="G1127" s="48"/>
      <c r="H1127" s="49"/>
      <c r="I1127" s="49"/>
      <c r="J1127" s="48"/>
      <c r="K1127" s="48"/>
      <c r="L1127" s="48"/>
      <c r="M1127" s="48"/>
      <c r="N1127" s="48"/>
      <c r="O1127" s="48"/>
      <c r="P1127" s="48"/>
      <c r="Q1127" s="48"/>
      <c r="R1127" s="48"/>
      <c r="S1127" s="48"/>
      <c r="T1127" s="48"/>
      <c r="U1127" s="48"/>
      <c r="V1127" s="48"/>
      <c r="W1127" s="49"/>
      <c r="X1127" s="49"/>
      <c r="Y1127" s="49"/>
      <c r="Z1127" s="49"/>
      <c r="AA1127" s="49"/>
      <c r="AB1127" s="49"/>
      <c r="AC1127" s="49"/>
      <c r="AD1127" s="49"/>
      <c r="AE1127" s="49"/>
      <c r="AF1127" s="49"/>
      <c r="AG1127" s="49"/>
      <c r="AH1127" s="49"/>
      <c r="AI1127" s="48"/>
      <c r="AJ1127" s="48"/>
      <c r="AK1127" s="24"/>
      <c r="AL1127" s="50"/>
      <c r="AM1127" s="50"/>
      <c r="AN1127" s="50"/>
      <c r="AO1127" s="50"/>
      <c r="AP1127" s="50"/>
      <c r="AQ1127" s="50"/>
      <c r="AR1127" s="50"/>
      <c r="AS1127" s="50"/>
      <c r="AT1127" s="51"/>
      <c r="AU1127" s="51"/>
      <c r="AV1127" s="51"/>
      <c r="AW1127" s="51"/>
      <c r="AX1127" s="50"/>
      <c r="AY1127" s="50"/>
      <c r="AZ1127" s="50"/>
      <c r="BA1127" s="50"/>
      <c r="BB1127" s="51"/>
      <c r="BC1127" s="51"/>
      <c r="BD1127" s="51"/>
      <c r="BE1127" s="51"/>
      <c r="BF1127" s="47"/>
      <c r="BG1127" s="47"/>
      <c r="BH1127" s="47"/>
      <c r="BI1127" s="47"/>
      <c r="BJ1127" s="47"/>
      <c r="BK1127" s="47"/>
      <c r="BL1127" s="47"/>
      <c r="BM1127" s="47"/>
      <c r="BN1127" s="47"/>
      <c r="BO1127" s="47"/>
      <c r="BP1127" s="47"/>
      <c r="BQ1127" s="47"/>
      <c r="BR1127" s="47"/>
      <c r="BS1127" s="47"/>
      <c r="BT1127" s="47"/>
    </row>
    <row r="1128">
      <c r="A1128" s="24"/>
      <c r="B1128" s="48"/>
      <c r="C1128" s="49"/>
      <c r="D1128" s="24"/>
      <c r="E1128" s="52"/>
      <c r="F1128" s="53"/>
      <c r="G1128" s="48"/>
      <c r="H1128" s="49"/>
      <c r="I1128" s="49"/>
      <c r="J1128" s="48"/>
      <c r="K1128" s="48"/>
      <c r="L1128" s="48"/>
      <c r="M1128" s="48"/>
      <c r="N1128" s="48"/>
      <c r="O1128" s="48"/>
      <c r="P1128" s="48"/>
      <c r="Q1128" s="48"/>
      <c r="R1128" s="48"/>
      <c r="S1128" s="48"/>
      <c r="T1128" s="48"/>
      <c r="U1128" s="48"/>
      <c r="V1128" s="48"/>
      <c r="W1128" s="49"/>
      <c r="X1128" s="49"/>
      <c r="Y1128" s="49"/>
      <c r="Z1128" s="49"/>
      <c r="AA1128" s="49"/>
      <c r="AB1128" s="49"/>
      <c r="AC1128" s="49"/>
      <c r="AD1128" s="49"/>
      <c r="AE1128" s="49"/>
      <c r="AF1128" s="49"/>
      <c r="AG1128" s="49"/>
      <c r="AH1128" s="49"/>
      <c r="AI1128" s="48"/>
      <c r="AJ1128" s="48"/>
      <c r="AK1128" s="24"/>
      <c r="AL1128" s="50"/>
      <c r="AM1128" s="50"/>
      <c r="AN1128" s="50"/>
      <c r="AO1128" s="50"/>
      <c r="AP1128" s="50"/>
      <c r="AQ1128" s="50"/>
      <c r="AR1128" s="50"/>
      <c r="AS1128" s="50"/>
      <c r="AT1128" s="51"/>
      <c r="AU1128" s="51"/>
      <c r="AV1128" s="51"/>
      <c r="AW1128" s="51"/>
      <c r="AX1128" s="50"/>
      <c r="AY1128" s="50"/>
      <c r="AZ1128" s="50"/>
      <c r="BA1128" s="50"/>
      <c r="BB1128" s="51"/>
      <c r="BC1128" s="51"/>
      <c r="BD1128" s="51"/>
      <c r="BE1128" s="51"/>
      <c r="BF1128" s="47"/>
      <c r="BG1128" s="47"/>
      <c r="BH1128" s="47"/>
      <c r="BI1128" s="47"/>
      <c r="BJ1128" s="47"/>
      <c r="BK1128" s="47"/>
      <c r="BL1128" s="47"/>
      <c r="BM1128" s="47"/>
      <c r="BN1128" s="47"/>
      <c r="BO1128" s="47"/>
      <c r="BP1128" s="47"/>
      <c r="BQ1128" s="47"/>
      <c r="BR1128" s="47"/>
      <c r="BS1128" s="47"/>
      <c r="BT1128" s="47"/>
    </row>
    <row r="1129">
      <c r="A1129" s="24"/>
      <c r="B1129" s="48"/>
      <c r="C1129" s="49"/>
      <c r="D1129" s="24"/>
      <c r="E1129" s="52"/>
      <c r="F1129" s="53"/>
      <c r="G1129" s="48"/>
      <c r="H1129" s="49"/>
      <c r="I1129" s="49"/>
      <c r="J1129" s="48"/>
      <c r="K1129" s="48"/>
      <c r="L1129" s="48"/>
      <c r="M1129" s="48"/>
      <c r="N1129" s="48"/>
      <c r="O1129" s="48"/>
      <c r="P1129" s="48"/>
      <c r="Q1129" s="48"/>
      <c r="R1129" s="48"/>
      <c r="S1129" s="48"/>
      <c r="T1129" s="48"/>
      <c r="U1129" s="48"/>
      <c r="V1129" s="48"/>
      <c r="W1129" s="49"/>
      <c r="X1129" s="49"/>
      <c r="Y1129" s="49"/>
      <c r="Z1129" s="49"/>
      <c r="AA1129" s="49"/>
      <c r="AB1129" s="49"/>
      <c r="AC1129" s="49"/>
      <c r="AD1129" s="49"/>
      <c r="AE1129" s="49"/>
      <c r="AF1129" s="49"/>
      <c r="AG1129" s="49"/>
      <c r="AH1129" s="49"/>
      <c r="AI1129" s="48"/>
      <c r="AJ1129" s="48"/>
      <c r="AK1129" s="24"/>
      <c r="AL1129" s="50"/>
      <c r="AM1129" s="50"/>
      <c r="AN1129" s="50"/>
      <c r="AO1129" s="50"/>
      <c r="AP1129" s="50"/>
      <c r="AQ1129" s="50"/>
      <c r="AR1129" s="50"/>
      <c r="AS1129" s="50"/>
      <c r="AT1129" s="51"/>
      <c r="AU1129" s="51"/>
      <c r="AV1129" s="51"/>
      <c r="AW1129" s="51"/>
      <c r="AX1129" s="50"/>
      <c r="AY1129" s="50"/>
      <c r="AZ1129" s="50"/>
      <c r="BA1129" s="50"/>
      <c r="BB1129" s="51"/>
      <c r="BC1129" s="51"/>
      <c r="BD1129" s="51"/>
      <c r="BE1129" s="51"/>
      <c r="BF1129" s="47"/>
      <c r="BG1129" s="47"/>
      <c r="BH1129" s="47"/>
      <c r="BI1129" s="47"/>
      <c r="BJ1129" s="47"/>
      <c r="BK1129" s="47"/>
      <c r="BL1129" s="47"/>
      <c r="BM1129" s="47"/>
      <c r="BN1129" s="47"/>
      <c r="BO1129" s="47"/>
      <c r="BP1129" s="47"/>
      <c r="BQ1129" s="47"/>
      <c r="BR1129" s="47"/>
      <c r="BS1129" s="47"/>
      <c r="BT1129" s="47"/>
    </row>
    <row r="1130">
      <c r="A1130" s="24"/>
      <c r="B1130" s="48"/>
      <c r="C1130" s="49"/>
      <c r="D1130" s="24"/>
      <c r="E1130" s="52"/>
      <c r="F1130" s="53"/>
      <c r="G1130" s="48"/>
      <c r="H1130" s="49"/>
      <c r="I1130" s="49"/>
      <c r="J1130" s="48"/>
      <c r="K1130" s="48"/>
      <c r="L1130" s="48"/>
      <c r="M1130" s="48"/>
      <c r="N1130" s="48"/>
      <c r="O1130" s="48"/>
      <c r="P1130" s="48"/>
      <c r="Q1130" s="48"/>
      <c r="R1130" s="48"/>
      <c r="S1130" s="48"/>
      <c r="T1130" s="48"/>
      <c r="U1130" s="48"/>
      <c r="V1130" s="48"/>
      <c r="W1130" s="49"/>
      <c r="X1130" s="49"/>
      <c r="Y1130" s="49"/>
      <c r="Z1130" s="49"/>
      <c r="AA1130" s="49"/>
      <c r="AB1130" s="49"/>
      <c r="AC1130" s="49"/>
      <c r="AD1130" s="49"/>
      <c r="AE1130" s="49"/>
      <c r="AF1130" s="49"/>
      <c r="AG1130" s="49"/>
      <c r="AH1130" s="49"/>
      <c r="AI1130" s="48"/>
      <c r="AJ1130" s="48"/>
      <c r="AK1130" s="24"/>
      <c r="AL1130" s="50"/>
      <c r="AM1130" s="50"/>
      <c r="AN1130" s="50"/>
      <c r="AO1130" s="50"/>
      <c r="AP1130" s="50"/>
      <c r="AQ1130" s="50"/>
      <c r="AR1130" s="50"/>
      <c r="AS1130" s="50"/>
      <c r="AT1130" s="51"/>
      <c r="AU1130" s="51"/>
      <c r="AV1130" s="51"/>
      <c r="AW1130" s="51"/>
      <c r="AX1130" s="50"/>
      <c r="AY1130" s="50"/>
      <c r="AZ1130" s="50"/>
      <c r="BA1130" s="50"/>
      <c r="BB1130" s="51"/>
      <c r="BC1130" s="51"/>
      <c r="BD1130" s="51"/>
      <c r="BE1130" s="51"/>
      <c r="BF1130" s="47"/>
      <c r="BG1130" s="47"/>
      <c r="BH1130" s="47"/>
      <c r="BI1130" s="47"/>
      <c r="BJ1130" s="47"/>
      <c r="BK1130" s="47"/>
      <c r="BL1130" s="47"/>
      <c r="BM1130" s="47"/>
      <c r="BN1130" s="47"/>
      <c r="BO1130" s="47"/>
      <c r="BP1130" s="47"/>
      <c r="BQ1130" s="47"/>
      <c r="BR1130" s="47"/>
      <c r="BS1130" s="47"/>
      <c r="BT1130" s="47"/>
    </row>
    <row r="1131">
      <c r="A1131" s="24"/>
      <c r="B1131" s="48"/>
      <c r="C1131" s="49"/>
      <c r="D1131" s="24"/>
      <c r="E1131" s="52"/>
      <c r="F1131" s="53"/>
      <c r="G1131" s="48"/>
      <c r="H1131" s="49"/>
      <c r="I1131" s="49"/>
      <c r="J1131" s="48"/>
      <c r="K1131" s="48"/>
      <c r="L1131" s="48"/>
      <c r="M1131" s="48"/>
      <c r="N1131" s="48"/>
      <c r="O1131" s="48"/>
      <c r="P1131" s="48"/>
      <c r="Q1131" s="48"/>
      <c r="R1131" s="48"/>
      <c r="S1131" s="48"/>
      <c r="T1131" s="48"/>
      <c r="U1131" s="48"/>
      <c r="V1131" s="48"/>
      <c r="W1131" s="49"/>
      <c r="X1131" s="49"/>
      <c r="Y1131" s="49"/>
      <c r="Z1131" s="49"/>
      <c r="AA1131" s="49"/>
      <c r="AB1131" s="49"/>
      <c r="AC1131" s="49"/>
      <c r="AD1131" s="49"/>
      <c r="AE1131" s="49"/>
      <c r="AF1131" s="49"/>
      <c r="AG1131" s="49"/>
      <c r="AH1131" s="49"/>
      <c r="AI1131" s="48"/>
      <c r="AJ1131" s="48"/>
      <c r="AK1131" s="24"/>
      <c r="AL1131" s="50"/>
      <c r="AM1131" s="50"/>
      <c r="AN1131" s="50"/>
      <c r="AO1131" s="50"/>
      <c r="AP1131" s="50"/>
      <c r="AQ1131" s="50"/>
      <c r="AR1131" s="50"/>
      <c r="AS1131" s="50"/>
      <c r="AT1131" s="51"/>
      <c r="AU1131" s="51"/>
      <c r="AV1131" s="51"/>
      <c r="AW1131" s="51"/>
      <c r="AX1131" s="50"/>
      <c r="AY1131" s="50"/>
      <c r="AZ1131" s="50"/>
      <c r="BA1131" s="50"/>
      <c r="BB1131" s="51"/>
      <c r="BC1131" s="51"/>
      <c r="BD1131" s="51"/>
      <c r="BE1131" s="51"/>
      <c r="BF1131" s="47"/>
      <c r="BG1131" s="47"/>
      <c r="BH1131" s="47"/>
      <c r="BI1131" s="47"/>
      <c r="BJ1131" s="47"/>
      <c r="BK1131" s="47"/>
      <c r="BL1131" s="47"/>
      <c r="BM1131" s="47"/>
      <c r="BN1131" s="47"/>
      <c r="BO1131" s="47"/>
      <c r="BP1131" s="47"/>
      <c r="BQ1131" s="47"/>
      <c r="BR1131" s="47"/>
      <c r="BS1131" s="47"/>
      <c r="BT1131" s="47"/>
    </row>
    <row r="1132">
      <c r="A1132" s="24"/>
      <c r="B1132" s="48"/>
      <c r="C1132" s="49"/>
      <c r="D1132" s="24"/>
      <c r="E1132" s="52"/>
      <c r="F1132" s="53"/>
      <c r="G1132" s="48"/>
      <c r="H1132" s="49"/>
      <c r="I1132" s="49"/>
      <c r="J1132" s="48"/>
      <c r="K1132" s="48"/>
      <c r="L1132" s="48"/>
      <c r="M1132" s="48"/>
      <c r="N1132" s="48"/>
      <c r="O1132" s="48"/>
      <c r="P1132" s="48"/>
      <c r="Q1132" s="48"/>
      <c r="R1132" s="48"/>
      <c r="S1132" s="48"/>
      <c r="T1132" s="48"/>
      <c r="U1132" s="48"/>
      <c r="V1132" s="48"/>
      <c r="W1132" s="49"/>
      <c r="X1132" s="49"/>
      <c r="Y1132" s="49"/>
      <c r="Z1132" s="49"/>
      <c r="AA1132" s="49"/>
      <c r="AB1132" s="49"/>
      <c r="AC1132" s="49"/>
      <c r="AD1132" s="49"/>
      <c r="AE1132" s="49"/>
      <c r="AF1132" s="49"/>
      <c r="AG1132" s="49"/>
      <c r="AH1132" s="49"/>
      <c r="AI1132" s="48"/>
      <c r="AJ1132" s="48"/>
      <c r="AK1132" s="24"/>
      <c r="AL1132" s="50"/>
      <c r="AM1132" s="50"/>
      <c r="AN1132" s="50"/>
      <c r="AO1132" s="50"/>
      <c r="AP1132" s="50"/>
      <c r="AQ1132" s="50"/>
      <c r="AR1132" s="50"/>
      <c r="AS1132" s="50"/>
      <c r="AT1132" s="51"/>
      <c r="AU1132" s="51"/>
      <c r="AV1132" s="51"/>
      <c r="AW1132" s="51"/>
      <c r="AX1132" s="50"/>
      <c r="AY1132" s="50"/>
      <c r="AZ1132" s="50"/>
      <c r="BA1132" s="50"/>
      <c r="BB1132" s="51"/>
      <c r="BC1132" s="51"/>
      <c r="BD1132" s="51"/>
      <c r="BE1132" s="51"/>
      <c r="BF1132" s="47"/>
      <c r="BG1132" s="47"/>
      <c r="BH1132" s="47"/>
      <c r="BI1132" s="47"/>
      <c r="BJ1132" s="47"/>
      <c r="BK1132" s="47"/>
      <c r="BL1132" s="47"/>
      <c r="BM1132" s="47"/>
      <c r="BN1132" s="47"/>
      <c r="BO1132" s="47"/>
      <c r="BP1132" s="47"/>
      <c r="BQ1132" s="47"/>
      <c r="BR1132" s="47"/>
      <c r="BS1132" s="47"/>
      <c r="BT1132" s="47"/>
    </row>
    <row r="1133">
      <c r="A1133" s="24"/>
      <c r="B1133" s="48"/>
      <c r="C1133" s="49"/>
      <c r="D1133" s="24"/>
      <c r="E1133" s="52"/>
      <c r="F1133" s="53"/>
      <c r="G1133" s="48"/>
      <c r="H1133" s="49"/>
      <c r="I1133" s="49"/>
      <c r="J1133" s="48"/>
      <c r="K1133" s="48"/>
      <c r="L1133" s="48"/>
      <c r="M1133" s="48"/>
      <c r="N1133" s="48"/>
      <c r="O1133" s="48"/>
      <c r="P1133" s="48"/>
      <c r="Q1133" s="48"/>
      <c r="R1133" s="48"/>
      <c r="S1133" s="48"/>
      <c r="T1133" s="48"/>
      <c r="U1133" s="48"/>
      <c r="V1133" s="48"/>
      <c r="W1133" s="49"/>
      <c r="X1133" s="49"/>
      <c r="Y1133" s="49"/>
      <c r="Z1133" s="49"/>
      <c r="AA1133" s="49"/>
      <c r="AB1133" s="49"/>
      <c r="AC1133" s="49"/>
      <c r="AD1133" s="49"/>
      <c r="AE1133" s="49"/>
      <c r="AF1133" s="49"/>
      <c r="AG1133" s="49"/>
      <c r="AH1133" s="49"/>
      <c r="AI1133" s="48"/>
      <c r="AJ1133" s="48"/>
      <c r="AK1133" s="24"/>
      <c r="AL1133" s="50"/>
      <c r="AM1133" s="50"/>
      <c r="AN1133" s="50"/>
      <c r="AO1133" s="50"/>
      <c r="AP1133" s="50"/>
      <c r="AQ1133" s="50"/>
      <c r="AR1133" s="50"/>
      <c r="AS1133" s="50"/>
      <c r="AT1133" s="51"/>
      <c r="AU1133" s="51"/>
      <c r="AV1133" s="51"/>
      <c r="AW1133" s="51"/>
      <c r="AX1133" s="50"/>
      <c r="AY1133" s="50"/>
      <c r="AZ1133" s="50"/>
      <c r="BA1133" s="50"/>
      <c r="BB1133" s="51"/>
      <c r="BC1133" s="51"/>
      <c r="BD1133" s="51"/>
      <c r="BE1133" s="51"/>
      <c r="BF1133" s="47"/>
      <c r="BG1133" s="47"/>
      <c r="BH1133" s="47"/>
      <c r="BI1133" s="47"/>
      <c r="BJ1133" s="47"/>
      <c r="BK1133" s="47"/>
      <c r="BL1133" s="47"/>
      <c r="BM1133" s="47"/>
      <c r="BN1133" s="47"/>
      <c r="BO1133" s="47"/>
      <c r="BP1133" s="47"/>
      <c r="BQ1133" s="47"/>
      <c r="BR1133" s="47"/>
      <c r="BS1133" s="47"/>
      <c r="BT1133" s="47"/>
    </row>
    <row r="1134">
      <c r="A1134" s="24"/>
      <c r="B1134" s="48"/>
      <c r="C1134" s="49"/>
      <c r="D1134" s="24"/>
      <c r="E1134" s="52"/>
      <c r="F1134" s="53"/>
      <c r="G1134" s="48"/>
      <c r="H1134" s="49"/>
      <c r="I1134" s="49"/>
      <c r="J1134" s="48"/>
      <c r="K1134" s="48"/>
      <c r="L1134" s="48"/>
      <c r="M1134" s="48"/>
      <c r="N1134" s="48"/>
      <c r="O1134" s="48"/>
      <c r="P1134" s="48"/>
      <c r="Q1134" s="48"/>
      <c r="R1134" s="48"/>
      <c r="S1134" s="48"/>
      <c r="T1134" s="48"/>
      <c r="U1134" s="48"/>
      <c r="V1134" s="48"/>
      <c r="W1134" s="49"/>
      <c r="X1134" s="49"/>
      <c r="Y1134" s="49"/>
      <c r="Z1134" s="49"/>
      <c r="AA1134" s="49"/>
      <c r="AB1134" s="49"/>
      <c r="AC1134" s="49"/>
      <c r="AD1134" s="49"/>
      <c r="AE1134" s="49"/>
      <c r="AF1134" s="49"/>
      <c r="AG1134" s="49"/>
      <c r="AH1134" s="49"/>
      <c r="AI1134" s="48"/>
      <c r="AJ1134" s="48"/>
      <c r="AK1134" s="24"/>
      <c r="AL1134" s="50"/>
      <c r="AM1134" s="50"/>
      <c r="AN1134" s="50"/>
      <c r="AO1134" s="50"/>
      <c r="AP1134" s="50"/>
      <c r="AQ1134" s="50"/>
      <c r="AR1134" s="50"/>
      <c r="AS1134" s="50"/>
      <c r="AT1134" s="51"/>
      <c r="AU1134" s="51"/>
      <c r="AV1134" s="51"/>
      <c r="AW1134" s="51"/>
      <c r="AX1134" s="50"/>
      <c r="AY1134" s="50"/>
      <c r="AZ1134" s="50"/>
      <c r="BA1134" s="50"/>
      <c r="BB1134" s="51"/>
      <c r="BC1134" s="51"/>
      <c r="BD1134" s="51"/>
      <c r="BE1134" s="51"/>
      <c r="BF1134" s="47"/>
      <c r="BG1134" s="47"/>
      <c r="BH1134" s="47"/>
      <c r="BI1134" s="47"/>
      <c r="BJ1134" s="47"/>
      <c r="BK1134" s="47"/>
      <c r="BL1134" s="47"/>
      <c r="BM1134" s="47"/>
      <c r="BN1134" s="47"/>
      <c r="BO1134" s="47"/>
      <c r="BP1134" s="47"/>
      <c r="BQ1134" s="47"/>
      <c r="BR1134" s="47"/>
      <c r="BS1134" s="47"/>
      <c r="BT1134" s="47"/>
    </row>
    <row r="1135">
      <c r="A1135" s="24"/>
      <c r="B1135" s="48"/>
      <c r="C1135" s="49"/>
      <c r="D1135" s="24"/>
      <c r="E1135" s="52"/>
      <c r="F1135" s="53"/>
      <c r="G1135" s="48"/>
      <c r="H1135" s="49"/>
      <c r="I1135" s="49"/>
      <c r="J1135" s="48"/>
      <c r="K1135" s="48"/>
      <c r="L1135" s="48"/>
      <c r="M1135" s="48"/>
      <c r="N1135" s="48"/>
      <c r="O1135" s="48"/>
      <c r="P1135" s="48"/>
      <c r="Q1135" s="48"/>
      <c r="R1135" s="48"/>
      <c r="S1135" s="48"/>
      <c r="T1135" s="48"/>
      <c r="U1135" s="48"/>
      <c r="V1135" s="48"/>
      <c r="W1135" s="49"/>
      <c r="X1135" s="49"/>
      <c r="Y1135" s="49"/>
      <c r="Z1135" s="49"/>
      <c r="AA1135" s="49"/>
      <c r="AB1135" s="49"/>
      <c r="AC1135" s="49"/>
      <c r="AD1135" s="49"/>
      <c r="AE1135" s="49"/>
      <c r="AF1135" s="49"/>
      <c r="AG1135" s="49"/>
      <c r="AH1135" s="49"/>
      <c r="AI1135" s="48"/>
      <c r="AJ1135" s="48"/>
      <c r="AK1135" s="24"/>
      <c r="AL1135" s="50"/>
      <c r="AM1135" s="50"/>
      <c r="AN1135" s="50"/>
      <c r="AO1135" s="50"/>
      <c r="AP1135" s="50"/>
      <c r="AQ1135" s="50"/>
      <c r="AR1135" s="50"/>
      <c r="AS1135" s="50"/>
      <c r="AT1135" s="51"/>
      <c r="AU1135" s="51"/>
      <c r="AV1135" s="51"/>
      <c r="AW1135" s="51"/>
      <c r="AX1135" s="50"/>
      <c r="AY1135" s="50"/>
      <c r="AZ1135" s="50"/>
      <c r="BA1135" s="50"/>
      <c r="BB1135" s="51"/>
      <c r="BC1135" s="51"/>
      <c r="BD1135" s="51"/>
      <c r="BE1135" s="51"/>
      <c r="BF1135" s="47"/>
      <c r="BG1135" s="47"/>
      <c r="BH1135" s="47"/>
      <c r="BI1135" s="47"/>
      <c r="BJ1135" s="47"/>
      <c r="BK1135" s="47"/>
      <c r="BL1135" s="47"/>
      <c r="BM1135" s="47"/>
      <c r="BN1135" s="47"/>
      <c r="BO1135" s="47"/>
      <c r="BP1135" s="47"/>
      <c r="BQ1135" s="47"/>
      <c r="BR1135" s="47"/>
      <c r="BS1135" s="47"/>
      <c r="BT1135" s="47"/>
    </row>
    <row r="1136">
      <c r="A1136" s="24"/>
      <c r="B1136" s="48"/>
      <c r="C1136" s="49"/>
      <c r="D1136" s="24"/>
      <c r="E1136" s="52"/>
      <c r="F1136" s="53"/>
      <c r="G1136" s="48"/>
      <c r="H1136" s="49"/>
      <c r="I1136" s="49"/>
      <c r="J1136" s="48"/>
      <c r="K1136" s="48"/>
      <c r="L1136" s="48"/>
      <c r="M1136" s="48"/>
      <c r="N1136" s="48"/>
      <c r="O1136" s="48"/>
      <c r="P1136" s="48"/>
      <c r="Q1136" s="48"/>
      <c r="R1136" s="48"/>
      <c r="S1136" s="48"/>
      <c r="T1136" s="48"/>
      <c r="U1136" s="48"/>
      <c r="V1136" s="48"/>
      <c r="W1136" s="49"/>
      <c r="X1136" s="49"/>
      <c r="Y1136" s="49"/>
      <c r="Z1136" s="49"/>
      <c r="AA1136" s="49"/>
      <c r="AB1136" s="49"/>
      <c r="AC1136" s="49"/>
      <c r="AD1136" s="49"/>
      <c r="AE1136" s="49"/>
      <c r="AF1136" s="49"/>
      <c r="AG1136" s="49"/>
      <c r="AH1136" s="49"/>
      <c r="AI1136" s="48"/>
      <c r="AJ1136" s="48"/>
      <c r="AK1136" s="24"/>
      <c r="AL1136" s="50"/>
      <c r="AM1136" s="50"/>
      <c r="AN1136" s="50"/>
      <c r="AO1136" s="50"/>
      <c r="AP1136" s="50"/>
      <c r="AQ1136" s="50"/>
      <c r="AR1136" s="50"/>
      <c r="AS1136" s="50"/>
      <c r="AT1136" s="51"/>
      <c r="AU1136" s="51"/>
      <c r="AV1136" s="51"/>
      <c r="AW1136" s="51"/>
      <c r="AX1136" s="50"/>
      <c r="AY1136" s="50"/>
      <c r="AZ1136" s="50"/>
      <c r="BA1136" s="50"/>
      <c r="BB1136" s="51"/>
      <c r="BC1136" s="51"/>
      <c r="BD1136" s="51"/>
      <c r="BE1136" s="51"/>
      <c r="BF1136" s="47"/>
      <c r="BG1136" s="47"/>
      <c r="BH1136" s="47"/>
      <c r="BI1136" s="47"/>
      <c r="BJ1136" s="47"/>
      <c r="BK1136" s="47"/>
      <c r="BL1136" s="47"/>
      <c r="BM1136" s="47"/>
      <c r="BN1136" s="47"/>
      <c r="BO1136" s="47"/>
      <c r="BP1136" s="47"/>
      <c r="BQ1136" s="47"/>
      <c r="BR1136" s="47"/>
      <c r="BS1136" s="47"/>
      <c r="BT1136" s="47"/>
    </row>
    <row r="1137">
      <c r="A1137" s="24"/>
      <c r="B1137" s="48"/>
      <c r="C1137" s="49"/>
      <c r="D1137" s="24"/>
      <c r="E1137" s="52"/>
      <c r="F1137" s="53"/>
      <c r="G1137" s="48"/>
      <c r="H1137" s="49"/>
      <c r="I1137" s="49"/>
      <c r="J1137" s="48"/>
      <c r="K1137" s="48"/>
      <c r="L1137" s="48"/>
      <c r="M1137" s="48"/>
      <c r="N1137" s="48"/>
      <c r="O1137" s="48"/>
      <c r="P1137" s="48"/>
      <c r="Q1137" s="48"/>
      <c r="R1137" s="48"/>
      <c r="S1137" s="48"/>
      <c r="T1137" s="48"/>
      <c r="U1137" s="48"/>
      <c r="V1137" s="48"/>
      <c r="W1137" s="49"/>
      <c r="X1137" s="49"/>
      <c r="Y1137" s="49"/>
      <c r="Z1137" s="49"/>
      <c r="AA1137" s="49"/>
      <c r="AB1137" s="49"/>
      <c r="AC1137" s="49"/>
      <c r="AD1137" s="49"/>
      <c r="AE1137" s="49"/>
      <c r="AF1137" s="49"/>
      <c r="AG1137" s="49"/>
      <c r="AH1137" s="49"/>
      <c r="AI1137" s="48"/>
      <c r="AJ1137" s="48"/>
      <c r="AK1137" s="24"/>
      <c r="AL1137" s="50"/>
      <c r="AM1137" s="50"/>
      <c r="AN1137" s="50"/>
      <c r="AO1137" s="50"/>
      <c r="AP1137" s="50"/>
      <c r="AQ1137" s="50"/>
      <c r="AR1137" s="50"/>
      <c r="AS1137" s="50"/>
      <c r="AT1137" s="51"/>
      <c r="AU1137" s="51"/>
      <c r="AV1137" s="51"/>
      <c r="AW1137" s="51"/>
      <c r="AX1137" s="50"/>
      <c r="AY1137" s="50"/>
      <c r="AZ1137" s="50"/>
      <c r="BA1137" s="50"/>
      <c r="BB1137" s="51"/>
      <c r="BC1137" s="51"/>
      <c r="BD1137" s="51"/>
      <c r="BE1137" s="51"/>
      <c r="BF1137" s="47"/>
      <c r="BG1137" s="47"/>
      <c r="BH1137" s="47"/>
      <c r="BI1137" s="47"/>
      <c r="BJ1137" s="47"/>
      <c r="BK1137" s="47"/>
      <c r="BL1137" s="47"/>
      <c r="BM1137" s="47"/>
      <c r="BN1137" s="47"/>
      <c r="BO1137" s="47"/>
      <c r="BP1137" s="47"/>
      <c r="BQ1137" s="47"/>
      <c r="BR1137" s="47"/>
      <c r="BS1137" s="47"/>
      <c r="BT1137" s="47"/>
    </row>
    <row r="1138">
      <c r="A1138" s="24"/>
      <c r="B1138" s="48"/>
      <c r="C1138" s="49"/>
      <c r="D1138" s="24"/>
      <c r="E1138" s="52"/>
      <c r="F1138" s="53"/>
      <c r="G1138" s="48"/>
      <c r="H1138" s="49"/>
      <c r="I1138" s="49"/>
      <c r="J1138" s="48"/>
      <c r="K1138" s="48"/>
      <c r="L1138" s="48"/>
      <c r="M1138" s="48"/>
      <c r="N1138" s="48"/>
      <c r="O1138" s="48"/>
      <c r="P1138" s="48"/>
      <c r="Q1138" s="48"/>
      <c r="R1138" s="48"/>
      <c r="S1138" s="48"/>
      <c r="T1138" s="48"/>
      <c r="U1138" s="48"/>
      <c r="V1138" s="48"/>
      <c r="W1138" s="49"/>
      <c r="X1138" s="49"/>
      <c r="Y1138" s="49"/>
      <c r="Z1138" s="49"/>
      <c r="AA1138" s="49"/>
      <c r="AB1138" s="49"/>
      <c r="AC1138" s="49"/>
      <c r="AD1138" s="49"/>
      <c r="AE1138" s="49"/>
      <c r="AF1138" s="49"/>
      <c r="AG1138" s="49"/>
      <c r="AH1138" s="49"/>
      <c r="AI1138" s="48"/>
      <c r="AJ1138" s="48"/>
      <c r="AK1138" s="24"/>
      <c r="AL1138" s="50"/>
      <c r="AM1138" s="50"/>
      <c r="AN1138" s="50"/>
      <c r="AO1138" s="50"/>
      <c r="AP1138" s="50"/>
      <c r="AQ1138" s="50"/>
      <c r="AR1138" s="50"/>
      <c r="AS1138" s="50"/>
      <c r="AT1138" s="51"/>
      <c r="AU1138" s="51"/>
      <c r="AV1138" s="51"/>
      <c r="AW1138" s="51"/>
      <c r="AX1138" s="50"/>
      <c r="AY1138" s="50"/>
      <c r="AZ1138" s="50"/>
      <c r="BA1138" s="50"/>
      <c r="BB1138" s="51"/>
      <c r="BC1138" s="51"/>
      <c r="BD1138" s="51"/>
      <c r="BE1138" s="51"/>
      <c r="BF1138" s="47"/>
      <c r="BG1138" s="47"/>
      <c r="BH1138" s="47"/>
      <c r="BI1138" s="47"/>
      <c r="BJ1138" s="47"/>
      <c r="BK1138" s="47"/>
      <c r="BL1138" s="47"/>
      <c r="BM1138" s="47"/>
      <c r="BN1138" s="47"/>
      <c r="BO1138" s="47"/>
      <c r="BP1138" s="47"/>
      <c r="BQ1138" s="47"/>
      <c r="BR1138" s="47"/>
      <c r="BS1138" s="47"/>
      <c r="BT1138" s="47"/>
    </row>
    <row r="1139">
      <c r="A1139" s="24"/>
      <c r="B1139" s="48"/>
      <c r="C1139" s="49"/>
      <c r="D1139" s="24"/>
      <c r="E1139" s="52"/>
      <c r="F1139" s="53"/>
      <c r="G1139" s="48"/>
      <c r="H1139" s="49"/>
      <c r="I1139" s="49"/>
      <c r="J1139" s="48"/>
      <c r="K1139" s="48"/>
      <c r="L1139" s="48"/>
      <c r="M1139" s="48"/>
      <c r="N1139" s="48"/>
      <c r="O1139" s="48"/>
      <c r="P1139" s="48"/>
      <c r="Q1139" s="48"/>
      <c r="R1139" s="48"/>
      <c r="S1139" s="48"/>
      <c r="T1139" s="48"/>
      <c r="U1139" s="48"/>
      <c r="V1139" s="48"/>
      <c r="W1139" s="49"/>
      <c r="X1139" s="49"/>
      <c r="Y1139" s="49"/>
      <c r="Z1139" s="49"/>
      <c r="AA1139" s="49"/>
      <c r="AB1139" s="49"/>
      <c r="AC1139" s="49"/>
      <c r="AD1139" s="49"/>
      <c r="AE1139" s="49"/>
      <c r="AF1139" s="49"/>
      <c r="AG1139" s="49"/>
      <c r="AH1139" s="49"/>
      <c r="AI1139" s="48"/>
      <c r="AJ1139" s="48"/>
      <c r="AK1139" s="24"/>
      <c r="AL1139" s="50"/>
      <c r="AM1139" s="50"/>
      <c r="AN1139" s="50"/>
      <c r="AO1139" s="50"/>
      <c r="AP1139" s="50"/>
      <c r="AQ1139" s="50"/>
      <c r="AR1139" s="50"/>
      <c r="AS1139" s="50"/>
      <c r="AT1139" s="51"/>
      <c r="AU1139" s="51"/>
      <c r="AV1139" s="51"/>
      <c r="AW1139" s="51"/>
      <c r="AX1139" s="50"/>
      <c r="AY1139" s="50"/>
      <c r="AZ1139" s="50"/>
      <c r="BA1139" s="50"/>
      <c r="BB1139" s="51"/>
      <c r="BC1139" s="51"/>
      <c r="BD1139" s="51"/>
      <c r="BE1139" s="51"/>
      <c r="BF1139" s="47"/>
      <c r="BG1139" s="47"/>
      <c r="BH1139" s="47"/>
      <c r="BI1139" s="47"/>
      <c r="BJ1139" s="47"/>
      <c r="BK1139" s="47"/>
      <c r="BL1139" s="47"/>
      <c r="BM1139" s="47"/>
      <c r="BN1139" s="47"/>
      <c r="BO1139" s="47"/>
      <c r="BP1139" s="47"/>
      <c r="BQ1139" s="47"/>
      <c r="BR1139" s="47"/>
      <c r="BS1139" s="47"/>
      <c r="BT1139" s="47"/>
    </row>
    <row r="1140">
      <c r="A1140" s="24"/>
      <c r="B1140" s="48"/>
      <c r="C1140" s="49"/>
      <c r="D1140" s="24"/>
      <c r="E1140" s="52"/>
      <c r="F1140" s="53"/>
      <c r="G1140" s="48"/>
      <c r="H1140" s="49"/>
      <c r="I1140" s="49"/>
      <c r="J1140" s="48"/>
      <c r="K1140" s="48"/>
      <c r="L1140" s="48"/>
      <c r="M1140" s="48"/>
      <c r="N1140" s="48"/>
      <c r="O1140" s="48"/>
      <c r="P1140" s="48"/>
      <c r="Q1140" s="48"/>
      <c r="R1140" s="48"/>
      <c r="S1140" s="48"/>
      <c r="T1140" s="48"/>
      <c r="U1140" s="48"/>
      <c r="V1140" s="48"/>
      <c r="W1140" s="49"/>
      <c r="X1140" s="49"/>
      <c r="Y1140" s="49"/>
      <c r="Z1140" s="49"/>
      <c r="AA1140" s="49"/>
      <c r="AB1140" s="49"/>
      <c r="AC1140" s="49"/>
      <c r="AD1140" s="49"/>
      <c r="AE1140" s="49"/>
      <c r="AF1140" s="49"/>
      <c r="AG1140" s="49"/>
      <c r="AH1140" s="49"/>
      <c r="AI1140" s="48"/>
      <c r="AJ1140" s="48"/>
      <c r="AK1140" s="24"/>
      <c r="AL1140" s="50"/>
      <c r="AM1140" s="50"/>
      <c r="AN1140" s="50"/>
      <c r="AO1140" s="50"/>
      <c r="AP1140" s="50"/>
      <c r="AQ1140" s="50"/>
      <c r="AR1140" s="50"/>
      <c r="AS1140" s="50"/>
      <c r="AT1140" s="51"/>
      <c r="AU1140" s="51"/>
      <c r="AV1140" s="51"/>
      <c r="AW1140" s="51"/>
      <c r="AX1140" s="50"/>
      <c r="AY1140" s="50"/>
      <c r="AZ1140" s="50"/>
      <c r="BA1140" s="50"/>
      <c r="BB1140" s="51"/>
      <c r="BC1140" s="51"/>
      <c r="BD1140" s="51"/>
      <c r="BE1140" s="51"/>
      <c r="BF1140" s="47"/>
      <c r="BG1140" s="47"/>
      <c r="BH1140" s="47"/>
      <c r="BI1140" s="47"/>
      <c r="BJ1140" s="47"/>
      <c r="BK1140" s="47"/>
      <c r="BL1140" s="47"/>
      <c r="BM1140" s="47"/>
      <c r="BN1140" s="47"/>
      <c r="BO1140" s="47"/>
      <c r="BP1140" s="47"/>
      <c r="BQ1140" s="47"/>
      <c r="BR1140" s="47"/>
      <c r="BS1140" s="47"/>
      <c r="BT1140" s="47"/>
    </row>
    <row r="1141">
      <c r="A1141" s="24"/>
      <c r="B1141" s="48"/>
      <c r="C1141" s="49"/>
      <c r="D1141" s="24"/>
      <c r="E1141" s="52"/>
      <c r="F1141" s="53"/>
      <c r="G1141" s="48"/>
      <c r="H1141" s="49"/>
      <c r="I1141" s="49"/>
      <c r="J1141" s="48"/>
      <c r="K1141" s="48"/>
      <c r="L1141" s="48"/>
      <c r="M1141" s="48"/>
      <c r="N1141" s="48"/>
      <c r="O1141" s="48"/>
      <c r="P1141" s="48"/>
      <c r="Q1141" s="48"/>
      <c r="R1141" s="48"/>
      <c r="S1141" s="48"/>
      <c r="T1141" s="48"/>
      <c r="U1141" s="48"/>
      <c r="V1141" s="48"/>
      <c r="W1141" s="49"/>
      <c r="X1141" s="49"/>
      <c r="Y1141" s="49"/>
      <c r="Z1141" s="49"/>
      <c r="AA1141" s="49"/>
      <c r="AB1141" s="49"/>
      <c r="AC1141" s="49"/>
      <c r="AD1141" s="49"/>
      <c r="AE1141" s="49"/>
      <c r="AF1141" s="49"/>
      <c r="AG1141" s="49"/>
      <c r="AH1141" s="49"/>
      <c r="AI1141" s="48"/>
      <c r="AJ1141" s="48"/>
      <c r="AK1141" s="24"/>
      <c r="AL1141" s="50"/>
      <c r="AM1141" s="50"/>
      <c r="AN1141" s="50"/>
      <c r="AO1141" s="50"/>
      <c r="AP1141" s="50"/>
      <c r="AQ1141" s="50"/>
      <c r="AR1141" s="50"/>
      <c r="AS1141" s="50"/>
      <c r="AT1141" s="51"/>
      <c r="AU1141" s="51"/>
      <c r="AV1141" s="51"/>
      <c r="AW1141" s="51"/>
      <c r="AX1141" s="50"/>
      <c r="AY1141" s="50"/>
      <c r="AZ1141" s="50"/>
      <c r="BA1141" s="50"/>
      <c r="BB1141" s="51"/>
      <c r="BC1141" s="51"/>
      <c r="BD1141" s="51"/>
      <c r="BE1141" s="51"/>
      <c r="BF1141" s="47"/>
      <c r="BG1141" s="47"/>
      <c r="BH1141" s="47"/>
      <c r="BI1141" s="47"/>
      <c r="BJ1141" s="47"/>
      <c r="BK1141" s="47"/>
      <c r="BL1141" s="47"/>
      <c r="BM1141" s="47"/>
      <c r="BN1141" s="47"/>
      <c r="BO1141" s="47"/>
      <c r="BP1141" s="47"/>
      <c r="BQ1141" s="47"/>
      <c r="BR1141" s="47"/>
      <c r="BS1141" s="47"/>
      <c r="BT1141" s="47"/>
    </row>
    <row r="1142">
      <c r="A1142" s="24"/>
      <c r="B1142" s="48"/>
      <c r="C1142" s="49"/>
      <c r="D1142" s="24"/>
      <c r="E1142" s="52"/>
      <c r="F1142" s="53"/>
      <c r="G1142" s="48"/>
      <c r="H1142" s="49"/>
      <c r="I1142" s="49"/>
      <c r="J1142" s="48"/>
      <c r="K1142" s="48"/>
      <c r="L1142" s="48"/>
      <c r="M1142" s="48"/>
      <c r="N1142" s="48"/>
      <c r="O1142" s="48"/>
      <c r="P1142" s="48"/>
      <c r="Q1142" s="48"/>
      <c r="R1142" s="48"/>
      <c r="S1142" s="48"/>
      <c r="T1142" s="48"/>
      <c r="U1142" s="48"/>
      <c r="V1142" s="48"/>
      <c r="W1142" s="49"/>
      <c r="X1142" s="49"/>
      <c r="Y1142" s="49"/>
      <c r="Z1142" s="49"/>
      <c r="AA1142" s="49"/>
      <c r="AB1142" s="49"/>
      <c r="AC1142" s="49"/>
      <c r="AD1142" s="49"/>
      <c r="AE1142" s="49"/>
      <c r="AF1142" s="49"/>
      <c r="AG1142" s="49"/>
      <c r="AH1142" s="49"/>
      <c r="AI1142" s="48"/>
      <c r="AJ1142" s="48"/>
      <c r="AK1142" s="24"/>
      <c r="AL1142" s="50"/>
      <c r="AM1142" s="50"/>
      <c r="AN1142" s="50"/>
      <c r="AO1142" s="50"/>
      <c r="AP1142" s="50"/>
      <c r="AQ1142" s="50"/>
      <c r="AR1142" s="50"/>
      <c r="AS1142" s="50"/>
      <c r="AT1142" s="51"/>
      <c r="AU1142" s="51"/>
      <c r="AV1142" s="51"/>
      <c r="AW1142" s="51"/>
      <c r="AX1142" s="50"/>
      <c r="AY1142" s="50"/>
      <c r="AZ1142" s="50"/>
      <c r="BA1142" s="50"/>
      <c r="BB1142" s="51"/>
      <c r="BC1142" s="51"/>
      <c r="BD1142" s="51"/>
      <c r="BE1142" s="51"/>
      <c r="BF1142" s="47"/>
      <c r="BG1142" s="47"/>
      <c r="BH1142" s="47"/>
      <c r="BI1142" s="47"/>
      <c r="BJ1142" s="47"/>
      <c r="BK1142" s="47"/>
      <c r="BL1142" s="47"/>
      <c r="BM1142" s="47"/>
      <c r="BN1142" s="47"/>
      <c r="BO1142" s="47"/>
      <c r="BP1142" s="47"/>
      <c r="BQ1142" s="47"/>
      <c r="BR1142" s="47"/>
      <c r="BS1142" s="47"/>
      <c r="BT1142" s="47"/>
    </row>
    <row r="1143">
      <c r="A1143" s="24"/>
      <c r="B1143" s="48"/>
      <c r="C1143" s="49"/>
      <c r="D1143" s="24"/>
      <c r="E1143" s="52"/>
      <c r="F1143" s="53"/>
      <c r="G1143" s="48"/>
      <c r="H1143" s="49"/>
      <c r="I1143" s="49"/>
      <c r="J1143" s="48"/>
      <c r="K1143" s="48"/>
      <c r="L1143" s="48"/>
      <c r="M1143" s="48"/>
      <c r="N1143" s="48"/>
      <c r="O1143" s="48"/>
      <c r="P1143" s="48"/>
      <c r="Q1143" s="48"/>
      <c r="R1143" s="48"/>
      <c r="S1143" s="48"/>
      <c r="T1143" s="48"/>
      <c r="U1143" s="48"/>
      <c r="V1143" s="48"/>
      <c r="W1143" s="49"/>
      <c r="X1143" s="49"/>
      <c r="Y1143" s="49"/>
      <c r="Z1143" s="49"/>
      <c r="AA1143" s="49"/>
      <c r="AB1143" s="49"/>
      <c r="AC1143" s="49"/>
      <c r="AD1143" s="49"/>
      <c r="AE1143" s="49"/>
      <c r="AF1143" s="49"/>
      <c r="AG1143" s="49"/>
      <c r="AH1143" s="49"/>
      <c r="AI1143" s="48"/>
      <c r="AJ1143" s="48"/>
      <c r="AK1143" s="24"/>
      <c r="AL1143" s="50"/>
      <c r="AM1143" s="50"/>
      <c r="AN1143" s="50"/>
      <c r="AO1143" s="50"/>
      <c r="AP1143" s="50"/>
      <c r="AQ1143" s="50"/>
      <c r="AR1143" s="50"/>
      <c r="AS1143" s="50"/>
      <c r="AT1143" s="51"/>
      <c r="AU1143" s="51"/>
      <c r="AV1143" s="51"/>
      <c r="AW1143" s="51"/>
      <c r="AX1143" s="50"/>
      <c r="AY1143" s="50"/>
      <c r="AZ1143" s="50"/>
      <c r="BA1143" s="50"/>
      <c r="BB1143" s="51"/>
      <c r="BC1143" s="51"/>
      <c r="BD1143" s="51"/>
      <c r="BE1143" s="51"/>
      <c r="BF1143" s="47"/>
      <c r="BG1143" s="47"/>
      <c r="BH1143" s="47"/>
      <c r="BI1143" s="47"/>
      <c r="BJ1143" s="47"/>
      <c r="BK1143" s="47"/>
      <c r="BL1143" s="47"/>
      <c r="BM1143" s="47"/>
      <c r="BN1143" s="47"/>
      <c r="BO1143" s="47"/>
      <c r="BP1143" s="47"/>
      <c r="BQ1143" s="47"/>
      <c r="BR1143" s="47"/>
      <c r="BS1143" s="47"/>
      <c r="BT1143" s="47"/>
    </row>
    <row r="1144">
      <c r="A1144" s="24"/>
      <c r="B1144" s="48"/>
      <c r="C1144" s="49"/>
      <c r="D1144" s="24"/>
      <c r="E1144" s="52"/>
      <c r="F1144" s="53"/>
      <c r="G1144" s="48"/>
      <c r="H1144" s="49"/>
      <c r="I1144" s="49"/>
      <c r="J1144" s="48"/>
      <c r="K1144" s="48"/>
      <c r="L1144" s="48"/>
      <c r="M1144" s="48"/>
      <c r="N1144" s="48"/>
      <c r="O1144" s="48"/>
      <c r="P1144" s="48"/>
      <c r="Q1144" s="48"/>
      <c r="R1144" s="48"/>
      <c r="S1144" s="48"/>
      <c r="T1144" s="48"/>
      <c r="U1144" s="48"/>
      <c r="V1144" s="48"/>
      <c r="W1144" s="49"/>
      <c r="X1144" s="49"/>
      <c r="Y1144" s="49"/>
      <c r="Z1144" s="49"/>
      <c r="AA1144" s="49"/>
      <c r="AB1144" s="49"/>
      <c r="AC1144" s="49"/>
      <c r="AD1144" s="49"/>
      <c r="AE1144" s="49"/>
      <c r="AF1144" s="49"/>
      <c r="AG1144" s="49"/>
      <c r="AH1144" s="49"/>
      <c r="AI1144" s="48"/>
      <c r="AJ1144" s="48"/>
      <c r="AK1144" s="24"/>
      <c r="AL1144" s="50"/>
      <c r="AM1144" s="50"/>
      <c r="AN1144" s="50"/>
      <c r="AO1144" s="50"/>
      <c r="AP1144" s="50"/>
      <c r="AQ1144" s="50"/>
      <c r="AR1144" s="50"/>
      <c r="AS1144" s="50"/>
      <c r="AT1144" s="51"/>
      <c r="AU1144" s="51"/>
      <c r="AV1144" s="51"/>
      <c r="AW1144" s="51"/>
      <c r="AX1144" s="50"/>
      <c r="AY1144" s="50"/>
      <c r="AZ1144" s="50"/>
      <c r="BA1144" s="50"/>
      <c r="BB1144" s="51"/>
      <c r="BC1144" s="51"/>
      <c r="BD1144" s="51"/>
      <c r="BE1144" s="51"/>
      <c r="BF1144" s="47"/>
      <c r="BG1144" s="47"/>
      <c r="BH1144" s="47"/>
      <c r="BI1144" s="47"/>
      <c r="BJ1144" s="47"/>
      <c r="BK1144" s="47"/>
      <c r="BL1144" s="47"/>
      <c r="BM1144" s="47"/>
      <c r="BN1144" s="47"/>
      <c r="BO1144" s="47"/>
      <c r="BP1144" s="47"/>
      <c r="BQ1144" s="47"/>
      <c r="BR1144" s="47"/>
      <c r="BS1144" s="47"/>
      <c r="BT1144" s="47"/>
    </row>
    <row r="1145">
      <c r="A1145" s="24"/>
      <c r="B1145" s="48"/>
      <c r="C1145" s="49"/>
      <c r="D1145" s="24"/>
      <c r="E1145" s="52"/>
      <c r="F1145" s="53"/>
      <c r="G1145" s="48"/>
      <c r="H1145" s="49"/>
      <c r="I1145" s="49"/>
      <c r="J1145" s="48"/>
      <c r="K1145" s="48"/>
      <c r="L1145" s="48"/>
      <c r="M1145" s="48"/>
      <c r="N1145" s="48"/>
      <c r="O1145" s="48"/>
      <c r="P1145" s="48"/>
      <c r="Q1145" s="48"/>
      <c r="R1145" s="48"/>
      <c r="S1145" s="48"/>
      <c r="T1145" s="48"/>
      <c r="U1145" s="48"/>
      <c r="V1145" s="48"/>
      <c r="W1145" s="49"/>
      <c r="X1145" s="49"/>
      <c r="Y1145" s="49"/>
      <c r="Z1145" s="49"/>
      <c r="AA1145" s="49"/>
      <c r="AB1145" s="49"/>
      <c r="AC1145" s="49"/>
      <c r="AD1145" s="49"/>
      <c r="AE1145" s="49"/>
      <c r="AF1145" s="49"/>
      <c r="AG1145" s="49"/>
      <c r="AH1145" s="49"/>
      <c r="AI1145" s="48"/>
      <c r="AJ1145" s="48"/>
      <c r="AK1145" s="24"/>
      <c r="AL1145" s="50"/>
      <c r="AM1145" s="50"/>
      <c r="AN1145" s="50"/>
      <c r="AO1145" s="50"/>
      <c r="AP1145" s="50"/>
      <c r="AQ1145" s="50"/>
      <c r="AR1145" s="50"/>
      <c r="AS1145" s="50"/>
      <c r="AT1145" s="51"/>
      <c r="AU1145" s="51"/>
      <c r="AV1145" s="51"/>
      <c r="AW1145" s="51"/>
      <c r="AX1145" s="50"/>
      <c r="AY1145" s="50"/>
      <c r="AZ1145" s="50"/>
      <c r="BA1145" s="50"/>
      <c r="BB1145" s="51"/>
      <c r="BC1145" s="51"/>
      <c r="BD1145" s="51"/>
      <c r="BE1145" s="51"/>
      <c r="BF1145" s="47"/>
      <c r="BG1145" s="47"/>
      <c r="BH1145" s="47"/>
      <c r="BI1145" s="47"/>
      <c r="BJ1145" s="47"/>
      <c r="BK1145" s="47"/>
      <c r="BL1145" s="47"/>
      <c r="BM1145" s="47"/>
      <c r="BN1145" s="47"/>
      <c r="BO1145" s="47"/>
      <c r="BP1145" s="47"/>
      <c r="BQ1145" s="47"/>
      <c r="BR1145" s="47"/>
      <c r="BS1145" s="47"/>
      <c r="BT1145" s="47"/>
    </row>
    <row r="1146">
      <c r="A1146" s="24"/>
      <c r="B1146" s="48"/>
      <c r="C1146" s="49"/>
      <c r="D1146" s="24"/>
      <c r="E1146" s="52"/>
      <c r="F1146" s="53"/>
      <c r="G1146" s="48"/>
      <c r="H1146" s="49"/>
      <c r="I1146" s="49"/>
      <c r="J1146" s="48"/>
      <c r="K1146" s="48"/>
      <c r="L1146" s="48"/>
      <c r="M1146" s="48"/>
      <c r="N1146" s="48"/>
      <c r="O1146" s="48"/>
      <c r="P1146" s="48"/>
      <c r="Q1146" s="48"/>
      <c r="R1146" s="48"/>
      <c r="S1146" s="48"/>
      <c r="T1146" s="48"/>
      <c r="U1146" s="48"/>
      <c r="V1146" s="48"/>
      <c r="W1146" s="49"/>
      <c r="X1146" s="49"/>
      <c r="Y1146" s="49"/>
      <c r="Z1146" s="49"/>
      <c r="AA1146" s="49"/>
      <c r="AB1146" s="49"/>
      <c r="AC1146" s="49"/>
      <c r="AD1146" s="49"/>
      <c r="AE1146" s="49"/>
      <c r="AF1146" s="49"/>
      <c r="AG1146" s="49"/>
      <c r="AH1146" s="49"/>
      <c r="AI1146" s="48"/>
      <c r="AJ1146" s="48"/>
      <c r="AK1146" s="24"/>
      <c r="AL1146" s="50"/>
      <c r="AM1146" s="50"/>
      <c r="AN1146" s="50"/>
      <c r="AO1146" s="50"/>
      <c r="AP1146" s="50"/>
      <c r="AQ1146" s="50"/>
      <c r="AR1146" s="50"/>
      <c r="AS1146" s="50"/>
      <c r="AT1146" s="51"/>
      <c r="AU1146" s="51"/>
      <c r="AV1146" s="51"/>
      <c r="AW1146" s="51"/>
      <c r="AX1146" s="50"/>
      <c r="AY1146" s="50"/>
      <c r="AZ1146" s="50"/>
      <c r="BA1146" s="50"/>
      <c r="BB1146" s="51"/>
      <c r="BC1146" s="51"/>
      <c r="BD1146" s="51"/>
      <c r="BE1146" s="51"/>
      <c r="BF1146" s="47"/>
      <c r="BG1146" s="47"/>
      <c r="BH1146" s="47"/>
      <c r="BI1146" s="47"/>
      <c r="BJ1146" s="47"/>
      <c r="BK1146" s="47"/>
      <c r="BL1146" s="47"/>
      <c r="BM1146" s="47"/>
      <c r="BN1146" s="47"/>
      <c r="BO1146" s="47"/>
      <c r="BP1146" s="47"/>
      <c r="BQ1146" s="47"/>
      <c r="BR1146" s="47"/>
      <c r="BS1146" s="47"/>
      <c r="BT1146" s="47"/>
    </row>
    <row r="1147">
      <c r="A1147" s="24"/>
      <c r="B1147" s="48"/>
      <c r="C1147" s="49"/>
      <c r="D1147" s="24"/>
      <c r="E1147" s="52"/>
      <c r="F1147" s="53"/>
      <c r="G1147" s="48"/>
      <c r="H1147" s="49"/>
      <c r="I1147" s="49"/>
      <c r="J1147" s="48"/>
      <c r="K1147" s="48"/>
      <c r="L1147" s="48"/>
      <c r="M1147" s="48"/>
      <c r="N1147" s="48"/>
      <c r="O1147" s="48"/>
      <c r="P1147" s="48"/>
      <c r="Q1147" s="48"/>
      <c r="R1147" s="48"/>
      <c r="S1147" s="48"/>
      <c r="T1147" s="48"/>
      <c r="U1147" s="48"/>
      <c r="V1147" s="48"/>
      <c r="W1147" s="49"/>
      <c r="X1147" s="49"/>
      <c r="Y1147" s="49"/>
      <c r="Z1147" s="49"/>
      <c r="AA1147" s="49"/>
      <c r="AB1147" s="49"/>
      <c r="AC1147" s="49"/>
      <c r="AD1147" s="49"/>
      <c r="AE1147" s="49"/>
      <c r="AF1147" s="49"/>
      <c r="AG1147" s="49"/>
      <c r="AH1147" s="49"/>
      <c r="AI1147" s="48"/>
      <c r="AJ1147" s="48"/>
      <c r="AK1147" s="24"/>
      <c r="AL1147" s="50"/>
      <c r="AM1147" s="50"/>
      <c r="AN1147" s="50"/>
      <c r="AO1147" s="50"/>
      <c r="AP1147" s="50"/>
      <c r="AQ1147" s="50"/>
      <c r="AR1147" s="50"/>
      <c r="AS1147" s="50"/>
      <c r="AT1147" s="51"/>
      <c r="AU1147" s="51"/>
      <c r="AV1147" s="51"/>
      <c r="AW1147" s="51"/>
      <c r="AX1147" s="50"/>
      <c r="AY1147" s="50"/>
      <c r="AZ1147" s="50"/>
      <c r="BA1147" s="50"/>
      <c r="BB1147" s="51"/>
      <c r="BC1147" s="51"/>
      <c r="BD1147" s="51"/>
      <c r="BE1147" s="51"/>
      <c r="BF1147" s="47"/>
      <c r="BG1147" s="47"/>
      <c r="BH1147" s="47"/>
      <c r="BI1147" s="47"/>
      <c r="BJ1147" s="47"/>
      <c r="BK1147" s="47"/>
      <c r="BL1147" s="47"/>
      <c r="BM1147" s="47"/>
      <c r="BN1147" s="47"/>
      <c r="BO1147" s="47"/>
      <c r="BP1147" s="47"/>
      <c r="BQ1147" s="47"/>
      <c r="BR1147" s="47"/>
      <c r="BS1147" s="47"/>
      <c r="BT1147" s="47"/>
    </row>
    <row r="1148">
      <c r="A1148" s="24"/>
      <c r="B1148" s="48"/>
      <c r="C1148" s="49"/>
      <c r="D1148" s="24"/>
      <c r="E1148" s="52"/>
      <c r="F1148" s="53"/>
      <c r="G1148" s="48"/>
      <c r="H1148" s="49"/>
      <c r="I1148" s="49"/>
      <c r="J1148" s="48"/>
      <c r="K1148" s="48"/>
      <c r="L1148" s="48"/>
      <c r="M1148" s="48"/>
      <c r="N1148" s="48"/>
      <c r="O1148" s="48"/>
      <c r="P1148" s="48"/>
      <c r="Q1148" s="48"/>
      <c r="R1148" s="48"/>
      <c r="S1148" s="48"/>
      <c r="T1148" s="48"/>
      <c r="U1148" s="48"/>
      <c r="V1148" s="48"/>
      <c r="W1148" s="49"/>
      <c r="X1148" s="49"/>
      <c r="Y1148" s="49"/>
      <c r="Z1148" s="49"/>
      <c r="AA1148" s="49"/>
      <c r="AB1148" s="49"/>
      <c r="AC1148" s="49"/>
      <c r="AD1148" s="49"/>
      <c r="AE1148" s="49"/>
      <c r="AF1148" s="49"/>
      <c r="AG1148" s="49"/>
      <c r="AH1148" s="49"/>
      <c r="AI1148" s="48"/>
      <c r="AJ1148" s="48"/>
      <c r="AK1148" s="24"/>
      <c r="AL1148" s="50"/>
      <c r="AM1148" s="50"/>
      <c r="AN1148" s="50"/>
      <c r="AO1148" s="50"/>
      <c r="AP1148" s="50"/>
      <c r="AQ1148" s="50"/>
      <c r="AR1148" s="50"/>
      <c r="AS1148" s="50"/>
      <c r="AT1148" s="51"/>
      <c r="AU1148" s="51"/>
      <c r="AV1148" s="51"/>
      <c r="AW1148" s="51"/>
      <c r="AX1148" s="50"/>
      <c r="AY1148" s="50"/>
      <c r="AZ1148" s="50"/>
      <c r="BA1148" s="50"/>
      <c r="BB1148" s="51"/>
      <c r="BC1148" s="51"/>
      <c r="BD1148" s="51"/>
      <c r="BE1148" s="51"/>
      <c r="BF1148" s="47"/>
      <c r="BG1148" s="47"/>
      <c r="BH1148" s="47"/>
      <c r="BI1148" s="47"/>
      <c r="BJ1148" s="47"/>
      <c r="BK1148" s="47"/>
      <c r="BL1148" s="47"/>
      <c r="BM1148" s="47"/>
      <c r="BN1148" s="47"/>
      <c r="BO1148" s="47"/>
      <c r="BP1148" s="47"/>
      <c r="BQ1148" s="47"/>
      <c r="BR1148" s="47"/>
      <c r="BS1148" s="47"/>
      <c r="BT1148" s="47"/>
    </row>
    <row r="1149">
      <c r="A1149" s="24"/>
      <c r="B1149" s="48"/>
      <c r="C1149" s="49"/>
      <c r="D1149" s="24"/>
      <c r="E1149" s="52"/>
      <c r="F1149" s="53"/>
      <c r="G1149" s="48"/>
      <c r="H1149" s="49"/>
      <c r="I1149" s="49"/>
      <c r="J1149" s="48"/>
      <c r="K1149" s="48"/>
      <c r="L1149" s="48"/>
      <c r="M1149" s="48"/>
      <c r="N1149" s="48"/>
      <c r="O1149" s="48"/>
      <c r="P1149" s="48"/>
      <c r="Q1149" s="48"/>
      <c r="R1149" s="48"/>
      <c r="S1149" s="48"/>
      <c r="T1149" s="48"/>
      <c r="U1149" s="48"/>
      <c r="V1149" s="48"/>
      <c r="W1149" s="49"/>
      <c r="X1149" s="49"/>
      <c r="Y1149" s="49"/>
      <c r="Z1149" s="49"/>
      <c r="AA1149" s="49"/>
      <c r="AB1149" s="49"/>
      <c r="AC1149" s="49"/>
      <c r="AD1149" s="49"/>
      <c r="AE1149" s="49"/>
      <c r="AF1149" s="49"/>
      <c r="AG1149" s="49"/>
      <c r="AH1149" s="49"/>
      <c r="AI1149" s="48"/>
      <c r="AJ1149" s="48"/>
      <c r="AK1149" s="24"/>
      <c r="AL1149" s="50"/>
      <c r="AM1149" s="50"/>
      <c r="AN1149" s="50"/>
      <c r="AO1149" s="50"/>
      <c r="AP1149" s="50"/>
      <c r="AQ1149" s="50"/>
      <c r="AR1149" s="50"/>
      <c r="AS1149" s="50"/>
      <c r="AT1149" s="51"/>
      <c r="AU1149" s="51"/>
      <c r="AV1149" s="51"/>
      <c r="AW1149" s="51"/>
      <c r="AX1149" s="50"/>
      <c r="AY1149" s="50"/>
      <c r="AZ1149" s="50"/>
      <c r="BA1149" s="50"/>
      <c r="BB1149" s="51"/>
      <c r="BC1149" s="51"/>
      <c r="BD1149" s="51"/>
      <c r="BE1149" s="51"/>
      <c r="BF1149" s="47"/>
      <c r="BG1149" s="47"/>
      <c r="BH1149" s="47"/>
      <c r="BI1149" s="47"/>
      <c r="BJ1149" s="47"/>
      <c r="BK1149" s="47"/>
      <c r="BL1149" s="47"/>
      <c r="BM1149" s="47"/>
      <c r="BN1149" s="47"/>
      <c r="BO1149" s="47"/>
      <c r="BP1149" s="47"/>
      <c r="BQ1149" s="47"/>
      <c r="BR1149" s="47"/>
      <c r="BS1149" s="47"/>
      <c r="BT1149" s="47"/>
    </row>
    <row r="1150">
      <c r="A1150" s="24"/>
      <c r="B1150" s="48"/>
      <c r="C1150" s="49"/>
      <c r="D1150" s="24"/>
      <c r="E1150" s="52"/>
      <c r="F1150" s="53"/>
      <c r="G1150" s="48"/>
      <c r="H1150" s="49"/>
      <c r="I1150" s="49"/>
      <c r="J1150" s="48"/>
      <c r="K1150" s="48"/>
      <c r="L1150" s="48"/>
      <c r="M1150" s="48"/>
      <c r="N1150" s="48"/>
      <c r="O1150" s="48"/>
      <c r="P1150" s="48"/>
      <c r="Q1150" s="48"/>
      <c r="R1150" s="48"/>
      <c r="S1150" s="48"/>
      <c r="T1150" s="48"/>
      <c r="U1150" s="48"/>
      <c r="V1150" s="48"/>
      <c r="W1150" s="49"/>
      <c r="X1150" s="49"/>
      <c r="Y1150" s="49"/>
      <c r="Z1150" s="49"/>
      <c r="AA1150" s="49"/>
      <c r="AB1150" s="49"/>
      <c r="AC1150" s="49"/>
      <c r="AD1150" s="49"/>
      <c r="AE1150" s="49"/>
      <c r="AF1150" s="49"/>
      <c r="AG1150" s="49"/>
      <c r="AH1150" s="49"/>
      <c r="AI1150" s="48"/>
      <c r="AJ1150" s="48"/>
      <c r="AK1150" s="24"/>
      <c r="AL1150" s="50"/>
      <c r="AM1150" s="50"/>
      <c r="AN1150" s="50"/>
      <c r="AO1150" s="50"/>
      <c r="AP1150" s="50"/>
      <c r="AQ1150" s="50"/>
      <c r="AR1150" s="50"/>
      <c r="AS1150" s="50"/>
      <c r="AT1150" s="51"/>
      <c r="AU1150" s="51"/>
      <c r="AV1150" s="51"/>
      <c r="AW1150" s="51"/>
      <c r="AX1150" s="50"/>
      <c r="AY1150" s="50"/>
      <c r="AZ1150" s="50"/>
      <c r="BA1150" s="50"/>
      <c r="BB1150" s="51"/>
      <c r="BC1150" s="51"/>
      <c r="BD1150" s="51"/>
      <c r="BE1150" s="51"/>
      <c r="BF1150" s="47"/>
      <c r="BG1150" s="47"/>
      <c r="BH1150" s="47"/>
      <c r="BI1150" s="47"/>
      <c r="BJ1150" s="47"/>
      <c r="BK1150" s="47"/>
      <c r="BL1150" s="47"/>
      <c r="BM1150" s="47"/>
      <c r="BN1150" s="47"/>
      <c r="BO1150" s="47"/>
      <c r="BP1150" s="47"/>
      <c r="BQ1150" s="47"/>
      <c r="BR1150" s="47"/>
      <c r="BS1150" s="47"/>
      <c r="BT1150" s="47"/>
    </row>
    <row r="1151">
      <c r="A1151" s="24"/>
      <c r="B1151" s="48"/>
      <c r="C1151" s="49"/>
      <c r="D1151" s="24"/>
      <c r="E1151" s="52"/>
      <c r="F1151" s="53"/>
      <c r="G1151" s="48"/>
      <c r="H1151" s="49"/>
      <c r="I1151" s="49"/>
      <c r="J1151" s="48"/>
      <c r="K1151" s="48"/>
      <c r="L1151" s="48"/>
      <c r="M1151" s="48"/>
      <c r="N1151" s="48"/>
      <c r="O1151" s="48"/>
      <c r="P1151" s="48"/>
      <c r="Q1151" s="48"/>
      <c r="R1151" s="48"/>
      <c r="S1151" s="48"/>
      <c r="T1151" s="48"/>
      <c r="U1151" s="48"/>
      <c r="V1151" s="48"/>
      <c r="W1151" s="49"/>
      <c r="X1151" s="49"/>
      <c r="Y1151" s="49"/>
      <c r="Z1151" s="49"/>
      <c r="AA1151" s="49"/>
      <c r="AB1151" s="49"/>
      <c r="AC1151" s="49"/>
      <c r="AD1151" s="49"/>
      <c r="AE1151" s="49"/>
      <c r="AF1151" s="49"/>
      <c r="AG1151" s="49"/>
      <c r="AH1151" s="49"/>
      <c r="AI1151" s="48"/>
      <c r="AJ1151" s="48"/>
      <c r="AK1151" s="24"/>
      <c r="AL1151" s="50"/>
      <c r="AM1151" s="50"/>
      <c r="AN1151" s="50"/>
      <c r="AO1151" s="50"/>
      <c r="AP1151" s="50"/>
      <c r="AQ1151" s="50"/>
      <c r="AR1151" s="50"/>
      <c r="AS1151" s="50"/>
      <c r="AT1151" s="51"/>
      <c r="AU1151" s="51"/>
      <c r="AV1151" s="51"/>
      <c r="AW1151" s="51"/>
      <c r="AX1151" s="50"/>
      <c r="AY1151" s="50"/>
      <c r="AZ1151" s="50"/>
      <c r="BA1151" s="50"/>
      <c r="BB1151" s="51"/>
      <c r="BC1151" s="51"/>
      <c r="BD1151" s="51"/>
      <c r="BE1151" s="51"/>
      <c r="BF1151" s="47"/>
      <c r="BG1151" s="47"/>
      <c r="BH1151" s="47"/>
      <c r="BI1151" s="47"/>
      <c r="BJ1151" s="47"/>
      <c r="BK1151" s="47"/>
      <c r="BL1151" s="47"/>
      <c r="BM1151" s="47"/>
      <c r="BN1151" s="47"/>
      <c r="BO1151" s="47"/>
      <c r="BP1151" s="47"/>
      <c r="BQ1151" s="47"/>
      <c r="BR1151" s="47"/>
      <c r="BS1151" s="47"/>
      <c r="BT1151" s="47"/>
    </row>
    <row r="1152">
      <c r="A1152" s="24"/>
      <c r="B1152" s="48"/>
      <c r="C1152" s="49"/>
      <c r="D1152" s="24"/>
      <c r="E1152" s="52"/>
      <c r="F1152" s="53"/>
      <c r="G1152" s="48"/>
      <c r="H1152" s="49"/>
      <c r="I1152" s="49"/>
      <c r="J1152" s="48"/>
      <c r="K1152" s="48"/>
      <c r="L1152" s="48"/>
      <c r="M1152" s="48"/>
      <c r="N1152" s="48"/>
      <c r="O1152" s="48"/>
      <c r="P1152" s="48"/>
      <c r="Q1152" s="48"/>
      <c r="R1152" s="48"/>
      <c r="S1152" s="48"/>
      <c r="T1152" s="48"/>
      <c r="U1152" s="48"/>
      <c r="V1152" s="48"/>
      <c r="W1152" s="49"/>
      <c r="X1152" s="49"/>
      <c r="Y1152" s="49"/>
      <c r="Z1152" s="49"/>
      <c r="AA1152" s="49"/>
      <c r="AB1152" s="49"/>
      <c r="AC1152" s="49"/>
      <c r="AD1152" s="49"/>
      <c r="AE1152" s="49"/>
      <c r="AF1152" s="49"/>
      <c r="AG1152" s="49"/>
      <c r="AH1152" s="49"/>
      <c r="AI1152" s="48"/>
      <c r="AJ1152" s="48"/>
      <c r="AK1152" s="24"/>
      <c r="AL1152" s="50"/>
      <c r="AM1152" s="50"/>
      <c r="AN1152" s="50"/>
      <c r="AO1152" s="50"/>
      <c r="AP1152" s="50"/>
      <c r="AQ1152" s="50"/>
      <c r="AR1152" s="50"/>
      <c r="AS1152" s="50"/>
      <c r="AT1152" s="51"/>
      <c r="AU1152" s="51"/>
      <c r="AV1152" s="51"/>
      <c r="AW1152" s="51"/>
      <c r="AX1152" s="50"/>
      <c r="AY1152" s="50"/>
      <c r="AZ1152" s="50"/>
      <c r="BA1152" s="50"/>
      <c r="BB1152" s="51"/>
      <c r="BC1152" s="51"/>
      <c r="BD1152" s="51"/>
      <c r="BE1152" s="51"/>
      <c r="BF1152" s="47"/>
      <c r="BG1152" s="47"/>
      <c r="BH1152" s="47"/>
      <c r="BI1152" s="47"/>
      <c r="BJ1152" s="47"/>
      <c r="BK1152" s="47"/>
      <c r="BL1152" s="47"/>
      <c r="BM1152" s="47"/>
      <c r="BN1152" s="47"/>
      <c r="BO1152" s="47"/>
      <c r="BP1152" s="47"/>
      <c r="BQ1152" s="47"/>
      <c r="BR1152" s="47"/>
      <c r="BS1152" s="47"/>
      <c r="BT1152" s="47"/>
    </row>
    <row r="1153">
      <c r="A1153" s="24"/>
      <c r="B1153" s="48"/>
      <c r="C1153" s="49"/>
      <c r="D1153" s="24"/>
      <c r="E1153" s="52"/>
      <c r="F1153" s="53"/>
      <c r="G1153" s="48"/>
      <c r="H1153" s="49"/>
      <c r="I1153" s="49"/>
      <c r="J1153" s="48"/>
      <c r="K1153" s="48"/>
      <c r="L1153" s="48"/>
      <c r="M1153" s="48"/>
      <c r="N1153" s="48"/>
      <c r="O1153" s="48"/>
      <c r="P1153" s="48"/>
      <c r="Q1153" s="48"/>
      <c r="R1153" s="48"/>
      <c r="S1153" s="48"/>
      <c r="T1153" s="48"/>
      <c r="U1153" s="48"/>
      <c r="V1153" s="48"/>
      <c r="W1153" s="49"/>
      <c r="X1153" s="49"/>
      <c r="Y1153" s="49"/>
      <c r="Z1153" s="49"/>
      <c r="AA1153" s="49"/>
      <c r="AB1153" s="49"/>
      <c r="AC1153" s="49"/>
      <c r="AD1153" s="49"/>
      <c r="AE1153" s="49"/>
      <c r="AF1153" s="49"/>
      <c r="AG1153" s="49"/>
      <c r="AH1153" s="49"/>
      <c r="AI1153" s="48"/>
      <c r="AJ1153" s="48"/>
      <c r="AK1153" s="24"/>
      <c r="AL1153" s="50"/>
      <c r="AM1153" s="50"/>
      <c r="AN1153" s="50"/>
      <c r="AO1153" s="50"/>
      <c r="AP1153" s="50"/>
      <c r="AQ1153" s="50"/>
      <c r="AR1153" s="50"/>
      <c r="AS1153" s="50"/>
      <c r="AT1153" s="51"/>
      <c r="AU1153" s="51"/>
      <c r="AV1153" s="51"/>
      <c r="AW1153" s="51"/>
      <c r="AX1153" s="50"/>
      <c r="AY1153" s="50"/>
      <c r="AZ1153" s="50"/>
      <c r="BA1153" s="50"/>
      <c r="BB1153" s="51"/>
      <c r="BC1153" s="51"/>
      <c r="BD1153" s="51"/>
      <c r="BE1153" s="51"/>
      <c r="BF1153" s="47"/>
      <c r="BG1153" s="47"/>
      <c r="BH1153" s="47"/>
      <c r="BI1153" s="47"/>
      <c r="BJ1153" s="47"/>
      <c r="BK1153" s="47"/>
      <c r="BL1153" s="47"/>
      <c r="BM1153" s="47"/>
      <c r="BN1153" s="47"/>
      <c r="BO1153" s="47"/>
      <c r="BP1153" s="47"/>
      <c r="BQ1153" s="47"/>
      <c r="BR1153" s="47"/>
      <c r="BS1153" s="47"/>
      <c r="BT1153" s="47"/>
    </row>
    <row r="1154">
      <c r="A1154" s="24"/>
      <c r="B1154" s="48"/>
      <c r="C1154" s="49"/>
      <c r="D1154" s="24"/>
      <c r="E1154" s="52"/>
      <c r="F1154" s="53"/>
      <c r="G1154" s="48"/>
      <c r="H1154" s="49"/>
      <c r="I1154" s="49"/>
      <c r="J1154" s="48"/>
      <c r="K1154" s="48"/>
      <c r="L1154" s="48"/>
      <c r="M1154" s="48"/>
      <c r="N1154" s="48"/>
      <c r="O1154" s="48"/>
      <c r="P1154" s="48"/>
      <c r="Q1154" s="48"/>
      <c r="R1154" s="48"/>
      <c r="S1154" s="48"/>
      <c r="T1154" s="48"/>
      <c r="U1154" s="48"/>
      <c r="V1154" s="48"/>
      <c r="W1154" s="49"/>
      <c r="X1154" s="49"/>
      <c r="Y1154" s="49"/>
      <c r="Z1154" s="49"/>
      <c r="AA1154" s="49"/>
      <c r="AB1154" s="49"/>
      <c r="AC1154" s="49"/>
      <c r="AD1154" s="49"/>
      <c r="AE1154" s="49"/>
      <c r="AF1154" s="49"/>
      <c r="AG1154" s="49"/>
      <c r="AH1154" s="49"/>
      <c r="AI1154" s="48"/>
      <c r="AJ1154" s="48"/>
      <c r="AK1154" s="24"/>
      <c r="AL1154" s="50"/>
      <c r="AM1154" s="50"/>
      <c r="AN1154" s="50"/>
      <c r="AO1154" s="50"/>
      <c r="AP1154" s="50"/>
      <c r="AQ1154" s="50"/>
      <c r="AR1154" s="50"/>
      <c r="AS1154" s="50"/>
      <c r="AT1154" s="51"/>
      <c r="AU1154" s="51"/>
      <c r="AV1154" s="51"/>
      <c r="AW1154" s="51"/>
      <c r="AX1154" s="50"/>
      <c r="AY1154" s="50"/>
      <c r="AZ1154" s="50"/>
      <c r="BA1154" s="50"/>
      <c r="BB1154" s="51"/>
      <c r="BC1154" s="51"/>
      <c r="BD1154" s="51"/>
      <c r="BE1154" s="51"/>
      <c r="BF1154" s="47"/>
      <c r="BG1154" s="47"/>
      <c r="BH1154" s="47"/>
      <c r="BI1154" s="47"/>
      <c r="BJ1154" s="47"/>
      <c r="BK1154" s="47"/>
      <c r="BL1154" s="47"/>
      <c r="BM1154" s="47"/>
      <c r="BN1154" s="47"/>
      <c r="BO1154" s="47"/>
      <c r="BP1154" s="47"/>
      <c r="BQ1154" s="47"/>
      <c r="BR1154" s="47"/>
      <c r="BS1154" s="47"/>
      <c r="BT1154" s="47"/>
    </row>
    <row r="1155">
      <c r="A1155" s="24"/>
      <c r="B1155" s="48"/>
      <c r="C1155" s="49"/>
      <c r="D1155" s="24"/>
      <c r="E1155" s="52"/>
      <c r="F1155" s="53"/>
      <c r="G1155" s="48"/>
      <c r="H1155" s="49"/>
      <c r="I1155" s="49"/>
      <c r="J1155" s="48"/>
      <c r="K1155" s="48"/>
      <c r="L1155" s="48"/>
      <c r="M1155" s="48"/>
      <c r="N1155" s="48"/>
      <c r="O1155" s="48"/>
      <c r="P1155" s="48"/>
      <c r="Q1155" s="48"/>
      <c r="R1155" s="48"/>
      <c r="S1155" s="48"/>
      <c r="T1155" s="48"/>
      <c r="U1155" s="48"/>
      <c r="V1155" s="48"/>
      <c r="W1155" s="49"/>
      <c r="X1155" s="49"/>
      <c r="Y1155" s="49"/>
      <c r="Z1155" s="49"/>
      <c r="AA1155" s="49"/>
      <c r="AB1155" s="49"/>
      <c r="AC1155" s="49"/>
      <c r="AD1155" s="49"/>
      <c r="AE1155" s="49"/>
      <c r="AF1155" s="49"/>
      <c r="AG1155" s="49"/>
      <c r="AH1155" s="49"/>
      <c r="AI1155" s="48"/>
      <c r="AJ1155" s="48"/>
      <c r="AK1155" s="24"/>
      <c r="AL1155" s="50"/>
      <c r="AM1155" s="50"/>
      <c r="AN1155" s="50"/>
      <c r="AO1155" s="50"/>
      <c r="AP1155" s="50"/>
      <c r="AQ1155" s="50"/>
      <c r="AR1155" s="50"/>
      <c r="AS1155" s="50"/>
      <c r="AT1155" s="51"/>
      <c r="AU1155" s="51"/>
      <c r="AV1155" s="51"/>
      <c r="AW1155" s="51"/>
      <c r="AX1155" s="50"/>
      <c r="AY1155" s="50"/>
      <c r="AZ1155" s="50"/>
      <c r="BA1155" s="50"/>
      <c r="BB1155" s="51"/>
      <c r="BC1155" s="51"/>
      <c r="BD1155" s="51"/>
      <c r="BE1155" s="51"/>
      <c r="BF1155" s="47"/>
      <c r="BG1155" s="47"/>
      <c r="BH1155" s="47"/>
      <c r="BI1155" s="47"/>
      <c r="BJ1155" s="47"/>
      <c r="BK1155" s="47"/>
      <c r="BL1155" s="47"/>
      <c r="BM1155" s="47"/>
      <c r="BN1155" s="47"/>
      <c r="BO1155" s="47"/>
      <c r="BP1155" s="47"/>
      <c r="BQ1155" s="47"/>
      <c r="BR1155" s="47"/>
      <c r="BS1155" s="47"/>
      <c r="BT1155" s="47"/>
    </row>
    <row r="1156">
      <c r="A1156" s="24"/>
      <c r="B1156" s="48"/>
      <c r="C1156" s="49"/>
      <c r="D1156" s="24"/>
      <c r="E1156" s="52"/>
      <c r="F1156" s="53"/>
      <c r="G1156" s="48"/>
      <c r="H1156" s="49"/>
      <c r="I1156" s="49"/>
      <c r="J1156" s="48"/>
      <c r="K1156" s="48"/>
      <c r="L1156" s="48"/>
      <c r="M1156" s="48"/>
      <c r="N1156" s="48"/>
      <c r="O1156" s="48"/>
      <c r="P1156" s="48"/>
      <c r="Q1156" s="48"/>
      <c r="R1156" s="48"/>
      <c r="S1156" s="48"/>
      <c r="T1156" s="48"/>
      <c r="U1156" s="48"/>
      <c r="V1156" s="48"/>
      <c r="W1156" s="49"/>
      <c r="X1156" s="49"/>
      <c r="Y1156" s="49"/>
      <c r="Z1156" s="49"/>
      <c r="AA1156" s="49"/>
      <c r="AB1156" s="49"/>
      <c r="AC1156" s="49"/>
      <c r="AD1156" s="49"/>
      <c r="AE1156" s="49"/>
      <c r="AF1156" s="49"/>
      <c r="AG1156" s="49"/>
      <c r="AH1156" s="49"/>
      <c r="AI1156" s="48"/>
      <c r="AJ1156" s="48"/>
      <c r="AK1156" s="24"/>
      <c r="AL1156" s="50"/>
      <c r="AM1156" s="50"/>
      <c r="AN1156" s="50"/>
      <c r="AO1156" s="50"/>
      <c r="AP1156" s="50"/>
      <c r="AQ1156" s="50"/>
      <c r="AR1156" s="50"/>
      <c r="AS1156" s="50"/>
      <c r="AT1156" s="51"/>
      <c r="AU1156" s="51"/>
      <c r="AV1156" s="51"/>
      <c r="AW1156" s="51"/>
      <c r="AX1156" s="50"/>
      <c r="AY1156" s="50"/>
      <c r="AZ1156" s="50"/>
      <c r="BA1156" s="50"/>
      <c r="BB1156" s="51"/>
      <c r="BC1156" s="51"/>
      <c r="BD1156" s="51"/>
      <c r="BE1156" s="51"/>
      <c r="BF1156" s="47"/>
      <c r="BG1156" s="47"/>
      <c r="BH1156" s="47"/>
      <c r="BI1156" s="47"/>
      <c r="BJ1156" s="47"/>
      <c r="BK1156" s="47"/>
      <c r="BL1156" s="47"/>
      <c r="BM1156" s="47"/>
      <c r="BN1156" s="47"/>
      <c r="BO1156" s="47"/>
      <c r="BP1156" s="47"/>
      <c r="BQ1156" s="47"/>
      <c r="BR1156" s="47"/>
      <c r="BS1156" s="47"/>
      <c r="BT1156" s="47"/>
    </row>
    <row r="1157">
      <c r="A1157" s="24"/>
      <c r="B1157" s="48"/>
      <c r="C1157" s="49"/>
      <c r="D1157" s="24"/>
      <c r="E1157" s="52"/>
      <c r="F1157" s="53"/>
      <c r="G1157" s="48"/>
      <c r="H1157" s="49"/>
      <c r="I1157" s="49"/>
      <c r="J1157" s="48"/>
      <c r="K1157" s="48"/>
      <c r="L1157" s="48"/>
      <c r="M1157" s="48"/>
      <c r="N1157" s="48"/>
      <c r="O1157" s="48"/>
      <c r="P1157" s="48"/>
      <c r="Q1157" s="48"/>
      <c r="R1157" s="48"/>
      <c r="S1157" s="48"/>
      <c r="T1157" s="48"/>
      <c r="U1157" s="48"/>
      <c r="V1157" s="48"/>
      <c r="W1157" s="49"/>
      <c r="X1157" s="49"/>
      <c r="Y1157" s="49"/>
      <c r="Z1157" s="49"/>
      <c r="AA1157" s="49"/>
      <c r="AB1157" s="49"/>
      <c r="AC1157" s="49"/>
      <c r="AD1157" s="49"/>
      <c r="AE1157" s="49"/>
      <c r="AF1157" s="49"/>
      <c r="AG1157" s="49"/>
      <c r="AH1157" s="49"/>
      <c r="AI1157" s="48"/>
      <c r="AJ1157" s="48"/>
      <c r="AK1157" s="24"/>
      <c r="AL1157" s="50"/>
      <c r="AM1157" s="50"/>
      <c r="AN1157" s="50"/>
      <c r="AO1157" s="50"/>
      <c r="AP1157" s="50"/>
      <c r="AQ1157" s="50"/>
      <c r="AR1157" s="50"/>
      <c r="AS1157" s="50"/>
      <c r="AT1157" s="51"/>
      <c r="AU1157" s="51"/>
      <c r="AV1157" s="51"/>
      <c r="AW1157" s="51"/>
      <c r="AX1157" s="50"/>
      <c r="AY1157" s="50"/>
      <c r="AZ1157" s="50"/>
      <c r="BA1157" s="50"/>
      <c r="BB1157" s="51"/>
      <c r="BC1157" s="51"/>
      <c r="BD1157" s="51"/>
      <c r="BE1157" s="51"/>
      <c r="BF1157" s="47"/>
      <c r="BG1157" s="47"/>
      <c r="BH1157" s="47"/>
      <c r="BI1157" s="47"/>
      <c r="BJ1157" s="47"/>
      <c r="BK1157" s="47"/>
      <c r="BL1157" s="47"/>
      <c r="BM1157" s="47"/>
      <c r="BN1157" s="47"/>
      <c r="BO1157" s="47"/>
      <c r="BP1157" s="47"/>
      <c r="BQ1157" s="47"/>
      <c r="BR1157" s="47"/>
      <c r="BS1157" s="47"/>
      <c r="BT1157" s="47"/>
    </row>
    <row r="1158">
      <c r="A1158" s="24"/>
      <c r="B1158" s="48"/>
      <c r="C1158" s="49"/>
      <c r="D1158" s="24"/>
      <c r="E1158" s="52"/>
      <c r="F1158" s="53"/>
      <c r="G1158" s="48"/>
      <c r="H1158" s="49"/>
      <c r="I1158" s="49"/>
      <c r="J1158" s="48"/>
      <c r="K1158" s="48"/>
      <c r="L1158" s="48"/>
      <c r="M1158" s="48"/>
      <c r="N1158" s="48"/>
      <c r="O1158" s="48"/>
      <c r="P1158" s="48"/>
      <c r="Q1158" s="48"/>
      <c r="R1158" s="48"/>
      <c r="S1158" s="48"/>
      <c r="T1158" s="48"/>
      <c r="U1158" s="48"/>
      <c r="V1158" s="48"/>
      <c r="W1158" s="49"/>
      <c r="X1158" s="49"/>
      <c r="Y1158" s="49"/>
      <c r="Z1158" s="49"/>
      <c r="AA1158" s="49"/>
      <c r="AB1158" s="49"/>
      <c r="AC1158" s="49"/>
      <c r="AD1158" s="49"/>
      <c r="AE1158" s="49"/>
      <c r="AF1158" s="49"/>
      <c r="AG1158" s="49"/>
      <c r="AH1158" s="49"/>
      <c r="AI1158" s="48"/>
      <c r="AJ1158" s="48"/>
      <c r="AK1158" s="24"/>
      <c r="AL1158" s="50"/>
      <c r="AM1158" s="50"/>
      <c r="AN1158" s="50"/>
      <c r="AO1158" s="50"/>
      <c r="AP1158" s="50"/>
      <c r="AQ1158" s="50"/>
      <c r="AR1158" s="50"/>
      <c r="AS1158" s="50"/>
      <c r="AT1158" s="51"/>
      <c r="AU1158" s="51"/>
      <c r="AV1158" s="51"/>
      <c r="AW1158" s="51"/>
      <c r="AX1158" s="50"/>
      <c r="AY1158" s="50"/>
      <c r="AZ1158" s="50"/>
      <c r="BA1158" s="50"/>
      <c r="BB1158" s="51"/>
      <c r="BC1158" s="51"/>
      <c r="BD1158" s="51"/>
      <c r="BE1158" s="51"/>
      <c r="BF1158" s="47"/>
      <c r="BG1158" s="47"/>
      <c r="BH1158" s="47"/>
      <c r="BI1158" s="47"/>
      <c r="BJ1158" s="47"/>
      <c r="BK1158" s="47"/>
      <c r="BL1158" s="47"/>
      <c r="BM1158" s="47"/>
      <c r="BN1158" s="47"/>
      <c r="BO1158" s="47"/>
      <c r="BP1158" s="47"/>
      <c r="BQ1158" s="47"/>
      <c r="BR1158" s="47"/>
      <c r="BS1158" s="47"/>
      <c r="BT1158" s="47"/>
    </row>
    <row r="1159">
      <c r="A1159" s="24"/>
      <c r="B1159" s="48"/>
      <c r="C1159" s="49"/>
      <c r="D1159" s="24"/>
      <c r="E1159" s="52"/>
      <c r="F1159" s="53"/>
      <c r="G1159" s="48"/>
      <c r="H1159" s="49"/>
      <c r="I1159" s="49"/>
      <c r="J1159" s="48"/>
      <c r="K1159" s="48"/>
      <c r="L1159" s="48"/>
      <c r="M1159" s="48"/>
      <c r="N1159" s="48"/>
      <c r="O1159" s="48"/>
      <c r="P1159" s="48"/>
      <c r="Q1159" s="48"/>
      <c r="R1159" s="48"/>
      <c r="S1159" s="48"/>
      <c r="T1159" s="48"/>
      <c r="U1159" s="48"/>
      <c r="V1159" s="48"/>
      <c r="W1159" s="49"/>
      <c r="X1159" s="49"/>
      <c r="Y1159" s="49"/>
      <c r="Z1159" s="49"/>
      <c r="AA1159" s="49"/>
      <c r="AB1159" s="49"/>
      <c r="AC1159" s="49"/>
      <c r="AD1159" s="49"/>
      <c r="AE1159" s="49"/>
      <c r="AF1159" s="49"/>
      <c r="AG1159" s="49"/>
      <c r="AH1159" s="49"/>
      <c r="AI1159" s="48"/>
      <c r="AJ1159" s="48"/>
      <c r="AK1159" s="24"/>
      <c r="AL1159" s="50"/>
      <c r="AM1159" s="50"/>
      <c r="AN1159" s="50"/>
      <c r="AO1159" s="50"/>
      <c r="AP1159" s="50"/>
      <c r="AQ1159" s="50"/>
      <c r="AR1159" s="50"/>
      <c r="AS1159" s="50"/>
      <c r="AT1159" s="51"/>
      <c r="AU1159" s="51"/>
      <c r="AV1159" s="51"/>
      <c r="AW1159" s="51"/>
      <c r="AX1159" s="50"/>
      <c r="AY1159" s="50"/>
      <c r="AZ1159" s="50"/>
      <c r="BA1159" s="50"/>
      <c r="BB1159" s="51"/>
      <c r="BC1159" s="51"/>
      <c r="BD1159" s="51"/>
      <c r="BE1159" s="51"/>
      <c r="BF1159" s="47"/>
      <c r="BG1159" s="47"/>
      <c r="BH1159" s="47"/>
      <c r="BI1159" s="47"/>
      <c r="BJ1159" s="47"/>
      <c r="BK1159" s="47"/>
      <c r="BL1159" s="47"/>
      <c r="BM1159" s="47"/>
      <c r="BN1159" s="47"/>
      <c r="BO1159" s="47"/>
      <c r="BP1159" s="47"/>
      <c r="BQ1159" s="47"/>
      <c r="BR1159" s="47"/>
      <c r="BS1159" s="47"/>
      <c r="BT1159" s="47"/>
    </row>
    <row r="1160">
      <c r="A1160" s="24"/>
      <c r="B1160" s="48"/>
      <c r="C1160" s="49"/>
      <c r="D1160" s="24"/>
      <c r="E1160" s="52"/>
      <c r="F1160" s="53"/>
      <c r="G1160" s="48"/>
      <c r="H1160" s="49"/>
      <c r="I1160" s="49"/>
      <c r="J1160" s="48"/>
      <c r="K1160" s="48"/>
      <c r="L1160" s="48"/>
      <c r="M1160" s="48"/>
      <c r="N1160" s="48"/>
      <c r="O1160" s="48"/>
      <c r="P1160" s="48"/>
      <c r="Q1160" s="48"/>
      <c r="R1160" s="48"/>
      <c r="S1160" s="48"/>
      <c r="T1160" s="48"/>
      <c r="U1160" s="48"/>
      <c r="V1160" s="48"/>
      <c r="W1160" s="49"/>
      <c r="X1160" s="49"/>
      <c r="Y1160" s="49"/>
      <c r="Z1160" s="49"/>
      <c r="AA1160" s="49"/>
      <c r="AB1160" s="49"/>
      <c r="AC1160" s="49"/>
      <c r="AD1160" s="49"/>
      <c r="AE1160" s="49"/>
      <c r="AF1160" s="49"/>
      <c r="AG1160" s="49"/>
      <c r="AH1160" s="49"/>
      <c r="AI1160" s="48"/>
      <c r="AJ1160" s="48"/>
      <c r="AK1160" s="24"/>
      <c r="AL1160" s="50"/>
      <c r="AM1160" s="50"/>
      <c r="AN1160" s="50"/>
      <c r="AO1160" s="50"/>
      <c r="AP1160" s="50"/>
      <c r="AQ1160" s="50"/>
      <c r="AR1160" s="50"/>
      <c r="AS1160" s="50"/>
      <c r="AT1160" s="51"/>
      <c r="AU1160" s="51"/>
      <c r="AV1160" s="51"/>
      <c r="AW1160" s="51"/>
      <c r="AX1160" s="50"/>
      <c r="AY1160" s="50"/>
      <c r="AZ1160" s="50"/>
      <c r="BA1160" s="50"/>
      <c r="BB1160" s="51"/>
      <c r="BC1160" s="51"/>
      <c r="BD1160" s="51"/>
      <c r="BE1160" s="51"/>
      <c r="BF1160" s="47"/>
      <c r="BG1160" s="47"/>
      <c r="BH1160" s="47"/>
      <c r="BI1160" s="47"/>
      <c r="BJ1160" s="47"/>
      <c r="BK1160" s="47"/>
      <c r="BL1160" s="47"/>
      <c r="BM1160" s="47"/>
      <c r="BN1160" s="47"/>
      <c r="BO1160" s="47"/>
      <c r="BP1160" s="47"/>
      <c r="BQ1160" s="47"/>
      <c r="BR1160" s="47"/>
      <c r="BS1160" s="47"/>
      <c r="BT1160" s="47"/>
    </row>
    <row r="1161">
      <c r="A1161" s="24"/>
      <c r="B1161" s="48"/>
      <c r="C1161" s="49"/>
      <c r="D1161" s="24"/>
      <c r="E1161" s="52"/>
      <c r="F1161" s="53"/>
      <c r="G1161" s="48"/>
      <c r="H1161" s="49"/>
      <c r="I1161" s="49"/>
      <c r="J1161" s="48"/>
      <c r="K1161" s="48"/>
      <c r="L1161" s="48"/>
      <c r="M1161" s="48"/>
      <c r="N1161" s="48"/>
      <c r="O1161" s="48"/>
      <c r="P1161" s="48"/>
      <c r="Q1161" s="48"/>
      <c r="R1161" s="48"/>
      <c r="S1161" s="48"/>
      <c r="T1161" s="48"/>
      <c r="U1161" s="48"/>
      <c r="V1161" s="48"/>
      <c r="W1161" s="49"/>
      <c r="X1161" s="49"/>
      <c r="Y1161" s="49"/>
      <c r="Z1161" s="49"/>
      <c r="AA1161" s="49"/>
      <c r="AB1161" s="49"/>
      <c r="AC1161" s="49"/>
      <c r="AD1161" s="49"/>
      <c r="AE1161" s="49"/>
      <c r="AF1161" s="49"/>
      <c r="AG1161" s="49"/>
      <c r="AH1161" s="49"/>
      <c r="AI1161" s="48"/>
      <c r="AJ1161" s="48"/>
      <c r="AK1161" s="24"/>
      <c r="AL1161" s="50"/>
      <c r="AM1161" s="50"/>
      <c r="AN1161" s="50"/>
      <c r="AO1161" s="50"/>
      <c r="AP1161" s="50"/>
      <c r="AQ1161" s="50"/>
      <c r="AR1161" s="50"/>
      <c r="AS1161" s="50"/>
      <c r="AT1161" s="51"/>
      <c r="AU1161" s="51"/>
      <c r="AV1161" s="51"/>
      <c r="AW1161" s="51"/>
      <c r="AX1161" s="50"/>
      <c r="AY1161" s="50"/>
      <c r="AZ1161" s="50"/>
      <c r="BA1161" s="50"/>
      <c r="BB1161" s="51"/>
      <c r="BC1161" s="51"/>
      <c r="BD1161" s="51"/>
      <c r="BE1161" s="51"/>
      <c r="BF1161" s="47"/>
      <c r="BG1161" s="47"/>
      <c r="BH1161" s="47"/>
      <c r="BI1161" s="47"/>
      <c r="BJ1161" s="47"/>
      <c r="BK1161" s="47"/>
      <c r="BL1161" s="47"/>
      <c r="BM1161" s="47"/>
      <c r="BN1161" s="47"/>
      <c r="BO1161" s="47"/>
      <c r="BP1161" s="47"/>
      <c r="BQ1161" s="47"/>
      <c r="BR1161" s="47"/>
      <c r="BS1161" s="47"/>
      <c r="BT1161" s="47"/>
    </row>
    <row r="1162">
      <c r="A1162" s="24"/>
      <c r="B1162" s="48"/>
      <c r="C1162" s="49"/>
      <c r="D1162" s="24"/>
      <c r="E1162" s="52"/>
      <c r="F1162" s="53"/>
      <c r="G1162" s="48"/>
      <c r="H1162" s="49"/>
      <c r="I1162" s="49"/>
      <c r="J1162" s="48"/>
      <c r="K1162" s="48"/>
      <c r="L1162" s="48"/>
      <c r="M1162" s="48"/>
      <c r="N1162" s="48"/>
      <c r="O1162" s="48"/>
      <c r="P1162" s="48"/>
      <c r="Q1162" s="48"/>
      <c r="R1162" s="48"/>
      <c r="S1162" s="48"/>
      <c r="T1162" s="48"/>
      <c r="U1162" s="48"/>
      <c r="V1162" s="48"/>
      <c r="W1162" s="49"/>
      <c r="X1162" s="49"/>
      <c r="Y1162" s="49"/>
      <c r="Z1162" s="49"/>
      <c r="AA1162" s="49"/>
      <c r="AB1162" s="49"/>
      <c r="AC1162" s="49"/>
      <c r="AD1162" s="49"/>
      <c r="AE1162" s="49"/>
      <c r="AF1162" s="49"/>
      <c r="AG1162" s="49"/>
      <c r="AH1162" s="49"/>
      <c r="AI1162" s="48"/>
      <c r="AJ1162" s="48"/>
      <c r="AK1162" s="24"/>
      <c r="AL1162" s="50"/>
      <c r="AM1162" s="50"/>
      <c r="AN1162" s="50"/>
      <c r="AO1162" s="50"/>
      <c r="AP1162" s="50"/>
      <c r="AQ1162" s="50"/>
      <c r="AR1162" s="50"/>
      <c r="AS1162" s="50"/>
      <c r="AT1162" s="51"/>
      <c r="AU1162" s="51"/>
      <c r="AV1162" s="51"/>
      <c r="AW1162" s="51"/>
      <c r="AX1162" s="50"/>
      <c r="AY1162" s="50"/>
      <c r="AZ1162" s="50"/>
      <c r="BA1162" s="50"/>
      <c r="BB1162" s="51"/>
      <c r="BC1162" s="51"/>
      <c r="BD1162" s="51"/>
      <c r="BE1162" s="51"/>
      <c r="BF1162" s="47"/>
      <c r="BG1162" s="47"/>
      <c r="BH1162" s="47"/>
      <c r="BI1162" s="47"/>
      <c r="BJ1162" s="47"/>
      <c r="BK1162" s="47"/>
      <c r="BL1162" s="47"/>
      <c r="BM1162" s="47"/>
      <c r="BN1162" s="47"/>
      <c r="BO1162" s="47"/>
      <c r="BP1162" s="47"/>
      <c r="BQ1162" s="47"/>
      <c r="BR1162" s="47"/>
      <c r="BS1162" s="47"/>
      <c r="BT1162" s="47"/>
    </row>
    <row r="1163">
      <c r="A1163" s="24"/>
      <c r="B1163" s="48"/>
      <c r="C1163" s="49"/>
      <c r="D1163" s="24"/>
      <c r="E1163" s="52"/>
      <c r="F1163" s="53"/>
      <c r="G1163" s="48"/>
      <c r="H1163" s="49"/>
      <c r="I1163" s="49"/>
      <c r="J1163" s="48"/>
      <c r="K1163" s="48"/>
      <c r="L1163" s="48"/>
      <c r="M1163" s="48"/>
      <c r="N1163" s="48"/>
      <c r="O1163" s="48"/>
      <c r="P1163" s="48"/>
      <c r="Q1163" s="48"/>
      <c r="R1163" s="48"/>
      <c r="S1163" s="48"/>
      <c r="T1163" s="48"/>
      <c r="U1163" s="48"/>
      <c r="V1163" s="48"/>
      <c r="W1163" s="49"/>
      <c r="X1163" s="49"/>
      <c r="Y1163" s="49"/>
      <c r="Z1163" s="49"/>
      <c r="AA1163" s="49"/>
      <c r="AB1163" s="49"/>
      <c r="AC1163" s="49"/>
      <c r="AD1163" s="49"/>
      <c r="AE1163" s="49"/>
      <c r="AF1163" s="49"/>
      <c r="AG1163" s="49"/>
      <c r="AH1163" s="49"/>
      <c r="AI1163" s="48"/>
      <c r="AJ1163" s="48"/>
      <c r="AK1163" s="24"/>
      <c r="AL1163" s="50"/>
      <c r="AM1163" s="50"/>
      <c r="AN1163" s="50"/>
      <c r="AO1163" s="50"/>
      <c r="AP1163" s="50"/>
      <c r="AQ1163" s="50"/>
      <c r="AR1163" s="50"/>
      <c r="AS1163" s="50"/>
      <c r="AT1163" s="51"/>
      <c r="AU1163" s="51"/>
      <c r="AV1163" s="51"/>
      <c r="AW1163" s="51"/>
      <c r="AX1163" s="50"/>
      <c r="AY1163" s="50"/>
      <c r="AZ1163" s="50"/>
      <c r="BA1163" s="50"/>
      <c r="BB1163" s="51"/>
      <c r="BC1163" s="51"/>
      <c r="BD1163" s="51"/>
      <c r="BE1163" s="51"/>
      <c r="BF1163" s="47"/>
      <c r="BG1163" s="47"/>
      <c r="BH1163" s="47"/>
      <c r="BI1163" s="47"/>
      <c r="BJ1163" s="47"/>
      <c r="BK1163" s="47"/>
      <c r="BL1163" s="47"/>
      <c r="BM1163" s="47"/>
      <c r="BN1163" s="47"/>
      <c r="BO1163" s="47"/>
      <c r="BP1163" s="47"/>
      <c r="BQ1163" s="47"/>
      <c r="BR1163" s="47"/>
      <c r="BS1163" s="47"/>
      <c r="BT1163" s="47"/>
    </row>
    <row r="1164">
      <c r="A1164" s="24"/>
      <c r="B1164" s="48"/>
      <c r="C1164" s="49"/>
      <c r="D1164" s="24"/>
      <c r="E1164" s="52"/>
      <c r="F1164" s="53"/>
      <c r="G1164" s="48"/>
      <c r="H1164" s="49"/>
      <c r="I1164" s="49"/>
      <c r="J1164" s="48"/>
      <c r="K1164" s="48"/>
      <c r="L1164" s="48"/>
      <c r="M1164" s="48"/>
      <c r="N1164" s="48"/>
      <c r="O1164" s="48"/>
      <c r="P1164" s="48"/>
      <c r="Q1164" s="48"/>
      <c r="R1164" s="48"/>
      <c r="S1164" s="48"/>
      <c r="T1164" s="48"/>
      <c r="U1164" s="48"/>
      <c r="V1164" s="48"/>
      <c r="W1164" s="49"/>
      <c r="X1164" s="49"/>
      <c r="Y1164" s="49"/>
      <c r="Z1164" s="49"/>
      <c r="AA1164" s="49"/>
      <c r="AB1164" s="49"/>
      <c r="AC1164" s="49"/>
      <c r="AD1164" s="49"/>
      <c r="AE1164" s="49"/>
      <c r="AF1164" s="49"/>
      <c r="AG1164" s="49"/>
      <c r="AH1164" s="49"/>
      <c r="AI1164" s="48"/>
      <c r="AJ1164" s="48"/>
      <c r="AK1164" s="24"/>
      <c r="AL1164" s="50"/>
      <c r="AM1164" s="50"/>
      <c r="AN1164" s="50"/>
      <c r="AO1164" s="50"/>
      <c r="AP1164" s="50"/>
      <c r="AQ1164" s="50"/>
      <c r="AR1164" s="50"/>
      <c r="AS1164" s="50"/>
      <c r="AT1164" s="51"/>
      <c r="AU1164" s="51"/>
      <c r="AV1164" s="51"/>
      <c r="AW1164" s="51"/>
      <c r="AX1164" s="50"/>
      <c r="AY1164" s="50"/>
      <c r="AZ1164" s="50"/>
      <c r="BA1164" s="50"/>
      <c r="BB1164" s="51"/>
      <c r="BC1164" s="51"/>
      <c r="BD1164" s="51"/>
      <c r="BE1164" s="51"/>
      <c r="BF1164" s="47"/>
      <c r="BG1164" s="47"/>
      <c r="BH1164" s="47"/>
      <c r="BI1164" s="47"/>
      <c r="BJ1164" s="47"/>
      <c r="BK1164" s="47"/>
      <c r="BL1164" s="47"/>
      <c r="BM1164" s="47"/>
      <c r="BN1164" s="47"/>
      <c r="BO1164" s="47"/>
      <c r="BP1164" s="47"/>
      <c r="BQ1164" s="47"/>
      <c r="BR1164" s="47"/>
      <c r="BS1164" s="47"/>
      <c r="BT1164" s="47"/>
    </row>
    <row r="1165">
      <c r="A1165" s="24"/>
      <c r="B1165" s="48"/>
      <c r="C1165" s="49"/>
      <c r="D1165" s="24"/>
      <c r="E1165" s="52"/>
      <c r="F1165" s="53"/>
      <c r="G1165" s="48"/>
      <c r="H1165" s="49"/>
      <c r="I1165" s="49"/>
      <c r="J1165" s="48"/>
      <c r="K1165" s="48"/>
      <c r="L1165" s="48"/>
      <c r="M1165" s="48"/>
      <c r="N1165" s="48"/>
      <c r="O1165" s="48"/>
      <c r="P1165" s="48"/>
      <c r="Q1165" s="48"/>
      <c r="R1165" s="48"/>
      <c r="S1165" s="48"/>
      <c r="T1165" s="48"/>
      <c r="U1165" s="48"/>
      <c r="V1165" s="48"/>
      <c r="W1165" s="49"/>
      <c r="X1165" s="49"/>
      <c r="Y1165" s="49"/>
      <c r="Z1165" s="49"/>
      <c r="AA1165" s="49"/>
      <c r="AB1165" s="49"/>
      <c r="AC1165" s="49"/>
      <c r="AD1165" s="49"/>
      <c r="AE1165" s="49"/>
      <c r="AF1165" s="49"/>
      <c r="AG1165" s="49"/>
      <c r="AH1165" s="49"/>
      <c r="AI1165" s="48"/>
      <c r="AJ1165" s="48"/>
      <c r="AK1165" s="24"/>
      <c r="AL1165" s="50"/>
      <c r="AM1165" s="50"/>
      <c r="AN1165" s="50"/>
      <c r="AO1165" s="50"/>
      <c r="AP1165" s="50"/>
      <c r="AQ1165" s="50"/>
      <c r="AR1165" s="50"/>
      <c r="AS1165" s="50"/>
      <c r="AT1165" s="51"/>
      <c r="AU1165" s="51"/>
      <c r="AV1165" s="51"/>
      <c r="AW1165" s="51"/>
      <c r="AX1165" s="50"/>
      <c r="AY1165" s="50"/>
      <c r="AZ1165" s="50"/>
      <c r="BA1165" s="50"/>
      <c r="BB1165" s="51"/>
      <c r="BC1165" s="51"/>
      <c r="BD1165" s="51"/>
      <c r="BE1165" s="51"/>
      <c r="BF1165" s="47"/>
      <c r="BG1165" s="47"/>
      <c r="BH1165" s="47"/>
      <c r="BI1165" s="47"/>
      <c r="BJ1165" s="47"/>
      <c r="BK1165" s="47"/>
      <c r="BL1165" s="47"/>
      <c r="BM1165" s="47"/>
      <c r="BN1165" s="47"/>
      <c r="BO1165" s="47"/>
      <c r="BP1165" s="47"/>
      <c r="BQ1165" s="47"/>
      <c r="BR1165" s="47"/>
      <c r="BS1165" s="47"/>
      <c r="BT1165" s="47"/>
    </row>
    <row r="1166">
      <c r="A1166" s="24"/>
      <c r="B1166" s="48"/>
      <c r="C1166" s="49"/>
      <c r="D1166" s="24"/>
      <c r="E1166" s="52"/>
      <c r="F1166" s="53"/>
      <c r="G1166" s="48"/>
      <c r="H1166" s="49"/>
      <c r="I1166" s="49"/>
      <c r="J1166" s="48"/>
      <c r="K1166" s="48"/>
      <c r="L1166" s="48"/>
      <c r="M1166" s="48"/>
      <c r="N1166" s="48"/>
      <c r="O1166" s="48"/>
      <c r="P1166" s="48"/>
      <c r="Q1166" s="48"/>
      <c r="R1166" s="48"/>
      <c r="S1166" s="48"/>
      <c r="T1166" s="48"/>
      <c r="U1166" s="48"/>
      <c r="V1166" s="48"/>
      <c r="W1166" s="49"/>
      <c r="X1166" s="49"/>
      <c r="Y1166" s="49"/>
      <c r="Z1166" s="49"/>
      <c r="AA1166" s="49"/>
      <c r="AB1166" s="49"/>
      <c r="AC1166" s="49"/>
      <c r="AD1166" s="49"/>
      <c r="AE1166" s="49"/>
      <c r="AF1166" s="49"/>
      <c r="AG1166" s="49"/>
      <c r="AH1166" s="49"/>
      <c r="AI1166" s="48"/>
      <c r="AJ1166" s="48"/>
      <c r="AK1166" s="24"/>
      <c r="AL1166" s="50"/>
      <c r="AM1166" s="50"/>
      <c r="AN1166" s="50"/>
      <c r="AO1166" s="50"/>
      <c r="AP1166" s="50"/>
      <c r="AQ1166" s="50"/>
      <c r="AR1166" s="50"/>
      <c r="AS1166" s="50"/>
      <c r="AT1166" s="51"/>
      <c r="AU1166" s="51"/>
      <c r="AV1166" s="51"/>
      <c r="AW1166" s="51"/>
      <c r="AX1166" s="50"/>
      <c r="AY1166" s="50"/>
      <c r="AZ1166" s="50"/>
      <c r="BA1166" s="50"/>
      <c r="BB1166" s="51"/>
      <c r="BC1166" s="51"/>
      <c r="BD1166" s="51"/>
      <c r="BE1166" s="51"/>
      <c r="BF1166" s="47"/>
      <c r="BG1166" s="47"/>
      <c r="BH1166" s="47"/>
      <c r="BI1166" s="47"/>
      <c r="BJ1166" s="47"/>
      <c r="BK1166" s="47"/>
      <c r="BL1166" s="47"/>
      <c r="BM1166" s="47"/>
      <c r="BN1166" s="47"/>
      <c r="BO1166" s="47"/>
      <c r="BP1166" s="47"/>
      <c r="BQ1166" s="47"/>
      <c r="BR1166" s="47"/>
      <c r="BS1166" s="47"/>
      <c r="BT1166" s="47"/>
    </row>
    <row r="1167">
      <c r="A1167" s="24"/>
      <c r="B1167" s="48"/>
      <c r="C1167" s="49"/>
      <c r="D1167" s="24"/>
      <c r="E1167" s="52"/>
      <c r="F1167" s="53"/>
      <c r="G1167" s="48"/>
      <c r="H1167" s="49"/>
      <c r="I1167" s="49"/>
      <c r="J1167" s="48"/>
      <c r="K1167" s="48"/>
      <c r="L1167" s="48"/>
      <c r="M1167" s="48"/>
      <c r="N1167" s="48"/>
      <c r="O1167" s="48"/>
      <c r="P1167" s="48"/>
      <c r="Q1167" s="48"/>
      <c r="R1167" s="48"/>
      <c r="S1167" s="48"/>
      <c r="T1167" s="48"/>
      <c r="U1167" s="48"/>
      <c r="V1167" s="48"/>
      <c r="W1167" s="49"/>
      <c r="X1167" s="49"/>
      <c r="Y1167" s="49"/>
      <c r="Z1167" s="49"/>
      <c r="AA1167" s="49"/>
      <c r="AB1167" s="49"/>
      <c r="AC1167" s="49"/>
      <c r="AD1167" s="49"/>
      <c r="AE1167" s="49"/>
      <c r="AF1167" s="49"/>
      <c r="AG1167" s="49"/>
      <c r="AH1167" s="49"/>
      <c r="AI1167" s="48"/>
      <c r="AJ1167" s="48"/>
      <c r="AK1167" s="24"/>
      <c r="AL1167" s="50"/>
      <c r="AM1167" s="50"/>
      <c r="AN1167" s="50"/>
      <c r="AO1167" s="50"/>
      <c r="AP1167" s="50"/>
      <c r="AQ1167" s="50"/>
      <c r="AR1167" s="50"/>
      <c r="AS1167" s="50"/>
      <c r="AT1167" s="51"/>
      <c r="AU1167" s="51"/>
      <c r="AV1167" s="51"/>
      <c r="AW1167" s="51"/>
      <c r="AX1167" s="50"/>
      <c r="AY1167" s="50"/>
      <c r="AZ1167" s="50"/>
      <c r="BA1167" s="50"/>
      <c r="BB1167" s="51"/>
      <c r="BC1167" s="51"/>
      <c r="BD1167" s="51"/>
      <c r="BE1167" s="51"/>
      <c r="BF1167" s="47"/>
      <c r="BG1167" s="47"/>
      <c r="BH1167" s="47"/>
      <c r="BI1167" s="47"/>
      <c r="BJ1167" s="47"/>
      <c r="BK1167" s="47"/>
      <c r="BL1167" s="47"/>
      <c r="BM1167" s="47"/>
      <c r="BN1167" s="47"/>
      <c r="BO1167" s="47"/>
      <c r="BP1167" s="47"/>
      <c r="BQ1167" s="47"/>
      <c r="BR1167" s="47"/>
      <c r="BS1167" s="47"/>
      <c r="BT1167" s="47"/>
    </row>
    <row r="1168">
      <c r="A1168" s="24"/>
      <c r="B1168" s="48"/>
      <c r="C1168" s="49"/>
      <c r="D1168" s="24"/>
      <c r="E1168" s="52"/>
      <c r="F1168" s="53"/>
      <c r="G1168" s="48"/>
      <c r="H1168" s="49"/>
      <c r="I1168" s="49"/>
      <c r="J1168" s="48"/>
      <c r="K1168" s="48"/>
      <c r="L1168" s="48"/>
      <c r="M1168" s="48"/>
      <c r="N1168" s="48"/>
      <c r="O1168" s="48"/>
      <c r="P1168" s="48"/>
      <c r="Q1168" s="48"/>
      <c r="R1168" s="48"/>
      <c r="S1168" s="48"/>
      <c r="T1168" s="48"/>
      <c r="U1168" s="48"/>
      <c r="V1168" s="48"/>
      <c r="W1168" s="49"/>
      <c r="X1168" s="49"/>
      <c r="Y1168" s="49"/>
      <c r="Z1168" s="49"/>
      <c r="AA1168" s="49"/>
      <c r="AB1168" s="49"/>
      <c r="AC1168" s="49"/>
      <c r="AD1168" s="49"/>
      <c r="AE1168" s="49"/>
      <c r="AF1168" s="49"/>
      <c r="AG1168" s="49"/>
      <c r="AH1168" s="49"/>
      <c r="AI1168" s="48"/>
      <c r="AJ1168" s="48"/>
      <c r="AK1168" s="24"/>
      <c r="AL1168" s="50"/>
      <c r="AM1168" s="50"/>
      <c r="AN1168" s="50"/>
      <c r="AO1168" s="50"/>
      <c r="AP1168" s="50"/>
      <c r="AQ1168" s="50"/>
      <c r="AR1168" s="50"/>
      <c r="AS1168" s="50"/>
      <c r="AT1168" s="51"/>
      <c r="AU1168" s="51"/>
      <c r="AV1168" s="51"/>
      <c r="AW1168" s="51"/>
      <c r="AX1168" s="50"/>
      <c r="AY1168" s="50"/>
      <c r="AZ1168" s="50"/>
      <c r="BA1168" s="50"/>
      <c r="BB1168" s="51"/>
      <c r="BC1168" s="51"/>
      <c r="BD1168" s="51"/>
      <c r="BE1168" s="51"/>
      <c r="BF1168" s="47"/>
      <c r="BG1168" s="47"/>
      <c r="BH1168" s="47"/>
      <c r="BI1168" s="47"/>
      <c r="BJ1168" s="47"/>
      <c r="BK1168" s="47"/>
      <c r="BL1168" s="47"/>
      <c r="BM1168" s="47"/>
      <c r="BN1168" s="47"/>
      <c r="BO1168" s="47"/>
      <c r="BP1168" s="47"/>
      <c r="BQ1168" s="47"/>
      <c r="BR1168" s="47"/>
      <c r="BS1168" s="47"/>
      <c r="BT1168" s="47"/>
    </row>
    <row r="1169">
      <c r="A1169" s="24"/>
      <c r="B1169" s="48"/>
      <c r="C1169" s="49"/>
      <c r="D1169" s="24"/>
      <c r="E1169" s="52"/>
      <c r="F1169" s="53"/>
      <c r="G1169" s="48"/>
      <c r="H1169" s="49"/>
      <c r="I1169" s="49"/>
      <c r="J1169" s="48"/>
      <c r="K1169" s="48"/>
      <c r="L1169" s="48"/>
      <c r="M1169" s="48"/>
      <c r="N1169" s="48"/>
      <c r="O1169" s="48"/>
      <c r="P1169" s="48"/>
      <c r="Q1169" s="48"/>
      <c r="R1169" s="48"/>
      <c r="S1169" s="48"/>
      <c r="T1169" s="48"/>
      <c r="U1169" s="48"/>
      <c r="V1169" s="48"/>
      <c r="W1169" s="49"/>
      <c r="X1169" s="49"/>
      <c r="Y1169" s="49"/>
      <c r="Z1169" s="49"/>
      <c r="AA1169" s="49"/>
      <c r="AB1169" s="49"/>
      <c r="AC1169" s="49"/>
      <c r="AD1169" s="49"/>
      <c r="AE1169" s="49"/>
      <c r="AF1169" s="49"/>
      <c r="AG1169" s="49"/>
      <c r="AH1169" s="49"/>
      <c r="AI1169" s="48"/>
      <c r="AJ1169" s="48"/>
      <c r="AK1169" s="24"/>
      <c r="AL1169" s="50"/>
      <c r="AM1169" s="50"/>
      <c r="AN1169" s="50"/>
      <c r="AO1169" s="50"/>
      <c r="AP1169" s="50"/>
      <c r="AQ1169" s="50"/>
      <c r="AR1169" s="50"/>
      <c r="AS1169" s="50"/>
      <c r="AT1169" s="51"/>
      <c r="AU1169" s="51"/>
      <c r="AV1169" s="51"/>
      <c r="AW1169" s="51"/>
      <c r="AX1169" s="50"/>
      <c r="AY1169" s="50"/>
      <c r="AZ1169" s="50"/>
      <c r="BA1169" s="50"/>
      <c r="BB1169" s="51"/>
      <c r="BC1169" s="51"/>
      <c r="BD1169" s="51"/>
      <c r="BE1169" s="51"/>
      <c r="BF1169" s="47"/>
      <c r="BG1169" s="47"/>
      <c r="BH1169" s="47"/>
      <c r="BI1169" s="47"/>
      <c r="BJ1169" s="47"/>
      <c r="BK1169" s="47"/>
      <c r="BL1169" s="47"/>
      <c r="BM1169" s="47"/>
      <c r="BN1169" s="47"/>
      <c r="BO1169" s="47"/>
      <c r="BP1169" s="47"/>
      <c r="BQ1169" s="47"/>
      <c r="BR1169" s="47"/>
      <c r="BS1169" s="47"/>
      <c r="BT1169" s="47"/>
    </row>
    <row r="1170">
      <c r="A1170" s="24"/>
      <c r="B1170" s="48"/>
      <c r="C1170" s="49"/>
      <c r="D1170" s="24"/>
      <c r="E1170" s="52"/>
      <c r="F1170" s="53"/>
      <c r="G1170" s="48"/>
      <c r="H1170" s="49"/>
      <c r="I1170" s="49"/>
      <c r="J1170" s="48"/>
      <c r="K1170" s="48"/>
      <c r="L1170" s="48"/>
      <c r="M1170" s="48"/>
      <c r="N1170" s="48"/>
      <c r="O1170" s="48"/>
      <c r="P1170" s="48"/>
      <c r="Q1170" s="48"/>
      <c r="R1170" s="48"/>
      <c r="S1170" s="48"/>
      <c r="T1170" s="48"/>
      <c r="U1170" s="48"/>
      <c r="V1170" s="48"/>
      <c r="W1170" s="49"/>
      <c r="X1170" s="49"/>
      <c r="Y1170" s="49"/>
      <c r="Z1170" s="49"/>
      <c r="AA1170" s="49"/>
      <c r="AB1170" s="49"/>
      <c r="AC1170" s="49"/>
      <c r="AD1170" s="49"/>
      <c r="AE1170" s="49"/>
      <c r="AF1170" s="49"/>
      <c r="AG1170" s="49"/>
      <c r="AH1170" s="49"/>
      <c r="AI1170" s="48"/>
      <c r="AJ1170" s="48"/>
      <c r="AK1170" s="24"/>
      <c r="AL1170" s="50"/>
      <c r="AM1170" s="50"/>
      <c r="AN1170" s="50"/>
      <c r="AO1170" s="50"/>
      <c r="AP1170" s="50"/>
      <c r="AQ1170" s="50"/>
      <c r="AR1170" s="50"/>
      <c r="AS1170" s="50"/>
      <c r="AT1170" s="51"/>
      <c r="AU1170" s="51"/>
      <c r="AV1170" s="51"/>
      <c r="AW1170" s="51"/>
      <c r="AX1170" s="50"/>
      <c r="AY1170" s="50"/>
      <c r="AZ1170" s="50"/>
      <c r="BA1170" s="50"/>
      <c r="BB1170" s="51"/>
      <c r="BC1170" s="51"/>
      <c r="BD1170" s="51"/>
      <c r="BE1170" s="51"/>
      <c r="BF1170" s="47"/>
      <c r="BG1170" s="47"/>
      <c r="BH1170" s="47"/>
      <c r="BI1170" s="47"/>
      <c r="BJ1170" s="47"/>
      <c r="BK1170" s="47"/>
      <c r="BL1170" s="47"/>
      <c r="BM1170" s="47"/>
      <c r="BN1170" s="47"/>
      <c r="BO1170" s="47"/>
      <c r="BP1170" s="47"/>
      <c r="BQ1170" s="47"/>
      <c r="BR1170" s="47"/>
      <c r="BS1170" s="47"/>
      <c r="BT1170" s="47"/>
    </row>
    <row r="1171">
      <c r="A1171" s="24"/>
      <c r="B1171" s="48"/>
      <c r="C1171" s="49"/>
      <c r="D1171" s="24"/>
      <c r="E1171" s="52"/>
      <c r="F1171" s="53"/>
      <c r="G1171" s="48"/>
      <c r="H1171" s="49"/>
      <c r="I1171" s="49"/>
      <c r="J1171" s="48"/>
      <c r="K1171" s="48"/>
      <c r="L1171" s="48"/>
      <c r="M1171" s="48"/>
      <c r="N1171" s="48"/>
      <c r="O1171" s="48"/>
      <c r="P1171" s="48"/>
      <c r="Q1171" s="48"/>
      <c r="R1171" s="48"/>
      <c r="S1171" s="48"/>
      <c r="T1171" s="48"/>
      <c r="U1171" s="48"/>
      <c r="V1171" s="48"/>
      <c r="W1171" s="49"/>
      <c r="X1171" s="49"/>
      <c r="Y1171" s="49"/>
      <c r="Z1171" s="49"/>
      <c r="AA1171" s="49"/>
      <c r="AB1171" s="49"/>
      <c r="AC1171" s="49"/>
      <c r="AD1171" s="49"/>
      <c r="AE1171" s="49"/>
      <c r="AF1171" s="49"/>
      <c r="AG1171" s="49"/>
      <c r="AH1171" s="49"/>
      <c r="AI1171" s="48"/>
      <c r="AJ1171" s="48"/>
      <c r="AK1171" s="24"/>
      <c r="AL1171" s="50"/>
      <c r="AM1171" s="50"/>
      <c r="AN1171" s="50"/>
      <c r="AO1171" s="50"/>
      <c r="AP1171" s="50"/>
      <c r="AQ1171" s="50"/>
      <c r="AR1171" s="50"/>
      <c r="AS1171" s="50"/>
      <c r="AT1171" s="51"/>
      <c r="AU1171" s="51"/>
      <c r="AV1171" s="51"/>
      <c r="AW1171" s="51"/>
      <c r="AX1171" s="50"/>
      <c r="AY1171" s="50"/>
      <c r="AZ1171" s="50"/>
      <c r="BA1171" s="50"/>
      <c r="BB1171" s="51"/>
      <c r="BC1171" s="51"/>
      <c r="BD1171" s="51"/>
      <c r="BE1171" s="51"/>
      <c r="BF1171" s="47"/>
      <c r="BG1171" s="47"/>
      <c r="BH1171" s="47"/>
      <c r="BI1171" s="47"/>
      <c r="BJ1171" s="47"/>
      <c r="BK1171" s="47"/>
      <c r="BL1171" s="47"/>
      <c r="BM1171" s="47"/>
      <c r="BN1171" s="47"/>
      <c r="BO1171" s="47"/>
      <c r="BP1171" s="47"/>
      <c r="BQ1171" s="47"/>
      <c r="BR1171" s="47"/>
      <c r="BS1171" s="47"/>
      <c r="BT1171" s="47"/>
    </row>
    <row r="1172">
      <c r="A1172" s="24"/>
      <c r="B1172" s="48"/>
      <c r="C1172" s="49"/>
      <c r="D1172" s="24"/>
      <c r="E1172" s="52"/>
      <c r="F1172" s="53"/>
      <c r="G1172" s="48"/>
      <c r="H1172" s="49"/>
      <c r="I1172" s="49"/>
      <c r="J1172" s="48"/>
      <c r="K1172" s="48"/>
      <c r="L1172" s="48"/>
      <c r="M1172" s="48"/>
      <c r="N1172" s="48"/>
      <c r="O1172" s="48"/>
      <c r="P1172" s="48"/>
      <c r="Q1172" s="48"/>
      <c r="R1172" s="48"/>
      <c r="S1172" s="48"/>
      <c r="T1172" s="48"/>
      <c r="U1172" s="48"/>
      <c r="V1172" s="48"/>
      <c r="W1172" s="49"/>
      <c r="X1172" s="49"/>
      <c r="Y1172" s="49"/>
      <c r="Z1172" s="49"/>
      <c r="AA1172" s="49"/>
      <c r="AB1172" s="49"/>
      <c r="AC1172" s="49"/>
      <c r="AD1172" s="49"/>
      <c r="AE1172" s="49"/>
      <c r="AF1172" s="49"/>
      <c r="AG1172" s="49"/>
      <c r="AH1172" s="49"/>
      <c r="AI1172" s="48"/>
      <c r="AJ1172" s="48"/>
      <c r="AK1172" s="24"/>
      <c r="AL1172" s="50"/>
      <c r="AM1172" s="50"/>
      <c r="AN1172" s="50"/>
      <c r="AO1172" s="50"/>
      <c r="AP1172" s="50"/>
      <c r="AQ1172" s="50"/>
      <c r="AR1172" s="50"/>
      <c r="AS1172" s="50"/>
      <c r="AT1172" s="51"/>
      <c r="AU1172" s="51"/>
      <c r="AV1172" s="51"/>
      <c r="AW1172" s="51"/>
      <c r="AX1172" s="50"/>
      <c r="AY1172" s="50"/>
      <c r="AZ1172" s="50"/>
      <c r="BA1172" s="50"/>
      <c r="BB1172" s="51"/>
      <c r="BC1172" s="51"/>
      <c r="BD1172" s="51"/>
      <c r="BE1172" s="51"/>
      <c r="BF1172" s="47"/>
      <c r="BG1172" s="47"/>
      <c r="BH1172" s="47"/>
      <c r="BI1172" s="47"/>
      <c r="BJ1172" s="47"/>
      <c r="BK1172" s="47"/>
      <c r="BL1172" s="47"/>
      <c r="BM1172" s="47"/>
      <c r="BN1172" s="47"/>
      <c r="BO1172" s="47"/>
      <c r="BP1172" s="47"/>
      <c r="BQ1172" s="47"/>
      <c r="BR1172" s="47"/>
      <c r="BS1172" s="47"/>
      <c r="BT1172" s="47"/>
    </row>
    <row r="1173">
      <c r="A1173" s="24"/>
      <c r="B1173" s="48"/>
      <c r="C1173" s="49"/>
      <c r="D1173" s="24"/>
      <c r="E1173" s="52"/>
      <c r="F1173" s="53"/>
      <c r="G1173" s="48"/>
      <c r="H1173" s="49"/>
      <c r="I1173" s="49"/>
      <c r="J1173" s="48"/>
      <c r="K1173" s="48"/>
      <c r="L1173" s="48"/>
      <c r="M1173" s="48"/>
      <c r="N1173" s="48"/>
      <c r="O1173" s="48"/>
      <c r="P1173" s="48"/>
      <c r="Q1173" s="48"/>
      <c r="R1173" s="48"/>
      <c r="S1173" s="48"/>
      <c r="T1173" s="48"/>
      <c r="U1173" s="48"/>
      <c r="V1173" s="48"/>
      <c r="W1173" s="49"/>
      <c r="X1173" s="49"/>
      <c r="Y1173" s="49"/>
      <c r="Z1173" s="49"/>
      <c r="AA1173" s="49"/>
      <c r="AB1173" s="49"/>
      <c r="AC1173" s="49"/>
      <c r="AD1173" s="49"/>
      <c r="AE1173" s="49"/>
      <c r="AF1173" s="49"/>
      <c r="AG1173" s="49"/>
      <c r="AH1173" s="49"/>
      <c r="AI1173" s="48"/>
      <c r="AJ1173" s="48"/>
      <c r="AK1173" s="24"/>
      <c r="AL1173" s="50"/>
      <c r="AM1173" s="50"/>
      <c r="AN1173" s="50"/>
      <c r="AO1173" s="50"/>
      <c r="AP1173" s="50"/>
      <c r="AQ1173" s="50"/>
      <c r="AR1173" s="50"/>
      <c r="AS1173" s="50"/>
      <c r="AT1173" s="51"/>
      <c r="AU1173" s="51"/>
      <c r="AV1173" s="51"/>
      <c r="AW1173" s="51"/>
      <c r="AX1173" s="50"/>
      <c r="AY1173" s="50"/>
      <c r="AZ1173" s="50"/>
      <c r="BA1173" s="50"/>
      <c r="BB1173" s="51"/>
      <c r="BC1173" s="51"/>
      <c r="BD1173" s="51"/>
      <c r="BE1173" s="51"/>
      <c r="BF1173" s="47"/>
      <c r="BG1173" s="47"/>
      <c r="BH1173" s="47"/>
      <c r="BI1173" s="47"/>
      <c r="BJ1173" s="47"/>
      <c r="BK1173" s="47"/>
      <c r="BL1173" s="47"/>
      <c r="BM1173" s="47"/>
      <c r="BN1173" s="47"/>
      <c r="BO1173" s="47"/>
      <c r="BP1173" s="47"/>
      <c r="BQ1173" s="47"/>
      <c r="BR1173" s="47"/>
      <c r="BS1173" s="47"/>
      <c r="BT1173" s="47"/>
    </row>
    <row r="1174">
      <c r="A1174" s="24"/>
      <c r="B1174" s="48"/>
      <c r="C1174" s="49"/>
      <c r="D1174" s="24"/>
      <c r="E1174" s="52"/>
      <c r="F1174" s="53"/>
      <c r="G1174" s="48"/>
      <c r="H1174" s="49"/>
      <c r="I1174" s="49"/>
      <c r="J1174" s="48"/>
      <c r="K1174" s="48"/>
      <c r="L1174" s="48"/>
      <c r="M1174" s="48"/>
      <c r="N1174" s="48"/>
      <c r="O1174" s="48"/>
      <c r="P1174" s="48"/>
      <c r="Q1174" s="48"/>
      <c r="R1174" s="48"/>
      <c r="S1174" s="48"/>
      <c r="T1174" s="48"/>
      <c r="U1174" s="48"/>
      <c r="V1174" s="48"/>
      <c r="W1174" s="49"/>
      <c r="X1174" s="49"/>
      <c r="Y1174" s="49"/>
      <c r="Z1174" s="49"/>
      <c r="AA1174" s="49"/>
      <c r="AB1174" s="49"/>
      <c r="AC1174" s="49"/>
      <c r="AD1174" s="49"/>
      <c r="AE1174" s="49"/>
      <c r="AF1174" s="49"/>
      <c r="AG1174" s="49"/>
      <c r="AH1174" s="49"/>
      <c r="AI1174" s="48"/>
      <c r="AJ1174" s="48"/>
      <c r="AK1174" s="24"/>
      <c r="AL1174" s="50"/>
      <c r="AM1174" s="50"/>
      <c r="AN1174" s="50"/>
      <c r="AO1174" s="50"/>
      <c r="AP1174" s="50"/>
      <c r="AQ1174" s="50"/>
      <c r="AR1174" s="50"/>
      <c r="AS1174" s="50"/>
      <c r="AT1174" s="51"/>
      <c r="AU1174" s="51"/>
      <c r="AV1174" s="51"/>
      <c r="AW1174" s="51"/>
      <c r="AX1174" s="50"/>
      <c r="AY1174" s="50"/>
      <c r="AZ1174" s="50"/>
      <c r="BA1174" s="50"/>
      <c r="BB1174" s="51"/>
      <c r="BC1174" s="51"/>
      <c r="BD1174" s="51"/>
      <c r="BE1174" s="51"/>
      <c r="BF1174" s="47"/>
      <c r="BG1174" s="47"/>
      <c r="BH1174" s="47"/>
      <c r="BI1174" s="47"/>
      <c r="BJ1174" s="47"/>
      <c r="BK1174" s="47"/>
      <c r="BL1174" s="47"/>
      <c r="BM1174" s="47"/>
      <c r="BN1174" s="47"/>
      <c r="BO1174" s="47"/>
      <c r="BP1174" s="47"/>
      <c r="BQ1174" s="47"/>
      <c r="BR1174" s="47"/>
      <c r="BS1174" s="47"/>
      <c r="BT1174" s="47"/>
    </row>
    <row r="1175">
      <c r="A1175" s="24"/>
      <c r="B1175" s="48"/>
      <c r="C1175" s="49"/>
      <c r="D1175" s="24"/>
      <c r="E1175" s="52"/>
      <c r="F1175" s="53"/>
      <c r="G1175" s="48"/>
      <c r="H1175" s="49"/>
      <c r="I1175" s="49"/>
      <c r="J1175" s="48"/>
      <c r="K1175" s="48"/>
      <c r="L1175" s="48"/>
      <c r="M1175" s="48"/>
      <c r="N1175" s="48"/>
      <c r="O1175" s="48"/>
      <c r="P1175" s="48"/>
      <c r="Q1175" s="48"/>
      <c r="R1175" s="48"/>
      <c r="S1175" s="48"/>
      <c r="T1175" s="48"/>
      <c r="U1175" s="48"/>
      <c r="V1175" s="48"/>
      <c r="W1175" s="49"/>
      <c r="X1175" s="49"/>
      <c r="Y1175" s="49"/>
      <c r="Z1175" s="49"/>
      <c r="AA1175" s="49"/>
      <c r="AB1175" s="49"/>
      <c r="AC1175" s="49"/>
      <c r="AD1175" s="49"/>
      <c r="AE1175" s="49"/>
      <c r="AF1175" s="49"/>
      <c r="AG1175" s="49"/>
      <c r="AH1175" s="49"/>
      <c r="AI1175" s="48"/>
      <c r="AJ1175" s="48"/>
      <c r="AK1175" s="24"/>
      <c r="AL1175" s="50"/>
      <c r="AM1175" s="50"/>
      <c r="AN1175" s="50"/>
      <c r="AO1175" s="50"/>
      <c r="AP1175" s="50"/>
      <c r="AQ1175" s="50"/>
      <c r="AR1175" s="50"/>
      <c r="AS1175" s="50"/>
      <c r="AT1175" s="51"/>
      <c r="AU1175" s="51"/>
      <c r="AV1175" s="51"/>
      <c r="AW1175" s="51"/>
      <c r="AX1175" s="50"/>
      <c r="AY1175" s="50"/>
      <c r="AZ1175" s="50"/>
      <c r="BA1175" s="50"/>
      <c r="BB1175" s="51"/>
      <c r="BC1175" s="51"/>
      <c r="BD1175" s="51"/>
      <c r="BE1175" s="51"/>
      <c r="BF1175" s="47"/>
      <c r="BG1175" s="47"/>
      <c r="BH1175" s="47"/>
      <c r="BI1175" s="47"/>
      <c r="BJ1175" s="47"/>
      <c r="BK1175" s="47"/>
      <c r="BL1175" s="47"/>
      <c r="BM1175" s="47"/>
      <c r="BN1175" s="47"/>
      <c r="BO1175" s="47"/>
      <c r="BP1175" s="47"/>
      <c r="BQ1175" s="47"/>
      <c r="BR1175" s="47"/>
      <c r="BS1175" s="47"/>
      <c r="BT1175" s="47"/>
    </row>
    <row r="1176">
      <c r="A1176" s="24"/>
      <c r="B1176" s="48"/>
      <c r="C1176" s="49"/>
      <c r="D1176" s="24"/>
      <c r="E1176" s="52"/>
      <c r="F1176" s="53"/>
      <c r="G1176" s="48"/>
      <c r="H1176" s="49"/>
      <c r="I1176" s="49"/>
      <c r="J1176" s="48"/>
      <c r="K1176" s="48"/>
      <c r="L1176" s="48"/>
      <c r="M1176" s="48"/>
      <c r="N1176" s="48"/>
      <c r="O1176" s="48"/>
      <c r="P1176" s="48"/>
      <c r="Q1176" s="48"/>
      <c r="R1176" s="48"/>
      <c r="S1176" s="48"/>
      <c r="T1176" s="48"/>
      <c r="U1176" s="48"/>
      <c r="V1176" s="48"/>
      <c r="W1176" s="49"/>
      <c r="X1176" s="49"/>
      <c r="Y1176" s="49"/>
      <c r="Z1176" s="49"/>
      <c r="AA1176" s="49"/>
      <c r="AB1176" s="49"/>
      <c r="AC1176" s="49"/>
      <c r="AD1176" s="49"/>
      <c r="AE1176" s="49"/>
      <c r="AF1176" s="49"/>
      <c r="AG1176" s="49"/>
      <c r="AH1176" s="49"/>
      <c r="AI1176" s="48"/>
      <c r="AJ1176" s="48"/>
      <c r="AK1176" s="24"/>
      <c r="AL1176" s="50"/>
      <c r="AM1176" s="50"/>
      <c r="AN1176" s="50"/>
      <c r="AO1176" s="50"/>
      <c r="AP1176" s="50"/>
      <c r="AQ1176" s="50"/>
      <c r="AR1176" s="50"/>
      <c r="AS1176" s="50"/>
      <c r="AT1176" s="51"/>
      <c r="AU1176" s="51"/>
      <c r="AV1176" s="51"/>
      <c r="AW1176" s="51"/>
      <c r="AX1176" s="50"/>
      <c r="AY1176" s="50"/>
      <c r="AZ1176" s="50"/>
      <c r="BA1176" s="50"/>
      <c r="BB1176" s="51"/>
      <c r="BC1176" s="51"/>
      <c r="BD1176" s="51"/>
      <c r="BE1176" s="51"/>
      <c r="BF1176" s="47"/>
      <c r="BG1176" s="47"/>
      <c r="BH1176" s="47"/>
      <c r="BI1176" s="47"/>
      <c r="BJ1176" s="47"/>
      <c r="BK1176" s="47"/>
      <c r="BL1176" s="47"/>
      <c r="BM1176" s="47"/>
      <c r="BN1176" s="47"/>
      <c r="BO1176" s="47"/>
      <c r="BP1176" s="47"/>
      <c r="BQ1176" s="47"/>
      <c r="BR1176" s="47"/>
      <c r="BS1176" s="47"/>
      <c r="BT1176" s="47"/>
    </row>
    <row r="1177">
      <c r="A1177" s="24"/>
      <c r="B1177" s="48"/>
      <c r="C1177" s="49"/>
      <c r="D1177" s="24"/>
      <c r="E1177" s="52"/>
      <c r="F1177" s="53"/>
      <c r="G1177" s="48"/>
      <c r="H1177" s="49"/>
      <c r="I1177" s="49"/>
      <c r="J1177" s="48"/>
      <c r="K1177" s="48"/>
      <c r="L1177" s="48"/>
      <c r="M1177" s="48"/>
      <c r="N1177" s="48"/>
      <c r="O1177" s="48"/>
      <c r="P1177" s="48"/>
      <c r="Q1177" s="48"/>
      <c r="R1177" s="48"/>
      <c r="S1177" s="48"/>
      <c r="T1177" s="48"/>
      <c r="U1177" s="48"/>
      <c r="V1177" s="48"/>
      <c r="W1177" s="49"/>
      <c r="X1177" s="49"/>
      <c r="Y1177" s="49"/>
      <c r="Z1177" s="49"/>
      <c r="AA1177" s="49"/>
      <c r="AB1177" s="49"/>
      <c r="AC1177" s="49"/>
      <c r="AD1177" s="49"/>
      <c r="AE1177" s="49"/>
      <c r="AF1177" s="49"/>
      <c r="AG1177" s="49"/>
      <c r="AH1177" s="49"/>
      <c r="AI1177" s="48"/>
      <c r="AJ1177" s="48"/>
      <c r="AK1177" s="24"/>
      <c r="AL1177" s="50"/>
      <c r="AM1177" s="50"/>
      <c r="AN1177" s="50"/>
      <c r="AO1177" s="50"/>
      <c r="AP1177" s="50"/>
      <c r="AQ1177" s="50"/>
      <c r="AR1177" s="50"/>
      <c r="AS1177" s="50"/>
      <c r="AT1177" s="51"/>
      <c r="AU1177" s="51"/>
      <c r="AV1177" s="51"/>
      <c r="AW1177" s="51"/>
      <c r="AX1177" s="50"/>
      <c r="AY1177" s="50"/>
      <c r="AZ1177" s="50"/>
      <c r="BA1177" s="50"/>
      <c r="BB1177" s="51"/>
      <c r="BC1177" s="51"/>
      <c r="BD1177" s="51"/>
      <c r="BE1177" s="51"/>
      <c r="BF1177" s="47"/>
      <c r="BG1177" s="47"/>
      <c r="BH1177" s="47"/>
      <c r="BI1177" s="47"/>
      <c r="BJ1177" s="47"/>
      <c r="BK1177" s="47"/>
      <c r="BL1177" s="47"/>
      <c r="BM1177" s="47"/>
      <c r="BN1177" s="47"/>
      <c r="BO1177" s="47"/>
      <c r="BP1177" s="47"/>
      <c r="BQ1177" s="47"/>
      <c r="BR1177" s="47"/>
      <c r="BS1177" s="47"/>
      <c r="BT1177" s="47"/>
    </row>
    <row r="1178">
      <c r="A1178" s="24"/>
      <c r="B1178" s="48"/>
      <c r="C1178" s="49"/>
      <c r="D1178" s="24"/>
      <c r="E1178" s="52"/>
      <c r="F1178" s="53"/>
      <c r="G1178" s="48"/>
      <c r="H1178" s="49"/>
      <c r="I1178" s="49"/>
      <c r="J1178" s="48"/>
      <c r="K1178" s="48"/>
      <c r="L1178" s="48"/>
      <c r="M1178" s="48"/>
      <c r="N1178" s="48"/>
      <c r="O1178" s="48"/>
      <c r="P1178" s="48"/>
      <c r="Q1178" s="48"/>
      <c r="R1178" s="48"/>
      <c r="S1178" s="48"/>
      <c r="T1178" s="48"/>
      <c r="U1178" s="48"/>
      <c r="V1178" s="48"/>
      <c r="W1178" s="49"/>
      <c r="X1178" s="49"/>
      <c r="Y1178" s="49"/>
      <c r="Z1178" s="49"/>
      <c r="AA1178" s="49"/>
      <c r="AB1178" s="49"/>
      <c r="AC1178" s="49"/>
      <c r="AD1178" s="49"/>
      <c r="AE1178" s="49"/>
      <c r="AF1178" s="49"/>
      <c r="AG1178" s="49"/>
      <c r="AH1178" s="49"/>
      <c r="AI1178" s="48"/>
      <c r="AJ1178" s="48"/>
      <c r="AK1178" s="24"/>
      <c r="AL1178" s="50"/>
      <c r="AM1178" s="50"/>
      <c r="AN1178" s="50"/>
      <c r="AO1178" s="50"/>
      <c r="AP1178" s="50"/>
      <c r="AQ1178" s="50"/>
      <c r="AR1178" s="50"/>
      <c r="AS1178" s="50"/>
      <c r="AT1178" s="51"/>
      <c r="AU1178" s="51"/>
      <c r="AV1178" s="51"/>
      <c r="AW1178" s="51"/>
      <c r="AX1178" s="50"/>
      <c r="AY1178" s="50"/>
      <c r="AZ1178" s="50"/>
      <c r="BA1178" s="50"/>
      <c r="BB1178" s="51"/>
      <c r="BC1178" s="51"/>
      <c r="BD1178" s="51"/>
      <c r="BE1178" s="51"/>
      <c r="BF1178" s="47"/>
      <c r="BG1178" s="47"/>
      <c r="BH1178" s="47"/>
      <c r="BI1178" s="47"/>
      <c r="BJ1178" s="47"/>
      <c r="BK1178" s="47"/>
      <c r="BL1178" s="47"/>
      <c r="BM1178" s="47"/>
      <c r="BN1178" s="47"/>
      <c r="BO1178" s="47"/>
      <c r="BP1178" s="47"/>
      <c r="BQ1178" s="47"/>
      <c r="BR1178" s="47"/>
      <c r="BS1178" s="47"/>
      <c r="BT1178" s="47"/>
    </row>
    <row r="1179">
      <c r="A1179" s="24"/>
      <c r="B1179" s="48"/>
      <c r="C1179" s="49"/>
      <c r="D1179" s="24"/>
      <c r="E1179" s="52"/>
      <c r="F1179" s="53"/>
      <c r="G1179" s="48"/>
      <c r="H1179" s="49"/>
      <c r="I1179" s="49"/>
      <c r="J1179" s="48"/>
      <c r="K1179" s="48"/>
      <c r="L1179" s="48"/>
      <c r="M1179" s="48"/>
      <c r="N1179" s="48"/>
      <c r="O1179" s="48"/>
      <c r="P1179" s="48"/>
      <c r="Q1179" s="48"/>
      <c r="R1179" s="48"/>
      <c r="S1179" s="48"/>
      <c r="T1179" s="48"/>
      <c r="U1179" s="48"/>
      <c r="V1179" s="48"/>
      <c r="W1179" s="49"/>
      <c r="X1179" s="49"/>
      <c r="Y1179" s="49"/>
      <c r="Z1179" s="49"/>
      <c r="AA1179" s="49"/>
      <c r="AB1179" s="49"/>
      <c r="AC1179" s="49"/>
      <c r="AD1179" s="49"/>
      <c r="AE1179" s="49"/>
      <c r="AF1179" s="49"/>
      <c r="AG1179" s="49"/>
      <c r="AH1179" s="49"/>
      <c r="AI1179" s="48"/>
      <c r="AJ1179" s="48"/>
      <c r="AK1179" s="24"/>
      <c r="AL1179" s="50"/>
      <c r="AM1179" s="50"/>
      <c r="AN1179" s="50"/>
      <c r="AO1179" s="50"/>
      <c r="AP1179" s="50"/>
      <c r="AQ1179" s="50"/>
      <c r="AR1179" s="50"/>
      <c r="AS1179" s="50"/>
      <c r="AT1179" s="51"/>
      <c r="AU1179" s="51"/>
      <c r="AV1179" s="51"/>
      <c r="AW1179" s="51"/>
      <c r="AX1179" s="50"/>
      <c r="AY1179" s="50"/>
      <c r="AZ1179" s="50"/>
      <c r="BA1179" s="50"/>
      <c r="BB1179" s="51"/>
      <c r="BC1179" s="51"/>
      <c r="BD1179" s="51"/>
      <c r="BE1179" s="51"/>
      <c r="BF1179" s="47"/>
      <c r="BG1179" s="47"/>
      <c r="BH1179" s="47"/>
      <c r="BI1179" s="47"/>
      <c r="BJ1179" s="47"/>
      <c r="BK1179" s="47"/>
      <c r="BL1179" s="47"/>
      <c r="BM1179" s="47"/>
      <c r="BN1179" s="47"/>
      <c r="BO1179" s="47"/>
      <c r="BP1179" s="47"/>
      <c r="BQ1179" s="47"/>
      <c r="BR1179" s="47"/>
      <c r="BS1179" s="47"/>
      <c r="BT1179" s="47"/>
    </row>
    <row r="1180">
      <c r="A1180" s="24"/>
      <c r="B1180" s="48"/>
      <c r="C1180" s="49"/>
      <c r="D1180" s="24"/>
      <c r="E1180" s="52"/>
      <c r="F1180" s="53"/>
      <c r="G1180" s="48"/>
      <c r="H1180" s="49"/>
      <c r="I1180" s="49"/>
      <c r="J1180" s="48"/>
      <c r="K1180" s="48"/>
      <c r="L1180" s="48"/>
      <c r="M1180" s="48"/>
      <c r="N1180" s="48"/>
      <c r="O1180" s="48"/>
      <c r="P1180" s="48"/>
      <c r="Q1180" s="48"/>
      <c r="R1180" s="48"/>
      <c r="S1180" s="48"/>
      <c r="T1180" s="48"/>
      <c r="U1180" s="48"/>
      <c r="V1180" s="48"/>
      <c r="W1180" s="49"/>
      <c r="X1180" s="49"/>
      <c r="Y1180" s="49"/>
      <c r="Z1180" s="49"/>
      <c r="AA1180" s="49"/>
      <c r="AB1180" s="49"/>
      <c r="AC1180" s="49"/>
      <c r="AD1180" s="49"/>
      <c r="AE1180" s="49"/>
      <c r="AF1180" s="49"/>
      <c r="AG1180" s="49"/>
      <c r="AH1180" s="49"/>
      <c r="AI1180" s="48"/>
      <c r="AJ1180" s="48"/>
      <c r="AK1180" s="24"/>
      <c r="AL1180" s="50"/>
      <c r="AM1180" s="50"/>
      <c r="AN1180" s="50"/>
      <c r="AO1180" s="50"/>
      <c r="AP1180" s="50"/>
      <c r="AQ1180" s="50"/>
      <c r="AR1180" s="50"/>
      <c r="AS1180" s="50"/>
      <c r="AT1180" s="51"/>
      <c r="AU1180" s="51"/>
      <c r="AV1180" s="51"/>
      <c r="AW1180" s="51"/>
      <c r="AX1180" s="50"/>
      <c r="AY1180" s="50"/>
      <c r="AZ1180" s="50"/>
      <c r="BA1180" s="50"/>
      <c r="BB1180" s="51"/>
      <c r="BC1180" s="51"/>
      <c r="BD1180" s="51"/>
      <c r="BE1180" s="51"/>
      <c r="BF1180" s="47"/>
      <c r="BG1180" s="47"/>
      <c r="BH1180" s="47"/>
      <c r="BI1180" s="47"/>
      <c r="BJ1180" s="47"/>
      <c r="BK1180" s="47"/>
      <c r="BL1180" s="47"/>
      <c r="BM1180" s="47"/>
      <c r="BN1180" s="47"/>
      <c r="BO1180" s="47"/>
      <c r="BP1180" s="47"/>
      <c r="BQ1180" s="47"/>
      <c r="BR1180" s="47"/>
      <c r="BS1180" s="47"/>
      <c r="BT1180" s="47"/>
    </row>
    <row r="1181">
      <c r="A1181" s="24"/>
      <c r="B1181" s="48"/>
      <c r="C1181" s="49"/>
      <c r="D1181" s="24"/>
      <c r="E1181" s="52"/>
      <c r="F1181" s="53"/>
      <c r="G1181" s="48"/>
      <c r="H1181" s="49"/>
      <c r="I1181" s="49"/>
      <c r="J1181" s="48"/>
      <c r="K1181" s="48"/>
      <c r="L1181" s="48"/>
      <c r="M1181" s="48"/>
      <c r="N1181" s="48"/>
      <c r="O1181" s="48"/>
      <c r="P1181" s="48"/>
      <c r="Q1181" s="48"/>
      <c r="R1181" s="48"/>
      <c r="S1181" s="48"/>
      <c r="T1181" s="48"/>
      <c r="U1181" s="48"/>
      <c r="V1181" s="48"/>
      <c r="W1181" s="49"/>
      <c r="X1181" s="49"/>
      <c r="Y1181" s="49"/>
      <c r="Z1181" s="49"/>
      <c r="AA1181" s="49"/>
      <c r="AB1181" s="49"/>
      <c r="AC1181" s="49"/>
      <c r="AD1181" s="49"/>
      <c r="AE1181" s="49"/>
      <c r="AF1181" s="49"/>
      <c r="AG1181" s="49"/>
      <c r="AH1181" s="49"/>
      <c r="AI1181" s="48"/>
      <c r="AJ1181" s="48"/>
      <c r="AK1181" s="24"/>
      <c r="AL1181" s="50"/>
      <c r="AM1181" s="50"/>
      <c r="AN1181" s="50"/>
      <c r="AO1181" s="50"/>
      <c r="AP1181" s="50"/>
      <c r="AQ1181" s="50"/>
      <c r="AR1181" s="50"/>
      <c r="AS1181" s="50"/>
      <c r="AT1181" s="51"/>
      <c r="AU1181" s="51"/>
      <c r="AV1181" s="51"/>
      <c r="AW1181" s="51"/>
      <c r="AX1181" s="50"/>
      <c r="AY1181" s="50"/>
      <c r="AZ1181" s="50"/>
      <c r="BA1181" s="50"/>
      <c r="BB1181" s="51"/>
      <c r="BC1181" s="51"/>
      <c r="BD1181" s="51"/>
      <c r="BE1181" s="51"/>
      <c r="BF1181" s="47"/>
      <c r="BG1181" s="47"/>
      <c r="BH1181" s="47"/>
      <c r="BI1181" s="47"/>
      <c r="BJ1181" s="47"/>
      <c r="BK1181" s="47"/>
      <c r="BL1181" s="47"/>
      <c r="BM1181" s="47"/>
      <c r="BN1181" s="47"/>
      <c r="BO1181" s="47"/>
      <c r="BP1181" s="47"/>
      <c r="BQ1181" s="47"/>
      <c r="BR1181" s="47"/>
      <c r="BS1181" s="47"/>
      <c r="BT1181" s="47"/>
    </row>
    <row r="1182">
      <c r="A1182" s="24"/>
      <c r="B1182" s="48"/>
      <c r="C1182" s="49"/>
      <c r="D1182" s="24"/>
      <c r="E1182" s="52"/>
      <c r="F1182" s="53"/>
      <c r="G1182" s="48"/>
      <c r="H1182" s="49"/>
      <c r="I1182" s="49"/>
      <c r="J1182" s="48"/>
      <c r="K1182" s="48"/>
      <c r="L1182" s="48"/>
      <c r="M1182" s="48"/>
      <c r="N1182" s="48"/>
      <c r="O1182" s="48"/>
      <c r="P1182" s="48"/>
      <c r="Q1182" s="48"/>
      <c r="R1182" s="48"/>
      <c r="S1182" s="48"/>
      <c r="T1182" s="48"/>
      <c r="U1182" s="48"/>
      <c r="V1182" s="48"/>
      <c r="W1182" s="49"/>
      <c r="X1182" s="49"/>
      <c r="Y1182" s="49"/>
      <c r="Z1182" s="49"/>
      <c r="AA1182" s="49"/>
      <c r="AB1182" s="49"/>
      <c r="AC1182" s="49"/>
      <c r="AD1182" s="49"/>
      <c r="AE1182" s="49"/>
      <c r="AF1182" s="49"/>
      <c r="AG1182" s="49"/>
      <c r="AH1182" s="49"/>
      <c r="AI1182" s="48"/>
      <c r="AJ1182" s="48"/>
      <c r="AK1182" s="24"/>
      <c r="AL1182" s="50"/>
      <c r="AM1182" s="50"/>
      <c r="AN1182" s="50"/>
      <c r="AO1182" s="50"/>
      <c r="AP1182" s="50"/>
      <c r="AQ1182" s="50"/>
      <c r="AR1182" s="50"/>
      <c r="AS1182" s="50"/>
      <c r="AT1182" s="51"/>
      <c r="AU1182" s="51"/>
      <c r="AV1182" s="51"/>
      <c r="AW1182" s="51"/>
      <c r="AX1182" s="50"/>
      <c r="AY1182" s="50"/>
      <c r="AZ1182" s="50"/>
      <c r="BA1182" s="50"/>
      <c r="BB1182" s="51"/>
      <c r="BC1182" s="51"/>
      <c r="BD1182" s="51"/>
      <c r="BE1182" s="51"/>
      <c r="BF1182" s="47"/>
      <c r="BG1182" s="47"/>
      <c r="BH1182" s="47"/>
      <c r="BI1182" s="47"/>
      <c r="BJ1182" s="47"/>
      <c r="BK1182" s="47"/>
      <c r="BL1182" s="47"/>
      <c r="BM1182" s="47"/>
      <c r="BN1182" s="47"/>
      <c r="BO1182" s="47"/>
      <c r="BP1182" s="47"/>
      <c r="BQ1182" s="47"/>
      <c r="BR1182" s="47"/>
      <c r="BS1182" s="47"/>
      <c r="BT1182" s="47"/>
    </row>
    <row r="1183">
      <c r="A1183" s="24"/>
      <c r="B1183" s="48"/>
      <c r="C1183" s="49"/>
      <c r="D1183" s="24"/>
      <c r="E1183" s="52"/>
      <c r="F1183" s="53"/>
      <c r="G1183" s="48"/>
      <c r="H1183" s="49"/>
      <c r="I1183" s="49"/>
      <c r="J1183" s="48"/>
      <c r="K1183" s="48"/>
      <c r="L1183" s="48"/>
      <c r="M1183" s="48"/>
      <c r="N1183" s="48"/>
      <c r="O1183" s="48"/>
      <c r="P1183" s="48"/>
      <c r="Q1183" s="48"/>
      <c r="R1183" s="48"/>
      <c r="S1183" s="48"/>
      <c r="T1183" s="48"/>
      <c r="U1183" s="48"/>
      <c r="V1183" s="48"/>
      <c r="W1183" s="49"/>
      <c r="X1183" s="49"/>
      <c r="Y1183" s="49"/>
      <c r="Z1183" s="49"/>
      <c r="AA1183" s="49"/>
      <c r="AB1183" s="49"/>
      <c r="AC1183" s="49"/>
      <c r="AD1183" s="49"/>
      <c r="AE1183" s="49"/>
      <c r="AF1183" s="49"/>
      <c r="AG1183" s="49"/>
      <c r="AH1183" s="49"/>
      <c r="AI1183" s="48"/>
      <c r="AJ1183" s="48"/>
      <c r="AK1183" s="24"/>
      <c r="AL1183" s="50"/>
      <c r="AM1183" s="50"/>
      <c r="AN1183" s="50"/>
      <c r="AO1183" s="50"/>
      <c r="AP1183" s="50"/>
      <c r="AQ1183" s="50"/>
      <c r="AR1183" s="50"/>
      <c r="AS1183" s="50"/>
      <c r="AT1183" s="51"/>
      <c r="AU1183" s="51"/>
      <c r="AV1183" s="51"/>
      <c r="AW1183" s="51"/>
      <c r="AX1183" s="50"/>
      <c r="AY1183" s="50"/>
      <c r="AZ1183" s="50"/>
      <c r="BA1183" s="50"/>
      <c r="BB1183" s="51"/>
      <c r="BC1183" s="51"/>
      <c r="BD1183" s="51"/>
      <c r="BE1183" s="51"/>
      <c r="BF1183" s="47"/>
      <c r="BG1183" s="47"/>
      <c r="BH1183" s="47"/>
      <c r="BI1183" s="47"/>
      <c r="BJ1183" s="47"/>
      <c r="BK1183" s="47"/>
      <c r="BL1183" s="47"/>
      <c r="BM1183" s="47"/>
      <c r="BN1183" s="47"/>
      <c r="BO1183" s="47"/>
      <c r="BP1183" s="47"/>
      <c r="BQ1183" s="47"/>
      <c r="BR1183" s="47"/>
      <c r="BS1183" s="47"/>
      <c r="BT1183" s="47"/>
    </row>
    <row r="1184">
      <c r="A1184" s="24"/>
      <c r="B1184" s="48"/>
      <c r="C1184" s="49"/>
      <c r="D1184" s="24"/>
      <c r="E1184" s="52"/>
      <c r="F1184" s="53"/>
      <c r="G1184" s="48"/>
      <c r="H1184" s="49"/>
      <c r="I1184" s="49"/>
      <c r="J1184" s="48"/>
      <c r="K1184" s="48"/>
      <c r="L1184" s="48"/>
      <c r="M1184" s="48"/>
      <c r="N1184" s="48"/>
      <c r="O1184" s="48"/>
      <c r="P1184" s="48"/>
      <c r="Q1184" s="48"/>
      <c r="R1184" s="48"/>
      <c r="S1184" s="48"/>
      <c r="T1184" s="48"/>
      <c r="U1184" s="48"/>
      <c r="V1184" s="48"/>
      <c r="W1184" s="49"/>
      <c r="X1184" s="49"/>
      <c r="Y1184" s="49"/>
      <c r="Z1184" s="49"/>
      <c r="AA1184" s="49"/>
      <c r="AB1184" s="49"/>
      <c r="AC1184" s="49"/>
      <c r="AD1184" s="49"/>
      <c r="AE1184" s="49"/>
      <c r="AF1184" s="49"/>
      <c r="AG1184" s="49"/>
      <c r="AH1184" s="49"/>
      <c r="AI1184" s="48"/>
      <c r="AJ1184" s="48"/>
      <c r="AK1184" s="24"/>
      <c r="AL1184" s="50"/>
      <c r="AM1184" s="50"/>
      <c r="AN1184" s="50"/>
      <c r="AO1184" s="50"/>
      <c r="AP1184" s="50"/>
      <c r="AQ1184" s="50"/>
      <c r="AR1184" s="50"/>
      <c r="AS1184" s="50"/>
      <c r="AT1184" s="51"/>
      <c r="AU1184" s="51"/>
      <c r="AV1184" s="51"/>
      <c r="AW1184" s="51"/>
      <c r="AX1184" s="50"/>
      <c r="AY1184" s="50"/>
      <c r="AZ1184" s="50"/>
      <c r="BA1184" s="50"/>
      <c r="BB1184" s="51"/>
      <c r="BC1184" s="51"/>
      <c r="BD1184" s="51"/>
      <c r="BE1184" s="51"/>
      <c r="BF1184" s="47"/>
      <c r="BG1184" s="47"/>
      <c r="BH1184" s="47"/>
      <c r="BI1184" s="47"/>
      <c r="BJ1184" s="47"/>
      <c r="BK1184" s="47"/>
      <c r="BL1184" s="47"/>
      <c r="BM1184" s="47"/>
      <c r="BN1184" s="47"/>
      <c r="BO1184" s="47"/>
      <c r="BP1184" s="47"/>
      <c r="BQ1184" s="47"/>
      <c r="BR1184" s="47"/>
      <c r="BS1184" s="47"/>
      <c r="BT1184" s="47"/>
    </row>
    <row r="1185">
      <c r="A1185" s="24"/>
      <c r="B1185" s="48"/>
      <c r="C1185" s="49"/>
      <c r="D1185" s="24"/>
      <c r="E1185" s="52"/>
      <c r="F1185" s="53"/>
      <c r="G1185" s="48"/>
      <c r="H1185" s="49"/>
      <c r="I1185" s="49"/>
      <c r="J1185" s="48"/>
      <c r="K1185" s="48"/>
      <c r="L1185" s="48"/>
      <c r="M1185" s="48"/>
      <c r="N1185" s="48"/>
      <c r="O1185" s="48"/>
      <c r="P1185" s="48"/>
      <c r="Q1185" s="48"/>
      <c r="R1185" s="48"/>
      <c r="S1185" s="48"/>
      <c r="T1185" s="48"/>
      <c r="U1185" s="48"/>
      <c r="V1185" s="48"/>
      <c r="W1185" s="49"/>
      <c r="X1185" s="49"/>
      <c r="Y1185" s="49"/>
      <c r="Z1185" s="49"/>
      <c r="AA1185" s="49"/>
      <c r="AB1185" s="49"/>
      <c r="AC1185" s="49"/>
      <c r="AD1185" s="49"/>
      <c r="AE1185" s="49"/>
      <c r="AF1185" s="49"/>
      <c r="AG1185" s="49"/>
      <c r="AH1185" s="49"/>
      <c r="AI1185" s="48"/>
      <c r="AJ1185" s="48"/>
      <c r="AK1185" s="24"/>
      <c r="AL1185" s="50"/>
      <c r="AM1185" s="50"/>
      <c r="AN1185" s="50"/>
      <c r="AO1185" s="50"/>
      <c r="AP1185" s="50"/>
      <c r="AQ1185" s="50"/>
      <c r="AR1185" s="50"/>
      <c r="AS1185" s="50"/>
      <c r="AT1185" s="51"/>
      <c r="AU1185" s="51"/>
      <c r="AV1185" s="51"/>
      <c r="AW1185" s="51"/>
      <c r="AX1185" s="50"/>
      <c r="AY1185" s="50"/>
      <c r="AZ1185" s="50"/>
      <c r="BA1185" s="50"/>
      <c r="BB1185" s="51"/>
      <c r="BC1185" s="51"/>
      <c r="BD1185" s="51"/>
      <c r="BE1185" s="51"/>
      <c r="BF1185" s="47"/>
      <c r="BG1185" s="47"/>
      <c r="BH1185" s="47"/>
      <c r="BI1185" s="47"/>
      <c r="BJ1185" s="47"/>
      <c r="BK1185" s="47"/>
      <c r="BL1185" s="47"/>
      <c r="BM1185" s="47"/>
      <c r="BN1185" s="47"/>
      <c r="BO1185" s="47"/>
      <c r="BP1185" s="47"/>
      <c r="BQ1185" s="47"/>
      <c r="BR1185" s="47"/>
      <c r="BS1185" s="47"/>
      <c r="BT1185" s="47"/>
    </row>
    <row r="1186">
      <c r="A1186" s="24"/>
      <c r="B1186" s="48"/>
      <c r="C1186" s="49"/>
      <c r="D1186" s="24"/>
      <c r="E1186" s="52"/>
      <c r="F1186" s="53"/>
      <c r="G1186" s="48"/>
      <c r="H1186" s="49"/>
      <c r="I1186" s="49"/>
      <c r="J1186" s="48"/>
      <c r="K1186" s="48"/>
      <c r="L1186" s="48"/>
      <c r="M1186" s="48"/>
      <c r="N1186" s="48"/>
      <c r="O1186" s="48"/>
      <c r="P1186" s="48"/>
      <c r="Q1186" s="48"/>
      <c r="R1186" s="48"/>
      <c r="S1186" s="48"/>
      <c r="T1186" s="48"/>
      <c r="U1186" s="48"/>
      <c r="V1186" s="48"/>
      <c r="W1186" s="49"/>
      <c r="X1186" s="49"/>
      <c r="Y1186" s="49"/>
      <c r="Z1186" s="49"/>
      <c r="AA1186" s="49"/>
      <c r="AB1186" s="49"/>
      <c r="AC1186" s="49"/>
      <c r="AD1186" s="49"/>
      <c r="AE1186" s="49"/>
      <c r="AF1186" s="49"/>
      <c r="AG1186" s="49"/>
      <c r="AH1186" s="49"/>
      <c r="AI1186" s="48"/>
      <c r="AJ1186" s="48"/>
      <c r="AK1186" s="24"/>
      <c r="AL1186" s="50"/>
      <c r="AM1186" s="50"/>
      <c r="AN1186" s="50"/>
      <c r="AO1186" s="50"/>
      <c r="AP1186" s="50"/>
      <c r="AQ1186" s="50"/>
      <c r="AR1186" s="50"/>
      <c r="AS1186" s="50"/>
      <c r="AT1186" s="51"/>
      <c r="AU1186" s="51"/>
      <c r="AV1186" s="51"/>
      <c r="AW1186" s="51"/>
      <c r="AX1186" s="50"/>
      <c r="AY1186" s="50"/>
      <c r="AZ1186" s="50"/>
      <c r="BA1186" s="50"/>
      <c r="BB1186" s="51"/>
      <c r="BC1186" s="51"/>
      <c r="BD1186" s="51"/>
      <c r="BE1186" s="51"/>
      <c r="BF1186" s="47"/>
      <c r="BG1186" s="47"/>
      <c r="BH1186" s="47"/>
      <c r="BI1186" s="47"/>
      <c r="BJ1186" s="47"/>
      <c r="BK1186" s="47"/>
      <c r="BL1186" s="47"/>
      <c r="BM1186" s="47"/>
      <c r="BN1186" s="47"/>
      <c r="BO1186" s="47"/>
      <c r="BP1186" s="47"/>
      <c r="BQ1186" s="47"/>
      <c r="BR1186" s="47"/>
      <c r="BS1186" s="47"/>
      <c r="BT1186" s="47"/>
    </row>
    <row r="1187">
      <c r="A1187" s="24"/>
      <c r="B1187" s="48"/>
      <c r="C1187" s="49"/>
      <c r="D1187" s="24"/>
      <c r="E1187" s="52"/>
      <c r="F1187" s="53"/>
      <c r="G1187" s="48"/>
      <c r="H1187" s="49"/>
      <c r="I1187" s="49"/>
      <c r="J1187" s="48"/>
      <c r="K1187" s="48"/>
      <c r="L1187" s="48"/>
      <c r="M1187" s="48"/>
      <c r="N1187" s="48"/>
      <c r="O1187" s="48"/>
      <c r="P1187" s="48"/>
      <c r="Q1187" s="48"/>
      <c r="R1187" s="48"/>
      <c r="S1187" s="48"/>
      <c r="T1187" s="48"/>
      <c r="U1187" s="48"/>
      <c r="V1187" s="48"/>
      <c r="W1187" s="49"/>
      <c r="X1187" s="49"/>
      <c r="Y1187" s="49"/>
      <c r="Z1187" s="49"/>
      <c r="AA1187" s="49"/>
      <c r="AB1187" s="49"/>
      <c r="AC1187" s="49"/>
      <c r="AD1187" s="49"/>
      <c r="AE1187" s="49"/>
      <c r="AF1187" s="49"/>
      <c r="AG1187" s="49"/>
      <c r="AH1187" s="49"/>
      <c r="AI1187" s="48"/>
      <c r="AJ1187" s="48"/>
      <c r="AK1187" s="24"/>
      <c r="AL1187" s="50"/>
      <c r="AM1187" s="50"/>
      <c r="AN1187" s="50"/>
      <c r="AO1187" s="50"/>
      <c r="AP1187" s="50"/>
      <c r="AQ1187" s="50"/>
      <c r="AR1187" s="50"/>
      <c r="AS1187" s="50"/>
      <c r="AT1187" s="51"/>
      <c r="AU1187" s="51"/>
      <c r="AV1187" s="51"/>
      <c r="AW1187" s="51"/>
      <c r="AX1187" s="50"/>
      <c r="AY1187" s="50"/>
      <c r="AZ1187" s="50"/>
      <c r="BA1187" s="50"/>
      <c r="BB1187" s="51"/>
      <c r="BC1187" s="51"/>
      <c r="BD1187" s="51"/>
      <c r="BE1187" s="51"/>
      <c r="BF1187" s="47"/>
      <c r="BG1187" s="47"/>
      <c r="BH1187" s="47"/>
      <c r="BI1187" s="47"/>
      <c r="BJ1187" s="47"/>
      <c r="BK1187" s="47"/>
      <c r="BL1187" s="47"/>
      <c r="BM1187" s="47"/>
      <c r="BN1187" s="47"/>
      <c r="BO1187" s="47"/>
      <c r="BP1187" s="47"/>
      <c r="BQ1187" s="47"/>
      <c r="BR1187" s="47"/>
      <c r="BS1187" s="47"/>
      <c r="BT1187" s="47"/>
    </row>
    <row r="1188">
      <c r="A1188" s="24"/>
      <c r="B1188" s="48"/>
      <c r="C1188" s="49"/>
      <c r="D1188" s="24"/>
      <c r="E1188" s="52"/>
      <c r="F1188" s="53"/>
      <c r="G1188" s="48"/>
      <c r="H1188" s="49"/>
      <c r="I1188" s="49"/>
      <c r="J1188" s="48"/>
      <c r="K1188" s="48"/>
      <c r="L1188" s="48"/>
      <c r="M1188" s="48"/>
      <c r="N1188" s="48"/>
      <c r="O1188" s="48"/>
      <c r="P1188" s="48"/>
      <c r="Q1188" s="48"/>
      <c r="R1188" s="48"/>
      <c r="S1188" s="48"/>
      <c r="T1188" s="48"/>
      <c r="U1188" s="48"/>
      <c r="V1188" s="48"/>
      <c r="W1188" s="49"/>
      <c r="X1188" s="49"/>
      <c r="Y1188" s="49"/>
      <c r="Z1188" s="49"/>
      <c r="AA1188" s="49"/>
      <c r="AB1188" s="49"/>
      <c r="AC1188" s="49"/>
      <c r="AD1188" s="49"/>
      <c r="AE1188" s="49"/>
      <c r="AF1188" s="49"/>
      <c r="AG1188" s="49"/>
      <c r="AH1188" s="49"/>
      <c r="AI1188" s="48"/>
      <c r="AJ1188" s="48"/>
      <c r="AK1188" s="24"/>
      <c r="AL1188" s="50"/>
      <c r="AM1188" s="50"/>
      <c r="AN1188" s="50"/>
      <c r="AO1188" s="50"/>
      <c r="AP1188" s="50"/>
      <c r="AQ1188" s="50"/>
      <c r="AR1188" s="50"/>
      <c r="AS1188" s="50"/>
      <c r="AT1188" s="51"/>
      <c r="AU1188" s="51"/>
      <c r="AV1188" s="51"/>
      <c r="AW1188" s="51"/>
      <c r="AX1188" s="50"/>
      <c r="AY1188" s="50"/>
      <c r="AZ1188" s="50"/>
      <c r="BA1188" s="50"/>
      <c r="BB1188" s="51"/>
      <c r="BC1188" s="51"/>
      <c r="BD1188" s="51"/>
      <c r="BE1188" s="51"/>
      <c r="BF1188" s="47"/>
      <c r="BG1188" s="47"/>
      <c r="BH1188" s="47"/>
      <c r="BI1188" s="47"/>
      <c r="BJ1188" s="47"/>
      <c r="BK1188" s="47"/>
      <c r="BL1188" s="47"/>
      <c r="BM1188" s="47"/>
      <c r="BN1188" s="47"/>
      <c r="BO1188" s="47"/>
      <c r="BP1188" s="47"/>
      <c r="BQ1188" s="47"/>
      <c r="BR1188" s="47"/>
      <c r="BS1188" s="47"/>
      <c r="BT1188" s="47"/>
    </row>
    <row r="1189">
      <c r="A1189" s="24"/>
      <c r="B1189" s="48"/>
      <c r="C1189" s="49"/>
      <c r="D1189" s="24"/>
      <c r="E1189" s="52"/>
      <c r="F1189" s="53"/>
      <c r="G1189" s="48"/>
      <c r="H1189" s="49"/>
      <c r="I1189" s="49"/>
      <c r="J1189" s="48"/>
      <c r="K1189" s="48"/>
      <c r="L1189" s="48"/>
      <c r="M1189" s="48"/>
      <c r="N1189" s="48"/>
      <c r="O1189" s="48"/>
      <c r="P1189" s="48"/>
      <c r="Q1189" s="48"/>
      <c r="R1189" s="48"/>
      <c r="S1189" s="48"/>
      <c r="T1189" s="48"/>
      <c r="U1189" s="48"/>
      <c r="V1189" s="48"/>
      <c r="W1189" s="49"/>
      <c r="X1189" s="49"/>
      <c r="Y1189" s="49"/>
      <c r="Z1189" s="49"/>
      <c r="AA1189" s="49"/>
      <c r="AB1189" s="49"/>
      <c r="AC1189" s="49"/>
      <c r="AD1189" s="49"/>
      <c r="AE1189" s="49"/>
      <c r="AF1189" s="49"/>
      <c r="AG1189" s="49"/>
      <c r="AH1189" s="49"/>
      <c r="AI1189" s="48"/>
      <c r="AJ1189" s="48"/>
      <c r="AK1189" s="24"/>
      <c r="AL1189" s="50"/>
      <c r="AM1189" s="50"/>
      <c r="AN1189" s="50"/>
      <c r="AO1189" s="50"/>
      <c r="AP1189" s="50"/>
      <c r="AQ1189" s="50"/>
      <c r="AR1189" s="50"/>
      <c r="AS1189" s="50"/>
      <c r="AT1189" s="51"/>
      <c r="AU1189" s="51"/>
      <c r="AV1189" s="51"/>
      <c r="AW1189" s="51"/>
      <c r="AX1189" s="50"/>
      <c r="AY1189" s="50"/>
      <c r="AZ1189" s="50"/>
      <c r="BA1189" s="50"/>
      <c r="BB1189" s="51"/>
      <c r="BC1189" s="51"/>
      <c r="BD1189" s="51"/>
      <c r="BE1189" s="51"/>
      <c r="BF1189" s="47"/>
      <c r="BG1189" s="47"/>
      <c r="BH1189" s="47"/>
      <c r="BI1189" s="47"/>
      <c r="BJ1189" s="47"/>
      <c r="BK1189" s="47"/>
      <c r="BL1189" s="47"/>
      <c r="BM1189" s="47"/>
      <c r="BN1189" s="47"/>
      <c r="BO1189" s="47"/>
      <c r="BP1189" s="47"/>
      <c r="BQ1189" s="47"/>
      <c r="BR1189" s="47"/>
      <c r="BS1189" s="47"/>
      <c r="BT1189" s="47"/>
    </row>
    <row r="1190">
      <c r="A1190" s="24"/>
      <c r="B1190" s="48"/>
      <c r="C1190" s="49"/>
      <c r="D1190" s="24"/>
      <c r="E1190" s="52"/>
      <c r="F1190" s="53"/>
      <c r="G1190" s="48"/>
      <c r="H1190" s="49"/>
      <c r="I1190" s="49"/>
      <c r="J1190" s="48"/>
      <c r="K1190" s="48"/>
      <c r="L1190" s="48"/>
      <c r="M1190" s="48"/>
      <c r="N1190" s="48"/>
      <c r="O1190" s="48"/>
      <c r="P1190" s="48"/>
      <c r="Q1190" s="48"/>
      <c r="R1190" s="48"/>
      <c r="S1190" s="48"/>
      <c r="T1190" s="48"/>
      <c r="U1190" s="48"/>
      <c r="V1190" s="48"/>
      <c r="W1190" s="49"/>
      <c r="X1190" s="49"/>
      <c r="Y1190" s="49"/>
      <c r="Z1190" s="49"/>
      <c r="AA1190" s="49"/>
      <c r="AB1190" s="49"/>
      <c r="AC1190" s="49"/>
      <c r="AD1190" s="49"/>
      <c r="AE1190" s="49"/>
      <c r="AF1190" s="49"/>
      <c r="AG1190" s="49"/>
      <c r="AH1190" s="49"/>
      <c r="AI1190" s="48"/>
      <c r="AJ1190" s="48"/>
      <c r="AK1190" s="24"/>
      <c r="AL1190" s="50"/>
      <c r="AM1190" s="50"/>
      <c r="AN1190" s="50"/>
      <c r="AO1190" s="50"/>
      <c r="AP1190" s="50"/>
      <c r="AQ1190" s="50"/>
      <c r="AR1190" s="50"/>
      <c r="AS1190" s="50"/>
      <c r="AT1190" s="51"/>
      <c r="AU1190" s="51"/>
      <c r="AV1190" s="51"/>
      <c r="AW1190" s="51"/>
      <c r="AX1190" s="50"/>
      <c r="AY1190" s="50"/>
      <c r="AZ1190" s="50"/>
      <c r="BA1190" s="50"/>
      <c r="BB1190" s="51"/>
      <c r="BC1190" s="51"/>
      <c r="BD1190" s="51"/>
      <c r="BE1190" s="51"/>
      <c r="BF1190" s="47"/>
      <c r="BG1190" s="47"/>
      <c r="BH1190" s="47"/>
      <c r="BI1190" s="47"/>
      <c r="BJ1190" s="47"/>
      <c r="BK1190" s="47"/>
      <c r="BL1190" s="47"/>
      <c r="BM1190" s="47"/>
      <c r="BN1190" s="47"/>
      <c r="BO1190" s="47"/>
      <c r="BP1190" s="47"/>
      <c r="BQ1190" s="47"/>
      <c r="BR1190" s="47"/>
      <c r="BS1190" s="47"/>
      <c r="BT1190" s="47"/>
    </row>
    <row r="1191">
      <c r="A1191" s="24"/>
      <c r="B1191" s="48"/>
      <c r="C1191" s="49"/>
      <c r="D1191" s="24"/>
      <c r="E1191" s="52"/>
      <c r="F1191" s="53"/>
      <c r="G1191" s="48"/>
      <c r="H1191" s="49"/>
      <c r="I1191" s="49"/>
      <c r="J1191" s="48"/>
      <c r="K1191" s="48"/>
      <c r="L1191" s="48"/>
      <c r="M1191" s="48"/>
      <c r="N1191" s="48"/>
      <c r="O1191" s="48"/>
      <c r="P1191" s="48"/>
      <c r="Q1191" s="48"/>
      <c r="R1191" s="48"/>
      <c r="S1191" s="48"/>
      <c r="T1191" s="48"/>
      <c r="U1191" s="48"/>
      <c r="V1191" s="48"/>
      <c r="W1191" s="49"/>
      <c r="X1191" s="49"/>
      <c r="Y1191" s="49"/>
      <c r="Z1191" s="49"/>
      <c r="AA1191" s="49"/>
      <c r="AB1191" s="49"/>
      <c r="AC1191" s="49"/>
      <c r="AD1191" s="49"/>
      <c r="AE1191" s="49"/>
      <c r="AF1191" s="49"/>
      <c r="AG1191" s="49"/>
      <c r="AH1191" s="49"/>
      <c r="AI1191" s="48"/>
      <c r="AJ1191" s="48"/>
      <c r="AK1191" s="24"/>
      <c r="AL1191" s="50"/>
      <c r="AM1191" s="50"/>
      <c r="AN1191" s="50"/>
      <c r="AO1191" s="50"/>
      <c r="AP1191" s="50"/>
      <c r="AQ1191" s="50"/>
      <c r="AR1191" s="50"/>
      <c r="AS1191" s="50"/>
      <c r="AT1191" s="51"/>
      <c r="AU1191" s="51"/>
      <c r="AV1191" s="51"/>
      <c r="AW1191" s="51"/>
      <c r="AX1191" s="50"/>
      <c r="AY1191" s="50"/>
      <c r="AZ1191" s="50"/>
      <c r="BA1191" s="50"/>
      <c r="BB1191" s="51"/>
      <c r="BC1191" s="51"/>
      <c r="BD1191" s="51"/>
      <c r="BE1191" s="51"/>
      <c r="BF1191" s="47"/>
      <c r="BG1191" s="47"/>
      <c r="BH1191" s="47"/>
      <c r="BI1191" s="47"/>
      <c r="BJ1191" s="47"/>
      <c r="BK1191" s="47"/>
      <c r="BL1191" s="47"/>
      <c r="BM1191" s="47"/>
      <c r="BN1191" s="47"/>
      <c r="BO1191" s="47"/>
      <c r="BP1191" s="47"/>
      <c r="BQ1191" s="47"/>
      <c r="BR1191" s="47"/>
      <c r="BS1191" s="47"/>
      <c r="BT1191" s="47"/>
    </row>
    <row r="1192">
      <c r="A1192" s="24"/>
      <c r="B1192" s="48"/>
      <c r="C1192" s="49"/>
      <c r="D1192" s="24"/>
      <c r="E1192" s="52"/>
      <c r="F1192" s="53"/>
      <c r="G1192" s="48"/>
      <c r="H1192" s="49"/>
      <c r="I1192" s="49"/>
      <c r="J1192" s="48"/>
      <c r="K1192" s="48"/>
      <c r="L1192" s="48"/>
      <c r="M1192" s="48"/>
      <c r="N1192" s="48"/>
      <c r="O1192" s="48"/>
      <c r="P1192" s="48"/>
      <c r="Q1192" s="48"/>
      <c r="R1192" s="48"/>
      <c r="S1192" s="48"/>
      <c r="T1192" s="48"/>
      <c r="U1192" s="48"/>
      <c r="V1192" s="48"/>
      <c r="W1192" s="49"/>
      <c r="X1192" s="49"/>
      <c r="Y1192" s="49"/>
      <c r="Z1192" s="49"/>
      <c r="AA1192" s="49"/>
      <c r="AB1192" s="49"/>
      <c r="AC1192" s="49"/>
      <c r="AD1192" s="49"/>
      <c r="AE1192" s="49"/>
      <c r="AF1192" s="49"/>
      <c r="AG1192" s="49"/>
      <c r="AH1192" s="49"/>
      <c r="AI1192" s="48"/>
      <c r="AJ1192" s="48"/>
      <c r="AK1192" s="24"/>
      <c r="AL1192" s="50"/>
      <c r="AM1192" s="50"/>
      <c r="AN1192" s="50"/>
      <c r="AO1192" s="50"/>
      <c r="AP1192" s="50"/>
      <c r="AQ1192" s="50"/>
      <c r="AR1192" s="50"/>
      <c r="AS1192" s="50"/>
      <c r="AT1192" s="51"/>
      <c r="AU1192" s="51"/>
      <c r="AV1192" s="51"/>
      <c r="AW1192" s="51"/>
      <c r="AX1192" s="50"/>
      <c r="AY1192" s="50"/>
      <c r="AZ1192" s="50"/>
      <c r="BA1192" s="50"/>
      <c r="BB1192" s="51"/>
      <c r="BC1192" s="51"/>
      <c r="BD1192" s="51"/>
      <c r="BE1192" s="51"/>
      <c r="BF1192" s="47"/>
      <c r="BG1192" s="47"/>
      <c r="BH1192" s="47"/>
      <c r="BI1192" s="47"/>
      <c r="BJ1192" s="47"/>
      <c r="BK1192" s="47"/>
      <c r="BL1192" s="47"/>
      <c r="BM1192" s="47"/>
      <c r="BN1192" s="47"/>
      <c r="BO1192" s="47"/>
      <c r="BP1192" s="47"/>
      <c r="BQ1192" s="47"/>
      <c r="BR1192" s="47"/>
      <c r="BS1192" s="47"/>
      <c r="BT1192" s="47"/>
    </row>
    <row r="1193">
      <c r="A1193" s="24"/>
      <c r="B1193" s="48"/>
      <c r="C1193" s="49"/>
      <c r="D1193" s="24"/>
      <c r="E1193" s="52"/>
      <c r="F1193" s="53"/>
      <c r="G1193" s="48"/>
      <c r="H1193" s="49"/>
      <c r="I1193" s="49"/>
      <c r="J1193" s="48"/>
      <c r="K1193" s="48"/>
      <c r="L1193" s="48"/>
      <c r="M1193" s="48"/>
      <c r="N1193" s="48"/>
      <c r="O1193" s="48"/>
      <c r="P1193" s="48"/>
      <c r="Q1193" s="48"/>
      <c r="R1193" s="48"/>
      <c r="S1193" s="48"/>
      <c r="T1193" s="48"/>
      <c r="U1193" s="48"/>
      <c r="V1193" s="48"/>
      <c r="W1193" s="49"/>
      <c r="X1193" s="49"/>
      <c r="Y1193" s="49"/>
      <c r="Z1193" s="49"/>
      <c r="AA1193" s="49"/>
      <c r="AB1193" s="49"/>
      <c r="AC1193" s="49"/>
      <c r="AD1193" s="49"/>
      <c r="AE1193" s="49"/>
      <c r="AF1193" s="49"/>
      <c r="AG1193" s="49"/>
      <c r="AH1193" s="49"/>
      <c r="AI1193" s="48"/>
      <c r="AJ1193" s="48"/>
      <c r="AK1193" s="24"/>
      <c r="AL1193" s="50"/>
      <c r="AM1193" s="50"/>
      <c r="AN1193" s="50"/>
      <c r="AO1193" s="50"/>
      <c r="AP1193" s="50"/>
      <c r="AQ1193" s="50"/>
      <c r="AR1193" s="50"/>
      <c r="AS1193" s="50"/>
      <c r="AT1193" s="51"/>
      <c r="AU1193" s="51"/>
      <c r="AV1193" s="51"/>
      <c r="AW1193" s="51"/>
      <c r="AX1193" s="50"/>
      <c r="AY1193" s="50"/>
      <c r="AZ1193" s="50"/>
      <c r="BA1193" s="50"/>
      <c r="BB1193" s="51"/>
      <c r="BC1193" s="51"/>
      <c r="BD1193" s="51"/>
      <c r="BE1193" s="51"/>
      <c r="BF1193" s="47"/>
      <c r="BG1193" s="47"/>
      <c r="BH1193" s="47"/>
      <c r="BI1193" s="47"/>
      <c r="BJ1193" s="47"/>
      <c r="BK1193" s="47"/>
      <c r="BL1193" s="47"/>
      <c r="BM1193" s="47"/>
      <c r="BN1193" s="47"/>
      <c r="BO1193" s="47"/>
      <c r="BP1193" s="47"/>
      <c r="BQ1193" s="47"/>
      <c r="BR1193" s="47"/>
      <c r="BS1193" s="47"/>
      <c r="BT1193" s="47"/>
    </row>
    <row r="1194">
      <c r="A1194" s="24"/>
      <c r="B1194" s="48"/>
      <c r="C1194" s="49"/>
      <c r="D1194" s="24"/>
      <c r="E1194" s="52"/>
      <c r="F1194" s="53"/>
      <c r="G1194" s="48"/>
      <c r="H1194" s="49"/>
      <c r="I1194" s="49"/>
      <c r="J1194" s="48"/>
      <c r="K1194" s="48"/>
      <c r="L1194" s="48"/>
      <c r="M1194" s="48"/>
      <c r="N1194" s="48"/>
      <c r="O1194" s="48"/>
      <c r="P1194" s="48"/>
      <c r="Q1194" s="48"/>
      <c r="R1194" s="48"/>
      <c r="S1194" s="48"/>
      <c r="T1194" s="48"/>
      <c r="U1194" s="48"/>
      <c r="V1194" s="48"/>
      <c r="W1194" s="49"/>
      <c r="X1194" s="49"/>
      <c r="Y1194" s="49"/>
      <c r="Z1194" s="49"/>
      <c r="AA1194" s="49"/>
      <c r="AB1194" s="49"/>
      <c r="AC1194" s="49"/>
      <c r="AD1194" s="49"/>
      <c r="AE1194" s="49"/>
      <c r="AF1194" s="49"/>
      <c r="AG1194" s="49"/>
      <c r="AH1194" s="49"/>
      <c r="AI1194" s="48"/>
      <c r="AJ1194" s="48"/>
      <c r="AK1194" s="24"/>
      <c r="AL1194" s="50"/>
      <c r="AM1194" s="50"/>
      <c r="AN1194" s="50"/>
      <c r="AO1194" s="50"/>
      <c r="AP1194" s="50"/>
      <c r="AQ1194" s="50"/>
      <c r="AR1194" s="50"/>
      <c r="AS1194" s="50"/>
      <c r="AT1194" s="51"/>
      <c r="AU1194" s="51"/>
      <c r="AV1194" s="51"/>
      <c r="AW1194" s="51"/>
      <c r="AX1194" s="50"/>
      <c r="AY1194" s="50"/>
      <c r="AZ1194" s="50"/>
      <c r="BA1194" s="50"/>
      <c r="BB1194" s="51"/>
      <c r="BC1194" s="51"/>
      <c r="BD1194" s="51"/>
      <c r="BE1194" s="51"/>
      <c r="BF1194" s="47"/>
      <c r="BG1194" s="47"/>
      <c r="BH1194" s="47"/>
      <c r="BI1194" s="47"/>
      <c r="BJ1194" s="47"/>
      <c r="BK1194" s="47"/>
      <c r="BL1194" s="47"/>
      <c r="BM1194" s="47"/>
      <c r="BN1194" s="47"/>
      <c r="BO1194" s="47"/>
      <c r="BP1194" s="47"/>
      <c r="BQ1194" s="47"/>
      <c r="BR1194" s="47"/>
      <c r="BS1194" s="47"/>
      <c r="BT1194" s="47"/>
    </row>
    <row r="1195">
      <c r="A1195" s="24"/>
      <c r="B1195" s="48"/>
      <c r="C1195" s="49"/>
      <c r="D1195" s="24"/>
      <c r="E1195" s="52"/>
      <c r="F1195" s="53"/>
      <c r="G1195" s="48"/>
      <c r="H1195" s="49"/>
      <c r="I1195" s="49"/>
      <c r="J1195" s="48"/>
      <c r="K1195" s="48"/>
      <c r="L1195" s="48"/>
      <c r="M1195" s="48"/>
      <c r="N1195" s="48"/>
      <c r="O1195" s="48"/>
      <c r="P1195" s="48"/>
      <c r="Q1195" s="48"/>
      <c r="R1195" s="48"/>
      <c r="S1195" s="48"/>
      <c r="T1195" s="48"/>
      <c r="U1195" s="48"/>
      <c r="V1195" s="48"/>
      <c r="W1195" s="49"/>
      <c r="X1195" s="49"/>
      <c r="Y1195" s="49"/>
      <c r="Z1195" s="49"/>
      <c r="AA1195" s="49"/>
      <c r="AB1195" s="49"/>
      <c r="AC1195" s="49"/>
      <c r="AD1195" s="49"/>
      <c r="AE1195" s="49"/>
      <c r="AF1195" s="49"/>
      <c r="AG1195" s="49"/>
      <c r="AH1195" s="49"/>
      <c r="AI1195" s="48"/>
      <c r="AJ1195" s="48"/>
      <c r="AK1195" s="24"/>
      <c r="AL1195" s="50"/>
      <c r="AM1195" s="50"/>
      <c r="AN1195" s="50"/>
      <c r="AO1195" s="50"/>
      <c r="AP1195" s="50"/>
      <c r="AQ1195" s="50"/>
      <c r="AR1195" s="50"/>
      <c r="AS1195" s="50"/>
      <c r="AT1195" s="51"/>
      <c r="AU1195" s="51"/>
      <c r="AV1195" s="51"/>
      <c r="AW1195" s="51"/>
      <c r="AX1195" s="50"/>
      <c r="AY1195" s="50"/>
      <c r="AZ1195" s="50"/>
      <c r="BA1195" s="50"/>
      <c r="BB1195" s="51"/>
      <c r="BC1195" s="51"/>
      <c r="BD1195" s="51"/>
      <c r="BE1195" s="51"/>
      <c r="BF1195" s="47"/>
      <c r="BG1195" s="47"/>
      <c r="BH1195" s="47"/>
      <c r="BI1195" s="47"/>
      <c r="BJ1195" s="47"/>
      <c r="BK1195" s="47"/>
      <c r="BL1195" s="47"/>
      <c r="BM1195" s="47"/>
      <c r="BN1195" s="47"/>
      <c r="BO1195" s="47"/>
      <c r="BP1195" s="47"/>
      <c r="BQ1195" s="47"/>
      <c r="BR1195" s="47"/>
      <c r="BS1195" s="47"/>
      <c r="BT1195" s="47"/>
    </row>
    <row r="1196">
      <c r="A1196" s="24"/>
      <c r="B1196" s="48"/>
      <c r="C1196" s="49"/>
      <c r="D1196" s="24"/>
      <c r="E1196" s="52"/>
      <c r="F1196" s="53"/>
      <c r="G1196" s="48"/>
      <c r="H1196" s="49"/>
      <c r="I1196" s="49"/>
      <c r="J1196" s="48"/>
      <c r="K1196" s="48"/>
      <c r="L1196" s="48"/>
      <c r="M1196" s="48"/>
      <c r="N1196" s="48"/>
      <c r="O1196" s="48"/>
      <c r="P1196" s="48"/>
      <c r="Q1196" s="48"/>
      <c r="R1196" s="48"/>
      <c r="S1196" s="48"/>
      <c r="T1196" s="48"/>
      <c r="U1196" s="48"/>
      <c r="V1196" s="48"/>
      <c r="W1196" s="49"/>
      <c r="X1196" s="49"/>
      <c r="Y1196" s="49"/>
      <c r="Z1196" s="49"/>
      <c r="AA1196" s="49"/>
      <c r="AB1196" s="49"/>
      <c r="AC1196" s="49"/>
      <c r="AD1196" s="49"/>
      <c r="AE1196" s="49"/>
      <c r="AF1196" s="49"/>
      <c r="AG1196" s="49"/>
      <c r="AH1196" s="49"/>
      <c r="AI1196" s="48"/>
      <c r="AJ1196" s="48"/>
      <c r="AK1196" s="24"/>
      <c r="AL1196" s="50"/>
      <c r="AM1196" s="50"/>
      <c r="AN1196" s="50"/>
      <c r="AO1196" s="50"/>
      <c r="AP1196" s="50"/>
      <c r="AQ1196" s="50"/>
      <c r="AR1196" s="50"/>
      <c r="AS1196" s="50"/>
      <c r="AT1196" s="51"/>
      <c r="AU1196" s="51"/>
      <c r="AV1196" s="51"/>
      <c r="AW1196" s="51"/>
      <c r="AX1196" s="50"/>
      <c r="AY1196" s="50"/>
      <c r="AZ1196" s="50"/>
      <c r="BA1196" s="50"/>
      <c r="BB1196" s="51"/>
      <c r="BC1196" s="51"/>
      <c r="BD1196" s="51"/>
      <c r="BE1196" s="51"/>
      <c r="BF1196" s="47"/>
      <c r="BG1196" s="47"/>
      <c r="BH1196" s="47"/>
      <c r="BI1196" s="47"/>
      <c r="BJ1196" s="47"/>
      <c r="BK1196" s="47"/>
      <c r="BL1196" s="47"/>
      <c r="BM1196" s="47"/>
      <c r="BN1196" s="47"/>
      <c r="BO1196" s="47"/>
      <c r="BP1196" s="47"/>
      <c r="BQ1196" s="47"/>
      <c r="BR1196" s="47"/>
      <c r="BS1196" s="47"/>
      <c r="BT1196" s="47"/>
    </row>
    <row r="1197">
      <c r="A1197" s="24"/>
      <c r="B1197" s="48"/>
      <c r="C1197" s="49"/>
      <c r="D1197" s="24"/>
      <c r="E1197" s="52"/>
      <c r="F1197" s="53"/>
      <c r="G1197" s="48"/>
      <c r="H1197" s="49"/>
      <c r="I1197" s="49"/>
      <c r="J1197" s="48"/>
      <c r="K1197" s="48"/>
      <c r="L1197" s="48"/>
      <c r="M1197" s="48"/>
      <c r="N1197" s="48"/>
      <c r="O1197" s="48"/>
      <c r="P1197" s="48"/>
      <c r="Q1197" s="48"/>
      <c r="R1197" s="48"/>
      <c r="S1197" s="48"/>
      <c r="T1197" s="48"/>
      <c r="U1197" s="48"/>
      <c r="V1197" s="48"/>
      <c r="W1197" s="49"/>
      <c r="X1197" s="49"/>
      <c r="Y1197" s="49"/>
      <c r="Z1197" s="49"/>
      <c r="AA1197" s="49"/>
      <c r="AB1197" s="49"/>
      <c r="AC1197" s="49"/>
      <c r="AD1197" s="49"/>
      <c r="AE1197" s="49"/>
      <c r="AF1197" s="49"/>
      <c r="AG1197" s="49"/>
      <c r="AH1197" s="49"/>
      <c r="AI1197" s="48"/>
      <c r="AJ1197" s="48"/>
      <c r="AK1197" s="24"/>
      <c r="AL1197" s="50"/>
      <c r="AM1197" s="50"/>
      <c r="AN1197" s="50"/>
      <c r="AO1197" s="50"/>
      <c r="AP1197" s="50"/>
      <c r="AQ1197" s="50"/>
      <c r="AR1197" s="50"/>
      <c r="AS1197" s="50"/>
      <c r="AT1197" s="51"/>
      <c r="AU1197" s="51"/>
      <c r="AV1197" s="51"/>
      <c r="AW1197" s="51"/>
      <c r="AX1197" s="50"/>
      <c r="AY1197" s="50"/>
      <c r="AZ1197" s="50"/>
      <c r="BA1197" s="50"/>
      <c r="BB1197" s="51"/>
      <c r="BC1197" s="51"/>
      <c r="BD1197" s="51"/>
      <c r="BE1197" s="51"/>
      <c r="BF1197" s="47"/>
      <c r="BG1197" s="47"/>
      <c r="BH1197" s="47"/>
      <c r="BI1197" s="47"/>
      <c r="BJ1197" s="47"/>
      <c r="BK1197" s="47"/>
      <c r="BL1197" s="47"/>
      <c r="BM1197" s="47"/>
      <c r="BN1197" s="47"/>
      <c r="BO1197" s="47"/>
      <c r="BP1197" s="47"/>
      <c r="BQ1197" s="47"/>
      <c r="BR1197" s="47"/>
      <c r="BS1197" s="47"/>
      <c r="BT1197" s="47"/>
    </row>
    <row r="1198">
      <c r="A1198" s="24"/>
      <c r="B1198" s="48"/>
      <c r="C1198" s="49"/>
      <c r="D1198" s="24"/>
      <c r="E1198" s="52"/>
      <c r="F1198" s="53"/>
      <c r="G1198" s="48"/>
      <c r="H1198" s="49"/>
      <c r="I1198" s="49"/>
      <c r="J1198" s="48"/>
      <c r="K1198" s="48"/>
      <c r="L1198" s="48"/>
      <c r="M1198" s="48"/>
      <c r="N1198" s="48"/>
      <c r="O1198" s="48"/>
      <c r="P1198" s="48"/>
      <c r="Q1198" s="48"/>
      <c r="R1198" s="48"/>
      <c r="S1198" s="48"/>
      <c r="T1198" s="48"/>
      <c r="U1198" s="48"/>
      <c r="V1198" s="48"/>
      <c r="W1198" s="49"/>
      <c r="X1198" s="49"/>
      <c r="Y1198" s="49"/>
      <c r="Z1198" s="49"/>
      <c r="AA1198" s="49"/>
      <c r="AB1198" s="49"/>
      <c r="AC1198" s="49"/>
      <c r="AD1198" s="49"/>
      <c r="AE1198" s="49"/>
      <c r="AF1198" s="49"/>
      <c r="AG1198" s="49"/>
      <c r="AH1198" s="49"/>
      <c r="AI1198" s="48"/>
      <c r="AJ1198" s="48"/>
      <c r="AK1198" s="24"/>
      <c r="AL1198" s="50"/>
      <c r="AM1198" s="50"/>
      <c r="AN1198" s="50"/>
      <c r="AO1198" s="50"/>
      <c r="AP1198" s="50"/>
      <c r="AQ1198" s="50"/>
      <c r="AR1198" s="50"/>
      <c r="AS1198" s="50"/>
      <c r="AT1198" s="51"/>
      <c r="AU1198" s="51"/>
      <c r="AV1198" s="51"/>
      <c r="AW1198" s="51"/>
      <c r="AX1198" s="50"/>
      <c r="AY1198" s="50"/>
      <c r="AZ1198" s="50"/>
      <c r="BA1198" s="50"/>
      <c r="BB1198" s="51"/>
      <c r="BC1198" s="51"/>
      <c r="BD1198" s="51"/>
      <c r="BE1198" s="51"/>
      <c r="BF1198" s="47"/>
      <c r="BG1198" s="47"/>
      <c r="BH1198" s="47"/>
      <c r="BI1198" s="47"/>
      <c r="BJ1198" s="47"/>
      <c r="BK1198" s="47"/>
      <c r="BL1198" s="47"/>
      <c r="BM1198" s="47"/>
      <c r="BN1198" s="47"/>
      <c r="BO1198" s="47"/>
      <c r="BP1198" s="47"/>
      <c r="BQ1198" s="47"/>
      <c r="BR1198" s="47"/>
      <c r="BS1198" s="47"/>
      <c r="BT1198" s="47"/>
    </row>
    <row r="1199">
      <c r="A1199" s="24"/>
      <c r="B1199" s="48"/>
      <c r="C1199" s="49"/>
      <c r="D1199" s="24"/>
      <c r="E1199" s="52"/>
      <c r="F1199" s="53"/>
      <c r="G1199" s="48"/>
      <c r="H1199" s="49"/>
      <c r="I1199" s="49"/>
      <c r="J1199" s="48"/>
      <c r="K1199" s="48"/>
      <c r="L1199" s="48"/>
      <c r="M1199" s="48"/>
      <c r="N1199" s="48"/>
      <c r="O1199" s="48"/>
      <c r="P1199" s="48"/>
      <c r="Q1199" s="48"/>
      <c r="R1199" s="48"/>
      <c r="S1199" s="48"/>
      <c r="T1199" s="48"/>
      <c r="U1199" s="48"/>
      <c r="V1199" s="48"/>
      <c r="W1199" s="49"/>
      <c r="X1199" s="49"/>
      <c r="Y1199" s="49"/>
      <c r="Z1199" s="49"/>
      <c r="AA1199" s="49"/>
      <c r="AB1199" s="49"/>
      <c r="AC1199" s="49"/>
      <c r="AD1199" s="49"/>
      <c r="AE1199" s="49"/>
      <c r="AF1199" s="49"/>
      <c r="AG1199" s="49"/>
      <c r="AH1199" s="49"/>
      <c r="AI1199" s="48"/>
      <c r="AJ1199" s="48"/>
      <c r="AK1199" s="24"/>
      <c r="AL1199" s="50"/>
      <c r="AM1199" s="50"/>
      <c r="AN1199" s="50"/>
      <c r="AO1199" s="50"/>
      <c r="AP1199" s="50"/>
      <c r="AQ1199" s="50"/>
      <c r="AR1199" s="50"/>
      <c r="AS1199" s="50"/>
      <c r="AT1199" s="51"/>
      <c r="AU1199" s="51"/>
      <c r="AV1199" s="51"/>
      <c r="AW1199" s="51"/>
      <c r="AX1199" s="50"/>
      <c r="AY1199" s="50"/>
      <c r="AZ1199" s="50"/>
      <c r="BA1199" s="50"/>
      <c r="BB1199" s="51"/>
      <c r="BC1199" s="51"/>
      <c r="BD1199" s="51"/>
      <c r="BE1199" s="51"/>
      <c r="BF1199" s="47"/>
      <c r="BG1199" s="47"/>
      <c r="BH1199" s="47"/>
      <c r="BI1199" s="47"/>
      <c r="BJ1199" s="47"/>
      <c r="BK1199" s="47"/>
      <c r="BL1199" s="47"/>
      <c r="BM1199" s="47"/>
      <c r="BN1199" s="47"/>
      <c r="BO1199" s="47"/>
      <c r="BP1199" s="47"/>
      <c r="BQ1199" s="47"/>
      <c r="BR1199" s="47"/>
      <c r="BS1199" s="47"/>
      <c r="BT1199" s="47"/>
    </row>
    <row r="1200">
      <c r="A1200" s="24"/>
      <c r="B1200" s="48"/>
      <c r="C1200" s="49"/>
      <c r="D1200" s="24"/>
      <c r="E1200" s="52"/>
      <c r="F1200" s="53"/>
      <c r="G1200" s="48"/>
      <c r="H1200" s="49"/>
      <c r="I1200" s="49"/>
      <c r="J1200" s="48"/>
      <c r="K1200" s="48"/>
      <c r="L1200" s="48"/>
      <c r="M1200" s="48"/>
      <c r="N1200" s="48"/>
      <c r="O1200" s="48"/>
      <c r="P1200" s="48"/>
      <c r="Q1200" s="48"/>
      <c r="R1200" s="48"/>
      <c r="S1200" s="48"/>
      <c r="T1200" s="48"/>
      <c r="U1200" s="48"/>
      <c r="V1200" s="48"/>
      <c r="W1200" s="49"/>
      <c r="X1200" s="49"/>
      <c r="Y1200" s="49"/>
      <c r="Z1200" s="49"/>
      <c r="AA1200" s="49"/>
      <c r="AB1200" s="49"/>
      <c r="AC1200" s="49"/>
      <c r="AD1200" s="49"/>
      <c r="AE1200" s="49"/>
      <c r="AF1200" s="49"/>
      <c r="AG1200" s="49"/>
      <c r="AH1200" s="49"/>
      <c r="AI1200" s="48"/>
      <c r="AJ1200" s="48"/>
      <c r="AK1200" s="24"/>
      <c r="AL1200" s="50"/>
      <c r="AM1200" s="50"/>
      <c r="AN1200" s="50"/>
      <c r="AO1200" s="50"/>
      <c r="AP1200" s="50"/>
      <c r="AQ1200" s="50"/>
      <c r="AR1200" s="50"/>
      <c r="AS1200" s="50"/>
      <c r="AT1200" s="51"/>
      <c r="AU1200" s="51"/>
      <c r="AV1200" s="51"/>
      <c r="AW1200" s="51"/>
      <c r="AX1200" s="50"/>
      <c r="AY1200" s="50"/>
      <c r="AZ1200" s="50"/>
      <c r="BA1200" s="50"/>
      <c r="BB1200" s="51"/>
      <c r="BC1200" s="51"/>
      <c r="BD1200" s="51"/>
      <c r="BE1200" s="51"/>
      <c r="BF1200" s="47"/>
      <c r="BG1200" s="47"/>
      <c r="BH1200" s="47"/>
      <c r="BI1200" s="47"/>
      <c r="BJ1200" s="47"/>
      <c r="BK1200" s="47"/>
      <c r="BL1200" s="47"/>
      <c r="BM1200" s="47"/>
      <c r="BN1200" s="47"/>
      <c r="BO1200" s="47"/>
      <c r="BP1200" s="47"/>
      <c r="BQ1200" s="47"/>
      <c r="BR1200" s="47"/>
      <c r="BS1200" s="47"/>
      <c r="BT1200" s="47"/>
    </row>
    <row r="1201">
      <c r="A1201" s="24"/>
      <c r="B1201" s="48"/>
      <c r="C1201" s="49"/>
      <c r="D1201" s="24"/>
      <c r="E1201" s="52"/>
      <c r="F1201" s="53"/>
      <c r="G1201" s="48"/>
      <c r="H1201" s="49"/>
      <c r="I1201" s="49"/>
      <c r="J1201" s="48"/>
      <c r="K1201" s="48"/>
      <c r="L1201" s="48"/>
      <c r="M1201" s="48"/>
      <c r="N1201" s="48"/>
      <c r="O1201" s="48"/>
      <c r="P1201" s="48"/>
      <c r="Q1201" s="48"/>
      <c r="R1201" s="48"/>
      <c r="S1201" s="48"/>
      <c r="T1201" s="48"/>
      <c r="U1201" s="48"/>
      <c r="V1201" s="48"/>
      <c r="W1201" s="49"/>
      <c r="X1201" s="49"/>
      <c r="Y1201" s="49"/>
      <c r="Z1201" s="49"/>
      <c r="AA1201" s="49"/>
      <c r="AB1201" s="49"/>
      <c r="AC1201" s="49"/>
      <c r="AD1201" s="49"/>
      <c r="AE1201" s="49"/>
      <c r="AF1201" s="49"/>
      <c r="AG1201" s="49"/>
      <c r="AH1201" s="49"/>
      <c r="AI1201" s="48"/>
      <c r="AJ1201" s="48"/>
      <c r="AK1201" s="24"/>
      <c r="AL1201" s="50"/>
      <c r="AM1201" s="50"/>
      <c r="AN1201" s="50"/>
      <c r="AO1201" s="50"/>
      <c r="AP1201" s="50"/>
      <c r="AQ1201" s="50"/>
      <c r="AR1201" s="50"/>
      <c r="AS1201" s="50"/>
      <c r="AT1201" s="51"/>
      <c r="AU1201" s="51"/>
      <c r="AV1201" s="51"/>
      <c r="AW1201" s="51"/>
      <c r="AX1201" s="50"/>
      <c r="AY1201" s="50"/>
      <c r="AZ1201" s="50"/>
      <c r="BA1201" s="50"/>
      <c r="BB1201" s="51"/>
      <c r="BC1201" s="51"/>
      <c r="BD1201" s="51"/>
      <c r="BE1201" s="51"/>
      <c r="BF1201" s="47"/>
      <c r="BG1201" s="47"/>
      <c r="BH1201" s="47"/>
      <c r="BI1201" s="47"/>
      <c r="BJ1201" s="47"/>
      <c r="BK1201" s="47"/>
      <c r="BL1201" s="47"/>
      <c r="BM1201" s="47"/>
      <c r="BN1201" s="47"/>
      <c r="BO1201" s="47"/>
      <c r="BP1201" s="47"/>
      <c r="BQ1201" s="47"/>
      <c r="BR1201" s="47"/>
      <c r="BS1201" s="47"/>
      <c r="BT1201" s="47"/>
    </row>
    <row r="1202">
      <c r="A1202" s="24"/>
      <c r="B1202" s="48"/>
      <c r="C1202" s="49"/>
      <c r="D1202" s="24"/>
      <c r="E1202" s="52"/>
      <c r="F1202" s="53"/>
      <c r="G1202" s="48"/>
      <c r="H1202" s="49"/>
      <c r="I1202" s="49"/>
      <c r="J1202" s="48"/>
      <c r="K1202" s="48"/>
      <c r="L1202" s="48"/>
      <c r="M1202" s="48"/>
      <c r="N1202" s="48"/>
      <c r="O1202" s="48"/>
      <c r="P1202" s="48"/>
      <c r="Q1202" s="48"/>
      <c r="R1202" s="48"/>
      <c r="S1202" s="48"/>
      <c r="T1202" s="48"/>
      <c r="U1202" s="48"/>
      <c r="V1202" s="48"/>
      <c r="W1202" s="49"/>
      <c r="X1202" s="49"/>
      <c r="Y1202" s="49"/>
      <c r="Z1202" s="49"/>
      <c r="AA1202" s="49"/>
      <c r="AB1202" s="49"/>
      <c r="AC1202" s="49"/>
      <c r="AD1202" s="49"/>
      <c r="AE1202" s="49"/>
      <c r="AF1202" s="49"/>
      <c r="AG1202" s="49"/>
      <c r="AH1202" s="49"/>
      <c r="AI1202" s="48"/>
      <c r="AJ1202" s="48"/>
      <c r="AK1202" s="24"/>
      <c r="AL1202" s="50"/>
      <c r="AM1202" s="50"/>
      <c r="AN1202" s="50"/>
      <c r="AO1202" s="50"/>
      <c r="AP1202" s="50"/>
      <c r="AQ1202" s="50"/>
      <c r="AR1202" s="50"/>
      <c r="AS1202" s="50"/>
      <c r="AT1202" s="51"/>
      <c r="AU1202" s="51"/>
      <c r="AV1202" s="51"/>
      <c r="AW1202" s="51"/>
      <c r="AX1202" s="50"/>
      <c r="AY1202" s="50"/>
      <c r="AZ1202" s="50"/>
      <c r="BA1202" s="50"/>
      <c r="BB1202" s="51"/>
      <c r="BC1202" s="51"/>
      <c r="BD1202" s="51"/>
      <c r="BE1202" s="51"/>
      <c r="BF1202" s="47"/>
      <c r="BG1202" s="47"/>
      <c r="BH1202" s="47"/>
      <c r="BI1202" s="47"/>
      <c r="BJ1202" s="47"/>
      <c r="BK1202" s="47"/>
      <c r="BL1202" s="47"/>
      <c r="BM1202" s="47"/>
      <c r="BN1202" s="47"/>
      <c r="BO1202" s="47"/>
      <c r="BP1202" s="47"/>
      <c r="BQ1202" s="47"/>
      <c r="BR1202" s="47"/>
      <c r="BS1202" s="47"/>
      <c r="BT1202" s="47"/>
    </row>
    <row r="1203">
      <c r="A1203" s="24"/>
      <c r="B1203" s="48"/>
      <c r="C1203" s="49"/>
      <c r="D1203" s="24"/>
      <c r="E1203" s="52"/>
      <c r="F1203" s="53"/>
      <c r="G1203" s="48"/>
      <c r="H1203" s="49"/>
      <c r="I1203" s="49"/>
      <c r="J1203" s="48"/>
      <c r="K1203" s="48"/>
      <c r="L1203" s="48"/>
      <c r="M1203" s="48"/>
      <c r="N1203" s="48"/>
      <c r="O1203" s="48"/>
      <c r="P1203" s="48"/>
      <c r="Q1203" s="48"/>
      <c r="R1203" s="48"/>
      <c r="S1203" s="48"/>
      <c r="T1203" s="48"/>
      <c r="U1203" s="48"/>
      <c r="V1203" s="48"/>
      <c r="W1203" s="49"/>
      <c r="X1203" s="49"/>
      <c r="Y1203" s="49"/>
      <c r="Z1203" s="49"/>
      <c r="AA1203" s="49"/>
      <c r="AB1203" s="49"/>
      <c r="AC1203" s="49"/>
      <c r="AD1203" s="49"/>
      <c r="AE1203" s="49"/>
      <c r="AF1203" s="49"/>
      <c r="AG1203" s="49"/>
      <c r="AH1203" s="49"/>
      <c r="AI1203" s="48"/>
      <c r="AJ1203" s="48"/>
      <c r="AK1203" s="24"/>
      <c r="AL1203" s="50"/>
      <c r="AM1203" s="50"/>
      <c r="AN1203" s="50"/>
      <c r="AO1203" s="50"/>
      <c r="AP1203" s="50"/>
      <c r="AQ1203" s="50"/>
      <c r="AR1203" s="50"/>
      <c r="AS1203" s="50"/>
      <c r="AT1203" s="51"/>
      <c r="AU1203" s="51"/>
      <c r="AV1203" s="51"/>
      <c r="AW1203" s="51"/>
      <c r="AX1203" s="50"/>
      <c r="AY1203" s="50"/>
      <c r="AZ1203" s="50"/>
      <c r="BA1203" s="50"/>
      <c r="BB1203" s="51"/>
      <c r="BC1203" s="51"/>
      <c r="BD1203" s="51"/>
      <c r="BE1203" s="51"/>
      <c r="BF1203" s="47"/>
      <c r="BG1203" s="47"/>
      <c r="BH1203" s="47"/>
      <c r="BI1203" s="47"/>
      <c r="BJ1203" s="47"/>
      <c r="BK1203" s="47"/>
      <c r="BL1203" s="47"/>
      <c r="BM1203" s="47"/>
      <c r="BN1203" s="47"/>
      <c r="BO1203" s="47"/>
      <c r="BP1203" s="47"/>
      <c r="BQ1203" s="47"/>
      <c r="BR1203" s="47"/>
      <c r="BS1203" s="47"/>
      <c r="BT1203" s="47"/>
    </row>
    <row r="1204">
      <c r="A1204" s="24"/>
      <c r="B1204" s="48"/>
      <c r="C1204" s="49"/>
      <c r="D1204" s="24"/>
      <c r="E1204" s="52"/>
      <c r="F1204" s="53"/>
      <c r="G1204" s="48"/>
      <c r="H1204" s="49"/>
      <c r="I1204" s="49"/>
      <c r="J1204" s="48"/>
      <c r="K1204" s="48"/>
      <c r="L1204" s="48"/>
      <c r="M1204" s="48"/>
      <c r="N1204" s="48"/>
      <c r="O1204" s="48"/>
      <c r="P1204" s="48"/>
      <c r="Q1204" s="48"/>
      <c r="R1204" s="48"/>
      <c r="S1204" s="48"/>
      <c r="T1204" s="48"/>
      <c r="U1204" s="48"/>
      <c r="V1204" s="48"/>
      <c r="W1204" s="49"/>
      <c r="X1204" s="49"/>
      <c r="Y1204" s="49"/>
      <c r="Z1204" s="49"/>
      <c r="AA1204" s="49"/>
      <c r="AB1204" s="49"/>
      <c r="AC1204" s="49"/>
      <c r="AD1204" s="49"/>
      <c r="AE1204" s="49"/>
      <c r="AF1204" s="49"/>
      <c r="AG1204" s="49"/>
      <c r="AH1204" s="49"/>
      <c r="AI1204" s="48"/>
      <c r="AJ1204" s="48"/>
      <c r="AK1204" s="24"/>
      <c r="AL1204" s="50"/>
      <c r="AM1204" s="50"/>
      <c r="AN1204" s="50"/>
      <c r="AO1204" s="50"/>
      <c r="AP1204" s="50"/>
      <c r="AQ1204" s="50"/>
      <c r="AR1204" s="50"/>
      <c r="AS1204" s="50"/>
      <c r="AT1204" s="51"/>
      <c r="AU1204" s="51"/>
      <c r="AV1204" s="51"/>
      <c r="AW1204" s="51"/>
      <c r="AX1204" s="50"/>
      <c r="AY1204" s="50"/>
      <c r="AZ1204" s="50"/>
      <c r="BA1204" s="50"/>
      <c r="BB1204" s="51"/>
      <c r="BC1204" s="51"/>
      <c r="BD1204" s="51"/>
      <c r="BE1204" s="51"/>
      <c r="BF1204" s="47"/>
      <c r="BG1204" s="47"/>
      <c r="BH1204" s="47"/>
      <c r="BI1204" s="47"/>
      <c r="BJ1204" s="47"/>
      <c r="BK1204" s="47"/>
      <c r="BL1204" s="47"/>
      <c r="BM1204" s="47"/>
      <c r="BN1204" s="47"/>
      <c r="BO1204" s="47"/>
      <c r="BP1204" s="47"/>
      <c r="BQ1204" s="47"/>
      <c r="BR1204" s="47"/>
      <c r="BS1204" s="47"/>
      <c r="BT1204" s="47"/>
    </row>
    <row r="1205">
      <c r="A1205" s="24"/>
      <c r="B1205" s="48"/>
      <c r="C1205" s="49"/>
      <c r="D1205" s="24"/>
      <c r="E1205" s="52"/>
      <c r="F1205" s="53"/>
      <c r="G1205" s="48"/>
      <c r="H1205" s="49"/>
      <c r="I1205" s="49"/>
      <c r="J1205" s="48"/>
      <c r="K1205" s="48"/>
      <c r="L1205" s="48"/>
      <c r="M1205" s="48"/>
      <c r="N1205" s="48"/>
      <c r="O1205" s="48"/>
      <c r="P1205" s="48"/>
      <c r="Q1205" s="48"/>
      <c r="R1205" s="48"/>
      <c r="S1205" s="48"/>
      <c r="T1205" s="48"/>
      <c r="U1205" s="48"/>
      <c r="V1205" s="48"/>
      <c r="W1205" s="49"/>
      <c r="X1205" s="49"/>
      <c r="Y1205" s="49"/>
      <c r="Z1205" s="49"/>
      <c r="AA1205" s="49"/>
      <c r="AB1205" s="49"/>
      <c r="AC1205" s="49"/>
      <c r="AD1205" s="49"/>
      <c r="AE1205" s="49"/>
      <c r="AF1205" s="49"/>
      <c r="AG1205" s="49"/>
      <c r="AH1205" s="49"/>
      <c r="AI1205" s="48"/>
      <c r="AJ1205" s="48"/>
      <c r="AK1205" s="24"/>
      <c r="AL1205" s="50"/>
      <c r="AM1205" s="50"/>
      <c r="AN1205" s="50"/>
      <c r="AO1205" s="50"/>
      <c r="AP1205" s="50"/>
      <c r="AQ1205" s="50"/>
      <c r="AR1205" s="50"/>
      <c r="AS1205" s="50"/>
      <c r="AT1205" s="51"/>
      <c r="AU1205" s="51"/>
      <c r="AV1205" s="51"/>
      <c r="AW1205" s="51"/>
      <c r="AX1205" s="50"/>
      <c r="AY1205" s="50"/>
      <c r="AZ1205" s="50"/>
      <c r="BA1205" s="50"/>
      <c r="BB1205" s="51"/>
      <c r="BC1205" s="51"/>
      <c r="BD1205" s="51"/>
      <c r="BE1205" s="51"/>
      <c r="BF1205" s="47"/>
      <c r="BG1205" s="47"/>
      <c r="BH1205" s="47"/>
      <c r="BI1205" s="47"/>
      <c r="BJ1205" s="47"/>
      <c r="BK1205" s="47"/>
      <c r="BL1205" s="47"/>
      <c r="BM1205" s="47"/>
      <c r="BN1205" s="47"/>
      <c r="BO1205" s="47"/>
      <c r="BP1205" s="47"/>
      <c r="BQ1205" s="47"/>
      <c r="BR1205" s="47"/>
      <c r="BS1205" s="47"/>
      <c r="BT1205" s="47"/>
    </row>
    <row r="1206">
      <c r="A1206" s="24"/>
      <c r="B1206" s="48"/>
      <c r="C1206" s="49"/>
      <c r="D1206" s="24"/>
      <c r="E1206" s="52"/>
      <c r="F1206" s="53"/>
      <c r="G1206" s="48"/>
      <c r="H1206" s="49"/>
      <c r="I1206" s="49"/>
      <c r="J1206" s="48"/>
      <c r="K1206" s="48"/>
      <c r="L1206" s="48"/>
      <c r="M1206" s="48"/>
      <c r="N1206" s="48"/>
      <c r="O1206" s="48"/>
      <c r="P1206" s="48"/>
      <c r="Q1206" s="48"/>
      <c r="R1206" s="48"/>
      <c r="S1206" s="48"/>
      <c r="T1206" s="48"/>
      <c r="U1206" s="48"/>
      <c r="V1206" s="48"/>
      <c r="W1206" s="49"/>
      <c r="X1206" s="49"/>
      <c r="Y1206" s="49"/>
      <c r="Z1206" s="49"/>
      <c r="AA1206" s="49"/>
      <c r="AB1206" s="49"/>
      <c r="AC1206" s="49"/>
      <c r="AD1206" s="49"/>
      <c r="AE1206" s="49"/>
      <c r="AF1206" s="49"/>
      <c r="AG1206" s="49"/>
      <c r="AH1206" s="49"/>
      <c r="AI1206" s="48"/>
      <c r="AJ1206" s="48"/>
      <c r="AK1206" s="24"/>
      <c r="AL1206" s="50"/>
      <c r="AM1206" s="50"/>
      <c r="AN1206" s="50"/>
      <c r="AO1206" s="50"/>
      <c r="AP1206" s="50"/>
      <c r="AQ1206" s="50"/>
      <c r="AR1206" s="50"/>
      <c r="AS1206" s="50"/>
      <c r="AT1206" s="51"/>
      <c r="AU1206" s="51"/>
      <c r="AV1206" s="51"/>
      <c r="AW1206" s="51"/>
      <c r="AX1206" s="50"/>
      <c r="AY1206" s="50"/>
      <c r="AZ1206" s="50"/>
      <c r="BA1206" s="50"/>
      <c r="BB1206" s="51"/>
      <c r="BC1206" s="51"/>
      <c r="BD1206" s="51"/>
      <c r="BE1206" s="51"/>
      <c r="BF1206" s="47"/>
      <c r="BG1206" s="47"/>
      <c r="BH1206" s="47"/>
      <c r="BI1206" s="47"/>
      <c r="BJ1206" s="47"/>
      <c r="BK1206" s="47"/>
      <c r="BL1206" s="47"/>
      <c r="BM1206" s="47"/>
      <c r="BN1206" s="47"/>
      <c r="BO1206" s="47"/>
      <c r="BP1206" s="47"/>
      <c r="BQ1206" s="47"/>
      <c r="BR1206" s="47"/>
      <c r="BS1206" s="47"/>
      <c r="BT1206" s="47"/>
    </row>
    <row r="1207">
      <c r="A1207" s="24"/>
      <c r="B1207" s="48"/>
      <c r="C1207" s="49"/>
      <c r="D1207" s="24"/>
      <c r="E1207" s="52"/>
      <c r="F1207" s="53"/>
      <c r="G1207" s="48"/>
      <c r="H1207" s="49"/>
      <c r="I1207" s="49"/>
      <c r="J1207" s="48"/>
      <c r="K1207" s="48"/>
      <c r="L1207" s="48"/>
      <c r="M1207" s="48"/>
      <c r="N1207" s="48"/>
      <c r="O1207" s="48"/>
      <c r="P1207" s="48"/>
      <c r="Q1207" s="48"/>
      <c r="R1207" s="48"/>
      <c r="S1207" s="48"/>
      <c r="T1207" s="48"/>
      <c r="U1207" s="48"/>
      <c r="V1207" s="48"/>
      <c r="W1207" s="49"/>
      <c r="X1207" s="49"/>
      <c r="Y1207" s="49"/>
      <c r="Z1207" s="49"/>
      <c r="AA1207" s="49"/>
      <c r="AB1207" s="49"/>
      <c r="AC1207" s="49"/>
      <c r="AD1207" s="49"/>
      <c r="AE1207" s="49"/>
      <c r="AF1207" s="49"/>
      <c r="AG1207" s="49"/>
      <c r="AH1207" s="49"/>
      <c r="AI1207" s="48"/>
      <c r="AJ1207" s="48"/>
      <c r="AK1207" s="24"/>
      <c r="AL1207" s="50"/>
      <c r="AM1207" s="50"/>
      <c r="AN1207" s="50"/>
      <c r="AO1207" s="50"/>
      <c r="AP1207" s="50"/>
      <c r="AQ1207" s="50"/>
      <c r="AR1207" s="50"/>
      <c r="AS1207" s="50"/>
      <c r="AT1207" s="51"/>
      <c r="AU1207" s="51"/>
      <c r="AV1207" s="51"/>
      <c r="AW1207" s="51"/>
      <c r="AX1207" s="50"/>
      <c r="AY1207" s="50"/>
      <c r="AZ1207" s="50"/>
      <c r="BA1207" s="50"/>
      <c r="BB1207" s="51"/>
      <c r="BC1207" s="51"/>
      <c r="BD1207" s="51"/>
      <c r="BE1207" s="51"/>
      <c r="BF1207" s="47"/>
      <c r="BG1207" s="47"/>
      <c r="BH1207" s="47"/>
      <c r="BI1207" s="47"/>
      <c r="BJ1207" s="47"/>
      <c r="BK1207" s="47"/>
      <c r="BL1207" s="47"/>
      <c r="BM1207" s="47"/>
      <c r="BN1207" s="47"/>
      <c r="BO1207" s="47"/>
      <c r="BP1207" s="47"/>
      <c r="BQ1207" s="47"/>
      <c r="BR1207" s="47"/>
      <c r="BS1207" s="47"/>
      <c r="BT1207" s="47"/>
    </row>
    <row r="1208">
      <c r="A1208" s="24"/>
      <c r="B1208" s="48"/>
      <c r="C1208" s="49"/>
      <c r="D1208" s="24"/>
      <c r="E1208" s="52"/>
      <c r="F1208" s="53"/>
      <c r="G1208" s="48"/>
      <c r="H1208" s="49"/>
      <c r="I1208" s="49"/>
      <c r="J1208" s="48"/>
      <c r="K1208" s="48"/>
      <c r="L1208" s="48"/>
      <c r="M1208" s="48"/>
      <c r="N1208" s="48"/>
      <c r="O1208" s="48"/>
      <c r="P1208" s="48"/>
      <c r="Q1208" s="48"/>
      <c r="R1208" s="48"/>
      <c r="S1208" s="48"/>
      <c r="T1208" s="48"/>
      <c r="U1208" s="48"/>
      <c r="V1208" s="48"/>
      <c r="W1208" s="49"/>
      <c r="X1208" s="49"/>
      <c r="Y1208" s="49"/>
      <c r="Z1208" s="49"/>
      <c r="AA1208" s="49"/>
      <c r="AB1208" s="49"/>
      <c r="AC1208" s="49"/>
      <c r="AD1208" s="49"/>
      <c r="AE1208" s="49"/>
      <c r="AF1208" s="49"/>
      <c r="AG1208" s="49"/>
      <c r="AH1208" s="49"/>
      <c r="AI1208" s="48"/>
      <c r="AJ1208" s="48"/>
      <c r="AK1208" s="24"/>
      <c r="AL1208" s="50"/>
      <c r="AM1208" s="50"/>
      <c r="AN1208" s="50"/>
      <c r="AO1208" s="50"/>
      <c r="AP1208" s="50"/>
      <c r="AQ1208" s="50"/>
      <c r="AR1208" s="50"/>
      <c r="AS1208" s="50"/>
      <c r="AT1208" s="51"/>
      <c r="AU1208" s="51"/>
      <c r="AV1208" s="51"/>
      <c r="AW1208" s="51"/>
      <c r="AX1208" s="50"/>
      <c r="AY1208" s="50"/>
      <c r="AZ1208" s="50"/>
      <c r="BA1208" s="50"/>
      <c r="BB1208" s="51"/>
      <c r="BC1208" s="51"/>
      <c r="BD1208" s="51"/>
      <c r="BE1208" s="51"/>
      <c r="BF1208" s="47"/>
      <c r="BG1208" s="47"/>
      <c r="BH1208" s="47"/>
      <c r="BI1208" s="47"/>
      <c r="BJ1208" s="47"/>
      <c r="BK1208" s="47"/>
      <c r="BL1208" s="47"/>
      <c r="BM1208" s="47"/>
      <c r="BN1208" s="47"/>
      <c r="BO1208" s="47"/>
      <c r="BP1208" s="47"/>
      <c r="BQ1208" s="47"/>
      <c r="BR1208" s="47"/>
      <c r="BS1208" s="47"/>
      <c r="BT1208" s="47"/>
    </row>
    <row r="1209">
      <c r="A1209" s="24"/>
      <c r="B1209" s="48"/>
      <c r="C1209" s="49"/>
      <c r="D1209" s="24"/>
      <c r="E1209" s="52"/>
      <c r="F1209" s="53"/>
      <c r="G1209" s="48"/>
      <c r="H1209" s="49"/>
      <c r="I1209" s="49"/>
      <c r="J1209" s="48"/>
      <c r="K1209" s="48"/>
      <c r="L1209" s="48"/>
      <c r="M1209" s="48"/>
      <c r="N1209" s="48"/>
      <c r="O1209" s="48"/>
      <c r="P1209" s="48"/>
      <c r="Q1209" s="48"/>
      <c r="R1209" s="48"/>
      <c r="S1209" s="48"/>
      <c r="T1209" s="48"/>
      <c r="U1209" s="48"/>
      <c r="V1209" s="48"/>
      <c r="W1209" s="49"/>
      <c r="X1209" s="49"/>
      <c r="Y1209" s="49"/>
      <c r="Z1209" s="49"/>
      <c r="AA1209" s="49"/>
      <c r="AB1209" s="49"/>
      <c r="AC1209" s="49"/>
      <c r="AD1209" s="49"/>
      <c r="AE1209" s="49"/>
      <c r="AF1209" s="49"/>
      <c r="AG1209" s="49"/>
      <c r="AH1209" s="49"/>
      <c r="AI1209" s="48"/>
      <c r="AJ1209" s="48"/>
      <c r="AK1209" s="24"/>
      <c r="AL1209" s="50"/>
      <c r="AM1209" s="50"/>
      <c r="AN1209" s="50"/>
      <c r="AO1209" s="50"/>
      <c r="AP1209" s="50"/>
      <c r="AQ1209" s="50"/>
      <c r="AR1209" s="50"/>
      <c r="AS1209" s="50"/>
      <c r="AT1209" s="51"/>
      <c r="AU1209" s="51"/>
      <c r="AV1209" s="51"/>
      <c r="AW1209" s="51"/>
      <c r="AX1209" s="50"/>
      <c r="AY1209" s="50"/>
      <c r="AZ1209" s="50"/>
      <c r="BA1209" s="50"/>
      <c r="BB1209" s="51"/>
      <c r="BC1209" s="51"/>
      <c r="BD1209" s="51"/>
      <c r="BE1209" s="51"/>
      <c r="BF1209" s="47"/>
      <c r="BG1209" s="47"/>
      <c r="BH1209" s="47"/>
      <c r="BI1209" s="47"/>
      <c r="BJ1209" s="47"/>
      <c r="BK1209" s="47"/>
      <c r="BL1209" s="47"/>
      <c r="BM1209" s="47"/>
      <c r="BN1209" s="47"/>
      <c r="BO1209" s="47"/>
      <c r="BP1209" s="47"/>
      <c r="BQ1209" s="47"/>
      <c r="BR1209" s="47"/>
      <c r="BS1209" s="47"/>
      <c r="BT1209" s="47"/>
    </row>
    <row r="1210">
      <c r="A1210" s="24"/>
      <c r="B1210" s="48"/>
      <c r="C1210" s="49"/>
      <c r="D1210" s="24"/>
      <c r="E1210" s="52"/>
      <c r="F1210" s="53"/>
      <c r="G1210" s="48"/>
      <c r="H1210" s="49"/>
      <c r="I1210" s="49"/>
      <c r="J1210" s="48"/>
      <c r="K1210" s="48"/>
      <c r="L1210" s="48"/>
      <c r="M1210" s="48"/>
      <c r="N1210" s="48"/>
      <c r="O1210" s="48"/>
      <c r="P1210" s="48"/>
      <c r="Q1210" s="48"/>
      <c r="R1210" s="48"/>
      <c r="S1210" s="48"/>
      <c r="T1210" s="48"/>
      <c r="U1210" s="48"/>
      <c r="V1210" s="48"/>
      <c r="W1210" s="49"/>
      <c r="X1210" s="49"/>
      <c r="Y1210" s="49"/>
      <c r="Z1210" s="49"/>
      <c r="AA1210" s="49"/>
      <c r="AB1210" s="49"/>
      <c r="AC1210" s="49"/>
      <c r="AD1210" s="49"/>
      <c r="AE1210" s="49"/>
      <c r="AF1210" s="49"/>
      <c r="AG1210" s="49"/>
      <c r="AH1210" s="49"/>
      <c r="AI1210" s="48"/>
      <c r="AJ1210" s="48"/>
      <c r="AK1210" s="24"/>
      <c r="AL1210" s="50"/>
      <c r="AM1210" s="50"/>
      <c r="AN1210" s="50"/>
      <c r="AO1210" s="50"/>
      <c r="AP1210" s="50"/>
      <c r="AQ1210" s="50"/>
      <c r="AR1210" s="50"/>
      <c r="AS1210" s="50"/>
      <c r="AT1210" s="51"/>
      <c r="AU1210" s="51"/>
      <c r="AV1210" s="51"/>
      <c r="AW1210" s="51"/>
      <c r="AX1210" s="50"/>
      <c r="AY1210" s="50"/>
      <c r="AZ1210" s="50"/>
      <c r="BA1210" s="50"/>
      <c r="BB1210" s="51"/>
      <c r="BC1210" s="51"/>
      <c r="BD1210" s="51"/>
      <c r="BE1210" s="51"/>
      <c r="BF1210" s="47"/>
      <c r="BG1210" s="47"/>
      <c r="BH1210" s="47"/>
      <c r="BI1210" s="47"/>
      <c r="BJ1210" s="47"/>
      <c r="BK1210" s="47"/>
      <c r="BL1210" s="47"/>
      <c r="BM1210" s="47"/>
      <c r="BN1210" s="47"/>
      <c r="BO1210" s="47"/>
      <c r="BP1210" s="47"/>
      <c r="BQ1210" s="47"/>
      <c r="BR1210" s="47"/>
      <c r="BS1210" s="47"/>
      <c r="BT1210" s="47"/>
    </row>
    <row r="1211">
      <c r="A1211" s="24"/>
      <c r="B1211" s="48"/>
      <c r="C1211" s="49"/>
      <c r="D1211" s="24"/>
      <c r="E1211" s="52"/>
      <c r="F1211" s="53"/>
      <c r="G1211" s="48"/>
      <c r="H1211" s="49"/>
      <c r="I1211" s="49"/>
      <c r="J1211" s="48"/>
      <c r="K1211" s="48"/>
      <c r="L1211" s="48"/>
      <c r="M1211" s="48"/>
      <c r="N1211" s="48"/>
      <c r="O1211" s="48"/>
      <c r="P1211" s="48"/>
      <c r="Q1211" s="48"/>
      <c r="R1211" s="48"/>
      <c r="S1211" s="48"/>
      <c r="T1211" s="48"/>
      <c r="U1211" s="48"/>
      <c r="V1211" s="48"/>
      <c r="W1211" s="49"/>
      <c r="X1211" s="49"/>
      <c r="Y1211" s="49"/>
      <c r="Z1211" s="49"/>
      <c r="AA1211" s="49"/>
      <c r="AB1211" s="49"/>
      <c r="AC1211" s="49"/>
      <c r="AD1211" s="49"/>
      <c r="AE1211" s="49"/>
      <c r="AF1211" s="49"/>
      <c r="AG1211" s="49"/>
      <c r="AH1211" s="49"/>
      <c r="AI1211" s="48"/>
      <c r="AJ1211" s="48"/>
      <c r="AK1211" s="24"/>
      <c r="AL1211" s="50"/>
      <c r="AM1211" s="50"/>
      <c r="AN1211" s="50"/>
      <c r="AO1211" s="50"/>
      <c r="AP1211" s="50"/>
      <c r="AQ1211" s="50"/>
      <c r="AR1211" s="50"/>
      <c r="AS1211" s="50"/>
      <c r="AT1211" s="51"/>
      <c r="AU1211" s="51"/>
      <c r="AV1211" s="51"/>
      <c r="AW1211" s="51"/>
      <c r="AX1211" s="50"/>
      <c r="AY1211" s="50"/>
      <c r="AZ1211" s="50"/>
      <c r="BA1211" s="50"/>
      <c r="BB1211" s="51"/>
      <c r="BC1211" s="51"/>
      <c r="BD1211" s="51"/>
      <c r="BE1211" s="51"/>
      <c r="BF1211" s="47"/>
      <c r="BG1211" s="47"/>
      <c r="BH1211" s="47"/>
      <c r="BI1211" s="47"/>
      <c r="BJ1211" s="47"/>
      <c r="BK1211" s="47"/>
      <c r="BL1211" s="47"/>
      <c r="BM1211" s="47"/>
      <c r="BN1211" s="47"/>
      <c r="BO1211" s="47"/>
      <c r="BP1211" s="47"/>
      <c r="BQ1211" s="47"/>
      <c r="BR1211" s="47"/>
      <c r="BS1211" s="47"/>
      <c r="BT1211" s="47"/>
    </row>
    <row r="1212">
      <c r="A1212" s="24"/>
      <c r="B1212" s="48"/>
      <c r="C1212" s="49"/>
      <c r="D1212" s="24"/>
      <c r="E1212" s="52"/>
      <c r="F1212" s="53"/>
      <c r="G1212" s="48"/>
      <c r="H1212" s="49"/>
      <c r="I1212" s="49"/>
      <c r="J1212" s="48"/>
      <c r="K1212" s="48"/>
      <c r="L1212" s="48"/>
      <c r="M1212" s="48"/>
      <c r="N1212" s="48"/>
      <c r="O1212" s="48"/>
      <c r="P1212" s="48"/>
      <c r="Q1212" s="48"/>
      <c r="R1212" s="48"/>
      <c r="S1212" s="48"/>
      <c r="T1212" s="48"/>
      <c r="U1212" s="48"/>
      <c r="V1212" s="48"/>
      <c r="W1212" s="49"/>
      <c r="X1212" s="49"/>
      <c r="Y1212" s="49"/>
      <c r="Z1212" s="49"/>
      <c r="AA1212" s="49"/>
      <c r="AB1212" s="49"/>
      <c r="AC1212" s="49"/>
      <c r="AD1212" s="49"/>
      <c r="AE1212" s="49"/>
      <c r="AF1212" s="49"/>
      <c r="AG1212" s="49"/>
      <c r="AH1212" s="49"/>
      <c r="AI1212" s="48"/>
      <c r="AJ1212" s="48"/>
      <c r="AK1212" s="24"/>
      <c r="AL1212" s="50"/>
      <c r="AM1212" s="50"/>
      <c r="AN1212" s="50"/>
      <c r="AO1212" s="50"/>
      <c r="AP1212" s="50"/>
      <c r="AQ1212" s="50"/>
      <c r="AR1212" s="50"/>
      <c r="AS1212" s="50"/>
      <c r="AT1212" s="51"/>
      <c r="AU1212" s="51"/>
      <c r="AV1212" s="51"/>
      <c r="AW1212" s="51"/>
      <c r="AX1212" s="50"/>
      <c r="AY1212" s="50"/>
      <c r="AZ1212" s="50"/>
      <c r="BA1212" s="50"/>
      <c r="BB1212" s="51"/>
      <c r="BC1212" s="51"/>
      <c r="BD1212" s="51"/>
      <c r="BE1212" s="51"/>
      <c r="BF1212" s="47"/>
      <c r="BG1212" s="47"/>
      <c r="BH1212" s="47"/>
      <c r="BI1212" s="47"/>
      <c r="BJ1212" s="47"/>
      <c r="BK1212" s="47"/>
      <c r="BL1212" s="47"/>
      <c r="BM1212" s="47"/>
      <c r="BN1212" s="47"/>
      <c r="BO1212" s="47"/>
      <c r="BP1212" s="47"/>
      <c r="BQ1212" s="47"/>
      <c r="BR1212" s="47"/>
      <c r="BS1212" s="47"/>
      <c r="BT1212" s="47"/>
    </row>
    <row r="1213">
      <c r="A1213" s="24"/>
      <c r="B1213" s="48"/>
      <c r="C1213" s="49"/>
      <c r="D1213" s="24"/>
      <c r="E1213" s="52"/>
      <c r="F1213" s="53"/>
      <c r="G1213" s="48"/>
      <c r="H1213" s="49"/>
      <c r="I1213" s="49"/>
      <c r="J1213" s="48"/>
      <c r="K1213" s="48"/>
      <c r="L1213" s="48"/>
      <c r="M1213" s="48"/>
      <c r="N1213" s="48"/>
      <c r="O1213" s="48"/>
      <c r="P1213" s="48"/>
      <c r="Q1213" s="48"/>
      <c r="R1213" s="48"/>
      <c r="S1213" s="48"/>
      <c r="T1213" s="48"/>
      <c r="U1213" s="48"/>
      <c r="V1213" s="48"/>
      <c r="W1213" s="49"/>
      <c r="X1213" s="49"/>
      <c r="Y1213" s="49"/>
      <c r="Z1213" s="49"/>
      <c r="AA1213" s="49"/>
      <c r="AB1213" s="49"/>
      <c r="AC1213" s="49"/>
      <c r="AD1213" s="49"/>
      <c r="AE1213" s="49"/>
      <c r="AF1213" s="49"/>
      <c r="AG1213" s="49"/>
      <c r="AH1213" s="49"/>
      <c r="AI1213" s="48"/>
      <c r="AJ1213" s="48"/>
      <c r="AK1213" s="24"/>
      <c r="AL1213" s="50"/>
      <c r="AM1213" s="50"/>
      <c r="AN1213" s="50"/>
      <c r="AO1213" s="50"/>
      <c r="AP1213" s="50"/>
      <c r="AQ1213" s="50"/>
      <c r="AR1213" s="50"/>
      <c r="AS1213" s="50"/>
      <c r="AT1213" s="51"/>
      <c r="AU1213" s="51"/>
      <c r="AV1213" s="51"/>
      <c r="AW1213" s="51"/>
      <c r="AX1213" s="50"/>
      <c r="AY1213" s="50"/>
      <c r="AZ1213" s="50"/>
      <c r="BA1213" s="50"/>
      <c r="BB1213" s="51"/>
      <c r="BC1213" s="51"/>
      <c r="BD1213" s="51"/>
      <c r="BE1213" s="51"/>
      <c r="BF1213" s="47"/>
      <c r="BG1213" s="47"/>
      <c r="BH1213" s="47"/>
      <c r="BI1213" s="47"/>
      <c r="BJ1213" s="47"/>
      <c r="BK1213" s="47"/>
      <c r="BL1213" s="47"/>
      <c r="BM1213" s="47"/>
      <c r="BN1213" s="47"/>
      <c r="BO1213" s="47"/>
      <c r="BP1213" s="47"/>
      <c r="BQ1213" s="47"/>
      <c r="BR1213" s="47"/>
      <c r="BS1213" s="47"/>
      <c r="BT1213" s="47"/>
    </row>
    <row r="1214">
      <c r="A1214" s="24"/>
      <c r="B1214" s="48"/>
      <c r="C1214" s="49"/>
      <c r="D1214" s="24"/>
      <c r="E1214" s="52"/>
      <c r="F1214" s="53"/>
      <c r="G1214" s="48"/>
      <c r="H1214" s="49"/>
      <c r="I1214" s="49"/>
      <c r="J1214" s="48"/>
      <c r="K1214" s="48"/>
      <c r="L1214" s="48"/>
      <c r="M1214" s="48"/>
      <c r="N1214" s="48"/>
      <c r="O1214" s="48"/>
      <c r="P1214" s="48"/>
      <c r="Q1214" s="48"/>
      <c r="R1214" s="48"/>
      <c r="S1214" s="48"/>
      <c r="T1214" s="48"/>
      <c r="U1214" s="48"/>
      <c r="V1214" s="48"/>
      <c r="W1214" s="49"/>
      <c r="X1214" s="49"/>
      <c r="Y1214" s="49"/>
      <c r="Z1214" s="49"/>
      <c r="AA1214" s="49"/>
      <c r="AB1214" s="49"/>
      <c r="AC1214" s="49"/>
      <c r="AD1214" s="49"/>
      <c r="AE1214" s="49"/>
      <c r="AF1214" s="49"/>
      <c r="AG1214" s="49"/>
      <c r="AH1214" s="49"/>
      <c r="AI1214" s="48"/>
      <c r="AJ1214" s="48"/>
      <c r="AK1214" s="24"/>
      <c r="AL1214" s="50"/>
      <c r="AM1214" s="50"/>
      <c r="AN1214" s="50"/>
      <c r="AO1214" s="50"/>
      <c r="AP1214" s="50"/>
      <c r="AQ1214" s="50"/>
      <c r="AR1214" s="50"/>
      <c r="AS1214" s="50"/>
      <c r="AT1214" s="51"/>
      <c r="AU1214" s="51"/>
      <c r="AV1214" s="51"/>
      <c r="AW1214" s="51"/>
      <c r="AX1214" s="50"/>
      <c r="AY1214" s="50"/>
      <c r="AZ1214" s="50"/>
      <c r="BA1214" s="50"/>
      <c r="BB1214" s="51"/>
      <c r="BC1214" s="51"/>
      <c r="BD1214" s="51"/>
      <c r="BE1214" s="51"/>
      <c r="BF1214" s="47"/>
      <c r="BG1214" s="47"/>
      <c r="BH1214" s="47"/>
      <c r="BI1214" s="47"/>
      <c r="BJ1214" s="47"/>
      <c r="BK1214" s="47"/>
      <c r="BL1214" s="47"/>
      <c r="BM1214" s="47"/>
      <c r="BN1214" s="47"/>
      <c r="BO1214" s="47"/>
      <c r="BP1214" s="47"/>
      <c r="BQ1214" s="47"/>
      <c r="BR1214" s="47"/>
      <c r="BS1214" s="47"/>
      <c r="BT1214" s="47"/>
    </row>
    <row r="1215">
      <c r="A1215" s="24"/>
      <c r="B1215" s="48"/>
      <c r="C1215" s="49"/>
      <c r="D1215" s="24"/>
      <c r="E1215" s="52"/>
      <c r="F1215" s="53"/>
      <c r="G1215" s="48"/>
      <c r="H1215" s="49"/>
      <c r="I1215" s="49"/>
      <c r="J1215" s="48"/>
      <c r="K1215" s="48"/>
      <c r="L1215" s="48"/>
      <c r="M1215" s="48"/>
      <c r="N1215" s="48"/>
      <c r="O1215" s="48"/>
      <c r="P1215" s="48"/>
      <c r="Q1215" s="48"/>
      <c r="R1215" s="48"/>
      <c r="S1215" s="48"/>
      <c r="T1215" s="48"/>
      <c r="U1215" s="48"/>
      <c r="V1215" s="48"/>
      <c r="W1215" s="49"/>
      <c r="X1215" s="49"/>
      <c r="Y1215" s="49"/>
      <c r="Z1215" s="49"/>
      <c r="AA1215" s="49"/>
      <c r="AB1215" s="49"/>
      <c r="AC1215" s="49"/>
      <c r="AD1215" s="49"/>
      <c r="AE1215" s="49"/>
      <c r="AF1215" s="49"/>
      <c r="AG1215" s="49"/>
      <c r="AH1215" s="49"/>
      <c r="AI1215" s="48"/>
      <c r="AJ1215" s="48"/>
      <c r="AK1215" s="24"/>
      <c r="AL1215" s="50"/>
      <c r="AM1215" s="50"/>
      <c r="AN1215" s="50"/>
      <c r="AO1215" s="50"/>
      <c r="AP1215" s="50"/>
      <c r="AQ1215" s="50"/>
      <c r="AR1215" s="50"/>
      <c r="AS1215" s="50"/>
      <c r="AT1215" s="51"/>
      <c r="AU1215" s="51"/>
      <c r="AV1215" s="51"/>
      <c r="AW1215" s="51"/>
      <c r="AX1215" s="50"/>
      <c r="AY1215" s="50"/>
      <c r="AZ1215" s="50"/>
      <c r="BA1215" s="50"/>
      <c r="BB1215" s="51"/>
      <c r="BC1215" s="51"/>
      <c r="BD1215" s="51"/>
      <c r="BE1215" s="51"/>
      <c r="BF1215" s="47"/>
      <c r="BG1215" s="47"/>
      <c r="BH1215" s="47"/>
      <c r="BI1215" s="47"/>
      <c r="BJ1215" s="47"/>
      <c r="BK1215" s="47"/>
      <c r="BL1215" s="47"/>
      <c r="BM1215" s="47"/>
      <c r="BN1215" s="47"/>
      <c r="BO1215" s="47"/>
      <c r="BP1215" s="47"/>
      <c r="BQ1215" s="47"/>
      <c r="BR1215" s="47"/>
      <c r="BS1215" s="47"/>
      <c r="BT1215" s="47"/>
    </row>
    <row r="1216">
      <c r="A1216" s="24"/>
      <c r="B1216" s="48"/>
      <c r="C1216" s="49"/>
      <c r="D1216" s="24"/>
      <c r="E1216" s="52"/>
      <c r="F1216" s="53"/>
      <c r="G1216" s="48"/>
      <c r="H1216" s="49"/>
      <c r="I1216" s="49"/>
      <c r="J1216" s="48"/>
      <c r="K1216" s="48"/>
      <c r="L1216" s="48"/>
      <c r="M1216" s="48"/>
      <c r="N1216" s="48"/>
      <c r="O1216" s="48"/>
      <c r="P1216" s="48"/>
      <c r="Q1216" s="48"/>
      <c r="R1216" s="48"/>
      <c r="S1216" s="48"/>
      <c r="T1216" s="48"/>
      <c r="U1216" s="48"/>
      <c r="V1216" s="48"/>
      <c r="W1216" s="49"/>
      <c r="X1216" s="49"/>
      <c r="Y1216" s="49"/>
      <c r="Z1216" s="49"/>
      <c r="AA1216" s="49"/>
      <c r="AB1216" s="49"/>
      <c r="AC1216" s="49"/>
      <c r="AD1216" s="49"/>
      <c r="AE1216" s="49"/>
      <c r="AF1216" s="49"/>
      <c r="AG1216" s="49"/>
      <c r="AH1216" s="49"/>
      <c r="AI1216" s="48"/>
      <c r="AJ1216" s="48"/>
      <c r="AK1216" s="24"/>
      <c r="AL1216" s="50"/>
      <c r="AM1216" s="50"/>
      <c r="AN1216" s="50"/>
      <c r="AO1216" s="50"/>
      <c r="AP1216" s="50"/>
      <c r="AQ1216" s="50"/>
      <c r="AR1216" s="50"/>
      <c r="AS1216" s="50"/>
      <c r="AT1216" s="51"/>
      <c r="AU1216" s="51"/>
      <c r="AV1216" s="51"/>
      <c r="AW1216" s="51"/>
      <c r="AX1216" s="50"/>
      <c r="AY1216" s="50"/>
      <c r="AZ1216" s="50"/>
      <c r="BA1216" s="50"/>
      <c r="BB1216" s="51"/>
      <c r="BC1216" s="51"/>
      <c r="BD1216" s="51"/>
      <c r="BE1216" s="51"/>
      <c r="BF1216" s="47"/>
      <c r="BG1216" s="47"/>
      <c r="BH1216" s="47"/>
      <c r="BI1216" s="47"/>
      <c r="BJ1216" s="47"/>
      <c r="BK1216" s="47"/>
      <c r="BL1216" s="47"/>
      <c r="BM1216" s="47"/>
      <c r="BN1216" s="47"/>
      <c r="BO1216" s="47"/>
      <c r="BP1216" s="47"/>
      <c r="BQ1216" s="47"/>
      <c r="BR1216" s="47"/>
      <c r="BS1216" s="47"/>
      <c r="BT1216" s="47"/>
    </row>
    <row r="1217">
      <c r="A1217" s="24"/>
      <c r="B1217" s="48"/>
      <c r="C1217" s="49"/>
      <c r="D1217" s="24"/>
      <c r="E1217" s="52"/>
      <c r="F1217" s="53"/>
      <c r="G1217" s="48"/>
      <c r="H1217" s="49"/>
      <c r="I1217" s="49"/>
      <c r="J1217" s="48"/>
      <c r="K1217" s="48"/>
      <c r="L1217" s="48"/>
      <c r="M1217" s="48"/>
      <c r="N1217" s="48"/>
      <c r="O1217" s="48"/>
      <c r="P1217" s="48"/>
      <c r="Q1217" s="48"/>
      <c r="R1217" s="48"/>
      <c r="S1217" s="48"/>
      <c r="T1217" s="48"/>
      <c r="U1217" s="48"/>
      <c r="V1217" s="48"/>
      <c r="W1217" s="49"/>
      <c r="X1217" s="49"/>
      <c r="Y1217" s="49"/>
      <c r="Z1217" s="49"/>
      <c r="AA1217" s="49"/>
      <c r="AB1217" s="49"/>
      <c r="AC1217" s="49"/>
      <c r="AD1217" s="49"/>
      <c r="AE1217" s="49"/>
      <c r="AF1217" s="49"/>
      <c r="AG1217" s="49"/>
      <c r="AH1217" s="49"/>
      <c r="AI1217" s="48"/>
      <c r="AJ1217" s="48"/>
      <c r="AK1217" s="24"/>
      <c r="AL1217" s="50"/>
      <c r="AM1217" s="50"/>
      <c r="AN1217" s="50"/>
      <c r="AO1217" s="50"/>
      <c r="AP1217" s="50"/>
      <c r="AQ1217" s="50"/>
      <c r="AR1217" s="50"/>
      <c r="AS1217" s="50"/>
      <c r="AT1217" s="51"/>
      <c r="AU1217" s="51"/>
      <c r="AV1217" s="51"/>
      <c r="AW1217" s="51"/>
      <c r="AX1217" s="50"/>
      <c r="AY1217" s="50"/>
      <c r="AZ1217" s="50"/>
      <c r="BA1217" s="50"/>
      <c r="BB1217" s="51"/>
      <c r="BC1217" s="51"/>
      <c r="BD1217" s="51"/>
      <c r="BE1217" s="51"/>
      <c r="BF1217" s="47"/>
      <c r="BG1217" s="47"/>
      <c r="BH1217" s="47"/>
      <c r="BI1217" s="47"/>
      <c r="BJ1217" s="47"/>
      <c r="BK1217" s="47"/>
      <c r="BL1217" s="47"/>
      <c r="BM1217" s="47"/>
      <c r="BN1217" s="47"/>
      <c r="BO1217" s="47"/>
      <c r="BP1217" s="47"/>
      <c r="BQ1217" s="47"/>
      <c r="BR1217" s="47"/>
      <c r="BS1217" s="47"/>
      <c r="BT1217" s="47"/>
    </row>
    <row r="1218">
      <c r="A1218" s="24"/>
      <c r="B1218" s="48"/>
      <c r="C1218" s="49"/>
      <c r="D1218" s="24"/>
      <c r="E1218" s="52"/>
      <c r="F1218" s="53"/>
      <c r="G1218" s="48"/>
      <c r="H1218" s="49"/>
      <c r="I1218" s="49"/>
      <c r="J1218" s="48"/>
      <c r="K1218" s="48"/>
      <c r="L1218" s="48"/>
      <c r="M1218" s="48"/>
      <c r="N1218" s="48"/>
      <c r="O1218" s="48"/>
      <c r="P1218" s="48"/>
      <c r="Q1218" s="48"/>
      <c r="R1218" s="48"/>
      <c r="S1218" s="48"/>
      <c r="T1218" s="48"/>
      <c r="U1218" s="48"/>
      <c r="V1218" s="48"/>
      <c r="W1218" s="49"/>
      <c r="X1218" s="49"/>
      <c r="Y1218" s="49"/>
      <c r="Z1218" s="49"/>
      <c r="AA1218" s="49"/>
      <c r="AB1218" s="49"/>
      <c r="AC1218" s="49"/>
      <c r="AD1218" s="49"/>
      <c r="AE1218" s="49"/>
      <c r="AF1218" s="49"/>
      <c r="AG1218" s="49"/>
      <c r="AH1218" s="49"/>
      <c r="AI1218" s="48"/>
      <c r="AJ1218" s="48"/>
      <c r="AK1218" s="24"/>
      <c r="AL1218" s="50"/>
      <c r="AM1218" s="50"/>
      <c r="AN1218" s="50"/>
      <c r="AO1218" s="50"/>
      <c r="AP1218" s="50"/>
      <c r="AQ1218" s="50"/>
      <c r="AR1218" s="50"/>
      <c r="AS1218" s="50"/>
      <c r="AT1218" s="51"/>
      <c r="AU1218" s="51"/>
      <c r="AV1218" s="51"/>
      <c r="AW1218" s="51"/>
      <c r="AX1218" s="50"/>
      <c r="AY1218" s="50"/>
      <c r="AZ1218" s="50"/>
      <c r="BA1218" s="50"/>
      <c r="BB1218" s="51"/>
      <c r="BC1218" s="51"/>
      <c r="BD1218" s="51"/>
      <c r="BE1218" s="51"/>
      <c r="BF1218" s="47"/>
      <c r="BG1218" s="47"/>
      <c r="BH1218" s="47"/>
      <c r="BI1218" s="47"/>
      <c r="BJ1218" s="47"/>
      <c r="BK1218" s="47"/>
      <c r="BL1218" s="47"/>
      <c r="BM1218" s="47"/>
      <c r="BN1218" s="47"/>
      <c r="BO1218" s="47"/>
      <c r="BP1218" s="47"/>
      <c r="BQ1218" s="47"/>
      <c r="BR1218" s="47"/>
      <c r="BS1218" s="47"/>
      <c r="BT1218" s="47"/>
    </row>
    <row r="1219">
      <c r="A1219" s="24"/>
      <c r="B1219" s="48"/>
      <c r="C1219" s="49"/>
      <c r="D1219" s="24"/>
      <c r="E1219" s="52"/>
      <c r="F1219" s="53"/>
      <c r="G1219" s="48"/>
      <c r="H1219" s="49"/>
      <c r="I1219" s="49"/>
      <c r="J1219" s="48"/>
      <c r="K1219" s="48"/>
      <c r="L1219" s="48"/>
      <c r="M1219" s="48"/>
      <c r="N1219" s="48"/>
      <c r="O1219" s="48"/>
      <c r="P1219" s="48"/>
      <c r="Q1219" s="48"/>
      <c r="R1219" s="48"/>
      <c r="S1219" s="48"/>
      <c r="T1219" s="48"/>
      <c r="U1219" s="48"/>
      <c r="V1219" s="48"/>
      <c r="W1219" s="49"/>
      <c r="X1219" s="49"/>
      <c r="Y1219" s="49"/>
      <c r="Z1219" s="49"/>
      <c r="AA1219" s="49"/>
      <c r="AB1219" s="49"/>
      <c r="AC1219" s="49"/>
      <c r="AD1219" s="49"/>
      <c r="AE1219" s="49"/>
      <c r="AF1219" s="49"/>
      <c r="AG1219" s="49"/>
      <c r="AH1219" s="49"/>
      <c r="AI1219" s="48"/>
      <c r="AJ1219" s="48"/>
      <c r="AK1219" s="24"/>
      <c r="AL1219" s="50"/>
      <c r="AM1219" s="50"/>
      <c r="AN1219" s="50"/>
      <c r="AO1219" s="50"/>
      <c r="AP1219" s="50"/>
      <c r="AQ1219" s="50"/>
      <c r="AR1219" s="50"/>
      <c r="AS1219" s="50"/>
      <c r="AT1219" s="51"/>
      <c r="AU1219" s="51"/>
      <c r="AV1219" s="51"/>
      <c r="AW1219" s="51"/>
      <c r="AX1219" s="50"/>
      <c r="AY1219" s="50"/>
      <c r="AZ1219" s="50"/>
      <c r="BA1219" s="50"/>
      <c r="BB1219" s="51"/>
      <c r="BC1219" s="51"/>
      <c r="BD1219" s="51"/>
      <c r="BE1219" s="51"/>
      <c r="BF1219" s="47"/>
      <c r="BG1219" s="47"/>
      <c r="BH1219" s="47"/>
      <c r="BI1219" s="47"/>
      <c r="BJ1219" s="47"/>
      <c r="BK1219" s="47"/>
      <c r="BL1219" s="47"/>
      <c r="BM1219" s="47"/>
      <c r="BN1219" s="47"/>
      <c r="BO1219" s="47"/>
      <c r="BP1219" s="47"/>
      <c r="BQ1219" s="47"/>
      <c r="BR1219" s="47"/>
      <c r="BS1219" s="47"/>
      <c r="BT1219" s="47"/>
    </row>
    <row r="1220">
      <c r="A1220" s="24"/>
      <c r="B1220" s="48"/>
      <c r="C1220" s="49"/>
      <c r="D1220" s="24"/>
      <c r="E1220" s="52"/>
      <c r="F1220" s="53"/>
      <c r="G1220" s="48"/>
      <c r="H1220" s="49"/>
      <c r="I1220" s="49"/>
      <c r="J1220" s="48"/>
      <c r="K1220" s="48"/>
      <c r="L1220" s="48"/>
      <c r="M1220" s="48"/>
      <c r="N1220" s="48"/>
      <c r="O1220" s="48"/>
      <c r="P1220" s="48"/>
      <c r="Q1220" s="48"/>
      <c r="R1220" s="48"/>
      <c r="S1220" s="48"/>
      <c r="T1220" s="48"/>
      <c r="U1220" s="48"/>
      <c r="V1220" s="48"/>
      <c r="W1220" s="49"/>
      <c r="X1220" s="49"/>
      <c r="Y1220" s="49"/>
      <c r="Z1220" s="49"/>
      <c r="AA1220" s="49"/>
      <c r="AB1220" s="49"/>
      <c r="AC1220" s="49"/>
      <c r="AD1220" s="49"/>
      <c r="AE1220" s="49"/>
      <c r="AF1220" s="49"/>
      <c r="AG1220" s="49"/>
      <c r="AH1220" s="49"/>
      <c r="AI1220" s="48"/>
      <c r="AJ1220" s="48"/>
      <c r="AK1220" s="24"/>
      <c r="AL1220" s="50"/>
      <c r="AM1220" s="50"/>
      <c r="AN1220" s="50"/>
      <c r="AO1220" s="50"/>
      <c r="AP1220" s="50"/>
      <c r="AQ1220" s="50"/>
      <c r="AR1220" s="50"/>
      <c r="AS1220" s="50"/>
      <c r="AT1220" s="51"/>
      <c r="AU1220" s="51"/>
      <c r="AV1220" s="51"/>
      <c r="AW1220" s="51"/>
      <c r="AX1220" s="50"/>
      <c r="AY1220" s="50"/>
      <c r="AZ1220" s="50"/>
      <c r="BA1220" s="50"/>
      <c r="BB1220" s="51"/>
      <c r="BC1220" s="51"/>
      <c r="BD1220" s="51"/>
      <c r="BE1220" s="51"/>
      <c r="BF1220" s="47"/>
      <c r="BG1220" s="47"/>
      <c r="BH1220" s="47"/>
      <c r="BI1220" s="47"/>
      <c r="BJ1220" s="47"/>
      <c r="BK1220" s="47"/>
      <c r="BL1220" s="47"/>
      <c r="BM1220" s="47"/>
      <c r="BN1220" s="47"/>
      <c r="BO1220" s="47"/>
      <c r="BP1220" s="47"/>
      <c r="BQ1220" s="47"/>
      <c r="BR1220" s="47"/>
      <c r="BS1220" s="47"/>
      <c r="BT1220" s="47"/>
    </row>
    <row r="1221">
      <c r="A1221" s="24"/>
      <c r="B1221" s="48"/>
      <c r="C1221" s="49"/>
      <c r="D1221" s="24"/>
      <c r="E1221" s="52"/>
      <c r="F1221" s="53"/>
      <c r="G1221" s="48"/>
      <c r="H1221" s="49"/>
      <c r="I1221" s="49"/>
      <c r="J1221" s="48"/>
      <c r="K1221" s="48"/>
      <c r="L1221" s="48"/>
      <c r="M1221" s="48"/>
      <c r="N1221" s="48"/>
      <c r="O1221" s="48"/>
      <c r="P1221" s="48"/>
      <c r="Q1221" s="48"/>
      <c r="R1221" s="48"/>
      <c r="S1221" s="48"/>
      <c r="T1221" s="48"/>
      <c r="U1221" s="48"/>
      <c r="V1221" s="48"/>
      <c r="W1221" s="49"/>
      <c r="X1221" s="49"/>
      <c r="Y1221" s="49"/>
      <c r="Z1221" s="49"/>
      <c r="AA1221" s="49"/>
      <c r="AB1221" s="49"/>
      <c r="AC1221" s="49"/>
      <c r="AD1221" s="49"/>
      <c r="AE1221" s="49"/>
      <c r="AF1221" s="49"/>
      <c r="AG1221" s="49"/>
      <c r="AH1221" s="49"/>
      <c r="AI1221" s="48"/>
      <c r="AJ1221" s="48"/>
      <c r="AK1221" s="24"/>
      <c r="AL1221" s="50"/>
      <c r="AM1221" s="50"/>
      <c r="AN1221" s="50"/>
      <c r="AO1221" s="50"/>
      <c r="AP1221" s="50"/>
      <c r="AQ1221" s="50"/>
      <c r="AR1221" s="50"/>
      <c r="AS1221" s="50"/>
      <c r="AT1221" s="51"/>
      <c r="AU1221" s="51"/>
      <c r="AV1221" s="51"/>
      <c r="AW1221" s="51"/>
      <c r="AX1221" s="50"/>
      <c r="AY1221" s="50"/>
      <c r="AZ1221" s="50"/>
      <c r="BA1221" s="50"/>
      <c r="BB1221" s="51"/>
      <c r="BC1221" s="51"/>
      <c r="BD1221" s="51"/>
      <c r="BE1221" s="51"/>
      <c r="BF1221" s="47"/>
      <c r="BG1221" s="47"/>
      <c r="BH1221" s="47"/>
      <c r="BI1221" s="47"/>
      <c r="BJ1221" s="47"/>
      <c r="BK1221" s="47"/>
      <c r="BL1221" s="47"/>
      <c r="BM1221" s="47"/>
      <c r="BN1221" s="47"/>
      <c r="BO1221" s="47"/>
      <c r="BP1221" s="47"/>
      <c r="BQ1221" s="47"/>
      <c r="BR1221" s="47"/>
      <c r="BS1221" s="47"/>
      <c r="BT1221" s="47"/>
    </row>
    <row r="1222">
      <c r="A1222" s="24"/>
      <c r="B1222" s="48"/>
      <c r="C1222" s="49"/>
      <c r="D1222" s="24"/>
      <c r="E1222" s="52"/>
      <c r="F1222" s="53"/>
      <c r="G1222" s="48"/>
      <c r="H1222" s="49"/>
      <c r="I1222" s="49"/>
      <c r="J1222" s="48"/>
      <c r="K1222" s="48"/>
      <c r="L1222" s="48"/>
      <c r="M1222" s="48"/>
      <c r="N1222" s="48"/>
      <c r="O1222" s="48"/>
      <c r="P1222" s="48"/>
      <c r="Q1222" s="48"/>
      <c r="R1222" s="48"/>
      <c r="S1222" s="48"/>
      <c r="T1222" s="48"/>
      <c r="U1222" s="48"/>
      <c r="V1222" s="48"/>
      <c r="W1222" s="49"/>
      <c r="X1222" s="49"/>
      <c r="Y1222" s="49"/>
      <c r="Z1222" s="49"/>
      <c r="AA1222" s="49"/>
      <c r="AB1222" s="49"/>
      <c r="AC1222" s="49"/>
      <c r="AD1222" s="49"/>
      <c r="AE1222" s="49"/>
      <c r="AF1222" s="49"/>
      <c r="AG1222" s="49"/>
      <c r="AH1222" s="49"/>
      <c r="AI1222" s="48"/>
      <c r="AJ1222" s="48"/>
      <c r="AK1222" s="24"/>
      <c r="AL1222" s="50"/>
      <c r="AM1222" s="50"/>
      <c r="AN1222" s="50"/>
      <c r="AO1222" s="50"/>
      <c r="AP1222" s="50"/>
      <c r="AQ1222" s="50"/>
      <c r="AR1222" s="50"/>
      <c r="AS1222" s="50"/>
      <c r="AT1222" s="51"/>
      <c r="AU1222" s="51"/>
      <c r="AV1222" s="51"/>
      <c r="AW1222" s="51"/>
      <c r="AX1222" s="50"/>
      <c r="AY1222" s="50"/>
      <c r="AZ1222" s="50"/>
      <c r="BA1222" s="50"/>
      <c r="BB1222" s="51"/>
      <c r="BC1222" s="51"/>
      <c r="BD1222" s="51"/>
      <c r="BE1222" s="51"/>
      <c r="BF1222" s="47"/>
      <c r="BG1222" s="47"/>
      <c r="BH1222" s="47"/>
      <c r="BI1222" s="47"/>
      <c r="BJ1222" s="47"/>
      <c r="BK1222" s="47"/>
      <c r="BL1222" s="47"/>
      <c r="BM1222" s="47"/>
      <c r="BN1222" s="47"/>
      <c r="BO1222" s="47"/>
      <c r="BP1222" s="47"/>
      <c r="BQ1222" s="47"/>
      <c r="BR1222" s="47"/>
      <c r="BS1222" s="47"/>
      <c r="BT1222" s="47"/>
    </row>
    <row r="1223">
      <c r="A1223" s="24"/>
      <c r="B1223" s="48"/>
      <c r="C1223" s="49"/>
      <c r="D1223" s="24"/>
      <c r="E1223" s="52"/>
      <c r="F1223" s="53"/>
      <c r="G1223" s="48"/>
      <c r="H1223" s="49"/>
      <c r="I1223" s="49"/>
      <c r="J1223" s="48"/>
      <c r="K1223" s="48"/>
      <c r="L1223" s="48"/>
      <c r="M1223" s="48"/>
      <c r="N1223" s="48"/>
      <c r="O1223" s="48"/>
      <c r="P1223" s="48"/>
      <c r="Q1223" s="48"/>
      <c r="R1223" s="48"/>
      <c r="S1223" s="48"/>
      <c r="T1223" s="48"/>
      <c r="U1223" s="48"/>
      <c r="V1223" s="48"/>
      <c r="W1223" s="49"/>
      <c r="X1223" s="49"/>
      <c r="Y1223" s="49"/>
      <c r="Z1223" s="49"/>
      <c r="AA1223" s="49"/>
      <c r="AB1223" s="49"/>
      <c r="AC1223" s="49"/>
      <c r="AD1223" s="49"/>
      <c r="AE1223" s="49"/>
      <c r="AF1223" s="49"/>
      <c r="AG1223" s="49"/>
      <c r="AH1223" s="49"/>
      <c r="AI1223" s="48"/>
      <c r="AJ1223" s="48"/>
      <c r="AK1223" s="24"/>
      <c r="AL1223" s="50"/>
      <c r="AM1223" s="50"/>
      <c r="AN1223" s="50"/>
      <c r="AO1223" s="50"/>
      <c r="AP1223" s="50"/>
      <c r="AQ1223" s="50"/>
      <c r="AR1223" s="50"/>
      <c r="AS1223" s="50"/>
      <c r="AT1223" s="51"/>
      <c r="AU1223" s="51"/>
      <c r="AV1223" s="51"/>
      <c r="AW1223" s="51"/>
      <c r="AX1223" s="50"/>
      <c r="AY1223" s="50"/>
      <c r="AZ1223" s="50"/>
      <c r="BA1223" s="50"/>
      <c r="BB1223" s="51"/>
      <c r="BC1223" s="51"/>
      <c r="BD1223" s="51"/>
      <c r="BE1223" s="51"/>
      <c r="BF1223" s="47"/>
      <c r="BG1223" s="47"/>
      <c r="BH1223" s="47"/>
      <c r="BI1223" s="47"/>
      <c r="BJ1223" s="47"/>
      <c r="BK1223" s="47"/>
      <c r="BL1223" s="47"/>
      <c r="BM1223" s="47"/>
      <c r="BN1223" s="47"/>
      <c r="BO1223" s="47"/>
      <c r="BP1223" s="47"/>
      <c r="BQ1223" s="47"/>
      <c r="BR1223" s="47"/>
      <c r="BS1223" s="47"/>
      <c r="BT1223" s="47"/>
    </row>
    <row r="1224">
      <c r="A1224" s="24"/>
      <c r="B1224" s="48"/>
      <c r="C1224" s="49"/>
      <c r="D1224" s="24"/>
      <c r="E1224" s="52"/>
      <c r="F1224" s="53"/>
      <c r="G1224" s="48"/>
      <c r="H1224" s="49"/>
      <c r="I1224" s="49"/>
      <c r="J1224" s="48"/>
      <c r="K1224" s="48"/>
      <c r="L1224" s="48"/>
      <c r="M1224" s="48"/>
      <c r="N1224" s="48"/>
      <c r="O1224" s="48"/>
      <c r="P1224" s="48"/>
      <c r="Q1224" s="48"/>
      <c r="R1224" s="48"/>
      <c r="S1224" s="48"/>
      <c r="T1224" s="48"/>
      <c r="U1224" s="48"/>
      <c r="V1224" s="48"/>
      <c r="W1224" s="49"/>
      <c r="X1224" s="49"/>
      <c r="Y1224" s="49"/>
      <c r="Z1224" s="49"/>
      <c r="AA1224" s="49"/>
      <c r="AB1224" s="49"/>
      <c r="AC1224" s="49"/>
      <c r="AD1224" s="49"/>
      <c r="AE1224" s="49"/>
      <c r="AF1224" s="49"/>
      <c r="AG1224" s="49"/>
      <c r="AH1224" s="49"/>
      <c r="AI1224" s="48"/>
      <c r="AJ1224" s="48"/>
      <c r="AK1224" s="24"/>
      <c r="AL1224" s="50"/>
      <c r="AM1224" s="50"/>
      <c r="AN1224" s="50"/>
      <c r="AO1224" s="50"/>
      <c r="AP1224" s="50"/>
      <c r="AQ1224" s="50"/>
      <c r="AR1224" s="50"/>
      <c r="AS1224" s="50"/>
      <c r="AT1224" s="51"/>
      <c r="AU1224" s="51"/>
      <c r="AV1224" s="51"/>
      <c r="AW1224" s="51"/>
      <c r="AX1224" s="50"/>
      <c r="AY1224" s="50"/>
      <c r="AZ1224" s="50"/>
      <c r="BA1224" s="50"/>
      <c r="BB1224" s="51"/>
      <c r="BC1224" s="51"/>
      <c r="BD1224" s="51"/>
      <c r="BE1224" s="51"/>
      <c r="BF1224" s="47"/>
      <c r="BG1224" s="47"/>
      <c r="BH1224" s="47"/>
      <c r="BI1224" s="47"/>
      <c r="BJ1224" s="47"/>
      <c r="BK1224" s="47"/>
      <c r="BL1224" s="47"/>
      <c r="BM1224" s="47"/>
      <c r="BN1224" s="47"/>
      <c r="BO1224" s="47"/>
      <c r="BP1224" s="47"/>
      <c r="BQ1224" s="47"/>
      <c r="BR1224" s="47"/>
      <c r="BS1224" s="47"/>
      <c r="BT1224" s="47"/>
    </row>
    <row r="1225">
      <c r="A1225" s="24"/>
      <c r="B1225" s="48"/>
      <c r="C1225" s="49"/>
      <c r="D1225" s="24"/>
      <c r="E1225" s="52"/>
      <c r="F1225" s="53"/>
      <c r="G1225" s="48"/>
      <c r="H1225" s="49"/>
      <c r="I1225" s="49"/>
      <c r="J1225" s="48"/>
      <c r="K1225" s="48"/>
      <c r="L1225" s="48"/>
      <c r="M1225" s="48"/>
      <c r="N1225" s="48"/>
      <c r="O1225" s="48"/>
      <c r="P1225" s="48"/>
      <c r="Q1225" s="48"/>
      <c r="R1225" s="48"/>
      <c r="S1225" s="48"/>
      <c r="T1225" s="48"/>
      <c r="U1225" s="48"/>
      <c r="V1225" s="48"/>
      <c r="W1225" s="49"/>
      <c r="X1225" s="49"/>
      <c r="Y1225" s="49"/>
      <c r="Z1225" s="49"/>
      <c r="AA1225" s="49"/>
      <c r="AB1225" s="49"/>
      <c r="AC1225" s="49"/>
      <c r="AD1225" s="49"/>
      <c r="AE1225" s="49"/>
      <c r="AF1225" s="49"/>
      <c r="AG1225" s="49"/>
      <c r="AH1225" s="49"/>
      <c r="AI1225" s="48"/>
      <c r="AJ1225" s="48"/>
      <c r="AK1225" s="24"/>
      <c r="AL1225" s="50"/>
      <c r="AM1225" s="50"/>
      <c r="AN1225" s="50"/>
      <c r="AO1225" s="50"/>
      <c r="AP1225" s="50"/>
      <c r="AQ1225" s="50"/>
      <c r="AR1225" s="50"/>
      <c r="AS1225" s="50"/>
      <c r="AT1225" s="51"/>
      <c r="AU1225" s="51"/>
      <c r="AV1225" s="51"/>
      <c r="AW1225" s="51"/>
      <c r="AX1225" s="50"/>
      <c r="AY1225" s="50"/>
      <c r="AZ1225" s="50"/>
      <c r="BA1225" s="50"/>
      <c r="BB1225" s="51"/>
      <c r="BC1225" s="51"/>
      <c r="BD1225" s="51"/>
      <c r="BE1225" s="51"/>
      <c r="BF1225" s="47"/>
      <c r="BG1225" s="47"/>
      <c r="BH1225" s="47"/>
      <c r="BI1225" s="47"/>
      <c r="BJ1225" s="47"/>
      <c r="BK1225" s="47"/>
      <c r="BL1225" s="47"/>
      <c r="BM1225" s="47"/>
      <c r="BN1225" s="47"/>
      <c r="BO1225" s="47"/>
      <c r="BP1225" s="47"/>
      <c r="BQ1225" s="47"/>
      <c r="BR1225" s="47"/>
      <c r="BS1225" s="47"/>
      <c r="BT1225" s="47"/>
    </row>
    <row r="1226">
      <c r="A1226" s="24"/>
      <c r="B1226" s="48"/>
      <c r="C1226" s="49"/>
      <c r="D1226" s="24"/>
      <c r="E1226" s="52"/>
      <c r="F1226" s="53"/>
      <c r="G1226" s="48"/>
      <c r="H1226" s="49"/>
      <c r="I1226" s="49"/>
      <c r="J1226" s="48"/>
      <c r="K1226" s="48"/>
      <c r="L1226" s="48"/>
      <c r="M1226" s="48"/>
      <c r="N1226" s="48"/>
      <c r="O1226" s="48"/>
      <c r="P1226" s="48"/>
      <c r="Q1226" s="48"/>
      <c r="R1226" s="48"/>
      <c r="S1226" s="48"/>
      <c r="T1226" s="48"/>
      <c r="U1226" s="48"/>
      <c r="V1226" s="48"/>
      <c r="W1226" s="49"/>
      <c r="X1226" s="49"/>
      <c r="Y1226" s="49"/>
      <c r="Z1226" s="49"/>
      <c r="AA1226" s="49"/>
      <c r="AB1226" s="49"/>
      <c r="AC1226" s="49"/>
      <c r="AD1226" s="49"/>
      <c r="AE1226" s="49"/>
      <c r="AF1226" s="49"/>
      <c r="AG1226" s="49"/>
      <c r="AH1226" s="49"/>
      <c r="AI1226" s="48"/>
      <c r="AJ1226" s="48"/>
      <c r="AK1226" s="24"/>
      <c r="AL1226" s="50"/>
      <c r="AM1226" s="50"/>
      <c r="AN1226" s="50"/>
      <c r="AO1226" s="50"/>
      <c r="AP1226" s="50"/>
      <c r="AQ1226" s="50"/>
      <c r="AR1226" s="50"/>
      <c r="AS1226" s="50"/>
      <c r="AT1226" s="51"/>
      <c r="AU1226" s="51"/>
      <c r="AV1226" s="51"/>
      <c r="AW1226" s="51"/>
      <c r="AX1226" s="50"/>
      <c r="AY1226" s="50"/>
      <c r="AZ1226" s="50"/>
      <c r="BA1226" s="50"/>
      <c r="BB1226" s="51"/>
      <c r="BC1226" s="51"/>
      <c r="BD1226" s="51"/>
      <c r="BE1226" s="51"/>
      <c r="BF1226" s="47"/>
      <c r="BG1226" s="47"/>
      <c r="BH1226" s="47"/>
      <c r="BI1226" s="47"/>
      <c r="BJ1226" s="47"/>
      <c r="BK1226" s="47"/>
      <c r="BL1226" s="47"/>
      <c r="BM1226" s="47"/>
      <c r="BN1226" s="47"/>
      <c r="BO1226" s="47"/>
      <c r="BP1226" s="47"/>
      <c r="BQ1226" s="47"/>
      <c r="BR1226" s="47"/>
      <c r="BS1226" s="47"/>
      <c r="BT1226" s="47"/>
    </row>
    <row r="1227">
      <c r="A1227" s="24"/>
      <c r="B1227" s="48"/>
      <c r="C1227" s="49"/>
      <c r="D1227" s="24"/>
      <c r="E1227" s="52"/>
      <c r="F1227" s="53"/>
      <c r="G1227" s="48"/>
      <c r="H1227" s="49"/>
      <c r="I1227" s="49"/>
      <c r="J1227" s="48"/>
      <c r="K1227" s="48"/>
      <c r="L1227" s="48"/>
      <c r="M1227" s="48"/>
      <c r="N1227" s="48"/>
      <c r="O1227" s="48"/>
      <c r="P1227" s="48"/>
      <c r="Q1227" s="48"/>
      <c r="R1227" s="48"/>
      <c r="S1227" s="48"/>
      <c r="T1227" s="48"/>
      <c r="U1227" s="48"/>
      <c r="V1227" s="48"/>
      <c r="W1227" s="49"/>
      <c r="X1227" s="49"/>
      <c r="Y1227" s="49"/>
      <c r="Z1227" s="49"/>
      <c r="AA1227" s="49"/>
      <c r="AB1227" s="49"/>
      <c r="AC1227" s="49"/>
      <c r="AD1227" s="49"/>
      <c r="AE1227" s="49"/>
      <c r="AF1227" s="49"/>
      <c r="AG1227" s="49"/>
      <c r="AH1227" s="49"/>
      <c r="AI1227" s="48"/>
      <c r="AJ1227" s="48"/>
      <c r="AK1227" s="24"/>
      <c r="AL1227" s="50"/>
      <c r="AM1227" s="50"/>
      <c r="AN1227" s="50"/>
      <c r="AO1227" s="50"/>
      <c r="AP1227" s="50"/>
      <c r="AQ1227" s="50"/>
      <c r="AR1227" s="50"/>
      <c r="AS1227" s="50"/>
      <c r="AT1227" s="51"/>
      <c r="AU1227" s="51"/>
      <c r="AV1227" s="51"/>
      <c r="AW1227" s="51"/>
      <c r="AX1227" s="50"/>
      <c r="AY1227" s="50"/>
      <c r="AZ1227" s="50"/>
      <c r="BA1227" s="50"/>
      <c r="BB1227" s="51"/>
      <c r="BC1227" s="51"/>
      <c r="BD1227" s="51"/>
      <c r="BE1227" s="51"/>
      <c r="BF1227" s="47"/>
      <c r="BG1227" s="47"/>
      <c r="BH1227" s="47"/>
      <c r="BI1227" s="47"/>
      <c r="BJ1227" s="47"/>
      <c r="BK1227" s="47"/>
      <c r="BL1227" s="47"/>
      <c r="BM1227" s="47"/>
      <c r="BN1227" s="47"/>
      <c r="BO1227" s="47"/>
      <c r="BP1227" s="47"/>
      <c r="BQ1227" s="47"/>
      <c r="BR1227" s="47"/>
      <c r="BS1227" s="47"/>
      <c r="BT1227" s="47"/>
    </row>
    <row r="1228">
      <c r="A1228" s="24"/>
      <c r="B1228" s="48"/>
      <c r="C1228" s="49"/>
      <c r="D1228" s="24"/>
      <c r="E1228" s="52"/>
      <c r="F1228" s="53"/>
      <c r="G1228" s="48"/>
      <c r="H1228" s="49"/>
      <c r="I1228" s="49"/>
      <c r="J1228" s="48"/>
      <c r="K1228" s="48"/>
      <c r="L1228" s="48"/>
      <c r="M1228" s="48"/>
      <c r="N1228" s="48"/>
      <c r="O1228" s="48"/>
      <c r="P1228" s="48"/>
      <c r="Q1228" s="48"/>
      <c r="R1228" s="48"/>
      <c r="S1228" s="48"/>
      <c r="T1228" s="48"/>
      <c r="U1228" s="48"/>
      <c r="V1228" s="48"/>
      <c r="W1228" s="49"/>
      <c r="X1228" s="49"/>
      <c r="Y1228" s="49"/>
      <c r="Z1228" s="49"/>
      <c r="AA1228" s="49"/>
      <c r="AB1228" s="49"/>
      <c r="AC1228" s="49"/>
      <c r="AD1228" s="49"/>
      <c r="AE1228" s="49"/>
      <c r="AF1228" s="49"/>
      <c r="AG1228" s="49"/>
      <c r="AH1228" s="49"/>
      <c r="AI1228" s="48"/>
      <c r="AJ1228" s="48"/>
      <c r="AK1228" s="24"/>
      <c r="AL1228" s="50"/>
      <c r="AM1228" s="50"/>
      <c r="AN1228" s="50"/>
      <c r="AO1228" s="50"/>
      <c r="AP1228" s="50"/>
      <c r="AQ1228" s="50"/>
      <c r="AR1228" s="50"/>
      <c r="AS1228" s="50"/>
      <c r="AT1228" s="51"/>
      <c r="AU1228" s="51"/>
      <c r="AV1228" s="51"/>
      <c r="AW1228" s="51"/>
      <c r="AX1228" s="50"/>
      <c r="AY1228" s="50"/>
      <c r="AZ1228" s="50"/>
      <c r="BA1228" s="50"/>
      <c r="BB1228" s="51"/>
      <c r="BC1228" s="51"/>
      <c r="BD1228" s="51"/>
      <c r="BE1228" s="51"/>
      <c r="BF1228" s="47"/>
      <c r="BG1228" s="47"/>
      <c r="BH1228" s="47"/>
      <c r="BI1228" s="47"/>
      <c r="BJ1228" s="47"/>
      <c r="BK1228" s="47"/>
      <c r="BL1228" s="47"/>
      <c r="BM1228" s="47"/>
      <c r="BN1228" s="47"/>
      <c r="BO1228" s="47"/>
      <c r="BP1228" s="47"/>
      <c r="BQ1228" s="47"/>
      <c r="BR1228" s="47"/>
      <c r="BS1228" s="47"/>
      <c r="BT1228" s="47"/>
    </row>
    <row r="1229">
      <c r="A1229" s="24"/>
      <c r="B1229" s="48"/>
      <c r="C1229" s="49"/>
      <c r="D1229" s="24"/>
      <c r="E1229" s="52"/>
      <c r="F1229" s="53"/>
      <c r="G1229" s="48"/>
      <c r="H1229" s="49"/>
      <c r="I1229" s="49"/>
      <c r="J1229" s="48"/>
      <c r="K1229" s="48"/>
      <c r="L1229" s="48"/>
      <c r="M1229" s="48"/>
      <c r="N1229" s="48"/>
      <c r="O1229" s="48"/>
      <c r="P1229" s="48"/>
      <c r="Q1229" s="48"/>
      <c r="R1229" s="48"/>
      <c r="S1229" s="48"/>
      <c r="T1229" s="48"/>
      <c r="U1229" s="48"/>
      <c r="V1229" s="48"/>
      <c r="W1229" s="49"/>
      <c r="X1229" s="49"/>
      <c r="Y1229" s="49"/>
      <c r="Z1229" s="49"/>
      <c r="AA1229" s="49"/>
      <c r="AB1229" s="49"/>
      <c r="AC1229" s="49"/>
      <c r="AD1229" s="49"/>
      <c r="AE1229" s="49"/>
      <c r="AF1229" s="49"/>
      <c r="AG1229" s="49"/>
      <c r="AH1229" s="49"/>
      <c r="AI1229" s="48"/>
      <c r="AJ1229" s="48"/>
      <c r="AK1229" s="24"/>
      <c r="AL1229" s="50"/>
      <c r="AM1229" s="50"/>
      <c r="AN1229" s="50"/>
      <c r="AO1229" s="50"/>
      <c r="AP1229" s="50"/>
      <c r="AQ1229" s="50"/>
      <c r="AR1229" s="50"/>
      <c r="AS1229" s="50"/>
      <c r="AT1229" s="51"/>
      <c r="AU1229" s="51"/>
      <c r="AV1229" s="51"/>
      <c r="AW1229" s="51"/>
      <c r="AX1229" s="50"/>
      <c r="AY1229" s="50"/>
      <c r="AZ1229" s="50"/>
      <c r="BA1229" s="50"/>
      <c r="BB1229" s="51"/>
      <c r="BC1229" s="51"/>
      <c r="BD1229" s="51"/>
      <c r="BE1229" s="51"/>
      <c r="BF1229" s="47"/>
      <c r="BG1229" s="47"/>
      <c r="BH1229" s="47"/>
      <c r="BI1229" s="47"/>
      <c r="BJ1229" s="47"/>
      <c r="BK1229" s="47"/>
      <c r="BL1229" s="47"/>
      <c r="BM1229" s="47"/>
      <c r="BN1229" s="47"/>
      <c r="BO1229" s="47"/>
      <c r="BP1229" s="47"/>
      <c r="BQ1229" s="47"/>
      <c r="BR1229" s="47"/>
      <c r="BS1229" s="47"/>
      <c r="BT1229" s="47"/>
    </row>
    <row r="1230">
      <c r="A1230" s="24"/>
      <c r="B1230" s="48"/>
      <c r="C1230" s="49"/>
      <c r="D1230" s="24"/>
      <c r="E1230" s="52"/>
      <c r="F1230" s="53"/>
      <c r="G1230" s="48"/>
      <c r="H1230" s="49"/>
      <c r="I1230" s="49"/>
      <c r="J1230" s="48"/>
      <c r="K1230" s="48"/>
      <c r="L1230" s="48"/>
      <c r="M1230" s="48"/>
      <c r="N1230" s="48"/>
      <c r="O1230" s="48"/>
      <c r="P1230" s="48"/>
      <c r="Q1230" s="48"/>
      <c r="R1230" s="48"/>
      <c r="S1230" s="48"/>
      <c r="T1230" s="48"/>
      <c r="U1230" s="48"/>
      <c r="V1230" s="48"/>
      <c r="W1230" s="49"/>
      <c r="X1230" s="49"/>
      <c r="Y1230" s="49"/>
      <c r="Z1230" s="49"/>
      <c r="AA1230" s="49"/>
      <c r="AB1230" s="49"/>
      <c r="AC1230" s="49"/>
      <c r="AD1230" s="49"/>
      <c r="AE1230" s="49"/>
      <c r="AF1230" s="49"/>
      <c r="AG1230" s="49"/>
      <c r="AH1230" s="49"/>
      <c r="AI1230" s="48"/>
      <c r="AJ1230" s="48"/>
      <c r="AK1230" s="24"/>
      <c r="AL1230" s="50"/>
      <c r="AM1230" s="50"/>
      <c r="AN1230" s="50"/>
      <c r="AO1230" s="50"/>
      <c r="AP1230" s="50"/>
      <c r="AQ1230" s="50"/>
      <c r="AR1230" s="50"/>
      <c r="AS1230" s="50"/>
      <c r="AT1230" s="51"/>
      <c r="AU1230" s="51"/>
      <c r="AV1230" s="51"/>
      <c r="AW1230" s="51"/>
      <c r="AX1230" s="50"/>
      <c r="AY1230" s="50"/>
      <c r="AZ1230" s="50"/>
      <c r="BA1230" s="50"/>
      <c r="BB1230" s="51"/>
      <c r="BC1230" s="51"/>
      <c r="BD1230" s="51"/>
      <c r="BE1230" s="51"/>
      <c r="BF1230" s="47"/>
      <c r="BG1230" s="47"/>
      <c r="BH1230" s="47"/>
      <c r="BI1230" s="47"/>
      <c r="BJ1230" s="47"/>
      <c r="BK1230" s="47"/>
      <c r="BL1230" s="47"/>
      <c r="BM1230" s="47"/>
      <c r="BN1230" s="47"/>
      <c r="BO1230" s="47"/>
      <c r="BP1230" s="47"/>
      <c r="BQ1230" s="47"/>
      <c r="BR1230" s="47"/>
      <c r="BS1230" s="47"/>
      <c r="BT1230" s="47"/>
    </row>
    <row r="1231">
      <c r="A1231" s="24"/>
      <c r="B1231" s="48"/>
      <c r="C1231" s="49"/>
      <c r="D1231" s="24"/>
      <c r="E1231" s="52"/>
      <c r="F1231" s="53"/>
      <c r="G1231" s="48"/>
      <c r="H1231" s="49"/>
      <c r="I1231" s="49"/>
      <c r="J1231" s="48"/>
      <c r="K1231" s="48"/>
      <c r="L1231" s="48"/>
      <c r="M1231" s="48"/>
      <c r="N1231" s="48"/>
      <c r="O1231" s="48"/>
      <c r="P1231" s="48"/>
      <c r="Q1231" s="48"/>
      <c r="R1231" s="48"/>
      <c r="S1231" s="48"/>
      <c r="T1231" s="48"/>
      <c r="U1231" s="48"/>
      <c r="V1231" s="48"/>
      <c r="W1231" s="49"/>
      <c r="X1231" s="49"/>
      <c r="Y1231" s="49"/>
      <c r="Z1231" s="49"/>
      <c r="AA1231" s="49"/>
      <c r="AB1231" s="49"/>
      <c r="AC1231" s="49"/>
      <c r="AD1231" s="49"/>
      <c r="AE1231" s="49"/>
      <c r="AF1231" s="49"/>
      <c r="AG1231" s="49"/>
      <c r="AH1231" s="49"/>
      <c r="AI1231" s="48"/>
      <c r="AJ1231" s="48"/>
      <c r="AK1231" s="24"/>
      <c r="AL1231" s="50"/>
      <c r="AM1231" s="50"/>
      <c r="AN1231" s="50"/>
      <c r="AO1231" s="50"/>
      <c r="AP1231" s="50"/>
      <c r="AQ1231" s="50"/>
      <c r="AR1231" s="50"/>
      <c r="AS1231" s="50"/>
      <c r="AT1231" s="51"/>
      <c r="AU1231" s="51"/>
      <c r="AV1231" s="51"/>
      <c r="AW1231" s="51"/>
      <c r="AX1231" s="50"/>
      <c r="AY1231" s="50"/>
      <c r="AZ1231" s="50"/>
      <c r="BA1231" s="50"/>
      <c r="BB1231" s="51"/>
      <c r="BC1231" s="51"/>
      <c r="BD1231" s="51"/>
      <c r="BE1231" s="51"/>
      <c r="BF1231" s="47"/>
      <c r="BG1231" s="47"/>
      <c r="BH1231" s="47"/>
      <c r="BI1231" s="47"/>
      <c r="BJ1231" s="47"/>
      <c r="BK1231" s="47"/>
      <c r="BL1231" s="47"/>
      <c r="BM1231" s="47"/>
      <c r="BN1231" s="47"/>
      <c r="BO1231" s="47"/>
      <c r="BP1231" s="47"/>
      <c r="BQ1231" s="47"/>
      <c r="BR1231" s="47"/>
      <c r="BS1231" s="47"/>
      <c r="BT1231" s="47"/>
    </row>
    <row r="1232">
      <c r="A1232" s="24"/>
      <c r="B1232" s="48"/>
      <c r="C1232" s="49"/>
      <c r="D1232" s="24"/>
      <c r="E1232" s="52"/>
      <c r="F1232" s="53"/>
      <c r="G1232" s="48"/>
      <c r="H1232" s="49"/>
      <c r="I1232" s="49"/>
      <c r="J1232" s="48"/>
      <c r="K1232" s="48"/>
      <c r="L1232" s="48"/>
      <c r="M1232" s="48"/>
      <c r="N1232" s="48"/>
      <c r="O1232" s="48"/>
      <c r="P1232" s="48"/>
      <c r="Q1232" s="48"/>
      <c r="R1232" s="48"/>
      <c r="S1232" s="48"/>
      <c r="T1232" s="48"/>
      <c r="U1232" s="48"/>
      <c r="V1232" s="48"/>
      <c r="W1232" s="49"/>
      <c r="X1232" s="49"/>
      <c r="Y1232" s="49"/>
      <c r="Z1232" s="49"/>
      <c r="AA1232" s="49"/>
      <c r="AB1232" s="49"/>
      <c r="AC1232" s="49"/>
      <c r="AD1232" s="49"/>
      <c r="AE1232" s="49"/>
      <c r="AF1232" s="49"/>
      <c r="AG1232" s="49"/>
      <c r="AH1232" s="49"/>
      <c r="AI1232" s="48"/>
      <c r="AJ1232" s="48"/>
      <c r="AK1232" s="24"/>
      <c r="AL1232" s="50"/>
      <c r="AM1232" s="50"/>
      <c r="AN1232" s="50"/>
      <c r="AO1232" s="50"/>
      <c r="AP1232" s="50"/>
      <c r="AQ1232" s="50"/>
      <c r="AR1232" s="50"/>
      <c r="AS1232" s="50"/>
      <c r="AT1232" s="51"/>
      <c r="AU1232" s="51"/>
      <c r="AV1232" s="51"/>
      <c r="AW1232" s="51"/>
      <c r="AX1232" s="50"/>
      <c r="AY1232" s="50"/>
      <c r="AZ1232" s="50"/>
      <c r="BA1232" s="50"/>
      <c r="BB1232" s="51"/>
      <c r="BC1232" s="51"/>
      <c r="BD1232" s="51"/>
      <c r="BE1232" s="51"/>
      <c r="BF1232" s="47"/>
      <c r="BG1232" s="47"/>
      <c r="BH1232" s="47"/>
      <c r="BI1232" s="47"/>
      <c r="BJ1232" s="47"/>
      <c r="BK1232" s="47"/>
      <c r="BL1232" s="47"/>
      <c r="BM1232" s="47"/>
      <c r="BN1232" s="47"/>
      <c r="BO1232" s="47"/>
      <c r="BP1232" s="47"/>
      <c r="BQ1232" s="47"/>
      <c r="BR1232" s="47"/>
      <c r="BS1232" s="47"/>
      <c r="BT1232" s="47"/>
    </row>
    <row r="1233">
      <c r="A1233" s="24"/>
      <c r="B1233" s="48"/>
      <c r="C1233" s="49"/>
      <c r="D1233" s="24"/>
      <c r="E1233" s="52"/>
      <c r="F1233" s="53"/>
      <c r="G1233" s="48"/>
      <c r="H1233" s="49"/>
      <c r="I1233" s="49"/>
      <c r="J1233" s="48"/>
      <c r="K1233" s="48"/>
      <c r="L1233" s="48"/>
      <c r="M1233" s="48"/>
      <c r="N1233" s="48"/>
      <c r="O1233" s="48"/>
      <c r="P1233" s="48"/>
      <c r="Q1233" s="48"/>
      <c r="R1233" s="48"/>
      <c r="S1233" s="48"/>
      <c r="T1233" s="48"/>
      <c r="U1233" s="48"/>
      <c r="V1233" s="48"/>
      <c r="W1233" s="49"/>
      <c r="X1233" s="49"/>
      <c r="Y1233" s="49"/>
      <c r="Z1233" s="49"/>
      <c r="AA1233" s="49"/>
      <c r="AB1233" s="49"/>
      <c r="AC1233" s="49"/>
      <c r="AD1233" s="49"/>
      <c r="AE1233" s="49"/>
      <c r="AF1233" s="49"/>
      <c r="AG1233" s="49"/>
      <c r="AH1233" s="49"/>
      <c r="AI1233" s="48"/>
      <c r="AJ1233" s="48"/>
      <c r="AK1233" s="24"/>
      <c r="AL1233" s="50"/>
      <c r="AM1233" s="50"/>
      <c r="AN1233" s="50"/>
      <c r="AO1233" s="50"/>
      <c r="AP1233" s="50"/>
      <c r="AQ1233" s="50"/>
      <c r="AR1233" s="50"/>
      <c r="AS1233" s="50"/>
      <c r="AT1233" s="51"/>
      <c r="AU1233" s="51"/>
      <c r="AV1233" s="51"/>
      <c r="AW1233" s="51"/>
      <c r="AX1233" s="50"/>
      <c r="AY1233" s="50"/>
      <c r="AZ1233" s="50"/>
      <c r="BA1233" s="50"/>
      <c r="BB1233" s="51"/>
      <c r="BC1233" s="51"/>
      <c r="BD1233" s="51"/>
      <c r="BE1233" s="51"/>
      <c r="BF1233" s="47"/>
      <c r="BG1233" s="47"/>
      <c r="BH1233" s="47"/>
      <c r="BI1233" s="47"/>
      <c r="BJ1233" s="47"/>
      <c r="BK1233" s="47"/>
      <c r="BL1233" s="47"/>
      <c r="BM1233" s="47"/>
      <c r="BN1233" s="47"/>
      <c r="BO1233" s="47"/>
      <c r="BP1233" s="47"/>
      <c r="BQ1233" s="47"/>
      <c r="BR1233" s="47"/>
      <c r="BS1233" s="47"/>
      <c r="BT1233" s="47"/>
    </row>
    <row r="1234">
      <c r="A1234" s="24"/>
      <c r="B1234" s="48"/>
      <c r="C1234" s="49"/>
      <c r="D1234" s="24"/>
      <c r="E1234" s="52"/>
      <c r="F1234" s="53"/>
      <c r="G1234" s="48"/>
      <c r="H1234" s="49"/>
      <c r="I1234" s="49"/>
      <c r="J1234" s="48"/>
      <c r="K1234" s="48"/>
      <c r="L1234" s="48"/>
      <c r="M1234" s="48"/>
      <c r="N1234" s="48"/>
      <c r="O1234" s="48"/>
      <c r="P1234" s="48"/>
      <c r="Q1234" s="48"/>
      <c r="R1234" s="48"/>
      <c r="S1234" s="48"/>
      <c r="T1234" s="48"/>
      <c r="U1234" s="48"/>
      <c r="V1234" s="48"/>
      <c r="W1234" s="49"/>
      <c r="X1234" s="49"/>
      <c r="Y1234" s="49"/>
      <c r="Z1234" s="49"/>
      <c r="AA1234" s="49"/>
      <c r="AB1234" s="49"/>
      <c r="AC1234" s="49"/>
      <c r="AD1234" s="49"/>
      <c r="AE1234" s="49"/>
      <c r="AF1234" s="49"/>
      <c r="AG1234" s="49"/>
      <c r="AH1234" s="49"/>
      <c r="AI1234" s="48"/>
      <c r="AJ1234" s="48"/>
      <c r="AK1234" s="24"/>
      <c r="AL1234" s="50"/>
      <c r="AM1234" s="50"/>
      <c r="AN1234" s="50"/>
      <c r="AO1234" s="50"/>
      <c r="AP1234" s="50"/>
      <c r="AQ1234" s="50"/>
      <c r="AR1234" s="50"/>
      <c r="AS1234" s="50"/>
      <c r="AT1234" s="51"/>
      <c r="AU1234" s="51"/>
      <c r="AV1234" s="51"/>
      <c r="AW1234" s="51"/>
      <c r="AX1234" s="50"/>
      <c r="AY1234" s="50"/>
      <c r="AZ1234" s="50"/>
      <c r="BA1234" s="50"/>
      <c r="BB1234" s="51"/>
      <c r="BC1234" s="51"/>
      <c r="BD1234" s="51"/>
      <c r="BE1234" s="51"/>
      <c r="BF1234" s="47"/>
      <c r="BG1234" s="47"/>
      <c r="BH1234" s="47"/>
      <c r="BI1234" s="47"/>
      <c r="BJ1234" s="47"/>
      <c r="BK1234" s="47"/>
      <c r="BL1234" s="47"/>
      <c r="BM1234" s="47"/>
      <c r="BN1234" s="47"/>
      <c r="BO1234" s="47"/>
      <c r="BP1234" s="47"/>
      <c r="BQ1234" s="47"/>
      <c r="BR1234" s="47"/>
      <c r="BS1234" s="47"/>
      <c r="BT1234" s="47"/>
    </row>
    <row r="1235">
      <c r="A1235" s="24"/>
      <c r="B1235" s="48"/>
      <c r="C1235" s="49"/>
      <c r="D1235" s="24"/>
      <c r="E1235" s="52"/>
      <c r="F1235" s="53"/>
      <c r="G1235" s="48"/>
      <c r="H1235" s="49"/>
      <c r="I1235" s="49"/>
      <c r="J1235" s="48"/>
      <c r="K1235" s="48"/>
      <c r="L1235" s="48"/>
      <c r="M1235" s="48"/>
      <c r="N1235" s="48"/>
      <c r="O1235" s="48"/>
      <c r="P1235" s="48"/>
      <c r="Q1235" s="48"/>
      <c r="R1235" s="48"/>
      <c r="S1235" s="48"/>
      <c r="T1235" s="48"/>
      <c r="U1235" s="48"/>
      <c r="V1235" s="48"/>
      <c r="W1235" s="49"/>
      <c r="X1235" s="49"/>
      <c r="Y1235" s="49"/>
      <c r="Z1235" s="49"/>
      <c r="AA1235" s="49"/>
      <c r="AB1235" s="49"/>
      <c r="AC1235" s="49"/>
      <c r="AD1235" s="49"/>
      <c r="AE1235" s="49"/>
      <c r="AF1235" s="49"/>
      <c r="AG1235" s="49"/>
      <c r="AH1235" s="49"/>
      <c r="AI1235" s="48"/>
      <c r="AJ1235" s="48"/>
      <c r="AK1235" s="24"/>
      <c r="AL1235" s="50"/>
      <c r="AM1235" s="50"/>
      <c r="AN1235" s="50"/>
      <c r="AO1235" s="50"/>
      <c r="AP1235" s="50"/>
      <c r="AQ1235" s="50"/>
      <c r="AR1235" s="50"/>
      <c r="AS1235" s="50"/>
      <c r="AT1235" s="51"/>
      <c r="AU1235" s="51"/>
      <c r="AV1235" s="51"/>
      <c r="AW1235" s="51"/>
      <c r="AX1235" s="50"/>
      <c r="AY1235" s="50"/>
      <c r="AZ1235" s="50"/>
      <c r="BA1235" s="50"/>
      <c r="BB1235" s="51"/>
      <c r="BC1235" s="51"/>
      <c r="BD1235" s="51"/>
      <c r="BE1235" s="51"/>
      <c r="BF1235" s="47"/>
      <c r="BG1235" s="47"/>
      <c r="BH1235" s="47"/>
      <c r="BI1235" s="47"/>
      <c r="BJ1235" s="47"/>
      <c r="BK1235" s="47"/>
      <c r="BL1235" s="47"/>
      <c r="BM1235" s="47"/>
      <c r="BN1235" s="47"/>
      <c r="BO1235" s="47"/>
      <c r="BP1235" s="47"/>
      <c r="BQ1235" s="47"/>
      <c r="BR1235" s="47"/>
      <c r="BS1235" s="47"/>
      <c r="BT1235" s="47"/>
    </row>
    <row r="1236">
      <c r="A1236" s="24"/>
      <c r="B1236" s="48"/>
      <c r="C1236" s="49"/>
      <c r="D1236" s="24"/>
      <c r="E1236" s="52"/>
      <c r="F1236" s="53"/>
      <c r="G1236" s="48"/>
      <c r="H1236" s="49"/>
      <c r="I1236" s="49"/>
      <c r="J1236" s="48"/>
      <c r="K1236" s="48"/>
      <c r="L1236" s="48"/>
      <c r="M1236" s="48"/>
      <c r="N1236" s="48"/>
      <c r="O1236" s="48"/>
      <c r="P1236" s="48"/>
      <c r="Q1236" s="48"/>
      <c r="R1236" s="48"/>
      <c r="S1236" s="48"/>
      <c r="T1236" s="48"/>
      <c r="U1236" s="48"/>
      <c r="V1236" s="48"/>
      <c r="W1236" s="49"/>
      <c r="X1236" s="49"/>
      <c r="Y1236" s="49"/>
      <c r="Z1236" s="49"/>
      <c r="AA1236" s="49"/>
      <c r="AB1236" s="49"/>
      <c r="AC1236" s="49"/>
      <c r="AD1236" s="49"/>
      <c r="AE1236" s="49"/>
      <c r="AF1236" s="49"/>
      <c r="AG1236" s="49"/>
      <c r="AH1236" s="49"/>
      <c r="AI1236" s="48"/>
      <c r="AJ1236" s="48"/>
      <c r="AK1236" s="24"/>
      <c r="AL1236" s="50"/>
      <c r="AM1236" s="50"/>
      <c r="AN1236" s="50"/>
      <c r="AO1236" s="50"/>
      <c r="AP1236" s="50"/>
      <c r="AQ1236" s="50"/>
      <c r="AR1236" s="50"/>
      <c r="AS1236" s="50"/>
      <c r="AT1236" s="51"/>
      <c r="AU1236" s="51"/>
      <c r="AV1236" s="51"/>
      <c r="AW1236" s="51"/>
      <c r="AX1236" s="50"/>
      <c r="AY1236" s="50"/>
      <c r="AZ1236" s="50"/>
      <c r="BA1236" s="50"/>
      <c r="BB1236" s="51"/>
      <c r="BC1236" s="51"/>
      <c r="BD1236" s="51"/>
      <c r="BE1236" s="51"/>
      <c r="BF1236" s="47"/>
      <c r="BG1236" s="47"/>
      <c r="BH1236" s="47"/>
      <c r="BI1236" s="47"/>
      <c r="BJ1236" s="47"/>
      <c r="BK1236" s="47"/>
      <c r="BL1236" s="47"/>
      <c r="BM1236" s="47"/>
      <c r="BN1236" s="47"/>
      <c r="BO1236" s="47"/>
      <c r="BP1236" s="47"/>
      <c r="BQ1236" s="47"/>
      <c r="BR1236" s="47"/>
      <c r="BS1236" s="47"/>
      <c r="BT1236" s="47"/>
    </row>
    <row r="1237">
      <c r="A1237" s="24"/>
      <c r="B1237" s="48"/>
      <c r="C1237" s="49"/>
      <c r="D1237" s="24"/>
      <c r="E1237" s="52"/>
      <c r="F1237" s="53"/>
      <c r="G1237" s="48"/>
      <c r="H1237" s="49"/>
      <c r="I1237" s="49"/>
      <c r="J1237" s="48"/>
      <c r="K1237" s="48"/>
      <c r="L1237" s="48"/>
      <c r="M1237" s="48"/>
      <c r="N1237" s="48"/>
      <c r="O1237" s="48"/>
      <c r="P1237" s="48"/>
      <c r="Q1237" s="48"/>
      <c r="R1237" s="48"/>
      <c r="S1237" s="48"/>
      <c r="T1237" s="48"/>
      <c r="U1237" s="48"/>
      <c r="V1237" s="48"/>
      <c r="W1237" s="49"/>
      <c r="X1237" s="49"/>
      <c r="Y1237" s="49"/>
      <c r="Z1237" s="49"/>
      <c r="AA1237" s="49"/>
      <c r="AB1237" s="49"/>
      <c r="AC1237" s="49"/>
      <c r="AD1237" s="49"/>
      <c r="AE1237" s="49"/>
      <c r="AF1237" s="49"/>
      <c r="AG1237" s="49"/>
      <c r="AH1237" s="49"/>
      <c r="AI1237" s="48"/>
      <c r="AJ1237" s="48"/>
      <c r="AK1237" s="24"/>
      <c r="AL1237" s="50"/>
      <c r="AM1237" s="50"/>
      <c r="AN1237" s="50"/>
      <c r="AO1237" s="50"/>
      <c r="AP1237" s="50"/>
      <c r="AQ1237" s="50"/>
      <c r="AR1237" s="50"/>
      <c r="AS1237" s="50"/>
      <c r="AT1237" s="51"/>
      <c r="AU1237" s="51"/>
      <c r="AV1237" s="51"/>
      <c r="AW1237" s="51"/>
      <c r="AX1237" s="50"/>
      <c r="AY1237" s="50"/>
      <c r="AZ1237" s="50"/>
      <c r="BA1237" s="50"/>
      <c r="BB1237" s="51"/>
      <c r="BC1237" s="51"/>
      <c r="BD1237" s="51"/>
      <c r="BE1237" s="51"/>
      <c r="BF1237" s="47"/>
      <c r="BG1237" s="47"/>
      <c r="BH1237" s="47"/>
      <c r="BI1237" s="47"/>
      <c r="BJ1237" s="47"/>
      <c r="BK1237" s="47"/>
      <c r="BL1237" s="47"/>
      <c r="BM1237" s="47"/>
      <c r="BN1237" s="47"/>
      <c r="BO1237" s="47"/>
      <c r="BP1237" s="47"/>
      <c r="BQ1237" s="47"/>
      <c r="BR1237" s="47"/>
      <c r="BS1237" s="47"/>
      <c r="BT1237" s="47"/>
    </row>
    <row r="1238">
      <c r="A1238" s="24"/>
      <c r="B1238" s="48"/>
      <c r="C1238" s="49"/>
      <c r="D1238" s="24"/>
      <c r="E1238" s="52"/>
      <c r="F1238" s="53"/>
      <c r="G1238" s="48"/>
      <c r="H1238" s="49"/>
      <c r="I1238" s="49"/>
      <c r="J1238" s="48"/>
      <c r="K1238" s="48"/>
      <c r="L1238" s="48"/>
      <c r="M1238" s="48"/>
      <c r="N1238" s="48"/>
      <c r="O1238" s="48"/>
      <c r="P1238" s="48"/>
      <c r="Q1238" s="48"/>
      <c r="R1238" s="48"/>
      <c r="S1238" s="48"/>
      <c r="T1238" s="48"/>
      <c r="U1238" s="48"/>
      <c r="V1238" s="48"/>
      <c r="W1238" s="49"/>
      <c r="X1238" s="49"/>
      <c r="Y1238" s="49"/>
      <c r="Z1238" s="49"/>
      <c r="AA1238" s="49"/>
      <c r="AB1238" s="49"/>
      <c r="AC1238" s="49"/>
      <c r="AD1238" s="49"/>
      <c r="AE1238" s="49"/>
      <c r="AF1238" s="49"/>
      <c r="AG1238" s="49"/>
      <c r="AH1238" s="49"/>
      <c r="AI1238" s="48"/>
      <c r="AJ1238" s="48"/>
      <c r="AK1238" s="24"/>
      <c r="AL1238" s="50"/>
      <c r="AM1238" s="50"/>
      <c r="AN1238" s="50"/>
      <c r="AO1238" s="50"/>
      <c r="AP1238" s="50"/>
      <c r="AQ1238" s="50"/>
      <c r="AR1238" s="50"/>
      <c r="AS1238" s="50"/>
      <c r="AT1238" s="51"/>
      <c r="AU1238" s="51"/>
      <c r="AV1238" s="51"/>
      <c r="AW1238" s="51"/>
      <c r="AX1238" s="50"/>
      <c r="AY1238" s="50"/>
      <c r="AZ1238" s="50"/>
      <c r="BA1238" s="50"/>
      <c r="BB1238" s="51"/>
      <c r="BC1238" s="51"/>
      <c r="BD1238" s="51"/>
      <c r="BE1238" s="51"/>
      <c r="BF1238" s="47"/>
      <c r="BG1238" s="47"/>
      <c r="BH1238" s="47"/>
      <c r="BI1238" s="47"/>
      <c r="BJ1238" s="47"/>
      <c r="BK1238" s="47"/>
      <c r="BL1238" s="47"/>
      <c r="BM1238" s="47"/>
      <c r="BN1238" s="47"/>
      <c r="BO1238" s="47"/>
      <c r="BP1238" s="47"/>
      <c r="BQ1238" s="47"/>
      <c r="BR1238" s="47"/>
      <c r="BS1238" s="47"/>
      <c r="BT1238" s="47"/>
    </row>
    <row r="1239">
      <c r="A1239" s="24"/>
      <c r="B1239" s="48"/>
      <c r="C1239" s="49"/>
      <c r="D1239" s="24"/>
      <c r="E1239" s="52"/>
      <c r="F1239" s="53"/>
      <c r="G1239" s="48"/>
      <c r="H1239" s="49"/>
      <c r="I1239" s="49"/>
      <c r="J1239" s="48"/>
      <c r="K1239" s="48"/>
      <c r="L1239" s="48"/>
      <c r="M1239" s="48"/>
      <c r="N1239" s="48"/>
      <c r="O1239" s="48"/>
      <c r="P1239" s="48"/>
      <c r="Q1239" s="48"/>
      <c r="R1239" s="48"/>
      <c r="S1239" s="48"/>
      <c r="T1239" s="48"/>
      <c r="U1239" s="48"/>
      <c r="V1239" s="48"/>
      <c r="W1239" s="49"/>
      <c r="X1239" s="49"/>
      <c r="Y1239" s="49"/>
      <c r="Z1239" s="49"/>
      <c r="AA1239" s="49"/>
      <c r="AB1239" s="49"/>
      <c r="AC1239" s="49"/>
      <c r="AD1239" s="49"/>
      <c r="AE1239" s="49"/>
      <c r="AF1239" s="49"/>
      <c r="AG1239" s="49"/>
      <c r="AH1239" s="49"/>
      <c r="AI1239" s="48"/>
      <c r="AJ1239" s="48"/>
      <c r="AK1239" s="24"/>
      <c r="AL1239" s="50"/>
      <c r="AM1239" s="50"/>
      <c r="AN1239" s="50"/>
      <c r="AO1239" s="50"/>
      <c r="AP1239" s="50"/>
      <c r="AQ1239" s="50"/>
      <c r="AR1239" s="50"/>
      <c r="AS1239" s="50"/>
      <c r="AT1239" s="51"/>
      <c r="AU1239" s="51"/>
      <c r="AV1239" s="51"/>
      <c r="AW1239" s="51"/>
      <c r="AX1239" s="50"/>
      <c r="AY1239" s="50"/>
      <c r="AZ1239" s="50"/>
      <c r="BA1239" s="50"/>
      <c r="BB1239" s="51"/>
      <c r="BC1239" s="51"/>
      <c r="BD1239" s="51"/>
      <c r="BE1239" s="51"/>
      <c r="BF1239" s="47"/>
      <c r="BG1239" s="47"/>
      <c r="BH1239" s="47"/>
      <c r="BI1239" s="47"/>
      <c r="BJ1239" s="47"/>
      <c r="BK1239" s="47"/>
      <c r="BL1239" s="47"/>
      <c r="BM1239" s="47"/>
      <c r="BN1239" s="47"/>
      <c r="BO1239" s="47"/>
      <c r="BP1239" s="47"/>
      <c r="BQ1239" s="47"/>
      <c r="BR1239" s="47"/>
      <c r="BS1239" s="47"/>
      <c r="BT1239" s="47"/>
    </row>
    <row r="1240">
      <c r="A1240" s="24"/>
      <c r="B1240" s="48"/>
      <c r="C1240" s="49"/>
      <c r="D1240" s="24"/>
      <c r="E1240" s="52"/>
      <c r="F1240" s="53"/>
      <c r="G1240" s="48"/>
      <c r="H1240" s="49"/>
      <c r="I1240" s="49"/>
      <c r="J1240" s="48"/>
      <c r="K1240" s="48"/>
      <c r="L1240" s="48"/>
      <c r="M1240" s="48"/>
      <c r="N1240" s="48"/>
      <c r="O1240" s="48"/>
      <c r="P1240" s="48"/>
      <c r="Q1240" s="48"/>
      <c r="R1240" s="48"/>
      <c r="S1240" s="48"/>
      <c r="T1240" s="48"/>
      <c r="U1240" s="48"/>
      <c r="V1240" s="48"/>
      <c r="W1240" s="49"/>
      <c r="X1240" s="49"/>
      <c r="Y1240" s="49"/>
      <c r="Z1240" s="49"/>
      <c r="AA1240" s="49"/>
      <c r="AB1240" s="49"/>
      <c r="AC1240" s="49"/>
      <c r="AD1240" s="49"/>
      <c r="AE1240" s="49"/>
      <c r="AF1240" s="49"/>
      <c r="AG1240" s="49"/>
      <c r="AH1240" s="49"/>
      <c r="AI1240" s="48"/>
      <c r="AJ1240" s="48"/>
      <c r="AK1240" s="24"/>
      <c r="AL1240" s="50"/>
      <c r="AM1240" s="50"/>
      <c r="AN1240" s="50"/>
      <c r="AO1240" s="50"/>
      <c r="AP1240" s="50"/>
      <c r="AQ1240" s="50"/>
      <c r="AR1240" s="50"/>
      <c r="AS1240" s="50"/>
      <c r="AT1240" s="51"/>
      <c r="AU1240" s="51"/>
      <c r="AV1240" s="51"/>
      <c r="AW1240" s="51"/>
      <c r="AX1240" s="50"/>
      <c r="AY1240" s="50"/>
      <c r="AZ1240" s="50"/>
      <c r="BA1240" s="50"/>
      <c r="BB1240" s="51"/>
      <c r="BC1240" s="51"/>
      <c r="BD1240" s="51"/>
      <c r="BE1240" s="51"/>
      <c r="BF1240" s="47"/>
      <c r="BG1240" s="47"/>
      <c r="BH1240" s="47"/>
      <c r="BI1240" s="47"/>
      <c r="BJ1240" s="47"/>
      <c r="BK1240" s="47"/>
      <c r="BL1240" s="47"/>
      <c r="BM1240" s="47"/>
      <c r="BN1240" s="47"/>
      <c r="BO1240" s="47"/>
      <c r="BP1240" s="47"/>
      <c r="BQ1240" s="47"/>
      <c r="BR1240" s="47"/>
      <c r="BS1240" s="47"/>
      <c r="BT1240" s="47"/>
    </row>
    <row r="1241">
      <c r="A1241" s="24"/>
      <c r="B1241" s="48"/>
      <c r="C1241" s="49"/>
      <c r="D1241" s="24"/>
      <c r="E1241" s="52"/>
      <c r="F1241" s="53"/>
      <c r="G1241" s="48"/>
      <c r="H1241" s="49"/>
      <c r="I1241" s="49"/>
      <c r="J1241" s="48"/>
      <c r="K1241" s="48"/>
      <c r="L1241" s="48"/>
      <c r="M1241" s="48"/>
      <c r="N1241" s="48"/>
      <c r="O1241" s="48"/>
      <c r="P1241" s="48"/>
      <c r="Q1241" s="48"/>
      <c r="R1241" s="48"/>
      <c r="S1241" s="48"/>
      <c r="T1241" s="48"/>
      <c r="U1241" s="48"/>
      <c r="V1241" s="48"/>
      <c r="W1241" s="49"/>
      <c r="X1241" s="49"/>
      <c r="Y1241" s="49"/>
      <c r="Z1241" s="49"/>
      <c r="AA1241" s="49"/>
      <c r="AB1241" s="49"/>
      <c r="AC1241" s="49"/>
      <c r="AD1241" s="49"/>
      <c r="AE1241" s="49"/>
      <c r="AF1241" s="49"/>
      <c r="AG1241" s="49"/>
      <c r="AH1241" s="49"/>
      <c r="AI1241" s="48"/>
      <c r="AJ1241" s="48"/>
      <c r="AK1241" s="24"/>
      <c r="AL1241" s="50"/>
      <c r="AM1241" s="50"/>
      <c r="AN1241" s="50"/>
      <c r="AO1241" s="50"/>
      <c r="AP1241" s="50"/>
      <c r="AQ1241" s="50"/>
      <c r="AR1241" s="50"/>
      <c r="AS1241" s="50"/>
      <c r="AT1241" s="51"/>
      <c r="AU1241" s="51"/>
      <c r="AV1241" s="51"/>
      <c r="AW1241" s="51"/>
      <c r="AX1241" s="50"/>
      <c r="AY1241" s="50"/>
      <c r="AZ1241" s="50"/>
      <c r="BA1241" s="50"/>
      <c r="BB1241" s="51"/>
      <c r="BC1241" s="51"/>
      <c r="BD1241" s="51"/>
      <c r="BE1241" s="51"/>
      <c r="BF1241" s="47"/>
      <c r="BG1241" s="47"/>
      <c r="BH1241" s="47"/>
      <c r="BI1241" s="47"/>
      <c r="BJ1241" s="47"/>
      <c r="BK1241" s="47"/>
      <c r="BL1241" s="47"/>
      <c r="BM1241" s="47"/>
      <c r="BN1241" s="47"/>
      <c r="BO1241" s="47"/>
      <c r="BP1241" s="47"/>
      <c r="BQ1241" s="47"/>
      <c r="BR1241" s="47"/>
      <c r="BS1241" s="47"/>
      <c r="BT1241" s="47"/>
    </row>
    <row r="1242">
      <c r="A1242" s="24"/>
      <c r="B1242" s="48"/>
      <c r="C1242" s="49"/>
      <c r="D1242" s="24"/>
      <c r="E1242" s="52"/>
      <c r="F1242" s="53"/>
      <c r="G1242" s="48"/>
      <c r="H1242" s="49"/>
      <c r="I1242" s="49"/>
      <c r="J1242" s="48"/>
      <c r="K1242" s="48"/>
      <c r="L1242" s="48"/>
      <c r="M1242" s="48"/>
      <c r="N1242" s="48"/>
      <c r="O1242" s="48"/>
      <c r="P1242" s="48"/>
      <c r="Q1242" s="48"/>
      <c r="R1242" s="48"/>
      <c r="S1242" s="48"/>
      <c r="T1242" s="48"/>
      <c r="U1242" s="48"/>
      <c r="V1242" s="48"/>
      <c r="W1242" s="49"/>
      <c r="X1242" s="49"/>
      <c r="Y1242" s="49"/>
      <c r="Z1242" s="49"/>
      <c r="AA1242" s="49"/>
      <c r="AB1242" s="49"/>
      <c r="AC1242" s="49"/>
      <c r="AD1242" s="49"/>
      <c r="AE1242" s="49"/>
      <c r="AF1242" s="49"/>
      <c r="AG1242" s="49"/>
      <c r="AH1242" s="49"/>
      <c r="AI1242" s="48"/>
      <c r="AJ1242" s="48"/>
      <c r="AK1242" s="24"/>
      <c r="AL1242" s="50"/>
      <c r="AM1242" s="50"/>
      <c r="AN1242" s="50"/>
      <c r="AO1242" s="50"/>
      <c r="AP1242" s="50"/>
      <c r="AQ1242" s="50"/>
      <c r="AR1242" s="50"/>
      <c r="AS1242" s="50"/>
      <c r="AT1242" s="51"/>
      <c r="AU1242" s="51"/>
      <c r="AV1242" s="51"/>
      <c r="AW1242" s="51"/>
      <c r="AX1242" s="50"/>
      <c r="AY1242" s="50"/>
      <c r="AZ1242" s="50"/>
      <c r="BA1242" s="50"/>
      <c r="BB1242" s="51"/>
      <c r="BC1242" s="51"/>
      <c r="BD1242" s="51"/>
      <c r="BE1242" s="51"/>
      <c r="BF1242" s="47"/>
      <c r="BG1242" s="47"/>
      <c r="BH1242" s="47"/>
      <c r="BI1242" s="47"/>
      <c r="BJ1242" s="47"/>
      <c r="BK1242" s="47"/>
      <c r="BL1242" s="47"/>
      <c r="BM1242" s="47"/>
      <c r="BN1242" s="47"/>
      <c r="BO1242" s="47"/>
      <c r="BP1242" s="47"/>
      <c r="BQ1242" s="47"/>
      <c r="BR1242" s="47"/>
      <c r="BS1242" s="47"/>
      <c r="BT1242" s="47"/>
    </row>
    <row r="1243">
      <c r="A1243" s="24"/>
      <c r="B1243" s="48"/>
      <c r="C1243" s="49"/>
      <c r="D1243" s="24"/>
      <c r="E1243" s="52"/>
      <c r="F1243" s="53"/>
      <c r="G1243" s="48"/>
      <c r="H1243" s="49"/>
      <c r="I1243" s="49"/>
      <c r="J1243" s="48"/>
      <c r="K1243" s="48"/>
      <c r="L1243" s="48"/>
      <c r="M1243" s="48"/>
      <c r="N1243" s="48"/>
      <c r="O1243" s="48"/>
      <c r="P1243" s="48"/>
      <c r="Q1243" s="48"/>
      <c r="R1243" s="48"/>
      <c r="S1243" s="48"/>
      <c r="T1243" s="48"/>
      <c r="U1243" s="48"/>
      <c r="V1243" s="48"/>
      <c r="W1243" s="49"/>
      <c r="X1243" s="49"/>
      <c r="Y1243" s="49"/>
      <c r="Z1243" s="49"/>
      <c r="AA1243" s="49"/>
      <c r="AB1243" s="49"/>
      <c r="AC1243" s="49"/>
      <c r="AD1243" s="49"/>
      <c r="AE1243" s="49"/>
      <c r="AF1243" s="49"/>
      <c r="AG1243" s="49"/>
      <c r="AH1243" s="49"/>
      <c r="AI1243" s="48"/>
      <c r="AJ1243" s="48"/>
      <c r="AK1243" s="24"/>
      <c r="AL1243" s="50"/>
      <c r="AM1243" s="50"/>
      <c r="AN1243" s="50"/>
      <c r="AO1243" s="50"/>
      <c r="AP1243" s="50"/>
      <c r="AQ1243" s="50"/>
      <c r="AR1243" s="50"/>
      <c r="AS1243" s="50"/>
      <c r="AT1243" s="51"/>
      <c r="AU1243" s="51"/>
      <c r="AV1243" s="51"/>
      <c r="AW1243" s="51"/>
      <c r="AX1243" s="50"/>
      <c r="AY1243" s="50"/>
      <c r="AZ1243" s="50"/>
      <c r="BA1243" s="50"/>
      <c r="BB1243" s="51"/>
      <c r="BC1243" s="51"/>
      <c r="BD1243" s="51"/>
      <c r="BE1243" s="51"/>
      <c r="BF1243" s="47"/>
      <c r="BG1243" s="47"/>
      <c r="BH1243" s="47"/>
      <c r="BI1243" s="47"/>
      <c r="BJ1243" s="47"/>
      <c r="BK1243" s="47"/>
      <c r="BL1243" s="47"/>
      <c r="BM1243" s="47"/>
      <c r="BN1243" s="47"/>
      <c r="BO1243" s="47"/>
      <c r="BP1243" s="47"/>
      <c r="BQ1243" s="47"/>
      <c r="BR1243" s="47"/>
      <c r="BS1243" s="47"/>
      <c r="BT1243" s="47"/>
    </row>
    <row r="1244">
      <c r="A1244" s="24"/>
      <c r="B1244" s="48"/>
      <c r="C1244" s="49"/>
      <c r="D1244" s="24"/>
      <c r="E1244" s="52"/>
      <c r="F1244" s="53"/>
      <c r="G1244" s="48"/>
      <c r="H1244" s="49"/>
      <c r="I1244" s="49"/>
      <c r="J1244" s="48"/>
      <c r="K1244" s="48"/>
      <c r="L1244" s="48"/>
      <c r="M1244" s="48"/>
      <c r="N1244" s="48"/>
      <c r="O1244" s="48"/>
      <c r="P1244" s="48"/>
      <c r="Q1244" s="48"/>
      <c r="R1244" s="48"/>
      <c r="S1244" s="48"/>
      <c r="T1244" s="48"/>
      <c r="U1244" s="48"/>
      <c r="V1244" s="48"/>
      <c r="W1244" s="49"/>
      <c r="X1244" s="49"/>
      <c r="Y1244" s="49"/>
      <c r="Z1244" s="49"/>
      <c r="AA1244" s="49"/>
      <c r="AB1244" s="49"/>
      <c r="AC1244" s="49"/>
      <c r="AD1244" s="49"/>
      <c r="AE1244" s="49"/>
      <c r="AF1244" s="49"/>
      <c r="AG1244" s="49"/>
      <c r="AH1244" s="49"/>
      <c r="AI1244" s="48"/>
      <c r="AJ1244" s="48"/>
      <c r="AK1244" s="24"/>
      <c r="AL1244" s="50"/>
      <c r="AM1244" s="50"/>
      <c r="AN1244" s="50"/>
      <c r="AO1244" s="50"/>
      <c r="AP1244" s="50"/>
      <c r="AQ1244" s="50"/>
      <c r="AR1244" s="50"/>
      <c r="AS1244" s="50"/>
      <c r="AT1244" s="51"/>
      <c r="AU1244" s="51"/>
      <c r="AV1244" s="51"/>
      <c r="AW1244" s="51"/>
      <c r="AX1244" s="50"/>
      <c r="AY1244" s="50"/>
      <c r="AZ1244" s="50"/>
      <c r="BA1244" s="50"/>
      <c r="BB1244" s="51"/>
      <c r="BC1244" s="51"/>
      <c r="BD1244" s="51"/>
      <c r="BE1244" s="51"/>
      <c r="BF1244" s="47"/>
      <c r="BG1244" s="47"/>
      <c r="BH1244" s="47"/>
      <c r="BI1244" s="47"/>
      <c r="BJ1244" s="47"/>
      <c r="BK1244" s="47"/>
      <c r="BL1244" s="47"/>
      <c r="BM1244" s="47"/>
      <c r="BN1244" s="47"/>
      <c r="BO1244" s="47"/>
      <c r="BP1244" s="47"/>
      <c r="BQ1244" s="47"/>
      <c r="BR1244" s="47"/>
      <c r="BS1244" s="47"/>
      <c r="BT1244" s="47"/>
    </row>
    <row r="1245">
      <c r="A1245" s="24"/>
      <c r="B1245" s="48"/>
      <c r="C1245" s="49"/>
      <c r="D1245" s="24"/>
      <c r="E1245" s="52"/>
      <c r="F1245" s="53"/>
      <c r="G1245" s="48"/>
      <c r="H1245" s="49"/>
      <c r="I1245" s="49"/>
      <c r="J1245" s="48"/>
      <c r="K1245" s="48"/>
      <c r="L1245" s="48"/>
      <c r="M1245" s="48"/>
      <c r="N1245" s="48"/>
      <c r="O1245" s="48"/>
      <c r="P1245" s="48"/>
      <c r="Q1245" s="48"/>
      <c r="R1245" s="48"/>
      <c r="S1245" s="48"/>
      <c r="T1245" s="48"/>
      <c r="U1245" s="48"/>
      <c r="V1245" s="48"/>
      <c r="W1245" s="49"/>
      <c r="X1245" s="49"/>
      <c r="Y1245" s="49"/>
      <c r="Z1245" s="49"/>
      <c r="AA1245" s="49"/>
      <c r="AB1245" s="49"/>
      <c r="AC1245" s="49"/>
      <c r="AD1245" s="49"/>
      <c r="AE1245" s="49"/>
      <c r="AF1245" s="49"/>
      <c r="AG1245" s="49"/>
      <c r="AH1245" s="49"/>
      <c r="AI1245" s="48"/>
      <c r="AJ1245" s="48"/>
      <c r="AK1245" s="24"/>
      <c r="AL1245" s="50"/>
      <c r="AM1245" s="50"/>
      <c r="AN1245" s="50"/>
      <c r="AO1245" s="50"/>
      <c r="AP1245" s="50"/>
      <c r="AQ1245" s="50"/>
      <c r="AR1245" s="50"/>
      <c r="AS1245" s="50"/>
      <c r="AT1245" s="51"/>
      <c r="AU1245" s="51"/>
      <c r="AV1245" s="51"/>
      <c r="AW1245" s="51"/>
      <c r="AX1245" s="50"/>
      <c r="AY1245" s="50"/>
      <c r="AZ1245" s="50"/>
      <c r="BA1245" s="50"/>
      <c r="BB1245" s="51"/>
      <c r="BC1245" s="51"/>
      <c r="BD1245" s="51"/>
      <c r="BE1245" s="51"/>
      <c r="BF1245" s="47"/>
      <c r="BG1245" s="47"/>
      <c r="BH1245" s="47"/>
      <c r="BI1245" s="47"/>
      <c r="BJ1245" s="47"/>
      <c r="BK1245" s="47"/>
      <c r="BL1245" s="47"/>
      <c r="BM1245" s="47"/>
      <c r="BN1245" s="47"/>
      <c r="BO1245" s="47"/>
      <c r="BP1245" s="47"/>
      <c r="BQ1245" s="47"/>
      <c r="BR1245" s="47"/>
      <c r="BS1245" s="47"/>
      <c r="BT1245" s="47"/>
    </row>
    <row r="1246">
      <c r="A1246" s="24"/>
      <c r="B1246" s="48"/>
      <c r="C1246" s="49"/>
      <c r="D1246" s="24"/>
      <c r="E1246" s="52"/>
      <c r="F1246" s="53"/>
      <c r="G1246" s="48"/>
      <c r="H1246" s="49"/>
      <c r="I1246" s="49"/>
      <c r="J1246" s="48"/>
      <c r="K1246" s="48"/>
      <c r="L1246" s="48"/>
      <c r="M1246" s="48"/>
      <c r="N1246" s="48"/>
      <c r="O1246" s="48"/>
      <c r="P1246" s="48"/>
      <c r="Q1246" s="48"/>
      <c r="R1246" s="48"/>
      <c r="S1246" s="48"/>
      <c r="T1246" s="48"/>
      <c r="U1246" s="48"/>
      <c r="V1246" s="48"/>
      <c r="W1246" s="49"/>
      <c r="X1246" s="49"/>
      <c r="Y1246" s="49"/>
      <c r="Z1246" s="49"/>
      <c r="AA1246" s="49"/>
      <c r="AB1246" s="49"/>
      <c r="AC1246" s="49"/>
      <c r="AD1246" s="49"/>
      <c r="AE1246" s="49"/>
      <c r="AF1246" s="49"/>
      <c r="AG1246" s="49"/>
      <c r="AH1246" s="49"/>
      <c r="AI1246" s="48"/>
      <c r="AJ1246" s="48"/>
      <c r="AK1246" s="24"/>
      <c r="AL1246" s="50"/>
      <c r="AM1246" s="50"/>
      <c r="AN1246" s="50"/>
      <c r="AO1246" s="50"/>
      <c r="AP1246" s="50"/>
      <c r="AQ1246" s="50"/>
      <c r="AR1246" s="50"/>
      <c r="AS1246" s="50"/>
      <c r="AT1246" s="51"/>
      <c r="AU1246" s="51"/>
      <c r="AV1246" s="51"/>
      <c r="AW1246" s="51"/>
      <c r="AX1246" s="50"/>
      <c r="AY1246" s="50"/>
      <c r="AZ1246" s="50"/>
      <c r="BA1246" s="50"/>
      <c r="BB1246" s="51"/>
      <c r="BC1246" s="51"/>
      <c r="BD1246" s="51"/>
      <c r="BE1246" s="51"/>
      <c r="BF1246" s="47"/>
      <c r="BG1246" s="47"/>
      <c r="BH1246" s="47"/>
      <c r="BI1246" s="47"/>
      <c r="BJ1246" s="47"/>
      <c r="BK1246" s="47"/>
      <c r="BL1246" s="47"/>
      <c r="BM1246" s="47"/>
      <c r="BN1246" s="47"/>
      <c r="BO1246" s="47"/>
      <c r="BP1246" s="47"/>
      <c r="BQ1246" s="47"/>
      <c r="BR1246" s="47"/>
      <c r="BS1246" s="47"/>
      <c r="BT1246" s="47"/>
    </row>
    <row r="1247">
      <c r="A1247" s="24"/>
      <c r="B1247" s="48"/>
      <c r="C1247" s="49"/>
      <c r="D1247" s="24"/>
      <c r="E1247" s="52"/>
      <c r="F1247" s="53"/>
      <c r="G1247" s="48"/>
      <c r="H1247" s="49"/>
      <c r="I1247" s="49"/>
      <c r="J1247" s="48"/>
      <c r="K1247" s="48"/>
      <c r="L1247" s="48"/>
      <c r="M1247" s="48"/>
      <c r="N1247" s="48"/>
      <c r="O1247" s="48"/>
      <c r="P1247" s="48"/>
      <c r="Q1247" s="48"/>
      <c r="R1247" s="48"/>
      <c r="S1247" s="48"/>
      <c r="T1247" s="48"/>
      <c r="U1247" s="48"/>
      <c r="V1247" s="48"/>
      <c r="W1247" s="49"/>
      <c r="X1247" s="49"/>
      <c r="Y1247" s="49"/>
      <c r="Z1247" s="49"/>
      <c r="AA1247" s="49"/>
      <c r="AB1247" s="49"/>
      <c r="AC1247" s="49"/>
      <c r="AD1247" s="49"/>
      <c r="AE1247" s="49"/>
      <c r="AF1247" s="49"/>
      <c r="AG1247" s="49"/>
      <c r="AH1247" s="49"/>
      <c r="AI1247" s="48"/>
      <c r="AJ1247" s="48"/>
      <c r="AK1247" s="24"/>
      <c r="AL1247" s="50"/>
      <c r="AM1247" s="50"/>
      <c r="AN1247" s="50"/>
      <c r="AO1247" s="50"/>
      <c r="AP1247" s="50"/>
      <c r="AQ1247" s="50"/>
      <c r="AR1247" s="50"/>
      <c r="AS1247" s="50"/>
      <c r="AT1247" s="51"/>
      <c r="AU1247" s="51"/>
      <c r="AV1247" s="51"/>
      <c r="AW1247" s="51"/>
      <c r="AX1247" s="50"/>
      <c r="AY1247" s="50"/>
      <c r="AZ1247" s="50"/>
      <c r="BA1247" s="50"/>
      <c r="BB1247" s="51"/>
      <c r="BC1247" s="51"/>
      <c r="BD1247" s="51"/>
      <c r="BE1247" s="51"/>
      <c r="BF1247" s="47"/>
      <c r="BG1247" s="47"/>
      <c r="BH1247" s="47"/>
      <c r="BI1247" s="47"/>
      <c r="BJ1247" s="47"/>
      <c r="BK1247" s="47"/>
      <c r="BL1247" s="47"/>
      <c r="BM1247" s="47"/>
      <c r="BN1247" s="47"/>
      <c r="BO1247" s="47"/>
      <c r="BP1247" s="47"/>
      <c r="BQ1247" s="47"/>
      <c r="BR1247" s="47"/>
      <c r="BS1247" s="47"/>
      <c r="BT1247" s="47"/>
    </row>
    <row r="1248">
      <c r="A1248" s="24"/>
      <c r="B1248" s="48"/>
      <c r="C1248" s="49"/>
      <c r="D1248" s="24"/>
      <c r="E1248" s="52"/>
      <c r="F1248" s="53"/>
      <c r="G1248" s="48"/>
      <c r="H1248" s="49"/>
      <c r="I1248" s="49"/>
      <c r="J1248" s="48"/>
      <c r="K1248" s="48"/>
      <c r="L1248" s="48"/>
      <c r="M1248" s="48"/>
      <c r="N1248" s="48"/>
      <c r="O1248" s="48"/>
      <c r="P1248" s="48"/>
      <c r="Q1248" s="48"/>
      <c r="R1248" s="48"/>
      <c r="S1248" s="48"/>
      <c r="T1248" s="48"/>
      <c r="U1248" s="48"/>
      <c r="V1248" s="48"/>
      <c r="W1248" s="49"/>
      <c r="X1248" s="49"/>
      <c r="Y1248" s="49"/>
      <c r="Z1248" s="49"/>
      <c r="AA1248" s="49"/>
      <c r="AB1248" s="49"/>
      <c r="AC1248" s="49"/>
      <c r="AD1248" s="49"/>
      <c r="AE1248" s="49"/>
      <c r="AF1248" s="49"/>
      <c r="AG1248" s="49"/>
      <c r="AH1248" s="49"/>
      <c r="AI1248" s="48"/>
      <c r="AJ1248" s="48"/>
      <c r="AK1248" s="24"/>
      <c r="AL1248" s="50"/>
      <c r="AM1248" s="50"/>
      <c r="AN1248" s="50"/>
      <c r="AO1248" s="50"/>
      <c r="AP1248" s="50"/>
      <c r="AQ1248" s="50"/>
      <c r="AR1248" s="50"/>
      <c r="AS1248" s="50"/>
      <c r="AT1248" s="51"/>
      <c r="AU1248" s="51"/>
      <c r="AV1248" s="51"/>
      <c r="AW1248" s="51"/>
      <c r="AX1248" s="50"/>
      <c r="AY1248" s="50"/>
      <c r="AZ1248" s="50"/>
      <c r="BA1248" s="50"/>
      <c r="BB1248" s="51"/>
      <c r="BC1248" s="51"/>
      <c r="BD1248" s="51"/>
      <c r="BE1248" s="51"/>
      <c r="BF1248" s="47"/>
      <c r="BG1248" s="47"/>
      <c r="BH1248" s="47"/>
      <c r="BI1248" s="47"/>
      <c r="BJ1248" s="47"/>
      <c r="BK1248" s="47"/>
      <c r="BL1248" s="47"/>
      <c r="BM1248" s="47"/>
      <c r="BN1248" s="47"/>
      <c r="BO1248" s="47"/>
      <c r="BP1248" s="47"/>
      <c r="BQ1248" s="47"/>
      <c r="BR1248" s="47"/>
      <c r="BS1248" s="47"/>
      <c r="BT1248" s="47"/>
    </row>
    <row r="1249">
      <c r="A1249" s="24"/>
      <c r="B1249" s="48"/>
      <c r="C1249" s="49"/>
      <c r="D1249" s="24"/>
      <c r="E1249" s="52"/>
      <c r="F1249" s="53"/>
      <c r="G1249" s="48"/>
      <c r="H1249" s="49"/>
      <c r="I1249" s="49"/>
      <c r="J1249" s="48"/>
      <c r="K1249" s="48"/>
      <c r="L1249" s="48"/>
      <c r="M1249" s="48"/>
      <c r="N1249" s="48"/>
      <c r="O1249" s="48"/>
      <c r="P1249" s="48"/>
      <c r="Q1249" s="48"/>
      <c r="R1249" s="48"/>
      <c r="S1249" s="48"/>
      <c r="T1249" s="48"/>
      <c r="U1249" s="48"/>
      <c r="V1249" s="48"/>
      <c r="W1249" s="49"/>
      <c r="X1249" s="49"/>
      <c r="Y1249" s="49"/>
      <c r="Z1249" s="49"/>
      <c r="AA1249" s="49"/>
      <c r="AB1249" s="49"/>
      <c r="AC1249" s="49"/>
      <c r="AD1249" s="49"/>
      <c r="AE1249" s="49"/>
      <c r="AF1249" s="49"/>
      <c r="AG1249" s="49"/>
      <c r="AH1249" s="49"/>
      <c r="AI1249" s="48"/>
      <c r="AJ1249" s="48"/>
      <c r="AK1249" s="24"/>
      <c r="AL1249" s="50"/>
      <c r="AM1249" s="50"/>
      <c r="AN1249" s="50"/>
      <c r="AO1249" s="50"/>
      <c r="AP1249" s="50"/>
      <c r="AQ1249" s="50"/>
      <c r="AR1249" s="50"/>
      <c r="AS1249" s="50"/>
      <c r="AT1249" s="51"/>
      <c r="AU1249" s="51"/>
      <c r="AV1249" s="51"/>
      <c r="AW1249" s="51"/>
      <c r="AX1249" s="50"/>
      <c r="AY1249" s="50"/>
      <c r="AZ1249" s="50"/>
      <c r="BA1249" s="50"/>
      <c r="BB1249" s="51"/>
      <c r="BC1249" s="51"/>
      <c r="BD1249" s="51"/>
      <c r="BE1249" s="51"/>
      <c r="BF1249" s="47"/>
      <c r="BG1249" s="47"/>
      <c r="BH1249" s="47"/>
      <c r="BI1249" s="47"/>
      <c r="BJ1249" s="47"/>
      <c r="BK1249" s="47"/>
      <c r="BL1249" s="47"/>
      <c r="BM1249" s="47"/>
      <c r="BN1249" s="47"/>
      <c r="BO1249" s="47"/>
      <c r="BP1249" s="47"/>
      <c r="BQ1249" s="47"/>
      <c r="BR1249" s="47"/>
      <c r="BS1249" s="47"/>
      <c r="BT1249" s="47"/>
    </row>
    <row r="1250">
      <c r="A1250" s="24"/>
      <c r="B1250" s="48"/>
      <c r="C1250" s="49"/>
      <c r="D1250" s="24"/>
      <c r="E1250" s="52"/>
      <c r="F1250" s="53"/>
      <c r="G1250" s="48"/>
      <c r="H1250" s="49"/>
      <c r="I1250" s="49"/>
      <c r="J1250" s="48"/>
      <c r="K1250" s="48"/>
      <c r="L1250" s="48"/>
      <c r="M1250" s="48"/>
      <c r="N1250" s="48"/>
      <c r="O1250" s="48"/>
      <c r="P1250" s="48"/>
      <c r="Q1250" s="48"/>
      <c r="R1250" s="48"/>
      <c r="S1250" s="48"/>
      <c r="T1250" s="48"/>
      <c r="U1250" s="48"/>
      <c r="V1250" s="48"/>
      <c r="W1250" s="49"/>
      <c r="X1250" s="49"/>
      <c r="Y1250" s="49"/>
      <c r="Z1250" s="49"/>
      <c r="AA1250" s="49"/>
      <c r="AB1250" s="49"/>
      <c r="AC1250" s="49"/>
      <c r="AD1250" s="49"/>
      <c r="AE1250" s="49"/>
      <c r="AF1250" s="49"/>
      <c r="AG1250" s="49"/>
      <c r="AH1250" s="49"/>
      <c r="AI1250" s="48"/>
      <c r="AJ1250" s="48"/>
      <c r="AK1250" s="24"/>
      <c r="AL1250" s="50"/>
      <c r="AM1250" s="50"/>
      <c r="AN1250" s="50"/>
      <c r="AO1250" s="50"/>
      <c r="AP1250" s="50"/>
      <c r="AQ1250" s="50"/>
      <c r="AR1250" s="50"/>
      <c r="AS1250" s="50"/>
      <c r="AT1250" s="51"/>
      <c r="AU1250" s="51"/>
      <c r="AV1250" s="51"/>
      <c r="AW1250" s="51"/>
      <c r="AX1250" s="50"/>
      <c r="AY1250" s="50"/>
      <c r="AZ1250" s="50"/>
      <c r="BA1250" s="50"/>
      <c r="BB1250" s="51"/>
      <c r="BC1250" s="51"/>
      <c r="BD1250" s="51"/>
      <c r="BE1250" s="51"/>
      <c r="BF1250" s="47"/>
      <c r="BG1250" s="47"/>
      <c r="BH1250" s="47"/>
      <c r="BI1250" s="47"/>
      <c r="BJ1250" s="47"/>
      <c r="BK1250" s="47"/>
      <c r="BL1250" s="47"/>
      <c r="BM1250" s="47"/>
      <c r="BN1250" s="47"/>
      <c r="BO1250" s="47"/>
      <c r="BP1250" s="47"/>
      <c r="BQ1250" s="47"/>
      <c r="BR1250" s="47"/>
      <c r="BS1250" s="47"/>
      <c r="BT1250" s="47"/>
    </row>
    <row r="1251">
      <c r="A1251" s="24"/>
      <c r="B1251" s="48"/>
      <c r="C1251" s="49"/>
      <c r="D1251" s="24"/>
      <c r="E1251" s="52"/>
      <c r="F1251" s="53"/>
      <c r="G1251" s="48"/>
      <c r="H1251" s="49"/>
      <c r="I1251" s="49"/>
      <c r="J1251" s="48"/>
      <c r="K1251" s="48"/>
      <c r="L1251" s="48"/>
      <c r="M1251" s="48"/>
      <c r="N1251" s="48"/>
      <c r="O1251" s="48"/>
      <c r="P1251" s="48"/>
      <c r="Q1251" s="48"/>
      <c r="R1251" s="48"/>
      <c r="S1251" s="48"/>
      <c r="T1251" s="48"/>
      <c r="U1251" s="48"/>
      <c r="V1251" s="48"/>
      <c r="W1251" s="49"/>
      <c r="X1251" s="49"/>
      <c r="Y1251" s="49"/>
      <c r="Z1251" s="49"/>
      <c r="AA1251" s="49"/>
      <c r="AB1251" s="49"/>
      <c r="AC1251" s="49"/>
      <c r="AD1251" s="49"/>
      <c r="AE1251" s="49"/>
      <c r="AF1251" s="49"/>
      <c r="AG1251" s="49"/>
      <c r="AH1251" s="49"/>
      <c r="AI1251" s="48"/>
      <c r="AJ1251" s="48"/>
      <c r="AK1251" s="24"/>
      <c r="AL1251" s="50"/>
      <c r="AM1251" s="50"/>
      <c r="AN1251" s="50"/>
      <c r="AO1251" s="50"/>
      <c r="AP1251" s="50"/>
      <c r="AQ1251" s="50"/>
      <c r="AR1251" s="50"/>
      <c r="AS1251" s="50"/>
      <c r="AT1251" s="51"/>
      <c r="AU1251" s="51"/>
      <c r="AV1251" s="51"/>
      <c r="AW1251" s="51"/>
      <c r="AX1251" s="50"/>
      <c r="AY1251" s="50"/>
      <c r="AZ1251" s="50"/>
      <c r="BA1251" s="50"/>
      <c r="BB1251" s="51"/>
      <c r="BC1251" s="51"/>
      <c r="BD1251" s="51"/>
      <c r="BE1251" s="51"/>
      <c r="BF1251" s="47"/>
      <c r="BG1251" s="47"/>
      <c r="BH1251" s="47"/>
      <c r="BI1251" s="47"/>
      <c r="BJ1251" s="47"/>
      <c r="BK1251" s="47"/>
      <c r="BL1251" s="47"/>
      <c r="BM1251" s="47"/>
      <c r="BN1251" s="47"/>
      <c r="BO1251" s="47"/>
      <c r="BP1251" s="47"/>
      <c r="BQ1251" s="47"/>
      <c r="BR1251" s="47"/>
      <c r="BS1251" s="47"/>
      <c r="BT1251" s="47"/>
    </row>
    <row r="1252">
      <c r="A1252" s="24"/>
      <c r="B1252" s="48"/>
      <c r="C1252" s="49"/>
      <c r="D1252" s="24"/>
      <c r="E1252" s="52"/>
      <c r="F1252" s="53"/>
      <c r="G1252" s="48"/>
      <c r="H1252" s="49"/>
      <c r="I1252" s="49"/>
      <c r="J1252" s="48"/>
      <c r="K1252" s="48"/>
      <c r="L1252" s="48"/>
      <c r="M1252" s="48"/>
      <c r="N1252" s="48"/>
      <c r="O1252" s="48"/>
      <c r="P1252" s="48"/>
      <c r="Q1252" s="48"/>
      <c r="R1252" s="48"/>
      <c r="S1252" s="48"/>
      <c r="T1252" s="48"/>
      <c r="U1252" s="48"/>
      <c r="V1252" s="48"/>
      <c r="W1252" s="49"/>
      <c r="X1252" s="49"/>
      <c r="Y1252" s="49"/>
      <c r="Z1252" s="49"/>
      <c r="AA1252" s="49"/>
      <c r="AB1252" s="49"/>
      <c r="AC1252" s="49"/>
      <c r="AD1252" s="49"/>
      <c r="AE1252" s="49"/>
      <c r="AF1252" s="49"/>
      <c r="AG1252" s="49"/>
      <c r="AH1252" s="49"/>
      <c r="AI1252" s="48"/>
      <c r="AJ1252" s="48"/>
      <c r="AK1252" s="24"/>
      <c r="AL1252" s="50"/>
      <c r="AM1252" s="50"/>
      <c r="AN1252" s="50"/>
      <c r="AO1252" s="50"/>
      <c r="AP1252" s="50"/>
      <c r="AQ1252" s="50"/>
      <c r="AR1252" s="50"/>
      <c r="AS1252" s="50"/>
      <c r="AT1252" s="51"/>
      <c r="AU1252" s="51"/>
      <c r="AV1252" s="51"/>
      <c r="AW1252" s="51"/>
      <c r="AX1252" s="50"/>
      <c r="AY1252" s="50"/>
      <c r="AZ1252" s="50"/>
      <c r="BA1252" s="50"/>
      <c r="BB1252" s="51"/>
      <c r="BC1252" s="51"/>
      <c r="BD1252" s="51"/>
      <c r="BE1252" s="51"/>
      <c r="BF1252" s="47"/>
      <c r="BG1252" s="47"/>
      <c r="BH1252" s="47"/>
      <c r="BI1252" s="47"/>
      <c r="BJ1252" s="47"/>
      <c r="BK1252" s="47"/>
      <c r="BL1252" s="47"/>
      <c r="BM1252" s="47"/>
      <c r="BN1252" s="47"/>
      <c r="BO1252" s="47"/>
      <c r="BP1252" s="47"/>
      <c r="BQ1252" s="47"/>
      <c r="BR1252" s="47"/>
      <c r="BS1252" s="47"/>
      <c r="BT1252" s="47"/>
    </row>
    <row r="1253">
      <c r="A1253" s="24"/>
      <c r="B1253" s="48"/>
      <c r="C1253" s="49"/>
      <c r="D1253" s="24"/>
      <c r="E1253" s="52"/>
      <c r="F1253" s="53"/>
      <c r="G1253" s="48"/>
      <c r="H1253" s="49"/>
      <c r="I1253" s="49"/>
      <c r="J1253" s="48"/>
      <c r="K1253" s="48"/>
      <c r="L1253" s="48"/>
      <c r="M1253" s="48"/>
      <c r="N1253" s="48"/>
      <c r="O1253" s="48"/>
      <c r="P1253" s="48"/>
      <c r="Q1253" s="48"/>
      <c r="R1253" s="48"/>
      <c r="S1253" s="48"/>
      <c r="T1253" s="48"/>
      <c r="U1253" s="48"/>
      <c r="V1253" s="48"/>
      <c r="W1253" s="49"/>
      <c r="X1253" s="49"/>
      <c r="Y1253" s="49"/>
      <c r="Z1253" s="49"/>
      <c r="AA1253" s="49"/>
      <c r="AB1253" s="49"/>
      <c r="AC1253" s="49"/>
      <c r="AD1253" s="49"/>
      <c r="AE1253" s="49"/>
      <c r="AF1253" s="49"/>
      <c r="AG1253" s="49"/>
      <c r="AH1253" s="49"/>
      <c r="AI1253" s="48"/>
      <c r="AJ1253" s="48"/>
      <c r="AK1253" s="24"/>
      <c r="AL1253" s="50"/>
      <c r="AM1253" s="50"/>
      <c r="AN1253" s="50"/>
      <c r="AO1253" s="50"/>
      <c r="AP1253" s="50"/>
      <c r="AQ1253" s="50"/>
      <c r="AR1253" s="50"/>
      <c r="AS1253" s="50"/>
      <c r="AT1253" s="51"/>
      <c r="AU1253" s="51"/>
      <c r="AV1253" s="51"/>
      <c r="AW1253" s="51"/>
      <c r="AX1253" s="50"/>
      <c r="AY1253" s="50"/>
      <c r="AZ1253" s="50"/>
      <c r="BA1253" s="50"/>
      <c r="BB1253" s="51"/>
      <c r="BC1253" s="51"/>
      <c r="BD1253" s="51"/>
      <c r="BE1253" s="51"/>
      <c r="BF1253" s="47"/>
      <c r="BG1253" s="47"/>
      <c r="BH1253" s="47"/>
      <c r="BI1253" s="47"/>
      <c r="BJ1253" s="47"/>
      <c r="BK1253" s="47"/>
      <c r="BL1253" s="47"/>
      <c r="BM1253" s="47"/>
      <c r="BN1253" s="47"/>
      <c r="BO1253" s="47"/>
      <c r="BP1253" s="47"/>
      <c r="BQ1253" s="47"/>
      <c r="BR1253" s="47"/>
      <c r="BS1253" s="47"/>
      <c r="BT1253" s="47"/>
    </row>
    <row r="1254">
      <c r="A1254" s="24"/>
      <c r="B1254" s="48"/>
      <c r="C1254" s="49"/>
      <c r="D1254" s="24"/>
      <c r="E1254" s="52"/>
      <c r="F1254" s="53"/>
      <c r="G1254" s="48"/>
      <c r="H1254" s="49"/>
      <c r="I1254" s="49"/>
      <c r="J1254" s="48"/>
      <c r="K1254" s="48"/>
      <c r="L1254" s="48"/>
      <c r="M1254" s="48"/>
      <c r="N1254" s="48"/>
      <c r="O1254" s="48"/>
      <c r="P1254" s="48"/>
      <c r="Q1254" s="48"/>
      <c r="R1254" s="48"/>
      <c r="S1254" s="48"/>
      <c r="T1254" s="48"/>
      <c r="U1254" s="48"/>
      <c r="V1254" s="48"/>
      <c r="W1254" s="49"/>
      <c r="X1254" s="49"/>
      <c r="Y1254" s="49"/>
      <c r="Z1254" s="49"/>
      <c r="AA1254" s="49"/>
      <c r="AB1254" s="49"/>
      <c r="AC1254" s="49"/>
      <c r="AD1254" s="49"/>
      <c r="AE1254" s="49"/>
      <c r="AF1254" s="49"/>
      <c r="AG1254" s="49"/>
      <c r="AH1254" s="49"/>
      <c r="AI1254" s="48"/>
      <c r="AJ1254" s="48"/>
      <c r="AK1254" s="24"/>
      <c r="AL1254" s="50"/>
      <c r="AM1254" s="50"/>
      <c r="AN1254" s="50"/>
      <c r="AO1254" s="50"/>
      <c r="AP1254" s="50"/>
      <c r="AQ1254" s="50"/>
      <c r="AR1254" s="50"/>
      <c r="AS1254" s="50"/>
      <c r="AT1254" s="51"/>
      <c r="AU1254" s="51"/>
      <c r="AV1254" s="51"/>
      <c r="AW1254" s="51"/>
      <c r="AX1254" s="50"/>
      <c r="AY1254" s="50"/>
      <c r="AZ1254" s="50"/>
      <c r="BA1254" s="50"/>
      <c r="BB1254" s="51"/>
      <c r="BC1254" s="51"/>
      <c r="BD1254" s="51"/>
      <c r="BE1254" s="51"/>
      <c r="BF1254" s="47"/>
      <c r="BG1254" s="47"/>
      <c r="BH1254" s="47"/>
      <c r="BI1254" s="47"/>
      <c r="BJ1254" s="47"/>
      <c r="BK1254" s="47"/>
      <c r="BL1254" s="47"/>
      <c r="BM1254" s="47"/>
      <c r="BN1254" s="47"/>
      <c r="BO1254" s="47"/>
      <c r="BP1254" s="47"/>
      <c r="BQ1254" s="47"/>
      <c r="BR1254" s="47"/>
      <c r="BS1254" s="47"/>
      <c r="BT1254" s="47"/>
    </row>
    <row r="1255">
      <c r="A1255" s="24"/>
      <c r="B1255" s="48"/>
      <c r="C1255" s="49"/>
      <c r="D1255" s="24"/>
      <c r="E1255" s="52"/>
      <c r="F1255" s="53"/>
      <c r="G1255" s="48"/>
      <c r="H1255" s="49"/>
      <c r="I1255" s="49"/>
      <c r="J1255" s="48"/>
      <c r="K1255" s="48"/>
      <c r="L1255" s="48"/>
      <c r="M1255" s="48"/>
      <c r="N1255" s="48"/>
      <c r="O1255" s="48"/>
      <c r="P1255" s="48"/>
      <c r="Q1255" s="48"/>
      <c r="R1255" s="48"/>
      <c r="S1255" s="48"/>
      <c r="T1255" s="48"/>
      <c r="U1255" s="48"/>
      <c r="V1255" s="48"/>
      <c r="W1255" s="49"/>
      <c r="X1255" s="49"/>
      <c r="Y1255" s="49"/>
      <c r="Z1255" s="49"/>
      <c r="AA1255" s="49"/>
      <c r="AB1255" s="49"/>
      <c r="AC1255" s="49"/>
      <c r="AD1255" s="49"/>
      <c r="AE1255" s="49"/>
      <c r="AF1255" s="49"/>
      <c r="AG1255" s="49"/>
      <c r="AH1255" s="49"/>
      <c r="AI1255" s="48"/>
      <c r="AJ1255" s="48"/>
      <c r="AK1255" s="24"/>
      <c r="AL1255" s="50"/>
      <c r="AM1255" s="50"/>
      <c r="AN1255" s="50"/>
      <c r="AO1255" s="50"/>
      <c r="AP1255" s="50"/>
      <c r="AQ1255" s="50"/>
      <c r="AR1255" s="50"/>
      <c r="AS1255" s="50"/>
      <c r="AT1255" s="51"/>
      <c r="AU1255" s="51"/>
      <c r="AV1255" s="51"/>
      <c r="AW1255" s="51"/>
      <c r="AX1255" s="50"/>
      <c r="AY1255" s="50"/>
      <c r="AZ1255" s="50"/>
      <c r="BA1255" s="50"/>
      <c r="BB1255" s="51"/>
      <c r="BC1255" s="51"/>
      <c r="BD1255" s="51"/>
      <c r="BE1255" s="51"/>
      <c r="BF1255" s="47"/>
      <c r="BG1255" s="47"/>
      <c r="BH1255" s="47"/>
      <c r="BI1255" s="47"/>
      <c r="BJ1255" s="47"/>
      <c r="BK1255" s="47"/>
      <c r="BL1255" s="47"/>
      <c r="BM1255" s="47"/>
      <c r="BN1255" s="47"/>
      <c r="BO1255" s="47"/>
      <c r="BP1255" s="47"/>
      <c r="BQ1255" s="47"/>
      <c r="BR1255" s="47"/>
      <c r="BS1255" s="47"/>
      <c r="BT1255" s="47"/>
    </row>
    <row r="1256">
      <c r="A1256" s="24"/>
      <c r="B1256" s="48"/>
      <c r="C1256" s="49"/>
      <c r="D1256" s="24"/>
      <c r="E1256" s="52"/>
      <c r="F1256" s="53"/>
      <c r="G1256" s="48"/>
      <c r="H1256" s="49"/>
      <c r="I1256" s="49"/>
      <c r="J1256" s="48"/>
      <c r="K1256" s="48"/>
      <c r="L1256" s="48"/>
      <c r="M1256" s="48"/>
      <c r="N1256" s="48"/>
      <c r="O1256" s="48"/>
      <c r="P1256" s="48"/>
      <c r="Q1256" s="48"/>
      <c r="R1256" s="48"/>
      <c r="S1256" s="48"/>
      <c r="T1256" s="48"/>
      <c r="U1256" s="48"/>
      <c r="V1256" s="48"/>
      <c r="W1256" s="49"/>
      <c r="X1256" s="49"/>
      <c r="Y1256" s="49"/>
      <c r="Z1256" s="49"/>
      <c r="AA1256" s="49"/>
      <c r="AB1256" s="49"/>
      <c r="AC1256" s="49"/>
      <c r="AD1256" s="49"/>
      <c r="AE1256" s="49"/>
      <c r="AF1256" s="49"/>
      <c r="AG1256" s="49"/>
      <c r="AH1256" s="49"/>
      <c r="AI1256" s="48"/>
      <c r="AJ1256" s="48"/>
      <c r="AK1256" s="24"/>
      <c r="AL1256" s="50"/>
      <c r="AM1256" s="50"/>
      <c r="AN1256" s="50"/>
      <c r="AO1256" s="50"/>
      <c r="AP1256" s="50"/>
      <c r="AQ1256" s="50"/>
      <c r="AR1256" s="50"/>
      <c r="AS1256" s="50"/>
      <c r="AT1256" s="51"/>
      <c r="AU1256" s="51"/>
      <c r="AV1256" s="51"/>
      <c r="AW1256" s="51"/>
      <c r="AX1256" s="50"/>
      <c r="AY1256" s="50"/>
      <c r="AZ1256" s="50"/>
      <c r="BA1256" s="50"/>
      <c r="BB1256" s="51"/>
      <c r="BC1256" s="51"/>
      <c r="BD1256" s="51"/>
      <c r="BE1256" s="51"/>
      <c r="BF1256" s="47"/>
      <c r="BG1256" s="47"/>
      <c r="BH1256" s="47"/>
      <c r="BI1256" s="47"/>
      <c r="BJ1256" s="47"/>
      <c r="BK1256" s="47"/>
      <c r="BL1256" s="47"/>
      <c r="BM1256" s="47"/>
      <c r="BN1256" s="47"/>
      <c r="BO1256" s="47"/>
      <c r="BP1256" s="47"/>
      <c r="BQ1256" s="47"/>
      <c r="BR1256" s="47"/>
      <c r="BS1256" s="47"/>
      <c r="BT1256" s="47"/>
    </row>
    <row r="1257">
      <c r="A1257" s="24"/>
      <c r="B1257" s="48"/>
      <c r="C1257" s="49"/>
      <c r="D1257" s="24"/>
      <c r="E1257" s="52"/>
      <c r="F1257" s="53"/>
      <c r="G1257" s="48"/>
      <c r="H1257" s="49"/>
      <c r="I1257" s="49"/>
      <c r="J1257" s="48"/>
      <c r="K1257" s="48"/>
      <c r="L1257" s="48"/>
      <c r="M1257" s="48"/>
      <c r="N1257" s="48"/>
      <c r="O1257" s="48"/>
      <c r="P1257" s="48"/>
      <c r="Q1257" s="48"/>
      <c r="R1257" s="48"/>
      <c r="S1257" s="48"/>
      <c r="T1257" s="48"/>
      <c r="U1257" s="48"/>
      <c r="V1257" s="48"/>
      <c r="W1257" s="49"/>
      <c r="X1257" s="49"/>
      <c r="Y1257" s="49"/>
      <c r="Z1257" s="49"/>
      <c r="AA1257" s="49"/>
      <c r="AB1257" s="49"/>
      <c r="AC1257" s="49"/>
      <c r="AD1257" s="49"/>
      <c r="AE1257" s="49"/>
      <c r="AF1257" s="49"/>
      <c r="AG1257" s="49"/>
      <c r="AH1257" s="49"/>
      <c r="AI1257" s="48"/>
      <c r="AJ1257" s="48"/>
      <c r="AK1257" s="24"/>
      <c r="AL1257" s="50"/>
      <c r="AM1257" s="50"/>
      <c r="AN1257" s="50"/>
      <c r="AO1257" s="50"/>
      <c r="AP1257" s="50"/>
      <c r="AQ1257" s="50"/>
      <c r="AR1257" s="50"/>
      <c r="AS1257" s="50"/>
      <c r="AT1257" s="51"/>
      <c r="AU1257" s="51"/>
      <c r="AV1257" s="51"/>
      <c r="AW1257" s="51"/>
      <c r="AX1257" s="50"/>
      <c r="AY1257" s="50"/>
      <c r="AZ1257" s="50"/>
      <c r="BA1257" s="50"/>
      <c r="BB1257" s="51"/>
      <c r="BC1257" s="51"/>
      <c r="BD1257" s="51"/>
      <c r="BE1257" s="51"/>
      <c r="BF1257" s="47"/>
      <c r="BG1257" s="47"/>
      <c r="BH1257" s="47"/>
      <c r="BI1257" s="47"/>
      <c r="BJ1257" s="47"/>
      <c r="BK1257" s="47"/>
      <c r="BL1257" s="47"/>
      <c r="BM1257" s="47"/>
      <c r="BN1257" s="47"/>
      <c r="BO1257" s="47"/>
      <c r="BP1257" s="47"/>
      <c r="BQ1257" s="47"/>
      <c r="BR1257" s="47"/>
      <c r="BS1257" s="47"/>
      <c r="BT1257" s="47"/>
    </row>
    <row r="1258">
      <c r="A1258" s="24"/>
      <c r="B1258" s="48"/>
      <c r="C1258" s="49"/>
      <c r="D1258" s="24"/>
      <c r="E1258" s="52"/>
      <c r="F1258" s="53"/>
      <c r="G1258" s="48"/>
      <c r="H1258" s="49"/>
      <c r="I1258" s="49"/>
      <c r="J1258" s="48"/>
      <c r="K1258" s="48"/>
      <c r="L1258" s="48"/>
      <c r="M1258" s="48"/>
      <c r="N1258" s="48"/>
      <c r="O1258" s="48"/>
      <c r="P1258" s="48"/>
      <c r="Q1258" s="48"/>
      <c r="R1258" s="48"/>
      <c r="S1258" s="48"/>
      <c r="T1258" s="48"/>
      <c r="U1258" s="48"/>
      <c r="V1258" s="48"/>
      <c r="W1258" s="49"/>
      <c r="X1258" s="49"/>
      <c r="Y1258" s="49"/>
      <c r="Z1258" s="49"/>
      <c r="AA1258" s="49"/>
      <c r="AB1258" s="49"/>
      <c r="AC1258" s="49"/>
      <c r="AD1258" s="49"/>
      <c r="AE1258" s="49"/>
      <c r="AF1258" s="49"/>
      <c r="AG1258" s="49"/>
      <c r="AH1258" s="49"/>
      <c r="AI1258" s="48"/>
      <c r="AJ1258" s="48"/>
      <c r="AK1258" s="24"/>
      <c r="AL1258" s="50"/>
      <c r="AM1258" s="50"/>
      <c r="AN1258" s="50"/>
      <c r="AO1258" s="50"/>
      <c r="AP1258" s="50"/>
      <c r="AQ1258" s="50"/>
      <c r="AR1258" s="50"/>
      <c r="AS1258" s="50"/>
      <c r="AT1258" s="51"/>
      <c r="AU1258" s="51"/>
      <c r="AV1258" s="51"/>
      <c r="AW1258" s="51"/>
      <c r="AX1258" s="50"/>
      <c r="AY1258" s="50"/>
      <c r="AZ1258" s="50"/>
      <c r="BA1258" s="50"/>
      <c r="BB1258" s="51"/>
      <c r="BC1258" s="51"/>
      <c r="BD1258" s="51"/>
      <c r="BE1258" s="51"/>
      <c r="BF1258" s="47"/>
      <c r="BG1258" s="47"/>
      <c r="BH1258" s="47"/>
      <c r="BI1258" s="47"/>
      <c r="BJ1258" s="47"/>
      <c r="BK1258" s="47"/>
      <c r="BL1258" s="47"/>
      <c r="BM1258" s="47"/>
      <c r="BN1258" s="47"/>
      <c r="BO1258" s="47"/>
      <c r="BP1258" s="47"/>
      <c r="BQ1258" s="47"/>
      <c r="BR1258" s="47"/>
      <c r="BS1258" s="47"/>
      <c r="BT1258" s="47"/>
    </row>
    <row r="1259">
      <c r="A1259" s="24"/>
      <c r="B1259" s="48"/>
      <c r="C1259" s="49"/>
      <c r="D1259" s="24"/>
      <c r="E1259" s="52"/>
      <c r="F1259" s="53"/>
      <c r="G1259" s="48"/>
      <c r="H1259" s="49"/>
      <c r="I1259" s="49"/>
      <c r="J1259" s="48"/>
      <c r="K1259" s="48"/>
      <c r="L1259" s="48"/>
      <c r="M1259" s="48"/>
      <c r="N1259" s="48"/>
      <c r="O1259" s="48"/>
      <c r="P1259" s="48"/>
      <c r="Q1259" s="48"/>
      <c r="R1259" s="48"/>
      <c r="S1259" s="48"/>
      <c r="T1259" s="48"/>
      <c r="U1259" s="48"/>
      <c r="V1259" s="48"/>
      <c r="W1259" s="49"/>
      <c r="X1259" s="49"/>
      <c r="Y1259" s="49"/>
      <c r="Z1259" s="49"/>
      <c r="AA1259" s="49"/>
      <c r="AB1259" s="49"/>
      <c r="AC1259" s="49"/>
      <c r="AD1259" s="49"/>
      <c r="AE1259" s="49"/>
      <c r="AF1259" s="49"/>
      <c r="AG1259" s="49"/>
      <c r="AH1259" s="49"/>
      <c r="AI1259" s="48"/>
      <c r="AJ1259" s="48"/>
      <c r="AK1259" s="24"/>
      <c r="AL1259" s="50"/>
      <c r="AM1259" s="50"/>
      <c r="AN1259" s="50"/>
      <c r="AO1259" s="50"/>
      <c r="AP1259" s="50"/>
      <c r="AQ1259" s="50"/>
      <c r="AR1259" s="50"/>
      <c r="AS1259" s="50"/>
      <c r="AT1259" s="51"/>
      <c r="AU1259" s="51"/>
      <c r="AV1259" s="51"/>
      <c r="AW1259" s="51"/>
      <c r="AX1259" s="50"/>
      <c r="AY1259" s="50"/>
      <c r="AZ1259" s="50"/>
      <c r="BA1259" s="50"/>
      <c r="BB1259" s="51"/>
      <c r="BC1259" s="51"/>
      <c r="BD1259" s="51"/>
      <c r="BE1259" s="51"/>
      <c r="BF1259" s="47"/>
      <c r="BG1259" s="47"/>
      <c r="BH1259" s="47"/>
      <c r="BI1259" s="47"/>
      <c r="BJ1259" s="47"/>
      <c r="BK1259" s="47"/>
      <c r="BL1259" s="47"/>
      <c r="BM1259" s="47"/>
      <c r="BN1259" s="47"/>
      <c r="BO1259" s="47"/>
      <c r="BP1259" s="47"/>
      <c r="BQ1259" s="47"/>
      <c r="BR1259" s="47"/>
      <c r="BS1259" s="47"/>
      <c r="BT1259" s="47"/>
    </row>
    <row r="1260">
      <c r="A1260" s="24"/>
      <c r="B1260" s="48"/>
      <c r="C1260" s="49"/>
      <c r="D1260" s="24"/>
      <c r="E1260" s="52"/>
      <c r="F1260" s="53"/>
      <c r="G1260" s="48"/>
      <c r="H1260" s="49"/>
      <c r="I1260" s="49"/>
      <c r="J1260" s="48"/>
      <c r="K1260" s="48"/>
      <c r="L1260" s="48"/>
      <c r="M1260" s="48"/>
      <c r="N1260" s="48"/>
      <c r="O1260" s="48"/>
      <c r="P1260" s="48"/>
      <c r="Q1260" s="48"/>
      <c r="R1260" s="48"/>
      <c r="S1260" s="48"/>
      <c r="T1260" s="48"/>
      <c r="U1260" s="48"/>
      <c r="V1260" s="48"/>
      <c r="W1260" s="49"/>
      <c r="X1260" s="49"/>
      <c r="Y1260" s="49"/>
      <c r="Z1260" s="49"/>
      <c r="AA1260" s="49"/>
      <c r="AB1260" s="49"/>
      <c r="AC1260" s="49"/>
      <c r="AD1260" s="49"/>
      <c r="AE1260" s="49"/>
      <c r="AF1260" s="49"/>
      <c r="AG1260" s="49"/>
      <c r="AH1260" s="49"/>
      <c r="AI1260" s="48"/>
      <c r="AJ1260" s="48"/>
      <c r="AK1260" s="24"/>
      <c r="AL1260" s="50"/>
      <c r="AM1260" s="50"/>
      <c r="AN1260" s="50"/>
      <c r="AO1260" s="50"/>
      <c r="AP1260" s="50"/>
      <c r="AQ1260" s="50"/>
      <c r="AR1260" s="50"/>
      <c r="AS1260" s="50"/>
      <c r="AT1260" s="51"/>
      <c r="AU1260" s="51"/>
      <c r="AV1260" s="51"/>
      <c r="AW1260" s="51"/>
      <c r="AX1260" s="50"/>
      <c r="AY1260" s="50"/>
      <c r="AZ1260" s="50"/>
      <c r="BA1260" s="50"/>
      <c r="BB1260" s="51"/>
      <c r="BC1260" s="51"/>
      <c r="BD1260" s="51"/>
      <c r="BE1260" s="51"/>
      <c r="BF1260" s="47"/>
      <c r="BG1260" s="47"/>
      <c r="BH1260" s="47"/>
      <c r="BI1260" s="47"/>
      <c r="BJ1260" s="47"/>
      <c r="BK1260" s="47"/>
      <c r="BL1260" s="47"/>
      <c r="BM1260" s="47"/>
      <c r="BN1260" s="47"/>
      <c r="BO1260" s="47"/>
      <c r="BP1260" s="47"/>
      <c r="BQ1260" s="47"/>
      <c r="BR1260" s="47"/>
      <c r="BS1260" s="47"/>
      <c r="BT1260" s="47"/>
    </row>
    <row r="1261">
      <c r="A1261" s="24"/>
      <c r="B1261" s="48"/>
      <c r="C1261" s="49"/>
      <c r="D1261" s="24"/>
      <c r="E1261" s="52"/>
      <c r="F1261" s="53"/>
      <c r="G1261" s="48"/>
      <c r="H1261" s="49"/>
      <c r="I1261" s="49"/>
      <c r="J1261" s="48"/>
      <c r="K1261" s="48"/>
      <c r="L1261" s="48"/>
      <c r="M1261" s="48"/>
      <c r="N1261" s="48"/>
      <c r="O1261" s="48"/>
      <c r="P1261" s="48"/>
      <c r="Q1261" s="48"/>
      <c r="R1261" s="48"/>
      <c r="S1261" s="48"/>
      <c r="T1261" s="48"/>
      <c r="U1261" s="48"/>
      <c r="V1261" s="48"/>
      <c r="W1261" s="49"/>
      <c r="X1261" s="49"/>
      <c r="Y1261" s="49"/>
      <c r="Z1261" s="49"/>
      <c r="AA1261" s="49"/>
      <c r="AB1261" s="49"/>
      <c r="AC1261" s="49"/>
      <c r="AD1261" s="49"/>
      <c r="AE1261" s="49"/>
      <c r="AF1261" s="49"/>
      <c r="AG1261" s="49"/>
      <c r="AH1261" s="49"/>
      <c r="AI1261" s="48"/>
      <c r="AJ1261" s="48"/>
      <c r="AK1261" s="24"/>
      <c r="AL1261" s="50"/>
      <c r="AM1261" s="50"/>
      <c r="AN1261" s="50"/>
      <c r="AO1261" s="50"/>
      <c r="AP1261" s="50"/>
      <c r="AQ1261" s="50"/>
      <c r="AR1261" s="50"/>
      <c r="AS1261" s="50"/>
      <c r="AT1261" s="51"/>
      <c r="AU1261" s="51"/>
      <c r="AV1261" s="51"/>
      <c r="AW1261" s="51"/>
      <c r="AX1261" s="50"/>
      <c r="AY1261" s="50"/>
      <c r="AZ1261" s="50"/>
      <c r="BA1261" s="50"/>
      <c r="BB1261" s="51"/>
      <c r="BC1261" s="51"/>
      <c r="BD1261" s="51"/>
      <c r="BE1261" s="51"/>
      <c r="BF1261" s="47"/>
      <c r="BG1261" s="47"/>
      <c r="BH1261" s="47"/>
      <c r="BI1261" s="47"/>
      <c r="BJ1261" s="47"/>
      <c r="BK1261" s="47"/>
      <c r="BL1261" s="47"/>
      <c r="BM1261" s="47"/>
      <c r="BN1261" s="47"/>
      <c r="BO1261" s="47"/>
      <c r="BP1261" s="47"/>
      <c r="BQ1261" s="47"/>
      <c r="BR1261" s="47"/>
      <c r="BS1261" s="47"/>
      <c r="BT1261" s="47"/>
    </row>
    <row r="1262">
      <c r="A1262" s="24"/>
      <c r="B1262" s="48"/>
      <c r="C1262" s="49"/>
      <c r="D1262" s="24"/>
      <c r="E1262" s="52"/>
      <c r="F1262" s="53"/>
      <c r="G1262" s="48"/>
      <c r="H1262" s="49"/>
      <c r="I1262" s="49"/>
      <c r="J1262" s="48"/>
      <c r="K1262" s="48"/>
      <c r="L1262" s="48"/>
      <c r="M1262" s="48"/>
      <c r="N1262" s="48"/>
      <c r="O1262" s="48"/>
      <c r="P1262" s="48"/>
      <c r="Q1262" s="48"/>
      <c r="R1262" s="48"/>
      <c r="S1262" s="48"/>
      <c r="T1262" s="48"/>
      <c r="U1262" s="48"/>
      <c r="V1262" s="48"/>
      <c r="W1262" s="49"/>
      <c r="X1262" s="49"/>
      <c r="Y1262" s="49"/>
      <c r="Z1262" s="49"/>
      <c r="AA1262" s="49"/>
      <c r="AB1262" s="49"/>
      <c r="AC1262" s="49"/>
      <c r="AD1262" s="49"/>
      <c r="AE1262" s="49"/>
      <c r="AF1262" s="49"/>
      <c r="AG1262" s="49"/>
      <c r="AH1262" s="49"/>
      <c r="AI1262" s="48"/>
      <c r="AJ1262" s="48"/>
      <c r="AK1262" s="24"/>
      <c r="AL1262" s="50"/>
      <c r="AM1262" s="50"/>
      <c r="AN1262" s="50"/>
      <c r="AO1262" s="50"/>
      <c r="AP1262" s="50"/>
      <c r="AQ1262" s="50"/>
      <c r="AR1262" s="50"/>
      <c r="AS1262" s="50"/>
      <c r="AT1262" s="51"/>
      <c r="AU1262" s="51"/>
      <c r="AV1262" s="51"/>
      <c r="AW1262" s="51"/>
      <c r="AX1262" s="50"/>
      <c r="AY1262" s="50"/>
      <c r="AZ1262" s="50"/>
      <c r="BA1262" s="50"/>
      <c r="BB1262" s="51"/>
      <c r="BC1262" s="51"/>
      <c r="BD1262" s="51"/>
      <c r="BE1262" s="51"/>
      <c r="BF1262" s="47"/>
      <c r="BG1262" s="47"/>
      <c r="BH1262" s="47"/>
      <c r="BI1262" s="47"/>
      <c r="BJ1262" s="47"/>
      <c r="BK1262" s="47"/>
      <c r="BL1262" s="47"/>
      <c r="BM1262" s="47"/>
      <c r="BN1262" s="47"/>
      <c r="BO1262" s="47"/>
      <c r="BP1262" s="47"/>
      <c r="BQ1262" s="47"/>
      <c r="BR1262" s="47"/>
      <c r="BS1262" s="47"/>
      <c r="BT1262" s="47"/>
    </row>
    <row r="1263">
      <c r="A1263" s="24"/>
      <c r="B1263" s="48"/>
      <c r="C1263" s="49"/>
      <c r="D1263" s="24"/>
      <c r="E1263" s="52"/>
      <c r="F1263" s="53"/>
      <c r="G1263" s="48"/>
      <c r="H1263" s="49"/>
      <c r="I1263" s="49"/>
      <c r="J1263" s="48"/>
      <c r="K1263" s="48"/>
      <c r="L1263" s="48"/>
      <c r="M1263" s="48"/>
      <c r="N1263" s="48"/>
      <c r="O1263" s="48"/>
      <c r="P1263" s="48"/>
      <c r="Q1263" s="48"/>
      <c r="R1263" s="48"/>
      <c r="S1263" s="48"/>
      <c r="T1263" s="48"/>
      <c r="U1263" s="48"/>
      <c r="V1263" s="48"/>
      <c r="W1263" s="49"/>
      <c r="X1263" s="49"/>
      <c r="Y1263" s="49"/>
      <c r="Z1263" s="49"/>
      <c r="AA1263" s="49"/>
      <c r="AB1263" s="49"/>
      <c r="AC1263" s="49"/>
      <c r="AD1263" s="49"/>
      <c r="AE1263" s="49"/>
      <c r="AF1263" s="49"/>
      <c r="AG1263" s="49"/>
      <c r="AH1263" s="49"/>
      <c r="AI1263" s="48"/>
      <c r="AJ1263" s="48"/>
      <c r="AK1263" s="24"/>
      <c r="AL1263" s="50"/>
      <c r="AM1263" s="50"/>
      <c r="AN1263" s="50"/>
      <c r="AO1263" s="50"/>
      <c r="AP1263" s="50"/>
      <c r="AQ1263" s="50"/>
      <c r="AR1263" s="50"/>
      <c r="AS1263" s="50"/>
      <c r="AT1263" s="51"/>
      <c r="AU1263" s="51"/>
      <c r="AV1263" s="51"/>
      <c r="AW1263" s="51"/>
      <c r="AX1263" s="50"/>
      <c r="AY1263" s="50"/>
      <c r="AZ1263" s="50"/>
      <c r="BA1263" s="50"/>
      <c r="BB1263" s="51"/>
      <c r="BC1263" s="51"/>
      <c r="BD1263" s="51"/>
      <c r="BE1263" s="51"/>
      <c r="BF1263" s="47"/>
      <c r="BG1263" s="47"/>
      <c r="BH1263" s="47"/>
      <c r="BI1263" s="47"/>
      <c r="BJ1263" s="47"/>
      <c r="BK1263" s="47"/>
      <c r="BL1263" s="47"/>
      <c r="BM1263" s="47"/>
      <c r="BN1263" s="47"/>
      <c r="BO1263" s="47"/>
      <c r="BP1263" s="47"/>
      <c r="BQ1263" s="47"/>
      <c r="BR1263" s="47"/>
      <c r="BS1263" s="47"/>
      <c r="BT1263" s="47"/>
    </row>
    <row r="1264">
      <c r="A1264" s="24"/>
      <c r="B1264" s="48"/>
      <c r="C1264" s="49"/>
      <c r="D1264" s="24"/>
      <c r="E1264" s="52"/>
      <c r="F1264" s="53"/>
      <c r="G1264" s="48"/>
      <c r="H1264" s="49"/>
      <c r="I1264" s="49"/>
      <c r="J1264" s="48"/>
      <c r="K1264" s="48"/>
      <c r="L1264" s="48"/>
      <c r="M1264" s="48"/>
      <c r="N1264" s="48"/>
      <c r="O1264" s="48"/>
      <c r="P1264" s="48"/>
      <c r="Q1264" s="48"/>
      <c r="R1264" s="48"/>
      <c r="S1264" s="48"/>
      <c r="T1264" s="48"/>
      <c r="U1264" s="48"/>
      <c r="V1264" s="48"/>
      <c r="W1264" s="49"/>
      <c r="X1264" s="49"/>
      <c r="Y1264" s="49"/>
      <c r="Z1264" s="49"/>
      <c r="AA1264" s="49"/>
      <c r="AB1264" s="49"/>
      <c r="AC1264" s="49"/>
      <c r="AD1264" s="49"/>
      <c r="AE1264" s="49"/>
      <c r="AF1264" s="49"/>
      <c r="AG1264" s="49"/>
      <c r="AH1264" s="49"/>
      <c r="AI1264" s="48"/>
      <c r="AJ1264" s="48"/>
      <c r="AK1264" s="24"/>
      <c r="AL1264" s="50"/>
      <c r="AM1264" s="50"/>
      <c r="AN1264" s="50"/>
      <c r="AO1264" s="50"/>
      <c r="AP1264" s="50"/>
      <c r="AQ1264" s="50"/>
      <c r="AR1264" s="50"/>
      <c r="AS1264" s="50"/>
      <c r="AT1264" s="51"/>
      <c r="AU1264" s="51"/>
      <c r="AV1264" s="51"/>
      <c r="AW1264" s="51"/>
      <c r="AX1264" s="50"/>
      <c r="AY1264" s="50"/>
      <c r="AZ1264" s="50"/>
      <c r="BA1264" s="50"/>
      <c r="BB1264" s="51"/>
      <c r="BC1264" s="51"/>
      <c r="BD1264" s="51"/>
      <c r="BE1264" s="51"/>
      <c r="BF1264" s="47"/>
      <c r="BG1264" s="47"/>
      <c r="BH1264" s="47"/>
      <c r="BI1264" s="47"/>
      <c r="BJ1264" s="47"/>
      <c r="BK1264" s="47"/>
      <c r="BL1264" s="47"/>
      <c r="BM1264" s="47"/>
      <c r="BN1264" s="47"/>
      <c r="BO1264" s="47"/>
      <c r="BP1264" s="47"/>
      <c r="BQ1264" s="47"/>
      <c r="BR1264" s="47"/>
      <c r="BS1264" s="47"/>
      <c r="BT1264" s="47"/>
    </row>
    <row r="1265">
      <c r="A1265" s="24"/>
      <c r="B1265" s="48"/>
      <c r="C1265" s="49"/>
      <c r="D1265" s="24"/>
      <c r="E1265" s="52"/>
      <c r="F1265" s="53"/>
      <c r="G1265" s="48"/>
      <c r="H1265" s="49"/>
      <c r="I1265" s="49"/>
      <c r="J1265" s="48"/>
      <c r="K1265" s="48"/>
      <c r="L1265" s="48"/>
      <c r="M1265" s="48"/>
      <c r="N1265" s="48"/>
      <c r="O1265" s="48"/>
      <c r="P1265" s="48"/>
      <c r="Q1265" s="48"/>
      <c r="R1265" s="48"/>
      <c r="S1265" s="48"/>
      <c r="T1265" s="48"/>
      <c r="U1265" s="48"/>
      <c r="V1265" s="48"/>
      <c r="W1265" s="49"/>
      <c r="X1265" s="49"/>
      <c r="Y1265" s="49"/>
      <c r="Z1265" s="49"/>
      <c r="AA1265" s="49"/>
      <c r="AB1265" s="49"/>
      <c r="AC1265" s="49"/>
      <c r="AD1265" s="49"/>
      <c r="AE1265" s="49"/>
      <c r="AF1265" s="49"/>
      <c r="AG1265" s="49"/>
      <c r="AH1265" s="49"/>
      <c r="AI1265" s="48"/>
      <c r="AJ1265" s="48"/>
      <c r="AK1265" s="24"/>
      <c r="AL1265" s="50"/>
      <c r="AM1265" s="50"/>
      <c r="AN1265" s="50"/>
      <c r="AO1265" s="50"/>
      <c r="AP1265" s="50"/>
      <c r="AQ1265" s="50"/>
      <c r="AR1265" s="50"/>
      <c r="AS1265" s="50"/>
      <c r="AT1265" s="51"/>
      <c r="AU1265" s="51"/>
      <c r="AV1265" s="51"/>
      <c r="AW1265" s="51"/>
      <c r="AX1265" s="50"/>
      <c r="AY1265" s="50"/>
      <c r="AZ1265" s="50"/>
      <c r="BA1265" s="50"/>
      <c r="BB1265" s="51"/>
      <c r="BC1265" s="51"/>
      <c r="BD1265" s="51"/>
      <c r="BE1265" s="51"/>
      <c r="BF1265" s="47"/>
      <c r="BG1265" s="47"/>
      <c r="BH1265" s="47"/>
      <c r="BI1265" s="47"/>
      <c r="BJ1265" s="47"/>
      <c r="BK1265" s="47"/>
      <c r="BL1265" s="47"/>
      <c r="BM1265" s="47"/>
      <c r="BN1265" s="47"/>
      <c r="BO1265" s="47"/>
      <c r="BP1265" s="47"/>
      <c r="BQ1265" s="47"/>
      <c r="BR1265" s="47"/>
      <c r="BS1265" s="47"/>
      <c r="BT1265" s="47"/>
    </row>
    <row r="1266">
      <c r="A1266" s="24"/>
      <c r="B1266" s="48"/>
      <c r="C1266" s="49"/>
      <c r="D1266" s="24"/>
      <c r="E1266" s="52"/>
      <c r="F1266" s="53"/>
      <c r="G1266" s="48"/>
      <c r="H1266" s="49"/>
      <c r="I1266" s="49"/>
      <c r="J1266" s="48"/>
      <c r="K1266" s="48"/>
      <c r="L1266" s="48"/>
      <c r="M1266" s="48"/>
      <c r="N1266" s="48"/>
      <c r="O1266" s="48"/>
      <c r="P1266" s="48"/>
      <c r="Q1266" s="48"/>
      <c r="R1266" s="48"/>
      <c r="S1266" s="48"/>
      <c r="T1266" s="48"/>
      <c r="U1266" s="48"/>
      <c r="V1266" s="48"/>
      <c r="W1266" s="49"/>
      <c r="X1266" s="49"/>
      <c r="Y1266" s="49"/>
      <c r="Z1266" s="49"/>
      <c r="AA1266" s="49"/>
      <c r="AB1266" s="49"/>
      <c r="AC1266" s="49"/>
      <c r="AD1266" s="49"/>
      <c r="AE1266" s="49"/>
      <c r="AF1266" s="49"/>
      <c r="AG1266" s="49"/>
      <c r="AH1266" s="49"/>
      <c r="AI1266" s="48"/>
      <c r="AJ1266" s="48"/>
      <c r="AK1266" s="24"/>
      <c r="AL1266" s="50"/>
      <c r="AM1266" s="50"/>
      <c r="AN1266" s="50"/>
      <c r="AO1266" s="50"/>
      <c r="AP1266" s="50"/>
      <c r="AQ1266" s="50"/>
      <c r="AR1266" s="50"/>
      <c r="AS1266" s="50"/>
      <c r="AT1266" s="51"/>
      <c r="AU1266" s="51"/>
      <c r="AV1266" s="51"/>
      <c r="AW1266" s="51"/>
      <c r="AX1266" s="50"/>
      <c r="AY1266" s="50"/>
      <c r="AZ1266" s="50"/>
      <c r="BA1266" s="50"/>
      <c r="BB1266" s="51"/>
      <c r="BC1266" s="51"/>
      <c r="BD1266" s="51"/>
      <c r="BE1266" s="51"/>
      <c r="BF1266" s="47"/>
      <c r="BG1266" s="47"/>
      <c r="BH1266" s="47"/>
      <c r="BI1266" s="47"/>
      <c r="BJ1266" s="47"/>
      <c r="BK1266" s="47"/>
      <c r="BL1266" s="47"/>
      <c r="BM1266" s="47"/>
      <c r="BN1266" s="47"/>
      <c r="BO1266" s="47"/>
      <c r="BP1266" s="47"/>
      <c r="BQ1266" s="47"/>
      <c r="BR1266" s="47"/>
      <c r="BS1266" s="47"/>
      <c r="BT1266" s="47"/>
    </row>
    <row r="1267">
      <c r="A1267" s="24"/>
      <c r="B1267" s="48"/>
      <c r="C1267" s="49"/>
      <c r="D1267" s="24"/>
      <c r="E1267" s="52"/>
      <c r="F1267" s="53"/>
      <c r="G1267" s="48"/>
      <c r="H1267" s="49"/>
      <c r="I1267" s="49"/>
      <c r="J1267" s="48"/>
      <c r="K1267" s="48"/>
      <c r="L1267" s="48"/>
      <c r="M1267" s="48"/>
      <c r="N1267" s="48"/>
      <c r="O1267" s="48"/>
      <c r="P1267" s="48"/>
      <c r="Q1267" s="48"/>
      <c r="R1267" s="48"/>
      <c r="S1267" s="48"/>
      <c r="T1267" s="48"/>
      <c r="U1267" s="48"/>
      <c r="V1267" s="48"/>
      <c r="W1267" s="49"/>
      <c r="X1267" s="49"/>
      <c r="Y1267" s="49"/>
      <c r="Z1267" s="49"/>
      <c r="AA1267" s="49"/>
      <c r="AB1267" s="49"/>
      <c r="AC1267" s="49"/>
      <c r="AD1267" s="49"/>
      <c r="AE1267" s="49"/>
      <c r="AF1267" s="49"/>
      <c r="AG1267" s="49"/>
      <c r="AH1267" s="49"/>
      <c r="AI1267" s="48"/>
      <c r="AJ1267" s="48"/>
      <c r="AK1267" s="24"/>
      <c r="AL1267" s="50"/>
      <c r="AM1267" s="50"/>
      <c r="AN1267" s="50"/>
      <c r="AO1267" s="50"/>
      <c r="AP1267" s="50"/>
      <c r="AQ1267" s="50"/>
      <c r="AR1267" s="50"/>
      <c r="AS1267" s="50"/>
      <c r="AT1267" s="51"/>
      <c r="AU1267" s="51"/>
      <c r="AV1267" s="51"/>
      <c r="AW1267" s="51"/>
      <c r="AX1267" s="50"/>
      <c r="AY1267" s="50"/>
      <c r="AZ1267" s="50"/>
      <c r="BA1267" s="50"/>
      <c r="BB1267" s="51"/>
      <c r="BC1267" s="51"/>
      <c r="BD1267" s="51"/>
      <c r="BE1267" s="51"/>
      <c r="BF1267" s="47"/>
      <c r="BG1267" s="47"/>
      <c r="BH1267" s="47"/>
      <c r="BI1267" s="47"/>
      <c r="BJ1267" s="47"/>
      <c r="BK1267" s="47"/>
      <c r="BL1267" s="47"/>
      <c r="BM1267" s="47"/>
      <c r="BN1267" s="47"/>
      <c r="BO1267" s="47"/>
      <c r="BP1267" s="47"/>
      <c r="BQ1267" s="47"/>
      <c r="BR1267" s="47"/>
      <c r="BS1267" s="47"/>
      <c r="BT1267" s="47"/>
    </row>
    <row r="1268">
      <c r="A1268" s="24"/>
      <c r="B1268" s="48"/>
      <c r="C1268" s="49"/>
      <c r="D1268" s="24"/>
      <c r="E1268" s="52"/>
      <c r="F1268" s="53"/>
      <c r="G1268" s="48"/>
      <c r="H1268" s="49"/>
      <c r="I1268" s="49"/>
      <c r="J1268" s="48"/>
      <c r="K1268" s="48"/>
      <c r="L1268" s="48"/>
      <c r="M1268" s="48"/>
      <c r="N1268" s="48"/>
      <c r="O1268" s="48"/>
      <c r="P1268" s="48"/>
      <c r="Q1268" s="48"/>
      <c r="R1268" s="48"/>
      <c r="S1268" s="48"/>
      <c r="T1268" s="48"/>
      <c r="U1268" s="48"/>
      <c r="V1268" s="48"/>
      <c r="W1268" s="49"/>
      <c r="X1268" s="49"/>
      <c r="Y1268" s="49"/>
      <c r="Z1268" s="49"/>
      <c r="AA1268" s="49"/>
      <c r="AB1268" s="49"/>
      <c r="AC1268" s="49"/>
      <c r="AD1268" s="49"/>
      <c r="AE1268" s="49"/>
      <c r="AF1268" s="49"/>
      <c r="AG1268" s="49"/>
      <c r="AH1268" s="49"/>
      <c r="AI1268" s="48"/>
      <c r="AJ1268" s="48"/>
      <c r="AK1268" s="24"/>
      <c r="AL1268" s="50"/>
      <c r="AM1268" s="50"/>
      <c r="AN1268" s="50"/>
      <c r="AO1268" s="50"/>
      <c r="AP1268" s="50"/>
      <c r="AQ1268" s="50"/>
      <c r="AR1268" s="50"/>
      <c r="AS1268" s="50"/>
      <c r="AT1268" s="51"/>
      <c r="AU1268" s="51"/>
      <c r="AV1268" s="51"/>
      <c r="AW1268" s="51"/>
      <c r="AX1268" s="50"/>
      <c r="AY1268" s="50"/>
      <c r="AZ1268" s="50"/>
      <c r="BA1268" s="50"/>
      <c r="BB1268" s="51"/>
      <c r="BC1268" s="51"/>
      <c r="BD1268" s="51"/>
      <c r="BE1268" s="51"/>
      <c r="BF1268" s="47"/>
      <c r="BG1268" s="47"/>
      <c r="BH1268" s="47"/>
      <c r="BI1268" s="47"/>
      <c r="BJ1268" s="47"/>
      <c r="BK1268" s="47"/>
      <c r="BL1268" s="47"/>
      <c r="BM1268" s="47"/>
      <c r="BN1268" s="47"/>
      <c r="BO1268" s="47"/>
      <c r="BP1268" s="47"/>
      <c r="BQ1268" s="47"/>
      <c r="BR1268" s="47"/>
      <c r="BS1268" s="47"/>
      <c r="BT1268" s="47"/>
    </row>
    <row r="1269">
      <c r="A1269" s="24"/>
      <c r="B1269" s="48"/>
      <c r="C1269" s="49"/>
      <c r="D1269" s="24"/>
      <c r="E1269" s="52"/>
      <c r="F1269" s="53"/>
      <c r="G1269" s="48"/>
      <c r="H1269" s="49"/>
      <c r="I1269" s="49"/>
      <c r="J1269" s="48"/>
      <c r="K1269" s="48"/>
      <c r="L1269" s="48"/>
      <c r="M1269" s="48"/>
      <c r="N1269" s="48"/>
      <c r="O1269" s="48"/>
      <c r="P1269" s="48"/>
      <c r="Q1269" s="48"/>
      <c r="R1269" s="48"/>
      <c r="S1269" s="48"/>
      <c r="T1269" s="48"/>
      <c r="U1269" s="48"/>
      <c r="V1269" s="48"/>
      <c r="W1269" s="49"/>
      <c r="X1269" s="49"/>
      <c r="Y1269" s="49"/>
      <c r="Z1269" s="49"/>
      <c r="AA1269" s="49"/>
      <c r="AB1269" s="49"/>
      <c r="AC1269" s="49"/>
      <c r="AD1269" s="49"/>
      <c r="AE1269" s="49"/>
      <c r="AF1269" s="49"/>
      <c r="AG1269" s="49"/>
      <c r="AH1269" s="49"/>
      <c r="AI1269" s="48"/>
      <c r="AJ1269" s="48"/>
      <c r="AK1269" s="24"/>
      <c r="AL1269" s="50"/>
      <c r="AM1269" s="50"/>
      <c r="AN1269" s="50"/>
      <c r="AO1269" s="50"/>
      <c r="AP1269" s="50"/>
      <c r="AQ1269" s="50"/>
      <c r="AR1269" s="50"/>
      <c r="AS1269" s="50"/>
      <c r="AT1269" s="51"/>
      <c r="AU1269" s="51"/>
      <c r="AV1269" s="51"/>
      <c r="AW1269" s="51"/>
      <c r="AX1269" s="50"/>
      <c r="AY1269" s="50"/>
      <c r="AZ1269" s="50"/>
      <c r="BA1269" s="50"/>
      <c r="BB1269" s="51"/>
      <c r="BC1269" s="51"/>
      <c r="BD1269" s="51"/>
      <c r="BE1269" s="51"/>
      <c r="BF1269" s="47"/>
      <c r="BG1269" s="47"/>
      <c r="BH1269" s="47"/>
      <c r="BI1269" s="47"/>
      <c r="BJ1269" s="47"/>
      <c r="BK1269" s="47"/>
      <c r="BL1269" s="47"/>
      <c r="BM1269" s="47"/>
      <c r="BN1269" s="47"/>
      <c r="BO1269" s="47"/>
      <c r="BP1269" s="47"/>
      <c r="BQ1269" s="47"/>
      <c r="BR1269" s="47"/>
      <c r="BS1269" s="47"/>
      <c r="BT1269" s="47"/>
    </row>
    <row r="1270">
      <c r="A1270" s="24"/>
      <c r="B1270" s="48"/>
      <c r="C1270" s="49"/>
      <c r="D1270" s="24"/>
      <c r="E1270" s="52"/>
      <c r="F1270" s="53"/>
      <c r="G1270" s="48"/>
      <c r="H1270" s="49"/>
      <c r="I1270" s="49"/>
      <c r="J1270" s="48"/>
      <c r="K1270" s="48"/>
      <c r="L1270" s="48"/>
      <c r="M1270" s="48"/>
      <c r="N1270" s="48"/>
      <c r="O1270" s="48"/>
      <c r="P1270" s="48"/>
      <c r="Q1270" s="48"/>
      <c r="R1270" s="48"/>
      <c r="S1270" s="48"/>
      <c r="T1270" s="48"/>
      <c r="U1270" s="48"/>
      <c r="V1270" s="48"/>
      <c r="W1270" s="49"/>
      <c r="X1270" s="49"/>
      <c r="Y1270" s="49"/>
      <c r="Z1270" s="49"/>
      <c r="AA1270" s="49"/>
      <c r="AB1270" s="49"/>
      <c r="AC1270" s="49"/>
      <c r="AD1270" s="49"/>
      <c r="AE1270" s="49"/>
      <c r="AF1270" s="49"/>
      <c r="AG1270" s="49"/>
      <c r="AH1270" s="49"/>
      <c r="AI1270" s="48"/>
      <c r="AJ1270" s="48"/>
      <c r="AK1270" s="24"/>
      <c r="AL1270" s="50"/>
      <c r="AM1270" s="50"/>
      <c r="AN1270" s="50"/>
      <c r="AO1270" s="50"/>
      <c r="AP1270" s="50"/>
      <c r="AQ1270" s="50"/>
      <c r="AR1270" s="50"/>
      <c r="AS1270" s="50"/>
      <c r="AT1270" s="51"/>
      <c r="AU1270" s="51"/>
      <c r="AV1270" s="51"/>
      <c r="AW1270" s="51"/>
      <c r="AX1270" s="50"/>
      <c r="AY1270" s="50"/>
      <c r="AZ1270" s="50"/>
      <c r="BA1270" s="50"/>
      <c r="BB1270" s="51"/>
      <c r="BC1270" s="51"/>
      <c r="BD1270" s="51"/>
      <c r="BE1270" s="51"/>
      <c r="BF1270" s="47"/>
      <c r="BG1270" s="47"/>
      <c r="BH1270" s="47"/>
      <c r="BI1270" s="47"/>
      <c r="BJ1270" s="47"/>
      <c r="BK1270" s="47"/>
      <c r="BL1270" s="47"/>
      <c r="BM1270" s="47"/>
      <c r="BN1270" s="47"/>
      <c r="BO1270" s="47"/>
      <c r="BP1270" s="47"/>
      <c r="BQ1270" s="47"/>
      <c r="BR1270" s="47"/>
      <c r="BS1270" s="47"/>
      <c r="BT1270" s="47"/>
    </row>
    <row r="1271">
      <c r="A1271" s="24"/>
      <c r="B1271" s="48"/>
      <c r="C1271" s="49"/>
      <c r="D1271" s="24"/>
      <c r="E1271" s="52"/>
      <c r="F1271" s="53"/>
      <c r="G1271" s="48"/>
      <c r="H1271" s="49"/>
      <c r="I1271" s="49"/>
      <c r="J1271" s="48"/>
      <c r="K1271" s="48"/>
      <c r="L1271" s="48"/>
      <c r="M1271" s="48"/>
      <c r="N1271" s="48"/>
      <c r="O1271" s="48"/>
      <c r="P1271" s="48"/>
      <c r="Q1271" s="48"/>
      <c r="R1271" s="48"/>
      <c r="S1271" s="48"/>
      <c r="T1271" s="48"/>
      <c r="U1271" s="48"/>
      <c r="V1271" s="48"/>
      <c r="W1271" s="49"/>
      <c r="X1271" s="49"/>
      <c r="Y1271" s="49"/>
      <c r="Z1271" s="49"/>
      <c r="AA1271" s="49"/>
      <c r="AB1271" s="49"/>
      <c r="AC1271" s="49"/>
      <c r="AD1271" s="49"/>
      <c r="AE1271" s="49"/>
      <c r="AF1271" s="49"/>
      <c r="AG1271" s="49"/>
      <c r="AH1271" s="49"/>
      <c r="AI1271" s="48"/>
      <c r="AJ1271" s="48"/>
      <c r="AK1271" s="24"/>
      <c r="AL1271" s="50"/>
      <c r="AM1271" s="50"/>
      <c r="AN1271" s="50"/>
      <c r="AO1271" s="50"/>
      <c r="AP1271" s="50"/>
      <c r="AQ1271" s="50"/>
      <c r="AR1271" s="50"/>
      <c r="AS1271" s="50"/>
      <c r="AT1271" s="51"/>
      <c r="AU1271" s="51"/>
      <c r="AV1271" s="51"/>
      <c r="AW1271" s="51"/>
      <c r="AX1271" s="50"/>
      <c r="AY1271" s="50"/>
      <c r="AZ1271" s="50"/>
      <c r="BA1271" s="50"/>
      <c r="BB1271" s="51"/>
      <c r="BC1271" s="51"/>
      <c r="BD1271" s="51"/>
      <c r="BE1271" s="51"/>
      <c r="BF1271" s="47"/>
      <c r="BG1271" s="47"/>
      <c r="BH1271" s="47"/>
      <c r="BI1271" s="47"/>
      <c r="BJ1271" s="47"/>
      <c r="BK1271" s="47"/>
      <c r="BL1271" s="47"/>
      <c r="BM1271" s="47"/>
      <c r="BN1271" s="47"/>
      <c r="BO1271" s="47"/>
      <c r="BP1271" s="47"/>
      <c r="BQ1271" s="47"/>
      <c r="BR1271" s="47"/>
      <c r="BS1271" s="47"/>
      <c r="BT1271" s="47"/>
    </row>
    <row r="1272">
      <c r="A1272" s="24"/>
      <c r="B1272" s="48"/>
      <c r="C1272" s="49"/>
      <c r="D1272" s="24"/>
      <c r="E1272" s="52"/>
      <c r="F1272" s="53"/>
      <c r="G1272" s="48"/>
      <c r="H1272" s="49"/>
      <c r="I1272" s="49"/>
      <c r="J1272" s="48"/>
      <c r="K1272" s="48"/>
      <c r="L1272" s="48"/>
      <c r="M1272" s="48"/>
      <c r="N1272" s="48"/>
      <c r="O1272" s="48"/>
      <c r="P1272" s="48"/>
      <c r="Q1272" s="48"/>
      <c r="R1272" s="48"/>
      <c r="S1272" s="48"/>
      <c r="T1272" s="48"/>
      <c r="U1272" s="48"/>
      <c r="V1272" s="48"/>
      <c r="W1272" s="49"/>
      <c r="X1272" s="49"/>
      <c r="Y1272" s="49"/>
      <c r="Z1272" s="49"/>
      <c r="AA1272" s="49"/>
      <c r="AB1272" s="49"/>
      <c r="AC1272" s="49"/>
      <c r="AD1272" s="49"/>
      <c r="AE1272" s="49"/>
      <c r="AF1272" s="49"/>
      <c r="AG1272" s="49"/>
      <c r="AH1272" s="49"/>
      <c r="AI1272" s="48"/>
      <c r="AJ1272" s="48"/>
      <c r="AK1272" s="24"/>
      <c r="AL1272" s="50"/>
      <c r="AM1272" s="50"/>
      <c r="AN1272" s="50"/>
      <c r="AO1272" s="50"/>
      <c r="AP1272" s="50"/>
      <c r="AQ1272" s="50"/>
      <c r="AR1272" s="50"/>
      <c r="AS1272" s="50"/>
      <c r="AT1272" s="51"/>
      <c r="AU1272" s="51"/>
      <c r="AV1272" s="51"/>
      <c r="AW1272" s="51"/>
      <c r="AX1272" s="50"/>
      <c r="AY1272" s="50"/>
      <c r="AZ1272" s="50"/>
      <c r="BA1272" s="50"/>
      <c r="BB1272" s="51"/>
      <c r="BC1272" s="51"/>
      <c r="BD1272" s="51"/>
      <c r="BE1272" s="51"/>
      <c r="BF1272" s="47"/>
      <c r="BG1272" s="47"/>
      <c r="BH1272" s="47"/>
      <c r="BI1272" s="47"/>
      <c r="BJ1272" s="47"/>
      <c r="BK1272" s="47"/>
      <c r="BL1272" s="47"/>
      <c r="BM1272" s="47"/>
      <c r="BN1272" s="47"/>
      <c r="BO1272" s="47"/>
      <c r="BP1272" s="47"/>
      <c r="BQ1272" s="47"/>
      <c r="BR1272" s="47"/>
      <c r="BS1272" s="47"/>
      <c r="BT1272" s="47"/>
    </row>
    <row r="1273">
      <c r="A1273" s="24"/>
      <c r="B1273" s="48"/>
      <c r="C1273" s="49"/>
      <c r="D1273" s="24"/>
      <c r="E1273" s="52"/>
      <c r="F1273" s="53"/>
      <c r="G1273" s="48"/>
      <c r="H1273" s="49"/>
      <c r="I1273" s="49"/>
      <c r="J1273" s="48"/>
      <c r="K1273" s="48"/>
      <c r="L1273" s="48"/>
      <c r="M1273" s="48"/>
      <c r="N1273" s="48"/>
      <c r="O1273" s="48"/>
      <c r="P1273" s="48"/>
      <c r="Q1273" s="48"/>
      <c r="R1273" s="48"/>
      <c r="S1273" s="48"/>
      <c r="T1273" s="48"/>
      <c r="U1273" s="48"/>
      <c r="V1273" s="48"/>
      <c r="W1273" s="49"/>
      <c r="X1273" s="49"/>
      <c r="Y1273" s="49"/>
      <c r="Z1273" s="49"/>
      <c r="AA1273" s="49"/>
      <c r="AB1273" s="49"/>
      <c r="AC1273" s="49"/>
      <c r="AD1273" s="49"/>
      <c r="AE1273" s="49"/>
      <c r="AF1273" s="49"/>
      <c r="AG1273" s="49"/>
      <c r="AH1273" s="49"/>
      <c r="AI1273" s="48"/>
      <c r="AJ1273" s="48"/>
      <c r="AK1273" s="24"/>
      <c r="AL1273" s="50"/>
      <c r="AM1273" s="50"/>
      <c r="AN1273" s="50"/>
      <c r="AO1273" s="50"/>
      <c r="AP1273" s="50"/>
      <c r="AQ1273" s="50"/>
      <c r="AR1273" s="50"/>
      <c r="AS1273" s="50"/>
      <c r="AT1273" s="51"/>
      <c r="AU1273" s="51"/>
      <c r="AV1273" s="51"/>
      <c r="AW1273" s="51"/>
      <c r="AX1273" s="50"/>
      <c r="AY1273" s="50"/>
      <c r="AZ1273" s="50"/>
      <c r="BA1273" s="50"/>
      <c r="BB1273" s="51"/>
      <c r="BC1273" s="51"/>
      <c r="BD1273" s="51"/>
      <c r="BE1273" s="51"/>
      <c r="BF1273" s="47"/>
      <c r="BG1273" s="47"/>
      <c r="BH1273" s="47"/>
      <c r="BI1273" s="47"/>
      <c r="BJ1273" s="47"/>
      <c r="BK1273" s="47"/>
      <c r="BL1273" s="47"/>
      <c r="BM1273" s="47"/>
      <c r="BN1273" s="47"/>
      <c r="BO1273" s="47"/>
      <c r="BP1273" s="47"/>
      <c r="BQ1273" s="47"/>
      <c r="BR1273" s="47"/>
      <c r="BS1273" s="47"/>
      <c r="BT1273" s="47"/>
    </row>
    <row r="1274">
      <c r="A1274" s="24"/>
      <c r="B1274" s="48"/>
      <c r="C1274" s="49"/>
      <c r="D1274" s="24"/>
      <c r="E1274" s="52"/>
      <c r="F1274" s="53"/>
      <c r="G1274" s="48"/>
      <c r="H1274" s="49"/>
      <c r="I1274" s="49"/>
      <c r="J1274" s="48"/>
      <c r="K1274" s="48"/>
      <c r="L1274" s="48"/>
      <c r="M1274" s="48"/>
      <c r="N1274" s="48"/>
      <c r="O1274" s="48"/>
      <c r="P1274" s="48"/>
      <c r="Q1274" s="48"/>
      <c r="R1274" s="48"/>
      <c r="S1274" s="48"/>
      <c r="T1274" s="48"/>
      <c r="U1274" s="48"/>
      <c r="V1274" s="48"/>
      <c r="W1274" s="49"/>
      <c r="X1274" s="49"/>
      <c r="Y1274" s="49"/>
      <c r="Z1274" s="49"/>
      <c r="AA1274" s="49"/>
      <c r="AB1274" s="49"/>
      <c r="AC1274" s="49"/>
      <c r="AD1274" s="49"/>
      <c r="AE1274" s="49"/>
      <c r="AF1274" s="49"/>
      <c r="AG1274" s="49"/>
      <c r="AH1274" s="49"/>
      <c r="AI1274" s="48"/>
      <c r="AJ1274" s="48"/>
      <c r="AK1274" s="24"/>
      <c r="AL1274" s="50"/>
      <c r="AM1274" s="50"/>
      <c r="AN1274" s="50"/>
      <c r="AO1274" s="50"/>
      <c r="AP1274" s="50"/>
      <c r="AQ1274" s="50"/>
      <c r="AR1274" s="50"/>
      <c r="AS1274" s="50"/>
      <c r="AT1274" s="51"/>
      <c r="AU1274" s="51"/>
      <c r="AV1274" s="51"/>
      <c r="AW1274" s="51"/>
      <c r="AX1274" s="50"/>
      <c r="AY1274" s="50"/>
      <c r="AZ1274" s="50"/>
      <c r="BA1274" s="50"/>
      <c r="BB1274" s="51"/>
      <c r="BC1274" s="51"/>
      <c r="BD1274" s="51"/>
      <c r="BE1274" s="51"/>
      <c r="BF1274" s="47"/>
      <c r="BG1274" s="47"/>
      <c r="BH1274" s="47"/>
      <c r="BI1274" s="47"/>
      <c r="BJ1274" s="47"/>
      <c r="BK1274" s="47"/>
      <c r="BL1274" s="47"/>
      <c r="BM1274" s="47"/>
      <c r="BN1274" s="47"/>
      <c r="BO1274" s="47"/>
      <c r="BP1274" s="47"/>
      <c r="BQ1274" s="47"/>
      <c r="BR1274" s="47"/>
      <c r="BS1274" s="47"/>
      <c r="BT1274" s="47"/>
    </row>
    <row r="1275">
      <c r="A1275" s="24"/>
      <c r="B1275" s="48"/>
      <c r="C1275" s="49"/>
      <c r="D1275" s="24"/>
      <c r="E1275" s="52"/>
      <c r="F1275" s="53"/>
      <c r="G1275" s="48"/>
      <c r="H1275" s="49"/>
      <c r="I1275" s="49"/>
      <c r="J1275" s="48"/>
      <c r="K1275" s="48"/>
      <c r="L1275" s="48"/>
      <c r="M1275" s="48"/>
      <c r="N1275" s="48"/>
      <c r="O1275" s="48"/>
      <c r="P1275" s="48"/>
      <c r="Q1275" s="48"/>
      <c r="R1275" s="48"/>
      <c r="S1275" s="48"/>
      <c r="T1275" s="48"/>
      <c r="U1275" s="48"/>
      <c r="V1275" s="48"/>
      <c r="W1275" s="49"/>
      <c r="X1275" s="49"/>
      <c r="Y1275" s="49"/>
      <c r="Z1275" s="49"/>
      <c r="AA1275" s="49"/>
      <c r="AB1275" s="49"/>
      <c r="AC1275" s="49"/>
      <c r="AD1275" s="49"/>
      <c r="AE1275" s="49"/>
      <c r="AF1275" s="49"/>
      <c r="AG1275" s="49"/>
      <c r="AH1275" s="49"/>
      <c r="AI1275" s="48"/>
      <c r="AJ1275" s="48"/>
      <c r="AK1275" s="24"/>
      <c r="AL1275" s="50"/>
      <c r="AM1275" s="50"/>
      <c r="AN1275" s="50"/>
      <c r="AO1275" s="50"/>
      <c r="AP1275" s="50"/>
      <c r="AQ1275" s="50"/>
      <c r="AR1275" s="50"/>
      <c r="AS1275" s="50"/>
      <c r="AT1275" s="51"/>
      <c r="AU1275" s="51"/>
      <c r="AV1275" s="51"/>
      <c r="AW1275" s="51"/>
      <c r="AX1275" s="50"/>
      <c r="AY1275" s="50"/>
      <c r="AZ1275" s="50"/>
      <c r="BA1275" s="50"/>
      <c r="BB1275" s="51"/>
      <c r="BC1275" s="51"/>
      <c r="BD1275" s="51"/>
      <c r="BE1275" s="51"/>
      <c r="BF1275" s="47"/>
      <c r="BG1275" s="47"/>
      <c r="BH1275" s="47"/>
      <c r="BI1275" s="47"/>
      <c r="BJ1275" s="47"/>
      <c r="BK1275" s="47"/>
      <c r="BL1275" s="47"/>
      <c r="BM1275" s="47"/>
      <c r="BN1275" s="47"/>
      <c r="BO1275" s="47"/>
      <c r="BP1275" s="47"/>
      <c r="BQ1275" s="47"/>
      <c r="BR1275" s="47"/>
      <c r="BS1275" s="47"/>
      <c r="BT1275" s="47"/>
    </row>
    <row r="1276">
      <c r="A1276" s="24"/>
      <c r="B1276" s="48"/>
      <c r="C1276" s="49"/>
      <c r="D1276" s="24"/>
      <c r="E1276" s="52"/>
      <c r="F1276" s="53"/>
      <c r="G1276" s="48"/>
      <c r="H1276" s="49"/>
      <c r="I1276" s="49"/>
      <c r="J1276" s="48"/>
      <c r="K1276" s="48"/>
      <c r="L1276" s="48"/>
      <c r="M1276" s="48"/>
      <c r="N1276" s="48"/>
      <c r="O1276" s="48"/>
      <c r="P1276" s="48"/>
      <c r="Q1276" s="48"/>
      <c r="R1276" s="48"/>
      <c r="S1276" s="48"/>
      <c r="T1276" s="48"/>
      <c r="U1276" s="48"/>
      <c r="V1276" s="48"/>
      <c r="W1276" s="49"/>
      <c r="X1276" s="49"/>
      <c r="Y1276" s="49"/>
      <c r="Z1276" s="49"/>
      <c r="AA1276" s="49"/>
      <c r="AB1276" s="49"/>
      <c r="AC1276" s="49"/>
      <c r="AD1276" s="49"/>
      <c r="AE1276" s="49"/>
      <c r="AF1276" s="49"/>
      <c r="AG1276" s="49"/>
      <c r="AH1276" s="49"/>
      <c r="AI1276" s="48"/>
      <c r="AJ1276" s="48"/>
      <c r="AK1276" s="24"/>
      <c r="AL1276" s="50"/>
      <c r="AM1276" s="50"/>
      <c r="AN1276" s="50"/>
      <c r="AO1276" s="50"/>
      <c r="AP1276" s="50"/>
      <c r="AQ1276" s="50"/>
      <c r="AR1276" s="50"/>
      <c r="AS1276" s="50"/>
      <c r="AT1276" s="51"/>
      <c r="AU1276" s="51"/>
      <c r="AV1276" s="51"/>
      <c r="AW1276" s="51"/>
      <c r="AX1276" s="50"/>
      <c r="AY1276" s="50"/>
      <c r="AZ1276" s="50"/>
      <c r="BA1276" s="50"/>
      <c r="BB1276" s="51"/>
      <c r="BC1276" s="51"/>
      <c r="BD1276" s="51"/>
      <c r="BE1276" s="51"/>
      <c r="BF1276" s="47"/>
      <c r="BG1276" s="47"/>
      <c r="BH1276" s="47"/>
      <c r="BI1276" s="47"/>
      <c r="BJ1276" s="47"/>
      <c r="BK1276" s="47"/>
      <c r="BL1276" s="47"/>
      <c r="BM1276" s="47"/>
      <c r="BN1276" s="47"/>
      <c r="BO1276" s="47"/>
      <c r="BP1276" s="47"/>
      <c r="BQ1276" s="47"/>
      <c r="BR1276" s="47"/>
      <c r="BS1276" s="47"/>
      <c r="BT1276" s="47"/>
    </row>
    <row r="1277">
      <c r="A1277" s="24"/>
      <c r="B1277" s="48"/>
      <c r="C1277" s="49"/>
      <c r="D1277" s="24"/>
      <c r="E1277" s="52"/>
      <c r="F1277" s="53"/>
      <c r="G1277" s="48"/>
      <c r="H1277" s="49"/>
      <c r="I1277" s="49"/>
      <c r="J1277" s="48"/>
      <c r="K1277" s="48"/>
      <c r="L1277" s="48"/>
      <c r="M1277" s="48"/>
      <c r="N1277" s="48"/>
      <c r="O1277" s="48"/>
      <c r="P1277" s="48"/>
      <c r="Q1277" s="48"/>
      <c r="R1277" s="48"/>
      <c r="S1277" s="48"/>
      <c r="T1277" s="48"/>
      <c r="U1277" s="48"/>
      <c r="V1277" s="48"/>
      <c r="W1277" s="49"/>
      <c r="X1277" s="49"/>
      <c r="Y1277" s="49"/>
      <c r="Z1277" s="49"/>
      <c r="AA1277" s="49"/>
      <c r="AB1277" s="49"/>
      <c r="AC1277" s="49"/>
      <c r="AD1277" s="49"/>
      <c r="AE1277" s="49"/>
      <c r="AF1277" s="49"/>
      <c r="AG1277" s="49"/>
      <c r="AH1277" s="49"/>
      <c r="AI1277" s="48"/>
      <c r="AJ1277" s="48"/>
      <c r="AK1277" s="24"/>
      <c r="AL1277" s="50"/>
      <c r="AM1277" s="50"/>
      <c r="AN1277" s="50"/>
      <c r="AO1277" s="50"/>
      <c r="AP1277" s="50"/>
      <c r="AQ1277" s="50"/>
      <c r="AR1277" s="50"/>
      <c r="AS1277" s="50"/>
      <c r="AT1277" s="51"/>
      <c r="AU1277" s="51"/>
      <c r="AV1277" s="51"/>
      <c r="AW1277" s="51"/>
      <c r="AX1277" s="50"/>
      <c r="AY1277" s="50"/>
      <c r="AZ1277" s="50"/>
      <c r="BA1277" s="50"/>
      <c r="BB1277" s="51"/>
      <c r="BC1277" s="51"/>
      <c r="BD1277" s="51"/>
      <c r="BE1277" s="51"/>
      <c r="BF1277" s="47"/>
      <c r="BG1277" s="47"/>
      <c r="BH1277" s="47"/>
      <c r="BI1277" s="47"/>
      <c r="BJ1277" s="47"/>
      <c r="BK1277" s="47"/>
      <c r="BL1277" s="47"/>
      <c r="BM1277" s="47"/>
      <c r="BN1277" s="47"/>
      <c r="BO1277" s="47"/>
      <c r="BP1277" s="47"/>
      <c r="BQ1277" s="47"/>
      <c r="BR1277" s="47"/>
      <c r="BS1277" s="47"/>
      <c r="BT1277" s="47"/>
    </row>
    <row r="1278">
      <c r="A1278" s="24"/>
      <c r="B1278" s="48"/>
      <c r="C1278" s="49"/>
      <c r="D1278" s="24"/>
      <c r="E1278" s="52"/>
      <c r="F1278" s="53"/>
      <c r="G1278" s="48"/>
      <c r="H1278" s="49"/>
      <c r="I1278" s="49"/>
      <c r="J1278" s="48"/>
      <c r="K1278" s="48"/>
      <c r="L1278" s="48"/>
      <c r="M1278" s="48"/>
      <c r="N1278" s="48"/>
      <c r="O1278" s="48"/>
      <c r="P1278" s="48"/>
      <c r="Q1278" s="48"/>
      <c r="R1278" s="48"/>
      <c r="S1278" s="48"/>
      <c r="T1278" s="48"/>
      <c r="U1278" s="48"/>
      <c r="V1278" s="48"/>
      <c r="W1278" s="49"/>
      <c r="X1278" s="49"/>
      <c r="Y1278" s="49"/>
      <c r="Z1278" s="49"/>
      <c r="AA1278" s="49"/>
      <c r="AB1278" s="49"/>
      <c r="AC1278" s="49"/>
      <c r="AD1278" s="49"/>
      <c r="AE1278" s="49"/>
      <c r="AF1278" s="49"/>
      <c r="AG1278" s="49"/>
      <c r="AH1278" s="49"/>
      <c r="AI1278" s="48"/>
      <c r="AJ1278" s="48"/>
      <c r="AK1278" s="24"/>
      <c r="AL1278" s="50"/>
      <c r="AM1278" s="50"/>
      <c r="AN1278" s="50"/>
      <c r="AO1278" s="50"/>
      <c r="AP1278" s="50"/>
      <c r="AQ1278" s="50"/>
      <c r="AR1278" s="50"/>
      <c r="AS1278" s="50"/>
      <c r="AT1278" s="51"/>
      <c r="AU1278" s="51"/>
      <c r="AV1278" s="51"/>
      <c r="AW1278" s="51"/>
      <c r="AX1278" s="50"/>
      <c r="AY1278" s="50"/>
      <c r="AZ1278" s="50"/>
      <c r="BA1278" s="50"/>
      <c r="BB1278" s="51"/>
      <c r="BC1278" s="51"/>
      <c r="BD1278" s="51"/>
      <c r="BE1278" s="51"/>
      <c r="BF1278" s="47"/>
      <c r="BG1278" s="47"/>
      <c r="BH1278" s="47"/>
      <c r="BI1278" s="47"/>
      <c r="BJ1278" s="47"/>
      <c r="BK1278" s="47"/>
      <c r="BL1278" s="47"/>
      <c r="BM1278" s="47"/>
      <c r="BN1278" s="47"/>
      <c r="BO1278" s="47"/>
      <c r="BP1278" s="47"/>
      <c r="BQ1278" s="47"/>
      <c r="BR1278" s="47"/>
      <c r="BS1278" s="47"/>
      <c r="BT1278" s="47"/>
    </row>
    <row r="1279">
      <c r="A1279" s="24"/>
      <c r="B1279" s="48"/>
      <c r="C1279" s="49"/>
      <c r="D1279" s="24"/>
      <c r="E1279" s="52"/>
      <c r="F1279" s="53"/>
      <c r="G1279" s="48"/>
      <c r="H1279" s="49"/>
      <c r="I1279" s="49"/>
      <c r="J1279" s="48"/>
      <c r="K1279" s="48"/>
      <c r="L1279" s="48"/>
      <c r="M1279" s="48"/>
      <c r="N1279" s="48"/>
      <c r="O1279" s="48"/>
      <c r="P1279" s="48"/>
      <c r="Q1279" s="48"/>
      <c r="R1279" s="48"/>
      <c r="S1279" s="48"/>
      <c r="T1279" s="48"/>
      <c r="U1279" s="48"/>
      <c r="V1279" s="48"/>
      <c r="W1279" s="49"/>
      <c r="X1279" s="49"/>
      <c r="Y1279" s="49"/>
      <c r="Z1279" s="49"/>
      <c r="AA1279" s="49"/>
      <c r="AB1279" s="49"/>
      <c r="AC1279" s="49"/>
      <c r="AD1279" s="49"/>
      <c r="AE1279" s="49"/>
      <c r="AF1279" s="49"/>
      <c r="AG1279" s="49"/>
      <c r="AH1279" s="49"/>
      <c r="AI1279" s="48"/>
      <c r="AJ1279" s="48"/>
      <c r="AK1279" s="24"/>
      <c r="AL1279" s="50"/>
      <c r="AM1279" s="50"/>
      <c r="AN1279" s="50"/>
      <c r="AO1279" s="50"/>
      <c r="AP1279" s="50"/>
      <c r="AQ1279" s="50"/>
      <c r="AR1279" s="50"/>
      <c r="AS1279" s="50"/>
      <c r="AT1279" s="51"/>
      <c r="AU1279" s="51"/>
      <c r="AV1279" s="51"/>
      <c r="AW1279" s="51"/>
      <c r="AX1279" s="50"/>
      <c r="AY1279" s="50"/>
      <c r="AZ1279" s="50"/>
      <c r="BA1279" s="50"/>
      <c r="BB1279" s="51"/>
      <c r="BC1279" s="51"/>
      <c r="BD1279" s="51"/>
      <c r="BE1279" s="51"/>
      <c r="BF1279" s="47"/>
      <c r="BG1279" s="47"/>
      <c r="BH1279" s="47"/>
      <c r="BI1279" s="47"/>
      <c r="BJ1279" s="47"/>
      <c r="BK1279" s="47"/>
      <c r="BL1279" s="47"/>
      <c r="BM1279" s="47"/>
      <c r="BN1279" s="47"/>
      <c r="BO1279" s="47"/>
      <c r="BP1279" s="47"/>
      <c r="BQ1279" s="47"/>
      <c r="BR1279" s="47"/>
      <c r="BS1279" s="47"/>
      <c r="BT1279" s="47"/>
    </row>
    <row r="1280">
      <c r="A1280" s="24"/>
      <c r="B1280" s="48"/>
      <c r="C1280" s="49"/>
      <c r="D1280" s="24"/>
      <c r="E1280" s="52"/>
      <c r="F1280" s="53"/>
      <c r="G1280" s="48"/>
      <c r="H1280" s="49"/>
      <c r="I1280" s="49"/>
      <c r="J1280" s="48"/>
      <c r="K1280" s="48"/>
      <c r="L1280" s="48"/>
      <c r="M1280" s="48"/>
      <c r="N1280" s="48"/>
      <c r="O1280" s="48"/>
      <c r="P1280" s="48"/>
      <c r="Q1280" s="48"/>
      <c r="R1280" s="48"/>
      <c r="S1280" s="48"/>
      <c r="T1280" s="48"/>
      <c r="U1280" s="48"/>
      <c r="V1280" s="48"/>
      <c r="W1280" s="49"/>
      <c r="X1280" s="49"/>
      <c r="Y1280" s="49"/>
      <c r="Z1280" s="49"/>
      <c r="AA1280" s="49"/>
      <c r="AB1280" s="49"/>
      <c r="AC1280" s="49"/>
      <c r="AD1280" s="49"/>
      <c r="AE1280" s="49"/>
      <c r="AF1280" s="49"/>
      <c r="AG1280" s="49"/>
      <c r="AH1280" s="49"/>
      <c r="AI1280" s="48"/>
      <c r="AJ1280" s="48"/>
      <c r="AK1280" s="24"/>
      <c r="AL1280" s="50"/>
      <c r="AM1280" s="50"/>
      <c r="AN1280" s="50"/>
      <c r="AO1280" s="50"/>
      <c r="AP1280" s="50"/>
      <c r="AQ1280" s="50"/>
      <c r="AR1280" s="50"/>
      <c r="AS1280" s="50"/>
      <c r="AT1280" s="51"/>
      <c r="AU1280" s="51"/>
      <c r="AV1280" s="51"/>
      <c r="AW1280" s="51"/>
      <c r="AX1280" s="50"/>
      <c r="AY1280" s="50"/>
      <c r="AZ1280" s="50"/>
      <c r="BA1280" s="50"/>
      <c r="BB1280" s="51"/>
      <c r="BC1280" s="51"/>
      <c r="BD1280" s="51"/>
      <c r="BE1280" s="51"/>
      <c r="BF1280" s="47"/>
      <c r="BG1280" s="47"/>
      <c r="BH1280" s="47"/>
      <c r="BI1280" s="47"/>
      <c r="BJ1280" s="47"/>
      <c r="BK1280" s="47"/>
      <c r="BL1280" s="47"/>
      <c r="BM1280" s="47"/>
      <c r="BN1280" s="47"/>
      <c r="BO1280" s="47"/>
      <c r="BP1280" s="47"/>
      <c r="BQ1280" s="47"/>
      <c r="BR1280" s="47"/>
      <c r="BS1280" s="47"/>
      <c r="BT1280" s="47"/>
    </row>
    <row r="1281">
      <c r="A1281" s="24"/>
      <c r="B1281" s="48"/>
      <c r="C1281" s="49"/>
      <c r="D1281" s="24"/>
      <c r="E1281" s="52"/>
      <c r="F1281" s="53"/>
      <c r="G1281" s="48"/>
      <c r="H1281" s="49"/>
      <c r="I1281" s="49"/>
      <c r="J1281" s="48"/>
      <c r="K1281" s="48"/>
      <c r="L1281" s="48"/>
      <c r="M1281" s="48"/>
      <c r="N1281" s="48"/>
      <c r="O1281" s="48"/>
      <c r="P1281" s="48"/>
      <c r="Q1281" s="48"/>
      <c r="R1281" s="48"/>
      <c r="S1281" s="48"/>
      <c r="T1281" s="48"/>
      <c r="U1281" s="48"/>
      <c r="V1281" s="48"/>
      <c r="W1281" s="49"/>
      <c r="X1281" s="49"/>
      <c r="Y1281" s="49"/>
      <c r="Z1281" s="49"/>
      <c r="AA1281" s="49"/>
      <c r="AB1281" s="49"/>
      <c r="AC1281" s="49"/>
      <c r="AD1281" s="49"/>
      <c r="AE1281" s="49"/>
      <c r="AF1281" s="49"/>
      <c r="AG1281" s="49"/>
      <c r="AH1281" s="49"/>
      <c r="AI1281" s="48"/>
      <c r="AJ1281" s="48"/>
      <c r="AK1281" s="24"/>
      <c r="AL1281" s="50"/>
      <c r="AM1281" s="50"/>
      <c r="AN1281" s="50"/>
      <c r="AO1281" s="50"/>
      <c r="AP1281" s="50"/>
      <c r="AQ1281" s="50"/>
      <c r="AR1281" s="50"/>
      <c r="AS1281" s="50"/>
      <c r="AT1281" s="51"/>
      <c r="AU1281" s="51"/>
      <c r="AV1281" s="51"/>
      <c r="AW1281" s="51"/>
      <c r="AX1281" s="50"/>
      <c r="AY1281" s="50"/>
      <c r="AZ1281" s="50"/>
      <c r="BA1281" s="50"/>
      <c r="BB1281" s="51"/>
      <c r="BC1281" s="51"/>
      <c r="BD1281" s="51"/>
      <c r="BE1281" s="51"/>
      <c r="BF1281" s="47"/>
      <c r="BG1281" s="47"/>
      <c r="BH1281" s="47"/>
      <c r="BI1281" s="47"/>
      <c r="BJ1281" s="47"/>
      <c r="BK1281" s="47"/>
      <c r="BL1281" s="47"/>
      <c r="BM1281" s="47"/>
      <c r="BN1281" s="47"/>
      <c r="BO1281" s="47"/>
      <c r="BP1281" s="47"/>
      <c r="BQ1281" s="47"/>
      <c r="BR1281" s="47"/>
      <c r="BS1281" s="47"/>
      <c r="BT1281" s="47"/>
    </row>
    <row r="1282">
      <c r="A1282" s="24"/>
      <c r="B1282" s="48"/>
      <c r="C1282" s="49"/>
      <c r="D1282" s="24"/>
      <c r="E1282" s="52"/>
      <c r="F1282" s="53"/>
      <c r="G1282" s="48"/>
      <c r="H1282" s="49"/>
      <c r="I1282" s="49"/>
      <c r="J1282" s="48"/>
      <c r="K1282" s="48"/>
      <c r="L1282" s="48"/>
      <c r="M1282" s="48"/>
      <c r="N1282" s="48"/>
      <c r="O1282" s="48"/>
      <c r="P1282" s="48"/>
      <c r="Q1282" s="48"/>
      <c r="R1282" s="48"/>
      <c r="S1282" s="48"/>
      <c r="T1282" s="48"/>
      <c r="U1282" s="48"/>
      <c r="V1282" s="48"/>
      <c r="W1282" s="49"/>
      <c r="X1282" s="49"/>
      <c r="Y1282" s="49"/>
      <c r="Z1282" s="49"/>
      <c r="AA1282" s="49"/>
      <c r="AB1282" s="49"/>
      <c r="AC1282" s="49"/>
      <c r="AD1282" s="49"/>
      <c r="AE1282" s="49"/>
      <c r="AF1282" s="49"/>
      <c r="AG1282" s="49"/>
      <c r="AH1282" s="49"/>
      <c r="AI1282" s="48"/>
      <c r="AJ1282" s="48"/>
      <c r="AK1282" s="24"/>
      <c r="AL1282" s="50"/>
      <c r="AM1282" s="50"/>
      <c r="AN1282" s="50"/>
      <c r="AO1282" s="50"/>
      <c r="AP1282" s="50"/>
      <c r="AQ1282" s="50"/>
      <c r="AR1282" s="50"/>
      <c r="AS1282" s="50"/>
      <c r="AT1282" s="51"/>
      <c r="AU1282" s="51"/>
      <c r="AV1282" s="51"/>
      <c r="AW1282" s="51"/>
      <c r="AX1282" s="50"/>
      <c r="AY1282" s="50"/>
      <c r="AZ1282" s="50"/>
      <c r="BA1282" s="50"/>
      <c r="BB1282" s="51"/>
      <c r="BC1282" s="51"/>
      <c r="BD1282" s="51"/>
      <c r="BE1282" s="51"/>
      <c r="BF1282" s="47"/>
      <c r="BG1282" s="47"/>
      <c r="BH1282" s="47"/>
      <c r="BI1282" s="47"/>
      <c r="BJ1282" s="47"/>
      <c r="BK1282" s="47"/>
      <c r="BL1282" s="47"/>
      <c r="BM1282" s="47"/>
      <c r="BN1282" s="47"/>
      <c r="BO1282" s="47"/>
      <c r="BP1282" s="47"/>
      <c r="BQ1282" s="47"/>
      <c r="BR1282" s="47"/>
      <c r="BS1282" s="47"/>
      <c r="BT1282" s="47"/>
    </row>
    <row r="1283">
      <c r="A1283" s="24"/>
      <c r="B1283" s="48"/>
      <c r="C1283" s="49"/>
      <c r="D1283" s="24"/>
      <c r="E1283" s="52"/>
      <c r="F1283" s="53"/>
      <c r="G1283" s="48"/>
      <c r="H1283" s="49"/>
      <c r="I1283" s="49"/>
      <c r="J1283" s="48"/>
      <c r="K1283" s="48"/>
      <c r="L1283" s="48"/>
      <c r="M1283" s="48"/>
      <c r="N1283" s="48"/>
      <c r="O1283" s="48"/>
      <c r="P1283" s="48"/>
      <c r="Q1283" s="48"/>
      <c r="R1283" s="48"/>
      <c r="S1283" s="48"/>
      <c r="T1283" s="48"/>
      <c r="U1283" s="48"/>
      <c r="V1283" s="48"/>
      <c r="W1283" s="49"/>
      <c r="X1283" s="49"/>
      <c r="Y1283" s="49"/>
      <c r="Z1283" s="49"/>
      <c r="AA1283" s="49"/>
      <c r="AB1283" s="49"/>
      <c r="AC1283" s="49"/>
      <c r="AD1283" s="49"/>
      <c r="AE1283" s="49"/>
      <c r="AF1283" s="49"/>
      <c r="AG1283" s="49"/>
      <c r="AH1283" s="49"/>
      <c r="AI1283" s="48"/>
      <c r="AJ1283" s="48"/>
      <c r="AK1283" s="24"/>
      <c r="AL1283" s="50"/>
      <c r="AM1283" s="50"/>
      <c r="AN1283" s="50"/>
      <c r="AO1283" s="50"/>
      <c r="AP1283" s="50"/>
      <c r="AQ1283" s="50"/>
      <c r="AR1283" s="50"/>
      <c r="AS1283" s="50"/>
      <c r="AT1283" s="51"/>
      <c r="AU1283" s="51"/>
      <c r="AV1283" s="51"/>
      <c r="AW1283" s="51"/>
      <c r="AX1283" s="50"/>
      <c r="AY1283" s="50"/>
      <c r="AZ1283" s="50"/>
      <c r="BA1283" s="50"/>
      <c r="BB1283" s="51"/>
      <c r="BC1283" s="51"/>
      <c r="BD1283" s="51"/>
      <c r="BE1283" s="51"/>
      <c r="BF1283" s="47"/>
      <c r="BG1283" s="47"/>
      <c r="BH1283" s="47"/>
      <c r="BI1283" s="47"/>
      <c r="BJ1283" s="47"/>
      <c r="BK1283" s="47"/>
      <c r="BL1283" s="47"/>
      <c r="BM1283" s="47"/>
      <c r="BN1283" s="47"/>
      <c r="BO1283" s="47"/>
      <c r="BP1283" s="47"/>
      <c r="BQ1283" s="47"/>
      <c r="BR1283" s="47"/>
      <c r="BS1283" s="47"/>
      <c r="BT1283" s="47"/>
    </row>
    <row r="1284">
      <c r="A1284" s="24"/>
      <c r="B1284" s="48"/>
      <c r="C1284" s="49"/>
      <c r="D1284" s="24"/>
      <c r="E1284" s="52"/>
      <c r="F1284" s="53"/>
      <c r="G1284" s="48"/>
      <c r="H1284" s="49"/>
      <c r="I1284" s="49"/>
      <c r="J1284" s="48"/>
      <c r="K1284" s="48"/>
      <c r="L1284" s="48"/>
      <c r="M1284" s="48"/>
      <c r="N1284" s="48"/>
      <c r="O1284" s="48"/>
      <c r="P1284" s="48"/>
      <c r="Q1284" s="48"/>
      <c r="R1284" s="48"/>
      <c r="S1284" s="48"/>
      <c r="T1284" s="48"/>
      <c r="U1284" s="48"/>
      <c r="V1284" s="48"/>
      <c r="W1284" s="49"/>
      <c r="X1284" s="49"/>
      <c r="Y1284" s="49"/>
      <c r="Z1284" s="49"/>
      <c r="AA1284" s="49"/>
      <c r="AB1284" s="49"/>
      <c r="AC1284" s="49"/>
      <c r="AD1284" s="49"/>
      <c r="AE1284" s="49"/>
      <c r="AF1284" s="49"/>
      <c r="AG1284" s="49"/>
      <c r="AH1284" s="49"/>
      <c r="AI1284" s="48"/>
      <c r="AJ1284" s="48"/>
      <c r="AK1284" s="24"/>
      <c r="AL1284" s="50"/>
      <c r="AM1284" s="50"/>
      <c r="AN1284" s="50"/>
      <c r="AO1284" s="50"/>
      <c r="AP1284" s="50"/>
      <c r="AQ1284" s="50"/>
      <c r="AR1284" s="50"/>
      <c r="AS1284" s="50"/>
      <c r="AT1284" s="51"/>
      <c r="AU1284" s="51"/>
      <c r="AV1284" s="51"/>
      <c r="AW1284" s="51"/>
      <c r="AX1284" s="50"/>
      <c r="AY1284" s="50"/>
      <c r="AZ1284" s="50"/>
      <c r="BA1284" s="50"/>
      <c r="BB1284" s="51"/>
      <c r="BC1284" s="51"/>
      <c r="BD1284" s="51"/>
      <c r="BE1284" s="51"/>
      <c r="BF1284" s="47"/>
      <c r="BG1284" s="47"/>
      <c r="BH1284" s="47"/>
      <c r="BI1284" s="47"/>
      <c r="BJ1284" s="47"/>
      <c r="BK1284" s="47"/>
      <c r="BL1284" s="47"/>
      <c r="BM1284" s="47"/>
      <c r="BN1284" s="47"/>
      <c r="BO1284" s="47"/>
      <c r="BP1284" s="47"/>
      <c r="BQ1284" s="47"/>
      <c r="BR1284" s="47"/>
      <c r="BS1284" s="47"/>
      <c r="BT1284" s="47"/>
    </row>
    <row r="1285">
      <c r="A1285" s="24"/>
      <c r="B1285" s="48"/>
      <c r="C1285" s="49"/>
      <c r="D1285" s="24"/>
      <c r="E1285" s="52"/>
      <c r="F1285" s="53"/>
      <c r="G1285" s="48"/>
      <c r="H1285" s="49"/>
      <c r="I1285" s="49"/>
      <c r="J1285" s="48"/>
      <c r="K1285" s="48"/>
      <c r="L1285" s="48"/>
      <c r="M1285" s="48"/>
      <c r="N1285" s="48"/>
      <c r="O1285" s="48"/>
      <c r="P1285" s="48"/>
      <c r="Q1285" s="48"/>
      <c r="R1285" s="48"/>
      <c r="S1285" s="48"/>
      <c r="T1285" s="48"/>
      <c r="U1285" s="48"/>
      <c r="V1285" s="48"/>
      <c r="W1285" s="49"/>
      <c r="X1285" s="49"/>
      <c r="Y1285" s="49"/>
      <c r="Z1285" s="49"/>
      <c r="AA1285" s="49"/>
      <c r="AB1285" s="49"/>
      <c r="AC1285" s="49"/>
      <c r="AD1285" s="49"/>
      <c r="AE1285" s="49"/>
      <c r="AF1285" s="49"/>
      <c r="AG1285" s="49"/>
      <c r="AH1285" s="49"/>
      <c r="AI1285" s="48"/>
      <c r="AJ1285" s="48"/>
      <c r="AK1285" s="24"/>
      <c r="AL1285" s="50"/>
      <c r="AM1285" s="50"/>
      <c r="AN1285" s="50"/>
      <c r="AO1285" s="50"/>
      <c r="AP1285" s="50"/>
      <c r="AQ1285" s="50"/>
      <c r="AR1285" s="50"/>
      <c r="AS1285" s="50"/>
      <c r="AT1285" s="51"/>
      <c r="AU1285" s="51"/>
      <c r="AV1285" s="51"/>
      <c r="AW1285" s="51"/>
      <c r="AX1285" s="50"/>
      <c r="AY1285" s="50"/>
      <c r="AZ1285" s="50"/>
      <c r="BA1285" s="50"/>
      <c r="BB1285" s="51"/>
      <c r="BC1285" s="51"/>
      <c r="BD1285" s="51"/>
      <c r="BE1285" s="51"/>
      <c r="BF1285" s="47"/>
      <c r="BG1285" s="47"/>
      <c r="BH1285" s="47"/>
      <c r="BI1285" s="47"/>
      <c r="BJ1285" s="47"/>
      <c r="BK1285" s="47"/>
      <c r="BL1285" s="47"/>
      <c r="BM1285" s="47"/>
      <c r="BN1285" s="47"/>
      <c r="BO1285" s="47"/>
      <c r="BP1285" s="47"/>
      <c r="BQ1285" s="47"/>
      <c r="BR1285" s="47"/>
      <c r="BS1285" s="47"/>
      <c r="BT1285" s="47"/>
    </row>
    <row r="1286">
      <c r="A1286" s="24"/>
      <c r="B1286" s="48"/>
      <c r="C1286" s="49"/>
      <c r="D1286" s="24"/>
      <c r="E1286" s="52"/>
      <c r="F1286" s="53"/>
      <c r="G1286" s="48"/>
      <c r="H1286" s="49"/>
      <c r="I1286" s="49"/>
      <c r="J1286" s="48"/>
      <c r="K1286" s="48"/>
      <c r="L1286" s="48"/>
      <c r="M1286" s="48"/>
      <c r="N1286" s="48"/>
      <c r="O1286" s="48"/>
      <c r="P1286" s="48"/>
      <c r="Q1286" s="48"/>
      <c r="R1286" s="48"/>
      <c r="S1286" s="48"/>
      <c r="T1286" s="48"/>
      <c r="U1286" s="48"/>
      <c r="V1286" s="48"/>
      <c r="W1286" s="49"/>
      <c r="X1286" s="49"/>
      <c r="Y1286" s="49"/>
      <c r="Z1286" s="49"/>
      <c r="AA1286" s="49"/>
      <c r="AB1286" s="49"/>
      <c r="AC1286" s="49"/>
      <c r="AD1286" s="49"/>
      <c r="AE1286" s="49"/>
      <c r="AF1286" s="49"/>
      <c r="AG1286" s="49"/>
      <c r="AH1286" s="49"/>
      <c r="AI1286" s="48"/>
      <c r="AJ1286" s="48"/>
      <c r="AK1286" s="24"/>
      <c r="AL1286" s="50"/>
      <c r="AM1286" s="50"/>
      <c r="AN1286" s="50"/>
      <c r="AO1286" s="50"/>
      <c r="AP1286" s="50"/>
      <c r="AQ1286" s="50"/>
      <c r="AR1286" s="50"/>
      <c r="AS1286" s="50"/>
      <c r="AT1286" s="51"/>
      <c r="AU1286" s="51"/>
      <c r="AV1286" s="51"/>
      <c r="AW1286" s="51"/>
      <c r="AX1286" s="50"/>
      <c r="AY1286" s="50"/>
      <c r="AZ1286" s="50"/>
      <c r="BA1286" s="50"/>
      <c r="BB1286" s="51"/>
      <c r="BC1286" s="51"/>
      <c r="BD1286" s="51"/>
      <c r="BE1286" s="51"/>
      <c r="BF1286" s="47"/>
      <c r="BG1286" s="47"/>
      <c r="BH1286" s="47"/>
      <c r="BI1286" s="47"/>
      <c r="BJ1286" s="47"/>
      <c r="BK1286" s="47"/>
      <c r="BL1286" s="47"/>
      <c r="BM1286" s="47"/>
      <c r="BN1286" s="47"/>
      <c r="BO1286" s="47"/>
      <c r="BP1286" s="47"/>
      <c r="BQ1286" s="47"/>
      <c r="BR1286" s="47"/>
      <c r="BS1286" s="47"/>
      <c r="BT1286" s="47"/>
    </row>
    <row r="1287">
      <c r="A1287" s="24"/>
      <c r="B1287" s="48"/>
      <c r="C1287" s="49"/>
      <c r="D1287" s="24"/>
      <c r="E1287" s="52"/>
      <c r="F1287" s="53"/>
      <c r="G1287" s="48"/>
      <c r="H1287" s="49"/>
      <c r="I1287" s="49"/>
      <c r="J1287" s="48"/>
      <c r="K1287" s="48"/>
      <c r="L1287" s="48"/>
      <c r="M1287" s="48"/>
      <c r="N1287" s="48"/>
      <c r="O1287" s="48"/>
      <c r="P1287" s="48"/>
      <c r="Q1287" s="48"/>
      <c r="R1287" s="48"/>
      <c r="S1287" s="48"/>
      <c r="T1287" s="48"/>
      <c r="U1287" s="48"/>
      <c r="V1287" s="48"/>
      <c r="W1287" s="49"/>
      <c r="X1287" s="49"/>
      <c r="Y1287" s="49"/>
      <c r="Z1287" s="49"/>
      <c r="AA1287" s="49"/>
      <c r="AB1287" s="49"/>
      <c r="AC1287" s="49"/>
      <c r="AD1287" s="49"/>
      <c r="AE1287" s="49"/>
      <c r="AF1287" s="49"/>
      <c r="AG1287" s="49"/>
      <c r="AH1287" s="49"/>
      <c r="AI1287" s="48"/>
      <c r="AJ1287" s="48"/>
      <c r="AK1287" s="24"/>
      <c r="AL1287" s="50"/>
      <c r="AM1287" s="50"/>
      <c r="AN1287" s="50"/>
      <c r="AO1287" s="50"/>
      <c r="AP1287" s="50"/>
      <c r="AQ1287" s="50"/>
      <c r="AR1287" s="50"/>
      <c r="AS1287" s="50"/>
      <c r="AT1287" s="51"/>
      <c r="AU1287" s="51"/>
      <c r="AV1287" s="51"/>
      <c r="AW1287" s="51"/>
      <c r="AX1287" s="50"/>
      <c r="AY1287" s="50"/>
      <c r="AZ1287" s="50"/>
      <c r="BA1287" s="50"/>
      <c r="BB1287" s="51"/>
      <c r="BC1287" s="51"/>
      <c r="BD1287" s="51"/>
      <c r="BE1287" s="51"/>
      <c r="BF1287" s="47"/>
      <c r="BG1287" s="47"/>
      <c r="BH1287" s="47"/>
      <c r="BI1287" s="47"/>
      <c r="BJ1287" s="47"/>
      <c r="BK1287" s="47"/>
      <c r="BL1287" s="47"/>
      <c r="BM1287" s="47"/>
      <c r="BN1287" s="47"/>
      <c r="BO1287" s="47"/>
      <c r="BP1287" s="47"/>
      <c r="BQ1287" s="47"/>
      <c r="BR1287" s="47"/>
      <c r="BS1287" s="47"/>
      <c r="BT1287" s="47"/>
    </row>
    <row r="1288">
      <c r="A1288" s="24"/>
      <c r="B1288" s="48"/>
      <c r="C1288" s="49"/>
      <c r="D1288" s="24"/>
      <c r="E1288" s="52"/>
      <c r="F1288" s="53"/>
      <c r="G1288" s="48"/>
      <c r="H1288" s="49"/>
      <c r="I1288" s="49"/>
      <c r="J1288" s="48"/>
      <c r="K1288" s="48"/>
      <c r="L1288" s="48"/>
      <c r="M1288" s="48"/>
      <c r="N1288" s="48"/>
      <c r="O1288" s="48"/>
      <c r="P1288" s="48"/>
      <c r="Q1288" s="48"/>
      <c r="R1288" s="48"/>
      <c r="S1288" s="48"/>
      <c r="T1288" s="48"/>
      <c r="U1288" s="48"/>
      <c r="V1288" s="48"/>
      <c r="W1288" s="49"/>
      <c r="X1288" s="49"/>
      <c r="Y1288" s="49"/>
      <c r="Z1288" s="49"/>
      <c r="AA1288" s="49"/>
      <c r="AB1288" s="49"/>
      <c r="AC1288" s="49"/>
      <c r="AD1288" s="49"/>
      <c r="AE1288" s="49"/>
      <c r="AF1288" s="49"/>
      <c r="AG1288" s="49"/>
      <c r="AH1288" s="49"/>
      <c r="AI1288" s="48"/>
      <c r="AJ1288" s="48"/>
      <c r="AK1288" s="24"/>
      <c r="AL1288" s="50"/>
      <c r="AM1288" s="50"/>
      <c r="AN1288" s="50"/>
      <c r="AO1288" s="50"/>
      <c r="AP1288" s="50"/>
      <c r="AQ1288" s="50"/>
      <c r="AR1288" s="50"/>
      <c r="AS1288" s="50"/>
      <c r="AT1288" s="51"/>
      <c r="AU1288" s="51"/>
      <c r="AV1288" s="51"/>
      <c r="AW1288" s="51"/>
      <c r="AX1288" s="50"/>
      <c r="AY1288" s="50"/>
      <c r="AZ1288" s="50"/>
      <c r="BA1288" s="50"/>
      <c r="BB1288" s="51"/>
      <c r="BC1288" s="51"/>
      <c r="BD1288" s="51"/>
      <c r="BE1288" s="51"/>
      <c r="BF1288" s="47"/>
      <c r="BG1288" s="47"/>
      <c r="BH1288" s="47"/>
      <c r="BI1288" s="47"/>
      <c r="BJ1288" s="47"/>
      <c r="BK1288" s="47"/>
      <c r="BL1288" s="47"/>
      <c r="BM1288" s="47"/>
      <c r="BN1288" s="47"/>
      <c r="BO1288" s="47"/>
      <c r="BP1288" s="47"/>
      <c r="BQ1288" s="47"/>
      <c r="BR1288" s="47"/>
      <c r="BS1288" s="47"/>
      <c r="BT1288" s="47"/>
    </row>
    <row r="1289">
      <c r="A1289" s="24"/>
      <c r="B1289" s="48"/>
      <c r="C1289" s="49"/>
      <c r="D1289" s="24"/>
      <c r="E1289" s="52"/>
      <c r="F1289" s="53"/>
      <c r="G1289" s="48"/>
      <c r="H1289" s="49"/>
      <c r="I1289" s="49"/>
      <c r="J1289" s="48"/>
      <c r="K1289" s="48"/>
      <c r="L1289" s="48"/>
      <c r="M1289" s="48"/>
      <c r="N1289" s="48"/>
      <c r="O1289" s="48"/>
      <c r="P1289" s="48"/>
      <c r="Q1289" s="48"/>
      <c r="R1289" s="48"/>
      <c r="S1289" s="48"/>
      <c r="T1289" s="48"/>
      <c r="U1289" s="48"/>
      <c r="V1289" s="48"/>
      <c r="W1289" s="49"/>
      <c r="X1289" s="49"/>
      <c r="Y1289" s="49"/>
      <c r="Z1289" s="49"/>
      <c r="AA1289" s="49"/>
      <c r="AB1289" s="49"/>
      <c r="AC1289" s="49"/>
      <c r="AD1289" s="49"/>
      <c r="AE1289" s="49"/>
      <c r="AF1289" s="49"/>
      <c r="AG1289" s="49"/>
      <c r="AH1289" s="49"/>
      <c r="AI1289" s="48"/>
      <c r="AJ1289" s="48"/>
      <c r="AK1289" s="24"/>
      <c r="AL1289" s="50"/>
      <c r="AM1289" s="50"/>
      <c r="AN1289" s="50"/>
      <c r="AO1289" s="50"/>
      <c r="AP1289" s="50"/>
      <c r="AQ1289" s="50"/>
      <c r="AR1289" s="50"/>
      <c r="AS1289" s="50"/>
      <c r="AT1289" s="51"/>
      <c r="AU1289" s="51"/>
      <c r="AV1289" s="51"/>
      <c r="AW1289" s="51"/>
      <c r="AX1289" s="50"/>
      <c r="AY1289" s="50"/>
      <c r="AZ1289" s="50"/>
      <c r="BA1289" s="50"/>
      <c r="BB1289" s="51"/>
      <c r="BC1289" s="51"/>
      <c r="BD1289" s="51"/>
      <c r="BE1289" s="51"/>
      <c r="BF1289" s="47"/>
      <c r="BG1289" s="47"/>
      <c r="BH1289" s="47"/>
      <c r="BI1289" s="47"/>
      <c r="BJ1289" s="47"/>
      <c r="BK1289" s="47"/>
      <c r="BL1289" s="47"/>
      <c r="BM1289" s="47"/>
      <c r="BN1289" s="47"/>
      <c r="BO1289" s="47"/>
      <c r="BP1289" s="47"/>
      <c r="BQ1289" s="47"/>
      <c r="BR1289" s="47"/>
      <c r="BS1289" s="47"/>
      <c r="BT1289" s="47"/>
    </row>
    <row r="1290">
      <c r="A1290" s="24"/>
      <c r="B1290" s="48"/>
      <c r="C1290" s="49"/>
      <c r="D1290" s="24"/>
      <c r="E1290" s="52"/>
      <c r="F1290" s="53"/>
      <c r="G1290" s="48"/>
      <c r="H1290" s="49"/>
      <c r="I1290" s="49"/>
      <c r="J1290" s="48"/>
      <c r="K1290" s="48"/>
      <c r="L1290" s="48"/>
      <c r="M1290" s="48"/>
      <c r="N1290" s="48"/>
      <c r="O1290" s="48"/>
      <c r="P1290" s="48"/>
      <c r="Q1290" s="48"/>
      <c r="R1290" s="48"/>
      <c r="S1290" s="48"/>
      <c r="T1290" s="48"/>
      <c r="U1290" s="48"/>
      <c r="V1290" s="48"/>
      <c r="W1290" s="49"/>
      <c r="X1290" s="49"/>
      <c r="Y1290" s="49"/>
      <c r="Z1290" s="49"/>
      <c r="AA1290" s="49"/>
      <c r="AB1290" s="49"/>
      <c r="AC1290" s="49"/>
      <c r="AD1290" s="49"/>
      <c r="AE1290" s="49"/>
      <c r="AF1290" s="49"/>
      <c r="AG1290" s="49"/>
      <c r="AH1290" s="49"/>
      <c r="AI1290" s="48"/>
      <c r="AJ1290" s="48"/>
      <c r="AK1290" s="24"/>
      <c r="AL1290" s="50"/>
      <c r="AM1290" s="50"/>
      <c r="AN1290" s="50"/>
      <c r="AO1290" s="50"/>
      <c r="AP1290" s="50"/>
      <c r="AQ1290" s="50"/>
      <c r="AR1290" s="50"/>
      <c r="AS1290" s="50"/>
      <c r="AT1290" s="51"/>
      <c r="AU1290" s="51"/>
      <c r="AV1290" s="51"/>
      <c r="AW1290" s="51"/>
      <c r="AX1290" s="50"/>
      <c r="AY1290" s="50"/>
      <c r="AZ1290" s="50"/>
      <c r="BA1290" s="50"/>
      <c r="BB1290" s="51"/>
      <c r="BC1290" s="51"/>
      <c r="BD1290" s="51"/>
      <c r="BE1290" s="51"/>
      <c r="BF1290" s="47"/>
      <c r="BG1290" s="47"/>
      <c r="BH1290" s="47"/>
      <c r="BI1290" s="47"/>
      <c r="BJ1290" s="47"/>
      <c r="BK1290" s="47"/>
      <c r="BL1290" s="47"/>
      <c r="BM1290" s="47"/>
      <c r="BN1290" s="47"/>
      <c r="BO1290" s="47"/>
      <c r="BP1290" s="47"/>
      <c r="BQ1290" s="47"/>
      <c r="BR1290" s="47"/>
      <c r="BS1290" s="47"/>
      <c r="BT1290" s="47"/>
    </row>
    <row r="1291">
      <c r="A1291" s="24"/>
      <c r="B1291" s="48"/>
      <c r="C1291" s="49"/>
      <c r="D1291" s="24"/>
      <c r="E1291" s="52"/>
      <c r="F1291" s="53"/>
      <c r="G1291" s="48"/>
      <c r="H1291" s="49"/>
      <c r="I1291" s="49"/>
      <c r="J1291" s="48"/>
      <c r="K1291" s="48"/>
      <c r="L1291" s="48"/>
      <c r="M1291" s="48"/>
      <c r="N1291" s="48"/>
      <c r="O1291" s="48"/>
      <c r="P1291" s="48"/>
      <c r="Q1291" s="48"/>
      <c r="R1291" s="48"/>
      <c r="S1291" s="48"/>
      <c r="T1291" s="48"/>
      <c r="U1291" s="48"/>
      <c r="V1291" s="48"/>
      <c r="W1291" s="49"/>
      <c r="X1291" s="49"/>
      <c r="Y1291" s="49"/>
      <c r="Z1291" s="49"/>
      <c r="AA1291" s="49"/>
      <c r="AB1291" s="49"/>
      <c r="AC1291" s="49"/>
      <c r="AD1291" s="49"/>
      <c r="AE1291" s="49"/>
      <c r="AF1291" s="49"/>
      <c r="AG1291" s="49"/>
      <c r="AH1291" s="49"/>
      <c r="AI1291" s="48"/>
      <c r="AJ1291" s="48"/>
      <c r="AK1291" s="24"/>
      <c r="AL1291" s="50"/>
      <c r="AM1291" s="50"/>
      <c r="AN1291" s="50"/>
      <c r="AO1291" s="50"/>
      <c r="AP1291" s="50"/>
      <c r="AQ1291" s="50"/>
      <c r="AR1291" s="50"/>
      <c r="AS1291" s="50"/>
      <c r="AT1291" s="51"/>
      <c r="AU1291" s="51"/>
      <c r="AV1291" s="51"/>
      <c r="AW1291" s="51"/>
      <c r="AX1291" s="50"/>
      <c r="AY1291" s="50"/>
      <c r="AZ1291" s="50"/>
      <c r="BA1291" s="50"/>
      <c r="BB1291" s="51"/>
      <c r="BC1291" s="51"/>
      <c r="BD1291" s="51"/>
      <c r="BE1291" s="51"/>
      <c r="BF1291" s="47"/>
      <c r="BG1291" s="47"/>
      <c r="BH1291" s="47"/>
      <c r="BI1291" s="47"/>
      <c r="BJ1291" s="47"/>
      <c r="BK1291" s="47"/>
      <c r="BL1291" s="47"/>
      <c r="BM1291" s="47"/>
      <c r="BN1291" s="47"/>
      <c r="BO1291" s="47"/>
      <c r="BP1291" s="47"/>
      <c r="BQ1291" s="47"/>
      <c r="BR1291" s="47"/>
      <c r="BS1291" s="47"/>
      <c r="BT1291" s="47"/>
    </row>
    <row r="1292">
      <c r="A1292" s="24"/>
      <c r="B1292" s="48"/>
      <c r="C1292" s="49"/>
      <c r="D1292" s="24"/>
      <c r="E1292" s="52"/>
      <c r="F1292" s="53"/>
      <c r="G1292" s="48"/>
      <c r="H1292" s="49"/>
      <c r="I1292" s="49"/>
      <c r="J1292" s="48"/>
      <c r="K1292" s="48"/>
      <c r="L1292" s="48"/>
      <c r="M1292" s="48"/>
      <c r="N1292" s="48"/>
      <c r="O1292" s="48"/>
      <c r="P1292" s="48"/>
      <c r="Q1292" s="48"/>
      <c r="R1292" s="48"/>
      <c r="S1292" s="48"/>
      <c r="T1292" s="48"/>
      <c r="U1292" s="48"/>
      <c r="V1292" s="48"/>
      <c r="W1292" s="49"/>
      <c r="X1292" s="49"/>
      <c r="Y1292" s="49"/>
      <c r="Z1292" s="49"/>
      <c r="AA1292" s="49"/>
      <c r="AB1292" s="49"/>
      <c r="AC1292" s="49"/>
      <c r="AD1292" s="49"/>
      <c r="AE1292" s="49"/>
      <c r="AF1292" s="49"/>
      <c r="AG1292" s="49"/>
      <c r="AH1292" s="49"/>
      <c r="AI1292" s="48"/>
      <c r="AJ1292" s="48"/>
      <c r="AK1292" s="24"/>
      <c r="AL1292" s="50"/>
      <c r="AM1292" s="50"/>
      <c r="AN1292" s="50"/>
      <c r="AO1292" s="50"/>
      <c r="AP1292" s="50"/>
      <c r="AQ1292" s="50"/>
      <c r="AR1292" s="50"/>
      <c r="AS1292" s="50"/>
      <c r="AT1292" s="51"/>
      <c r="AU1292" s="51"/>
      <c r="AV1292" s="51"/>
      <c r="AW1292" s="51"/>
      <c r="AX1292" s="50"/>
      <c r="AY1292" s="50"/>
      <c r="AZ1292" s="50"/>
      <c r="BA1292" s="50"/>
      <c r="BB1292" s="51"/>
      <c r="BC1292" s="51"/>
      <c r="BD1292" s="51"/>
      <c r="BE1292" s="51"/>
      <c r="BF1292" s="47"/>
      <c r="BG1292" s="47"/>
      <c r="BH1292" s="47"/>
      <c r="BI1292" s="47"/>
      <c r="BJ1292" s="47"/>
      <c r="BK1292" s="47"/>
      <c r="BL1292" s="47"/>
      <c r="BM1292" s="47"/>
      <c r="BN1292" s="47"/>
      <c r="BO1292" s="47"/>
      <c r="BP1292" s="47"/>
      <c r="BQ1292" s="47"/>
      <c r="BR1292" s="47"/>
      <c r="BS1292" s="47"/>
      <c r="BT1292" s="47"/>
    </row>
    <row r="1293">
      <c r="A1293" s="24"/>
      <c r="B1293" s="48"/>
      <c r="C1293" s="49"/>
      <c r="D1293" s="24"/>
      <c r="E1293" s="52"/>
      <c r="F1293" s="53"/>
      <c r="G1293" s="48"/>
      <c r="H1293" s="49"/>
      <c r="I1293" s="49"/>
      <c r="J1293" s="48"/>
      <c r="K1293" s="48"/>
      <c r="L1293" s="48"/>
      <c r="M1293" s="48"/>
      <c r="N1293" s="48"/>
      <c r="O1293" s="48"/>
      <c r="P1293" s="48"/>
      <c r="Q1293" s="48"/>
      <c r="R1293" s="48"/>
      <c r="S1293" s="48"/>
      <c r="T1293" s="48"/>
      <c r="U1293" s="48"/>
      <c r="V1293" s="48"/>
      <c r="W1293" s="49"/>
      <c r="X1293" s="49"/>
      <c r="Y1293" s="49"/>
      <c r="Z1293" s="49"/>
      <c r="AA1293" s="49"/>
      <c r="AB1293" s="49"/>
      <c r="AC1293" s="49"/>
      <c r="AD1293" s="49"/>
      <c r="AE1293" s="49"/>
      <c r="AF1293" s="49"/>
      <c r="AG1293" s="49"/>
      <c r="AH1293" s="49"/>
      <c r="AI1293" s="48"/>
      <c r="AJ1293" s="48"/>
      <c r="AK1293" s="24"/>
      <c r="AL1293" s="50"/>
      <c r="AM1293" s="50"/>
      <c r="AN1293" s="50"/>
      <c r="AO1293" s="50"/>
      <c r="AP1293" s="50"/>
      <c r="AQ1293" s="50"/>
      <c r="AR1293" s="50"/>
      <c r="AS1293" s="50"/>
      <c r="AT1293" s="51"/>
      <c r="AU1293" s="51"/>
      <c r="AV1293" s="51"/>
      <c r="AW1293" s="51"/>
      <c r="AX1293" s="50"/>
      <c r="AY1293" s="50"/>
      <c r="AZ1293" s="50"/>
      <c r="BA1293" s="50"/>
      <c r="BB1293" s="51"/>
      <c r="BC1293" s="51"/>
      <c r="BD1293" s="51"/>
      <c r="BE1293" s="51"/>
      <c r="BF1293" s="47"/>
      <c r="BG1293" s="47"/>
      <c r="BH1293" s="47"/>
      <c r="BI1293" s="47"/>
      <c r="BJ1293" s="47"/>
      <c r="BK1293" s="47"/>
      <c r="BL1293" s="47"/>
      <c r="BM1293" s="47"/>
      <c r="BN1293" s="47"/>
      <c r="BO1293" s="47"/>
      <c r="BP1293" s="47"/>
      <c r="BQ1293" s="47"/>
      <c r="BR1293" s="47"/>
      <c r="BS1293" s="47"/>
      <c r="BT1293" s="47"/>
    </row>
    <row r="1294">
      <c r="A1294" s="24"/>
      <c r="B1294" s="48"/>
      <c r="C1294" s="49"/>
      <c r="D1294" s="24"/>
      <c r="E1294" s="52"/>
      <c r="F1294" s="53"/>
      <c r="G1294" s="48"/>
      <c r="H1294" s="49"/>
      <c r="I1294" s="49"/>
      <c r="J1294" s="48"/>
      <c r="K1294" s="48"/>
      <c r="L1294" s="48"/>
      <c r="M1294" s="48"/>
      <c r="N1294" s="48"/>
      <c r="O1294" s="48"/>
      <c r="P1294" s="48"/>
      <c r="Q1294" s="48"/>
      <c r="R1294" s="48"/>
      <c r="S1294" s="48"/>
      <c r="T1294" s="48"/>
      <c r="U1294" s="48"/>
      <c r="V1294" s="48"/>
      <c r="W1294" s="49"/>
      <c r="X1294" s="49"/>
      <c r="Y1294" s="49"/>
      <c r="Z1294" s="49"/>
      <c r="AA1294" s="49"/>
      <c r="AB1294" s="49"/>
      <c r="AC1294" s="49"/>
      <c r="AD1294" s="49"/>
      <c r="AE1294" s="49"/>
      <c r="AF1294" s="49"/>
      <c r="AG1294" s="49"/>
      <c r="AH1294" s="49"/>
      <c r="AI1294" s="48"/>
      <c r="AJ1294" s="48"/>
      <c r="AK1294" s="24"/>
      <c r="AL1294" s="50"/>
      <c r="AM1294" s="50"/>
      <c r="AN1294" s="50"/>
      <c r="AO1294" s="50"/>
      <c r="AP1294" s="50"/>
      <c r="AQ1294" s="50"/>
      <c r="AR1294" s="50"/>
      <c r="AS1294" s="50"/>
      <c r="AT1294" s="51"/>
      <c r="AU1294" s="51"/>
      <c r="AV1294" s="51"/>
      <c r="AW1294" s="51"/>
      <c r="AX1294" s="50"/>
      <c r="AY1294" s="50"/>
      <c r="AZ1294" s="50"/>
      <c r="BA1294" s="50"/>
      <c r="BB1294" s="51"/>
      <c r="BC1294" s="51"/>
      <c r="BD1294" s="51"/>
      <c r="BE1294" s="51"/>
      <c r="BF1294" s="47"/>
      <c r="BG1294" s="47"/>
      <c r="BH1294" s="47"/>
      <c r="BI1294" s="47"/>
      <c r="BJ1294" s="47"/>
      <c r="BK1294" s="47"/>
      <c r="BL1294" s="47"/>
      <c r="BM1294" s="47"/>
      <c r="BN1294" s="47"/>
      <c r="BO1294" s="47"/>
      <c r="BP1294" s="47"/>
      <c r="BQ1294" s="47"/>
      <c r="BR1294" s="47"/>
      <c r="BS1294" s="47"/>
      <c r="BT1294" s="47"/>
    </row>
    <row r="1295">
      <c r="A1295" s="24"/>
      <c r="B1295" s="48"/>
      <c r="C1295" s="49"/>
      <c r="D1295" s="24"/>
      <c r="E1295" s="52"/>
      <c r="F1295" s="53"/>
      <c r="G1295" s="48"/>
      <c r="H1295" s="49"/>
      <c r="I1295" s="49"/>
      <c r="J1295" s="48"/>
      <c r="K1295" s="48"/>
      <c r="L1295" s="48"/>
      <c r="M1295" s="48"/>
      <c r="N1295" s="48"/>
      <c r="O1295" s="48"/>
      <c r="P1295" s="48"/>
      <c r="Q1295" s="48"/>
      <c r="R1295" s="48"/>
      <c r="S1295" s="48"/>
      <c r="T1295" s="48"/>
      <c r="U1295" s="48"/>
      <c r="V1295" s="48"/>
      <c r="W1295" s="49"/>
      <c r="X1295" s="49"/>
      <c r="Y1295" s="49"/>
      <c r="Z1295" s="49"/>
      <c r="AA1295" s="49"/>
      <c r="AB1295" s="49"/>
      <c r="AC1295" s="49"/>
      <c r="AD1295" s="49"/>
      <c r="AE1295" s="49"/>
      <c r="AF1295" s="49"/>
      <c r="AG1295" s="49"/>
      <c r="AH1295" s="49"/>
      <c r="AI1295" s="48"/>
      <c r="AJ1295" s="48"/>
      <c r="AK1295" s="24"/>
      <c r="AL1295" s="50"/>
      <c r="AM1295" s="50"/>
      <c r="AN1295" s="50"/>
      <c r="AO1295" s="50"/>
      <c r="AP1295" s="50"/>
      <c r="AQ1295" s="50"/>
      <c r="AR1295" s="50"/>
      <c r="AS1295" s="50"/>
      <c r="AT1295" s="51"/>
      <c r="AU1295" s="51"/>
      <c r="AV1295" s="51"/>
      <c r="AW1295" s="51"/>
      <c r="AX1295" s="50"/>
      <c r="AY1295" s="50"/>
      <c r="AZ1295" s="50"/>
      <c r="BA1295" s="50"/>
      <c r="BB1295" s="51"/>
      <c r="BC1295" s="51"/>
      <c r="BD1295" s="51"/>
      <c r="BE1295" s="51"/>
      <c r="BF1295" s="47"/>
      <c r="BG1295" s="47"/>
      <c r="BH1295" s="47"/>
      <c r="BI1295" s="47"/>
      <c r="BJ1295" s="47"/>
      <c r="BK1295" s="47"/>
      <c r="BL1295" s="47"/>
      <c r="BM1295" s="47"/>
      <c r="BN1295" s="47"/>
      <c r="BO1295" s="47"/>
      <c r="BP1295" s="47"/>
      <c r="BQ1295" s="47"/>
      <c r="BR1295" s="47"/>
      <c r="BS1295" s="47"/>
      <c r="BT1295" s="47"/>
    </row>
    <row r="1296">
      <c r="A1296" s="24"/>
      <c r="B1296" s="48"/>
      <c r="C1296" s="49"/>
      <c r="D1296" s="24"/>
      <c r="E1296" s="52"/>
      <c r="F1296" s="53"/>
      <c r="G1296" s="48"/>
      <c r="H1296" s="49"/>
      <c r="I1296" s="49"/>
      <c r="J1296" s="48"/>
      <c r="K1296" s="48"/>
      <c r="L1296" s="48"/>
      <c r="M1296" s="48"/>
      <c r="N1296" s="48"/>
      <c r="O1296" s="48"/>
      <c r="P1296" s="48"/>
      <c r="Q1296" s="48"/>
      <c r="R1296" s="48"/>
      <c r="S1296" s="48"/>
      <c r="T1296" s="48"/>
      <c r="U1296" s="48"/>
      <c r="V1296" s="48"/>
      <c r="W1296" s="49"/>
      <c r="X1296" s="49"/>
      <c r="Y1296" s="49"/>
      <c r="Z1296" s="49"/>
      <c r="AA1296" s="49"/>
      <c r="AB1296" s="49"/>
      <c r="AC1296" s="49"/>
      <c r="AD1296" s="49"/>
      <c r="AE1296" s="49"/>
      <c r="AF1296" s="49"/>
      <c r="AG1296" s="49"/>
      <c r="AH1296" s="49"/>
      <c r="AI1296" s="48"/>
      <c r="AJ1296" s="48"/>
      <c r="AK1296" s="24"/>
      <c r="AL1296" s="50"/>
      <c r="AM1296" s="50"/>
      <c r="AN1296" s="50"/>
      <c r="AO1296" s="50"/>
      <c r="AP1296" s="50"/>
      <c r="AQ1296" s="50"/>
      <c r="AR1296" s="50"/>
      <c r="AS1296" s="50"/>
      <c r="AT1296" s="51"/>
      <c r="AU1296" s="51"/>
      <c r="AV1296" s="51"/>
      <c r="AW1296" s="51"/>
      <c r="AX1296" s="50"/>
      <c r="AY1296" s="50"/>
      <c r="AZ1296" s="50"/>
      <c r="BA1296" s="50"/>
      <c r="BB1296" s="51"/>
      <c r="BC1296" s="51"/>
      <c r="BD1296" s="51"/>
      <c r="BE1296" s="51"/>
      <c r="BF1296" s="47"/>
      <c r="BG1296" s="47"/>
      <c r="BH1296" s="47"/>
      <c r="BI1296" s="47"/>
      <c r="BJ1296" s="47"/>
      <c r="BK1296" s="47"/>
      <c r="BL1296" s="47"/>
      <c r="BM1296" s="47"/>
      <c r="BN1296" s="47"/>
      <c r="BO1296" s="47"/>
      <c r="BP1296" s="47"/>
      <c r="BQ1296" s="47"/>
      <c r="BR1296" s="47"/>
      <c r="BS1296" s="47"/>
      <c r="BT1296" s="47"/>
    </row>
    <row r="1297">
      <c r="A1297" s="24"/>
      <c r="B1297" s="48"/>
      <c r="C1297" s="49"/>
      <c r="D1297" s="24"/>
      <c r="E1297" s="52"/>
      <c r="F1297" s="53"/>
      <c r="G1297" s="48"/>
      <c r="H1297" s="49"/>
      <c r="I1297" s="49"/>
      <c r="J1297" s="48"/>
      <c r="K1297" s="48"/>
      <c r="L1297" s="48"/>
      <c r="M1297" s="48"/>
      <c r="N1297" s="48"/>
      <c r="O1297" s="48"/>
      <c r="P1297" s="48"/>
      <c r="Q1297" s="48"/>
      <c r="R1297" s="48"/>
      <c r="S1297" s="48"/>
      <c r="T1297" s="48"/>
      <c r="U1297" s="48"/>
      <c r="V1297" s="48"/>
      <c r="W1297" s="49"/>
      <c r="X1297" s="49"/>
      <c r="Y1297" s="49"/>
      <c r="Z1297" s="49"/>
      <c r="AA1297" s="49"/>
      <c r="AB1297" s="49"/>
      <c r="AC1297" s="49"/>
      <c r="AD1297" s="49"/>
      <c r="AE1297" s="49"/>
      <c r="AF1297" s="49"/>
      <c r="AG1297" s="49"/>
      <c r="AH1297" s="49"/>
      <c r="AI1297" s="48"/>
      <c r="AJ1297" s="48"/>
      <c r="AK1297" s="24"/>
      <c r="AL1297" s="50"/>
      <c r="AM1297" s="50"/>
      <c r="AN1297" s="50"/>
      <c r="AO1297" s="50"/>
      <c r="AP1297" s="50"/>
      <c r="AQ1297" s="50"/>
      <c r="AR1297" s="50"/>
      <c r="AS1297" s="50"/>
      <c r="AT1297" s="51"/>
      <c r="AU1297" s="51"/>
      <c r="AV1297" s="51"/>
      <c r="AW1297" s="51"/>
      <c r="AX1297" s="50"/>
      <c r="AY1297" s="50"/>
      <c r="AZ1297" s="50"/>
      <c r="BA1297" s="50"/>
      <c r="BB1297" s="51"/>
      <c r="BC1297" s="51"/>
      <c r="BD1297" s="51"/>
      <c r="BE1297" s="51"/>
      <c r="BF1297" s="47"/>
      <c r="BG1297" s="47"/>
      <c r="BH1297" s="47"/>
      <c r="BI1297" s="47"/>
      <c r="BJ1297" s="47"/>
      <c r="BK1297" s="47"/>
      <c r="BL1297" s="47"/>
      <c r="BM1297" s="47"/>
      <c r="BN1297" s="47"/>
      <c r="BO1297" s="47"/>
      <c r="BP1297" s="47"/>
      <c r="BQ1297" s="47"/>
      <c r="BR1297" s="47"/>
      <c r="BS1297" s="47"/>
      <c r="BT1297" s="47"/>
    </row>
    <row r="1298">
      <c r="A1298" s="24"/>
      <c r="B1298" s="48"/>
      <c r="C1298" s="49"/>
      <c r="D1298" s="24"/>
      <c r="E1298" s="52"/>
      <c r="F1298" s="53"/>
      <c r="G1298" s="48"/>
      <c r="H1298" s="49"/>
      <c r="I1298" s="49"/>
      <c r="J1298" s="48"/>
      <c r="K1298" s="48"/>
      <c r="L1298" s="48"/>
      <c r="M1298" s="48"/>
      <c r="N1298" s="48"/>
      <c r="O1298" s="48"/>
      <c r="P1298" s="48"/>
      <c r="Q1298" s="48"/>
      <c r="R1298" s="48"/>
      <c r="S1298" s="48"/>
      <c r="T1298" s="48"/>
      <c r="U1298" s="48"/>
      <c r="V1298" s="48"/>
      <c r="W1298" s="49"/>
      <c r="X1298" s="49"/>
      <c r="Y1298" s="49"/>
      <c r="Z1298" s="49"/>
      <c r="AA1298" s="49"/>
      <c r="AB1298" s="49"/>
      <c r="AC1298" s="49"/>
      <c r="AD1298" s="49"/>
      <c r="AE1298" s="49"/>
      <c r="AF1298" s="49"/>
      <c r="AG1298" s="49"/>
      <c r="AH1298" s="49"/>
      <c r="AI1298" s="48"/>
      <c r="AJ1298" s="48"/>
      <c r="AK1298" s="24"/>
      <c r="AL1298" s="50"/>
      <c r="AM1298" s="50"/>
      <c r="AN1298" s="50"/>
      <c r="AO1298" s="50"/>
      <c r="AP1298" s="50"/>
      <c r="AQ1298" s="50"/>
      <c r="AR1298" s="50"/>
      <c r="AS1298" s="50"/>
      <c r="AT1298" s="51"/>
      <c r="AU1298" s="51"/>
      <c r="AV1298" s="51"/>
      <c r="AW1298" s="51"/>
      <c r="AX1298" s="50"/>
      <c r="AY1298" s="50"/>
      <c r="AZ1298" s="50"/>
      <c r="BA1298" s="50"/>
      <c r="BB1298" s="51"/>
      <c r="BC1298" s="51"/>
      <c r="BD1298" s="51"/>
      <c r="BE1298" s="51"/>
      <c r="BF1298" s="47"/>
      <c r="BG1298" s="47"/>
      <c r="BH1298" s="47"/>
      <c r="BI1298" s="47"/>
      <c r="BJ1298" s="47"/>
      <c r="BK1298" s="47"/>
      <c r="BL1298" s="47"/>
      <c r="BM1298" s="47"/>
      <c r="BN1298" s="47"/>
      <c r="BO1298" s="47"/>
      <c r="BP1298" s="47"/>
      <c r="BQ1298" s="47"/>
      <c r="BR1298" s="47"/>
      <c r="BS1298" s="47"/>
      <c r="BT1298" s="47"/>
    </row>
    <row r="1299">
      <c r="A1299" s="24"/>
      <c r="B1299" s="48"/>
      <c r="C1299" s="49"/>
      <c r="D1299" s="24"/>
      <c r="E1299" s="52"/>
      <c r="F1299" s="53"/>
      <c r="G1299" s="48"/>
      <c r="H1299" s="49"/>
      <c r="I1299" s="49"/>
      <c r="J1299" s="48"/>
      <c r="K1299" s="48"/>
      <c r="L1299" s="48"/>
      <c r="M1299" s="48"/>
      <c r="N1299" s="48"/>
      <c r="O1299" s="48"/>
      <c r="P1299" s="48"/>
      <c r="Q1299" s="48"/>
      <c r="R1299" s="48"/>
      <c r="S1299" s="48"/>
      <c r="T1299" s="48"/>
      <c r="U1299" s="48"/>
      <c r="V1299" s="48"/>
      <c r="W1299" s="49"/>
      <c r="X1299" s="49"/>
      <c r="Y1299" s="49"/>
      <c r="Z1299" s="49"/>
      <c r="AA1299" s="49"/>
      <c r="AB1299" s="49"/>
      <c r="AC1299" s="49"/>
      <c r="AD1299" s="49"/>
      <c r="AE1299" s="49"/>
      <c r="AF1299" s="49"/>
      <c r="AG1299" s="49"/>
      <c r="AH1299" s="49"/>
      <c r="AI1299" s="48"/>
      <c r="AJ1299" s="48"/>
      <c r="AK1299" s="24"/>
      <c r="AL1299" s="50"/>
      <c r="AM1299" s="50"/>
      <c r="AN1299" s="50"/>
      <c r="AO1299" s="50"/>
      <c r="AP1299" s="50"/>
      <c r="AQ1299" s="50"/>
      <c r="AR1299" s="50"/>
      <c r="AS1299" s="50"/>
      <c r="AT1299" s="51"/>
      <c r="AU1299" s="51"/>
      <c r="AV1299" s="51"/>
      <c r="AW1299" s="51"/>
      <c r="AX1299" s="50"/>
      <c r="AY1299" s="50"/>
      <c r="AZ1299" s="50"/>
      <c r="BA1299" s="50"/>
      <c r="BB1299" s="51"/>
      <c r="BC1299" s="51"/>
      <c r="BD1299" s="51"/>
      <c r="BE1299" s="51"/>
      <c r="BF1299" s="47"/>
      <c r="BG1299" s="47"/>
      <c r="BH1299" s="47"/>
      <c r="BI1299" s="47"/>
      <c r="BJ1299" s="47"/>
      <c r="BK1299" s="47"/>
      <c r="BL1299" s="47"/>
      <c r="BM1299" s="47"/>
      <c r="BN1299" s="47"/>
      <c r="BO1299" s="47"/>
      <c r="BP1299" s="47"/>
      <c r="BQ1299" s="47"/>
      <c r="BR1299" s="47"/>
      <c r="BS1299" s="47"/>
      <c r="BT1299" s="47"/>
    </row>
    <row r="1300">
      <c r="A1300" s="24"/>
      <c r="B1300" s="48"/>
      <c r="C1300" s="49"/>
      <c r="D1300" s="24"/>
      <c r="E1300" s="52"/>
      <c r="F1300" s="53"/>
      <c r="G1300" s="48"/>
      <c r="H1300" s="49"/>
      <c r="I1300" s="49"/>
      <c r="J1300" s="48"/>
      <c r="K1300" s="48"/>
      <c r="L1300" s="48"/>
      <c r="M1300" s="48"/>
      <c r="N1300" s="48"/>
      <c r="O1300" s="48"/>
      <c r="P1300" s="48"/>
      <c r="Q1300" s="48"/>
      <c r="R1300" s="48"/>
      <c r="S1300" s="48"/>
      <c r="T1300" s="48"/>
      <c r="U1300" s="48"/>
      <c r="V1300" s="48"/>
      <c r="W1300" s="49"/>
      <c r="X1300" s="49"/>
      <c r="Y1300" s="49"/>
      <c r="Z1300" s="49"/>
      <c r="AA1300" s="49"/>
      <c r="AB1300" s="49"/>
      <c r="AC1300" s="49"/>
      <c r="AD1300" s="49"/>
      <c r="AE1300" s="49"/>
      <c r="AF1300" s="49"/>
      <c r="AG1300" s="49"/>
      <c r="AH1300" s="49"/>
      <c r="AI1300" s="48"/>
      <c r="AJ1300" s="48"/>
      <c r="AK1300" s="24"/>
      <c r="AL1300" s="50"/>
      <c r="AM1300" s="50"/>
      <c r="AN1300" s="50"/>
      <c r="AO1300" s="50"/>
      <c r="AP1300" s="50"/>
      <c r="AQ1300" s="50"/>
      <c r="AR1300" s="50"/>
      <c r="AS1300" s="50"/>
      <c r="AT1300" s="51"/>
      <c r="AU1300" s="51"/>
      <c r="AV1300" s="51"/>
      <c r="AW1300" s="51"/>
      <c r="AX1300" s="50"/>
      <c r="AY1300" s="50"/>
      <c r="AZ1300" s="50"/>
      <c r="BA1300" s="50"/>
      <c r="BB1300" s="51"/>
      <c r="BC1300" s="51"/>
      <c r="BD1300" s="51"/>
      <c r="BE1300" s="51"/>
      <c r="BF1300" s="47"/>
      <c r="BG1300" s="47"/>
      <c r="BH1300" s="47"/>
      <c r="BI1300" s="47"/>
      <c r="BJ1300" s="47"/>
      <c r="BK1300" s="47"/>
      <c r="BL1300" s="47"/>
      <c r="BM1300" s="47"/>
      <c r="BN1300" s="47"/>
      <c r="BO1300" s="47"/>
      <c r="BP1300" s="47"/>
      <c r="BQ1300" s="47"/>
      <c r="BR1300" s="47"/>
      <c r="BS1300" s="47"/>
      <c r="BT1300" s="47"/>
    </row>
    <row r="1301">
      <c r="A1301" s="24"/>
      <c r="B1301" s="48"/>
      <c r="C1301" s="49"/>
      <c r="D1301" s="24"/>
      <c r="E1301" s="52"/>
      <c r="F1301" s="53"/>
      <c r="G1301" s="48"/>
      <c r="H1301" s="49"/>
      <c r="I1301" s="49"/>
      <c r="J1301" s="48"/>
      <c r="K1301" s="48"/>
      <c r="L1301" s="48"/>
      <c r="M1301" s="48"/>
      <c r="N1301" s="48"/>
      <c r="O1301" s="48"/>
      <c r="P1301" s="48"/>
      <c r="Q1301" s="48"/>
      <c r="R1301" s="48"/>
      <c r="S1301" s="48"/>
      <c r="T1301" s="48"/>
      <c r="U1301" s="48"/>
      <c r="V1301" s="48"/>
      <c r="W1301" s="49"/>
      <c r="X1301" s="49"/>
      <c r="Y1301" s="49"/>
      <c r="Z1301" s="49"/>
      <c r="AA1301" s="49"/>
      <c r="AB1301" s="49"/>
      <c r="AC1301" s="49"/>
      <c r="AD1301" s="49"/>
      <c r="AE1301" s="49"/>
      <c r="AF1301" s="49"/>
      <c r="AG1301" s="49"/>
      <c r="AH1301" s="49"/>
      <c r="AI1301" s="48"/>
      <c r="AJ1301" s="48"/>
      <c r="AK1301" s="24"/>
      <c r="AL1301" s="50"/>
      <c r="AM1301" s="50"/>
      <c r="AN1301" s="50"/>
      <c r="AO1301" s="50"/>
      <c r="AP1301" s="50"/>
      <c r="AQ1301" s="50"/>
      <c r="AR1301" s="50"/>
      <c r="AS1301" s="50"/>
      <c r="AT1301" s="51"/>
      <c r="AU1301" s="51"/>
      <c r="AV1301" s="51"/>
      <c r="AW1301" s="51"/>
      <c r="AX1301" s="50"/>
      <c r="AY1301" s="50"/>
      <c r="AZ1301" s="50"/>
      <c r="BA1301" s="50"/>
      <c r="BB1301" s="51"/>
      <c r="BC1301" s="51"/>
      <c r="BD1301" s="51"/>
      <c r="BE1301" s="51"/>
      <c r="BF1301" s="47"/>
      <c r="BG1301" s="47"/>
      <c r="BH1301" s="47"/>
      <c r="BI1301" s="47"/>
      <c r="BJ1301" s="47"/>
      <c r="BK1301" s="47"/>
      <c r="BL1301" s="47"/>
      <c r="BM1301" s="47"/>
      <c r="BN1301" s="47"/>
      <c r="BO1301" s="47"/>
      <c r="BP1301" s="47"/>
      <c r="BQ1301" s="47"/>
      <c r="BR1301" s="47"/>
      <c r="BS1301" s="47"/>
      <c r="BT1301" s="47"/>
    </row>
    <row r="1302">
      <c r="A1302" s="24"/>
      <c r="B1302" s="48"/>
      <c r="C1302" s="49"/>
      <c r="D1302" s="24"/>
      <c r="E1302" s="52"/>
      <c r="F1302" s="53"/>
      <c r="G1302" s="48"/>
      <c r="H1302" s="49"/>
      <c r="I1302" s="49"/>
      <c r="J1302" s="48"/>
      <c r="K1302" s="48"/>
      <c r="L1302" s="48"/>
      <c r="M1302" s="48"/>
      <c r="N1302" s="48"/>
      <c r="O1302" s="48"/>
      <c r="P1302" s="48"/>
      <c r="Q1302" s="48"/>
      <c r="R1302" s="48"/>
      <c r="S1302" s="48"/>
      <c r="T1302" s="48"/>
      <c r="U1302" s="48"/>
      <c r="V1302" s="48"/>
      <c r="W1302" s="49"/>
      <c r="X1302" s="49"/>
      <c r="Y1302" s="49"/>
      <c r="Z1302" s="49"/>
      <c r="AA1302" s="49"/>
      <c r="AB1302" s="49"/>
      <c r="AC1302" s="49"/>
      <c r="AD1302" s="49"/>
      <c r="AE1302" s="49"/>
      <c r="AF1302" s="49"/>
      <c r="AG1302" s="49"/>
      <c r="AH1302" s="49"/>
      <c r="AI1302" s="48"/>
      <c r="AJ1302" s="48"/>
      <c r="AK1302" s="24"/>
      <c r="AL1302" s="50"/>
      <c r="AM1302" s="50"/>
      <c r="AN1302" s="50"/>
      <c r="AO1302" s="50"/>
      <c r="AP1302" s="50"/>
      <c r="AQ1302" s="50"/>
      <c r="AR1302" s="50"/>
      <c r="AS1302" s="50"/>
      <c r="AT1302" s="51"/>
      <c r="AU1302" s="51"/>
      <c r="AV1302" s="51"/>
      <c r="AW1302" s="51"/>
      <c r="AX1302" s="50"/>
      <c r="AY1302" s="50"/>
      <c r="AZ1302" s="50"/>
      <c r="BA1302" s="50"/>
      <c r="BB1302" s="51"/>
      <c r="BC1302" s="51"/>
      <c r="BD1302" s="51"/>
      <c r="BE1302" s="51"/>
      <c r="BF1302" s="47"/>
      <c r="BG1302" s="47"/>
      <c r="BH1302" s="47"/>
      <c r="BI1302" s="47"/>
      <c r="BJ1302" s="47"/>
      <c r="BK1302" s="47"/>
      <c r="BL1302" s="47"/>
      <c r="BM1302" s="47"/>
      <c r="BN1302" s="47"/>
      <c r="BO1302" s="47"/>
      <c r="BP1302" s="47"/>
      <c r="BQ1302" s="47"/>
      <c r="BR1302" s="47"/>
      <c r="BS1302" s="47"/>
      <c r="BT1302" s="47"/>
    </row>
    <row r="1303">
      <c r="A1303" s="24"/>
      <c r="B1303" s="48"/>
      <c r="C1303" s="49"/>
      <c r="D1303" s="24"/>
      <c r="E1303" s="52"/>
      <c r="F1303" s="53"/>
      <c r="G1303" s="48"/>
      <c r="H1303" s="49"/>
      <c r="I1303" s="49"/>
      <c r="J1303" s="48"/>
      <c r="K1303" s="48"/>
      <c r="L1303" s="48"/>
      <c r="M1303" s="48"/>
      <c r="N1303" s="48"/>
      <c r="O1303" s="48"/>
      <c r="P1303" s="48"/>
      <c r="Q1303" s="48"/>
      <c r="R1303" s="48"/>
      <c r="S1303" s="48"/>
      <c r="T1303" s="48"/>
      <c r="U1303" s="48"/>
      <c r="V1303" s="48"/>
      <c r="W1303" s="49"/>
      <c r="X1303" s="49"/>
      <c r="Y1303" s="49"/>
      <c r="Z1303" s="49"/>
      <c r="AA1303" s="49"/>
      <c r="AB1303" s="49"/>
      <c r="AC1303" s="49"/>
      <c r="AD1303" s="49"/>
      <c r="AE1303" s="49"/>
      <c r="AF1303" s="49"/>
      <c r="AG1303" s="49"/>
      <c r="AH1303" s="49"/>
      <c r="AI1303" s="48"/>
      <c r="AJ1303" s="48"/>
      <c r="AK1303" s="24"/>
      <c r="AL1303" s="50"/>
      <c r="AM1303" s="50"/>
      <c r="AN1303" s="50"/>
      <c r="AO1303" s="50"/>
      <c r="AP1303" s="50"/>
      <c r="AQ1303" s="50"/>
      <c r="AR1303" s="50"/>
      <c r="AS1303" s="50"/>
      <c r="AT1303" s="51"/>
      <c r="AU1303" s="51"/>
      <c r="AV1303" s="51"/>
      <c r="AW1303" s="51"/>
      <c r="AX1303" s="50"/>
      <c r="AY1303" s="50"/>
      <c r="AZ1303" s="50"/>
      <c r="BA1303" s="50"/>
      <c r="BB1303" s="51"/>
      <c r="BC1303" s="51"/>
      <c r="BD1303" s="51"/>
      <c r="BE1303" s="51"/>
      <c r="BF1303" s="47"/>
      <c r="BG1303" s="47"/>
      <c r="BH1303" s="47"/>
      <c r="BI1303" s="47"/>
      <c r="BJ1303" s="47"/>
      <c r="BK1303" s="47"/>
      <c r="BL1303" s="47"/>
      <c r="BM1303" s="47"/>
      <c r="BN1303" s="47"/>
      <c r="BO1303" s="47"/>
      <c r="BP1303" s="47"/>
      <c r="BQ1303" s="47"/>
      <c r="BR1303" s="47"/>
      <c r="BS1303" s="47"/>
      <c r="BT1303" s="47"/>
    </row>
    <row r="1304">
      <c r="A1304" s="24"/>
      <c r="B1304" s="48"/>
      <c r="C1304" s="49"/>
      <c r="D1304" s="24"/>
      <c r="E1304" s="52"/>
      <c r="F1304" s="53"/>
      <c r="G1304" s="48"/>
      <c r="H1304" s="49"/>
      <c r="I1304" s="49"/>
      <c r="J1304" s="48"/>
      <c r="K1304" s="48"/>
      <c r="L1304" s="48"/>
      <c r="M1304" s="48"/>
      <c r="N1304" s="48"/>
      <c r="O1304" s="48"/>
      <c r="P1304" s="48"/>
      <c r="Q1304" s="48"/>
      <c r="R1304" s="48"/>
      <c r="S1304" s="48"/>
      <c r="T1304" s="48"/>
      <c r="U1304" s="48"/>
      <c r="V1304" s="48"/>
      <c r="W1304" s="49"/>
      <c r="X1304" s="49"/>
      <c r="Y1304" s="49"/>
      <c r="Z1304" s="49"/>
      <c r="AA1304" s="49"/>
      <c r="AB1304" s="49"/>
      <c r="AC1304" s="49"/>
      <c r="AD1304" s="49"/>
      <c r="AE1304" s="49"/>
      <c r="AF1304" s="49"/>
      <c r="AG1304" s="49"/>
      <c r="AH1304" s="49"/>
      <c r="AI1304" s="48"/>
      <c r="AJ1304" s="48"/>
      <c r="AK1304" s="24"/>
      <c r="AL1304" s="50"/>
      <c r="AM1304" s="50"/>
      <c r="AN1304" s="50"/>
      <c r="AO1304" s="50"/>
      <c r="AP1304" s="50"/>
      <c r="AQ1304" s="50"/>
      <c r="AR1304" s="50"/>
      <c r="AS1304" s="50"/>
      <c r="AT1304" s="51"/>
      <c r="AU1304" s="51"/>
      <c r="AV1304" s="51"/>
      <c r="AW1304" s="51"/>
      <c r="AX1304" s="50"/>
      <c r="AY1304" s="50"/>
      <c r="AZ1304" s="50"/>
      <c r="BA1304" s="50"/>
      <c r="BB1304" s="51"/>
      <c r="BC1304" s="51"/>
      <c r="BD1304" s="51"/>
      <c r="BE1304" s="51"/>
      <c r="BF1304" s="47"/>
      <c r="BG1304" s="47"/>
      <c r="BH1304" s="47"/>
      <c r="BI1304" s="47"/>
      <c r="BJ1304" s="47"/>
      <c r="BK1304" s="47"/>
      <c r="BL1304" s="47"/>
      <c r="BM1304" s="47"/>
      <c r="BN1304" s="47"/>
      <c r="BO1304" s="47"/>
      <c r="BP1304" s="47"/>
      <c r="BQ1304" s="47"/>
      <c r="BR1304" s="47"/>
      <c r="BS1304" s="47"/>
      <c r="BT1304" s="47"/>
    </row>
    <row r="1305">
      <c r="A1305" s="24"/>
      <c r="B1305" s="48"/>
      <c r="C1305" s="49"/>
      <c r="D1305" s="24"/>
      <c r="E1305" s="52"/>
      <c r="F1305" s="53"/>
      <c r="G1305" s="48"/>
      <c r="H1305" s="49"/>
      <c r="I1305" s="49"/>
      <c r="J1305" s="48"/>
      <c r="K1305" s="48"/>
      <c r="L1305" s="48"/>
      <c r="M1305" s="48"/>
      <c r="N1305" s="48"/>
      <c r="O1305" s="48"/>
      <c r="P1305" s="48"/>
      <c r="Q1305" s="48"/>
      <c r="R1305" s="48"/>
      <c r="S1305" s="48"/>
      <c r="T1305" s="48"/>
      <c r="U1305" s="48"/>
      <c r="V1305" s="48"/>
      <c r="W1305" s="49"/>
      <c r="X1305" s="49"/>
      <c r="Y1305" s="49"/>
      <c r="Z1305" s="49"/>
      <c r="AA1305" s="49"/>
      <c r="AB1305" s="49"/>
      <c r="AC1305" s="49"/>
      <c r="AD1305" s="49"/>
      <c r="AE1305" s="49"/>
      <c r="AF1305" s="49"/>
      <c r="AG1305" s="49"/>
      <c r="AH1305" s="49"/>
      <c r="AI1305" s="48"/>
      <c r="AJ1305" s="48"/>
      <c r="AK1305" s="24"/>
      <c r="AL1305" s="50"/>
      <c r="AM1305" s="50"/>
      <c r="AN1305" s="50"/>
      <c r="AO1305" s="50"/>
      <c r="AP1305" s="50"/>
      <c r="AQ1305" s="50"/>
      <c r="AR1305" s="50"/>
      <c r="AS1305" s="50"/>
      <c r="AT1305" s="51"/>
      <c r="AU1305" s="51"/>
      <c r="AV1305" s="51"/>
      <c r="AW1305" s="51"/>
      <c r="AX1305" s="50"/>
      <c r="AY1305" s="50"/>
      <c r="AZ1305" s="50"/>
      <c r="BA1305" s="50"/>
      <c r="BB1305" s="51"/>
      <c r="BC1305" s="51"/>
      <c r="BD1305" s="51"/>
      <c r="BE1305" s="51"/>
      <c r="BF1305" s="47"/>
      <c r="BG1305" s="47"/>
      <c r="BH1305" s="47"/>
      <c r="BI1305" s="47"/>
      <c r="BJ1305" s="47"/>
      <c r="BK1305" s="47"/>
      <c r="BL1305" s="47"/>
      <c r="BM1305" s="47"/>
      <c r="BN1305" s="47"/>
      <c r="BO1305" s="47"/>
      <c r="BP1305" s="47"/>
      <c r="BQ1305" s="47"/>
      <c r="BR1305" s="47"/>
      <c r="BS1305" s="47"/>
      <c r="BT1305" s="47"/>
    </row>
    <row r="1306">
      <c r="A1306" s="24"/>
      <c r="B1306" s="48"/>
      <c r="C1306" s="49"/>
      <c r="D1306" s="24"/>
      <c r="E1306" s="52"/>
      <c r="F1306" s="53"/>
      <c r="G1306" s="48"/>
      <c r="H1306" s="49"/>
      <c r="I1306" s="49"/>
      <c r="J1306" s="48"/>
      <c r="K1306" s="48"/>
      <c r="L1306" s="48"/>
      <c r="M1306" s="48"/>
      <c r="N1306" s="48"/>
      <c r="O1306" s="48"/>
      <c r="P1306" s="48"/>
      <c r="Q1306" s="48"/>
      <c r="R1306" s="48"/>
      <c r="S1306" s="48"/>
      <c r="T1306" s="48"/>
      <c r="U1306" s="48"/>
      <c r="V1306" s="48"/>
      <c r="W1306" s="49"/>
      <c r="X1306" s="49"/>
      <c r="Y1306" s="49"/>
      <c r="Z1306" s="49"/>
      <c r="AA1306" s="49"/>
      <c r="AB1306" s="49"/>
      <c r="AC1306" s="49"/>
      <c r="AD1306" s="49"/>
      <c r="AE1306" s="49"/>
      <c r="AF1306" s="49"/>
      <c r="AG1306" s="49"/>
      <c r="AH1306" s="49"/>
      <c r="AI1306" s="48"/>
      <c r="AJ1306" s="48"/>
      <c r="AK1306" s="24"/>
      <c r="AL1306" s="50"/>
      <c r="AM1306" s="50"/>
      <c r="AN1306" s="50"/>
      <c r="AO1306" s="50"/>
      <c r="AP1306" s="50"/>
      <c r="AQ1306" s="50"/>
      <c r="AR1306" s="50"/>
      <c r="AS1306" s="50"/>
      <c r="AT1306" s="51"/>
      <c r="AU1306" s="51"/>
      <c r="AV1306" s="51"/>
      <c r="AW1306" s="51"/>
      <c r="AX1306" s="50"/>
      <c r="AY1306" s="50"/>
      <c r="AZ1306" s="50"/>
      <c r="BA1306" s="50"/>
      <c r="BB1306" s="51"/>
      <c r="BC1306" s="51"/>
      <c r="BD1306" s="51"/>
      <c r="BE1306" s="51"/>
      <c r="BF1306" s="47"/>
      <c r="BG1306" s="47"/>
      <c r="BH1306" s="47"/>
      <c r="BI1306" s="47"/>
      <c r="BJ1306" s="47"/>
      <c r="BK1306" s="47"/>
      <c r="BL1306" s="47"/>
      <c r="BM1306" s="47"/>
      <c r="BN1306" s="47"/>
      <c r="BO1306" s="47"/>
      <c r="BP1306" s="47"/>
      <c r="BQ1306" s="47"/>
      <c r="BR1306" s="47"/>
      <c r="BS1306" s="47"/>
      <c r="BT1306" s="47"/>
    </row>
    <row r="1307">
      <c r="A1307" s="24"/>
      <c r="B1307" s="48"/>
      <c r="C1307" s="49"/>
      <c r="D1307" s="24"/>
      <c r="E1307" s="52"/>
      <c r="F1307" s="53"/>
      <c r="G1307" s="48"/>
      <c r="H1307" s="49"/>
      <c r="I1307" s="49"/>
      <c r="J1307" s="48"/>
      <c r="K1307" s="48"/>
      <c r="L1307" s="48"/>
      <c r="M1307" s="48"/>
      <c r="N1307" s="48"/>
      <c r="O1307" s="48"/>
      <c r="P1307" s="48"/>
      <c r="Q1307" s="48"/>
      <c r="R1307" s="48"/>
      <c r="S1307" s="48"/>
      <c r="T1307" s="48"/>
      <c r="U1307" s="48"/>
      <c r="V1307" s="48"/>
      <c r="W1307" s="49"/>
      <c r="X1307" s="49"/>
      <c r="Y1307" s="49"/>
      <c r="Z1307" s="49"/>
      <c r="AA1307" s="49"/>
      <c r="AB1307" s="49"/>
      <c r="AC1307" s="49"/>
      <c r="AD1307" s="49"/>
      <c r="AE1307" s="49"/>
      <c r="AF1307" s="49"/>
      <c r="AG1307" s="49"/>
      <c r="AH1307" s="49"/>
      <c r="AI1307" s="48"/>
      <c r="AJ1307" s="48"/>
      <c r="AK1307" s="24"/>
      <c r="AL1307" s="50"/>
      <c r="AM1307" s="50"/>
      <c r="AN1307" s="50"/>
      <c r="AO1307" s="50"/>
      <c r="AP1307" s="50"/>
      <c r="AQ1307" s="50"/>
      <c r="AR1307" s="50"/>
      <c r="AS1307" s="50"/>
      <c r="AT1307" s="51"/>
      <c r="AU1307" s="51"/>
      <c r="AV1307" s="51"/>
      <c r="AW1307" s="51"/>
      <c r="AX1307" s="50"/>
      <c r="AY1307" s="50"/>
      <c r="AZ1307" s="50"/>
      <c r="BA1307" s="50"/>
      <c r="BB1307" s="51"/>
      <c r="BC1307" s="51"/>
      <c r="BD1307" s="51"/>
      <c r="BE1307" s="51"/>
      <c r="BF1307" s="47"/>
      <c r="BG1307" s="47"/>
      <c r="BH1307" s="47"/>
      <c r="BI1307" s="47"/>
      <c r="BJ1307" s="47"/>
      <c r="BK1307" s="47"/>
      <c r="BL1307" s="47"/>
      <c r="BM1307" s="47"/>
      <c r="BN1307" s="47"/>
      <c r="BO1307" s="47"/>
      <c r="BP1307" s="47"/>
      <c r="BQ1307" s="47"/>
      <c r="BR1307" s="47"/>
      <c r="BS1307" s="47"/>
      <c r="BT1307" s="47"/>
    </row>
    <row r="1308">
      <c r="A1308" s="24"/>
      <c r="B1308" s="48"/>
      <c r="C1308" s="49"/>
      <c r="D1308" s="24"/>
      <c r="E1308" s="52"/>
      <c r="F1308" s="53"/>
      <c r="G1308" s="48"/>
      <c r="H1308" s="49"/>
      <c r="I1308" s="49"/>
      <c r="J1308" s="48"/>
      <c r="K1308" s="48"/>
      <c r="L1308" s="48"/>
      <c r="M1308" s="48"/>
      <c r="N1308" s="48"/>
      <c r="O1308" s="48"/>
      <c r="P1308" s="48"/>
      <c r="Q1308" s="48"/>
      <c r="R1308" s="48"/>
      <c r="S1308" s="48"/>
      <c r="T1308" s="48"/>
      <c r="U1308" s="48"/>
      <c r="V1308" s="48"/>
      <c r="W1308" s="49"/>
      <c r="X1308" s="49"/>
      <c r="Y1308" s="49"/>
      <c r="Z1308" s="49"/>
      <c r="AA1308" s="49"/>
      <c r="AB1308" s="49"/>
      <c r="AC1308" s="49"/>
      <c r="AD1308" s="49"/>
      <c r="AE1308" s="49"/>
      <c r="AF1308" s="49"/>
      <c r="AG1308" s="49"/>
      <c r="AH1308" s="49"/>
      <c r="AI1308" s="48"/>
      <c r="AJ1308" s="48"/>
      <c r="AK1308" s="24"/>
      <c r="AL1308" s="50"/>
      <c r="AM1308" s="50"/>
      <c r="AN1308" s="50"/>
      <c r="AO1308" s="50"/>
      <c r="AP1308" s="50"/>
      <c r="AQ1308" s="50"/>
      <c r="AR1308" s="50"/>
      <c r="AS1308" s="50"/>
      <c r="AT1308" s="51"/>
      <c r="AU1308" s="51"/>
      <c r="AV1308" s="51"/>
      <c r="AW1308" s="51"/>
      <c r="AX1308" s="50"/>
      <c r="AY1308" s="50"/>
      <c r="AZ1308" s="50"/>
      <c r="BA1308" s="50"/>
      <c r="BB1308" s="51"/>
      <c r="BC1308" s="51"/>
      <c r="BD1308" s="51"/>
      <c r="BE1308" s="51"/>
      <c r="BF1308" s="47"/>
      <c r="BG1308" s="47"/>
      <c r="BH1308" s="47"/>
      <c r="BI1308" s="47"/>
      <c r="BJ1308" s="47"/>
      <c r="BK1308" s="47"/>
      <c r="BL1308" s="47"/>
      <c r="BM1308" s="47"/>
      <c r="BN1308" s="47"/>
      <c r="BO1308" s="47"/>
      <c r="BP1308" s="47"/>
      <c r="BQ1308" s="47"/>
      <c r="BR1308" s="47"/>
      <c r="BS1308" s="47"/>
      <c r="BT1308" s="47"/>
    </row>
    <row r="1309">
      <c r="A1309" s="24"/>
      <c r="B1309" s="48"/>
      <c r="C1309" s="49"/>
      <c r="D1309" s="24"/>
      <c r="E1309" s="52"/>
      <c r="F1309" s="53"/>
      <c r="G1309" s="48"/>
      <c r="H1309" s="49"/>
      <c r="I1309" s="49"/>
      <c r="J1309" s="48"/>
      <c r="K1309" s="48"/>
      <c r="L1309" s="48"/>
      <c r="M1309" s="48"/>
      <c r="N1309" s="48"/>
      <c r="O1309" s="48"/>
      <c r="P1309" s="48"/>
      <c r="Q1309" s="48"/>
      <c r="R1309" s="48"/>
      <c r="S1309" s="48"/>
      <c r="T1309" s="48"/>
      <c r="U1309" s="48"/>
      <c r="V1309" s="48"/>
      <c r="W1309" s="49"/>
      <c r="X1309" s="49"/>
      <c r="Y1309" s="49"/>
      <c r="Z1309" s="49"/>
      <c r="AA1309" s="49"/>
      <c r="AB1309" s="49"/>
      <c r="AC1309" s="49"/>
      <c r="AD1309" s="49"/>
      <c r="AE1309" s="49"/>
      <c r="AF1309" s="49"/>
      <c r="AG1309" s="49"/>
      <c r="AH1309" s="49"/>
      <c r="AI1309" s="48"/>
      <c r="AJ1309" s="48"/>
      <c r="AK1309" s="24"/>
      <c r="AL1309" s="50"/>
      <c r="AM1309" s="50"/>
      <c r="AN1309" s="50"/>
      <c r="AO1309" s="50"/>
      <c r="AP1309" s="50"/>
      <c r="AQ1309" s="50"/>
      <c r="AR1309" s="50"/>
      <c r="AS1309" s="50"/>
      <c r="AT1309" s="51"/>
      <c r="AU1309" s="51"/>
      <c r="AV1309" s="51"/>
      <c r="AW1309" s="51"/>
      <c r="AX1309" s="50"/>
      <c r="AY1309" s="50"/>
      <c r="AZ1309" s="50"/>
      <c r="BA1309" s="50"/>
      <c r="BB1309" s="51"/>
      <c r="BC1309" s="51"/>
      <c r="BD1309" s="51"/>
      <c r="BE1309" s="51"/>
      <c r="BF1309" s="47"/>
      <c r="BG1309" s="47"/>
      <c r="BH1309" s="47"/>
      <c r="BI1309" s="47"/>
      <c r="BJ1309" s="47"/>
      <c r="BK1309" s="47"/>
      <c r="BL1309" s="47"/>
      <c r="BM1309" s="47"/>
      <c r="BN1309" s="47"/>
      <c r="BO1309" s="47"/>
      <c r="BP1309" s="47"/>
      <c r="BQ1309" s="47"/>
      <c r="BR1309" s="47"/>
      <c r="BS1309" s="47"/>
      <c r="BT1309" s="47"/>
    </row>
    <row r="1310">
      <c r="A1310" s="24"/>
      <c r="B1310" s="48"/>
      <c r="C1310" s="49"/>
      <c r="D1310" s="24"/>
      <c r="E1310" s="52"/>
      <c r="F1310" s="53"/>
      <c r="G1310" s="48"/>
      <c r="H1310" s="49"/>
      <c r="I1310" s="49"/>
      <c r="J1310" s="48"/>
      <c r="K1310" s="48"/>
      <c r="L1310" s="48"/>
      <c r="M1310" s="48"/>
      <c r="N1310" s="48"/>
      <c r="O1310" s="48"/>
      <c r="P1310" s="48"/>
      <c r="Q1310" s="48"/>
      <c r="R1310" s="48"/>
      <c r="S1310" s="48"/>
      <c r="T1310" s="48"/>
      <c r="U1310" s="48"/>
      <c r="V1310" s="48"/>
      <c r="W1310" s="49"/>
      <c r="X1310" s="49"/>
      <c r="Y1310" s="49"/>
      <c r="Z1310" s="49"/>
      <c r="AA1310" s="49"/>
      <c r="AB1310" s="49"/>
      <c r="AC1310" s="49"/>
      <c r="AD1310" s="49"/>
      <c r="AE1310" s="49"/>
      <c r="AF1310" s="49"/>
      <c r="AG1310" s="49"/>
      <c r="AH1310" s="49"/>
      <c r="AI1310" s="48"/>
      <c r="AJ1310" s="48"/>
      <c r="AK1310" s="24"/>
      <c r="AL1310" s="50"/>
      <c r="AM1310" s="50"/>
      <c r="AN1310" s="50"/>
      <c r="AO1310" s="50"/>
      <c r="AP1310" s="50"/>
      <c r="AQ1310" s="50"/>
      <c r="AR1310" s="50"/>
      <c r="AS1310" s="50"/>
      <c r="AT1310" s="51"/>
      <c r="AU1310" s="51"/>
      <c r="AV1310" s="51"/>
      <c r="AW1310" s="51"/>
      <c r="AX1310" s="50"/>
      <c r="AY1310" s="50"/>
      <c r="AZ1310" s="50"/>
      <c r="BA1310" s="50"/>
      <c r="BB1310" s="51"/>
      <c r="BC1310" s="51"/>
      <c r="BD1310" s="51"/>
      <c r="BE1310" s="51"/>
      <c r="BF1310" s="47"/>
      <c r="BG1310" s="47"/>
      <c r="BH1310" s="47"/>
      <c r="BI1310" s="47"/>
      <c r="BJ1310" s="47"/>
      <c r="BK1310" s="47"/>
      <c r="BL1310" s="47"/>
      <c r="BM1310" s="47"/>
      <c r="BN1310" s="47"/>
      <c r="BO1310" s="47"/>
      <c r="BP1310" s="47"/>
      <c r="BQ1310" s="47"/>
      <c r="BR1310" s="47"/>
      <c r="BS1310" s="47"/>
      <c r="BT1310" s="47"/>
    </row>
    <row r="1311">
      <c r="A1311" s="24"/>
      <c r="B1311" s="48"/>
      <c r="C1311" s="49"/>
      <c r="D1311" s="24"/>
      <c r="E1311" s="52"/>
      <c r="F1311" s="53"/>
      <c r="G1311" s="48"/>
      <c r="H1311" s="49"/>
      <c r="I1311" s="49"/>
      <c r="J1311" s="48"/>
      <c r="K1311" s="48"/>
      <c r="L1311" s="48"/>
      <c r="M1311" s="48"/>
      <c r="N1311" s="48"/>
      <c r="O1311" s="48"/>
      <c r="P1311" s="48"/>
      <c r="Q1311" s="48"/>
      <c r="R1311" s="48"/>
      <c r="S1311" s="48"/>
      <c r="T1311" s="48"/>
      <c r="U1311" s="48"/>
      <c r="V1311" s="48"/>
      <c r="W1311" s="49"/>
      <c r="X1311" s="49"/>
      <c r="Y1311" s="49"/>
      <c r="Z1311" s="49"/>
      <c r="AA1311" s="49"/>
      <c r="AB1311" s="49"/>
      <c r="AC1311" s="49"/>
      <c r="AD1311" s="49"/>
      <c r="AE1311" s="49"/>
      <c r="AF1311" s="49"/>
      <c r="AG1311" s="49"/>
      <c r="AH1311" s="49"/>
      <c r="AI1311" s="48"/>
      <c r="AJ1311" s="48"/>
      <c r="AK1311" s="24"/>
      <c r="AL1311" s="50"/>
      <c r="AM1311" s="50"/>
      <c r="AN1311" s="50"/>
      <c r="AO1311" s="50"/>
      <c r="AP1311" s="50"/>
      <c r="AQ1311" s="50"/>
      <c r="AR1311" s="50"/>
      <c r="AS1311" s="50"/>
      <c r="AT1311" s="51"/>
      <c r="AU1311" s="51"/>
      <c r="AV1311" s="51"/>
      <c r="AW1311" s="51"/>
      <c r="AX1311" s="50"/>
      <c r="AY1311" s="50"/>
      <c r="AZ1311" s="50"/>
      <c r="BA1311" s="50"/>
      <c r="BB1311" s="51"/>
      <c r="BC1311" s="51"/>
      <c r="BD1311" s="51"/>
      <c r="BE1311" s="51"/>
      <c r="BF1311" s="47"/>
      <c r="BG1311" s="47"/>
      <c r="BH1311" s="47"/>
      <c r="BI1311" s="47"/>
      <c r="BJ1311" s="47"/>
      <c r="BK1311" s="47"/>
      <c r="BL1311" s="47"/>
      <c r="BM1311" s="47"/>
      <c r="BN1311" s="47"/>
      <c r="BO1311" s="47"/>
      <c r="BP1311" s="47"/>
      <c r="BQ1311" s="47"/>
      <c r="BR1311" s="47"/>
      <c r="BS1311" s="47"/>
      <c r="BT1311" s="47"/>
    </row>
    <row r="1312">
      <c r="A1312" s="24"/>
      <c r="B1312" s="48"/>
      <c r="C1312" s="49"/>
      <c r="D1312" s="24"/>
      <c r="E1312" s="52"/>
      <c r="F1312" s="53"/>
      <c r="G1312" s="48"/>
      <c r="H1312" s="49"/>
      <c r="I1312" s="49"/>
      <c r="J1312" s="48"/>
      <c r="K1312" s="48"/>
      <c r="L1312" s="48"/>
      <c r="M1312" s="48"/>
      <c r="N1312" s="48"/>
      <c r="O1312" s="48"/>
      <c r="P1312" s="48"/>
      <c r="Q1312" s="48"/>
      <c r="R1312" s="48"/>
      <c r="S1312" s="48"/>
      <c r="T1312" s="48"/>
      <c r="U1312" s="48"/>
      <c r="V1312" s="48"/>
      <c r="W1312" s="49"/>
      <c r="X1312" s="49"/>
      <c r="Y1312" s="49"/>
      <c r="Z1312" s="49"/>
      <c r="AA1312" s="49"/>
      <c r="AB1312" s="49"/>
      <c r="AC1312" s="49"/>
      <c r="AD1312" s="49"/>
      <c r="AE1312" s="49"/>
      <c r="AF1312" s="49"/>
      <c r="AG1312" s="49"/>
      <c r="AH1312" s="49"/>
      <c r="AI1312" s="48"/>
      <c r="AJ1312" s="48"/>
      <c r="AK1312" s="24"/>
      <c r="AL1312" s="50"/>
      <c r="AM1312" s="50"/>
      <c r="AN1312" s="50"/>
      <c r="AO1312" s="50"/>
      <c r="AP1312" s="50"/>
      <c r="AQ1312" s="50"/>
      <c r="AR1312" s="50"/>
      <c r="AS1312" s="50"/>
      <c r="AT1312" s="51"/>
      <c r="AU1312" s="51"/>
      <c r="AV1312" s="51"/>
      <c r="AW1312" s="51"/>
      <c r="AX1312" s="50"/>
      <c r="AY1312" s="50"/>
      <c r="AZ1312" s="50"/>
      <c r="BA1312" s="50"/>
      <c r="BB1312" s="51"/>
      <c r="BC1312" s="51"/>
      <c r="BD1312" s="51"/>
      <c r="BE1312" s="51"/>
      <c r="BF1312" s="47"/>
      <c r="BG1312" s="47"/>
      <c r="BH1312" s="47"/>
      <c r="BI1312" s="47"/>
      <c r="BJ1312" s="47"/>
      <c r="BK1312" s="47"/>
      <c r="BL1312" s="47"/>
      <c r="BM1312" s="47"/>
      <c r="BN1312" s="47"/>
      <c r="BO1312" s="47"/>
      <c r="BP1312" s="47"/>
      <c r="BQ1312" s="47"/>
      <c r="BR1312" s="47"/>
      <c r="BS1312" s="47"/>
      <c r="BT1312" s="47"/>
    </row>
    <row r="1313">
      <c r="A1313" s="24"/>
      <c r="B1313" s="48"/>
      <c r="C1313" s="49"/>
      <c r="D1313" s="24"/>
      <c r="E1313" s="52"/>
      <c r="F1313" s="53"/>
      <c r="G1313" s="48"/>
      <c r="H1313" s="49"/>
      <c r="I1313" s="49"/>
      <c r="J1313" s="48"/>
      <c r="K1313" s="48"/>
      <c r="L1313" s="48"/>
      <c r="M1313" s="48"/>
      <c r="N1313" s="48"/>
      <c r="O1313" s="48"/>
      <c r="P1313" s="48"/>
      <c r="Q1313" s="48"/>
      <c r="R1313" s="48"/>
      <c r="S1313" s="48"/>
      <c r="T1313" s="48"/>
      <c r="U1313" s="48"/>
      <c r="V1313" s="48"/>
      <c r="W1313" s="49"/>
      <c r="X1313" s="49"/>
      <c r="Y1313" s="49"/>
      <c r="Z1313" s="49"/>
      <c r="AA1313" s="49"/>
      <c r="AB1313" s="49"/>
      <c r="AC1313" s="49"/>
      <c r="AD1313" s="49"/>
      <c r="AE1313" s="49"/>
      <c r="AF1313" s="49"/>
      <c r="AG1313" s="49"/>
      <c r="AH1313" s="49"/>
      <c r="AI1313" s="48"/>
      <c r="AJ1313" s="48"/>
      <c r="AK1313" s="24"/>
      <c r="AL1313" s="50"/>
      <c r="AM1313" s="50"/>
      <c r="AN1313" s="50"/>
      <c r="AO1313" s="50"/>
      <c r="AP1313" s="50"/>
      <c r="AQ1313" s="50"/>
      <c r="AR1313" s="50"/>
      <c r="AS1313" s="50"/>
      <c r="AT1313" s="51"/>
      <c r="AU1313" s="51"/>
      <c r="AV1313" s="51"/>
      <c r="AW1313" s="51"/>
      <c r="AX1313" s="50"/>
      <c r="AY1313" s="50"/>
      <c r="AZ1313" s="50"/>
      <c r="BA1313" s="50"/>
      <c r="BB1313" s="51"/>
      <c r="BC1313" s="51"/>
      <c r="BD1313" s="51"/>
      <c r="BE1313" s="51"/>
      <c r="BF1313" s="47"/>
      <c r="BG1313" s="47"/>
      <c r="BH1313" s="47"/>
      <c r="BI1313" s="47"/>
      <c r="BJ1313" s="47"/>
      <c r="BK1313" s="47"/>
      <c r="BL1313" s="47"/>
      <c r="BM1313" s="47"/>
      <c r="BN1313" s="47"/>
      <c r="BO1313" s="47"/>
      <c r="BP1313" s="47"/>
      <c r="BQ1313" s="47"/>
      <c r="BR1313" s="47"/>
      <c r="BS1313" s="47"/>
      <c r="BT1313" s="47"/>
    </row>
    <row r="1314">
      <c r="A1314" s="24"/>
      <c r="B1314" s="48"/>
      <c r="C1314" s="49"/>
      <c r="D1314" s="24"/>
      <c r="E1314" s="52"/>
      <c r="F1314" s="53"/>
      <c r="G1314" s="48"/>
      <c r="H1314" s="49"/>
      <c r="I1314" s="49"/>
      <c r="J1314" s="48"/>
      <c r="K1314" s="48"/>
      <c r="L1314" s="48"/>
      <c r="M1314" s="48"/>
      <c r="N1314" s="48"/>
      <c r="O1314" s="48"/>
      <c r="P1314" s="48"/>
      <c r="Q1314" s="48"/>
      <c r="R1314" s="48"/>
      <c r="S1314" s="48"/>
      <c r="T1314" s="48"/>
      <c r="U1314" s="48"/>
      <c r="V1314" s="48"/>
      <c r="W1314" s="49"/>
      <c r="X1314" s="49"/>
      <c r="Y1314" s="49"/>
      <c r="Z1314" s="49"/>
      <c r="AA1314" s="49"/>
      <c r="AB1314" s="49"/>
      <c r="AC1314" s="49"/>
      <c r="AD1314" s="49"/>
      <c r="AE1314" s="49"/>
      <c r="AF1314" s="49"/>
      <c r="AG1314" s="49"/>
      <c r="AH1314" s="49"/>
      <c r="AI1314" s="48"/>
      <c r="AJ1314" s="48"/>
      <c r="AK1314" s="24"/>
      <c r="AL1314" s="50"/>
      <c r="AM1314" s="50"/>
      <c r="AN1314" s="50"/>
      <c r="AO1314" s="50"/>
      <c r="AP1314" s="50"/>
      <c r="AQ1314" s="50"/>
      <c r="AR1314" s="50"/>
      <c r="AS1314" s="50"/>
      <c r="AT1314" s="51"/>
      <c r="AU1314" s="51"/>
      <c r="AV1314" s="51"/>
      <c r="AW1314" s="51"/>
      <c r="AX1314" s="50"/>
      <c r="AY1314" s="50"/>
      <c r="AZ1314" s="50"/>
      <c r="BA1314" s="50"/>
      <c r="BB1314" s="51"/>
      <c r="BC1314" s="51"/>
      <c r="BD1314" s="51"/>
      <c r="BE1314" s="51"/>
      <c r="BF1314" s="47"/>
      <c r="BG1314" s="47"/>
      <c r="BH1314" s="47"/>
      <c r="BI1314" s="47"/>
      <c r="BJ1314" s="47"/>
      <c r="BK1314" s="47"/>
      <c r="BL1314" s="47"/>
      <c r="BM1314" s="47"/>
      <c r="BN1314" s="47"/>
      <c r="BO1314" s="47"/>
      <c r="BP1314" s="47"/>
      <c r="BQ1314" s="47"/>
      <c r="BR1314" s="47"/>
      <c r="BS1314" s="47"/>
      <c r="BT1314" s="47"/>
    </row>
    <row r="1315">
      <c r="A1315" s="24"/>
      <c r="B1315" s="48"/>
      <c r="C1315" s="49"/>
      <c r="D1315" s="24"/>
      <c r="E1315" s="52"/>
      <c r="F1315" s="53"/>
      <c r="G1315" s="48"/>
      <c r="H1315" s="49"/>
      <c r="I1315" s="49"/>
      <c r="J1315" s="48"/>
      <c r="K1315" s="48"/>
      <c r="L1315" s="48"/>
      <c r="M1315" s="48"/>
      <c r="N1315" s="48"/>
      <c r="O1315" s="48"/>
      <c r="P1315" s="48"/>
      <c r="Q1315" s="48"/>
      <c r="R1315" s="48"/>
      <c r="S1315" s="48"/>
      <c r="T1315" s="48"/>
      <c r="U1315" s="48"/>
      <c r="V1315" s="48"/>
      <c r="W1315" s="49"/>
      <c r="X1315" s="49"/>
      <c r="Y1315" s="49"/>
      <c r="Z1315" s="49"/>
      <c r="AA1315" s="49"/>
      <c r="AB1315" s="49"/>
      <c r="AC1315" s="49"/>
      <c r="AD1315" s="49"/>
      <c r="AE1315" s="49"/>
      <c r="AF1315" s="49"/>
      <c r="AG1315" s="49"/>
      <c r="AH1315" s="49"/>
      <c r="AI1315" s="48"/>
      <c r="AJ1315" s="48"/>
      <c r="AK1315" s="24"/>
      <c r="AL1315" s="50"/>
      <c r="AM1315" s="50"/>
      <c r="AN1315" s="50"/>
      <c r="AO1315" s="50"/>
      <c r="AP1315" s="50"/>
      <c r="AQ1315" s="50"/>
      <c r="AR1315" s="50"/>
      <c r="AS1315" s="50"/>
      <c r="AT1315" s="51"/>
      <c r="AU1315" s="51"/>
      <c r="AV1315" s="51"/>
      <c r="AW1315" s="51"/>
      <c r="AX1315" s="50"/>
      <c r="AY1315" s="50"/>
      <c r="AZ1315" s="50"/>
      <c r="BA1315" s="50"/>
      <c r="BB1315" s="51"/>
      <c r="BC1315" s="51"/>
      <c r="BD1315" s="51"/>
      <c r="BE1315" s="51"/>
      <c r="BF1315" s="47"/>
      <c r="BG1315" s="47"/>
      <c r="BH1315" s="47"/>
      <c r="BI1315" s="47"/>
      <c r="BJ1315" s="47"/>
      <c r="BK1315" s="47"/>
      <c r="BL1315" s="47"/>
      <c r="BM1315" s="47"/>
      <c r="BN1315" s="47"/>
      <c r="BO1315" s="47"/>
      <c r="BP1315" s="47"/>
      <c r="BQ1315" s="47"/>
      <c r="BR1315" s="47"/>
      <c r="BS1315" s="47"/>
      <c r="BT1315" s="47"/>
    </row>
    <row r="1316">
      <c r="A1316" s="24"/>
      <c r="B1316" s="48"/>
      <c r="C1316" s="49"/>
      <c r="D1316" s="24"/>
      <c r="E1316" s="52"/>
      <c r="F1316" s="53"/>
      <c r="G1316" s="48"/>
      <c r="H1316" s="49"/>
      <c r="I1316" s="49"/>
      <c r="J1316" s="48"/>
      <c r="K1316" s="48"/>
      <c r="L1316" s="48"/>
      <c r="M1316" s="48"/>
      <c r="N1316" s="48"/>
      <c r="O1316" s="48"/>
      <c r="P1316" s="48"/>
      <c r="Q1316" s="48"/>
      <c r="R1316" s="48"/>
      <c r="S1316" s="48"/>
      <c r="T1316" s="48"/>
      <c r="U1316" s="48"/>
      <c r="V1316" s="48"/>
      <c r="W1316" s="49"/>
      <c r="X1316" s="49"/>
      <c r="Y1316" s="49"/>
      <c r="Z1316" s="49"/>
      <c r="AA1316" s="49"/>
      <c r="AB1316" s="49"/>
      <c r="AC1316" s="49"/>
      <c r="AD1316" s="49"/>
      <c r="AE1316" s="49"/>
      <c r="AF1316" s="49"/>
      <c r="AG1316" s="49"/>
      <c r="AH1316" s="49"/>
      <c r="AI1316" s="48"/>
      <c r="AJ1316" s="48"/>
      <c r="AK1316" s="24"/>
      <c r="AL1316" s="50"/>
      <c r="AM1316" s="50"/>
      <c r="AN1316" s="50"/>
      <c r="AO1316" s="50"/>
      <c r="AP1316" s="50"/>
      <c r="AQ1316" s="50"/>
      <c r="AR1316" s="50"/>
      <c r="AS1316" s="50"/>
      <c r="AT1316" s="51"/>
      <c r="AU1316" s="51"/>
      <c r="AV1316" s="51"/>
      <c r="AW1316" s="51"/>
      <c r="AX1316" s="50"/>
      <c r="AY1316" s="50"/>
      <c r="AZ1316" s="50"/>
      <c r="BA1316" s="50"/>
      <c r="BB1316" s="51"/>
      <c r="BC1316" s="51"/>
      <c r="BD1316" s="51"/>
      <c r="BE1316" s="51"/>
      <c r="BF1316" s="47"/>
      <c r="BG1316" s="47"/>
      <c r="BH1316" s="47"/>
      <c r="BI1316" s="47"/>
      <c r="BJ1316" s="47"/>
      <c r="BK1316" s="47"/>
      <c r="BL1316" s="47"/>
      <c r="BM1316" s="47"/>
      <c r="BN1316" s="47"/>
      <c r="BO1316" s="47"/>
      <c r="BP1316" s="47"/>
      <c r="BQ1316" s="47"/>
      <c r="BR1316" s="47"/>
      <c r="BS1316" s="47"/>
      <c r="BT1316" s="47"/>
    </row>
    <row r="1317">
      <c r="A1317" s="24"/>
      <c r="B1317" s="48"/>
      <c r="C1317" s="49"/>
      <c r="D1317" s="24"/>
      <c r="E1317" s="52"/>
      <c r="F1317" s="53"/>
      <c r="G1317" s="48"/>
      <c r="H1317" s="49"/>
      <c r="I1317" s="49"/>
      <c r="J1317" s="48"/>
      <c r="K1317" s="48"/>
      <c r="L1317" s="48"/>
      <c r="M1317" s="48"/>
      <c r="N1317" s="48"/>
      <c r="O1317" s="48"/>
      <c r="P1317" s="48"/>
      <c r="Q1317" s="48"/>
      <c r="R1317" s="48"/>
      <c r="S1317" s="48"/>
      <c r="T1317" s="48"/>
      <c r="U1317" s="48"/>
      <c r="V1317" s="48"/>
      <c r="W1317" s="49"/>
      <c r="X1317" s="49"/>
      <c r="Y1317" s="49"/>
      <c r="Z1317" s="49"/>
      <c r="AA1317" s="49"/>
      <c r="AB1317" s="49"/>
      <c r="AC1317" s="49"/>
      <c r="AD1317" s="49"/>
      <c r="AE1317" s="49"/>
      <c r="AF1317" s="49"/>
      <c r="AG1317" s="49"/>
      <c r="AH1317" s="49"/>
      <c r="AI1317" s="48"/>
      <c r="AJ1317" s="48"/>
      <c r="AK1317" s="24"/>
      <c r="AL1317" s="50"/>
      <c r="AM1317" s="50"/>
      <c r="AN1317" s="50"/>
      <c r="AO1317" s="50"/>
      <c r="AP1317" s="50"/>
      <c r="AQ1317" s="50"/>
      <c r="AR1317" s="50"/>
      <c r="AS1317" s="50"/>
      <c r="AT1317" s="51"/>
      <c r="AU1317" s="51"/>
      <c r="AV1317" s="51"/>
      <c r="AW1317" s="51"/>
      <c r="AX1317" s="50"/>
      <c r="AY1317" s="50"/>
      <c r="AZ1317" s="50"/>
      <c r="BA1317" s="50"/>
      <c r="BB1317" s="51"/>
      <c r="BC1317" s="51"/>
      <c r="BD1317" s="51"/>
      <c r="BE1317" s="51"/>
      <c r="BF1317" s="47"/>
      <c r="BG1317" s="47"/>
      <c r="BH1317" s="47"/>
      <c r="BI1317" s="47"/>
      <c r="BJ1317" s="47"/>
      <c r="BK1317" s="47"/>
      <c r="BL1317" s="47"/>
      <c r="BM1317" s="47"/>
      <c r="BN1317" s="47"/>
      <c r="BO1317" s="47"/>
      <c r="BP1317" s="47"/>
      <c r="BQ1317" s="47"/>
      <c r="BR1317" s="47"/>
      <c r="BS1317" s="47"/>
      <c r="BT1317" s="47"/>
    </row>
    <row r="1318">
      <c r="A1318" s="24"/>
      <c r="B1318" s="48"/>
      <c r="C1318" s="49"/>
      <c r="D1318" s="24"/>
      <c r="E1318" s="52"/>
      <c r="F1318" s="53"/>
      <c r="G1318" s="48"/>
      <c r="H1318" s="49"/>
      <c r="I1318" s="49"/>
      <c r="J1318" s="48"/>
      <c r="K1318" s="48"/>
      <c r="L1318" s="48"/>
      <c r="M1318" s="48"/>
      <c r="N1318" s="48"/>
      <c r="O1318" s="48"/>
      <c r="P1318" s="48"/>
      <c r="Q1318" s="48"/>
      <c r="R1318" s="48"/>
      <c r="S1318" s="48"/>
      <c r="T1318" s="48"/>
      <c r="U1318" s="48"/>
      <c r="V1318" s="48"/>
      <c r="W1318" s="49"/>
      <c r="X1318" s="49"/>
      <c r="Y1318" s="49"/>
      <c r="Z1318" s="49"/>
      <c r="AA1318" s="49"/>
      <c r="AB1318" s="49"/>
      <c r="AC1318" s="49"/>
      <c r="AD1318" s="49"/>
      <c r="AE1318" s="49"/>
      <c r="AF1318" s="49"/>
      <c r="AG1318" s="49"/>
      <c r="AH1318" s="49"/>
      <c r="AI1318" s="48"/>
      <c r="AJ1318" s="48"/>
      <c r="AK1318" s="24"/>
      <c r="AL1318" s="50"/>
      <c r="AM1318" s="50"/>
      <c r="AN1318" s="50"/>
      <c r="AO1318" s="50"/>
      <c r="AP1318" s="50"/>
      <c r="AQ1318" s="50"/>
      <c r="AR1318" s="50"/>
      <c r="AS1318" s="50"/>
      <c r="AT1318" s="51"/>
      <c r="AU1318" s="51"/>
      <c r="AV1318" s="51"/>
      <c r="AW1318" s="51"/>
      <c r="AX1318" s="50"/>
      <c r="AY1318" s="50"/>
      <c r="AZ1318" s="50"/>
      <c r="BA1318" s="50"/>
      <c r="BB1318" s="51"/>
      <c r="BC1318" s="51"/>
      <c r="BD1318" s="51"/>
      <c r="BE1318" s="51"/>
      <c r="BF1318" s="47"/>
      <c r="BG1318" s="47"/>
      <c r="BH1318" s="47"/>
      <c r="BI1318" s="47"/>
      <c r="BJ1318" s="47"/>
      <c r="BK1318" s="47"/>
      <c r="BL1318" s="47"/>
      <c r="BM1318" s="47"/>
      <c r="BN1318" s="47"/>
      <c r="BO1318" s="47"/>
      <c r="BP1318" s="47"/>
      <c r="BQ1318" s="47"/>
      <c r="BR1318" s="47"/>
      <c r="BS1318" s="47"/>
      <c r="BT1318" s="47"/>
    </row>
    <row r="1319">
      <c r="A1319" s="24"/>
      <c r="B1319" s="48"/>
      <c r="C1319" s="49"/>
      <c r="D1319" s="24"/>
      <c r="E1319" s="52"/>
      <c r="F1319" s="53"/>
      <c r="G1319" s="48"/>
      <c r="H1319" s="49"/>
      <c r="I1319" s="49"/>
      <c r="J1319" s="48"/>
      <c r="K1319" s="48"/>
      <c r="L1319" s="48"/>
      <c r="M1319" s="48"/>
      <c r="N1319" s="48"/>
      <c r="O1319" s="48"/>
      <c r="P1319" s="48"/>
      <c r="Q1319" s="48"/>
      <c r="R1319" s="48"/>
      <c r="S1319" s="48"/>
      <c r="T1319" s="48"/>
      <c r="U1319" s="48"/>
      <c r="V1319" s="48"/>
      <c r="W1319" s="49"/>
      <c r="X1319" s="49"/>
      <c r="Y1319" s="49"/>
      <c r="Z1319" s="49"/>
      <c r="AA1319" s="49"/>
      <c r="AB1319" s="49"/>
      <c r="AC1319" s="49"/>
      <c r="AD1319" s="49"/>
      <c r="AE1319" s="49"/>
      <c r="AF1319" s="49"/>
      <c r="AG1319" s="49"/>
      <c r="AH1319" s="49"/>
      <c r="AI1319" s="48"/>
      <c r="AJ1319" s="48"/>
      <c r="AK1319" s="24"/>
      <c r="AL1319" s="50"/>
      <c r="AM1319" s="50"/>
      <c r="AN1319" s="50"/>
      <c r="AO1319" s="50"/>
      <c r="AP1319" s="50"/>
      <c r="AQ1319" s="50"/>
      <c r="AR1319" s="50"/>
      <c r="AS1319" s="50"/>
      <c r="AT1319" s="51"/>
      <c r="AU1319" s="51"/>
      <c r="AV1319" s="51"/>
      <c r="AW1319" s="51"/>
      <c r="AX1319" s="50"/>
      <c r="AY1319" s="50"/>
      <c r="AZ1319" s="50"/>
      <c r="BA1319" s="50"/>
      <c r="BB1319" s="51"/>
      <c r="BC1319" s="51"/>
      <c r="BD1319" s="51"/>
      <c r="BE1319" s="51"/>
      <c r="BF1319" s="47"/>
      <c r="BG1319" s="47"/>
      <c r="BH1319" s="47"/>
      <c r="BI1319" s="47"/>
      <c r="BJ1319" s="47"/>
      <c r="BK1319" s="47"/>
      <c r="BL1319" s="47"/>
      <c r="BM1319" s="47"/>
      <c r="BN1319" s="47"/>
      <c r="BO1319" s="47"/>
      <c r="BP1319" s="47"/>
      <c r="BQ1319" s="47"/>
      <c r="BR1319" s="47"/>
      <c r="BS1319" s="47"/>
      <c r="BT1319" s="47"/>
    </row>
    <row r="1320">
      <c r="A1320" s="24"/>
      <c r="B1320" s="48"/>
      <c r="C1320" s="49"/>
      <c r="D1320" s="24"/>
      <c r="E1320" s="52"/>
      <c r="F1320" s="53"/>
      <c r="G1320" s="48"/>
      <c r="H1320" s="49"/>
      <c r="I1320" s="49"/>
      <c r="J1320" s="48"/>
      <c r="K1320" s="48"/>
      <c r="L1320" s="48"/>
      <c r="M1320" s="48"/>
      <c r="N1320" s="48"/>
      <c r="O1320" s="48"/>
      <c r="P1320" s="48"/>
      <c r="Q1320" s="48"/>
      <c r="R1320" s="48"/>
      <c r="S1320" s="48"/>
      <c r="T1320" s="48"/>
      <c r="U1320" s="48"/>
      <c r="V1320" s="48"/>
      <c r="W1320" s="49"/>
      <c r="X1320" s="49"/>
      <c r="Y1320" s="49"/>
      <c r="Z1320" s="49"/>
      <c r="AA1320" s="49"/>
      <c r="AB1320" s="49"/>
      <c r="AC1320" s="49"/>
      <c r="AD1320" s="49"/>
      <c r="AE1320" s="49"/>
      <c r="AF1320" s="49"/>
      <c r="AG1320" s="49"/>
      <c r="AH1320" s="49"/>
      <c r="AI1320" s="48"/>
      <c r="AJ1320" s="48"/>
      <c r="AK1320" s="24"/>
      <c r="AL1320" s="50"/>
      <c r="AM1320" s="50"/>
      <c r="AN1320" s="50"/>
      <c r="AO1320" s="50"/>
      <c r="AP1320" s="50"/>
      <c r="AQ1320" s="50"/>
      <c r="AR1320" s="50"/>
      <c r="AS1320" s="50"/>
      <c r="AT1320" s="51"/>
      <c r="AU1320" s="51"/>
      <c r="AV1320" s="51"/>
      <c r="AW1320" s="51"/>
      <c r="AX1320" s="50"/>
      <c r="AY1320" s="50"/>
      <c r="AZ1320" s="50"/>
      <c r="BA1320" s="50"/>
      <c r="BB1320" s="51"/>
      <c r="BC1320" s="51"/>
      <c r="BD1320" s="51"/>
      <c r="BE1320" s="51"/>
      <c r="BF1320" s="47"/>
      <c r="BG1320" s="47"/>
      <c r="BH1320" s="47"/>
      <c r="BI1320" s="47"/>
      <c r="BJ1320" s="47"/>
      <c r="BK1320" s="47"/>
      <c r="BL1320" s="47"/>
      <c r="BM1320" s="47"/>
      <c r="BN1320" s="47"/>
      <c r="BO1320" s="47"/>
      <c r="BP1320" s="47"/>
      <c r="BQ1320" s="47"/>
      <c r="BR1320" s="47"/>
      <c r="BS1320" s="47"/>
      <c r="BT1320" s="47"/>
    </row>
    <row r="1321">
      <c r="A1321" s="24"/>
      <c r="B1321" s="48"/>
      <c r="C1321" s="49"/>
      <c r="D1321" s="24"/>
      <c r="E1321" s="52"/>
      <c r="F1321" s="53"/>
      <c r="G1321" s="48"/>
      <c r="H1321" s="49"/>
      <c r="I1321" s="49"/>
      <c r="J1321" s="48"/>
      <c r="K1321" s="48"/>
      <c r="L1321" s="48"/>
      <c r="M1321" s="48"/>
      <c r="N1321" s="48"/>
      <c r="O1321" s="48"/>
      <c r="P1321" s="48"/>
      <c r="Q1321" s="48"/>
      <c r="R1321" s="48"/>
      <c r="S1321" s="48"/>
      <c r="T1321" s="48"/>
      <c r="U1321" s="48"/>
      <c r="V1321" s="48"/>
      <c r="W1321" s="49"/>
      <c r="X1321" s="49"/>
      <c r="Y1321" s="49"/>
      <c r="Z1321" s="49"/>
      <c r="AA1321" s="49"/>
      <c r="AB1321" s="49"/>
      <c r="AC1321" s="49"/>
      <c r="AD1321" s="49"/>
      <c r="AE1321" s="49"/>
      <c r="AF1321" s="49"/>
      <c r="AG1321" s="49"/>
      <c r="AH1321" s="49"/>
      <c r="AI1321" s="48"/>
      <c r="AJ1321" s="48"/>
      <c r="AK1321" s="24"/>
      <c r="AL1321" s="50"/>
      <c r="AM1321" s="50"/>
      <c r="AN1321" s="50"/>
      <c r="AO1321" s="50"/>
      <c r="AP1321" s="50"/>
      <c r="AQ1321" s="50"/>
      <c r="AR1321" s="50"/>
      <c r="AS1321" s="50"/>
      <c r="AT1321" s="51"/>
      <c r="AU1321" s="51"/>
      <c r="AV1321" s="51"/>
      <c r="AW1321" s="51"/>
      <c r="AX1321" s="50"/>
      <c r="AY1321" s="50"/>
      <c r="AZ1321" s="50"/>
      <c r="BA1321" s="50"/>
      <c r="BB1321" s="51"/>
      <c r="BC1321" s="51"/>
      <c r="BD1321" s="51"/>
      <c r="BE1321" s="51"/>
      <c r="BF1321" s="47"/>
      <c r="BG1321" s="47"/>
      <c r="BH1321" s="47"/>
      <c r="BI1321" s="47"/>
      <c r="BJ1321" s="47"/>
      <c r="BK1321" s="47"/>
      <c r="BL1321" s="47"/>
      <c r="BM1321" s="47"/>
      <c r="BN1321" s="47"/>
      <c r="BO1321" s="47"/>
      <c r="BP1321" s="47"/>
      <c r="BQ1321" s="47"/>
      <c r="BR1321" s="47"/>
      <c r="BS1321" s="47"/>
      <c r="BT1321" s="47"/>
    </row>
    <row r="1322">
      <c r="A1322" s="24"/>
      <c r="B1322" s="48"/>
      <c r="C1322" s="49"/>
      <c r="D1322" s="24"/>
      <c r="E1322" s="52"/>
      <c r="F1322" s="53"/>
      <c r="G1322" s="48"/>
      <c r="H1322" s="49"/>
      <c r="I1322" s="49"/>
      <c r="J1322" s="48"/>
      <c r="K1322" s="48"/>
      <c r="L1322" s="48"/>
      <c r="M1322" s="48"/>
      <c r="N1322" s="48"/>
      <c r="O1322" s="48"/>
      <c r="P1322" s="48"/>
      <c r="Q1322" s="48"/>
      <c r="R1322" s="48"/>
      <c r="S1322" s="48"/>
      <c r="T1322" s="48"/>
      <c r="U1322" s="48"/>
      <c r="V1322" s="48"/>
      <c r="W1322" s="49"/>
      <c r="X1322" s="49"/>
      <c r="Y1322" s="49"/>
      <c r="Z1322" s="49"/>
      <c r="AA1322" s="49"/>
      <c r="AB1322" s="49"/>
      <c r="AC1322" s="49"/>
      <c r="AD1322" s="49"/>
      <c r="AE1322" s="49"/>
      <c r="AF1322" s="49"/>
      <c r="AG1322" s="49"/>
      <c r="AH1322" s="49"/>
      <c r="AI1322" s="48"/>
      <c r="AJ1322" s="48"/>
      <c r="AK1322" s="24"/>
      <c r="AL1322" s="50"/>
      <c r="AM1322" s="50"/>
      <c r="AN1322" s="50"/>
      <c r="AO1322" s="50"/>
      <c r="AP1322" s="50"/>
      <c r="AQ1322" s="50"/>
      <c r="AR1322" s="50"/>
      <c r="AS1322" s="50"/>
      <c r="AT1322" s="51"/>
      <c r="AU1322" s="51"/>
      <c r="AV1322" s="51"/>
      <c r="AW1322" s="51"/>
      <c r="AX1322" s="50"/>
      <c r="AY1322" s="50"/>
      <c r="AZ1322" s="50"/>
      <c r="BA1322" s="50"/>
      <c r="BB1322" s="51"/>
      <c r="BC1322" s="51"/>
      <c r="BD1322" s="51"/>
      <c r="BE1322" s="51"/>
      <c r="BF1322" s="47"/>
      <c r="BG1322" s="47"/>
      <c r="BH1322" s="47"/>
      <c r="BI1322" s="47"/>
      <c r="BJ1322" s="47"/>
      <c r="BK1322" s="47"/>
      <c r="BL1322" s="47"/>
      <c r="BM1322" s="47"/>
      <c r="BN1322" s="47"/>
      <c r="BO1322" s="47"/>
      <c r="BP1322" s="47"/>
      <c r="BQ1322" s="47"/>
      <c r="BR1322" s="47"/>
      <c r="BS1322" s="47"/>
      <c r="BT1322" s="47"/>
    </row>
    <row r="1323">
      <c r="A1323" s="24"/>
      <c r="B1323" s="48"/>
      <c r="C1323" s="49"/>
      <c r="D1323" s="24"/>
      <c r="E1323" s="52"/>
      <c r="F1323" s="53"/>
      <c r="G1323" s="48"/>
      <c r="H1323" s="49"/>
      <c r="I1323" s="49"/>
      <c r="J1323" s="48"/>
      <c r="K1323" s="48"/>
      <c r="L1323" s="48"/>
      <c r="M1323" s="48"/>
      <c r="N1323" s="48"/>
      <c r="O1323" s="48"/>
      <c r="P1323" s="48"/>
      <c r="Q1323" s="48"/>
      <c r="R1323" s="48"/>
      <c r="S1323" s="48"/>
      <c r="T1323" s="48"/>
      <c r="U1323" s="48"/>
      <c r="V1323" s="48"/>
      <c r="W1323" s="49"/>
      <c r="X1323" s="49"/>
      <c r="Y1323" s="49"/>
      <c r="Z1323" s="49"/>
      <c r="AA1323" s="49"/>
      <c r="AB1323" s="49"/>
      <c r="AC1323" s="49"/>
      <c r="AD1323" s="49"/>
      <c r="AE1323" s="49"/>
      <c r="AF1323" s="49"/>
      <c r="AG1323" s="49"/>
      <c r="AH1323" s="49"/>
      <c r="AI1323" s="48"/>
      <c r="AJ1323" s="48"/>
      <c r="AK1323" s="24"/>
      <c r="AL1323" s="50"/>
      <c r="AM1323" s="50"/>
      <c r="AN1323" s="50"/>
      <c r="AO1323" s="50"/>
      <c r="AP1323" s="50"/>
      <c r="AQ1323" s="50"/>
      <c r="AR1323" s="50"/>
      <c r="AS1323" s="50"/>
      <c r="AT1323" s="51"/>
      <c r="AU1323" s="51"/>
      <c r="AV1323" s="51"/>
      <c r="AW1323" s="51"/>
      <c r="AX1323" s="50"/>
      <c r="AY1323" s="50"/>
      <c r="AZ1323" s="50"/>
      <c r="BA1323" s="50"/>
      <c r="BB1323" s="51"/>
      <c r="BC1323" s="51"/>
      <c r="BD1323" s="51"/>
      <c r="BE1323" s="51"/>
      <c r="BF1323" s="47"/>
      <c r="BG1323" s="47"/>
      <c r="BH1323" s="47"/>
      <c r="BI1323" s="47"/>
      <c r="BJ1323" s="47"/>
      <c r="BK1323" s="47"/>
      <c r="BL1323" s="47"/>
      <c r="BM1323" s="47"/>
      <c r="BN1323" s="47"/>
      <c r="BO1323" s="47"/>
      <c r="BP1323" s="47"/>
      <c r="BQ1323" s="47"/>
      <c r="BR1323" s="47"/>
      <c r="BS1323" s="47"/>
      <c r="BT1323" s="47"/>
    </row>
    <row r="1324">
      <c r="A1324" s="24"/>
      <c r="B1324" s="48"/>
      <c r="C1324" s="49"/>
      <c r="D1324" s="24"/>
      <c r="E1324" s="52"/>
      <c r="F1324" s="53"/>
      <c r="G1324" s="48"/>
      <c r="H1324" s="49"/>
      <c r="I1324" s="49"/>
      <c r="J1324" s="48"/>
      <c r="K1324" s="48"/>
      <c r="L1324" s="48"/>
      <c r="M1324" s="48"/>
      <c r="N1324" s="48"/>
      <c r="O1324" s="48"/>
      <c r="P1324" s="48"/>
      <c r="Q1324" s="48"/>
      <c r="R1324" s="48"/>
      <c r="S1324" s="48"/>
      <c r="T1324" s="48"/>
      <c r="U1324" s="48"/>
      <c r="V1324" s="48"/>
      <c r="W1324" s="49"/>
      <c r="X1324" s="49"/>
      <c r="Y1324" s="49"/>
      <c r="Z1324" s="49"/>
      <c r="AA1324" s="49"/>
      <c r="AB1324" s="49"/>
      <c r="AC1324" s="49"/>
      <c r="AD1324" s="49"/>
      <c r="AE1324" s="49"/>
      <c r="AF1324" s="49"/>
      <c r="AG1324" s="49"/>
      <c r="AH1324" s="49"/>
      <c r="AI1324" s="48"/>
      <c r="AJ1324" s="48"/>
      <c r="AK1324" s="24"/>
      <c r="AL1324" s="50"/>
      <c r="AM1324" s="50"/>
      <c r="AN1324" s="50"/>
      <c r="AO1324" s="50"/>
      <c r="AP1324" s="50"/>
      <c r="AQ1324" s="50"/>
      <c r="AR1324" s="50"/>
      <c r="AS1324" s="50"/>
      <c r="AT1324" s="51"/>
      <c r="AU1324" s="51"/>
      <c r="AV1324" s="51"/>
      <c r="AW1324" s="51"/>
      <c r="AX1324" s="50"/>
      <c r="AY1324" s="50"/>
      <c r="AZ1324" s="50"/>
      <c r="BA1324" s="50"/>
      <c r="BB1324" s="51"/>
      <c r="BC1324" s="51"/>
      <c r="BD1324" s="51"/>
      <c r="BE1324" s="51"/>
      <c r="BF1324" s="47"/>
      <c r="BG1324" s="47"/>
      <c r="BH1324" s="47"/>
      <c r="BI1324" s="47"/>
      <c r="BJ1324" s="47"/>
      <c r="BK1324" s="47"/>
      <c r="BL1324" s="47"/>
      <c r="BM1324" s="47"/>
      <c r="BN1324" s="47"/>
      <c r="BO1324" s="47"/>
      <c r="BP1324" s="47"/>
      <c r="BQ1324" s="47"/>
      <c r="BR1324" s="47"/>
      <c r="BS1324" s="47"/>
      <c r="BT1324" s="47"/>
    </row>
    <row r="1325">
      <c r="A1325" s="24"/>
      <c r="B1325" s="48"/>
      <c r="C1325" s="49"/>
      <c r="D1325" s="24"/>
      <c r="E1325" s="52"/>
      <c r="F1325" s="53"/>
      <c r="G1325" s="48"/>
      <c r="H1325" s="49"/>
      <c r="I1325" s="49"/>
      <c r="J1325" s="48"/>
      <c r="K1325" s="48"/>
      <c r="L1325" s="48"/>
      <c r="M1325" s="48"/>
      <c r="N1325" s="48"/>
      <c r="O1325" s="48"/>
      <c r="P1325" s="48"/>
      <c r="Q1325" s="48"/>
      <c r="R1325" s="48"/>
      <c r="S1325" s="48"/>
      <c r="T1325" s="48"/>
      <c r="U1325" s="48"/>
      <c r="V1325" s="48"/>
      <c r="W1325" s="49"/>
      <c r="X1325" s="49"/>
      <c r="Y1325" s="49"/>
      <c r="Z1325" s="49"/>
      <c r="AA1325" s="49"/>
      <c r="AB1325" s="49"/>
      <c r="AC1325" s="49"/>
      <c r="AD1325" s="49"/>
      <c r="AE1325" s="49"/>
      <c r="AF1325" s="49"/>
      <c r="AG1325" s="49"/>
      <c r="AH1325" s="49"/>
      <c r="AI1325" s="48"/>
      <c r="AJ1325" s="48"/>
      <c r="AK1325" s="24"/>
      <c r="AL1325" s="50"/>
      <c r="AM1325" s="50"/>
      <c r="AN1325" s="50"/>
      <c r="AO1325" s="50"/>
      <c r="AP1325" s="50"/>
      <c r="AQ1325" s="50"/>
      <c r="AR1325" s="50"/>
      <c r="AS1325" s="50"/>
      <c r="AT1325" s="51"/>
      <c r="AU1325" s="51"/>
      <c r="AV1325" s="51"/>
      <c r="AW1325" s="51"/>
      <c r="AX1325" s="50"/>
      <c r="AY1325" s="50"/>
      <c r="AZ1325" s="50"/>
      <c r="BA1325" s="50"/>
      <c r="BB1325" s="51"/>
      <c r="BC1325" s="51"/>
      <c r="BD1325" s="51"/>
      <c r="BE1325" s="51"/>
      <c r="BF1325" s="47"/>
      <c r="BG1325" s="47"/>
      <c r="BH1325" s="47"/>
      <c r="BI1325" s="47"/>
      <c r="BJ1325" s="47"/>
      <c r="BK1325" s="47"/>
      <c r="BL1325" s="47"/>
      <c r="BM1325" s="47"/>
      <c r="BN1325" s="47"/>
      <c r="BO1325" s="47"/>
      <c r="BP1325" s="47"/>
      <c r="BQ1325" s="47"/>
      <c r="BR1325" s="47"/>
      <c r="BS1325" s="47"/>
      <c r="BT1325" s="47"/>
    </row>
    <row r="1326">
      <c r="A1326" s="24"/>
      <c r="B1326" s="48"/>
      <c r="C1326" s="49"/>
      <c r="D1326" s="24"/>
      <c r="E1326" s="52"/>
      <c r="F1326" s="53"/>
      <c r="G1326" s="48"/>
      <c r="H1326" s="49"/>
      <c r="I1326" s="49"/>
      <c r="J1326" s="48"/>
      <c r="K1326" s="48"/>
      <c r="L1326" s="48"/>
      <c r="M1326" s="48"/>
      <c r="N1326" s="48"/>
      <c r="O1326" s="48"/>
      <c r="P1326" s="48"/>
      <c r="Q1326" s="48"/>
      <c r="R1326" s="48"/>
      <c r="S1326" s="48"/>
      <c r="T1326" s="48"/>
      <c r="U1326" s="48"/>
      <c r="V1326" s="48"/>
      <c r="W1326" s="49"/>
      <c r="X1326" s="49"/>
      <c r="Y1326" s="49"/>
      <c r="Z1326" s="49"/>
      <c r="AA1326" s="49"/>
      <c r="AB1326" s="49"/>
      <c r="AC1326" s="49"/>
      <c r="AD1326" s="49"/>
      <c r="AE1326" s="49"/>
      <c r="AF1326" s="49"/>
      <c r="AG1326" s="49"/>
      <c r="AH1326" s="49"/>
      <c r="AI1326" s="48"/>
      <c r="AJ1326" s="48"/>
      <c r="AK1326" s="24"/>
      <c r="AL1326" s="50"/>
      <c r="AM1326" s="50"/>
      <c r="AN1326" s="50"/>
      <c r="AO1326" s="50"/>
      <c r="AP1326" s="50"/>
      <c r="AQ1326" s="50"/>
      <c r="AR1326" s="50"/>
      <c r="AS1326" s="50"/>
      <c r="AT1326" s="51"/>
      <c r="AU1326" s="51"/>
      <c r="AV1326" s="51"/>
      <c r="AW1326" s="51"/>
      <c r="AX1326" s="50"/>
      <c r="AY1326" s="50"/>
      <c r="AZ1326" s="50"/>
      <c r="BA1326" s="50"/>
      <c r="BB1326" s="51"/>
      <c r="BC1326" s="51"/>
      <c r="BD1326" s="51"/>
      <c r="BE1326" s="51"/>
      <c r="BF1326" s="47"/>
      <c r="BG1326" s="47"/>
      <c r="BH1326" s="47"/>
      <c r="BI1326" s="47"/>
      <c r="BJ1326" s="47"/>
      <c r="BK1326" s="47"/>
      <c r="BL1326" s="47"/>
      <c r="BM1326" s="47"/>
      <c r="BN1326" s="47"/>
      <c r="BO1326" s="47"/>
      <c r="BP1326" s="47"/>
      <c r="BQ1326" s="47"/>
      <c r="BR1326" s="47"/>
      <c r="BS1326" s="47"/>
      <c r="BT1326" s="47"/>
    </row>
    <row r="1327">
      <c r="A1327" s="24"/>
      <c r="B1327" s="48"/>
      <c r="C1327" s="49"/>
      <c r="D1327" s="24"/>
      <c r="E1327" s="52"/>
      <c r="F1327" s="53"/>
      <c r="G1327" s="48"/>
      <c r="H1327" s="49"/>
      <c r="I1327" s="49"/>
      <c r="J1327" s="48"/>
      <c r="K1327" s="48"/>
      <c r="L1327" s="48"/>
      <c r="M1327" s="48"/>
      <c r="N1327" s="48"/>
      <c r="O1327" s="48"/>
      <c r="P1327" s="48"/>
      <c r="Q1327" s="48"/>
      <c r="R1327" s="48"/>
      <c r="S1327" s="48"/>
      <c r="T1327" s="48"/>
      <c r="U1327" s="48"/>
      <c r="V1327" s="48"/>
      <c r="W1327" s="49"/>
      <c r="X1327" s="49"/>
      <c r="Y1327" s="49"/>
      <c r="Z1327" s="49"/>
      <c r="AA1327" s="49"/>
      <c r="AB1327" s="49"/>
      <c r="AC1327" s="49"/>
      <c r="AD1327" s="49"/>
      <c r="AE1327" s="49"/>
      <c r="AF1327" s="49"/>
      <c r="AG1327" s="49"/>
      <c r="AH1327" s="49"/>
      <c r="AI1327" s="48"/>
      <c r="AJ1327" s="48"/>
      <c r="AK1327" s="24"/>
      <c r="AL1327" s="50"/>
      <c r="AM1327" s="50"/>
      <c r="AN1327" s="50"/>
      <c r="AO1327" s="50"/>
      <c r="AP1327" s="50"/>
      <c r="AQ1327" s="50"/>
      <c r="AR1327" s="50"/>
      <c r="AS1327" s="50"/>
      <c r="AT1327" s="51"/>
      <c r="AU1327" s="51"/>
      <c r="AV1327" s="51"/>
      <c r="AW1327" s="51"/>
      <c r="AX1327" s="50"/>
      <c r="AY1327" s="50"/>
      <c r="AZ1327" s="50"/>
      <c r="BA1327" s="50"/>
      <c r="BB1327" s="51"/>
      <c r="BC1327" s="51"/>
      <c r="BD1327" s="51"/>
      <c r="BE1327" s="51"/>
      <c r="BF1327" s="47"/>
      <c r="BG1327" s="47"/>
      <c r="BH1327" s="47"/>
      <c r="BI1327" s="47"/>
      <c r="BJ1327" s="47"/>
      <c r="BK1327" s="47"/>
      <c r="BL1327" s="47"/>
      <c r="BM1327" s="47"/>
      <c r="BN1327" s="47"/>
      <c r="BO1327" s="47"/>
      <c r="BP1327" s="47"/>
      <c r="BQ1327" s="47"/>
      <c r="BR1327" s="47"/>
      <c r="BS1327" s="47"/>
      <c r="BT1327" s="47"/>
    </row>
    <row r="1328">
      <c r="A1328" s="24"/>
      <c r="B1328" s="48"/>
      <c r="C1328" s="49"/>
      <c r="D1328" s="24"/>
      <c r="E1328" s="52"/>
      <c r="F1328" s="53"/>
      <c r="G1328" s="48"/>
      <c r="H1328" s="49"/>
      <c r="I1328" s="49"/>
      <c r="J1328" s="48"/>
      <c r="K1328" s="48"/>
      <c r="L1328" s="48"/>
      <c r="M1328" s="48"/>
      <c r="N1328" s="48"/>
      <c r="O1328" s="48"/>
      <c r="P1328" s="48"/>
      <c r="Q1328" s="48"/>
      <c r="R1328" s="48"/>
      <c r="S1328" s="48"/>
      <c r="T1328" s="48"/>
      <c r="U1328" s="48"/>
      <c r="V1328" s="48"/>
      <c r="W1328" s="49"/>
      <c r="X1328" s="49"/>
      <c r="Y1328" s="49"/>
      <c r="Z1328" s="49"/>
      <c r="AA1328" s="49"/>
      <c r="AB1328" s="49"/>
      <c r="AC1328" s="49"/>
      <c r="AD1328" s="49"/>
      <c r="AE1328" s="49"/>
      <c r="AF1328" s="49"/>
      <c r="AG1328" s="49"/>
      <c r="AH1328" s="49"/>
      <c r="AI1328" s="48"/>
      <c r="AJ1328" s="48"/>
      <c r="AK1328" s="24"/>
      <c r="AL1328" s="50"/>
      <c r="AM1328" s="50"/>
      <c r="AN1328" s="50"/>
      <c r="AO1328" s="50"/>
      <c r="AP1328" s="50"/>
      <c r="AQ1328" s="50"/>
      <c r="AR1328" s="50"/>
      <c r="AS1328" s="50"/>
      <c r="AT1328" s="51"/>
      <c r="AU1328" s="51"/>
      <c r="AV1328" s="51"/>
      <c r="AW1328" s="51"/>
      <c r="AX1328" s="50"/>
      <c r="AY1328" s="50"/>
      <c r="AZ1328" s="50"/>
      <c r="BA1328" s="50"/>
      <c r="BB1328" s="51"/>
      <c r="BC1328" s="51"/>
      <c r="BD1328" s="51"/>
      <c r="BE1328" s="51"/>
      <c r="BF1328" s="47"/>
      <c r="BG1328" s="47"/>
      <c r="BH1328" s="47"/>
      <c r="BI1328" s="47"/>
      <c r="BJ1328" s="47"/>
      <c r="BK1328" s="47"/>
      <c r="BL1328" s="47"/>
      <c r="BM1328" s="47"/>
      <c r="BN1328" s="47"/>
      <c r="BO1328" s="47"/>
      <c r="BP1328" s="47"/>
      <c r="BQ1328" s="47"/>
      <c r="BR1328" s="47"/>
      <c r="BS1328" s="47"/>
      <c r="BT1328" s="47"/>
    </row>
    <row r="1329">
      <c r="A1329" s="24"/>
      <c r="B1329" s="48"/>
      <c r="C1329" s="49"/>
      <c r="D1329" s="24"/>
      <c r="E1329" s="52"/>
      <c r="F1329" s="53"/>
      <c r="G1329" s="48"/>
      <c r="H1329" s="49"/>
      <c r="I1329" s="49"/>
      <c r="J1329" s="48"/>
      <c r="K1329" s="48"/>
      <c r="L1329" s="48"/>
      <c r="M1329" s="48"/>
      <c r="N1329" s="48"/>
      <c r="O1329" s="48"/>
      <c r="P1329" s="48"/>
      <c r="Q1329" s="48"/>
      <c r="R1329" s="48"/>
      <c r="S1329" s="48"/>
      <c r="T1329" s="48"/>
      <c r="U1329" s="48"/>
      <c r="V1329" s="48"/>
      <c r="W1329" s="49"/>
      <c r="X1329" s="49"/>
      <c r="Y1329" s="49"/>
      <c r="Z1329" s="49"/>
      <c r="AA1329" s="49"/>
      <c r="AB1329" s="49"/>
      <c r="AC1329" s="49"/>
      <c r="AD1329" s="49"/>
      <c r="AE1329" s="49"/>
      <c r="AF1329" s="49"/>
      <c r="AG1329" s="49"/>
      <c r="AH1329" s="49"/>
      <c r="AI1329" s="48"/>
      <c r="AJ1329" s="48"/>
      <c r="AK1329" s="24"/>
      <c r="AL1329" s="50"/>
      <c r="AM1329" s="50"/>
      <c r="AN1329" s="50"/>
      <c r="AO1329" s="50"/>
      <c r="AP1329" s="50"/>
      <c r="AQ1329" s="50"/>
      <c r="AR1329" s="50"/>
      <c r="AS1329" s="50"/>
      <c r="AT1329" s="51"/>
      <c r="AU1329" s="51"/>
      <c r="AV1329" s="51"/>
      <c r="AW1329" s="51"/>
      <c r="AX1329" s="50"/>
      <c r="AY1329" s="50"/>
      <c r="AZ1329" s="50"/>
      <c r="BA1329" s="50"/>
      <c r="BB1329" s="51"/>
      <c r="BC1329" s="51"/>
      <c r="BD1329" s="51"/>
      <c r="BE1329" s="51"/>
      <c r="BF1329" s="47"/>
      <c r="BG1329" s="47"/>
      <c r="BH1329" s="47"/>
      <c r="BI1329" s="47"/>
      <c r="BJ1329" s="47"/>
      <c r="BK1329" s="47"/>
      <c r="BL1329" s="47"/>
      <c r="BM1329" s="47"/>
      <c r="BN1329" s="47"/>
      <c r="BO1329" s="47"/>
      <c r="BP1329" s="47"/>
      <c r="BQ1329" s="47"/>
      <c r="BR1329" s="47"/>
      <c r="BS1329" s="47"/>
      <c r="BT1329" s="47"/>
    </row>
    <row r="1330">
      <c r="A1330" s="24"/>
      <c r="B1330" s="48"/>
      <c r="C1330" s="49"/>
      <c r="D1330" s="24"/>
      <c r="E1330" s="52"/>
      <c r="F1330" s="53"/>
      <c r="G1330" s="48"/>
      <c r="H1330" s="49"/>
      <c r="I1330" s="49"/>
      <c r="J1330" s="48"/>
      <c r="K1330" s="48"/>
      <c r="L1330" s="48"/>
      <c r="M1330" s="48"/>
      <c r="N1330" s="48"/>
      <c r="O1330" s="48"/>
      <c r="P1330" s="48"/>
      <c r="Q1330" s="48"/>
      <c r="R1330" s="48"/>
      <c r="S1330" s="48"/>
      <c r="T1330" s="48"/>
      <c r="U1330" s="48"/>
      <c r="V1330" s="48"/>
      <c r="W1330" s="49"/>
      <c r="X1330" s="49"/>
      <c r="Y1330" s="49"/>
      <c r="Z1330" s="49"/>
      <c r="AA1330" s="49"/>
      <c r="AB1330" s="49"/>
      <c r="AC1330" s="49"/>
      <c r="AD1330" s="49"/>
      <c r="AE1330" s="49"/>
      <c r="AF1330" s="49"/>
      <c r="AG1330" s="49"/>
      <c r="AH1330" s="49"/>
      <c r="AI1330" s="48"/>
      <c r="AJ1330" s="48"/>
      <c r="AK1330" s="24"/>
      <c r="AL1330" s="50"/>
      <c r="AM1330" s="50"/>
      <c r="AN1330" s="50"/>
      <c r="AO1330" s="50"/>
      <c r="AP1330" s="50"/>
      <c r="AQ1330" s="50"/>
      <c r="AR1330" s="50"/>
      <c r="AS1330" s="50"/>
      <c r="AT1330" s="51"/>
      <c r="AU1330" s="51"/>
      <c r="AV1330" s="51"/>
      <c r="AW1330" s="51"/>
      <c r="AX1330" s="50"/>
      <c r="AY1330" s="50"/>
      <c r="AZ1330" s="50"/>
      <c r="BA1330" s="50"/>
      <c r="BB1330" s="51"/>
      <c r="BC1330" s="51"/>
      <c r="BD1330" s="51"/>
      <c r="BE1330" s="51"/>
      <c r="BF1330" s="47"/>
      <c r="BG1330" s="47"/>
      <c r="BH1330" s="47"/>
      <c r="BI1330" s="47"/>
      <c r="BJ1330" s="47"/>
      <c r="BK1330" s="47"/>
      <c r="BL1330" s="47"/>
      <c r="BM1330" s="47"/>
      <c r="BN1330" s="47"/>
      <c r="BO1330" s="47"/>
      <c r="BP1330" s="47"/>
      <c r="BQ1330" s="47"/>
      <c r="BR1330" s="47"/>
      <c r="BS1330" s="47"/>
      <c r="BT1330" s="47"/>
    </row>
    <row r="1331">
      <c r="A1331" s="24"/>
      <c r="B1331" s="48"/>
      <c r="C1331" s="49"/>
      <c r="D1331" s="24"/>
      <c r="E1331" s="52"/>
      <c r="F1331" s="53"/>
      <c r="G1331" s="48"/>
      <c r="H1331" s="49"/>
      <c r="I1331" s="49"/>
      <c r="J1331" s="48"/>
      <c r="K1331" s="48"/>
      <c r="L1331" s="48"/>
      <c r="M1331" s="48"/>
      <c r="N1331" s="48"/>
      <c r="O1331" s="48"/>
      <c r="P1331" s="48"/>
      <c r="Q1331" s="48"/>
      <c r="R1331" s="48"/>
      <c r="S1331" s="48"/>
      <c r="T1331" s="48"/>
      <c r="U1331" s="48"/>
      <c r="V1331" s="48"/>
      <c r="W1331" s="49"/>
      <c r="X1331" s="49"/>
      <c r="Y1331" s="49"/>
      <c r="Z1331" s="49"/>
      <c r="AA1331" s="49"/>
      <c r="AB1331" s="49"/>
      <c r="AC1331" s="49"/>
      <c r="AD1331" s="49"/>
      <c r="AE1331" s="49"/>
      <c r="AF1331" s="49"/>
      <c r="AG1331" s="49"/>
      <c r="AH1331" s="49"/>
      <c r="AI1331" s="48"/>
      <c r="AJ1331" s="48"/>
      <c r="AK1331" s="24"/>
      <c r="AL1331" s="50"/>
      <c r="AM1331" s="50"/>
      <c r="AN1331" s="50"/>
      <c r="AO1331" s="50"/>
      <c r="AP1331" s="50"/>
      <c r="AQ1331" s="50"/>
      <c r="AR1331" s="50"/>
      <c r="AS1331" s="50"/>
      <c r="AT1331" s="51"/>
      <c r="AU1331" s="51"/>
      <c r="AV1331" s="51"/>
      <c r="AW1331" s="51"/>
      <c r="AX1331" s="50"/>
      <c r="AY1331" s="50"/>
      <c r="AZ1331" s="50"/>
      <c r="BA1331" s="50"/>
      <c r="BB1331" s="51"/>
      <c r="BC1331" s="51"/>
      <c r="BD1331" s="51"/>
      <c r="BE1331" s="51"/>
      <c r="BF1331" s="47"/>
      <c r="BG1331" s="47"/>
      <c r="BH1331" s="47"/>
      <c r="BI1331" s="47"/>
      <c r="BJ1331" s="47"/>
      <c r="BK1331" s="47"/>
      <c r="BL1331" s="47"/>
      <c r="BM1331" s="47"/>
      <c r="BN1331" s="47"/>
      <c r="BO1331" s="47"/>
      <c r="BP1331" s="47"/>
      <c r="BQ1331" s="47"/>
      <c r="BR1331" s="47"/>
      <c r="BS1331" s="47"/>
      <c r="BT1331" s="47"/>
    </row>
    <row r="1332">
      <c r="A1332" s="24"/>
      <c r="B1332" s="48"/>
      <c r="C1332" s="49"/>
      <c r="D1332" s="24"/>
      <c r="E1332" s="52"/>
      <c r="F1332" s="53"/>
      <c r="G1332" s="48"/>
      <c r="H1332" s="49"/>
      <c r="I1332" s="49"/>
      <c r="J1332" s="48"/>
      <c r="K1332" s="48"/>
      <c r="L1332" s="48"/>
      <c r="M1332" s="48"/>
      <c r="N1332" s="48"/>
      <c r="O1332" s="48"/>
      <c r="P1332" s="48"/>
      <c r="Q1332" s="48"/>
      <c r="R1332" s="48"/>
      <c r="S1332" s="48"/>
      <c r="T1332" s="48"/>
      <c r="U1332" s="48"/>
      <c r="V1332" s="48"/>
      <c r="W1332" s="49"/>
      <c r="X1332" s="49"/>
      <c r="Y1332" s="49"/>
      <c r="Z1332" s="49"/>
      <c r="AA1332" s="49"/>
      <c r="AB1332" s="49"/>
      <c r="AC1332" s="49"/>
      <c r="AD1332" s="49"/>
      <c r="AE1332" s="49"/>
      <c r="AF1332" s="49"/>
      <c r="AG1332" s="49"/>
      <c r="AH1332" s="49"/>
      <c r="AI1332" s="48"/>
      <c r="AJ1332" s="48"/>
      <c r="AK1332" s="24"/>
      <c r="AL1332" s="50"/>
      <c r="AM1332" s="50"/>
      <c r="AN1332" s="50"/>
      <c r="AO1332" s="50"/>
      <c r="AP1332" s="50"/>
      <c r="AQ1332" s="50"/>
      <c r="AR1332" s="50"/>
      <c r="AS1332" s="50"/>
      <c r="AT1332" s="51"/>
      <c r="AU1332" s="51"/>
      <c r="AV1332" s="51"/>
      <c r="AW1332" s="51"/>
      <c r="AX1332" s="50"/>
      <c r="AY1332" s="50"/>
      <c r="AZ1332" s="50"/>
      <c r="BA1332" s="50"/>
      <c r="BB1332" s="51"/>
      <c r="BC1332" s="51"/>
      <c r="BD1332" s="51"/>
      <c r="BE1332" s="51"/>
      <c r="BF1332" s="47"/>
      <c r="BG1332" s="47"/>
      <c r="BH1332" s="47"/>
      <c r="BI1332" s="47"/>
      <c r="BJ1332" s="47"/>
      <c r="BK1332" s="47"/>
      <c r="BL1332" s="47"/>
      <c r="BM1332" s="47"/>
      <c r="BN1332" s="47"/>
      <c r="BO1332" s="47"/>
      <c r="BP1332" s="47"/>
      <c r="BQ1332" s="47"/>
      <c r="BR1332" s="47"/>
      <c r="BS1332" s="47"/>
      <c r="BT1332" s="47"/>
    </row>
    <row r="1333">
      <c r="A1333" s="24"/>
      <c r="B1333" s="48"/>
      <c r="C1333" s="49"/>
      <c r="D1333" s="24"/>
      <c r="E1333" s="52"/>
      <c r="F1333" s="53"/>
      <c r="G1333" s="48"/>
      <c r="H1333" s="49"/>
      <c r="I1333" s="49"/>
      <c r="J1333" s="48"/>
      <c r="K1333" s="48"/>
      <c r="L1333" s="48"/>
      <c r="M1333" s="48"/>
      <c r="N1333" s="48"/>
      <c r="O1333" s="48"/>
      <c r="P1333" s="48"/>
      <c r="Q1333" s="48"/>
      <c r="R1333" s="48"/>
      <c r="S1333" s="48"/>
      <c r="T1333" s="48"/>
      <c r="U1333" s="48"/>
      <c r="V1333" s="48"/>
      <c r="W1333" s="49"/>
      <c r="X1333" s="49"/>
      <c r="Y1333" s="49"/>
      <c r="Z1333" s="49"/>
      <c r="AA1333" s="49"/>
      <c r="AB1333" s="49"/>
      <c r="AC1333" s="49"/>
      <c r="AD1333" s="49"/>
      <c r="AE1333" s="49"/>
      <c r="AF1333" s="49"/>
      <c r="AG1333" s="49"/>
      <c r="AH1333" s="49"/>
      <c r="AI1333" s="48"/>
      <c r="AJ1333" s="48"/>
      <c r="AK1333" s="24"/>
      <c r="AL1333" s="50"/>
      <c r="AM1333" s="50"/>
      <c r="AN1333" s="50"/>
      <c r="AO1333" s="50"/>
      <c r="AP1333" s="50"/>
      <c r="AQ1333" s="50"/>
      <c r="AR1333" s="50"/>
      <c r="AS1333" s="50"/>
      <c r="AT1333" s="51"/>
      <c r="AU1333" s="51"/>
      <c r="AV1333" s="51"/>
      <c r="AW1333" s="51"/>
      <c r="AX1333" s="50"/>
      <c r="AY1333" s="50"/>
      <c r="AZ1333" s="50"/>
      <c r="BA1333" s="50"/>
      <c r="BB1333" s="51"/>
      <c r="BC1333" s="51"/>
      <c r="BD1333" s="51"/>
      <c r="BE1333" s="51"/>
      <c r="BF1333" s="47"/>
      <c r="BG1333" s="47"/>
      <c r="BH1333" s="47"/>
      <c r="BI1333" s="47"/>
      <c r="BJ1333" s="47"/>
      <c r="BK1333" s="47"/>
      <c r="BL1333" s="47"/>
      <c r="BM1333" s="47"/>
      <c r="BN1333" s="47"/>
      <c r="BO1333" s="47"/>
      <c r="BP1333" s="47"/>
      <c r="BQ1333" s="47"/>
      <c r="BR1333" s="47"/>
      <c r="BS1333" s="47"/>
      <c r="BT1333" s="47"/>
    </row>
    <row r="1334">
      <c r="A1334" s="24"/>
      <c r="B1334" s="48"/>
      <c r="C1334" s="49"/>
      <c r="D1334" s="24"/>
      <c r="E1334" s="52"/>
      <c r="F1334" s="53"/>
      <c r="G1334" s="48"/>
      <c r="H1334" s="49"/>
      <c r="I1334" s="49"/>
      <c r="J1334" s="48"/>
      <c r="K1334" s="48"/>
      <c r="L1334" s="48"/>
      <c r="M1334" s="48"/>
      <c r="N1334" s="48"/>
      <c r="O1334" s="48"/>
      <c r="P1334" s="48"/>
      <c r="Q1334" s="48"/>
      <c r="R1334" s="48"/>
      <c r="S1334" s="48"/>
      <c r="T1334" s="48"/>
      <c r="U1334" s="48"/>
      <c r="V1334" s="48"/>
      <c r="W1334" s="49"/>
      <c r="X1334" s="49"/>
      <c r="Y1334" s="49"/>
      <c r="Z1334" s="49"/>
      <c r="AA1334" s="49"/>
      <c r="AB1334" s="49"/>
      <c r="AC1334" s="49"/>
      <c r="AD1334" s="49"/>
      <c r="AE1334" s="49"/>
      <c r="AF1334" s="49"/>
      <c r="AG1334" s="49"/>
      <c r="AH1334" s="49"/>
      <c r="AI1334" s="48"/>
      <c r="AJ1334" s="48"/>
      <c r="AK1334" s="24"/>
      <c r="AL1334" s="50"/>
      <c r="AM1334" s="50"/>
      <c r="AN1334" s="50"/>
      <c r="AO1334" s="50"/>
      <c r="AP1334" s="50"/>
      <c r="AQ1334" s="50"/>
      <c r="AR1334" s="50"/>
      <c r="AS1334" s="50"/>
      <c r="AT1334" s="51"/>
      <c r="AU1334" s="51"/>
      <c r="AV1334" s="51"/>
      <c r="AW1334" s="51"/>
      <c r="AX1334" s="50"/>
      <c r="AY1334" s="50"/>
      <c r="AZ1334" s="50"/>
      <c r="BA1334" s="50"/>
      <c r="BB1334" s="51"/>
      <c r="BC1334" s="51"/>
      <c r="BD1334" s="51"/>
      <c r="BE1334" s="51"/>
      <c r="BF1334" s="47"/>
      <c r="BG1334" s="47"/>
      <c r="BH1334" s="47"/>
      <c r="BI1334" s="47"/>
      <c r="BJ1334" s="47"/>
      <c r="BK1334" s="47"/>
      <c r="BL1334" s="47"/>
      <c r="BM1334" s="47"/>
      <c r="BN1334" s="47"/>
      <c r="BO1334" s="47"/>
      <c r="BP1334" s="47"/>
      <c r="BQ1334" s="47"/>
      <c r="BR1334" s="47"/>
      <c r="BS1334" s="47"/>
      <c r="BT1334" s="47"/>
    </row>
    <row r="1335">
      <c r="A1335" s="24"/>
      <c r="B1335" s="48"/>
      <c r="C1335" s="49"/>
      <c r="D1335" s="24"/>
      <c r="E1335" s="52"/>
      <c r="F1335" s="53"/>
      <c r="G1335" s="48"/>
      <c r="H1335" s="49"/>
      <c r="I1335" s="49"/>
      <c r="J1335" s="48"/>
      <c r="K1335" s="48"/>
      <c r="L1335" s="48"/>
      <c r="M1335" s="48"/>
      <c r="N1335" s="48"/>
      <c r="O1335" s="48"/>
      <c r="P1335" s="48"/>
      <c r="Q1335" s="48"/>
      <c r="R1335" s="48"/>
      <c r="S1335" s="48"/>
      <c r="T1335" s="48"/>
      <c r="U1335" s="48"/>
      <c r="V1335" s="48"/>
      <c r="W1335" s="49"/>
      <c r="X1335" s="49"/>
      <c r="Y1335" s="49"/>
      <c r="Z1335" s="49"/>
      <c r="AA1335" s="49"/>
      <c r="AB1335" s="49"/>
      <c r="AC1335" s="49"/>
      <c r="AD1335" s="49"/>
      <c r="AE1335" s="49"/>
      <c r="AF1335" s="49"/>
      <c r="AG1335" s="49"/>
      <c r="AH1335" s="49"/>
      <c r="AI1335" s="48"/>
      <c r="AJ1335" s="48"/>
      <c r="AK1335" s="24"/>
      <c r="AL1335" s="50"/>
      <c r="AM1335" s="50"/>
      <c r="AN1335" s="50"/>
      <c r="AO1335" s="50"/>
      <c r="AP1335" s="50"/>
      <c r="AQ1335" s="50"/>
      <c r="AR1335" s="50"/>
      <c r="AS1335" s="50"/>
      <c r="AT1335" s="51"/>
      <c r="AU1335" s="51"/>
      <c r="AV1335" s="51"/>
      <c r="AW1335" s="51"/>
      <c r="AX1335" s="50"/>
      <c r="AY1335" s="50"/>
      <c r="AZ1335" s="50"/>
      <c r="BA1335" s="50"/>
      <c r="BB1335" s="51"/>
      <c r="BC1335" s="51"/>
      <c r="BD1335" s="51"/>
      <c r="BE1335" s="51"/>
      <c r="BF1335" s="47"/>
      <c r="BG1335" s="47"/>
      <c r="BH1335" s="47"/>
      <c r="BI1335" s="47"/>
      <c r="BJ1335" s="47"/>
      <c r="BK1335" s="47"/>
      <c r="BL1335" s="47"/>
      <c r="BM1335" s="47"/>
      <c r="BN1335" s="47"/>
      <c r="BO1335" s="47"/>
      <c r="BP1335" s="47"/>
      <c r="BQ1335" s="47"/>
      <c r="BR1335" s="47"/>
      <c r="BS1335" s="47"/>
      <c r="BT1335" s="47"/>
    </row>
    <row r="1336">
      <c r="A1336" s="24"/>
      <c r="B1336" s="48"/>
      <c r="C1336" s="49"/>
      <c r="D1336" s="24"/>
      <c r="E1336" s="52"/>
      <c r="F1336" s="53"/>
      <c r="G1336" s="48"/>
      <c r="H1336" s="49"/>
      <c r="I1336" s="49"/>
      <c r="J1336" s="48"/>
      <c r="K1336" s="48"/>
      <c r="L1336" s="48"/>
      <c r="M1336" s="48"/>
      <c r="N1336" s="48"/>
      <c r="O1336" s="48"/>
      <c r="P1336" s="48"/>
      <c r="Q1336" s="48"/>
      <c r="R1336" s="48"/>
      <c r="S1336" s="48"/>
      <c r="T1336" s="48"/>
      <c r="U1336" s="48"/>
      <c r="V1336" s="48"/>
      <c r="W1336" s="49"/>
      <c r="X1336" s="49"/>
      <c r="Y1336" s="49"/>
      <c r="Z1336" s="49"/>
      <c r="AA1336" s="49"/>
      <c r="AB1336" s="49"/>
      <c r="AC1336" s="49"/>
      <c r="AD1336" s="49"/>
      <c r="AE1336" s="49"/>
      <c r="AF1336" s="49"/>
      <c r="AG1336" s="49"/>
      <c r="AH1336" s="49"/>
      <c r="AI1336" s="48"/>
      <c r="AJ1336" s="48"/>
      <c r="AK1336" s="24"/>
      <c r="AL1336" s="50"/>
      <c r="AM1336" s="50"/>
      <c r="AN1336" s="50"/>
      <c r="AO1336" s="50"/>
      <c r="AP1336" s="50"/>
      <c r="AQ1336" s="50"/>
      <c r="AR1336" s="50"/>
      <c r="AS1336" s="50"/>
      <c r="AT1336" s="51"/>
      <c r="AU1336" s="51"/>
      <c r="AV1336" s="51"/>
      <c r="AW1336" s="51"/>
      <c r="AX1336" s="50"/>
      <c r="AY1336" s="50"/>
      <c r="AZ1336" s="50"/>
      <c r="BA1336" s="50"/>
      <c r="BB1336" s="51"/>
      <c r="BC1336" s="51"/>
      <c r="BD1336" s="51"/>
      <c r="BE1336" s="51"/>
      <c r="BF1336" s="47"/>
      <c r="BG1336" s="47"/>
      <c r="BH1336" s="47"/>
      <c r="BI1336" s="47"/>
      <c r="BJ1336" s="47"/>
      <c r="BK1336" s="47"/>
      <c r="BL1336" s="47"/>
      <c r="BM1336" s="47"/>
      <c r="BN1336" s="47"/>
      <c r="BO1336" s="47"/>
      <c r="BP1336" s="47"/>
      <c r="BQ1336" s="47"/>
      <c r="BR1336" s="47"/>
      <c r="BS1336" s="47"/>
      <c r="BT1336" s="47"/>
    </row>
    <row r="1337">
      <c r="A1337" s="24"/>
      <c r="B1337" s="48"/>
      <c r="C1337" s="49"/>
      <c r="D1337" s="24"/>
      <c r="E1337" s="52"/>
      <c r="F1337" s="53"/>
      <c r="G1337" s="48"/>
      <c r="H1337" s="49"/>
      <c r="I1337" s="49"/>
      <c r="J1337" s="48"/>
      <c r="K1337" s="48"/>
      <c r="L1337" s="48"/>
      <c r="M1337" s="48"/>
      <c r="N1337" s="48"/>
      <c r="O1337" s="48"/>
      <c r="P1337" s="48"/>
      <c r="Q1337" s="48"/>
      <c r="R1337" s="48"/>
      <c r="S1337" s="48"/>
      <c r="T1337" s="48"/>
      <c r="U1337" s="48"/>
      <c r="V1337" s="48"/>
      <c r="W1337" s="49"/>
      <c r="X1337" s="49"/>
      <c r="Y1337" s="49"/>
      <c r="Z1337" s="49"/>
      <c r="AA1337" s="49"/>
      <c r="AB1337" s="49"/>
      <c r="AC1337" s="49"/>
      <c r="AD1337" s="49"/>
      <c r="AE1337" s="49"/>
      <c r="AF1337" s="49"/>
      <c r="AG1337" s="49"/>
      <c r="AH1337" s="49"/>
      <c r="AI1337" s="48"/>
      <c r="AJ1337" s="48"/>
      <c r="AK1337" s="24"/>
      <c r="AL1337" s="50"/>
      <c r="AM1337" s="50"/>
      <c r="AN1337" s="50"/>
      <c r="AO1337" s="50"/>
      <c r="AP1337" s="50"/>
      <c r="AQ1337" s="50"/>
      <c r="AR1337" s="50"/>
      <c r="AS1337" s="50"/>
      <c r="AT1337" s="51"/>
      <c r="AU1337" s="51"/>
      <c r="AV1337" s="51"/>
      <c r="AW1337" s="51"/>
      <c r="AX1337" s="50"/>
      <c r="AY1337" s="50"/>
      <c r="AZ1337" s="50"/>
      <c r="BA1337" s="50"/>
      <c r="BB1337" s="51"/>
      <c r="BC1337" s="51"/>
      <c r="BD1337" s="51"/>
      <c r="BE1337" s="51"/>
      <c r="BF1337" s="47"/>
      <c r="BG1337" s="47"/>
      <c r="BH1337" s="47"/>
      <c r="BI1337" s="47"/>
      <c r="BJ1337" s="47"/>
      <c r="BK1337" s="47"/>
      <c r="BL1337" s="47"/>
      <c r="BM1337" s="47"/>
      <c r="BN1337" s="47"/>
      <c r="BO1337" s="47"/>
      <c r="BP1337" s="47"/>
      <c r="BQ1337" s="47"/>
      <c r="BR1337" s="47"/>
      <c r="BS1337" s="47"/>
      <c r="BT1337" s="47"/>
    </row>
    <row r="1338">
      <c r="A1338" s="24"/>
      <c r="B1338" s="48"/>
      <c r="C1338" s="49"/>
      <c r="D1338" s="24"/>
      <c r="E1338" s="52"/>
      <c r="F1338" s="53"/>
      <c r="G1338" s="48"/>
      <c r="H1338" s="49"/>
      <c r="I1338" s="49"/>
      <c r="J1338" s="48"/>
      <c r="K1338" s="48"/>
      <c r="L1338" s="48"/>
      <c r="M1338" s="48"/>
      <c r="N1338" s="48"/>
      <c r="O1338" s="48"/>
      <c r="P1338" s="48"/>
      <c r="Q1338" s="48"/>
      <c r="R1338" s="48"/>
      <c r="S1338" s="48"/>
      <c r="T1338" s="48"/>
      <c r="U1338" s="48"/>
      <c r="V1338" s="48"/>
      <c r="W1338" s="49"/>
      <c r="X1338" s="49"/>
      <c r="Y1338" s="49"/>
      <c r="Z1338" s="49"/>
      <c r="AA1338" s="49"/>
      <c r="AB1338" s="49"/>
      <c r="AC1338" s="49"/>
      <c r="AD1338" s="49"/>
      <c r="AE1338" s="49"/>
      <c r="AF1338" s="49"/>
      <c r="AG1338" s="49"/>
      <c r="AH1338" s="49"/>
      <c r="AI1338" s="48"/>
      <c r="AJ1338" s="48"/>
      <c r="AK1338" s="24"/>
      <c r="AL1338" s="50"/>
      <c r="AM1338" s="50"/>
      <c r="AN1338" s="50"/>
      <c r="AO1338" s="50"/>
      <c r="AP1338" s="50"/>
      <c r="AQ1338" s="50"/>
      <c r="AR1338" s="50"/>
      <c r="AS1338" s="50"/>
      <c r="AT1338" s="51"/>
      <c r="AU1338" s="51"/>
      <c r="AV1338" s="51"/>
      <c r="AW1338" s="51"/>
      <c r="AX1338" s="50"/>
      <c r="AY1338" s="50"/>
      <c r="AZ1338" s="50"/>
      <c r="BA1338" s="50"/>
      <c r="BB1338" s="51"/>
      <c r="BC1338" s="51"/>
      <c r="BD1338" s="51"/>
      <c r="BE1338" s="51"/>
      <c r="BF1338" s="47"/>
      <c r="BG1338" s="47"/>
      <c r="BH1338" s="47"/>
      <c r="BI1338" s="47"/>
      <c r="BJ1338" s="47"/>
      <c r="BK1338" s="47"/>
      <c r="BL1338" s="47"/>
      <c r="BM1338" s="47"/>
      <c r="BN1338" s="47"/>
      <c r="BO1338" s="47"/>
      <c r="BP1338" s="47"/>
      <c r="BQ1338" s="47"/>
      <c r="BR1338" s="47"/>
      <c r="BS1338" s="47"/>
      <c r="BT1338" s="47"/>
    </row>
    <row r="1339">
      <c r="A1339" s="24"/>
      <c r="B1339" s="48"/>
      <c r="C1339" s="49"/>
      <c r="D1339" s="24"/>
      <c r="E1339" s="52"/>
      <c r="F1339" s="53"/>
      <c r="G1339" s="48"/>
      <c r="H1339" s="49"/>
      <c r="I1339" s="49"/>
      <c r="J1339" s="48"/>
      <c r="K1339" s="48"/>
      <c r="L1339" s="48"/>
      <c r="M1339" s="48"/>
      <c r="N1339" s="48"/>
      <c r="O1339" s="48"/>
      <c r="P1339" s="48"/>
      <c r="Q1339" s="48"/>
      <c r="R1339" s="48"/>
      <c r="S1339" s="48"/>
      <c r="T1339" s="48"/>
      <c r="U1339" s="48"/>
      <c r="V1339" s="48"/>
      <c r="W1339" s="49"/>
      <c r="X1339" s="49"/>
      <c r="Y1339" s="49"/>
      <c r="Z1339" s="49"/>
      <c r="AA1339" s="49"/>
      <c r="AB1339" s="49"/>
      <c r="AC1339" s="49"/>
      <c r="AD1339" s="49"/>
      <c r="AE1339" s="49"/>
      <c r="AF1339" s="49"/>
      <c r="AG1339" s="49"/>
      <c r="AH1339" s="49"/>
      <c r="AI1339" s="48"/>
      <c r="AJ1339" s="48"/>
      <c r="AK1339" s="24"/>
      <c r="AL1339" s="50"/>
      <c r="AM1339" s="50"/>
      <c r="AN1339" s="50"/>
      <c r="AO1339" s="50"/>
      <c r="AP1339" s="50"/>
      <c r="AQ1339" s="50"/>
      <c r="AR1339" s="50"/>
      <c r="AS1339" s="50"/>
      <c r="AT1339" s="51"/>
      <c r="AU1339" s="51"/>
      <c r="AV1339" s="51"/>
      <c r="AW1339" s="51"/>
      <c r="AX1339" s="50"/>
      <c r="AY1339" s="50"/>
      <c r="AZ1339" s="50"/>
      <c r="BA1339" s="50"/>
      <c r="BB1339" s="51"/>
      <c r="BC1339" s="51"/>
      <c r="BD1339" s="51"/>
      <c r="BE1339" s="51"/>
      <c r="BF1339" s="47"/>
      <c r="BG1339" s="47"/>
      <c r="BH1339" s="47"/>
      <c r="BI1339" s="47"/>
      <c r="BJ1339" s="47"/>
      <c r="BK1339" s="47"/>
      <c r="BL1339" s="47"/>
      <c r="BM1339" s="47"/>
      <c r="BN1339" s="47"/>
      <c r="BO1339" s="47"/>
      <c r="BP1339" s="47"/>
      <c r="BQ1339" s="47"/>
      <c r="BR1339" s="47"/>
      <c r="BS1339" s="47"/>
      <c r="BT1339" s="47"/>
    </row>
    <row r="1340">
      <c r="A1340" s="24"/>
      <c r="B1340" s="48"/>
      <c r="C1340" s="49"/>
      <c r="D1340" s="24"/>
      <c r="E1340" s="52"/>
      <c r="F1340" s="53"/>
      <c r="G1340" s="48"/>
      <c r="H1340" s="49"/>
      <c r="I1340" s="49"/>
      <c r="J1340" s="48"/>
      <c r="K1340" s="48"/>
      <c r="L1340" s="48"/>
      <c r="M1340" s="48"/>
      <c r="N1340" s="48"/>
      <c r="O1340" s="48"/>
      <c r="P1340" s="48"/>
      <c r="Q1340" s="48"/>
      <c r="R1340" s="48"/>
      <c r="S1340" s="48"/>
      <c r="T1340" s="48"/>
      <c r="U1340" s="48"/>
      <c r="V1340" s="48"/>
      <c r="W1340" s="49"/>
      <c r="X1340" s="49"/>
      <c r="Y1340" s="49"/>
      <c r="Z1340" s="49"/>
      <c r="AA1340" s="49"/>
      <c r="AB1340" s="49"/>
      <c r="AC1340" s="49"/>
      <c r="AD1340" s="49"/>
      <c r="AE1340" s="49"/>
      <c r="AF1340" s="49"/>
      <c r="AG1340" s="49"/>
      <c r="AH1340" s="49"/>
      <c r="AI1340" s="48"/>
      <c r="AJ1340" s="48"/>
      <c r="AK1340" s="24"/>
      <c r="AL1340" s="50"/>
      <c r="AM1340" s="50"/>
      <c r="AN1340" s="50"/>
      <c r="AO1340" s="50"/>
      <c r="AP1340" s="50"/>
      <c r="AQ1340" s="50"/>
      <c r="AR1340" s="50"/>
      <c r="AS1340" s="50"/>
      <c r="AT1340" s="51"/>
      <c r="AU1340" s="51"/>
      <c r="AV1340" s="51"/>
      <c r="AW1340" s="51"/>
      <c r="AX1340" s="50"/>
      <c r="AY1340" s="50"/>
      <c r="AZ1340" s="50"/>
      <c r="BA1340" s="50"/>
      <c r="BB1340" s="51"/>
      <c r="BC1340" s="51"/>
      <c r="BD1340" s="51"/>
      <c r="BE1340" s="51"/>
      <c r="BF1340" s="47"/>
      <c r="BG1340" s="47"/>
      <c r="BH1340" s="47"/>
      <c r="BI1340" s="47"/>
      <c r="BJ1340" s="47"/>
      <c r="BK1340" s="47"/>
      <c r="BL1340" s="47"/>
      <c r="BM1340" s="47"/>
      <c r="BN1340" s="47"/>
      <c r="BO1340" s="47"/>
      <c r="BP1340" s="47"/>
      <c r="BQ1340" s="47"/>
      <c r="BR1340" s="47"/>
      <c r="BS1340" s="47"/>
      <c r="BT1340" s="47"/>
    </row>
    <row r="1341">
      <c r="A1341" s="24"/>
      <c r="B1341" s="48"/>
      <c r="C1341" s="49"/>
      <c r="D1341" s="24"/>
      <c r="E1341" s="52"/>
      <c r="F1341" s="53"/>
      <c r="G1341" s="48"/>
      <c r="H1341" s="49"/>
      <c r="I1341" s="49"/>
      <c r="J1341" s="48"/>
      <c r="K1341" s="48"/>
      <c r="L1341" s="48"/>
      <c r="M1341" s="48"/>
      <c r="N1341" s="48"/>
      <c r="O1341" s="48"/>
      <c r="P1341" s="48"/>
      <c r="Q1341" s="48"/>
      <c r="R1341" s="48"/>
      <c r="S1341" s="48"/>
      <c r="T1341" s="48"/>
      <c r="U1341" s="48"/>
      <c r="V1341" s="48"/>
      <c r="W1341" s="49"/>
      <c r="X1341" s="49"/>
      <c r="Y1341" s="49"/>
      <c r="Z1341" s="49"/>
      <c r="AA1341" s="49"/>
      <c r="AB1341" s="49"/>
      <c r="AC1341" s="49"/>
      <c r="AD1341" s="49"/>
      <c r="AE1341" s="49"/>
      <c r="AF1341" s="49"/>
      <c r="AG1341" s="49"/>
      <c r="AH1341" s="49"/>
      <c r="AI1341" s="48"/>
      <c r="AJ1341" s="48"/>
      <c r="AK1341" s="24"/>
      <c r="AL1341" s="50"/>
      <c r="AM1341" s="50"/>
      <c r="AN1341" s="50"/>
      <c r="AO1341" s="50"/>
      <c r="AP1341" s="50"/>
      <c r="AQ1341" s="50"/>
      <c r="AR1341" s="50"/>
      <c r="AS1341" s="50"/>
      <c r="AT1341" s="51"/>
      <c r="AU1341" s="51"/>
      <c r="AV1341" s="51"/>
      <c r="AW1341" s="51"/>
      <c r="AX1341" s="50"/>
      <c r="AY1341" s="50"/>
      <c r="AZ1341" s="50"/>
      <c r="BA1341" s="50"/>
      <c r="BB1341" s="51"/>
      <c r="BC1341" s="51"/>
      <c r="BD1341" s="51"/>
      <c r="BE1341" s="51"/>
      <c r="BF1341" s="47"/>
      <c r="BG1341" s="47"/>
      <c r="BH1341" s="47"/>
      <c r="BI1341" s="47"/>
      <c r="BJ1341" s="47"/>
      <c r="BK1341" s="47"/>
      <c r="BL1341" s="47"/>
      <c r="BM1341" s="47"/>
      <c r="BN1341" s="47"/>
      <c r="BO1341" s="47"/>
      <c r="BP1341" s="47"/>
      <c r="BQ1341" s="47"/>
      <c r="BR1341" s="47"/>
      <c r="BS1341" s="47"/>
      <c r="BT1341" s="47"/>
    </row>
    <row r="1342">
      <c r="A1342" s="24"/>
      <c r="B1342" s="48"/>
      <c r="C1342" s="49"/>
      <c r="D1342" s="24"/>
      <c r="E1342" s="52"/>
      <c r="F1342" s="53"/>
      <c r="G1342" s="48"/>
      <c r="H1342" s="49"/>
      <c r="I1342" s="49"/>
      <c r="J1342" s="48"/>
      <c r="K1342" s="48"/>
      <c r="L1342" s="48"/>
      <c r="M1342" s="48"/>
      <c r="N1342" s="48"/>
      <c r="O1342" s="48"/>
      <c r="P1342" s="48"/>
      <c r="Q1342" s="48"/>
      <c r="R1342" s="48"/>
      <c r="S1342" s="48"/>
      <c r="T1342" s="48"/>
      <c r="U1342" s="48"/>
      <c r="V1342" s="48"/>
      <c r="W1342" s="49"/>
      <c r="X1342" s="49"/>
      <c r="Y1342" s="49"/>
      <c r="Z1342" s="49"/>
      <c r="AA1342" s="49"/>
      <c r="AB1342" s="49"/>
      <c r="AC1342" s="49"/>
      <c r="AD1342" s="49"/>
      <c r="AE1342" s="49"/>
      <c r="AF1342" s="49"/>
      <c r="AG1342" s="49"/>
      <c r="AH1342" s="49"/>
      <c r="AI1342" s="48"/>
      <c r="AJ1342" s="48"/>
      <c r="AK1342" s="24"/>
      <c r="AL1342" s="50"/>
      <c r="AM1342" s="50"/>
      <c r="AN1342" s="50"/>
      <c r="AO1342" s="50"/>
      <c r="AP1342" s="50"/>
      <c r="AQ1342" s="50"/>
      <c r="AR1342" s="50"/>
      <c r="AS1342" s="50"/>
      <c r="AT1342" s="51"/>
      <c r="AU1342" s="51"/>
      <c r="AV1342" s="51"/>
      <c r="AW1342" s="51"/>
      <c r="AX1342" s="50"/>
      <c r="AY1342" s="50"/>
      <c r="AZ1342" s="50"/>
      <c r="BA1342" s="50"/>
      <c r="BB1342" s="51"/>
      <c r="BC1342" s="51"/>
      <c r="BD1342" s="51"/>
      <c r="BE1342" s="51"/>
      <c r="BF1342" s="47"/>
      <c r="BG1342" s="47"/>
      <c r="BH1342" s="47"/>
      <c r="BI1342" s="47"/>
      <c r="BJ1342" s="47"/>
      <c r="BK1342" s="47"/>
      <c r="BL1342" s="47"/>
      <c r="BM1342" s="47"/>
      <c r="BN1342" s="47"/>
      <c r="BO1342" s="47"/>
      <c r="BP1342" s="47"/>
      <c r="BQ1342" s="47"/>
      <c r="BR1342" s="47"/>
      <c r="BS1342" s="47"/>
      <c r="BT1342" s="47"/>
    </row>
    <row r="1343">
      <c r="A1343" s="24"/>
      <c r="B1343" s="48"/>
      <c r="C1343" s="49"/>
      <c r="D1343" s="24"/>
      <c r="E1343" s="52"/>
      <c r="F1343" s="53"/>
      <c r="G1343" s="48"/>
      <c r="H1343" s="49"/>
      <c r="I1343" s="49"/>
      <c r="J1343" s="48"/>
      <c r="K1343" s="48"/>
      <c r="L1343" s="48"/>
      <c r="M1343" s="48"/>
      <c r="N1343" s="48"/>
      <c r="O1343" s="48"/>
      <c r="P1343" s="48"/>
      <c r="Q1343" s="48"/>
      <c r="R1343" s="48"/>
      <c r="S1343" s="48"/>
      <c r="T1343" s="48"/>
      <c r="U1343" s="48"/>
      <c r="V1343" s="48"/>
      <c r="W1343" s="49"/>
      <c r="X1343" s="49"/>
      <c r="Y1343" s="49"/>
      <c r="Z1343" s="49"/>
      <c r="AA1343" s="49"/>
      <c r="AB1343" s="49"/>
      <c r="AC1343" s="49"/>
      <c r="AD1343" s="49"/>
      <c r="AE1343" s="49"/>
      <c r="AF1343" s="49"/>
      <c r="AG1343" s="49"/>
      <c r="AH1343" s="49"/>
      <c r="AI1343" s="48"/>
      <c r="AJ1343" s="48"/>
      <c r="AK1343" s="24"/>
      <c r="AL1343" s="50"/>
      <c r="AM1343" s="50"/>
      <c r="AN1343" s="50"/>
      <c r="AO1343" s="50"/>
      <c r="AP1343" s="50"/>
      <c r="AQ1343" s="50"/>
      <c r="AR1343" s="50"/>
      <c r="AS1343" s="50"/>
      <c r="AT1343" s="51"/>
      <c r="AU1343" s="51"/>
      <c r="AV1343" s="51"/>
      <c r="AW1343" s="51"/>
      <c r="AX1343" s="50"/>
      <c r="AY1343" s="50"/>
      <c r="AZ1343" s="50"/>
      <c r="BA1343" s="50"/>
      <c r="BB1343" s="51"/>
      <c r="BC1343" s="51"/>
      <c r="BD1343" s="51"/>
      <c r="BE1343" s="51"/>
      <c r="BF1343" s="47"/>
      <c r="BG1343" s="47"/>
      <c r="BH1343" s="47"/>
      <c r="BI1343" s="47"/>
      <c r="BJ1343" s="47"/>
      <c r="BK1343" s="47"/>
      <c r="BL1343" s="47"/>
      <c r="BM1343" s="47"/>
      <c r="BN1343" s="47"/>
      <c r="BO1343" s="47"/>
      <c r="BP1343" s="47"/>
      <c r="BQ1343" s="47"/>
      <c r="BR1343" s="47"/>
      <c r="BS1343" s="47"/>
      <c r="BT1343" s="47"/>
    </row>
    <row r="1344">
      <c r="A1344" s="24"/>
      <c r="B1344" s="48"/>
      <c r="C1344" s="49"/>
      <c r="D1344" s="24"/>
      <c r="E1344" s="52"/>
      <c r="F1344" s="53"/>
      <c r="G1344" s="48"/>
      <c r="H1344" s="49"/>
      <c r="I1344" s="49"/>
      <c r="J1344" s="48"/>
      <c r="K1344" s="48"/>
      <c r="L1344" s="48"/>
      <c r="M1344" s="48"/>
      <c r="N1344" s="48"/>
      <c r="O1344" s="48"/>
      <c r="P1344" s="48"/>
      <c r="Q1344" s="48"/>
      <c r="R1344" s="48"/>
      <c r="S1344" s="48"/>
      <c r="T1344" s="48"/>
      <c r="U1344" s="48"/>
      <c r="V1344" s="48"/>
      <c r="W1344" s="49"/>
      <c r="X1344" s="49"/>
      <c r="Y1344" s="49"/>
      <c r="Z1344" s="49"/>
      <c r="AA1344" s="49"/>
      <c r="AB1344" s="49"/>
      <c r="AC1344" s="49"/>
      <c r="AD1344" s="49"/>
      <c r="AE1344" s="49"/>
      <c r="AF1344" s="49"/>
      <c r="AG1344" s="49"/>
      <c r="AH1344" s="49"/>
      <c r="AI1344" s="48"/>
      <c r="AJ1344" s="48"/>
      <c r="AK1344" s="24"/>
      <c r="AL1344" s="50"/>
      <c r="AM1344" s="50"/>
      <c r="AN1344" s="50"/>
      <c r="AO1344" s="50"/>
      <c r="AP1344" s="50"/>
      <c r="AQ1344" s="50"/>
      <c r="AR1344" s="50"/>
      <c r="AS1344" s="50"/>
      <c r="AT1344" s="51"/>
      <c r="AU1344" s="51"/>
      <c r="AV1344" s="51"/>
      <c r="AW1344" s="51"/>
      <c r="AX1344" s="50"/>
      <c r="AY1344" s="50"/>
      <c r="AZ1344" s="50"/>
      <c r="BA1344" s="50"/>
      <c r="BB1344" s="51"/>
      <c r="BC1344" s="51"/>
      <c r="BD1344" s="51"/>
      <c r="BE1344" s="51"/>
      <c r="BF1344" s="47"/>
      <c r="BG1344" s="47"/>
      <c r="BH1344" s="47"/>
      <c r="BI1344" s="47"/>
      <c r="BJ1344" s="47"/>
      <c r="BK1344" s="47"/>
      <c r="BL1344" s="47"/>
      <c r="BM1344" s="47"/>
      <c r="BN1344" s="47"/>
      <c r="BO1344" s="47"/>
      <c r="BP1344" s="47"/>
      <c r="BQ1344" s="47"/>
      <c r="BR1344" s="47"/>
      <c r="BS1344" s="47"/>
      <c r="BT1344" s="47"/>
    </row>
    <row r="1345">
      <c r="A1345" s="24"/>
      <c r="B1345" s="48"/>
      <c r="C1345" s="49"/>
      <c r="D1345" s="24"/>
      <c r="E1345" s="52"/>
      <c r="F1345" s="53"/>
      <c r="G1345" s="48"/>
      <c r="H1345" s="49"/>
      <c r="I1345" s="49"/>
      <c r="J1345" s="48"/>
      <c r="K1345" s="48"/>
      <c r="L1345" s="48"/>
      <c r="M1345" s="48"/>
      <c r="N1345" s="48"/>
      <c r="O1345" s="48"/>
      <c r="P1345" s="48"/>
      <c r="Q1345" s="48"/>
      <c r="R1345" s="48"/>
      <c r="S1345" s="48"/>
      <c r="T1345" s="48"/>
      <c r="U1345" s="48"/>
      <c r="V1345" s="48"/>
      <c r="W1345" s="49"/>
      <c r="X1345" s="49"/>
      <c r="Y1345" s="49"/>
      <c r="Z1345" s="49"/>
      <c r="AA1345" s="49"/>
      <c r="AB1345" s="49"/>
      <c r="AC1345" s="49"/>
      <c r="AD1345" s="49"/>
      <c r="AE1345" s="49"/>
      <c r="AF1345" s="49"/>
      <c r="AG1345" s="49"/>
      <c r="AH1345" s="49"/>
      <c r="AI1345" s="48"/>
      <c r="AJ1345" s="48"/>
      <c r="AK1345" s="24"/>
      <c r="AL1345" s="50"/>
      <c r="AM1345" s="50"/>
      <c r="AN1345" s="50"/>
      <c r="AO1345" s="50"/>
      <c r="AP1345" s="50"/>
      <c r="AQ1345" s="50"/>
      <c r="AR1345" s="50"/>
      <c r="AS1345" s="50"/>
      <c r="AT1345" s="51"/>
      <c r="AU1345" s="51"/>
      <c r="AV1345" s="51"/>
      <c r="AW1345" s="51"/>
      <c r="AX1345" s="50"/>
      <c r="AY1345" s="50"/>
      <c r="AZ1345" s="50"/>
      <c r="BA1345" s="50"/>
      <c r="BB1345" s="51"/>
      <c r="BC1345" s="51"/>
      <c r="BD1345" s="51"/>
      <c r="BE1345" s="51"/>
      <c r="BF1345" s="47"/>
      <c r="BG1345" s="47"/>
      <c r="BH1345" s="47"/>
      <c r="BI1345" s="47"/>
      <c r="BJ1345" s="47"/>
      <c r="BK1345" s="47"/>
      <c r="BL1345" s="47"/>
      <c r="BM1345" s="47"/>
      <c r="BN1345" s="47"/>
      <c r="BO1345" s="47"/>
      <c r="BP1345" s="47"/>
      <c r="BQ1345" s="47"/>
      <c r="BR1345" s="47"/>
      <c r="BS1345" s="47"/>
      <c r="BT1345" s="47"/>
    </row>
    <row r="1346">
      <c r="A1346" s="24"/>
      <c r="B1346" s="48"/>
      <c r="C1346" s="49"/>
      <c r="D1346" s="24"/>
      <c r="E1346" s="52"/>
      <c r="F1346" s="53"/>
      <c r="G1346" s="48"/>
      <c r="H1346" s="49"/>
      <c r="I1346" s="49"/>
      <c r="J1346" s="48"/>
      <c r="K1346" s="48"/>
      <c r="L1346" s="48"/>
      <c r="M1346" s="48"/>
      <c r="N1346" s="48"/>
      <c r="O1346" s="48"/>
      <c r="P1346" s="48"/>
      <c r="Q1346" s="48"/>
      <c r="R1346" s="48"/>
      <c r="S1346" s="48"/>
      <c r="T1346" s="48"/>
      <c r="U1346" s="48"/>
      <c r="V1346" s="48"/>
      <c r="W1346" s="49"/>
      <c r="X1346" s="49"/>
      <c r="Y1346" s="49"/>
      <c r="Z1346" s="49"/>
      <c r="AA1346" s="49"/>
      <c r="AB1346" s="49"/>
      <c r="AC1346" s="49"/>
      <c r="AD1346" s="49"/>
      <c r="AE1346" s="49"/>
      <c r="AF1346" s="49"/>
      <c r="AG1346" s="49"/>
      <c r="AH1346" s="49"/>
      <c r="AI1346" s="48"/>
      <c r="AJ1346" s="48"/>
      <c r="AK1346" s="24"/>
      <c r="AL1346" s="50"/>
      <c r="AM1346" s="50"/>
      <c r="AN1346" s="50"/>
      <c r="AO1346" s="50"/>
      <c r="AP1346" s="50"/>
      <c r="AQ1346" s="50"/>
      <c r="AR1346" s="50"/>
      <c r="AS1346" s="50"/>
      <c r="AT1346" s="51"/>
      <c r="AU1346" s="51"/>
      <c r="AV1346" s="51"/>
      <c r="AW1346" s="51"/>
      <c r="AX1346" s="50"/>
      <c r="AY1346" s="50"/>
      <c r="AZ1346" s="50"/>
      <c r="BA1346" s="50"/>
      <c r="BB1346" s="51"/>
      <c r="BC1346" s="51"/>
      <c r="BD1346" s="51"/>
      <c r="BE1346" s="51"/>
      <c r="BF1346" s="47"/>
      <c r="BG1346" s="47"/>
      <c r="BH1346" s="47"/>
      <c r="BI1346" s="47"/>
      <c r="BJ1346" s="47"/>
      <c r="BK1346" s="47"/>
      <c r="BL1346" s="47"/>
      <c r="BM1346" s="47"/>
      <c r="BN1346" s="47"/>
      <c r="BO1346" s="47"/>
      <c r="BP1346" s="47"/>
      <c r="BQ1346" s="47"/>
      <c r="BR1346" s="47"/>
      <c r="BS1346" s="47"/>
      <c r="BT1346" s="47"/>
    </row>
    <row r="1347">
      <c r="A1347" s="24"/>
      <c r="B1347" s="48"/>
      <c r="C1347" s="49"/>
      <c r="D1347" s="24"/>
      <c r="E1347" s="52"/>
      <c r="F1347" s="53"/>
      <c r="G1347" s="48"/>
      <c r="H1347" s="49"/>
      <c r="I1347" s="49"/>
      <c r="J1347" s="48"/>
      <c r="K1347" s="48"/>
      <c r="L1347" s="48"/>
      <c r="M1347" s="48"/>
      <c r="N1347" s="48"/>
      <c r="O1347" s="48"/>
      <c r="P1347" s="48"/>
      <c r="Q1347" s="48"/>
      <c r="R1347" s="48"/>
      <c r="S1347" s="48"/>
      <c r="T1347" s="48"/>
      <c r="U1347" s="48"/>
      <c r="V1347" s="48"/>
      <c r="W1347" s="49"/>
      <c r="X1347" s="49"/>
      <c r="Y1347" s="49"/>
      <c r="Z1347" s="49"/>
      <c r="AA1347" s="49"/>
      <c r="AB1347" s="49"/>
      <c r="AC1347" s="49"/>
      <c r="AD1347" s="49"/>
      <c r="AE1347" s="49"/>
      <c r="AF1347" s="49"/>
      <c r="AG1347" s="49"/>
      <c r="AH1347" s="49"/>
      <c r="AI1347" s="48"/>
      <c r="AJ1347" s="48"/>
      <c r="AK1347" s="24"/>
      <c r="AL1347" s="50"/>
      <c r="AM1347" s="50"/>
      <c r="AN1347" s="50"/>
      <c r="AO1347" s="50"/>
      <c r="AP1347" s="50"/>
      <c r="AQ1347" s="50"/>
      <c r="AR1347" s="50"/>
      <c r="AS1347" s="50"/>
      <c r="AT1347" s="51"/>
      <c r="AU1347" s="51"/>
      <c r="AV1347" s="51"/>
      <c r="AW1347" s="51"/>
      <c r="AX1347" s="50"/>
      <c r="AY1347" s="50"/>
      <c r="AZ1347" s="50"/>
      <c r="BA1347" s="50"/>
      <c r="BB1347" s="51"/>
      <c r="BC1347" s="51"/>
      <c r="BD1347" s="51"/>
      <c r="BE1347" s="51"/>
      <c r="BF1347" s="47"/>
      <c r="BG1347" s="47"/>
      <c r="BH1347" s="47"/>
      <c r="BI1347" s="47"/>
      <c r="BJ1347" s="47"/>
      <c r="BK1347" s="47"/>
      <c r="BL1347" s="47"/>
      <c r="BM1347" s="47"/>
      <c r="BN1347" s="47"/>
      <c r="BO1347" s="47"/>
      <c r="BP1347" s="47"/>
      <c r="BQ1347" s="47"/>
      <c r="BR1347" s="47"/>
      <c r="BS1347" s="47"/>
      <c r="BT1347" s="47"/>
    </row>
    <row r="1348">
      <c r="A1348" s="24"/>
      <c r="B1348" s="48"/>
      <c r="C1348" s="49"/>
      <c r="D1348" s="24"/>
      <c r="E1348" s="52"/>
      <c r="F1348" s="53"/>
      <c r="G1348" s="48"/>
      <c r="H1348" s="49"/>
      <c r="I1348" s="49"/>
      <c r="J1348" s="48"/>
      <c r="K1348" s="48"/>
      <c r="L1348" s="48"/>
      <c r="M1348" s="48"/>
      <c r="N1348" s="48"/>
      <c r="O1348" s="48"/>
      <c r="P1348" s="48"/>
      <c r="Q1348" s="48"/>
      <c r="R1348" s="48"/>
      <c r="S1348" s="48"/>
      <c r="T1348" s="48"/>
      <c r="U1348" s="48"/>
      <c r="V1348" s="48"/>
      <c r="W1348" s="49"/>
      <c r="X1348" s="49"/>
      <c r="Y1348" s="49"/>
      <c r="Z1348" s="49"/>
      <c r="AA1348" s="49"/>
      <c r="AB1348" s="49"/>
      <c r="AC1348" s="49"/>
      <c r="AD1348" s="49"/>
      <c r="AE1348" s="49"/>
      <c r="AF1348" s="49"/>
      <c r="AG1348" s="49"/>
      <c r="AH1348" s="49"/>
      <c r="AI1348" s="48"/>
      <c r="AJ1348" s="48"/>
      <c r="AK1348" s="24"/>
      <c r="AL1348" s="50"/>
      <c r="AM1348" s="50"/>
      <c r="AN1348" s="50"/>
      <c r="AO1348" s="50"/>
      <c r="AP1348" s="50"/>
      <c r="AQ1348" s="50"/>
      <c r="AR1348" s="50"/>
      <c r="AS1348" s="50"/>
      <c r="AT1348" s="51"/>
      <c r="AU1348" s="51"/>
      <c r="AV1348" s="51"/>
      <c r="AW1348" s="51"/>
      <c r="AX1348" s="50"/>
      <c r="AY1348" s="50"/>
      <c r="AZ1348" s="50"/>
      <c r="BA1348" s="50"/>
      <c r="BB1348" s="51"/>
      <c r="BC1348" s="51"/>
      <c r="BD1348" s="51"/>
      <c r="BE1348" s="51"/>
      <c r="BF1348" s="47"/>
      <c r="BG1348" s="47"/>
      <c r="BH1348" s="47"/>
      <c r="BI1348" s="47"/>
      <c r="BJ1348" s="47"/>
      <c r="BK1348" s="47"/>
      <c r="BL1348" s="47"/>
      <c r="BM1348" s="47"/>
      <c r="BN1348" s="47"/>
      <c r="BO1348" s="47"/>
      <c r="BP1348" s="47"/>
      <c r="BQ1348" s="47"/>
      <c r="BR1348" s="47"/>
      <c r="BS1348" s="47"/>
      <c r="BT1348" s="47"/>
    </row>
    <row r="1349">
      <c r="A1349" s="24"/>
      <c r="B1349" s="48"/>
      <c r="C1349" s="49"/>
      <c r="D1349" s="24"/>
      <c r="E1349" s="52"/>
      <c r="F1349" s="53"/>
      <c r="G1349" s="48"/>
      <c r="H1349" s="49"/>
      <c r="I1349" s="49"/>
      <c r="J1349" s="48"/>
      <c r="K1349" s="48"/>
      <c r="L1349" s="48"/>
      <c r="M1349" s="48"/>
      <c r="N1349" s="48"/>
      <c r="O1349" s="48"/>
      <c r="P1349" s="48"/>
      <c r="Q1349" s="48"/>
      <c r="R1349" s="48"/>
      <c r="S1349" s="48"/>
      <c r="T1349" s="48"/>
      <c r="U1349" s="48"/>
      <c r="V1349" s="48"/>
      <c r="W1349" s="49"/>
      <c r="X1349" s="49"/>
      <c r="Y1349" s="49"/>
      <c r="Z1349" s="49"/>
      <c r="AA1349" s="49"/>
      <c r="AB1349" s="49"/>
      <c r="AC1349" s="49"/>
      <c r="AD1349" s="49"/>
      <c r="AE1349" s="49"/>
      <c r="AF1349" s="49"/>
      <c r="AG1349" s="49"/>
      <c r="AH1349" s="49"/>
      <c r="AI1349" s="48"/>
      <c r="AJ1349" s="48"/>
      <c r="AK1349" s="24"/>
      <c r="AL1349" s="50"/>
      <c r="AM1349" s="50"/>
      <c r="AN1349" s="50"/>
      <c r="AO1349" s="50"/>
      <c r="AP1349" s="50"/>
      <c r="AQ1349" s="50"/>
      <c r="AR1349" s="50"/>
      <c r="AS1349" s="50"/>
      <c r="AT1349" s="51"/>
      <c r="AU1349" s="51"/>
      <c r="AV1349" s="51"/>
      <c r="AW1349" s="51"/>
      <c r="AX1349" s="50"/>
      <c r="AY1349" s="50"/>
      <c r="AZ1349" s="50"/>
      <c r="BA1349" s="50"/>
      <c r="BB1349" s="51"/>
      <c r="BC1349" s="51"/>
      <c r="BD1349" s="51"/>
      <c r="BE1349" s="51"/>
      <c r="BF1349" s="47"/>
      <c r="BG1349" s="47"/>
      <c r="BH1349" s="47"/>
      <c r="BI1349" s="47"/>
      <c r="BJ1349" s="47"/>
      <c r="BK1349" s="47"/>
      <c r="BL1349" s="47"/>
      <c r="BM1349" s="47"/>
      <c r="BN1349" s="47"/>
      <c r="BO1349" s="47"/>
      <c r="BP1349" s="47"/>
      <c r="BQ1349" s="47"/>
      <c r="BR1349" s="47"/>
      <c r="BS1349" s="47"/>
      <c r="BT1349" s="47"/>
    </row>
    <row r="1350">
      <c r="A1350" s="24"/>
      <c r="B1350" s="48"/>
      <c r="C1350" s="49"/>
      <c r="D1350" s="24"/>
      <c r="E1350" s="52"/>
      <c r="F1350" s="53"/>
      <c r="G1350" s="48"/>
      <c r="H1350" s="49"/>
      <c r="I1350" s="49"/>
      <c r="J1350" s="48"/>
      <c r="K1350" s="48"/>
      <c r="L1350" s="48"/>
      <c r="M1350" s="48"/>
      <c r="N1350" s="48"/>
      <c r="O1350" s="48"/>
      <c r="P1350" s="48"/>
      <c r="Q1350" s="48"/>
      <c r="R1350" s="48"/>
      <c r="S1350" s="48"/>
      <c r="T1350" s="48"/>
      <c r="U1350" s="48"/>
      <c r="V1350" s="48"/>
      <c r="W1350" s="49"/>
      <c r="X1350" s="49"/>
      <c r="Y1350" s="49"/>
      <c r="Z1350" s="49"/>
      <c r="AA1350" s="49"/>
      <c r="AB1350" s="49"/>
      <c r="AC1350" s="49"/>
      <c r="AD1350" s="49"/>
      <c r="AE1350" s="49"/>
      <c r="AF1350" s="49"/>
      <c r="AG1350" s="49"/>
      <c r="AH1350" s="49"/>
      <c r="AI1350" s="48"/>
      <c r="AJ1350" s="48"/>
      <c r="AK1350" s="24"/>
      <c r="AL1350" s="50"/>
      <c r="AM1350" s="50"/>
      <c r="AN1350" s="50"/>
      <c r="AO1350" s="50"/>
      <c r="AP1350" s="50"/>
      <c r="AQ1350" s="50"/>
      <c r="AR1350" s="50"/>
      <c r="AS1350" s="50"/>
      <c r="AT1350" s="51"/>
      <c r="AU1350" s="51"/>
      <c r="AV1350" s="51"/>
      <c r="AW1350" s="51"/>
      <c r="AX1350" s="50"/>
      <c r="AY1350" s="50"/>
      <c r="AZ1350" s="50"/>
      <c r="BA1350" s="50"/>
      <c r="BB1350" s="51"/>
      <c r="BC1350" s="51"/>
      <c r="BD1350" s="51"/>
      <c r="BE1350" s="51"/>
      <c r="BF1350" s="47"/>
      <c r="BG1350" s="47"/>
      <c r="BH1350" s="47"/>
      <c r="BI1350" s="47"/>
      <c r="BJ1350" s="47"/>
      <c r="BK1350" s="47"/>
      <c r="BL1350" s="47"/>
      <c r="BM1350" s="47"/>
      <c r="BN1350" s="47"/>
      <c r="BO1350" s="47"/>
      <c r="BP1350" s="47"/>
      <c r="BQ1350" s="47"/>
      <c r="BR1350" s="47"/>
      <c r="BS1350" s="47"/>
      <c r="BT1350" s="47"/>
    </row>
    <row r="1351">
      <c r="A1351" s="24"/>
      <c r="B1351" s="48"/>
      <c r="C1351" s="49"/>
      <c r="D1351" s="24"/>
      <c r="E1351" s="52"/>
      <c r="F1351" s="53"/>
      <c r="G1351" s="48"/>
      <c r="H1351" s="49"/>
      <c r="I1351" s="49"/>
      <c r="J1351" s="48"/>
      <c r="K1351" s="48"/>
      <c r="L1351" s="48"/>
      <c r="M1351" s="48"/>
      <c r="N1351" s="48"/>
      <c r="O1351" s="48"/>
      <c r="P1351" s="48"/>
      <c r="Q1351" s="48"/>
      <c r="R1351" s="48"/>
      <c r="S1351" s="48"/>
      <c r="T1351" s="48"/>
      <c r="U1351" s="48"/>
      <c r="V1351" s="48"/>
      <c r="W1351" s="49"/>
      <c r="X1351" s="49"/>
      <c r="Y1351" s="49"/>
      <c r="Z1351" s="49"/>
      <c r="AA1351" s="49"/>
      <c r="AB1351" s="49"/>
      <c r="AC1351" s="49"/>
      <c r="AD1351" s="49"/>
      <c r="AE1351" s="49"/>
      <c r="AF1351" s="49"/>
      <c r="AG1351" s="49"/>
      <c r="AH1351" s="49"/>
      <c r="AI1351" s="48"/>
      <c r="AJ1351" s="48"/>
      <c r="AK1351" s="24"/>
      <c r="AL1351" s="50"/>
      <c r="AM1351" s="50"/>
      <c r="AN1351" s="50"/>
      <c r="AO1351" s="50"/>
      <c r="AP1351" s="50"/>
      <c r="AQ1351" s="50"/>
      <c r="AR1351" s="50"/>
      <c r="AS1351" s="50"/>
      <c r="AT1351" s="51"/>
      <c r="AU1351" s="51"/>
      <c r="AV1351" s="51"/>
      <c r="AW1351" s="51"/>
      <c r="AX1351" s="50"/>
      <c r="AY1351" s="50"/>
      <c r="AZ1351" s="50"/>
      <c r="BA1351" s="50"/>
      <c r="BB1351" s="51"/>
      <c r="BC1351" s="51"/>
      <c r="BD1351" s="51"/>
      <c r="BE1351" s="51"/>
      <c r="BF1351" s="47"/>
      <c r="BG1351" s="47"/>
      <c r="BH1351" s="47"/>
      <c r="BI1351" s="47"/>
      <c r="BJ1351" s="47"/>
      <c r="BK1351" s="47"/>
      <c r="BL1351" s="47"/>
      <c r="BM1351" s="47"/>
      <c r="BN1351" s="47"/>
      <c r="BO1351" s="47"/>
      <c r="BP1351" s="47"/>
      <c r="BQ1351" s="47"/>
      <c r="BR1351" s="47"/>
      <c r="BS1351" s="47"/>
      <c r="BT1351" s="47"/>
    </row>
    <row r="1352">
      <c r="A1352" s="24"/>
      <c r="B1352" s="48"/>
      <c r="C1352" s="49"/>
      <c r="D1352" s="24"/>
      <c r="E1352" s="52"/>
      <c r="F1352" s="53"/>
      <c r="G1352" s="48"/>
      <c r="H1352" s="49"/>
      <c r="I1352" s="49"/>
      <c r="J1352" s="48"/>
      <c r="K1352" s="48"/>
      <c r="L1352" s="48"/>
      <c r="M1352" s="48"/>
      <c r="N1352" s="48"/>
      <c r="O1352" s="48"/>
      <c r="P1352" s="48"/>
      <c r="Q1352" s="48"/>
      <c r="R1352" s="48"/>
      <c r="S1352" s="48"/>
      <c r="T1352" s="48"/>
      <c r="U1352" s="48"/>
      <c r="V1352" s="48"/>
      <c r="W1352" s="49"/>
      <c r="X1352" s="49"/>
      <c r="Y1352" s="49"/>
      <c r="Z1352" s="49"/>
      <c r="AA1352" s="49"/>
      <c r="AB1352" s="49"/>
      <c r="AC1352" s="49"/>
      <c r="AD1352" s="49"/>
      <c r="AE1352" s="49"/>
      <c r="AF1352" s="49"/>
      <c r="AG1352" s="49"/>
      <c r="AH1352" s="49"/>
      <c r="AI1352" s="48"/>
      <c r="AJ1352" s="48"/>
      <c r="AK1352" s="24"/>
      <c r="AL1352" s="50"/>
      <c r="AM1352" s="50"/>
      <c r="AN1352" s="50"/>
      <c r="AO1352" s="50"/>
      <c r="AP1352" s="50"/>
      <c r="AQ1352" s="50"/>
      <c r="AR1352" s="50"/>
      <c r="AS1352" s="50"/>
      <c r="AT1352" s="51"/>
      <c r="AU1352" s="51"/>
      <c r="AV1352" s="51"/>
      <c r="AW1352" s="51"/>
      <c r="AX1352" s="50"/>
      <c r="AY1352" s="50"/>
      <c r="AZ1352" s="50"/>
      <c r="BA1352" s="50"/>
      <c r="BB1352" s="51"/>
      <c r="BC1352" s="51"/>
      <c r="BD1352" s="51"/>
      <c r="BE1352" s="51"/>
      <c r="BF1352" s="47"/>
      <c r="BG1352" s="47"/>
      <c r="BH1352" s="47"/>
      <c r="BI1352" s="47"/>
      <c r="BJ1352" s="47"/>
      <c r="BK1352" s="47"/>
      <c r="BL1352" s="47"/>
      <c r="BM1352" s="47"/>
      <c r="BN1352" s="47"/>
      <c r="BO1352" s="47"/>
      <c r="BP1352" s="47"/>
      <c r="BQ1352" s="47"/>
      <c r="BR1352" s="47"/>
      <c r="BS1352" s="47"/>
      <c r="BT1352" s="47"/>
    </row>
    <row r="1353">
      <c r="A1353" s="24"/>
      <c r="B1353" s="48"/>
      <c r="C1353" s="49"/>
      <c r="D1353" s="24"/>
      <c r="E1353" s="52"/>
      <c r="F1353" s="53"/>
      <c r="G1353" s="48"/>
      <c r="H1353" s="49"/>
      <c r="I1353" s="49"/>
      <c r="J1353" s="48"/>
      <c r="K1353" s="48"/>
      <c r="L1353" s="48"/>
      <c r="M1353" s="48"/>
      <c r="N1353" s="48"/>
      <c r="O1353" s="48"/>
      <c r="P1353" s="48"/>
      <c r="Q1353" s="48"/>
      <c r="R1353" s="48"/>
      <c r="S1353" s="48"/>
      <c r="T1353" s="48"/>
      <c r="U1353" s="48"/>
      <c r="V1353" s="48"/>
      <c r="W1353" s="49"/>
      <c r="X1353" s="49"/>
      <c r="Y1353" s="49"/>
      <c r="Z1353" s="49"/>
      <c r="AA1353" s="49"/>
      <c r="AB1353" s="49"/>
      <c r="AC1353" s="49"/>
      <c r="AD1353" s="49"/>
      <c r="AE1353" s="49"/>
      <c r="AF1353" s="49"/>
      <c r="AG1353" s="49"/>
      <c r="AH1353" s="49"/>
      <c r="AI1353" s="48"/>
      <c r="AJ1353" s="48"/>
      <c r="AK1353" s="24"/>
      <c r="AL1353" s="50"/>
      <c r="AM1353" s="50"/>
      <c r="AN1353" s="50"/>
      <c r="AO1353" s="50"/>
      <c r="AP1353" s="50"/>
      <c r="AQ1353" s="50"/>
      <c r="AR1353" s="50"/>
      <c r="AS1353" s="50"/>
      <c r="AT1353" s="51"/>
      <c r="AU1353" s="51"/>
      <c r="AV1353" s="51"/>
      <c r="AW1353" s="51"/>
      <c r="AX1353" s="50"/>
      <c r="AY1353" s="50"/>
      <c r="AZ1353" s="50"/>
      <c r="BA1353" s="50"/>
      <c r="BB1353" s="51"/>
      <c r="BC1353" s="51"/>
      <c r="BD1353" s="51"/>
      <c r="BE1353" s="51"/>
      <c r="BF1353" s="47"/>
      <c r="BG1353" s="47"/>
      <c r="BH1353" s="47"/>
      <c r="BI1353" s="47"/>
      <c r="BJ1353" s="47"/>
      <c r="BK1353" s="47"/>
      <c r="BL1353" s="47"/>
      <c r="BM1353" s="47"/>
      <c r="BN1353" s="47"/>
      <c r="BO1353" s="47"/>
      <c r="BP1353" s="47"/>
      <c r="BQ1353" s="47"/>
      <c r="BR1353" s="47"/>
      <c r="BS1353" s="47"/>
      <c r="BT1353" s="47"/>
    </row>
    <row r="1354">
      <c r="A1354" s="24"/>
      <c r="B1354" s="48"/>
      <c r="C1354" s="49"/>
      <c r="D1354" s="24"/>
      <c r="E1354" s="52"/>
      <c r="F1354" s="53"/>
      <c r="G1354" s="48"/>
      <c r="H1354" s="49"/>
      <c r="I1354" s="49"/>
      <c r="J1354" s="48"/>
      <c r="K1354" s="48"/>
      <c r="L1354" s="48"/>
      <c r="M1354" s="48"/>
      <c r="N1354" s="48"/>
      <c r="O1354" s="48"/>
      <c r="P1354" s="48"/>
      <c r="Q1354" s="48"/>
      <c r="R1354" s="48"/>
      <c r="S1354" s="48"/>
      <c r="T1354" s="48"/>
      <c r="U1354" s="48"/>
      <c r="V1354" s="48"/>
      <c r="W1354" s="49"/>
      <c r="X1354" s="49"/>
      <c r="Y1354" s="49"/>
      <c r="Z1354" s="49"/>
      <c r="AA1354" s="49"/>
      <c r="AB1354" s="49"/>
      <c r="AC1354" s="49"/>
      <c r="AD1354" s="49"/>
      <c r="AE1354" s="49"/>
      <c r="AF1354" s="49"/>
      <c r="AG1354" s="49"/>
      <c r="AH1354" s="49"/>
      <c r="AI1354" s="48"/>
      <c r="AJ1354" s="48"/>
      <c r="AK1354" s="24"/>
      <c r="AL1354" s="50"/>
      <c r="AM1354" s="50"/>
      <c r="AN1354" s="50"/>
      <c r="AO1354" s="50"/>
      <c r="AP1354" s="50"/>
      <c r="AQ1354" s="50"/>
      <c r="AR1354" s="50"/>
      <c r="AS1354" s="50"/>
      <c r="AT1354" s="51"/>
      <c r="AU1354" s="51"/>
      <c r="AV1354" s="51"/>
      <c r="AW1354" s="51"/>
      <c r="AX1354" s="50"/>
      <c r="AY1354" s="50"/>
      <c r="AZ1354" s="50"/>
      <c r="BA1354" s="50"/>
      <c r="BB1354" s="51"/>
      <c r="BC1354" s="51"/>
      <c r="BD1354" s="51"/>
      <c r="BE1354" s="51"/>
      <c r="BF1354" s="47"/>
      <c r="BG1354" s="47"/>
      <c r="BH1354" s="47"/>
      <c r="BI1354" s="47"/>
      <c r="BJ1354" s="47"/>
      <c r="BK1354" s="47"/>
      <c r="BL1354" s="47"/>
      <c r="BM1354" s="47"/>
      <c r="BN1354" s="47"/>
      <c r="BO1354" s="47"/>
      <c r="BP1354" s="47"/>
      <c r="BQ1354" s="47"/>
      <c r="BR1354" s="47"/>
      <c r="BS1354" s="47"/>
      <c r="BT1354" s="47"/>
    </row>
    <row r="1355">
      <c r="A1355" s="24"/>
      <c r="B1355" s="48"/>
      <c r="C1355" s="49"/>
      <c r="D1355" s="24"/>
      <c r="E1355" s="52"/>
      <c r="F1355" s="53"/>
      <c r="G1355" s="48"/>
      <c r="H1355" s="49"/>
      <c r="I1355" s="49"/>
      <c r="J1355" s="48"/>
      <c r="K1355" s="48"/>
      <c r="L1355" s="48"/>
      <c r="M1355" s="48"/>
      <c r="N1355" s="48"/>
      <c r="O1355" s="48"/>
      <c r="P1355" s="48"/>
      <c r="Q1355" s="48"/>
      <c r="R1355" s="48"/>
      <c r="S1355" s="48"/>
      <c r="T1355" s="48"/>
      <c r="U1355" s="48"/>
      <c r="V1355" s="48"/>
      <c r="W1355" s="49"/>
      <c r="X1355" s="49"/>
      <c r="Y1355" s="49"/>
      <c r="Z1355" s="49"/>
      <c r="AA1355" s="49"/>
      <c r="AB1355" s="49"/>
      <c r="AC1355" s="49"/>
      <c r="AD1355" s="49"/>
      <c r="AE1355" s="49"/>
      <c r="AF1355" s="49"/>
      <c r="AG1355" s="49"/>
      <c r="AH1355" s="49"/>
      <c r="AI1355" s="48"/>
      <c r="AJ1355" s="48"/>
      <c r="AK1355" s="24"/>
      <c r="AL1355" s="50"/>
      <c r="AM1355" s="50"/>
      <c r="AN1355" s="50"/>
      <c r="AO1355" s="50"/>
      <c r="AP1355" s="50"/>
      <c r="AQ1355" s="50"/>
      <c r="AR1355" s="50"/>
      <c r="AS1355" s="50"/>
      <c r="AT1355" s="51"/>
      <c r="AU1355" s="51"/>
      <c r="AV1355" s="51"/>
      <c r="AW1355" s="51"/>
      <c r="AX1355" s="50"/>
      <c r="AY1355" s="50"/>
      <c r="AZ1355" s="50"/>
      <c r="BA1355" s="50"/>
      <c r="BB1355" s="51"/>
      <c r="BC1355" s="51"/>
      <c r="BD1355" s="51"/>
      <c r="BE1355" s="51"/>
      <c r="BF1355" s="47"/>
      <c r="BG1355" s="47"/>
      <c r="BH1355" s="47"/>
      <c r="BI1355" s="47"/>
      <c r="BJ1355" s="47"/>
      <c r="BK1355" s="47"/>
      <c r="BL1355" s="47"/>
      <c r="BM1355" s="47"/>
      <c r="BN1355" s="47"/>
      <c r="BO1355" s="47"/>
      <c r="BP1355" s="47"/>
      <c r="BQ1355" s="47"/>
      <c r="BR1355" s="47"/>
      <c r="BS1355" s="47"/>
      <c r="BT1355" s="47"/>
    </row>
    <row r="1356">
      <c r="A1356" s="24"/>
      <c r="B1356" s="48"/>
      <c r="C1356" s="49"/>
      <c r="D1356" s="24"/>
      <c r="E1356" s="52"/>
      <c r="F1356" s="53"/>
      <c r="G1356" s="48"/>
      <c r="H1356" s="49"/>
      <c r="I1356" s="49"/>
      <c r="J1356" s="48"/>
      <c r="K1356" s="48"/>
      <c r="L1356" s="48"/>
      <c r="M1356" s="48"/>
      <c r="N1356" s="48"/>
      <c r="O1356" s="48"/>
      <c r="P1356" s="48"/>
      <c r="Q1356" s="48"/>
      <c r="R1356" s="48"/>
      <c r="S1356" s="48"/>
      <c r="T1356" s="48"/>
      <c r="U1356" s="48"/>
      <c r="V1356" s="48"/>
      <c r="W1356" s="49"/>
      <c r="X1356" s="49"/>
      <c r="Y1356" s="49"/>
      <c r="Z1356" s="49"/>
      <c r="AA1356" s="49"/>
      <c r="AB1356" s="49"/>
      <c r="AC1356" s="49"/>
      <c r="AD1356" s="49"/>
      <c r="AE1356" s="49"/>
      <c r="AF1356" s="49"/>
      <c r="AG1356" s="49"/>
      <c r="AH1356" s="49"/>
      <c r="AI1356" s="48"/>
      <c r="AJ1356" s="48"/>
      <c r="AK1356" s="24"/>
      <c r="AL1356" s="50"/>
      <c r="AM1356" s="50"/>
      <c r="AN1356" s="50"/>
      <c r="AO1356" s="50"/>
      <c r="AP1356" s="50"/>
      <c r="AQ1356" s="50"/>
      <c r="AR1356" s="50"/>
      <c r="AS1356" s="50"/>
      <c r="AT1356" s="51"/>
      <c r="AU1356" s="51"/>
      <c r="AV1356" s="51"/>
      <c r="AW1356" s="51"/>
      <c r="AX1356" s="50"/>
      <c r="AY1356" s="50"/>
      <c r="AZ1356" s="50"/>
      <c r="BA1356" s="50"/>
      <c r="BB1356" s="51"/>
      <c r="BC1356" s="51"/>
      <c r="BD1356" s="51"/>
      <c r="BE1356" s="51"/>
      <c r="BF1356" s="47"/>
      <c r="BG1356" s="47"/>
      <c r="BH1356" s="47"/>
      <c r="BI1356" s="47"/>
      <c r="BJ1356" s="47"/>
      <c r="BK1356" s="47"/>
      <c r="BL1356" s="47"/>
      <c r="BM1356" s="47"/>
      <c r="BN1356" s="47"/>
      <c r="BO1356" s="47"/>
      <c r="BP1356" s="47"/>
      <c r="BQ1356" s="47"/>
      <c r="BR1356" s="47"/>
      <c r="BS1356" s="47"/>
      <c r="BT1356" s="47"/>
    </row>
    <row r="1357">
      <c r="A1357" s="24"/>
      <c r="B1357" s="48"/>
      <c r="C1357" s="49"/>
      <c r="D1357" s="24"/>
      <c r="E1357" s="52"/>
      <c r="F1357" s="53"/>
      <c r="G1357" s="48"/>
      <c r="H1357" s="49"/>
      <c r="I1357" s="49"/>
      <c r="J1357" s="48"/>
      <c r="K1357" s="48"/>
      <c r="L1357" s="48"/>
      <c r="M1357" s="48"/>
      <c r="N1357" s="48"/>
      <c r="O1357" s="48"/>
      <c r="P1357" s="48"/>
      <c r="Q1357" s="48"/>
      <c r="R1357" s="48"/>
      <c r="S1357" s="48"/>
      <c r="T1357" s="48"/>
      <c r="U1357" s="48"/>
      <c r="V1357" s="48"/>
      <c r="W1357" s="49"/>
      <c r="X1357" s="49"/>
      <c r="Y1357" s="49"/>
      <c r="Z1357" s="49"/>
      <c r="AA1357" s="49"/>
      <c r="AB1357" s="49"/>
      <c r="AC1357" s="49"/>
      <c r="AD1357" s="49"/>
      <c r="AE1357" s="49"/>
      <c r="AF1357" s="49"/>
      <c r="AG1357" s="49"/>
      <c r="AH1357" s="49"/>
      <c r="AI1357" s="48"/>
      <c r="AJ1357" s="48"/>
      <c r="AK1357" s="24"/>
      <c r="AL1357" s="50"/>
      <c r="AM1357" s="50"/>
      <c r="AN1357" s="50"/>
      <c r="AO1357" s="50"/>
      <c r="AP1357" s="50"/>
      <c r="AQ1357" s="50"/>
      <c r="AR1357" s="50"/>
      <c r="AS1357" s="50"/>
      <c r="AT1357" s="51"/>
      <c r="AU1357" s="51"/>
      <c r="AV1357" s="51"/>
      <c r="AW1357" s="51"/>
      <c r="AX1357" s="50"/>
      <c r="AY1357" s="50"/>
      <c r="AZ1357" s="50"/>
      <c r="BA1357" s="50"/>
      <c r="BB1357" s="51"/>
      <c r="BC1357" s="51"/>
      <c r="BD1357" s="51"/>
      <c r="BE1357" s="51"/>
      <c r="BF1357" s="47"/>
      <c r="BG1357" s="47"/>
      <c r="BH1357" s="47"/>
      <c r="BI1357" s="47"/>
      <c r="BJ1357" s="47"/>
      <c r="BK1357" s="47"/>
      <c r="BL1357" s="47"/>
      <c r="BM1357" s="47"/>
      <c r="BN1357" s="47"/>
      <c r="BO1357" s="47"/>
      <c r="BP1357" s="47"/>
      <c r="BQ1357" s="47"/>
      <c r="BR1357" s="47"/>
      <c r="BS1357" s="47"/>
      <c r="BT1357" s="47"/>
    </row>
    <row r="1358">
      <c r="A1358" s="24"/>
      <c r="B1358" s="48"/>
      <c r="C1358" s="49"/>
      <c r="D1358" s="24"/>
      <c r="E1358" s="52"/>
      <c r="F1358" s="53"/>
      <c r="G1358" s="48"/>
      <c r="H1358" s="49"/>
      <c r="I1358" s="49"/>
      <c r="J1358" s="48"/>
      <c r="K1358" s="48"/>
      <c r="L1358" s="48"/>
      <c r="M1358" s="48"/>
      <c r="N1358" s="48"/>
      <c r="O1358" s="48"/>
      <c r="P1358" s="48"/>
      <c r="Q1358" s="48"/>
      <c r="R1358" s="48"/>
      <c r="S1358" s="48"/>
      <c r="T1358" s="48"/>
      <c r="U1358" s="48"/>
      <c r="V1358" s="48"/>
      <c r="W1358" s="49"/>
      <c r="X1358" s="49"/>
      <c r="Y1358" s="49"/>
      <c r="Z1358" s="49"/>
      <c r="AA1358" s="49"/>
      <c r="AB1358" s="49"/>
      <c r="AC1358" s="49"/>
      <c r="AD1358" s="49"/>
      <c r="AE1358" s="49"/>
      <c r="AF1358" s="49"/>
      <c r="AG1358" s="49"/>
      <c r="AH1358" s="49"/>
      <c r="AI1358" s="48"/>
      <c r="AJ1358" s="48"/>
      <c r="AK1358" s="24"/>
      <c r="AL1358" s="50"/>
      <c r="AM1358" s="50"/>
      <c r="AN1358" s="50"/>
      <c r="AO1358" s="50"/>
      <c r="AP1358" s="50"/>
      <c r="AQ1358" s="50"/>
      <c r="AR1358" s="50"/>
      <c r="AS1358" s="50"/>
      <c r="AT1358" s="51"/>
      <c r="AU1358" s="51"/>
      <c r="AV1358" s="51"/>
      <c r="AW1358" s="51"/>
      <c r="AX1358" s="50"/>
      <c r="AY1358" s="50"/>
      <c r="AZ1358" s="50"/>
      <c r="BA1358" s="50"/>
      <c r="BB1358" s="51"/>
      <c r="BC1358" s="51"/>
      <c r="BD1358" s="51"/>
      <c r="BE1358" s="51"/>
      <c r="BF1358" s="47"/>
      <c r="BG1358" s="47"/>
      <c r="BH1358" s="47"/>
      <c r="BI1358" s="47"/>
      <c r="BJ1358" s="47"/>
      <c r="BK1358" s="47"/>
      <c r="BL1358" s="47"/>
      <c r="BM1358" s="47"/>
      <c r="BN1358" s="47"/>
      <c r="BO1358" s="47"/>
      <c r="BP1358" s="47"/>
      <c r="BQ1358" s="47"/>
      <c r="BR1358" s="47"/>
      <c r="BS1358" s="47"/>
      <c r="BT1358" s="47"/>
    </row>
    <row r="1359">
      <c r="A1359" s="24"/>
      <c r="B1359" s="48"/>
      <c r="C1359" s="49"/>
      <c r="D1359" s="24"/>
      <c r="E1359" s="52"/>
      <c r="F1359" s="53"/>
      <c r="G1359" s="48"/>
      <c r="H1359" s="49"/>
      <c r="I1359" s="49"/>
      <c r="J1359" s="48"/>
      <c r="K1359" s="48"/>
      <c r="L1359" s="48"/>
      <c r="M1359" s="48"/>
      <c r="N1359" s="48"/>
      <c r="O1359" s="48"/>
      <c r="P1359" s="48"/>
      <c r="Q1359" s="48"/>
      <c r="R1359" s="48"/>
      <c r="S1359" s="48"/>
      <c r="T1359" s="48"/>
      <c r="U1359" s="48"/>
      <c r="V1359" s="48"/>
      <c r="W1359" s="49"/>
      <c r="X1359" s="49"/>
      <c r="Y1359" s="49"/>
      <c r="Z1359" s="49"/>
      <c r="AA1359" s="49"/>
      <c r="AB1359" s="49"/>
      <c r="AC1359" s="49"/>
      <c r="AD1359" s="49"/>
      <c r="AE1359" s="49"/>
      <c r="AF1359" s="49"/>
      <c r="AG1359" s="49"/>
      <c r="AH1359" s="49"/>
      <c r="AI1359" s="48"/>
      <c r="AJ1359" s="48"/>
      <c r="AK1359" s="24"/>
      <c r="AL1359" s="50"/>
      <c r="AM1359" s="50"/>
      <c r="AN1359" s="50"/>
      <c r="AO1359" s="50"/>
      <c r="AP1359" s="50"/>
      <c r="AQ1359" s="50"/>
      <c r="AR1359" s="50"/>
      <c r="AS1359" s="50"/>
      <c r="AT1359" s="51"/>
      <c r="AU1359" s="51"/>
      <c r="AV1359" s="51"/>
      <c r="AW1359" s="51"/>
      <c r="AX1359" s="50"/>
      <c r="AY1359" s="50"/>
      <c r="AZ1359" s="50"/>
      <c r="BA1359" s="50"/>
      <c r="BB1359" s="51"/>
      <c r="BC1359" s="51"/>
      <c r="BD1359" s="51"/>
      <c r="BE1359" s="51"/>
      <c r="BF1359" s="47"/>
      <c r="BG1359" s="47"/>
      <c r="BH1359" s="47"/>
      <c r="BI1359" s="47"/>
      <c r="BJ1359" s="47"/>
      <c r="BK1359" s="47"/>
      <c r="BL1359" s="47"/>
      <c r="BM1359" s="47"/>
      <c r="BN1359" s="47"/>
      <c r="BO1359" s="47"/>
      <c r="BP1359" s="47"/>
      <c r="BQ1359" s="47"/>
      <c r="BR1359" s="47"/>
      <c r="BS1359" s="47"/>
      <c r="BT1359" s="47"/>
    </row>
    <row r="1360">
      <c r="A1360" s="24"/>
      <c r="B1360" s="48"/>
      <c r="C1360" s="49"/>
      <c r="D1360" s="24"/>
      <c r="E1360" s="52"/>
      <c r="F1360" s="53"/>
      <c r="G1360" s="48"/>
      <c r="H1360" s="49"/>
      <c r="I1360" s="49"/>
      <c r="J1360" s="48"/>
      <c r="K1360" s="48"/>
      <c r="L1360" s="48"/>
      <c r="M1360" s="48"/>
      <c r="N1360" s="48"/>
      <c r="O1360" s="48"/>
      <c r="P1360" s="48"/>
      <c r="Q1360" s="48"/>
      <c r="R1360" s="48"/>
      <c r="S1360" s="48"/>
      <c r="T1360" s="48"/>
      <c r="U1360" s="48"/>
      <c r="V1360" s="48"/>
      <c r="W1360" s="49"/>
      <c r="X1360" s="49"/>
      <c r="Y1360" s="49"/>
      <c r="Z1360" s="49"/>
      <c r="AA1360" s="49"/>
      <c r="AB1360" s="49"/>
      <c r="AC1360" s="49"/>
      <c r="AD1360" s="49"/>
      <c r="AE1360" s="49"/>
      <c r="AF1360" s="49"/>
      <c r="AG1360" s="49"/>
      <c r="AH1360" s="49"/>
      <c r="AI1360" s="48"/>
      <c r="AJ1360" s="48"/>
      <c r="AK1360" s="24"/>
      <c r="AL1360" s="50"/>
      <c r="AM1360" s="50"/>
      <c r="AN1360" s="50"/>
      <c r="AO1360" s="50"/>
      <c r="AP1360" s="50"/>
      <c r="AQ1360" s="50"/>
      <c r="AR1360" s="50"/>
      <c r="AS1360" s="50"/>
      <c r="AT1360" s="51"/>
      <c r="AU1360" s="51"/>
      <c r="AV1360" s="51"/>
      <c r="AW1360" s="51"/>
      <c r="AX1360" s="50"/>
      <c r="AY1360" s="50"/>
      <c r="AZ1360" s="50"/>
      <c r="BA1360" s="50"/>
      <c r="BB1360" s="51"/>
      <c r="BC1360" s="51"/>
      <c r="BD1360" s="51"/>
      <c r="BE1360" s="51"/>
      <c r="BF1360" s="47"/>
      <c r="BG1360" s="47"/>
      <c r="BH1360" s="47"/>
      <c r="BI1360" s="47"/>
      <c r="BJ1360" s="47"/>
      <c r="BK1360" s="47"/>
      <c r="BL1360" s="47"/>
      <c r="BM1360" s="47"/>
      <c r="BN1360" s="47"/>
      <c r="BO1360" s="47"/>
      <c r="BP1360" s="47"/>
      <c r="BQ1360" s="47"/>
      <c r="BR1360" s="47"/>
      <c r="BS1360" s="47"/>
      <c r="BT1360" s="47"/>
    </row>
    <row r="1361">
      <c r="A1361" s="24"/>
      <c r="B1361" s="48"/>
      <c r="C1361" s="49"/>
      <c r="D1361" s="24"/>
      <c r="E1361" s="52"/>
      <c r="F1361" s="53"/>
      <c r="G1361" s="48"/>
      <c r="H1361" s="49"/>
      <c r="I1361" s="49"/>
      <c r="J1361" s="48"/>
      <c r="K1361" s="48"/>
      <c r="L1361" s="48"/>
      <c r="M1361" s="48"/>
      <c r="N1361" s="48"/>
      <c r="O1361" s="48"/>
      <c r="P1361" s="48"/>
      <c r="Q1361" s="48"/>
      <c r="R1361" s="48"/>
      <c r="S1361" s="48"/>
      <c r="T1361" s="48"/>
      <c r="U1361" s="48"/>
      <c r="V1361" s="48"/>
      <c r="W1361" s="49"/>
      <c r="X1361" s="49"/>
      <c r="Y1361" s="49"/>
      <c r="Z1361" s="49"/>
      <c r="AA1361" s="49"/>
      <c r="AB1361" s="49"/>
      <c r="AC1361" s="49"/>
      <c r="AD1361" s="49"/>
      <c r="AE1361" s="49"/>
      <c r="AF1361" s="49"/>
      <c r="AG1361" s="49"/>
      <c r="AH1361" s="49"/>
      <c r="AI1361" s="48"/>
      <c r="AJ1361" s="48"/>
      <c r="AK1361" s="24"/>
      <c r="AL1361" s="50"/>
      <c r="AM1361" s="50"/>
      <c r="AN1361" s="50"/>
      <c r="AO1361" s="50"/>
      <c r="AP1361" s="50"/>
      <c r="AQ1361" s="50"/>
      <c r="AR1361" s="50"/>
      <c r="AS1361" s="50"/>
      <c r="AT1361" s="51"/>
      <c r="AU1361" s="51"/>
      <c r="AV1361" s="51"/>
      <c r="AW1361" s="51"/>
      <c r="AX1361" s="50"/>
      <c r="AY1361" s="50"/>
      <c r="AZ1361" s="50"/>
      <c r="BA1361" s="50"/>
      <c r="BB1361" s="51"/>
      <c r="BC1361" s="51"/>
      <c r="BD1361" s="51"/>
      <c r="BE1361" s="51"/>
      <c r="BF1361" s="47"/>
      <c r="BG1361" s="47"/>
      <c r="BH1361" s="47"/>
      <c r="BI1361" s="47"/>
      <c r="BJ1361" s="47"/>
      <c r="BK1361" s="47"/>
      <c r="BL1361" s="47"/>
      <c r="BM1361" s="47"/>
      <c r="BN1361" s="47"/>
      <c r="BO1361" s="47"/>
      <c r="BP1361" s="47"/>
      <c r="BQ1361" s="47"/>
      <c r="BR1361" s="47"/>
      <c r="BS1361" s="47"/>
      <c r="BT1361" s="47"/>
    </row>
    <row r="1362">
      <c r="A1362" s="24"/>
      <c r="B1362" s="48"/>
      <c r="C1362" s="49"/>
      <c r="D1362" s="24"/>
      <c r="E1362" s="52"/>
      <c r="F1362" s="53"/>
      <c r="G1362" s="48"/>
      <c r="H1362" s="49"/>
      <c r="I1362" s="49"/>
      <c r="J1362" s="48"/>
      <c r="K1362" s="48"/>
      <c r="L1362" s="48"/>
      <c r="M1362" s="48"/>
      <c r="N1362" s="48"/>
      <c r="O1362" s="48"/>
      <c r="P1362" s="48"/>
      <c r="Q1362" s="48"/>
      <c r="R1362" s="48"/>
      <c r="S1362" s="48"/>
      <c r="T1362" s="48"/>
      <c r="U1362" s="48"/>
      <c r="V1362" s="48"/>
      <c r="W1362" s="49"/>
      <c r="X1362" s="49"/>
      <c r="Y1362" s="49"/>
      <c r="Z1362" s="49"/>
      <c r="AA1362" s="49"/>
      <c r="AB1362" s="49"/>
      <c r="AC1362" s="49"/>
      <c r="AD1362" s="49"/>
      <c r="AE1362" s="49"/>
      <c r="AF1362" s="49"/>
      <c r="AG1362" s="49"/>
      <c r="AH1362" s="49"/>
      <c r="AI1362" s="48"/>
      <c r="AJ1362" s="48"/>
      <c r="AK1362" s="24"/>
      <c r="AL1362" s="50"/>
      <c r="AM1362" s="50"/>
      <c r="AN1362" s="50"/>
      <c r="AO1362" s="50"/>
      <c r="AP1362" s="50"/>
      <c r="AQ1362" s="50"/>
      <c r="AR1362" s="50"/>
      <c r="AS1362" s="50"/>
      <c r="AT1362" s="51"/>
      <c r="AU1362" s="51"/>
      <c r="AV1362" s="51"/>
      <c r="AW1362" s="51"/>
      <c r="AX1362" s="50"/>
      <c r="AY1362" s="50"/>
      <c r="AZ1362" s="50"/>
      <c r="BA1362" s="50"/>
      <c r="BB1362" s="51"/>
      <c r="BC1362" s="51"/>
      <c r="BD1362" s="51"/>
      <c r="BE1362" s="51"/>
      <c r="BF1362" s="47"/>
      <c r="BG1362" s="47"/>
      <c r="BH1362" s="47"/>
      <c r="BI1362" s="47"/>
      <c r="BJ1362" s="47"/>
      <c r="BK1362" s="47"/>
      <c r="BL1362" s="47"/>
      <c r="BM1362" s="47"/>
      <c r="BN1362" s="47"/>
      <c r="BO1362" s="47"/>
      <c r="BP1362" s="47"/>
      <c r="BQ1362" s="47"/>
      <c r="BR1362" s="47"/>
      <c r="BS1362" s="47"/>
      <c r="BT1362" s="47"/>
    </row>
    <row r="1363">
      <c r="A1363" s="24"/>
      <c r="B1363" s="48"/>
      <c r="C1363" s="49"/>
      <c r="D1363" s="24"/>
      <c r="E1363" s="52"/>
      <c r="F1363" s="53"/>
      <c r="G1363" s="48"/>
      <c r="H1363" s="49"/>
      <c r="I1363" s="49"/>
      <c r="J1363" s="48"/>
      <c r="K1363" s="48"/>
      <c r="L1363" s="48"/>
      <c r="M1363" s="48"/>
      <c r="N1363" s="48"/>
      <c r="O1363" s="48"/>
      <c r="P1363" s="48"/>
      <c r="Q1363" s="48"/>
      <c r="R1363" s="48"/>
      <c r="S1363" s="48"/>
      <c r="T1363" s="48"/>
      <c r="U1363" s="48"/>
      <c r="V1363" s="48"/>
      <c r="W1363" s="49"/>
      <c r="X1363" s="49"/>
      <c r="Y1363" s="49"/>
      <c r="Z1363" s="49"/>
      <c r="AA1363" s="49"/>
      <c r="AB1363" s="49"/>
      <c r="AC1363" s="49"/>
      <c r="AD1363" s="49"/>
      <c r="AE1363" s="49"/>
      <c r="AF1363" s="49"/>
      <c r="AG1363" s="49"/>
      <c r="AH1363" s="49"/>
      <c r="AI1363" s="48"/>
      <c r="AJ1363" s="48"/>
      <c r="AK1363" s="24"/>
      <c r="AL1363" s="50"/>
      <c r="AM1363" s="50"/>
      <c r="AN1363" s="50"/>
      <c r="AO1363" s="50"/>
      <c r="AP1363" s="50"/>
      <c r="AQ1363" s="50"/>
      <c r="AR1363" s="50"/>
      <c r="AS1363" s="50"/>
      <c r="AT1363" s="51"/>
      <c r="AU1363" s="51"/>
      <c r="AV1363" s="51"/>
      <c r="AW1363" s="51"/>
      <c r="AX1363" s="50"/>
      <c r="AY1363" s="50"/>
      <c r="AZ1363" s="50"/>
      <c r="BA1363" s="50"/>
      <c r="BB1363" s="51"/>
      <c r="BC1363" s="51"/>
      <c r="BD1363" s="51"/>
      <c r="BE1363" s="51"/>
      <c r="BF1363" s="47"/>
      <c r="BG1363" s="47"/>
      <c r="BH1363" s="47"/>
      <c r="BI1363" s="47"/>
      <c r="BJ1363" s="47"/>
      <c r="BK1363" s="47"/>
      <c r="BL1363" s="47"/>
      <c r="BM1363" s="47"/>
      <c r="BN1363" s="47"/>
      <c r="BO1363" s="47"/>
      <c r="BP1363" s="47"/>
      <c r="BQ1363" s="47"/>
      <c r="BR1363" s="47"/>
      <c r="BS1363" s="47"/>
      <c r="BT1363" s="47"/>
    </row>
    <row r="1364">
      <c r="A1364" s="24"/>
      <c r="B1364" s="48"/>
      <c r="C1364" s="49"/>
      <c r="D1364" s="24"/>
      <c r="E1364" s="52"/>
      <c r="F1364" s="53"/>
      <c r="G1364" s="48"/>
      <c r="H1364" s="49"/>
      <c r="I1364" s="49"/>
      <c r="J1364" s="48"/>
      <c r="K1364" s="48"/>
      <c r="L1364" s="48"/>
      <c r="M1364" s="48"/>
      <c r="N1364" s="48"/>
      <c r="O1364" s="48"/>
      <c r="P1364" s="48"/>
      <c r="Q1364" s="48"/>
      <c r="R1364" s="48"/>
      <c r="S1364" s="48"/>
      <c r="T1364" s="48"/>
      <c r="U1364" s="48"/>
      <c r="V1364" s="48"/>
      <c r="W1364" s="49"/>
      <c r="X1364" s="49"/>
      <c r="Y1364" s="49"/>
      <c r="Z1364" s="49"/>
      <c r="AA1364" s="49"/>
      <c r="AB1364" s="49"/>
      <c r="AC1364" s="49"/>
      <c r="AD1364" s="49"/>
      <c r="AE1364" s="49"/>
      <c r="AF1364" s="49"/>
      <c r="AG1364" s="49"/>
      <c r="AH1364" s="49"/>
      <c r="AI1364" s="48"/>
      <c r="AJ1364" s="48"/>
      <c r="AK1364" s="24"/>
      <c r="AL1364" s="50"/>
      <c r="AM1364" s="50"/>
      <c r="AN1364" s="50"/>
      <c r="AO1364" s="50"/>
      <c r="AP1364" s="50"/>
      <c r="AQ1364" s="50"/>
      <c r="AR1364" s="50"/>
      <c r="AS1364" s="50"/>
      <c r="AT1364" s="51"/>
      <c r="AU1364" s="51"/>
      <c r="AV1364" s="51"/>
      <c r="AW1364" s="51"/>
      <c r="AX1364" s="50"/>
      <c r="AY1364" s="50"/>
      <c r="AZ1364" s="50"/>
      <c r="BA1364" s="50"/>
      <c r="BB1364" s="51"/>
      <c r="BC1364" s="51"/>
      <c r="BD1364" s="51"/>
      <c r="BE1364" s="51"/>
      <c r="BF1364" s="47"/>
      <c r="BG1364" s="47"/>
      <c r="BH1364" s="47"/>
      <c r="BI1364" s="47"/>
      <c r="BJ1364" s="47"/>
      <c r="BK1364" s="47"/>
      <c r="BL1364" s="47"/>
      <c r="BM1364" s="47"/>
      <c r="BN1364" s="47"/>
      <c r="BO1364" s="47"/>
      <c r="BP1364" s="47"/>
      <c r="BQ1364" s="47"/>
      <c r="BR1364" s="47"/>
      <c r="BS1364" s="47"/>
      <c r="BT1364" s="47"/>
    </row>
    <row r="1365">
      <c r="A1365" s="24"/>
      <c r="B1365" s="48"/>
      <c r="C1365" s="49"/>
      <c r="D1365" s="24"/>
      <c r="E1365" s="52"/>
      <c r="F1365" s="53"/>
      <c r="G1365" s="48"/>
      <c r="H1365" s="49"/>
      <c r="I1365" s="49"/>
      <c r="J1365" s="48"/>
      <c r="K1365" s="48"/>
      <c r="L1365" s="48"/>
      <c r="M1365" s="48"/>
      <c r="N1365" s="48"/>
      <c r="O1365" s="48"/>
      <c r="P1365" s="48"/>
      <c r="Q1365" s="48"/>
      <c r="R1365" s="48"/>
      <c r="S1365" s="48"/>
      <c r="T1365" s="48"/>
      <c r="U1365" s="48"/>
      <c r="V1365" s="48"/>
      <c r="W1365" s="49"/>
      <c r="X1365" s="49"/>
      <c r="Y1365" s="49"/>
      <c r="Z1365" s="49"/>
      <c r="AA1365" s="49"/>
      <c r="AB1365" s="49"/>
      <c r="AC1365" s="49"/>
      <c r="AD1365" s="49"/>
      <c r="AE1365" s="49"/>
      <c r="AF1365" s="49"/>
      <c r="AG1365" s="49"/>
      <c r="AH1365" s="49"/>
      <c r="AI1365" s="48"/>
      <c r="AJ1365" s="48"/>
      <c r="AK1365" s="24"/>
      <c r="AL1365" s="50"/>
      <c r="AM1365" s="50"/>
      <c r="AN1365" s="50"/>
      <c r="AO1365" s="50"/>
      <c r="AP1365" s="50"/>
      <c r="AQ1365" s="50"/>
      <c r="AR1365" s="50"/>
      <c r="AS1365" s="50"/>
      <c r="AT1365" s="51"/>
      <c r="AU1365" s="51"/>
      <c r="AV1365" s="51"/>
      <c r="AW1365" s="51"/>
      <c r="AX1365" s="50"/>
      <c r="AY1365" s="50"/>
      <c r="AZ1365" s="50"/>
      <c r="BA1365" s="50"/>
      <c r="BB1365" s="51"/>
      <c r="BC1365" s="51"/>
      <c r="BD1365" s="51"/>
      <c r="BE1365" s="51"/>
      <c r="BF1365" s="47"/>
      <c r="BG1365" s="47"/>
      <c r="BH1365" s="47"/>
      <c r="BI1365" s="47"/>
      <c r="BJ1365" s="47"/>
      <c r="BK1365" s="47"/>
      <c r="BL1365" s="47"/>
      <c r="BM1365" s="47"/>
      <c r="BN1365" s="47"/>
      <c r="BO1365" s="47"/>
      <c r="BP1365" s="47"/>
      <c r="BQ1365" s="47"/>
      <c r="BR1365" s="47"/>
      <c r="BS1365" s="47"/>
      <c r="BT1365" s="47"/>
    </row>
    <row r="1366">
      <c r="A1366" s="24"/>
      <c r="B1366" s="48"/>
      <c r="C1366" s="49"/>
      <c r="D1366" s="24"/>
      <c r="E1366" s="52"/>
      <c r="F1366" s="53"/>
      <c r="G1366" s="48"/>
      <c r="H1366" s="49"/>
      <c r="I1366" s="49"/>
      <c r="J1366" s="48"/>
      <c r="K1366" s="48"/>
      <c r="L1366" s="48"/>
      <c r="M1366" s="48"/>
      <c r="N1366" s="48"/>
      <c r="O1366" s="48"/>
      <c r="P1366" s="48"/>
      <c r="Q1366" s="48"/>
      <c r="R1366" s="48"/>
      <c r="S1366" s="48"/>
      <c r="T1366" s="48"/>
      <c r="U1366" s="48"/>
      <c r="V1366" s="48"/>
      <c r="W1366" s="49"/>
      <c r="X1366" s="49"/>
      <c r="Y1366" s="49"/>
      <c r="Z1366" s="49"/>
      <c r="AA1366" s="49"/>
      <c r="AB1366" s="49"/>
      <c r="AC1366" s="49"/>
      <c r="AD1366" s="49"/>
      <c r="AE1366" s="49"/>
      <c r="AF1366" s="49"/>
      <c r="AG1366" s="49"/>
      <c r="AH1366" s="49"/>
      <c r="AI1366" s="48"/>
      <c r="AJ1366" s="48"/>
      <c r="AK1366" s="24"/>
      <c r="AL1366" s="50"/>
      <c r="AM1366" s="50"/>
      <c r="AN1366" s="50"/>
      <c r="AO1366" s="50"/>
      <c r="AP1366" s="50"/>
      <c r="AQ1366" s="50"/>
      <c r="AR1366" s="50"/>
      <c r="AS1366" s="50"/>
      <c r="AT1366" s="51"/>
      <c r="AU1366" s="51"/>
      <c r="AV1366" s="51"/>
      <c r="AW1366" s="51"/>
      <c r="AX1366" s="50"/>
      <c r="AY1366" s="50"/>
      <c r="AZ1366" s="50"/>
      <c r="BA1366" s="50"/>
      <c r="BB1366" s="51"/>
      <c r="BC1366" s="51"/>
      <c r="BD1366" s="51"/>
      <c r="BE1366" s="51"/>
      <c r="BF1366" s="47"/>
      <c r="BG1366" s="47"/>
      <c r="BH1366" s="47"/>
      <c r="BI1366" s="47"/>
      <c r="BJ1366" s="47"/>
      <c r="BK1366" s="47"/>
      <c r="BL1366" s="47"/>
      <c r="BM1366" s="47"/>
      <c r="BN1366" s="47"/>
      <c r="BO1366" s="47"/>
      <c r="BP1366" s="47"/>
      <c r="BQ1366" s="47"/>
      <c r="BR1366" s="47"/>
      <c r="BS1366" s="47"/>
      <c r="BT1366" s="47"/>
    </row>
    <row r="1367">
      <c r="A1367" s="24"/>
      <c r="B1367" s="48"/>
      <c r="C1367" s="49"/>
      <c r="D1367" s="24"/>
      <c r="E1367" s="52"/>
      <c r="F1367" s="53"/>
      <c r="G1367" s="48"/>
      <c r="H1367" s="49"/>
      <c r="I1367" s="49"/>
      <c r="J1367" s="48"/>
      <c r="K1367" s="48"/>
      <c r="L1367" s="48"/>
      <c r="M1367" s="48"/>
      <c r="N1367" s="48"/>
      <c r="O1367" s="48"/>
      <c r="P1367" s="48"/>
      <c r="Q1367" s="48"/>
      <c r="R1367" s="48"/>
      <c r="S1367" s="48"/>
      <c r="T1367" s="48"/>
      <c r="U1367" s="48"/>
      <c r="V1367" s="48"/>
      <c r="W1367" s="49"/>
      <c r="X1367" s="49"/>
      <c r="Y1367" s="49"/>
      <c r="Z1367" s="49"/>
      <c r="AA1367" s="49"/>
      <c r="AB1367" s="49"/>
      <c r="AC1367" s="49"/>
      <c r="AD1367" s="49"/>
      <c r="AE1367" s="49"/>
      <c r="AF1367" s="49"/>
      <c r="AG1367" s="49"/>
      <c r="AH1367" s="49"/>
      <c r="AI1367" s="48"/>
      <c r="AJ1367" s="48"/>
      <c r="AK1367" s="24"/>
      <c r="AL1367" s="50"/>
      <c r="AM1367" s="50"/>
      <c r="AN1367" s="50"/>
      <c r="AO1367" s="50"/>
      <c r="AP1367" s="50"/>
      <c r="AQ1367" s="50"/>
      <c r="AR1367" s="50"/>
      <c r="AS1367" s="50"/>
      <c r="AT1367" s="51"/>
      <c r="AU1367" s="51"/>
      <c r="AV1367" s="51"/>
      <c r="AW1367" s="51"/>
      <c r="AX1367" s="50"/>
      <c r="AY1367" s="50"/>
      <c r="AZ1367" s="50"/>
      <c r="BA1367" s="50"/>
      <c r="BB1367" s="51"/>
      <c r="BC1367" s="51"/>
      <c r="BD1367" s="51"/>
      <c r="BE1367" s="51"/>
      <c r="BF1367" s="47"/>
      <c r="BG1367" s="47"/>
      <c r="BH1367" s="47"/>
      <c r="BI1367" s="47"/>
      <c r="BJ1367" s="47"/>
      <c r="BK1367" s="47"/>
      <c r="BL1367" s="47"/>
      <c r="BM1367" s="47"/>
      <c r="BN1367" s="47"/>
      <c r="BO1367" s="47"/>
      <c r="BP1367" s="47"/>
      <c r="BQ1367" s="47"/>
      <c r="BR1367" s="47"/>
      <c r="BS1367" s="47"/>
      <c r="BT1367" s="47"/>
    </row>
    <row r="1368">
      <c r="A1368" s="24"/>
      <c r="B1368" s="48"/>
      <c r="C1368" s="49"/>
      <c r="D1368" s="24"/>
      <c r="E1368" s="52"/>
      <c r="F1368" s="53"/>
      <c r="G1368" s="48"/>
      <c r="H1368" s="49"/>
      <c r="I1368" s="49"/>
      <c r="J1368" s="48"/>
      <c r="K1368" s="48"/>
      <c r="L1368" s="48"/>
      <c r="M1368" s="48"/>
      <c r="N1368" s="48"/>
      <c r="O1368" s="48"/>
      <c r="P1368" s="48"/>
      <c r="Q1368" s="48"/>
      <c r="R1368" s="48"/>
      <c r="S1368" s="48"/>
      <c r="T1368" s="48"/>
      <c r="U1368" s="48"/>
      <c r="V1368" s="48"/>
      <c r="W1368" s="49"/>
      <c r="X1368" s="49"/>
      <c r="Y1368" s="49"/>
      <c r="Z1368" s="49"/>
      <c r="AA1368" s="49"/>
      <c r="AB1368" s="49"/>
      <c r="AC1368" s="49"/>
      <c r="AD1368" s="49"/>
      <c r="AE1368" s="49"/>
      <c r="AF1368" s="49"/>
      <c r="AG1368" s="49"/>
      <c r="AH1368" s="49"/>
      <c r="AI1368" s="48"/>
      <c r="AJ1368" s="48"/>
      <c r="AK1368" s="24"/>
      <c r="AL1368" s="50"/>
      <c r="AM1368" s="50"/>
      <c r="AN1368" s="50"/>
      <c r="AO1368" s="50"/>
      <c r="AP1368" s="50"/>
      <c r="AQ1368" s="50"/>
      <c r="AR1368" s="50"/>
      <c r="AS1368" s="50"/>
      <c r="AT1368" s="51"/>
      <c r="AU1368" s="51"/>
      <c r="AV1368" s="51"/>
      <c r="AW1368" s="51"/>
      <c r="AX1368" s="50"/>
      <c r="AY1368" s="50"/>
      <c r="AZ1368" s="50"/>
      <c r="BA1368" s="50"/>
      <c r="BB1368" s="51"/>
      <c r="BC1368" s="51"/>
      <c r="BD1368" s="51"/>
      <c r="BE1368" s="51"/>
      <c r="BF1368" s="47"/>
      <c r="BG1368" s="47"/>
      <c r="BH1368" s="47"/>
      <c r="BI1368" s="47"/>
      <c r="BJ1368" s="47"/>
      <c r="BK1368" s="47"/>
      <c r="BL1368" s="47"/>
      <c r="BM1368" s="47"/>
      <c r="BN1368" s="47"/>
      <c r="BO1368" s="47"/>
      <c r="BP1368" s="47"/>
      <c r="BQ1368" s="47"/>
      <c r="BR1368" s="47"/>
      <c r="BS1368" s="47"/>
      <c r="BT1368" s="47"/>
    </row>
    <row r="1369">
      <c r="A1369" s="24"/>
      <c r="B1369" s="48"/>
      <c r="C1369" s="49"/>
      <c r="D1369" s="24"/>
      <c r="E1369" s="52"/>
      <c r="F1369" s="53"/>
      <c r="G1369" s="48"/>
      <c r="H1369" s="49"/>
      <c r="I1369" s="49"/>
      <c r="J1369" s="48"/>
      <c r="K1369" s="48"/>
      <c r="L1369" s="48"/>
      <c r="M1369" s="48"/>
      <c r="N1369" s="48"/>
      <c r="O1369" s="48"/>
      <c r="P1369" s="48"/>
      <c r="Q1369" s="48"/>
      <c r="R1369" s="48"/>
      <c r="S1369" s="48"/>
      <c r="T1369" s="48"/>
      <c r="U1369" s="48"/>
      <c r="V1369" s="48"/>
      <c r="W1369" s="49"/>
      <c r="X1369" s="49"/>
      <c r="Y1369" s="49"/>
      <c r="Z1369" s="49"/>
      <c r="AA1369" s="49"/>
      <c r="AB1369" s="49"/>
      <c r="AC1369" s="49"/>
      <c r="AD1369" s="49"/>
      <c r="AE1369" s="49"/>
      <c r="AF1369" s="49"/>
      <c r="AG1369" s="49"/>
      <c r="AH1369" s="49"/>
      <c r="AI1369" s="48"/>
      <c r="AJ1369" s="48"/>
      <c r="AK1369" s="24"/>
      <c r="AL1369" s="50"/>
      <c r="AM1369" s="50"/>
      <c r="AN1369" s="50"/>
      <c r="AO1369" s="50"/>
      <c r="AP1369" s="50"/>
      <c r="AQ1369" s="50"/>
      <c r="AR1369" s="50"/>
      <c r="AS1369" s="50"/>
      <c r="AT1369" s="51"/>
      <c r="AU1369" s="51"/>
      <c r="AV1369" s="51"/>
      <c r="AW1369" s="51"/>
      <c r="AX1369" s="50"/>
      <c r="AY1369" s="50"/>
      <c r="AZ1369" s="50"/>
      <c r="BA1369" s="50"/>
      <c r="BB1369" s="51"/>
      <c r="BC1369" s="51"/>
      <c r="BD1369" s="51"/>
      <c r="BE1369" s="51"/>
      <c r="BF1369" s="47"/>
      <c r="BG1369" s="47"/>
      <c r="BH1369" s="47"/>
      <c r="BI1369" s="47"/>
      <c r="BJ1369" s="47"/>
      <c r="BK1369" s="47"/>
      <c r="BL1369" s="47"/>
      <c r="BM1369" s="47"/>
      <c r="BN1369" s="47"/>
      <c r="BO1369" s="47"/>
      <c r="BP1369" s="47"/>
      <c r="BQ1369" s="47"/>
      <c r="BR1369" s="47"/>
      <c r="BS1369" s="47"/>
      <c r="BT1369" s="47"/>
    </row>
    <row r="1370">
      <c r="A1370" s="24"/>
      <c r="B1370" s="48"/>
      <c r="C1370" s="49"/>
      <c r="D1370" s="24"/>
      <c r="E1370" s="52"/>
      <c r="F1370" s="53"/>
      <c r="G1370" s="48"/>
      <c r="H1370" s="49"/>
      <c r="I1370" s="49"/>
      <c r="J1370" s="48"/>
      <c r="K1370" s="48"/>
      <c r="L1370" s="48"/>
      <c r="M1370" s="48"/>
      <c r="N1370" s="48"/>
      <c r="O1370" s="48"/>
      <c r="P1370" s="48"/>
      <c r="Q1370" s="48"/>
      <c r="R1370" s="48"/>
      <c r="S1370" s="48"/>
      <c r="T1370" s="48"/>
      <c r="U1370" s="48"/>
      <c r="V1370" s="48"/>
      <c r="W1370" s="49"/>
      <c r="X1370" s="49"/>
      <c r="Y1370" s="49"/>
      <c r="Z1370" s="49"/>
      <c r="AA1370" s="49"/>
      <c r="AB1370" s="49"/>
      <c r="AC1370" s="49"/>
      <c r="AD1370" s="49"/>
      <c r="AE1370" s="49"/>
      <c r="AF1370" s="49"/>
      <c r="AG1370" s="49"/>
      <c r="AH1370" s="49"/>
      <c r="AI1370" s="48"/>
      <c r="AJ1370" s="48"/>
      <c r="AK1370" s="24"/>
      <c r="AL1370" s="50"/>
      <c r="AM1370" s="50"/>
      <c r="AN1370" s="50"/>
      <c r="AO1370" s="50"/>
      <c r="AP1370" s="50"/>
      <c r="AQ1370" s="50"/>
      <c r="AR1370" s="50"/>
      <c r="AS1370" s="50"/>
      <c r="AT1370" s="51"/>
      <c r="AU1370" s="51"/>
      <c r="AV1370" s="51"/>
      <c r="AW1370" s="51"/>
      <c r="AX1370" s="50"/>
      <c r="AY1370" s="50"/>
      <c r="AZ1370" s="50"/>
      <c r="BA1370" s="50"/>
      <c r="BB1370" s="51"/>
      <c r="BC1370" s="51"/>
      <c r="BD1370" s="51"/>
      <c r="BE1370" s="51"/>
      <c r="BF1370" s="47"/>
      <c r="BG1370" s="47"/>
      <c r="BH1370" s="47"/>
      <c r="BI1370" s="47"/>
      <c r="BJ1370" s="47"/>
      <c r="BK1370" s="47"/>
      <c r="BL1370" s="47"/>
      <c r="BM1370" s="47"/>
      <c r="BN1370" s="47"/>
      <c r="BO1370" s="47"/>
      <c r="BP1370" s="47"/>
      <c r="BQ1370" s="47"/>
      <c r="BR1370" s="47"/>
      <c r="BS1370" s="47"/>
      <c r="BT1370" s="47"/>
    </row>
    <row r="1371">
      <c r="A1371" s="24"/>
      <c r="B1371" s="48"/>
      <c r="C1371" s="49"/>
      <c r="D1371" s="24"/>
      <c r="E1371" s="52"/>
      <c r="F1371" s="53"/>
      <c r="G1371" s="48"/>
      <c r="H1371" s="49"/>
      <c r="I1371" s="49"/>
      <c r="J1371" s="48"/>
      <c r="K1371" s="48"/>
      <c r="L1371" s="48"/>
      <c r="M1371" s="48"/>
      <c r="N1371" s="48"/>
      <c r="O1371" s="48"/>
      <c r="P1371" s="48"/>
      <c r="Q1371" s="48"/>
      <c r="R1371" s="48"/>
      <c r="S1371" s="48"/>
      <c r="T1371" s="48"/>
      <c r="U1371" s="48"/>
      <c r="V1371" s="48"/>
      <c r="W1371" s="49"/>
      <c r="X1371" s="49"/>
      <c r="Y1371" s="49"/>
      <c r="Z1371" s="49"/>
      <c r="AA1371" s="49"/>
      <c r="AB1371" s="49"/>
      <c r="AC1371" s="49"/>
      <c r="AD1371" s="49"/>
      <c r="AE1371" s="49"/>
      <c r="AF1371" s="49"/>
      <c r="AG1371" s="49"/>
      <c r="AH1371" s="49"/>
      <c r="AI1371" s="48"/>
      <c r="AJ1371" s="48"/>
      <c r="AK1371" s="24"/>
      <c r="AL1371" s="50"/>
      <c r="AM1371" s="50"/>
      <c r="AN1371" s="50"/>
      <c r="AO1371" s="50"/>
      <c r="AP1371" s="50"/>
      <c r="AQ1371" s="50"/>
      <c r="AR1371" s="50"/>
      <c r="AS1371" s="50"/>
      <c r="AT1371" s="51"/>
      <c r="AU1371" s="51"/>
      <c r="AV1371" s="51"/>
      <c r="AW1371" s="51"/>
      <c r="AX1371" s="50"/>
      <c r="AY1371" s="50"/>
      <c r="AZ1371" s="50"/>
      <c r="BA1371" s="50"/>
      <c r="BB1371" s="51"/>
      <c r="BC1371" s="51"/>
      <c r="BD1371" s="51"/>
      <c r="BE1371" s="51"/>
      <c r="BF1371" s="47"/>
      <c r="BG1371" s="47"/>
      <c r="BH1371" s="47"/>
      <c r="BI1371" s="47"/>
      <c r="BJ1371" s="47"/>
      <c r="BK1371" s="47"/>
      <c r="BL1371" s="47"/>
      <c r="BM1371" s="47"/>
      <c r="BN1371" s="47"/>
      <c r="BO1371" s="47"/>
      <c r="BP1371" s="47"/>
      <c r="BQ1371" s="47"/>
      <c r="BR1371" s="47"/>
      <c r="BS1371" s="47"/>
      <c r="BT1371" s="47"/>
    </row>
    <row r="1372">
      <c r="A1372" s="24"/>
      <c r="B1372" s="48"/>
      <c r="C1372" s="49"/>
      <c r="D1372" s="24"/>
      <c r="E1372" s="52"/>
      <c r="F1372" s="53"/>
      <c r="G1372" s="48"/>
      <c r="H1372" s="49"/>
      <c r="I1372" s="49"/>
      <c r="J1372" s="48"/>
      <c r="K1372" s="48"/>
      <c r="L1372" s="48"/>
      <c r="M1372" s="48"/>
      <c r="N1372" s="48"/>
      <c r="O1372" s="48"/>
      <c r="P1372" s="48"/>
      <c r="Q1372" s="48"/>
      <c r="R1372" s="48"/>
      <c r="S1372" s="48"/>
      <c r="T1372" s="48"/>
      <c r="U1372" s="48"/>
      <c r="V1372" s="48"/>
      <c r="W1372" s="49"/>
      <c r="X1372" s="49"/>
      <c r="Y1372" s="49"/>
      <c r="Z1372" s="49"/>
      <c r="AA1372" s="49"/>
      <c r="AB1372" s="49"/>
      <c r="AC1372" s="49"/>
      <c r="AD1372" s="49"/>
      <c r="AE1372" s="49"/>
      <c r="AF1372" s="49"/>
      <c r="AG1372" s="49"/>
      <c r="AH1372" s="49"/>
      <c r="AI1372" s="48"/>
      <c r="AJ1372" s="48"/>
      <c r="AK1372" s="24"/>
      <c r="AL1372" s="50"/>
      <c r="AM1372" s="50"/>
      <c r="AN1372" s="50"/>
      <c r="AO1372" s="50"/>
      <c r="AP1372" s="50"/>
      <c r="AQ1372" s="50"/>
      <c r="AR1372" s="50"/>
      <c r="AS1372" s="50"/>
      <c r="AT1372" s="51"/>
      <c r="AU1372" s="51"/>
      <c r="AV1372" s="51"/>
      <c r="AW1372" s="51"/>
      <c r="AX1372" s="50"/>
      <c r="AY1372" s="50"/>
      <c r="AZ1372" s="50"/>
      <c r="BA1372" s="50"/>
      <c r="BB1372" s="51"/>
      <c r="BC1372" s="51"/>
      <c r="BD1372" s="51"/>
      <c r="BE1372" s="51"/>
      <c r="BF1372" s="47"/>
      <c r="BG1372" s="47"/>
      <c r="BH1372" s="47"/>
      <c r="BI1372" s="47"/>
      <c r="BJ1372" s="47"/>
      <c r="BK1372" s="47"/>
      <c r="BL1372" s="47"/>
      <c r="BM1372" s="47"/>
      <c r="BN1372" s="47"/>
      <c r="BO1372" s="47"/>
      <c r="BP1372" s="47"/>
      <c r="BQ1372" s="47"/>
      <c r="BR1372" s="47"/>
      <c r="BS1372" s="47"/>
      <c r="BT1372" s="47"/>
    </row>
    <row r="1373">
      <c r="A1373" s="24"/>
      <c r="B1373" s="48"/>
      <c r="C1373" s="49"/>
      <c r="D1373" s="24"/>
      <c r="E1373" s="52"/>
      <c r="F1373" s="53"/>
      <c r="G1373" s="48"/>
      <c r="H1373" s="49"/>
      <c r="I1373" s="49"/>
      <c r="J1373" s="48"/>
      <c r="K1373" s="48"/>
      <c r="L1373" s="48"/>
      <c r="M1373" s="48"/>
      <c r="N1373" s="48"/>
      <c r="O1373" s="48"/>
      <c r="P1373" s="48"/>
      <c r="Q1373" s="48"/>
      <c r="R1373" s="48"/>
      <c r="S1373" s="48"/>
      <c r="T1373" s="48"/>
      <c r="U1373" s="48"/>
      <c r="V1373" s="48"/>
      <c r="W1373" s="49"/>
      <c r="X1373" s="49"/>
      <c r="Y1373" s="49"/>
      <c r="Z1373" s="49"/>
      <c r="AA1373" s="49"/>
      <c r="AB1373" s="49"/>
      <c r="AC1373" s="49"/>
      <c r="AD1373" s="49"/>
      <c r="AE1373" s="49"/>
      <c r="AF1373" s="49"/>
      <c r="AG1373" s="49"/>
      <c r="AH1373" s="49"/>
      <c r="AI1373" s="48"/>
      <c r="AJ1373" s="48"/>
      <c r="AK1373" s="24"/>
      <c r="AL1373" s="50"/>
      <c r="AM1373" s="50"/>
      <c r="AN1373" s="50"/>
      <c r="AO1373" s="50"/>
      <c r="AP1373" s="50"/>
      <c r="AQ1373" s="50"/>
      <c r="AR1373" s="50"/>
      <c r="AS1373" s="50"/>
      <c r="AT1373" s="51"/>
      <c r="AU1373" s="51"/>
      <c r="AV1373" s="51"/>
      <c r="AW1373" s="51"/>
      <c r="AX1373" s="50"/>
      <c r="AY1373" s="50"/>
      <c r="AZ1373" s="50"/>
      <c r="BA1373" s="50"/>
      <c r="BB1373" s="51"/>
      <c r="BC1373" s="51"/>
      <c r="BD1373" s="51"/>
      <c r="BE1373" s="51"/>
      <c r="BF1373" s="47"/>
      <c r="BG1373" s="47"/>
      <c r="BH1373" s="47"/>
      <c r="BI1373" s="47"/>
      <c r="BJ1373" s="47"/>
      <c r="BK1373" s="47"/>
      <c r="BL1373" s="47"/>
      <c r="BM1373" s="47"/>
      <c r="BN1373" s="47"/>
      <c r="BO1373" s="47"/>
      <c r="BP1373" s="47"/>
      <c r="BQ1373" s="47"/>
      <c r="BR1373" s="47"/>
      <c r="BS1373" s="47"/>
      <c r="BT1373" s="47"/>
    </row>
    <row r="1374">
      <c r="A1374" s="24"/>
      <c r="B1374" s="48"/>
      <c r="C1374" s="49"/>
      <c r="D1374" s="24"/>
      <c r="E1374" s="52"/>
      <c r="F1374" s="53"/>
      <c r="G1374" s="48"/>
      <c r="H1374" s="49"/>
      <c r="I1374" s="49"/>
      <c r="J1374" s="48"/>
      <c r="K1374" s="48"/>
      <c r="L1374" s="48"/>
      <c r="M1374" s="48"/>
      <c r="N1374" s="48"/>
      <c r="O1374" s="48"/>
      <c r="P1374" s="48"/>
      <c r="Q1374" s="48"/>
      <c r="R1374" s="48"/>
      <c r="S1374" s="48"/>
      <c r="T1374" s="48"/>
      <c r="U1374" s="48"/>
      <c r="V1374" s="48"/>
      <c r="W1374" s="49"/>
      <c r="X1374" s="49"/>
      <c r="Y1374" s="49"/>
      <c r="Z1374" s="49"/>
      <c r="AA1374" s="49"/>
      <c r="AB1374" s="49"/>
      <c r="AC1374" s="49"/>
      <c r="AD1374" s="49"/>
      <c r="AE1374" s="49"/>
      <c r="AF1374" s="49"/>
      <c r="AG1374" s="49"/>
      <c r="AH1374" s="49"/>
      <c r="AI1374" s="48"/>
      <c r="AJ1374" s="48"/>
      <c r="AK1374" s="24"/>
      <c r="AL1374" s="50"/>
      <c r="AM1374" s="50"/>
      <c r="AN1374" s="50"/>
      <c r="AO1374" s="50"/>
      <c r="AP1374" s="50"/>
      <c r="AQ1374" s="50"/>
      <c r="AR1374" s="50"/>
      <c r="AS1374" s="50"/>
      <c r="AT1374" s="51"/>
      <c r="AU1374" s="51"/>
      <c r="AV1374" s="51"/>
      <c r="AW1374" s="51"/>
      <c r="AX1374" s="50"/>
      <c r="AY1374" s="50"/>
      <c r="AZ1374" s="50"/>
      <c r="BA1374" s="50"/>
      <c r="BB1374" s="51"/>
      <c r="BC1374" s="51"/>
      <c r="BD1374" s="51"/>
      <c r="BE1374" s="51"/>
      <c r="BF1374" s="47"/>
      <c r="BG1374" s="47"/>
      <c r="BH1374" s="47"/>
      <c r="BI1374" s="47"/>
      <c r="BJ1374" s="47"/>
      <c r="BK1374" s="47"/>
      <c r="BL1374" s="47"/>
      <c r="BM1374" s="47"/>
      <c r="BN1374" s="47"/>
      <c r="BO1374" s="47"/>
      <c r="BP1374" s="47"/>
      <c r="BQ1374" s="47"/>
      <c r="BR1374" s="47"/>
      <c r="BS1374" s="47"/>
      <c r="BT1374" s="47"/>
    </row>
    <row r="1375">
      <c r="A1375" s="24"/>
      <c r="B1375" s="48"/>
      <c r="C1375" s="49"/>
      <c r="D1375" s="24"/>
      <c r="E1375" s="52"/>
      <c r="F1375" s="53"/>
      <c r="G1375" s="48"/>
      <c r="H1375" s="49"/>
      <c r="I1375" s="49"/>
      <c r="J1375" s="48"/>
      <c r="K1375" s="48"/>
      <c r="L1375" s="48"/>
      <c r="M1375" s="48"/>
      <c r="N1375" s="48"/>
      <c r="O1375" s="48"/>
      <c r="P1375" s="48"/>
      <c r="Q1375" s="48"/>
      <c r="R1375" s="48"/>
      <c r="S1375" s="48"/>
      <c r="T1375" s="48"/>
      <c r="U1375" s="48"/>
      <c r="V1375" s="48"/>
      <c r="W1375" s="49"/>
      <c r="X1375" s="49"/>
      <c r="Y1375" s="49"/>
      <c r="Z1375" s="49"/>
      <c r="AA1375" s="49"/>
      <c r="AB1375" s="49"/>
      <c r="AC1375" s="49"/>
      <c r="AD1375" s="49"/>
      <c r="AE1375" s="49"/>
      <c r="AF1375" s="49"/>
      <c r="AG1375" s="49"/>
      <c r="AH1375" s="49"/>
      <c r="AI1375" s="48"/>
      <c r="AJ1375" s="48"/>
      <c r="AK1375" s="24"/>
      <c r="AL1375" s="50"/>
      <c r="AM1375" s="50"/>
      <c r="AN1375" s="50"/>
      <c r="AO1375" s="50"/>
      <c r="AP1375" s="50"/>
      <c r="AQ1375" s="50"/>
      <c r="AR1375" s="50"/>
      <c r="AS1375" s="50"/>
      <c r="AT1375" s="51"/>
      <c r="AU1375" s="51"/>
      <c r="AV1375" s="51"/>
      <c r="AW1375" s="51"/>
      <c r="AX1375" s="50"/>
      <c r="AY1375" s="50"/>
      <c r="AZ1375" s="50"/>
      <c r="BA1375" s="50"/>
      <c r="BB1375" s="51"/>
      <c r="BC1375" s="51"/>
      <c r="BD1375" s="51"/>
      <c r="BE1375" s="51"/>
      <c r="BF1375" s="47"/>
      <c r="BG1375" s="47"/>
      <c r="BH1375" s="47"/>
      <c r="BI1375" s="47"/>
      <c r="BJ1375" s="47"/>
      <c r="BK1375" s="47"/>
      <c r="BL1375" s="47"/>
      <c r="BM1375" s="47"/>
      <c r="BN1375" s="47"/>
      <c r="BO1375" s="47"/>
      <c r="BP1375" s="47"/>
      <c r="BQ1375" s="47"/>
      <c r="BR1375" s="47"/>
      <c r="BS1375" s="47"/>
      <c r="BT1375" s="47"/>
    </row>
    <row r="1376">
      <c r="A1376" s="24"/>
      <c r="B1376" s="48"/>
      <c r="C1376" s="49"/>
      <c r="D1376" s="24"/>
      <c r="E1376" s="52"/>
      <c r="F1376" s="53"/>
      <c r="G1376" s="48"/>
      <c r="H1376" s="49"/>
      <c r="I1376" s="49"/>
      <c r="J1376" s="48"/>
      <c r="K1376" s="48"/>
      <c r="L1376" s="48"/>
      <c r="M1376" s="48"/>
      <c r="N1376" s="48"/>
      <c r="O1376" s="48"/>
      <c r="P1376" s="48"/>
      <c r="Q1376" s="48"/>
      <c r="R1376" s="48"/>
      <c r="S1376" s="48"/>
      <c r="T1376" s="48"/>
      <c r="U1376" s="48"/>
      <c r="V1376" s="48"/>
      <c r="W1376" s="49"/>
      <c r="X1376" s="49"/>
      <c r="Y1376" s="49"/>
      <c r="Z1376" s="49"/>
      <c r="AA1376" s="49"/>
      <c r="AB1376" s="49"/>
      <c r="AC1376" s="49"/>
      <c r="AD1376" s="49"/>
      <c r="AE1376" s="49"/>
      <c r="AF1376" s="49"/>
      <c r="AG1376" s="49"/>
      <c r="AH1376" s="49"/>
      <c r="AI1376" s="48"/>
      <c r="AJ1376" s="48"/>
      <c r="AK1376" s="24"/>
      <c r="AL1376" s="50"/>
      <c r="AM1376" s="50"/>
      <c r="AN1376" s="50"/>
      <c r="AO1376" s="50"/>
      <c r="AP1376" s="50"/>
      <c r="AQ1376" s="50"/>
      <c r="AR1376" s="50"/>
      <c r="AS1376" s="50"/>
      <c r="AT1376" s="51"/>
      <c r="AU1376" s="51"/>
      <c r="AV1376" s="51"/>
      <c r="AW1376" s="51"/>
      <c r="AX1376" s="50"/>
      <c r="AY1376" s="50"/>
      <c r="AZ1376" s="50"/>
      <c r="BA1376" s="50"/>
      <c r="BB1376" s="51"/>
      <c r="BC1376" s="51"/>
      <c r="BD1376" s="51"/>
      <c r="BE1376" s="51"/>
      <c r="BF1376" s="47"/>
      <c r="BG1376" s="47"/>
      <c r="BH1376" s="47"/>
      <c r="BI1376" s="47"/>
      <c r="BJ1376" s="47"/>
      <c r="BK1376" s="47"/>
      <c r="BL1376" s="47"/>
      <c r="BM1376" s="47"/>
      <c r="BN1376" s="47"/>
      <c r="BO1376" s="47"/>
      <c r="BP1376" s="47"/>
      <c r="BQ1376" s="47"/>
      <c r="BR1376" s="47"/>
      <c r="BS1376" s="47"/>
      <c r="BT1376" s="47"/>
    </row>
    <row r="1377">
      <c r="A1377" s="24"/>
      <c r="B1377" s="48"/>
      <c r="C1377" s="49"/>
      <c r="D1377" s="24"/>
      <c r="E1377" s="52"/>
      <c r="F1377" s="53"/>
      <c r="G1377" s="48"/>
      <c r="H1377" s="49"/>
      <c r="I1377" s="49"/>
      <c r="J1377" s="48"/>
      <c r="K1377" s="48"/>
      <c r="L1377" s="48"/>
      <c r="M1377" s="48"/>
      <c r="N1377" s="48"/>
      <c r="O1377" s="48"/>
      <c r="P1377" s="48"/>
      <c r="Q1377" s="48"/>
      <c r="R1377" s="48"/>
      <c r="S1377" s="48"/>
      <c r="T1377" s="48"/>
      <c r="U1377" s="48"/>
      <c r="V1377" s="48"/>
      <c r="W1377" s="49"/>
      <c r="X1377" s="49"/>
      <c r="Y1377" s="49"/>
      <c r="Z1377" s="49"/>
      <c r="AA1377" s="49"/>
      <c r="AB1377" s="49"/>
      <c r="AC1377" s="49"/>
      <c r="AD1377" s="49"/>
      <c r="AE1377" s="49"/>
      <c r="AF1377" s="49"/>
      <c r="AG1377" s="49"/>
      <c r="AH1377" s="49"/>
      <c r="AI1377" s="48"/>
      <c r="AJ1377" s="48"/>
      <c r="AK1377" s="24"/>
      <c r="AL1377" s="50"/>
      <c r="AM1377" s="50"/>
      <c r="AN1377" s="50"/>
      <c r="AO1377" s="50"/>
      <c r="AP1377" s="50"/>
      <c r="AQ1377" s="50"/>
      <c r="AR1377" s="50"/>
      <c r="AS1377" s="50"/>
      <c r="AT1377" s="51"/>
      <c r="AU1377" s="51"/>
      <c r="AV1377" s="51"/>
      <c r="AW1377" s="51"/>
      <c r="AX1377" s="50"/>
      <c r="AY1377" s="50"/>
      <c r="AZ1377" s="50"/>
      <c r="BA1377" s="50"/>
      <c r="BB1377" s="51"/>
      <c r="BC1377" s="51"/>
      <c r="BD1377" s="51"/>
      <c r="BE1377" s="51"/>
      <c r="BF1377" s="47"/>
      <c r="BG1377" s="47"/>
      <c r="BH1377" s="47"/>
      <c r="BI1377" s="47"/>
      <c r="BJ1377" s="47"/>
      <c r="BK1377" s="47"/>
      <c r="BL1377" s="47"/>
      <c r="BM1377" s="47"/>
      <c r="BN1377" s="47"/>
      <c r="BO1377" s="47"/>
      <c r="BP1377" s="47"/>
      <c r="BQ1377" s="47"/>
      <c r="BR1377" s="47"/>
      <c r="BS1377" s="47"/>
      <c r="BT1377" s="47"/>
    </row>
    <row r="1378">
      <c r="A1378" s="24"/>
      <c r="B1378" s="48"/>
      <c r="C1378" s="49"/>
      <c r="D1378" s="24"/>
      <c r="E1378" s="52"/>
      <c r="F1378" s="53"/>
      <c r="G1378" s="48"/>
      <c r="H1378" s="49"/>
      <c r="I1378" s="49"/>
      <c r="J1378" s="48"/>
      <c r="K1378" s="48"/>
      <c r="L1378" s="48"/>
      <c r="M1378" s="48"/>
      <c r="N1378" s="48"/>
      <c r="O1378" s="48"/>
      <c r="P1378" s="48"/>
      <c r="Q1378" s="48"/>
      <c r="R1378" s="48"/>
      <c r="S1378" s="48"/>
      <c r="T1378" s="48"/>
      <c r="U1378" s="48"/>
      <c r="V1378" s="48"/>
      <c r="W1378" s="49"/>
      <c r="X1378" s="49"/>
      <c r="Y1378" s="49"/>
      <c r="Z1378" s="49"/>
      <c r="AA1378" s="49"/>
      <c r="AB1378" s="49"/>
      <c r="AC1378" s="49"/>
      <c r="AD1378" s="49"/>
      <c r="AE1378" s="49"/>
      <c r="AF1378" s="49"/>
      <c r="AG1378" s="49"/>
      <c r="AH1378" s="49"/>
      <c r="AI1378" s="48"/>
      <c r="AJ1378" s="48"/>
      <c r="AK1378" s="24"/>
      <c r="AL1378" s="50"/>
      <c r="AM1378" s="50"/>
      <c r="AN1378" s="50"/>
      <c r="AO1378" s="50"/>
      <c r="AP1378" s="50"/>
      <c r="AQ1378" s="50"/>
      <c r="AR1378" s="50"/>
      <c r="AS1378" s="50"/>
      <c r="AT1378" s="51"/>
      <c r="AU1378" s="51"/>
      <c r="AV1378" s="51"/>
      <c r="AW1378" s="51"/>
      <c r="AX1378" s="50"/>
      <c r="AY1378" s="50"/>
      <c r="AZ1378" s="50"/>
      <c r="BA1378" s="50"/>
      <c r="BB1378" s="51"/>
      <c r="BC1378" s="51"/>
      <c r="BD1378" s="51"/>
      <c r="BE1378" s="51"/>
      <c r="BF1378" s="47"/>
      <c r="BG1378" s="47"/>
      <c r="BH1378" s="47"/>
      <c r="BI1378" s="47"/>
      <c r="BJ1378" s="47"/>
      <c r="BK1378" s="47"/>
      <c r="BL1378" s="47"/>
      <c r="BM1378" s="47"/>
      <c r="BN1378" s="47"/>
      <c r="BO1378" s="47"/>
      <c r="BP1378" s="47"/>
      <c r="BQ1378" s="47"/>
      <c r="BR1378" s="47"/>
      <c r="BS1378" s="47"/>
      <c r="BT1378" s="47"/>
    </row>
    <row r="1379">
      <c r="A1379" s="24"/>
      <c r="B1379" s="48"/>
      <c r="C1379" s="49"/>
      <c r="D1379" s="24"/>
      <c r="E1379" s="52"/>
      <c r="F1379" s="53"/>
      <c r="G1379" s="48"/>
      <c r="H1379" s="49"/>
      <c r="I1379" s="49"/>
      <c r="J1379" s="48"/>
      <c r="K1379" s="48"/>
      <c r="L1379" s="48"/>
      <c r="M1379" s="48"/>
      <c r="N1379" s="48"/>
      <c r="O1379" s="48"/>
      <c r="P1379" s="48"/>
      <c r="Q1379" s="48"/>
      <c r="R1379" s="48"/>
      <c r="S1379" s="48"/>
      <c r="T1379" s="48"/>
      <c r="U1379" s="48"/>
      <c r="V1379" s="48"/>
      <c r="W1379" s="49"/>
      <c r="X1379" s="49"/>
      <c r="Y1379" s="49"/>
      <c r="Z1379" s="49"/>
      <c r="AA1379" s="49"/>
      <c r="AB1379" s="49"/>
      <c r="AC1379" s="49"/>
      <c r="AD1379" s="49"/>
      <c r="AE1379" s="49"/>
      <c r="AF1379" s="49"/>
      <c r="AG1379" s="49"/>
      <c r="AH1379" s="49"/>
      <c r="AI1379" s="48"/>
      <c r="AJ1379" s="48"/>
      <c r="AK1379" s="24"/>
      <c r="AL1379" s="50"/>
      <c r="AM1379" s="50"/>
      <c r="AN1379" s="50"/>
      <c r="AO1379" s="50"/>
      <c r="AP1379" s="50"/>
      <c r="AQ1379" s="50"/>
      <c r="AR1379" s="50"/>
      <c r="AS1379" s="50"/>
      <c r="AT1379" s="51"/>
      <c r="AU1379" s="51"/>
      <c r="AV1379" s="51"/>
      <c r="AW1379" s="51"/>
      <c r="AX1379" s="50"/>
      <c r="AY1379" s="50"/>
      <c r="AZ1379" s="50"/>
      <c r="BA1379" s="50"/>
      <c r="BB1379" s="51"/>
      <c r="BC1379" s="51"/>
      <c r="BD1379" s="51"/>
      <c r="BE1379" s="51"/>
      <c r="BF1379" s="47"/>
      <c r="BG1379" s="47"/>
      <c r="BH1379" s="47"/>
      <c r="BI1379" s="47"/>
      <c r="BJ1379" s="47"/>
      <c r="BK1379" s="47"/>
      <c r="BL1379" s="47"/>
      <c r="BM1379" s="47"/>
      <c r="BN1379" s="47"/>
      <c r="BO1379" s="47"/>
      <c r="BP1379" s="47"/>
      <c r="BQ1379" s="47"/>
      <c r="BR1379" s="47"/>
      <c r="BS1379" s="47"/>
      <c r="BT1379" s="47"/>
    </row>
    <row r="1380">
      <c r="A1380" s="24"/>
      <c r="B1380" s="48"/>
      <c r="C1380" s="49"/>
      <c r="D1380" s="24"/>
      <c r="E1380" s="52"/>
      <c r="F1380" s="53"/>
      <c r="G1380" s="48"/>
      <c r="H1380" s="49"/>
      <c r="I1380" s="49"/>
      <c r="J1380" s="48"/>
      <c r="K1380" s="48"/>
      <c r="L1380" s="48"/>
      <c r="M1380" s="48"/>
      <c r="N1380" s="48"/>
      <c r="O1380" s="48"/>
      <c r="P1380" s="48"/>
      <c r="Q1380" s="48"/>
      <c r="R1380" s="48"/>
      <c r="S1380" s="48"/>
      <c r="T1380" s="48"/>
      <c r="U1380" s="48"/>
      <c r="V1380" s="48"/>
      <c r="W1380" s="49"/>
      <c r="X1380" s="49"/>
      <c r="Y1380" s="49"/>
      <c r="Z1380" s="49"/>
      <c r="AA1380" s="49"/>
      <c r="AB1380" s="49"/>
      <c r="AC1380" s="49"/>
      <c r="AD1380" s="49"/>
      <c r="AE1380" s="49"/>
      <c r="AF1380" s="49"/>
      <c r="AG1380" s="49"/>
      <c r="AH1380" s="49"/>
      <c r="AI1380" s="48"/>
      <c r="AJ1380" s="48"/>
      <c r="AK1380" s="24"/>
      <c r="AL1380" s="50"/>
      <c r="AM1380" s="50"/>
      <c r="AN1380" s="50"/>
      <c r="AO1380" s="50"/>
      <c r="AP1380" s="50"/>
      <c r="AQ1380" s="50"/>
      <c r="AR1380" s="50"/>
      <c r="AS1380" s="50"/>
      <c r="AT1380" s="51"/>
      <c r="AU1380" s="51"/>
      <c r="AV1380" s="51"/>
      <c r="AW1380" s="51"/>
      <c r="AX1380" s="50"/>
      <c r="AY1380" s="50"/>
      <c r="AZ1380" s="50"/>
      <c r="BA1380" s="50"/>
      <c r="BB1380" s="51"/>
      <c r="BC1380" s="51"/>
      <c r="BD1380" s="51"/>
      <c r="BE1380" s="51"/>
      <c r="BF1380" s="47"/>
      <c r="BG1380" s="47"/>
      <c r="BH1380" s="47"/>
      <c r="BI1380" s="47"/>
      <c r="BJ1380" s="47"/>
      <c r="BK1380" s="47"/>
      <c r="BL1380" s="47"/>
      <c r="BM1380" s="47"/>
      <c r="BN1380" s="47"/>
      <c r="BO1380" s="47"/>
      <c r="BP1380" s="47"/>
      <c r="BQ1380" s="47"/>
      <c r="BR1380" s="47"/>
      <c r="BS1380" s="47"/>
      <c r="BT1380" s="47"/>
    </row>
    <row r="1381">
      <c r="A1381" s="24"/>
      <c r="B1381" s="48"/>
      <c r="C1381" s="49"/>
      <c r="D1381" s="24"/>
      <c r="E1381" s="52"/>
      <c r="F1381" s="53"/>
      <c r="G1381" s="48"/>
      <c r="H1381" s="49"/>
      <c r="I1381" s="49"/>
      <c r="J1381" s="48"/>
      <c r="K1381" s="48"/>
      <c r="L1381" s="48"/>
      <c r="M1381" s="48"/>
      <c r="N1381" s="48"/>
      <c r="O1381" s="48"/>
      <c r="P1381" s="48"/>
      <c r="Q1381" s="48"/>
      <c r="R1381" s="48"/>
      <c r="S1381" s="48"/>
      <c r="T1381" s="48"/>
      <c r="U1381" s="48"/>
      <c r="V1381" s="48"/>
      <c r="W1381" s="49"/>
      <c r="X1381" s="49"/>
      <c r="Y1381" s="49"/>
      <c r="Z1381" s="49"/>
      <c r="AA1381" s="49"/>
      <c r="AB1381" s="49"/>
      <c r="AC1381" s="49"/>
      <c r="AD1381" s="49"/>
      <c r="AE1381" s="49"/>
      <c r="AF1381" s="49"/>
      <c r="AG1381" s="49"/>
      <c r="AH1381" s="49"/>
      <c r="AI1381" s="48"/>
      <c r="AJ1381" s="48"/>
      <c r="AK1381" s="24"/>
      <c r="AL1381" s="50"/>
      <c r="AM1381" s="50"/>
      <c r="AN1381" s="50"/>
      <c r="AO1381" s="50"/>
      <c r="AP1381" s="50"/>
      <c r="AQ1381" s="50"/>
      <c r="AR1381" s="50"/>
      <c r="AS1381" s="50"/>
      <c r="AT1381" s="51"/>
      <c r="AU1381" s="51"/>
      <c r="AV1381" s="51"/>
      <c r="AW1381" s="51"/>
      <c r="AX1381" s="50"/>
      <c r="AY1381" s="50"/>
      <c r="AZ1381" s="50"/>
      <c r="BA1381" s="50"/>
      <c r="BB1381" s="51"/>
      <c r="BC1381" s="51"/>
      <c r="BD1381" s="51"/>
      <c r="BE1381" s="51"/>
      <c r="BF1381" s="47"/>
      <c r="BG1381" s="47"/>
      <c r="BH1381" s="47"/>
      <c r="BI1381" s="47"/>
      <c r="BJ1381" s="47"/>
      <c r="BK1381" s="47"/>
      <c r="BL1381" s="47"/>
      <c r="BM1381" s="47"/>
      <c r="BN1381" s="47"/>
      <c r="BO1381" s="47"/>
      <c r="BP1381" s="47"/>
      <c r="BQ1381" s="47"/>
      <c r="BR1381" s="47"/>
      <c r="BS1381" s="47"/>
      <c r="BT1381" s="47"/>
    </row>
    <row r="1382">
      <c r="A1382" s="24"/>
      <c r="B1382" s="48"/>
      <c r="C1382" s="49"/>
      <c r="D1382" s="24"/>
      <c r="E1382" s="52"/>
      <c r="F1382" s="53"/>
      <c r="G1382" s="48"/>
      <c r="H1382" s="49"/>
      <c r="I1382" s="49"/>
      <c r="J1382" s="48"/>
      <c r="K1382" s="48"/>
      <c r="L1382" s="48"/>
      <c r="M1382" s="48"/>
      <c r="N1382" s="48"/>
      <c r="O1382" s="48"/>
      <c r="P1382" s="48"/>
      <c r="Q1382" s="48"/>
      <c r="R1382" s="48"/>
      <c r="S1382" s="48"/>
      <c r="T1382" s="48"/>
      <c r="U1382" s="48"/>
      <c r="V1382" s="48"/>
      <c r="W1382" s="49"/>
      <c r="X1382" s="49"/>
      <c r="Y1382" s="49"/>
      <c r="Z1382" s="49"/>
      <c r="AA1382" s="49"/>
      <c r="AB1382" s="49"/>
      <c r="AC1382" s="49"/>
      <c r="AD1382" s="49"/>
      <c r="AE1382" s="49"/>
      <c r="AF1382" s="49"/>
      <c r="AG1382" s="49"/>
      <c r="AH1382" s="49"/>
      <c r="AI1382" s="48"/>
      <c r="AJ1382" s="48"/>
      <c r="AK1382" s="24"/>
      <c r="AL1382" s="50"/>
      <c r="AM1382" s="50"/>
      <c r="AN1382" s="50"/>
      <c r="AO1382" s="50"/>
      <c r="AP1382" s="50"/>
      <c r="AQ1382" s="50"/>
      <c r="AR1382" s="50"/>
      <c r="AS1382" s="50"/>
      <c r="AT1382" s="51"/>
      <c r="AU1382" s="51"/>
      <c r="AV1382" s="51"/>
      <c r="AW1382" s="51"/>
      <c r="AX1382" s="50"/>
      <c r="AY1382" s="50"/>
      <c r="AZ1382" s="50"/>
      <c r="BA1382" s="50"/>
      <c r="BB1382" s="51"/>
      <c r="BC1382" s="51"/>
      <c r="BD1382" s="51"/>
      <c r="BE1382" s="51"/>
      <c r="BF1382" s="47"/>
      <c r="BG1382" s="47"/>
      <c r="BH1382" s="47"/>
      <c r="BI1382" s="47"/>
      <c r="BJ1382" s="47"/>
      <c r="BK1382" s="47"/>
      <c r="BL1382" s="47"/>
      <c r="BM1382" s="47"/>
      <c r="BN1382" s="47"/>
      <c r="BO1382" s="47"/>
      <c r="BP1382" s="47"/>
      <c r="BQ1382" s="47"/>
      <c r="BR1382" s="47"/>
      <c r="BS1382" s="47"/>
      <c r="BT1382" s="47"/>
    </row>
    <row r="1383">
      <c r="A1383" s="24"/>
      <c r="B1383" s="48"/>
      <c r="C1383" s="49"/>
      <c r="D1383" s="24"/>
      <c r="E1383" s="52"/>
      <c r="F1383" s="53"/>
      <c r="G1383" s="48"/>
      <c r="H1383" s="49"/>
      <c r="I1383" s="49"/>
      <c r="J1383" s="48"/>
      <c r="K1383" s="48"/>
      <c r="L1383" s="48"/>
      <c r="M1383" s="48"/>
      <c r="N1383" s="48"/>
      <c r="O1383" s="48"/>
      <c r="P1383" s="48"/>
      <c r="Q1383" s="48"/>
      <c r="R1383" s="48"/>
      <c r="S1383" s="48"/>
      <c r="T1383" s="48"/>
      <c r="U1383" s="48"/>
      <c r="V1383" s="48"/>
      <c r="W1383" s="49"/>
      <c r="X1383" s="49"/>
      <c r="Y1383" s="49"/>
      <c r="Z1383" s="49"/>
      <c r="AA1383" s="49"/>
      <c r="AB1383" s="49"/>
      <c r="AC1383" s="49"/>
      <c r="AD1383" s="49"/>
      <c r="AE1383" s="49"/>
      <c r="AF1383" s="49"/>
      <c r="AG1383" s="49"/>
      <c r="AH1383" s="49"/>
      <c r="AI1383" s="48"/>
      <c r="AJ1383" s="48"/>
      <c r="AK1383" s="24"/>
      <c r="AL1383" s="50"/>
      <c r="AM1383" s="50"/>
      <c r="AN1383" s="50"/>
      <c r="AO1383" s="50"/>
      <c r="AP1383" s="50"/>
      <c r="AQ1383" s="50"/>
      <c r="AR1383" s="50"/>
      <c r="AS1383" s="50"/>
      <c r="AT1383" s="51"/>
      <c r="AU1383" s="51"/>
      <c r="AV1383" s="51"/>
      <c r="AW1383" s="51"/>
      <c r="AX1383" s="50"/>
      <c r="AY1383" s="50"/>
      <c r="AZ1383" s="50"/>
      <c r="BA1383" s="50"/>
      <c r="BB1383" s="51"/>
      <c r="BC1383" s="51"/>
      <c r="BD1383" s="51"/>
      <c r="BE1383" s="51"/>
      <c r="BF1383" s="47"/>
      <c r="BG1383" s="47"/>
      <c r="BH1383" s="47"/>
      <c r="BI1383" s="47"/>
      <c r="BJ1383" s="47"/>
      <c r="BK1383" s="47"/>
      <c r="BL1383" s="47"/>
      <c r="BM1383" s="47"/>
      <c r="BN1383" s="47"/>
      <c r="BO1383" s="47"/>
      <c r="BP1383" s="47"/>
      <c r="BQ1383" s="47"/>
      <c r="BR1383" s="47"/>
      <c r="BS1383" s="47"/>
      <c r="BT1383" s="47"/>
    </row>
    <row r="1384">
      <c r="A1384" s="24"/>
      <c r="B1384" s="48"/>
      <c r="C1384" s="49"/>
      <c r="D1384" s="24"/>
      <c r="E1384" s="52"/>
      <c r="F1384" s="53"/>
      <c r="G1384" s="48"/>
      <c r="H1384" s="49"/>
      <c r="I1384" s="49"/>
      <c r="J1384" s="48"/>
      <c r="K1384" s="48"/>
      <c r="L1384" s="48"/>
      <c r="M1384" s="48"/>
      <c r="N1384" s="48"/>
      <c r="O1384" s="48"/>
      <c r="P1384" s="48"/>
      <c r="Q1384" s="48"/>
      <c r="R1384" s="48"/>
      <c r="S1384" s="48"/>
      <c r="T1384" s="48"/>
      <c r="U1384" s="48"/>
      <c r="V1384" s="48"/>
      <c r="W1384" s="49"/>
      <c r="X1384" s="49"/>
      <c r="Y1384" s="49"/>
      <c r="Z1384" s="49"/>
      <c r="AA1384" s="49"/>
      <c r="AB1384" s="49"/>
      <c r="AC1384" s="49"/>
      <c r="AD1384" s="49"/>
      <c r="AE1384" s="49"/>
      <c r="AF1384" s="49"/>
      <c r="AG1384" s="49"/>
      <c r="AH1384" s="49"/>
      <c r="AI1384" s="48"/>
      <c r="AJ1384" s="48"/>
      <c r="AK1384" s="24"/>
      <c r="AL1384" s="50"/>
      <c r="AM1384" s="50"/>
      <c r="AN1384" s="50"/>
      <c r="AO1384" s="50"/>
      <c r="AP1384" s="50"/>
      <c r="AQ1384" s="50"/>
      <c r="AR1384" s="50"/>
      <c r="AS1384" s="50"/>
      <c r="AT1384" s="51"/>
      <c r="AU1384" s="51"/>
      <c r="AV1384" s="51"/>
      <c r="AW1384" s="51"/>
      <c r="AX1384" s="50"/>
      <c r="AY1384" s="50"/>
      <c r="AZ1384" s="50"/>
      <c r="BA1384" s="50"/>
      <c r="BB1384" s="51"/>
      <c r="BC1384" s="51"/>
      <c r="BD1384" s="51"/>
      <c r="BE1384" s="51"/>
      <c r="BF1384" s="47"/>
      <c r="BG1384" s="47"/>
      <c r="BH1384" s="47"/>
      <c r="BI1384" s="47"/>
      <c r="BJ1384" s="47"/>
      <c r="BK1384" s="47"/>
      <c r="BL1384" s="47"/>
      <c r="BM1384" s="47"/>
      <c r="BN1384" s="47"/>
      <c r="BO1384" s="47"/>
      <c r="BP1384" s="47"/>
      <c r="BQ1384" s="47"/>
      <c r="BR1384" s="47"/>
      <c r="BS1384" s="47"/>
      <c r="BT1384" s="47"/>
    </row>
    <row r="1385">
      <c r="A1385" s="24"/>
      <c r="B1385" s="48"/>
      <c r="C1385" s="49"/>
      <c r="D1385" s="24"/>
      <c r="E1385" s="52"/>
      <c r="F1385" s="53"/>
      <c r="G1385" s="48"/>
      <c r="H1385" s="49"/>
      <c r="I1385" s="49"/>
      <c r="J1385" s="48"/>
      <c r="K1385" s="48"/>
      <c r="L1385" s="48"/>
      <c r="M1385" s="48"/>
      <c r="N1385" s="48"/>
      <c r="O1385" s="48"/>
      <c r="P1385" s="48"/>
      <c r="Q1385" s="48"/>
      <c r="R1385" s="48"/>
      <c r="S1385" s="48"/>
      <c r="T1385" s="48"/>
      <c r="U1385" s="48"/>
      <c r="V1385" s="48"/>
      <c r="W1385" s="49"/>
      <c r="X1385" s="49"/>
      <c r="Y1385" s="49"/>
      <c r="Z1385" s="49"/>
      <c r="AA1385" s="49"/>
      <c r="AB1385" s="49"/>
      <c r="AC1385" s="49"/>
      <c r="AD1385" s="49"/>
      <c r="AE1385" s="49"/>
      <c r="AF1385" s="49"/>
      <c r="AG1385" s="49"/>
      <c r="AH1385" s="49"/>
      <c r="AI1385" s="48"/>
      <c r="AJ1385" s="48"/>
      <c r="AK1385" s="24"/>
      <c r="AL1385" s="50"/>
      <c r="AM1385" s="50"/>
      <c r="AN1385" s="50"/>
      <c r="AO1385" s="50"/>
      <c r="AP1385" s="50"/>
      <c r="AQ1385" s="50"/>
      <c r="AR1385" s="50"/>
      <c r="AS1385" s="50"/>
      <c r="AT1385" s="51"/>
      <c r="AU1385" s="51"/>
      <c r="AV1385" s="51"/>
      <c r="AW1385" s="51"/>
      <c r="AX1385" s="50"/>
      <c r="AY1385" s="50"/>
      <c r="AZ1385" s="50"/>
      <c r="BA1385" s="50"/>
      <c r="BB1385" s="51"/>
      <c r="BC1385" s="51"/>
      <c r="BD1385" s="51"/>
      <c r="BE1385" s="51"/>
      <c r="BF1385" s="47"/>
      <c r="BG1385" s="47"/>
      <c r="BH1385" s="47"/>
      <c r="BI1385" s="47"/>
      <c r="BJ1385" s="47"/>
      <c r="BK1385" s="47"/>
      <c r="BL1385" s="47"/>
      <c r="BM1385" s="47"/>
      <c r="BN1385" s="47"/>
      <c r="BO1385" s="47"/>
      <c r="BP1385" s="47"/>
      <c r="BQ1385" s="47"/>
      <c r="BR1385" s="47"/>
      <c r="BS1385" s="47"/>
      <c r="BT1385" s="47"/>
    </row>
    <row r="1386">
      <c r="A1386" s="24"/>
      <c r="B1386" s="48"/>
      <c r="C1386" s="49"/>
      <c r="D1386" s="24"/>
      <c r="E1386" s="52"/>
      <c r="F1386" s="53"/>
      <c r="G1386" s="48"/>
      <c r="H1386" s="49"/>
      <c r="I1386" s="49"/>
      <c r="J1386" s="48"/>
      <c r="K1386" s="48"/>
      <c r="L1386" s="48"/>
      <c r="M1386" s="48"/>
      <c r="N1386" s="48"/>
      <c r="O1386" s="48"/>
      <c r="P1386" s="48"/>
      <c r="Q1386" s="48"/>
      <c r="R1386" s="48"/>
      <c r="S1386" s="48"/>
      <c r="T1386" s="48"/>
      <c r="U1386" s="48"/>
      <c r="V1386" s="48"/>
      <c r="W1386" s="49"/>
      <c r="X1386" s="49"/>
      <c r="Y1386" s="49"/>
      <c r="Z1386" s="49"/>
      <c r="AA1386" s="49"/>
      <c r="AB1386" s="49"/>
      <c r="AC1386" s="49"/>
      <c r="AD1386" s="49"/>
      <c r="AE1386" s="49"/>
      <c r="AF1386" s="49"/>
      <c r="AG1386" s="49"/>
      <c r="AH1386" s="49"/>
      <c r="AI1386" s="48"/>
      <c r="AJ1386" s="48"/>
      <c r="AK1386" s="24"/>
      <c r="AL1386" s="50"/>
      <c r="AM1386" s="50"/>
      <c r="AN1386" s="50"/>
      <c r="AO1386" s="50"/>
      <c r="AP1386" s="50"/>
      <c r="AQ1386" s="50"/>
      <c r="AR1386" s="50"/>
      <c r="AS1386" s="50"/>
      <c r="AT1386" s="51"/>
      <c r="AU1386" s="51"/>
      <c r="AV1386" s="51"/>
      <c r="AW1386" s="51"/>
      <c r="AX1386" s="50"/>
      <c r="AY1386" s="50"/>
      <c r="AZ1386" s="50"/>
      <c r="BA1386" s="50"/>
      <c r="BB1386" s="51"/>
      <c r="BC1386" s="51"/>
      <c r="BD1386" s="51"/>
      <c r="BE1386" s="51"/>
      <c r="BF1386" s="47"/>
      <c r="BG1386" s="47"/>
      <c r="BH1386" s="47"/>
      <c r="BI1386" s="47"/>
      <c r="BJ1386" s="47"/>
      <c r="BK1386" s="47"/>
      <c r="BL1386" s="47"/>
      <c r="BM1386" s="47"/>
      <c r="BN1386" s="47"/>
      <c r="BO1386" s="47"/>
      <c r="BP1386" s="47"/>
      <c r="BQ1386" s="47"/>
      <c r="BR1386" s="47"/>
      <c r="BS1386" s="47"/>
      <c r="BT1386" s="47"/>
    </row>
    <row r="1387">
      <c r="A1387" s="24"/>
      <c r="B1387" s="48"/>
      <c r="C1387" s="49"/>
      <c r="D1387" s="24"/>
      <c r="E1387" s="52"/>
      <c r="F1387" s="53"/>
      <c r="G1387" s="48"/>
      <c r="H1387" s="49"/>
      <c r="I1387" s="49"/>
      <c r="J1387" s="48"/>
      <c r="K1387" s="48"/>
      <c r="L1387" s="48"/>
      <c r="M1387" s="48"/>
      <c r="N1387" s="48"/>
      <c r="O1387" s="48"/>
      <c r="P1387" s="48"/>
      <c r="Q1387" s="48"/>
      <c r="R1387" s="48"/>
      <c r="S1387" s="48"/>
      <c r="T1387" s="48"/>
      <c r="U1387" s="48"/>
      <c r="V1387" s="48"/>
      <c r="W1387" s="49"/>
      <c r="X1387" s="49"/>
      <c r="Y1387" s="49"/>
      <c r="Z1387" s="49"/>
      <c r="AA1387" s="49"/>
      <c r="AB1387" s="49"/>
      <c r="AC1387" s="49"/>
      <c r="AD1387" s="49"/>
      <c r="AE1387" s="49"/>
      <c r="AF1387" s="49"/>
      <c r="AG1387" s="49"/>
      <c r="AH1387" s="49"/>
      <c r="AI1387" s="48"/>
      <c r="AJ1387" s="48"/>
      <c r="AK1387" s="24"/>
      <c r="AL1387" s="50"/>
      <c r="AM1387" s="50"/>
      <c r="AN1387" s="50"/>
      <c r="AO1387" s="50"/>
      <c r="AP1387" s="50"/>
      <c r="AQ1387" s="50"/>
      <c r="AR1387" s="50"/>
      <c r="AS1387" s="50"/>
      <c r="AT1387" s="51"/>
      <c r="AU1387" s="51"/>
      <c r="AV1387" s="51"/>
      <c r="AW1387" s="51"/>
      <c r="AX1387" s="50"/>
      <c r="AY1387" s="50"/>
      <c r="AZ1387" s="50"/>
      <c r="BA1387" s="50"/>
      <c r="BB1387" s="51"/>
      <c r="BC1387" s="51"/>
      <c r="BD1387" s="51"/>
      <c r="BE1387" s="51"/>
      <c r="BF1387" s="47"/>
      <c r="BG1387" s="47"/>
      <c r="BH1387" s="47"/>
      <c r="BI1387" s="47"/>
      <c r="BJ1387" s="47"/>
      <c r="BK1387" s="47"/>
      <c r="BL1387" s="47"/>
      <c r="BM1387" s="47"/>
      <c r="BN1387" s="47"/>
      <c r="BO1387" s="47"/>
      <c r="BP1387" s="47"/>
      <c r="BQ1387" s="47"/>
      <c r="BR1387" s="47"/>
      <c r="BS1387" s="47"/>
      <c r="BT1387" s="47"/>
    </row>
    <row r="1388">
      <c r="A1388" s="24"/>
      <c r="B1388" s="48"/>
      <c r="C1388" s="49"/>
      <c r="D1388" s="24"/>
      <c r="E1388" s="52"/>
      <c r="F1388" s="53"/>
      <c r="G1388" s="48"/>
      <c r="H1388" s="49"/>
      <c r="I1388" s="49"/>
      <c r="J1388" s="48"/>
      <c r="K1388" s="48"/>
      <c r="L1388" s="48"/>
      <c r="M1388" s="48"/>
      <c r="N1388" s="48"/>
      <c r="O1388" s="48"/>
      <c r="P1388" s="48"/>
      <c r="Q1388" s="48"/>
      <c r="R1388" s="48"/>
      <c r="S1388" s="48"/>
      <c r="T1388" s="48"/>
      <c r="U1388" s="48"/>
      <c r="V1388" s="48"/>
      <c r="W1388" s="49"/>
      <c r="X1388" s="49"/>
      <c r="Y1388" s="49"/>
      <c r="Z1388" s="49"/>
      <c r="AA1388" s="49"/>
      <c r="AB1388" s="49"/>
      <c r="AC1388" s="49"/>
      <c r="AD1388" s="49"/>
      <c r="AE1388" s="49"/>
      <c r="AF1388" s="49"/>
      <c r="AG1388" s="49"/>
      <c r="AH1388" s="49"/>
      <c r="AI1388" s="48"/>
      <c r="AJ1388" s="48"/>
      <c r="AK1388" s="24"/>
      <c r="AL1388" s="50"/>
      <c r="AM1388" s="50"/>
      <c r="AN1388" s="50"/>
      <c r="AO1388" s="50"/>
      <c r="AP1388" s="50"/>
      <c r="AQ1388" s="50"/>
      <c r="AR1388" s="50"/>
      <c r="AS1388" s="50"/>
      <c r="AT1388" s="51"/>
      <c r="AU1388" s="51"/>
      <c r="AV1388" s="51"/>
      <c r="AW1388" s="51"/>
      <c r="AX1388" s="50"/>
      <c r="AY1388" s="50"/>
      <c r="AZ1388" s="50"/>
      <c r="BA1388" s="50"/>
      <c r="BB1388" s="51"/>
      <c r="BC1388" s="51"/>
      <c r="BD1388" s="51"/>
      <c r="BE1388" s="51"/>
      <c r="BF1388" s="47"/>
      <c r="BG1388" s="47"/>
      <c r="BH1388" s="47"/>
      <c r="BI1388" s="47"/>
      <c r="BJ1388" s="47"/>
      <c r="BK1388" s="47"/>
      <c r="BL1388" s="47"/>
      <c r="BM1388" s="47"/>
      <c r="BN1388" s="47"/>
      <c r="BO1388" s="47"/>
      <c r="BP1388" s="47"/>
      <c r="BQ1388" s="47"/>
      <c r="BR1388" s="47"/>
      <c r="BS1388" s="47"/>
      <c r="BT1388" s="47"/>
    </row>
    <row r="1389">
      <c r="A1389" s="24"/>
      <c r="B1389" s="48"/>
      <c r="C1389" s="49"/>
      <c r="D1389" s="24"/>
      <c r="E1389" s="52"/>
      <c r="F1389" s="53"/>
      <c r="G1389" s="48"/>
      <c r="H1389" s="49"/>
      <c r="I1389" s="49"/>
      <c r="J1389" s="48"/>
      <c r="K1389" s="48"/>
      <c r="L1389" s="48"/>
      <c r="M1389" s="48"/>
      <c r="N1389" s="48"/>
      <c r="O1389" s="48"/>
      <c r="P1389" s="48"/>
      <c r="Q1389" s="48"/>
      <c r="R1389" s="48"/>
      <c r="S1389" s="48"/>
      <c r="T1389" s="48"/>
      <c r="U1389" s="48"/>
      <c r="V1389" s="48"/>
      <c r="W1389" s="49"/>
      <c r="X1389" s="49"/>
      <c r="Y1389" s="49"/>
      <c r="Z1389" s="49"/>
      <c r="AA1389" s="49"/>
      <c r="AB1389" s="49"/>
      <c r="AC1389" s="49"/>
      <c r="AD1389" s="49"/>
      <c r="AE1389" s="49"/>
      <c r="AF1389" s="49"/>
      <c r="AG1389" s="49"/>
      <c r="AH1389" s="49"/>
      <c r="AI1389" s="48"/>
      <c r="AJ1389" s="48"/>
      <c r="AK1389" s="24"/>
      <c r="AL1389" s="50"/>
      <c r="AM1389" s="50"/>
      <c r="AN1389" s="50"/>
      <c r="AO1389" s="50"/>
      <c r="AP1389" s="50"/>
      <c r="AQ1389" s="50"/>
      <c r="AR1389" s="50"/>
      <c r="AS1389" s="50"/>
      <c r="AT1389" s="51"/>
      <c r="AU1389" s="51"/>
      <c r="AV1389" s="51"/>
      <c r="AW1389" s="51"/>
      <c r="AX1389" s="50"/>
      <c r="AY1389" s="50"/>
      <c r="AZ1389" s="50"/>
      <c r="BA1389" s="50"/>
      <c r="BB1389" s="51"/>
      <c r="BC1389" s="51"/>
      <c r="BD1389" s="51"/>
      <c r="BE1389" s="51"/>
      <c r="BF1389" s="47"/>
      <c r="BG1389" s="47"/>
      <c r="BH1389" s="47"/>
      <c r="BI1389" s="47"/>
      <c r="BJ1389" s="47"/>
      <c r="BK1389" s="47"/>
      <c r="BL1389" s="47"/>
      <c r="BM1389" s="47"/>
      <c r="BN1389" s="47"/>
      <c r="BO1389" s="47"/>
      <c r="BP1389" s="47"/>
      <c r="BQ1389" s="47"/>
      <c r="BR1389" s="47"/>
      <c r="BS1389" s="47"/>
      <c r="BT1389" s="47"/>
    </row>
    <row r="1390">
      <c r="A1390" s="24"/>
      <c r="B1390" s="48"/>
      <c r="C1390" s="49"/>
      <c r="D1390" s="24"/>
      <c r="E1390" s="52"/>
      <c r="F1390" s="53"/>
      <c r="G1390" s="48"/>
      <c r="H1390" s="49"/>
      <c r="I1390" s="49"/>
      <c r="J1390" s="48"/>
      <c r="K1390" s="48"/>
      <c r="L1390" s="48"/>
      <c r="M1390" s="48"/>
      <c r="N1390" s="48"/>
      <c r="O1390" s="48"/>
      <c r="P1390" s="48"/>
      <c r="Q1390" s="48"/>
      <c r="R1390" s="48"/>
      <c r="S1390" s="48"/>
      <c r="T1390" s="48"/>
      <c r="U1390" s="48"/>
      <c r="V1390" s="48"/>
      <c r="W1390" s="49"/>
      <c r="X1390" s="49"/>
      <c r="Y1390" s="49"/>
      <c r="Z1390" s="49"/>
      <c r="AA1390" s="49"/>
      <c r="AB1390" s="49"/>
      <c r="AC1390" s="49"/>
      <c r="AD1390" s="49"/>
      <c r="AE1390" s="49"/>
      <c r="AF1390" s="49"/>
      <c r="AG1390" s="49"/>
      <c r="AH1390" s="49"/>
      <c r="AI1390" s="48"/>
      <c r="AJ1390" s="48"/>
      <c r="AK1390" s="24"/>
      <c r="AL1390" s="50"/>
      <c r="AM1390" s="50"/>
      <c r="AN1390" s="50"/>
      <c r="AO1390" s="50"/>
      <c r="AP1390" s="50"/>
      <c r="AQ1390" s="50"/>
      <c r="AR1390" s="50"/>
      <c r="AS1390" s="50"/>
      <c r="AT1390" s="51"/>
      <c r="AU1390" s="51"/>
      <c r="AV1390" s="51"/>
      <c r="AW1390" s="51"/>
      <c r="AX1390" s="50"/>
      <c r="AY1390" s="50"/>
      <c r="AZ1390" s="50"/>
      <c r="BA1390" s="50"/>
      <c r="BB1390" s="51"/>
      <c r="BC1390" s="51"/>
      <c r="BD1390" s="51"/>
      <c r="BE1390" s="51"/>
      <c r="BF1390" s="47"/>
      <c r="BG1390" s="47"/>
      <c r="BH1390" s="47"/>
      <c r="BI1390" s="47"/>
      <c r="BJ1390" s="47"/>
      <c r="BK1390" s="47"/>
      <c r="BL1390" s="47"/>
      <c r="BM1390" s="47"/>
      <c r="BN1390" s="47"/>
      <c r="BO1390" s="47"/>
      <c r="BP1390" s="47"/>
      <c r="BQ1390" s="47"/>
      <c r="BR1390" s="47"/>
      <c r="BS1390" s="47"/>
      <c r="BT1390" s="47"/>
    </row>
    <row r="1391">
      <c r="A1391" s="24"/>
      <c r="B1391" s="48"/>
      <c r="C1391" s="49"/>
      <c r="D1391" s="24"/>
      <c r="E1391" s="52"/>
      <c r="F1391" s="53"/>
      <c r="G1391" s="48"/>
      <c r="H1391" s="49"/>
      <c r="I1391" s="49"/>
      <c r="J1391" s="48"/>
      <c r="K1391" s="48"/>
      <c r="L1391" s="48"/>
      <c r="M1391" s="48"/>
      <c r="N1391" s="48"/>
      <c r="O1391" s="48"/>
      <c r="P1391" s="48"/>
      <c r="Q1391" s="48"/>
      <c r="R1391" s="48"/>
      <c r="S1391" s="48"/>
      <c r="T1391" s="48"/>
      <c r="U1391" s="48"/>
      <c r="V1391" s="48"/>
      <c r="W1391" s="49"/>
      <c r="X1391" s="49"/>
      <c r="Y1391" s="49"/>
      <c r="Z1391" s="49"/>
      <c r="AA1391" s="49"/>
      <c r="AB1391" s="49"/>
      <c r="AC1391" s="49"/>
      <c r="AD1391" s="49"/>
      <c r="AE1391" s="49"/>
      <c r="AF1391" s="49"/>
      <c r="AG1391" s="49"/>
      <c r="AH1391" s="49"/>
      <c r="AI1391" s="48"/>
      <c r="AJ1391" s="48"/>
      <c r="AK1391" s="24"/>
      <c r="AL1391" s="50"/>
      <c r="AM1391" s="50"/>
      <c r="AN1391" s="50"/>
      <c r="AO1391" s="50"/>
      <c r="AP1391" s="50"/>
      <c r="AQ1391" s="50"/>
      <c r="AR1391" s="50"/>
      <c r="AS1391" s="50"/>
      <c r="AT1391" s="51"/>
      <c r="AU1391" s="51"/>
      <c r="AV1391" s="51"/>
      <c r="AW1391" s="51"/>
      <c r="AX1391" s="50"/>
      <c r="AY1391" s="50"/>
      <c r="AZ1391" s="50"/>
      <c r="BA1391" s="50"/>
      <c r="BB1391" s="51"/>
      <c r="BC1391" s="51"/>
      <c r="BD1391" s="51"/>
      <c r="BE1391" s="51"/>
      <c r="BF1391" s="47"/>
      <c r="BG1391" s="47"/>
      <c r="BH1391" s="47"/>
      <c r="BI1391" s="47"/>
      <c r="BJ1391" s="47"/>
      <c r="BK1391" s="47"/>
      <c r="BL1391" s="47"/>
      <c r="BM1391" s="47"/>
      <c r="BN1391" s="47"/>
      <c r="BO1391" s="47"/>
      <c r="BP1391" s="47"/>
      <c r="BQ1391" s="47"/>
      <c r="BR1391" s="47"/>
      <c r="BS1391" s="47"/>
      <c r="BT1391" s="47"/>
    </row>
    <row r="1392">
      <c r="A1392" s="24"/>
      <c r="B1392" s="48"/>
      <c r="C1392" s="49"/>
      <c r="D1392" s="24"/>
      <c r="E1392" s="52"/>
      <c r="F1392" s="53"/>
      <c r="G1392" s="48"/>
      <c r="H1392" s="49"/>
      <c r="I1392" s="49"/>
      <c r="J1392" s="48"/>
      <c r="K1392" s="48"/>
      <c r="L1392" s="48"/>
      <c r="M1392" s="48"/>
      <c r="N1392" s="48"/>
      <c r="O1392" s="48"/>
      <c r="P1392" s="48"/>
      <c r="Q1392" s="48"/>
      <c r="R1392" s="48"/>
      <c r="S1392" s="48"/>
      <c r="T1392" s="48"/>
      <c r="U1392" s="48"/>
      <c r="V1392" s="48"/>
      <c r="W1392" s="49"/>
      <c r="X1392" s="49"/>
      <c r="Y1392" s="49"/>
      <c r="Z1392" s="49"/>
      <c r="AA1392" s="49"/>
      <c r="AB1392" s="49"/>
      <c r="AC1392" s="49"/>
      <c r="AD1392" s="49"/>
      <c r="AE1392" s="49"/>
      <c r="AF1392" s="49"/>
      <c r="AG1392" s="49"/>
      <c r="AH1392" s="49"/>
      <c r="AI1392" s="48"/>
      <c r="AJ1392" s="48"/>
      <c r="AK1392" s="24"/>
      <c r="AL1392" s="50"/>
      <c r="AM1392" s="50"/>
      <c r="AN1392" s="50"/>
      <c r="AO1392" s="50"/>
      <c r="AP1392" s="50"/>
      <c r="AQ1392" s="50"/>
      <c r="AR1392" s="50"/>
      <c r="AS1392" s="50"/>
      <c r="AT1392" s="51"/>
      <c r="AU1392" s="51"/>
      <c r="AV1392" s="51"/>
      <c r="AW1392" s="51"/>
      <c r="AX1392" s="50"/>
      <c r="AY1392" s="50"/>
      <c r="AZ1392" s="50"/>
      <c r="BA1392" s="50"/>
      <c r="BB1392" s="51"/>
      <c r="BC1392" s="51"/>
      <c r="BD1392" s="51"/>
      <c r="BE1392" s="51"/>
      <c r="BF1392" s="47"/>
      <c r="BG1392" s="47"/>
      <c r="BH1392" s="47"/>
      <c r="BI1392" s="47"/>
      <c r="BJ1392" s="47"/>
      <c r="BK1392" s="47"/>
      <c r="BL1392" s="47"/>
      <c r="BM1392" s="47"/>
      <c r="BN1392" s="47"/>
      <c r="BO1392" s="47"/>
      <c r="BP1392" s="47"/>
      <c r="BQ1392" s="47"/>
      <c r="BR1392" s="47"/>
      <c r="BS1392" s="47"/>
      <c r="BT1392" s="47"/>
    </row>
    <row r="1393">
      <c r="A1393" s="24"/>
      <c r="B1393" s="48"/>
      <c r="C1393" s="49"/>
      <c r="D1393" s="24"/>
      <c r="E1393" s="52"/>
      <c r="F1393" s="53"/>
      <c r="G1393" s="48"/>
      <c r="H1393" s="49"/>
      <c r="I1393" s="49"/>
      <c r="J1393" s="48"/>
      <c r="K1393" s="48"/>
      <c r="L1393" s="48"/>
      <c r="M1393" s="48"/>
      <c r="N1393" s="48"/>
      <c r="O1393" s="48"/>
      <c r="P1393" s="48"/>
      <c r="Q1393" s="48"/>
      <c r="R1393" s="48"/>
      <c r="S1393" s="48"/>
      <c r="T1393" s="48"/>
      <c r="U1393" s="48"/>
      <c r="V1393" s="48"/>
      <c r="W1393" s="49"/>
      <c r="X1393" s="49"/>
      <c r="Y1393" s="49"/>
      <c r="Z1393" s="49"/>
      <c r="AA1393" s="49"/>
      <c r="AB1393" s="49"/>
      <c r="AC1393" s="49"/>
      <c r="AD1393" s="49"/>
      <c r="AE1393" s="49"/>
      <c r="AF1393" s="49"/>
      <c r="AG1393" s="49"/>
      <c r="AH1393" s="49"/>
      <c r="AI1393" s="48"/>
      <c r="AJ1393" s="48"/>
      <c r="AK1393" s="24"/>
      <c r="AL1393" s="50"/>
      <c r="AM1393" s="50"/>
      <c r="AN1393" s="50"/>
      <c r="AO1393" s="50"/>
      <c r="AP1393" s="50"/>
      <c r="AQ1393" s="50"/>
      <c r="AR1393" s="50"/>
      <c r="AS1393" s="50"/>
      <c r="AT1393" s="51"/>
      <c r="AU1393" s="51"/>
      <c r="AV1393" s="51"/>
      <c r="AW1393" s="51"/>
      <c r="AX1393" s="50"/>
      <c r="AY1393" s="50"/>
      <c r="AZ1393" s="50"/>
      <c r="BA1393" s="50"/>
      <c r="BB1393" s="51"/>
      <c r="BC1393" s="51"/>
      <c r="BD1393" s="51"/>
      <c r="BE1393" s="51"/>
      <c r="BF1393" s="47"/>
      <c r="BG1393" s="47"/>
      <c r="BH1393" s="47"/>
      <c r="BI1393" s="47"/>
      <c r="BJ1393" s="47"/>
      <c r="BK1393" s="47"/>
      <c r="BL1393" s="47"/>
      <c r="BM1393" s="47"/>
      <c r="BN1393" s="47"/>
      <c r="BO1393" s="47"/>
      <c r="BP1393" s="47"/>
      <c r="BQ1393" s="47"/>
      <c r="BR1393" s="47"/>
      <c r="BS1393" s="47"/>
      <c r="BT1393" s="47"/>
    </row>
    <row r="1394">
      <c r="A1394" s="24"/>
      <c r="B1394" s="48"/>
      <c r="C1394" s="49"/>
      <c r="D1394" s="24"/>
      <c r="E1394" s="52"/>
      <c r="F1394" s="53"/>
      <c r="G1394" s="48"/>
      <c r="H1394" s="49"/>
      <c r="I1394" s="49"/>
      <c r="J1394" s="48"/>
      <c r="K1394" s="48"/>
      <c r="L1394" s="48"/>
      <c r="M1394" s="48"/>
      <c r="N1394" s="48"/>
      <c r="O1394" s="48"/>
      <c r="P1394" s="48"/>
      <c r="Q1394" s="48"/>
      <c r="R1394" s="48"/>
      <c r="S1394" s="48"/>
      <c r="T1394" s="48"/>
      <c r="U1394" s="48"/>
      <c r="V1394" s="48"/>
      <c r="W1394" s="49"/>
      <c r="X1394" s="49"/>
      <c r="Y1394" s="49"/>
      <c r="Z1394" s="49"/>
      <c r="AA1394" s="49"/>
      <c r="AB1394" s="49"/>
      <c r="AC1394" s="49"/>
      <c r="AD1394" s="49"/>
      <c r="AE1394" s="49"/>
      <c r="AF1394" s="49"/>
      <c r="AG1394" s="49"/>
      <c r="AH1394" s="49"/>
      <c r="AI1394" s="48"/>
      <c r="AJ1394" s="48"/>
      <c r="AK1394" s="24"/>
      <c r="AL1394" s="50"/>
      <c r="AM1394" s="50"/>
      <c r="AN1394" s="50"/>
      <c r="AO1394" s="50"/>
      <c r="AP1394" s="50"/>
      <c r="AQ1394" s="50"/>
      <c r="AR1394" s="50"/>
      <c r="AS1394" s="50"/>
      <c r="AT1394" s="51"/>
      <c r="AU1394" s="51"/>
      <c r="AV1394" s="51"/>
      <c r="AW1394" s="51"/>
      <c r="AX1394" s="50"/>
      <c r="AY1394" s="50"/>
      <c r="AZ1394" s="50"/>
      <c r="BA1394" s="50"/>
      <c r="BB1394" s="51"/>
      <c r="BC1394" s="51"/>
      <c r="BD1394" s="51"/>
      <c r="BE1394" s="51"/>
      <c r="BF1394" s="47"/>
      <c r="BG1394" s="47"/>
      <c r="BH1394" s="47"/>
      <c r="BI1394" s="47"/>
      <c r="BJ1394" s="47"/>
      <c r="BK1394" s="47"/>
      <c r="BL1394" s="47"/>
      <c r="BM1394" s="47"/>
      <c r="BN1394" s="47"/>
      <c r="BO1394" s="47"/>
      <c r="BP1394" s="47"/>
      <c r="BQ1394" s="47"/>
      <c r="BR1394" s="47"/>
      <c r="BS1394" s="47"/>
      <c r="BT1394" s="47"/>
    </row>
    <row r="1395">
      <c r="A1395" s="24"/>
      <c r="B1395" s="48"/>
      <c r="C1395" s="49"/>
      <c r="D1395" s="24"/>
      <c r="E1395" s="52"/>
      <c r="F1395" s="53"/>
      <c r="G1395" s="48"/>
      <c r="H1395" s="49"/>
      <c r="I1395" s="49"/>
      <c r="J1395" s="48"/>
      <c r="K1395" s="48"/>
      <c r="L1395" s="48"/>
      <c r="M1395" s="48"/>
      <c r="N1395" s="48"/>
      <c r="O1395" s="48"/>
      <c r="P1395" s="48"/>
      <c r="Q1395" s="48"/>
      <c r="R1395" s="48"/>
      <c r="S1395" s="48"/>
      <c r="T1395" s="48"/>
      <c r="U1395" s="48"/>
      <c r="V1395" s="48"/>
      <c r="W1395" s="49"/>
      <c r="X1395" s="49"/>
      <c r="Y1395" s="49"/>
      <c r="Z1395" s="49"/>
      <c r="AA1395" s="49"/>
      <c r="AB1395" s="49"/>
      <c r="AC1395" s="49"/>
      <c r="AD1395" s="49"/>
      <c r="AE1395" s="49"/>
      <c r="AF1395" s="49"/>
      <c r="AG1395" s="49"/>
      <c r="AH1395" s="49"/>
      <c r="AI1395" s="48"/>
      <c r="AJ1395" s="48"/>
      <c r="AK1395" s="24"/>
      <c r="AL1395" s="50"/>
      <c r="AM1395" s="50"/>
      <c r="AN1395" s="50"/>
      <c r="AO1395" s="50"/>
      <c r="AP1395" s="50"/>
      <c r="AQ1395" s="50"/>
      <c r="AR1395" s="50"/>
      <c r="AS1395" s="50"/>
      <c r="AT1395" s="51"/>
      <c r="AU1395" s="51"/>
      <c r="AV1395" s="51"/>
      <c r="AW1395" s="51"/>
      <c r="AX1395" s="50"/>
      <c r="AY1395" s="50"/>
      <c r="AZ1395" s="50"/>
      <c r="BA1395" s="50"/>
      <c r="BB1395" s="51"/>
      <c r="BC1395" s="51"/>
      <c r="BD1395" s="51"/>
      <c r="BE1395" s="51"/>
      <c r="BF1395" s="47"/>
      <c r="BG1395" s="47"/>
      <c r="BH1395" s="47"/>
      <c r="BI1395" s="47"/>
      <c r="BJ1395" s="47"/>
      <c r="BK1395" s="47"/>
      <c r="BL1395" s="47"/>
      <c r="BM1395" s="47"/>
      <c r="BN1395" s="47"/>
      <c r="BO1395" s="47"/>
      <c r="BP1395" s="47"/>
      <c r="BQ1395" s="47"/>
      <c r="BR1395" s="47"/>
      <c r="BS1395" s="47"/>
      <c r="BT1395" s="47"/>
    </row>
    <row r="1396">
      <c r="A1396" s="24"/>
      <c r="B1396" s="48"/>
      <c r="C1396" s="49"/>
      <c r="D1396" s="24"/>
      <c r="E1396" s="52"/>
      <c r="F1396" s="53"/>
      <c r="G1396" s="48"/>
      <c r="H1396" s="49"/>
      <c r="I1396" s="49"/>
      <c r="J1396" s="48"/>
      <c r="K1396" s="48"/>
      <c r="L1396" s="48"/>
      <c r="M1396" s="48"/>
      <c r="N1396" s="48"/>
      <c r="O1396" s="48"/>
      <c r="P1396" s="48"/>
      <c r="Q1396" s="48"/>
      <c r="R1396" s="48"/>
      <c r="S1396" s="48"/>
      <c r="T1396" s="48"/>
      <c r="U1396" s="48"/>
      <c r="V1396" s="48"/>
      <c r="W1396" s="49"/>
      <c r="X1396" s="49"/>
      <c r="Y1396" s="49"/>
      <c r="Z1396" s="49"/>
      <c r="AA1396" s="49"/>
      <c r="AB1396" s="49"/>
      <c r="AC1396" s="49"/>
      <c r="AD1396" s="49"/>
      <c r="AE1396" s="49"/>
      <c r="AF1396" s="49"/>
      <c r="AG1396" s="49"/>
      <c r="AH1396" s="49"/>
      <c r="AI1396" s="48"/>
      <c r="AJ1396" s="48"/>
      <c r="AK1396" s="24"/>
      <c r="AL1396" s="50"/>
      <c r="AM1396" s="50"/>
      <c r="AN1396" s="50"/>
      <c r="AO1396" s="50"/>
      <c r="AP1396" s="50"/>
      <c r="AQ1396" s="50"/>
      <c r="AR1396" s="50"/>
      <c r="AS1396" s="50"/>
      <c r="AT1396" s="51"/>
      <c r="AU1396" s="51"/>
      <c r="AV1396" s="51"/>
      <c r="AW1396" s="51"/>
      <c r="AX1396" s="50"/>
      <c r="AY1396" s="50"/>
      <c r="AZ1396" s="50"/>
      <c r="BA1396" s="50"/>
      <c r="BB1396" s="51"/>
      <c r="BC1396" s="51"/>
      <c r="BD1396" s="51"/>
      <c r="BE1396" s="51"/>
      <c r="BF1396" s="47"/>
      <c r="BG1396" s="47"/>
      <c r="BH1396" s="47"/>
      <c r="BI1396" s="47"/>
      <c r="BJ1396" s="47"/>
      <c r="BK1396" s="47"/>
      <c r="BL1396" s="47"/>
      <c r="BM1396" s="47"/>
      <c r="BN1396" s="47"/>
      <c r="BO1396" s="47"/>
      <c r="BP1396" s="47"/>
      <c r="BQ1396" s="47"/>
      <c r="BR1396" s="47"/>
      <c r="BS1396" s="47"/>
      <c r="BT1396" s="47"/>
    </row>
    <row r="1397">
      <c r="A1397" s="24"/>
      <c r="B1397" s="48"/>
      <c r="C1397" s="49"/>
      <c r="D1397" s="24"/>
      <c r="E1397" s="52"/>
      <c r="F1397" s="53"/>
      <c r="G1397" s="48"/>
      <c r="H1397" s="49"/>
      <c r="I1397" s="49"/>
      <c r="J1397" s="48"/>
      <c r="K1397" s="48"/>
      <c r="L1397" s="48"/>
      <c r="M1397" s="48"/>
      <c r="N1397" s="48"/>
      <c r="O1397" s="48"/>
      <c r="P1397" s="48"/>
      <c r="Q1397" s="48"/>
      <c r="R1397" s="48"/>
      <c r="S1397" s="48"/>
      <c r="T1397" s="48"/>
      <c r="U1397" s="48"/>
      <c r="V1397" s="48"/>
      <c r="W1397" s="49"/>
      <c r="X1397" s="49"/>
      <c r="Y1397" s="49"/>
      <c r="Z1397" s="49"/>
      <c r="AA1397" s="49"/>
      <c r="AB1397" s="49"/>
      <c r="AC1397" s="49"/>
      <c r="AD1397" s="49"/>
      <c r="AE1397" s="49"/>
      <c r="AF1397" s="49"/>
      <c r="AG1397" s="49"/>
      <c r="AH1397" s="49"/>
      <c r="AI1397" s="48"/>
      <c r="AJ1397" s="48"/>
      <c r="AK1397" s="24"/>
      <c r="AL1397" s="50"/>
      <c r="AM1397" s="50"/>
      <c r="AN1397" s="50"/>
      <c r="AO1397" s="50"/>
      <c r="AP1397" s="50"/>
      <c r="AQ1397" s="50"/>
      <c r="AR1397" s="50"/>
      <c r="AS1397" s="50"/>
      <c r="AT1397" s="51"/>
      <c r="AU1397" s="51"/>
      <c r="AV1397" s="51"/>
      <c r="AW1397" s="51"/>
      <c r="AX1397" s="50"/>
      <c r="AY1397" s="50"/>
      <c r="AZ1397" s="50"/>
      <c r="BA1397" s="50"/>
      <c r="BB1397" s="51"/>
      <c r="BC1397" s="51"/>
      <c r="BD1397" s="51"/>
      <c r="BE1397" s="51"/>
      <c r="BF1397" s="47"/>
      <c r="BG1397" s="47"/>
      <c r="BH1397" s="47"/>
      <c r="BI1397" s="47"/>
      <c r="BJ1397" s="47"/>
      <c r="BK1397" s="47"/>
      <c r="BL1397" s="47"/>
      <c r="BM1397" s="47"/>
      <c r="BN1397" s="47"/>
      <c r="BO1397" s="47"/>
      <c r="BP1397" s="47"/>
      <c r="BQ1397" s="47"/>
      <c r="BR1397" s="47"/>
      <c r="BS1397" s="47"/>
      <c r="BT1397" s="47"/>
    </row>
    <row r="1398">
      <c r="A1398" s="24"/>
      <c r="B1398" s="48"/>
      <c r="C1398" s="49"/>
      <c r="D1398" s="24"/>
      <c r="E1398" s="52"/>
      <c r="F1398" s="53"/>
      <c r="G1398" s="48"/>
      <c r="H1398" s="49"/>
      <c r="I1398" s="49"/>
      <c r="J1398" s="48"/>
      <c r="K1398" s="48"/>
      <c r="L1398" s="48"/>
      <c r="M1398" s="48"/>
      <c r="N1398" s="48"/>
      <c r="O1398" s="48"/>
      <c r="P1398" s="48"/>
      <c r="Q1398" s="48"/>
      <c r="R1398" s="48"/>
      <c r="S1398" s="48"/>
      <c r="T1398" s="48"/>
      <c r="U1398" s="48"/>
      <c r="V1398" s="48"/>
      <c r="W1398" s="49"/>
      <c r="X1398" s="49"/>
      <c r="Y1398" s="49"/>
      <c r="Z1398" s="49"/>
      <c r="AA1398" s="49"/>
      <c r="AB1398" s="49"/>
      <c r="AC1398" s="49"/>
      <c r="AD1398" s="49"/>
      <c r="AE1398" s="49"/>
      <c r="AF1398" s="49"/>
      <c r="AG1398" s="49"/>
      <c r="AH1398" s="49"/>
      <c r="AI1398" s="48"/>
      <c r="AJ1398" s="48"/>
      <c r="AK1398" s="24"/>
      <c r="AL1398" s="50"/>
      <c r="AM1398" s="50"/>
      <c r="AN1398" s="50"/>
      <c r="AO1398" s="50"/>
      <c r="AP1398" s="50"/>
      <c r="AQ1398" s="50"/>
      <c r="AR1398" s="50"/>
      <c r="AS1398" s="50"/>
      <c r="AT1398" s="51"/>
      <c r="AU1398" s="51"/>
      <c r="AV1398" s="51"/>
      <c r="AW1398" s="51"/>
      <c r="AX1398" s="50"/>
      <c r="AY1398" s="50"/>
      <c r="AZ1398" s="50"/>
      <c r="BA1398" s="50"/>
      <c r="BB1398" s="51"/>
      <c r="BC1398" s="51"/>
      <c r="BD1398" s="51"/>
      <c r="BE1398" s="51"/>
      <c r="BF1398" s="47"/>
      <c r="BG1398" s="47"/>
      <c r="BH1398" s="47"/>
      <c r="BI1398" s="47"/>
      <c r="BJ1398" s="47"/>
      <c r="BK1398" s="47"/>
      <c r="BL1398" s="47"/>
      <c r="BM1398" s="47"/>
      <c r="BN1398" s="47"/>
      <c r="BO1398" s="47"/>
      <c r="BP1398" s="47"/>
      <c r="BQ1398" s="47"/>
      <c r="BR1398" s="47"/>
      <c r="BS1398" s="47"/>
      <c r="BT1398" s="47"/>
    </row>
    <row r="1399">
      <c r="A1399" s="24"/>
      <c r="B1399" s="48"/>
      <c r="C1399" s="49"/>
      <c r="D1399" s="24"/>
      <c r="E1399" s="52"/>
      <c r="F1399" s="53"/>
      <c r="G1399" s="48"/>
      <c r="H1399" s="49"/>
      <c r="I1399" s="49"/>
      <c r="J1399" s="48"/>
      <c r="K1399" s="48"/>
      <c r="L1399" s="48"/>
      <c r="M1399" s="48"/>
      <c r="N1399" s="48"/>
      <c r="O1399" s="48"/>
      <c r="P1399" s="48"/>
      <c r="Q1399" s="48"/>
      <c r="R1399" s="48"/>
      <c r="S1399" s="48"/>
      <c r="T1399" s="48"/>
      <c r="U1399" s="48"/>
      <c r="V1399" s="48"/>
      <c r="W1399" s="49"/>
      <c r="X1399" s="49"/>
      <c r="Y1399" s="49"/>
      <c r="Z1399" s="49"/>
      <c r="AA1399" s="49"/>
      <c r="AB1399" s="49"/>
      <c r="AC1399" s="49"/>
      <c r="AD1399" s="49"/>
      <c r="AE1399" s="49"/>
      <c r="AF1399" s="49"/>
      <c r="AG1399" s="49"/>
      <c r="AH1399" s="49"/>
      <c r="AI1399" s="48"/>
      <c r="AJ1399" s="48"/>
      <c r="AK1399" s="24"/>
      <c r="AL1399" s="50"/>
      <c r="AM1399" s="50"/>
      <c r="AN1399" s="50"/>
      <c r="AO1399" s="50"/>
      <c r="AP1399" s="50"/>
      <c r="AQ1399" s="50"/>
      <c r="AR1399" s="50"/>
      <c r="AS1399" s="50"/>
      <c r="AT1399" s="51"/>
      <c r="AU1399" s="51"/>
      <c r="AV1399" s="51"/>
      <c r="AW1399" s="51"/>
      <c r="AX1399" s="50"/>
      <c r="AY1399" s="50"/>
      <c r="AZ1399" s="50"/>
      <c r="BA1399" s="50"/>
      <c r="BB1399" s="51"/>
      <c r="BC1399" s="51"/>
      <c r="BD1399" s="51"/>
      <c r="BE1399" s="51"/>
      <c r="BF1399" s="47"/>
      <c r="BG1399" s="47"/>
      <c r="BH1399" s="47"/>
      <c r="BI1399" s="47"/>
      <c r="BJ1399" s="47"/>
      <c r="BK1399" s="47"/>
      <c r="BL1399" s="47"/>
      <c r="BM1399" s="47"/>
      <c r="BN1399" s="47"/>
      <c r="BO1399" s="47"/>
      <c r="BP1399" s="47"/>
      <c r="BQ1399" s="47"/>
      <c r="BR1399" s="47"/>
      <c r="BS1399" s="47"/>
      <c r="BT1399" s="47"/>
    </row>
    <row r="1400">
      <c r="A1400" s="24"/>
      <c r="B1400" s="48"/>
      <c r="C1400" s="49"/>
      <c r="D1400" s="24"/>
      <c r="E1400" s="52"/>
      <c r="F1400" s="53"/>
      <c r="G1400" s="48"/>
      <c r="H1400" s="49"/>
      <c r="I1400" s="49"/>
      <c r="J1400" s="48"/>
      <c r="K1400" s="48"/>
      <c r="L1400" s="48"/>
      <c r="M1400" s="48"/>
      <c r="N1400" s="48"/>
      <c r="O1400" s="48"/>
      <c r="P1400" s="48"/>
      <c r="Q1400" s="48"/>
      <c r="R1400" s="48"/>
      <c r="S1400" s="48"/>
      <c r="T1400" s="48"/>
      <c r="U1400" s="48"/>
      <c r="V1400" s="48"/>
      <c r="W1400" s="49"/>
      <c r="X1400" s="49"/>
      <c r="Y1400" s="49"/>
      <c r="Z1400" s="49"/>
      <c r="AA1400" s="49"/>
      <c r="AB1400" s="49"/>
      <c r="AC1400" s="49"/>
      <c r="AD1400" s="49"/>
      <c r="AE1400" s="49"/>
      <c r="AF1400" s="49"/>
      <c r="AG1400" s="49"/>
      <c r="AH1400" s="49"/>
      <c r="AI1400" s="48"/>
      <c r="AJ1400" s="48"/>
      <c r="AK1400" s="24"/>
      <c r="AL1400" s="50"/>
      <c r="AM1400" s="50"/>
      <c r="AN1400" s="50"/>
      <c r="AO1400" s="50"/>
      <c r="AP1400" s="50"/>
      <c r="AQ1400" s="50"/>
      <c r="AR1400" s="50"/>
      <c r="AS1400" s="50"/>
      <c r="AT1400" s="51"/>
      <c r="AU1400" s="51"/>
      <c r="AV1400" s="51"/>
      <c r="AW1400" s="51"/>
      <c r="AX1400" s="50"/>
      <c r="AY1400" s="50"/>
      <c r="AZ1400" s="50"/>
      <c r="BA1400" s="50"/>
      <c r="BB1400" s="51"/>
      <c r="BC1400" s="51"/>
      <c r="BD1400" s="51"/>
      <c r="BE1400" s="51"/>
      <c r="BF1400" s="47"/>
      <c r="BG1400" s="47"/>
      <c r="BH1400" s="47"/>
      <c r="BI1400" s="47"/>
      <c r="BJ1400" s="47"/>
      <c r="BK1400" s="47"/>
      <c r="BL1400" s="47"/>
      <c r="BM1400" s="47"/>
      <c r="BN1400" s="47"/>
      <c r="BO1400" s="47"/>
      <c r="BP1400" s="47"/>
      <c r="BQ1400" s="47"/>
      <c r="BR1400" s="47"/>
      <c r="BS1400" s="47"/>
      <c r="BT1400" s="47"/>
    </row>
    <row r="1401">
      <c r="A1401" s="24"/>
      <c r="B1401" s="48"/>
      <c r="C1401" s="49"/>
      <c r="D1401" s="24"/>
      <c r="E1401" s="52"/>
      <c r="F1401" s="53"/>
      <c r="G1401" s="48"/>
      <c r="H1401" s="49"/>
      <c r="I1401" s="49"/>
      <c r="J1401" s="48"/>
      <c r="K1401" s="48"/>
      <c r="L1401" s="48"/>
      <c r="M1401" s="48"/>
      <c r="N1401" s="48"/>
      <c r="O1401" s="48"/>
      <c r="P1401" s="48"/>
      <c r="Q1401" s="48"/>
      <c r="R1401" s="48"/>
      <c r="S1401" s="48"/>
      <c r="T1401" s="48"/>
      <c r="U1401" s="48"/>
      <c r="V1401" s="48"/>
      <c r="W1401" s="49"/>
      <c r="X1401" s="49"/>
      <c r="Y1401" s="49"/>
      <c r="Z1401" s="49"/>
      <c r="AA1401" s="49"/>
      <c r="AB1401" s="49"/>
      <c r="AC1401" s="49"/>
      <c r="AD1401" s="49"/>
      <c r="AE1401" s="49"/>
      <c r="AF1401" s="49"/>
      <c r="AG1401" s="49"/>
      <c r="AH1401" s="49"/>
      <c r="AI1401" s="48"/>
      <c r="AJ1401" s="48"/>
      <c r="AK1401" s="24"/>
      <c r="AL1401" s="50"/>
      <c r="AM1401" s="50"/>
      <c r="AN1401" s="50"/>
      <c r="AO1401" s="50"/>
      <c r="AP1401" s="50"/>
      <c r="AQ1401" s="50"/>
      <c r="AR1401" s="50"/>
      <c r="AS1401" s="50"/>
      <c r="AT1401" s="51"/>
      <c r="AU1401" s="51"/>
      <c r="AV1401" s="51"/>
      <c r="AW1401" s="51"/>
      <c r="AX1401" s="50"/>
      <c r="AY1401" s="50"/>
      <c r="AZ1401" s="50"/>
      <c r="BA1401" s="50"/>
      <c r="BB1401" s="51"/>
      <c r="BC1401" s="51"/>
      <c r="BD1401" s="51"/>
      <c r="BE1401" s="51"/>
      <c r="BF1401" s="47"/>
      <c r="BG1401" s="47"/>
      <c r="BH1401" s="47"/>
      <c r="BI1401" s="47"/>
      <c r="BJ1401" s="47"/>
      <c r="BK1401" s="47"/>
      <c r="BL1401" s="47"/>
      <c r="BM1401" s="47"/>
      <c r="BN1401" s="47"/>
      <c r="BO1401" s="47"/>
      <c r="BP1401" s="47"/>
      <c r="BQ1401" s="47"/>
      <c r="BR1401" s="47"/>
      <c r="BS1401" s="47"/>
      <c r="BT1401" s="47"/>
    </row>
    <row r="1402">
      <c r="A1402" s="24"/>
      <c r="B1402" s="48"/>
      <c r="C1402" s="49"/>
      <c r="D1402" s="24"/>
      <c r="E1402" s="52"/>
      <c r="F1402" s="53"/>
      <c r="G1402" s="48"/>
      <c r="H1402" s="49"/>
      <c r="I1402" s="49"/>
      <c r="J1402" s="48"/>
      <c r="K1402" s="48"/>
      <c r="L1402" s="48"/>
      <c r="M1402" s="48"/>
      <c r="N1402" s="48"/>
      <c r="O1402" s="48"/>
      <c r="P1402" s="48"/>
      <c r="Q1402" s="48"/>
      <c r="R1402" s="48"/>
      <c r="S1402" s="48"/>
      <c r="T1402" s="48"/>
      <c r="U1402" s="48"/>
      <c r="V1402" s="48"/>
      <c r="W1402" s="49"/>
      <c r="X1402" s="49"/>
      <c r="Y1402" s="49"/>
      <c r="Z1402" s="49"/>
      <c r="AA1402" s="49"/>
      <c r="AB1402" s="49"/>
      <c r="AC1402" s="49"/>
      <c r="AD1402" s="49"/>
      <c r="AE1402" s="49"/>
      <c r="AF1402" s="49"/>
      <c r="AG1402" s="49"/>
      <c r="AH1402" s="49"/>
      <c r="AI1402" s="48"/>
      <c r="AJ1402" s="48"/>
      <c r="AK1402" s="24"/>
      <c r="AL1402" s="50"/>
      <c r="AM1402" s="50"/>
      <c r="AN1402" s="50"/>
      <c r="AO1402" s="50"/>
      <c r="AP1402" s="50"/>
      <c r="AQ1402" s="50"/>
      <c r="AR1402" s="50"/>
      <c r="AS1402" s="50"/>
      <c r="AT1402" s="51"/>
      <c r="AU1402" s="51"/>
      <c r="AV1402" s="51"/>
      <c r="AW1402" s="51"/>
      <c r="AX1402" s="50"/>
      <c r="AY1402" s="50"/>
      <c r="AZ1402" s="50"/>
      <c r="BA1402" s="50"/>
      <c r="BB1402" s="51"/>
      <c r="BC1402" s="51"/>
      <c r="BD1402" s="51"/>
      <c r="BE1402" s="51"/>
      <c r="BF1402" s="47"/>
      <c r="BG1402" s="47"/>
      <c r="BH1402" s="47"/>
      <c r="BI1402" s="47"/>
      <c r="BJ1402" s="47"/>
      <c r="BK1402" s="47"/>
      <c r="BL1402" s="47"/>
      <c r="BM1402" s="47"/>
      <c r="BN1402" s="47"/>
      <c r="BO1402" s="47"/>
      <c r="BP1402" s="47"/>
      <c r="BQ1402" s="47"/>
      <c r="BR1402" s="47"/>
      <c r="BS1402" s="47"/>
      <c r="BT1402" s="47"/>
    </row>
    <row r="1403">
      <c r="A1403" s="24"/>
      <c r="B1403" s="48"/>
      <c r="C1403" s="49"/>
      <c r="D1403" s="24"/>
      <c r="E1403" s="52"/>
      <c r="F1403" s="53"/>
      <c r="G1403" s="48"/>
      <c r="H1403" s="49"/>
      <c r="I1403" s="49"/>
      <c r="J1403" s="48"/>
      <c r="K1403" s="48"/>
      <c r="L1403" s="48"/>
      <c r="M1403" s="48"/>
      <c r="N1403" s="48"/>
      <c r="O1403" s="48"/>
      <c r="P1403" s="48"/>
      <c r="Q1403" s="48"/>
      <c r="R1403" s="48"/>
      <c r="S1403" s="48"/>
      <c r="T1403" s="48"/>
      <c r="U1403" s="48"/>
      <c r="V1403" s="48"/>
      <c r="W1403" s="49"/>
      <c r="X1403" s="49"/>
      <c r="Y1403" s="49"/>
      <c r="Z1403" s="49"/>
      <c r="AA1403" s="49"/>
      <c r="AB1403" s="49"/>
      <c r="AC1403" s="49"/>
      <c r="AD1403" s="49"/>
      <c r="AE1403" s="49"/>
      <c r="AF1403" s="49"/>
      <c r="AG1403" s="49"/>
      <c r="AH1403" s="49"/>
      <c r="AI1403" s="48"/>
      <c r="AJ1403" s="48"/>
      <c r="AK1403" s="24"/>
      <c r="AL1403" s="50"/>
      <c r="AM1403" s="50"/>
      <c r="AN1403" s="50"/>
      <c r="AO1403" s="50"/>
      <c r="AP1403" s="50"/>
      <c r="AQ1403" s="50"/>
      <c r="AR1403" s="50"/>
      <c r="AS1403" s="50"/>
      <c r="AT1403" s="51"/>
      <c r="AU1403" s="51"/>
      <c r="AV1403" s="51"/>
      <c r="AW1403" s="51"/>
      <c r="AX1403" s="50"/>
      <c r="AY1403" s="50"/>
      <c r="AZ1403" s="50"/>
      <c r="BA1403" s="50"/>
      <c r="BB1403" s="51"/>
      <c r="BC1403" s="51"/>
      <c r="BD1403" s="51"/>
      <c r="BE1403" s="51"/>
      <c r="BF1403" s="47"/>
      <c r="BG1403" s="47"/>
      <c r="BH1403" s="47"/>
      <c r="BI1403" s="47"/>
      <c r="BJ1403" s="47"/>
      <c r="BK1403" s="47"/>
      <c r="BL1403" s="47"/>
      <c r="BM1403" s="47"/>
      <c r="BN1403" s="47"/>
      <c r="BO1403" s="47"/>
      <c r="BP1403" s="47"/>
      <c r="BQ1403" s="47"/>
      <c r="BR1403" s="47"/>
      <c r="BS1403" s="47"/>
      <c r="BT1403" s="47"/>
    </row>
    <row r="1404">
      <c r="A1404" s="24"/>
      <c r="B1404" s="48"/>
      <c r="C1404" s="49"/>
      <c r="D1404" s="24"/>
      <c r="E1404" s="52"/>
      <c r="F1404" s="53"/>
      <c r="G1404" s="48"/>
      <c r="H1404" s="49"/>
      <c r="I1404" s="49"/>
      <c r="J1404" s="48"/>
      <c r="K1404" s="48"/>
      <c r="L1404" s="48"/>
      <c r="M1404" s="48"/>
      <c r="N1404" s="48"/>
      <c r="O1404" s="48"/>
      <c r="P1404" s="48"/>
      <c r="Q1404" s="48"/>
      <c r="R1404" s="48"/>
      <c r="S1404" s="48"/>
      <c r="T1404" s="48"/>
      <c r="U1404" s="48"/>
      <c r="V1404" s="48"/>
      <c r="W1404" s="49"/>
      <c r="X1404" s="49"/>
      <c r="Y1404" s="49"/>
      <c r="Z1404" s="49"/>
      <c r="AA1404" s="49"/>
      <c r="AB1404" s="49"/>
      <c r="AC1404" s="49"/>
      <c r="AD1404" s="49"/>
      <c r="AE1404" s="49"/>
      <c r="AF1404" s="49"/>
      <c r="AG1404" s="49"/>
      <c r="AH1404" s="49"/>
      <c r="AI1404" s="48"/>
      <c r="AJ1404" s="48"/>
      <c r="AK1404" s="24"/>
      <c r="AL1404" s="50"/>
      <c r="AM1404" s="50"/>
      <c r="AN1404" s="50"/>
      <c r="AO1404" s="50"/>
      <c r="AP1404" s="50"/>
      <c r="AQ1404" s="50"/>
      <c r="AR1404" s="50"/>
      <c r="AS1404" s="50"/>
      <c r="AT1404" s="51"/>
      <c r="AU1404" s="51"/>
      <c r="AV1404" s="51"/>
      <c r="AW1404" s="51"/>
      <c r="AX1404" s="50"/>
      <c r="AY1404" s="50"/>
      <c r="AZ1404" s="50"/>
      <c r="BA1404" s="50"/>
      <c r="BB1404" s="51"/>
      <c r="BC1404" s="51"/>
      <c r="BD1404" s="51"/>
      <c r="BE1404" s="51"/>
      <c r="BF1404" s="47"/>
      <c r="BG1404" s="47"/>
      <c r="BH1404" s="47"/>
      <c r="BI1404" s="47"/>
      <c r="BJ1404" s="47"/>
      <c r="BK1404" s="47"/>
      <c r="BL1404" s="47"/>
      <c r="BM1404" s="47"/>
      <c r="BN1404" s="47"/>
      <c r="BO1404" s="47"/>
      <c r="BP1404" s="47"/>
      <c r="BQ1404" s="47"/>
      <c r="BR1404" s="47"/>
      <c r="BS1404" s="47"/>
      <c r="BT1404" s="47"/>
    </row>
    <row r="1405">
      <c r="A1405" s="24"/>
      <c r="B1405" s="48"/>
      <c r="C1405" s="49"/>
      <c r="D1405" s="24"/>
      <c r="E1405" s="52"/>
      <c r="F1405" s="53"/>
      <c r="G1405" s="48"/>
      <c r="H1405" s="49"/>
      <c r="I1405" s="49"/>
      <c r="J1405" s="48"/>
      <c r="K1405" s="48"/>
      <c r="L1405" s="48"/>
      <c r="M1405" s="48"/>
      <c r="N1405" s="48"/>
      <c r="O1405" s="48"/>
      <c r="P1405" s="48"/>
      <c r="Q1405" s="48"/>
      <c r="R1405" s="48"/>
      <c r="S1405" s="48"/>
      <c r="T1405" s="48"/>
      <c r="U1405" s="48"/>
      <c r="V1405" s="48"/>
      <c r="W1405" s="49"/>
      <c r="X1405" s="49"/>
      <c r="Y1405" s="49"/>
      <c r="Z1405" s="49"/>
      <c r="AA1405" s="49"/>
      <c r="AB1405" s="49"/>
      <c r="AC1405" s="49"/>
      <c r="AD1405" s="49"/>
      <c r="AE1405" s="49"/>
      <c r="AF1405" s="49"/>
      <c r="AG1405" s="49"/>
      <c r="AH1405" s="49"/>
      <c r="AI1405" s="48"/>
      <c r="AJ1405" s="48"/>
      <c r="AK1405" s="24"/>
      <c r="AL1405" s="50"/>
      <c r="AM1405" s="50"/>
      <c r="AN1405" s="50"/>
      <c r="AO1405" s="50"/>
      <c r="AP1405" s="50"/>
      <c r="AQ1405" s="50"/>
      <c r="AR1405" s="50"/>
      <c r="AS1405" s="50"/>
      <c r="AT1405" s="51"/>
      <c r="AU1405" s="51"/>
      <c r="AV1405" s="51"/>
      <c r="AW1405" s="51"/>
      <c r="AX1405" s="50"/>
      <c r="AY1405" s="50"/>
      <c r="AZ1405" s="50"/>
      <c r="BA1405" s="50"/>
      <c r="BB1405" s="51"/>
      <c r="BC1405" s="51"/>
      <c r="BD1405" s="51"/>
      <c r="BE1405" s="51"/>
      <c r="BF1405" s="47"/>
      <c r="BG1405" s="47"/>
      <c r="BH1405" s="47"/>
      <c r="BI1405" s="47"/>
      <c r="BJ1405" s="47"/>
      <c r="BK1405" s="47"/>
      <c r="BL1405" s="47"/>
      <c r="BM1405" s="47"/>
      <c r="BN1405" s="47"/>
      <c r="BO1405" s="47"/>
      <c r="BP1405" s="47"/>
      <c r="BQ1405" s="47"/>
      <c r="BR1405" s="47"/>
      <c r="BS1405" s="47"/>
      <c r="BT1405" s="47"/>
    </row>
    <row r="1406">
      <c r="A1406" s="24"/>
      <c r="B1406" s="48"/>
      <c r="C1406" s="49"/>
      <c r="D1406" s="24"/>
      <c r="E1406" s="52"/>
      <c r="F1406" s="53"/>
      <c r="G1406" s="48"/>
      <c r="H1406" s="49"/>
      <c r="I1406" s="49"/>
      <c r="J1406" s="48"/>
      <c r="K1406" s="48"/>
      <c r="L1406" s="48"/>
      <c r="M1406" s="48"/>
      <c r="N1406" s="48"/>
      <c r="O1406" s="48"/>
      <c r="P1406" s="48"/>
      <c r="Q1406" s="48"/>
      <c r="R1406" s="48"/>
      <c r="S1406" s="48"/>
      <c r="T1406" s="48"/>
      <c r="U1406" s="48"/>
      <c r="V1406" s="48"/>
      <c r="W1406" s="49"/>
      <c r="X1406" s="49"/>
      <c r="Y1406" s="49"/>
      <c r="Z1406" s="49"/>
      <c r="AA1406" s="49"/>
      <c r="AB1406" s="49"/>
      <c r="AC1406" s="49"/>
      <c r="AD1406" s="49"/>
      <c r="AE1406" s="49"/>
      <c r="AF1406" s="49"/>
      <c r="AG1406" s="49"/>
      <c r="AH1406" s="49"/>
      <c r="AI1406" s="48"/>
      <c r="AJ1406" s="48"/>
      <c r="AK1406" s="24"/>
      <c r="AL1406" s="50"/>
      <c r="AM1406" s="50"/>
      <c r="AN1406" s="50"/>
      <c r="AO1406" s="50"/>
      <c r="AP1406" s="50"/>
      <c r="AQ1406" s="50"/>
      <c r="AR1406" s="50"/>
      <c r="AS1406" s="50"/>
      <c r="AT1406" s="51"/>
      <c r="AU1406" s="51"/>
      <c r="AV1406" s="51"/>
      <c r="AW1406" s="51"/>
      <c r="AX1406" s="50"/>
      <c r="AY1406" s="50"/>
      <c r="AZ1406" s="50"/>
      <c r="BA1406" s="50"/>
      <c r="BB1406" s="51"/>
      <c r="BC1406" s="51"/>
      <c r="BD1406" s="51"/>
      <c r="BE1406" s="51"/>
      <c r="BF1406" s="47"/>
      <c r="BG1406" s="47"/>
      <c r="BH1406" s="47"/>
      <c r="BI1406" s="47"/>
      <c r="BJ1406" s="47"/>
      <c r="BK1406" s="47"/>
      <c r="BL1406" s="47"/>
      <c r="BM1406" s="47"/>
      <c r="BN1406" s="47"/>
      <c r="BO1406" s="47"/>
      <c r="BP1406" s="47"/>
      <c r="BQ1406" s="47"/>
      <c r="BR1406" s="47"/>
      <c r="BS1406" s="47"/>
      <c r="BT1406" s="47"/>
    </row>
    <row r="1407">
      <c r="A1407" s="24"/>
      <c r="B1407" s="48"/>
      <c r="C1407" s="49"/>
      <c r="D1407" s="24"/>
      <c r="E1407" s="52"/>
      <c r="F1407" s="53"/>
      <c r="G1407" s="48"/>
      <c r="H1407" s="49"/>
      <c r="I1407" s="49"/>
      <c r="J1407" s="48"/>
      <c r="K1407" s="48"/>
      <c r="L1407" s="48"/>
      <c r="M1407" s="48"/>
      <c r="N1407" s="48"/>
      <c r="O1407" s="48"/>
      <c r="P1407" s="48"/>
      <c r="Q1407" s="48"/>
      <c r="R1407" s="48"/>
      <c r="S1407" s="48"/>
      <c r="T1407" s="48"/>
      <c r="U1407" s="48"/>
      <c r="V1407" s="48"/>
      <c r="W1407" s="49"/>
      <c r="X1407" s="49"/>
      <c r="Y1407" s="49"/>
      <c r="Z1407" s="49"/>
      <c r="AA1407" s="49"/>
      <c r="AB1407" s="49"/>
      <c r="AC1407" s="49"/>
      <c r="AD1407" s="49"/>
      <c r="AE1407" s="49"/>
      <c r="AF1407" s="49"/>
      <c r="AG1407" s="49"/>
      <c r="AH1407" s="49"/>
      <c r="AI1407" s="48"/>
      <c r="AJ1407" s="48"/>
      <c r="AK1407" s="24"/>
      <c r="AL1407" s="50"/>
      <c r="AM1407" s="50"/>
      <c r="AN1407" s="50"/>
      <c r="AO1407" s="50"/>
      <c r="AP1407" s="50"/>
      <c r="AQ1407" s="50"/>
      <c r="AR1407" s="50"/>
      <c r="AS1407" s="50"/>
      <c r="AT1407" s="51"/>
      <c r="AU1407" s="51"/>
      <c r="AV1407" s="51"/>
      <c r="AW1407" s="51"/>
      <c r="AX1407" s="50"/>
      <c r="AY1407" s="50"/>
      <c r="AZ1407" s="50"/>
      <c r="BA1407" s="50"/>
      <c r="BB1407" s="51"/>
      <c r="BC1407" s="51"/>
      <c r="BD1407" s="51"/>
      <c r="BE1407" s="51"/>
      <c r="BF1407" s="47"/>
      <c r="BG1407" s="47"/>
      <c r="BH1407" s="47"/>
      <c r="BI1407" s="47"/>
      <c r="BJ1407" s="47"/>
      <c r="BK1407" s="47"/>
      <c r="BL1407" s="47"/>
      <c r="BM1407" s="47"/>
      <c r="BN1407" s="47"/>
      <c r="BO1407" s="47"/>
      <c r="BP1407" s="47"/>
      <c r="BQ1407" s="47"/>
      <c r="BR1407" s="47"/>
      <c r="BS1407" s="47"/>
      <c r="BT1407" s="47"/>
    </row>
    <row r="1408">
      <c r="A1408" s="24"/>
      <c r="B1408" s="48"/>
      <c r="C1408" s="49"/>
      <c r="D1408" s="24"/>
      <c r="E1408" s="52"/>
      <c r="F1408" s="53"/>
      <c r="G1408" s="48"/>
      <c r="H1408" s="49"/>
      <c r="I1408" s="49"/>
      <c r="J1408" s="48"/>
      <c r="K1408" s="48"/>
      <c r="L1408" s="48"/>
      <c r="M1408" s="48"/>
      <c r="N1408" s="48"/>
      <c r="O1408" s="48"/>
      <c r="P1408" s="48"/>
      <c r="Q1408" s="48"/>
      <c r="R1408" s="48"/>
      <c r="S1408" s="48"/>
      <c r="T1408" s="48"/>
      <c r="U1408" s="48"/>
      <c r="V1408" s="48"/>
      <c r="W1408" s="49"/>
      <c r="X1408" s="49"/>
      <c r="Y1408" s="49"/>
      <c r="Z1408" s="49"/>
      <c r="AA1408" s="49"/>
      <c r="AB1408" s="49"/>
      <c r="AC1408" s="49"/>
      <c r="AD1408" s="49"/>
      <c r="AE1408" s="49"/>
      <c r="AF1408" s="49"/>
      <c r="AG1408" s="49"/>
      <c r="AH1408" s="49"/>
      <c r="AI1408" s="48"/>
      <c r="AJ1408" s="48"/>
      <c r="AK1408" s="24"/>
      <c r="AL1408" s="50"/>
      <c r="AM1408" s="50"/>
      <c r="AN1408" s="50"/>
      <c r="AO1408" s="50"/>
      <c r="AP1408" s="50"/>
      <c r="AQ1408" s="50"/>
      <c r="AR1408" s="50"/>
      <c r="AS1408" s="50"/>
      <c r="AT1408" s="51"/>
      <c r="AU1408" s="51"/>
      <c r="AV1408" s="51"/>
      <c r="AW1408" s="51"/>
      <c r="AX1408" s="50"/>
      <c r="AY1408" s="50"/>
      <c r="AZ1408" s="50"/>
      <c r="BA1408" s="50"/>
      <c r="BB1408" s="51"/>
      <c r="BC1408" s="51"/>
      <c r="BD1408" s="51"/>
      <c r="BE1408" s="51"/>
      <c r="BF1408" s="47"/>
      <c r="BG1408" s="47"/>
      <c r="BH1408" s="47"/>
      <c r="BI1408" s="47"/>
      <c r="BJ1408" s="47"/>
      <c r="BK1408" s="47"/>
      <c r="BL1408" s="47"/>
      <c r="BM1408" s="47"/>
      <c r="BN1408" s="47"/>
      <c r="BO1408" s="47"/>
      <c r="BP1408" s="47"/>
      <c r="BQ1408" s="47"/>
      <c r="BR1408" s="47"/>
      <c r="BS1408" s="47"/>
      <c r="BT1408" s="47"/>
    </row>
    <row r="1409">
      <c r="A1409" s="24"/>
      <c r="B1409" s="48"/>
      <c r="C1409" s="49"/>
      <c r="D1409" s="24"/>
      <c r="E1409" s="52"/>
      <c r="F1409" s="53"/>
      <c r="G1409" s="48"/>
      <c r="H1409" s="49"/>
      <c r="I1409" s="49"/>
      <c r="J1409" s="48"/>
      <c r="K1409" s="48"/>
      <c r="L1409" s="48"/>
      <c r="M1409" s="48"/>
      <c r="N1409" s="48"/>
      <c r="O1409" s="48"/>
      <c r="P1409" s="48"/>
      <c r="Q1409" s="48"/>
      <c r="R1409" s="48"/>
      <c r="S1409" s="48"/>
      <c r="T1409" s="48"/>
      <c r="U1409" s="48"/>
      <c r="V1409" s="48"/>
      <c r="W1409" s="49"/>
      <c r="X1409" s="49"/>
      <c r="Y1409" s="49"/>
      <c r="Z1409" s="49"/>
      <c r="AA1409" s="49"/>
      <c r="AB1409" s="49"/>
      <c r="AC1409" s="49"/>
      <c r="AD1409" s="49"/>
      <c r="AE1409" s="49"/>
      <c r="AF1409" s="49"/>
      <c r="AG1409" s="49"/>
      <c r="AH1409" s="49"/>
      <c r="AI1409" s="48"/>
      <c r="AJ1409" s="48"/>
      <c r="AK1409" s="24"/>
      <c r="AL1409" s="50"/>
      <c r="AM1409" s="50"/>
      <c r="AN1409" s="50"/>
      <c r="AO1409" s="50"/>
      <c r="AP1409" s="50"/>
      <c r="AQ1409" s="50"/>
      <c r="AR1409" s="50"/>
      <c r="AS1409" s="50"/>
      <c r="AT1409" s="51"/>
      <c r="AU1409" s="51"/>
      <c r="AV1409" s="51"/>
      <c r="AW1409" s="51"/>
      <c r="AX1409" s="50"/>
      <c r="AY1409" s="50"/>
      <c r="AZ1409" s="50"/>
      <c r="BA1409" s="50"/>
      <c r="BB1409" s="51"/>
      <c r="BC1409" s="51"/>
      <c r="BD1409" s="51"/>
      <c r="BE1409" s="51"/>
      <c r="BF1409" s="47"/>
      <c r="BG1409" s="47"/>
      <c r="BH1409" s="47"/>
      <c r="BI1409" s="47"/>
      <c r="BJ1409" s="47"/>
      <c r="BK1409" s="47"/>
      <c r="BL1409" s="47"/>
      <c r="BM1409" s="47"/>
      <c r="BN1409" s="47"/>
      <c r="BO1409" s="47"/>
      <c r="BP1409" s="47"/>
      <c r="BQ1409" s="47"/>
      <c r="BR1409" s="47"/>
      <c r="BS1409" s="47"/>
      <c r="BT1409" s="47"/>
    </row>
    <row r="1410">
      <c r="A1410" s="24"/>
      <c r="B1410" s="48"/>
      <c r="C1410" s="49"/>
      <c r="D1410" s="24"/>
      <c r="E1410" s="52"/>
      <c r="F1410" s="53"/>
      <c r="G1410" s="48"/>
      <c r="H1410" s="49"/>
      <c r="I1410" s="49"/>
      <c r="J1410" s="48"/>
      <c r="K1410" s="48"/>
      <c r="L1410" s="48"/>
      <c r="M1410" s="48"/>
      <c r="N1410" s="48"/>
      <c r="O1410" s="48"/>
      <c r="P1410" s="48"/>
      <c r="Q1410" s="48"/>
      <c r="R1410" s="48"/>
      <c r="S1410" s="48"/>
      <c r="T1410" s="48"/>
      <c r="U1410" s="48"/>
      <c r="V1410" s="48"/>
      <c r="W1410" s="49"/>
      <c r="X1410" s="49"/>
      <c r="Y1410" s="49"/>
      <c r="Z1410" s="49"/>
      <c r="AA1410" s="49"/>
      <c r="AB1410" s="49"/>
      <c r="AC1410" s="49"/>
      <c r="AD1410" s="49"/>
      <c r="AE1410" s="49"/>
      <c r="AF1410" s="49"/>
      <c r="AG1410" s="49"/>
      <c r="AH1410" s="49"/>
      <c r="AI1410" s="48"/>
      <c r="AJ1410" s="48"/>
      <c r="AK1410" s="24"/>
      <c r="AL1410" s="50"/>
      <c r="AM1410" s="50"/>
      <c r="AN1410" s="50"/>
      <c r="AO1410" s="50"/>
      <c r="AP1410" s="50"/>
      <c r="AQ1410" s="50"/>
      <c r="AR1410" s="50"/>
      <c r="AS1410" s="50"/>
      <c r="AT1410" s="51"/>
      <c r="AU1410" s="51"/>
      <c r="AV1410" s="51"/>
      <c r="AW1410" s="51"/>
      <c r="AX1410" s="50"/>
      <c r="AY1410" s="50"/>
      <c r="AZ1410" s="50"/>
      <c r="BA1410" s="50"/>
      <c r="BB1410" s="51"/>
      <c r="BC1410" s="51"/>
      <c r="BD1410" s="51"/>
      <c r="BE1410" s="51"/>
      <c r="BF1410" s="47"/>
      <c r="BG1410" s="47"/>
      <c r="BH1410" s="47"/>
      <c r="BI1410" s="47"/>
      <c r="BJ1410" s="47"/>
      <c r="BK1410" s="47"/>
      <c r="BL1410" s="47"/>
      <c r="BM1410" s="47"/>
      <c r="BN1410" s="47"/>
      <c r="BO1410" s="47"/>
      <c r="BP1410" s="47"/>
      <c r="BQ1410" s="47"/>
      <c r="BR1410" s="47"/>
      <c r="BS1410" s="47"/>
      <c r="BT1410" s="47"/>
    </row>
    <row r="1411">
      <c r="A1411" s="24"/>
      <c r="B1411" s="48"/>
      <c r="C1411" s="49"/>
      <c r="D1411" s="24"/>
      <c r="E1411" s="52"/>
      <c r="F1411" s="53"/>
      <c r="G1411" s="48"/>
      <c r="H1411" s="49"/>
      <c r="I1411" s="49"/>
      <c r="J1411" s="48"/>
      <c r="K1411" s="48"/>
      <c r="L1411" s="48"/>
      <c r="M1411" s="48"/>
      <c r="N1411" s="48"/>
      <c r="O1411" s="48"/>
      <c r="P1411" s="48"/>
      <c r="Q1411" s="48"/>
      <c r="R1411" s="48"/>
      <c r="S1411" s="48"/>
      <c r="T1411" s="48"/>
      <c r="U1411" s="48"/>
      <c r="V1411" s="48"/>
      <c r="W1411" s="49"/>
      <c r="X1411" s="49"/>
      <c r="Y1411" s="49"/>
      <c r="Z1411" s="49"/>
      <c r="AA1411" s="49"/>
      <c r="AB1411" s="49"/>
      <c r="AC1411" s="49"/>
      <c r="AD1411" s="49"/>
      <c r="AE1411" s="49"/>
      <c r="AF1411" s="49"/>
      <c r="AG1411" s="49"/>
      <c r="AH1411" s="49"/>
      <c r="AI1411" s="48"/>
      <c r="AJ1411" s="48"/>
      <c r="AK1411" s="24"/>
      <c r="AL1411" s="50"/>
      <c r="AM1411" s="50"/>
      <c r="AN1411" s="50"/>
      <c r="AO1411" s="50"/>
      <c r="AP1411" s="50"/>
      <c r="AQ1411" s="50"/>
      <c r="AR1411" s="50"/>
      <c r="AS1411" s="50"/>
      <c r="AT1411" s="51"/>
      <c r="AU1411" s="51"/>
      <c r="AV1411" s="51"/>
      <c r="AW1411" s="51"/>
      <c r="AX1411" s="50"/>
      <c r="AY1411" s="50"/>
      <c r="AZ1411" s="50"/>
      <c r="BA1411" s="50"/>
      <c r="BB1411" s="51"/>
      <c r="BC1411" s="51"/>
      <c r="BD1411" s="51"/>
      <c r="BE1411" s="51"/>
      <c r="BF1411" s="47"/>
      <c r="BG1411" s="47"/>
      <c r="BH1411" s="47"/>
      <c r="BI1411" s="47"/>
      <c r="BJ1411" s="47"/>
      <c r="BK1411" s="47"/>
      <c r="BL1411" s="47"/>
      <c r="BM1411" s="47"/>
      <c r="BN1411" s="47"/>
      <c r="BO1411" s="47"/>
      <c r="BP1411" s="47"/>
      <c r="BQ1411" s="47"/>
      <c r="BR1411" s="47"/>
      <c r="BS1411" s="47"/>
      <c r="BT1411" s="47"/>
    </row>
    <row r="1412">
      <c r="A1412" s="24"/>
      <c r="B1412" s="48"/>
      <c r="C1412" s="49"/>
      <c r="D1412" s="24"/>
      <c r="E1412" s="52"/>
      <c r="F1412" s="53"/>
      <c r="G1412" s="48"/>
      <c r="H1412" s="49"/>
      <c r="I1412" s="49"/>
      <c r="J1412" s="48"/>
      <c r="K1412" s="48"/>
      <c r="L1412" s="48"/>
      <c r="M1412" s="48"/>
      <c r="N1412" s="48"/>
      <c r="O1412" s="48"/>
      <c r="P1412" s="48"/>
      <c r="Q1412" s="48"/>
      <c r="R1412" s="48"/>
      <c r="S1412" s="48"/>
      <c r="T1412" s="48"/>
      <c r="U1412" s="48"/>
      <c r="V1412" s="48"/>
      <c r="W1412" s="49"/>
      <c r="X1412" s="49"/>
      <c r="Y1412" s="49"/>
      <c r="Z1412" s="49"/>
      <c r="AA1412" s="49"/>
      <c r="AB1412" s="49"/>
      <c r="AC1412" s="49"/>
      <c r="AD1412" s="49"/>
      <c r="AE1412" s="49"/>
      <c r="AF1412" s="49"/>
      <c r="AG1412" s="49"/>
      <c r="AH1412" s="49"/>
      <c r="AI1412" s="48"/>
      <c r="AJ1412" s="48"/>
      <c r="AK1412" s="24"/>
      <c r="AL1412" s="50"/>
      <c r="AM1412" s="50"/>
      <c r="AN1412" s="50"/>
      <c r="AO1412" s="50"/>
      <c r="AP1412" s="50"/>
      <c r="AQ1412" s="50"/>
      <c r="AR1412" s="50"/>
      <c r="AS1412" s="50"/>
      <c r="AT1412" s="51"/>
      <c r="AU1412" s="51"/>
      <c r="AV1412" s="51"/>
      <c r="AW1412" s="51"/>
      <c r="AX1412" s="50"/>
      <c r="AY1412" s="50"/>
      <c r="AZ1412" s="50"/>
      <c r="BA1412" s="50"/>
      <c r="BB1412" s="51"/>
      <c r="BC1412" s="51"/>
      <c r="BD1412" s="51"/>
      <c r="BE1412" s="51"/>
      <c r="BF1412" s="47"/>
      <c r="BG1412" s="47"/>
      <c r="BH1412" s="47"/>
      <c r="BI1412" s="47"/>
      <c r="BJ1412" s="47"/>
      <c r="BK1412" s="47"/>
      <c r="BL1412" s="47"/>
      <c r="BM1412" s="47"/>
      <c r="BN1412" s="47"/>
      <c r="BO1412" s="47"/>
      <c r="BP1412" s="47"/>
      <c r="BQ1412" s="47"/>
      <c r="BR1412" s="47"/>
      <c r="BS1412" s="47"/>
      <c r="BT1412" s="47"/>
    </row>
    <row r="1413">
      <c r="A1413" s="24"/>
      <c r="B1413" s="48"/>
      <c r="C1413" s="49"/>
      <c r="D1413" s="24"/>
      <c r="E1413" s="52"/>
      <c r="F1413" s="53"/>
      <c r="G1413" s="48"/>
      <c r="H1413" s="49"/>
      <c r="I1413" s="49"/>
      <c r="J1413" s="48"/>
      <c r="K1413" s="48"/>
      <c r="L1413" s="48"/>
      <c r="M1413" s="48"/>
      <c r="N1413" s="48"/>
      <c r="O1413" s="48"/>
      <c r="P1413" s="48"/>
      <c r="Q1413" s="48"/>
      <c r="R1413" s="48"/>
      <c r="S1413" s="48"/>
      <c r="T1413" s="48"/>
      <c r="U1413" s="48"/>
      <c r="V1413" s="48"/>
      <c r="W1413" s="49"/>
      <c r="X1413" s="49"/>
      <c r="Y1413" s="49"/>
      <c r="Z1413" s="49"/>
      <c r="AA1413" s="49"/>
      <c r="AB1413" s="49"/>
      <c r="AC1413" s="49"/>
      <c r="AD1413" s="49"/>
      <c r="AE1413" s="49"/>
      <c r="AF1413" s="49"/>
      <c r="AG1413" s="49"/>
      <c r="AH1413" s="49"/>
      <c r="AI1413" s="48"/>
      <c r="AJ1413" s="48"/>
      <c r="AK1413" s="24"/>
      <c r="AL1413" s="50"/>
      <c r="AM1413" s="50"/>
      <c r="AN1413" s="50"/>
      <c r="AO1413" s="50"/>
      <c r="AP1413" s="50"/>
      <c r="AQ1413" s="50"/>
      <c r="AR1413" s="50"/>
      <c r="AS1413" s="50"/>
      <c r="AT1413" s="51"/>
      <c r="AU1413" s="51"/>
      <c r="AV1413" s="51"/>
      <c r="AW1413" s="51"/>
      <c r="AX1413" s="50"/>
      <c r="AY1413" s="50"/>
      <c r="AZ1413" s="50"/>
      <c r="BA1413" s="50"/>
      <c r="BB1413" s="51"/>
      <c r="BC1413" s="51"/>
      <c r="BD1413" s="51"/>
      <c r="BE1413" s="51"/>
      <c r="BF1413" s="47"/>
      <c r="BG1413" s="47"/>
      <c r="BH1413" s="47"/>
      <c r="BI1413" s="47"/>
      <c r="BJ1413" s="47"/>
      <c r="BK1413" s="47"/>
      <c r="BL1413" s="47"/>
      <c r="BM1413" s="47"/>
      <c r="BN1413" s="47"/>
      <c r="BO1413" s="47"/>
      <c r="BP1413" s="47"/>
      <c r="BQ1413" s="47"/>
      <c r="BR1413" s="47"/>
      <c r="BS1413" s="47"/>
      <c r="BT1413" s="47"/>
    </row>
    <row r="1414">
      <c r="A1414" s="24"/>
      <c r="B1414" s="48"/>
      <c r="C1414" s="49"/>
      <c r="D1414" s="24"/>
      <c r="E1414" s="52"/>
      <c r="F1414" s="53"/>
      <c r="G1414" s="48"/>
      <c r="H1414" s="49"/>
      <c r="I1414" s="49"/>
      <c r="J1414" s="48"/>
      <c r="K1414" s="48"/>
      <c r="L1414" s="48"/>
      <c r="M1414" s="48"/>
      <c r="N1414" s="48"/>
      <c r="O1414" s="48"/>
      <c r="P1414" s="48"/>
      <c r="Q1414" s="48"/>
      <c r="R1414" s="48"/>
      <c r="S1414" s="48"/>
      <c r="T1414" s="48"/>
      <c r="U1414" s="48"/>
      <c r="V1414" s="48"/>
      <c r="W1414" s="49"/>
      <c r="X1414" s="49"/>
      <c r="Y1414" s="49"/>
      <c r="Z1414" s="49"/>
      <c r="AA1414" s="49"/>
      <c r="AB1414" s="49"/>
      <c r="AC1414" s="49"/>
      <c r="AD1414" s="49"/>
      <c r="AE1414" s="49"/>
      <c r="AF1414" s="49"/>
      <c r="AG1414" s="49"/>
      <c r="AH1414" s="49"/>
      <c r="AI1414" s="48"/>
      <c r="AJ1414" s="48"/>
      <c r="AK1414" s="24"/>
      <c r="AL1414" s="50"/>
      <c r="AM1414" s="50"/>
      <c r="AN1414" s="50"/>
      <c r="AO1414" s="50"/>
      <c r="AP1414" s="50"/>
      <c r="AQ1414" s="50"/>
      <c r="AR1414" s="50"/>
      <c r="AS1414" s="50"/>
      <c r="AT1414" s="51"/>
      <c r="AU1414" s="51"/>
      <c r="AV1414" s="51"/>
      <c r="AW1414" s="51"/>
      <c r="AX1414" s="50"/>
      <c r="AY1414" s="50"/>
      <c r="AZ1414" s="50"/>
      <c r="BA1414" s="50"/>
      <c r="BB1414" s="51"/>
      <c r="BC1414" s="51"/>
      <c r="BD1414" s="51"/>
      <c r="BE1414" s="51"/>
      <c r="BF1414" s="47"/>
      <c r="BG1414" s="47"/>
      <c r="BH1414" s="47"/>
      <c r="BI1414" s="47"/>
      <c r="BJ1414" s="47"/>
      <c r="BK1414" s="47"/>
      <c r="BL1414" s="47"/>
      <c r="BM1414" s="47"/>
      <c r="BN1414" s="47"/>
      <c r="BO1414" s="47"/>
      <c r="BP1414" s="47"/>
      <c r="BQ1414" s="47"/>
      <c r="BR1414" s="47"/>
      <c r="BS1414" s="47"/>
      <c r="BT1414" s="47"/>
    </row>
    <row r="1415">
      <c r="A1415" s="24"/>
      <c r="B1415" s="48"/>
      <c r="C1415" s="49"/>
      <c r="D1415" s="24"/>
      <c r="E1415" s="52"/>
      <c r="F1415" s="53"/>
      <c r="G1415" s="48"/>
      <c r="H1415" s="49"/>
      <c r="I1415" s="49"/>
      <c r="J1415" s="48"/>
      <c r="K1415" s="48"/>
      <c r="L1415" s="48"/>
      <c r="M1415" s="48"/>
      <c r="N1415" s="48"/>
      <c r="O1415" s="48"/>
      <c r="P1415" s="48"/>
      <c r="Q1415" s="48"/>
      <c r="R1415" s="48"/>
      <c r="S1415" s="48"/>
      <c r="T1415" s="48"/>
      <c r="U1415" s="48"/>
      <c r="V1415" s="48"/>
      <c r="W1415" s="49"/>
      <c r="X1415" s="49"/>
      <c r="Y1415" s="49"/>
      <c r="Z1415" s="49"/>
      <c r="AA1415" s="49"/>
      <c r="AB1415" s="49"/>
      <c r="AC1415" s="49"/>
      <c r="AD1415" s="49"/>
      <c r="AE1415" s="49"/>
      <c r="AF1415" s="49"/>
      <c r="AG1415" s="49"/>
      <c r="AH1415" s="49"/>
      <c r="AI1415" s="48"/>
      <c r="AJ1415" s="48"/>
      <c r="AK1415" s="24"/>
      <c r="AL1415" s="50"/>
      <c r="AM1415" s="50"/>
      <c r="AN1415" s="50"/>
      <c r="AO1415" s="50"/>
      <c r="AP1415" s="50"/>
      <c r="AQ1415" s="50"/>
      <c r="AR1415" s="50"/>
      <c r="AS1415" s="50"/>
      <c r="AT1415" s="51"/>
      <c r="AU1415" s="51"/>
      <c r="AV1415" s="51"/>
      <c r="AW1415" s="51"/>
      <c r="AX1415" s="50"/>
      <c r="AY1415" s="50"/>
      <c r="AZ1415" s="50"/>
      <c r="BA1415" s="50"/>
      <c r="BB1415" s="51"/>
      <c r="BC1415" s="51"/>
      <c r="BD1415" s="51"/>
      <c r="BE1415" s="51"/>
      <c r="BF1415" s="47"/>
      <c r="BG1415" s="47"/>
      <c r="BH1415" s="47"/>
      <c r="BI1415" s="47"/>
      <c r="BJ1415" s="47"/>
      <c r="BK1415" s="47"/>
      <c r="BL1415" s="47"/>
      <c r="BM1415" s="47"/>
      <c r="BN1415" s="47"/>
      <c r="BO1415" s="47"/>
      <c r="BP1415" s="47"/>
      <c r="BQ1415" s="47"/>
      <c r="BR1415" s="47"/>
      <c r="BS1415" s="47"/>
      <c r="BT1415" s="47"/>
    </row>
    <row r="1416">
      <c r="A1416" s="24"/>
      <c r="B1416" s="48"/>
      <c r="C1416" s="49"/>
      <c r="D1416" s="24"/>
      <c r="E1416" s="52"/>
      <c r="F1416" s="53"/>
      <c r="G1416" s="48"/>
      <c r="H1416" s="49"/>
      <c r="I1416" s="49"/>
      <c r="J1416" s="48"/>
      <c r="K1416" s="48"/>
      <c r="L1416" s="48"/>
      <c r="M1416" s="48"/>
      <c r="N1416" s="48"/>
      <c r="O1416" s="48"/>
      <c r="P1416" s="48"/>
      <c r="Q1416" s="48"/>
      <c r="R1416" s="48"/>
      <c r="S1416" s="48"/>
      <c r="T1416" s="48"/>
      <c r="U1416" s="48"/>
      <c r="V1416" s="48"/>
      <c r="W1416" s="49"/>
      <c r="X1416" s="49"/>
      <c r="Y1416" s="49"/>
      <c r="Z1416" s="49"/>
      <c r="AA1416" s="49"/>
      <c r="AB1416" s="49"/>
      <c r="AC1416" s="49"/>
      <c r="AD1416" s="49"/>
      <c r="AE1416" s="49"/>
      <c r="AF1416" s="49"/>
      <c r="AG1416" s="49"/>
      <c r="AH1416" s="49"/>
      <c r="AI1416" s="48"/>
      <c r="AJ1416" s="48"/>
      <c r="AK1416" s="24"/>
      <c r="AL1416" s="50"/>
      <c r="AM1416" s="50"/>
      <c r="AN1416" s="50"/>
      <c r="AO1416" s="50"/>
      <c r="AP1416" s="50"/>
      <c r="AQ1416" s="50"/>
      <c r="AR1416" s="50"/>
      <c r="AS1416" s="50"/>
      <c r="AT1416" s="51"/>
      <c r="AU1416" s="51"/>
      <c r="AV1416" s="51"/>
      <c r="AW1416" s="51"/>
      <c r="AX1416" s="50"/>
      <c r="AY1416" s="50"/>
      <c r="AZ1416" s="50"/>
      <c r="BA1416" s="50"/>
      <c r="BB1416" s="51"/>
      <c r="BC1416" s="51"/>
      <c r="BD1416" s="51"/>
      <c r="BE1416" s="51"/>
      <c r="BF1416" s="47"/>
      <c r="BG1416" s="47"/>
      <c r="BH1416" s="47"/>
      <c r="BI1416" s="47"/>
      <c r="BJ1416" s="47"/>
      <c r="BK1416" s="47"/>
      <c r="BL1416" s="47"/>
      <c r="BM1416" s="47"/>
      <c r="BN1416" s="47"/>
      <c r="BO1416" s="47"/>
      <c r="BP1416" s="47"/>
      <c r="BQ1416" s="47"/>
      <c r="BR1416" s="47"/>
      <c r="BS1416" s="47"/>
      <c r="BT1416" s="47"/>
    </row>
    <row r="1417">
      <c r="A1417" s="24"/>
      <c r="B1417" s="48"/>
      <c r="C1417" s="49"/>
      <c r="D1417" s="24"/>
      <c r="E1417" s="52"/>
      <c r="F1417" s="53"/>
      <c r="G1417" s="48"/>
      <c r="H1417" s="49"/>
      <c r="I1417" s="49"/>
      <c r="J1417" s="48"/>
      <c r="K1417" s="48"/>
      <c r="L1417" s="48"/>
      <c r="M1417" s="48"/>
      <c r="N1417" s="48"/>
      <c r="O1417" s="48"/>
      <c r="P1417" s="48"/>
      <c r="Q1417" s="48"/>
      <c r="R1417" s="48"/>
      <c r="S1417" s="48"/>
      <c r="T1417" s="48"/>
      <c r="U1417" s="48"/>
      <c r="V1417" s="48"/>
      <c r="W1417" s="49"/>
      <c r="X1417" s="49"/>
      <c r="Y1417" s="49"/>
      <c r="Z1417" s="49"/>
      <c r="AA1417" s="49"/>
      <c r="AB1417" s="49"/>
      <c r="AC1417" s="49"/>
      <c r="AD1417" s="49"/>
      <c r="AE1417" s="49"/>
      <c r="AF1417" s="49"/>
      <c r="AG1417" s="49"/>
      <c r="AH1417" s="49"/>
      <c r="AI1417" s="48"/>
      <c r="AJ1417" s="48"/>
      <c r="AK1417" s="24"/>
      <c r="AL1417" s="50"/>
      <c r="AM1417" s="50"/>
      <c r="AN1417" s="50"/>
      <c r="AO1417" s="50"/>
      <c r="AP1417" s="50"/>
      <c r="AQ1417" s="50"/>
      <c r="AR1417" s="50"/>
      <c r="AS1417" s="50"/>
      <c r="AT1417" s="51"/>
      <c r="AU1417" s="51"/>
      <c r="AV1417" s="51"/>
      <c r="AW1417" s="51"/>
      <c r="AX1417" s="50"/>
      <c r="AY1417" s="50"/>
      <c r="AZ1417" s="50"/>
      <c r="BA1417" s="50"/>
      <c r="BB1417" s="51"/>
      <c r="BC1417" s="51"/>
      <c r="BD1417" s="51"/>
      <c r="BE1417" s="51"/>
      <c r="BF1417" s="47"/>
      <c r="BG1417" s="47"/>
      <c r="BH1417" s="47"/>
      <c r="BI1417" s="47"/>
      <c r="BJ1417" s="47"/>
      <c r="BK1417" s="47"/>
      <c r="BL1417" s="47"/>
      <c r="BM1417" s="47"/>
      <c r="BN1417" s="47"/>
      <c r="BO1417" s="47"/>
      <c r="BP1417" s="47"/>
      <c r="BQ1417" s="47"/>
      <c r="BR1417" s="47"/>
      <c r="BS1417" s="47"/>
      <c r="BT1417" s="47"/>
    </row>
    <row r="1418">
      <c r="A1418" s="24"/>
      <c r="B1418" s="48"/>
      <c r="C1418" s="49"/>
      <c r="D1418" s="24"/>
      <c r="E1418" s="52"/>
      <c r="F1418" s="53"/>
      <c r="G1418" s="48"/>
      <c r="H1418" s="49"/>
      <c r="I1418" s="49"/>
      <c r="J1418" s="48"/>
      <c r="K1418" s="48"/>
      <c r="L1418" s="48"/>
      <c r="M1418" s="48"/>
      <c r="N1418" s="48"/>
      <c r="O1418" s="48"/>
      <c r="P1418" s="48"/>
      <c r="Q1418" s="48"/>
      <c r="R1418" s="48"/>
      <c r="S1418" s="48"/>
      <c r="T1418" s="48"/>
      <c r="U1418" s="48"/>
      <c r="V1418" s="48"/>
      <c r="W1418" s="49"/>
      <c r="X1418" s="49"/>
      <c r="Y1418" s="49"/>
      <c r="Z1418" s="49"/>
      <c r="AA1418" s="49"/>
      <c r="AB1418" s="49"/>
      <c r="AC1418" s="49"/>
      <c r="AD1418" s="49"/>
      <c r="AE1418" s="49"/>
      <c r="AF1418" s="49"/>
      <c r="AG1418" s="49"/>
      <c r="AH1418" s="49"/>
      <c r="AI1418" s="48"/>
      <c r="AJ1418" s="48"/>
      <c r="AK1418" s="24"/>
      <c r="AL1418" s="50"/>
      <c r="AM1418" s="50"/>
      <c r="AN1418" s="50"/>
      <c r="AO1418" s="50"/>
      <c r="AP1418" s="50"/>
      <c r="AQ1418" s="50"/>
      <c r="AR1418" s="50"/>
      <c r="AS1418" s="50"/>
      <c r="AT1418" s="51"/>
      <c r="AU1418" s="51"/>
      <c r="AV1418" s="51"/>
      <c r="AW1418" s="51"/>
      <c r="AX1418" s="50"/>
      <c r="AY1418" s="50"/>
      <c r="AZ1418" s="50"/>
      <c r="BA1418" s="50"/>
      <c r="BB1418" s="51"/>
      <c r="BC1418" s="51"/>
      <c r="BD1418" s="51"/>
      <c r="BE1418" s="51"/>
      <c r="BF1418" s="47"/>
      <c r="BG1418" s="47"/>
      <c r="BH1418" s="47"/>
      <c r="BI1418" s="47"/>
      <c r="BJ1418" s="47"/>
      <c r="BK1418" s="47"/>
      <c r="BL1418" s="47"/>
      <c r="BM1418" s="47"/>
      <c r="BN1418" s="47"/>
      <c r="BO1418" s="47"/>
      <c r="BP1418" s="47"/>
      <c r="BQ1418" s="47"/>
      <c r="BR1418" s="47"/>
      <c r="BS1418" s="47"/>
      <c r="BT1418" s="47"/>
    </row>
    <row r="1419">
      <c r="A1419" s="24"/>
      <c r="B1419" s="48"/>
      <c r="C1419" s="49"/>
      <c r="D1419" s="24"/>
      <c r="E1419" s="52"/>
      <c r="F1419" s="53"/>
      <c r="G1419" s="48"/>
      <c r="H1419" s="49"/>
      <c r="I1419" s="49"/>
      <c r="J1419" s="48"/>
      <c r="K1419" s="48"/>
      <c r="L1419" s="48"/>
      <c r="M1419" s="48"/>
      <c r="N1419" s="48"/>
      <c r="O1419" s="48"/>
      <c r="P1419" s="48"/>
      <c r="Q1419" s="48"/>
      <c r="R1419" s="48"/>
      <c r="S1419" s="48"/>
      <c r="T1419" s="48"/>
      <c r="U1419" s="48"/>
      <c r="V1419" s="48"/>
      <c r="W1419" s="49"/>
      <c r="X1419" s="49"/>
      <c r="Y1419" s="49"/>
      <c r="Z1419" s="49"/>
      <c r="AA1419" s="49"/>
      <c r="AB1419" s="49"/>
      <c r="AC1419" s="49"/>
      <c r="AD1419" s="49"/>
      <c r="AE1419" s="49"/>
      <c r="AF1419" s="49"/>
      <c r="AG1419" s="49"/>
      <c r="AH1419" s="49"/>
      <c r="AI1419" s="48"/>
      <c r="AJ1419" s="48"/>
      <c r="AK1419" s="24"/>
      <c r="AL1419" s="50"/>
      <c r="AM1419" s="50"/>
      <c r="AN1419" s="50"/>
      <c r="AO1419" s="50"/>
      <c r="AP1419" s="50"/>
      <c r="AQ1419" s="50"/>
      <c r="AR1419" s="50"/>
      <c r="AS1419" s="50"/>
      <c r="AT1419" s="51"/>
      <c r="AU1419" s="51"/>
      <c r="AV1419" s="51"/>
      <c r="AW1419" s="51"/>
      <c r="AX1419" s="50"/>
      <c r="AY1419" s="50"/>
      <c r="AZ1419" s="50"/>
      <c r="BA1419" s="50"/>
      <c r="BB1419" s="51"/>
      <c r="BC1419" s="51"/>
      <c r="BD1419" s="51"/>
      <c r="BE1419" s="51"/>
      <c r="BF1419" s="47"/>
      <c r="BG1419" s="47"/>
      <c r="BH1419" s="47"/>
      <c r="BI1419" s="47"/>
      <c r="BJ1419" s="47"/>
      <c r="BK1419" s="47"/>
      <c r="BL1419" s="47"/>
      <c r="BM1419" s="47"/>
      <c r="BN1419" s="47"/>
      <c r="BO1419" s="47"/>
      <c r="BP1419" s="47"/>
      <c r="BQ1419" s="47"/>
      <c r="BR1419" s="47"/>
      <c r="BS1419" s="47"/>
      <c r="BT1419" s="47"/>
    </row>
    <row r="1420">
      <c r="A1420" s="24"/>
      <c r="B1420" s="48"/>
      <c r="C1420" s="49"/>
      <c r="D1420" s="24"/>
      <c r="E1420" s="52"/>
      <c r="F1420" s="53"/>
      <c r="G1420" s="48"/>
      <c r="H1420" s="49"/>
      <c r="I1420" s="49"/>
      <c r="J1420" s="48"/>
      <c r="K1420" s="48"/>
      <c r="L1420" s="48"/>
      <c r="M1420" s="48"/>
      <c r="N1420" s="48"/>
      <c r="O1420" s="48"/>
      <c r="P1420" s="48"/>
      <c r="Q1420" s="48"/>
      <c r="R1420" s="48"/>
      <c r="S1420" s="48"/>
      <c r="T1420" s="48"/>
      <c r="U1420" s="48"/>
      <c r="V1420" s="48"/>
      <c r="W1420" s="49"/>
      <c r="X1420" s="49"/>
      <c r="Y1420" s="49"/>
      <c r="Z1420" s="49"/>
      <c r="AA1420" s="49"/>
      <c r="AB1420" s="49"/>
      <c r="AC1420" s="49"/>
      <c r="AD1420" s="49"/>
      <c r="AE1420" s="49"/>
      <c r="AF1420" s="49"/>
      <c r="AG1420" s="49"/>
      <c r="AH1420" s="49"/>
      <c r="AI1420" s="48"/>
      <c r="AJ1420" s="48"/>
      <c r="AK1420" s="24"/>
      <c r="AL1420" s="50"/>
      <c r="AM1420" s="50"/>
      <c r="AN1420" s="50"/>
      <c r="AO1420" s="50"/>
      <c r="AP1420" s="50"/>
      <c r="AQ1420" s="50"/>
      <c r="AR1420" s="50"/>
      <c r="AS1420" s="50"/>
      <c r="AT1420" s="51"/>
      <c r="AU1420" s="51"/>
      <c r="AV1420" s="51"/>
      <c r="AW1420" s="51"/>
      <c r="AX1420" s="50"/>
      <c r="AY1420" s="50"/>
      <c r="AZ1420" s="50"/>
      <c r="BA1420" s="50"/>
      <c r="BB1420" s="51"/>
      <c r="BC1420" s="51"/>
      <c r="BD1420" s="51"/>
      <c r="BE1420" s="51"/>
      <c r="BF1420" s="47"/>
      <c r="BG1420" s="47"/>
      <c r="BH1420" s="47"/>
      <c r="BI1420" s="47"/>
      <c r="BJ1420" s="47"/>
      <c r="BK1420" s="47"/>
      <c r="BL1420" s="47"/>
      <c r="BM1420" s="47"/>
      <c r="BN1420" s="47"/>
      <c r="BO1420" s="47"/>
      <c r="BP1420" s="47"/>
      <c r="BQ1420" s="47"/>
      <c r="BR1420" s="47"/>
      <c r="BS1420" s="47"/>
      <c r="BT1420" s="47"/>
    </row>
    <row r="1421">
      <c r="A1421" s="24"/>
      <c r="B1421" s="48"/>
      <c r="C1421" s="49"/>
      <c r="D1421" s="24"/>
      <c r="E1421" s="52"/>
      <c r="F1421" s="53"/>
      <c r="G1421" s="48"/>
      <c r="H1421" s="49"/>
      <c r="I1421" s="49"/>
      <c r="J1421" s="48"/>
      <c r="K1421" s="48"/>
      <c r="L1421" s="48"/>
      <c r="M1421" s="48"/>
      <c r="N1421" s="48"/>
      <c r="O1421" s="48"/>
      <c r="P1421" s="48"/>
      <c r="Q1421" s="48"/>
      <c r="R1421" s="48"/>
      <c r="S1421" s="48"/>
      <c r="T1421" s="48"/>
      <c r="U1421" s="48"/>
      <c r="V1421" s="48"/>
      <c r="W1421" s="49"/>
      <c r="X1421" s="49"/>
      <c r="Y1421" s="49"/>
      <c r="Z1421" s="49"/>
      <c r="AA1421" s="49"/>
      <c r="AB1421" s="49"/>
      <c r="AC1421" s="49"/>
      <c r="AD1421" s="49"/>
      <c r="AE1421" s="49"/>
      <c r="AF1421" s="49"/>
      <c r="AG1421" s="49"/>
      <c r="AH1421" s="49"/>
      <c r="AI1421" s="48"/>
      <c r="AJ1421" s="48"/>
      <c r="AK1421" s="24"/>
      <c r="AL1421" s="50"/>
      <c r="AM1421" s="50"/>
      <c r="AN1421" s="50"/>
      <c r="AO1421" s="50"/>
      <c r="AP1421" s="50"/>
      <c r="AQ1421" s="50"/>
      <c r="AR1421" s="50"/>
      <c r="AS1421" s="50"/>
      <c r="AT1421" s="51"/>
      <c r="AU1421" s="51"/>
      <c r="AV1421" s="51"/>
      <c r="AW1421" s="51"/>
      <c r="AX1421" s="50"/>
      <c r="AY1421" s="50"/>
      <c r="AZ1421" s="50"/>
      <c r="BA1421" s="50"/>
      <c r="BB1421" s="51"/>
      <c r="BC1421" s="51"/>
      <c r="BD1421" s="51"/>
      <c r="BE1421" s="51"/>
      <c r="BF1421" s="47"/>
      <c r="BG1421" s="47"/>
      <c r="BH1421" s="47"/>
      <c r="BI1421" s="47"/>
      <c r="BJ1421" s="47"/>
      <c r="BK1421" s="47"/>
      <c r="BL1421" s="47"/>
      <c r="BM1421" s="47"/>
      <c r="BN1421" s="47"/>
      <c r="BO1421" s="47"/>
      <c r="BP1421" s="47"/>
      <c r="BQ1421" s="47"/>
      <c r="BR1421" s="47"/>
      <c r="BS1421" s="47"/>
      <c r="BT1421" s="47"/>
    </row>
    <row r="1422">
      <c r="A1422" s="24"/>
      <c r="B1422" s="48"/>
      <c r="C1422" s="49"/>
      <c r="D1422" s="24"/>
      <c r="E1422" s="52"/>
      <c r="F1422" s="53"/>
      <c r="G1422" s="48"/>
      <c r="H1422" s="49"/>
      <c r="I1422" s="49"/>
      <c r="J1422" s="48"/>
      <c r="K1422" s="48"/>
      <c r="L1422" s="48"/>
      <c r="M1422" s="48"/>
      <c r="N1422" s="48"/>
      <c r="O1422" s="48"/>
      <c r="P1422" s="48"/>
      <c r="Q1422" s="48"/>
      <c r="R1422" s="48"/>
      <c r="S1422" s="48"/>
      <c r="T1422" s="48"/>
      <c r="U1422" s="48"/>
      <c r="V1422" s="48"/>
      <c r="W1422" s="49"/>
      <c r="X1422" s="49"/>
      <c r="Y1422" s="49"/>
      <c r="Z1422" s="49"/>
      <c r="AA1422" s="49"/>
      <c r="AB1422" s="49"/>
      <c r="AC1422" s="49"/>
      <c r="AD1422" s="49"/>
      <c r="AE1422" s="49"/>
      <c r="AF1422" s="49"/>
      <c r="AG1422" s="49"/>
      <c r="AH1422" s="49"/>
      <c r="AI1422" s="48"/>
      <c r="AJ1422" s="48"/>
      <c r="AK1422" s="24"/>
      <c r="AL1422" s="50"/>
      <c r="AM1422" s="50"/>
      <c r="AN1422" s="50"/>
      <c r="AO1422" s="50"/>
      <c r="AP1422" s="50"/>
      <c r="AQ1422" s="50"/>
      <c r="AR1422" s="50"/>
      <c r="AS1422" s="50"/>
      <c r="AT1422" s="51"/>
      <c r="AU1422" s="51"/>
      <c r="AV1422" s="51"/>
      <c r="AW1422" s="51"/>
      <c r="AX1422" s="50"/>
      <c r="AY1422" s="50"/>
      <c r="AZ1422" s="50"/>
      <c r="BA1422" s="50"/>
      <c r="BB1422" s="51"/>
      <c r="BC1422" s="51"/>
      <c r="BD1422" s="51"/>
      <c r="BE1422" s="51"/>
      <c r="BF1422" s="47"/>
      <c r="BG1422" s="47"/>
      <c r="BH1422" s="47"/>
      <c r="BI1422" s="47"/>
      <c r="BJ1422" s="47"/>
      <c r="BK1422" s="47"/>
      <c r="BL1422" s="47"/>
      <c r="BM1422" s="47"/>
      <c r="BN1422" s="47"/>
      <c r="BO1422" s="47"/>
      <c r="BP1422" s="47"/>
      <c r="BQ1422" s="47"/>
      <c r="BR1422" s="47"/>
      <c r="BS1422" s="47"/>
      <c r="BT1422" s="47"/>
    </row>
    <row r="1423">
      <c r="A1423" s="24"/>
      <c r="B1423" s="48"/>
      <c r="C1423" s="49"/>
      <c r="D1423" s="24"/>
      <c r="E1423" s="52"/>
      <c r="F1423" s="53"/>
      <c r="G1423" s="48"/>
      <c r="H1423" s="49"/>
      <c r="I1423" s="49"/>
      <c r="J1423" s="48"/>
      <c r="K1423" s="48"/>
      <c r="L1423" s="48"/>
      <c r="M1423" s="48"/>
      <c r="N1423" s="48"/>
      <c r="O1423" s="48"/>
      <c r="P1423" s="48"/>
      <c r="Q1423" s="48"/>
      <c r="R1423" s="48"/>
      <c r="S1423" s="48"/>
      <c r="T1423" s="48"/>
      <c r="U1423" s="48"/>
      <c r="V1423" s="48"/>
      <c r="W1423" s="49"/>
      <c r="X1423" s="49"/>
      <c r="Y1423" s="49"/>
      <c r="Z1423" s="49"/>
      <c r="AA1423" s="49"/>
      <c r="AB1423" s="49"/>
      <c r="AC1423" s="49"/>
      <c r="AD1423" s="49"/>
      <c r="AE1423" s="49"/>
      <c r="AF1423" s="49"/>
      <c r="AG1423" s="49"/>
      <c r="AH1423" s="49"/>
      <c r="AI1423" s="48"/>
      <c r="AJ1423" s="48"/>
      <c r="AK1423" s="24"/>
      <c r="AL1423" s="50"/>
      <c r="AM1423" s="50"/>
      <c r="AN1423" s="50"/>
      <c r="AO1423" s="50"/>
      <c r="AP1423" s="50"/>
      <c r="AQ1423" s="50"/>
      <c r="AR1423" s="50"/>
      <c r="AS1423" s="50"/>
      <c r="AT1423" s="51"/>
      <c r="AU1423" s="51"/>
      <c r="AV1423" s="51"/>
      <c r="AW1423" s="51"/>
      <c r="AX1423" s="50"/>
      <c r="AY1423" s="50"/>
      <c r="AZ1423" s="50"/>
      <c r="BA1423" s="50"/>
      <c r="BB1423" s="51"/>
      <c r="BC1423" s="51"/>
      <c r="BD1423" s="51"/>
      <c r="BE1423" s="51"/>
      <c r="BF1423" s="47"/>
      <c r="BG1423" s="47"/>
      <c r="BH1423" s="47"/>
      <c r="BI1423" s="47"/>
      <c r="BJ1423" s="47"/>
      <c r="BK1423" s="47"/>
      <c r="BL1423" s="47"/>
      <c r="BM1423" s="47"/>
      <c r="BN1423" s="47"/>
      <c r="BO1423" s="47"/>
      <c r="BP1423" s="47"/>
      <c r="BQ1423" s="47"/>
      <c r="BR1423" s="47"/>
      <c r="BS1423" s="47"/>
      <c r="BT1423" s="47"/>
    </row>
    <row r="1424">
      <c r="A1424" s="24"/>
      <c r="B1424" s="48"/>
      <c r="C1424" s="49"/>
      <c r="D1424" s="24"/>
      <c r="E1424" s="52"/>
      <c r="F1424" s="53"/>
      <c r="G1424" s="48"/>
      <c r="H1424" s="49"/>
      <c r="I1424" s="49"/>
      <c r="J1424" s="48"/>
      <c r="K1424" s="48"/>
      <c r="L1424" s="48"/>
      <c r="M1424" s="48"/>
      <c r="N1424" s="48"/>
      <c r="O1424" s="48"/>
      <c r="P1424" s="48"/>
      <c r="Q1424" s="48"/>
      <c r="R1424" s="48"/>
      <c r="S1424" s="48"/>
      <c r="T1424" s="48"/>
      <c r="U1424" s="48"/>
      <c r="V1424" s="48"/>
      <c r="W1424" s="49"/>
      <c r="X1424" s="49"/>
      <c r="Y1424" s="49"/>
      <c r="Z1424" s="49"/>
      <c r="AA1424" s="49"/>
      <c r="AB1424" s="49"/>
      <c r="AC1424" s="49"/>
      <c r="AD1424" s="49"/>
      <c r="AE1424" s="49"/>
      <c r="AF1424" s="49"/>
      <c r="AG1424" s="49"/>
      <c r="AH1424" s="49"/>
      <c r="AI1424" s="48"/>
      <c r="AJ1424" s="48"/>
      <c r="AK1424" s="24"/>
      <c r="AL1424" s="50"/>
      <c r="AM1424" s="50"/>
      <c r="AN1424" s="50"/>
      <c r="AO1424" s="50"/>
      <c r="AP1424" s="50"/>
      <c r="AQ1424" s="50"/>
      <c r="AR1424" s="50"/>
      <c r="AS1424" s="50"/>
      <c r="AT1424" s="51"/>
      <c r="AU1424" s="51"/>
      <c r="AV1424" s="51"/>
      <c r="AW1424" s="51"/>
      <c r="AX1424" s="50"/>
      <c r="AY1424" s="50"/>
      <c r="AZ1424" s="50"/>
      <c r="BA1424" s="50"/>
      <c r="BB1424" s="51"/>
      <c r="BC1424" s="51"/>
      <c r="BD1424" s="51"/>
      <c r="BE1424" s="51"/>
      <c r="BF1424" s="47"/>
      <c r="BG1424" s="47"/>
      <c r="BH1424" s="47"/>
      <c r="BI1424" s="47"/>
      <c r="BJ1424" s="47"/>
      <c r="BK1424" s="47"/>
      <c r="BL1424" s="47"/>
      <c r="BM1424" s="47"/>
      <c r="BN1424" s="47"/>
      <c r="BO1424" s="47"/>
      <c r="BP1424" s="47"/>
      <c r="BQ1424" s="47"/>
      <c r="BR1424" s="47"/>
      <c r="BS1424" s="47"/>
      <c r="BT1424" s="47"/>
    </row>
    <row r="1425">
      <c r="A1425" s="24"/>
      <c r="B1425" s="48"/>
      <c r="C1425" s="49"/>
      <c r="D1425" s="24"/>
      <c r="E1425" s="52"/>
      <c r="F1425" s="53"/>
      <c r="G1425" s="48"/>
      <c r="H1425" s="49"/>
      <c r="I1425" s="49"/>
      <c r="J1425" s="48"/>
      <c r="K1425" s="48"/>
      <c r="L1425" s="48"/>
      <c r="M1425" s="48"/>
      <c r="N1425" s="48"/>
      <c r="O1425" s="48"/>
      <c r="P1425" s="48"/>
      <c r="Q1425" s="48"/>
      <c r="R1425" s="48"/>
      <c r="S1425" s="48"/>
      <c r="T1425" s="48"/>
      <c r="U1425" s="48"/>
      <c r="V1425" s="48"/>
      <c r="W1425" s="49"/>
      <c r="X1425" s="49"/>
      <c r="Y1425" s="49"/>
      <c r="Z1425" s="49"/>
      <c r="AA1425" s="49"/>
      <c r="AB1425" s="49"/>
      <c r="AC1425" s="49"/>
      <c r="AD1425" s="49"/>
      <c r="AE1425" s="49"/>
      <c r="AF1425" s="49"/>
      <c r="AG1425" s="49"/>
      <c r="AH1425" s="49"/>
      <c r="AI1425" s="48"/>
      <c r="AJ1425" s="48"/>
      <c r="AK1425" s="24"/>
      <c r="AL1425" s="50"/>
      <c r="AM1425" s="50"/>
      <c r="AN1425" s="50"/>
      <c r="AO1425" s="50"/>
      <c r="AP1425" s="50"/>
      <c r="AQ1425" s="50"/>
      <c r="AR1425" s="50"/>
      <c r="AS1425" s="50"/>
      <c r="AT1425" s="51"/>
      <c r="AU1425" s="51"/>
      <c r="AV1425" s="51"/>
      <c r="AW1425" s="51"/>
      <c r="AX1425" s="50"/>
      <c r="AY1425" s="50"/>
      <c r="AZ1425" s="50"/>
      <c r="BA1425" s="50"/>
      <c r="BB1425" s="51"/>
      <c r="BC1425" s="51"/>
      <c r="BD1425" s="51"/>
      <c r="BE1425" s="51"/>
      <c r="BF1425" s="47"/>
      <c r="BG1425" s="47"/>
      <c r="BH1425" s="47"/>
      <c r="BI1425" s="47"/>
      <c r="BJ1425" s="47"/>
      <c r="BK1425" s="47"/>
      <c r="BL1425" s="47"/>
      <c r="BM1425" s="47"/>
      <c r="BN1425" s="47"/>
      <c r="BO1425" s="47"/>
      <c r="BP1425" s="47"/>
      <c r="BQ1425" s="47"/>
      <c r="BR1425" s="47"/>
      <c r="BS1425" s="47"/>
      <c r="BT1425" s="47"/>
    </row>
    <row r="1426">
      <c r="A1426" s="24"/>
      <c r="B1426" s="48"/>
      <c r="C1426" s="49"/>
      <c r="D1426" s="24"/>
      <c r="E1426" s="52"/>
      <c r="F1426" s="53"/>
      <c r="G1426" s="48"/>
      <c r="H1426" s="49"/>
      <c r="I1426" s="49"/>
      <c r="J1426" s="48"/>
      <c r="K1426" s="48"/>
      <c r="L1426" s="48"/>
      <c r="M1426" s="48"/>
      <c r="N1426" s="48"/>
      <c r="O1426" s="48"/>
      <c r="P1426" s="48"/>
      <c r="Q1426" s="48"/>
      <c r="R1426" s="48"/>
      <c r="S1426" s="48"/>
      <c r="T1426" s="48"/>
      <c r="U1426" s="48"/>
      <c r="V1426" s="48"/>
      <c r="W1426" s="49"/>
      <c r="X1426" s="49"/>
      <c r="Y1426" s="49"/>
      <c r="Z1426" s="49"/>
      <c r="AA1426" s="49"/>
      <c r="AB1426" s="49"/>
      <c r="AC1426" s="49"/>
      <c r="AD1426" s="49"/>
      <c r="AE1426" s="49"/>
      <c r="AF1426" s="49"/>
      <c r="AG1426" s="49"/>
      <c r="AH1426" s="49"/>
      <c r="AI1426" s="48"/>
      <c r="AJ1426" s="48"/>
      <c r="AK1426" s="24"/>
      <c r="AL1426" s="50"/>
      <c r="AM1426" s="50"/>
      <c r="AN1426" s="50"/>
      <c r="AO1426" s="50"/>
      <c r="AP1426" s="50"/>
      <c r="AQ1426" s="50"/>
      <c r="AR1426" s="50"/>
      <c r="AS1426" s="50"/>
      <c r="AT1426" s="51"/>
      <c r="AU1426" s="51"/>
      <c r="AV1426" s="51"/>
      <c r="AW1426" s="51"/>
      <c r="AX1426" s="50"/>
      <c r="AY1426" s="50"/>
      <c r="AZ1426" s="50"/>
      <c r="BA1426" s="50"/>
      <c r="BB1426" s="51"/>
      <c r="BC1426" s="51"/>
      <c r="BD1426" s="51"/>
      <c r="BE1426" s="51"/>
      <c r="BF1426" s="47"/>
      <c r="BG1426" s="47"/>
      <c r="BH1426" s="47"/>
      <c r="BI1426" s="47"/>
      <c r="BJ1426" s="47"/>
      <c r="BK1426" s="47"/>
      <c r="BL1426" s="47"/>
      <c r="BM1426" s="47"/>
      <c r="BN1426" s="47"/>
      <c r="BO1426" s="47"/>
      <c r="BP1426" s="47"/>
      <c r="BQ1426" s="47"/>
      <c r="BR1426" s="47"/>
      <c r="BS1426" s="47"/>
      <c r="BT1426" s="47"/>
    </row>
    <row r="1427">
      <c r="A1427" s="24"/>
      <c r="B1427" s="48"/>
      <c r="C1427" s="49"/>
      <c r="D1427" s="24"/>
      <c r="E1427" s="52"/>
      <c r="F1427" s="53"/>
      <c r="G1427" s="48"/>
      <c r="H1427" s="49"/>
      <c r="I1427" s="49"/>
      <c r="J1427" s="48"/>
      <c r="K1427" s="48"/>
      <c r="L1427" s="48"/>
      <c r="M1427" s="48"/>
      <c r="N1427" s="48"/>
      <c r="O1427" s="48"/>
      <c r="P1427" s="48"/>
      <c r="Q1427" s="48"/>
      <c r="R1427" s="48"/>
      <c r="S1427" s="48"/>
      <c r="T1427" s="48"/>
      <c r="U1427" s="48"/>
      <c r="V1427" s="48"/>
      <c r="W1427" s="49"/>
      <c r="X1427" s="49"/>
      <c r="Y1427" s="49"/>
      <c r="Z1427" s="49"/>
      <c r="AA1427" s="49"/>
      <c r="AB1427" s="49"/>
      <c r="AC1427" s="49"/>
      <c r="AD1427" s="49"/>
      <c r="AE1427" s="49"/>
      <c r="AF1427" s="49"/>
      <c r="AG1427" s="49"/>
      <c r="AH1427" s="49"/>
      <c r="AI1427" s="48"/>
      <c r="AJ1427" s="48"/>
      <c r="AK1427" s="24"/>
      <c r="AL1427" s="50"/>
      <c r="AM1427" s="50"/>
      <c r="AN1427" s="50"/>
      <c r="AO1427" s="50"/>
      <c r="AP1427" s="50"/>
      <c r="AQ1427" s="50"/>
      <c r="AR1427" s="50"/>
      <c r="AS1427" s="50"/>
      <c r="AT1427" s="51"/>
      <c r="AU1427" s="51"/>
      <c r="AV1427" s="51"/>
      <c r="AW1427" s="51"/>
      <c r="AX1427" s="50"/>
      <c r="AY1427" s="50"/>
      <c r="AZ1427" s="50"/>
      <c r="BA1427" s="50"/>
      <c r="BB1427" s="51"/>
      <c r="BC1427" s="51"/>
      <c r="BD1427" s="51"/>
      <c r="BE1427" s="51"/>
      <c r="BF1427" s="47"/>
      <c r="BG1427" s="47"/>
      <c r="BH1427" s="47"/>
      <c r="BI1427" s="47"/>
      <c r="BJ1427" s="47"/>
      <c r="BK1427" s="47"/>
      <c r="BL1427" s="47"/>
      <c r="BM1427" s="47"/>
      <c r="BN1427" s="47"/>
      <c r="BO1427" s="47"/>
      <c r="BP1427" s="47"/>
      <c r="BQ1427" s="47"/>
      <c r="BR1427" s="47"/>
      <c r="BS1427" s="47"/>
      <c r="BT1427" s="47"/>
    </row>
    <row r="1428">
      <c r="A1428" s="24"/>
      <c r="B1428" s="48"/>
      <c r="C1428" s="49"/>
      <c r="D1428" s="24"/>
      <c r="E1428" s="52"/>
      <c r="F1428" s="53"/>
      <c r="G1428" s="48"/>
      <c r="H1428" s="49"/>
      <c r="I1428" s="49"/>
      <c r="J1428" s="48"/>
      <c r="K1428" s="48"/>
      <c r="L1428" s="48"/>
      <c r="M1428" s="48"/>
      <c r="N1428" s="48"/>
      <c r="O1428" s="48"/>
      <c r="P1428" s="48"/>
      <c r="Q1428" s="48"/>
      <c r="R1428" s="48"/>
      <c r="S1428" s="48"/>
      <c r="T1428" s="48"/>
      <c r="U1428" s="48"/>
      <c r="V1428" s="48"/>
      <c r="W1428" s="49"/>
      <c r="X1428" s="49"/>
      <c r="Y1428" s="49"/>
      <c r="Z1428" s="49"/>
      <c r="AA1428" s="49"/>
      <c r="AB1428" s="49"/>
      <c r="AC1428" s="49"/>
      <c r="AD1428" s="49"/>
      <c r="AE1428" s="49"/>
      <c r="AF1428" s="49"/>
      <c r="AG1428" s="49"/>
      <c r="AH1428" s="49"/>
      <c r="AI1428" s="48"/>
      <c r="AJ1428" s="48"/>
      <c r="AK1428" s="24"/>
      <c r="AL1428" s="50"/>
      <c r="AM1428" s="50"/>
      <c r="AN1428" s="50"/>
      <c r="AO1428" s="50"/>
      <c r="AP1428" s="50"/>
      <c r="AQ1428" s="50"/>
      <c r="AR1428" s="50"/>
      <c r="AS1428" s="50"/>
      <c r="AT1428" s="51"/>
      <c r="AU1428" s="51"/>
      <c r="AV1428" s="51"/>
      <c r="AW1428" s="51"/>
      <c r="AX1428" s="50"/>
      <c r="AY1428" s="50"/>
      <c r="AZ1428" s="50"/>
      <c r="BA1428" s="50"/>
      <c r="BB1428" s="51"/>
      <c r="BC1428" s="51"/>
      <c r="BD1428" s="51"/>
      <c r="BE1428" s="51"/>
      <c r="BF1428" s="47"/>
      <c r="BG1428" s="47"/>
      <c r="BH1428" s="47"/>
      <c r="BI1428" s="47"/>
      <c r="BJ1428" s="47"/>
      <c r="BK1428" s="47"/>
      <c r="BL1428" s="47"/>
      <c r="BM1428" s="47"/>
      <c r="BN1428" s="47"/>
      <c r="BO1428" s="47"/>
      <c r="BP1428" s="47"/>
      <c r="BQ1428" s="47"/>
      <c r="BR1428" s="47"/>
      <c r="BS1428" s="47"/>
      <c r="BT1428" s="47"/>
    </row>
    <row r="1429">
      <c r="A1429" s="24"/>
      <c r="B1429" s="48"/>
      <c r="C1429" s="49"/>
      <c r="D1429" s="24"/>
      <c r="E1429" s="52"/>
      <c r="F1429" s="53"/>
      <c r="G1429" s="48"/>
      <c r="H1429" s="49"/>
      <c r="I1429" s="49"/>
      <c r="J1429" s="48"/>
      <c r="K1429" s="48"/>
      <c r="L1429" s="48"/>
      <c r="M1429" s="48"/>
      <c r="N1429" s="48"/>
      <c r="O1429" s="48"/>
      <c r="P1429" s="48"/>
      <c r="Q1429" s="48"/>
      <c r="R1429" s="48"/>
      <c r="S1429" s="48"/>
      <c r="T1429" s="48"/>
      <c r="U1429" s="48"/>
      <c r="V1429" s="48"/>
      <c r="W1429" s="49"/>
      <c r="X1429" s="49"/>
      <c r="Y1429" s="49"/>
      <c r="Z1429" s="49"/>
      <c r="AA1429" s="49"/>
      <c r="AB1429" s="49"/>
      <c r="AC1429" s="49"/>
      <c r="AD1429" s="49"/>
      <c r="AE1429" s="49"/>
      <c r="AF1429" s="49"/>
      <c r="AG1429" s="49"/>
      <c r="AH1429" s="49"/>
      <c r="AI1429" s="48"/>
      <c r="AJ1429" s="48"/>
      <c r="AK1429" s="24"/>
      <c r="AL1429" s="50"/>
      <c r="AM1429" s="50"/>
      <c r="AN1429" s="50"/>
      <c r="AO1429" s="50"/>
      <c r="AP1429" s="50"/>
      <c r="AQ1429" s="50"/>
      <c r="AR1429" s="50"/>
      <c r="AS1429" s="50"/>
      <c r="AT1429" s="51"/>
      <c r="AU1429" s="51"/>
      <c r="AV1429" s="51"/>
      <c r="AW1429" s="51"/>
      <c r="AX1429" s="50"/>
      <c r="AY1429" s="50"/>
      <c r="AZ1429" s="50"/>
      <c r="BA1429" s="50"/>
      <c r="BB1429" s="51"/>
      <c r="BC1429" s="51"/>
      <c r="BD1429" s="51"/>
      <c r="BE1429" s="51"/>
      <c r="BF1429" s="47"/>
      <c r="BG1429" s="47"/>
      <c r="BH1429" s="47"/>
      <c r="BI1429" s="47"/>
      <c r="BJ1429" s="47"/>
      <c r="BK1429" s="47"/>
      <c r="BL1429" s="47"/>
      <c r="BM1429" s="47"/>
      <c r="BN1429" s="47"/>
      <c r="BO1429" s="47"/>
      <c r="BP1429" s="47"/>
      <c r="BQ1429" s="47"/>
      <c r="BR1429" s="47"/>
      <c r="BS1429" s="47"/>
      <c r="BT1429" s="47"/>
    </row>
    <row r="1430">
      <c r="A1430" s="24"/>
      <c r="B1430" s="48"/>
      <c r="C1430" s="49"/>
      <c r="D1430" s="24"/>
      <c r="E1430" s="52"/>
      <c r="F1430" s="53"/>
      <c r="G1430" s="48"/>
      <c r="H1430" s="49"/>
      <c r="I1430" s="49"/>
      <c r="J1430" s="48"/>
      <c r="K1430" s="48"/>
      <c r="L1430" s="48"/>
      <c r="M1430" s="48"/>
      <c r="N1430" s="48"/>
      <c r="O1430" s="48"/>
      <c r="P1430" s="48"/>
      <c r="Q1430" s="48"/>
      <c r="R1430" s="48"/>
      <c r="S1430" s="48"/>
      <c r="T1430" s="48"/>
      <c r="U1430" s="48"/>
      <c r="V1430" s="48"/>
      <c r="W1430" s="49"/>
      <c r="X1430" s="49"/>
      <c r="Y1430" s="49"/>
      <c r="Z1430" s="49"/>
      <c r="AA1430" s="49"/>
      <c r="AB1430" s="49"/>
      <c r="AC1430" s="49"/>
      <c r="AD1430" s="49"/>
      <c r="AE1430" s="49"/>
      <c r="AF1430" s="49"/>
      <c r="AG1430" s="49"/>
      <c r="AH1430" s="49"/>
      <c r="AI1430" s="48"/>
      <c r="AJ1430" s="48"/>
      <c r="AK1430" s="24"/>
      <c r="AL1430" s="50"/>
      <c r="AM1430" s="50"/>
      <c r="AN1430" s="50"/>
      <c r="AO1430" s="50"/>
      <c r="AP1430" s="50"/>
      <c r="AQ1430" s="50"/>
      <c r="AR1430" s="50"/>
      <c r="AS1430" s="50"/>
      <c r="AT1430" s="51"/>
      <c r="AU1430" s="51"/>
      <c r="AV1430" s="51"/>
      <c r="AW1430" s="51"/>
      <c r="AX1430" s="50"/>
      <c r="AY1430" s="50"/>
      <c r="AZ1430" s="50"/>
      <c r="BA1430" s="50"/>
      <c r="BB1430" s="51"/>
      <c r="BC1430" s="51"/>
      <c r="BD1430" s="51"/>
      <c r="BE1430" s="51"/>
      <c r="BF1430" s="47"/>
      <c r="BG1430" s="47"/>
      <c r="BH1430" s="47"/>
      <c r="BI1430" s="47"/>
      <c r="BJ1430" s="47"/>
      <c r="BK1430" s="47"/>
      <c r="BL1430" s="47"/>
      <c r="BM1430" s="47"/>
      <c r="BN1430" s="47"/>
      <c r="BO1430" s="47"/>
      <c r="BP1430" s="47"/>
      <c r="BQ1430" s="47"/>
      <c r="BR1430" s="47"/>
      <c r="BS1430" s="47"/>
      <c r="BT1430" s="47"/>
    </row>
    <row r="1431">
      <c r="A1431" s="24"/>
      <c r="B1431" s="48"/>
      <c r="C1431" s="49"/>
      <c r="D1431" s="24"/>
      <c r="E1431" s="52"/>
      <c r="F1431" s="53"/>
      <c r="G1431" s="48"/>
      <c r="H1431" s="49"/>
      <c r="I1431" s="49"/>
      <c r="J1431" s="48"/>
      <c r="K1431" s="48"/>
      <c r="L1431" s="48"/>
      <c r="M1431" s="48"/>
      <c r="N1431" s="48"/>
      <c r="O1431" s="48"/>
      <c r="P1431" s="48"/>
      <c r="Q1431" s="48"/>
      <c r="R1431" s="48"/>
      <c r="S1431" s="48"/>
      <c r="T1431" s="48"/>
      <c r="U1431" s="48"/>
      <c r="V1431" s="48"/>
      <c r="W1431" s="49"/>
      <c r="X1431" s="49"/>
      <c r="Y1431" s="49"/>
      <c r="Z1431" s="49"/>
      <c r="AA1431" s="49"/>
      <c r="AB1431" s="49"/>
      <c r="AC1431" s="49"/>
      <c r="AD1431" s="49"/>
      <c r="AE1431" s="49"/>
      <c r="AF1431" s="49"/>
      <c r="AG1431" s="49"/>
      <c r="AH1431" s="49"/>
      <c r="AI1431" s="48"/>
      <c r="AJ1431" s="48"/>
      <c r="AK1431" s="24"/>
      <c r="AL1431" s="50"/>
      <c r="AM1431" s="50"/>
      <c r="AN1431" s="50"/>
      <c r="AO1431" s="50"/>
      <c r="AP1431" s="50"/>
      <c r="AQ1431" s="50"/>
      <c r="AR1431" s="50"/>
      <c r="AS1431" s="50"/>
      <c r="AT1431" s="51"/>
      <c r="AU1431" s="51"/>
      <c r="AV1431" s="51"/>
      <c r="AW1431" s="51"/>
      <c r="AX1431" s="50"/>
      <c r="AY1431" s="50"/>
      <c r="AZ1431" s="50"/>
      <c r="BA1431" s="50"/>
      <c r="BB1431" s="51"/>
      <c r="BC1431" s="51"/>
      <c r="BD1431" s="51"/>
      <c r="BE1431" s="51"/>
      <c r="BF1431" s="47"/>
      <c r="BG1431" s="47"/>
      <c r="BH1431" s="47"/>
      <c r="BI1431" s="47"/>
      <c r="BJ1431" s="47"/>
      <c r="BK1431" s="47"/>
      <c r="BL1431" s="47"/>
      <c r="BM1431" s="47"/>
      <c r="BN1431" s="47"/>
      <c r="BO1431" s="47"/>
      <c r="BP1431" s="47"/>
      <c r="BQ1431" s="47"/>
      <c r="BR1431" s="47"/>
      <c r="BS1431" s="47"/>
      <c r="BT1431" s="47"/>
    </row>
    <row r="1432">
      <c r="A1432" s="24"/>
      <c r="B1432" s="48"/>
      <c r="C1432" s="49"/>
      <c r="D1432" s="24"/>
      <c r="E1432" s="52"/>
      <c r="F1432" s="53"/>
      <c r="G1432" s="48"/>
      <c r="H1432" s="49"/>
      <c r="I1432" s="49"/>
      <c r="J1432" s="48"/>
      <c r="K1432" s="48"/>
      <c r="L1432" s="48"/>
      <c r="M1432" s="48"/>
      <c r="N1432" s="48"/>
      <c r="O1432" s="48"/>
      <c r="P1432" s="48"/>
      <c r="Q1432" s="48"/>
      <c r="R1432" s="48"/>
      <c r="S1432" s="48"/>
      <c r="T1432" s="48"/>
      <c r="U1432" s="48"/>
      <c r="V1432" s="48"/>
      <c r="W1432" s="49"/>
      <c r="X1432" s="49"/>
      <c r="Y1432" s="49"/>
      <c r="Z1432" s="49"/>
      <c r="AA1432" s="49"/>
      <c r="AB1432" s="49"/>
      <c r="AC1432" s="49"/>
      <c r="AD1432" s="49"/>
      <c r="AE1432" s="49"/>
      <c r="AF1432" s="49"/>
      <c r="AG1432" s="49"/>
      <c r="AH1432" s="49"/>
      <c r="AI1432" s="48"/>
      <c r="AJ1432" s="48"/>
      <c r="AK1432" s="24"/>
      <c r="AL1432" s="50"/>
      <c r="AM1432" s="50"/>
      <c r="AN1432" s="50"/>
      <c r="AO1432" s="50"/>
      <c r="AP1432" s="50"/>
      <c r="AQ1432" s="50"/>
      <c r="AR1432" s="50"/>
      <c r="AS1432" s="50"/>
      <c r="AT1432" s="51"/>
      <c r="AU1432" s="51"/>
      <c r="AV1432" s="51"/>
      <c r="AW1432" s="51"/>
      <c r="AX1432" s="50"/>
      <c r="AY1432" s="50"/>
      <c r="AZ1432" s="50"/>
      <c r="BA1432" s="50"/>
      <c r="BB1432" s="51"/>
      <c r="BC1432" s="51"/>
      <c r="BD1432" s="51"/>
      <c r="BE1432" s="51"/>
      <c r="BF1432" s="47"/>
      <c r="BG1432" s="47"/>
      <c r="BH1432" s="47"/>
      <c r="BI1432" s="47"/>
      <c r="BJ1432" s="47"/>
      <c r="BK1432" s="47"/>
      <c r="BL1432" s="47"/>
      <c r="BM1432" s="47"/>
      <c r="BN1432" s="47"/>
      <c r="BO1432" s="47"/>
      <c r="BP1432" s="47"/>
      <c r="BQ1432" s="47"/>
      <c r="BR1432" s="47"/>
      <c r="BS1432" s="47"/>
      <c r="BT1432" s="47"/>
    </row>
    <row r="1433">
      <c r="A1433" s="24"/>
      <c r="B1433" s="48"/>
      <c r="C1433" s="49"/>
      <c r="D1433" s="24"/>
      <c r="E1433" s="52"/>
      <c r="F1433" s="53"/>
      <c r="G1433" s="48"/>
      <c r="H1433" s="49"/>
      <c r="I1433" s="49"/>
      <c r="J1433" s="48"/>
      <c r="K1433" s="48"/>
      <c r="L1433" s="48"/>
      <c r="M1433" s="48"/>
      <c r="N1433" s="48"/>
      <c r="O1433" s="48"/>
      <c r="P1433" s="48"/>
      <c r="Q1433" s="48"/>
      <c r="R1433" s="48"/>
      <c r="S1433" s="48"/>
      <c r="T1433" s="48"/>
      <c r="U1433" s="48"/>
      <c r="V1433" s="48"/>
      <c r="W1433" s="49"/>
      <c r="X1433" s="49"/>
      <c r="Y1433" s="49"/>
      <c r="Z1433" s="49"/>
      <c r="AA1433" s="49"/>
      <c r="AB1433" s="49"/>
      <c r="AC1433" s="49"/>
      <c r="AD1433" s="49"/>
      <c r="AE1433" s="49"/>
      <c r="AF1433" s="49"/>
      <c r="AG1433" s="49"/>
      <c r="AH1433" s="49"/>
      <c r="AI1433" s="48"/>
      <c r="AJ1433" s="48"/>
      <c r="AK1433" s="24"/>
      <c r="AL1433" s="50"/>
      <c r="AM1433" s="50"/>
      <c r="AN1433" s="50"/>
      <c r="AO1433" s="50"/>
      <c r="AP1433" s="50"/>
      <c r="AQ1433" s="50"/>
      <c r="AR1433" s="50"/>
      <c r="AS1433" s="50"/>
      <c r="AT1433" s="51"/>
      <c r="AU1433" s="51"/>
      <c r="AV1433" s="51"/>
      <c r="AW1433" s="51"/>
      <c r="AX1433" s="50"/>
      <c r="AY1433" s="50"/>
      <c r="AZ1433" s="50"/>
      <c r="BA1433" s="50"/>
      <c r="BB1433" s="51"/>
      <c r="BC1433" s="51"/>
      <c r="BD1433" s="51"/>
      <c r="BE1433" s="51"/>
      <c r="BF1433" s="47"/>
      <c r="BG1433" s="47"/>
      <c r="BH1433" s="47"/>
      <c r="BI1433" s="47"/>
      <c r="BJ1433" s="47"/>
      <c r="BK1433" s="47"/>
      <c r="BL1433" s="47"/>
      <c r="BM1433" s="47"/>
      <c r="BN1433" s="47"/>
      <c r="BO1433" s="47"/>
      <c r="BP1433" s="47"/>
      <c r="BQ1433" s="47"/>
      <c r="BR1433" s="47"/>
      <c r="BS1433" s="47"/>
      <c r="BT1433" s="47"/>
    </row>
    <row r="1434">
      <c r="A1434" s="24"/>
      <c r="B1434" s="48"/>
      <c r="C1434" s="49"/>
      <c r="D1434" s="24"/>
      <c r="E1434" s="52"/>
      <c r="F1434" s="53"/>
      <c r="G1434" s="48"/>
      <c r="H1434" s="49"/>
      <c r="I1434" s="49"/>
      <c r="J1434" s="48"/>
      <c r="K1434" s="48"/>
      <c r="L1434" s="48"/>
      <c r="M1434" s="48"/>
      <c r="N1434" s="48"/>
      <c r="O1434" s="48"/>
      <c r="P1434" s="48"/>
      <c r="Q1434" s="48"/>
      <c r="R1434" s="48"/>
      <c r="S1434" s="48"/>
      <c r="T1434" s="48"/>
      <c r="U1434" s="48"/>
      <c r="V1434" s="48"/>
      <c r="W1434" s="49"/>
      <c r="X1434" s="49"/>
      <c r="Y1434" s="49"/>
      <c r="Z1434" s="49"/>
      <c r="AA1434" s="49"/>
      <c r="AB1434" s="49"/>
      <c r="AC1434" s="49"/>
      <c r="AD1434" s="49"/>
      <c r="AE1434" s="49"/>
      <c r="AF1434" s="49"/>
      <c r="AG1434" s="49"/>
      <c r="AH1434" s="49"/>
      <c r="AI1434" s="48"/>
      <c r="AJ1434" s="48"/>
      <c r="AK1434" s="24"/>
      <c r="AL1434" s="50"/>
      <c r="AM1434" s="50"/>
      <c r="AN1434" s="50"/>
      <c r="AO1434" s="50"/>
      <c r="AP1434" s="50"/>
      <c r="AQ1434" s="50"/>
      <c r="AR1434" s="50"/>
      <c r="AS1434" s="50"/>
      <c r="AT1434" s="51"/>
      <c r="AU1434" s="51"/>
      <c r="AV1434" s="51"/>
      <c r="AW1434" s="51"/>
      <c r="AX1434" s="50"/>
      <c r="AY1434" s="50"/>
      <c r="AZ1434" s="50"/>
      <c r="BA1434" s="50"/>
      <c r="BB1434" s="51"/>
      <c r="BC1434" s="51"/>
      <c r="BD1434" s="51"/>
      <c r="BE1434" s="51"/>
      <c r="BF1434" s="47"/>
      <c r="BG1434" s="47"/>
      <c r="BH1434" s="47"/>
      <c r="BI1434" s="47"/>
      <c r="BJ1434" s="47"/>
      <c r="BK1434" s="47"/>
      <c r="BL1434" s="47"/>
      <c r="BM1434" s="47"/>
      <c r="BN1434" s="47"/>
      <c r="BO1434" s="47"/>
      <c r="BP1434" s="47"/>
      <c r="BQ1434" s="47"/>
      <c r="BR1434" s="47"/>
      <c r="BS1434" s="47"/>
      <c r="BT1434" s="47"/>
    </row>
    <row r="1435">
      <c r="A1435" s="24"/>
      <c r="B1435" s="48"/>
      <c r="C1435" s="49"/>
      <c r="D1435" s="24"/>
      <c r="E1435" s="52"/>
      <c r="F1435" s="53"/>
      <c r="G1435" s="48"/>
      <c r="H1435" s="49"/>
      <c r="I1435" s="49"/>
      <c r="J1435" s="48"/>
      <c r="K1435" s="48"/>
      <c r="L1435" s="48"/>
      <c r="M1435" s="48"/>
      <c r="N1435" s="48"/>
      <c r="O1435" s="48"/>
      <c r="P1435" s="48"/>
      <c r="Q1435" s="48"/>
      <c r="R1435" s="48"/>
      <c r="S1435" s="48"/>
      <c r="T1435" s="48"/>
      <c r="U1435" s="48"/>
      <c r="V1435" s="48"/>
      <c r="W1435" s="49"/>
      <c r="X1435" s="49"/>
      <c r="Y1435" s="49"/>
      <c r="Z1435" s="49"/>
      <c r="AA1435" s="49"/>
      <c r="AB1435" s="49"/>
      <c r="AC1435" s="49"/>
      <c r="AD1435" s="49"/>
      <c r="AE1435" s="49"/>
      <c r="AF1435" s="49"/>
      <c r="AG1435" s="49"/>
      <c r="AH1435" s="49"/>
      <c r="AI1435" s="48"/>
      <c r="AJ1435" s="48"/>
      <c r="AK1435" s="24"/>
      <c r="AL1435" s="50"/>
      <c r="AM1435" s="50"/>
      <c r="AN1435" s="50"/>
      <c r="AO1435" s="50"/>
      <c r="AP1435" s="50"/>
      <c r="AQ1435" s="50"/>
      <c r="AR1435" s="50"/>
      <c r="AS1435" s="50"/>
      <c r="AT1435" s="51"/>
      <c r="AU1435" s="51"/>
      <c r="AV1435" s="51"/>
      <c r="AW1435" s="51"/>
      <c r="AX1435" s="50"/>
      <c r="AY1435" s="50"/>
      <c r="AZ1435" s="50"/>
      <c r="BA1435" s="50"/>
      <c r="BB1435" s="51"/>
      <c r="BC1435" s="51"/>
      <c r="BD1435" s="51"/>
      <c r="BE1435" s="51"/>
      <c r="BF1435" s="47"/>
      <c r="BG1435" s="47"/>
      <c r="BH1435" s="47"/>
      <c r="BI1435" s="47"/>
      <c r="BJ1435" s="47"/>
      <c r="BK1435" s="47"/>
      <c r="BL1435" s="47"/>
      <c r="BM1435" s="47"/>
      <c r="BN1435" s="47"/>
      <c r="BO1435" s="47"/>
      <c r="BP1435" s="47"/>
      <c r="BQ1435" s="47"/>
      <c r="BR1435" s="47"/>
      <c r="BS1435" s="47"/>
      <c r="BT1435" s="47"/>
    </row>
    <row r="1436">
      <c r="A1436" s="24"/>
      <c r="B1436" s="48"/>
      <c r="C1436" s="49"/>
      <c r="D1436" s="24"/>
      <c r="E1436" s="52"/>
      <c r="F1436" s="53"/>
      <c r="G1436" s="48"/>
      <c r="H1436" s="49"/>
      <c r="I1436" s="49"/>
      <c r="J1436" s="48"/>
      <c r="K1436" s="48"/>
      <c r="L1436" s="48"/>
      <c r="M1436" s="48"/>
      <c r="N1436" s="48"/>
      <c r="O1436" s="48"/>
      <c r="P1436" s="48"/>
      <c r="Q1436" s="48"/>
      <c r="R1436" s="48"/>
      <c r="S1436" s="48"/>
      <c r="T1436" s="48"/>
      <c r="U1436" s="48"/>
      <c r="V1436" s="48"/>
      <c r="W1436" s="49"/>
      <c r="X1436" s="49"/>
      <c r="Y1436" s="49"/>
      <c r="Z1436" s="49"/>
      <c r="AA1436" s="49"/>
      <c r="AB1436" s="49"/>
      <c r="AC1436" s="49"/>
      <c r="AD1436" s="49"/>
      <c r="AE1436" s="49"/>
      <c r="AF1436" s="49"/>
      <c r="AG1436" s="49"/>
      <c r="AH1436" s="49"/>
      <c r="AI1436" s="48"/>
      <c r="AJ1436" s="48"/>
      <c r="AK1436" s="24"/>
      <c r="AL1436" s="50"/>
      <c r="AM1436" s="50"/>
      <c r="AN1436" s="50"/>
      <c r="AO1436" s="50"/>
      <c r="AP1436" s="50"/>
      <c r="AQ1436" s="50"/>
      <c r="AR1436" s="50"/>
      <c r="AS1436" s="50"/>
      <c r="AT1436" s="51"/>
      <c r="AU1436" s="51"/>
      <c r="AV1436" s="51"/>
      <c r="AW1436" s="51"/>
      <c r="AX1436" s="50"/>
      <c r="AY1436" s="50"/>
      <c r="AZ1436" s="50"/>
      <c r="BA1436" s="50"/>
      <c r="BB1436" s="51"/>
      <c r="BC1436" s="51"/>
      <c r="BD1436" s="51"/>
      <c r="BE1436" s="51"/>
      <c r="BF1436" s="47"/>
      <c r="BG1436" s="47"/>
      <c r="BH1436" s="47"/>
      <c r="BI1436" s="47"/>
      <c r="BJ1436" s="47"/>
      <c r="BK1436" s="47"/>
      <c r="BL1436" s="47"/>
      <c r="BM1436" s="47"/>
      <c r="BN1436" s="47"/>
      <c r="BO1436" s="47"/>
      <c r="BP1436" s="47"/>
      <c r="BQ1436" s="47"/>
      <c r="BR1436" s="47"/>
      <c r="BS1436" s="47"/>
      <c r="BT1436" s="47"/>
    </row>
    <row r="1437">
      <c r="A1437" s="24"/>
      <c r="B1437" s="48"/>
      <c r="C1437" s="49"/>
      <c r="D1437" s="24"/>
      <c r="E1437" s="52"/>
      <c r="F1437" s="53"/>
      <c r="G1437" s="48"/>
      <c r="H1437" s="49"/>
      <c r="I1437" s="49"/>
      <c r="J1437" s="48"/>
      <c r="K1437" s="48"/>
      <c r="L1437" s="48"/>
      <c r="M1437" s="48"/>
      <c r="N1437" s="48"/>
      <c r="O1437" s="48"/>
      <c r="P1437" s="48"/>
      <c r="Q1437" s="48"/>
      <c r="R1437" s="48"/>
      <c r="S1437" s="48"/>
      <c r="T1437" s="48"/>
      <c r="U1437" s="48"/>
      <c r="V1437" s="48"/>
      <c r="W1437" s="49"/>
      <c r="X1437" s="49"/>
      <c r="Y1437" s="49"/>
      <c r="Z1437" s="49"/>
      <c r="AA1437" s="49"/>
      <c r="AB1437" s="49"/>
      <c r="AC1437" s="49"/>
      <c r="AD1437" s="49"/>
      <c r="AE1437" s="49"/>
      <c r="AF1437" s="49"/>
      <c r="AG1437" s="49"/>
      <c r="AH1437" s="49"/>
      <c r="AI1437" s="48"/>
      <c r="AJ1437" s="48"/>
      <c r="AK1437" s="24"/>
      <c r="AL1437" s="50"/>
      <c r="AM1437" s="50"/>
      <c r="AN1437" s="50"/>
      <c r="AO1437" s="50"/>
      <c r="AP1437" s="50"/>
      <c r="AQ1437" s="50"/>
      <c r="AR1437" s="50"/>
      <c r="AS1437" s="50"/>
      <c r="AT1437" s="51"/>
      <c r="AU1437" s="51"/>
      <c r="AV1437" s="51"/>
      <c r="AW1437" s="51"/>
      <c r="AX1437" s="50"/>
      <c r="AY1437" s="50"/>
      <c r="AZ1437" s="50"/>
      <c r="BA1437" s="50"/>
      <c r="BB1437" s="51"/>
      <c r="BC1437" s="51"/>
      <c r="BD1437" s="51"/>
      <c r="BE1437" s="51"/>
      <c r="BF1437" s="47"/>
      <c r="BG1437" s="47"/>
      <c r="BH1437" s="47"/>
      <c r="BI1437" s="47"/>
      <c r="BJ1437" s="47"/>
      <c r="BK1437" s="47"/>
      <c r="BL1437" s="47"/>
      <c r="BM1437" s="47"/>
      <c r="BN1437" s="47"/>
      <c r="BO1437" s="47"/>
      <c r="BP1437" s="47"/>
      <c r="BQ1437" s="47"/>
      <c r="BR1437" s="47"/>
      <c r="BS1437" s="47"/>
      <c r="BT1437" s="47"/>
    </row>
    <row r="1438">
      <c r="A1438" s="24"/>
      <c r="B1438" s="48"/>
      <c r="C1438" s="49"/>
      <c r="D1438" s="24"/>
      <c r="E1438" s="52"/>
      <c r="F1438" s="53"/>
      <c r="G1438" s="48"/>
      <c r="H1438" s="49"/>
      <c r="I1438" s="49"/>
      <c r="J1438" s="48"/>
      <c r="K1438" s="48"/>
      <c r="L1438" s="48"/>
      <c r="M1438" s="48"/>
      <c r="N1438" s="48"/>
      <c r="O1438" s="48"/>
      <c r="P1438" s="48"/>
      <c r="Q1438" s="48"/>
      <c r="R1438" s="48"/>
      <c r="S1438" s="48"/>
      <c r="T1438" s="48"/>
      <c r="U1438" s="48"/>
      <c r="V1438" s="48"/>
      <c r="W1438" s="49"/>
      <c r="X1438" s="49"/>
      <c r="Y1438" s="49"/>
      <c r="Z1438" s="49"/>
      <c r="AA1438" s="49"/>
      <c r="AB1438" s="49"/>
      <c r="AC1438" s="49"/>
      <c r="AD1438" s="49"/>
      <c r="AE1438" s="49"/>
      <c r="AF1438" s="49"/>
      <c r="AG1438" s="49"/>
      <c r="AH1438" s="49"/>
      <c r="AI1438" s="48"/>
      <c r="AJ1438" s="48"/>
      <c r="AK1438" s="24"/>
      <c r="AL1438" s="50"/>
      <c r="AM1438" s="50"/>
      <c r="AN1438" s="50"/>
      <c r="AO1438" s="50"/>
      <c r="AP1438" s="50"/>
      <c r="AQ1438" s="50"/>
      <c r="AR1438" s="50"/>
      <c r="AS1438" s="50"/>
      <c r="AT1438" s="51"/>
      <c r="AU1438" s="51"/>
      <c r="AV1438" s="51"/>
      <c r="AW1438" s="51"/>
      <c r="AX1438" s="50"/>
      <c r="AY1438" s="50"/>
      <c r="AZ1438" s="50"/>
      <c r="BA1438" s="50"/>
      <c r="BB1438" s="51"/>
      <c r="BC1438" s="51"/>
      <c r="BD1438" s="51"/>
      <c r="BE1438" s="51"/>
      <c r="BF1438" s="47"/>
      <c r="BG1438" s="47"/>
      <c r="BH1438" s="47"/>
      <c r="BI1438" s="47"/>
      <c r="BJ1438" s="47"/>
      <c r="BK1438" s="47"/>
      <c r="BL1438" s="47"/>
      <c r="BM1438" s="47"/>
      <c r="BN1438" s="47"/>
      <c r="BO1438" s="47"/>
      <c r="BP1438" s="47"/>
      <c r="BQ1438" s="47"/>
      <c r="BR1438" s="47"/>
      <c r="BS1438" s="47"/>
      <c r="BT1438" s="47"/>
    </row>
    <row r="1439">
      <c r="A1439" s="24"/>
      <c r="B1439" s="48"/>
      <c r="C1439" s="49"/>
      <c r="D1439" s="24"/>
      <c r="E1439" s="52"/>
      <c r="F1439" s="53"/>
      <c r="G1439" s="48"/>
      <c r="H1439" s="49"/>
      <c r="I1439" s="49"/>
      <c r="J1439" s="48"/>
      <c r="K1439" s="48"/>
      <c r="L1439" s="48"/>
      <c r="M1439" s="48"/>
      <c r="N1439" s="48"/>
      <c r="O1439" s="48"/>
      <c r="P1439" s="48"/>
      <c r="Q1439" s="48"/>
      <c r="R1439" s="48"/>
      <c r="S1439" s="48"/>
      <c r="T1439" s="48"/>
      <c r="U1439" s="48"/>
      <c r="V1439" s="48"/>
      <c r="W1439" s="49"/>
      <c r="X1439" s="49"/>
      <c r="Y1439" s="49"/>
      <c r="Z1439" s="49"/>
      <c r="AA1439" s="49"/>
      <c r="AB1439" s="49"/>
      <c r="AC1439" s="49"/>
      <c r="AD1439" s="49"/>
      <c r="AE1439" s="49"/>
      <c r="AF1439" s="49"/>
      <c r="AG1439" s="49"/>
      <c r="AH1439" s="49"/>
      <c r="AI1439" s="48"/>
      <c r="AJ1439" s="48"/>
      <c r="AK1439" s="24"/>
      <c r="AL1439" s="50"/>
      <c r="AM1439" s="50"/>
      <c r="AN1439" s="50"/>
      <c r="AO1439" s="50"/>
      <c r="AP1439" s="50"/>
      <c r="AQ1439" s="50"/>
      <c r="AR1439" s="50"/>
      <c r="AS1439" s="50"/>
      <c r="AT1439" s="51"/>
      <c r="AU1439" s="51"/>
      <c r="AV1439" s="51"/>
      <c r="AW1439" s="51"/>
      <c r="AX1439" s="50"/>
      <c r="AY1439" s="50"/>
      <c r="AZ1439" s="50"/>
      <c r="BA1439" s="50"/>
      <c r="BB1439" s="51"/>
      <c r="BC1439" s="51"/>
      <c r="BD1439" s="51"/>
      <c r="BE1439" s="51"/>
      <c r="BF1439" s="47"/>
      <c r="BG1439" s="47"/>
      <c r="BH1439" s="47"/>
      <c r="BI1439" s="47"/>
      <c r="BJ1439" s="47"/>
      <c r="BK1439" s="47"/>
      <c r="BL1439" s="47"/>
      <c r="BM1439" s="47"/>
      <c r="BN1439" s="47"/>
      <c r="BO1439" s="47"/>
      <c r="BP1439" s="47"/>
      <c r="BQ1439" s="47"/>
      <c r="BR1439" s="47"/>
      <c r="BS1439" s="47"/>
      <c r="BT1439" s="47"/>
    </row>
    <row r="1440">
      <c r="A1440" s="24"/>
      <c r="B1440" s="48"/>
      <c r="C1440" s="49"/>
      <c r="D1440" s="24"/>
      <c r="E1440" s="52"/>
      <c r="F1440" s="53"/>
      <c r="G1440" s="48"/>
      <c r="H1440" s="49"/>
      <c r="I1440" s="49"/>
      <c r="J1440" s="48"/>
      <c r="K1440" s="48"/>
      <c r="L1440" s="48"/>
      <c r="M1440" s="48"/>
      <c r="N1440" s="48"/>
      <c r="O1440" s="48"/>
      <c r="P1440" s="48"/>
      <c r="Q1440" s="48"/>
      <c r="R1440" s="48"/>
      <c r="S1440" s="48"/>
      <c r="T1440" s="48"/>
      <c r="U1440" s="48"/>
      <c r="V1440" s="48"/>
      <c r="W1440" s="49"/>
      <c r="X1440" s="49"/>
      <c r="Y1440" s="49"/>
      <c r="Z1440" s="49"/>
      <c r="AA1440" s="49"/>
      <c r="AB1440" s="49"/>
      <c r="AC1440" s="49"/>
      <c r="AD1440" s="49"/>
      <c r="AE1440" s="49"/>
      <c r="AF1440" s="49"/>
      <c r="AG1440" s="49"/>
      <c r="AH1440" s="49"/>
      <c r="AI1440" s="48"/>
      <c r="AJ1440" s="48"/>
      <c r="AK1440" s="24"/>
      <c r="AL1440" s="50"/>
      <c r="AM1440" s="50"/>
      <c r="AN1440" s="50"/>
      <c r="AO1440" s="50"/>
      <c r="AP1440" s="50"/>
      <c r="AQ1440" s="50"/>
      <c r="AR1440" s="50"/>
      <c r="AS1440" s="50"/>
      <c r="AT1440" s="51"/>
      <c r="AU1440" s="51"/>
      <c r="AV1440" s="51"/>
      <c r="AW1440" s="51"/>
      <c r="AX1440" s="50"/>
      <c r="AY1440" s="50"/>
      <c r="AZ1440" s="50"/>
      <c r="BA1440" s="50"/>
      <c r="BB1440" s="51"/>
      <c r="BC1440" s="51"/>
      <c r="BD1440" s="51"/>
      <c r="BE1440" s="51"/>
      <c r="BF1440" s="47"/>
      <c r="BG1440" s="47"/>
      <c r="BH1440" s="47"/>
      <c r="BI1440" s="47"/>
      <c r="BJ1440" s="47"/>
      <c r="BK1440" s="47"/>
      <c r="BL1440" s="47"/>
      <c r="BM1440" s="47"/>
      <c r="BN1440" s="47"/>
      <c r="BO1440" s="47"/>
      <c r="BP1440" s="47"/>
      <c r="BQ1440" s="47"/>
      <c r="BR1440" s="47"/>
      <c r="BS1440" s="47"/>
      <c r="BT1440" s="47"/>
    </row>
    <row r="1441">
      <c r="A1441" s="24"/>
      <c r="B1441" s="48"/>
      <c r="C1441" s="49"/>
      <c r="D1441" s="24"/>
      <c r="E1441" s="52"/>
      <c r="F1441" s="53"/>
      <c r="G1441" s="48"/>
      <c r="H1441" s="49"/>
      <c r="I1441" s="49"/>
      <c r="J1441" s="48"/>
      <c r="K1441" s="48"/>
      <c r="L1441" s="48"/>
      <c r="M1441" s="48"/>
      <c r="N1441" s="48"/>
      <c r="O1441" s="48"/>
      <c r="P1441" s="48"/>
      <c r="Q1441" s="48"/>
      <c r="R1441" s="48"/>
      <c r="S1441" s="48"/>
      <c r="T1441" s="48"/>
      <c r="U1441" s="48"/>
      <c r="V1441" s="48"/>
      <c r="W1441" s="49"/>
      <c r="X1441" s="49"/>
      <c r="Y1441" s="49"/>
      <c r="Z1441" s="49"/>
      <c r="AA1441" s="49"/>
      <c r="AB1441" s="49"/>
      <c r="AC1441" s="49"/>
      <c r="AD1441" s="49"/>
      <c r="AE1441" s="49"/>
      <c r="AF1441" s="49"/>
      <c r="AG1441" s="49"/>
      <c r="AH1441" s="49"/>
      <c r="AI1441" s="48"/>
      <c r="AJ1441" s="48"/>
      <c r="AK1441" s="24"/>
      <c r="AL1441" s="50"/>
      <c r="AM1441" s="50"/>
      <c r="AN1441" s="50"/>
      <c r="AO1441" s="50"/>
      <c r="AP1441" s="50"/>
      <c r="AQ1441" s="50"/>
      <c r="AR1441" s="50"/>
      <c r="AS1441" s="50"/>
      <c r="AT1441" s="51"/>
      <c r="AU1441" s="51"/>
      <c r="AV1441" s="51"/>
      <c r="AW1441" s="51"/>
      <c r="AX1441" s="50"/>
      <c r="AY1441" s="50"/>
      <c r="AZ1441" s="50"/>
      <c r="BA1441" s="50"/>
      <c r="BB1441" s="51"/>
      <c r="BC1441" s="51"/>
      <c r="BD1441" s="51"/>
      <c r="BE1441" s="51"/>
      <c r="BF1441" s="47"/>
      <c r="BG1441" s="47"/>
      <c r="BH1441" s="47"/>
      <c r="BI1441" s="47"/>
      <c r="BJ1441" s="47"/>
      <c r="BK1441" s="47"/>
      <c r="BL1441" s="47"/>
      <c r="BM1441" s="47"/>
      <c r="BN1441" s="47"/>
      <c r="BO1441" s="47"/>
      <c r="BP1441" s="47"/>
      <c r="BQ1441" s="47"/>
      <c r="BR1441" s="47"/>
      <c r="BS1441" s="47"/>
      <c r="BT1441" s="47"/>
    </row>
    <row r="1442">
      <c r="A1442" s="24"/>
      <c r="B1442" s="48"/>
      <c r="C1442" s="49"/>
      <c r="D1442" s="24"/>
      <c r="E1442" s="52"/>
      <c r="F1442" s="53"/>
      <c r="G1442" s="48"/>
      <c r="H1442" s="49"/>
      <c r="I1442" s="49"/>
      <c r="J1442" s="48"/>
      <c r="K1442" s="48"/>
      <c r="L1442" s="48"/>
      <c r="M1442" s="48"/>
      <c r="N1442" s="48"/>
      <c r="O1442" s="48"/>
      <c r="P1442" s="48"/>
      <c r="Q1442" s="48"/>
      <c r="R1442" s="48"/>
      <c r="S1442" s="48"/>
      <c r="T1442" s="48"/>
      <c r="U1442" s="48"/>
      <c r="V1442" s="48"/>
      <c r="W1442" s="49"/>
      <c r="X1442" s="49"/>
      <c r="Y1442" s="49"/>
      <c r="Z1442" s="49"/>
      <c r="AA1442" s="49"/>
      <c r="AB1442" s="49"/>
      <c r="AC1442" s="49"/>
      <c r="AD1442" s="49"/>
      <c r="AE1442" s="49"/>
      <c r="AF1442" s="49"/>
      <c r="AG1442" s="49"/>
      <c r="AH1442" s="49"/>
      <c r="AI1442" s="48"/>
      <c r="AJ1442" s="48"/>
      <c r="AK1442" s="24"/>
      <c r="AL1442" s="50"/>
      <c r="AM1442" s="50"/>
      <c r="AN1442" s="50"/>
      <c r="AO1442" s="50"/>
      <c r="AP1442" s="50"/>
      <c r="AQ1442" s="50"/>
      <c r="AR1442" s="50"/>
      <c r="AS1442" s="50"/>
      <c r="AT1442" s="51"/>
      <c r="AU1442" s="51"/>
      <c r="AV1442" s="51"/>
      <c r="AW1442" s="51"/>
      <c r="AX1442" s="50"/>
      <c r="AY1442" s="50"/>
      <c r="AZ1442" s="50"/>
      <c r="BA1442" s="50"/>
      <c r="BB1442" s="51"/>
      <c r="BC1442" s="51"/>
      <c r="BD1442" s="51"/>
      <c r="BE1442" s="51"/>
      <c r="BF1442" s="47"/>
      <c r="BG1442" s="47"/>
      <c r="BH1442" s="47"/>
      <c r="BI1442" s="47"/>
      <c r="BJ1442" s="47"/>
      <c r="BK1442" s="47"/>
      <c r="BL1442" s="47"/>
      <c r="BM1442" s="47"/>
      <c r="BN1442" s="47"/>
      <c r="BO1442" s="47"/>
      <c r="BP1442" s="47"/>
      <c r="BQ1442" s="47"/>
      <c r="BR1442" s="47"/>
      <c r="BS1442" s="47"/>
      <c r="BT1442" s="47"/>
    </row>
    <row r="1443">
      <c r="A1443" s="24"/>
      <c r="B1443" s="48"/>
      <c r="C1443" s="49"/>
      <c r="D1443" s="24"/>
      <c r="E1443" s="52"/>
      <c r="F1443" s="53"/>
      <c r="G1443" s="48"/>
      <c r="H1443" s="49"/>
      <c r="I1443" s="49"/>
      <c r="J1443" s="48"/>
      <c r="K1443" s="48"/>
      <c r="L1443" s="48"/>
      <c r="M1443" s="48"/>
      <c r="N1443" s="48"/>
      <c r="O1443" s="48"/>
      <c r="P1443" s="48"/>
      <c r="Q1443" s="48"/>
      <c r="R1443" s="48"/>
      <c r="S1443" s="48"/>
      <c r="T1443" s="48"/>
      <c r="U1443" s="48"/>
      <c r="V1443" s="48"/>
      <c r="W1443" s="49"/>
      <c r="X1443" s="49"/>
      <c r="Y1443" s="49"/>
      <c r="Z1443" s="49"/>
      <c r="AA1443" s="49"/>
      <c r="AB1443" s="49"/>
      <c r="AC1443" s="49"/>
      <c r="AD1443" s="49"/>
      <c r="AE1443" s="49"/>
      <c r="AF1443" s="49"/>
      <c r="AG1443" s="49"/>
      <c r="AH1443" s="49"/>
      <c r="AI1443" s="48"/>
      <c r="AJ1443" s="48"/>
      <c r="AK1443" s="24"/>
      <c r="AL1443" s="50"/>
      <c r="AM1443" s="50"/>
      <c r="AN1443" s="50"/>
      <c r="AO1443" s="50"/>
      <c r="AP1443" s="50"/>
      <c r="AQ1443" s="50"/>
      <c r="AR1443" s="50"/>
      <c r="AS1443" s="50"/>
      <c r="AT1443" s="51"/>
      <c r="AU1443" s="51"/>
      <c r="AV1443" s="51"/>
      <c r="AW1443" s="51"/>
      <c r="AX1443" s="50"/>
      <c r="AY1443" s="50"/>
      <c r="AZ1443" s="50"/>
      <c r="BA1443" s="50"/>
      <c r="BB1443" s="51"/>
      <c r="BC1443" s="51"/>
      <c r="BD1443" s="51"/>
      <c r="BE1443" s="51"/>
      <c r="BF1443" s="47"/>
      <c r="BG1443" s="47"/>
      <c r="BH1443" s="47"/>
      <c r="BI1443" s="47"/>
      <c r="BJ1443" s="47"/>
      <c r="BK1443" s="47"/>
      <c r="BL1443" s="47"/>
      <c r="BM1443" s="47"/>
      <c r="BN1443" s="47"/>
      <c r="BO1443" s="47"/>
      <c r="BP1443" s="47"/>
      <c r="BQ1443" s="47"/>
      <c r="BR1443" s="47"/>
      <c r="BS1443" s="47"/>
      <c r="BT1443" s="47"/>
    </row>
    <row r="1444">
      <c r="A1444" s="24"/>
      <c r="B1444" s="48"/>
      <c r="C1444" s="49"/>
      <c r="D1444" s="24"/>
      <c r="E1444" s="52"/>
      <c r="F1444" s="53"/>
      <c r="G1444" s="48"/>
      <c r="H1444" s="49"/>
      <c r="I1444" s="49"/>
      <c r="J1444" s="48"/>
      <c r="K1444" s="48"/>
      <c r="L1444" s="48"/>
      <c r="M1444" s="48"/>
      <c r="N1444" s="48"/>
      <c r="O1444" s="48"/>
      <c r="P1444" s="48"/>
      <c r="Q1444" s="48"/>
      <c r="R1444" s="48"/>
      <c r="S1444" s="48"/>
      <c r="T1444" s="48"/>
      <c r="U1444" s="48"/>
      <c r="V1444" s="48"/>
      <c r="W1444" s="49"/>
      <c r="X1444" s="49"/>
      <c r="Y1444" s="49"/>
      <c r="Z1444" s="49"/>
      <c r="AA1444" s="49"/>
      <c r="AB1444" s="49"/>
      <c r="AC1444" s="49"/>
      <c r="AD1444" s="49"/>
      <c r="AE1444" s="49"/>
      <c r="AF1444" s="49"/>
      <c r="AG1444" s="49"/>
      <c r="AH1444" s="49"/>
      <c r="AI1444" s="48"/>
      <c r="AJ1444" s="48"/>
      <c r="AK1444" s="24"/>
      <c r="AL1444" s="50"/>
      <c r="AM1444" s="50"/>
      <c r="AN1444" s="50"/>
      <c r="AO1444" s="50"/>
      <c r="AP1444" s="50"/>
      <c r="AQ1444" s="50"/>
      <c r="AR1444" s="50"/>
      <c r="AS1444" s="50"/>
      <c r="AT1444" s="51"/>
      <c r="AU1444" s="51"/>
      <c r="AV1444" s="51"/>
      <c r="AW1444" s="51"/>
      <c r="AX1444" s="50"/>
      <c r="AY1444" s="50"/>
      <c r="AZ1444" s="50"/>
      <c r="BA1444" s="50"/>
      <c r="BB1444" s="51"/>
      <c r="BC1444" s="51"/>
      <c r="BD1444" s="51"/>
      <c r="BE1444" s="51"/>
      <c r="BF1444" s="47"/>
      <c r="BG1444" s="47"/>
      <c r="BH1444" s="47"/>
      <c r="BI1444" s="47"/>
      <c r="BJ1444" s="47"/>
      <c r="BK1444" s="47"/>
      <c r="BL1444" s="47"/>
      <c r="BM1444" s="47"/>
      <c r="BN1444" s="47"/>
      <c r="BO1444" s="47"/>
      <c r="BP1444" s="47"/>
      <c r="BQ1444" s="47"/>
      <c r="BR1444" s="47"/>
      <c r="BS1444" s="47"/>
      <c r="BT1444" s="47"/>
    </row>
    <row r="1445">
      <c r="A1445" s="24"/>
      <c r="B1445" s="48"/>
      <c r="C1445" s="49"/>
      <c r="D1445" s="24"/>
      <c r="E1445" s="52"/>
      <c r="F1445" s="53"/>
      <c r="G1445" s="48"/>
      <c r="H1445" s="49"/>
      <c r="I1445" s="49"/>
      <c r="J1445" s="48"/>
      <c r="K1445" s="48"/>
      <c r="L1445" s="48"/>
      <c r="M1445" s="48"/>
      <c r="N1445" s="48"/>
      <c r="O1445" s="48"/>
      <c r="P1445" s="48"/>
      <c r="Q1445" s="48"/>
      <c r="R1445" s="48"/>
      <c r="S1445" s="48"/>
      <c r="T1445" s="48"/>
      <c r="U1445" s="48"/>
      <c r="V1445" s="48"/>
      <c r="W1445" s="49"/>
      <c r="X1445" s="49"/>
      <c r="Y1445" s="49"/>
      <c r="Z1445" s="49"/>
      <c r="AA1445" s="49"/>
      <c r="AB1445" s="49"/>
      <c r="AC1445" s="49"/>
      <c r="AD1445" s="49"/>
      <c r="AE1445" s="49"/>
      <c r="AF1445" s="49"/>
      <c r="AG1445" s="49"/>
      <c r="AH1445" s="49"/>
      <c r="AI1445" s="48"/>
      <c r="AJ1445" s="48"/>
      <c r="AK1445" s="24"/>
      <c r="AL1445" s="50"/>
      <c r="AM1445" s="50"/>
      <c r="AN1445" s="50"/>
      <c r="AO1445" s="50"/>
      <c r="AP1445" s="50"/>
      <c r="AQ1445" s="50"/>
      <c r="AR1445" s="50"/>
      <c r="AS1445" s="50"/>
      <c r="AT1445" s="51"/>
      <c r="AU1445" s="51"/>
      <c r="AV1445" s="51"/>
      <c r="AW1445" s="51"/>
      <c r="AX1445" s="50"/>
      <c r="AY1445" s="50"/>
      <c r="AZ1445" s="50"/>
      <c r="BA1445" s="50"/>
      <c r="BB1445" s="51"/>
      <c r="BC1445" s="51"/>
      <c r="BD1445" s="51"/>
      <c r="BE1445" s="51"/>
      <c r="BF1445" s="47"/>
      <c r="BG1445" s="47"/>
      <c r="BH1445" s="47"/>
      <c r="BI1445" s="47"/>
      <c r="BJ1445" s="47"/>
      <c r="BK1445" s="47"/>
      <c r="BL1445" s="47"/>
      <c r="BM1445" s="47"/>
      <c r="BN1445" s="47"/>
      <c r="BO1445" s="47"/>
      <c r="BP1445" s="47"/>
      <c r="BQ1445" s="47"/>
      <c r="BR1445" s="47"/>
      <c r="BS1445" s="47"/>
      <c r="BT1445" s="47"/>
    </row>
    <row r="1446">
      <c r="A1446" s="24"/>
      <c r="B1446" s="48"/>
      <c r="C1446" s="49"/>
      <c r="D1446" s="24"/>
      <c r="E1446" s="52"/>
      <c r="F1446" s="53"/>
      <c r="G1446" s="48"/>
      <c r="H1446" s="49"/>
      <c r="I1446" s="49"/>
      <c r="J1446" s="48"/>
      <c r="K1446" s="48"/>
      <c r="L1446" s="48"/>
      <c r="M1446" s="48"/>
      <c r="N1446" s="48"/>
      <c r="O1446" s="48"/>
      <c r="P1446" s="48"/>
      <c r="Q1446" s="48"/>
      <c r="R1446" s="48"/>
      <c r="S1446" s="48"/>
      <c r="T1446" s="48"/>
      <c r="U1446" s="48"/>
      <c r="V1446" s="48"/>
      <c r="W1446" s="49"/>
      <c r="X1446" s="49"/>
      <c r="Y1446" s="49"/>
      <c r="Z1446" s="49"/>
      <c r="AA1446" s="49"/>
      <c r="AB1446" s="49"/>
      <c r="AC1446" s="49"/>
      <c r="AD1446" s="49"/>
      <c r="AE1446" s="49"/>
      <c r="AF1446" s="49"/>
      <c r="AG1446" s="49"/>
      <c r="AH1446" s="49"/>
      <c r="AI1446" s="48"/>
      <c r="AJ1446" s="48"/>
      <c r="AK1446" s="24"/>
      <c r="AL1446" s="50"/>
      <c r="AM1446" s="50"/>
      <c r="AN1446" s="50"/>
      <c r="AO1446" s="50"/>
      <c r="AP1446" s="50"/>
      <c r="AQ1446" s="50"/>
      <c r="AR1446" s="50"/>
      <c r="AS1446" s="50"/>
      <c r="AT1446" s="51"/>
      <c r="AU1446" s="51"/>
      <c r="AV1446" s="51"/>
      <c r="AW1446" s="51"/>
      <c r="AX1446" s="50"/>
      <c r="AY1446" s="50"/>
      <c r="AZ1446" s="50"/>
      <c r="BA1446" s="50"/>
      <c r="BB1446" s="51"/>
      <c r="BC1446" s="51"/>
      <c r="BD1446" s="51"/>
      <c r="BE1446" s="51"/>
      <c r="BF1446" s="47"/>
      <c r="BG1446" s="47"/>
      <c r="BH1446" s="47"/>
      <c r="BI1446" s="47"/>
      <c r="BJ1446" s="47"/>
      <c r="BK1446" s="47"/>
      <c r="BL1446" s="47"/>
      <c r="BM1446" s="47"/>
      <c r="BN1446" s="47"/>
      <c r="BO1446" s="47"/>
      <c r="BP1446" s="47"/>
      <c r="BQ1446" s="47"/>
      <c r="BR1446" s="47"/>
      <c r="BS1446" s="47"/>
      <c r="BT1446" s="47"/>
    </row>
    <row r="1447">
      <c r="A1447" s="24"/>
      <c r="B1447" s="48"/>
      <c r="C1447" s="49"/>
      <c r="D1447" s="24"/>
      <c r="E1447" s="52"/>
      <c r="F1447" s="53"/>
      <c r="G1447" s="48"/>
      <c r="H1447" s="49"/>
      <c r="I1447" s="49"/>
      <c r="J1447" s="48"/>
      <c r="K1447" s="48"/>
      <c r="L1447" s="48"/>
      <c r="M1447" s="48"/>
      <c r="N1447" s="48"/>
      <c r="O1447" s="48"/>
      <c r="P1447" s="48"/>
      <c r="Q1447" s="48"/>
      <c r="R1447" s="48"/>
      <c r="S1447" s="48"/>
      <c r="T1447" s="48"/>
      <c r="U1447" s="48"/>
      <c r="V1447" s="48"/>
      <c r="W1447" s="49"/>
      <c r="X1447" s="49"/>
      <c r="Y1447" s="49"/>
      <c r="Z1447" s="49"/>
      <c r="AA1447" s="49"/>
      <c r="AB1447" s="49"/>
      <c r="AC1447" s="49"/>
      <c r="AD1447" s="49"/>
      <c r="AE1447" s="49"/>
      <c r="AF1447" s="49"/>
      <c r="AG1447" s="49"/>
      <c r="AH1447" s="49"/>
      <c r="AI1447" s="48"/>
      <c r="AJ1447" s="48"/>
      <c r="AK1447" s="24"/>
      <c r="AL1447" s="50"/>
      <c r="AM1447" s="50"/>
      <c r="AN1447" s="50"/>
      <c r="AO1447" s="50"/>
      <c r="AP1447" s="50"/>
      <c r="AQ1447" s="50"/>
      <c r="AR1447" s="50"/>
      <c r="AS1447" s="50"/>
      <c r="AT1447" s="51"/>
      <c r="AU1447" s="51"/>
      <c r="AV1447" s="51"/>
      <c r="AW1447" s="51"/>
      <c r="AX1447" s="50"/>
      <c r="AY1447" s="50"/>
      <c r="AZ1447" s="50"/>
      <c r="BA1447" s="50"/>
      <c r="BB1447" s="51"/>
      <c r="BC1447" s="51"/>
      <c r="BD1447" s="51"/>
      <c r="BE1447" s="51"/>
      <c r="BF1447" s="47"/>
      <c r="BG1447" s="47"/>
      <c r="BH1447" s="47"/>
      <c r="BI1447" s="47"/>
      <c r="BJ1447" s="47"/>
      <c r="BK1447" s="47"/>
      <c r="BL1447" s="47"/>
      <c r="BM1447" s="47"/>
      <c r="BN1447" s="47"/>
      <c r="BO1447" s="47"/>
      <c r="BP1447" s="47"/>
      <c r="BQ1447" s="47"/>
      <c r="BR1447" s="47"/>
      <c r="BS1447" s="47"/>
      <c r="BT1447" s="47"/>
    </row>
    <row r="1448">
      <c r="A1448" s="24"/>
      <c r="B1448" s="48"/>
      <c r="C1448" s="49"/>
      <c r="D1448" s="24"/>
      <c r="E1448" s="52"/>
      <c r="F1448" s="53"/>
      <c r="G1448" s="48"/>
      <c r="H1448" s="49"/>
      <c r="I1448" s="49"/>
      <c r="J1448" s="48"/>
      <c r="K1448" s="48"/>
      <c r="L1448" s="48"/>
      <c r="M1448" s="48"/>
      <c r="N1448" s="48"/>
      <c r="O1448" s="48"/>
      <c r="P1448" s="48"/>
      <c r="Q1448" s="48"/>
      <c r="R1448" s="48"/>
      <c r="S1448" s="48"/>
      <c r="T1448" s="48"/>
      <c r="U1448" s="48"/>
      <c r="V1448" s="48"/>
      <c r="W1448" s="49"/>
      <c r="X1448" s="49"/>
      <c r="Y1448" s="49"/>
      <c r="Z1448" s="49"/>
      <c r="AA1448" s="49"/>
      <c r="AB1448" s="49"/>
      <c r="AC1448" s="49"/>
      <c r="AD1448" s="49"/>
      <c r="AE1448" s="49"/>
      <c r="AF1448" s="49"/>
      <c r="AG1448" s="49"/>
      <c r="AH1448" s="49"/>
      <c r="AI1448" s="48"/>
      <c r="AJ1448" s="48"/>
      <c r="AK1448" s="24"/>
      <c r="AL1448" s="50"/>
      <c r="AM1448" s="50"/>
      <c r="AN1448" s="50"/>
      <c r="AO1448" s="50"/>
      <c r="AP1448" s="50"/>
      <c r="AQ1448" s="50"/>
      <c r="AR1448" s="50"/>
      <c r="AS1448" s="50"/>
      <c r="AT1448" s="51"/>
      <c r="AU1448" s="51"/>
      <c r="AV1448" s="51"/>
      <c r="AW1448" s="51"/>
      <c r="AX1448" s="50"/>
      <c r="AY1448" s="50"/>
      <c r="AZ1448" s="50"/>
      <c r="BA1448" s="50"/>
      <c r="BB1448" s="51"/>
      <c r="BC1448" s="51"/>
      <c r="BD1448" s="51"/>
      <c r="BE1448" s="51"/>
      <c r="BF1448" s="47"/>
      <c r="BG1448" s="47"/>
      <c r="BH1448" s="47"/>
      <c r="BI1448" s="47"/>
      <c r="BJ1448" s="47"/>
      <c r="BK1448" s="47"/>
      <c r="BL1448" s="47"/>
      <c r="BM1448" s="47"/>
      <c r="BN1448" s="47"/>
      <c r="BO1448" s="47"/>
      <c r="BP1448" s="47"/>
      <c r="BQ1448" s="47"/>
      <c r="BR1448" s="47"/>
      <c r="BS1448" s="47"/>
      <c r="BT1448" s="47"/>
    </row>
    <row r="1449">
      <c r="A1449" s="24"/>
      <c r="B1449" s="48"/>
      <c r="C1449" s="49"/>
      <c r="D1449" s="24"/>
      <c r="E1449" s="52"/>
      <c r="F1449" s="53"/>
      <c r="G1449" s="48"/>
      <c r="H1449" s="49"/>
      <c r="I1449" s="49"/>
      <c r="J1449" s="48"/>
      <c r="K1449" s="48"/>
      <c r="L1449" s="48"/>
      <c r="M1449" s="48"/>
      <c r="N1449" s="48"/>
      <c r="O1449" s="48"/>
      <c r="P1449" s="48"/>
      <c r="Q1449" s="48"/>
      <c r="R1449" s="48"/>
      <c r="S1449" s="48"/>
      <c r="T1449" s="48"/>
      <c r="U1449" s="48"/>
      <c r="V1449" s="48"/>
      <c r="W1449" s="49"/>
      <c r="X1449" s="49"/>
      <c r="Y1449" s="49"/>
      <c r="Z1449" s="49"/>
      <c r="AA1449" s="49"/>
      <c r="AB1449" s="49"/>
      <c r="AC1449" s="49"/>
      <c r="AD1449" s="49"/>
      <c r="AE1449" s="49"/>
      <c r="AF1449" s="49"/>
      <c r="AG1449" s="49"/>
      <c r="AH1449" s="49"/>
      <c r="AI1449" s="48"/>
      <c r="AJ1449" s="48"/>
      <c r="AK1449" s="24"/>
      <c r="AL1449" s="50"/>
      <c r="AM1449" s="50"/>
      <c r="AN1449" s="50"/>
      <c r="AO1449" s="50"/>
      <c r="AP1449" s="50"/>
      <c r="AQ1449" s="50"/>
      <c r="AR1449" s="50"/>
      <c r="AS1449" s="50"/>
      <c r="AT1449" s="51"/>
      <c r="AU1449" s="51"/>
      <c r="AV1449" s="51"/>
      <c r="AW1449" s="51"/>
      <c r="AX1449" s="50"/>
      <c r="AY1449" s="50"/>
      <c r="AZ1449" s="50"/>
      <c r="BA1449" s="50"/>
      <c r="BB1449" s="51"/>
      <c r="BC1449" s="51"/>
      <c r="BD1449" s="51"/>
      <c r="BE1449" s="51"/>
      <c r="BF1449" s="47"/>
      <c r="BG1449" s="47"/>
      <c r="BH1449" s="47"/>
      <c r="BI1449" s="47"/>
      <c r="BJ1449" s="47"/>
      <c r="BK1449" s="47"/>
      <c r="BL1449" s="47"/>
      <c r="BM1449" s="47"/>
      <c r="BN1449" s="47"/>
      <c r="BO1449" s="47"/>
      <c r="BP1449" s="47"/>
      <c r="BQ1449" s="47"/>
      <c r="BR1449" s="47"/>
      <c r="BS1449" s="47"/>
      <c r="BT1449" s="47"/>
    </row>
    <row r="1450">
      <c r="A1450" s="24"/>
      <c r="B1450" s="48"/>
      <c r="C1450" s="49"/>
      <c r="D1450" s="24"/>
      <c r="E1450" s="52"/>
      <c r="F1450" s="53"/>
      <c r="G1450" s="48"/>
      <c r="H1450" s="49"/>
      <c r="I1450" s="49"/>
      <c r="J1450" s="48"/>
      <c r="K1450" s="48"/>
      <c r="L1450" s="48"/>
      <c r="M1450" s="48"/>
      <c r="N1450" s="48"/>
      <c r="O1450" s="48"/>
      <c r="P1450" s="48"/>
      <c r="Q1450" s="48"/>
      <c r="R1450" s="48"/>
      <c r="S1450" s="48"/>
      <c r="T1450" s="48"/>
      <c r="U1450" s="48"/>
      <c r="V1450" s="48"/>
      <c r="W1450" s="49"/>
      <c r="X1450" s="49"/>
      <c r="Y1450" s="49"/>
      <c r="Z1450" s="49"/>
      <c r="AA1450" s="49"/>
      <c r="AB1450" s="49"/>
      <c r="AC1450" s="49"/>
      <c r="AD1450" s="49"/>
      <c r="AE1450" s="49"/>
      <c r="AF1450" s="49"/>
      <c r="AG1450" s="49"/>
      <c r="AH1450" s="49"/>
      <c r="AI1450" s="48"/>
      <c r="AJ1450" s="48"/>
      <c r="AK1450" s="24"/>
      <c r="AL1450" s="50"/>
      <c r="AM1450" s="50"/>
      <c r="AN1450" s="50"/>
      <c r="AO1450" s="50"/>
      <c r="AP1450" s="50"/>
      <c r="AQ1450" s="50"/>
      <c r="AR1450" s="50"/>
      <c r="AS1450" s="50"/>
      <c r="AT1450" s="51"/>
      <c r="AU1450" s="51"/>
      <c r="AV1450" s="51"/>
      <c r="AW1450" s="51"/>
      <c r="AX1450" s="50"/>
      <c r="AY1450" s="50"/>
      <c r="AZ1450" s="50"/>
      <c r="BA1450" s="50"/>
      <c r="BB1450" s="51"/>
      <c r="BC1450" s="51"/>
      <c r="BD1450" s="51"/>
      <c r="BE1450" s="51"/>
      <c r="BF1450" s="47"/>
      <c r="BG1450" s="47"/>
      <c r="BH1450" s="47"/>
      <c r="BI1450" s="47"/>
      <c r="BJ1450" s="47"/>
      <c r="BK1450" s="47"/>
      <c r="BL1450" s="47"/>
      <c r="BM1450" s="47"/>
      <c r="BN1450" s="47"/>
      <c r="BO1450" s="47"/>
      <c r="BP1450" s="47"/>
      <c r="BQ1450" s="47"/>
      <c r="BR1450" s="47"/>
      <c r="BS1450" s="47"/>
      <c r="BT1450" s="47"/>
    </row>
    <row r="1451">
      <c r="A1451" s="24"/>
      <c r="B1451" s="48"/>
      <c r="C1451" s="49"/>
      <c r="D1451" s="24"/>
      <c r="E1451" s="52"/>
      <c r="F1451" s="53"/>
      <c r="G1451" s="48"/>
      <c r="H1451" s="49"/>
      <c r="I1451" s="49"/>
      <c r="J1451" s="48"/>
      <c r="K1451" s="48"/>
      <c r="L1451" s="48"/>
      <c r="M1451" s="48"/>
      <c r="N1451" s="48"/>
      <c r="O1451" s="48"/>
      <c r="P1451" s="48"/>
      <c r="Q1451" s="48"/>
      <c r="R1451" s="48"/>
      <c r="S1451" s="48"/>
      <c r="T1451" s="48"/>
      <c r="U1451" s="48"/>
      <c r="V1451" s="48"/>
      <c r="W1451" s="49"/>
      <c r="X1451" s="49"/>
      <c r="Y1451" s="49"/>
      <c r="Z1451" s="49"/>
      <c r="AA1451" s="49"/>
      <c r="AB1451" s="49"/>
      <c r="AC1451" s="49"/>
      <c r="AD1451" s="49"/>
      <c r="AE1451" s="49"/>
      <c r="AF1451" s="49"/>
      <c r="AG1451" s="49"/>
      <c r="AH1451" s="49"/>
      <c r="AI1451" s="48"/>
      <c r="AJ1451" s="48"/>
      <c r="AK1451" s="24"/>
      <c r="AL1451" s="50"/>
      <c r="AM1451" s="50"/>
      <c r="AN1451" s="50"/>
      <c r="AO1451" s="50"/>
      <c r="AP1451" s="50"/>
      <c r="AQ1451" s="50"/>
      <c r="AR1451" s="50"/>
      <c r="AS1451" s="50"/>
      <c r="AT1451" s="51"/>
      <c r="AU1451" s="51"/>
      <c r="AV1451" s="51"/>
      <c r="AW1451" s="51"/>
      <c r="AX1451" s="50"/>
      <c r="AY1451" s="50"/>
      <c r="AZ1451" s="50"/>
      <c r="BA1451" s="50"/>
      <c r="BB1451" s="51"/>
      <c r="BC1451" s="51"/>
      <c r="BD1451" s="51"/>
      <c r="BE1451" s="51"/>
      <c r="BF1451" s="47"/>
      <c r="BG1451" s="47"/>
      <c r="BH1451" s="47"/>
      <c r="BI1451" s="47"/>
      <c r="BJ1451" s="47"/>
      <c r="BK1451" s="47"/>
      <c r="BL1451" s="47"/>
      <c r="BM1451" s="47"/>
      <c r="BN1451" s="47"/>
      <c r="BO1451" s="47"/>
      <c r="BP1451" s="47"/>
      <c r="BQ1451" s="47"/>
      <c r="BR1451" s="47"/>
      <c r="BS1451" s="47"/>
      <c r="BT1451" s="47"/>
    </row>
    <row r="1452">
      <c r="A1452" s="24"/>
      <c r="B1452" s="48"/>
      <c r="C1452" s="49"/>
      <c r="D1452" s="24"/>
      <c r="E1452" s="52"/>
      <c r="F1452" s="53"/>
      <c r="G1452" s="48"/>
      <c r="H1452" s="49"/>
      <c r="I1452" s="49"/>
      <c r="J1452" s="48"/>
      <c r="K1452" s="48"/>
      <c r="L1452" s="48"/>
      <c r="M1452" s="48"/>
      <c r="N1452" s="48"/>
      <c r="O1452" s="48"/>
      <c r="P1452" s="48"/>
      <c r="Q1452" s="48"/>
      <c r="R1452" s="48"/>
      <c r="S1452" s="48"/>
      <c r="T1452" s="48"/>
      <c r="U1452" s="48"/>
      <c r="V1452" s="48"/>
      <c r="W1452" s="49"/>
      <c r="X1452" s="49"/>
      <c r="Y1452" s="49"/>
      <c r="Z1452" s="49"/>
      <c r="AA1452" s="49"/>
      <c r="AB1452" s="49"/>
      <c r="AC1452" s="49"/>
      <c r="AD1452" s="49"/>
      <c r="AE1452" s="49"/>
      <c r="AF1452" s="49"/>
      <c r="AG1452" s="49"/>
      <c r="AH1452" s="49"/>
      <c r="AI1452" s="48"/>
      <c r="AJ1452" s="48"/>
      <c r="AK1452" s="24"/>
      <c r="AL1452" s="50"/>
      <c r="AM1452" s="50"/>
      <c r="AN1452" s="50"/>
      <c r="AO1452" s="50"/>
      <c r="AP1452" s="50"/>
      <c r="AQ1452" s="50"/>
      <c r="AR1452" s="50"/>
      <c r="AS1452" s="50"/>
      <c r="AT1452" s="51"/>
      <c r="AU1452" s="51"/>
      <c r="AV1452" s="51"/>
      <c r="AW1452" s="51"/>
      <c r="AX1452" s="50"/>
      <c r="AY1452" s="50"/>
      <c r="AZ1452" s="50"/>
      <c r="BA1452" s="50"/>
      <c r="BB1452" s="51"/>
      <c r="BC1452" s="51"/>
      <c r="BD1452" s="51"/>
      <c r="BE1452" s="51"/>
      <c r="BF1452" s="47"/>
      <c r="BG1452" s="47"/>
      <c r="BH1452" s="47"/>
      <c r="BI1452" s="47"/>
      <c r="BJ1452" s="47"/>
      <c r="BK1452" s="47"/>
      <c r="BL1452" s="47"/>
      <c r="BM1452" s="47"/>
      <c r="BN1452" s="47"/>
      <c r="BO1452" s="47"/>
      <c r="BP1452" s="47"/>
      <c r="BQ1452" s="47"/>
      <c r="BR1452" s="47"/>
      <c r="BS1452" s="47"/>
      <c r="BT1452" s="47"/>
    </row>
    <row r="1453">
      <c r="A1453" s="24"/>
      <c r="B1453" s="48"/>
      <c r="C1453" s="49"/>
      <c r="D1453" s="24"/>
      <c r="E1453" s="52"/>
      <c r="F1453" s="53"/>
      <c r="G1453" s="48"/>
      <c r="H1453" s="49"/>
      <c r="I1453" s="49"/>
      <c r="J1453" s="48"/>
      <c r="K1453" s="48"/>
      <c r="L1453" s="48"/>
      <c r="M1453" s="48"/>
      <c r="N1453" s="48"/>
      <c r="O1453" s="48"/>
      <c r="P1453" s="48"/>
      <c r="Q1453" s="48"/>
      <c r="R1453" s="48"/>
      <c r="S1453" s="48"/>
      <c r="T1453" s="48"/>
      <c r="U1453" s="48"/>
      <c r="V1453" s="48"/>
      <c r="W1453" s="49"/>
      <c r="X1453" s="49"/>
      <c r="Y1453" s="49"/>
      <c r="Z1453" s="49"/>
      <c r="AA1453" s="49"/>
      <c r="AB1453" s="49"/>
      <c r="AC1453" s="49"/>
      <c r="AD1453" s="49"/>
      <c r="AE1453" s="49"/>
      <c r="AF1453" s="49"/>
      <c r="AG1453" s="49"/>
      <c r="AH1453" s="49"/>
      <c r="AI1453" s="48"/>
      <c r="AJ1453" s="48"/>
      <c r="AK1453" s="24"/>
      <c r="AL1453" s="50"/>
      <c r="AM1453" s="50"/>
      <c r="AN1453" s="50"/>
      <c r="AO1453" s="50"/>
      <c r="AP1453" s="50"/>
      <c r="AQ1453" s="50"/>
      <c r="AR1453" s="50"/>
      <c r="AS1453" s="50"/>
      <c r="AT1453" s="51"/>
      <c r="AU1453" s="51"/>
      <c r="AV1453" s="51"/>
      <c r="AW1453" s="51"/>
      <c r="AX1453" s="50"/>
      <c r="AY1453" s="50"/>
      <c r="AZ1453" s="50"/>
      <c r="BA1453" s="50"/>
      <c r="BB1453" s="51"/>
      <c r="BC1453" s="51"/>
      <c r="BD1453" s="51"/>
      <c r="BE1453" s="51"/>
      <c r="BF1453" s="47"/>
      <c r="BG1453" s="47"/>
      <c r="BH1453" s="47"/>
      <c r="BI1453" s="47"/>
      <c r="BJ1453" s="47"/>
      <c r="BK1453" s="47"/>
      <c r="BL1453" s="47"/>
      <c r="BM1453" s="47"/>
      <c r="BN1453" s="47"/>
      <c r="BO1453" s="47"/>
      <c r="BP1453" s="47"/>
      <c r="BQ1453" s="47"/>
      <c r="BR1453" s="47"/>
      <c r="BS1453" s="47"/>
      <c r="BT1453" s="47"/>
    </row>
    <row r="1454">
      <c r="A1454" s="24"/>
      <c r="B1454" s="48"/>
      <c r="C1454" s="49"/>
      <c r="D1454" s="24"/>
      <c r="E1454" s="52"/>
      <c r="F1454" s="53"/>
      <c r="G1454" s="48"/>
      <c r="H1454" s="49"/>
      <c r="I1454" s="49"/>
      <c r="J1454" s="48"/>
      <c r="K1454" s="48"/>
      <c r="L1454" s="48"/>
      <c r="M1454" s="48"/>
      <c r="N1454" s="48"/>
      <c r="O1454" s="48"/>
      <c r="P1454" s="48"/>
      <c r="Q1454" s="48"/>
      <c r="R1454" s="48"/>
      <c r="S1454" s="48"/>
      <c r="T1454" s="48"/>
      <c r="U1454" s="48"/>
      <c r="V1454" s="48"/>
      <c r="W1454" s="49"/>
      <c r="X1454" s="49"/>
      <c r="Y1454" s="49"/>
      <c r="Z1454" s="49"/>
      <c r="AA1454" s="49"/>
      <c r="AB1454" s="49"/>
      <c r="AC1454" s="49"/>
      <c r="AD1454" s="49"/>
      <c r="AE1454" s="49"/>
      <c r="AF1454" s="49"/>
      <c r="AG1454" s="49"/>
      <c r="AH1454" s="49"/>
      <c r="AI1454" s="48"/>
      <c r="AJ1454" s="48"/>
      <c r="AK1454" s="24"/>
      <c r="AL1454" s="50"/>
      <c r="AM1454" s="50"/>
      <c r="AN1454" s="50"/>
      <c r="AO1454" s="50"/>
      <c r="AP1454" s="50"/>
      <c r="AQ1454" s="50"/>
      <c r="AR1454" s="50"/>
      <c r="AS1454" s="50"/>
      <c r="AT1454" s="51"/>
      <c r="AU1454" s="51"/>
      <c r="AV1454" s="51"/>
      <c r="AW1454" s="51"/>
      <c r="AX1454" s="50"/>
      <c r="AY1454" s="50"/>
      <c r="AZ1454" s="50"/>
      <c r="BA1454" s="50"/>
      <c r="BB1454" s="51"/>
      <c r="BC1454" s="51"/>
      <c r="BD1454" s="51"/>
      <c r="BE1454" s="51"/>
      <c r="BF1454" s="47"/>
      <c r="BG1454" s="47"/>
      <c r="BH1454" s="47"/>
      <c r="BI1454" s="47"/>
      <c r="BJ1454" s="47"/>
      <c r="BK1454" s="47"/>
      <c r="BL1454" s="47"/>
      <c r="BM1454" s="47"/>
      <c r="BN1454" s="47"/>
      <c r="BO1454" s="47"/>
      <c r="BP1454" s="47"/>
      <c r="BQ1454" s="47"/>
      <c r="BR1454" s="47"/>
      <c r="BS1454" s="47"/>
      <c r="BT1454" s="47"/>
    </row>
    <row r="1455">
      <c r="A1455" s="24"/>
      <c r="B1455" s="48"/>
      <c r="C1455" s="49"/>
      <c r="D1455" s="24"/>
      <c r="E1455" s="52"/>
      <c r="F1455" s="53"/>
      <c r="G1455" s="48"/>
      <c r="H1455" s="49"/>
      <c r="I1455" s="49"/>
      <c r="J1455" s="48"/>
      <c r="K1455" s="48"/>
      <c r="L1455" s="48"/>
      <c r="M1455" s="48"/>
      <c r="N1455" s="48"/>
      <c r="O1455" s="48"/>
      <c r="P1455" s="48"/>
      <c r="Q1455" s="48"/>
      <c r="R1455" s="48"/>
      <c r="S1455" s="48"/>
      <c r="T1455" s="48"/>
      <c r="U1455" s="48"/>
      <c r="V1455" s="48"/>
      <c r="W1455" s="49"/>
      <c r="X1455" s="49"/>
      <c r="Y1455" s="49"/>
      <c r="Z1455" s="49"/>
      <c r="AA1455" s="49"/>
      <c r="AB1455" s="49"/>
      <c r="AC1455" s="49"/>
      <c r="AD1455" s="49"/>
      <c r="AE1455" s="49"/>
      <c r="AF1455" s="49"/>
      <c r="AG1455" s="49"/>
      <c r="AH1455" s="49"/>
      <c r="AI1455" s="48"/>
      <c r="AJ1455" s="48"/>
      <c r="AK1455" s="24"/>
      <c r="AL1455" s="50"/>
      <c r="AM1455" s="50"/>
      <c r="AN1455" s="50"/>
      <c r="AO1455" s="50"/>
      <c r="AP1455" s="50"/>
      <c r="AQ1455" s="50"/>
      <c r="AR1455" s="50"/>
      <c r="AS1455" s="50"/>
      <c r="AT1455" s="51"/>
      <c r="AU1455" s="51"/>
      <c r="AV1455" s="51"/>
      <c r="AW1455" s="51"/>
      <c r="AX1455" s="50"/>
      <c r="AY1455" s="50"/>
      <c r="AZ1455" s="50"/>
      <c r="BA1455" s="50"/>
      <c r="BB1455" s="51"/>
      <c r="BC1455" s="51"/>
      <c r="BD1455" s="51"/>
      <c r="BE1455" s="51"/>
      <c r="BF1455" s="47"/>
      <c r="BG1455" s="47"/>
      <c r="BH1455" s="47"/>
      <c r="BI1455" s="47"/>
      <c r="BJ1455" s="47"/>
      <c r="BK1455" s="47"/>
      <c r="BL1455" s="47"/>
      <c r="BM1455" s="47"/>
      <c r="BN1455" s="47"/>
      <c r="BO1455" s="47"/>
      <c r="BP1455" s="47"/>
      <c r="BQ1455" s="47"/>
      <c r="BR1455" s="47"/>
      <c r="BS1455" s="47"/>
      <c r="BT1455" s="47"/>
    </row>
    <row r="1456">
      <c r="A1456" s="24"/>
      <c r="B1456" s="48"/>
      <c r="C1456" s="49"/>
      <c r="D1456" s="24"/>
      <c r="E1456" s="52"/>
      <c r="F1456" s="53"/>
      <c r="G1456" s="48"/>
      <c r="H1456" s="49"/>
      <c r="I1456" s="49"/>
      <c r="J1456" s="48"/>
      <c r="K1456" s="48"/>
      <c r="L1456" s="48"/>
      <c r="M1456" s="48"/>
      <c r="N1456" s="48"/>
      <c r="O1456" s="48"/>
      <c r="P1456" s="48"/>
      <c r="Q1456" s="48"/>
      <c r="R1456" s="48"/>
      <c r="S1456" s="48"/>
      <c r="T1456" s="48"/>
      <c r="U1456" s="48"/>
      <c r="V1456" s="48"/>
      <c r="W1456" s="49"/>
      <c r="X1456" s="49"/>
      <c r="Y1456" s="49"/>
      <c r="Z1456" s="49"/>
      <c r="AA1456" s="49"/>
      <c r="AB1456" s="49"/>
      <c r="AC1456" s="49"/>
      <c r="AD1456" s="49"/>
      <c r="AE1456" s="49"/>
      <c r="AF1456" s="49"/>
      <c r="AG1456" s="49"/>
      <c r="AH1456" s="49"/>
      <c r="AI1456" s="48"/>
      <c r="AJ1456" s="48"/>
      <c r="AK1456" s="24"/>
      <c r="AL1456" s="50"/>
      <c r="AM1456" s="50"/>
      <c r="AN1456" s="50"/>
      <c r="AO1456" s="50"/>
      <c r="AP1456" s="50"/>
      <c r="AQ1456" s="50"/>
      <c r="AR1456" s="50"/>
      <c r="AS1456" s="50"/>
      <c r="AT1456" s="51"/>
      <c r="AU1456" s="51"/>
      <c r="AV1456" s="51"/>
      <c r="AW1456" s="51"/>
      <c r="AX1456" s="50"/>
      <c r="AY1456" s="50"/>
      <c r="AZ1456" s="50"/>
      <c r="BA1456" s="50"/>
      <c r="BB1456" s="51"/>
      <c r="BC1456" s="51"/>
      <c r="BD1456" s="51"/>
      <c r="BE1456" s="51"/>
      <c r="BF1456" s="47"/>
      <c r="BG1456" s="47"/>
      <c r="BH1456" s="47"/>
      <c r="BI1456" s="47"/>
      <c r="BJ1456" s="47"/>
      <c r="BK1456" s="47"/>
      <c r="BL1456" s="47"/>
      <c r="BM1456" s="47"/>
      <c r="BN1456" s="47"/>
      <c r="BO1456" s="47"/>
      <c r="BP1456" s="47"/>
      <c r="BQ1456" s="47"/>
      <c r="BR1456" s="47"/>
      <c r="BS1456" s="47"/>
      <c r="BT1456" s="47"/>
    </row>
    <row r="1457">
      <c r="A1457" s="24"/>
      <c r="B1457" s="48"/>
      <c r="C1457" s="49"/>
      <c r="D1457" s="24"/>
      <c r="E1457" s="52"/>
      <c r="F1457" s="53"/>
      <c r="G1457" s="48"/>
      <c r="H1457" s="49"/>
      <c r="I1457" s="49"/>
      <c r="J1457" s="48"/>
      <c r="K1457" s="48"/>
      <c r="L1457" s="48"/>
      <c r="M1457" s="48"/>
      <c r="N1457" s="48"/>
      <c r="O1457" s="48"/>
      <c r="P1457" s="48"/>
      <c r="Q1457" s="48"/>
      <c r="R1457" s="48"/>
      <c r="S1457" s="48"/>
      <c r="T1457" s="48"/>
      <c r="U1457" s="48"/>
      <c r="V1457" s="48"/>
      <c r="W1457" s="49"/>
      <c r="X1457" s="49"/>
      <c r="Y1457" s="49"/>
      <c r="Z1457" s="49"/>
      <c r="AA1457" s="49"/>
      <c r="AB1457" s="49"/>
      <c r="AC1457" s="49"/>
      <c r="AD1457" s="49"/>
      <c r="AE1457" s="49"/>
      <c r="AF1457" s="49"/>
      <c r="AG1457" s="49"/>
      <c r="AH1457" s="49"/>
      <c r="AI1457" s="48"/>
      <c r="AJ1457" s="48"/>
      <c r="AK1457" s="24"/>
      <c r="AL1457" s="50"/>
      <c r="AM1457" s="50"/>
      <c r="AN1457" s="50"/>
      <c r="AO1457" s="50"/>
      <c r="AP1457" s="50"/>
      <c r="AQ1457" s="50"/>
      <c r="AR1457" s="50"/>
      <c r="AS1457" s="50"/>
      <c r="AT1457" s="51"/>
      <c r="AU1457" s="51"/>
      <c r="AV1457" s="51"/>
      <c r="AW1457" s="51"/>
      <c r="AX1457" s="50"/>
      <c r="AY1457" s="50"/>
      <c r="AZ1457" s="50"/>
      <c r="BA1457" s="50"/>
      <c r="BB1457" s="51"/>
      <c r="BC1457" s="51"/>
      <c r="BD1457" s="51"/>
      <c r="BE1457" s="51"/>
      <c r="BF1457" s="47"/>
      <c r="BG1457" s="47"/>
      <c r="BH1457" s="47"/>
      <c r="BI1457" s="47"/>
      <c r="BJ1457" s="47"/>
      <c r="BK1457" s="47"/>
      <c r="BL1457" s="47"/>
      <c r="BM1457" s="47"/>
      <c r="BN1457" s="47"/>
      <c r="BO1457" s="47"/>
      <c r="BP1457" s="47"/>
      <c r="BQ1457" s="47"/>
      <c r="BR1457" s="47"/>
      <c r="BS1457" s="47"/>
      <c r="BT1457" s="47"/>
    </row>
    <row r="1458">
      <c r="A1458" s="24"/>
      <c r="B1458" s="48"/>
      <c r="C1458" s="49"/>
      <c r="D1458" s="24"/>
      <c r="E1458" s="52"/>
      <c r="F1458" s="53"/>
      <c r="G1458" s="48"/>
      <c r="H1458" s="49"/>
      <c r="I1458" s="49"/>
      <c r="J1458" s="48"/>
      <c r="K1458" s="48"/>
      <c r="L1458" s="48"/>
      <c r="M1458" s="48"/>
      <c r="N1458" s="48"/>
      <c r="O1458" s="48"/>
      <c r="P1458" s="48"/>
      <c r="Q1458" s="48"/>
      <c r="R1458" s="48"/>
      <c r="S1458" s="48"/>
      <c r="T1458" s="48"/>
      <c r="U1458" s="48"/>
      <c r="V1458" s="48"/>
      <c r="W1458" s="49"/>
      <c r="X1458" s="49"/>
      <c r="Y1458" s="49"/>
      <c r="Z1458" s="49"/>
      <c r="AA1458" s="49"/>
      <c r="AB1458" s="49"/>
      <c r="AC1458" s="49"/>
      <c r="AD1458" s="49"/>
      <c r="AE1458" s="49"/>
      <c r="AF1458" s="49"/>
      <c r="AG1458" s="49"/>
      <c r="AH1458" s="49"/>
      <c r="AI1458" s="48"/>
      <c r="AJ1458" s="48"/>
      <c r="AK1458" s="24"/>
      <c r="AL1458" s="50"/>
      <c r="AM1458" s="50"/>
      <c r="AN1458" s="50"/>
      <c r="AO1458" s="50"/>
      <c r="AP1458" s="50"/>
      <c r="AQ1458" s="50"/>
      <c r="AR1458" s="50"/>
      <c r="AS1458" s="50"/>
      <c r="AT1458" s="51"/>
      <c r="AU1458" s="51"/>
      <c r="AV1458" s="51"/>
      <c r="AW1458" s="51"/>
      <c r="AX1458" s="50"/>
      <c r="AY1458" s="50"/>
      <c r="AZ1458" s="50"/>
      <c r="BA1458" s="50"/>
      <c r="BB1458" s="51"/>
      <c r="BC1458" s="51"/>
      <c r="BD1458" s="51"/>
      <c r="BE1458" s="51"/>
      <c r="BF1458" s="47"/>
      <c r="BG1458" s="47"/>
      <c r="BH1458" s="47"/>
      <c r="BI1458" s="47"/>
      <c r="BJ1458" s="47"/>
      <c r="BK1458" s="47"/>
      <c r="BL1458" s="47"/>
      <c r="BM1458" s="47"/>
      <c r="BN1458" s="47"/>
      <c r="BO1458" s="47"/>
      <c r="BP1458" s="47"/>
      <c r="BQ1458" s="47"/>
      <c r="BR1458" s="47"/>
      <c r="BS1458" s="47"/>
      <c r="BT1458" s="47"/>
    </row>
    <row r="1459">
      <c r="A1459" s="24"/>
      <c r="B1459" s="48"/>
      <c r="C1459" s="49"/>
      <c r="D1459" s="24"/>
      <c r="E1459" s="52"/>
      <c r="F1459" s="53"/>
      <c r="G1459" s="48"/>
      <c r="H1459" s="49"/>
      <c r="I1459" s="49"/>
      <c r="J1459" s="48"/>
      <c r="K1459" s="48"/>
      <c r="L1459" s="48"/>
      <c r="M1459" s="48"/>
      <c r="N1459" s="48"/>
      <c r="O1459" s="48"/>
      <c r="P1459" s="48"/>
      <c r="Q1459" s="48"/>
      <c r="R1459" s="48"/>
      <c r="S1459" s="48"/>
      <c r="T1459" s="48"/>
      <c r="U1459" s="48"/>
      <c r="V1459" s="48"/>
      <c r="W1459" s="49"/>
      <c r="X1459" s="49"/>
      <c r="Y1459" s="49"/>
      <c r="Z1459" s="49"/>
      <c r="AA1459" s="49"/>
      <c r="AB1459" s="49"/>
      <c r="AC1459" s="49"/>
      <c r="AD1459" s="49"/>
      <c r="AE1459" s="49"/>
      <c r="AF1459" s="49"/>
      <c r="AG1459" s="49"/>
      <c r="AH1459" s="49"/>
      <c r="AI1459" s="48"/>
      <c r="AJ1459" s="48"/>
      <c r="AK1459" s="24"/>
      <c r="AL1459" s="50"/>
      <c r="AM1459" s="50"/>
      <c r="AN1459" s="50"/>
      <c r="AO1459" s="50"/>
      <c r="AP1459" s="50"/>
      <c r="AQ1459" s="50"/>
      <c r="AR1459" s="50"/>
      <c r="AS1459" s="50"/>
      <c r="AT1459" s="51"/>
      <c r="AU1459" s="51"/>
      <c r="AV1459" s="51"/>
      <c r="AW1459" s="51"/>
      <c r="AX1459" s="50"/>
      <c r="AY1459" s="50"/>
      <c r="AZ1459" s="50"/>
      <c r="BA1459" s="50"/>
      <c r="BB1459" s="51"/>
      <c r="BC1459" s="51"/>
      <c r="BD1459" s="51"/>
      <c r="BE1459" s="51"/>
      <c r="BF1459" s="47"/>
      <c r="BG1459" s="47"/>
      <c r="BH1459" s="47"/>
      <c r="BI1459" s="47"/>
      <c r="BJ1459" s="47"/>
      <c r="BK1459" s="47"/>
      <c r="BL1459" s="47"/>
      <c r="BM1459" s="47"/>
      <c r="BN1459" s="47"/>
      <c r="BO1459" s="47"/>
      <c r="BP1459" s="47"/>
      <c r="BQ1459" s="47"/>
      <c r="BR1459" s="47"/>
      <c r="BS1459" s="47"/>
      <c r="BT1459" s="47"/>
    </row>
    <row r="1460">
      <c r="A1460" s="24"/>
      <c r="B1460" s="48"/>
      <c r="C1460" s="49"/>
      <c r="D1460" s="24"/>
      <c r="E1460" s="52"/>
      <c r="F1460" s="53"/>
      <c r="G1460" s="48"/>
      <c r="H1460" s="49"/>
      <c r="I1460" s="49"/>
      <c r="J1460" s="48"/>
      <c r="K1460" s="48"/>
      <c r="L1460" s="48"/>
      <c r="M1460" s="48"/>
      <c r="N1460" s="48"/>
      <c r="O1460" s="48"/>
      <c r="P1460" s="48"/>
      <c r="Q1460" s="48"/>
      <c r="R1460" s="48"/>
      <c r="S1460" s="48"/>
      <c r="T1460" s="48"/>
      <c r="U1460" s="48"/>
      <c r="V1460" s="48"/>
      <c r="W1460" s="49"/>
      <c r="X1460" s="49"/>
      <c r="Y1460" s="49"/>
      <c r="Z1460" s="49"/>
      <c r="AA1460" s="49"/>
      <c r="AB1460" s="49"/>
      <c r="AC1460" s="49"/>
      <c r="AD1460" s="49"/>
      <c r="AE1460" s="49"/>
      <c r="AF1460" s="49"/>
      <c r="AG1460" s="49"/>
      <c r="AH1460" s="49"/>
      <c r="AI1460" s="48"/>
      <c r="AJ1460" s="48"/>
      <c r="AK1460" s="24"/>
      <c r="AL1460" s="50"/>
      <c r="AM1460" s="50"/>
      <c r="AN1460" s="50"/>
      <c r="AO1460" s="50"/>
      <c r="AP1460" s="50"/>
      <c r="AQ1460" s="50"/>
      <c r="AR1460" s="50"/>
      <c r="AS1460" s="50"/>
      <c r="AT1460" s="51"/>
      <c r="AU1460" s="51"/>
      <c r="AV1460" s="51"/>
      <c r="AW1460" s="51"/>
      <c r="AX1460" s="50"/>
      <c r="AY1460" s="50"/>
      <c r="AZ1460" s="50"/>
      <c r="BA1460" s="50"/>
      <c r="BB1460" s="51"/>
      <c r="BC1460" s="51"/>
      <c r="BD1460" s="51"/>
      <c r="BE1460" s="51"/>
      <c r="BF1460" s="47"/>
      <c r="BG1460" s="47"/>
      <c r="BH1460" s="47"/>
      <c r="BI1460" s="47"/>
      <c r="BJ1460" s="47"/>
      <c r="BK1460" s="47"/>
      <c r="BL1460" s="47"/>
      <c r="BM1460" s="47"/>
      <c r="BN1460" s="47"/>
      <c r="BO1460" s="47"/>
      <c r="BP1460" s="47"/>
      <c r="BQ1460" s="47"/>
      <c r="BR1460" s="47"/>
      <c r="BS1460" s="47"/>
      <c r="BT1460" s="47"/>
    </row>
    <row r="1461">
      <c r="A1461" s="24"/>
      <c r="B1461" s="48"/>
      <c r="C1461" s="49"/>
      <c r="D1461" s="24"/>
      <c r="E1461" s="52"/>
      <c r="F1461" s="53"/>
      <c r="G1461" s="48"/>
      <c r="H1461" s="49"/>
      <c r="I1461" s="49"/>
      <c r="J1461" s="48"/>
      <c r="K1461" s="48"/>
      <c r="L1461" s="48"/>
      <c r="M1461" s="48"/>
      <c r="N1461" s="48"/>
      <c r="O1461" s="48"/>
      <c r="P1461" s="48"/>
      <c r="Q1461" s="48"/>
      <c r="R1461" s="48"/>
      <c r="S1461" s="48"/>
      <c r="T1461" s="48"/>
      <c r="U1461" s="48"/>
      <c r="V1461" s="48"/>
      <c r="W1461" s="49"/>
      <c r="X1461" s="49"/>
      <c r="Y1461" s="49"/>
      <c r="Z1461" s="49"/>
      <c r="AA1461" s="49"/>
      <c r="AB1461" s="49"/>
      <c r="AC1461" s="49"/>
      <c r="AD1461" s="49"/>
      <c r="AE1461" s="49"/>
      <c r="AF1461" s="49"/>
      <c r="AG1461" s="49"/>
      <c r="AH1461" s="49"/>
      <c r="AI1461" s="48"/>
      <c r="AJ1461" s="48"/>
      <c r="AK1461" s="24"/>
      <c r="AL1461" s="50"/>
      <c r="AM1461" s="50"/>
      <c r="AN1461" s="50"/>
      <c r="AO1461" s="50"/>
      <c r="AP1461" s="50"/>
      <c r="AQ1461" s="50"/>
      <c r="AR1461" s="50"/>
      <c r="AS1461" s="50"/>
      <c r="AT1461" s="51"/>
      <c r="AU1461" s="51"/>
      <c r="AV1461" s="51"/>
      <c r="AW1461" s="51"/>
      <c r="AX1461" s="50"/>
      <c r="AY1461" s="50"/>
      <c r="AZ1461" s="50"/>
      <c r="BA1461" s="50"/>
      <c r="BB1461" s="51"/>
      <c r="BC1461" s="51"/>
      <c r="BD1461" s="51"/>
      <c r="BE1461" s="51"/>
      <c r="BF1461" s="47"/>
      <c r="BG1461" s="47"/>
      <c r="BH1461" s="47"/>
      <c r="BI1461" s="47"/>
      <c r="BJ1461" s="47"/>
      <c r="BK1461" s="47"/>
      <c r="BL1461" s="47"/>
      <c r="BM1461" s="47"/>
      <c r="BN1461" s="47"/>
      <c r="BO1461" s="47"/>
      <c r="BP1461" s="47"/>
      <c r="BQ1461" s="47"/>
      <c r="BR1461" s="47"/>
      <c r="BS1461" s="47"/>
      <c r="BT1461" s="47"/>
    </row>
    <row r="1462">
      <c r="A1462" s="24"/>
      <c r="B1462" s="48"/>
      <c r="C1462" s="49"/>
      <c r="D1462" s="24"/>
      <c r="E1462" s="52"/>
      <c r="F1462" s="53"/>
      <c r="G1462" s="48"/>
      <c r="H1462" s="49"/>
      <c r="I1462" s="49"/>
      <c r="J1462" s="48"/>
      <c r="K1462" s="48"/>
      <c r="L1462" s="48"/>
      <c r="M1462" s="48"/>
      <c r="N1462" s="48"/>
      <c r="O1462" s="48"/>
      <c r="P1462" s="48"/>
      <c r="Q1462" s="48"/>
      <c r="R1462" s="48"/>
      <c r="S1462" s="48"/>
      <c r="T1462" s="48"/>
      <c r="U1462" s="48"/>
      <c r="V1462" s="48"/>
      <c r="W1462" s="49"/>
      <c r="X1462" s="49"/>
      <c r="Y1462" s="49"/>
      <c r="Z1462" s="49"/>
      <c r="AA1462" s="49"/>
      <c r="AB1462" s="49"/>
      <c r="AC1462" s="49"/>
      <c r="AD1462" s="49"/>
      <c r="AE1462" s="49"/>
      <c r="AF1462" s="49"/>
      <c r="AG1462" s="49"/>
      <c r="AH1462" s="49"/>
      <c r="AI1462" s="48"/>
      <c r="AJ1462" s="48"/>
      <c r="AK1462" s="24"/>
      <c r="AL1462" s="50"/>
      <c r="AM1462" s="50"/>
      <c r="AN1462" s="50"/>
      <c r="AO1462" s="50"/>
      <c r="AP1462" s="50"/>
      <c r="AQ1462" s="50"/>
      <c r="AR1462" s="50"/>
      <c r="AS1462" s="50"/>
      <c r="AT1462" s="51"/>
      <c r="AU1462" s="51"/>
      <c r="AV1462" s="51"/>
      <c r="AW1462" s="51"/>
      <c r="AX1462" s="50"/>
      <c r="AY1462" s="50"/>
      <c r="AZ1462" s="50"/>
      <c r="BA1462" s="50"/>
      <c r="BB1462" s="51"/>
      <c r="BC1462" s="51"/>
      <c r="BD1462" s="51"/>
      <c r="BE1462" s="51"/>
      <c r="BF1462" s="47"/>
      <c r="BG1462" s="47"/>
      <c r="BH1462" s="47"/>
      <c r="BI1462" s="47"/>
      <c r="BJ1462" s="47"/>
      <c r="BK1462" s="47"/>
      <c r="BL1462" s="47"/>
      <c r="BM1462" s="47"/>
      <c r="BN1462" s="47"/>
      <c r="BO1462" s="47"/>
      <c r="BP1462" s="47"/>
      <c r="BQ1462" s="47"/>
      <c r="BR1462" s="47"/>
      <c r="BS1462" s="47"/>
      <c r="BT1462" s="47"/>
    </row>
    <row r="1463">
      <c r="A1463" s="24"/>
      <c r="B1463" s="48"/>
      <c r="C1463" s="49"/>
      <c r="D1463" s="24"/>
      <c r="E1463" s="52"/>
      <c r="F1463" s="53"/>
      <c r="G1463" s="48"/>
      <c r="H1463" s="49"/>
      <c r="I1463" s="49"/>
      <c r="J1463" s="48"/>
      <c r="K1463" s="48"/>
      <c r="L1463" s="48"/>
      <c r="M1463" s="48"/>
      <c r="N1463" s="48"/>
      <c r="O1463" s="48"/>
      <c r="P1463" s="48"/>
      <c r="Q1463" s="48"/>
      <c r="R1463" s="48"/>
      <c r="S1463" s="48"/>
      <c r="T1463" s="48"/>
      <c r="U1463" s="48"/>
      <c r="V1463" s="48"/>
      <c r="W1463" s="49"/>
      <c r="X1463" s="49"/>
      <c r="Y1463" s="49"/>
      <c r="Z1463" s="49"/>
      <c r="AA1463" s="49"/>
      <c r="AB1463" s="49"/>
      <c r="AC1463" s="49"/>
      <c r="AD1463" s="49"/>
      <c r="AE1463" s="49"/>
      <c r="AF1463" s="49"/>
      <c r="AG1463" s="49"/>
      <c r="AH1463" s="49"/>
      <c r="AI1463" s="48"/>
      <c r="AJ1463" s="48"/>
      <c r="AK1463" s="24"/>
      <c r="AL1463" s="50"/>
      <c r="AM1463" s="50"/>
      <c r="AN1463" s="50"/>
      <c r="AO1463" s="50"/>
      <c r="AP1463" s="50"/>
      <c r="AQ1463" s="50"/>
      <c r="AR1463" s="50"/>
      <c r="AS1463" s="50"/>
      <c r="AT1463" s="51"/>
      <c r="AU1463" s="51"/>
      <c r="AV1463" s="51"/>
      <c r="AW1463" s="51"/>
      <c r="AX1463" s="50"/>
      <c r="AY1463" s="50"/>
      <c r="AZ1463" s="50"/>
      <c r="BA1463" s="50"/>
      <c r="BB1463" s="51"/>
      <c r="BC1463" s="51"/>
      <c r="BD1463" s="51"/>
      <c r="BE1463" s="51"/>
      <c r="BF1463" s="47"/>
      <c r="BG1463" s="47"/>
      <c r="BH1463" s="47"/>
      <c r="BI1463" s="47"/>
      <c r="BJ1463" s="47"/>
      <c r="BK1463" s="47"/>
      <c r="BL1463" s="47"/>
      <c r="BM1463" s="47"/>
      <c r="BN1463" s="47"/>
      <c r="BO1463" s="47"/>
      <c r="BP1463" s="47"/>
      <c r="BQ1463" s="47"/>
      <c r="BR1463" s="47"/>
      <c r="BS1463" s="47"/>
      <c r="BT1463" s="47"/>
    </row>
    <row r="1464">
      <c r="A1464" s="24"/>
      <c r="B1464" s="48"/>
      <c r="C1464" s="49"/>
      <c r="D1464" s="24"/>
      <c r="E1464" s="52"/>
      <c r="F1464" s="53"/>
      <c r="G1464" s="48"/>
      <c r="H1464" s="49"/>
      <c r="I1464" s="49"/>
      <c r="J1464" s="48"/>
      <c r="K1464" s="48"/>
      <c r="L1464" s="48"/>
      <c r="M1464" s="48"/>
      <c r="N1464" s="48"/>
      <c r="O1464" s="48"/>
      <c r="P1464" s="48"/>
      <c r="Q1464" s="48"/>
      <c r="R1464" s="48"/>
      <c r="S1464" s="48"/>
      <c r="T1464" s="48"/>
      <c r="U1464" s="48"/>
      <c r="V1464" s="48"/>
      <c r="W1464" s="49"/>
      <c r="X1464" s="49"/>
      <c r="Y1464" s="49"/>
      <c r="Z1464" s="49"/>
      <c r="AA1464" s="49"/>
      <c r="AB1464" s="49"/>
      <c r="AC1464" s="49"/>
      <c r="AD1464" s="49"/>
      <c r="AE1464" s="49"/>
      <c r="AF1464" s="49"/>
      <c r="AG1464" s="49"/>
      <c r="AH1464" s="49"/>
      <c r="AI1464" s="48"/>
      <c r="AJ1464" s="48"/>
      <c r="AK1464" s="24"/>
      <c r="AL1464" s="50"/>
      <c r="AM1464" s="50"/>
      <c r="AN1464" s="50"/>
      <c r="AO1464" s="50"/>
      <c r="AP1464" s="50"/>
      <c r="AQ1464" s="50"/>
      <c r="AR1464" s="50"/>
      <c r="AS1464" s="50"/>
      <c r="AT1464" s="51"/>
      <c r="AU1464" s="51"/>
      <c r="AV1464" s="51"/>
      <c r="AW1464" s="51"/>
      <c r="AX1464" s="50"/>
      <c r="AY1464" s="50"/>
      <c r="AZ1464" s="50"/>
      <c r="BA1464" s="50"/>
      <c r="BB1464" s="51"/>
      <c r="BC1464" s="51"/>
      <c r="BD1464" s="51"/>
      <c r="BE1464" s="51"/>
      <c r="BF1464" s="47"/>
      <c r="BG1464" s="47"/>
      <c r="BH1464" s="47"/>
      <c r="BI1464" s="47"/>
      <c r="BJ1464" s="47"/>
      <c r="BK1464" s="47"/>
      <c r="BL1464" s="47"/>
      <c r="BM1464" s="47"/>
      <c r="BN1464" s="47"/>
      <c r="BO1464" s="47"/>
      <c r="BP1464" s="47"/>
      <c r="BQ1464" s="47"/>
      <c r="BR1464" s="47"/>
      <c r="BS1464" s="47"/>
      <c r="BT1464" s="47"/>
    </row>
    <row r="1465">
      <c r="A1465" s="24"/>
      <c r="B1465" s="48"/>
      <c r="C1465" s="49"/>
      <c r="D1465" s="24"/>
      <c r="E1465" s="52"/>
      <c r="F1465" s="53"/>
      <c r="G1465" s="48"/>
      <c r="H1465" s="49"/>
      <c r="I1465" s="49"/>
      <c r="J1465" s="48"/>
      <c r="K1465" s="48"/>
      <c r="L1465" s="48"/>
      <c r="M1465" s="48"/>
      <c r="N1465" s="48"/>
      <c r="O1465" s="48"/>
      <c r="P1465" s="48"/>
      <c r="Q1465" s="48"/>
      <c r="R1465" s="48"/>
      <c r="S1465" s="48"/>
      <c r="T1465" s="48"/>
      <c r="U1465" s="48"/>
      <c r="V1465" s="48"/>
      <c r="W1465" s="49"/>
      <c r="X1465" s="49"/>
      <c r="Y1465" s="49"/>
      <c r="Z1465" s="49"/>
      <c r="AA1465" s="49"/>
      <c r="AB1465" s="49"/>
      <c r="AC1465" s="49"/>
      <c r="AD1465" s="49"/>
      <c r="AE1465" s="49"/>
      <c r="AF1465" s="49"/>
      <c r="AG1465" s="49"/>
      <c r="AH1465" s="49"/>
      <c r="AI1465" s="48"/>
      <c r="AJ1465" s="48"/>
      <c r="AK1465" s="24"/>
      <c r="AL1465" s="50"/>
      <c r="AM1465" s="50"/>
      <c r="AN1465" s="50"/>
      <c r="AO1465" s="50"/>
      <c r="AP1465" s="50"/>
      <c r="AQ1465" s="50"/>
      <c r="AR1465" s="50"/>
      <c r="AS1465" s="50"/>
      <c r="AT1465" s="51"/>
      <c r="AU1465" s="51"/>
      <c r="AV1465" s="51"/>
      <c r="AW1465" s="51"/>
      <c r="AX1465" s="50"/>
      <c r="AY1465" s="50"/>
      <c r="AZ1465" s="50"/>
      <c r="BA1465" s="50"/>
      <c r="BB1465" s="51"/>
      <c r="BC1465" s="51"/>
      <c r="BD1465" s="51"/>
      <c r="BE1465" s="51"/>
      <c r="BF1465" s="47"/>
      <c r="BG1465" s="47"/>
      <c r="BH1465" s="47"/>
      <c r="BI1465" s="47"/>
      <c r="BJ1465" s="47"/>
      <c r="BK1465" s="47"/>
      <c r="BL1465" s="47"/>
      <c r="BM1465" s="47"/>
      <c r="BN1465" s="47"/>
      <c r="BO1465" s="47"/>
      <c r="BP1465" s="47"/>
      <c r="BQ1465" s="47"/>
      <c r="BR1465" s="47"/>
      <c r="BS1465" s="47"/>
      <c r="BT1465" s="47"/>
    </row>
    <row r="1466">
      <c r="A1466" s="24"/>
      <c r="B1466" s="48"/>
      <c r="C1466" s="49"/>
      <c r="D1466" s="24"/>
      <c r="E1466" s="52"/>
      <c r="F1466" s="53"/>
      <c r="G1466" s="48"/>
      <c r="H1466" s="49"/>
      <c r="I1466" s="49"/>
      <c r="J1466" s="48"/>
      <c r="K1466" s="48"/>
      <c r="L1466" s="48"/>
      <c r="M1466" s="48"/>
      <c r="N1466" s="48"/>
      <c r="O1466" s="48"/>
      <c r="P1466" s="48"/>
      <c r="Q1466" s="48"/>
      <c r="R1466" s="48"/>
      <c r="S1466" s="48"/>
      <c r="T1466" s="48"/>
      <c r="U1466" s="48"/>
      <c r="V1466" s="48"/>
      <c r="W1466" s="49"/>
      <c r="X1466" s="49"/>
      <c r="Y1466" s="49"/>
      <c r="Z1466" s="49"/>
      <c r="AA1466" s="49"/>
      <c r="AB1466" s="49"/>
      <c r="AC1466" s="49"/>
      <c r="AD1466" s="49"/>
      <c r="AE1466" s="49"/>
      <c r="AF1466" s="49"/>
      <c r="AG1466" s="49"/>
      <c r="AH1466" s="49"/>
      <c r="AI1466" s="48"/>
      <c r="AJ1466" s="48"/>
      <c r="AK1466" s="24"/>
      <c r="AL1466" s="50"/>
      <c r="AM1466" s="50"/>
      <c r="AN1466" s="50"/>
      <c r="AO1466" s="50"/>
      <c r="AP1466" s="50"/>
      <c r="AQ1466" s="50"/>
      <c r="AR1466" s="50"/>
      <c r="AS1466" s="50"/>
      <c r="AT1466" s="51"/>
      <c r="AU1466" s="51"/>
      <c r="AV1466" s="51"/>
      <c r="AW1466" s="51"/>
      <c r="AX1466" s="50"/>
      <c r="AY1466" s="50"/>
      <c r="AZ1466" s="50"/>
      <c r="BA1466" s="50"/>
      <c r="BB1466" s="51"/>
      <c r="BC1466" s="51"/>
      <c r="BD1466" s="51"/>
      <c r="BE1466" s="51"/>
      <c r="BF1466" s="47"/>
      <c r="BG1466" s="47"/>
      <c r="BH1466" s="47"/>
      <c r="BI1466" s="47"/>
      <c r="BJ1466" s="47"/>
      <c r="BK1466" s="47"/>
      <c r="BL1466" s="47"/>
      <c r="BM1466" s="47"/>
      <c r="BN1466" s="47"/>
      <c r="BO1466" s="47"/>
      <c r="BP1466" s="47"/>
      <c r="BQ1466" s="47"/>
      <c r="BR1466" s="47"/>
      <c r="BS1466" s="47"/>
      <c r="BT1466" s="47"/>
    </row>
    <row r="1467">
      <c r="A1467" s="24"/>
      <c r="B1467" s="48"/>
      <c r="C1467" s="49"/>
      <c r="D1467" s="24"/>
      <c r="E1467" s="52"/>
      <c r="F1467" s="53"/>
      <c r="G1467" s="48"/>
      <c r="H1467" s="49"/>
      <c r="I1467" s="49"/>
      <c r="J1467" s="48"/>
      <c r="K1467" s="48"/>
      <c r="L1467" s="48"/>
      <c r="M1467" s="48"/>
      <c r="N1467" s="48"/>
      <c r="O1467" s="48"/>
      <c r="P1467" s="48"/>
      <c r="Q1467" s="48"/>
      <c r="R1467" s="48"/>
      <c r="S1467" s="48"/>
      <c r="T1467" s="48"/>
      <c r="U1467" s="48"/>
      <c r="V1467" s="48"/>
      <c r="W1467" s="49"/>
      <c r="X1467" s="49"/>
      <c r="Y1467" s="49"/>
      <c r="Z1467" s="49"/>
      <c r="AA1467" s="49"/>
      <c r="AB1467" s="49"/>
      <c r="AC1467" s="49"/>
      <c r="AD1467" s="49"/>
      <c r="AE1467" s="49"/>
      <c r="AF1467" s="49"/>
      <c r="AG1467" s="49"/>
      <c r="AH1467" s="49"/>
      <c r="AI1467" s="48"/>
      <c r="AJ1467" s="48"/>
      <c r="AK1467" s="24"/>
      <c r="AL1467" s="50"/>
      <c r="AM1467" s="50"/>
      <c r="AN1467" s="50"/>
      <c r="AO1467" s="50"/>
      <c r="AP1467" s="50"/>
      <c r="AQ1467" s="50"/>
      <c r="AR1467" s="50"/>
      <c r="AS1467" s="50"/>
      <c r="AT1467" s="51"/>
      <c r="AU1467" s="51"/>
      <c r="AV1467" s="51"/>
      <c r="AW1467" s="51"/>
      <c r="AX1467" s="50"/>
      <c r="AY1467" s="50"/>
      <c r="AZ1467" s="50"/>
      <c r="BA1467" s="50"/>
      <c r="BB1467" s="51"/>
      <c r="BC1467" s="51"/>
      <c r="BD1467" s="51"/>
      <c r="BE1467" s="51"/>
      <c r="BF1467" s="47"/>
      <c r="BG1467" s="47"/>
      <c r="BH1467" s="47"/>
      <c r="BI1467" s="47"/>
      <c r="BJ1467" s="47"/>
      <c r="BK1467" s="47"/>
      <c r="BL1467" s="47"/>
      <c r="BM1467" s="47"/>
      <c r="BN1467" s="47"/>
      <c r="BO1467" s="47"/>
      <c r="BP1467" s="47"/>
      <c r="BQ1467" s="47"/>
      <c r="BR1467" s="47"/>
      <c r="BS1467" s="47"/>
      <c r="BT1467" s="47"/>
    </row>
    <row r="1468">
      <c r="A1468" s="24"/>
      <c r="B1468" s="48"/>
      <c r="C1468" s="49"/>
      <c r="D1468" s="24"/>
      <c r="E1468" s="52"/>
      <c r="F1468" s="53"/>
      <c r="G1468" s="48"/>
      <c r="H1468" s="49"/>
      <c r="I1468" s="49"/>
      <c r="J1468" s="48"/>
      <c r="K1468" s="48"/>
      <c r="L1468" s="48"/>
      <c r="M1468" s="48"/>
      <c r="N1468" s="48"/>
      <c r="O1468" s="48"/>
      <c r="P1468" s="48"/>
      <c r="Q1468" s="48"/>
      <c r="R1468" s="48"/>
      <c r="S1468" s="48"/>
      <c r="T1468" s="48"/>
      <c r="U1468" s="48"/>
      <c r="V1468" s="48"/>
      <c r="W1468" s="49"/>
      <c r="X1468" s="49"/>
      <c r="Y1468" s="49"/>
      <c r="Z1468" s="49"/>
      <c r="AA1468" s="49"/>
      <c r="AB1468" s="49"/>
      <c r="AC1468" s="49"/>
      <c r="AD1468" s="49"/>
      <c r="AE1468" s="49"/>
      <c r="AF1468" s="49"/>
      <c r="AG1468" s="49"/>
      <c r="AH1468" s="49"/>
      <c r="AI1468" s="48"/>
      <c r="AJ1468" s="48"/>
      <c r="AK1468" s="24"/>
      <c r="AL1468" s="50"/>
      <c r="AM1468" s="50"/>
      <c r="AN1468" s="50"/>
      <c r="AO1468" s="50"/>
      <c r="AP1468" s="50"/>
      <c r="AQ1468" s="50"/>
      <c r="AR1468" s="50"/>
      <c r="AS1468" s="50"/>
      <c r="AT1468" s="51"/>
      <c r="AU1468" s="51"/>
      <c r="AV1468" s="51"/>
      <c r="AW1468" s="51"/>
      <c r="AX1468" s="50"/>
      <c r="AY1468" s="50"/>
      <c r="AZ1468" s="50"/>
      <c r="BA1468" s="50"/>
      <c r="BB1468" s="51"/>
      <c r="BC1468" s="51"/>
      <c r="BD1468" s="51"/>
      <c r="BE1468" s="51"/>
      <c r="BF1468" s="47"/>
      <c r="BG1468" s="47"/>
      <c r="BH1468" s="47"/>
      <c r="BI1468" s="47"/>
      <c r="BJ1468" s="47"/>
      <c r="BK1468" s="47"/>
      <c r="BL1468" s="47"/>
      <c r="BM1468" s="47"/>
      <c r="BN1468" s="47"/>
      <c r="BO1468" s="47"/>
      <c r="BP1468" s="47"/>
      <c r="BQ1468" s="47"/>
      <c r="BR1468" s="47"/>
      <c r="BS1468" s="47"/>
      <c r="BT1468" s="47"/>
    </row>
    <row r="1469">
      <c r="A1469" s="24"/>
      <c r="B1469" s="48"/>
      <c r="C1469" s="49"/>
      <c r="D1469" s="24"/>
      <c r="E1469" s="52"/>
      <c r="F1469" s="53"/>
      <c r="G1469" s="48"/>
      <c r="H1469" s="49"/>
      <c r="I1469" s="49"/>
      <c r="J1469" s="48"/>
      <c r="K1469" s="48"/>
      <c r="L1469" s="48"/>
      <c r="M1469" s="48"/>
      <c r="N1469" s="48"/>
      <c r="O1469" s="48"/>
      <c r="P1469" s="48"/>
      <c r="Q1469" s="48"/>
      <c r="R1469" s="48"/>
      <c r="S1469" s="48"/>
      <c r="T1469" s="48"/>
      <c r="U1469" s="48"/>
      <c r="V1469" s="48"/>
      <c r="W1469" s="49"/>
      <c r="X1469" s="49"/>
      <c r="Y1469" s="49"/>
      <c r="Z1469" s="49"/>
      <c r="AA1469" s="49"/>
      <c r="AB1469" s="49"/>
      <c r="AC1469" s="49"/>
      <c r="AD1469" s="49"/>
      <c r="AE1469" s="49"/>
      <c r="AF1469" s="49"/>
      <c r="AG1469" s="49"/>
      <c r="AH1469" s="49"/>
      <c r="AI1469" s="48"/>
      <c r="AJ1469" s="48"/>
      <c r="AK1469" s="24"/>
      <c r="AL1469" s="50"/>
      <c r="AM1469" s="50"/>
      <c r="AN1469" s="50"/>
      <c r="AO1469" s="50"/>
      <c r="AP1469" s="50"/>
      <c r="AQ1469" s="50"/>
      <c r="AR1469" s="50"/>
      <c r="AS1469" s="50"/>
      <c r="AT1469" s="51"/>
      <c r="AU1469" s="51"/>
      <c r="AV1469" s="51"/>
      <c r="AW1469" s="51"/>
      <c r="AX1469" s="50"/>
      <c r="AY1469" s="50"/>
      <c r="AZ1469" s="50"/>
      <c r="BA1469" s="50"/>
      <c r="BB1469" s="51"/>
      <c r="BC1469" s="51"/>
      <c r="BD1469" s="51"/>
      <c r="BE1469" s="51"/>
      <c r="BF1469" s="47"/>
      <c r="BG1469" s="47"/>
      <c r="BH1469" s="47"/>
      <c r="BI1469" s="47"/>
      <c r="BJ1469" s="47"/>
      <c r="BK1469" s="47"/>
      <c r="BL1469" s="47"/>
      <c r="BM1469" s="47"/>
      <c r="BN1469" s="47"/>
      <c r="BO1469" s="47"/>
      <c r="BP1469" s="47"/>
      <c r="BQ1469" s="47"/>
      <c r="BR1469" s="47"/>
      <c r="BS1469" s="47"/>
      <c r="BT1469" s="47"/>
    </row>
    <row r="1470">
      <c r="A1470" s="24"/>
      <c r="B1470" s="48"/>
      <c r="C1470" s="49"/>
      <c r="D1470" s="24"/>
      <c r="E1470" s="52"/>
      <c r="F1470" s="53"/>
      <c r="G1470" s="48"/>
      <c r="H1470" s="49"/>
      <c r="I1470" s="49"/>
      <c r="J1470" s="48"/>
      <c r="K1470" s="48"/>
      <c r="L1470" s="48"/>
      <c r="M1470" s="48"/>
      <c r="N1470" s="48"/>
      <c r="O1470" s="48"/>
      <c r="P1470" s="48"/>
      <c r="Q1470" s="48"/>
      <c r="R1470" s="48"/>
      <c r="S1470" s="48"/>
      <c r="T1470" s="48"/>
      <c r="U1470" s="48"/>
      <c r="V1470" s="48"/>
      <c r="W1470" s="49"/>
      <c r="X1470" s="49"/>
      <c r="Y1470" s="49"/>
      <c r="Z1470" s="49"/>
      <c r="AA1470" s="49"/>
      <c r="AB1470" s="49"/>
      <c r="AC1470" s="49"/>
      <c r="AD1470" s="49"/>
      <c r="AE1470" s="49"/>
      <c r="AF1470" s="49"/>
      <c r="AG1470" s="49"/>
      <c r="AH1470" s="49"/>
      <c r="AI1470" s="48"/>
      <c r="AJ1470" s="48"/>
      <c r="AK1470" s="24"/>
      <c r="AL1470" s="50"/>
      <c r="AM1470" s="50"/>
      <c r="AN1470" s="50"/>
      <c r="AO1470" s="50"/>
      <c r="AP1470" s="50"/>
      <c r="AQ1470" s="50"/>
      <c r="AR1470" s="50"/>
      <c r="AS1470" s="50"/>
      <c r="AT1470" s="51"/>
      <c r="AU1470" s="51"/>
      <c r="AV1470" s="51"/>
      <c r="AW1470" s="51"/>
      <c r="AX1470" s="50"/>
      <c r="AY1470" s="50"/>
      <c r="AZ1470" s="50"/>
      <c r="BA1470" s="50"/>
      <c r="BB1470" s="51"/>
      <c r="BC1470" s="51"/>
      <c r="BD1470" s="51"/>
      <c r="BE1470" s="51"/>
      <c r="BF1470" s="47"/>
      <c r="BG1470" s="47"/>
      <c r="BH1470" s="47"/>
      <c r="BI1470" s="47"/>
      <c r="BJ1470" s="47"/>
      <c r="BK1470" s="47"/>
      <c r="BL1470" s="47"/>
      <c r="BM1470" s="47"/>
      <c r="BN1470" s="47"/>
      <c r="BO1470" s="47"/>
      <c r="BP1470" s="47"/>
      <c r="BQ1470" s="47"/>
      <c r="BR1470" s="47"/>
      <c r="BS1470" s="47"/>
      <c r="BT1470" s="47"/>
    </row>
    <row r="1471">
      <c r="A1471" s="24"/>
      <c r="B1471" s="48"/>
      <c r="C1471" s="49"/>
      <c r="D1471" s="24"/>
      <c r="E1471" s="52"/>
      <c r="F1471" s="53"/>
      <c r="G1471" s="48"/>
      <c r="H1471" s="49"/>
      <c r="I1471" s="49"/>
      <c r="J1471" s="48"/>
      <c r="K1471" s="48"/>
      <c r="L1471" s="48"/>
      <c r="M1471" s="48"/>
      <c r="N1471" s="48"/>
      <c r="O1471" s="48"/>
      <c r="P1471" s="48"/>
      <c r="Q1471" s="48"/>
      <c r="R1471" s="48"/>
      <c r="S1471" s="48"/>
      <c r="T1471" s="48"/>
      <c r="U1471" s="48"/>
      <c r="V1471" s="48"/>
      <c r="W1471" s="49"/>
      <c r="X1471" s="49"/>
      <c r="Y1471" s="49"/>
      <c r="Z1471" s="49"/>
      <c r="AA1471" s="49"/>
      <c r="AB1471" s="49"/>
      <c r="AC1471" s="49"/>
      <c r="AD1471" s="49"/>
      <c r="AE1471" s="49"/>
      <c r="AF1471" s="49"/>
      <c r="AG1471" s="49"/>
      <c r="AH1471" s="49"/>
      <c r="AI1471" s="48"/>
      <c r="AJ1471" s="48"/>
      <c r="AK1471" s="24"/>
      <c r="AL1471" s="50"/>
      <c r="AM1471" s="50"/>
      <c r="AN1471" s="50"/>
      <c r="AO1471" s="50"/>
      <c r="AP1471" s="50"/>
      <c r="AQ1471" s="50"/>
      <c r="AR1471" s="50"/>
      <c r="AS1471" s="50"/>
      <c r="AT1471" s="51"/>
      <c r="AU1471" s="51"/>
      <c r="AV1471" s="51"/>
      <c r="AW1471" s="51"/>
      <c r="AX1471" s="50"/>
      <c r="AY1471" s="50"/>
      <c r="AZ1471" s="50"/>
      <c r="BA1471" s="50"/>
      <c r="BB1471" s="51"/>
      <c r="BC1471" s="51"/>
      <c r="BD1471" s="51"/>
      <c r="BE1471" s="51"/>
      <c r="BF1471" s="47"/>
      <c r="BG1471" s="47"/>
      <c r="BH1471" s="47"/>
      <c r="BI1471" s="47"/>
      <c r="BJ1471" s="47"/>
      <c r="BK1471" s="47"/>
      <c r="BL1471" s="47"/>
      <c r="BM1471" s="47"/>
      <c r="BN1471" s="47"/>
      <c r="BO1471" s="47"/>
      <c r="BP1471" s="47"/>
      <c r="BQ1471" s="47"/>
      <c r="BR1471" s="47"/>
      <c r="BS1471" s="47"/>
      <c r="BT1471" s="47"/>
    </row>
    <row r="1472">
      <c r="A1472" s="24"/>
      <c r="B1472" s="48"/>
      <c r="C1472" s="49"/>
      <c r="D1472" s="24"/>
      <c r="E1472" s="52"/>
      <c r="F1472" s="53"/>
      <c r="G1472" s="48"/>
      <c r="H1472" s="49"/>
      <c r="I1472" s="49"/>
      <c r="J1472" s="48"/>
      <c r="K1472" s="48"/>
      <c r="L1472" s="48"/>
      <c r="M1472" s="48"/>
      <c r="N1472" s="48"/>
      <c r="O1472" s="48"/>
      <c r="P1472" s="48"/>
      <c r="Q1472" s="48"/>
      <c r="R1472" s="48"/>
      <c r="S1472" s="48"/>
      <c r="T1472" s="48"/>
      <c r="U1472" s="48"/>
      <c r="V1472" s="48"/>
      <c r="W1472" s="49"/>
      <c r="X1472" s="49"/>
      <c r="Y1472" s="49"/>
      <c r="Z1472" s="49"/>
      <c r="AA1472" s="49"/>
      <c r="AB1472" s="49"/>
      <c r="AC1472" s="49"/>
      <c r="AD1472" s="49"/>
      <c r="AE1472" s="49"/>
      <c r="AF1472" s="49"/>
      <c r="AG1472" s="49"/>
      <c r="AH1472" s="49"/>
      <c r="AI1472" s="48"/>
      <c r="AJ1472" s="48"/>
      <c r="AK1472" s="24"/>
      <c r="AL1472" s="50"/>
      <c r="AM1472" s="50"/>
      <c r="AN1472" s="50"/>
      <c r="AO1472" s="50"/>
      <c r="AP1472" s="50"/>
      <c r="AQ1472" s="50"/>
      <c r="AR1472" s="50"/>
      <c r="AS1472" s="50"/>
      <c r="AT1472" s="51"/>
      <c r="AU1472" s="51"/>
      <c r="AV1472" s="51"/>
      <c r="AW1472" s="51"/>
      <c r="AX1472" s="50"/>
      <c r="AY1472" s="50"/>
      <c r="AZ1472" s="50"/>
      <c r="BA1472" s="50"/>
      <c r="BB1472" s="51"/>
      <c r="BC1472" s="51"/>
      <c r="BD1472" s="51"/>
      <c r="BE1472" s="51"/>
      <c r="BF1472" s="47"/>
      <c r="BG1472" s="47"/>
      <c r="BH1472" s="47"/>
      <c r="BI1472" s="47"/>
      <c r="BJ1472" s="47"/>
      <c r="BK1472" s="47"/>
      <c r="BL1472" s="47"/>
      <c r="BM1472" s="47"/>
      <c r="BN1472" s="47"/>
      <c r="BO1472" s="47"/>
      <c r="BP1472" s="47"/>
      <c r="BQ1472" s="47"/>
      <c r="BR1472" s="47"/>
      <c r="BS1472" s="47"/>
      <c r="BT1472" s="47"/>
    </row>
    <row r="1473">
      <c r="A1473" s="24"/>
      <c r="B1473" s="48"/>
      <c r="C1473" s="49"/>
      <c r="D1473" s="24"/>
      <c r="E1473" s="52"/>
      <c r="F1473" s="53"/>
      <c r="G1473" s="48"/>
      <c r="H1473" s="49"/>
      <c r="I1473" s="49"/>
      <c r="J1473" s="48"/>
      <c r="K1473" s="48"/>
      <c r="L1473" s="48"/>
      <c r="M1473" s="48"/>
      <c r="N1473" s="48"/>
      <c r="O1473" s="48"/>
      <c r="P1473" s="48"/>
      <c r="Q1473" s="48"/>
      <c r="R1473" s="48"/>
      <c r="S1473" s="48"/>
      <c r="T1473" s="48"/>
      <c r="U1473" s="48"/>
      <c r="V1473" s="48"/>
      <c r="W1473" s="49"/>
      <c r="X1473" s="49"/>
      <c r="Y1473" s="49"/>
      <c r="Z1473" s="49"/>
      <c r="AA1473" s="49"/>
      <c r="AB1473" s="49"/>
      <c r="AC1473" s="49"/>
      <c r="AD1473" s="49"/>
      <c r="AE1473" s="49"/>
      <c r="AF1473" s="49"/>
      <c r="AG1473" s="49"/>
      <c r="AH1473" s="49"/>
      <c r="AI1473" s="48"/>
      <c r="AJ1473" s="48"/>
      <c r="AK1473" s="24"/>
      <c r="AL1473" s="50"/>
      <c r="AM1473" s="50"/>
      <c r="AN1473" s="50"/>
      <c r="AO1473" s="50"/>
      <c r="AP1473" s="50"/>
      <c r="AQ1473" s="50"/>
      <c r="AR1473" s="50"/>
      <c r="AS1473" s="50"/>
      <c r="AT1473" s="51"/>
      <c r="AU1473" s="51"/>
      <c r="AV1473" s="51"/>
      <c r="AW1473" s="51"/>
      <c r="AX1473" s="50"/>
      <c r="AY1473" s="50"/>
      <c r="AZ1473" s="50"/>
      <c r="BA1473" s="50"/>
      <c r="BB1473" s="51"/>
      <c r="BC1473" s="51"/>
      <c r="BD1473" s="51"/>
      <c r="BE1473" s="51"/>
      <c r="BF1473" s="47"/>
      <c r="BG1473" s="47"/>
      <c r="BH1473" s="47"/>
      <c r="BI1473" s="47"/>
      <c r="BJ1473" s="47"/>
      <c r="BK1473" s="47"/>
      <c r="BL1473" s="47"/>
      <c r="BM1473" s="47"/>
      <c r="BN1473" s="47"/>
      <c r="BO1473" s="47"/>
      <c r="BP1473" s="47"/>
      <c r="BQ1473" s="47"/>
      <c r="BR1473" s="47"/>
      <c r="BS1473" s="47"/>
      <c r="BT1473" s="47"/>
    </row>
    <row r="1474">
      <c r="A1474" s="24"/>
      <c r="B1474" s="48"/>
      <c r="C1474" s="49"/>
      <c r="D1474" s="24"/>
      <c r="E1474" s="52"/>
      <c r="F1474" s="53"/>
      <c r="G1474" s="48"/>
      <c r="H1474" s="49"/>
      <c r="I1474" s="49"/>
      <c r="J1474" s="48"/>
      <c r="K1474" s="48"/>
      <c r="L1474" s="48"/>
      <c r="M1474" s="48"/>
      <c r="N1474" s="48"/>
      <c r="O1474" s="48"/>
      <c r="P1474" s="48"/>
      <c r="Q1474" s="48"/>
      <c r="R1474" s="48"/>
      <c r="S1474" s="48"/>
      <c r="T1474" s="48"/>
      <c r="U1474" s="48"/>
      <c r="V1474" s="48"/>
      <c r="W1474" s="49"/>
      <c r="X1474" s="49"/>
      <c r="Y1474" s="49"/>
      <c r="Z1474" s="49"/>
      <c r="AA1474" s="49"/>
      <c r="AB1474" s="49"/>
      <c r="AC1474" s="49"/>
      <c r="AD1474" s="49"/>
      <c r="AE1474" s="49"/>
      <c r="AF1474" s="49"/>
      <c r="AG1474" s="49"/>
      <c r="AH1474" s="49"/>
      <c r="AI1474" s="48"/>
      <c r="AJ1474" s="48"/>
      <c r="AK1474" s="24"/>
      <c r="AL1474" s="50"/>
      <c r="AM1474" s="50"/>
      <c r="AN1474" s="50"/>
      <c r="AO1474" s="50"/>
      <c r="AP1474" s="50"/>
      <c r="AQ1474" s="50"/>
      <c r="AR1474" s="50"/>
      <c r="AS1474" s="50"/>
      <c r="AT1474" s="51"/>
      <c r="AU1474" s="51"/>
      <c r="AV1474" s="51"/>
      <c r="AW1474" s="51"/>
      <c r="AX1474" s="50"/>
      <c r="AY1474" s="50"/>
      <c r="AZ1474" s="50"/>
      <c r="BA1474" s="50"/>
      <c r="BB1474" s="51"/>
      <c r="BC1474" s="51"/>
      <c r="BD1474" s="51"/>
      <c r="BE1474" s="51"/>
      <c r="BF1474" s="47"/>
      <c r="BG1474" s="47"/>
      <c r="BH1474" s="47"/>
      <c r="BI1474" s="47"/>
      <c r="BJ1474" s="47"/>
      <c r="BK1474" s="47"/>
      <c r="BL1474" s="47"/>
      <c r="BM1474" s="47"/>
      <c r="BN1474" s="47"/>
      <c r="BO1474" s="47"/>
      <c r="BP1474" s="47"/>
      <c r="BQ1474" s="47"/>
      <c r="BR1474" s="47"/>
      <c r="BS1474" s="47"/>
      <c r="BT1474" s="47"/>
    </row>
    <row r="1475">
      <c r="A1475" s="24"/>
      <c r="B1475" s="48"/>
      <c r="C1475" s="49"/>
      <c r="D1475" s="24"/>
      <c r="E1475" s="52"/>
      <c r="F1475" s="53"/>
      <c r="G1475" s="48"/>
      <c r="H1475" s="49"/>
      <c r="I1475" s="49"/>
      <c r="J1475" s="48"/>
      <c r="K1475" s="48"/>
      <c r="L1475" s="48"/>
      <c r="M1475" s="48"/>
      <c r="N1475" s="48"/>
      <c r="O1475" s="48"/>
      <c r="P1475" s="48"/>
      <c r="Q1475" s="48"/>
      <c r="R1475" s="48"/>
      <c r="S1475" s="48"/>
      <c r="T1475" s="48"/>
      <c r="U1475" s="48"/>
      <c r="V1475" s="48"/>
      <c r="W1475" s="49"/>
      <c r="X1475" s="49"/>
      <c r="Y1475" s="49"/>
      <c r="Z1475" s="49"/>
      <c r="AA1475" s="49"/>
      <c r="AB1475" s="49"/>
      <c r="AC1475" s="49"/>
      <c r="AD1475" s="49"/>
      <c r="AE1475" s="49"/>
      <c r="AF1475" s="49"/>
      <c r="AG1475" s="49"/>
      <c r="AH1475" s="49"/>
      <c r="AI1475" s="48"/>
      <c r="AJ1475" s="48"/>
      <c r="AK1475" s="24"/>
      <c r="AL1475" s="50"/>
      <c r="AM1475" s="50"/>
      <c r="AN1475" s="50"/>
      <c r="AO1475" s="50"/>
      <c r="AP1475" s="50"/>
      <c r="AQ1475" s="50"/>
      <c r="AR1475" s="50"/>
      <c r="AS1475" s="50"/>
      <c r="AT1475" s="51"/>
      <c r="AU1475" s="51"/>
      <c r="AV1475" s="51"/>
      <c r="AW1475" s="51"/>
      <c r="AX1475" s="50"/>
      <c r="AY1475" s="50"/>
      <c r="AZ1475" s="50"/>
      <c r="BA1475" s="50"/>
      <c r="BB1475" s="51"/>
      <c r="BC1475" s="51"/>
      <c r="BD1475" s="51"/>
      <c r="BE1475" s="51"/>
      <c r="BF1475" s="47"/>
      <c r="BG1475" s="47"/>
      <c r="BH1475" s="47"/>
      <c r="BI1475" s="47"/>
      <c r="BJ1475" s="47"/>
      <c r="BK1475" s="47"/>
      <c r="BL1475" s="47"/>
      <c r="BM1475" s="47"/>
      <c r="BN1475" s="47"/>
      <c r="BO1475" s="47"/>
      <c r="BP1475" s="47"/>
      <c r="BQ1475" s="47"/>
      <c r="BR1475" s="47"/>
      <c r="BS1475" s="47"/>
      <c r="BT1475" s="47"/>
    </row>
    <row r="1476">
      <c r="A1476" s="24"/>
      <c r="B1476" s="48"/>
      <c r="C1476" s="49"/>
      <c r="D1476" s="24"/>
      <c r="E1476" s="52"/>
      <c r="F1476" s="53"/>
      <c r="G1476" s="48"/>
      <c r="H1476" s="49"/>
      <c r="I1476" s="49"/>
      <c r="J1476" s="48"/>
      <c r="K1476" s="48"/>
      <c r="L1476" s="48"/>
      <c r="M1476" s="48"/>
      <c r="N1476" s="48"/>
      <c r="O1476" s="48"/>
      <c r="P1476" s="48"/>
      <c r="Q1476" s="48"/>
      <c r="R1476" s="48"/>
      <c r="S1476" s="48"/>
      <c r="T1476" s="48"/>
      <c r="U1476" s="48"/>
      <c r="V1476" s="48"/>
      <c r="W1476" s="49"/>
      <c r="X1476" s="49"/>
      <c r="Y1476" s="49"/>
      <c r="Z1476" s="49"/>
      <c r="AA1476" s="49"/>
      <c r="AB1476" s="49"/>
      <c r="AC1476" s="49"/>
      <c r="AD1476" s="49"/>
      <c r="AE1476" s="49"/>
      <c r="AF1476" s="49"/>
      <c r="AG1476" s="49"/>
      <c r="AH1476" s="49"/>
      <c r="AI1476" s="48"/>
      <c r="AJ1476" s="48"/>
      <c r="AK1476" s="24"/>
      <c r="AL1476" s="50"/>
      <c r="AM1476" s="50"/>
      <c r="AN1476" s="50"/>
      <c r="AO1476" s="50"/>
      <c r="AP1476" s="50"/>
      <c r="AQ1476" s="50"/>
      <c r="AR1476" s="50"/>
      <c r="AS1476" s="50"/>
      <c r="AT1476" s="51"/>
      <c r="AU1476" s="51"/>
      <c r="AV1476" s="51"/>
      <c r="AW1476" s="51"/>
      <c r="AX1476" s="50"/>
      <c r="AY1476" s="50"/>
      <c r="AZ1476" s="50"/>
      <c r="BA1476" s="50"/>
      <c r="BB1476" s="51"/>
      <c r="BC1476" s="51"/>
      <c r="BD1476" s="51"/>
      <c r="BE1476" s="51"/>
      <c r="BF1476" s="47"/>
      <c r="BG1476" s="47"/>
      <c r="BH1476" s="47"/>
      <c r="BI1476" s="47"/>
      <c r="BJ1476" s="47"/>
      <c r="BK1476" s="47"/>
      <c r="BL1476" s="47"/>
      <c r="BM1476" s="47"/>
      <c r="BN1476" s="47"/>
      <c r="BO1476" s="47"/>
      <c r="BP1476" s="47"/>
      <c r="BQ1476" s="47"/>
      <c r="BR1476" s="47"/>
      <c r="BS1476" s="47"/>
      <c r="BT1476" s="47"/>
    </row>
    <row r="1477">
      <c r="A1477" s="24"/>
      <c r="B1477" s="48"/>
      <c r="C1477" s="49"/>
      <c r="D1477" s="24"/>
      <c r="E1477" s="52"/>
      <c r="F1477" s="53"/>
      <c r="G1477" s="48"/>
      <c r="H1477" s="49"/>
      <c r="I1477" s="49"/>
      <c r="J1477" s="48"/>
      <c r="K1477" s="48"/>
      <c r="L1477" s="48"/>
      <c r="M1477" s="48"/>
      <c r="N1477" s="48"/>
      <c r="O1477" s="48"/>
      <c r="P1477" s="48"/>
      <c r="Q1477" s="48"/>
      <c r="R1477" s="48"/>
      <c r="S1477" s="48"/>
      <c r="T1477" s="48"/>
      <c r="U1477" s="48"/>
      <c r="V1477" s="48"/>
      <c r="W1477" s="49"/>
      <c r="X1477" s="49"/>
      <c r="Y1477" s="49"/>
      <c r="Z1477" s="49"/>
      <c r="AA1477" s="49"/>
      <c r="AB1477" s="49"/>
      <c r="AC1477" s="49"/>
      <c r="AD1477" s="49"/>
      <c r="AE1477" s="49"/>
      <c r="AF1477" s="49"/>
      <c r="AG1477" s="49"/>
      <c r="AH1477" s="49"/>
      <c r="AI1477" s="48"/>
      <c r="AJ1477" s="48"/>
      <c r="AK1477" s="24"/>
      <c r="AL1477" s="50"/>
      <c r="AM1477" s="50"/>
      <c r="AN1477" s="50"/>
      <c r="AO1477" s="50"/>
      <c r="AP1477" s="50"/>
      <c r="AQ1477" s="50"/>
      <c r="AR1477" s="50"/>
      <c r="AS1477" s="50"/>
      <c r="AT1477" s="51"/>
      <c r="AU1477" s="51"/>
      <c r="AV1477" s="51"/>
      <c r="AW1477" s="51"/>
      <c r="AX1477" s="50"/>
      <c r="AY1477" s="50"/>
      <c r="AZ1477" s="50"/>
      <c r="BA1477" s="50"/>
      <c r="BB1477" s="51"/>
      <c r="BC1477" s="51"/>
      <c r="BD1477" s="51"/>
      <c r="BE1477" s="51"/>
      <c r="BF1477" s="47"/>
      <c r="BG1477" s="47"/>
      <c r="BH1477" s="47"/>
      <c r="BI1477" s="47"/>
      <c r="BJ1477" s="47"/>
      <c r="BK1477" s="47"/>
      <c r="BL1477" s="47"/>
      <c r="BM1477" s="47"/>
      <c r="BN1477" s="47"/>
      <c r="BO1477" s="47"/>
      <c r="BP1477" s="47"/>
      <c r="BQ1477" s="47"/>
      <c r="BR1477" s="47"/>
      <c r="BS1477" s="47"/>
      <c r="BT1477" s="47"/>
    </row>
    <row r="1478">
      <c r="A1478" s="24"/>
      <c r="B1478" s="48"/>
      <c r="C1478" s="49"/>
      <c r="D1478" s="24"/>
      <c r="E1478" s="52"/>
      <c r="F1478" s="53"/>
      <c r="G1478" s="48"/>
      <c r="H1478" s="49"/>
      <c r="I1478" s="49"/>
      <c r="J1478" s="48"/>
      <c r="K1478" s="48"/>
      <c r="L1478" s="48"/>
      <c r="M1478" s="48"/>
      <c r="N1478" s="48"/>
      <c r="O1478" s="48"/>
      <c r="P1478" s="48"/>
      <c r="Q1478" s="48"/>
      <c r="R1478" s="48"/>
      <c r="S1478" s="48"/>
      <c r="T1478" s="48"/>
      <c r="U1478" s="48"/>
      <c r="V1478" s="48"/>
      <c r="W1478" s="49"/>
      <c r="X1478" s="49"/>
      <c r="Y1478" s="49"/>
      <c r="Z1478" s="49"/>
      <c r="AA1478" s="49"/>
      <c r="AB1478" s="49"/>
      <c r="AC1478" s="49"/>
      <c r="AD1478" s="49"/>
      <c r="AE1478" s="49"/>
      <c r="AF1478" s="49"/>
      <c r="AG1478" s="49"/>
      <c r="AH1478" s="49"/>
      <c r="AI1478" s="48"/>
      <c r="AJ1478" s="48"/>
      <c r="AK1478" s="24"/>
      <c r="AL1478" s="50"/>
      <c r="AM1478" s="50"/>
      <c r="AN1478" s="50"/>
      <c r="AO1478" s="50"/>
      <c r="AP1478" s="50"/>
      <c r="AQ1478" s="50"/>
      <c r="AR1478" s="50"/>
      <c r="AS1478" s="50"/>
      <c r="AT1478" s="51"/>
      <c r="AU1478" s="51"/>
      <c r="AV1478" s="51"/>
      <c r="AW1478" s="51"/>
      <c r="AX1478" s="50"/>
      <c r="AY1478" s="50"/>
      <c r="AZ1478" s="50"/>
      <c r="BA1478" s="50"/>
      <c r="BB1478" s="51"/>
      <c r="BC1478" s="51"/>
      <c r="BD1478" s="51"/>
      <c r="BE1478" s="51"/>
      <c r="BF1478" s="47"/>
      <c r="BG1478" s="47"/>
      <c r="BH1478" s="47"/>
      <c r="BI1478" s="47"/>
      <c r="BJ1478" s="47"/>
      <c r="BK1478" s="47"/>
      <c r="BL1478" s="47"/>
      <c r="BM1478" s="47"/>
      <c r="BN1478" s="47"/>
      <c r="BO1478" s="47"/>
      <c r="BP1478" s="47"/>
      <c r="BQ1478" s="47"/>
      <c r="BR1478" s="47"/>
      <c r="BS1478" s="47"/>
      <c r="BT1478" s="47"/>
    </row>
    <row r="1479">
      <c r="A1479" s="24"/>
      <c r="B1479" s="48"/>
      <c r="C1479" s="49"/>
      <c r="D1479" s="24"/>
      <c r="E1479" s="52"/>
      <c r="F1479" s="53"/>
      <c r="G1479" s="48"/>
      <c r="H1479" s="49"/>
      <c r="I1479" s="49"/>
      <c r="J1479" s="48"/>
      <c r="K1479" s="48"/>
      <c r="L1479" s="48"/>
      <c r="M1479" s="48"/>
      <c r="N1479" s="48"/>
      <c r="O1479" s="48"/>
      <c r="P1479" s="48"/>
      <c r="Q1479" s="48"/>
      <c r="R1479" s="48"/>
      <c r="S1479" s="48"/>
      <c r="T1479" s="48"/>
      <c r="U1479" s="48"/>
      <c r="V1479" s="48"/>
      <c r="W1479" s="49"/>
      <c r="X1479" s="49"/>
      <c r="Y1479" s="49"/>
      <c r="Z1479" s="49"/>
      <c r="AA1479" s="49"/>
      <c r="AB1479" s="49"/>
      <c r="AC1479" s="49"/>
      <c r="AD1479" s="49"/>
      <c r="AE1479" s="49"/>
      <c r="AF1479" s="49"/>
      <c r="AG1479" s="49"/>
      <c r="AH1479" s="49"/>
      <c r="AI1479" s="48"/>
      <c r="AJ1479" s="48"/>
      <c r="AK1479" s="24"/>
      <c r="AL1479" s="50"/>
      <c r="AM1479" s="50"/>
      <c r="AN1479" s="50"/>
      <c r="AO1479" s="50"/>
      <c r="AP1479" s="50"/>
      <c r="AQ1479" s="50"/>
      <c r="AR1479" s="50"/>
      <c r="AS1479" s="50"/>
      <c r="AT1479" s="51"/>
      <c r="AU1479" s="51"/>
      <c r="AV1479" s="51"/>
      <c r="AW1479" s="51"/>
      <c r="AX1479" s="50"/>
      <c r="AY1479" s="50"/>
      <c r="AZ1479" s="50"/>
      <c r="BA1479" s="50"/>
      <c r="BB1479" s="51"/>
      <c r="BC1479" s="51"/>
      <c r="BD1479" s="51"/>
      <c r="BE1479" s="51"/>
      <c r="BF1479" s="47"/>
      <c r="BG1479" s="47"/>
      <c r="BH1479" s="47"/>
      <c r="BI1479" s="47"/>
      <c r="BJ1479" s="47"/>
      <c r="BK1479" s="47"/>
      <c r="BL1479" s="47"/>
      <c r="BM1479" s="47"/>
      <c r="BN1479" s="47"/>
      <c r="BO1479" s="47"/>
      <c r="BP1479" s="47"/>
      <c r="BQ1479" s="47"/>
      <c r="BR1479" s="47"/>
      <c r="BS1479" s="47"/>
      <c r="BT1479" s="47"/>
    </row>
    <row r="1480">
      <c r="A1480" s="24"/>
      <c r="B1480" s="48"/>
      <c r="C1480" s="49"/>
      <c r="D1480" s="24"/>
      <c r="E1480" s="52"/>
      <c r="F1480" s="53"/>
      <c r="G1480" s="48"/>
      <c r="H1480" s="49"/>
      <c r="I1480" s="49"/>
      <c r="J1480" s="48"/>
      <c r="K1480" s="48"/>
      <c r="L1480" s="48"/>
      <c r="M1480" s="48"/>
      <c r="N1480" s="48"/>
      <c r="O1480" s="48"/>
      <c r="P1480" s="48"/>
      <c r="Q1480" s="48"/>
      <c r="R1480" s="48"/>
      <c r="S1480" s="48"/>
      <c r="T1480" s="48"/>
      <c r="U1480" s="48"/>
      <c r="V1480" s="48"/>
      <c r="W1480" s="49"/>
      <c r="X1480" s="49"/>
      <c r="Y1480" s="49"/>
      <c r="Z1480" s="49"/>
      <c r="AA1480" s="49"/>
      <c r="AB1480" s="49"/>
      <c r="AC1480" s="49"/>
      <c r="AD1480" s="49"/>
      <c r="AE1480" s="49"/>
      <c r="AF1480" s="49"/>
      <c r="AG1480" s="49"/>
      <c r="AH1480" s="49"/>
      <c r="AI1480" s="48"/>
      <c r="AJ1480" s="48"/>
      <c r="AK1480" s="24"/>
      <c r="AL1480" s="50"/>
      <c r="AM1480" s="50"/>
      <c r="AN1480" s="50"/>
      <c r="AO1480" s="50"/>
      <c r="AP1480" s="50"/>
      <c r="AQ1480" s="50"/>
      <c r="AR1480" s="50"/>
      <c r="AS1480" s="50"/>
      <c r="AT1480" s="51"/>
      <c r="AU1480" s="51"/>
      <c r="AV1480" s="51"/>
      <c r="AW1480" s="51"/>
      <c r="AX1480" s="50"/>
      <c r="AY1480" s="50"/>
      <c r="AZ1480" s="50"/>
      <c r="BA1480" s="50"/>
      <c r="BB1480" s="51"/>
      <c r="BC1480" s="51"/>
      <c r="BD1480" s="51"/>
      <c r="BE1480" s="51"/>
      <c r="BF1480" s="47"/>
      <c r="BG1480" s="47"/>
      <c r="BH1480" s="47"/>
      <c r="BI1480" s="47"/>
      <c r="BJ1480" s="47"/>
      <c r="BK1480" s="47"/>
      <c r="BL1480" s="47"/>
      <c r="BM1480" s="47"/>
      <c r="BN1480" s="47"/>
      <c r="BO1480" s="47"/>
      <c r="BP1480" s="47"/>
      <c r="BQ1480" s="47"/>
      <c r="BR1480" s="47"/>
      <c r="BS1480" s="47"/>
      <c r="BT1480" s="47"/>
    </row>
    <row r="1481">
      <c r="A1481" s="24"/>
      <c r="B1481" s="48"/>
      <c r="C1481" s="49"/>
      <c r="D1481" s="24"/>
      <c r="E1481" s="52"/>
      <c r="F1481" s="53"/>
      <c r="G1481" s="48"/>
      <c r="H1481" s="49"/>
      <c r="I1481" s="49"/>
      <c r="J1481" s="48"/>
      <c r="K1481" s="48"/>
      <c r="L1481" s="48"/>
      <c r="M1481" s="48"/>
      <c r="N1481" s="48"/>
      <c r="O1481" s="48"/>
      <c r="P1481" s="48"/>
      <c r="Q1481" s="48"/>
      <c r="R1481" s="48"/>
      <c r="S1481" s="48"/>
      <c r="T1481" s="48"/>
      <c r="U1481" s="48"/>
      <c r="V1481" s="48"/>
      <c r="W1481" s="49"/>
      <c r="X1481" s="49"/>
      <c r="Y1481" s="49"/>
      <c r="Z1481" s="49"/>
      <c r="AA1481" s="49"/>
      <c r="AB1481" s="49"/>
      <c r="AC1481" s="49"/>
      <c r="AD1481" s="49"/>
      <c r="AE1481" s="49"/>
      <c r="AF1481" s="49"/>
      <c r="AG1481" s="49"/>
      <c r="AH1481" s="49"/>
      <c r="AI1481" s="48"/>
      <c r="AJ1481" s="48"/>
      <c r="AK1481" s="24"/>
      <c r="AL1481" s="50"/>
      <c r="AM1481" s="50"/>
      <c r="AN1481" s="50"/>
      <c r="AO1481" s="50"/>
      <c r="AP1481" s="50"/>
      <c r="AQ1481" s="50"/>
      <c r="AR1481" s="50"/>
      <c r="AS1481" s="50"/>
      <c r="AT1481" s="51"/>
      <c r="AU1481" s="51"/>
      <c r="AV1481" s="51"/>
      <c r="AW1481" s="51"/>
      <c r="AX1481" s="50"/>
      <c r="AY1481" s="50"/>
      <c r="AZ1481" s="50"/>
      <c r="BA1481" s="50"/>
      <c r="BB1481" s="51"/>
      <c r="BC1481" s="51"/>
      <c r="BD1481" s="51"/>
      <c r="BE1481" s="51"/>
      <c r="BF1481" s="47"/>
      <c r="BG1481" s="47"/>
      <c r="BH1481" s="47"/>
      <c r="BI1481" s="47"/>
      <c r="BJ1481" s="47"/>
      <c r="BK1481" s="47"/>
      <c r="BL1481" s="47"/>
      <c r="BM1481" s="47"/>
      <c r="BN1481" s="47"/>
      <c r="BO1481" s="47"/>
      <c r="BP1481" s="47"/>
      <c r="BQ1481" s="47"/>
      <c r="BR1481" s="47"/>
      <c r="BS1481" s="47"/>
      <c r="BT1481" s="47"/>
    </row>
    <row r="1482">
      <c r="A1482" s="24"/>
      <c r="B1482" s="48"/>
      <c r="C1482" s="49"/>
      <c r="D1482" s="24"/>
      <c r="E1482" s="52"/>
      <c r="F1482" s="53"/>
      <c r="G1482" s="48"/>
      <c r="H1482" s="49"/>
      <c r="I1482" s="49"/>
      <c r="J1482" s="48"/>
      <c r="K1482" s="48"/>
      <c r="L1482" s="48"/>
      <c r="M1482" s="48"/>
      <c r="N1482" s="48"/>
      <c r="O1482" s="48"/>
      <c r="P1482" s="48"/>
      <c r="Q1482" s="48"/>
      <c r="R1482" s="48"/>
      <c r="S1482" s="48"/>
      <c r="T1482" s="48"/>
      <c r="U1482" s="48"/>
      <c r="V1482" s="48"/>
      <c r="W1482" s="49"/>
      <c r="X1482" s="49"/>
      <c r="Y1482" s="49"/>
      <c r="Z1482" s="49"/>
      <c r="AA1482" s="49"/>
      <c r="AB1482" s="49"/>
      <c r="AC1482" s="49"/>
      <c r="AD1482" s="49"/>
      <c r="AE1482" s="49"/>
      <c r="AF1482" s="49"/>
      <c r="AG1482" s="49"/>
      <c r="AH1482" s="49"/>
      <c r="AI1482" s="48"/>
      <c r="AJ1482" s="48"/>
      <c r="AK1482" s="24"/>
      <c r="AL1482" s="50"/>
      <c r="AM1482" s="50"/>
      <c r="AN1482" s="50"/>
      <c r="AO1482" s="50"/>
      <c r="AP1482" s="50"/>
      <c r="AQ1482" s="50"/>
      <c r="AR1482" s="50"/>
      <c r="AS1482" s="50"/>
      <c r="AT1482" s="51"/>
      <c r="AU1482" s="51"/>
      <c r="AV1482" s="51"/>
      <c r="AW1482" s="51"/>
      <c r="AX1482" s="50"/>
      <c r="AY1482" s="50"/>
      <c r="AZ1482" s="50"/>
      <c r="BA1482" s="50"/>
      <c r="BB1482" s="51"/>
      <c r="BC1482" s="51"/>
      <c r="BD1482" s="51"/>
      <c r="BE1482" s="51"/>
      <c r="BF1482" s="47"/>
      <c r="BG1482" s="47"/>
      <c r="BH1482" s="47"/>
      <c r="BI1482" s="47"/>
      <c r="BJ1482" s="47"/>
      <c r="BK1482" s="47"/>
      <c r="BL1482" s="47"/>
      <c r="BM1482" s="47"/>
      <c r="BN1482" s="47"/>
      <c r="BO1482" s="47"/>
      <c r="BP1482" s="47"/>
      <c r="BQ1482" s="47"/>
      <c r="BR1482" s="47"/>
      <c r="BS1482" s="47"/>
      <c r="BT1482" s="47"/>
    </row>
    <row r="1483">
      <c r="A1483" s="24"/>
      <c r="B1483" s="48"/>
      <c r="C1483" s="49"/>
      <c r="D1483" s="24"/>
      <c r="E1483" s="52"/>
      <c r="F1483" s="53"/>
      <c r="G1483" s="48"/>
      <c r="H1483" s="49"/>
      <c r="I1483" s="49"/>
      <c r="J1483" s="48"/>
      <c r="K1483" s="48"/>
      <c r="L1483" s="48"/>
      <c r="M1483" s="48"/>
      <c r="N1483" s="48"/>
      <c r="O1483" s="48"/>
      <c r="P1483" s="48"/>
      <c r="Q1483" s="48"/>
      <c r="R1483" s="48"/>
      <c r="S1483" s="48"/>
      <c r="T1483" s="48"/>
      <c r="U1483" s="48"/>
      <c r="V1483" s="48"/>
      <c r="W1483" s="49"/>
      <c r="X1483" s="49"/>
      <c r="Y1483" s="49"/>
      <c r="Z1483" s="49"/>
      <c r="AA1483" s="49"/>
      <c r="AB1483" s="49"/>
      <c r="AC1483" s="49"/>
      <c r="AD1483" s="49"/>
      <c r="AE1483" s="49"/>
      <c r="AF1483" s="49"/>
      <c r="AG1483" s="49"/>
      <c r="AH1483" s="49"/>
      <c r="AI1483" s="48"/>
      <c r="AJ1483" s="48"/>
      <c r="AK1483" s="24"/>
      <c r="AL1483" s="50"/>
      <c r="AM1483" s="50"/>
      <c r="AN1483" s="50"/>
      <c r="AO1483" s="50"/>
      <c r="AP1483" s="50"/>
      <c r="AQ1483" s="50"/>
      <c r="AR1483" s="50"/>
      <c r="AS1483" s="50"/>
      <c r="AT1483" s="51"/>
      <c r="AU1483" s="51"/>
      <c r="AV1483" s="51"/>
      <c r="AW1483" s="51"/>
      <c r="AX1483" s="50"/>
      <c r="AY1483" s="50"/>
      <c r="AZ1483" s="50"/>
      <c r="BA1483" s="50"/>
      <c r="BB1483" s="51"/>
      <c r="BC1483" s="51"/>
      <c r="BD1483" s="51"/>
      <c r="BE1483" s="51"/>
      <c r="BF1483" s="47"/>
      <c r="BG1483" s="47"/>
      <c r="BH1483" s="47"/>
      <c r="BI1483" s="47"/>
      <c r="BJ1483" s="47"/>
      <c r="BK1483" s="47"/>
      <c r="BL1483" s="47"/>
      <c r="BM1483" s="47"/>
      <c r="BN1483" s="47"/>
      <c r="BO1483" s="47"/>
      <c r="BP1483" s="47"/>
      <c r="BQ1483" s="47"/>
      <c r="BR1483" s="47"/>
      <c r="BS1483" s="47"/>
      <c r="BT1483" s="47"/>
    </row>
    <row r="1484">
      <c r="A1484" s="24"/>
      <c r="B1484" s="48"/>
      <c r="C1484" s="49"/>
      <c r="D1484" s="24"/>
      <c r="E1484" s="52"/>
      <c r="F1484" s="53"/>
      <c r="G1484" s="48"/>
      <c r="H1484" s="49"/>
      <c r="I1484" s="49"/>
      <c r="J1484" s="48"/>
      <c r="K1484" s="48"/>
      <c r="L1484" s="48"/>
      <c r="M1484" s="48"/>
      <c r="N1484" s="48"/>
      <c r="O1484" s="48"/>
      <c r="P1484" s="48"/>
      <c r="Q1484" s="48"/>
      <c r="R1484" s="48"/>
      <c r="S1484" s="48"/>
      <c r="T1484" s="48"/>
      <c r="U1484" s="48"/>
      <c r="V1484" s="48"/>
      <c r="W1484" s="49"/>
      <c r="X1484" s="49"/>
      <c r="Y1484" s="49"/>
      <c r="Z1484" s="49"/>
      <c r="AA1484" s="49"/>
      <c r="AB1484" s="49"/>
      <c r="AC1484" s="49"/>
      <c r="AD1484" s="49"/>
      <c r="AE1484" s="49"/>
      <c r="AF1484" s="49"/>
      <c r="AG1484" s="49"/>
      <c r="AH1484" s="49"/>
      <c r="AI1484" s="48"/>
      <c r="AJ1484" s="48"/>
      <c r="AK1484" s="24"/>
      <c r="AL1484" s="50"/>
      <c r="AM1484" s="50"/>
      <c r="AN1484" s="50"/>
      <c r="AO1484" s="50"/>
      <c r="AP1484" s="50"/>
      <c r="AQ1484" s="50"/>
      <c r="AR1484" s="50"/>
      <c r="AS1484" s="50"/>
      <c r="AT1484" s="51"/>
      <c r="AU1484" s="51"/>
      <c r="AV1484" s="51"/>
      <c r="AW1484" s="51"/>
      <c r="AX1484" s="50"/>
      <c r="AY1484" s="50"/>
      <c r="AZ1484" s="50"/>
      <c r="BA1484" s="50"/>
      <c r="BB1484" s="51"/>
      <c r="BC1484" s="51"/>
      <c r="BD1484" s="51"/>
      <c r="BE1484" s="51"/>
      <c r="BF1484" s="47"/>
      <c r="BG1484" s="47"/>
      <c r="BH1484" s="47"/>
      <c r="BI1484" s="47"/>
      <c r="BJ1484" s="47"/>
      <c r="BK1484" s="47"/>
      <c r="BL1484" s="47"/>
      <c r="BM1484" s="47"/>
      <c r="BN1484" s="47"/>
      <c r="BO1484" s="47"/>
      <c r="BP1484" s="47"/>
      <c r="BQ1484" s="47"/>
      <c r="BR1484" s="47"/>
      <c r="BS1484" s="47"/>
      <c r="BT1484" s="47"/>
    </row>
    <row r="1485">
      <c r="A1485" s="24"/>
      <c r="B1485" s="48"/>
      <c r="C1485" s="49"/>
      <c r="D1485" s="24"/>
      <c r="E1485" s="52"/>
      <c r="F1485" s="53"/>
      <c r="G1485" s="48"/>
      <c r="H1485" s="49"/>
      <c r="I1485" s="49"/>
      <c r="J1485" s="48"/>
      <c r="K1485" s="48"/>
      <c r="L1485" s="48"/>
      <c r="M1485" s="48"/>
      <c r="N1485" s="48"/>
      <c r="O1485" s="48"/>
      <c r="P1485" s="48"/>
      <c r="Q1485" s="48"/>
      <c r="R1485" s="48"/>
      <c r="S1485" s="48"/>
      <c r="T1485" s="48"/>
      <c r="U1485" s="48"/>
      <c r="V1485" s="48"/>
      <c r="W1485" s="49"/>
      <c r="X1485" s="49"/>
      <c r="Y1485" s="49"/>
      <c r="Z1485" s="49"/>
      <c r="AA1485" s="49"/>
      <c r="AB1485" s="49"/>
      <c r="AC1485" s="49"/>
      <c r="AD1485" s="49"/>
      <c r="AE1485" s="49"/>
      <c r="AF1485" s="49"/>
      <c r="AG1485" s="49"/>
      <c r="AH1485" s="49"/>
      <c r="AI1485" s="48"/>
      <c r="AJ1485" s="48"/>
      <c r="AK1485" s="24"/>
      <c r="AL1485" s="50"/>
      <c r="AM1485" s="50"/>
      <c r="AN1485" s="50"/>
      <c r="AO1485" s="50"/>
      <c r="AP1485" s="50"/>
      <c r="AQ1485" s="50"/>
      <c r="AR1485" s="50"/>
      <c r="AS1485" s="50"/>
      <c r="AT1485" s="51"/>
      <c r="AU1485" s="51"/>
      <c r="AV1485" s="51"/>
      <c r="AW1485" s="51"/>
      <c r="AX1485" s="50"/>
      <c r="AY1485" s="50"/>
      <c r="AZ1485" s="50"/>
      <c r="BA1485" s="50"/>
      <c r="BB1485" s="51"/>
      <c r="BC1485" s="51"/>
      <c r="BD1485" s="51"/>
      <c r="BE1485" s="51"/>
      <c r="BF1485" s="47"/>
      <c r="BG1485" s="47"/>
      <c r="BH1485" s="47"/>
      <c r="BI1485" s="47"/>
      <c r="BJ1485" s="47"/>
      <c r="BK1485" s="47"/>
      <c r="BL1485" s="47"/>
      <c r="BM1485" s="47"/>
      <c r="BN1485" s="47"/>
      <c r="BO1485" s="47"/>
      <c r="BP1485" s="47"/>
      <c r="BQ1485" s="47"/>
      <c r="BR1485" s="47"/>
      <c r="BS1485" s="47"/>
      <c r="BT1485" s="47"/>
    </row>
    <row r="1486">
      <c r="A1486" s="24"/>
      <c r="B1486" s="48"/>
      <c r="C1486" s="49"/>
      <c r="D1486" s="24"/>
      <c r="E1486" s="52"/>
      <c r="F1486" s="53"/>
      <c r="G1486" s="48"/>
      <c r="H1486" s="49"/>
      <c r="I1486" s="49"/>
      <c r="J1486" s="48"/>
      <c r="K1486" s="48"/>
      <c r="L1486" s="48"/>
      <c r="M1486" s="48"/>
      <c r="N1486" s="48"/>
      <c r="O1486" s="48"/>
      <c r="P1486" s="48"/>
      <c r="Q1486" s="48"/>
      <c r="R1486" s="48"/>
      <c r="S1486" s="48"/>
      <c r="T1486" s="48"/>
      <c r="U1486" s="48"/>
      <c r="V1486" s="48"/>
      <c r="W1486" s="49"/>
      <c r="X1486" s="49"/>
      <c r="Y1486" s="49"/>
      <c r="Z1486" s="49"/>
      <c r="AA1486" s="49"/>
      <c r="AB1486" s="49"/>
      <c r="AC1486" s="49"/>
      <c r="AD1486" s="49"/>
      <c r="AE1486" s="49"/>
      <c r="AF1486" s="49"/>
      <c r="AG1486" s="49"/>
      <c r="AH1486" s="49"/>
      <c r="AI1486" s="48"/>
      <c r="AJ1486" s="48"/>
      <c r="AK1486" s="24"/>
      <c r="AL1486" s="50"/>
      <c r="AM1486" s="50"/>
      <c r="AN1486" s="50"/>
      <c r="AO1486" s="50"/>
      <c r="AP1486" s="50"/>
      <c r="AQ1486" s="50"/>
      <c r="AR1486" s="50"/>
      <c r="AS1486" s="50"/>
      <c r="AT1486" s="51"/>
      <c r="AU1486" s="51"/>
      <c r="AV1486" s="51"/>
      <c r="AW1486" s="51"/>
      <c r="AX1486" s="50"/>
      <c r="AY1486" s="50"/>
      <c r="AZ1486" s="50"/>
      <c r="BA1486" s="50"/>
      <c r="BB1486" s="51"/>
      <c r="BC1486" s="51"/>
      <c r="BD1486" s="51"/>
      <c r="BE1486" s="51"/>
      <c r="BF1486" s="47"/>
      <c r="BG1486" s="47"/>
      <c r="BH1486" s="47"/>
      <c r="BI1486" s="47"/>
      <c r="BJ1486" s="47"/>
      <c r="BK1486" s="47"/>
      <c r="BL1486" s="47"/>
      <c r="BM1486" s="47"/>
      <c r="BN1486" s="47"/>
      <c r="BO1486" s="47"/>
      <c r="BP1486" s="47"/>
      <c r="BQ1486" s="47"/>
      <c r="BR1486" s="47"/>
      <c r="BS1486" s="47"/>
      <c r="BT1486" s="47"/>
    </row>
    <row r="1487">
      <c r="A1487" s="24"/>
      <c r="B1487" s="48"/>
      <c r="C1487" s="49"/>
      <c r="D1487" s="24"/>
      <c r="E1487" s="52"/>
      <c r="F1487" s="53"/>
      <c r="G1487" s="48"/>
      <c r="H1487" s="49"/>
      <c r="I1487" s="49"/>
      <c r="J1487" s="48"/>
      <c r="K1487" s="48"/>
      <c r="L1487" s="48"/>
      <c r="M1487" s="48"/>
      <c r="N1487" s="48"/>
      <c r="O1487" s="48"/>
      <c r="P1487" s="48"/>
      <c r="Q1487" s="48"/>
      <c r="R1487" s="48"/>
      <c r="S1487" s="48"/>
      <c r="T1487" s="48"/>
      <c r="U1487" s="48"/>
      <c r="V1487" s="48"/>
      <c r="W1487" s="49"/>
      <c r="X1487" s="49"/>
      <c r="Y1487" s="49"/>
      <c r="Z1487" s="49"/>
      <c r="AA1487" s="49"/>
      <c r="AB1487" s="49"/>
      <c r="AC1487" s="49"/>
      <c r="AD1487" s="49"/>
      <c r="AE1487" s="49"/>
      <c r="AF1487" s="49"/>
      <c r="AG1487" s="49"/>
      <c r="AH1487" s="49"/>
      <c r="AI1487" s="48"/>
      <c r="AJ1487" s="48"/>
      <c r="AK1487" s="24"/>
      <c r="AL1487" s="50"/>
      <c r="AM1487" s="50"/>
      <c r="AN1487" s="50"/>
      <c r="AO1487" s="50"/>
      <c r="AP1487" s="50"/>
      <c r="AQ1487" s="50"/>
      <c r="AR1487" s="50"/>
      <c r="AS1487" s="50"/>
      <c r="AT1487" s="51"/>
      <c r="AU1487" s="51"/>
      <c r="AV1487" s="51"/>
      <c r="AW1487" s="51"/>
      <c r="AX1487" s="50"/>
      <c r="AY1487" s="50"/>
      <c r="AZ1487" s="50"/>
      <c r="BA1487" s="50"/>
      <c r="BB1487" s="51"/>
      <c r="BC1487" s="51"/>
      <c r="BD1487" s="51"/>
      <c r="BE1487" s="51"/>
      <c r="BF1487" s="47"/>
      <c r="BG1487" s="47"/>
      <c r="BH1487" s="47"/>
      <c r="BI1487" s="47"/>
      <c r="BJ1487" s="47"/>
      <c r="BK1487" s="47"/>
      <c r="BL1487" s="47"/>
      <c r="BM1487" s="47"/>
      <c r="BN1487" s="47"/>
      <c r="BO1487" s="47"/>
      <c r="BP1487" s="47"/>
      <c r="BQ1487" s="47"/>
      <c r="BR1487" s="47"/>
      <c r="BS1487" s="47"/>
      <c r="BT1487" s="47"/>
    </row>
    <row r="1488">
      <c r="A1488" s="24"/>
      <c r="B1488" s="48"/>
      <c r="C1488" s="49"/>
      <c r="D1488" s="24"/>
      <c r="E1488" s="52"/>
      <c r="F1488" s="53"/>
      <c r="G1488" s="48"/>
      <c r="H1488" s="49"/>
      <c r="I1488" s="49"/>
      <c r="J1488" s="48"/>
      <c r="K1488" s="48"/>
      <c r="L1488" s="48"/>
      <c r="M1488" s="48"/>
      <c r="N1488" s="48"/>
      <c r="O1488" s="48"/>
      <c r="P1488" s="48"/>
      <c r="Q1488" s="48"/>
      <c r="R1488" s="48"/>
      <c r="S1488" s="48"/>
      <c r="T1488" s="48"/>
      <c r="U1488" s="48"/>
      <c r="V1488" s="48"/>
      <c r="W1488" s="49"/>
      <c r="X1488" s="49"/>
      <c r="Y1488" s="49"/>
      <c r="Z1488" s="49"/>
      <c r="AA1488" s="49"/>
      <c r="AB1488" s="49"/>
      <c r="AC1488" s="49"/>
      <c r="AD1488" s="49"/>
      <c r="AE1488" s="49"/>
      <c r="AF1488" s="49"/>
      <c r="AG1488" s="49"/>
      <c r="AH1488" s="49"/>
      <c r="AI1488" s="48"/>
      <c r="AJ1488" s="48"/>
      <c r="AK1488" s="24"/>
      <c r="AL1488" s="50"/>
      <c r="AM1488" s="50"/>
      <c r="AN1488" s="50"/>
      <c r="AO1488" s="50"/>
      <c r="AP1488" s="50"/>
      <c r="AQ1488" s="50"/>
      <c r="AR1488" s="50"/>
      <c r="AS1488" s="50"/>
      <c r="AT1488" s="51"/>
      <c r="AU1488" s="51"/>
      <c r="AV1488" s="51"/>
      <c r="AW1488" s="51"/>
      <c r="AX1488" s="50"/>
      <c r="AY1488" s="50"/>
      <c r="AZ1488" s="50"/>
      <c r="BA1488" s="50"/>
      <c r="BB1488" s="51"/>
      <c r="BC1488" s="51"/>
      <c r="BD1488" s="51"/>
      <c r="BE1488" s="51"/>
      <c r="BF1488" s="47"/>
      <c r="BG1488" s="47"/>
      <c r="BH1488" s="47"/>
      <c r="BI1488" s="47"/>
      <c r="BJ1488" s="47"/>
      <c r="BK1488" s="47"/>
      <c r="BL1488" s="47"/>
      <c r="BM1488" s="47"/>
      <c r="BN1488" s="47"/>
      <c r="BO1488" s="47"/>
      <c r="BP1488" s="47"/>
      <c r="BQ1488" s="47"/>
      <c r="BR1488" s="47"/>
      <c r="BS1488" s="47"/>
      <c r="BT1488" s="47"/>
    </row>
    <row r="1489">
      <c r="A1489" s="24"/>
      <c r="B1489" s="48"/>
      <c r="C1489" s="49"/>
      <c r="D1489" s="24"/>
      <c r="E1489" s="52"/>
      <c r="F1489" s="53"/>
      <c r="G1489" s="48"/>
      <c r="H1489" s="49"/>
      <c r="I1489" s="49"/>
      <c r="J1489" s="48"/>
      <c r="K1489" s="48"/>
      <c r="L1489" s="48"/>
      <c r="M1489" s="48"/>
      <c r="N1489" s="48"/>
      <c r="O1489" s="48"/>
      <c r="P1489" s="48"/>
      <c r="Q1489" s="48"/>
      <c r="R1489" s="48"/>
      <c r="S1489" s="48"/>
      <c r="T1489" s="48"/>
      <c r="U1489" s="48"/>
      <c r="V1489" s="48"/>
      <c r="W1489" s="49"/>
      <c r="X1489" s="49"/>
      <c r="Y1489" s="49"/>
      <c r="Z1489" s="49"/>
      <c r="AA1489" s="49"/>
      <c r="AB1489" s="49"/>
      <c r="AC1489" s="49"/>
      <c r="AD1489" s="49"/>
      <c r="AE1489" s="49"/>
      <c r="AF1489" s="49"/>
      <c r="AG1489" s="49"/>
      <c r="AH1489" s="49"/>
      <c r="AI1489" s="48"/>
      <c r="AJ1489" s="48"/>
      <c r="AK1489" s="24"/>
      <c r="AL1489" s="50"/>
      <c r="AM1489" s="50"/>
      <c r="AN1489" s="50"/>
      <c r="AO1489" s="50"/>
      <c r="AP1489" s="50"/>
      <c r="AQ1489" s="50"/>
      <c r="AR1489" s="50"/>
      <c r="AS1489" s="50"/>
      <c r="AT1489" s="51"/>
      <c r="AU1489" s="51"/>
      <c r="AV1489" s="51"/>
      <c r="AW1489" s="51"/>
      <c r="AX1489" s="50"/>
      <c r="AY1489" s="50"/>
      <c r="AZ1489" s="50"/>
      <c r="BA1489" s="50"/>
      <c r="BB1489" s="51"/>
      <c r="BC1489" s="51"/>
      <c r="BD1489" s="51"/>
      <c r="BE1489" s="51"/>
      <c r="BF1489" s="47"/>
      <c r="BG1489" s="47"/>
      <c r="BH1489" s="47"/>
      <c r="BI1489" s="47"/>
      <c r="BJ1489" s="47"/>
      <c r="BK1489" s="47"/>
      <c r="BL1489" s="47"/>
      <c r="BM1489" s="47"/>
      <c r="BN1489" s="47"/>
      <c r="BO1489" s="47"/>
      <c r="BP1489" s="47"/>
      <c r="BQ1489" s="47"/>
      <c r="BR1489" s="47"/>
      <c r="BS1489" s="47"/>
      <c r="BT1489" s="47"/>
    </row>
    <row r="1490">
      <c r="A1490" s="24"/>
      <c r="B1490" s="48"/>
      <c r="C1490" s="49"/>
      <c r="D1490" s="24"/>
      <c r="E1490" s="52"/>
      <c r="F1490" s="53"/>
      <c r="G1490" s="48"/>
      <c r="H1490" s="49"/>
      <c r="I1490" s="49"/>
      <c r="J1490" s="48"/>
      <c r="K1490" s="48"/>
      <c r="L1490" s="48"/>
      <c r="M1490" s="48"/>
      <c r="N1490" s="48"/>
      <c r="O1490" s="48"/>
      <c r="P1490" s="48"/>
      <c r="Q1490" s="48"/>
      <c r="R1490" s="48"/>
      <c r="S1490" s="48"/>
      <c r="T1490" s="48"/>
      <c r="U1490" s="48"/>
      <c r="V1490" s="48"/>
      <c r="W1490" s="49"/>
      <c r="X1490" s="49"/>
      <c r="Y1490" s="49"/>
      <c r="Z1490" s="49"/>
      <c r="AA1490" s="49"/>
      <c r="AB1490" s="49"/>
      <c r="AC1490" s="49"/>
      <c r="AD1490" s="49"/>
      <c r="AE1490" s="49"/>
      <c r="AF1490" s="49"/>
      <c r="AG1490" s="49"/>
      <c r="AH1490" s="49"/>
      <c r="AI1490" s="48"/>
      <c r="AJ1490" s="48"/>
      <c r="AK1490" s="24"/>
      <c r="AL1490" s="50"/>
      <c r="AM1490" s="50"/>
      <c r="AN1490" s="50"/>
      <c r="AO1490" s="50"/>
      <c r="AP1490" s="50"/>
      <c r="AQ1490" s="50"/>
      <c r="AR1490" s="50"/>
      <c r="AS1490" s="50"/>
      <c r="AT1490" s="51"/>
      <c r="AU1490" s="51"/>
      <c r="AV1490" s="51"/>
      <c r="AW1490" s="51"/>
      <c r="AX1490" s="50"/>
      <c r="AY1490" s="50"/>
      <c r="AZ1490" s="50"/>
      <c r="BA1490" s="50"/>
      <c r="BB1490" s="51"/>
      <c r="BC1490" s="51"/>
      <c r="BD1490" s="51"/>
      <c r="BE1490" s="51"/>
      <c r="BF1490" s="47"/>
      <c r="BG1490" s="47"/>
      <c r="BH1490" s="47"/>
      <c r="BI1490" s="47"/>
      <c r="BJ1490" s="47"/>
      <c r="BK1490" s="47"/>
      <c r="BL1490" s="47"/>
      <c r="BM1490" s="47"/>
      <c r="BN1490" s="47"/>
      <c r="BO1490" s="47"/>
      <c r="BP1490" s="47"/>
      <c r="BQ1490" s="47"/>
      <c r="BR1490" s="47"/>
      <c r="BS1490" s="47"/>
      <c r="BT1490" s="47"/>
    </row>
    <row r="1491">
      <c r="A1491" s="24"/>
      <c r="B1491" s="48"/>
      <c r="C1491" s="49"/>
      <c r="D1491" s="24"/>
      <c r="E1491" s="52"/>
      <c r="F1491" s="53"/>
      <c r="G1491" s="48"/>
      <c r="H1491" s="49"/>
      <c r="I1491" s="49"/>
      <c r="J1491" s="48"/>
      <c r="K1491" s="48"/>
      <c r="L1491" s="48"/>
      <c r="M1491" s="48"/>
      <c r="N1491" s="48"/>
      <c r="O1491" s="48"/>
      <c r="P1491" s="48"/>
      <c r="Q1491" s="48"/>
      <c r="R1491" s="48"/>
      <c r="S1491" s="48"/>
      <c r="T1491" s="48"/>
      <c r="U1491" s="48"/>
      <c r="V1491" s="48"/>
      <c r="W1491" s="49"/>
      <c r="X1491" s="49"/>
      <c r="Y1491" s="49"/>
      <c r="Z1491" s="49"/>
      <c r="AA1491" s="49"/>
      <c r="AB1491" s="49"/>
      <c r="AC1491" s="49"/>
      <c r="AD1491" s="49"/>
      <c r="AE1491" s="49"/>
      <c r="AF1491" s="49"/>
      <c r="AG1491" s="49"/>
      <c r="AH1491" s="49"/>
      <c r="AI1491" s="48"/>
      <c r="AJ1491" s="48"/>
      <c r="AK1491" s="24"/>
      <c r="AL1491" s="50"/>
      <c r="AM1491" s="50"/>
      <c r="AN1491" s="50"/>
      <c r="AO1491" s="50"/>
      <c r="AP1491" s="50"/>
      <c r="AQ1491" s="50"/>
      <c r="AR1491" s="50"/>
      <c r="AS1491" s="50"/>
      <c r="AT1491" s="51"/>
      <c r="AU1491" s="51"/>
      <c r="AV1491" s="51"/>
      <c r="AW1491" s="51"/>
      <c r="AX1491" s="50"/>
      <c r="AY1491" s="50"/>
      <c r="AZ1491" s="50"/>
      <c r="BA1491" s="50"/>
      <c r="BB1491" s="51"/>
      <c r="BC1491" s="51"/>
      <c r="BD1491" s="51"/>
      <c r="BE1491" s="51"/>
      <c r="BF1491" s="47"/>
      <c r="BG1491" s="47"/>
      <c r="BH1491" s="47"/>
      <c r="BI1491" s="47"/>
      <c r="BJ1491" s="47"/>
      <c r="BK1491" s="47"/>
      <c r="BL1491" s="47"/>
      <c r="BM1491" s="47"/>
      <c r="BN1491" s="47"/>
      <c r="BO1491" s="47"/>
      <c r="BP1491" s="47"/>
      <c r="BQ1491" s="47"/>
      <c r="BR1491" s="47"/>
      <c r="BS1491" s="47"/>
      <c r="BT1491" s="47"/>
    </row>
    <row r="1492">
      <c r="A1492" s="24"/>
      <c r="B1492" s="48"/>
      <c r="C1492" s="49"/>
      <c r="D1492" s="24"/>
      <c r="E1492" s="52"/>
      <c r="F1492" s="53"/>
      <c r="G1492" s="48"/>
      <c r="H1492" s="49"/>
      <c r="I1492" s="49"/>
      <c r="J1492" s="48"/>
      <c r="K1492" s="48"/>
      <c r="L1492" s="48"/>
      <c r="M1492" s="48"/>
      <c r="N1492" s="48"/>
      <c r="O1492" s="48"/>
      <c r="P1492" s="48"/>
      <c r="Q1492" s="48"/>
      <c r="R1492" s="48"/>
      <c r="S1492" s="48"/>
      <c r="T1492" s="48"/>
      <c r="U1492" s="48"/>
      <c r="V1492" s="48"/>
      <c r="W1492" s="49"/>
      <c r="X1492" s="49"/>
      <c r="Y1492" s="49"/>
      <c r="Z1492" s="49"/>
      <c r="AA1492" s="49"/>
      <c r="AB1492" s="49"/>
      <c r="AC1492" s="49"/>
      <c r="AD1492" s="49"/>
      <c r="AE1492" s="49"/>
      <c r="AF1492" s="49"/>
      <c r="AG1492" s="49"/>
      <c r="AH1492" s="49"/>
      <c r="AI1492" s="48"/>
      <c r="AJ1492" s="48"/>
      <c r="AK1492" s="24"/>
      <c r="AL1492" s="50"/>
      <c r="AM1492" s="50"/>
      <c r="AN1492" s="50"/>
      <c r="AO1492" s="50"/>
      <c r="AP1492" s="50"/>
      <c r="AQ1492" s="50"/>
      <c r="AR1492" s="50"/>
      <c r="AS1492" s="50"/>
      <c r="AT1492" s="51"/>
      <c r="AU1492" s="51"/>
      <c r="AV1492" s="51"/>
      <c r="AW1492" s="51"/>
      <c r="AX1492" s="50"/>
      <c r="AY1492" s="50"/>
      <c r="AZ1492" s="50"/>
      <c r="BA1492" s="50"/>
      <c r="BB1492" s="51"/>
      <c r="BC1492" s="51"/>
      <c r="BD1492" s="51"/>
      <c r="BE1492" s="51"/>
      <c r="BF1492" s="47"/>
      <c r="BG1492" s="47"/>
      <c r="BH1492" s="47"/>
      <c r="BI1492" s="47"/>
      <c r="BJ1492" s="47"/>
      <c r="BK1492" s="47"/>
      <c r="BL1492" s="47"/>
      <c r="BM1492" s="47"/>
      <c r="BN1492" s="47"/>
      <c r="BO1492" s="47"/>
      <c r="BP1492" s="47"/>
      <c r="BQ1492" s="47"/>
      <c r="BR1492" s="47"/>
      <c r="BS1492" s="47"/>
      <c r="BT1492" s="47"/>
    </row>
    <row r="1493">
      <c r="A1493" s="24"/>
      <c r="B1493" s="48"/>
      <c r="C1493" s="49"/>
      <c r="D1493" s="24"/>
      <c r="E1493" s="52"/>
      <c r="F1493" s="53"/>
      <c r="G1493" s="48"/>
      <c r="H1493" s="49"/>
      <c r="I1493" s="49"/>
      <c r="J1493" s="48"/>
      <c r="K1493" s="48"/>
      <c r="L1493" s="48"/>
      <c r="M1493" s="48"/>
      <c r="N1493" s="48"/>
      <c r="O1493" s="48"/>
      <c r="P1493" s="48"/>
      <c r="Q1493" s="48"/>
      <c r="R1493" s="48"/>
      <c r="S1493" s="48"/>
      <c r="T1493" s="48"/>
      <c r="U1493" s="48"/>
      <c r="V1493" s="48"/>
      <c r="W1493" s="49"/>
      <c r="X1493" s="49"/>
      <c r="Y1493" s="49"/>
      <c r="Z1493" s="49"/>
      <c r="AA1493" s="49"/>
      <c r="AB1493" s="49"/>
      <c r="AC1493" s="49"/>
      <c r="AD1493" s="49"/>
      <c r="AE1493" s="49"/>
      <c r="AF1493" s="49"/>
      <c r="AG1493" s="49"/>
      <c r="AH1493" s="49"/>
      <c r="AI1493" s="48"/>
      <c r="AJ1493" s="48"/>
      <c r="AK1493" s="24"/>
      <c r="AL1493" s="50"/>
      <c r="AM1493" s="50"/>
      <c r="AN1493" s="50"/>
      <c r="AO1493" s="50"/>
      <c r="AP1493" s="50"/>
      <c r="AQ1493" s="50"/>
      <c r="AR1493" s="50"/>
      <c r="AS1493" s="50"/>
      <c r="AT1493" s="51"/>
      <c r="AU1493" s="51"/>
      <c r="AV1493" s="51"/>
      <c r="AW1493" s="51"/>
      <c r="AX1493" s="50"/>
      <c r="AY1493" s="50"/>
      <c r="AZ1493" s="50"/>
      <c r="BA1493" s="50"/>
      <c r="BB1493" s="51"/>
      <c r="BC1493" s="51"/>
      <c r="BD1493" s="51"/>
      <c r="BE1493" s="51"/>
      <c r="BF1493" s="47"/>
      <c r="BG1493" s="47"/>
      <c r="BH1493" s="47"/>
      <c r="BI1493" s="47"/>
      <c r="BJ1493" s="47"/>
      <c r="BK1493" s="47"/>
      <c r="BL1493" s="47"/>
      <c r="BM1493" s="47"/>
      <c r="BN1493" s="47"/>
      <c r="BO1493" s="47"/>
      <c r="BP1493" s="47"/>
      <c r="BQ1493" s="47"/>
      <c r="BR1493" s="47"/>
      <c r="BS1493" s="47"/>
      <c r="BT1493" s="47"/>
    </row>
    <row r="1494">
      <c r="A1494" s="24"/>
      <c r="B1494" s="48"/>
      <c r="C1494" s="49"/>
      <c r="D1494" s="24"/>
      <c r="E1494" s="52"/>
      <c r="F1494" s="53"/>
      <c r="G1494" s="48"/>
      <c r="H1494" s="49"/>
      <c r="I1494" s="49"/>
      <c r="J1494" s="48"/>
      <c r="K1494" s="48"/>
      <c r="L1494" s="48"/>
      <c r="M1494" s="48"/>
      <c r="N1494" s="48"/>
      <c r="O1494" s="48"/>
      <c r="P1494" s="48"/>
      <c r="Q1494" s="48"/>
      <c r="R1494" s="48"/>
      <c r="S1494" s="48"/>
      <c r="T1494" s="48"/>
      <c r="U1494" s="48"/>
      <c r="V1494" s="48"/>
      <c r="W1494" s="49"/>
      <c r="X1494" s="49"/>
      <c r="Y1494" s="49"/>
      <c r="Z1494" s="49"/>
      <c r="AA1494" s="49"/>
      <c r="AB1494" s="49"/>
      <c r="AC1494" s="49"/>
      <c r="AD1494" s="49"/>
      <c r="AE1494" s="49"/>
      <c r="AF1494" s="49"/>
      <c r="AG1494" s="49"/>
      <c r="AH1494" s="49"/>
      <c r="AI1494" s="48"/>
      <c r="AJ1494" s="48"/>
      <c r="AK1494" s="24"/>
      <c r="AL1494" s="50"/>
      <c r="AM1494" s="50"/>
      <c r="AN1494" s="50"/>
      <c r="AO1494" s="50"/>
      <c r="AP1494" s="50"/>
      <c r="AQ1494" s="50"/>
      <c r="AR1494" s="50"/>
      <c r="AS1494" s="50"/>
      <c r="AT1494" s="51"/>
      <c r="AU1494" s="51"/>
      <c r="AV1494" s="51"/>
      <c r="AW1494" s="51"/>
      <c r="AX1494" s="50"/>
      <c r="AY1494" s="50"/>
      <c r="AZ1494" s="50"/>
      <c r="BA1494" s="50"/>
      <c r="BB1494" s="51"/>
      <c r="BC1494" s="51"/>
      <c r="BD1494" s="51"/>
      <c r="BE1494" s="51"/>
      <c r="BF1494" s="47"/>
      <c r="BG1494" s="47"/>
      <c r="BH1494" s="47"/>
      <c r="BI1494" s="47"/>
      <c r="BJ1494" s="47"/>
      <c r="BK1494" s="47"/>
      <c r="BL1494" s="47"/>
      <c r="BM1494" s="47"/>
      <c r="BN1494" s="47"/>
      <c r="BO1494" s="47"/>
      <c r="BP1494" s="47"/>
      <c r="BQ1494" s="47"/>
      <c r="BR1494" s="47"/>
      <c r="BS1494" s="47"/>
      <c r="BT1494" s="47"/>
    </row>
    <row r="1495">
      <c r="A1495" s="24"/>
      <c r="B1495" s="48"/>
      <c r="C1495" s="49"/>
      <c r="D1495" s="24"/>
      <c r="E1495" s="52"/>
      <c r="F1495" s="53"/>
      <c r="G1495" s="48"/>
      <c r="H1495" s="49"/>
      <c r="I1495" s="49"/>
      <c r="J1495" s="48"/>
      <c r="K1495" s="48"/>
      <c r="L1495" s="48"/>
      <c r="M1495" s="48"/>
      <c r="N1495" s="48"/>
      <c r="O1495" s="48"/>
      <c r="P1495" s="48"/>
      <c r="Q1495" s="48"/>
      <c r="R1495" s="48"/>
      <c r="S1495" s="48"/>
      <c r="T1495" s="48"/>
      <c r="U1495" s="48"/>
      <c r="V1495" s="48"/>
      <c r="W1495" s="49"/>
      <c r="X1495" s="49"/>
      <c r="Y1495" s="49"/>
      <c r="Z1495" s="49"/>
      <c r="AA1495" s="49"/>
      <c r="AB1495" s="49"/>
      <c r="AC1495" s="49"/>
      <c r="AD1495" s="49"/>
      <c r="AE1495" s="49"/>
      <c r="AF1495" s="49"/>
      <c r="AG1495" s="49"/>
      <c r="AH1495" s="49"/>
      <c r="AI1495" s="48"/>
      <c r="AJ1495" s="48"/>
      <c r="AK1495" s="24"/>
      <c r="AL1495" s="50"/>
      <c r="AM1495" s="50"/>
      <c r="AN1495" s="50"/>
      <c r="AO1495" s="50"/>
      <c r="AP1495" s="50"/>
      <c r="AQ1495" s="50"/>
      <c r="AR1495" s="50"/>
      <c r="AS1495" s="50"/>
      <c r="AT1495" s="51"/>
      <c r="AU1495" s="51"/>
      <c r="AV1495" s="51"/>
      <c r="AW1495" s="51"/>
      <c r="AX1495" s="50"/>
      <c r="AY1495" s="50"/>
      <c r="AZ1495" s="50"/>
      <c r="BA1495" s="50"/>
      <c r="BB1495" s="51"/>
      <c r="BC1495" s="51"/>
      <c r="BD1495" s="51"/>
      <c r="BE1495" s="51"/>
      <c r="BF1495" s="47"/>
      <c r="BG1495" s="47"/>
      <c r="BH1495" s="47"/>
      <c r="BI1495" s="47"/>
      <c r="BJ1495" s="47"/>
      <c r="BK1495" s="47"/>
      <c r="BL1495" s="47"/>
      <c r="BM1495" s="47"/>
      <c r="BN1495" s="47"/>
      <c r="BO1495" s="47"/>
      <c r="BP1495" s="47"/>
      <c r="BQ1495" s="47"/>
      <c r="BR1495" s="47"/>
      <c r="BS1495" s="47"/>
      <c r="BT1495" s="47"/>
    </row>
    <row r="1496">
      <c r="A1496" s="24"/>
      <c r="B1496" s="48"/>
      <c r="C1496" s="49"/>
      <c r="D1496" s="24"/>
      <c r="E1496" s="52"/>
      <c r="F1496" s="53"/>
      <c r="G1496" s="48"/>
      <c r="H1496" s="49"/>
      <c r="I1496" s="49"/>
      <c r="J1496" s="48"/>
      <c r="K1496" s="48"/>
      <c r="L1496" s="48"/>
      <c r="M1496" s="48"/>
      <c r="N1496" s="48"/>
      <c r="O1496" s="48"/>
      <c r="P1496" s="48"/>
      <c r="Q1496" s="48"/>
      <c r="R1496" s="48"/>
      <c r="S1496" s="48"/>
      <c r="T1496" s="48"/>
      <c r="U1496" s="48"/>
      <c r="V1496" s="48"/>
      <c r="W1496" s="49"/>
      <c r="X1496" s="49"/>
      <c r="Y1496" s="49"/>
      <c r="Z1496" s="49"/>
      <c r="AA1496" s="49"/>
      <c r="AB1496" s="49"/>
      <c r="AC1496" s="49"/>
      <c r="AD1496" s="49"/>
      <c r="AE1496" s="49"/>
      <c r="AF1496" s="49"/>
      <c r="AG1496" s="49"/>
      <c r="AH1496" s="49"/>
      <c r="AI1496" s="48"/>
      <c r="AJ1496" s="48"/>
      <c r="AK1496" s="24"/>
      <c r="AL1496" s="50"/>
      <c r="AM1496" s="50"/>
      <c r="AN1496" s="50"/>
      <c r="AO1496" s="50"/>
      <c r="AP1496" s="50"/>
      <c r="AQ1496" s="50"/>
      <c r="AR1496" s="50"/>
      <c r="AS1496" s="50"/>
      <c r="AT1496" s="51"/>
      <c r="AU1496" s="51"/>
      <c r="AV1496" s="51"/>
      <c r="AW1496" s="51"/>
      <c r="AX1496" s="50"/>
      <c r="AY1496" s="50"/>
      <c r="AZ1496" s="50"/>
      <c r="BA1496" s="50"/>
      <c r="BB1496" s="51"/>
      <c r="BC1496" s="51"/>
      <c r="BD1496" s="51"/>
      <c r="BE1496" s="51"/>
      <c r="BF1496" s="47"/>
      <c r="BG1496" s="47"/>
      <c r="BH1496" s="47"/>
      <c r="BI1496" s="47"/>
      <c r="BJ1496" s="47"/>
      <c r="BK1496" s="47"/>
      <c r="BL1496" s="47"/>
      <c r="BM1496" s="47"/>
      <c r="BN1496" s="47"/>
      <c r="BO1496" s="47"/>
      <c r="BP1496" s="47"/>
      <c r="BQ1496" s="47"/>
      <c r="BR1496" s="47"/>
      <c r="BS1496" s="47"/>
      <c r="BT1496" s="47"/>
    </row>
    <row r="1497">
      <c r="A1497" s="24"/>
      <c r="B1497" s="48"/>
      <c r="C1497" s="49"/>
      <c r="D1497" s="24"/>
      <c r="E1497" s="52"/>
      <c r="F1497" s="53"/>
      <c r="G1497" s="48"/>
      <c r="H1497" s="49"/>
      <c r="I1497" s="49"/>
      <c r="J1497" s="48"/>
      <c r="K1497" s="48"/>
      <c r="L1497" s="48"/>
      <c r="M1497" s="48"/>
      <c r="N1497" s="48"/>
      <c r="O1497" s="48"/>
      <c r="P1497" s="48"/>
      <c r="Q1497" s="48"/>
      <c r="R1497" s="48"/>
      <c r="S1497" s="48"/>
      <c r="T1497" s="48"/>
      <c r="U1497" s="48"/>
      <c r="V1497" s="48"/>
      <c r="W1497" s="49"/>
      <c r="X1497" s="49"/>
      <c r="Y1497" s="49"/>
      <c r="Z1497" s="49"/>
      <c r="AA1497" s="49"/>
      <c r="AB1497" s="49"/>
      <c r="AC1497" s="49"/>
      <c r="AD1497" s="49"/>
      <c r="AE1497" s="49"/>
      <c r="AF1497" s="49"/>
      <c r="AG1497" s="49"/>
      <c r="AH1497" s="49"/>
      <c r="AI1497" s="48"/>
      <c r="AJ1497" s="48"/>
      <c r="AK1497" s="24"/>
      <c r="AL1497" s="50"/>
      <c r="AM1497" s="50"/>
      <c r="AN1497" s="50"/>
      <c r="AO1497" s="50"/>
      <c r="AP1497" s="50"/>
      <c r="AQ1497" s="50"/>
      <c r="AR1497" s="50"/>
      <c r="AS1497" s="50"/>
      <c r="AT1497" s="51"/>
      <c r="AU1497" s="51"/>
      <c r="AV1497" s="51"/>
      <c r="AW1497" s="51"/>
      <c r="AX1497" s="50"/>
      <c r="AY1497" s="50"/>
      <c r="AZ1497" s="50"/>
      <c r="BA1497" s="50"/>
      <c r="BB1497" s="51"/>
      <c r="BC1497" s="51"/>
      <c r="BD1497" s="51"/>
      <c r="BE1497" s="51"/>
      <c r="BF1497" s="47"/>
      <c r="BG1497" s="47"/>
      <c r="BH1497" s="47"/>
      <c r="BI1497" s="47"/>
      <c r="BJ1497" s="47"/>
      <c r="BK1497" s="47"/>
      <c r="BL1497" s="47"/>
      <c r="BM1497" s="47"/>
      <c r="BN1497" s="47"/>
      <c r="BO1497" s="47"/>
      <c r="BP1497" s="47"/>
      <c r="BQ1497" s="47"/>
      <c r="BR1497" s="47"/>
      <c r="BS1497" s="47"/>
      <c r="BT1497" s="47"/>
    </row>
    <row r="1498">
      <c r="A1498" s="24"/>
      <c r="B1498" s="48"/>
      <c r="C1498" s="49"/>
      <c r="D1498" s="24"/>
      <c r="E1498" s="52"/>
      <c r="F1498" s="53"/>
      <c r="G1498" s="48"/>
      <c r="H1498" s="49"/>
      <c r="I1498" s="49"/>
      <c r="J1498" s="48"/>
      <c r="K1498" s="48"/>
      <c r="L1498" s="48"/>
      <c r="M1498" s="48"/>
      <c r="N1498" s="48"/>
      <c r="O1498" s="48"/>
      <c r="P1498" s="48"/>
      <c r="Q1498" s="48"/>
      <c r="R1498" s="48"/>
      <c r="S1498" s="48"/>
      <c r="T1498" s="48"/>
      <c r="U1498" s="48"/>
      <c r="V1498" s="48"/>
      <c r="W1498" s="49"/>
      <c r="X1498" s="49"/>
      <c r="Y1498" s="49"/>
      <c r="Z1498" s="49"/>
      <c r="AA1498" s="49"/>
      <c r="AB1498" s="49"/>
      <c r="AC1498" s="49"/>
      <c r="AD1498" s="49"/>
      <c r="AE1498" s="49"/>
      <c r="AF1498" s="49"/>
      <c r="AG1498" s="49"/>
      <c r="AH1498" s="49"/>
      <c r="AI1498" s="48"/>
      <c r="AJ1498" s="48"/>
      <c r="AK1498" s="24"/>
      <c r="AL1498" s="50"/>
      <c r="AM1498" s="50"/>
      <c r="AN1498" s="50"/>
      <c r="AO1498" s="50"/>
      <c r="AP1498" s="50"/>
      <c r="AQ1498" s="50"/>
      <c r="AR1498" s="50"/>
      <c r="AS1498" s="50"/>
      <c r="AT1498" s="51"/>
      <c r="AU1498" s="51"/>
      <c r="AV1498" s="51"/>
      <c r="AW1498" s="51"/>
      <c r="AX1498" s="50"/>
      <c r="AY1498" s="50"/>
      <c r="AZ1498" s="50"/>
      <c r="BA1498" s="50"/>
      <c r="BB1498" s="51"/>
      <c r="BC1498" s="51"/>
      <c r="BD1498" s="51"/>
      <c r="BE1498" s="51"/>
      <c r="BF1498" s="47"/>
      <c r="BG1498" s="47"/>
      <c r="BH1498" s="47"/>
      <c r="BI1498" s="47"/>
      <c r="BJ1498" s="47"/>
      <c r="BK1498" s="47"/>
      <c r="BL1498" s="47"/>
      <c r="BM1498" s="47"/>
      <c r="BN1498" s="47"/>
      <c r="BO1498" s="47"/>
      <c r="BP1498" s="47"/>
      <c r="BQ1498" s="47"/>
      <c r="BR1498" s="47"/>
      <c r="BS1498" s="47"/>
      <c r="BT1498" s="47"/>
    </row>
    <row r="1499">
      <c r="A1499" s="24"/>
      <c r="B1499" s="48"/>
      <c r="C1499" s="49"/>
      <c r="D1499" s="24"/>
      <c r="E1499" s="52"/>
      <c r="F1499" s="53"/>
      <c r="G1499" s="48"/>
      <c r="H1499" s="49"/>
      <c r="I1499" s="49"/>
      <c r="J1499" s="48"/>
      <c r="K1499" s="48"/>
      <c r="L1499" s="48"/>
      <c r="M1499" s="48"/>
      <c r="N1499" s="48"/>
      <c r="O1499" s="48"/>
      <c r="P1499" s="48"/>
      <c r="Q1499" s="48"/>
      <c r="R1499" s="48"/>
      <c r="S1499" s="48"/>
      <c r="T1499" s="48"/>
      <c r="U1499" s="48"/>
      <c r="V1499" s="48"/>
      <c r="W1499" s="49"/>
      <c r="X1499" s="49"/>
      <c r="Y1499" s="49"/>
      <c r="Z1499" s="49"/>
      <c r="AA1499" s="49"/>
      <c r="AB1499" s="49"/>
      <c r="AC1499" s="49"/>
      <c r="AD1499" s="49"/>
      <c r="AE1499" s="49"/>
      <c r="AF1499" s="49"/>
      <c r="AG1499" s="49"/>
      <c r="AH1499" s="49"/>
      <c r="AI1499" s="48"/>
      <c r="AJ1499" s="48"/>
      <c r="AK1499" s="24"/>
      <c r="AL1499" s="50"/>
      <c r="AM1499" s="50"/>
      <c r="AN1499" s="50"/>
      <c r="AO1499" s="50"/>
      <c r="AP1499" s="50"/>
      <c r="AQ1499" s="50"/>
      <c r="AR1499" s="50"/>
      <c r="AS1499" s="50"/>
      <c r="AT1499" s="51"/>
      <c r="AU1499" s="51"/>
      <c r="AV1499" s="51"/>
      <c r="AW1499" s="51"/>
      <c r="AX1499" s="50"/>
      <c r="AY1499" s="50"/>
      <c r="AZ1499" s="50"/>
      <c r="BA1499" s="50"/>
      <c r="BB1499" s="51"/>
      <c r="BC1499" s="51"/>
      <c r="BD1499" s="51"/>
      <c r="BE1499" s="51"/>
      <c r="BF1499" s="47"/>
      <c r="BG1499" s="47"/>
      <c r="BH1499" s="47"/>
      <c r="BI1499" s="47"/>
      <c r="BJ1499" s="47"/>
      <c r="BK1499" s="47"/>
      <c r="BL1499" s="47"/>
      <c r="BM1499" s="47"/>
      <c r="BN1499" s="47"/>
      <c r="BO1499" s="47"/>
      <c r="BP1499" s="47"/>
      <c r="BQ1499" s="47"/>
      <c r="BR1499" s="47"/>
      <c r="BS1499" s="47"/>
      <c r="BT1499" s="47"/>
    </row>
    <row r="1500">
      <c r="A1500" s="24"/>
      <c r="B1500" s="48"/>
      <c r="C1500" s="49"/>
      <c r="D1500" s="24"/>
      <c r="E1500" s="52"/>
      <c r="F1500" s="53"/>
      <c r="G1500" s="48"/>
      <c r="H1500" s="49"/>
      <c r="I1500" s="49"/>
      <c r="J1500" s="48"/>
      <c r="K1500" s="48"/>
      <c r="L1500" s="48"/>
      <c r="M1500" s="48"/>
      <c r="N1500" s="48"/>
      <c r="O1500" s="48"/>
      <c r="P1500" s="48"/>
      <c r="Q1500" s="48"/>
      <c r="R1500" s="48"/>
      <c r="S1500" s="48"/>
      <c r="T1500" s="48"/>
      <c r="U1500" s="48"/>
      <c r="V1500" s="48"/>
      <c r="W1500" s="49"/>
      <c r="X1500" s="49"/>
      <c r="Y1500" s="49"/>
      <c r="Z1500" s="49"/>
      <c r="AA1500" s="49"/>
      <c r="AB1500" s="49"/>
      <c r="AC1500" s="49"/>
      <c r="AD1500" s="49"/>
      <c r="AE1500" s="49"/>
      <c r="AF1500" s="49"/>
      <c r="AG1500" s="49"/>
      <c r="AH1500" s="49"/>
      <c r="AI1500" s="48"/>
      <c r="AJ1500" s="48"/>
      <c r="AK1500" s="24"/>
      <c r="AL1500" s="50"/>
      <c r="AM1500" s="50"/>
      <c r="AN1500" s="50"/>
      <c r="AO1500" s="50"/>
      <c r="AP1500" s="50"/>
      <c r="AQ1500" s="50"/>
      <c r="AR1500" s="50"/>
      <c r="AS1500" s="50"/>
      <c r="AT1500" s="51"/>
      <c r="AU1500" s="51"/>
      <c r="AV1500" s="51"/>
      <c r="AW1500" s="51"/>
      <c r="AX1500" s="50"/>
      <c r="AY1500" s="50"/>
      <c r="AZ1500" s="50"/>
      <c r="BA1500" s="50"/>
      <c r="BB1500" s="51"/>
      <c r="BC1500" s="51"/>
      <c r="BD1500" s="51"/>
      <c r="BE1500" s="51"/>
      <c r="BF1500" s="47"/>
      <c r="BG1500" s="47"/>
      <c r="BH1500" s="47"/>
      <c r="BI1500" s="47"/>
      <c r="BJ1500" s="47"/>
      <c r="BK1500" s="47"/>
      <c r="BL1500" s="47"/>
      <c r="BM1500" s="47"/>
      <c r="BN1500" s="47"/>
      <c r="BO1500" s="47"/>
      <c r="BP1500" s="47"/>
      <c r="BQ1500" s="47"/>
      <c r="BR1500" s="47"/>
      <c r="BS1500" s="47"/>
      <c r="BT1500" s="47"/>
    </row>
    <row r="1501">
      <c r="A1501" s="24"/>
      <c r="B1501" s="48"/>
      <c r="C1501" s="49"/>
      <c r="D1501" s="24"/>
      <c r="E1501" s="52"/>
      <c r="F1501" s="53"/>
      <c r="G1501" s="48"/>
      <c r="H1501" s="49"/>
      <c r="I1501" s="49"/>
      <c r="J1501" s="48"/>
      <c r="K1501" s="48"/>
      <c r="L1501" s="48"/>
      <c r="M1501" s="48"/>
      <c r="N1501" s="48"/>
      <c r="O1501" s="48"/>
      <c r="P1501" s="48"/>
      <c r="Q1501" s="48"/>
      <c r="R1501" s="48"/>
      <c r="S1501" s="48"/>
      <c r="T1501" s="48"/>
      <c r="U1501" s="48"/>
      <c r="V1501" s="48"/>
      <c r="W1501" s="49"/>
      <c r="X1501" s="49"/>
      <c r="Y1501" s="49"/>
      <c r="Z1501" s="49"/>
      <c r="AA1501" s="49"/>
      <c r="AB1501" s="49"/>
      <c r="AC1501" s="49"/>
      <c r="AD1501" s="49"/>
      <c r="AE1501" s="49"/>
      <c r="AF1501" s="49"/>
      <c r="AG1501" s="49"/>
      <c r="AH1501" s="49"/>
      <c r="AI1501" s="48"/>
      <c r="AJ1501" s="48"/>
      <c r="AK1501" s="24"/>
      <c r="AL1501" s="50"/>
      <c r="AM1501" s="50"/>
      <c r="AN1501" s="50"/>
      <c r="AO1501" s="50"/>
      <c r="AP1501" s="50"/>
      <c r="AQ1501" s="50"/>
      <c r="AR1501" s="50"/>
      <c r="AS1501" s="50"/>
      <c r="AT1501" s="51"/>
      <c r="AU1501" s="51"/>
      <c r="AV1501" s="51"/>
      <c r="AW1501" s="51"/>
      <c r="AX1501" s="50"/>
      <c r="AY1501" s="50"/>
      <c r="AZ1501" s="50"/>
      <c r="BA1501" s="50"/>
      <c r="BB1501" s="51"/>
      <c r="BC1501" s="51"/>
      <c r="BD1501" s="51"/>
      <c r="BE1501" s="51"/>
      <c r="BF1501" s="47"/>
      <c r="BG1501" s="47"/>
      <c r="BH1501" s="47"/>
      <c r="BI1501" s="47"/>
      <c r="BJ1501" s="47"/>
      <c r="BK1501" s="47"/>
      <c r="BL1501" s="47"/>
      <c r="BM1501" s="47"/>
      <c r="BN1501" s="47"/>
      <c r="BO1501" s="47"/>
      <c r="BP1501" s="47"/>
      <c r="BQ1501" s="47"/>
      <c r="BR1501" s="47"/>
      <c r="BS1501" s="47"/>
      <c r="BT1501" s="47"/>
    </row>
    <row r="1502">
      <c r="A1502" s="24"/>
      <c r="B1502" s="48"/>
      <c r="C1502" s="49"/>
      <c r="D1502" s="24"/>
      <c r="E1502" s="52"/>
      <c r="F1502" s="53"/>
      <c r="G1502" s="48"/>
      <c r="H1502" s="49"/>
      <c r="I1502" s="49"/>
      <c r="J1502" s="48"/>
      <c r="K1502" s="48"/>
      <c r="L1502" s="48"/>
      <c r="M1502" s="48"/>
      <c r="N1502" s="48"/>
      <c r="O1502" s="48"/>
      <c r="P1502" s="48"/>
      <c r="Q1502" s="48"/>
      <c r="R1502" s="48"/>
      <c r="S1502" s="48"/>
      <c r="T1502" s="48"/>
      <c r="U1502" s="48"/>
      <c r="V1502" s="48"/>
      <c r="W1502" s="49"/>
      <c r="X1502" s="49"/>
      <c r="Y1502" s="49"/>
      <c r="Z1502" s="49"/>
      <c r="AA1502" s="49"/>
      <c r="AB1502" s="49"/>
      <c r="AC1502" s="49"/>
      <c r="AD1502" s="49"/>
      <c r="AE1502" s="49"/>
      <c r="AF1502" s="49"/>
      <c r="AG1502" s="49"/>
      <c r="AH1502" s="49"/>
      <c r="AI1502" s="48"/>
      <c r="AJ1502" s="48"/>
      <c r="AK1502" s="24"/>
      <c r="AL1502" s="50"/>
      <c r="AM1502" s="50"/>
      <c r="AN1502" s="50"/>
      <c r="AO1502" s="50"/>
      <c r="AP1502" s="50"/>
      <c r="AQ1502" s="50"/>
      <c r="AR1502" s="50"/>
      <c r="AS1502" s="50"/>
      <c r="AT1502" s="51"/>
      <c r="AU1502" s="51"/>
      <c r="AV1502" s="51"/>
      <c r="AW1502" s="51"/>
      <c r="AX1502" s="50"/>
      <c r="AY1502" s="50"/>
      <c r="AZ1502" s="50"/>
      <c r="BA1502" s="50"/>
      <c r="BB1502" s="51"/>
      <c r="BC1502" s="51"/>
      <c r="BD1502" s="51"/>
      <c r="BE1502" s="51"/>
      <c r="BF1502" s="47"/>
      <c r="BG1502" s="47"/>
      <c r="BH1502" s="47"/>
      <c r="BI1502" s="47"/>
      <c r="BJ1502" s="47"/>
      <c r="BK1502" s="47"/>
      <c r="BL1502" s="47"/>
      <c r="BM1502" s="47"/>
      <c r="BN1502" s="47"/>
      <c r="BO1502" s="47"/>
      <c r="BP1502" s="47"/>
      <c r="BQ1502" s="47"/>
      <c r="BR1502" s="47"/>
      <c r="BS1502" s="47"/>
      <c r="BT1502" s="47"/>
    </row>
    <row r="1503">
      <c r="A1503" s="24"/>
      <c r="B1503" s="48"/>
      <c r="C1503" s="49"/>
      <c r="D1503" s="24"/>
      <c r="E1503" s="52"/>
      <c r="F1503" s="53"/>
      <c r="G1503" s="48"/>
      <c r="H1503" s="49"/>
      <c r="I1503" s="49"/>
      <c r="J1503" s="48"/>
      <c r="K1503" s="48"/>
      <c r="L1503" s="48"/>
      <c r="M1503" s="48"/>
      <c r="N1503" s="48"/>
      <c r="O1503" s="48"/>
      <c r="P1503" s="48"/>
      <c r="Q1503" s="48"/>
      <c r="R1503" s="48"/>
      <c r="S1503" s="48"/>
      <c r="T1503" s="48"/>
      <c r="U1503" s="48"/>
      <c r="V1503" s="48"/>
      <c r="W1503" s="49"/>
      <c r="X1503" s="49"/>
      <c r="Y1503" s="49"/>
      <c r="Z1503" s="49"/>
      <c r="AA1503" s="49"/>
      <c r="AB1503" s="49"/>
      <c r="AC1503" s="49"/>
      <c r="AD1503" s="49"/>
      <c r="AE1503" s="49"/>
      <c r="AF1503" s="49"/>
      <c r="AG1503" s="49"/>
      <c r="AH1503" s="49"/>
      <c r="AI1503" s="48"/>
      <c r="AJ1503" s="48"/>
      <c r="AK1503" s="24"/>
      <c r="AL1503" s="50"/>
      <c r="AM1503" s="50"/>
      <c r="AN1503" s="50"/>
      <c r="AO1503" s="50"/>
      <c r="AP1503" s="50"/>
      <c r="AQ1503" s="50"/>
      <c r="AR1503" s="50"/>
      <c r="AS1503" s="50"/>
      <c r="AT1503" s="51"/>
      <c r="AU1503" s="51"/>
      <c r="AV1503" s="51"/>
      <c r="AW1503" s="51"/>
      <c r="AX1503" s="50"/>
      <c r="AY1503" s="50"/>
      <c r="AZ1503" s="50"/>
      <c r="BA1503" s="50"/>
      <c r="BB1503" s="51"/>
      <c r="BC1503" s="51"/>
      <c r="BD1503" s="51"/>
      <c r="BE1503" s="51"/>
      <c r="BF1503" s="47"/>
      <c r="BG1503" s="47"/>
      <c r="BH1503" s="47"/>
      <c r="BI1503" s="47"/>
      <c r="BJ1503" s="47"/>
      <c r="BK1503" s="47"/>
      <c r="BL1503" s="47"/>
      <c r="BM1503" s="47"/>
      <c r="BN1503" s="47"/>
      <c r="BO1503" s="47"/>
      <c r="BP1503" s="47"/>
      <c r="BQ1503" s="47"/>
      <c r="BR1503" s="47"/>
      <c r="BS1503" s="47"/>
      <c r="BT1503" s="47"/>
    </row>
    <row r="1504">
      <c r="A1504" s="24"/>
      <c r="B1504" s="48"/>
      <c r="C1504" s="49"/>
      <c r="D1504" s="24"/>
      <c r="E1504" s="52"/>
      <c r="F1504" s="53"/>
      <c r="G1504" s="48"/>
      <c r="H1504" s="49"/>
      <c r="I1504" s="49"/>
      <c r="J1504" s="48"/>
      <c r="K1504" s="48"/>
      <c r="L1504" s="48"/>
      <c r="M1504" s="48"/>
      <c r="N1504" s="48"/>
      <c r="O1504" s="48"/>
      <c r="P1504" s="48"/>
      <c r="Q1504" s="48"/>
      <c r="R1504" s="48"/>
      <c r="S1504" s="48"/>
      <c r="T1504" s="48"/>
      <c r="U1504" s="48"/>
      <c r="V1504" s="48"/>
      <c r="W1504" s="49"/>
      <c r="X1504" s="49"/>
      <c r="Y1504" s="49"/>
      <c r="Z1504" s="49"/>
      <c r="AA1504" s="49"/>
      <c r="AB1504" s="49"/>
      <c r="AC1504" s="49"/>
      <c r="AD1504" s="49"/>
      <c r="AE1504" s="49"/>
      <c r="AF1504" s="49"/>
      <c r="AG1504" s="49"/>
      <c r="AH1504" s="49"/>
      <c r="AI1504" s="48"/>
      <c r="AJ1504" s="48"/>
      <c r="AK1504" s="24"/>
      <c r="AL1504" s="50"/>
      <c r="AM1504" s="50"/>
      <c r="AN1504" s="50"/>
      <c r="AO1504" s="50"/>
      <c r="AP1504" s="50"/>
      <c r="AQ1504" s="50"/>
      <c r="AR1504" s="50"/>
      <c r="AS1504" s="50"/>
      <c r="AT1504" s="51"/>
      <c r="AU1504" s="51"/>
      <c r="AV1504" s="51"/>
      <c r="AW1504" s="51"/>
      <c r="AX1504" s="50"/>
      <c r="AY1504" s="50"/>
      <c r="AZ1504" s="50"/>
      <c r="BA1504" s="50"/>
      <c r="BB1504" s="51"/>
      <c r="BC1504" s="51"/>
      <c r="BD1504" s="51"/>
      <c r="BE1504" s="51"/>
      <c r="BF1504" s="47"/>
      <c r="BG1504" s="47"/>
      <c r="BH1504" s="47"/>
      <c r="BI1504" s="47"/>
      <c r="BJ1504" s="47"/>
      <c r="BK1504" s="47"/>
      <c r="BL1504" s="47"/>
      <c r="BM1504" s="47"/>
      <c r="BN1504" s="47"/>
      <c r="BO1504" s="47"/>
      <c r="BP1504" s="47"/>
      <c r="BQ1504" s="47"/>
      <c r="BR1504" s="47"/>
      <c r="BS1504" s="47"/>
      <c r="BT1504" s="47"/>
    </row>
    <row r="1505">
      <c r="A1505" s="24"/>
      <c r="B1505" s="48"/>
      <c r="C1505" s="49"/>
      <c r="D1505" s="24"/>
      <c r="E1505" s="52"/>
      <c r="F1505" s="53"/>
      <c r="G1505" s="48"/>
      <c r="H1505" s="49"/>
      <c r="I1505" s="49"/>
      <c r="J1505" s="48"/>
      <c r="K1505" s="48"/>
      <c r="L1505" s="48"/>
      <c r="M1505" s="48"/>
      <c r="N1505" s="48"/>
      <c r="O1505" s="48"/>
      <c r="P1505" s="48"/>
      <c r="Q1505" s="48"/>
      <c r="R1505" s="48"/>
      <c r="S1505" s="48"/>
      <c r="T1505" s="48"/>
      <c r="U1505" s="48"/>
      <c r="V1505" s="48"/>
      <c r="W1505" s="49"/>
      <c r="X1505" s="49"/>
      <c r="Y1505" s="49"/>
      <c r="Z1505" s="49"/>
      <c r="AA1505" s="49"/>
      <c r="AB1505" s="49"/>
      <c r="AC1505" s="49"/>
      <c r="AD1505" s="49"/>
      <c r="AE1505" s="49"/>
      <c r="AF1505" s="49"/>
      <c r="AG1505" s="49"/>
      <c r="AH1505" s="49"/>
      <c r="AI1505" s="48"/>
      <c r="AJ1505" s="48"/>
      <c r="AK1505" s="24"/>
      <c r="AL1505" s="50"/>
      <c r="AM1505" s="50"/>
      <c r="AN1505" s="50"/>
      <c r="AO1505" s="50"/>
      <c r="AP1505" s="50"/>
      <c r="AQ1505" s="50"/>
      <c r="AR1505" s="50"/>
      <c r="AS1505" s="50"/>
      <c r="AT1505" s="51"/>
      <c r="AU1505" s="51"/>
      <c r="AV1505" s="51"/>
      <c r="AW1505" s="51"/>
      <c r="AX1505" s="50"/>
      <c r="AY1505" s="50"/>
      <c r="AZ1505" s="50"/>
      <c r="BA1505" s="50"/>
      <c r="BB1505" s="51"/>
      <c r="BC1505" s="51"/>
      <c r="BD1505" s="51"/>
      <c r="BE1505" s="51"/>
      <c r="BF1505" s="47"/>
      <c r="BG1505" s="47"/>
      <c r="BH1505" s="47"/>
      <c r="BI1505" s="47"/>
      <c r="BJ1505" s="47"/>
      <c r="BK1505" s="47"/>
      <c r="BL1505" s="47"/>
      <c r="BM1505" s="47"/>
      <c r="BN1505" s="47"/>
      <c r="BO1505" s="47"/>
      <c r="BP1505" s="47"/>
      <c r="BQ1505" s="47"/>
      <c r="BR1505" s="47"/>
      <c r="BS1505" s="47"/>
      <c r="BT1505" s="47"/>
    </row>
    <row r="1506">
      <c r="A1506" s="24"/>
      <c r="B1506" s="48"/>
      <c r="C1506" s="49"/>
      <c r="D1506" s="24"/>
      <c r="E1506" s="52"/>
      <c r="F1506" s="53"/>
      <c r="G1506" s="48"/>
      <c r="H1506" s="49"/>
      <c r="I1506" s="49"/>
      <c r="J1506" s="48"/>
      <c r="K1506" s="48"/>
      <c r="L1506" s="48"/>
      <c r="M1506" s="48"/>
      <c r="N1506" s="48"/>
      <c r="O1506" s="48"/>
      <c r="P1506" s="48"/>
      <c r="Q1506" s="48"/>
      <c r="R1506" s="48"/>
      <c r="S1506" s="48"/>
      <c r="T1506" s="48"/>
      <c r="U1506" s="48"/>
      <c r="V1506" s="48"/>
      <c r="W1506" s="49"/>
      <c r="X1506" s="49"/>
      <c r="Y1506" s="49"/>
      <c r="Z1506" s="49"/>
      <c r="AA1506" s="49"/>
      <c r="AB1506" s="49"/>
      <c r="AC1506" s="49"/>
      <c r="AD1506" s="49"/>
      <c r="AE1506" s="49"/>
      <c r="AF1506" s="49"/>
      <c r="AG1506" s="49"/>
      <c r="AH1506" s="49"/>
      <c r="AI1506" s="48"/>
      <c r="AJ1506" s="48"/>
      <c r="AK1506" s="24"/>
      <c r="AL1506" s="50"/>
      <c r="AM1506" s="50"/>
      <c r="AN1506" s="50"/>
      <c r="AO1506" s="50"/>
      <c r="AP1506" s="50"/>
      <c r="AQ1506" s="50"/>
      <c r="AR1506" s="50"/>
      <c r="AS1506" s="50"/>
      <c r="AT1506" s="51"/>
      <c r="AU1506" s="51"/>
      <c r="AV1506" s="51"/>
      <c r="AW1506" s="51"/>
      <c r="AX1506" s="50"/>
      <c r="AY1506" s="50"/>
      <c r="AZ1506" s="50"/>
      <c r="BA1506" s="50"/>
      <c r="BB1506" s="51"/>
      <c r="BC1506" s="51"/>
      <c r="BD1506" s="51"/>
      <c r="BE1506" s="51"/>
      <c r="BF1506" s="47"/>
      <c r="BG1506" s="47"/>
      <c r="BH1506" s="47"/>
      <c r="BI1506" s="47"/>
      <c r="BJ1506" s="47"/>
      <c r="BK1506" s="47"/>
      <c r="BL1506" s="47"/>
      <c r="BM1506" s="47"/>
      <c r="BN1506" s="47"/>
      <c r="BO1506" s="47"/>
      <c r="BP1506" s="47"/>
      <c r="BQ1506" s="47"/>
      <c r="BR1506" s="47"/>
      <c r="BS1506" s="47"/>
      <c r="BT1506" s="47"/>
    </row>
    <row r="1507">
      <c r="A1507" s="24"/>
      <c r="B1507" s="48"/>
      <c r="C1507" s="49"/>
      <c r="D1507" s="24"/>
      <c r="E1507" s="52"/>
      <c r="F1507" s="53"/>
      <c r="G1507" s="48"/>
      <c r="H1507" s="49"/>
      <c r="I1507" s="49"/>
      <c r="J1507" s="48"/>
      <c r="K1507" s="48"/>
      <c r="L1507" s="48"/>
      <c r="M1507" s="48"/>
      <c r="N1507" s="48"/>
      <c r="O1507" s="48"/>
      <c r="P1507" s="48"/>
      <c r="Q1507" s="48"/>
      <c r="R1507" s="48"/>
      <c r="S1507" s="48"/>
      <c r="T1507" s="48"/>
      <c r="U1507" s="48"/>
      <c r="V1507" s="48"/>
      <c r="W1507" s="49"/>
      <c r="X1507" s="49"/>
      <c r="Y1507" s="49"/>
      <c r="Z1507" s="49"/>
      <c r="AA1507" s="49"/>
      <c r="AB1507" s="49"/>
      <c r="AC1507" s="49"/>
      <c r="AD1507" s="49"/>
      <c r="AE1507" s="49"/>
      <c r="AF1507" s="49"/>
      <c r="AG1507" s="49"/>
      <c r="AH1507" s="49"/>
      <c r="AI1507" s="48"/>
      <c r="AJ1507" s="48"/>
      <c r="AK1507" s="24"/>
      <c r="AL1507" s="50"/>
      <c r="AM1507" s="50"/>
      <c r="AN1507" s="50"/>
      <c r="AO1507" s="50"/>
      <c r="AP1507" s="50"/>
      <c r="AQ1507" s="50"/>
      <c r="AR1507" s="50"/>
      <c r="AS1507" s="50"/>
      <c r="AT1507" s="51"/>
      <c r="AU1507" s="51"/>
      <c r="AV1507" s="51"/>
      <c r="AW1507" s="51"/>
      <c r="AX1507" s="50"/>
      <c r="AY1507" s="50"/>
      <c r="AZ1507" s="50"/>
      <c r="BA1507" s="50"/>
      <c r="BB1507" s="51"/>
      <c r="BC1507" s="51"/>
      <c r="BD1507" s="51"/>
      <c r="BE1507" s="51"/>
      <c r="BF1507" s="47"/>
      <c r="BG1507" s="47"/>
      <c r="BH1507" s="47"/>
      <c r="BI1507" s="47"/>
      <c r="BJ1507" s="47"/>
      <c r="BK1507" s="47"/>
      <c r="BL1507" s="47"/>
      <c r="BM1507" s="47"/>
      <c r="BN1507" s="47"/>
      <c r="BO1507" s="47"/>
      <c r="BP1507" s="47"/>
      <c r="BQ1507" s="47"/>
      <c r="BR1507" s="47"/>
      <c r="BS1507" s="47"/>
      <c r="BT1507" s="47"/>
    </row>
    <row r="1508">
      <c r="A1508" s="24"/>
      <c r="B1508" s="48"/>
      <c r="C1508" s="49"/>
      <c r="D1508" s="24"/>
      <c r="E1508" s="52"/>
      <c r="F1508" s="53"/>
      <c r="G1508" s="48"/>
      <c r="H1508" s="49"/>
      <c r="I1508" s="49"/>
      <c r="J1508" s="48"/>
      <c r="K1508" s="48"/>
      <c r="L1508" s="48"/>
      <c r="M1508" s="48"/>
      <c r="N1508" s="48"/>
      <c r="O1508" s="48"/>
      <c r="P1508" s="48"/>
      <c r="Q1508" s="48"/>
      <c r="R1508" s="48"/>
      <c r="S1508" s="48"/>
      <c r="T1508" s="48"/>
      <c r="U1508" s="48"/>
      <c r="V1508" s="48"/>
      <c r="W1508" s="49"/>
      <c r="X1508" s="49"/>
      <c r="Y1508" s="49"/>
      <c r="Z1508" s="49"/>
      <c r="AA1508" s="49"/>
      <c r="AB1508" s="49"/>
      <c r="AC1508" s="49"/>
      <c r="AD1508" s="49"/>
      <c r="AE1508" s="49"/>
      <c r="AF1508" s="49"/>
      <c r="AG1508" s="49"/>
      <c r="AH1508" s="49"/>
      <c r="AI1508" s="48"/>
      <c r="AJ1508" s="48"/>
      <c r="AK1508" s="24"/>
      <c r="AL1508" s="50"/>
      <c r="AM1508" s="50"/>
      <c r="AN1508" s="50"/>
      <c r="AO1508" s="50"/>
      <c r="AP1508" s="50"/>
      <c r="AQ1508" s="50"/>
      <c r="AR1508" s="50"/>
      <c r="AS1508" s="50"/>
      <c r="AT1508" s="51"/>
      <c r="AU1508" s="51"/>
      <c r="AV1508" s="51"/>
      <c r="AW1508" s="51"/>
      <c r="AX1508" s="50"/>
      <c r="AY1508" s="50"/>
      <c r="AZ1508" s="50"/>
      <c r="BA1508" s="50"/>
      <c r="BB1508" s="51"/>
      <c r="BC1508" s="51"/>
      <c r="BD1508" s="51"/>
      <c r="BE1508" s="51"/>
      <c r="BF1508" s="47"/>
      <c r="BG1508" s="47"/>
      <c r="BH1508" s="47"/>
      <c r="BI1508" s="47"/>
      <c r="BJ1508" s="47"/>
      <c r="BK1508" s="47"/>
      <c r="BL1508" s="47"/>
      <c r="BM1508" s="47"/>
      <c r="BN1508" s="47"/>
      <c r="BO1508" s="47"/>
      <c r="BP1508" s="47"/>
      <c r="BQ1508" s="47"/>
      <c r="BR1508" s="47"/>
      <c r="BS1508" s="47"/>
      <c r="BT1508" s="47"/>
    </row>
    <row r="1509">
      <c r="A1509" s="24"/>
      <c r="B1509" s="48"/>
      <c r="C1509" s="49"/>
      <c r="D1509" s="24"/>
      <c r="E1509" s="52"/>
      <c r="F1509" s="53"/>
      <c r="G1509" s="48"/>
      <c r="H1509" s="49"/>
      <c r="I1509" s="49"/>
      <c r="J1509" s="48"/>
      <c r="K1509" s="48"/>
      <c r="L1509" s="48"/>
      <c r="M1509" s="48"/>
      <c r="N1509" s="48"/>
      <c r="O1509" s="48"/>
      <c r="P1509" s="48"/>
      <c r="Q1509" s="48"/>
      <c r="R1509" s="48"/>
      <c r="S1509" s="48"/>
      <c r="T1509" s="48"/>
      <c r="U1509" s="48"/>
      <c r="V1509" s="48"/>
      <c r="W1509" s="49"/>
      <c r="X1509" s="49"/>
      <c r="Y1509" s="49"/>
      <c r="Z1509" s="49"/>
      <c r="AA1509" s="49"/>
      <c r="AB1509" s="49"/>
      <c r="AC1509" s="49"/>
      <c r="AD1509" s="49"/>
      <c r="AE1509" s="49"/>
      <c r="AF1509" s="49"/>
      <c r="AG1509" s="49"/>
      <c r="AH1509" s="49"/>
      <c r="AI1509" s="48"/>
      <c r="AJ1509" s="48"/>
      <c r="AK1509" s="24"/>
      <c r="AL1509" s="50"/>
      <c r="AM1509" s="50"/>
      <c r="AN1509" s="50"/>
      <c r="AO1509" s="50"/>
      <c r="AP1509" s="50"/>
      <c r="AQ1509" s="50"/>
      <c r="AR1509" s="50"/>
      <c r="AS1509" s="50"/>
      <c r="AT1509" s="51"/>
      <c r="AU1509" s="51"/>
      <c r="AV1509" s="51"/>
      <c r="AW1509" s="51"/>
      <c r="AX1509" s="50"/>
      <c r="AY1509" s="50"/>
      <c r="AZ1509" s="50"/>
      <c r="BA1509" s="50"/>
      <c r="BB1509" s="51"/>
      <c r="BC1509" s="51"/>
      <c r="BD1509" s="51"/>
      <c r="BE1509" s="51"/>
      <c r="BF1509" s="47"/>
      <c r="BG1509" s="47"/>
      <c r="BH1509" s="47"/>
      <c r="BI1509" s="47"/>
      <c r="BJ1509" s="47"/>
      <c r="BK1509" s="47"/>
      <c r="BL1509" s="47"/>
      <c r="BM1509" s="47"/>
      <c r="BN1509" s="47"/>
      <c r="BO1509" s="47"/>
      <c r="BP1509" s="47"/>
      <c r="BQ1509" s="47"/>
      <c r="BR1509" s="47"/>
      <c r="BS1509" s="47"/>
      <c r="BT1509" s="47"/>
    </row>
    <row r="1510">
      <c r="A1510" s="24"/>
      <c r="B1510" s="48"/>
      <c r="C1510" s="49"/>
      <c r="D1510" s="24"/>
      <c r="E1510" s="52"/>
      <c r="F1510" s="53"/>
      <c r="G1510" s="48"/>
      <c r="H1510" s="49"/>
      <c r="I1510" s="49"/>
      <c r="J1510" s="48"/>
      <c r="K1510" s="48"/>
      <c r="L1510" s="48"/>
      <c r="M1510" s="48"/>
      <c r="N1510" s="48"/>
      <c r="O1510" s="48"/>
      <c r="P1510" s="48"/>
      <c r="Q1510" s="48"/>
      <c r="R1510" s="48"/>
      <c r="S1510" s="48"/>
      <c r="T1510" s="48"/>
      <c r="U1510" s="48"/>
      <c r="V1510" s="48"/>
      <c r="W1510" s="49"/>
      <c r="X1510" s="49"/>
      <c r="Y1510" s="49"/>
      <c r="Z1510" s="49"/>
      <c r="AA1510" s="49"/>
      <c r="AB1510" s="49"/>
      <c r="AC1510" s="49"/>
      <c r="AD1510" s="49"/>
      <c r="AE1510" s="49"/>
      <c r="AF1510" s="49"/>
      <c r="AG1510" s="49"/>
      <c r="AH1510" s="49"/>
      <c r="AI1510" s="48"/>
      <c r="AJ1510" s="48"/>
      <c r="AK1510" s="24"/>
      <c r="AL1510" s="50"/>
      <c r="AM1510" s="50"/>
      <c r="AN1510" s="50"/>
      <c r="AO1510" s="50"/>
      <c r="AP1510" s="50"/>
      <c r="AQ1510" s="50"/>
      <c r="AR1510" s="50"/>
      <c r="AS1510" s="50"/>
      <c r="AT1510" s="51"/>
      <c r="AU1510" s="51"/>
      <c r="AV1510" s="51"/>
      <c r="AW1510" s="51"/>
      <c r="AX1510" s="50"/>
      <c r="AY1510" s="50"/>
      <c r="AZ1510" s="50"/>
      <c r="BA1510" s="50"/>
      <c r="BB1510" s="51"/>
      <c r="BC1510" s="51"/>
      <c r="BD1510" s="51"/>
      <c r="BE1510" s="51"/>
      <c r="BF1510" s="47"/>
      <c r="BG1510" s="47"/>
      <c r="BH1510" s="47"/>
      <c r="BI1510" s="47"/>
      <c r="BJ1510" s="47"/>
      <c r="BK1510" s="47"/>
      <c r="BL1510" s="47"/>
      <c r="BM1510" s="47"/>
      <c r="BN1510" s="47"/>
      <c r="BO1510" s="47"/>
      <c r="BP1510" s="47"/>
      <c r="BQ1510" s="47"/>
      <c r="BR1510" s="47"/>
      <c r="BS1510" s="47"/>
      <c r="BT1510" s="47"/>
    </row>
    <row r="1511">
      <c r="A1511" s="24"/>
      <c r="B1511" s="48"/>
      <c r="C1511" s="49"/>
      <c r="D1511" s="24"/>
      <c r="E1511" s="52"/>
      <c r="F1511" s="53"/>
      <c r="G1511" s="48"/>
      <c r="H1511" s="49"/>
      <c r="I1511" s="49"/>
      <c r="J1511" s="48"/>
      <c r="K1511" s="48"/>
      <c r="L1511" s="48"/>
      <c r="M1511" s="48"/>
      <c r="N1511" s="48"/>
      <c r="O1511" s="48"/>
      <c r="P1511" s="48"/>
      <c r="Q1511" s="48"/>
      <c r="R1511" s="48"/>
      <c r="S1511" s="48"/>
      <c r="T1511" s="48"/>
      <c r="U1511" s="48"/>
      <c r="V1511" s="48"/>
      <c r="W1511" s="49"/>
      <c r="X1511" s="49"/>
      <c r="Y1511" s="49"/>
      <c r="Z1511" s="49"/>
      <c r="AA1511" s="49"/>
      <c r="AB1511" s="49"/>
      <c r="AC1511" s="49"/>
      <c r="AD1511" s="49"/>
      <c r="AE1511" s="49"/>
      <c r="AF1511" s="49"/>
      <c r="AG1511" s="49"/>
      <c r="AH1511" s="49"/>
      <c r="AI1511" s="48"/>
      <c r="AJ1511" s="48"/>
      <c r="AK1511" s="24"/>
      <c r="AL1511" s="50"/>
      <c r="AM1511" s="50"/>
      <c r="AN1511" s="50"/>
      <c r="AO1511" s="50"/>
      <c r="AP1511" s="50"/>
      <c r="AQ1511" s="50"/>
      <c r="AR1511" s="50"/>
      <c r="AS1511" s="50"/>
      <c r="AT1511" s="51"/>
      <c r="AU1511" s="51"/>
      <c r="AV1511" s="51"/>
      <c r="AW1511" s="51"/>
      <c r="AX1511" s="50"/>
      <c r="AY1511" s="50"/>
      <c r="AZ1511" s="50"/>
      <c r="BA1511" s="50"/>
      <c r="BB1511" s="51"/>
      <c r="BC1511" s="51"/>
      <c r="BD1511" s="51"/>
      <c r="BE1511" s="51"/>
      <c r="BF1511" s="47"/>
      <c r="BG1511" s="47"/>
      <c r="BH1511" s="47"/>
      <c r="BI1511" s="47"/>
      <c r="BJ1511" s="47"/>
      <c r="BK1511" s="47"/>
      <c r="BL1511" s="47"/>
      <c r="BM1511" s="47"/>
      <c r="BN1511" s="47"/>
      <c r="BO1511" s="47"/>
      <c r="BP1511" s="47"/>
      <c r="BQ1511" s="47"/>
      <c r="BR1511" s="47"/>
      <c r="BS1511" s="47"/>
      <c r="BT1511" s="47"/>
    </row>
    <row r="1512">
      <c r="A1512" s="24"/>
      <c r="B1512" s="48"/>
      <c r="C1512" s="49"/>
      <c r="D1512" s="24"/>
      <c r="E1512" s="52"/>
      <c r="F1512" s="53"/>
      <c r="G1512" s="48"/>
      <c r="H1512" s="49"/>
      <c r="I1512" s="49"/>
      <c r="J1512" s="48"/>
      <c r="K1512" s="48"/>
      <c r="L1512" s="48"/>
      <c r="M1512" s="48"/>
      <c r="N1512" s="48"/>
      <c r="O1512" s="48"/>
      <c r="P1512" s="48"/>
      <c r="Q1512" s="48"/>
      <c r="R1512" s="48"/>
      <c r="S1512" s="48"/>
      <c r="T1512" s="48"/>
      <c r="U1512" s="48"/>
      <c r="V1512" s="48"/>
      <c r="W1512" s="49"/>
      <c r="X1512" s="49"/>
      <c r="Y1512" s="49"/>
      <c r="Z1512" s="49"/>
      <c r="AA1512" s="49"/>
      <c r="AB1512" s="49"/>
      <c r="AC1512" s="49"/>
      <c r="AD1512" s="49"/>
      <c r="AE1512" s="49"/>
      <c r="AF1512" s="49"/>
      <c r="AG1512" s="49"/>
      <c r="AH1512" s="49"/>
      <c r="AI1512" s="48"/>
      <c r="AJ1512" s="48"/>
      <c r="AK1512" s="24"/>
      <c r="AL1512" s="50"/>
      <c r="AM1512" s="50"/>
      <c r="AN1512" s="50"/>
      <c r="AO1512" s="50"/>
      <c r="AP1512" s="50"/>
      <c r="AQ1512" s="50"/>
      <c r="AR1512" s="50"/>
      <c r="AS1512" s="50"/>
      <c r="AT1512" s="51"/>
      <c r="AU1512" s="51"/>
      <c r="AV1512" s="51"/>
      <c r="AW1512" s="51"/>
      <c r="AX1512" s="50"/>
      <c r="AY1512" s="50"/>
      <c r="AZ1512" s="50"/>
      <c r="BA1512" s="50"/>
      <c r="BB1512" s="51"/>
      <c r="BC1512" s="51"/>
      <c r="BD1512" s="51"/>
      <c r="BE1512" s="51"/>
      <c r="BF1512" s="47"/>
      <c r="BG1512" s="47"/>
      <c r="BH1512" s="47"/>
      <c r="BI1512" s="47"/>
      <c r="BJ1512" s="47"/>
      <c r="BK1512" s="47"/>
      <c r="BL1512" s="47"/>
      <c r="BM1512" s="47"/>
      <c r="BN1512" s="47"/>
      <c r="BO1512" s="47"/>
      <c r="BP1512" s="47"/>
      <c r="BQ1512" s="47"/>
      <c r="BR1512" s="47"/>
      <c r="BS1512" s="47"/>
      <c r="BT1512" s="47"/>
    </row>
    <row r="1513">
      <c r="A1513" s="24"/>
      <c r="B1513" s="48"/>
      <c r="C1513" s="49"/>
      <c r="D1513" s="24"/>
      <c r="E1513" s="52"/>
      <c r="F1513" s="53"/>
      <c r="G1513" s="48"/>
      <c r="H1513" s="49"/>
      <c r="I1513" s="49"/>
      <c r="J1513" s="48"/>
      <c r="K1513" s="48"/>
      <c r="L1513" s="48"/>
      <c r="M1513" s="48"/>
      <c r="N1513" s="48"/>
      <c r="O1513" s="48"/>
      <c r="P1513" s="48"/>
      <c r="Q1513" s="48"/>
      <c r="R1513" s="48"/>
      <c r="S1513" s="48"/>
      <c r="T1513" s="48"/>
      <c r="U1513" s="48"/>
      <c r="V1513" s="48"/>
      <c r="W1513" s="49"/>
      <c r="X1513" s="49"/>
      <c r="Y1513" s="49"/>
      <c r="Z1513" s="49"/>
      <c r="AA1513" s="49"/>
      <c r="AB1513" s="49"/>
      <c r="AC1513" s="49"/>
      <c r="AD1513" s="49"/>
      <c r="AE1513" s="49"/>
      <c r="AF1513" s="49"/>
      <c r="AG1513" s="49"/>
      <c r="AH1513" s="49"/>
      <c r="AI1513" s="48"/>
      <c r="AJ1513" s="48"/>
      <c r="AK1513" s="24"/>
      <c r="AL1513" s="50"/>
      <c r="AM1513" s="50"/>
      <c r="AN1513" s="50"/>
      <c r="AO1513" s="50"/>
      <c r="AP1513" s="50"/>
      <c r="AQ1513" s="50"/>
      <c r="AR1513" s="50"/>
      <c r="AS1513" s="50"/>
      <c r="AT1513" s="51"/>
      <c r="AU1513" s="51"/>
      <c r="AV1513" s="51"/>
      <c r="AW1513" s="51"/>
      <c r="AX1513" s="50"/>
      <c r="AY1513" s="50"/>
      <c r="AZ1513" s="50"/>
      <c r="BA1513" s="50"/>
      <c r="BB1513" s="51"/>
      <c r="BC1513" s="51"/>
      <c r="BD1513" s="51"/>
      <c r="BE1513" s="51"/>
      <c r="BF1513" s="47"/>
      <c r="BG1513" s="47"/>
      <c r="BH1513" s="47"/>
      <c r="BI1513" s="47"/>
      <c r="BJ1513" s="47"/>
      <c r="BK1513" s="47"/>
      <c r="BL1513" s="47"/>
      <c r="BM1513" s="47"/>
      <c r="BN1513" s="47"/>
      <c r="BO1513" s="47"/>
      <c r="BP1513" s="47"/>
      <c r="BQ1513" s="47"/>
      <c r="BR1513" s="47"/>
      <c r="BS1513" s="47"/>
      <c r="BT1513" s="47"/>
    </row>
    <row r="1514">
      <c r="A1514" s="24"/>
      <c r="B1514" s="48"/>
      <c r="C1514" s="49"/>
      <c r="D1514" s="24"/>
      <c r="E1514" s="52"/>
      <c r="F1514" s="53"/>
      <c r="G1514" s="48"/>
      <c r="H1514" s="49"/>
      <c r="I1514" s="49"/>
      <c r="J1514" s="48"/>
      <c r="K1514" s="48"/>
      <c r="L1514" s="48"/>
      <c r="M1514" s="48"/>
      <c r="N1514" s="48"/>
      <c r="O1514" s="48"/>
      <c r="P1514" s="48"/>
      <c r="Q1514" s="48"/>
      <c r="R1514" s="48"/>
      <c r="S1514" s="48"/>
      <c r="T1514" s="48"/>
      <c r="U1514" s="48"/>
      <c r="V1514" s="48"/>
      <c r="W1514" s="49"/>
      <c r="X1514" s="49"/>
      <c r="Y1514" s="49"/>
      <c r="Z1514" s="49"/>
      <c r="AA1514" s="49"/>
      <c r="AB1514" s="49"/>
      <c r="AC1514" s="49"/>
      <c r="AD1514" s="49"/>
      <c r="AE1514" s="49"/>
      <c r="AF1514" s="49"/>
      <c r="AG1514" s="49"/>
      <c r="AH1514" s="49"/>
      <c r="AI1514" s="48"/>
      <c r="AJ1514" s="48"/>
      <c r="AK1514" s="24"/>
      <c r="AL1514" s="50"/>
      <c r="AM1514" s="50"/>
      <c r="AN1514" s="50"/>
      <c r="AO1514" s="50"/>
      <c r="AP1514" s="50"/>
      <c r="AQ1514" s="50"/>
      <c r="AR1514" s="50"/>
      <c r="AS1514" s="50"/>
      <c r="AT1514" s="51"/>
      <c r="AU1514" s="51"/>
      <c r="AV1514" s="51"/>
      <c r="AW1514" s="51"/>
      <c r="AX1514" s="50"/>
      <c r="AY1514" s="50"/>
      <c r="AZ1514" s="50"/>
      <c r="BA1514" s="50"/>
      <c r="BB1514" s="51"/>
      <c r="BC1514" s="51"/>
      <c r="BD1514" s="51"/>
      <c r="BE1514" s="51"/>
      <c r="BF1514" s="47"/>
      <c r="BG1514" s="47"/>
      <c r="BH1514" s="47"/>
      <c r="BI1514" s="47"/>
      <c r="BJ1514" s="47"/>
      <c r="BK1514" s="47"/>
      <c r="BL1514" s="47"/>
      <c r="BM1514" s="47"/>
      <c r="BN1514" s="47"/>
      <c r="BO1514" s="47"/>
      <c r="BP1514" s="47"/>
      <c r="BQ1514" s="47"/>
      <c r="BR1514" s="47"/>
      <c r="BS1514" s="47"/>
      <c r="BT1514" s="47"/>
    </row>
    <row r="1515">
      <c r="A1515" s="24"/>
      <c r="B1515" s="48"/>
      <c r="C1515" s="49"/>
      <c r="D1515" s="24"/>
      <c r="E1515" s="52"/>
      <c r="F1515" s="53"/>
      <c r="G1515" s="48"/>
      <c r="H1515" s="49"/>
      <c r="I1515" s="49"/>
      <c r="J1515" s="48"/>
      <c r="K1515" s="48"/>
      <c r="L1515" s="48"/>
      <c r="M1515" s="48"/>
      <c r="N1515" s="48"/>
      <c r="O1515" s="48"/>
      <c r="P1515" s="48"/>
      <c r="Q1515" s="48"/>
      <c r="R1515" s="48"/>
      <c r="S1515" s="48"/>
      <c r="T1515" s="48"/>
      <c r="U1515" s="48"/>
      <c r="V1515" s="48"/>
      <c r="W1515" s="49"/>
      <c r="X1515" s="49"/>
      <c r="Y1515" s="49"/>
      <c r="Z1515" s="49"/>
      <c r="AA1515" s="49"/>
      <c r="AB1515" s="49"/>
      <c r="AC1515" s="49"/>
      <c r="AD1515" s="49"/>
      <c r="AE1515" s="49"/>
      <c r="AF1515" s="49"/>
      <c r="AG1515" s="49"/>
      <c r="AH1515" s="49"/>
      <c r="AI1515" s="48"/>
      <c r="AJ1515" s="48"/>
      <c r="AK1515" s="24"/>
      <c r="AL1515" s="50"/>
      <c r="AM1515" s="50"/>
      <c r="AN1515" s="50"/>
      <c r="AO1515" s="50"/>
      <c r="AP1515" s="50"/>
      <c r="AQ1515" s="50"/>
      <c r="AR1515" s="50"/>
      <c r="AS1515" s="50"/>
      <c r="AT1515" s="51"/>
      <c r="AU1515" s="51"/>
      <c r="AV1515" s="51"/>
      <c r="AW1515" s="51"/>
      <c r="AX1515" s="50"/>
      <c r="AY1515" s="50"/>
      <c r="AZ1515" s="50"/>
      <c r="BA1515" s="50"/>
      <c r="BB1515" s="51"/>
      <c r="BC1515" s="51"/>
      <c r="BD1515" s="51"/>
      <c r="BE1515" s="51"/>
      <c r="BF1515" s="47"/>
      <c r="BG1515" s="47"/>
      <c r="BH1515" s="47"/>
      <c r="BI1515" s="47"/>
      <c r="BJ1515" s="47"/>
      <c r="BK1515" s="47"/>
      <c r="BL1515" s="47"/>
      <c r="BM1515" s="47"/>
      <c r="BN1515" s="47"/>
      <c r="BO1515" s="47"/>
      <c r="BP1515" s="47"/>
      <c r="BQ1515" s="47"/>
      <c r="BR1515" s="47"/>
      <c r="BS1515" s="47"/>
      <c r="BT1515" s="47"/>
    </row>
    <row r="1516">
      <c r="A1516" s="24"/>
      <c r="B1516" s="48"/>
      <c r="C1516" s="49"/>
      <c r="D1516" s="24"/>
      <c r="E1516" s="52"/>
      <c r="F1516" s="53"/>
      <c r="G1516" s="48"/>
      <c r="H1516" s="49"/>
      <c r="I1516" s="49"/>
      <c r="J1516" s="48"/>
      <c r="K1516" s="48"/>
      <c r="L1516" s="48"/>
      <c r="M1516" s="48"/>
      <c r="N1516" s="48"/>
      <c r="O1516" s="48"/>
      <c r="P1516" s="48"/>
      <c r="Q1516" s="48"/>
      <c r="R1516" s="48"/>
      <c r="S1516" s="48"/>
      <c r="T1516" s="48"/>
      <c r="U1516" s="48"/>
      <c r="V1516" s="48"/>
      <c r="W1516" s="49"/>
      <c r="X1516" s="49"/>
      <c r="Y1516" s="49"/>
      <c r="Z1516" s="49"/>
      <c r="AA1516" s="49"/>
      <c r="AB1516" s="49"/>
      <c r="AC1516" s="49"/>
      <c r="AD1516" s="49"/>
      <c r="AE1516" s="49"/>
      <c r="AF1516" s="49"/>
      <c r="AG1516" s="49"/>
      <c r="AH1516" s="49"/>
      <c r="AI1516" s="48"/>
      <c r="AJ1516" s="48"/>
      <c r="AK1516" s="24"/>
      <c r="AL1516" s="50"/>
      <c r="AM1516" s="50"/>
      <c r="AN1516" s="50"/>
      <c r="AO1516" s="50"/>
      <c r="AP1516" s="50"/>
      <c r="AQ1516" s="50"/>
      <c r="AR1516" s="50"/>
      <c r="AS1516" s="50"/>
      <c r="AT1516" s="51"/>
      <c r="AU1516" s="51"/>
      <c r="AV1516" s="51"/>
      <c r="AW1516" s="51"/>
      <c r="AX1516" s="50"/>
      <c r="AY1516" s="50"/>
      <c r="AZ1516" s="50"/>
      <c r="BA1516" s="50"/>
      <c r="BB1516" s="51"/>
      <c r="BC1516" s="51"/>
      <c r="BD1516" s="51"/>
      <c r="BE1516" s="51"/>
      <c r="BF1516" s="47"/>
      <c r="BG1516" s="47"/>
      <c r="BH1516" s="47"/>
      <c r="BI1516" s="47"/>
      <c r="BJ1516" s="47"/>
      <c r="BK1516" s="47"/>
      <c r="BL1516" s="47"/>
      <c r="BM1516" s="47"/>
      <c r="BN1516" s="47"/>
      <c r="BO1516" s="47"/>
      <c r="BP1516" s="47"/>
      <c r="BQ1516" s="47"/>
      <c r="BR1516" s="47"/>
      <c r="BS1516" s="47"/>
      <c r="BT1516" s="47"/>
    </row>
    <row r="1517">
      <c r="A1517" s="24"/>
      <c r="B1517" s="48"/>
      <c r="C1517" s="49"/>
      <c r="D1517" s="24"/>
      <c r="E1517" s="52"/>
      <c r="F1517" s="53"/>
      <c r="G1517" s="48"/>
      <c r="H1517" s="49"/>
      <c r="I1517" s="49"/>
      <c r="J1517" s="48"/>
      <c r="K1517" s="48"/>
      <c r="L1517" s="48"/>
      <c r="M1517" s="48"/>
      <c r="N1517" s="48"/>
      <c r="O1517" s="48"/>
      <c r="P1517" s="48"/>
      <c r="Q1517" s="48"/>
      <c r="R1517" s="48"/>
      <c r="S1517" s="48"/>
      <c r="T1517" s="48"/>
      <c r="U1517" s="48"/>
      <c r="V1517" s="48"/>
      <c r="W1517" s="49"/>
      <c r="X1517" s="49"/>
      <c r="Y1517" s="49"/>
      <c r="Z1517" s="49"/>
      <c r="AA1517" s="49"/>
      <c r="AB1517" s="49"/>
      <c r="AC1517" s="49"/>
      <c r="AD1517" s="49"/>
      <c r="AE1517" s="49"/>
      <c r="AF1517" s="49"/>
      <c r="AG1517" s="49"/>
      <c r="AH1517" s="49"/>
      <c r="AI1517" s="48"/>
      <c r="AJ1517" s="48"/>
      <c r="AK1517" s="24"/>
      <c r="AL1517" s="50"/>
      <c r="AM1517" s="50"/>
      <c r="AN1517" s="50"/>
      <c r="AO1517" s="50"/>
      <c r="AP1517" s="50"/>
      <c r="AQ1517" s="50"/>
      <c r="AR1517" s="50"/>
      <c r="AS1517" s="50"/>
      <c r="AT1517" s="51"/>
      <c r="AU1517" s="51"/>
      <c r="AV1517" s="51"/>
      <c r="AW1517" s="51"/>
      <c r="AX1517" s="50"/>
      <c r="AY1517" s="50"/>
      <c r="AZ1517" s="50"/>
      <c r="BA1517" s="50"/>
      <c r="BB1517" s="51"/>
      <c r="BC1517" s="51"/>
      <c r="BD1517" s="51"/>
      <c r="BE1517" s="51"/>
      <c r="BF1517" s="47"/>
      <c r="BG1517" s="47"/>
      <c r="BH1517" s="47"/>
      <c r="BI1517" s="47"/>
      <c r="BJ1517" s="47"/>
      <c r="BK1517" s="47"/>
      <c r="BL1517" s="47"/>
      <c r="BM1517" s="47"/>
      <c r="BN1517" s="47"/>
      <c r="BO1517" s="47"/>
      <c r="BP1517" s="47"/>
      <c r="BQ1517" s="47"/>
      <c r="BR1517" s="47"/>
      <c r="BS1517" s="47"/>
      <c r="BT1517" s="47"/>
    </row>
    <row r="1518">
      <c r="A1518" s="24"/>
      <c r="B1518" s="48"/>
      <c r="C1518" s="49"/>
      <c r="D1518" s="24"/>
      <c r="E1518" s="52"/>
      <c r="F1518" s="53"/>
      <c r="G1518" s="48"/>
      <c r="H1518" s="49"/>
      <c r="I1518" s="49"/>
      <c r="J1518" s="48"/>
      <c r="K1518" s="48"/>
      <c r="L1518" s="48"/>
      <c r="M1518" s="48"/>
      <c r="N1518" s="48"/>
      <c r="O1518" s="48"/>
      <c r="P1518" s="48"/>
      <c r="Q1518" s="48"/>
      <c r="R1518" s="48"/>
      <c r="S1518" s="48"/>
      <c r="T1518" s="48"/>
      <c r="U1518" s="48"/>
      <c r="V1518" s="48"/>
      <c r="W1518" s="49"/>
      <c r="X1518" s="49"/>
      <c r="Y1518" s="49"/>
      <c r="Z1518" s="49"/>
      <c r="AA1518" s="49"/>
      <c r="AB1518" s="49"/>
      <c r="AC1518" s="49"/>
      <c r="AD1518" s="49"/>
      <c r="AE1518" s="49"/>
      <c r="AF1518" s="49"/>
      <c r="AG1518" s="49"/>
      <c r="AH1518" s="49"/>
      <c r="AI1518" s="48"/>
      <c r="AJ1518" s="48"/>
      <c r="AK1518" s="24"/>
      <c r="AL1518" s="50"/>
      <c r="AM1518" s="50"/>
      <c r="AN1518" s="50"/>
      <c r="AO1518" s="50"/>
      <c r="AP1518" s="50"/>
      <c r="AQ1518" s="50"/>
      <c r="AR1518" s="50"/>
      <c r="AS1518" s="50"/>
      <c r="AT1518" s="51"/>
      <c r="AU1518" s="51"/>
      <c r="AV1518" s="51"/>
      <c r="AW1518" s="51"/>
      <c r="AX1518" s="50"/>
      <c r="AY1518" s="50"/>
      <c r="AZ1518" s="50"/>
      <c r="BA1518" s="50"/>
      <c r="BB1518" s="51"/>
      <c r="BC1518" s="51"/>
      <c r="BD1518" s="51"/>
      <c r="BE1518" s="51"/>
      <c r="BF1518" s="47"/>
      <c r="BG1518" s="47"/>
      <c r="BH1518" s="47"/>
      <c r="BI1518" s="47"/>
      <c r="BJ1518" s="47"/>
      <c r="BK1518" s="47"/>
      <c r="BL1518" s="47"/>
      <c r="BM1518" s="47"/>
      <c r="BN1518" s="47"/>
      <c r="BO1518" s="47"/>
      <c r="BP1518" s="47"/>
      <c r="BQ1518" s="47"/>
      <c r="BR1518" s="47"/>
      <c r="BS1518" s="47"/>
      <c r="BT1518" s="47"/>
    </row>
    <row r="1519">
      <c r="A1519" s="24"/>
      <c r="B1519" s="48"/>
      <c r="C1519" s="49"/>
      <c r="D1519" s="24"/>
      <c r="E1519" s="52"/>
      <c r="F1519" s="53"/>
      <c r="G1519" s="48"/>
      <c r="H1519" s="49"/>
      <c r="I1519" s="49"/>
      <c r="J1519" s="48"/>
      <c r="K1519" s="48"/>
      <c r="L1519" s="48"/>
      <c r="M1519" s="48"/>
      <c r="N1519" s="48"/>
      <c r="O1519" s="48"/>
      <c r="P1519" s="48"/>
      <c r="Q1519" s="48"/>
      <c r="R1519" s="48"/>
      <c r="S1519" s="48"/>
      <c r="T1519" s="48"/>
      <c r="U1519" s="48"/>
      <c r="V1519" s="48"/>
      <c r="W1519" s="49"/>
      <c r="X1519" s="49"/>
      <c r="Y1519" s="49"/>
      <c r="Z1519" s="49"/>
      <c r="AA1519" s="49"/>
      <c r="AB1519" s="49"/>
      <c r="AC1519" s="49"/>
      <c r="AD1519" s="49"/>
      <c r="AE1519" s="49"/>
      <c r="AF1519" s="49"/>
      <c r="AG1519" s="49"/>
      <c r="AH1519" s="49"/>
      <c r="AI1519" s="48"/>
      <c r="AJ1519" s="48"/>
      <c r="AK1519" s="24"/>
      <c r="AL1519" s="50"/>
      <c r="AM1519" s="50"/>
      <c r="AN1519" s="50"/>
      <c r="AO1519" s="50"/>
      <c r="AP1519" s="50"/>
      <c r="AQ1519" s="50"/>
      <c r="AR1519" s="50"/>
      <c r="AS1519" s="50"/>
      <c r="AT1519" s="51"/>
      <c r="AU1519" s="51"/>
      <c r="AV1519" s="51"/>
      <c r="AW1519" s="51"/>
      <c r="AX1519" s="50"/>
      <c r="AY1519" s="50"/>
      <c r="AZ1519" s="50"/>
      <c r="BA1519" s="50"/>
      <c r="BB1519" s="51"/>
      <c r="BC1519" s="51"/>
      <c r="BD1519" s="51"/>
      <c r="BE1519" s="51"/>
      <c r="BF1519" s="47"/>
      <c r="BG1519" s="47"/>
      <c r="BH1519" s="47"/>
      <c r="BI1519" s="47"/>
      <c r="BJ1519" s="47"/>
      <c r="BK1519" s="47"/>
      <c r="BL1519" s="47"/>
      <c r="BM1519" s="47"/>
      <c r="BN1519" s="47"/>
      <c r="BO1519" s="47"/>
      <c r="BP1519" s="47"/>
      <c r="BQ1519" s="47"/>
      <c r="BR1519" s="47"/>
      <c r="BS1519" s="47"/>
      <c r="BT1519" s="47"/>
    </row>
    <row r="1520">
      <c r="A1520" s="24"/>
      <c r="B1520" s="48"/>
      <c r="C1520" s="49"/>
      <c r="D1520" s="24"/>
      <c r="E1520" s="52"/>
      <c r="F1520" s="53"/>
      <c r="G1520" s="48"/>
      <c r="H1520" s="49"/>
      <c r="I1520" s="49"/>
      <c r="J1520" s="48"/>
      <c r="K1520" s="48"/>
      <c r="L1520" s="48"/>
      <c r="M1520" s="48"/>
      <c r="N1520" s="48"/>
      <c r="O1520" s="48"/>
      <c r="P1520" s="48"/>
      <c r="Q1520" s="48"/>
      <c r="R1520" s="48"/>
      <c r="S1520" s="48"/>
      <c r="T1520" s="48"/>
      <c r="U1520" s="48"/>
      <c r="V1520" s="48"/>
      <c r="W1520" s="49"/>
      <c r="X1520" s="49"/>
      <c r="Y1520" s="49"/>
      <c r="Z1520" s="49"/>
      <c r="AA1520" s="49"/>
      <c r="AB1520" s="49"/>
      <c r="AC1520" s="49"/>
      <c r="AD1520" s="49"/>
      <c r="AE1520" s="49"/>
      <c r="AF1520" s="49"/>
      <c r="AG1520" s="49"/>
      <c r="AH1520" s="49"/>
      <c r="AI1520" s="48"/>
      <c r="AJ1520" s="48"/>
      <c r="AK1520" s="24"/>
      <c r="AL1520" s="50"/>
      <c r="AM1520" s="50"/>
      <c r="AN1520" s="50"/>
      <c r="AO1520" s="50"/>
      <c r="AP1520" s="50"/>
      <c r="AQ1520" s="50"/>
      <c r="AR1520" s="50"/>
      <c r="AS1520" s="50"/>
      <c r="AT1520" s="51"/>
      <c r="AU1520" s="51"/>
      <c r="AV1520" s="51"/>
      <c r="AW1520" s="51"/>
      <c r="AX1520" s="50"/>
      <c r="AY1520" s="50"/>
      <c r="AZ1520" s="50"/>
      <c r="BA1520" s="50"/>
      <c r="BB1520" s="51"/>
      <c r="BC1520" s="51"/>
      <c r="BD1520" s="51"/>
      <c r="BE1520" s="51"/>
      <c r="BF1520" s="47"/>
      <c r="BG1520" s="47"/>
      <c r="BH1520" s="47"/>
      <c r="BI1520" s="47"/>
      <c r="BJ1520" s="47"/>
      <c r="BK1520" s="47"/>
      <c r="BL1520" s="47"/>
      <c r="BM1520" s="47"/>
      <c r="BN1520" s="47"/>
      <c r="BO1520" s="47"/>
      <c r="BP1520" s="47"/>
      <c r="BQ1520" s="47"/>
      <c r="BR1520" s="47"/>
      <c r="BS1520" s="47"/>
      <c r="BT1520" s="47"/>
    </row>
    <row r="1521">
      <c r="A1521" s="24"/>
      <c r="B1521" s="48"/>
      <c r="C1521" s="49"/>
      <c r="D1521" s="24"/>
      <c r="E1521" s="52"/>
      <c r="F1521" s="53"/>
      <c r="G1521" s="48"/>
      <c r="H1521" s="49"/>
      <c r="I1521" s="49"/>
      <c r="J1521" s="48"/>
      <c r="K1521" s="48"/>
      <c r="L1521" s="48"/>
      <c r="M1521" s="48"/>
      <c r="N1521" s="48"/>
      <c r="O1521" s="48"/>
      <c r="P1521" s="48"/>
      <c r="Q1521" s="48"/>
      <c r="R1521" s="48"/>
      <c r="S1521" s="48"/>
      <c r="T1521" s="48"/>
      <c r="U1521" s="48"/>
      <c r="V1521" s="48"/>
      <c r="W1521" s="49"/>
      <c r="X1521" s="49"/>
      <c r="Y1521" s="49"/>
      <c r="Z1521" s="49"/>
      <c r="AA1521" s="49"/>
      <c r="AB1521" s="49"/>
      <c r="AC1521" s="49"/>
      <c r="AD1521" s="49"/>
      <c r="AE1521" s="49"/>
      <c r="AF1521" s="49"/>
      <c r="AG1521" s="49"/>
      <c r="AH1521" s="49"/>
      <c r="AI1521" s="48"/>
      <c r="AJ1521" s="48"/>
      <c r="AK1521" s="24"/>
      <c r="AL1521" s="50"/>
      <c r="AM1521" s="50"/>
      <c r="AN1521" s="50"/>
      <c r="AO1521" s="50"/>
      <c r="AP1521" s="50"/>
      <c r="AQ1521" s="50"/>
      <c r="AR1521" s="50"/>
      <c r="AS1521" s="50"/>
      <c r="AT1521" s="51"/>
      <c r="AU1521" s="51"/>
      <c r="AV1521" s="51"/>
      <c r="AW1521" s="51"/>
      <c r="AX1521" s="50"/>
      <c r="AY1521" s="50"/>
      <c r="AZ1521" s="50"/>
      <c r="BA1521" s="50"/>
      <c r="BB1521" s="51"/>
      <c r="BC1521" s="51"/>
      <c r="BD1521" s="51"/>
      <c r="BE1521" s="51"/>
      <c r="BF1521" s="47"/>
      <c r="BG1521" s="47"/>
      <c r="BH1521" s="47"/>
      <c r="BI1521" s="47"/>
      <c r="BJ1521" s="47"/>
      <c r="BK1521" s="47"/>
      <c r="BL1521" s="47"/>
      <c r="BM1521" s="47"/>
      <c r="BN1521" s="47"/>
      <c r="BO1521" s="47"/>
      <c r="BP1521" s="47"/>
      <c r="BQ1521" s="47"/>
      <c r="BR1521" s="47"/>
      <c r="BS1521" s="47"/>
      <c r="BT1521" s="47"/>
    </row>
    <row r="1522">
      <c r="A1522" s="24"/>
      <c r="B1522" s="48"/>
      <c r="C1522" s="49"/>
      <c r="D1522" s="24"/>
      <c r="E1522" s="52"/>
      <c r="F1522" s="53"/>
      <c r="G1522" s="48"/>
      <c r="H1522" s="49"/>
      <c r="I1522" s="49"/>
      <c r="J1522" s="48"/>
      <c r="K1522" s="48"/>
      <c r="L1522" s="48"/>
      <c r="M1522" s="48"/>
      <c r="N1522" s="48"/>
      <c r="O1522" s="48"/>
      <c r="P1522" s="48"/>
      <c r="Q1522" s="48"/>
      <c r="R1522" s="48"/>
      <c r="S1522" s="48"/>
      <c r="T1522" s="48"/>
      <c r="U1522" s="48"/>
      <c r="V1522" s="48"/>
      <c r="W1522" s="49"/>
      <c r="X1522" s="49"/>
      <c r="Y1522" s="49"/>
      <c r="Z1522" s="49"/>
      <c r="AA1522" s="49"/>
      <c r="AB1522" s="49"/>
      <c r="AC1522" s="49"/>
      <c r="AD1522" s="49"/>
      <c r="AE1522" s="49"/>
      <c r="AF1522" s="49"/>
      <c r="AG1522" s="49"/>
      <c r="AH1522" s="49"/>
      <c r="AI1522" s="48"/>
      <c r="AJ1522" s="48"/>
      <c r="AK1522" s="24"/>
      <c r="AL1522" s="50"/>
      <c r="AM1522" s="50"/>
      <c r="AN1522" s="50"/>
      <c r="AO1522" s="50"/>
      <c r="AP1522" s="50"/>
      <c r="AQ1522" s="50"/>
      <c r="AR1522" s="50"/>
      <c r="AS1522" s="50"/>
      <c r="AT1522" s="51"/>
      <c r="AU1522" s="51"/>
      <c r="AV1522" s="51"/>
      <c r="AW1522" s="51"/>
      <c r="AX1522" s="50"/>
      <c r="AY1522" s="50"/>
      <c r="AZ1522" s="50"/>
      <c r="BA1522" s="50"/>
      <c r="BB1522" s="51"/>
      <c r="BC1522" s="51"/>
      <c r="BD1522" s="51"/>
      <c r="BE1522" s="51"/>
      <c r="BF1522" s="47"/>
      <c r="BG1522" s="47"/>
      <c r="BH1522" s="47"/>
      <c r="BI1522" s="47"/>
      <c r="BJ1522" s="47"/>
      <c r="BK1522" s="47"/>
      <c r="BL1522" s="47"/>
      <c r="BM1522" s="47"/>
      <c r="BN1522" s="47"/>
      <c r="BO1522" s="47"/>
      <c r="BP1522" s="47"/>
      <c r="BQ1522" s="47"/>
      <c r="BR1522" s="47"/>
      <c r="BS1522" s="47"/>
      <c r="BT1522" s="47"/>
    </row>
    <row r="1523">
      <c r="A1523" s="24"/>
      <c r="B1523" s="48"/>
      <c r="C1523" s="49"/>
      <c r="D1523" s="24"/>
      <c r="E1523" s="52"/>
      <c r="F1523" s="53"/>
      <c r="G1523" s="48"/>
      <c r="H1523" s="49"/>
      <c r="I1523" s="49"/>
      <c r="J1523" s="48"/>
      <c r="K1523" s="48"/>
      <c r="L1523" s="48"/>
      <c r="M1523" s="48"/>
      <c r="N1523" s="48"/>
      <c r="O1523" s="48"/>
      <c r="P1523" s="48"/>
      <c r="Q1523" s="48"/>
      <c r="R1523" s="48"/>
      <c r="S1523" s="48"/>
      <c r="T1523" s="48"/>
      <c r="U1523" s="48"/>
      <c r="V1523" s="48"/>
      <c r="W1523" s="49"/>
      <c r="X1523" s="49"/>
      <c r="Y1523" s="49"/>
      <c r="Z1523" s="49"/>
      <c r="AA1523" s="49"/>
      <c r="AB1523" s="49"/>
      <c r="AC1523" s="49"/>
      <c r="AD1523" s="49"/>
      <c r="AE1523" s="49"/>
      <c r="AF1523" s="49"/>
      <c r="AG1523" s="49"/>
      <c r="AH1523" s="49"/>
      <c r="AI1523" s="48"/>
      <c r="AJ1523" s="48"/>
      <c r="AK1523" s="24"/>
      <c r="AL1523" s="50"/>
      <c r="AM1523" s="50"/>
      <c r="AN1523" s="50"/>
      <c r="AO1523" s="50"/>
      <c r="AP1523" s="50"/>
      <c r="AQ1523" s="50"/>
      <c r="AR1523" s="50"/>
      <c r="AS1523" s="50"/>
      <c r="AT1523" s="51"/>
      <c r="AU1523" s="51"/>
      <c r="AV1523" s="51"/>
      <c r="AW1523" s="51"/>
      <c r="AX1523" s="50"/>
      <c r="AY1523" s="50"/>
      <c r="AZ1523" s="50"/>
      <c r="BA1523" s="50"/>
      <c r="BB1523" s="51"/>
      <c r="BC1523" s="51"/>
      <c r="BD1523" s="51"/>
      <c r="BE1523" s="51"/>
      <c r="BF1523" s="47"/>
      <c r="BG1523" s="47"/>
      <c r="BH1523" s="47"/>
      <c r="BI1523" s="47"/>
      <c r="BJ1523" s="47"/>
      <c r="BK1523" s="47"/>
      <c r="BL1523" s="47"/>
      <c r="BM1523" s="47"/>
      <c r="BN1523" s="47"/>
      <c r="BO1523" s="47"/>
      <c r="BP1523" s="47"/>
      <c r="BQ1523" s="47"/>
      <c r="BR1523" s="47"/>
      <c r="BS1523" s="47"/>
      <c r="BT1523" s="47"/>
    </row>
    <row r="1524">
      <c r="A1524" s="24"/>
      <c r="B1524" s="48"/>
      <c r="C1524" s="49"/>
      <c r="D1524" s="24"/>
      <c r="E1524" s="52"/>
      <c r="F1524" s="53"/>
      <c r="G1524" s="48"/>
      <c r="H1524" s="49"/>
      <c r="I1524" s="49"/>
      <c r="J1524" s="48"/>
      <c r="K1524" s="48"/>
      <c r="L1524" s="48"/>
      <c r="M1524" s="48"/>
      <c r="N1524" s="48"/>
      <c r="O1524" s="48"/>
      <c r="P1524" s="48"/>
      <c r="Q1524" s="48"/>
      <c r="R1524" s="48"/>
      <c r="S1524" s="48"/>
      <c r="T1524" s="48"/>
      <c r="U1524" s="48"/>
      <c r="V1524" s="48"/>
      <c r="W1524" s="49"/>
      <c r="X1524" s="49"/>
      <c r="Y1524" s="49"/>
      <c r="Z1524" s="49"/>
      <c r="AA1524" s="49"/>
      <c r="AB1524" s="49"/>
      <c r="AC1524" s="49"/>
      <c r="AD1524" s="49"/>
      <c r="AE1524" s="49"/>
      <c r="AF1524" s="49"/>
      <c r="AG1524" s="49"/>
      <c r="AH1524" s="49"/>
      <c r="AI1524" s="48"/>
      <c r="AJ1524" s="48"/>
      <c r="AK1524" s="24"/>
      <c r="AL1524" s="50"/>
      <c r="AM1524" s="50"/>
      <c r="AN1524" s="50"/>
      <c r="AO1524" s="50"/>
      <c r="AP1524" s="50"/>
      <c r="AQ1524" s="50"/>
      <c r="AR1524" s="50"/>
      <c r="AS1524" s="50"/>
      <c r="AT1524" s="51"/>
      <c r="AU1524" s="51"/>
      <c r="AV1524" s="51"/>
      <c r="AW1524" s="51"/>
      <c r="AX1524" s="50"/>
      <c r="AY1524" s="50"/>
      <c r="AZ1524" s="50"/>
      <c r="BA1524" s="50"/>
      <c r="BB1524" s="51"/>
      <c r="BC1524" s="51"/>
      <c r="BD1524" s="51"/>
      <c r="BE1524" s="51"/>
      <c r="BF1524" s="47"/>
      <c r="BG1524" s="47"/>
      <c r="BH1524" s="47"/>
      <c r="BI1524" s="47"/>
      <c r="BJ1524" s="47"/>
      <c r="BK1524" s="47"/>
      <c r="BL1524" s="47"/>
      <c r="BM1524" s="47"/>
      <c r="BN1524" s="47"/>
      <c r="BO1524" s="47"/>
      <c r="BP1524" s="47"/>
      <c r="BQ1524" s="47"/>
      <c r="BR1524" s="47"/>
      <c r="BS1524" s="47"/>
      <c r="BT1524" s="47"/>
    </row>
    <row r="1525">
      <c r="A1525" s="24"/>
      <c r="B1525" s="48"/>
      <c r="C1525" s="49"/>
      <c r="D1525" s="24"/>
      <c r="E1525" s="52"/>
      <c r="F1525" s="53"/>
      <c r="G1525" s="48"/>
      <c r="H1525" s="49"/>
      <c r="I1525" s="49"/>
      <c r="J1525" s="48"/>
      <c r="K1525" s="48"/>
      <c r="L1525" s="48"/>
      <c r="M1525" s="48"/>
      <c r="N1525" s="48"/>
      <c r="O1525" s="48"/>
      <c r="P1525" s="48"/>
      <c r="Q1525" s="48"/>
      <c r="R1525" s="48"/>
      <c r="S1525" s="48"/>
      <c r="T1525" s="48"/>
      <c r="U1525" s="48"/>
      <c r="V1525" s="48"/>
      <c r="W1525" s="49"/>
      <c r="X1525" s="49"/>
      <c r="Y1525" s="49"/>
      <c r="Z1525" s="49"/>
      <c r="AA1525" s="49"/>
      <c r="AB1525" s="49"/>
      <c r="AC1525" s="49"/>
      <c r="AD1525" s="49"/>
      <c r="AE1525" s="49"/>
      <c r="AF1525" s="49"/>
      <c r="AG1525" s="49"/>
      <c r="AH1525" s="49"/>
      <c r="AI1525" s="48"/>
      <c r="AJ1525" s="48"/>
      <c r="AK1525" s="24"/>
      <c r="AL1525" s="50"/>
      <c r="AM1525" s="50"/>
      <c r="AN1525" s="50"/>
      <c r="AO1525" s="50"/>
      <c r="AP1525" s="50"/>
      <c r="AQ1525" s="50"/>
      <c r="AR1525" s="50"/>
      <c r="AS1525" s="50"/>
      <c r="AT1525" s="51"/>
      <c r="AU1525" s="51"/>
      <c r="AV1525" s="51"/>
      <c r="AW1525" s="51"/>
      <c r="AX1525" s="50"/>
      <c r="AY1525" s="50"/>
      <c r="AZ1525" s="50"/>
      <c r="BA1525" s="50"/>
      <c r="BB1525" s="51"/>
      <c r="BC1525" s="51"/>
      <c r="BD1525" s="51"/>
      <c r="BE1525" s="51"/>
      <c r="BF1525" s="47"/>
      <c r="BG1525" s="47"/>
      <c r="BH1525" s="47"/>
      <c r="BI1525" s="47"/>
      <c r="BJ1525" s="47"/>
      <c r="BK1525" s="47"/>
      <c r="BL1525" s="47"/>
      <c r="BM1525" s="47"/>
      <c r="BN1525" s="47"/>
      <c r="BO1525" s="47"/>
      <c r="BP1525" s="47"/>
      <c r="BQ1525" s="47"/>
      <c r="BR1525" s="47"/>
      <c r="BS1525" s="47"/>
      <c r="BT1525" s="47"/>
    </row>
    <row r="1526">
      <c r="A1526" s="24"/>
      <c r="B1526" s="48"/>
      <c r="C1526" s="49"/>
      <c r="D1526" s="24"/>
      <c r="E1526" s="52"/>
      <c r="F1526" s="53"/>
      <c r="G1526" s="48"/>
      <c r="H1526" s="49"/>
      <c r="I1526" s="49"/>
      <c r="J1526" s="48"/>
      <c r="K1526" s="48"/>
      <c r="L1526" s="48"/>
      <c r="M1526" s="48"/>
      <c r="N1526" s="48"/>
      <c r="O1526" s="48"/>
      <c r="P1526" s="48"/>
      <c r="Q1526" s="48"/>
      <c r="R1526" s="48"/>
      <c r="S1526" s="48"/>
      <c r="T1526" s="48"/>
      <c r="U1526" s="48"/>
      <c r="V1526" s="48"/>
      <c r="W1526" s="49"/>
      <c r="X1526" s="49"/>
      <c r="Y1526" s="49"/>
      <c r="Z1526" s="49"/>
      <c r="AA1526" s="49"/>
      <c r="AB1526" s="49"/>
      <c r="AC1526" s="49"/>
      <c r="AD1526" s="49"/>
      <c r="AE1526" s="49"/>
      <c r="AF1526" s="49"/>
      <c r="AG1526" s="49"/>
      <c r="AH1526" s="49"/>
      <c r="AI1526" s="48"/>
      <c r="AJ1526" s="48"/>
      <c r="AK1526" s="24"/>
      <c r="AL1526" s="50"/>
      <c r="AM1526" s="50"/>
      <c r="AN1526" s="50"/>
      <c r="AO1526" s="50"/>
      <c r="AP1526" s="50"/>
      <c r="AQ1526" s="50"/>
      <c r="AR1526" s="50"/>
      <c r="AS1526" s="50"/>
      <c r="AT1526" s="51"/>
      <c r="AU1526" s="51"/>
      <c r="AV1526" s="51"/>
      <c r="AW1526" s="51"/>
      <c r="AX1526" s="50"/>
      <c r="AY1526" s="50"/>
      <c r="AZ1526" s="50"/>
      <c r="BA1526" s="50"/>
      <c r="BB1526" s="51"/>
      <c r="BC1526" s="51"/>
      <c r="BD1526" s="51"/>
      <c r="BE1526" s="51"/>
      <c r="BF1526" s="47"/>
      <c r="BG1526" s="47"/>
      <c r="BH1526" s="47"/>
      <c r="BI1526" s="47"/>
      <c r="BJ1526" s="47"/>
      <c r="BK1526" s="47"/>
      <c r="BL1526" s="47"/>
      <c r="BM1526" s="47"/>
      <c r="BN1526" s="47"/>
      <c r="BO1526" s="47"/>
      <c r="BP1526" s="47"/>
      <c r="BQ1526" s="47"/>
      <c r="BR1526" s="47"/>
      <c r="BS1526" s="47"/>
      <c r="BT1526" s="47"/>
    </row>
    <row r="1527">
      <c r="A1527" s="24"/>
      <c r="B1527" s="48"/>
      <c r="C1527" s="49"/>
      <c r="D1527" s="24"/>
      <c r="E1527" s="52"/>
      <c r="F1527" s="53"/>
      <c r="G1527" s="48"/>
      <c r="H1527" s="49"/>
      <c r="I1527" s="49"/>
      <c r="J1527" s="48"/>
      <c r="K1527" s="48"/>
      <c r="L1527" s="48"/>
      <c r="M1527" s="48"/>
      <c r="N1527" s="48"/>
      <c r="O1527" s="48"/>
      <c r="P1527" s="48"/>
      <c r="Q1527" s="48"/>
      <c r="R1527" s="48"/>
      <c r="S1527" s="48"/>
      <c r="T1527" s="48"/>
      <c r="U1527" s="48"/>
      <c r="V1527" s="48"/>
      <c r="W1527" s="49"/>
      <c r="X1527" s="49"/>
      <c r="Y1527" s="49"/>
      <c r="Z1527" s="49"/>
      <c r="AA1527" s="49"/>
      <c r="AB1527" s="49"/>
      <c r="AC1527" s="49"/>
      <c r="AD1527" s="49"/>
      <c r="AE1527" s="49"/>
      <c r="AF1527" s="49"/>
      <c r="AG1527" s="49"/>
      <c r="AH1527" s="49"/>
      <c r="AI1527" s="48"/>
      <c r="AJ1527" s="48"/>
      <c r="AK1527" s="24"/>
      <c r="AL1527" s="50"/>
      <c r="AM1527" s="50"/>
      <c r="AN1527" s="50"/>
      <c r="AO1527" s="50"/>
      <c r="AP1527" s="50"/>
      <c r="AQ1527" s="50"/>
      <c r="AR1527" s="50"/>
      <c r="AS1527" s="50"/>
      <c r="AT1527" s="51"/>
      <c r="AU1527" s="51"/>
      <c r="AV1527" s="51"/>
      <c r="AW1527" s="51"/>
      <c r="AX1527" s="50"/>
      <c r="AY1527" s="50"/>
      <c r="AZ1527" s="50"/>
      <c r="BA1527" s="50"/>
      <c r="BB1527" s="51"/>
      <c r="BC1527" s="51"/>
      <c r="BD1527" s="51"/>
      <c r="BE1527" s="51"/>
      <c r="BF1527" s="47"/>
      <c r="BG1527" s="47"/>
      <c r="BH1527" s="47"/>
      <c r="BI1527" s="47"/>
      <c r="BJ1527" s="47"/>
      <c r="BK1527" s="47"/>
      <c r="BL1527" s="47"/>
      <c r="BM1527" s="47"/>
      <c r="BN1527" s="47"/>
      <c r="BO1527" s="47"/>
      <c r="BP1527" s="47"/>
      <c r="BQ1527" s="47"/>
      <c r="BR1527" s="47"/>
      <c r="BS1527" s="47"/>
      <c r="BT1527" s="47"/>
    </row>
    <row r="1528">
      <c r="A1528" s="24"/>
      <c r="B1528" s="48"/>
      <c r="C1528" s="49"/>
      <c r="D1528" s="24"/>
      <c r="E1528" s="52"/>
      <c r="F1528" s="53"/>
      <c r="G1528" s="48"/>
      <c r="H1528" s="49"/>
      <c r="I1528" s="49"/>
      <c r="J1528" s="48"/>
      <c r="K1528" s="48"/>
      <c r="L1528" s="48"/>
      <c r="M1528" s="48"/>
      <c r="N1528" s="48"/>
      <c r="O1528" s="48"/>
      <c r="P1528" s="48"/>
      <c r="Q1528" s="48"/>
      <c r="R1528" s="48"/>
      <c r="S1528" s="48"/>
      <c r="T1528" s="48"/>
      <c r="U1528" s="48"/>
      <c r="V1528" s="48"/>
      <c r="W1528" s="49"/>
      <c r="X1528" s="49"/>
      <c r="Y1528" s="49"/>
      <c r="Z1528" s="49"/>
      <c r="AA1528" s="49"/>
      <c r="AB1528" s="49"/>
      <c r="AC1528" s="49"/>
      <c r="AD1528" s="49"/>
      <c r="AE1528" s="49"/>
      <c r="AF1528" s="49"/>
      <c r="AG1528" s="49"/>
      <c r="AH1528" s="49"/>
      <c r="AI1528" s="48"/>
      <c r="AJ1528" s="48"/>
      <c r="AK1528" s="24"/>
      <c r="AL1528" s="50"/>
      <c r="AM1528" s="50"/>
      <c r="AN1528" s="50"/>
      <c r="AO1528" s="50"/>
      <c r="AP1528" s="50"/>
      <c r="AQ1528" s="50"/>
      <c r="AR1528" s="50"/>
      <c r="AS1528" s="50"/>
      <c r="AT1528" s="51"/>
      <c r="AU1528" s="51"/>
      <c r="AV1528" s="51"/>
      <c r="AW1528" s="51"/>
      <c r="AX1528" s="50"/>
      <c r="AY1528" s="50"/>
      <c r="AZ1528" s="50"/>
      <c r="BA1528" s="50"/>
      <c r="BB1528" s="51"/>
      <c r="BC1528" s="51"/>
      <c r="BD1528" s="51"/>
      <c r="BE1528" s="51"/>
      <c r="BF1528" s="47"/>
      <c r="BG1528" s="47"/>
      <c r="BH1528" s="47"/>
      <c r="BI1528" s="47"/>
      <c r="BJ1528" s="47"/>
      <c r="BK1528" s="47"/>
      <c r="BL1528" s="47"/>
      <c r="BM1528" s="47"/>
      <c r="BN1528" s="47"/>
      <c r="BO1528" s="47"/>
      <c r="BP1528" s="47"/>
      <c r="BQ1528" s="47"/>
      <c r="BR1528" s="47"/>
      <c r="BS1528" s="47"/>
      <c r="BT1528" s="47"/>
    </row>
    <row r="1529">
      <c r="A1529" s="24"/>
      <c r="B1529" s="48"/>
      <c r="C1529" s="49"/>
      <c r="D1529" s="24"/>
      <c r="E1529" s="52"/>
      <c r="F1529" s="53"/>
      <c r="G1529" s="48"/>
      <c r="H1529" s="49"/>
      <c r="I1529" s="49"/>
      <c r="J1529" s="48"/>
      <c r="K1529" s="48"/>
      <c r="L1529" s="48"/>
      <c r="M1529" s="48"/>
      <c r="N1529" s="48"/>
      <c r="O1529" s="48"/>
      <c r="P1529" s="48"/>
      <c r="Q1529" s="48"/>
      <c r="R1529" s="48"/>
      <c r="S1529" s="48"/>
      <c r="T1529" s="48"/>
      <c r="U1529" s="48"/>
      <c r="V1529" s="48"/>
      <c r="W1529" s="49"/>
      <c r="X1529" s="49"/>
      <c r="Y1529" s="49"/>
      <c r="Z1529" s="49"/>
      <c r="AA1529" s="49"/>
      <c r="AB1529" s="49"/>
      <c r="AC1529" s="49"/>
      <c r="AD1529" s="49"/>
      <c r="AE1529" s="49"/>
      <c r="AF1529" s="49"/>
      <c r="AG1529" s="49"/>
      <c r="AH1529" s="49"/>
      <c r="AI1529" s="48"/>
      <c r="AJ1529" s="48"/>
      <c r="AK1529" s="24"/>
      <c r="AL1529" s="50"/>
      <c r="AM1529" s="50"/>
      <c r="AN1529" s="50"/>
      <c r="AO1529" s="50"/>
      <c r="AP1529" s="50"/>
      <c r="AQ1529" s="50"/>
      <c r="AR1529" s="50"/>
      <c r="AS1529" s="50"/>
      <c r="AT1529" s="51"/>
      <c r="AU1529" s="51"/>
      <c r="AV1529" s="51"/>
      <c r="AW1529" s="51"/>
      <c r="AX1529" s="50"/>
      <c r="AY1529" s="50"/>
      <c r="AZ1529" s="50"/>
      <c r="BA1529" s="50"/>
      <c r="BB1529" s="51"/>
      <c r="BC1529" s="51"/>
      <c r="BD1529" s="51"/>
      <c r="BE1529" s="51"/>
      <c r="BF1529" s="47"/>
      <c r="BG1529" s="47"/>
      <c r="BH1529" s="47"/>
      <c r="BI1529" s="47"/>
      <c r="BJ1529" s="47"/>
      <c r="BK1529" s="47"/>
      <c r="BL1529" s="47"/>
      <c r="BM1529" s="47"/>
      <c r="BN1529" s="47"/>
      <c r="BO1529" s="47"/>
      <c r="BP1529" s="47"/>
      <c r="BQ1529" s="47"/>
      <c r="BR1529" s="47"/>
      <c r="BS1529" s="47"/>
      <c r="BT1529" s="47"/>
    </row>
    <row r="1530">
      <c r="A1530" s="24"/>
      <c r="B1530" s="48"/>
      <c r="C1530" s="49"/>
      <c r="D1530" s="24"/>
      <c r="E1530" s="52"/>
      <c r="F1530" s="53"/>
      <c r="G1530" s="48"/>
      <c r="H1530" s="49"/>
      <c r="I1530" s="49"/>
      <c r="J1530" s="48"/>
      <c r="K1530" s="48"/>
      <c r="L1530" s="48"/>
      <c r="M1530" s="48"/>
      <c r="N1530" s="48"/>
      <c r="O1530" s="48"/>
      <c r="P1530" s="48"/>
      <c r="Q1530" s="48"/>
      <c r="R1530" s="48"/>
      <c r="S1530" s="48"/>
      <c r="T1530" s="48"/>
      <c r="U1530" s="48"/>
      <c r="V1530" s="48"/>
      <c r="W1530" s="49"/>
      <c r="X1530" s="49"/>
      <c r="Y1530" s="49"/>
      <c r="Z1530" s="49"/>
      <c r="AA1530" s="49"/>
      <c r="AB1530" s="49"/>
      <c r="AC1530" s="49"/>
      <c r="AD1530" s="49"/>
      <c r="AE1530" s="49"/>
      <c r="AF1530" s="49"/>
      <c r="AG1530" s="49"/>
      <c r="AH1530" s="49"/>
      <c r="AI1530" s="48"/>
      <c r="AJ1530" s="48"/>
      <c r="AK1530" s="24"/>
      <c r="AL1530" s="50"/>
      <c r="AM1530" s="50"/>
      <c r="AN1530" s="50"/>
      <c r="AO1530" s="50"/>
      <c r="AP1530" s="50"/>
      <c r="AQ1530" s="50"/>
      <c r="AR1530" s="50"/>
      <c r="AS1530" s="50"/>
      <c r="AT1530" s="51"/>
      <c r="AU1530" s="51"/>
      <c r="AV1530" s="51"/>
      <c r="AW1530" s="51"/>
      <c r="AX1530" s="50"/>
      <c r="AY1530" s="50"/>
      <c r="AZ1530" s="50"/>
      <c r="BA1530" s="50"/>
      <c r="BB1530" s="51"/>
      <c r="BC1530" s="51"/>
      <c r="BD1530" s="51"/>
      <c r="BE1530" s="51"/>
      <c r="BF1530" s="47"/>
      <c r="BG1530" s="47"/>
      <c r="BH1530" s="47"/>
      <c r="BI1530" s="47"/>
      <c r="BJ1530" s="47"/>
      <c r="BK1530" s="47"/>
      <c r="BL1530" s="47"/>
      <c r="BM1530" s="47"/>
      <c r="BN1530" s="47"/>
      <c r="BO1530" s="47"/>
      <c r="BP1530" s="47"/>
      <c r="BQ1530" s="47"/>
      <c r="BR1530" s="47"/>
      <c r="BS1530" s="47"/>
      <c r="BT1530" s="47"/>
    </row>
    <row r="1531">
      <c r="A1531" s="24"/>
      <c r="B1531" s="48"/>
      <c r="C1531" s="49"/>
      <c r="D1531" s="24"/>
      <c r="E1531" s="52"/>
      <c r="F1531" s="53"/>
      <c r="G1531" s="48"/>
      <c r="H1531" s="49"/>
      <c r="I1531" s="49"/>
      <c r="J1531" s="48"/>
      <c r="K1531" s="48"/>
      <c r="L1531" s="48"/>
      <c r="M1531" s="48"/>
      <c r="N1531" s="48"/>
      <c r="O1531" s="48"/>
      <c r="P1531" s="48"/>
      <c r="Q1531" s="48"/>
      <c r="R1531" s="48"/>
      <c r="S1531" s="48"/>
      <c r="T1531" s="48"/>
      <c r="U1531" s="48"/>
      <c r="V1531" s="48"/>
      <c r="W1531" s="49"/>
      <c r="X1531" s="49"/>
      <c r="Y1531" s="49"/>
      <c r="Z1531" s="49"/>
      <c r="AA1531" s="49"/>
      <c r="AB1531" s="49"/>
      <c r="AC1531" s="49"/>
      <c r="AD1531" s="49"/>
      <c r="AE1531" s="49"/>
      <c r="AF1531" s="49"/>
      <c r="AG1531" s="49"/>
      <c r="AH1531" s="49"/>
      <c r="AI1531" s="48"/>
      <c r="AJ1531" s="48"/>
      <c r="AK1531" s="24"/>
      <c r="AL1531" s="50"/>
      <c r="AM1531" s="50"/>
      <c r="AN1531" s="50"/>
      <c r="AO1531" s="50"/>
      <c r="AP1531" s="50"/>
      <c r="AQ1531" s="50"/>
      <c r="AR1531" s="50"/>
      <c r="AS1531" s="50"/>
      <c r="AT1531" s="51"/>
      <c r="AU1531" s="51"/>
      <c r="AV1531" s="51"/>
      <c r="AW1531" s="51"/>
      <c r="AX1531" s="50"/>
      <c r="AY1531" s="50"/>
      <c r="AZ1531" s="50"/>
      <c r="BA1531" s="50"/>
      <c r="BB1531" s="51"/>
      <c r="BC1531" s="51"/>
      <c r="BD1531" s="51"/>
      <c r="BE1531" s="51"/>
      <c r="BF1531" s="47"/>
      <c r="BG1531" s="47"/>
      <c r="BH1531" s="47"/>
      <c r="BI1531" s="47"/>
      <c r="BJ1531" s="47"/>
      <c r="BK1531" s="47"/>
      <c r="BL1531" s="47"/>
      <c r="BM1531" s="47"/>
      <c r="BN1531" s="47"/>
      <c r="BO1531" s="47"/>
      <c r="BP1531" s="47"/>
      <c r="BQ1531" s="47"/>
      <c r="BR1531" s="47"/>
      <c r="BS1531" s="47"/>
      <c r="BT1531" s="47"/>
    </row>
    <row r="1532">
      <c r="A1532" s="24"/>
      <c r="B1532" s="48"/>
      <c r="C1532" s="49"/>
      <c r="D1532" s="24"/>
      <c r="E1532" s="52"/>
      <c r="F1532" s="53"/>
      <c r="G1532" s="48"/>
      <c r="H1532" s="49"/>
      <c r="I1532" s="49"/>
      <c r="J1532" s="48"/>
      <c r="K1532" s="48"/>
      <c r="L1532" s="48"/>
      <c r="M1532" s="48"/>
      <c r="N1532" s="48"/>
      <c r="O1532" s="48"/>
      <c r="P1532" s="48"/>
      <c r="Q1532" s="48"/>
      <c r="R1532" s="48"/>
      <c r="S1532" s="48"/>
      <c r="T1532" s="48"/>
      <c r="U1532" s="48"/>
      <c r="V1532" s="48"/>
      <c r="W1532" s="49"/>
      <c r="X1532" s="49"/>
      <c r="Y1532" s="49"/>
      <c r="Z1532" s="49"/>
      <c r="AA1532" s="49"/>
      <c r="AB1532" s="49"/>
      <c r="AC1532" s="49"/>
      <c r="AD1532" s="49"/>
      <c r="AE1532" s="49"/>
      <c r="AF1532" s="49"/>
      <c r="AG1532" s="49"/>
      <c r="AH1532" s="49"/>
      <c r="AI1532" s="48"/>
      <c r="AJ1532" s="48"/>
      <c r="AK1532" s="24"/>
      <c r="AL1532" s="50"/>
      <c r="AM1532" s="50"/>
      <c r="AN1532" s="50"/>
      <c r="AO1532" s="50"/>
      <c r="AP1532" s="50"/>
      <c r="AQ1532" s="50"/>
      <c r="AR1532" s="50"/>
      <c r="AS1532" s="50"/>
      <c r="AT1532" s="51"/>
      <c r="AU1532" s="51"/>
      <c r="AV1532" s="51"/>
      <c r="AW1532" s="51"/>
      <c r="AX1532" s="50"/>
      <c r="AY1532" s="50"/>
      <c r="AZ1532" s="50"/>
      <c r="BA1532" s="50"/>
      <c r="BB1532" s="51"/>
      <c r="BC1532" s="51"/>
      <c r="BD1532" s="51"/>
      <c r="BE1532" s="51"/>
      <c r="BF1532" s="47"/>
      <c r="BG1532" s="47"/>
      <c r="BH1532" s="47"/>
      <c r="BI1532" s="47"/>
      <c r="BJ1532" s="47"/>
      <c r="BK1532" s="47"/>
      <c r="BL1532" s="47"/>
      <c r="BM1532" s="47"/>
      <c r="BN1532" s="47"/>
      <c r="BO1532" s="47"/>
      <c r="BP1532" s="47"/>
      <c r="BQ1532" s="47"/>
      <c r="BR1532" s="47"/>
      <c r="BS1532" s="47"/>
      <c r="BT1532" s="47"/>
    </row>
    <row r="1533">
      <c r="A1533" s="24"/>
      <c r="B1533" s="48"/>
      <c r="C1533" s="49"/>
      <c r="D1533" s="24"/>
      <c r="E1533" s="52"/>
      <c r="F1533" s="53"/>
      <c r="G1533" s="48"/>
      <c r="H1533" s="49"/>
      <c r="I1533" s="49"/>
      <c r="J1533" s="48"/>
      <c r="K1533" s="48"/>
      <c r="L1533" s="48"/>
      <c r="M1533" s="48"/>
      <c r="N1533" s="48"/>
      <c r="O1533" s="48"/>
      <c r="P1533" s="48"/>
      <c r="Q1533" s="48"/>
      <c r="R1533" s="48"/>
      <c r="S1533" s="48"/>
      <c r="T1533" s="48"/>
      <c r="U1533" s="48"/>
      <c r="V1533" s="48"/>
      <c r="W1533" s="49"/>
      <c r="X1533" s="49"/>
      <c r="Y1533" s="49"/>
      <c r="Z1533" s="49"/>
      <c r="AA1533" s="49"/>
      <c r="AB1533" s="49"/>
      <c r="AC1533" s="49"/>
      <c r="AD1533" s="49"/>
      <c r="AE1533" s="49"/>
      <c r="AF1533" s="49"/>
      <c r="AG1533" s="49"/>
      <c r="AH1533" s="49"/>
      <c r="AI1533" s="48"/>
      <c r="AJ1533" s="48"/>
      <c r="AK1533" s="24"/>
      <c r="AL1533" s="50"/>
      <c r="AM1533" s="50"/>
      <c r="AN1533" s="50"/>
      <c r="AO1533" s="50"/>
      <c r="AP1533" s="50"/>
      <c r="AQ1533" s="50"/>
      <c r="AR1533" s="50"/>
      <c r="AS1533" s="50"/>
      <c r="AT1533" s="51"/>
      <c r="AU1533" s="51"/>
      <c r="AV1533" s="51"/>
      <c r="AW1533" s="51"/>
      <c r="AX1533" s="50"/>
      <c r="AY1533" s="50"/>
      <c r="AZ1533" s="50"/>
      <c r="BA1533" s="50"/>
      <c r="BB1533" s="51"/>
      <c r="BC1533" s="51"/>
      <c r="BD1533" s="51"/>
      <c r="BE1533" s="51"/>
      <c r="BF1533" s="47"/>
      <c r="BG1533" s="47"/>
      <c r="BH1533" s="47"/>
      <c r="BI1533" s="47"/>
      <c r="BJ1533" s="47"/>
      <c r="BK1533" s="47"/>
      <c r="BL1533" s="47"/>
      <c r="BM1533" s="47"/>
      <c r="BN1533" s="47"/>
      <c r="BO1533" s="47"/>
      <c r="BP1533" s="47"/>
      <c r="BQ1533" s="47"/>
      <c r="BR1533" s="47"/>
      <c r="BS1533" s="47"/>
      <c r="BT1533" s="47"/>
    </row>
    <row r="1534">
      <c r="A1534" s="24"/>
      <c r="B1534" s="48"/>
      <c r="C1534" s="49"/>
      <c r="D1534" s="24"/>
      <c r="E1534" s="52"/>
      <c r="F1534" s="53"/>
      <c r="G1534" s="48"/>
      <c r="H1534" s="49"/>
      <c r="I1534" s="49"/>
      <c r="J1534" s="48"/>
      <c r="K1534" s="48"/>
      <c r="L1534" s="48"/>
      <c r="M1534" s="48"/>
      <c r="N1534" s="48"/>
      <c r="O1534" s="48"/>
      <c r="P1534" s="48"/>
      <c r="Q1534" s="48"/>
      <c r="R1534" s="48"/>
      <c r="S1534" s="48"/>
      <c r="T1534" s="48"/>
      <c r="U1534" s="48"/>
      <c r="V1534" s="48"/>
      <c r="W1534" s="49"/>
      <c r="X1534" s="49"/>
      <c r="Y1534" s="49"/>
      <c r="Z1534" s="49"/>
      <c r="AA1534" s="49"/>
      <c r="AB1534" s="49"/>
      <c r="AC1534" s="49"/>
      <c r="AD1534" s="49"/>
      <c r="AE1534" s="49"/>
      <c r="AF1534" s="49"/>
      <c r="AG1534" s="49"/>
      <c r="AH1534" s="49"/>
      <c r="AI1534" s="48"/>
      <c r="AJ1534" s="48"/>
      <c r="AK1534" s="24"/>
      <c r="AL1534" s="50"/>
      <c r="AM1534" s="50"/>
      <c r="AN1534" s="50"/>
      <c r="AO1534" s="50"/>
      <c r="AP1534" s="50"/>
      <c r="AQ1534" s="50"/>
      <c r="AR1534" s="50"/>
      <c r="AS1534" s="50"/>
      <c r="AT1534" s="51"/>
      <c r="AU1534" s="51"/>
      <c r="AV1534" s="51"/>
      <c r="AW1534" s="51"/>
      <c r="AX1534" s="50"/>
      <c r="AY1534" s="50"/>
      <c r="AZ1534" s="50"/>
      <c r="BA1534" s="50"/>
      <c r="BB1534" s="51"/>
      <c r="BC1534" s="51"/>
      <c r="BD1534" s="51"/>
      <c r="BE1534" s="51"/>
      <c r="BF1534" s="47"/>
      <c r="BG1534" s="47"/>
      <c r="BH1534" s="47"/>
      <c r="BI1534" s="47"/>
      <c r="BJ1534" s="47"/>
      <c r="BK1534" s="47"/>
      <c r="BL1534" s="47"/>
      <c r="BM1534" s="47"/>
      <c r="BN1534" s="47"/>
      <c r="BO1534" s="47"/>
      <c r="BP1534" s="47"/>
      <c r="BQ1534" s="47"/>
      <c r="BR1534" s="47"/>
      <c r="BS1534" s="47"/>
      <c r="BT1534" s="47"/>
    </row>
    <row r="1535">
      <c r="A1535" s="24"/>
      <c r="B1535" s="48"/>
      <c r="C1535" s="49"/>
      <c r="D1535" s="24"/>
      <c r="E1535" s="52"/>
      <c r="F1535" s="53"/>
      <c r="G1535" s="48"/>
      <c r="H1535" s="49"/>
      <c r="I1535" s="49"/>
      <c r="J1535" s="48"/>
      <c r="K1535" s="48"/>
      <c r="L1535" s="48"/>
      <c r="M1535" s="48"/>
      <c r="N1535" s="48"/>
      <c r="O1535" s="48"/>
      <c r="P1535" s="48"/>
      <c r="Q1535" s="48"/>
      <c r="R1535" s="48"/>
      <c r="S1535" s="48"/>
      <c r="T1535" s="48"/>
      <c r="U1535" s="48"/>
      <c r="V1535" s="48"/>
      <c r="W1535" s="49"/>
      <c r="X1535" s="49"/>
      <c r="Y1535" s="49"/>
      <c r="Z1535" s="49"/>
      <c r="AA1535" s="49"/>
      <c r="AB1535" s="49"/>
      <c r="AC1535" s="49"/>
      <c r="AD1535" s="49"/>
      <c r="AE1535" s="49"/>
      <c r="AF1535" s="49"/>
      <c r="AG1535" s="49"/>
      <c r="AH1535" s="49"/>
      <c r="AI1535" s="48"/>
      <c r="AJ1535" s="48"/>
      <c r="AK1535" s="24"/>
      <c r="AL1535" s="50"/>
      <c r="AM1535" s="50"/>
      <c r="AN1535" s="50"/>
      <c r="AO1535" s="50"/>
      <c r="AP1535" s="50"/>
      <c r="AQ1535" s="50"/>
      <c r="AR1535" s="50"/>
      <c r="AS1535" s="50"/>
      <c r="AT1535" s="51"/>
      <c r="AU1535" s="51"/>
      <c r="AV1535" s="51"/>
      <c r="AW1535" s="51"/>
      <c r="AX1535" s="50"/>
      <c r="AY1535" s="50"/>
      <c r="AZ1535" s="50"/>
      <c r="BA1535" s="50"/>
      <c r="BB1535" s="51"/>
      <c r="BC1535" s="51"/>
      <c r="BD1535" s="51"/>
      <c r="BE1535" s="51"/>
      <c r="BF1535" s="47"/>
      <c r="BG1535" s="47"/>
      <c r="BH1535" s="47"/>
      <c r="BI1535" s="47"/>
      <c r="BJ1535" s="47"/>
      <c r="BK1535" s="47"/>
      <c r="BL1535" s="47"/>
      <c r="BM1535" s="47"/>
      <c r="BN1535" s="47"/>
      <c r="BO1535" s="47"/>
      <c r="BP1535" s="47"/>
      <c r="BQ1535" s="47"/>
      <c r="BR1535" s="47"/>
      <c r="BS1535" s="47"/>
      <c r="BT1535" s="47"/>
    </row>
    <row r="1536">
      <c r="A1536" s="24"/>
      <c r="B1536" s="48"/>
      <c r="C1536" s="49"/>
      <c r="D1536" s="24"/>
      <c r="E1536" s="52"/>
      <c r="F1536" s="53"/>
      <c r="G1536" s="48"/>
      <c r="H1536" s="49"/>
      <c r="I1536" s="49"/>
      <c r="J1536" s="48"/>
      <c r="K1536" s="48"/>
      <c r="L1536" s="48"/>
      <c r="M1536" s="48"/>
      <c r="N1536" s="48"/>
      <c r="O1536" s="48"/>
      <c r="P1536" s="48"/>
      <c r="Q1536" s="48"/>
      <c r="R1536" s="48"/>
      <c r="S1536" s="48"/>
      <c r="T1536" s="48"/>
      <c r="U1536" s="48"/>
      <c r="V1536" s="48"/>
      <c r="W1536" s="49"/>
      <c r="X1536" s="49"/>
      <c r="Y1536" s="49"/>
      <c r="Z1536" s="49"/>
      <c r="AA1536" s="49"/>
      <c r="AB1536" s="49"/>
      <c r="AC1536" s="49"/>
      <c r="AD1536" s="49"/>
      <c r="AE1536" s="49"/>
      <c r="AF1536" s="49"/>
      <c r="AG1536" s="49"/>
      <c r="AH1536" s="49"/>
      <c r="AI1536" s="48"/>
      <c r="AJ1536" s="48"/>
      <c r="AK1536" s="24"/>
      <c r="AL1536" s="50"/>
      <c r="AM1536" s="50"/>
      <c r="AN1536" s="50"/>
      <c r="AO1536" s="50"/>
      <c r="AP1536" s="50"/>
      <c r="AQ1536" s="50"/>
      <c r="AR1536" s="50"/>
      <c r="AS1536" s="50"/>
      <c r="AT1536" s="51"/>
      <c r="AU1536" s="51"/>
      <c r="AV1536" s="51"/>
      <c r="AW1536" s="51"/>
      <c r="AX1536" s="50"/>
      <c r="AY1536" s="50"/>
      <c r="AZ1536" s="50"/>
      <c r="BA1536" s="50"/>
      <c r="BB1536" s="51"/>
      <c r="BC1536" s="51"/>
      <c r="BD1536" s="51"/>
      <c r="BE1536" s="51"/>
      <c r="BF1536" s="47"/>
      <c r="BG1536" s="47"/>
      <c r="BH1536" s="47"/>
      <c r="BI1536" s="47"/>
      <c r="BJ1536" s="47"/>
      <c r="BK1536" s="47"/>
      <c r="BL1536" s="47"/>
      <c r="BM1536" s="47"/>
      <c r="BN1536" s="47"/>
      <c r="BO1536" s="47"/>
      <c r="BP1536" s="47"/>
      <c r="BQ1536" s="47"/>
      <c r="BR1536" s="47"/>
      <c r="BS1536" s="47"/>
      <c r="BT1536" s="47"/>
    </row>
    <row r="1537">
      <c r="A1537" s="24"/>
      <c r="B1537" s="48"/>
      <c r="C1537" s="49"/>
      <c r="D1537" s="24"/>
      <c r="E1537" s="52"/>
      <c r="F1537" s="53"/>
      <c r="G1537" s="48"/>
      <c r="H1537" s="49"/>
      <c r="I1537" s="49"/>
      <c r="J1537" s="48"/>
      <c r="K1537" s="48"/>
      <c r="L1537" s="48"/>
      <c r="M1537" s="48"/>
      <c r="N1537" s="48"/>
      <c r="O1537" s="48"/>
      <c r="P1537" s="48"/>
      <c r="Q1537" s="48"/>
      <c r="R1537" s="48"/>
      <c r="S1537" s="48"/>
      <c r="T1537" s="48"/>
      <c r="U1537" s="48"/>
      <c r="V1537" s="48"/>
      <c r="W1537" s="49"/>
      <c r="X1537" s="49"/>
      <c r="Y1537" s="49"/>
      <c r="Z1537" s="49"/>
      <c r="AA1537" s="49"/>
      <c r="AB1537" s="49"/>
      <c r="AC1537" s="49"/>
      <c r="AD1537" s="49"/>
      <c r="AE1537" s="49"/>
      <c r="AF1537" s="49"/>
      <c r="AG1537" s="49"/>
      <c r="AH1537" s="49"/>
      <c r="AI1537" s="48"/>
      <c r="AJ1537" s="48"/>
      <c r="AK1537" s="24"/>
      <c r="AL1537" s="50"/>
      <c r="AM1537" s="50"/>
      <c r="AN1537" s="50"/>
      <c r="AO1537" s="50"/>
      <c r="AP1537" s="50"/>
      <c r="AQ1537" s="50"/>
      <c r="AR1537" s="50"/>
      <c r="AS1537" s="50"/>
      <c r="AT1537" s="51"/>
      <c r="AU1537" s="51"/>
      <c r="AV1537" s="51"/>
      <c r="AW1537" s="51"/>
      <c r="AX1537" s="50"/>
      <c r="AY1537" s="50"/>
      <c r="AZ1537" s="50"/>
      <c r="BA1537" s="50"/>
      <c r="BB1537" s="51"/>
      <c r="BC1537" s="51"/>
      <c r="BD1537" s="51"/>
      <c r="BE1537" s="51"/>
      <c r="BF1537" s="47"/>
      <c r="BG1537" s="47"/>
      <c r="BH1537" s="47"/>
      <c r="BI1537" s="47"/>
      <c r="BJ1537" s="47"/>
      <c r="BK1537" s="47"/>
      <c r="BL1537" s="47"/>
      <c r="BM1537" s="47"/>
      <c r="BN1537" s="47"/>
      <c r="BO1537" s="47"/>
      <c r="BP1537" s="47"/>
      <c r="BQ1537" s="47"/>
      <c r="BR1537" s="47"/>
      <c r="BS1537" s="47"/>
      <c r="BT1537" s="47"/>
    </row>
    <row r="1538">
      <c r="A1538" s="24"/>
      <c r="B1538" s="48"/>
      <c r="C1538" s="49"/>
      <c r="D1538" s="24"/>
      <c r="E1538" s="52"/>
      <c r="F1538" s="53"/>
      <c r="G1538" s="48"/>
      <c r="H1538" s="49"/>
      <c r="I1538" s="49"/>
      <c r="J1538" s="48"/>
      <c r="K1538" s="48"/>
      <c r="L1538" s="48"/>
      <c r="M1538" s="48"/>
      <c r="N1538" s="48"/>
      <c r="O1538" s="48"/>
      <c r="P1538" s="48"/>
      <c r="Q1538" s="48"/>
      <c r="R1538" s="48"/>
      <c r="S1538" s="48"/>
      <c r="T1538" s="48"/>
      <c r="U1538" s="48"/>
      <c r="V1538" s="48"/>
      <c r="W1538" s="49"/>
      <c r="X1538" s="49"/>
      <c r="Y1538" s="49"/>
      <c r="Z1538" s="49"/>
      <c r="AA1538" s="49"/>
      <c r="AB1538" s="49"/>
      <c r="AC1538" s="49"/>
      <c r="AD1538" s="49"/>
      <c r="AE1538" s="49"/>
      <c r="AF1538" s="49"/>
      <c r="AG1538" s="49"/>
      <c r="AH1538" s="49"/>
      <c r="AI1538" s="48"/>
      <c r="AJ1538" s="48"/>
      <c r="AK1538" s="24"/>
      <c r="AL1538" s="50"/>
      <c r="AM1538" s="50"/>
      <c r="AN1538" s="50"/>
      <c r="AO1538" s="50"/>
      <c r="AP1538" s="50"/>
      <c r="AQ1538" s="50"/>
      <c r="AR1538" s="50"/>
      <c r="AS1538" s="50"/>
      <c r="AT1538" s="51"/>
      <c r="AU1538" s="51"/>
      <c r="AV1538" s="51"/>
      <c r="AW1538" s="51"/>
      <c r="AX1538" s="50"/>
      <c r="AY1538" s="50"/>
      <c r="AZ1538" s="50"/>
      <c r="BA1538" s="50"/>
      <c r="BB1538" s="51"/>
      <c r="BC1538" s="51"/>
      <c r="BD1538" s="51"/>
      <c r="BE1538" s="51"/>
      <c r="BF1538" s="47"/>
      <c r="BG1538" s="47"/>
      <c r="BH1538" s="47"/>
      <c r="BI1538" s="47"/>
      <c r="BJ1538" s="47"/>
      <c r="BK1538" s="47"/>
      <c r="BL1538" s="47"/>
      <c r="BM1538" s="47"/>
      <c r="BN1538" s="47"/>
      <c r="BO1538" s="47"/>
      <c r="BP1538" s="47"/>
      <c r="BQ1538" s="47"/>
      <c r="BR1538" s="47"/>
      <c r="BS1538" s="47"/>
      <c r="BT1538" s="47"/>
    </row>
    <row r="1539">
      <c r="A1539" s="24"/>
      <c r="B1539" s="48"/>
      <c r="C1539" s="49"/>
      <c r="D1539" s="24"/>
      <c r="E1539" s="52"/>
      <c r="F1539" s="53"/>
      <c r="G1539" s="48"/>
      <c r="H1539" s="49"/>
      <c r="I1539" s="49"/>
      <c r="J1539" s="48"/>
      <c r="K1539" s="48"/>
      <c r="L1539" s="48"/>
      <c r="M1539" s="48"/>
      <c r="N1539" s="48"/>
      <c r="O1539" s="48"/>
      <c r="P1539" s="48"/>
      <c r="Q1539" s="48"/>
      <c r="R1539" s="48"/>
      <c r="S1539" s="48"/>
      <c r="T1539" s="48"/>
      <c r="U1539" s="48"/>
      <c r="V1539" s="48"/>
      <c r="W1539" s="49"/>
      <c r="X1539" s="49"/>
      <c r="Y1539" s="49"/>
      <c r="Z1539" s="49"/>
      <c r="AA1539" s="49"/>
      <c r="AB1539" s="49"/>
      <c r="AC1539" s="49"/>
      <c r="AD1539" s="49"/>
      <c r="AE1539" s="49"/>
      <c r="AF1539" s="49"/>
      <c r="AG1539" s="49"/>
      <c r="AH1539" s="49"/>
      <c r="AI1539" s="48"/>
      <c r="AJ1539" s="48"/>
      <c r="AK1539" s="24"/>
      <c r="AL1539" s="50"/>
      <c r="AM1539" s="50"/>
      <c r="AN1539" s="50"/>
      <c r="AO1539" s="50"/>
      <c r="AP1539" s="50"/>
      <c r="AQ1539" s="50"/>
      <c r="AR1539" s="50"/>
      <c r="AS1539" s="50"/>
      <c r="AT1539" s="51"/>
      <c r="AU1539" s="51"/>
      <c r="AV1539" s="51"/>
      <c r="AW1539" s="51"/>
      <c r="AX1539" s="50"/>
      <c r="AY1539" s="50"/>
      <c r="AZ1539" s="50"/>
      <c r="BA1539" s="50"/>
      <c r="BB1539" s="51"/>
      <c r="BC1539" s="51"/>
      <c r="BD1539" s="51"/>
      <c r="BE1539" s="51"/>
      <c r="BF1539" s="47"/>
      <c r="BG1539" s="47"/>
      <c r="BH1539" s="47"/>
      <c r="BI1539" s="47"/>
      <c r="BJ1539" s="47"/>
      <c r="BK1539" s="47"/>
      <c r="BL1539" s="47"/>
      <c r="BM1539" s="47"/>
      <c r="BN1539" s="47"/>
      <c r="BO1539" s="47"/>
      <c r="BP1539" s="47"/>
      <c r="BQ1539" s="47"/>
      <c r="BR1539" s="47"/>
      <c r="BS1539" s="47"/>
      <c r="BT1539" s="47"/>
    </row>
    <row r="1540">
      <c r="A1540" s="24"/>
      <c r="B1540" s="48"/>
      <c r="C1540" s="49"/>
      <c r="D1540" s="24"/>
      <c r="E1540" s="52"/>
      <c r="F1540" s="53"/>
      <c r="G1540" s="48"/>
      <c r="H1540" s="49"/>
      <c r="I1540" s="49"/>
      <c r="J1540" s="48"/>
      <c r="K1540" s="48"/>
      <c r="L1540" s="48"/>
      <c r="M1540" s="48"/>
      <c r="N1540" s="48"/>
      <c r="O1540" s="48"/>
      <c r="P1540" s="48"/>
      <c r="Q1540" s="48"/>
      <c r="R1540" s="48"/>
      <c r="S1540" s="48"/>
      <c r="T1540" s="48"/>
      <c r="U1540" s="48"/>
      <c r="V1540" s="48"/>
      <c r="W1540" s="49"/>
      <c r="X1540" s="49"/>
      <c r="Y1540" s="49"/>
      <c r="Z1540" s="49"/>
      <c r="AA1540" s="49"/>
      <c r="AB1540" s="49"/>
      <c r="AC1540" s="49"/>
      <c r="AD1540" s="49"/>
      <c r="AE1540" s="49"/>
      <c r="AF1540" s="49"/>
      <c r="AG1540" s="49"/>
      <c r="AH1540" s="49"/>
      <c r="AI1540" s="48"/>
      <c r="AJ1540" s="48"/>
      <c r="AK1540" s="24"/>
      <c r="AL1540" s="50"/>
      <c r="AM1540" s="50"/>
      <c r="AN1540" s="50"/>
      <c r="AO1540" s="50"/>
      <c r="AP1540" s="50"/>
      <c r="AQ1540" s="50"/>
      <c r="AR1540" s="50"/>
      <c r="AS1540" s="50"/>
      <c r="AT1540" s="51"/>
      <c r="AU1540" s="51"/>
      <c r="AV1540" s="51"/>
      <c r="AW1540" s="51"/>
      <c r="AX1540" s="50"/>
      <c r="AY1540" s="50"/>
      <c r="AZ1540" s="50"/>
      <c r="BA1540" s="50"/>
      <c r="BB1540" s="51"/>
      <c r="BC1540" s="51"/>
      <c r="BD1540" s="51"/>
      <c r="BE1540" s="51"/>
      <c r="BF1540" s="47"/>
      <c r="BG1540" s="47"/>
      <c r="BH1540" s="47"/>
      <c r="BI1540" s="47"/>
      <c r="BJ1540" s="47"/>
      <c r="BK1540" s="47"/>
      <c r="BL1540" s="47"/>
      <c r="BM1540" s="47"/>
      <c r="BN1540" s="47"/>
      <c r="BO1540" s="47"/>
      <c r="BP1540" s="47"/>
      <c r="BQ1540" s="47"/>
      <c r="BR1540" s="47"/>
      <c r="BS1540" s="47"/>
      <c r="BT1540" s="47"/>
    </row>
    <row r="1541">
      <c r="A1541" s="24"/>
      <c r="B1541" s="48"/>
      <c r="C1541" s="49"/>
      <c r="D1541" s="24"/>
      <c r="E1541" s="52"/>
      <c r="F1541" s="53"/>
      <c r="G1541" s="48"/>
      <c r="H1541" s="49"/>
      <c r="I1541" s="49"/>
      <c r="J1541" s="48"/>
      <c r="K1541" s="48"/>
      <c r="L1541" s="48"/>
      <c r="M1541" s="48"/>
      <c r="N1541" s="48"/>
      <c r="O1541" s="48"/>
      <c r="P1541" s="48"/>
      <c r="Q1541" s="48"/>
      <c r="R1541" s="48"/>
      <c r="S1541" s="48"/>
      <c r="T1541" s="48"/>
      <c r="U1541" s="48"/>
      <c r="V1541" s="48"/>
      <c r="W1541" s="49"/>
      <c r="X1541" s="49"/>
      <c r="Y1541" s="49"/>
      <c r="Z1541" s="49"/>
      <c r="AA1541" s="49"/>
      <c r="AB1541" s="49"/>
      <c r="AC1541" s="49"/>
      <c r="AD1541" s="49"/>
      <c r="AE1541" s="49"/>
      <c r="AF1541" s="49"/>
      <c r="AG1541" s="49"/>
      <c r="AH1541" s="49"/>
      <c r="AI1541" s="48"/>
      <c r="AJ1541" s="48"/>
      <c r="AK1541" s="24"/>
      <c r="AL1541" s="50"/>
      <c r="AM1541" s="50"/>
      <c r="AN1541" s="50"/>
      <c r="AO1541" s="50"/>
      <c r="AP1541" s="50"/>
      <c r="AQ1541" s="50"/>
      <c r="AR1541" s="50"/>
      <c r="AS1541" s="50"/>
      <c r="AT1541" s="51"/>
      <c r="AU1541" s="51"/>
      <c r="AV1541" s="51"/>
      <c r="AW1541" s="51"/>
      <c r="AX1541" s="50"/>
      <c r="AY1541" s="50"/>
      <c r="AZ1541" s="50"/>
      <c r="BA1541" s="50"/>
      <c r="BB1541" s="51"/>
      <c r="BC1541" s="51"/>
      <c r="BD1541" s="51"/>
      <c r="BE1541" s="51"/>
      <c r="BF1541" s="47"/>
      <c r="BG1541" s="47"/>
      <c r="BH1541" s="47"/>
      <c r="BI1541" s="47"/>
      <c r="BJ1541" s="47"/>
      <c r="BK1541" s="47"/>
      <c r="BL1541" s="47"/>
      <c r="BM1541" s="47"/>
      <c r="BN1541" s="47"/>
      <c r="BO1541" s="47"/>
      <c r="BP1541" s="47"/>
      <c r="BQ1541" s="47"/>
      <c r="BR1541" s="47"/>
      <c r="BS1541" s="47"/>
      <c r="BT1541" s="47"/>
    </row>
    <row r="1542">
      <c r="A1542" s="24"/>
      <c r="B1542" s="48"/>
      <c r="C1542" s="49"/>
      <c r="D1542" s="24"/>
      <c r="E1542" s="52"/>
      <c r="F1542" s="53"/>
      <c r="G1542" s="48"/>
      <c r="H1542" s="49"/>
      <c r="I1542" s="49"/>
      <c r="J1542" s="48"/>
      <c r="K1542" s="48"/>
      <c r="L1542" s="48"/>
      <c r="M1542" s="48"/>
      <c r="N1542" s="48"/>
      <c r="O1542" s="48"/>
      <c r="P1542" s="48"/>
      <c r="Q1542" s="48"/>
      <c r="R1542" s="48"/>
      <c r="S1542" s="48"/>
      <c r="T1542" s="48"/>
      <c r="U1542" s="48"/>
      <c r="V1542" s="48"/>
      <c r="W1542" s="49"/>
      <c r="X1542" s="49"/>
      <c r="Y1542" s="49"/>
      <c r="Z1542" s="49"/>
      <c r="AA1542" s="49"/>
      <c r="AB1542" s="49"/>
      <c r="AC1542" s="49"/>
      <c r="AD1542" s="49"/>
      <c r="AE1542" s="49"/>
      <c r="AF1542" s="49"/>
      <c r="AG1542" s="49"/>
      <c r="AH1542" s="49"/>
      <c r="AI1542" s="48"/>
      <c r="AJ1542" s="48"/>
      <c r="AK1542" s="24"/>
      <c r="AL1542" s="50"/>
      <c r="AM1542" s="50"/>
      <c r="AN1542" s="50"/>
      <c r="AO1542" s="50"/>
      <c r="AP1542" s="50"/>
      <c r="AQ1542" s="50"/>
      <c r="AR1542" s="50"/>
      <c r="AS1542" s="50"/>
      <c r="AT1542" s="51"/>
      <c r="AU1542" s="51"/>
      <c r="AV1542" s="51"/>
      <c r="AW1542" s="51"/>
      <c r="AX1542" s="50"/>
      <c r="AY1542" s="50"/>
      <c r="AZ1542" s="50"/>
      <c r="BA1542" s="50"/>
      <c r="BB1542" s="51"/>
      <c r="BC1542" s="51"/>
      <c r="BD1542" s="51"/>
      <c r="BE1542" s="51"/>
      <c r="BF1542" s="47"/>
      <c r="BG1542" s="47"/>
      <c r="BH1542" s="47"/>
      <c r="BI1542" s="47"/>
      <c r="BJ1542" s="47"/>
      <c r="BK1542" s="47"/>
      <c r="BL1542" s="47"/>
      <c r="BM1542" s="47"/>
      <c r="BN1542" s="47"/>
      <c r="BO1542" s="47"/>
      <c r="BP1542" s="47"/>
      <c r="BQ1542" s="47"/>
      <c r="BR1542" s="47"/>
      <c r="BS1542" s="47"/>
      <c r="BT1542" s="47"/>
    </row>
    <row r="1543">
      <c r="A1543" s="24"/>
      <c r="B1543" s="48"/>
      <c r="C1543" s="49"/>
      <c r="D1543" s="24"/>
      <c r="E1543" s="52"/>
      <c r="F1543" s="53"/>
      <c r="G1543" s="48"/>
      <c r="H1543" s="49"/>
      <c r="I1543" s="49"/>
      <c r="J1543" s="48"/>
      <c r="K1543" s="48"/>
      <c r="L1543" s="48"/>
      <c r="M1543" s="48"/>
      <c r="N1543" s="48"/>
      <c r="O1543" s="48"/>
      <c r="P1543" s="48"/>
      <c r="Q1543" s="48"/>
      <c r="R1543" s="48"/>
      <c r="S1543" s="48"/>
      <c r="T1543" s="48"/>
      <c r="U1543" s="48"/>
      <c r="V1543" s="48"/>
      <c r="W1543" s="49"/>
      <c r="X1543" s="49"/>
      <c r="Y1543" s="49"/>
      <c r="Z1543" s="49"/>
      <c r="AA1543" s="49"/>
      <c r="AB1543" s="49"/>
      <c r="AC1543" s="49"/>
      <c r="AD1543" s="49"/>
      <c r="AE1543" s="49"/>
      <c r="AF1543" s="49"/>
      <c r="AG1543" s="49"/>
      <c r="AH1543" s="49"/>
      <c r="AI1543" s="48"/>
      <c r="AJ1543" s="48"/>
      <c r="AK1543" s="24"/>
      <c r="AL1543" s="50"/>
      <c r="AM1543" s="50"/>
      <c r="AN1543" s="50"/>
      <c r="AO1543" s="50"/>
      <c r="AP1543" s="50"/>
      <c r="AQ1543" s="50"/>
      <c r="AR1543" s="50"/>
      <c r="AS1543" s="50"/>
      <c r="AT1543" s="51"/>
      <c r="AU1543" s="51"/>
      <c r="AV1543" s="51"/>
      <c r="AW1543" s="51"/>
      <c r="AX1543" s="50"/>
      <c r="AY1543" s="50"/>
      <c r="AZ1543" s="50"/>
      <c r="BA1543" s="50"/>
      <c r="BB1543" s="51"/>
      <c r="BC1543" s="51"/>
      <c r="BD1543" s="51"/>
      <c r="BE1543" s="51"/>
      <c r="BF1543" s="47"/>
      <c r="BG1543" s="47"/>
      <c r="BH1543" s="47"/>
      <c r="BI1543" s="47"/>
      <c r="BJ1543" s="47"/>
      <c r="BK1543" s="47"/>
      <c r="BL1543" s="47"/>
      <c r="BM1543" s="47"/>
      <c r="BN1543" s="47"/>
      <c r="BO1543" s="47"/>
      <c r="BP1543" s="47"/>
      <c r="BQ1543" s="47"/>
      <c r="BR1543" s="47"/>
      <c r="BS1543" s="47"/>
      <c r="BT1543" s="47"/>
    </row>
    <row r="1544">
      <c r="A1544" s="24"/>
      <c r="B1544" s="48"/>
      <c r="C1544" s="49"/>
      <c r="D1544" s="24"/>
      <c r="E1544" s="52"/>
      <c r="F1544" s="53"/>
      <c r="G1544" s="48"/>
      <c r="H1544" s="49"/>
      <c r="I1544" s="49"/>
      <c r="J1544" s="48"/>
      <c r="K1544" s="48"/>
      <c r="L1544" s="48"/>
      <c r="M1544" s="48"/>
      <c r="N1544" s="48"/>
      <c r="O1544" s="48"/>
      <c r="P1544" s="48"/>
      <c r="Q1544" s="48"/>
      <c r="R1544" s="48"/>
      <c r="S1544" s="48"/>
      <c r="T1544" s="48"/>
      <c r="U1544" s="48"/>
      <c r="V1544" s="48"/>
      <c r="W1544" s="49"/>
      <c r="X1544" s="49"/>
      <c r="Y1544" s="49"/>
      <c r="Z1544" s="49"/>
      <c r="AA1544" s="49"/>
      <c r="AB1544" s="49"/>
      <c r="AC1544" s="49"/>
      <c r="AD1544" s="49"/>
      <c r="AE1544" s="49"/>
      <c r="AF1544" s="49"/>
      <c r="AG1544" s="49"/>
      <c r="AH1544" s="49"/>
      <c r="AI1544" s="48"/>
      <c r="AJ1544" s="48"/>
      <c r="AK1544" s="24"/>
      <c r="AL1544" s="50"/>
      <c r="AM1544" s="50"/>
      <c r="AN1544" s="50"/>
      <c r="AO1544" s="50"/>
      <c r="AP1544" s="50"/>
      <c r="AQ1544" s="50"/>
      <c r="AR1544" s="50"/>
      <c r="AS1544" s="50"/>
      <c r="AT1544" s="51"/>
      <c r="AU1544" s="51"/>
      <c r="AV1544" s="51"/>
      <c r="AW1544" s="51"/>
      <c r="AX1544" s="50"/>
      <c r="AY1544" s="50"/>
      <c r="AZ1544" s="50"/>
      <c r="BA1544" s="50"/>
      <c r="BB1544" s="51"/>
      <c r="BC1544" s="51"/>
      <c r="BD1544" s="51"/>
      <c r="BE1544" s="51"/>
      <c r="BF1544" s="47"/>
      <c r="BG1544" s="47"/>
      <c r="BH1544" s="47"/>
      <c r="BI1544" s="47"/>
      <c r="BJ1544" s="47"/>
      <c r="BK1544" s="47"/>
      <c r="BL1544" s="47"/>
      <c r="BM1544" s="47"/>
      <c r="BN1544" s="47"/>
      <c r="BO1544" s="47"/>
      <c r="BP1544" s="47"/>
      <c r="BQ1544" s="47"/>
      <c r="BR1544" s="47"/>
      <c r="BS1544" s="47"/>
      <c r="BT1544" s="47"/>
    </row>
    <row r="1545">
      <c r="A1545" s="24"/>
      <c r="B1545" s="48"/>
      <c r="C1545" s="49"/>
      <c r="D1545" s="24"/>
      <c r="E1545" s="52"/>
      <c r="F1545" s="53"/>
      <c r="G1545" s="48"/>
      <c r="H1545" s="49"/>
      <c r="I1545" s="49"/>
      <c r="J1545" s="48"/>
      <c r="K1545" s="48"/>
      <c r="L1545" s="48"/>
      <c r="M1545" s="48"/>
      <c r="N1545" s="48"/>
      <c r="O1545" s="48"/>
      <c r="P1545" s="48"/>
      <c r="Q1545" s="48"/>
      <c r="R1545" s="48"/>
      <c r="S1545" s="48"/>
      <c r="T1545" s="48"/>
      <c r="U1545" s="48"/>
      <c r="V1545" s="48"/>
      <c r="W1545" s="49"/>
      <c r="X1545" s="49"/>
      <c r="Y1545" s="49"/>
      <c r="Z1545" s="49"/>
      <c r="AA1545" s="49"/>
      <c r="AB1545" s="49"/>
      <c r="AC1545" s="49"/>
      <c r="AD1545" s="49"/>
      <c r="AE1545" s="49"/>
      <c r="AF1545" s="49"/>
      <c r="AG1545" s="49"/>
      <c r="AH1545" s="49"/>
      <c r="AI1545" s="48"/>
      <c r="AJ1545" s="48"/>
      <c r="AK1545" s="24"/>
      <c r="AL1545" s="50"/>
      <c r="AM1545" s="50"/>
      <c r="AN1545" s="50"/>
      <c r="AO1545" s="50"/>
      <c r="AP1545" s="50"/>
      <c r="AQ1545" s="50"/>
      <c r="AR1545" s="50"/>
      <c r="AS1545" s="50"/>
      <c r="AT1545" s="51"/>
      <c r="AU1545" s="51"/>
      <c r="AV1545" s="51"/>
      <c r="AW1545" s="51"/>
      <c r="AX1545" s="50"/>
      <c r="AY1545" s="50"/>
      <c r="AZ1545" s="50"/>
      <c r="BA1545" s="50"/>
      <c r="BB1545" s="51"/>
      <c r="BC1545" s="51"/>
      <c r="BD1545" s="51"/>
      <c r="BE1545" s="51"/>
      <c r="BF1545" s="47"/>
      <c r="BG1545" s="47"/>
      <c r="BH1545" s="47"/>
      <c r="BI1545" s="47"/>
      <c r="BJ1545" s="47"/>
      <c r="BK1545" s="47"/>
      <c r="BL1545" s="47"/>
      <c r="BM1545" s="47"/>
      <c r="BN1545" s="47"/>
      <c r="BO1545" s="47"/>
      <c r="BP1545" s="47"/>
      <c r="BQ1545" s="47"/>
      <c r="BR1545" s="47"/>
      <c r="BS1545" s="47"/>
      <c r="BT1545" s="47"/>
    </row>
    <row r="1546">
      <c r="A1546" s="24"/>
      <c r="B1546" s="48"/>
      <c r="C1546" s="49"/>
      <c r="D1546" s="24"/>
      <c r="E1546" s="52"/>
      <c r="F1546" s="53"/>
      <c r="G1546" s="48"/>
      <c r="H1546" s="49"/>
      <c r="I1546" s="49"/>
      <c r="J1546" s="48"/>
      <c r="K1546" s="48"/>
      <c r="L1546" s="48"/>
      <c r="M1546" s="48"/>
      <c r="N1546" s="48"/>
      <c r="O1546" s="48"/>
      <c r="P1546" s="48"/>
      <c r="Q1546" s="48"/>
      <c r="R1546" s="48"/>
      <c r="S1546" s="48"/>
      <c r="T1546" s="48"/>
      <c r="U1546" s="48"/>
      <c r="V1546" s="48"/>
      <c r="W1546" s="49"/>
      <c r="X1546" s="49"/>
      <c r="Y1546" s="49"/>
      <c r="Z1546" s="49"/>
      <c r="AA1546" s="49"/>
      <c r="AB1546" s="49"/>
      <c r="AC1546" s="49"/>
      <c r="AD1546" s="49"/>
      <c r="AE1546" s="49"/>
      <c r="AF1546" s="49"/>
      <c r="AG1546" s="49"/>
      <c r="AH1546" s="49"/>
      <c r="AI1546" s="48"/>
      <c r="AJ1546" s="48"/>
      <c r="AK1546" s="24"/>
      <c r="AL1546" s="50"/>
      <c r="AM1546" s="50"/>
      <c r="AN1546" s="50"/>
      <c r="AO1546" s="50"/>
      <c r="AP1546" s="50"/>
      <c r="AQ1546" s="50"/>
      <c r="AR1546" s="50"/>
      <c r="AS1546" s="50"/>
      <c r="AT1546" s="51"/>
      <c r="AU1546" s="51"/>
      <c r="AV1546" s="51"/>
      <c r="AW1546" s="51"/>
      <c r="AX1546" s="50"/>
      <c r="AY1546" s="50"/>
      <c r="AZ1546" s="50"/>
      <c r="BA1546" s="50"/>
      <c r="BB1546" s="51"/>
      <c r="BC1546" s="51"/>
      <c r="BD1546" s="51"/>
      <c r="BE1546" s="51"/>
      <c r="BF1546" s="47"/>
      <c r="BG1546" s="47"/>
      <c r="BH1546" s="47"/>
      <c r="BI1546" s="47"/>
      <c r="BJ1546" s="47"/>
      <c r="BK1546" s="47"/>
      <c r="BL1546" s="47"/>
      <c r="BM1546" s="47"/>
      <c r="BN1546" s="47"/>
      <c r="BO1546" s="47"/>
      <c r="BP1546" s="47"/>
      <c r="BQ1546" s="47"/>
      <c r="BR1546" s="47"/>
      <c r="BS1546" s="47"/>
      <c r="BT1546" s="47"/>
    </row>
    <row r="1547">
      <c r="A1547" s="24"/>
      <c r="B1547" s="48"/>
      <c r="C1547" s="49"/>
      <c r="D1547" s="24"/>
      <c r="E1547" s="52"/>
      <c r="F1547" s="53"/>
      <c r="G1547" s="48"/>
      <c r="H1547" s="49"/>
      <c r="I1547" s="49"/>
      <c r="J1547" s="48"/>
      <c r="K1547" s="48"/>
      <c r="L1547" s="48"/>
      <c r="M1547" s="48"/>
      <c r="N1547" s="48"/>
      <c r="O1547" s="48"/>
      <c r="P1547" s="48"/>
      <c r="Q1547" s="48"/>
      <c r="R1547" s="48"/>
      <c r="S1547" s="48"/>
      <c r="T1547" s="48"/>
      <c r="U1547" s="48"/>
      <c r="V1547" s="48"/>
      <c r="W1547" s="49"/>
      <c r="X1547" s="49"/>
      <c r="Y1547" s="49"/>
      <c r="Z1547" s="49"/>
      <c r="AA1547" s="49"/>
      <c r="AB1547" s="49"/>
      <c r="AC1547" s="49"/>
      <c r="AD1547" s="49"/>
      <c r="AE1547" s="49"/>
      <c r="AF1547" s="49"/>
      <c r="AG1547" s="49"/>
      <c r="AH1547" s="49"/>
      <c r="AI1547" s="48"/>
      <c r="AJ1547" s="48"/>
      <c r="AK1547" s="24"/>
      <c r="AL1547" s="50"/>
      <c r="AM1547" s="50"/>
      <c r="AN1547" s="50"/>
      <c r="AO1547" s="50"/>
      <c r="AP1547" s="50"/>
      <c r="AQ1547" s="50"/>
      <c r="AR1547" s="50"/>
      <c r="AS1547" s="50"/>
      <c r="AT1547" s="51"/>
      <c r="AU1547" s="51"/>
      <c r="AV1547" s="51"/>
      <c r="AW1547" s="51"/>
      <c r="AX1547" s="50"/>
      <c r="AY1547" s="50"/>
      <c r="AZ1547" s="50"/>
      <c r="BA1547" s="50"/>
      <c r="BB1547" s="51"/>
      <c r="BC1547" s="51"/>
      <c r="BD1547" s="51"/>
      <c r="BE1547" s="51"/>
      <c r="BF1547" s="47"/>
      <c r="BG1547" s="47"/>
      <c r="BH1547" s="47"/>
      <c r="BI1547" s="47"/>
      <c r="BJ1547" s="47"/>
      <c r="BK1547" s="47"/>
      <c r="BL1547" s="47"/>
      <c r="BM1547" s="47"/>
      <c r="BN1547" s="47"/>
      <c r="BO1547" s="47"/>
      <c r="BP1547" s="47"/>
      <c r="BQ1547" s="47"/>
      <c r="BR1547" s="47"/>
      <c r="BS1547" s="47"/>
      <c r="BT1547" s="47"/>
    </row>
    <row r="1548">
      <c r="A1548" s="24"/>
      <c r="B1548" s="48"/>
      <c r="C1548" s="49"/>
      <c r="D1548" s="24"/>
      <c r="E1548" s="52"/>
      <c r="F1548" s="53"/>
      <c r="G1548" s="48"/>
      <c r="H1548" s="49"/>
      <c r="I1548" s="49"/>
      <c r="J1548" s="48"/>
      <c r="K1548" s="48"/>
      <c r="L1548" s="48"/>
      <c r="M1548" s="48"/>
      <c r="N1548" s="48"/>
      <c r="O1548" s="48"/>
      <c r="P1548" s="48"/>
      <c r="Q1548" s="48"/>
      <c r="R1548" s="48"/>
      <c r="S1548" s="48"/>
      <c r="T1548" s="48"/>
      <c r="U1548" s="48"/>
      <c r="V1548" s="48"/>
      <c r="W1548" s="49"/>
      <c r="X1548" s="49"/>
      <c r="Y1548" s="49"/>
      <c r="Z1548" s="49"/>
      <c r="AA1548" s="49"/>
      <c r="AB1548" s="49"/>
      <c r="AC1548" s="49"/>
      <c r="AD1548" s="49"/>
      <c r="AE1548" s="49"/>
      <c r="AF1548" s="49"/>
      <c r="AG1548" s="49"/>
      <c r="AH1548" s="49"/>
      <c r="AI1548" s="48"/>
      <c r="AJ1548" s="48"/>
      <c r="AK1548" s="24"/>
      <c r="AL1548" s="50"/>
      <c r="AM1548" s="50"/>
      <c r="AN1548" s="50"/>
      <c r="AO1548" s="50"/>
      <c r="AP1548" s="50"/>
      <c r="AQ1548" s="50"/>
      <c r="AR1548" s="50"/>
      <c r="AS1548" s="50"/>
      <c r="AT1548" s="51"/>
      <c r="AU1548" s="51"/>
      <c r="AV1548" s="51"/>
      <c r="AW1548" s="51"/>
      <c r="AX1548" s="50"/>
      <c r="AY1548" s="50"/>
      <c r="AZ1548" s="50"/>
      <c r="BA1548" s="50"/>
      <c r="BB1548" s="51"/>
      <c r="BC1548" s="51"/>
      <c r="BD1548" s="51"/>
      <c r="BE1548" s="51"/>
      <c r="BF1548" s="47"/>
      <c r="BG1548" s="47"/>
      <c r="BH1548" s="47"/>
      <c r="BI1548" s="47"/>
      <c r="BJ1548" s="47"/>
      <c r="BK1548" s="47"/>
      <c r="BL1548" s="47"/>
      <c r="BM1548" s="47"/>
      <c r="BN1548" s="47"/>
      <c r="BO1548" s="47"/>
      <c r="BP1548" s="47"/>
      <c r="BQ1548" s="47"/>
      <c r="BR1548" s="47"/>
      <c r="BS1548" s="47"/>
      <c r="BT1548" s="47"/>
    </row>
    <row r="1549">
      <c r="A1549" s="24"/>
      <c r="B1549" s="48"/>
      <c r="C1549" s="49"/>
      <c r="D1549" s="24"/>
      <c r="E1549" s="52"/>
      <c r="F1549" s="53"/>
      <c r="G1549" s="48"/>
      <c r="H1549" s="49"/>
      <c r="I1549" s="49"/>
      <c r="J1549" s="48"/>
      <c r="K1549" s="48"/>
      <c r="L1549" s="48"/>
      <c r="M1549" s="48"/>
      <c r="N1549" s="48"/>
      <c r="O1549" s="48"/>
      <c r="P1549" s="48"/>
      <c r="Q1549" s="48"/>
      <c r="R1549" s="48"/>
      <c r="S1549" s="48"/>
      <c r="T1549" s="48"/>
      <c r="U1549" s="48"/>
      <c r="V1549" s="48"/>
      <c r="W1549" s="49"/>
      <c r="X1549" s="49"/>
      <c r="Y1549" s="49"/>
      <c r="Z1549" s="49"/>
      <c r="AA1549" s="49"/>
      <c r="AB1549" s="49"/>
      <c r="AC1549" s="49"/>
      <c r="AD1549" s="49"/>
      <c r="AE1549" s="49"/>
      <c r="AF1549" s="49"/>
      <c r="AG1549" s="49"/>
      <c r="AH1549" s="49"/>
      <c r="AI1549" s="48"/>
      <c r="AJ1549" s="48"/>
      <c r="AK1549" s="24"/>
      <c r="AL1549" s="50"/>
      <c r="AM1549" s="50"/>
      <c r="AN1549" s="50"/>
      <c r="AO1549" s="50"/>
      <c r="AP1549" s="50"/>
      <c r="AQ1549" s="50"/>
      <c r="AR1549" s="50"/>
      <c r="AS1549" s="50"/>
      <c r="AT1549" s="51"/>
      <c r="AU1549" s="51"/>
      <c r="AV1549" s="51"/>
      <c r="AW1549" s="51"/>
      <c r="AX1549" s="50"/>
      <c r="AY1549" s="50"/>
      <c r="AZ1549" s="50"/>
      <c r="BA1549" s="50"/>
      <c r="BB1549" s="51"/>
      <c r="BC1549" s="51"/>
      <c r="BD1549" s="51"/>
      <c r="BE1549" s="51"/>
      <c r="BF1549" s="47"/>
      <c r="BG1549" s="47"/>
      <c r="BH1549" s="47"/>
      <c r="BI1549" s="47"/>
      <c r="BJ1549" s="47"/>
      <c r="BK1549" s="47"/>
      <c r="BL1549" s="47"/>
      <c r="BM1549" s="47"/>
      <c r="BN1549" s="47"/>
      <c r="BO1549" s="47"/>
      <c r="BP1549" s="47"/>
      <c r="BQ1549" s="47"/>
      <c r="BR1549" s="47"/>
      <c r="BS1549" s="47"/>
      <c r="BT1549" s="47"/>
    </row>
    <row r="1550">
      <c r="A1550" s="24"/>
      <c r="B1550" s="48"/>
      <c r="C1550" s="49"/>
      <c r="D1550" s="24"/>
      <c r="E1550" s="52"/>
      <c r="F1550" s="53"/>
      <c r="G1550" s="48"/>
      <c r="H1550" s="49"/>
      <c r="I1550" s="49"/>
      <c r="J1550" s="48"/>
      <c r="K1550" s="48"/>
      <c r="L1550" s="48"/>
      <c r="M1550" s="48"/>
      <c r="N1550" s="48"/>
      <c r="O1550" s="48"/>
      <c r="P1550" s="48"/>
      <c r="Q1550" s="48"/>
      <c r="R1550" s="48"/>
      <c r="S1550" s="48"/>
      <c r="T1550" s="48"/>
      <c r="U1550" s="48"/>
      <c r="V1550" s="48"/>
      <c r="W1550" s="49"/>
      <c r="X1550" s="49"/>
      <c r="Y1550" s="49"/>
      <c r="Z1550" s="49"/>
      <c r="AA1550" s="49"/>
      <c r="AB1550" s="49"/>
      <c r="AC1550" s="49"/>
      <c r="AD1550" s="49"/>
      <c r="AE1550" s="49"/>
      <c r="AF1550" s="49"/>
      <c r="AG1550" s="49"/>
      <c r="AH1550" s="49"/>
      <c r="AI1550" s="48"/>
      <c r="AJ1550" s="48"/>
      <c r="AK1550" s="24"/>
      <c r="AL1550" s="50"/>
      <c r="AM1550" s="50"/>
      <c r="AN1550" s="50"/>
      <c r="AO1550" s="50"/>
      <c r="AP1550" s="50"/>
      <c r="AQ1550" s="50"/>
      <c r="AR1550" s="50"/>
      <c r="AS1550" s="50"/>
      <c r="AT1550" s="51"/>
      <c r="AU1550" s="51"/>
      <c r="AV1550" s="51"/>
      <c r="AW1550" s="51"/>
      <c r="AX1550" s="50"/>
      <c r="AY1550" s="50"/>
      <c r="AZ1550" s="50"/>
      <c r="BA1550" s="50"/>
      <c r="BB1550" s="51"/>
      <c r="BC1550" s="51"/>
      <c r="BD1550" s="51"/>
      <c r="BE1550" s="51"/>
      <c r="BF1550" s="47"/>
      <c r="BG1550" s="47"/>
      <c r="BH1550" s="47"/>
      <c r="BI1550" s="47"/>
      <c r="BJ1550" s="47"/>
      <c r="BK1550" s="47"/>
      <c r="BL1550" s="47"/>
      <c r="BM1550" s="47"/>
      <c r="BN1550" s="47"/>
      <c r="BO1550" s="47"/>
      <c r="BP1550" s="47"/>
      <c r="BQ1550" s="47"/>
      <c r="BR1550" s="47"/>
      <c r="BS1550" s="47"/>
      <c r="BT1550" s="47"/>
    </row>
    <row r="1551">
      <c r="A1551" s="24"/>
      <c r="B1551" s="48"/>
      <c r="C1551" s="49"/>
      <c r="D1551" s="24"/>
      <c r="E1551" s="52"/>
      <c r="F1551" s="53"/>
      <c r="G1551" s="48"/>
      <c r="H1551" s="49"/>
      <c r="I1551" s="49"/>
      <c r="J1551" s="48"/>
      <c r="K1551" s="48"/>
      <c r="L1551" s="48"/>
      <c r="M1551" s="48"/>
      <c r="N1551" s="48"/>
      <c r="O1551" s="48"/>
      <c r="P1551" s="48"/>
      <c r="Q1551" s="48"/>
      <c r="R1551" s="48"/>
      <c r="S1551" s="48"/>
      <c r="T1551" s="48"/>
      <c r="U1551" s="48"/>
      <c r="V1551" s="48"/>
      <c r="W1551" s="49"/>
      <c r="X1551" s="49"/>
      <c r="Y1551" s="49"/>
      <c r="Z1551" s="49"/>
      <c r="AA1551" s="49"/>
      <c r="AB1551" s="49"/>
      <c r="AC1551" s="49"/>
      <c r="AD1551" s="49"/>
      <c r="AE1551" s="49"/>
      <c r="AF1551" s="49"/>
      <c r="AG1551" s="49"/>
      <c r="AH1551" s="49"/>
      <c r="AI1551" s="48"/>
      <c r="AJ1551" s="48"/>
      <c r="AK1551" s="24"/>
      <c r="AL1551" s="50"/>
      <c r="AM1551" s="50"/>
      <c r="AN1551" s="50"/>
      <c r="AO1551" s="50"/>
      <c r="AP1551" s="50"/>
      <c r="AQ1551" s="50"/>
      <c r="AR1551" s="50"/>
      <c r="AS1551" s="50"/>
      <c r="AT1551" s="51"/>
      <c r="AU1551" s="51"/>
      <c r="AV1551" s="51"/>
      <c r="AW1551" s="51"/>
      <c r="AX1551" s="50"/>
      <c r="AY1551" s="50"/>
      <c r="AZ1551" s="50"/>
      <c r="BA1551" s="50"/>
      <c r="BB1551" s="51"/>
      <c r="BC1551" s="51"/>
      <c r="BD1551" s="51"/>
      <c r="BE1551" s="51"/>
      <c r="BF1551" s="47"/>
      <c r="BG1551" s="47"/>
      <c r="BH1551" s="47"/>
      <c r="BI1551" s="47"/>
      <c r="BJ1551" s="47"/>
      <c r="BK1551" s="47"/>
      <c r="BL1551" s="47"/>
      <c r="BM1551" s="47"/>
      <c r="BN1551" s="47"/>
      <c r="BO1551" s="47"/>
      <c r="BP1551" s="47"/>
      <c r="BQ1551" s="47"/>
      <c r="BR1551" s="47"/>
      <c r="BS1551" s="47"/>
      <c r="BT1551" s="47"/>
    </row>
    <row r="1552">
      <c r="A1552" s="24"/>
      <c r="B1552" s="48"/>
      <c r="C1552" s="49"/>
      <c r="D1552" s="24"/>
      <c r="E1552" s="52"/>
      <c r="F1552" s="53"/>
      <c r="G1552" s="48"/>
      <c r="H1552" s="49"/>
      <c r="I1552" s="49"/>
      <c r="J1552" s="48"/>
      <c r="K1552" s="48"/>
      <c r="L1552" s="48"/>
      <c r="M1552" s="48"/>
      <c r="N1552" s="48"/>
      <c r="O1552" s="48"/>
      <c r="P1552" s="48"/>
      <c r="Q1552" s="48"/>
      <c r="R1552" s="48"/>
      <c r="S1552" s="48"/>
      <c r="T1552" s="48"/>
      <c r="U1552" s="48"/>
      <c r="V1552" s="48"/>
      <c r="W1552" s="49"/>
      <c r="X1552" s="49"/>
      <c r="Y1552" s="49"/>
      <c r="Z1552" s="49"/>
      <c r="AA1552" s="49"/>
      <c r="AB1552" s="49"/>
      <c r="AC1552" s="49"/>
      <c r="AD1552" s="49"/>
      <c r="AE1552" s="49"/>
      <c r="AF1552" s="49"/>
      <c r="AG1552" s="49"/>
      <c r="AH1552" s="49"/>
      <c r="AI1552" s="48"/>
      <c r="AJ1552" s="48"/>
      <c r="AK1552" s="24"/>
      <c r="AL1552" s="50"/>
      <c r="AM1552" s="50"/>
      <c r="AN1552" s="50"/>
      <c r="AO1552" s="50"/>
      <c r="AP1552" s="50"/>
      <c r="AQ1552" s="50"/>
      <c r="AR1552" s="50"/>
      <c r="AS1552" s="50"/>
      <c r="AT1552" s="51"/>
      <c r="AU1552" s="51"/>
      <c r="AV1552" s="51"/>
      <c r="AW1552" s="51"/>
      <c r="AX1552" s="50"/>
      <c r="AY1552" s="50"/>
      <c r="AZ1552" s="50"/>
      <c r="BA1552" s="50"/>
      <c r="BB1552" s="51"/>
      <c r="BC1552" s="51"/>
      <c r="BD1552" s="51"/>
      <c r="BE1552" s="51"/>
      <c r="BF1552" s="47"/>
      <c r="BG1552" s="47"/>
      <c r="BH1552" s="47"/>
      <c r="BI1552" s="47"/>
      <c r="BJ1552" s="47"/>
      <c r="BK1552" s="47"/>
      <c r="BL1552" s="47"/>
      <c r="BM1552" s="47"/>
      <c r="BN1552" s="47"/>
      <c r="BO1552" s="47"/>
      <c r="BP1552" s="47"/>
      <c r="BQ1552" s="47"/>
      <c r="BR1552" s="47"/>
      <c r="BS1552" s="47"/>
      <c r="BT1552" s="47"/>
    </row>
    <row r="1553">
      <c r="A1553" s="24"/>
      <c r="B1553" s="48"/>
      <c r="C1553" s="49"/>
      <c r="D1553" s="24"/>
      <c r="E1553" s="52"/>
      <c r="F1553" s="53"/>
      <c r="G1553" s="48"/>
      <c r="H1553" s="49"/>
      <c r="I1553" s="49"/>
      <c r="J1553" s="48"/>
      <c r="K1553" s="48"/>
      <c r="L1553" s="48"/>
      <c r="M1553" s="48"/>
      <c r="N1553" s="48"/>
      <c r="O1553" s="48"/>
      <c r="P1553" s="48"/>
      <c r="Q1553" s="48"/>
      <c r="R1553" s="48"/>
      <c r="S1553" s="48"/>
      <c r="T1553" s="48"/>
      <c r="U1553" s="48"/>
      <c r="V1553" s="48"/>
      <c r="W1553" s="49"/>
      <c r="X1553" s="49"/>
      <c r="Y1553" s="49"/>
      <c r="Z1553" s="49"/>
      <c r="AA1553" s="49"/>
      <c r="AB1553" s="49"/>
      <c r="AC1553" s="49"/>
      <c r="AD1553" s="49"/>
      <c r="AE1553" s="49"/>
      <c r="AF1553" s="49"/>
      <c r="AG1553" s="49"/>
      <c r="AH1553" s="49"/>
      <c r="AI1553" s="48"/>
      <c r="AJ1553" s="48"/>
      <c r="AK1553" s="24"/>
      <c r="AL1553" s="50"/>
      <c r="AM1553" s="50"/>
      <c r="AN1553" s="50"/>
      <c r="AO1553" s="50"/>
      <c r="AP1553" s="50"/>
      <c r="AQ1553" s="50"/>
      <c r="AR1553" s="50"/>
      <c r="AS1553" s="50"/>
      <c r="AT1553" s="51"/>
      <c r="AU1553" s="51"/>
      <c r="AV1553" s="51"/>
      <c r="AW1553" s="51"/>
      <c r="AX1553" s="50"/>
      <c r="AY1553" s="50"/>
      <c r="AZ1553" s="50"/>
      <c r="BA1553" s="50"/>
      <c r="BB1553" s="51"/>
      <c r="BC1553" s="51"/>
      <c r="BD1553" s="51"/>
      <c r="BE1553" s="51"/>
      <c r="BF1553" s="47"/>
      <c r="BG1553" s="47"/>
      <c r="BH1553" s="47"/>
      <c r="BI1553" s="47"/>
      <c r="BJ1553" s="47"/>
      <c r="BK1553" s="47"/>
      <c r="BL1553" s="47"/>
      <c r="BM1553" s="47"/>
      <c r="BN1553" s="47"/>
      <c r="BO1553" s="47"/>
      <c r="BP1553" s="47"/>
      <c r="BQ1553" s="47"/>
      <c r="BR1553" s="47"/>
      <c r="BS1553" s="47"/>
      <c r="BT1553" s="47"/>
    </row>
    <row r="1554">
      <c r="A1554" s="24"/>
      <c r="B1554" s="48"/>
      <c r="C1554" s="49"/>
      <c r="D1554" s="24"/>
      <c r="E1554" s="52"/>
      <c r="F1554" s="53"/>
      <c r="G1554" s="48"/>
      <c r="H1554" s="49"/>
      <c r="I1554" s="49"/>
      <c r="J1554" s="48"/>
      <c r="K1554" s="48"/>
      <c r="L1554" s="48"/>
      <c r="M1554" s="48"/>
      <c r="N1554" s="48"/>
      <c r="O1554" s="48"/>
      <c r="P1554" s="48"/>
      <c r="Q1554" s="48"/>
      <c r="R1554" s="48"/>
      <c r="S1554" s="48"/>
      <c r="T1554" s="48"/>
      <c r="U1554" s="48"/>
      <c r="V1554" s="48"/>
      <c r="W1554" s="49"/>
      <c r="X1554" s="49"/>
      <c r="Y1554" s="49"/>
      <c r="Z1554" s="49"/>
      <c r="AA1554" s="49"/>
      <c r="AB1554" s="49"/>
      <c r="AC1554" s="49"/>
      <c r="AD1554" s="49"/>
      <c r="AE1554" s="49"/>
      <c r="AF1554" s="49"/>
      <c r="AG1554" s="49"/>
      <c r="AH1554" s="49"/>
      <c r="AI1554" s="48"/>
      <c r="AJ1554" s="48"/>
      <c r="AK1554" s="24"/>
      <c r="AL1554" s="50"/>
      <c r="AM1554" s="50"/>
      <c r="AN1554" s="50"/>
      <c r="AO1554" s="50"/>
      <c r="AP1554" s="50"/>
      <c r="AQ1554" s="50"/>
      <c r="AR1554" s="50"/>
      <c r="AS1554" s="50"/>
      <c r="AT1554" s="51"/>
      <c r="AU1554" s="51"/>
      <c r="AV1554" s="51"/>
      <c r="AW1554" s="51"/>
      <c r="AX1554" s="50"/>
      <c r="AY1554" s="50"/>
      <c r="AZ1554" s="50"/>
      <c r="BA1554" s="50"/>
      <c r="BB1554" s="51"/>
      <c r="BC1554" s="51"/>
      <c r="BD1554" s="51"/>
      <c r="BE1554" s="51"/>
      <c r="BF1554" s="47"/>
      <c r="BG1554" s="47"/>
      <c r="BH1554" s="47"/>
      <c r="BI1554" s="47"/>
      <c r="BJ1554" s="47"/>
      <c r="BK1554" s="47"/>
      <c r="BL1554" s="47"/>
      <c r="BM1554" s="47"/>
      <c r="BN1554" s="47"/>
      <c r="BO1554" s="47"/>
      <c r="BP1554" s="47"/>
      <c r="BQ1554" s="47"/>
      <c r="BR1554" s="47"/>
      <c r="BS1554" s="47"/>
      <c r="BT1554" s="47"/>
    </row>
    <row r="1555">
      <c r="A1555" s="24"/>
      <c r="B1555" s="48"/>
      <c r="C1555" s="49"/>
      <c r="D1555" s="24"/>
      <c r="E1555" s="52"/>
      <c r="F1555" s="53"/>
      <c r="G1555" s="48"/>
      <c r="H1555" s="49"/>
      <c r="I1555" s="49"/>
      <c r="J1555" s="48"/>
      <c r="K1555" s="48"/>
      <c r="L1555" s="48"/>
      <c r="M1555" s="48"/>
      <c r="N1555" s="48"/>
      <c r="O1555" s="48"/>
      <c r="P1555" s="48"/>
      <c r="Q1555" s="48"/>
      <c r="R1555" s="48"/>
      <c r="S1555" s="48"/>
      <c r="T1555" s="48"/>
      <c r="U1555" s="48"/>
      <c r="V1555" s="48"/>
      <c r="W1555" s="49"/>
      <c r="X1555" s="49"/>
      <c r="Y1555" s="49"/>
      <c r="Z1555" s="49"/>
      <c r="AA1555" s="49"/>
      <c r="AB1555" s="49"/>
      <c r="AC1555" s="49"/>
      <c r="AD1555" s="49"/>
      <c r="AE1555" s="49"/>
      <c r="AF1555" s="49"/>
      <c r="AG1555" s="49"/>
      <c r="AH1555" s="49"/>
      <c r="AI1555" s="48"/>
      <c r="AJ1555" s="48"/>
      <c r="AK1555" s="24"/>
      <c r="AL1555" s="50"/>
      <c r="AM1555" s="50"/>
      <c r="AN1555" s="50"/>
      <c r="AO1555" s="50"/>
      <c r="AP1555" s="50"/>
      <c r="AQ1555" s="50"/>
      <c r="AR1555" s="50"/>
      <c r="AS1555" s="50"/>
      <c r="AT1555" s="51"/>
      <c r="AU1555" s="51"/>
      <c r="AV1555" s="51"/>
      <c r="AW1555" s="51"/>
      <c r="AX1555" s="50"/>
      <c r="AY1555" s="50"/>
      <c r="AZ1555" s="50"/>
      <c r="BA1555" s="50"/>
      <c r="BB1555" s="51"/>
      <c r="BC1555" s="51"/>
      <c r="BD1555" s="51"/>
      <c r="BE1555" s="51"/>
      <c r="BF1555" s="47"/>
      <c r="BG1555" s="47"/>
      <c r="BH1555" s="47"/>
      <c r="BI1555" s="47"/>
      <c r="BJ1555" s="47"/>
      <c r="BK1555" s="47"/>
      <c r="BL1555" s="47"/>
      <c r="BM1555" s="47"/>
      <c r="BN1555" s="47"/>
      <c r="BO1555" s="47"/>
      <c r="BP1555" s="47"/>
      <c r="BQ1555" s="47"/>
      <c r="BR1555" s="47"/>
      <c r="BS1555" s="47"/>
      <c r="BT1555" s="47"/>
    </row>
    <row r="1556">
      <c r="A1556" s="24"/>
      <c r="B1556" s="48"/>
      <c r="C1556" s="49"/>
      <c r="D1556" s="24"/>
      <c r="E1556" s="52"/>
      <c r="F1556" s="53"/>
      <c r="G1556" s="48"/>
      <c r="H1556" s="49"/>
      <c r="I1556" s="49"/>
      <c r="J1556" s="48"/>
      <c r="K1556" s="48"/>
      <c r="L1556" s="48"/>
      <c r="M1556" s="48"/>
      <c r="N1556" s="48"/>
      <c r="O1556" s="48"/>
      <c r="P1556" s="48"/>
      <c r="Q1556" s="48"/>
      <c r="R1556" s="48"/>
      <c r="S1556" s="48"/>
      <c r="T1556" s="48"/>
      <c r="U1556" s="48"/>
      <c r="V1556" s="48"/>
      <c r="W1556" s="49"/>
      <c r="X1556" s="49"/>
      <c r="Y1556" s="49"/>
      <c r="Z1556" s="49"/>
      <c r="AA1556" s="49"/>
      <c r="AB1556" s="49"/>
      <c r="AC1556" s="49"/>
      <c r="AD1556" s="49"/>
      <c r="AE1556" s="49"/>
      <c r="AF1556" s="49"/>
      <c r="AG1556" s="49"/>
      <c r="AH1556" s="49"/>
      <c r="AI1556" s="48"/>
      <c r="AJ1556" s="48"/>
      <c r="AK1556" s="24"/>
      <c r="AL1556" s="50"/>
      <c r="AM1556" s="50"/>
      <c r="AN1556" s="50"/>
      <c r="AO1556" s="50"/>
      <c r="AP1556" s="50"/>
      <c r="AQ1556" s="50"/>
      <c r="AR1556" s="50"/>
      <c r="AS1556" s="50"/>
      <c r="AT1556" s="51"/>
      <c r="AU1556" s="51"/>
      <c r="AV1556" s="51"/>
      <c r="AW1556" s="51"/>
      <c r="AX1556" s="50"/>
      <c r="AY1556" s="50"/>
      <c r="AZ1556" s="50"/>
      <c r="BA1556" s="50"/>
      <c r="BB1556" s="51"/>
      <c r="BC1556" s="51"/>
      <c r="BD1556" s="51"/>
      <c r="BE1556" s="51"/>
      <c r="BF1556" s="47"/>
      <c r="BG1556" s="47"/>
      <c r="BH1556" s="47"/>
      <c r="BI1556" s="47"/>
      <c r="BJ1556" s="47"/>
      <c r="BK1556" s="47"/>
      <c r="BL1556" s="47"/>
      <c r="BM1556" s="47"/>
      <c r="BN1556" s="47"/>
      <c r="BO1556" s="47"/>
      <c r="BP1556" s="47"/>
      <c r="BQ1556" s="47"/>
      <c r="BR1556" s="47"/>
      <c r="BS1556" s="47"/>
      <c r="BT1556" s="47"/>
    </row>
    <row r="1557">
      <c r="A1557" s="24"/>
      <c r="B1557" s="48"/>
      <c r="C1557" s="49"/>
      <c r="D1557" s="24"/>
      <c r="E1557" s="52"/>
      <c r="F1557" s="53"/>
      <c r="G1557" s="48"/>
      <c r="H1557" s="49"/>
      <c r="I1557" s="49"/>
      <c r="J1557" s="48"/>
      <c r="K1557" s="48"/>
      <c r="L1557" s="48"/>
      <c r="M1557" s="48"/>
      <c r="N1557" s="48"/>
      <c r="O1557" s="48"/>
      <c r="P1557" s="48"/>
      <c r="Q1557" s="48"/>
      <c r="R1557" s="48"/>
      <c r="S1557" s="48"/>
      <c r="T1557" s="48"/>
      <c r="U1557" s="48"/>
      <c r="V1557" s="48"/>
      <c r="W1557" s="49"/>
      <c r="X1557" s="49"/>
      <c r="Y1557" s="49"/>
      <c r="Z1557" s="49"/>
      <c r="AA1557" s="49"/>
      <c r="AB1557" s="49"/>
      <c r="AC1557" s="49"/>
      <c r="AD1557" s="49"/>
      <c r="AE1557" s="49"/>
      <c r="AF1557" s="49"/>
      <c r="AG1557" s="49"/>
      <c r="AH1557" s="49"/>
      <c r="AI1557" s="48"/>
      <c r="AJ1557" s="48"/>
      <c r="AK1557" s="24"/>
      <c r="AL1557" s="50"/>
      <c r="AM1557" s="50"/>
      <c r="AN1557" s="50"/>
      <c r="AO1557" s="50"/>
      <c r="AP1557" s="50"/>
      <c r="AQ1557" s="50"/>
      <c r="AR1557" s="50"/>
      <c r="AS1557" s="50"/>
      <c r="AT1557" s="51"/>
      <c r="AU1557" s="51"/>
      <c r="AV1557" s="51"/>
      <c r="AW1557" s="51"/>
      <c r="AX1557" s="50"/>
      <c r="AY1557" s="50"/>
      <c r="AZ1557" s="50"/>
      <c r="BA1557" s="50"/>
      <c r="BB1557" s="51"/>
      <c r="BC1557" s="51"/>
      <c r="BD1557" s="51"/>
      <c r="BE1557" s="51"/>
      <c r="BF1557" s="47"/>
      <c r="BG1557" s="47"/>
      <c r="BH1557" s="47"/>
      <c r="BI1557" s="47"/>
      <c r="BJ1557" s="47"/>
      <c r="BK1557" s="47"/>
      <c r="BL1557" s="47"/>
      <c r="BM1557" s="47"/>
      <c r="BN1557" s="47"/>
      <c r="BO1557" s="47"/>
      <c r="BP1557" s="47"/>
      <c r="BQ1557" s="47"/>
      <c r="BR1557" s="47"/>
      <c r="BS1557" s="47"/>
      <c r="BT1557" s="47"/>
    </row>
    <row r="1558">
      <c r="A1558" s="24"/>
      <c r="B1558" s="48"/>
      <c r="C1558" s="49"/>
      <c r="D1558" s="24"/>
      <c r="E1558" s="52"/>
      <c r="F1558" s="53"/>
      <c r="G1558" s="48"/>
      <c r="H1558" s="49"/>
      <c r="I1558" s="49"/>
      <c r="J1558" s="48"/>
      <c r="K1558" s="48"/>
      <c r="L1558" s="48"/>
      <c r="M1558" s="48"/>
      <c r="N1558" s="48"/>
      <c r="O1558" s="48"/>
      <c r="P1558" s="48"/>
      <c r="Q1558" s="48"/>
      <c r="R1558" s="48"/>
      <c r="S1558" s="48"/>
      <c r="T1558" s="48"/>
      <c r="U1558" s="48"/>
      <c r="V1558" s="48"/>
      <c r="W1558" s="49"/>
      <c r="X1558" s="49"/>
      <c r="Y1558" s="49"/>
      <c r="Z1558" s="49"/>
      <c r="AA1558" s="49"/>
      <c r="AB1558" s="49"/>
      <c r="AC1558" s="49"/>
      <c r="AD1558" s="49"/>
      <c r="AE1558" s="49"/>
      <c r="AF1558" s="49"/>
      <c r="AG1558" s="49"/>
      <c r="AH1558" s="49"/>
      <c r="AI1558" s="48"/>
      <c r="AJ1558" s="48"/>
      <c r="AK1558" s="24"/>
      <c r="AL1558" s="50"/>
      <c r="AM1558" s="50"/>
      <c r="AN1558" s="50"/>
      <c r="AO1558" s="50"/>
      <c r="AP1558" s="50"/>
      <c r="AQ1558" s="50"/>
      <c r="AR1558" s="50"/>
      <c r="AS1558" s="50"/>
      <c r="AT1558" s="51"/>
      <c r="AU1558" s="51"/>
      <c r="AV1558" s="51"/>
      <c r="AW1558" s="51"/>
      <c r="AX1558" s="50"/>
      <c r="AY1558" s="50"/>
      <c r="AZ1558" s="50"/>
      <c r="BA1558" s="50"/>
      <c r="BB1558" s="51"/>
      <c r="BC1558" s="51"/>
      <c r="BD1558" s="51"/>
      <c r="BE1558" s="51"/>
      <c r="BF1558" s="47"/>
      <c r="BG1558" s="47"/>
      <c r="BH1558" s="47"/>
      <c r="BI1558" s="47"/>
      <c r="BJ1558" s="47"/>
      <c r="BK1558" s="47"/>
      <c r="BL1558" s="47"/>
      <c r="BM1558" s="47"/>
      <c r="BN1558" s="47"/>
      <c r="BO1558" s="47"/>
      <c r="BP1558" s="47"/>
      <c r="BQ1558" s="47"/>
      <c r="BR1558" s="47"/>
      <c r="BS1558" s="47"/>
      <c r="BT1558" s="47"/>
    </row>
    <row r="1559">
      <c r="A1559" s="24"/>
      <c r="B1559" s="48"/>
      <c r="C1559" s="49"/>
      <c r="D1559" s="24"/>
      <c r="E1559" s="52"/>
      <c r="F1559" s="53"/>
      <c r="G1559" s="48"/>
      <c r="H1559" s="49"/>
      <c r="I1559" s="49"/>
      <c r="J1559" s="48"/>
      <c r="K1559" s="48"/>
      <c r="L1559" s="48"/>
      <c r="M1559" s="48"/>
      <c r="N1559" s="48"/>
      <c r="O1559" s="48"/>
      <c r="P1559" s="48"/>
      <c r="Q1559" s="48"/>
      <c r="R1559" s="48"/>
      <c r="S1559" s="48"/>
      <c r="T1559" s="48"/>
      <c r="U1559" s="48"/>
      <c r="V1559" s="48"/>
      <c r="W1559" s="49"/>
      <c r="X1559" s="49"/>
      <c r="Y1559" s="49"/>
      <c r="Z1559" s="49"/>
      <c r="AA1559" s="49"/>
      <c r="AB1559" s="49"/>
      <c r="AC1559" s="49"/>
      <c r="AD1559" s="49"/>
      <c r="AE1559" s="49"/>
      <c r="AF1559" s="49"/>
      <c r="AG1559" s="49"/>
      <c r="AH1559" s="49"/>
      <c r="AI1559" s="48"/>
      <c r="AJ1559" s="48"/>
      <c r="AK1559" s="24"/>
      <c r="AL1559" s="50"/>
      <c r="AM1559" s="50"/>
      <c r="AN1559" s="50"/>
      <c r="AO1559" s="50"/>
      <c r="AP1559" s="50"/>
      <c r="AQ1559" s="50"/>
      <c r="AR1559" s="50"/>
      <c r="AS1559" s="50"/>
      <c r="AT1559" s="51"/>
      <c r="AU1559" s="51"/>
      <c r="AV1559" s="51"/>
      <c r="AW1559" s="51"/>
      <c r="AX1559" s="50"/>
      <c r="AY1559" s="50"/>
      <c r="AZ1559" s="50"/>
      <c r="BA1559" s="50"/>
      <c r="BB1559" s="51"/>
      <c r="BC1559" s="51"/>
      <c r="BD1559" s="51"/>
      <c r="BE1559" s="51"/>
      <c r="BF1559" s="47"/>
      <c r="BG1559" s="47"/>
      <c r="BH1559" s="47"/>
      <c r="BI1559" s="47"/>
      <c r="BJ1559" s="47"/>
      <c r="BK1559" s="47"/>
      <c r="BL1559" s="47"/>
      <c r="BM1559" s="47"/>
      <c r="BN1559" s="47"/>
      <c r="BO1559" s="47"/>
      <c r="BP1559" s="47"/>
      <c r="BQ1559" s="47"/>
      <c r="BR1559" s="47"/>
      <c r="BS1559" s="47"/>
      <c r="BT1559" s="47"/>
    </row>
    <row r="1560">
      <c r="A1560" s="24"/>
      <c r="B1560" s="48"/>
      <c r="C1560" s="49"/>
      <c r="D1560" s="24"/>
      <c r="E1560" s="52"/>
      <c r="F1560" s="53"/>
      <c r="G1560" s="48"/>
      <c r="H1560" s="49"/>
      <c r="I1560" s="49"/>
      <c r="J1560" s="48"/>
      <c r="K1560" s="48"/>
      <c r="L1560" s="48"/>
      <c r="M1560" s="48"/>
      <c r="N1560" s="48"/>
      <c r="O1560" s="48"/>
      <c r="P1560" s="48"/>
      <c r="Q1560" s="48"/>
      <c r="R1560" s="48"/>
      <c r="S1560" s="48"/>
      <c r="T1560" s="48"/>
      <c r="U1560" s="48"/>
      <c r="V1560" s="48"/>
      <c r="W1560" s="49"/>
      <c r="X1560" s="49"/>
      <c r="Y1560" s="49"/>
      <c r="Z1560" s="49"/>
      <c r="AA1560" s="49"/>
      <c r="AB1560" s="49"/>
      <c r="AC1560" s="49"/>
      <c r="AD1560" s="49"/>
      <c r="AE1560" s="49"/>
      <c r="AF1560" s="49"/>
      <c r="AG1560" s="49"/>
      <c r="AH1560" s="49"/>
      <c r="AI1560" s="48"/>
      <c r="AJ1560" s="48"/>
      <c r="AK1560" s="24"/>
      <c r="AL1560" s="50"/>
      <c r="AM1560" s="50"/>
      <c r="AN1560" s="50"/>
      <c r="AO1560" s="50"/>
      <c r="AP1560" s="50"/>
      <c r="AQ1560" s="50"/>
      <c r="AR1560" s="50"/>
      <c r="AS1560" s="50"/>
      <c r="AT1560" s="51"/>
      <c r="AU1560" s="51"/>
      <c r="AV1560" s="51"/>
      <c r="AW1560" s="51"/>
      <c r="AX1560" s="50"/>
      <c r="AY1560" s="50"/>
      <c r="AZ1560" s="50"/>
      <c r="BA1560" s="50"/>
      <c r="BB1560" s="51"/>
      <c r="BC1560" s="51"/>
      <c r="BD1560" s="51"/>
      <c r="BE1560" s="51"/>
      <c r="BF1560" s="47"/>
      <c r="BG1560" s="47"/>
      <c r="BH1560" s="47"/>
      <c r="BI1560" s="47"/>
      <c r="BJ1560" s="47"/>
      <c r="BK1560" s="47"/>
      <c r="BL1560" s="47"/>
      <c r="BM1560" s="47"/>
      <c r="BN1560" s="47"/>
      <c r="BO1560" s="47"/>
      <c r="BP1560" s="47"/>
      <c r="BQ1560" s="47"/>
      <c r="BR1560" s="47"/>
      <c r="BS1560" s="47"/>
      <c r="BT1560" s="47"/>
    </row>
    <row r="1561">
      <c r="A1561" s="24"/>
      <c r="B1561" s="48"/>
      <c r="C1561" s="49"/>
      <c r="D1561" s="24"/>
      <c r="E1561" s="52"/>
      <c r="F1561" s="53"/>
      <c r="G1561" s="48"/>
      <c r="H1561" s="49"/>
      <c r="I1561" s="49"/>
      <c r="J1561" s="48"/>
      <c r="K1561" s="48"/>
      <c r="L1561" s="48"/>
      <c r="M1561" s="48"/>
      <c r="N1561" s="48"/>
      <c r="O1561" s="48"/>
      <c r="P1561" s="48"/>
      <c r="Q1561" s="48"/>
      <c r="R1561" s="48"/>
      <c r="S1561" s="48"/>
      <c r="T1561" s="48"/>
      <c r="U1561" s="48"/>
      <c r="V1561" s="48"/>
      <c r="W1561" s="49"/>
      <c r="X1561" s="49"/>
      <c r="Y1561" s="49"/>
      <c r="Z1561" s="49"/>
      <c r="AA1561" s="49"/>
      <c r="AB1561" s="49"/>
      <c r="AC1561" s="49"/>
      <c r="AD1561" s="49"/>
      <c r="AE1561" s="49"/>
      <c r="AF1561" s="49"/>
      <c r="AG1561" s="49"/>
      <c r="AH1561" s="49"/>
      <c r="AI1561" s="48"/>
      <c r="AJ1561" s="48"/>
      <c r="AK1561" s="24"/>
      <c r="AL1561" s="50"/>
      <c r="AM1561" s="50"/>
      <c r="AN1561" s="50"/>
      <c r="AO1561" s="50"/>
      <c r="AP1561" s="50"/>
      <c r="AQ1561" s="50"/>
      <c r="AR1561" s="50"/>
      <c r="AS1561" s="50"/>
      <c r="AT1561" s="51"/>
      <c r="AU1561" s="51"/>
      <c r="AV1561" s="51"/>
      <c r="AW1561" s="51"/>
      <c r="AX1561" s="50"/>
      <c r="AY1561" s="50"/>
      <c r="AZ1561" s="50"/>
      <c r="BA1561" s="50"/>
      <c r="BB1561" s="51"/>
      <c r="BC1561" s="51"/>
      <c r="BD1561" s="51"/>
      <c r="BE1561" s="51"/>
      <c r="BF1561" s="47"/>
      <c r="BG1561" s="47"/>
      <c r="BH1561" s="47"/>
      <c r="BI1561" s="47"/>
      <c r="BJ1561" s="47"/>
      <c r="BK1561" s="47"/>
      <c r="BL1561" s="47"/>
      <c r="BM1561" s="47"/>
      <c r="BN1561" s="47"/>
      <c r="BO1561" s="47"/>
      <c r="BP1561" s="47"/>
      <c r="BQ1561" s="47"/>
      <c r="BR1561" s="47"/>
      <c r="BS1561" s="47"/>
      <c r="BT1561" s="47"/>
    </row>
    <row r="1562">
      <c r="A1562" s="24"/>
      <c r="B1562" s="48"/>
      <c r="C1562" s="49"/>
      <c r="D1562" s="24"/>
      <c r="E1562" s="52"/>
      <c r="F1562" s="53"/>
      <c r="G1562" s="48"/>
      <c r="H1562" s="49"/>
      <c r="I1562" s="49"/>
      <c r="J1562" s="48"/>
      <c r="K1562" s="48"/>
      <c r="L1562" s="48"/>
      <c r="M1562" s="48"/>
      <c r="N1562" s="48"/>
      <c r="O1562" s="48"/>
      <c r="P1562" s="48"/>
      <c r="Q1562" s="48"/>
      <c r="R1562" s="48"/>
      <c r="S1562" s="48"/>
      <c r="T1562" s="48"/>
      <c r="U1562" s="48"/>
      <c r="V1562" s="48"/>
      <c r="W1562" s="49"/>
      <c r="X1562" s="49"/>
      <c r="Y1562" s="49"/>
      <c r="Z1562" s="49"/>
      <c r="AA1562" s="49"/>
      <c r="AB1562" s="49"/>
      <c r="AC1562" s="49"/>
      <c r="AD1562" s="49"/>
      <c r="AE1562" s="49"/>
      <c r="AF1562" s="49"/>
      <c r="AG1562" s="49"/>
      <c r="AH1562" s="49"/>
      <c r="AI1562" s="48"/>
      <c r="AJ1562" s="48"/>
      <c r="AK1562" s="24"/>
      <c r="AL1562" s="50"/>
      <c r="AM1562" s="50"/>
      <c r="AN1562" s="50"/>
      <c r="AO1562" s="50"/>
      <c r="AP1562" s="50"/>
      <c r="AQ1562" s="50"/>
      <c r="AR1562" s="50"/>
      <c r="AS1562" s="50"/>
      <c r="AT1562" s="51"/>
      <c r="AU1562" s="51"/>
      <c r="AV1562" s="51"/>
      <c r="AW1562" s="51"/>
      <c r="AX1562" s="50"/>
      <c r="AY1562" s="50"/>
      <c r="AZ1562" s="50"/>
      <c r="BA1562" s="50"/>
      <c r="BB1562" s="51"/>
      <c r="BC1562" s="51"/>
      <c r="BD1562" s="51"/>
      <c r="BE1562" s="51"/>
      <c r="BF1562" s="47"/>
      <c r="BG1562" s="47"/>
      <c r="BH1562" s="47"/>
      <c r="BI1562" s="47"/>
      <c r="BJ1562" s="47"/>
      <c r="BK1562" s="47"/>
      <c r="BL1562" s="47"/>
      <c r="BM1562" s="47"/>
      <c r="BN1562" s="47"/>
      <c r="BO1562" s="47"/>
      <c r="BP1562" s="47"/>
      <c r="BQ1562" s="47"/>
      <c r="BR1562" s="47"/>
      <c r="BS1562" s="47"/>
      <c r="BT1562" s="47"/>
    </row>
    <row r="1563">
      <c r="A1563" s="24"/>
      <c r="B1563" s="48"/>
      <c r="C1563" s="49"/>
      <c r="D1563" s="24"/>
      <c r="E1563" s="52"/>
      <c r="F1563" s="53"/>
      <c r="G1563" s="48"/>
      <c r="H1563" s="49"/>
      <c r="I1563" s="49"/>
      <c r="J1563" s="48"/>
      <c r="K1563" s="48"/>
      <c r="L1563" s="48"/>
      <c r="M1563" s="48"/>
      <c r="N1563" s="48"/>
      <c r="O1563" s="48"/>
      <c r="P1563" s="48"/>
      <c r="Q1563" s="48"/>
      <c r="R1563" s="48"/>
      <c r="S1563" s="48"/>
      <c r="T1563" s="48"/>
      <c r="U1563" s="48"/>
      <c r="V1563" s="48"/>
      <c r="W1563" s="49"/>
      <c r="X1563" s="49"/>
      <c r="Y1563" s="49"/>
      <c r="Z1563" s="49"/>
      <c r="AA1563" s="49"/>
      <c r="AB1563" s="49"/>
      <c r="AC1563" s="49"/>
      <c r="AD1563" s="49"/>
      <c r="AE1563" s="49"/>
      <c r="AF1563" s="49"/>
      <c r="AG1563" s="49"/>
      <c r="AH1563" s="49"/>
      <c r="AI1563" s="48"/>
      <c r="AJ1563" s="48"/>
      <c r="AK1563" s="24"/>
      <c r="AL1563" s="50"/>
      <c r="AM1563" s="50"/>
      <c r="AN1563" s="50"/>
      <c r="AO1563" s="50"/>
      <c r="AP1563" s="50"/>
      <c r="AQ1563" s="50"/>
      <c r="AR1563" s="50"/>
      <c r="AS1563" s="50"/>
      <c r="AT1563" s="51"/>
      <c r="AU1563" s="51"/>
      <c r="AV1563" s="51"/>
      <c r="AW1563" s="51"/>
      <c r="AX1563" s="50"/>
      <c r="AY1563" s="50"/>
      <c r="AZ1563" s="50"/>
      <c r="BA1563" s="50"/>
      <c r="BB1563" s="51"/>
      <c r="BC1563" s="51"/>
      <c r="BD1563" s="51"/>
      <c r="BE1563" s="51"/>
      <c r="BF1563" s="47"/>
      <c r="BG1563" s="47"/>
      <c r="BH1563" s="47"/>
      <c r="BI1563" s="47"/>
      <c r="BJ1563" s="47"/>
      <c r="BK1563" s="47"/>
      <c r="BL1563" s="47"/>
      <c r="BM1563" s="47"/>
      <c r="BN1563" s="47"/>
      <c r="BO1563" s="47"/>
      <c r="BP1563" s="47"/>
      <c r="BQ1563" s="47"/>
      <c r="BR1563" s="47"/>
      <c r="BS1563" s="47"/>
      <c r="BT1563" s="47"/>
    </row>
    <row r="1564">
      <c r="A1564" s="24"/>
      <c r="B1564" s="48"/>
      <c r="C1564" s="49"/>
      <c r="D1564" s="24"/>
      <c r="E1564" s="52"/>
      <c r="F1564" s="53"/>
      <c r="G1564" s="48"/>
      <c r="H1564" s="49"/>
      <c r="I1564" s="49"/>
      <c r="J1564" s="48"/>
      <c r="K1564" s="48"/>
      <c r="L1564" s="48"/>
      <c r="M1564" s="48"/>
      <c r="N1564" s="48"/>
      <c r="O1564" s="48"/>
      <c r="P1564" s="48"/>
      <c r="Q1564" s="48"/>
      <c r="R1564" s="48"/>
      <c r="S1564" s="48"/>
      <c r="T1564" s="48"/>
      <c r="U1564" s="48"/>
      <c r="V1564" s="48"/>
      <c r="W1564" s="49"/>
      <c r="X1564" s="49"/>
      <c r="Y1564" s="49"/>
      <c r="Z1564" s="49"/>
      <c r="AA1564" s="49"/>
      <c r="AB1564" s="49"/>
      <c r="AC1564" s="49"/>
      <c r="AD1564" s="49"/>
      <c r="AE1564" s="49"/>
      <c r="AF1564" s="49"/>
      <c r="AG1564" s="49"/>
      <c r="AH1564" s="49"/>
      <c r="AI1564" s="48"/>
      <c r="AJ1564" s="48"/>
      <c r="AK1564" s="24"/>
      <c r="AL1564" s="50"/>
      <c r="AM1564" s="50"/>
      <c r="AN1564" s="50"/>
      <c r="AO1564" s="50"/>
      <c r="AP1564" s="50"/>
      <c r="AQ1564" s="50"/>
      <c r="AR1564" s="50"/>
      <c r="AS1564" s="50"/>
      <c r="AT1564" s="51"/>
      <c r="AU1564" s="51"/>
      <c r="AV1564" s="51"/>
      <c r="AW1564" s="51"/>
      <c r="AX1564" s="50"/>
      <c r="AY1564" s="50"/>
      <c r="AZ1564" s="50"/>
      <c r="BA1564" s="50"/>
      <c r="BB1564" s="51"/>
      <c r="BC1564" s="51"/>
      <c r="BD1564" s="51"/>
      <c r="BE1564" s="51"/>
      <c r="BF1564" s="47"/>
      <c r="BG1564" s="47"/>
      <c r="BH1564" s="47"/>
      <c r="BI1564" s="47"/>
      <c r="BJ1564" s="47"/>
      <c r="BK1564" s="47"/>
      <c r="BL1564" s="47"/>
      <c r="BM1564" s="47"/>
      <c r="BN1564" s="47"/>
      <c r="BO1564" s="47"/>
      <c r="BP1564" s="47"/>
      <c r="BQ1564" s="47"/>
      <c r="BR1564" s="47"/>
      <c r="BS1564" s="47"/>
      <c r="BT1564" s="47"/>
    </row>
    <row r="1565">
      <c r="A1565" s="24"/>
      <c r="B1565" s="48"/>
      <c r="C1565" s="49"/>
      <c r="D1565" s="24"/>
      <c r="E1565" s="52"/>
      <c r="F1565" s="53"/>
      <c r="G1565" s="48"/>
      <c r="H1565" s="49"/>
      <c r="I1565" s="49"/>
      <c r="J1565" s="48"/>
      <c r="K1565" s="48"/>
      <c r="L1565" s="48"/>
      <c r="M1565" s="48"/>
      <c r="N1565" s="48"/>
      <c r="O1565" s="48"/>
      <c r="P1565" s="48"/>
      <c r="Q1565" s="48"/>
      <c r="R1565" s="48"/>
      <c r="S1565" s="48"/>
      <c r="T1565" s="48"/>
      <c r="U1565" s="48"/>
      <c r="V1565" s="48"/>
      <c r="W1565" s="49"/>
      <c r="X1565" s="49"/>
      <c r="Y1565" s="49"/>
      <c r="Z1565" s="49"/>
      <c r="AA1565" s="49"/>
      <c r="AB1565" s="49"/>
      <c r="AC1565" s="49"/>
      <c r="AD1565" s="49"/>
      <c r="AE1565" s="49"/>
      <c r="AF1565" s="49"/>
      <c r="AG1565" s="49"/>
      <c r="AH1565" s="49"/>
      <c r="AI1565" s="48"/>
      <c r="AJ1565" s="48"/>
      <c r="AK1565" s="24"/>
      <c r="AL1565" s="50"/>
      <c r="AM1565" s="50"/>
      <c r="AN1565" s="50"/>
      <c r="AO1565" s="50"/>
      <c r="AP1565" s="50"/>
      <c r="AQ1565" s="50"/>
      <c r="AR1565" s="50"/>
      <c r="AS1565" s="50"/>
      <c r="AT1565" s="51"/>
      <c r="AU1565" s="51"/>
      <c r="AV1565" s="51"/>
      <c r="AW1565" s="51"/>
      <c r="AX1565" s="50"/>
      <c r="AY1565" s="50"/>
      <c r="AZ1565" s="50"/>
      <c r="BA1565" s="50"/>
      <c r="BB1565" s="51"/>
      <c r="BC1565" s="51"/>
      <c r="BD1565" s="51"/>
      <c r="BE1565" s="51"/>
      <c r="BF1565" s="47"/>
      <c r="BG1565" s="47"/>
      <c r="BH1565" s="47"/>
      <c r="BI1565" s="47"/>
      <c r="BJ1565" s="47"/>
      <c r="BK1565" s="47"/>
      <c r="BL1565" s="47"/>
      <c r="BM1565" s="47"/>
      <c r="BN1565" s="47"/>
      <c r="BO1565" s="47"/>
      <c r="BP1565" s="47"/>
      <c r="BQ1565" s="47"/>
      <c r="BR1565" s="47"/>
      <c r="BS1565" s="47"/>
      <c r="BT1565" s="47"/>
    </row>
    <row r="1566">
      <c r="A1566" s="24"/>
      <c r="B1566" s="48"/>
      <c r="C1566" s="49"/>
      <c r="D1566" s="24"/>
      <c r="E1566" s="52"/>
      <c r="F1566" s="53"/>
      <c r="G1566" s="48"/>
      <c r="H1566" s="49"/>
      <c r="I1566" s="49"/>
      <c r="J1566" s="48"/>
      <c r="K1566" s="48"/>
      <c r="L1566" s="48"/>
      <c r="M1566" s="48"/>
      <c r="N1566" s="48"/>
      <c r="O1566" s="48"/>
      <c r="P1566" s="48"/>
      <c r="Q1566" s="48"/>
      <c r="R1566" s="48"/>
      <c r="S1566" s="48"/>
      <c r="T1566" s="48"/>
      <c r="U1566" s="48"/>
      <c r="V1566" s="48"/>
      <c r="W1566" s="49"/>
      <c r="X1566" s="49"/>
      <c r="Y1566" s="49"/>
      <c r="Z1566" s="49"/>
      <c r="AA1566" s="49"/>
      <c r="AB1566" s="49"/>
      <c r="AC1566" s="49"/>
      <c r="AD1566" s="49"/>
      <c r="AE1566" s="49"/>
      <c r="AF1566" s="49"/>
      <c r="AG1566" s="49"/>
      <c r="AH1566" s="49"/>
      <c r="AI1566" s="48"/>
      <c r="AJ1566" s="48"/>
      <c r="AK1566" s="24"/>
      <c r="AL1566" s="50"/>
      <c r="AM1566" s="50"/>
      <c r="AN1566" s="50"/>
      <c r="AO1566" s="50"/>
      <c r="AP1566" s="50"/>
      <c r="AQ1566" s="50"/>
      <c r="AR1566" s="50"/>
      <c r="AS1566" s="50"/>
      <c r="AT1566" s="51"/>
      <c r="AU1566" s="51"/>
      <c r="AV1566" s="51"/>
      <c r="AW1566" s="51"/>
      <c r="AX1566" s="50"/>
      <c r="AY1566" s="50"/>
      <c r="AZ1566" s="50"/>
      <c r="BA1566" s="50"/>
      <c r="BB1566" s="51"/>
      <c r="BC1566" s="51"/>
      <c r="BD1566" s="51"/>
      <c r="BE1566" s="51"/>
      <c r="BF1566" s="47"/>
      <c r="BG1566" s="47"/>
      <c r="BH1566" s="47"/>
      <c r="BI1566" s="47"/>
      <c r="BJ1566" s="47"/>
      <c r="BK1566" s="47"/>
      <c r="BL1566" s="47"/>
      <c r="BM1566" s="47"/>
      <c r="BN1566" s="47"/>
      <c r="BO1566" s="47"/>
      <c r="BP1566" s="47"/>
      <c r="BQ1566" s="47"/>
      <c r="BR1566" s="47"/>
      <c r="BS1566" s="47"/>
      <c r="BT1566" s="47"/>
    </row>
    <row r="1567">
      <c r="A1567" s="24"/>
      <c r="B1567" s="48"/>
      <c r="C1567" s="49"/>
      <c r="D1567" s="24"/>
      <c r="E1567" s="52"/>
      <c r="F1567" s="53"/>
      <c r="G1567" s="48"/>
      <c r="H1567" s="49"/>
      <c r="I1567" s="49"/>
      <c r="J1567" s="48"/>
      <c r="K1567" s="48"/>
      <c r="L1567" s="48"/>
      <c r="M1567" s="48"/>
      <c r="N1567" s="48"/>
      <c r="O1567" s="48"/>
      <c r="P1567" s="48"/>
      <c r="Q1567" s="48"/>
      <c r="R1567" s="48"/>
      <c r="S1567" s="48"/>
      <c r="T1567" s="48"/>
      <c r="U1567" s="48"/>
      <c r="V1567" s="48"/>
      <c r="W1567" s="49"/>
      <c r="X1567" s="49"/>
      <c r="Y1567" s="49"/>
      <c r="Z1567" s="49"/>
      <c r="AA1567" s="49"/>
      <c r="AB1567" s="49"/>
      <c r="AC1567" s="49"/>
      <c r="AD1567" s="49"/>
      <c r="AE1567" s="49"/>
      <c r="AF1567" s="49"/>
      <c r="AG1567" s="49"/>
      <c r="AH1567" s="49"/>
      <c r="AI1567" s="48"/>
      <c r="AJ1567" s="48"/>
      <c r="AK1567" s="24"/>
      <c r="AL1567" s="50"/>
      <c r="AM1567" s="50"/>
      <c r="AN1567" s="50"/>
      <c r="AO1567" s="50"/>
      <c r="AP1567" s="50"/>
      <c r="AQ1567" s="50"/>
      <c r="AR1567" s="50"/>
      <c r="AS1567" s="50"/>
      <c r="AT1567" s="51"/>
      <c r="AU1567" s="51"/>
      <c r="AV1567" s="51"/>
      <c r="AW1567" s="51"/>
      <c r="AX1567" s="50"/>
      <c r="AY1567" s="50"/>
      <c r="AZ1567" s="50"/>
      <c r="BA1567" s="50"/>
      <c r="BB1567" s="51"/>
      <c r="BC1567" s="51"/>
      <c r="BD1567" s="51"/>
      <c r="BE1567" s="51"/>
      <c r="BF1567" s="47"/>
      <c r="BG1567" s="47"/>
      <c r="BH1567" s="47"/>
      <c r="BI1567" s="47"/>
      <c r="BJ1567" s="47"/>
      <c r="BK1567" s="47"/>
      <c r="BL1567" s="47"/>
      <c r="BM1567" s="47"/>
      <c r="BN1567" s="47"/>
      <c r="BO1567" s="47"/>
      <c r="BP1567" s="47"/>
      <c r="BQ1567" s="47"/>
      <c r="BR1567" s="47"/>
      <c r="BS1567" s="47"/>
      <c r="BT1567" s="47"/>
    </row>
    <row r="1568">
      <c r="A1568" s="24"/>
      <c r="B1568" s="48"/>
      <c r="C1568" s="49"/>
      <c r="D1568" s="24"/>
      <c r="E1568" s="52"/>
      <c r="F1568" s="53"/>
      <c r="G1568" s="48"/>
      <c r="H1568" s="49"/>
      <c r="I1568" s="49"/>
      <c r="J1568" s="48"/>
      <c r="K1568" s="48"/>
      <c r="L1568" s="48"/>
      <c r="M1568" s="48"/>
      <c r="N1568" s="48"/>
      <c r="O1568" s="48"/>
      <c r="P1568" s="48"/>
      <c r="Q1568" s="48"/>
      <c r="R1568" s="48"/>
      <c r="S1568" s="48"/>
      <c r="T1568" s="48"/>
      <c r="U1568" s="48"/>
      <c r="V1568" s="48"/>
      <c r="W1568" s="49"/>
      <c r="X1568" s="49"/>
      <c r="Y1568" s="49"/>
      <c r="Z1568" s="49"/>
      <c r="AA1568" s="49"/>
      <c r="AB1568" s="49"/>
      <c r="AC1568" s="49"/>
      <c r="AD1568" s="49"/>
      <c r="AE1568" s="49"/>
      <c r="AF1568" s="49"/>
      <c r="AG1568" s="49"/>
      <c r="AH1568" s="49"/>
      <c r="AI1568" s="48"/>
      <c r="AJ1568" s="48"/>
      <c r="AK1568" s="24"/>
      <c r="AL1568" s="50"/>
      <c r="AM1568" s="50"/>
      <c r="AN1568" s="50"/>
      <c r="AO1568" s="50"/>
      <c r="AP1568" s="50"/>
      <c r="AQ1568" s="50"/>
      <c r="AR1568" s="50"/>
      <c r="AS1568" s="50"/>
      <c r="AT1568" s="51"/>
      <c r="AU1568" s="51"/>
      <c r="AV1568" s="51"/>
      <c r="AW1568" s="51"/>
      <c r="AX1568" s="50"/>
      <c r="AY1568" s="50"/>
      <c r="AZ1568" s="50"/>
      <c r="BA1568" s="50"/>
      <c r="BB1568" s="51"/>
      <c r="BC1568" s="51"/>
      <c r="BD1568" s="51"/>
      <c r="BE1568" s="51"/>
      <c r="BF1568" s="47"/>
      <c r="BG1568" s="47"/>
      <c r="BH1568" s="47"/>
      <c r="BI1568" s="47"/>
      <c r="BJ1568" s="47"/>
      <c r="BK1568" s="47"/>
      <c r="BL1568" s="47"/>
      <c r="BM1568" s="47"/>
      <c r="BN1568" s="47"/>
      <c r="BO1568" s="47"/>
      <c r="BP1568" s="47"/>
      <c r="BQ1568" s="47"/>
      <c r="BR1568" s="47"/>
      <c r="BS1568" s="47"/>
      <c r="BT1568" s="47"/>
    </row>
    <row r="1569">
      <c r="A1569" s="24"/>
      <c r="B1569" s="48"/>
      <c r="C1569" s="49"/>
      <c r="D1569" s="24"/>
      <c r="E1569" s="52"/>
      <c r="F1569" s="53"/>
      <c r="G1569" s="48"/>
      <c r="H1569" s="49"/>
      <c r="I1569" s="49"/>
      <c r="J1569" s="48"/>
      <c r="K1569" s="48"/>
      <c r="L1569" s="48"/>
      <c r="M1569" s="48"/>
      <c r="N1569" s="48"/>
      <c r="O1569" s="48"/>
      <c r="P1569" s="48"/>
      <c r="Q1569" s="48"/>
      <c r="R1569" s="48"/>
      <c r="S1569" s="48"/>
      <c r="T1569" s="48"/>
      <c r="U1569" s="48"/>
      <c r="V1569" s="48"/>
      <c r="W1569" s="49"/>
      <c r="X1569" s="49"/>
      <c r="Y1569" s="49"/>
      <c r="Z1569" s="49"/>
      <c r="AA1569" s="49"/>
      <c r="AB1569" s="49"/>
      <c r="AC1569" s="49"/>
      <c r="AD1569" s="49"/>
      <c r="AE1569" s="49"/>
      <c r="AF1569" s="49"/>
      <c r="AG1569" s="49"/>
      <c r="AH1569" s="49"/>
      <c r="AI1569" s="48"/>
      <c r="AJ1569" s="48"/>
      <c r="AK1569" s="24"/>
      <c r="AL1569" s="50"/>
      <c r="AM1569" s="50"/>
      <c r="AN1569" s="50"/>
      <c r="AO1569" s="50"/>
      <c r="AP1569" s="50"/>
      <c r="AQ1569" s="50"/>
      <c r="AR1569" s="50"/>
      <c r="AS1569" s="50"/>
      <c r="AT1569" s="51"/>
      <c r="AU1569" s="51"/>
      <c r="AV1569" s="51"/>
      <c r="AW1569" s="51"/>
      <c r="AX1569" s="50"/>
      <c r="AY1569" s="50"/>
      <c r="AZ1569" s="50"/>
      <c r="BA1569" s="50"/>
      <c r="BB1569" s="51"/>
      <c r="BC1569" s="51"/>
      <c r="BD1569" s="51"/>
      <c r="BE1569" s="51"/>
      <c r="BF1569" s="47"/>
      <c r="BG1569" s="47"/>
      <c r="BH1569" s="47"/>
      <c r="BI1569" s="47"/>
      <c r="BJ1569" s="47"/>
      <c r="BK1569" s="47"/>
      <c r="BL1569" s="47"/>
      <c r="BM1569" s="47"/>
      <c r="BN1569" s="47"/>
      <c r="BO1569" s="47"/>
      <c r="BP1569" s="47"/>
      <c r="BQ1569" s="47"/>
      <c r="BR1569" s="47"/>
      <c r="BS1569" s="47"/>
      <c r="BT1569" s="47"/>
    </row>
    <row r="1570">
      <c r="A1570" s="24"/>
      <c r="B1570" s="48"/>
      <c r="C1570" s="49"/>
      <c r="D1570" s="24"/>
      <c r="E1570" s="52"/>
      <c r="F1570" s="53"/>
      <c r="G1570" s="48"/>
      <c r="H1570" s="49"/>
      <c r="I1570" s="49"/>
      <c r="J1570" s="48"/>
      <c r="K1570" s="48"/>
      <c r="L1570" s="48"/>
      <c r="M1570" s="48"/>
      <c r="N1570" s="48"/>
      <c r="O1570" s="48"/>
      <c r="P1570" s="48"/>
      <c r="Q1570" s="48"/>
      <c r="R1570" s="48"/>
      <c r="S1570" s="48"/>
      <c r="T1570" s="48"/>
      <c r="U1570" s="48"/>
      <c r="V1570" s="48"/>
      <c r="W1570" s="49"/>
      <c r="X1570" s="49"/>
      <c r="Y1570" s="49"/>
      <c r="Z1570" s="49"/>
      <c r="AA1570" s="49"/>
      <c r="AB1570" s="49"/>
      <c r="AC1570" s="49"/>
      <c r="AD1570" s="49"/>
      <c r="AE1570" s="49"/>
      <c r="AF1570" s="49"/>
      <c r="AG1570" s="49"/>
      <c r="AH1570" s="49"/>
      <c r="AI1570" s="48"/>
      <c r="AJ1570" s="48"/>
      <c r="AK1570" s="24"/>
      <c r="AL1570" s="50"/>
      <c r="AM1570" s="50"/>
      <c r="AN1570" s="50"/>
      <c r="AO1570" s="50"/>
      <c r="AP1570" s="50"/>
      <c r="AQ1570" s="50"/>
      <c r="AR1570" s="50"/>
      <c r="AS1570" s="50"/>
      <c r="AT1570" s="51"/>
      <c r="AU1570" s="51"/>
      <c r="AV1570" s="51"/>
      <c r="AW1570" s="51"/>
      <c r="AX1570" s="50"/>
      <c r="AY1570" s="50"/>
      <c r="AZ1570" s="50"/>
      <c r="BA1570" s="50"/>
      <c r="BB1570" s="51"/>
      <c r="BC1570" s="51"/>
      <c r="BD1570" s="51"/>
      <c r="BE1570" s="51"/>
      <c r="BF1570" s="47"/>
      <c r="BG1570" s="47"/>
      <c r="BH1570" s="47"/>
      <c r="BI1570" s="47"/>
      <c r="BJ1570" s="47"/>
      <c r="BK1570" s="47"/>
      <c r="BL1570" s="47"/>
      <c r="BM1570" s="47"/>
      <c r="BN1570" s="47"/>
      <c r="BO1570" s="47"/>
      <c r="BP1570" s="47"/>
      <c r="BQ1570" s="47"/>
      <c r="BR1570" s="47"/>
      <c r="BS1570" s="47"/>
      <c r="BT1570" s="47"/>
    </row>
    <row r="1571">
      <c r="A1571" s="24"/>
      <c r="B1571" s="48"/>
      <c r="C1571" s="49"/>
      <c r="D1571" s="24"/>
      <c r="E1571" s="52"/>
      <c r="F1571" s="53"/>
      <c r="G1571" s="48"/>
      <c r="H1571" s="49"/>
      <c r="I1571" s="49"/>
      <c r="J1571" s="48"/>
      <c r="K1571" s="48"/>
      <c r="L1571" s="48"/>
      <c r="M1571" s="48"/>
      <c r="N1571" s="48"/>
      <c r="O1571" s="48"/>
      <c r="P1571" s="48"/>
      <c r="Q1571" s="48"/>
      <c r="R1571" s="48"/>
      <c r="S1571" s="48"/>
      <c r="T1571" s="48"/>
      <c r="U1571" s="48"/>
      <c r="V1571" s="48"/>
      <c r="W1571" s="49"/>
      <c r="X1571" s="49"/>
      <c r="Y1571" s="49"/>
      <c r="Z1571" s="49"/>
      <c r="AA1571" s="49"/>
      <c r="AB1571" s="49"/>
      <c r="AC1571" s="49"/>
      <c r="AD1571" s="49"/>
      <c r="AE1571" s="49"/>
      <c r="AF1571" s="49"/>
      <c r="AG1571" s="49"/>
      <c r="AH1571" s="49"/>
      <c r="AI1571" s="48"/>
      <c r="AJ1571" s="48"/>
      <c r="AK1571" s="24"/>
      <c r="AL1571" s="50"/>
      <c r="AM1571" s="50"/>
      <c r="AN1571" s="50"/>
      <c r="AO1571" s="50"/>
      <c r="AP1571" s="50"/>
      <c r="AQ1571" s="50"/>
      <c r="AR1571" s="50"/>
      <c r="AS1571" s="50"/>
      <c r="AT1571" s="51"/>
      <c r="AU1571" s="51"/>
      <c r="AV1571" s="51"/>
      <c r="AW1571" s="51"/>
      <c r="AX1571" s="50"/>
      <c r="AY1571" s="50"/>
      <c r="AZ1571" s="50"/>
      <c r="BA1571" s="50"/>
      <c r="BB1571" s="51"/>
      <c r="BC1571" s="51"/>
      <c r="BD1571" s="51"/>
      <c r="BE1571" s="51"/>
      <c r="BF1571" s="47"/>
      <c r="BG1571" s="47"/>
      <c r="BH1571" s="47"/>
      <c r="BI1571" s="47"/>
      <c r="BJ1571" s="47"/>
      <c r="BK1571" s="47"/>
      <c r="BL1571" s="47"/>
      <c r="BM1571" s="47"/>
      <c r="BN1571" s="47"/>
      <c r="BO1571" s="47"/>
      <c r="BP1571" s="47"/>
      <c r="BQ1571" s="47"/>
      <c r="BR1571" s="47"/>
      <c r="BS1571" s="47"/>
      <c r="BT1571" s="47"/>
    </row>
    <row r="1572">
      <c r="A1572" s="24"/>
      <c r="B1572" s="48"/>
      <c r="C1572" s="49"/>
      <c r="D1572" s="24"/>
      <c r="E1572" s="52"/>
      <c r="F1572" s="53"/>
      <c r="G1572" s="48"/>
      <c r="H1572" s="49"/>
      <c r="I1572" s="49"/>
      <c r="J1572" s="48"/>
      <c r="K1572" s="48"/>
      <c r="L1572" s="48"/>
      <c r="M1572" s="48"/>
      <c r="N1572" s="48"/>
      <c r="O1572" s="48"/>
      <c r="P1572" s="48"/>
      <c r="Q1572" s="48"/>
      <c r="R1572" s="48"/>
      <c r="S1572" s="48"/>
      <c r="T1572" s="48"/>
      <c r="U1572" s="48"/>
      <c r="V1572" s="48"/>
      <c r="W1572" s="49"/>
      <c r="X1572" s="49"/>
      <c r="Y1572" s="49"/>
      <c r="Z1572" s="49"/>
      <c r="AA1572" s="49"/>
      <c r="AB1572" s="49"/>
      <c r="AC1572" s="49"/>
      <c r="AD1572" s="49"/>
      <c r="AE1572" s="49"/>
      <c r="AF1572" s="49"/>
      <c r="AG1572" s="49"/>
      <c r="AH1572" s="49"/>
      <c r="AI1572" s="48"/>
      <c r="AJ1572" s="48"/>
      <c r="AK1572" s="24"/>
      <c r="AL1572" s="50"/>
      <c r="AM1572" s="50"/>
      <c r="AN1572" s="50"/>
      <c r="AO1572" s="50"/>
      <c r="AP1572" s="50"/>
      <c r="AQ1572" s="50"/>
      <c r="AR1572" s="50"/>
      <c r="AS1572" s="50"/>
      <c r="AT1572" s="51"/>
      <c r="AU1572" s="51"/>
      <c r="AV1572" s="51"/>
      <c r="AW1572" s="51"/>
      <c r="AX1572" s="50"/>
      <c r="AY1572" s="50"/>
      <c r="AZ1572" s="50"/>
      <c r="BA1572" s="50"/>
      <c r="BB1572" s="51"/>
      <c r="BC1572" s="51"/>
      <c r="BD1572" s="51"/>
      <c r="BE1572" s="51"/>
      <c r="BF1572" s="47"/>
      <c r="BG1572" s="47"/>
      <c r="BH1572" s="47"/>
      <c r="BI1572" s="47"/>
      <c r="BJ1572" s="47"/>
      <c r="BK1572" s="47"/>
      <c r="BL1572" s="47"/>
      <c r="BM1572" s="47"/>
      <c r="BN1572" s="47"/>
      <c r="BO1572" s="47"/>
      <c r="BP1572" s="47"/>
      <c r="BQ1572" s="47"/>
      <c r="BR1572" s="47"/>
      <c r="BS1572" s="47"/>
      <c r="BT1572" s="47"/>
    </row>
    <row r="1573">
      <c r="A1573" s="24"/>
      <c r="B1573" s="48"/>
      <c r="C1573" s="49"/>
      <c r="D1573" s="24"/>
      <c r="E1573" s="52"/>
      <c r="F1573" s="53"/>
      <c r="G1573" s="48"/>
      <c r="H1573" s="49"/>
      <c r="I1573" s="49"/>
      <c r="J1573" s="48"/>
      <c r="K1573" s="48"/>
      <c r="L1573" s="48"/>
      <c r="M1573" s="48"/>
      <c r="N1573" s="48"/>
      <c r="O1573" s="48"/>
      <c r="P1573" s="48"/>
      <c r="Q1573" s="48"/>
      <c r="R1573" s="48"/>
      <c r="S1573" s="48"/>
      <c r="T1573" s="48"/>
      <c r="U1573" s="48"/>
      <c r="V1573" s="48"/>
      <c r="W1573" s="49"/>
      <c r="X1573" s="49"/>
      <c r="Y1573" s="49"/>
      <c r="Z1573" s="49"/>
      <c r="AA1573" s="49"/>
      <c r="AB1573" s="49"/>
      <c r="AC1573" s="49"/>
      <c r="AD1573" s="49"/>
      <c r="AE1573" s="49"/>
      <c r="AF1573" s="49"/>
      <c r="AG1573" s="49"/>
      <c r="AH1573" s="49"/>
      <c r="AI1573" s="48"/>
      <c r="AJ1573" s="48"/>
      <c r="AK1573" s="24"/>
      <c r="AL1573" s="50"/>
      <c r="AM1573" s="50"/>
      <c r="AN1573" s="50"/>
      <c r="AO1573" s="50"/>
      <c r="AP1573" s="50"/>
      <c r="AQ1573" s="50"/>
      <c r="AR1573" s="50"/>
      <c r="AS1573" s="50"/>
      <c r="AT1573" s="51"/>
      <c r="AU1573" s="51"/>
      <c r="AV1573" s="51"/>
      <c r="AW1573" s="51"/>
      <c r="AX1573" s="50"/>
      <c r="AY1573" s="50"/>
      <c r="AZ1573" s="50"/>
      <c r="BA1573" s="50"/>
      <c r="BB1573" s="51"/>
      <c r="BC1573" s="51"/>
      <c r="BD1573" s="51"/>
      <c r="BE1573" s="51"/>
      <c r="BF1573" s="47"/>
      <c r="BG1573" s="47"/>
      <c r="BH1573" s="47"/>
      <c r="BI1573" s="47"/>
      <c r="BJ1573" s="47"/>
      <c r="BK1573" s="47"/>
      <c r="BL1573" s="47"/>
      <c r="BM1573" s="47"/>
      <c r="BN1573" s="47"/>
      <c r="BO1573" s="47"/>
      <c r="BP1573" s="47"/>
      <c r="BQ1573" s="47"/>
      <c r="BR1573" s="47"/>
      <c r="BS1573" s="47"/>
      <c r="BT1573" s="47"/>
    </row>
    <row r="1574">
      <c r="A1574" s="24"/>
      <c r="B1574" s="48"/>
      <c r="C1574" s="49"/>
      <c r="D1574" s="24"/>
      <c r="E1574" s="52"/>
      <c r="F1574" s="53"/>
      <c r="G1574" s="48"/>
      <c r="H1574" s="49"/>
      <c r="I1574" s="49"/>
      <c r="J1574" s="48"/>
      <c r="K1574" s="48"/>
      <c r="L1574" s="48"/>
      <c r="M1574" s="48"/>
      <c r="N1574" s="48"/>
      <c r="O1574" s="48"/>
      <c r="P1574" s="48"/>
      <c r="Q1574" s="48"/>
      <c r="R1574" s="48"/>
      <c r="S1574" s="48"/>
      <c r="T1574" s="48"/>
      <c r="U1574" s="48"/>
      <c r="V1574" s="48"/>
      <c r="W1574" s="49"/>
      <c r="X1574" s="49"/>
      <c r="Y1574" s="49"/>
      <c r="Z1574" s="49"/>
      <c r="AA1574" s="49"/>
      <c r="AB1574" s="49"/>
      <c r="AC1574" s="49"/>
      <c r="AD1574" s="49"/>
      <c r="AE1574" s="49"/>
      <c r="AF1574" s="49"/>
      <c r="AG1574" s="49"/>
      <c r="AH1574" s="49"/>
      <c r="AI1574" s="48"/>
      <c r="AJ1574" s="48"/>
      <c r="AK1574" s="24"/>
      <c r="AL1574" s="50"/>
      <c r="AM1574" s="50"/>
      <c r="AN1574" s="50"/>
      <c r="AO1574" s="50"/>
      <c r="AP1574" s="50"/>
      <c r="AQ1574" s="50"/>
      <c r="AR1574" s="50"/>
      <c r="AS1574" s="50"/>
      <c r="AT1574" s="51"/>
      <c r="AU1574" s="51"/>
      <c r="AV1574" s="51"/>
      <c r="AW1574" s="51"/>
      <c r="AX1574" s="50"/>
      <c r="AY1574" s="50"/>
      <c r="AZ1574" s="50"/>
      <c r="BA1574" s="50"/>
      <c r="BB1574" s="51"/>
      <c r="BC1574" s="51"/>
      <c r="BD1574" s="51"/>
      <c r="BE1574" s="51"/>
      <c r="BF1574" s="47"/>
      <c r="BG1574" s="47"/>
      <c r="BH1574" s="47"/>
      <c r="BI1574" s="47"/>
      <c r="BJ1574" s="47"/>
      <c r="BK1574" s="47"/>
      <c r="BL1574" s="47"/>
      <c r="BM1574" s="47"/>
      <c r="BN1574" s="47"/>
      <c r="BO1574" s="47"/>
      <c r="BP1574" s="47"/>
      <c r="BQ1574" s="47"/>
      <c r="BR1574" s="47"/>
      <c r="BS1574" s="47"/>
      <c r="BT1574" s="47"/>
    </row>
    <row r="1575">
      <c r="A1575" s="24"/>
      <c r="B1575" s="48"/>
      <c r="C1575" s="49"/>
      <c r="D1575" s="24"/>
      <c r="E1575" s="52"/>
      <c r="F1575" s="53"/>
      <c r="G1575" s="48"/>
      <c r="H1575" s="49"/>
      <c r="I1575" s="49"/>
      <c r="J1575" s="48"/>
      <c r="K1575" s="48"/>
      <c r="L1575" s="48"/>
      <c r="M1575" s="48"/>
      <c r="N1575" s="48"/>
      <c r="O1575" s="48"/>
      <c r="P1575" s="48"/>
      <c r="Q1575" s="48"/>
      <c r="R1575" s="48"/>
      <c r="S1575" s="48"/>
      <c r="T1575" s="48"/>
      <c r="U1575" s="48"/>
      <c r="V1575" s="48"/>
      <c r="W1575" s="49"/>
      <c r="X1575" s="49"/>
      <c r="Y1575" s="49"/>
      <c r="Z1575" s="49"/>
      <c r="AA1575" s="49"/>
      <c r="AB1575" s="49"/>
      <c r="AC1575" s="49"/>
      <c r="AD1575" s="49"/>
      <c r="AE1575" s="49"/>
      <c r="AF1575" s="49"/>
      <c r="AG1575" s="49"/>
      <c r="AH1575" s="49"/>
      <c r="AI1575" s="48"/>
      <c r="AJ1575" s="48"/>
      <c r="AK1575" s="24"/>
      <c r="AL1575" s="50"/>
      <c r="AM1575" s="50"/>
      <c r="AN1575" s="50"/>
      <c r="AO1575" s="50"/>
      <c r="AP1575" s="50"/>
      <c r="AQ1575" s="50"/>
      <c r="AR1575" s="50"/>
      <c r="AS1575" s="50"/>
      <c r="AT1575" s="51"/>
      <c r="AU1575" s="51"/>
      <c r="AV1575" s="51"/>
      <c r="AW1575" s="51"/>
      <c r="AX1575" s="50"/>
      <c r="AY1575" s="50"/>
      <c r="AZ1575" s="50"/>
      <c r="BA1575" s="50"/>
      <c r="BB1575" s="51"/>
      <c r="BC1575" s="51"/>
      <c r="BD1575" s="51"/>
      <c r="BE1575" s="51"/>
      <c r="BF1575" s="47"/>
      <c r="BG1575" s="47"/>
      <c r="BH1575" s="47"/>
      <c r="BI1575" s="47"/>
      <c r="BJ1575" s="47"/>
      <c r="BK1575" s="47"/>
      <c r="BL1575" s="47"/>
      <c r="BM1575" s="47"/>
      <c r="BN1575" s="47"/>
      <c r="BO1575" s="47"/>
      <c r="BP1575" s="47"/>
      <c r="BQ1575" s="47"/>
      <c r="BR1575" s="47"/>
      <c r="BS1575" s="47"/>
      <c r="BT1575" s="47"/>
    </row>
    <row r="1576">
      <c r="A1576" s="24"/>
      <c r="B1576" s="48"/>
      <c r="C1576" s="49"/>
      <c r="D1576" s="24"/>
      <c r="E1576" s="52"/>
      <c r="F1576" s="53"/>
      <c r="G1576" s="48"/>
      <c r="H1576" s="49"/>
      <c r="I1576" s="49"/>
      <c r="J1576" s="48"/>
      <c r="K1576" s="48"/>
      <c r="L1576" s="48"/>
      <c r="M1576" s="48"/>
      <c r="N1576" s="48"/>
      <c r="O1576" s="48"/>
      <c r="P1576" s="48"/>
      <c r="Q1576" s="48"/>
      <c r="R1576" s="48"/>
      <c r="S1576" s="48"/>
      <c r="T1576" s="48"/>
      <c r="U1576" s="48"/>
      <c r="V1576" s="48"/>
      <c r="W1576" s="49"/>
      <c r="X1576" s="49"/>
      <c r="Y1576" s="49"/>
      <c r="Z1576" s="49"/>
      <c r="AA1576" s="49"/>
      <c r="AB1576" s="49"/>
      <c r="AC1576" s="49"/>
      <c r="AD1576" s="49"/>
      <c r="AE1576" s="49"/>
      <c r="AF1576" s="49"/>
      <c r="AG1576" s="49"/>
      <c r="AH1576" s="49"/>
      <c r="AI1576" s="48"/>
      <c r="AJ1576" s="48"/>
      <c r="AK1576" s="24"/>
      <c r="AL1576" s="50"/>
      <c r="AM1576" s="50"/>
      <c r="AN1576" s="50"/>
      <c r="AO1576" s="50"/>
      <c r="AP1576" s="50"/>
      <c r="AQ1576" s="50"/>
      <c r="AR1576" s="50"/>
      <c r="AS1576" s="50"/>
      <c r="AT1576" s="51"/>
      <c r="AU1576" s="51"/>
      <c r="AV1576" s="51"/>
      <c r="AW1576" s="51"/>
      <c r="AX1576" s="50"/>
      <c r="AY1576" s="50"/>
      <c r="AZ1576" s="50"/>
      <c r="BA1576" s="50"/>
      <c r="BB1576" s="51"/>
      <c r="BC1576" s="51"/>
      <c r="BD1576" s="51"/>
      <c r="BE1576" s="51"/>
      <c r="BF1576" s="47"/>
      <c r="BG1576" s="47"/>
      <c r="BH1576" s="47"/>
      <c r="BI1576" s="47"/>
      <c r="BJ1576" s="47"/>
      <c r="BK1576" s="47"/>
      <c r="BL1576" s="47"/>
      <c r="BM1576" s="47"/>
      <c r="BN1576" s="47"/>
      <c r="BO1576" s="47"/>
      <c r="BP1576" s="47"/>
      <c r="BQ1576" s="47"/>
      <c r="BR1576" s="47"/>
      <c r="BS1576" s="47"/>
      <c r="BT1576" s="47"/>
    </row>
    <row r="1577">
      <c r="A1577" s="24"/>
      <c r="B1577" s="48"/>
      <c r="C1577" s="49"/>
      <c r="D1577" s="24"/>
      <c r="E1577" s="52"/>
      <c r="F1577" s="53"/>
      <c r="G1577" s="48"/>
      <c r="H1577" s="49"/>
      <c r="I1577" s="49"/>
      <c r="J1577" s="48"/>
      <c r="K1577" s="48"/>
      <c r="L1577" s="48"/>
      <c r="M1577" s="48"/>
      <c r="N1577" s="48"/>
      <c r="O1577" s="48"/>
      <c r="P1577" s="48"/>
      <c r="Q1577" s="48"/>
      <c r="R1577" s="48"/>
      <c r="S1577" s="48"/>
      <c r="T1577" s="48"/>
      <c r="U1577" s="48"/>
      <c r="V1577" s="48"/>
      <c r="W1577" s="49"/>
      <c r="X1577" s="49"/>
      <c r="Y1577" s="49"/>
      <c r="Z1577" s="49"/>
      <c r="AA1577" s="49"/>
      <c r="AB1577" s="49"/>
      <c r="AC1577" s="49"/>
      <c r="AD1577" s="49"/>
      <c r="AE1577" s="49"/>
      <c r="AF1577" s="49"/>
      <c r="AG1577" s="49"/>
      <c r="AH1577" s="49"/>
      <c r="AI1577" s="48"/>
      <c r="AJ1577" s="48"/>
      <c r="AK1577" s="24"/>
      <c r="AL1577" s="50"/>
      <c r="AM1577" s="50"/>
      <c r="AN1577" s="50"/>
      <c r="AO1577" s="50"/>
      <c r="AP1577" s="50"/>
      <c r="AQ1577" s="50"/>
      <c r="AR1577" s="50"/>
      <c r="AS1577" s="50"/>
      <c r="AT1577" s="51"/>
      <c r="AU1577" s="51"/>
      <c r="AV1577" s="51"/>
      <c r="AW1577" s="51"/>
      <c r="AX1577" s="50"/>
      <c r="AY1577" s="50"/>
      <c r="AZ1577" s="50"/>
      <c r="BA1577" s="50"/>
      <c r="BB1577" s="51"/>
      <c r="BC1577" s="51"/>
      <c r="BD1577" s="51"/>
      <c r="BE1577" s="51"/>
      <c r="BF1577" s="47"/>
      <c r="BG1577" s="47"/>
      <c r="BH1577" s="47"/>
      <c r="BI1577" s="47"/>
      <c r="BJ1577" s="47"/>
      <c r="BK1577" s="47"/>
      <c r="BL1577" s="47"/>
      <c r="BM1577" s="47"/>
      <c r="BN1577" s="47"/>
      <c r="BO1577" s="47"/>
      <c r="BP1577" s="47"/>
      <c r="BQ1577" s="47"/>
      <c r="BR1577" s="47"/>
      <c r="BS1577" s="47"/>
      <c r="BT1577" s="47"/>
    </row>
    <row r="1578">
      <c r="A1578" s="24"/>
      <c r="B1578" s="48"/>
      <c r="C1578" s="49"/>
      <c r="D1578" s="24"/>
      <c r="E1578" s="52"/>
      <c r="F1578" s="53"/>
      <c r="G1578" s="48"/>
      <c r="H1578" s="49"/>
      <c r="I1578" s="49"/>
      <c r="J1578" s="48"/>
      <c r="K1578" s="48"/>
      <c r="L1578" s="48"/>
      <c r="M1578" s="48"/>
      <c r="N1578" s="48"/>
      <c r="O1578" s="48"/>
      <c r="P1578" s="48"/>
      <c r="Q1578" s="48"/>
      <c r="R1578" s="48"/>
      <c r="S1578" s="48"/>
      <c r="T1578" s="48"/>
      <c r="U1578" s="48"/>
      <c r="V1578" s="48"/>
      <c r="W1578" s="49"/>
      <c r="X1578" s="49"/>
      <c r="Y1578" s="49"/>
      <c r="Z1578" s="49"/>
      <c r="AA1578" s="49"/>
      <c r="AB1578" s="49"/>
      <c r="AC1578" s="49"/>
      <c r="AD1578" s="49"/>
      <c r="AE1578" s="49"/>
      <c r="AF1578" s="49"/>
      <c r="AG1578" s="49"/>
      <c r="AH1578" s="49"/>
      <c r="AI1578" s="48"/>
      <c r="AJ1578" s="48"/>
      <c r="AK1578" s="24"/>
      <c r="AL1578" s="50"/>
      <c r="AM1578" s="50"/>
      <c r="AN1578" s="50"/>
      <c r="AO1578" s="50"/>
      <c r="AP1578" s="50"/>
      <c r="AQ1578" s="50"/>
      <c r="AR1578" s="50"/>
      <c r="AS1578" s="50"/>
      <c r="AT1578" s="51"/>
      <c r="AU1578" s="51"/>
      <c r="AV1578" s="51"/>
      <c r="AW1578" s="51"/>
      <c r="AX1578" s="50"/>
      <c r="AY1578" s="50"/>
      <c r="AZ1578" s="50"/>
      <c r="BA1578" s="50"/>
      <c r="BB1578" s="51"/>
      <c r="BC1578" s="51"/>
      <c r="BD1578" s="51"/>
      <c r="BE1578" s="51"/>
      <c r="BF1578" s="47"/>
      <c r="BG1578" s="47"/>
      <c r="BH1578" s="47"/>
      <c r="BI1578" s="47"/>
      <c r="BJ1578" s="47"/>
      <c r="BK1578" s="47"/>
      <c r="BL1578" s="47"/>
      <c r="BM1578" s="47"/>
      <c r="BN1578" s="47"/>
      <c r="BO1578" s="47"/>
      <c r="BP1578" s="47"/>
      <c r="BQ1578" s="47"/>
      <c r="BR1578" s="47"/>
      <c r="BS1578" s="47"/>
      <c r="BT1578" s="47"/>
    </row>
    <row r="1579">
      <c r="A1579" s="24"/>
      <c r="B1579" s="48"/>
      <c r="C1579" s="49"/>
      <c r="D1579" s="24"/>
      <c r="E1579" s="52"/>
      <c r="F1579" s="53"/>
      <c r="G1579" s="48"/>
      <c r="H1579" s="49"/>
      <c r="I1579" s="49"/>
      <c r="J1579" s="48"/>
      <c r="K1579" s="48"/>
      <c r="L1579" s="48"/>
      <c r="M1579" s="48"/>
      <c r="N1579" s="48"/>
      <c r="O1579" s="48"/>
      <c r="P1579" s="48"/>
      <c r="Q1579" s="48"/>
      <c r="R1579" s="48"/>
      <c r="S1579" s="48"/>
      <c r="T1579" s="48"/>
      <c r="U1579" s="48"/>
      <c r="V1579" s="48"/>
      <c r="W1579" s="49"/>
      <c r="X1579" s="49"/>
      <c r="Y1579" s="49"/>
      <c r="Z1579" s="49"/>
      <c r="AA1579" s="49"/>
      <c r="AB1579" s="49"/>
      <c r="AC1579" s="49"/>
      <c r="AD1579" s="49"/>
      <c r="AE1579" s="49"/>
      <c r="AF1579" s="49"/>
      <c r="AG1579" s="49"/>
      <c r="AH1579" s="49"/>
      <c r="AI1579" s="48"/>
      <c r="AJ1579" s="48"/>
      <c r="AK1579" s="24"/>
      <c r="AL1579" s="50"/>
      <c r="AM1579" s="50"/>
      <c r="AN1579" s="50"/>
      <c r="AO1579" s="50"/>
      <c r="AP1579" s="50"/>
      <c r="AQ1579" s="50"/>
      <c r="AR1579" s="50"/>
      <c r="AS1579" s="50"/>
      <c r="AT1579" s="51"/>
      <c r="AU1579" s="51"/>
      <c r="AV1579" s="51"/>
      <c r="AW1579" s="51"/>
      <c r="AX1579" s="50"/>
      <c r="AY1579" s="50"/>
      <c r="AZ1579" s="50"/>
      <c r="BA1579" s="50"/>
      <c r="BB1579" s="51"/>
      <c r="BC1579" s="51"/>
      <c r="BD1579" s="51"/>
      <c r="BE1579" s="51"/>
      <c r="BF1579" s="47"/>
      <c r="BG1579" s="47"/>
      <c r="BH1579" s="47"/>
      <c r="BI1579" s="47"/>
      <c r="BJ1579" s="47"/>
      <c r="BK1579" s="47"/>
      <c r="BL1579" s="47"/>
      <c r="BM1579" s="47"/>
      <c r="BN1579" s="47"/>
      <c r="BO1579" s="47"/>
      <c r="BP1579" s="47"/>
      <c r="BQ1579" s="47"/>
      <c r="BR1579" s="47"/>
      <c r="BS1579" s="47"/>
      <c r="BT1579" s="47"/>
    </row>
    <row r="1580">
      <c r="A1580" s="24"/>
      <c r="B1580" s="48"/>
      <c r="C1580" s="49"/>
      <c r="D1580" s="24"/>
      <c r="E1580" s="52"/>
      <c r="F1580" s="53"/>
      <c r="G1580" s="48"/>
      <c r="H1580" s="49"/>
      <c r="I1580" s="49"/>
      <c r="J1580" s="48"/>
      <c r="K1580" s="48"/>
      <c r="L1580" s="48"/>
      <c r="M1580" s="48"/>
      <c r="N1580" s="48"/>
      <c r="O1580" s="48"/>
      <c r="P1580" s="48"/>
      <c r="Q1580" s="48"/>
      <c r="R1580" s="48"/>
      <c r="S1580" s="48"/>
      <c r="T1580" s="48"/>
      <c r="U1580" s="48"/>
      <c r="V1580" s="48"/>
      <c r="W1580" s="49"/>
      <c r="X1580" s="49"/>
      <c r="Y1580" s="49"/>
      <c r="Z1580" s="49"/>
      <c r="AA1580" s="49"/>
      <c r="AB1580" s="49"/>
      <c r="AC1580" s="49"/>
      <c r="AD1580" s="49"/>
      <c r="AE1580" s="49"/>
      <c r="AF1580" s="49"/>
      <c r="AG1580" s="49"/>
      <c r="AH1580" s="49"/>
      <c r="AI1580" s="48"/>
      <c r="AJ1580" s="48"/>
      <c r="AK1580" s="24"/>
      <c r="AL1580" s="50"/>
      <c r="AM1580" s="50"/>
      <c r="AN1580" s="50"/>
      <c r="AO1580" s="50"/>
      <c r="AP1580" s="50"/>
      <c r="AQ1580" s="50"/>
      <c r="AR1580" s="50"/>
      <c r="AS1580" s="50"/>
      <c r="AT1580" s="51"/>
      <c r="AU1580" s="51"/>
      <c r="AV1580" s="51"/>
      <c r="AW1580" s="51"/>
      <c r="AX1580" s="50"/>
      <c r="AY1580" s="50"/>
      <c r="AZ1580" s="50"/>
      <c r="BA1580" s="50"/>
      <c r="BB1580" s="51"/>
      <c r="BC1580" s="51"/>
      <c r="BD1580" s="51"/>
      <c r="BE1580" s="51"/>
      <c r="BF1580" s="47"/>
      <c r="BG1580" s="47"/>
      <c r="BH1580" s="47"/>
      <c r="BI1580" s="47"/>
      <c r="BJ1580" s="47"/>
      <c r="BK1580" s="47"/>
      <c r="BL1580" s="47"/>
      <c r="BM1580" s="47"/>
      <c r="BN1580" s="47"/>
      <c r="BO1580" s="47"/>
      <c r="BP1580" s="47"/>
      <c r="BQ1580" s="47"/>
      <c r="BR1580" s="47"/>
      <c r="BS1580" s="47"/>
      <c r="BT1580" s="47"/>
    </row>
    <row r="1581">
      <c r="A1581" s="24"/>
      <c r="B1581" s="48"/>
      <c r="C1581" s="49"/>
      <c r="D1581" s="24"/>
      <c r="E1581" s="52"/>
      <c r="F1581" s="53"/>
      <c r="G1581" s="48"/>
      <c r="H1581" s="49"/>
      <c r="I1581" s="49"/>
      <c r="J1581" s="48"/>
      <c r="K1581" s="48"/>
      <c r="L1581" s="48"/>
      <c r="M1581" s="48"/>
      <c r="N1581" s="48"/>
      <c r="O1581" s="48"/>
      <c r="P1581" s="48"/>
      <c r="Q1581" s="48"/>
      <c r="R1581" s="48"/>
      <c r="S1581" s="48"/>
      <c r="T1581" s="48"/>
      <c r="U1581" s="48"/>
      <c r="V1581" s="48"/>
      <c r="W1581" s="49"/>
      <c r="X1581" s="49"/>
      <c r="Y1581" s="49"/>
      <c r="Z1581" s="49"/>
      <c r="AA1581" s="49"/>
      <c r="AB1581" s="49"/>
      <c r="AC1581" s="49"/>
      <c r="AD1581" s="49"/>
      <c r="AE1581" s="49"/>
      <c r="AF1581" s="49"/>
      <c r="AG1581" s="49"/>
      <c r="AH1581" s="49"/>
      <c r="AI1581" s="48"/>
      <c r="AJ1581" s="48"/>
      <c r="AK1581" s="24"/>
      <c r="AL1581" s="50"/>
      <c r="AM1581" s="50"/>
      <c r="AN1581" s="50"/>
      <c r="AO1581" s="50"/>
      <c r="AP1581" s="50"/>
      <c r="AQ1581" s="50"/>
      <c r="AR1581" s="50"/>
      <c r="AS1581" s="50"/>
      <c r="AT1581" s="51"/>
      <c r="AU1581" s="51"/>
      <c r="AV1581" s="51"/>
      <c r="AW1581" s="51"/>
      <c r="AX1581" s="50"/>
      <c r="AY1581" s="50"/>
      <c r="AZ1581" s="50"/>
      <c r="BA1581" s="50"/>
      <c r="BB1581" s="51"/>
      <c r="BC1581" s="51"/>
      <c r="BD1581" s="51"/>
      <c r="BE1581" s="51"/>
      <c r="BF1581" s="47"/>
      <c r="BG1581" s="47"/>
      <c r="BH1581" s="47"/>
      <c r="BI1581" s="47"/>
      <c r="BJ1581" s="47"/>
      <c r="BK1581" s="47"/>
      <c r="BL1581" s="47"/>
      <c r="BM1581" s="47"/>
      <c r="BN1581" s="47"/>
      <c r="BO1581" s="47"/>
      <c r="BP1581" s="47"/>
      <c r="BQ1581" s="47"/>
      <c r="BR1581" s="47"/>
      <c r="BS1581" s="47"/>
      <c r="BT1581" s="47"/>
    </row>
    <row r="1582">
      <c r="A1582" s="24"/>
      <c r="B1582" s="48"/>
      <c r="C1582" s="49"/>
      <c r="D1582" s="24"/>
      <c r="E1582" s="52"/>
      <c r="F1582" s="53"/>
      <c r="G1582" s="48"/>
      <c r="H1582" s="49"/>
      <c r="I1582" s="49"/>
      <c r="J1582" s="48"/>
      <c r="K1582" s="48"/>
      <c r="L1582" s="48"/>
      <c r="M1582" s="48"/>
      <c r="N1582" s="48"/>
      <c r="O1582" s="48"/>
      <c r="P1582" s="48"/>
      <c r="Q1582" s="48"/>
      <c r="R1582" s="48"/>
      <c r="S1582" s="48"/>
      <c r="T1582" s="48"/>
      <c r="U1582" s="48"/>
      <c r="V1582" s="48"/>
      <c r="W1582" s="49"/>
      <c r="X1582" s="49"/>
      <c r="Y1582" s="49"/>
      <c r="Z1582" s="49"/>
      <c r="AA1582" s="49"/>
      <c r="AB1582" s="49"/>
      <c r="AC1582" s="49"/>
      <c r="AD1582" s="49"/>
      <c r="AE1582" s="49"/>
      <c r="AF1582" s="49"/>
      <c r="AG1582" s="49"/>
      <c r="AH1582" s="49"/>
      <c r="AI1582" s="48"/>
      <c r="AJ1582" s="48"/>
      <c r="AK1582" s="24"/>
      <c r="AL1582" s="50"/>
      <c r="AM1582" s="50"/>
      <c r="AN1582" s="50"/>
      <c r="AO1582" s="50"/>
      <c r="AP1582" s="50"/>
      <c r="AQ1582" s="50"/>
      <c r="AR1582" s="50"/>
      <c r="AS1582" s="50"/>
      <c r="AT1582" s="51"/>
      <c r="AU1582" s="51"/>
      <c r="AV1582" s="51"/>
      <c r="AW1582" s="51"/>
      <c r="AX1582" s="50"/>
      <c r="AY1582" s="50"/>
      <c r="AZ1582" s="50"/>
      <c r="BA1582" s="50"/>
      <c r="BB1582" s="51"/>
      <c r="BC1582" s="51"/>
      <c r="BD1582" s="51"/>
      <c r="BE1582" s="51"/>
      <c r="BF1582" s="47"/>
      <c r="BG1582" s="47"/>
      <c r="BH1582" s="47"/>
      <c r="BI1582" s="47"/>
      <c r="BJ1582" s="47"/>
      <c r="BK1582" s="47"/>
      <c r="BL1582" s="47"/>
      <c r="BM1582" s="47"/>
      <c r="BN1582" s="47"/>
      <c r="BO1582" s="47"/>
      <c r="BP1582" s="47"/>
      <c r="BQ1582" s="47"/>
      <c r="BR1582" s="47"/>
      <c r="BS1582" s="47"/>
      <c r="BT1582" s="47"/>
    </row>
    <row r="1583">
      <c r="A1583" s="24"/>
      <c r="B1583" s="48"/>
      <c r="C1583" s="49"/>
      <c r="D1583" s="24"/>
      <c r="E1583" s="52"/>
      <c r="F1583" s="53"/>
      <c r="G1583" s="48"/>
      <c r="H1583" s="49"/>
      <c r="I1583" s="49"/>
      <c r="J1583" s="48"/>
      <c r="K1583" s="48"/>
      <c r="L1583" s="48"/>
      <c r="M1583" s="48"/>
      <c r="N1583" s="48"/>
      <c r="O1583" s="48"/>
      <c r="P1583" s="48"/>
      <c r="Q1583" s="48"/>
      <c r="R1583" s="48"/>
      <c r="S1583" s="48"/>
      <c r="T1583" s="48"/>
      <c r="U1583" s="48"/>
      <c r="V1583" s="48"/>
      <c r="W1583" s="49"/>
      <c r="X1583" s="49"/>
      <c r="Y1583" s="49"/>
      <c r="Z1583" s="49"/>
      <c r="AA1583" s="49"/>
      <c r="AB1583" s="49"/>
      <c r="AC1583" s="49"/>
      <c r="AD1583" s="49"/>
      <c r="AE1583" s="49"/>
      <c r="AF1583" s="49"/>
      <c r="AG1583" s="49"/>
      <c r="AH1583" s="49"/>
      <c r="AI1583" s="48"/>
      <c r="AJ1583" s="48"/>
      <c r="AK1583" s="24"/>
      <c r="AL1583" s="50"/>
      <c r="AM1583" s="50"/>
      <c r="AN1583" s="50"/>
      <c r="AO1583" s="50"/>
      <c r="AP1583" s="50"/>
      <c r="AQ1583" s="50"/>
      <c r="AR1583" s="50"/>
      <c r="AS1583" s="50"/>
      <c r="AT1583" s="51"/>
      <c r="AU1583" s="51"/>
      <c r="AV1583" s="51"/>
      <c r="AW1583" s="51"/>
      <c r="AX1583" s="50"/>
      <c r="AY1583" s="50"/>
      <c r="AZ1583" s="50"/>
      <c r="BA1583" s="50"/>
      <c r="BB1583" s="51"/>
      <c r="BC1583" s="51"/>
      <c r="BD1583" s="51"/>
      <c r="BE1583" s="51"/>
      <c r="BF1583" s="47"/>
      <c r="BG1583" s="47"/>
      <c r="BH1583" s="47"/>
      <c r="BI1583" s="47"/>
      <c r="BJ1583" s="47"/>
      <c r="BK1583" s="47"/>
      <c r="BL1583" s="47"/>
      <c r="BM1583" s="47"/>
      <c r="BN1583" s="47"/>
      <c r="BO1583" s="47"/>
      <c r="BP1583" s="47"/>
      <c r="BQ1583" s="47"/>
      <c r="BR1583" s="47"/>
      <c r="BS1583" s="47"/>
      <c r="BT1583" s="47"/>
    </row>
    <row r="1584">
      <c r="A1584" s="24"/>
      <c r="B1584" s="48"/>
      <c r="C1584" s="49"/>
      <c r="D1584" s="24"/>
      <c r="E1584" s="52"/>
      <c r="F1584" s="53"/>
      <c r="G1584" s="48"/>
      <c r="H1584" s="49"/>
      <c r="I1584" s="49"/>
      <c r="J1584" s="48"/>
      <c r="K1584" s="48"/>
      <c r="L1584" s="48"/>
      <c r="M1584" s="48"/>
      <c r="N1584" s="48"/>
      <c r="O1584" s="48"/>
      <c r="P1584" s="48"/>
      <c r="Q1584" s="48"/>
      <c r="R1584" s="48"/>
      <c r="S1584" s="48"/>
      <c r="T1584" s="48"/>
      <c r="U1584" s="48"/>
      <c r="V1584" s="48"/>
      <c r="W1584" s="49"/>
      <c r="X1584" s="49"/>
      <c r="Y1584" s="49"/>
      <c r="Z1584" s="49"/>
      <c r="AA1584" s="49"/>
      <c r="AB1584" s="49"/>
      <c r="AC1584" s="49"/>
      <c r="AD1584" s="49"/>
      <c r="AE1584" s="49"/>
      <c r="AF1584" s="49"/>
      <c r="AG1584" s="49"/>
      <c r="AH1584" s="49"/>
      <c r="AI1584" s="48"/>
      <c r="AJ1584" s="48"/>
      <c r="AK1584" s="24"/>
      <c r="AL1584" s="50"/>
      <c r="AM1584" s="50"/>
      <c r="AN1584" s="50"/>
      <c r="AO1584" s="50"/>
      <c r="AP1584" s="50"/>
      <c r="AQ1584" s="50"/>
      <c r="AR1584" s="50"/>
      <c r="AS1584" s="50"/>
      <c r="AT1584" s="51"/>
      <c r="AU1584" s="51"/>
      <c r="AV1584" s="51"/>
      <c r="AW1584" s="51"/>
      <c r="AX1584" s="50"/>
      <c r="AY1584" s="50"/>
      <c r="AZ1584" s="50"/>
      <c r="BA1584" s="50"/>
      <c r="BB1584" s="51"/>
      <c r="BC1584" s="51"/>
      <c r="BD1584" s="51"/>
      <c r="BE1584" s="51"/>
      <c r="BF1584" s="47"/>
      <c r="BG1584" s="47"/>
      <c r="BH1584" s="47"/>
      <c r="BI1584" s="47"/>
      <c r="BJ1584" s="47"/>
      <c r="BK1584" s="47"/>
      <c r="BL1584" s="47"/>
      <c r="BM1584" s="47"/>
      <c r="BN1584" s="47"/>
      <c r="BO1584" s="47"/>
      <c r="BP1584" s="47"/>
      <c r="BQ1584" s="47"/>
      <c r="BR1584" s="47"/>
      <c r="BS1584" s="47"/>
      <c r="BT1584" s="47"/>
    </row>
    <row r="1585">
      <c r="A1585" s="24"/>
      <c r="B1585" s="48"/>
      <c r="C1585" s="49"/>
      <c r="D1585" s="24"/>
      <c r="E1585" s="52"/>
      <c r="F1585" s="53"/>
      <c r="G1585" s="48"/>
      <c r="H1585" s="49"/>
      <c r="I1585" s="49"/>
      <c r="J1585" s="48"/>
      <c r="K1585" s="48"/>
      <c r="L1585" s="48"/>
      <c r="M1585" s="48"/>
      <c r="N1585" s="48"/>
      <c r="O1585" s="48"/>
      <c r="P1585" s="48"/>
      <c r="Q1585" s="48"/>
      <c r="R1585" s="48"/>
      <c r="S1585" s="48"/>
      <c r="T1585" s="48"/>
      <c r="U1585" s="48"/>
      <c r="V1585" s="48"/>
      <c r="W1585" s="49"/>
      <c r="X1585" s="49"/>
      <c r="Y1585" s="49"/>
      <c r="Z1585" s="49"/>
      <c r="AA1585" s="49"/>
      <c r="AB1585" s="49"/>
      <c r="AC1585" s="49"/>
      <c r="AD1585" s="49"/>
      <c r="AE1585" s="49"/>
      <c r="AF1585" s="49"/>
      <c r="AG1585" s="49"/>
      <c r="AH1585" s="49"/>
      <c r="AI1585" s="48"/>
      <c r="AJ1585" s="48"/>
      <c r="AK1585" s="24"/>
      <c r="AL1585" s="50"/>
      <c r="AM1585" s="50"/>
      <c r="AN1585" s="50"/>
      <c r="AO1585" s="50"/>
      <c r="AP1585" s="50"/>
      <c r="AQ1585" s="50"/>
      <c r="AR1585" s="50"/>
      <c r="AS1585" s="50"/>
      <c r="AT1585" s="51"/>
      <c r="AU1585" s="51"/>
      <c r="AV1585" s="51"/>
      <c r="AW1585" s="51"/>
      <c r="AX1585" s="50"/>
      <c r="AY1585" s="50"/>
      <c r="AZ1585" s="50"/>
      <c r="BA1585" s="50"/>
      <c r="BB1585" s="51"/>
      <c r="BC1585" s="51"/>
      <c r="BD1585" s="51"/>
      <c r="BE1585" s="51"/>
      <c r="BF1585" s="47"/>
      <c r="BG1585" s="47"/>
      <c r="BH1585" s="47"/>
      <c r="BI1585" s="47"/>
      <c r="BJ1585" s="47"/>
      <c r="BK1585" s="47"/>
      <c r="BL1585" s="47"/>
      <c r="BM1585" s="47"/>
      <c r="BN1585" s="47"/>
      <c r="BO1585" s="47"/>
      <c r="BP1585" s="47"/>
      <c r="BQ1585" s="47"/>
      <c r="BR1585" s="47"/>
      <c r="BS1585" s="47"/>
      <c r="BT1585" s="47"/>
    </row>
    <row r="1586">
      <c r="A1586" s="24"/>
      <c r="B1586" s="48"/>
      <c r="C1586" s="49"/>
      <c r="D1586" s="24"/>
      <c r="E1586" s="52"/>
      <c r="F1586" s="53"/>
      <c r="G1586" s="48"/>
      <c r="H1586" s="49"/>
      <c r="I1586" s="49"/>
      <c r="J1586" s="48"/>
      <c r="K1586" s="48"/>
      <c r="L1586" s="48"/>
      <c r="M1586" s="48"/>
      <c r="N1586" s="48"/>
      <c r="O1586" s="48"/>
      <c r="P1586" s="48"/>
      <c r="Q1586" s="48"/>
      <c r="R1586" s="48"/>
      <c r="S1586" s="48"/>
      <c r="T1586" s="48"/>
      <c r="U1586" s="48"/>
      <c r="V1586" s="48"/>
      <c r="W1586" s="49"/>
      <c r="X1586" s="49"/>
      <c r="Y1586" s="49"/>
      <c r="Z1586" s="49"/>
      <c r="AA1586" s="49"/>
      <c r="AB1586" s="49"/>
      <c r="AC1586" s="49"/>
      <c r="AD1586" s="49"/>
      <c r="AE1586" s="49"/>
      <c r="AF1586" s="49"/>
      <c r="AG1586" s="49"/>
      <c r="AH1586" s="49"/>
      <c r="AI1586" s="48"/>
      <c r="AJ1586" s="48"/>
      <c r="AK1586" s="24"/>
      <c r="AL1586" s="50"/>
      <c r="AM1586" s="50"/>
      <c r="AN1586" s="50"/>
      <c r="AO1586" s="50"/>
      <c r="AP1586" s="50"/>
      <c r="AQ1586" s="50"/>
      <c r="AR1586" s="50"/>
      <c r="AS1586" s="50"/>
      <c r="AT1586" s="51"/>
      <c r="AU1586" s="51"/>
      <c r="AV1586" s="51"/>
      <c r="AW1586" s="51"/>
      <c r="AX1586" s="50"/>
      <c r="AY1586" s="50"/>
      <c r="AZ1586" s="50"/>
      <c r="BA1586" s="50"/>
      <c r="BB1586" s="51"/>
      <c r="BC1586" s="51"/>
      <c r="BD1586" s="51"/>
      <c r="BE1586" s="51"/>
      <c r="BF1586" s="47"/>
      <c r="BG1586" s="47"/>
      <c r="BH1586" s="47"/>
      <c r="BI1586" s="47"/>
      <c r="BJ1586" s="47"/>
      <c r="BK1586" s="47"/>
      <c r="BL1586" s="47"/>
      <c r="BM1586" s="47"/>
      <c r="BN1586" s="47"/>
      <c r="BO1586" s="47"/>
      <c r="BP1586" s="47"/>
      <c r="BQ1586" s="47"/>
      <c r="BR1586" s="47"/>
      <c r="BS1586" s="47"/>
      <c r="BT1586" s="47"/>
    </row>
    <row r="1587">
      <c r="A1587" s="24"/>
      <c r="B1587" s="48"/>
      <c r="C1587" s="49"/>
      <c r="D1587" s="24"/>
      <c r="E1587" s="52"/>
      <c r="F1587" s="53"/>
      <c r="G1587" s="48"/>
      <c r="H1587" s="49"/>
      <c r="I1587" s="49"/>
      <c r="J1587" s="48"/>
      <c r="K1587" s="48"/>
      <c r="L1587" s="48"/>
      <c r="M1587" s="48"/>
      <c r="N1587" s="48"/>
      <c r="O1587" s="48"/>
      <c r="P1587" s="48"/>
      <c r="Q1587" s="48"/>
      <c r="R1587" s="48"/>
      <c r="S1587" s="48"/>
      <c r="T1587" s="48"/>
      <c r="U1587" s="48"/>
      <c r="V1587" s="48"/>
      <c r="W1587" s="49"/>
      <c r="X1587" s="49"/>
      <c r="Y1587" s="49"/>
      <c r="Z1587" s="49"/>
      <c r="AA1587" s="49"/>
      <c r="AB1587" s="49"/>
      <c r="AC1587" s="49"/>
      <c r="AD1587" s="49"/>
      <c r="AE1587" s="49"/>
      <c r="AF1587" s="49"/>
      <c r="AG1587" s="49"/>
      <c r="AH1587" s="49"/>
      <c r="AI1587" s="48"/>
      <c r="AJ1587" s="48"/>
      <c r="AK1587" s="24"/>
      <c r="AL1587" s="50"/>
      <c r="AM1587" s="50"/>
      <c r="AN1587" s="50"/>
      <c r="AO1587" s="50"/>
      <c r="AP1587" s="50"/>
      <c r="AQ1587" s="50"/>
      <c r="AR1587" s="50"/>
      <c r="AS1587" s="50"/>
      <c r="AT1587" s="51"/>
      <c r="AU1587" s="51"/>
      <c r="AV1587" s="51"/>
      <c r="AW1587" s="51"/>
      <c r="AX1587" s="50"/>
      <c r="AY1587" s="50"/>
      <c r="AZ1587" s="50"/>
      <c r="BA1587" s="50"/>
      <c r="BB1587" s="51"/>
      <c r="BC1587" s="51"/>
      <c r="BD1587" s="51"/>
      <c r="BE1587" s="51"/>
      <c r="BF1587" s="47"/>
      <c r="BG1587" s="47"/>
      <c r="BH1587" s="47"/>
      <c r="BI1587" s="47"/>
      <c r="BJ1587" s="47"/>
      <c r="BK1587" s="47"/>
      <c r="BL1587" s="47"/>
      <c r="BM1587" s="47"/>
      <c r="BN1587" s="47"/>
      <c r="BO1587" s="47"/>
      <c r="BP1587" s="47"/>
      <c r="BQ1587" s="47"/>
      <c r="BR1587" s="47"/>
      <c r="BS1587" s="47"/>
      <c r="BT1587" s="47"/>
    </row>
    <row r="1588">
      <c r="A1588" s="24"/>
      <c r="B1588" s="48"/>
      <c r="C1588" s="49"/>
      <c r="D1588" s="24"/>
      <c r="E1588" s="52"/>
      <c r="F1588" s="53"/>
      <c r="G1588" s="48"/>
      <c r="H1588" s="49"/>
      <c r="I1588" s="49"/>
      <c r="J1588" s="48"/>
      <c r="K1588" s="48"/>
      <c r="L1588" s="48"/>
      <c r="M1588" s="48"/>
      <c r="N1588" s="48"/>
      <c r="O1588" s="48"/>
      <c r="P1588" s="48"/>
      <c r="Q1588" s="48"/>
      <c r="R1588" s="48"/>
      <c r="S1588" s="48"/>
      <c r="T1588" s="48"/>
      <c r="U1588" s="48"/>
      <c r="V1588" s="48"/>
      <c r="W1588" s="49"/>
      <c r="X1588" s="49"/>
      <c r="Y1588" s="49"/>
      <c r="Z1588" s="49"/>
      <c r="AA1588" s="49"/>
      <c r="AB1588" s="49"/>
      <c r="AC1588" s="49"/>
      <c r="AD1588" s="49"/>
      <c r="AE1588" s="49"/>
      <c r="AF1588" s="49"/>
      <c r="AG1588" s="49"/>
      <c r="AH1588" s="49"/>
      <c r="AI1588" s="48"/>
      <c r="AJ1588" s="48"/>
      <c r="AK1588" s="24"/>
      <c r="AL1588" s="50"/>
      <c r="AM1588" s="50"/>
      <c r="AN1588" s="50"/>
      <c r="AO1588" s="50"/>
      <c r="AP1588" s="50"/>
      <c r="AQ1588" s="50"/>
      <c r="AR1588" s="50"/>
      <c r="AS1588" s="50"/>
      <c r="AT1588" s="51"/>
      <c r="AU1588" s="51"/>
      <c r="AV1588" s="51"/>
      <c r="AW1588" s="51"/>
      <c r="AX1588" s="50"/>
      <c r="AY1588" s="50"/>
      <c r="AZ1588" s="50"/>
      <c r="BA1588" s="50"/>
      <c r="BB1588" s="51"/>
      <c r="BC1588" s="51"/>
      <c r="BD1588" s="51"/>
      <c r="BE1588" s="51"/>
      <c r="BF1588" s="47"/>
      <c r="BG1588" s="47"/>
      <c r="BH1588" s="47"/>
      <c r="BI1588" s="47"/>
      <c r="BJ1588" s="47"/>
      <c r="BK1588" s="47"/>
      <c r="BL1588" s="47"/>
      <c r="BM1588" s="47"/>
      <c r="BN1588" s="47"/>
      <c r="BO1588" s="47"/>
      <c r="BP1588" s="47"/>
      <c r="BQ1588" s="47"/>
      <c r="BR1588" s="47"/>
      <c r="BS1588" s="47"/>
      <c r="BT1588" s="47"/>
    </row>
    <row r="1589">
      <c r="A1589" s="24"/>
      <c r="B1589" s="48"/>
      <c r="C1589" s="49"/>
      <c r="D1589" s="24"/>
      <c r="E1589" s="52"/>
      <c r="F1589" s="53"/>
      <c r="G1589" s="48"/>
      <c r="H1589" s="49"/>
      <c r="I1589" s="49"/>
      <c r="J1589" s="48"/>
      <c r="K1589" s="48"/>
      <c r="L1589" s="48"/>
      <c r="M1589" s="48"/>
      <c r="N1589" s="48"/>
      <c r="O1589" s="48"/>
      <c r="P1589" s="48"/>
      <c r="Q1589" s="48"/>
      <c r="R1589" s="48"/>
      <c r="S1589" s="48"/>
      <c r="T1589" s="48"/>
      <c r="U1589" s="48"/>
      <c r="V1589" s="48"/>
      <c r="W1589" s="49"/>
      <c r="X1589" s="49"/>
      <c r="Y1589" s="49"/>
      <c r="Z1589" s="49"/>
      <c r="AA1589" s="49"/>
      <c r="AB1589" s="49"/>
      <c r="AC1589" s="49"/>
      <c r="AD1589" s="49"/>
      <c r="AE1589" s="49"/>
      <c r="AF1589" s="49"/>
      <c r="AG1589" s="49"/>
      <c r="AH1589" s="49"/>
      <c r="AI1589" s="48"/>
      <c r="AJ1589" s="48"/>
      <c r="AK1589" s="24"/>
      <c r="AL1589" s="50"/>
      <c r="AM1589" s="50"/>
      <c r="AN1589" s="50"/>
      <c r="AO1589" s="50"/>
      <c r="AP1589" s="50"/>
      <c r="AQ1589" s="50"/>
      <c r="AR1589" s="50"/>
      <c r="AS1589" s="50"/>
      <c r="AT1589" s="51"/>
      <c r="AU1589" s="51"/>
      <c r="AV1589" s="51"/>
      <c r="AW1589" s="51"/>
      <c r="AX1589" s="50"/>
      <c r="AY1589" s="50"/>
      <c r="AZ1589" s="50"/>
      <c r="BA1589" s="50"/>
      <c r="BB1589" s="51"/>
      <c r="BC1589" s="51"/>
      <c r="BD1589" s="51"/>
      <c r="BE1589" s="51"/>
      <c r="BF1589" s="47"/>
      <c r="BG1589" s="47"/>
      <c r="BH1589" s="47"/>
      <c r="BI1589" s="47"/>
      <c r="BJ1589" s="47"/>
      <c r="BK1589" s="47"/>
      <c r="BL1589" s="47"/>
      <c r="BM1589" s="47"/>
      <c r="BN1589" s="47"/>
      <c r="BO1589" s="47"/>
      <c r="BP1589" s="47"/>
      <c r="BQ1589" s="47"/>
      <c r="BR1589" s="47"/>
      <c r="BS1589" s="47"/>
      <c r="BT1589" s="47"/>
    </row>
    <row r="1590">
      <c r="A1590" s="24"/>
      <c r="B1590" s="48"/>
      <c r="C1590" s="49"/>
      <c r="D1590" s="24"/>
      <c r="E1590" s="52"/>
      <c r="F1590" s="53"/>
      <c r="G1590" s="48"/>
      <c r="H1590" s="49"/>
      <c r="I1590" s="49"/>
      <c r="J1590" s="48"/>
      <c r="K1590" s="48"/>
      <c r="L1590" s="48"/>
      <c r="M1590" s="48"/>
      <c r="N1590" s="48"/>
      <c r="O1590" s="48"/>
      <c r="P1590" s="48"/>
      <c r="Q1590" s="48"/>
      <c r="R1590" s="48"/>
      <c r="S1590" s="48"/>
      <c r="T1590" s="48"/>
      <c r="U1590" s="48"/>
      <c r="V1590" s="48"/>
      <c r="W1590" s="49"/>
      <c r="X1590" s="49"/>
      <c r="Y1590" s="49"/>
      <c r="Z1590" s="49"/>
      <c r="AA1590" s="49"/>
      <c r="AB1590" s="49"/>
      <c r="AC1590" s="49"/>
      <c r="AD1590" s="49"/>
      <c r="AE1590" s="49"/>
      <c r="AF1590" s="49"/>
      <c r="AG1590" s="49"/>
      <c r="AH1590" s="49"/>
      <c r="AI1590" s="48"/>
      <c r="AJ1590" s="48"/>
      <c r="AK1590" s="24"/>
      <c r="AL1590" s="50"/>
      <c r="AM1590" s="50"/>
      <c r="AN1590" s="50"/>
      <c r="AO1590" s="50"/>
      <c r="AP1590" s="50"/>
      <c r="AQ1590" s="50"/>
      <c r="AR1590" s="50"/>
      <c r="AS1590" s="50"/>
      <c r="AT1590" s="51"/>
      <c r="AU1590" s="51"/>
      <c r="AV1590" s="51"/>
      <c r="AW1590" s="51"/>
      <c r="AX1590" s="50"/>
      <c r="AY1590" s="50"/>
      <c r="AZ1590" s="50"/>
      <c r="BA1590" s="50"/>
      <c r="BB1590" s="51"/>
      <c r="BC1590" s="51"/>
      <c r="BD1590" s="51"/>
      <c r="BE1590" s="51"/>
      <c r="BF1590" s="47"/>
      <c r="BG1590" s="47"/>
      <c r="BH1590" s="47"/>
      <c r="BI1590" s="47"/>
      <c r="BJ1590" s="47"/>
      <c r="BK1590" s="47"/>
      <c r="BL1590" s="47"/>
      <c r="BM1590" s="47"/>
      <c r="BN1590" s="47"/>
      <c r="BO1590" s="47"/>
      <c r="BP1590" s="47"/>
      <c r="BQ1590" s="47"/>
      <c r="BR1590" s="47"/>
      <c r="BS1590" s="47"/>
      <c r="BT1590" s="47"/>
    </row>
    <row r="1591">
      <c r="A1591" s="24"/>
      <c r="B1591" s="48"/>
      <c r="C1591" s="49"/>
      <c r="D1591" s="24"/>
      <c r="E1591" s="52"/>
      <c r="F1591" s="53"/>
      <c r="G1591" s="48"/>
      <c r="H1591" s="49"/>
      <c r="I1591" s="49"/>
      <c r="J1591" s="48"/>
      <c r="K1591" s="48"/>
      <c r="L1591" s="48"/>
      <c r="M1591" s="48"/>
      <c r="N1591" s="48"/>
      <c r="O1591" s="48"/>
      <c r="P1591" s="48"/>
      <c r="Q1591" s="48"/>
      <c r="R1591" s="48"/>
      <c r="S1591" s="48"/>
      <c r="T1591" s="48"/>
      <c r="U1591" s="48"/>
      <c r="V1591" s="48"/>
      <c r="W1591" s="49"/>
      <c r="X1591" s="49"/>
      <c r="Y1591" s="49"/>
      <c r="Z1591" s="49"/>
      <c r="AA1591" s="49"/>
      <c r="AB1591" s="49"/>
      <c r="AC1591" s="49"/>
      <c r="AD1591" s="49"/>
      <c r="AE1591" s="49"/>
      <c r="AF1591" s="49"/>
      <c r="AG1591" s="49"/>
      <c r="AH1591" s="49"/>
      <c r="AI1591" s="48"/>
      <c r="AJ1591" s="48"/>
      <c r="AK1591" s="24"/>
      <c r="AL1591" s="50"/>
      <c r="AM1591" s="50"/>
      <c r="AN1591" s="50"/>
      <c r="AO1591" s="50"/>
      <c r="AP1591" s="50"/>
      <c r="AQ1591" s="50"/>
      <c r="AR1591" s="50"/>
      <c r="AS1591" s="50"/>
      <c r="AT1591" s="51"/>
      <c r="AU1591" s="51"/>
      <c r="AV1591" s="51"/>
      <c r="AW1591" s="51"/>
      <c r="AX1591" s="50"/>
      <c r="AY1591" s="50"/>
      <c r="AZ1591" s="50"/>
      <c r="BA1591" s="50"/>
      <c r="BB1591" s="51"/>
      <c r="BC1591" s="51"/>
      <c r="BD1591" s="51"/>
      <c r="BE1591" s="51"/>
      <c r="BF1591" s="47"/>
      <c r="BG1591" s="47"/>
      <c r="BH1591" s="47"/>
      <c r="BI1591" s="47"/>
      <c r="BJ1591" s="47"/>
      <c r="BK1591" s="47"/>
      <c r="BL1591" s="47"/>
      <c r="BM1591" s="47"/>
      <c r="BN1591" s="47"/>
      <c r="BO1591" s="47"/>
      <c r="BP1591" s="47"/>
      <c r="BQ1591" s="47"/>
      <c r="BR1591" s="47"/>
      <c r="BS1591" s="47"/>
      <c r="BT1591" s="47"/>
    </row>
    <row r="1592">
      <c r="A1592" s="24"/>
      <c r="B1592" s="48"/>
      <c r="C1592" s="49"/>
      <c r="D1592" s="24"/>
      <c r="E1592" s="52"/>
      <c r="F1592" s="53"/>
      <c r="G1592" s="48"/>
      <c r="H1592" s="49"/>
      <c r="I1592" s="49"/>
      <c r="J1592" s="48"/>
      <c r="K1592" s="48"/>
      <c r="L1592" s="48"/>
      <c r="M1592" s="48"/>
      <c r="N1592" s="48"/>
      <c r="O1592" s="48"/>
      <c r="P1592" s="48"/>
      <c r="Q1592" s="48"/>
      <c r="R1592" s="48"/>
      <c r="S1592" s="48"/>
      <c r="T1592" s="48"/>
      <c r="U1592" s="48"/>
      <c r="V1592" s="48"/>
      <c r="W1592" s="49"/>
      <c r="X1592" s="49"/>
      <c r="Y1592" s="49"/>
      <c r="Z1592" s="49"/>
      <c r="AA1592" s="49"/>
      <c r="AB1592" s="49"/>
      <c r="AC1592" s="49"/>
      <c r="AD1592" s="49"/>
      <c r="AE1592" s="49"/>
      <c r="AF1592" s="49"/>
      <c r="AG1592" s="49"/>
      <c r="AH1592" s="49"/>
      <c r="AI1592" s="48"/>
      <c r="AJ1592" s="48"/>
      <c r="AK1592" s="24"/>
      <c r="AL1592" s="50"/>
      <c r="AM1592" s="50"/>
      <c r="AN1592" s="50"/>
      <c r="AO1592" s="50"/>
      <c r="AP1592" s="50"/>
      <c r="AQ1592" s="50"/>
      <c r="AR1592" s="50"/>
      <c r="AS1592" s="50"/>
      <c r="AT1592" s="51"/>
      <c r="AU1592" s="51"/>
      <c r="AV1592" s="51"/>
      <c r="AW1592" s="51"/>
      <c r="AX1592" s="50"/>
      <c r="AY1592" s="50"/>
      <c r="AZ1592" s="50"/>
      <c r="BA1592" s="50"/>
      <c r="BB1592" s="51"/>
      <c r="BC1592" s="51"/>
      <c r="BD1592" s="51"/>
      <c r="BE1592" s="51"/>
      <c r="BF1592" s="47"/>
      <c r="BG1592" s="47"/>
      <c r="BH1592" s="47"/>
      <c r="BI1592" s="47"/>
      <c r="BJ1592" s="47"/>
      <c r="BK1592" s="47"/>
      <c r="BL1592" s="47"/>
      <c r="BM1592" s="47"/>
      <c r="BN1592" s="47"/>
      <c r="BO1592" s="47"/>
      <c r="BP1592" s="47"/>
      <c r="BQ1592" s="47"/>
      <c r="BR1592" s="47"/>
      <c r="BS1592" s="47"/>
      <c r="BT1592" s="47"/>
    </row>
    <row r="1593">
      <c r="A1593" s="24"/>
      <c r="B1593" s="48"/>
      <c r="C1593" s="49"/>
      <c r="D1593" s="24"/>
      <c r="E1593" s="52"/>
      <c r="F1593" s="53"/>
      <c r="G1593" s="48"/>
      <c r="H1593" s="49"/>
      <c r="I1593" s="49"/>
      <c r="J1593" s="48"/>
      <c r="K1593" s="48"/>
      <c r="L1593" s="48"/>
      <c r="M1593" s="48"/>
      <c r="N1593" s="48"/>
      <c r="O1593" s="48"/>
      <c r="P1593" s="48"/>
      <c r="Q1593" s="48"/>
      <c r="R1593" s="48"/>
      <c r="S1593" s="48"/>
      <c r="T1593" s="48"/>
      <c r="U1593" s="48"/>
      <c r="V1593" s="48"/>
      <c r="W1593" s="49"/>
      <c r="X1593" s="49"/>
      <c r="Y1593" s="49"/>
      <c r="Z1593" s="49"/>
      <c r="AA1593" s="49"/>
      <c r="AB1593" s="49"/>
      <c r="AC1593" s="49"/>
      <c r="AD1593" s="49"/>
      <c r="AE1593" s="49"/>
      <c r="AF1593" s="49"/>
      <c r="AG1593" s="49"/>
      <c r="AH1593" s="49"/>
      <c r="AI1593" s="48"/>
      <c r="AJ1593" s="48"/>
      <c r="AK1593" s="24"/>
      <c r="AL1593" s="50"/>
      <c r="AM1593" s="50"/>
      <c r="AN1593" s="50"/>
      <c r="AO1593" s="50"/>
      <c r="AP1593" s="50"/>
      <c r="AQ1593" s="50"/>
      <c r="AR1593" s="50"/>
      <c r="AS1593" s="50"/>
      <c r="AT1593" s="51"/>
      <c r="AU1593" s="51"/>
      <c r="AV1593" s="51"/>
      <c r="AW1593" s="51"/>
      <c r="AX1593" s="50"/>
      <c r="AY1593" s="50"/>
      <c r="AZ1593" s="50"/>
      <c r="BA1593" s="50"/>
      <c r="BB1593" s="51"/>
      <c r="BC1593" s="51"/>
      <c r="BD1593" s="51"/>
      <c r="BE1593" s="51"/>
      <c r="BF1593" s="47"/>
      <c r="BG1593" s="47"/>
      <c r="BH1593" s="47"/>
      <c r="BI1593" s="47"/>
      <c r="BJ1593" s="47"/>
      <c r="BK1593" s="47"/>
      <c r="BL1593" s="47"/>
      <c r="BM1593" s="47"/>
      <c r="BN1593" s="47"/>
      <c r="BO1593" s="47"/>
      <c r="BP1593" s="47"/>
      <c r="BQ1593" s="47"/>
      <c r="BR1593" s="47"/>
      <c r="BS1593" s="47"/>
      <c r="BT1593" s="47"/>
    </row>
    <row r="1594">
      <c r="A1594" s="24"/>
      <c r="B1594" s="48"/>
      <c r="C1594" s="49"/>
      <c r="D1594" s="24"/>
      <c r="E1594" s="52"/>
      <c r="F1594" s="53"/>
      <c r="G1594" s="48"/>
      <c r="H1594" s="49"/>
      <c r="I1594" s="49"/>
      <c r="J1594" s="48"/>
      <c r="K1594" s="48"/>
      <c r="L1594" s="48"/>
      <c r="M1594" s="48"/>
      <c r="N1594" s="48"/>
      <c r="O1594" s="48"/>
      <c r="P1594" s="48"/>
      <c r="Q1594" s="48"/>
      <c r="R1594" s="48"/>
      <c r="S1594" s="48"/>
      <c r="T1594" s="48"/>
      <c r="U1594" s="48"/>
      <c r="V1594" s="48"/>
      <c r="W1594" s="49"/>
      <c r="X1594" s="49"/>
      <c r="Y1594" s="49"/>
      <c r="Z1594" s="49"/>
      <c r="AA1594" s="49"/>
      <c r="AB1594" s="49"/>
      <c r="AC1594" s="49"/>
      <c r="AD1594" s="49"/>
      <c r="AE1594" s="49"/>
      <c r="AF1594" s="49"/>
      <c r="AG1594" s="49"/>
      <c r="AH1594" s="49"/>
      <c r="AI1594" s="48"/>
      <c r="AJ1594" s="48"/>
      <c r="AK1594" s="24"/>
      <c r="AL1594" s="50"/>
      <c r="AM1594" s="50"/>
      <c r="AN1594" s="50"/>
      <c r="AO1594" s="50"/>
      <c r="AP1594" s="50"/>
      <c r="AQ1594" s="50"/>
      <c r="AR1594" s="50"/>
      <c r="AS1594" s="50"/>
      <c r="AT1594" s="51"/>
      <c r="AU1594" s="51"/>
      <c r="AV1594" s="51"/>
      <c r="AW1594" s="51"/>
      <c r="AX1594" s="50"/>
      <c r="AY1594" s="50"/>
      <c r="AZ1594" s="50"/>
      <c r="BA1594" s="50"/>
      <c r="BB1594" s="51"/>
      <c r="BC1594" s="51"/>
      <c r="BD1594" s="51"/>
      <c r="BE1594" s="51"/>
      <c r="BF1594" s="47"/>
      <c r="BG1594" s="47"/>
      <c r="BH1594" s="47"/>
      <c r="BI1594" s="47"/>
      <c r="BJ1594" s="47"/>
      <c r="BK1594" s="47"/>
      <c r="BL1594" s="47"/>
      <c r="BM1594" s="47"/>
      <c r="BN1594" s="47"/>
      <c r="BO1594" s="47"/>
      <c r="BP1594" s="47"/>
      <c r="BQ1594" s="47"/>
      <c r="BR1594" s="47"/>
      <c r="BS1594" s="47"/>
      <c r="BT1594" s="47"/>
    </row>
    <row r="1595">
      <c r="A1595" s="24"/>
      <c r="B1595" s="48"/>
      <c r="C1595" s="49"/>
      <c r="D1595" s="24"/>
      <c r="E1595" s="52"/>
      <c r="F1595" s="53"/>
      <c r="G1595" s="48"/>
      <c r="H1595" s="49"/>
      <c r="I1595" s="49"/>
      <c r="J1595" s="48"/>
      <c r="K1595" s="48"/>
      <c r="L1595" s="48"/>
      <c r="M1595" s="48"/>
      <c r="N1595" s="48"/>
      <c r="O1595" s="48"/>
      <c r="P1595" s="48"/>
      <c r="Q1595" s="48"/>
      <c r="R1595" s="48"/>
      <c r="S1595" s="48"/>
      <c r="T1595" s="48"/>
      <c r="U1595" s="48"/>
      <c r="V1595" s="48"/>
      <c r="W1595" s="49"/>
      <c r="X1595" s="49"/>
      <c r="Y1595" s="49"/>
      <c r="Z1595" s="49"/>
      <c r="AA1595" s="49"/>
      <c r="AB1595" s="49"/>
      <c r="AC1595" s="49"/>
      <c r="AD1595" s="49"/>
      <c r="AE1595" s="49"/>
      <c r="AF1595" s="49"/>
      <c r="AG1595" s="49"/>
      <c r="AH1595" s="49"/>
      <c r="AI1595" s="48"/>
      <c r="AJ1595" s="48"/>
      <c r="AK1595" s="24"/>
      <c r="AL1595" s="50"/>
      <c r="AM1595" s="50"/>
      <c r="AN1595" s="50"/>
      <c r="AO1595" s="50"/>
      <c r="AP1595" s="50"/>
      <c r="AQ1595" s="50"/>
      <c r="AR1595" s="50"/>
      <c r="AS1595" s="50"/>
      <c r="AT1595" s="51"/>
      <c r="AU1595" s="51"/>
      <c r="AV1595" s="51"/>
      <c r="AW1595" s="51"/>
      <c r="AX1595" s="50"/>
      <c r="AY1595" s="50"/>
      <c r="AZ1595" s="50"/>
      <c r="BA1595" s="50"/>
      <c r="BB1595" s="51"/>
      <c r="BC1595" s="51"/>
      <c r="BD1595" s="51"/>
      <c r="BE1595" s="51"/>
      <c r="BF1595" s="47"/>
      <c r="BG1595" s="47"/>
      <c r="BH1595" s="47"/>
      <c r="BI1595" s="47"/>
      <c r="BJ1595" s="47"/>
      <c r="BK1595" s="47"/>
      <c r="BL1595" s="47"/>
      <c r="BM1595" s="47"/>
      <c r="BN1595" s="47"/>
      <c r="BO1595" s="47"/>
      <c r="BP1595" s="47"/>
      <c r="BQ1595" s="47"/>
      <c r="BR1595" s="47"/>
      <c r="BS1595" s="47"/>
      <c r="BT1595" s="47"/>
    </row>
    <row r="1596">
      <c r="A1596" s="24"/>
      <c r="B1596" s="48"/>
      <c r="C1596" s="49"/>
      <c r="D1596" s="24"/>
      <c r="E1596" s="52"/>
      <c r="F1596" s="53"/>
      <c r="G1596" s="48"/>
      <c r="H1596" s="49"/>
      <c r="I1596" s="49"/>
      <c r="J1596" s="48"/>
      <c r="K1596" s="48"/>
      <c r="L1596" s="48"/>
      <c r="M1596" s="48"/>
      <c r="N1596" s="48"/>
      <c r="O1596" s="48"/>
      <c r="P1596" s="48"/>
      <c r="Q1596" s="48"/>
      <c r="R1596" s="48"/>
      <c r="S1596" s="48"/>
      <c r="T1596" s="48"/>
      <c r="U1596" s="48"/>
      <c r="V1596" s="48"/>
      <c r="W1596" s="49"/>
      <c r="X1596" s="49"/>
      <c r="Y1596" s="49"/>
      <c r="Z1596" s="49"/>
      <c r="AA1596" s="49"/>
      <c r="AB1596" s="49"/>
      <c r="AC1596" s="49"/>
      <c r="AD1596" s="49"/>
      <c r="AE1596" s="49"/>
      <c r="AF1596" s="49"/>
      <c r="AG1596" s="49"/>
      <c r="AH1596" s="49"/>
      <c r="AI1596" s="48"/>
      <c r="AJ1596" s="48"/>
      <c r="AK1596" s="24"/>
      <c r="AL1596" s="50"/>
      <c r="AM1596" s="50"/>
      <c r="AN1596" s="50"/>
      <c r="AO1596" s="50"/>
      <c r="AP1596" s="50"/>
      <c r="AQ1596" s="50"/>
      <c r="AR1596" s="50"/>
      <c r="AS1596" s="50"/>
      <c r="AT1596" s="51"/>
      <c r="AU1596" s="51"/>
      <c r="AV1596" s="51"/>
      <c r="AW1596" s="51"/>
      <c r="AX1596" s="50"/>
      <c r="AY1596" s="50"/>
      <c r="AZ1596" s="50"/>
      <c r="BA1596" s="50"/>
      <c r="BB1596" s="51"/>
      <c r="BC1596" s="51"/>
      <c r="BD1596" s="51"/>
      <c r="BE1596" s="51"/>
      <c r="BF1596" s="47"/>
      <c r="BG1596" s="47"/>
      <c r="BH1596" s="47"/>
      <c r="BI1596" s="47"/>
      <c r="BJ1596" s="47"/>
      <c r="BK1596" s="47"/>
      <c r="BL1596" s="47"/>
      <c r="BM1596" s="47"/>
      <c r="BN1596" s="47"/>
      <c r="BO1596" s="47"/>
      <c r="BP1596" s="47"/>
      <c r="BQ1596" s="47"/>
      <c r="BR1596" s="47"/>
      <c r="BS1596" s="47"/>
      <c r="BT1596" s="47"/>
    </row>
    <row r="1597">
      <c r="A1597" s="24"/>
      <c r="B1597" s="48"/>
      <c r="C1597" s="49"/>
      <c r="D1597" s="24"/>
      <c r="E1597" s="52"/>
      <c r="F1597" s="53"/>
      <c r="G1597" s="48"/>
      <c r="H1597" s="49"/>
      <c r="I1597" s="49"/>
      <c r="J1597" s="48"/>
      <c r="K1597" s="48"/>
      <c r="L1597" s="48"/>
      <c r="M1597" s="48"/>
      <c r="N1597" s="48"/>
      <c r="O1597" s="48"/>
      <c r="P1597" s="48"/>
      <c r="Q1597" s="48"/>
      <c r="R1597" s="48"/>
      <c r="S1597" s="48"/>
      <c r="T1597" s="48"/>
      <c r="U1597" s="48"/>
      <c r="V1597" s="48"/>
      <c r="W1597" s="49"/>
      <c r="X1597" s="49"/>
      <c r="Y1597" s="49"/>
      <c r="Z1597" s="49"/>
      <c r="AA1597" s="49"/>
      <c r="AB1597" s="49"/>
      <c r="AC1597" s="49"/>
      <c r="AD1597" s="49"/>
      <c r="AE1597" s="49"/>
      <c r="AF1597" s="49"/>
      <c r="AG1597" s="49"/>
      <c r="AH1597" s="49"/>
      <c r="AI1597" s="48"/>
      <c r="AJ1597" s="48"/>
      <c r="AK1597" s="24"/>
      <c r="AL1597" s="50"/>
      <c r="AM1597" s="50"/>
      <c r="AN1597" s="50"/>
      <c r="AO1597" s="50"/>
      <c r="AP1597" s="50"/>
      <c r="AQ1597" s="50"/>
      <c r="AR1597" s="50"/>
      <c r="AS1597" s="50"/>
      <c r="AT1597" s="51"/>
      <c r="AU1597" s="51"/>
      <c r="AV1597" s="51"/>
      <c r="AW1597" s="51"/>
      <c r="AX1597" s="50"/>
      <c r="AY1597" s="50"/>
      <c r="AZ1597" s="50"/>
      <c r="BA1597" s="50"/>
      <c r="BB1597" s="51"/>
      <c r="BC1597" s="51"/>
      <c r="BD1597" s="51"/>
      <c r="BE1597" s="51"/>
      <c r="BF1597" s="47"/>
      <c r="BG1597" s="47"/>
      <c r="BH1597" s="47"/>
      <c r="BI1597" s="47"/>
      <c r="BJ1597" s="47"/>
      <c r="BK1597" s="47"/>
      <c r="BL1597" s="47"/>
      <c r="BM1597" s="47"/>
      <c r="BN1597" s="47"/>
      <c r="BO1597" s="47"/>
      <c r="BP1597" s="47"/>
      <c r="BQ1597" s="47"/>
      <c r="BR1597" s="47"/>
      <c r="BS1597" s="47"/>
      <c r="BT1597" s="47"/>
    </row>
    <row r="1598">
      <c r="A1598" s="24"/>
      <c r="B1598" s="48"/>
      <c r="C1598" s="49"/>
      <c r="D1598" s="24"/>
      <c r="E1598" s="52"/>
      <c r="F1598" s="53"/>
      <c r="G1598" s="48"/>
      <c r="H1598" s="49"/>
      <c r="I1598" s="49"/>
      <c r="J1598" s="48"/>
      <c r="K1598" s="48"/>
      <c r="L1598" s="48"/>
      <c r="M1598" s="48"/>
      <c r="N1598" s="48"/>
      <c r="O1598" s="48"/>
      <c r="P1598" s="48"/>
      <c r="Q1598" s="48"/>
      <c r="R1598" s="48"/>
      <c r="S1598" s="48"/>
      <c r="T1598" s="48"/>
      <c r="U1598" s="48"/>
      <c r="V1598" s="48"/>
      <c r="W1598" s="49"/>
      <c r="X1598" s="49"/>
      <c r="Y1598" s="49"/>
      <c r="Z1598" s="49"/>
      <c r="AA1598" s="49"/>
      <c r="AB1598" s="49"/>
      <c r="AC1598" s="49"/>
      <c r="AD1598" s="49"/>
      <c r="AE1598" s="49"/>
      <c r="AF1598" s="49"/>
      <c r="AG1598" s="49"/>
      <c r="AH1598" s="49"/>
      <c r="AI1598" s="48"/>
      <c r="AJ1598" s="48"/>
      <c r="AK1598" s="24"/>
      <c r="AL1598" s="50"/>
      <c r="AM1598" s="50"/>
      <c r="AN1598" s="50"/>
      <c r="AO1598" s="50"/>
      <c r="AP1598" s="50"/>
      <c r="AQ1598" s="50"/>
      <c r="AR1598" s="50"/>
      <c r="AS1598" s="50"/>
      <c r="AT1598" s="51"/>
      <c r="AU1598" s="51"/>
      <c r="AV1598" s="51"/>
      <c r="AW1598" s="51"/>
      <c r="AX1598" s="50"/>
      <c r="AY1598" s="50"/>
      <c r="AZ1598" s="50"/>
      <c r="BA1598" s="50"/>
      <c r="BB1598" s="51"/>
      <c r="BC1598" s="51"/>
      <c r="BD1598" s="51"/>
      <c r="BE1598" s="51"/>
      <c r="BF1598" s="47"/>
      <c r="BG1598" s="47"/>
      <c r="BH1598" s="47"/>
      <c r="BI1598" s="47"/>
      <c r="BJ1598" s="47"/>
      <c r="BK1598" s="47"/>
      <c r="BL1598" s="47"/>
      <c r="BM1598" s="47"/>
      <c r="BN1598" s="47"/>
      <c r="BO1598" s="47"/>
      <c r="BP1598" s="47"/>
      <c r="BQ1598" s="47"/>
      <c r="BR1598" s="47"/>
      <c r="BS1598" s="47"/>
      <c r="BT1598" s="47"/>
    </row>
    <row r="1599">
      <c r="A1599" s="24"/>
      <c r="B1599" s="48"/>
      <c r="C1599" s="49"/>
      <c r="D1599" s="24"/>
      <c r="E1599" s="52"/>
      <c r="F1599" s="53"/>
      <c r="G1599" s="48"/>
      <c r="H1599" s="49"/>
      <c r="I1599" s="49"/>
      <c r="J1599" s="48"/>
      <c r="K1599" s="48"/>
      <c r="L1599" s="48"/>
      <c r="M1599" s="48"/>
      <c r="N1599" s="48"/>
      <c r="O1599" s="48"/>
      <c r="P1599" s="48"/>
      <c r="Q1599" s="48"/>
      <c r="R1599" s="48"/>
      <c r="S1599" s="48"/>
      <c r="T1599" s="48"/>
      <c r="U1599" s="48"/>
      <c r="V1599" s="48"/>
      <c r="W1599" s="49"/>
      <c r="X1599" s="49"/>
      <c r="Y1599" s="49"/>
      <c r="Z1599" s="49"/>
      <c r="AA1599" s="49"/>
      <c r="AB1599" s="49"/>
      <c r="AC1599" s="49"/>
      <c r="AD1599" s="49"/>
      <c r="AE1599" s="49"/>
      <c r="AF1599" s="49"/>
      <c r="AG1599" s="49"/>
      <c r="AH1599" s="49"/>
      <c r="AI1599" s="48"/>
      <c r="AJ1599" s="48"/>
      <c r="AK1599" s="24"/>
      <c r="AL1599" s="50"/>
      <c r="AM1599" s="50"/>
      <c r="AN1599" s="50"/>
      <c r="AO1599" s="50"/>
      <c r="AP1599" s="50"/>
      <c r="AQ1599" s="50"/>
      <c r="AR1599" s="50"/>
      <c r="AS1599" s="50"/>
      <c r="AT1599" s="51"/>
      <c r="AU1599" s="51"/>
      <c r="AV1599" s="51"/>
      <c r="AW1599" s="51"/>
      <c r="AX1599" s="50"/>
      <c r="AY1599" s="50"/>
      <c r="AZ1599" s="50"/>
      <c r="BA1599" s="50"/>
      <c r="BB1599" s="51"/>
      <c r="BC1599" s="51"/>
      <c r="BD1599" s="51"/>
      <c r="BE1599" s="51"/>
      <c r="BF1599" s="47"/>
      <c r="BG1599" s="47"/>
      <c r="BH1599" s="47"/>
      <c r="BI1599" s="47"/>
      <c r="BJ1599" s="47"/>
      <c r="BK1599" s="47"/>
      <c r="BL1599" s="47"/>
      <c r="BM1599" s="47"/>
      <c r="BN1599" s="47"/>
      <c r="BO1599" s="47"/>
      <c r="BP1599" s="47"/>
      <c r="BQ1599" s="47"/>
      <c r="BR1599" s="47"/>
      <c r="BS1599" s="47"/>
      <c r="BT1599" s="47"/>
    </row>
    <row r="1600">
      <c r="A1600" s="24"/>
      <c r="B1600" s="48"/>
      <c r="C1600" s="49"/>
      <c r="D1600" s="24"/>
      <c r="E1600" s="52"/>
      <c r="F1600" s="53"/>
      <c r="G1600" s="48"/>
      <c r="H1600" s="49"/>
      <c r="I1600" s="49"/>
      <c r="J1600" s="48"/>
      <c r="K1600" s="48"/>
      <c r="L1600" s="48"/>
      <c r="M1600" s="48"/>
      <c r="N1600" s="48"/>
      <c r="O1600" s="48"/>
      <c r="P1600" s="48"/>
      <c r="Q1600" s="48"/>
      <c r="R1600" s="48"/>
      <c r="S1600" s="48"/>
      <c r="T1600" s="48"/>
      <c r="U1600" s="48"/>
      <c r="V1600" s="48"/>
      <c r="W1600" s="49"/>
      <c r="X1600" s="49"/>
      <c r="Y1600" s="49"/>
      <c r="Z1600" s="49"/>
      <c r="AA1600" s="49"/>
      <c r="AB1600" s="49"/>
      <c r="AC1600" s="49"/>
      <c r="AD1600" s="49"/>
      <c r="AE1600" s="49"/>
      <c r="AF1600" s="49"/>
      <c r="AG1600" s="49"/>
      <c r="AH1600" s="49"/>
      <c r="AI1600" s="48"/>
      <c r="AJ1600" s="48"/>
      <c r="AK1600" s="24"/>
      <c r="AL1600" s="50"/>
      <c r="AM1600" s="50"/>
      <c r="AN1600" s="50"/>
      <c r="AO1600" s="50"/>
      <c r="AP1600" s="50"/>
      <c r="AQ1600" s="50"/>
      <c r="AR1600" s="50"/>
      <c r="AS1600" s="50"/>
      <c r="AT1600" s="51"/>
      <c r="AU1600" s="51"/>
      <c r="AV1600" s="51"/>
      <c r="AW1600" s="51"/>
      <c r="AX1600" s="50"/>
      <c r="AY1600" s="50"/>
      <c r="AZ1600" s="50"/>
      <c r="BA1600" s="50"/>
      <c r="BB1600" s="51"/>
      <c r="BC1600" s="51"/>
      <c r="BD1600" s="51"/>
      <c r="BE1600" s="51"/>
      <c r="BF1600" s="47"/>
      <c r="BG1600" s="47"/>
      <c r="BH1600" s="47"/>
      <c r="BI1600" s="47"/>
      <c r="BJ1600" s="47"/>
      <c r="BK1600" s="47"/>
      <c r="BL1600" s="47"/>
      <c r="BM1600" s="47"/>
      <c r="BN1600" s="47"/>
      <c r="BO1600" s="47"/>
      <c r="BP1600" s="47"/>
      <c r="BQ1600" s="47"/>
      <c r="BR1600" s="47"/>
      <c r="BS1600" s="47"/>
      <c r="BT1600" s="47"/>
    </row>
    <row r="1601">
      <c r="A1601" s="24"/>
      <c r="B1601" s="48"/>
      <c r="C1601" s="49"/>
      <c r="D1601" s="24"/>
      <c r="E1601" s="52"/>
      <c r="F1601" s="53"/>
      <c r="G1601" s="48"/>
      <c r="H1601" s="49"/>
      <c r="I1601" s="49"/>
      <c r="J1601" s="48"/>
      <c r="K1601" s="48"/>
      <c r="L1601" s="48"/>
      <c r="M1601" s="48"/>
      <c r="N1601" s="48"/>
      <c r="O1601" s="48"/>
      <c r="P1601" s="48"/>
      <c r="Q1601" s="48"/>
      <c r="R1601" s="48"/>
      <c r="S1601" s="48"/>
      <c r="T1601" s="48"/>
      <c r="U1601" s="48"/>
      <c r="V1601" s="48"/>
      <c r="W1601" s="49"/>
      <c r="X1601" s="49"/>
      <c r="Y1601" s="49"/>
      <c r="Z1601" s="49"/>
      <c r="AA1601" s="49"/>
      <c r="AB1601" s="49"/>
      <c r="AC1601" s="49"/>
      <c r="AD1601" s="49"/>
      <c r="AE1601" s="49"/>
      <c r="AF1601" s="49"/>
      <c r="AG1601" s="49"/>
      <c r="AH1601" s="49"/>
      <c r="AI1601" s="48"/>
      <c r="AJ1601" s="48"/>
      <c r="AK1601" s="24"/>
      <c r="AL1601" s="50"/>
      <c r="AM1601" s="50"/>
      <c r="AN1601" s="50"/>
      <c r="AO1601" s="50"/>
      <c r="AP1601" s="50"/>
      <c r="AQ1601" s="50"/>
      <c r="AR1601" s="50"/>
      <c r="AS1601" s="50"/>
      <c r="AT1601" s="51"/>
      <c r="AU1601" s="51"/>
      <c r="AV1601" s="51"/>
      <c r="AW1601" s="51"/>
      <c r="AX1601" s="50"/>
      <c r="AY1601" s="50"/>
      <c r="AZ1601" s="50"/>
      <c r="BA1601" s="50"/>
      <c r="BB1601" s="51"/>
      <c r="BC1601" s="51"/>
      <c r="BD1601" s="51"/>
      <c r="BE1601" s="51"/>
      <c r="BF1601" s="47"/>
      <c r="BG1601" s="47"/>
      <c r="BH1601" s="47"/>
      <c r="BI1601" s="47"/>
      <c r="BJ1601" s="47"/>
      <c r="BK1601" s="47"/>
      <c r="BL1601" s="47"/>
      <c r="BM1601" s="47"/>
      <c r="BN1601" s="47"/>
      <c r="BO1601" s="47"/>
      <c r="BP1601" s="47"/>
      <c r="BQ1601" s="47"/>
      <c r="BR1601" s="47"/>
      <c r="BS1601" s="47"/>
      <c r="BT1601" s="47"/>
    </row>
    <row r="1602">
      <c r="A1602" s="24"/>
      <c r="B1602" s="48"/>
      <c r="C1602" s="49"/>
      <c r="D1602" s="24"/>
      <c r="E1602" s="52"/>
      <c r="F1602" s="53"/>
      <c r="G1602" s="48"/>
      <c r="H1602" s="49"/>
      <c r="I1602" s="49"/>
      <c r="J1602" s="48"/>
      <c r="K1602" s="48"/>
      <c r="L1602" s="48"/>
      <c r="M1602" s="48"/>
      <c r="N1602" s="48"/>
      <c r="O1602" s="48"/>
      <c r="P1602" s="48"/>
      <c r="Q1602" s="48"/>
      <c r="R1602" s="48"/>
      <c r="S1602" s="48"/>
      <c r="T1602" s="48"/>
      <c r="U1602" s="48"/>
      <c r="V1602" s="48"/>
      <c r="W1602" s="49"/>
      <c r="X1602" s="49"/>
      <c r="Y1602" s="49"/>
      <c r="Z1602" s="49"/>
      <c r="AA1602" s="49"/>
      <c r="AB1602" s="49"/>
      <c r="AC1602" s="49"/>
      <c r="AD1602" s="49"/>
      <c r="AE1602" s="49"/>
      <c r="AF1602" s="49"/>
      <c r="AG1602" s="49"/>
      <c r="AH1602" s="49"/>
      <c r="AI1602" s="48"/>
      <c r="AJ1602" s="48"/>
      <c r="AK1602" s="24"/>
      <c r="AL1602" s="50"/>
      <c r="AM1602" s="50"/>
      <c r="AN1602" s="50"/>
      <c r="AO1602" s="50"/>
      <c r="AP1602" s="50"/>
      <c r="AQ1602" s="50"/>
      <c r="AR1602" s="50"/>
      <c r="AS1602" s="50"/>
      <c r="AT1602" s="51"/>
      <c r="AU1602" s="51"/>
      <c r="AV1602" s="51"/>
      <c r="AW1602" s="51"/>
      <c r="AX1602" s="50"/>
      <c r="AY1602" s="50"/>
      <c r="AZ1602" s="50"/>
      <c r="BA1602" s="50"/>
      <c r="BB1602" s="51"/>
      <c r="BC1602" s="51"/>
      <c r="BD1602" s="51"/>
      <c r="BE1602" s="51"/>
      <c r="BF1602" s="47"/>
      <c r="BG1602" s="47"/>
      <c r="BH1602" s="47"/>
      <c r="BI1602" s="47"/>
      <c r="BJ1602" s="47"/>
      <c r="BK1602" s="47"/>
      <c r="BL1602" s="47"/>
      <c r="BM1602" s="47"/>
      <c r="BN1602" s="47"/>
      <c r="BO1602" s="47"/>
      <c r="BP1602" s="47"/>
      <c r="BQ1602" s="47"/>
      <c r="BR1602" s="47"/>
      <c r="BS1602" s="47"/>
      <c r="BT1602" s="47"/>
    </row>
    <row r="1603">
      <c r="A1603" s="24"/>
      <c r="B1603" s="48"/>
      <c r="C1603" s="49"/>
      <c r="D1603" s="24"/>
      <c r="E1603" s="52"/>
      <c r="F1603" s="53"/>
      <c r="G1603" s="48"/>
      <c r="H1603" s="49"/>
      <c r="I1603" s="49"/>
      <c r="J1603" s="48"/>
      <c r="K1603" s="48"/>
      <c r="L1603" s="48"/>
      <c r="M1603" s="48"/>
      <c r="N1603" s="48"/>
      <c r="O1603" s="48"/>
      <c r="P1603" s="48"/>
      <c r="Q1603" s="48"/>
      <c r="R1603" s="48"/>
      <c r="S1603" s="48"/>
      <c r="T1603" s="48"/>
      <c r="U1603" s="48"/>
      <c r="V1603" s="48"/>
      <c r="W1603" s="49"/>
      <c r="X1603" s="49"/>
      <c r="Y1603" s="49"/>
      <c r="Z1603" s="49"/>
      <c r="AA1603" s="49"/>
      <c r="AB1603" s="49"/>
      <c r="AC1603" s="49"/>
      <c r="AD1603" s="49"/>
      <c r="AE1603" s="49"/>
      <c r="AF1603" s="49"/>
      <c r="AG1603" s="49"/>
      <c r="AH1603" s="49"/>
      <c r="AI1603" s="48"/>
      <c r="AJ1603" s="48"/>
      <c r="AK1603" s="24"/>
      <c r="AL1603" s="50"/>
      <c r="AM1603" s="50"/>
      <c r="AN1603" s="50"/>
      <c r="AO1603" s="50"/>
      <c r="AP1603" s="50"/>
      <c r="AQ1603" s="50"/>
      <c r="AR1603" s="50"/>
      <c r="AS1603" s="50"/>
      <c r="AT1603" s="51"/>
      <c r="AU1603" s="51"/>
      <c r="AV1603" s="51"/>
      <c r="AW1603" s="51"/>
      <c r="AX1603" s="50"/>
      <c r="AY1603" s="50"/>
      <c r="AZ1603" s="50"/>
      <c r="BA1603" s="50"/>
      <c r="BB1603" s="51"/>
      <c r="BC1603" s="51"/>
      <c r="BD1603" s="51"/>
      <c r="BE1603" s="51"/>
      <c r="BF1603" s="47"/>
      <c r="BG1603" s="47"/>
      <c r="BH1603" s="47"/>
      <c r="BI1603" s="47"/>
      <c r="BJ1603" s="47"/>
      <c r="BK1603" s="47"/>
      <c r="BL1603" s="47"/>
      <c r="BM1603" s="47"/>
      <c r="BN1603" s="47"/>
      <c r="BO1603" s="47"/>
      <c r="BP1603" s="47"/>
      <c r="BQ1603" s="47"/>
      <c r="BR1603" s="47"/>
      <c r="BS1603" s="47"/>
      <c r="BT1603" s="47"/>
    </row>
    <row r="1604">
      <c r="A1604" s="24"/>
      <c r="B1604" s="48"/>
      <c r="C1604" s="49"/>
      <c r="D1604" s="24"/>
      <c r="E1604" s="52"/>
      <c r="F1604" s="53"/>
      <c r="G1604" s="48"/>
      <c r="H1604" s="49"/>
      <c r="I1604" s="49"/>
      <c r="J1604" s="48"/>
      <c r="K1604" s="48"/>
      <c r="L1604" s="48"/>
      <c r="M1604" s="48"/>
      <c r="N1604" s="48"/>
      <c r="O1604" s="48"/>
      <c r="P1604" s="48"/>
      <c r="Q1604" s="48"/>
      <c r="R1604" s="48"/>
      <c r="S1604" s="48"/>
      <c r="T1604" s="48"/>
      <c r="U1604" s="48"/>
      <c r="V1604" s="48"/>
      <c r="W1604" s="49"/>
      <c r="X1604" s="49"/>
      <c r="Y1604" s="49"/>
      <c r="Z1604" s="49"/>
      <c r="AA1604" s="49"/>
      <c r="AB1604" s="49"/>
      <c r="AC1604" s="49"/>
      <c r="AD1604" s="49"/>
      <c r="AE1604" s="49"/>
      <c r="AF1604" s="49"/>
      <c r="AG1604" s="49"/>
      <c r="AH1604" s="49"/>
      <c r="AI1604" s="48"/>
      <c r="AJ1604" s="48"/>
      <c r="AK1604" s="24"/>
      <c r="AL1604" s="50"/>
      <c r="AM1604" s="50"/>
      <c r="AN1604" s="50"/>
      <c r="AO1604" s="50"/>
      <c r="AP1604" s="50"/>
      <c r="AQ1604" s="50"/>
      <c r="AR1604" s="50"/>
      <c r="AS1604" s="50"/>
      <c r="AT1604" s="51"/>
      <c r="AU1604" s="51"/>
      <c r="AV1604" s="51"/>
      <c r="AW1604" s="51"/>
      <c r="AX1604" s="50"/>
      <c r="AY1604" s="50"/>
      <c r="AZ1604" s="50"/>
      <c r="BA1604" s="50"/>
      <c r="BB1604" s="51"/>
      <c r="BC1604" s="51"/>
      <c r="BD1604" s="51"/>
      <c r="BE1604" s="51"/>
      <c r="BF1604" s="47"/>
      <c r="BG1604" s="47"/>
      <c r="BH1604" s="47"/>
      <c r="BI1604" s="47"/>
      <c r="BJ1604" s="47"/>
      <c r="BK1604" s="47"/>
      <c r="BL1604" s="47"/>
      <c r="BM1604" s="47"/>
      <c r="BN1604" s="47"/>
      <c r="BO1604" s="47"/>
      <c r="BP1604" s="47"/>
      <c r="BQ1604" s="47"/>
      <c r="BR1604" s="47"/>
      <c r="BS1604" s="47"/>
      <c r="BT1604" s="47"/>
    </row>
    <row r="1605">
      <c r="A1605" s="24"/>
      <c r="B1605" s="48"/>
      <c r="C1605" s="49"/>
      <c r="D1605" s="24"/>
      <c r="E1605" s="52"/>
      <c r="F1605" s="53"/>
      <c r="G1605" s="48"/>
      <c r="H1605" s="49"/>
      <c r="I1605" s="49"/>
      <c r="J1605" s="48"/>
      <c r="K1605" s="48"/>
      <c r="L1605" s="48"/>
      <c r="M1605" s="48"/>
      <c r="N1605" s="48"/>
      <c r="O1605" s="48"/>
      <c r="P1605" s="48"/>
      <c r="Q1605" s="48"/>
      <c r="R1605" s="48"/>
      <c r="S1605" s="48"/>
      <c r="T1605" s="48"/>
      <c r="U1605" s="48"/>
      <c r="V1605" s="48"/>
      <c r="W1605" s="49"/>
      <c r="X1605" s="49"/>
      <c r="Y1605" s="49"/>
      <c r="Z1605" s="49"/>
      <c r="AA1605" s="49"/>
      <c r="AB1605" s="49"/>
      <c r="AC1605" s="49"/>
      <c r="AD1605" s="49"/>
      <c r="AE1605" s="49"/>
      <c r="AF1605" s="49"/>
      <c r="AG1605" s="49"/>
      <c r="AH1605" s="49"/>
      <c r="AI1605" s="48"/>
      <c r="AJ1605" s="48"/>
      <c r="AK1605" s="24"/>
      <c r="AL1605" s="50"/>
      <c r="AM1605" s="50"/>
      <c r="AN1605" s="50"/>
      <c r="AO1605" s="50"/>
      <c r="AP1605" s="50"/>
      <c r="AQ1605" s="50"/>
      <c r="AR1605" s="50"/>
      <c r="AS1605" s="50"/>
      <c r="AT1605" s="51"/>
      <c r="AU1605" s="51"/>
      <c r="AV1605" s="51"/>
      <c r="AW1605" s="51"/>
      <c r="AX1605" s="50"/>
      <c r="AY1605" s="50"/>
      <c r="AZ1605" s="50"/>
      <c r="BA1605" s="50"/>
      <c r="BB1605" s="51"/>
      <c r="BC1605" s="51"/>
      <c r="BD1605" s="51"/>
      <c r="BE1605" s="51"/>
      <c r="BF1605" s="47"/>
      <c r="BG1605" s="47"/>
      <c r="BH1605" s="47"/>
      <c r="BI1605" s="47"/>
      <c r="BJ1605" s="47"/>
      <c r="BK1605" s="47"/>
      <c r="BL1605" s="47"/>
      <c r="BM1605" s="47"/>
      <c r="BN1605" s="47"/>
      <c r="BO1605" s="47"/>
      <c r="BP1605" s="47"/>
      <c r="BQ1605" s="47"/>
      <c r="BR1605" s="47"/>
      <c r="BS1605" s="47"/>
      <c r="BT1605" s="47"/>
    </row>
    <row r="1606">
      <c r="A1606" s="24"/>
      <c r="B1606" s="48"/>
      <c r="C1606" s="49"/>
      <c r="D1606" s="24"/>
      <c r="E1606" s="52"/>
      <c r="F1606" s="53"/>
      <c r="G1606" s="48"/>
      <c r="H1606" s="49"/>
      <c r="I1606" s="49"/>
      <c r="J1606" s="48"/>
      <c r="K1606" s="48"/>
      <c r="L1606" s="48"/>
      <c r="M1606" s="48"/>
      <c r="N1606" s="48"/>
      <c r="O1606" s="48"/>
      <c r="P1606" s="48"/>
      <c r="Q1606" s="48"/>
      <c r="R1606" s="48"/>
      <c r="S1606" s="48"/>
      <c r="T1606" s="48"/>
      <c r="U1606" s="48"/>
      <c r="V1606" s="48"/>
      <c r="W1606" s="49"/>
      <c r="X1606" s="49"/>
      <c r="Y1606" s="49"/>
      <c r="Z1606" s="49"/>
      <c r="AA1606" s="49"/>
      <c r="AB1606" s="49"/>
      <c r="AC1606" s="49"/>
      <c r="AD1606" s="49"/>
      <c r="AE1606" s="49"/>
      <c r="AF1606" s="49"/>
      <c r="AG1606" s="49"/>
      <c r="AH1606" s="49"/>
      <c r="AI1606" s="48"/>
      <c r="AJ1606" s="48"/>
      <c r="AK1606" s="24"/>
      <c r="AL1606" s="50"/>
      <c r="AM1606" s="50"/>
      <c r="AN1606" s="50"/>
      <c r="AO1606" s="50"/>
      <c r="AP1606" s="50"/>
      <c r="AQ1606" s="50"/>
      <c r="AR1606" s="50"/>
      <c r="AS1606" s="50"/>
      <c r="AT1606" s="51"/>
      <c r="AU1606" s="51"/>
      <c r="AV1606" s="51"/>
      <c r="AW1606" s="51"/>
      <c r="AX1606" s="50"/>
      <c r="AY1606" s="50"/>
      <c r="AZ1606" s="50"/>
      <c r="BA1606" s="50"/>
      <c r="BB1606" s="51"/>
      <c r="BC1606" s="51"/>
      <c r="BD1606" s="51"/>
      <c r="BE1606" s="51"/>
      <c r="BF1606" s="47"/>
      <c r="BG1606" s="47"/>
      <c r="BH1606" s="47"/>
      <c r="BI1606" s="47"/>
      <c r="BJ1606" s="47"/>
      <c r="BK1606" s="47"/>
      <c r="BL1606" s="47"/>
      <c r="BM1606" s="47"/>
      <c r="BN1606" s="47"/>
      <c r="BO1606" s="47"/>
      <c r="BP1606" s="47"/>
      <c r="BQ1606" s="47"/>
      <c r="BR1606" s="47"/>
      <c r="BS1606" s="47"/>
      <c r="BT1606" s="47"/>
    </row>
    <row r="1607">
      <c r="A1607" s="24"/>
      <c r="B1607" s="48"/>
      <c r="C1607" s="49"/>
      <c r="D1607" s="24"/>
      <c r="E1607" s="52"/>
      <c r="F1607" s="53"/>
      <c r="G1607" s="48"/>
      <c r="H1607" s="49"/>
      <c r="I1607" s="49"/>
      <c r="J1607" s="48"/>
      <c r="K1607" s="48"/>
      <c r="L1607" s="48"/>
      <c r="M1607" s="48"/>
      <c r="N1607" s="48"/>
      <c r="O1607" s="48"/>
      <c r="P1607" s="48"/>
      <c r="Q1607" s="48"/>
      <c r="R1607" s="48"/>
      <c r="S1607" s="48"/>
      <c r="T1607" s="48"/>
      <c r="U1607" s="48"/>
      <c r="V1607" s="48"/>
      <c r="W1607" s="49"/>
      <c r="X1607" s="49"/>
      <c r="Y1607" s="49"/>
      <c r="Z1607" s="49"/>
      <c r="AA1607" s="49"/>
      <c r="AB1607" s="49"/>
      <c r="AC1607" s="49"/>
      <c r="AD1607" s="49"/>
      <c r="AE1607" s="49"/>
      <c r="AF1607" s="49"/>
      <c r="AG1607" s="49"/>
      <c r="AH1607" s="49"/>
      <c r="AI1607" s="48"/>
      <c r="AJ1607" s="48"/>
      <c r="AK1607" s="24"/>
      <c r="AL1607" s="50"/>
      <c r="AM1607" s="50"/>
      <c r="AN1607" s="50"/>
      <c r="AO1607" s="50"/>
      <c r="AP1607" s="50"/>
      <c r="AQ1607" s="50"/>
      <c r="AR1607" s="50"/>
      <c r="AS1607" s="50"/>
      <c r="AT1607" s="51"/>
      <c r="AU1607" s="51"/>
      <c r="AV1607" s="51"/>
      <c r="AW1607" s="51"/>
      <c r="AX1607" s="50"/>
      <c r="AY1607" s="50"/>
      <c r="AZ1607" s="50"/>
      <c r="BA1607" s="50"/>
      <c r="BB1607" s="51"/>
      <c r="BC1607" s="51"/>
      <c r="BD1607" s="51"/>
      <c r="BE1607" s="51"/>
      <c r="BF1607" s="47"/>
      <c r="BG1607" s="47"/>
      <c r="BH1607" s="47"/>
      <c r="BI1607" s="47"/>
      <c r="BJ1607" s="47"/>
      <c r="BK1607" s="47"/>
      <c r="BL1607" s="47"/>
      <c r="BM1607" s="47"/>
      <c r="BN1607" s="47"/>
      <c r="BO1607" s="47"/>
      <c r="BP1607" s="47"/>
      <c r="BQ1607" s="47"/>
      <c r="BR1607" s="47"/>
      <c r="BS1607" s="47"/>
      <c r="BT1607" s="47"/>
    </row>
    <row r="1608">
      <c r="A1608" s="24"/>
      <c r="B1608" s="48"/>
      <c r="C1608" s="49"/>
      <c r="D1608" s="24"/>
      <c r="E1608" s="52"/>
      <c r="F1608" s="53"/>
      <c r="G1608" s="48"/>
      <c r="H1608" s="49"/>
      <c r="I1608" s="49"/>
      <c r="J1608" s="48"/>
      <c r="K1608" s="48"/>
      <c r="L1608" s="48"/>
      <c r="M1608" s="48"/>
      <c r="N1608" s="48"/>
      <c r="O1608" s="48"/>
      <c r="P1608" s="48"/>
      <c r="Q1608" s="48"/>
      <c r="R1608" s="48"/>
      <c r="S1608" s="48"/>
      <c r="T1608" s="48"/>
      <c r="U1608" s="48"/>
      <c r="V1608" s="48"/>
      <c r="W1608" s="49"/>
      <c r="X1608" s="49"/>
      <c r="Y1608" s="49"/>
      <c r="Z1608" s="49"/>
      <c r="AA1608" s="49"/>
      <c r="AB1608" s="49"/>
      <c r="AC1608" s="49"/>
      <c r="AD1608" s="49"/>
      <c r="AE1608" s="49"/>
      <c r="AF1608" s="49"/>
      <c r="AG1608" s="49"/>
      <c r="AH1608" s="49"/>
      <c r="AI1608" s="48"/>
      <c r="AJ1608" s="48"/>
      <c r="AK1608" s="24"/>
      <c r="AL1608" s="50"/>
      <c r="AM1608" s="50"/>
      <c r="AN1608" s="50"/>
      <c r="AO1608" s="50"/>
      <c r="AP1608" s="50"/>
      <c r="AQ1608" s="50"/>
      <c r="AR1608" s="50"/>
      <c r="AS1608" s="50"/>
      <c r="AT1608" s="51"/>
      <c r="AU1608" s="51"/>
      <c r="AV1608" s="51"/>
      <c r="AW1608" s="51"/>
      <c r="AX1608" s="50"/>
      <c r="AY1608" s="50"/>
      <c r="AZ1608" s="50"/>
      <c r="BA1608" s="50"/>
      <c r="BB1608" s="51"/>
      <c r="BC1608" s="51"/>
      <c r="BD1608" s="51"/>
      <c r="BE1608" s="51"/>
      <c r="BF1608" s="47"/>
      <c r="BG1608" s="47"/>
      <c r="BH1608" s="47"/>
      <c r="BI1608" s="47"/>
      <c r="BJ1608" s="47"/>
      <c r="BK1608" s="47"/>
      <c r="BL1608" s="47"/>
      <c r="BM1608" s="47"/>
      <c r="BN1608" s="47"/>
      <c r="BO1608" s="47"/>
      <c r="BP1608" s="47"/>
      <c r="BQ1608" s="47"/>
      <c r="BR1608" s="47"/>
      <c r="BS1608" s="47"/>
      <c r="BT1608" s="47"/>
    </row>
    <row r="1609">
      <c r="A1609" s="24"/>
      <c r="B1609" s="48"/>
      <c r="C1609" s="49"/>
      <c r="D1609" s="24"/>
      <c r="E1609" s="52"/>
      <c r="F1609" s="53"/>
      <c r="G1609" s="48"/>
      <c r="H1609" s="49"/>
      <c r="I1609" s="49"/>
      <c r="J1609" s="48"/>
      <c r="K1609" s="48"/>
      <c r="L1609" s="48"/>
      <c r="M1609" s="48"/>
      <c r="N1609" s="48"/>
      <c r="O1609" s="48"/>
      <c r="P1609" s="48"/>
      <c r="Q1609" s="48"/>
      <c r="R1609" s="48"/>
      <c r="S1609" s="48"/>
      <c r="T1609" s="48"/>
      <c r="U1609" s="48"/>
      <c r="V1609" s="48"/>
      <c r="W1609" s="49"/>
      <c r="X1609" s="49"/>
      <c r="Y1609" s="49"/>
      <c r="Z1609" s="49"/>
      <c r="AA1609" s="49"/>
      <c r="AB1609" s="49"/>
      <c r="AC1609" s="49"/>
      <c r="AD1609" s="49"/>
      <c r="AE1609" s="49"/>
      <c r="AF1609" s="49"/>
      <c r="AG1609" s="49"/>
      <c r="AH1609" s="49"/>
      <c r="AI1609" s="48"/>
      <c r="AJ1609" s="48"/>
      <c r="AK1609" s="24"/>
      <c r="AL1609" s="50"/>
      <c r="AM1609" s="50"/>
      <c r="AN1609" s="50"/>
      <c r="AO1609" s="50"/>
      <c r="AP1609" s="50"/>
      <c r="AQ1609" s="50"/>
      <c r="AR1609" s="50"/>
      <c r="AS1609" s="50"/>
      <c r="AT1609" s="51"/>
      <c r="AU1609" s="51"/>
      <c r="AV1609" s="51"/>
      <c r="AW1609" s="51"/>
      <c r="AX1609" s="50"/>
      <c r="AY1609" s="50"/>
      <c r="AZ1609" s="50"/>
      <c r="BA1609" s="50"/>
      <c r="BB1609" s="51"/>
      <c r="BC1609" s="51"/>
      <c r="BD1609" s="51"/>
      <c r="BE1609" s="51"/>
      <c r="BF1609" s="47"/>
      <c r="BG1609" s="47"/>
      <c r="BH1609" s="47"/>
      <c r="BI1609" s="47"/>
      <c r="BJ1609" s="47"/>
      <c r="BK1609" s="47"/>
      <c r="BL1609" s="47"/>
      <c r="BM1609" s="47"/>
      <c r="BN1609" s="47"/>
      <c r="BO1609" s="47"/>
      <c r="BP1609" s="47"/>
      <c r="BQ1609" s="47"/>
      <c r="BR1609" s="47"/>
      <c r="BS1609" s="47"/>
      <c r="BT1609" s="47"/>
    </row>
    <row r="1610">
      <c r="A1610" s="24"/>
      <c r="B1610" s="48"/>
      <c r="C1610" s="49"/>
      <c r="D1610" s="24"/>
      <c r="E1610" s="52"/>
      <c r="F1610" s="53"/>
      <c r="G1610" s="48"/>
      <c r="H1610" s="49"/>
      <c r="I1610" s="49"/>
      <c r="J1610" s="48"/>
      <c r="K1610" s="48"/>
      <c r="L1610" s="48"/>
      <c r="M1610" s="48"/>
      <c r="N1610" s="48"/>
      <c r="O1610" s="48"/>
      <c r="P1610" s="48"/>
      <c r="Q1610" s="48"/>
      <c r="R1610" s="48"/>
      <c r="S1610" s="48"/>
      <c r="T1610" s="48"/>
      <c r="U1610" s="48"/>
      <c r="V1610" s="48"/>
      <c r="W1610" s="49"/>
      <c r="X1610" s="49"/>
      <c r="Y1610" s="49"/>
      <c r="Z1610" s="49"/>
      <c r="AA1610" s="49"/>
      <c r="AB1610" s="49"/>
      <c r="AC1610" s="49"/>
      <c r="AD1610" s="49"/>
      <c r="AE1610" s="49"/>
      <c r="AF1610" s="49"/>
      <c r="AG1610" s="49"/>
      <c r="AH1610" s="49"/>
      <c r="AI1610" s="48"/>
      <c r="AJ1610" s="48"/>
      <c r="AK1610" s="24"/>
      <c r="AL1610" s="50"/>
      <c r="AM1610" s="50"/>
      <c r="AN1610" s="50"/>
      <c r="AO1610" s="50"/>
      <c r="AP1610" s="50"/>
      <c r="AQ1610" s="50"/>
      <c r="AR1610" s="50"/>
      <c r="AS1610" s="50"/>
      <c r="AT1610" s="51"/>
      <c r="AU1610" s="51"/>
      <c r="AV1610" s="51"/>
      <c r="AW1610" s="51"/>
      <c r="AX1610" s="50"/>
      <c r="AY1610" s="50"/>
      <c r="AZ1610" s="50"/>
      <c r="BA1610" s="50"/>
      <c r="BB1610" s="51"/>
      <c r="BC1610" s="51"/>
      <c r="BD1610" s="51"/>
      <c r="BE1610" s="51"/>
      <c r="BF1610" s="47"/>
      <c r="BG1610" s="47"/>
      <c r="BH1610" s="47"/>
      <c r="BI1610" s="47"/>
      <c r="BJ1610" s="47"/>
      <c r="BK1610" s="47"/>
      <c r="BL1610" s="47"/>
      <c r="BM1610" s="47"/>
      <c r="BN1610" s="47"/>
      <c r="BO1610" s="47"/>
      <c r="BP1610" s="47"/>
      <c r="BQ1610" s="47"/>
      <c r="BR1610" s="47"/>
      <c r="BS1610" s="47"/>
      <c r="BT1610" s="47"/>
    </row>
    <row r="1611">
      <c r="A1611" s="24"/>
      <c r="B1611" s="48"/>
      <c r="C1611" s="49"/>
      <c r="D1611" s="24"/>
      <c r="E1611" s="52"/>
      <c r="F1611" s="53"/>
      <c r="G1611" s="48"/>
      <c r="H1611" s="49"/>
      <c r="I1611" s="49"/>
      <c r="J1611" s="48"/>
      <c r="K1611" s="48"/>
      <c r="L1611" s="48"/>
      <c r="M1611" s="48"/>
      <c r="N1611" s="48"/>
      <c r="O1611" s="48"/>
      <c r="P1611" s="48"/>
      <c r="Q1611" s="48"/>
      <c r="R1611" s="48"/>
      <c r="S1611" s="48"/>
      <c r="T1611" s="48"/>
      <c r="U1611" s="48"/>
      <c r="V1611" s="48"/>
      <c r="W1611" s="49"/>
      <c r="X1611" s="49"/>
      <c r="Y1611" s="49"/>
      <c r="Z1611" s="49"/>
      <c r="AA1611" s="49"/>
      <c r="AB1611" s="49"/>
      <c r="AC1611" s="49"/>
      <c r="AD1611" s="49"/>
      <c r="AE1611" s="49"/>
      <c r="AF1611" s="49"/>
      <c r="AG1611" s="49"/>
      <c r="AH1611" s="49"/>
      <c r="AI1611" s="48"/>
      <c r="AJ1611" s="48"/>
      <c r="AK1611" s="24"/>
      <c r="AL1611" s="50"/>
      <c r="AM1611" s="50"/>
      <c r="AN1611" s="50"/>
      <c r="AO1611" s="50"/>
      <c r="AP1611" s="50"/>
      <c r="AQ1611" s="50"/>
      <c r="AR1611" s="50"/>
      <c r="AS1611" s="50"/>
      <c r="AT1611" s="51"/>
      <c r="AU1611" s="51"/>
      <c r="AV1611" s="51"/>
      <c r="AW1611" s="51"/>
      <c r="AX1611" s="50"/>
      <c r="AY1611" s="50"/>
      <c r="AZ1611" s="50"/>
      <c r="BA1611" s="50"/>
      <c r="BB1611" s="51"/>
      <c r="BC1611" s="51"/>
      <c r="BD1611" s="51"/>
      <c r="BE1611" s="51"/>
      <c r="BF1611" s="47"/>
      <c r="BG1611" s="47"/>
      <c r="BH1611" s="47"/>
      <c r="BI1611" s="47"/>
      <c r="BJ1611" s="47"/>
      <c r="BK1611" s="47"/>
      <c r="BL1611" s="47"/>
      <c r="BM1611" s="47"/>
      <c r="BN1611" s="47"/>
      <c r="BO1611" s="47"/>
      <c r="BP1611" s="47"/>
      <c r="BQ1611" s="47"/>
      <c r="BR1611" s="47"/>
      <c r="BS1611" s="47"/>
      <c r="BT1611" s="47"/>
    </row>
    <row r="1612">
      <c r="A1612" s="24"/>
      <c r="B1612" s="48"/>
      <c r="C1612" s="49"/>
      <c r="D1612" s="24"/>
      <c r="E1612" s="52"/>
      <c r="F1612" s="53"/>
      <c r="G1612" s="48"/>
      <c r="H1612" s="49"/>
      <c r="I1612" s="49"/>
      <c r="J1612" s="48"/>
      <c r="K1612" s="48"/>
      <c r="L1612" s="48"/>
      <c r="M1612" s="48"/>
      <c r="N1612" s="48"/>
      <c r="O1612" s="48"/>
      <c r="P1612" s="48"/>
      <c r="Q1612" s="48"/>
      <c r="R1612" s="48"/>
      <c r="S1612" s="48"/>
      <c r="T1612" s="48"/>
      <c r="U1612" s="48"/>
      <c r="V1612" s="48"/>
      <c r="W1612" s="49"/>
      <c r="X1612" s="49"/>
      <c r="Y1612" s="49"/>
      <c r="Z1612" s="49"/>
      <c r="AA1612" s="49"/>
      <c r="AB1612" s="49"/>
      <c r="AC1612" s="49"/>
      <c r="AD1612" s="49"/>
      <c r="AE1612" s="49"/>
      <c r="AF1612" s="49"/>
      <c r="AG1612" s="49"/>
      <c r="AH1612" s="49"/>
      <c r="AI1612" s="48"/>
      <c r="AJ1612" s="48"/>
      <c r="AK1612" s="24"/>
      <c r="AL1612" s="50"/>
      <c r="AM1612" s="50"/>
      <c r="AN1612" s="50"/>
      <c r="AO1612" s="50"/>
      <c r="AP1612" s="50"/>
      <c r="AQ1612" s="50"/>
      <c r="AR1612" s="50"/>
      <c r="AS1612" s="50"/>
      <c r="AT1612" s="51"/>
      <c r="AU1612" s="51"/>
      <c r="AV1612" s="51"/>
      <c r="AW1612" s="51"/>
      <c r="AX1612" s="50"/>
      <c r="AY1612" s="50"/>
      <c r="AZ1612" s="50"/>
      <c r="BA1612" s="50"/>
      <c r="BB1612" s="51"/>
      <c r="BC1612" s="51"/>
      <c r="BD1612" s="51"/>
      <c r="BE1612" s="51"/>
      <c r="BF1612" s="47"/>
      <c r="BG1612" s="47"/>
      <c r="BH1612" s="47"/>
      <c r="BI1612" s="47"/>
      <c r="BJ1612" s="47"/>
      <c r="BK1612" s="47"/>
      <c r="BL1612" s="47"/>
      <c r="BM1612" s="47"/>
      <c r="BN1612" s="47"/>
      <c r="BO1612" s="47"/>
      <c r="BP1612" s="47"/>
      <c r="BQ1612" s="47"/>
      <c r="BR1612" s="47"/>
      <c r="BS1612" s="47"/>
      <c r="BT1612" s="47"/>
    </row>
    <row r="1613">
      <c r="A1613" s="24"/>
      <c r="B1613" s="48"/>
      <c r="C1613" s="49"/>
      <c r="D1613" s="24"/>
      <c r="E1613" s="52"/>
      <c r="F1613" s="53"/>
      <c r="G1613" s="48"/>
      <c r="H1613" s="49"/>
      <c r="I1613" s="49"/>
      <c r="J1613" s="48"/>
      <c r="K1613" s="48"/>
      <c r="L1613" s="48"/>
      <c r="M1613" s="48"/>
      <c r="N1613" s="48"/>
      <c r="O1613" s="48"/>
      <c r="P1613" s="48"/>
      <c r="Q1613" s="48"/>
      <c r="R1613" s="48"/>
      <c r="S1613" s="48"/>
      <c r="T1613" s="48"/>
      <c r="U1613" s="48"/>
      <c r="V1613" s="48"/>
      <c r="W1613" s="49"/>
      <c r="X1613" s="49"/>
      <c r="Y1613" s="49"/>
      <c r="Z1613" s="49"/>
      <c r="AA1613" s="49"/>
      <c r="AB1613" s="49"/>
      <c r="AC1613" s="49"/>
      <c r="AD1613" s="49"/>
      <c r="AE1613" s="49"/>
      <c r="AF1613" s="49"/>
      <c r="AG1613" s="49"/>
      <c r="AH1613" s="49"/>
      <c r="AI1613" s="48"/>
      <c r="AJ1613" s="48"/>
      <c r="AK1613" s="24"/>
      <c r="AL1613" s="50"/>
      <c r="AM1613" s="50"/>
      <c r="AN1613" s="50"/>
      <c r="AO1613" s="50"/>
      <c r="AP1613" s="50"/>
      <c r="AQ1613" s="50"/>
      <c r="AR1613" s="50"/>
      <c r="AS1613" s="50"/>
      <c r="AT1613" s="51"/>
      <c r="AU1613" s="51"/>
      <c r="AV1613" s="51"/>
      <c r="AW1613" s="51"/>
      <c r="AX1613" s="50"/>
      <c r="AY1613" s="50"/>
      <c r="AZ1613" s="50"/>
      <c r="BA1613" s="50"/>
      <c r="BB1613" s="51"/>
      <c r="BC1613" s="51"/>
      <c r="BD1613" s="51"/>
      <c r="BE1613" s="51"/>
      <c r="BF1613" s="47"/>
      <c r="BG1613" s="47"/>
      <c r="BH1613" s="47"/>
      <c r="BI1613" s="47"/>
      <c r="BJ1613" s="47"/>
      <c r="BK1613" s="47"/>
      <c r="BL1613" s="47"/>
      <c r="BM1613" s="47"/>
      <c r="BN1613" s="47"/>
      <c r="BO1613" s="47"/>
      <c r="BP1613" s="47"/>
      <c r="BQ1613" s="47"/>
      <c r="BR1613" s="47"/>
      <c r="BS1613" s="47"/>
      <c r="BT1613" s="47"/>
    </row>
    <row r="1614">
      <c r="A1614" s="24"/>
      <c r="B1614" s="48"/>
      <c r="C1614" s="49"/>
      <c r="D1614" s="24"/>
      <c r="E1614" s="52"/>
      <c r="F1614" s="53"/>
      <c r="G1614" s="48"/>
      <c r="H1614" s="49"/>
      <c r="I1614" s="49"/>
      <c r="J1614" s="48"/>
      <c r="K1614" s="48"/>
      <c r="L1614" s="48"/>
      <c r="M1614" s="48"/>
      <c r="N1614" s="48"/>
      <c r="O1614" s="48"/>
      <c r="P1614" s="48"/>
      <c r="Q1614" s="48"/>
      <c r="R1614" s="48"/>
      <c r="S1614" s="48"/>
      <c r="T1614" s="48"/>
      <c r="U1614" s="48"/>
      <c r="V1614" s="48"/>
      <c r="W1614" s="49"/>
      <c r="X1614" s="49"/>
      <c r="Y1614" s="49"/>
      <c r="Z1614" s="49"/>
      <c r="AA1614" s="49"/>
      <c r="AB1614" s="49"/>
      <c r="AC1614" s="49"/>
      <c r="AD1614" s="49"/>
      <c r="AE1614" s="49"/>
      <c r="AF1614" s="49"/>
      <c r="AG1614" s="49"/>
      <c r="AH1614" s="49"/>
      <c r="AI1614" s="48"/>
      <c r="AJ1614" s="48"/>
      <c r="AK1614" s="24"/>
      <c r="AL1614" s="50"/>
      <c r="AM1614" s="50"/>
      <c r="AN1614" s="50"/>
      <c r="AO1614" s="50"/>
      <c r="AP1614" s="50"/>
      <c r="AQ1614" s="50"/>
      <c r="AR1614" s="50"/>
      <c r="AS1614" s="50"/>
      <c r="AT1614" s="51"/>
      <c r="AU1614" s="51"/>
      <c r="AV1614" s="51"/>
      <c r="AW1614" s="51"/>
      <c r="AX1614" s="50"/>
      <c r="AY1614" s="50"/>
      <c r="AZ1614" s="50"/>
      <c r="BA1614" s="50"/>
      <c r="BB1614" s="51"/>
      <c r="BC1614" s="51"/>
      <c r="BD1614" s="51"/>
      <c r="BE1614" s="51"/>
      <c r="BF1614" s="47"/>
      <c r="BG1614" s="47"/>
      <c r="BH1614" s="47"/>
      <c r="BI1614" s="47"/>
      <c r="BJ1614" s="47"/>
      <c r="BK1614" s="47"/>
      <c r="BL1614" s="47"/>
      <c r="BM1614" s="47"/>
      <c r="BN1614" s="47"/>
      <c r="BO1614" s="47"/>
      <c r="BP1614" s="47"/>
      <c r="BQ1614" s="47"/>
      <c r="BR1614" s="47"/>
      <c r="BS1614" s="47"/>
      <c r="BT1614" s="47"/>
    </row>
    <row r="1615">
      <c r="A1615" s="24"/>
      <c r="B1615" s="48"/>
      <c r="C1615" s="49"/>
      <c r="D1615" s="24"/>
      <c r="E1615" s="52"/>
      <c r="F1615" s="53"/>
      <c r="G1615" s="48"/>
      <c r="H1615" s="49"/>
      <c r="I1615" s="49"/>
      <c r="J1615" s="48"/>
      <c r="K1615" s="48"/>
      <c r="L1615" s="48"/>
      <c r="M1615" s="48"/>
      <c r="N1615" s="48"/>
      <c r="O1615" s="48"/>
      <c r="P1615" s="48"/>
      <c r="Q1615" s="48"/>
      <c r="R1615" s="48"/>
      <c r="S1615" s="48"/>
      <c r="T1615" s="48"/>
      <c r="U1615" s="48"/>
      <c r="V1615" s="48"/>
      <c r="W1615" s="49"/>
      <c r="X1615" s="49"/>
      <c r="Y1615" s="49"/>
      <c r="Z1615" s="49"/>
      <c r="AA1615" s="49"/>
      <c r="AB1615" s="49"/>
      <c r="AC1615" s="49"/>
      <c r="AD1615" s="49"/>
      <c r="AE1615" s="49"/>
      <c r="AF1615" s="49"/>
      <c r="AG1615" s="49"/>
      <c r="AH1615" s="49"/>
      <c r="AI1615" s="48"/>
      <c r="AJ1615" s="48"/>
      <c r="AK1615" s="24"/>
      <c r="AL1615" s="50"/>
      <c r="AM1615" s="50"/>
      <c r="AN1615" s="50"/>
      <c r="AO1615" s="50"/>
      <c r="AP1615" s="50"/>
      <c r="AQ1615" s="50"/>
      <c r="AR1615" s="50"/>
      <c r="AS1615" s="50"/>
      <c r="AT1615" s="51"/>
      <c r="AU1615" s="51"/>
      <c r="AV1615" s="51"/>
      <c r="AW1615" s="51"/>
      <c r="AX1615" s="50"/>
      <c r="AY1615" s="50"/>
      <c r="AZ1615" s="50"/>
      <c r="BA1615" s="50"/>
      <c r="BB1615" s="51"/>
      <c r="BC1615" s="51"/>
      <c r="BD1615" s="51"/>
      <c r="BE1615" s="51"/>
      <c r="BF1615" s="47"/>
      <c r="BG1615" s="47"/>
      <c r="BH1615" s="47"/>
      <c r="BI1615" s="47"/>
      <c r="BJ1615" s="47"/>
      <c r="BK1615" s="47"/>
      <c r="BL1615" s="47"/>
      <c r="BM1615" s="47"/>
      <c r="BN1615" s="47"/>
      <c r="BO1615" s="47"/>
      <c r="BP1615" s="47"/>
      <c r="BQ1615" s="47"/>
      <c r="BR1615" s="47"/>
      <c r="BS1615" s="47"/>
      <c r="BT1615" s="47"/>
    </row>
    <row r="1616">
      <c r="A1616" s="24"/>
      <c r="B1616" s="48"/>
      <c r="C1616" s="49"/>
      <c r="D1616" s="24"/>
      <c r="E1616" s="52"/>
      <c r="F1616" s="53"/>
      <c r="G1616" s="48"/>
      <c r="H1616" s="49"/>
      <c r="I1616" s="49"/>
      <c r="J1616" s="48"/>
      <c r="K1616" s="48"/>
      <c r="L1616" s="48"/>
      <c r="M1616" s="48"/>
      <c r="N1616" s="48"/>
      <c r="O1616" s="48"/>
      <c r="P1616" s="48"/>
      <c r="Q1616" s="48"/>
      <c r="R1616" s="48"/>
      <c r="S1616" s="48"/>
      <c r="T1616" s="48"/>
      <c r="U1616" s="48"/>
      <c r="V1616" s="48"/>
      <c r="W1616" s="49"/>
      <c r="X1616" s="49"/>
      <c r="Y1616" s="49"/>
      <c r="Z1616" s="49"/>
      <c r="AA1616" s="49"/>
      <c r="AB1616" s="49"/>
      <c r="AC1616" s="49"/>
      <c r="AD1616" s="49"/>
      <c r="AE1616" s="49"/>
      <c r="AF1616" s="49"/>
      <c r="AG1616" s="49"/>
      <c r="AH1616" s="49"/>
      <c r="AI1616" s="48"/>
      <c r="AJ1616" s="48"/>
      <c r="AK1616" s="24"/>
      <c r="AL1616" s="50"/>
      <c r="AM1616" s="50"/>
      <c r="AN1616" s="50"/>
      <c r="AO1616" s="50"/>
      <c r="AP1616" s="50"/>
      <c r="AQ1616" s="50"/>
      <c r="AR1616" s="50"/>
      <c r="AS1616" s="50"/>
      <c r="AT1616" s="51"/>
      <c r="AU1616" s="51"/>
      <c r="AV1616" s="51"/>
      <c r="AW1616" s="51"/>
      <c r="AX1616" s="50"/>
      <c r="AY1616" s="50"/>
      <c r="AZ1616" s="50"/>
      <c r="BA1616" s="50"/>
      <c r="BB1616" s="51"/>
      <c r="BC1616" s="51"/>
      <c r="BD1616" s="51"/>
      <c r="BE1616" s="51"/>
      <c r="BF1616" s="47"/>
      <c r="BG1616" s="47"/>
      <c r="BH1616" s="47"/>
      <c r="BI1616" s="47"/>
      <c r="BJ1616" s="47"/>
      <c r="BK1616" s="47"/>
      <c r="BL1616" s="47"/>
      <c r="BM1616" s="47"/>
      <c r="BN1616" s="47"/>
      <c r="BO1616" s="47"/>
      <c r="BP1616" s="47"/>
      <c r="BQ1616" s="47"/>
      <c r="BR1616" s="47"/>
      <c r="BS1616" s="47"/>
      <c r="BT1616" s="47"/>
    </row>
    <row r="1617">
      <c r="A1617" s="24"/>
      <c r="B1617" s="48"/>
      <c r="C1617" s="49"/>
      <c r="D1617" s="24"/>
      <c r="E1617" s="52"/>
      <c r="F1617" s="53"/>
      <c r="G1617" s="48"/>
      <c r="H1617" s="49"/>
      <c r="I1617" s="49"/>
      <c r="J1617" s="48"/>
      <c r="K1617" s="48"/>
      <c r="L1617" s="48"/>
      <c r="M1617" s="48"/>
      <c r="N1617" s="48"/>
      <c r="O1617" s="48"/>
      <c r="P1617" s="48"/>
      <c r="Q1617" s="48"/>
      <c r="R1617" s="48"/>
      <c r="S1617" s="48"/>
      <c r="T1617" s="48"/>
      <c r="U1617" s="48"/>
      <c r="V1617" s="48"/>
      <c r="W1617" s="49"/>
      <c r="X1617" s="49"/>
      <c r="Y1617" s="49"/>
      <c r="Z1617" s="49"/>
      <c r="AA1617" s="49"/>
      <c r="AB1617" s="49"/>
      <c r="AC1617" s="49"/>
      <c r="AD1617" s="49"/>
      <c r="AE1617" s="49"/>
      <c r="AF1617" s="49"/>
      <c r="AG1617" s="49"/>
      <c r="AH1617" s="49"/>
      <c r="AI1617" s="48"/>
      <c r="AJ1617" s="48"/>
      <c r="AK1617" s="24"/>
      <c r="AL1617" s="50"/>
      <c r="AM1617" s="50"/>
      <c r="AN1617" s="50"/>
      <c r="AO1617" s="50"/>
      <c r="AP1617" s="50"/>
      <c r="AQ1617" s="50"/>
      <c r="AR1617" s="50"/>
      <c r="AS1617" s="50"/>
      <c r="AT1617" s="51"/>
      <c r="AU1617" s="51"/>
      <c r="AV1617" s="51"/>
      <c r="AW1617" s="51"/>
      <c r="AX1617" s="50"/>
      <c r="AY1617" s="50"/>
      <c r="AZ1617" s="50"/>
      <c r="BA1617" s="50"/>
      <c r="BB1617" s="51"/>
      <c r="BC1617" s="51"/>
      <c r="BD1617" s="51"/>
      <c r="BE1617" s="51"/>
      <c r="BF1617" s="47"/>
      <c r="BG1617" s="47"/>
      <c r="BH1617" s="47"/>
      <c r="BI1617" s="47"/>
      <c r="BJ1617" s="47"/>
      <c r="BK1617" s="47"/>
      <c r="BL1617" s="47"/>
      <c r="BM1617" s="47"/>
      <c r="BN1617" s="47"/>
      <c r="BO1617" s="47"/>
      <c r="BP1617" s="47"/>
      <c r="BQ1617" s="47"/>
      <c r="BR1617" s="47"/>
      <c r="BS1617" s="47"/>
      <c r="BT1617" s="47"/>
    </row>
    <row r="1618">
      <c r="A1618" s="24"/>
      <c r="B1618" s="48"/>
      <c r="C1618" s="49"/>
      <c r="D1618" s="24"/>
      <c r="E1618" s="52"/>
      <c r="F1618" s="53"/>
      <c r="G1618" s="48"/>
      <c r="H1618" s="49"/>
      <c r="I1618" s="49"/>
      <c r="J1618" s="48"/>
      <c r="K1618" s="48"/>
      <c r="L1618" s="48"/>
      <c r="M1618" s="48"/>
      <c r="N1618" s="48"/>
      <c r="O1618" s="48"/>
      <c r="P1618" s="48"/>
      <c r="Q1618" s="48"/>
      <c r="R1618" s="48"/>
      <c r="S1618" s="48"/>
      <c r="T1618" s="48"/>
      <c r="U1618" s="48"/>
      <c r="V1618" s="48"/>
      <c r="W1618" s="49"/>
      <c r="X1618" s="49"/>
      <c r="Y1618" s="49"/>
      <c r="Z1618" s="49"/>
      <c r="AA1618" s="49"/>
      <c r="AB1618" s="49"/>
      <c r="AC1618" s="49"/>
      <c r="AD1618" s="49"/>
      <c r="AE1618" s="49"/>
      <c r="AF1618" s="49"/>
      <c r="AG1618" s="49"/>
      <c r="AH1618" s="49"/>
      <c r="AI1618" s="48"/>
      <c r="AJ1618" s="48"/>
      <c r="AK1618" s="24"/>
      <c r="AL1618" s="50"/>
      <c r="AM1618" s="50"/>
      <c r="AN1618" s="50"/>
      <c r="AO1618" s="50"/>
      <c r="AP1618" s="50"/>
      <c r="AQ1618" s="50"/>
      <c r="AR1618" s="50"/>
      <c r="AS1618" s="50"/>
      <c r="AT1618" s="51"/>
      <c r="AU1618" s="51"/>
      <c r="AV1618" s="51"/>
      <c r="AW1618" s="51"/>
      <c r="AX1618" s="50"/>
      <c r="AY1618" s="50"/>
      <c r="AZ1618" s="50"/>
      <c r="BA1618" s="50"/>
      <c r="BB1618" s="51"/>
      <c r="BC1618" s="51"/>
      <c r="BD1618" s="51"/>
      <c r="BE1618" s="51"/>
      <c r="BF1618" s="47"/>
      <c r="BG1618" s="47"/>
      <c r="BH1618" s="47"/>
      <c r="BI1618" s="47"/>
      <c r="BJ1618" s="47"/>
      <c r="BK1618" s="47"/>
      <c r="BL1618" s="47"/>
      <c r="BM1618" s="47"/>
      <c r="BN1618" s="47"/>
      <c r="BO1618" s="47"/>
      <c r="BP1618" s="47"/>
      <c r="BQ1618" s="47"/>
      <c r="BR1618" s="47"/>
      <c r="BS1618" s="47"/>
      <c r="BT1618" s="47"/>
    </row>
    <row r="1619">
      <c r="A1619" s="24"/>
      <c r="B1619" s="48"/>
      <c r="C1619" s="49"/>
      <c r="D1619" s="24"/>
      <c r="E1619" s="52"/>
      <c r="F1619" s="53"/>
      <c r="G1619" s="48"/>
      <c r="H1619" s="49"/>
      <c r="I1619" s="49"/>
      <c r="J1619" s="48"/>
      <c r="K1619" s="48"/>
      <c r="L1619" s="48"/>
      <c r="M1619" s="48"/>
      <c r="N1619" s="48"/>
      <c r="O1619" s="48"/>
      <c r="P1619" s="48"/>
      <c r="Q1619" s="48"/>
      <c r="R1619" s="48"/>
      <c r="S1619" s="48"/>
      <c r="T1619" s="48"/>
      <c r="U1619" s="48"/>
      <c r="V1619" s="48"/>
      <c r="W1619" s="49"/>
      <c r="X1619" s="49"/>
      <c r="Y1619" s="49"/>
      <c r="Z1619" s="49"/>
      <c r="AA1619" s="49"/>
      <c r="AB1619" s="49"/>
      <c r="AC1619" s="49"/>
      <c r="AD1619" s="49"/>
      <c r="AE1619" s="49"/>
      <c r="AF1619" s="49"/>
      <c r="AG1619" s="49"/>
      <c r="AH1619" s="49"/>
      <c r="AI1619" s="48"/>
      <c r="AJ1619" s="48"/>
      <c r="AK1619" s="24"/>
      <c r="AL1619" s="50"/>
      <c r="AM1619" s="50"/>
      <c r="AN1619" s="50"/>
      <c r="AO1619" s="50"/>
      <c r="AP1619" s="50"/>
      <c r="AQ1619" s="50"/>
      <c r="AR1619" s="50"/>
      <c r="AS1619" s="50"/>
      <c r="AT1619" s="51"/>
      <c r="AU1619" s="51"/>
      <c r="AV1619" s="51"/>
      <c r="AW1619" s="51"/>
      <c r="AX1619" s="50"/>
      <c r="AY1619" s="50"/>
      <c r="AZ1619" s="50"/>
      <c r="BA1619" s="50"/>
      <c r="BB1619" s="51"/>
      <c r="BC1619" s="51"/>
      <c r="BD1619" s="51"/>
      <c r="BE1619" s="51"/>
      <c r="BF1619" s="47"/>
      <c r="BG1619" s="47"/>
      <c r="BH1619" s="47"/>
      <c r="BI1619" s="47"/>
      <c r="BJ1619" s="47"/>
      <c r="BK1619" s="47"/>
      <c r="BL1619" s="47"/>
      <c r="BM1619" s="47"/>
      <c r="BN1619" s="47"/>
      <c r="BO1619" s="47"/>
      <c r="BP1619" s="47"/>
      <c r="BQ1619" s="47"/>
      <c r="BR1619" s="47"/>
      <c r="BS1619" s="47"/>
      <c r="BT1619" s="47"/>
    </row>
    <row r="1620">
      <c r="A1620" s="24"/>
      <c r="B1620" s="48"/>
      <c r="C1620" s="49"/>
      <c r="D1620" s="24"/>
      <c r="E1620" s="52"/>
      <c r="F1620" s="53"/>
      <c r="G1620" s="48"/>
      <c r="H1620" s="49"/>
      <c r="I1620" s="49"/>
      <c r="J1620" s="48"/>
      <c r="K1620" s="48"/>
      <c r="L1620" s="48"/>
      <c r="M1620" s="48"/>
      <c r="N1620" s="48"/>
      <c r="O1620" s="48"/>
      <c r="P1620" s="48"/>
      <c r="Q1620" s="48"/>
      <c r="R1620" s="48"/>
      <c r="S1620" s="48"/>
      <c r="T1620" s="48"/>
      <c r="U1620" s="48"/>
      <c r="V1620" s="48"/>
      <c r="W1620" s="49"/>
      <c r="X1620" s="49"/>
      <c r="Y1620" s="49"/>
      <c r="Z1620" s="49"/>
      <c r="AA1620" s="49"/>
      <c r="AB1620" s="49"/>
      <c r="AC1620" s="49"/>
      <c r="AD1620" s="49"/>
      <c r="AE1620" s="49"/>
      <c r="AF1620" s="49"/>
      <c r="AG1620" s="49"/>
      <c r="AH1620" s="49"/>
      <c r="AI1620" s="48"/>
      <c r="AJ1620" s="48"/>
      <c r="AK1620" s="24"/>
      <c r="AL1620" s="50"/>
      <c r="AM1620" s="50"/>
      <c r="AN1620" s="50"/>
      <c r="AO1620" s="50"/>
      <c r="AP1620" s="50"/>
      <c r="AQ1620" s="50"/>
      <c r="AR1620" s="50"/>
      <c r="AS1620" s="50"/>
      <c r="AT1620" s="51"/>
      <c r="AU1620" s="51"/>
      <c r="AV1620" s="51"/>
      <c r="AW1620" s="51"/>
      <c r="AX1620" s="50"/>
      <c r="AY1620" s="50"/>
      <c r="AZ1620" s="50"/>
      <c r="BA1620" s="50"/>
      <c r="BB1620" s="51"/>
      <c r="BC1620" s="51"/>
      <c r="BD1620" s="51"/>
      <c r="BE1620" s="51"/>
      <c r="BF1620" s="47"/>
      <c r="BG1620" s="47"/>
      <c r="BH1620" s="47"/>
      <c r="BI1620" s="47"/>
      <c r="BJ1620" s="47"/>
      <c r="BK1620" s="47"/>
      <c r="BL1620" s="47"/>
      <c r="BM1620" s="47"/>
      <c r="BN1620" s="47"/>
      <c r="BO1620" s="47"/>
      <c r="BP1620" s="47"/>
      <c r="BQ1620" s="47"/>
      <c r="BR1620" s="47"/>
      <c r="BS1620" s="47"/>
      <c r="BT1620" s="47"/>
    </row>
    <row r="1621">
      <c r="A1621" s="24"/>
      <c r="B1621" s="48"/>
      <c r="C1621" s="49"/>
      <c r="D1621" s="24"/>
      <c r="E1621" s="52"/>
      <c r="F1621" s="53"/>
      <c r="G1621" s="48"/>
      <c r="H1621" s="49"/>
      <c r="I1621" s="49"/>
      <c r="J1621" s="48"/>
      <c r="K1621" s="48"/>
      <c r="L1621" s="48"/>
      <c r="M1621" s="48"/>
      <c r="N1621" s="48"/>
      <c r="O1621" s="48"/>
      <c r="P1621" s="48"/>
      <c r="Q1621" s="48"/>
      <c r="R1621" s="48"/>
      <c r="S1621" s="48"/>
      <c r="T1621" s="48"/>
      <c r="U1621" s="48"/>
      <c r="V1621" s="48"/>
      <c r="W1621" s="49"/>
      <c r="X1621" s="49"/>
      <c r="Y1621" s="49"/>
      <c r="Z1621" s="49"/>
      <c r="AA1621" s="49"/>
      <c r="AB1621" s="49"/>
      <c r="AC1621" s="49"/>
      <c r="AD1621" s="49"/>
      <c r="AE1621" s="49"/>
      <c r="AF1621" s="49"/>
      <c r="AG1621" s="49"/>
      <c r="AH1621" s="49"/>
      <c r="AI1621" s="48"/>
      <c r="AJ1621" s="48"/>
      <c r="AK1621" s="24"/>
      <c r="AL1621" s="50"/>
      <c r="AM1621" s="50"/>
      <c r="AN1621" s="50"/>
      <c r="AO1621" s="50"/>
      <c r="AP1621" s="50"/>
      <c r="AQ1621" s="50"/>
      <c r="AR1621" s="50"/>
      <c r="AS1621" s="50"/>
      <c r="AT1621" s="51"/>
      <c r="AU1621" s="51"/>
      <c r="AV1621" s="51"/>
      <c r="AW1621" s="51"/>
      <c r="AX1621" s="50"/>
      <c r="AY1621" s="50"/>
      <c r="AZ1621" s="50"/>
      <c r="BA1621" s="50"/>
      <c r="BB1621" s="51"/>
      <c r="BC1621" s="51"/>
      <c r="BD1621" s="51"/>
      <c r="BE1621" s="51"/>
      <c r="BF1621" s="47"/>
      <c r="BG1621" s="47"/>
      <c r="BH1621" s="47"/>
      <c r="BI1621" s="47"/>
      <c r="BJ1621" s="47"/>
      <c r="BK1621" s="47"/>
      <c r="BL1621" s="47"/>
      <c r="BM1621" s="47"/>
      <c r="BN1621" s="47"/>
      <c r="BO1621" s="47"/>
      <c r="BP1621" s="47"/>
      <c r="BQ1621" s="47"/>
      <c r="BR1621" s="47"/>
      <c r="BS1621" s="47"/>
      <c r="BT1621" s="47"/>
    </row>
    <row r="1622">
      <c r="A1622" s="24"/>
      <c r="B1622" s="48"/>
      <c r="C1622" s="49"/>
      <c r="D1622" s="24"/>
      <c r="E1622" s="52"/>
      <c r="F1622" s="53"/>
      <c r="G1622" s="48"/>
      <c r="H1622" s="49"/>
      <c r="I1622" s="49"/>
      <c r="J1622" s="48"/>
      <c r="K1622" s="48"/>
      <c r="L1622" s="48"/>
      <c r="M1622" s="48"/>
      <c r="N1622" s="48"/>
      <c r="O1622" s="48"/>
      <c r="P1622" s="48"/>
      <c r="Q1622" s="48"/>
      <c r="R1622" s="48"/>
      <c r="S1622" s="48"/>
      <c r="T1622" s="48"/>
      <c r="U1622" s="48"/>
      <c r="V1622" s="48"/>
      <c r="W1622" s="49"/>
      <c r="X1622" s="49"/>
      <c r="Y1622" s="49"/>
      <c r="Z1622" s="49"/>
      <c r="AA1622" s="49"/>
      <c r="AB1622" s="49"/>
      <c r="AC1622" s="49"/>
      <c r="AD1622" s="49"/>
      <c r="AE1622" s="49"/>
      <c r="AF1622" s="49"/>
      <c r="AG1622" s="49"/>
      <c r="AH1622" s="49"/>
      <c r="AI1622" s="48"/>
      <c r="AJ1622" s="48"/>
      <c r="AK1622" s="24"/>
      <c r="AL1622" s="50"/>
      <c r="AM1622" s="50"/>
      <c r="AN1622" s="50"/>
      <c r="AO1622" s="50"/>
      <c r="AP1622" s="50"/>
      <c r="AQ1622" s="50"/>
      <c r="AR1622" s="50"/>
      <c r="AS1622" s="50"/>
      <c r="AT1622" s="51"/>
      <c r="AU1622" s="51"/>
      <c r="AV1622" s="51"/>
      <c r="AW1622" s="51"/>
      <c r="AX1622" s="50"/>
      <c r="AY1622" s="50"/>
      <c r="AZ1622" s="50"/>
      <c r="BA1622" s="50"/>
      <c r="BB1622" s="51"/>
      <c r="BC1622" s="51"/>
      <c r="BD1622" s="51"/>
      <c r="BE1622" s="51"/>
      <c r="BF1622" s="47"/>
      <c r="BG1622" s="47"/>
      <c r="BH1622" s="47"/>
      <c r="BI1622" s="47"/>
      <c r="BJ1622" s="47"/>
      <c r="BK1622" s="47"/>
      <c r="BL1622" s="47"/>
      <c r="BM1622" s="47"/>
      <c r="BN1622" s="47"/>
      <c r="BO1622" s="47"/>
      <c r="BP1622" s="47"/>
      <c r="BQ1622" s="47"/>
      <c r="BR1622" s="47"/>
      <c r="BS1622" s="47"/>
      <c r="BT1622" s="47"/>
    </row>
    <row r="1623">
      <c r="A1623" s="24"/>
      <c r="B1623" s="48"/>
      <c r="C1623" s="49"/>
      <c r="D1623" s="24"/>
      <c r="E1623" s="52"/>
      <c r="F1623" s="53"/>
      <c r="G1623" s="48"/>
      <c r="H1623" s="49"/>
      <c r="I1623" s="49"/>
      <c r="J1623" s="48"/>
      <c r="K1623" s="48"/>
      <c r="L1623" s="48"/>
      <c r="M1623" s="48"/>
      <c r="N1623" s="48"/>
      <c r="O1623" s="48"/>
      <c r="P1623" s="48"/>
      <c r="Q1623" s="48"/>
      <c r="R1623" s="48"/>
      <c r="S1623" s="48"/>
      <c r="T1623" s="48"/>
      <c r="U1623" s="48"/>
      <c r="V1623" s="48"/>
      <c r="W1623" s="49"/>
      <c r="X1623" s="49"/>
      <c r="Y1623" s="49"/>
      <c r="Z1623" s="49"/>
      <c r="AA1623" s="49"/>
      <c r="AB1623" s="49"/>
      <c r="AC1623" s="49"/>
      <c r="AD1623" s="49"/>
      <c r="AE1623" s="49"/>
      <c r="AF1623" s="49"/>
      <c r="AG1623" s="49"/>
      <c r="AH1623" s="49"/>
      <c r="AI1623" s="48"/>
      <c r="AJ1623" s="48"/>
      <c r="AK1623" s="24"/>
      <c r="AL1623" s="50"/>
      <c r="AM1623" s="50"/>
      <c r="AN1623" s="50"/>
      <c r="AO1623" s="50"/>
      <c r="AP1623" s="50"/>
      <c r="AQ1623" s="50"/>
      <c r="AR1623" s="50"/>
      <c r="AS1623" s="50"/>
      <c r="AT1623" s="51"/>
      <c r="AU1623" s="51"/>
      <c r="AV1623" s="51"/>
      <c r="AW1623" s="51"/>
      <c r="AX1623" s="50"/>
      <c r="AY1623" s="50"/>
      <c r="AZ1623" s="50"/>
      <c r="BA1623" s="50"/>
      <c r="BB1623" s="51"/>
      <c r="BC1623" s="51"/>
      <c r="BD1623" s="51"/>
      <c r="BE1623" s="51"/>
      <c r="BF1623" s="47"/>
      <c r="BG1623" s="47"/>
      <c r="BH1623" s="47"/>
      <c r="BI1623" s="47"/>
      <c r="BJ1623" s="47"/>
      <c r="BK1623" s="47"/>
      <c r="BL1623" s="47"/>
      <c r="BM1623" s="47"/>
      <c r="BN1623" s="47"/>
      <c r="BO1623" s="47"/>
      <c r="BP1623" s="47"/>
      <c r="BQ1623" s="47"/>
      <c r="BR1623" s="47"/>
      <c r="BS1623" s="47"/>
      <c r="BT1623" s="47"/>
    </row>
    <row r="1624">
      <c r="A1624" s="24"/>
      <c r="B1624" s="48"/>
      <c r="C1624" s="49"/>
      <c r="D1624" s="24"/>
      <c r="E1624" s="52"/>
      <c r="F1624" s="53"/>
      <c r="G1624" s="48"/>
      <c r="H1624" s="49"/>
      <c r="I1624" s="49"/>
      <c r="J1624" s="48"/>
      <c r="K1624" s="48"/>
      <c r="L1624" s="48"/>
      <c r="M1624" s="48"/>
      <c r="N1624" s="48"/>
      <c r="O1624" s="48"/>
      <c r="P1624" s="48"/>
      <c r="Q1624" s="48"/>
      <c r="R1624" s="48"/>
      <c r="S1624" s="48"/>
      <c r="T1624" s="48"/>
      <c r="U1624" s="48"/>
      <c r="V1624" s="48"/>
      <c r="W1624" s="49"/>
      <c r="X1624" s="49"/>
      <c r="Y1624" s="49"/>
      <c r="Z1624" s="49"/>
      <c r="AA1624" s="49"/>
      <c r="AB1624" s="49"/>
      <c r="AC1624" s="49"/>
      <c r="AD1624" s="49"/>
      <c r="AE1624" s="49"/>
      <c r="AF1624" s="49"/>
      <c r="AG1624" s="49"/>
      <c r="AH1624" s="49"/>
      <c r="AI1624" s="48"/>
      <c r="AJ1624" s="48"/>
      <c r="AK1624" s="24"/>
      <c r="AL1624" s="50"/>
      <c r="AM1624" s="50"/>
      <c r="AN1624" s="50"/>
      <c r="AO1624" s="50"/>
      <c r="AP1624" s="50"/>
      <c r="AQ1624" s="50"/>
      <c r="AR1624" s="50"/>
      <c r="AS1624" s="50"/>
      <c r="AT1624" s="51"/>
      <c r="AU1624" s="51"/>
      <c r="AV1624" s="51"/>
      <c r="AW1624" s="51"/>
      <c r="AX1624" s="50"/>
      <c r="AY1624" s="50"/>
      <c r="AZ1624" s="50"/>
      <c r="BA1624" s="50"/>
      <c r="BB1624" s="51"/>
      <c r="BC1624" s="51"/>
      <c r="BD1624" s="51"/>
      <c r="BE1624" s="51"/>
      <c r="BF1624" s="47"/>
      <c r="BG1624" s="47"/>
      <c r="BH1624" s="47"/>
      <c r="BI1624" s="47"/>
      <c r="BJ1624" s="47"/>
      <c r="BK1624" s="47"/>
      <c r="BL1624" s="47"/>
      <c r="BM1624" s="47"/>
      <c r="BN1624" s="47"/>
      <c r="BO1624" s="47"/>
      <c r="BP1624" s="47"/>
      <c r="BQ1624" s="47"/>
      <c r="BR1624" s="47"/>
      <c r="BS1624" s="47"/>
      <c r="BT1624" s="47"/>
    </row>
    <row r="1625">
      <c r="A1625" s="24"/>
      <c r="B1625" s="48"/>
      <c r="C1625" s="49"/>
      <c r="D1625" s="24"/>
      <c r="E1625" s="52"/>
      <c r="F1625" s="53"/>
      <c r="G1625" s="48"/>
      <c r="H1625" s="49"/>
      <c r="I1625" s="49"/>
      <c r="J1625" s="48"/>
      <c r="K1625" s="48"/>
      <c r="L1625" s="48"/>
      <c r="M1625" s="48"/>
      <c r="N1625" s="48"/>
      <c r="O1625" s="48"/>
      <c r="P1625" s="48"/>
      <c r="Q1625" s="48"/>
      <c r="R1625" s="48"/>
      <c r="S1625" s="48"/>
      <c r="T1625" s="48"/>
      <c r="U1625" s="48"/>
      <c r="V1625" s="48"/>
      <c r="W1625" s="49"/>
      <c r="X1625" s="49"/>
      <c r="Y1625" s="49"/>
      <c r="Z1625" s="49"/>
      <c r="AA1625" s="49"/>
      <c r="AB1625" s="49"/>
      <c r="AC1625" s="49"/>
      <c r="AD1625" s="49"/>
      <c r="AE1625" s="49"/>
      <c r="AF1625" s="49"/>
      <c r="AG1625" s="49"/>
      <c r="AH1625" s="49"/>
      <c r="AI1625" s="48"/>
      <c r="AJ1625" s="48"/>
      <c r="AK1625" s="24"/>
      <c r="AL1625" s="50"/>
      <c r="AM1625" s="50"/>
      <c r="AN1625" s="50"/>
      <c r="AO1625" s="50"/>
      <c r="AP1625" s="50"/>
      <c r="AQ1625" s="50"/>
      <c r="AR1625" s="50"/>
      <c r="AS1625" s="50"/>
      <c r="AT1625" s="51"/>
      <c r="AU1625" s="51"/>
      <c r="AV1625" s="51"/>
      <c r="AW1625" s="51"/>
      <c r="AX1625" s="50"/>
      <c r="AY1625" s="50"/>
      <c r="AZ1625" s="50"/>
      <c r="BA1625" s="50"/>
      <c r="BB1625" s="51"/>
      <c r="BC1625" s="51"/>
      <c r="BD1625" s="51"/>
      <c r="BE1625" s="51"/>
      <c r="BF1625" s="47"/>
      <c r="BG1625" s="47"/>
      <c r="BH1625" s="47"/>
      <c r="BI1625" s="47"/>
      <c r="BJ1625" s="47"/>
      <c r="BK1625" s="47"/>
      <c r="BL1625" s="47"/>
      <c r="BM1625" s="47"/>
      <c r="BN1625" s="47"/>
      <c r="BO1625" s="47"/>
      <c r="BP1625" s="47"/>
      <c r="BQ1625" s="47"/>
      <c r="BR1625" s="47"/>
      <c r="BS1625" s="47"/>
      <c r="BT1625" s="47"/>
    </row>
    <row r="1626">
      <c r="A1626" s="24"/>
      <c r="B1626" s="48"/>
      <c r="C1626" s="49"/>
      <c r="D1626" s="24"/>
      <c r="E1626" s="52"/>
      <c r="F1626" s="53"/>
      <c r="G1626" s="48"/>
      <c r="H1626" s="49"/>
      <c r="I1626" s="49"/>
      <c r="J1626" s="48"/>
      <c r="K1626" s="48"/>
      <c r="L1626" s="48"/>
      <c r="M1626" s="48"/>
      <c r="N1626" s="48"/>
      <c r="O1626" s="48"/>
      <c r="P1626" s="48"/>
      <c r="Q1626" s="48"/>
      <c r="R1626" s="48"/>
      <c r="S1626" s="48"/>
      <c r="T1626" s="48"/>
      <c r="U1626" s="48"/>
      <c r="V1626" s="48"/>
      <c r="W1626" s="49"/>
      <c r="X1626" s="49"/>
      <c r="Y1626" s="49"/>
      <c r="Z1626" s="49"/>
      <c r="AA1626" s="49"/>
      <c r="AB1626" s="49"/>
      <c r="AC1626" s="49"/>
      <c r="AD1626" s="49"/>
      <c r="AE1626" s="49"/>
      <c r="AF1626" s="49"/>
      <c r="AG1626" s="49"/>
      <c r="AH1626" s="49"/>
      <c r="AI1626" s="48"/>
      <c r="AJ1626" s="48"/>
      <c r="AK1626" s="24"/>
      <c r="AL1626" s="50"/>
      <c r="AM1626" s="50"/>
      <c r="AN1626" s="50"/>
      <c r="AO1626" s="50"/>
      <c r="AP1626" s="50"/>
      <c r="AQ1626" s="50"/>
      <c r="AR1626" s="50"/>
      <c r="AS1626" s="50"/>
      <c r="AT1626" s="51"/>
      <c r="AU1626" s="51"/>
      <c r="AV1626" s="51"/>
      <c r="AW1626" s="51"/>
      <c r="AX1626" s="50"/>
      <c r="AY1626" s="50"/>
      <c r="AZ1626" s="50"/>
      <c r="BA1626" s="50"/>
      <c r="BB1626" s="51"/>
      <c r="BC1626" s="51"/>
      <c r="BD1626" s="51"/>
      <c r="BE1626" s="51"/>
      <c r="BF1626" s="47"/>
      <c r="BG1626" s="47"/>
      <c r="BH1626" s="47"/>
      <c r="BI1626" s="47"/>
      <c r="BJ1626" s="47"/>
      <c r="BK1626" s="47"/>
      <c r="BL1626" s="47"/>
      <c r="BM1626" s="47"/>
      <c r="BN1626" s="47"/>
      <c r="BO1626" s="47"/>
      <c r="BP1626" s="47"/>
      <c r="BQ1626" s="47"/>
      <c r="BR1626" s="47"/>
      <c r="BS1626" s="47"/>
      <c r="BT1626" s="47"/>
    </row>
    <row r="1627">
      <c r="A1627" s="24"/>
      <c r="B1627" s="48"/>
      <c r="C1627" s="49"/>
      <c r="D1627" s="24"/>
      <c r="E1627" s="52"/>
      <c r="F1627" s="53"/>
      <c r="G1627" s="48"/>
      <c r="H1627" s="49"/>
      <c r="I1627" s="49"/>
      <c r="J1627" s="48"/>
      <c r="K1627" s="48"/>
      <c r="L1627" s="48"/>
      <c r="M1627" s="48"/>
      <c r="N1627" s="48"/>
      <c r="O1627" s="48"/>
      <c r="P1627" s="48"/>
      <c r="Q1627" s="48"/>
      <c r="R1627" s="48"/>
      <c r="S1627" s="48"/>
      <c r="T1627" s="48"/>
      <c r="U1627" s="48"/>
      <c r="V1627" s="48"/>
      <c r="W1627" s="49"/>
      <c r="X1627" s="49"/>
      <c r="Y1627" s="49"/>
      <c r="Z1627" s="49"/>
      <c r="AA1627" s="49"/>
      <c r="AB1627" s="49"/>
      <c r="AC1627" s="49"/>
      <c r="AD1627" s="49"/>
      <c r="AE1627" s="49"/>
      <c r="AF1627" s="49"/>
      <c r="AG1627" s="49"/>
      <c r="AH1627" s="49"/>
      <c r="AI1627" s="48"/>
      <c r="AJ1627" s="48"/>
      <c r="AK1627" s="24"/>
      <c r="AL1627" s="50"/>
      <c r="AM1627" s="50"/>
      <c r="AN1627" s="50"/>
      <c r="AO1627" s="50"/>
      <c r="AP1627" s="50"/>
      <c r="AQ1627" s="50"/>
      <c r="AR1627" s="50"/>
      <c r="AS1627" s="50"/>
      <c r="AT1627" s="51"/>
      <c r="AU1627" s="51"/>
      <c r="AV1627" s="51"/>
      <c r="AW1627" s="51"/>
      <c r="AX1627" s="50"/>
      <c r="AY1627" s="50"/>
      <c r="AZ1627" s="50"/>
      <c r="BA1627" s="50"/>
      <c r="BB1627" s="51"/>
      <c r="BC1627" s="51"/>
      <c r="BD1627" s="51"/>
      <c r="BE1627" s="51"/>
      <c r="BF1627" s="47"/>
      <c r="BG1627" s="47"/>
      <c r="BH1627" s="47"/>
      <c r="BI1627" s="47"/>
      <c r="BJ1627" s="47"/>
      <c r="BK1627" s="47"/>
      <c r="BL1627" s="47"/>
      <c r="BM1627" s="47"/>
      <c r="BN1627" s="47"/>
      <c r="BO1627" s="47"/>
      <c r="BP1627" s="47"/>
      <c r="BQ1627" s="47"/>
      <c r="BR1627" s="47"/>
      <c r="BS1627" s="47"/>
      <c r="BT1627" s="47"/>
    </row>
    <row r="1628">
      <c r="A1628" s="24"/>
      <c r="B1628" s="48"/>
      <c r="C1628" s="49"/>
      <c r="D1628" s="24"/>
      <c r="E1628" s="52"/>
      <c r="F1628" s="53"/>
      <c r="G1628" s="48"/>
      <c r="H1628" s="49"/>
      <c r="I1628" s="49"/>
      <c r="J1628" s="48"/>
      <c r="K1628" s="48"/>
      <c r="L1628" s="48"/>
      <c r="M1628" s="48"/>
      <c r="N1628" s="48"/>
      <c r="O1628" s="48"/>
      <c r="P1628" s="48"/>
      <c r="Q1628" s="48"/>
      <c r="R1628" s="48"/>
      <c r="S1628" s="48"/>
      <c r="T1628" s="48"/>
      <c r="U1628" s="48"/>
      <c r="V1628" s="48"/>
      <c r="W1628" s="49"/>
      <c r="X1628" s="49"/>
      <c r="Y1628" s="49"/>
      <c r="Z1628" s="49"/>
      <c r="AA1628" s="49"/>
      <c r="AB1628" s="49"/>
      <c r="AC1628" s="49"/>
      <c r="AD1628" s="49"/>
      <c r="AE1628" s="49"/>
      <c r="AF1628" s="49"/>
      <c r="AG1628" s="49"/>
      <c r="AH1628" s="49"/>
      <c r="AI1628" s="48"/>
      <c r="AJ1628" s="48"/>
      <c r="AK1628" s="24"/>
      <c r="AL1628" s="50"/>
      <c r="AM1628" s="50"/>
      <c r="AN1628" s="50"/>
      <c r="AO1628" s="50"/>
      <c r="AP1628" s="50"/>
      <c r="AQ1628" s="50"/>
      <c r="AR1628" s="50"/>
      <c r="AS1628" s="50"/>
      <c r="AT1628" s="51"/>
      <c r="AU1628" s="51"/>
      <c r="AV1628" s="51"/>
      <c r="AW1628" s="51"/>
      <c r="AX1628" s="50"/>
      <c r="AY1628" s="50"/>
      <c r="AZ1628" s="50"/>
      <c r="BA1628" s="50"/>
      <c r="BB1628" s="51"/>
      <c r="BC1628" s="51"/>
      <c r="BD1628" s="51"/>
      <c r="BE1628" s="51"/>
      <c r="BF1628" s="47"/>
      <c r="BG1628" s="47"/>
      <c r="BH1628" s="47"/>
      <c r="BI1628" s="47"/>
      <c r="BJ1628" s="47"/>
      <c r="BK1628" s="47"/>
      <c r="BL1628" s="47"/>
      <c r="BM1628" s="47"/>
      <c r="BN1628" s="47"/>
      <c r="BO1628" s="47"/>
      <c r="BP1628" s="47"/>
      <c r="BQ1628" s="47"/>
      <c r="BR1628" s="47"/>
      <c r="BS1628" s="47"/>
      <c r="BT1628" s="47"/>
    </row>
    <row r="1629">
      <c r="A1629" s="24"/>
      <c r="B1629" s="48"/>
      <c r="C1629" s="49"/>
      <c r="D1629" s="24"/>
      <c r="E1629" s="52"/>
      <c r="F1629" s="53"/>
      <c r="G1629" s="48"/>
      <c r="H1629" s="49"/>
      <c r="I1629" s="49"/>
      <c r="J1629" s="48"/>
      <c r="K1629" s="48"/>
      <c r="L1629" s="48"/>
      <c r="M1629" s="48"/>
      <c r="N1629" s="48"/>
      <c r="O1629" s="48"/>
      <c r="P1629" s="48"/>
      <c r="Q1629" s="48"/>
      <c r="R1629" s="48"/>
      <c r="S1629" s="48"/>
      <c r="T1629" s="48"/>
      <c r="U1629" s="48"/>
      <c r="V1629" s="48"/>
      <c r="W1629" s="49"/>
      <c r="X1629" s="49"/>
      <c r="Y1629" s="49"/>
      <c r="Z1629" s="49"/>
      <c r="AA1629" s="49"/>
      <c r="AB1629" s="49"/>
      <c r="AC1629" s="49"/>
      <c r="AD1629" s="49"/>
      <c r="AE1629" s="49"/>
      <c r="AF1629" s="49"/>
      <c r="AG1629" s="49"/>
      <c r="AH1629" s="49"/>
      <c r="AI1629" s="48"/>
      <c r="AJ1629" s="48"/>
      <c r="AK1629" s="24"/>
      <c r="AL1629" s="50"/>
      <c r="AM1629" s="50"/>
      <c r="AN1629" s="50"/>
      <c r="AO1629" s="50"/>
      <c r="AP1629" s="50"/>
      <c r="AQ1629" s="50"/>
      <c r="AR1629" s="50"/>
      <c r="AS1629" s="50"/>
      <c r="AT1629" s="51"/>
      <c r="AU1629" s="51"/>
      <c r="AV1629" s="51"/>
      <c r="AW1629" s="51"/>
      <c r="AX1629" s="50"/>
      <c r="AY1629" s="50"/>
      <c r="AZ1629" s="50"/>
      <c r="BA1629" s="50"/>
      <c r="BB1629" s="51"/>
      <c r="BC1629" s="51"/>
      <c r="BD1629" s="51"/>
      <c r="BE1629" s="51"/>
      <c r="BF1629" s="47"/>
      <c r="BG1629" s="47"/>
      <c r="BH1629" s="47"/>
      <c r="BI1629" s="47"/>
      <c r="BJ1629" s="47"/>
      <c r="BK1629" s="47"/>
      <c r="BL1629" s="47"/>
      <c r="BM1629" s="47"/>
      <c r="BN1629" s="47"/>
      <c r="BO1629" s="47"/>
      <c r="BP1629" s="47"/>
      <c r="BQ1629" s="47"/>
      <c r="BR1629" s="47"/>
      <c r="BS1629" s="47"/>
      <c r="BT1629" s="47"/>
    </row>
    <row r="1630">
      <c r="A1630" s="24"/>
      <c r="B1630" s="48"/>
      <c r="C1630" s="49"/>
      <c r="D1630" s="24"/>
      <c r="E1630" s="52"/>
      <c r="F1630" s="53"/>
      <c r="G1630" s="48"/>
      <c r="H1630" s="49"/>
      <c r="I1630" s="49"/>
      <c r="J1630" s="48"/>
      <c r="K1630" s="48"/>
      <c r="L1630" s="48"/>
      <c r="M1630" s="48"/>
      <c r="N1630" s="48"/>
      <c r="O1630" s="48"/>
      <c r="P1630" s="48"/>
      <c r="Q1630" s="48"/>
      <c r="R1630" s="48"/>
      <c r="S1630" s="48"/>
      <c r="T1630" s="48"/>
      <c r="U1630" s="48"/>
      <c r="V1630" s="48"/>
      <c r="W1630" s="49"/>
      <c r="X1630" s="49"/>
      <c r="Y1630" s="49"/>
      <c r="Z1630" s="49"/>
      <c r="AA1630" s="49"/>
      <c r="AB1630" s="49"/>
      <c r="AC1630" s="49"/>
      <c r="AD1630" s="49"/>
      <c r="AE1630" s="49"/>
      <c r="AF1630" s="49"/>
      <c r="AG1630" s="49"/>
      <c r="AH1630" s="49"/>
      <c r="AI1630" s="48"/>
      <c r="AJ1630" s="48"/>
      <c r="AK1630" s="24"/>
      <c r="AL1630" s="50"/>
      <c r="AM1630" s="50"/>
      <c r="AN1630" s="50"/>
      <c r="AO1630" s="50"/>
      <c r="AP1630" s="50"/>
      <c r="AQ1630" s="50"/>
      <c r="AR1630" s="50"/>
      <c r="AS1630" s="50"/>
      <c r="AT1630" s="51"/>
      <c r="AU1630" s="51"/>
      <c r="AV1630" s="51"/>
      <c r="AW1630" s="51"/>
      <c r="AX1630" s="50"/>
      <c r="AY1630" s="50"/>
      <c r="AZ1630" s="50"/>
      <c r="BA1630" s="50"/>
      <c r="BB1630" s="51"/>
      <c r="BC1630" s="51"/>
      <c r="BD1630" s="51"/>
      <c r="BE1630" s="51"/>
      <c r="BF1630" s="47"/>
      <c r="BG1630" s="47"/>
      <c r="BH1630" s="47"/>
      <c r="BI1630" s="47"/>
      <c r="BJ1630" s="47"/>
      <c r="BK1630" s="47"/>
      <c r="BL1630" s="47"/>
      <c r="BM1630" s="47"/>
      <c r="BN1630" s="47"/>
      <c r="BO1630" s="47"/>
      <c r="BP1630" s="47"/>
      <c r="BQ1630" s="47"/>
      <c r="BR1630" s="47"/>
      <c r="BS1630" s="47"/>
      <c r="BT1630" s="47"/>
    </row>
    <row r="1631">
      <c r="A1631" s="24"/>
      <c r="B1631" s="48"/>
      <c r="C1631" s="49"/>
      <c r="D1631" s="24"/>
      <c r="E1631" s="52"/>
      <c r="F1631" s="53"/>
      <c r="G1631" s="48"/>
      <c r="H1631" s="49"/>
      <c r="I1631" s="49"/>
      <c r="J1631" s="48"/>
      <c r="K1631" s="48"/>
      <c r="L1631" s="48"/>
      <c r="M1631" s="48"/>
      <c r="N1631" s="48"/>
      <c r="O1631" s="48"/>
      <c r="P1631" s="48"/>
      <c r="Q1631" s="48"/>
      <c r="R1631" s="48"/>
      <c r="S1631" s="48"/>
      <c r="T1631" s="48"/>
      <c r="U1631" s="48"/>
      <c r="V1631" s="48"/>
      <c r="W1631" s="49"/>
      <c r="X1631" s="49"/>
      <c r="Y1631" s="49"/>
      <c r="Z1631" s="49"/>
      <c r="AA1631" s="49"/>
      <c r="AB1631" s="49"/>
      <c r="AC1631" s="49"/>
      <c r="AD1631" s="49"/>
      <c r="AE1631" s="49"/>
      <c r="AF1631" s="49"/>
      <c r="AG1631" s="49"/>
      <c r="AH1631" s="49"/>
      <c r="AI1631" s="48"/>
      <c r="AJ1631" s="48"/>
      <c r="AK1631" s="24"/>
      <c r="AL1631" s="50"/>
      <c r="AM1631" s="50"/>
      <c r="AN1631" s="50"/>
      <c r="AO1631" s="50"/>
      <c r="AP1631" s="50"/>
      <c r="AQ1631" s="50"/>
      <c r="AR1631" s="50"/>
      <c r="AS1631" s="50"/>
      <c r="AT1631" s="51"/>
      <c r="AU1631" s="51"/>
      <c r="AV1631" s="51"/>
      <c r="AW1631" s="51"/>
      <c r="AX1631" s="50"/>
      <c r="AY1631" s="50"/>
      <c r="AZ1631" s="50"/>
      <c r="BA1631" s="50"/>
      <c r="BB1631" s="51"/>
      <c r="BC1631" s="51"/>
      <c r="BD1631" s="51"/>
      <c r="BE1631" s="51"/>
      <c r="BF1631" s="47"/>
      <c r="BG1631" s="47"/>
      <c r="BH1631" s="47"/>
      <c r="BI1631" s="47"/>
      <c r="BJ1631" s="47"/>
      <c r="BK1631" s="47"/>
      <c r="BL1631" s="47"/>
      <c r="BM1631" s="47"/>
      <c r="BN1631" s="47"/>
      <c r="BO1631" s="47"/>
      <c r="BP1631" s="47"/>
      <c r="BQ1631" s="47"/>
      <c r="BR1631" s="47"/>
      <c r="BS1631" s="47"/>
      <c r="BT1631" s="47"/>
    </row>
    <row r="1632">
      <c r="A1632" s="24"/>
      <c r="B1632" s="48"/>
      <c r="C1632" s="49"/>
      <c r="D1632" s="24"/>
      <c r="E1632" s="52"/>
      <c r="F1632" s="53"/>
      <c r="G1632" s="48"/>
      <c r="H1632" s="49"/>
      <c r="I1632" s="49"/>
      <c r="J1632" s="48"/>
      <c r="K1632" s="48"/>
      <c r="L1632" s="48"/>
      <c r="M1632" s="48"/>
      <c r="N1632" s="48"/>
      <c r="O1632" s="48"/>
      <c r="P1632" s="48"/>
      <c r="Q1632" s="48"/>
      <c r="R1632" s="48"/>
      <c r="S1632" s="48"/>
      <c r="T1632" s="48"/>
      <c r="U1632" s="48"/>
      <c r="V1632" s="48"/>
      <c r="W1632" s="49"/>
      <c r="X1632" s="49"/>
      <c r="Y1632" s="49"/>
      <c r="Z1632" s="49"/>
      <c r="AA1632" s="49"/>
      <c r="AB1632" s="49"/>
      <c r="AC1632" s="49"/>
      <c r="AD1632" s="49"/>
      <c r="AE1632" s="49"/>
      <c r="AF1632" s="49"/>
      <c r="AG1632" s="49"/>
      <c r="AH1632" s="49"/>
      <c r="AI1632" s="48"/>
      <c r="AJ1632" s="48"/>
      <c r="AK1632" s="24"/>
      <c r="AL1632" s="50"/>
      <c r="AM1632" s="50"/>
      <c r="AN1632" s="50"/>
      <c r="AO1632" s="50"/>
      <c r="AP1632" s="50"/>
      <c r="AQ1632" s="50"/>
      <c r="AR1632" s="50"/>
      <c r="AS1632" s="50"/>
      <c r="AT1632" s="51"/>
      <c r="AU1632" s="51"/>
      <c r="AV1632" s="51"/>
      <c r="AW1632" s="51"/>
      <c r="AX1632" s="50"/>
      <c r="AY1632" s="50"/>
      <c r="AZ1632" s="50"/>
      <c r="BA1632" s="50"/>
      <c r="BB1632" s="51"/>
      <c r="BC1632" s="51"/>
      <c r="BD1632" s="51"/>
      <c r="BE1632" s="51"/>
      <c r="BF1632" s="47"/>
      <c r="BG1632" s="47"/>
      <c r="BH1632" s="47"/>
      <c r="BI1632" s="47"/>
      <c r="BJ1632" s="47"/>
      <c r="BK1632" s="47"/>
      <c r="BL1632" s="47"/>
      <c r="BM1632" s="47"/>
      <c r="BN1632" s="47"/>
      <c r="BO1632" s="47"/>
      <c r="BP1632" s="47"/>
      <c r="BQ1632" s="47"/>
      <c r="BR1632" s="47"/>
      <c r="BS1632" s="47"/>
      <c r="BT1632" s="47"/>
    </row>
    <row r="1633">
      <c r="A1633" s="24"/>
      <c r="B1633" s="48"/>
      <c r="C1633" s="49"/>
      <c r="D1633" s="24"/>
      <c r="E1633" s="52"/>
      <c r="F1633" s="53"/>
      <c r="G1633" s="48"/>
      <c r="H1633" s="49"/>
      <c r="I1633" s="49"/>
      <c r="J1633" s="48"/>
      <c r="K1633" s="48"/>
      <c r="L1633" s="48"/>
      <c r="M1633" s="48"/>
      <c r="N1633" s="48"/>
      <c r="O1633" s="48"/>
      <c r="P1633" s="48"/>
      <c r="Q1633" s="48"/>
      <c r="R1633" s="48"/>
      <c r="S1633" s="48"/>
      <c r="T1633" s="48"/>
      <c r="U1633" s="48"/>
      <c r="V1633" s="48"/>
      <c r="W1633" s="49"/>
      <c r="X1633" s="49"/>
      <c r="Y1633" s="49"/>
      <c r="Z1633" s="49"/>
      <c r="AA1633" s="49"/>
      <c r="AB1633" s="49"/>
      <c r="AC1633" s="49"/>
      <c r="AD1633" s="49"/>
      <c r="AE1633" s="49"/>
      <c r="AF1633" s="49"/>
      <c r="AG1633" s="49"/>
      <c r="AH1633" s="49"/>
      <c r="AI1633" s="48"/>
      <c r="AJ1633" s="48"/>
      <c r="AK1633" s="24"/>
      <c r="AL1633" s="50"/>
      <c r="AM1633" s="50"/>
      <c r="AN1633" s="50"/>
      <c r="AO1633" s="50"/>
      <c r="AP1633" s="50"/>
      <c r="AQ1633" s="50"/>
      <c r="AR1633" s="50"/>
      <c r="AS1633" s="50"/>
      <c r="AT1633" s="51"/>
      <c r="AU1633" s="51"/>
      <c r="AV1633" s="51"/>
      <c r="AW1633" s="51"/>
      <c r="AX1633" s="50"/>
      <c r="AY1633" s="50"/>
      <c r="AZ1633" s="50"/>
      <c r="BA1633" s="50"/>
      <c r="BB1633" s="51"/>
      <c r="BC1633" s="51"/>
      <c r="BD1633" s="51"/>
      <c r="BE1633" s="51"/>
      <c r="BF1633" s="47"/>
      <c r="BG1633" s="47"/>
      <c r="BH1633" s="47"/>
      <c r="BI1633" s="47"/>
      <c r="BJ1633" s="47"/>
      <c r="BK1633" s="47"/>
      <c r="BL1633" s="47"/>
      <c r="BM1633" s="47"/>
      <c r="BN1633" s="47"/>
      <c r="BO1633" s="47"/>
      <c r="BP1633" s="47"/>
      <c r="BQ1633" s="47"/>
      <c r="BR1633" s="47"/>
      <c r="BS1633" s="47"/>
      <c r="BT1633" s="47"/>
    </row>
    <row r="1634">
      <c r="A1634" s="24"/>
      <c r="B1634" s="48"/>
      <c r="C1634" s="49"/>
      <c r="D1634" s="24"/>
      <c r="E1634" s="52"/>
      <c r="F1634" s="53"/>
      <c r="G1634" s="48"/>
      <c r="H1634" s="49"/>
      <c r="I1634" s="49"/>
      <c r="J1634" s="48"/>
      <c r="K1634" s="48"/>
      <c r="L1634" s="48"/>
      <c r="M1634" s="48"/>
      <c r="N1634" s="48"/>
      <c r="O1634" s="48"/>
      <c r="P1634" s="48"/>
      <c r="Q1634" s="48"/>
      <c r="R1634" s="48"/>
      <c r="S1634" s="48"/>
      <c r="T1634" s="48"/>
      <c r="U1634" s="48"/>
      <c r="V1634" s="48"/>
      <c r="W1634" s="49"/>
      <c r="X1634" s="49"/>
      <c r="Y1634" s="49"/>
      <c r="Z1634" s="49"/>
      <c r="AA1634" s="49"/>
      <c r="AB1634" s="49"/>
      <c r="AC1634" s="49"/>
      <c r="AD1634" s="49"/>
      <c r="AE1634" s="49"/>
      <c r="AF1634" s="49"/>
      <c r="AG1634" s="49"/>
      <c r="AH1634" s="49"/>
      <c r="AI1634" s="48"/>
      <c r="AJ1634" s="48"/>
      <c r="AK1634" s="24"/>
      <c r="AL1634" s="50"/>
      <c r="AM1634" s="50"/>
      <c r="AN1634" s="50"/>
      <c r="AO1634" s="50"/>
      <c r="AP1634" s="50"/>
      <c r="AQ1634" s="50"/>
      <c r="AR1634" s="50"/>
      <c r="AS1634" s="50"/>
      <c r="AT1634" s="51"/>
      <c r="AU1634" s="51"/>
      <c r="AV1634" s="51"/>
      <c r="AW1634" s="51"/>
      <c r="AX1634" s="50"/>
      <c r="AY1634" s="50"/>
      <c r="AZ1634" s="50"/>
      <c r="BA1634" s="50"/>
      <c r="BB1634" s="51"/>
      <c r="BC1634" s="51"/>
      <c r="BD1634" s="51"/>
      <c r="BE1634" s="51"/>
      <c r="BF1634" s="47"/>
      <c r="BG1634" s="47"/>
      <c r="BH1634" s="47"/>
      <c r="BI1634" s="47"/>
      <c r="BJ1634" s="47"/>
      <c r="BK1634" s="47"/>
      <c r="BL1634" s="47"/>
      <c r="BM1634" s="47"/>
      <c r="BN1634" s="47"/>
      <c r="BO1634" s="47"/>
      <c r="BP1634" s="47"/>
      <c r="BQ1634" s="47"/>
      <c r="BR1634" s="47"/>
      <c r="BS1634" s="47"/>
      <c r="BT1634" s="47"/>
    </row>
    <row r="1635">
      <c r="A1635" s="24"/>
      <c r="B1635" s="48"/>
      <c r="C1635" s="49"/>
      <c r="D1635" s="24"/>
      <c r="E1635" s="52"/>
      <c r="F1635" s="53"/>
      <c r="G1635" s="48"/>
      <c r="H1635" s="49"/>
      <c r="I1635" s="49"/>
      <c r="J1635" s="48"/>
      <c r="K1635" s="48"/>
      <c r="L1635" s="48"/>
      <c r="M1635" s="48"/>
      <c r="N1635" s="48"/>
      <c r="O1635" s="48"/>
      <c r="P1635" s="48"/>
      <c r="Q1635" s="48"/>
      <c r="R1635" s="48"/>
      <c r="S1635" s="48"/>
      <c r="T1635" s="48"/>
      <c r="U1635" s="48"/>
      <c r="V1635" s="48"/>
      <c r="W1635" s="49"/>
      <c r="X1635" s="49"/>
      <c r="Y1635" s="49"/>
      <c r="Z1635" s="49"/>
      <c r="AA1635" s="49"/>
      <c r="AB1635" s="49"/>
      <c r="AC1635" s="49"/>
      <c r="AD1635" s="49"/>
      <c r="AE1635" s="49"/>
      <c r="AF1635" s="49"/>
      <c r="AG1635" s="49"/>
      <c r="AH1635" s="49"/>
      <c r="AI1635" s="48"/>
      <c r="AJ1635" s="48"/>
      <c r="AK1635" s="24"/>
      <c r="AL1635" s="50"/>
      <c r="AM1635" s="50"/>
      <c r="AN1635" s="50"/>
      <c r="AO1635" s="50"/>
      <c r="AP1635" s="50"/>
      <c r="AQ1635" s="50"/>
      <c r="AR1635" s="50"/>
      <c r="AS1635" s="50"/>
      <c r="AT1635" s="51"/>
      <c r="AU1635" s="51"/>
      <c r="AV1635" s="51"/>
      <c r="AW1635" s="51"/>
      <c r="AX1635" s="50"/>
      <c r="AY1635" s="50"/>
      <c r="AZ1635" s="50"/>
      <c r="BA1635" s="50"/>
      <c r="BB1635" s="51"/>
      <c r="BC1635" s="51"/>
      <c r="BD1635" s="51"/>
      <c r="BE1635" s="51"/>
      <c r="BF1635" s="47"/>
      <c r="BG1635" s="47"/>
      <c r="BH1635" s="47"/>
      <c r="BI1635" s="47"/>
      <c r="BJ1635" s="47"/>
      <c r="BK1635" s="47"/>
      <c r="BL1635" s="47"/>
      <c r="BM1635" s="47"/>
      <c r="BN1635" s="47"/>
      <c r="BO1635" s="47"/>
      <c r="BP1635" s="47"/>
      <c r="BQ1635" s="47"/>
      <c r="BR1635" s="47"/>
      <c r="BS1635" s="47"/>
      <c r="BT1635" s="47"/>
    </row>
    <row r="1636">
      <c r="A1636" s="24"/>
      <c r="B1636" s="48"/>
      <c r="C1636" s="49"/>
      <c r="D1636" s="24"/>
      <c r="E1636" s="52"/>
      <c r="F1636" s="53"/>
      <c r="G1636" s="48"/>
      <c r="H1636" s="49"/>
      <c r="I1636" s="49"/>
      <c r="J1636" s="48"/>
      <c r="K1636" s="48"/>
      <c r="L1636" s="48"/>
      <c r="M1636" s="48"/>
      <c r="N1636" s="48"/>
      <c r="O1636" s="48"/>
      <c r="P1636" s="48"/>
      <c r="Q1636" s="48"/>
      <c r="R1636" s="48"/>
      <c r="S1636" s="48"/>
      <c r="T1636" s="48"/>
      <c r="U1636" s="48"/>
      <c r="V1636" s="48"/>
      <c r="W1636" s="49"/>
      <c r="X1636" s="49"/>
      <c r="Y1636" s="49"/>
      <c r="Z1636" s="49"/>
      <c r="AA1636" s="49"/>
      <c r="AB1636" s="49"/>
      <c r="AC1636" s="49"/>
      <c r="AD1636" s="49"/>
      <c r="AE1636" s="49"/>
      <c r="AF1636" s="49"/>
      <c r="AG1636" s="49"/>
      <c r="AH1636" s="49"/>
      <c r="AI1636" s="48"/>
      <c r="AJ1636" s="48"/>
      <c r="AK1636" s="24"/>
      <c r="AL1636" s="50"/>
      <c r="AM1636" s="50"/>
      <c r="AN1636" s="50"/>
      <c r="AO1636" s="50"/>
      <c r="AP1636" s="50"/>
      <c r="AQ1636" s="50"/>
      <c r="AR1636" s="50"/>
      <c r="AS1636" s="50"/>
      <c r="AT1636" s="51"/>
      <c r="AU1636" s="51"/>
      <c r="AV1636" s="51"/>
      <c r="AW1636" s="51"/>
      <c r="AX1636" s="50"/>
      <c r="AY1636" s="50"/>
      <c r="AZ1636" s="50"/>
      <c r="BA1636" s="50"/>
      <c r="BB1636" s="51"/>
      <c r="BC1636" s="51"/>
      <c r="BD1636" s="51"/>
      <c r="BE1636" s="51"/>
      <c r="BF1636" s="47"/>
      <c r="BG1636" s="47"/>
      <c r="BH1636" s="47"/>
      <c r="BI1636" s="47"/>
      <c r="BJ1636" s="47"/>
      <c r="BK1636" s="47"/>
      <c r="BL1636" s="47"/>
      <c r="BM1636" s="47"/>
      <c r="BN1636" s="47"/>
      <c r="BO1636" s="47"/>
      <c r="BP1636" s="47"/>
      <c r="BQ1636" s="47"/>
      <c r="BR1636" s="47"/>
      <c r="BS1636" s="47"/>
      <c r="BT1636" s="47"/>
    </row>
    <row r="1637">
      <c r="A1637" s="24"/>
      <c r="B1637" s="48"/>
      <c r="C1637" s="49"/>
      <c r="D1637" s="24"/>
      <c r="E1637" s="52"/>
      <c r="F1637" s="53"/>
      <c r="G1637" s="48"/>
      <c r="H1637" s="49"/>
      <c r="I1637" s="49"/>
      <c r="J1637" s="48"/>
      <c r="K1637" s="48"/>
      <c r="L1637" s="48"/>
      <c r="M1637" s="48"/>
      <c r="N1637" s="48"/>
      <c r="O1637" s="48"/>
      <c r="P1637" s="48"/>
      <c r="Q1637" s="48"/>
      <c r="R1637" s="48"/>
      <c r="S1637" s="48"/>
      <c r="T1637" s="48"/>
      <c r="U1637" s="48"/>
      <c r="V1637" s="48"/>
      <c r="W1637" s="49"/>
      <c r="X1637" s="49"/>
      <c r="Y1637" s="49"/>
      <c r="Z1637" s="49"/>
      <c r="AA1637" s="49"/>
      <c r="AB1637" s="49"/>
      <c r="AC1637" s="49"/>
      <c r="AD1637" s="49"/>
      <c r="AE1637" s="49"/>
      <c r="AF1637" s="49"/>
      <c r="AG1637" s="49"/>
      <c r="AH1637" s="49"/>
      <c r="AI1637" s="48"/>
      <c r="AJ1637" s="48"/>
      <c r="AK1637" s="24"/>
      <c r="AL1637" s="50"/>
      <c r="AM1637" s="50"/>
      <c r="AN1637" s="50"/>
      <c r="AO1637" s="50"/>
      <c r="AP1637" s="50"/>
      <c r="AQ1637" s="50"/>
      <c r="AR1637" s="50"/>
      <c r="AS1637" s="50"/>
      <c r="AT1637" s="51"/>
      <c r="AU1637" s="51"/>
      <c r="AV1637" s="51"/>
      <c r="AW1637" s="51"/>
      <c r="AX1637" s="50"/>
      <c r="AY1637" s="50"/>
      <c r="AZ1637" s="50"/>
      <c r="BA1637" s="50"/>
      <c r="BB1637" s="51"/>
      <c r="BC1637" s="51"/>
      <c r="BD1637" s="51"/>
      <c r="BE1637" s="51"/>
      <c r="BF1637" s="47"/>
      <c r="BG1637" s="47"/>
      <c r="BH1637" s="47"/>
      <c r="BI1637" s="47"/>
      <c r="BJ1637" s="47"/>
      <c r="BK1637" s="47"/>
      <c r="BL1637" s="47"/>
      <c r="BM1637" s="47"/>
      <c r="BN1637" s="47"/>
      <c r="BO1637" s="47"/>
      <c r="BP1637" s="47"/>
      <c r="BQ1637" s="47"/>
      <c r="BR1637" s="47"/>
      <c r="BS1637" s="47"/>
      <c r="BT1637" s="47"/>
    </row>
    <row r="1638">
      <c r="A1638" s="24"/>
      <c r="B1638" s="48"/>
      <c r="C1638" s="49"/>
      <c r="D1638" s="24"/>
      <c r="E1638" s="52"/>
      <c r="F1638" s="53"/>
      <c r="G1638" s="48"/>
      <c r="H1638" s="49"/>
      <c r="I1638" s="49"/>
      <c r="J1638" s="48"/>
      <c r="K1638" s="48"/>
      <c r="L1638" s="48"/>
      <c r="M1638" s="48"/>
      <c r="N1638" s="48"/>
      <c r="O1638" s="48"/>
      <c r="P1638" s="48"/>
      <c r="Q1638" s="48"/>
      <c r="R1638" s="48"/>
      <c r="S1638" s="48"/>
      <c r="T1638" s="48"/>
      <c r="U1638" s="48"/>
      <c r="V1638" s="48"/>
      <c r="W1638" s="49"/>
      <c r="X1638" s="49"/>
      <c r="Y1638" s="49"/>
      <c r="Z1638" s="49"/>
      <c r="AA1638" s="49"/>
      <c r="AB1638" s="49"/>
      <c r="AC1638" s="49"/>
      <c r="AD1638" s="49"/>
      <c r="AE1638" s="49"/>
      <c r="AF1638" s="49"/>
      <c r="AG1638" s="49"/>
      <c r="AH1638" s="49"/>
      <c r="AI1638" s="48"/>
      <c r="AJ1638" s="48"/>
      <c r="AK1638" s="24"/>
      <c r="AL1638" s="50"/>
      <c r="AM1638" s="50"/>
      <c r="AN1638" s="50"/>
      <c r="AO1638" s="50"/>
      <c r="AP1638" s="50"/>
      <c r="AQ1638" s="50"/>
      <c r="AR1638" s="50"/>
      <c r="AS1638" s="50"/>
      <c r="AT1638" s="51"/>
      <c r="AU1638" s="51"/>
      <c r="AV1638" s="51"/>
      <c r="AW1638" s="51"/>
      <c r="AX1638" s="50"/>
      <c r="AY1638" s="50"/>
      <c r="AZ1638" s="50"/>
      <c r="BA1638" s="50"/>
      <c r="BB1638" s="51"/>
      <c r="BC1638" s="51"/>
      <c r="BD1638" s="51"/>
      <c r="BE1638" s="51"/>
      <c r="BF1638" s="47"/>
      <c r="BG1638" s="47"/>
      <c r="BH1638" s="47"/>
      <c r="BI1638" s="47"/>
      <c r="BJ1638" s="47"/>
      <c r="BK1638" s="47"/>
      <c r="BL1638" s="47"/>
      <c r="BM1638" s="47"/>
      <c r="BN1638" s="47"/>
      <c r="BO1638" s="47"/>
      <c r="BP1638" s="47"/>
      <c r="BQ1638" s="47"/>
      <c r="BR1638" s="47"/>
      <c r="BS1638" s="47"/>
      <c r="BT1638" s="47"/>
    </row>
    <row r="1639">
      <c r="A1639" s="24"/>
      <c r="B1639" s="48"/>
      <c r="C1639" s="49"/>
      <c r="D1639" s="24"/>
      <c r="E1639" s="52"/>
      <c r="F1639" s="53"/>
      <c r="G1639" s="48"/>
      <c r="H1639" s="49"/>
      <c r="I1639" s="49"/>
      <c r="J1639" s="48"/>
      <c r="K1639" s="48"/>
      <c r="L1639" s="48"/>
      <c r="M1639" s="48"/>
      <c r="N1639" s="48"/>
      <c r="O1639" s="48"/>
      <c r="P1639" s="48"/>
      <c r="Q1639" s="48"/>
      <c r="R1639" s="48"/>
      <c r="S1639" s="48"/>
      <c r="T1639" s="48"/>
      <c r="U1639" s="48"/>
      <c r="V1639" s="48"/>
      <c r="W1639" s="49"/>
      <c r="X1639" s="49"/>
      <c r="Y1639" s="49"/>
      <c r="Z1639" s="49"/>
      <c r="AA1639" s="49"/>
      <c r="AB1639" s="49"/>
      <c r="AC1639" s="49"/>
      <c r="AD1639" s="49"/>
      <c r="AE1639" s="49"/>
      <c r="AF1639" s="49"/>
      <c r="AG1639" s="49"/>
      <c r="AH1639" s="49"/>
      <c r="AI1639" s="48"/>
      <c r="AJ1639" s="48"/>
      <c r="AK1639" s="24"/>
      <c r="AL1639" s="50"/>
      <c r="AM1639" s="50"/>
      <c r="AN1639" s="50"/>
      <c r="AO1639" s="50"/>
      <c r="AP1639" s="50"/>
      <c r="AQ1639" s="50"/>
      <c r="AR1639" s="50"/>
      <c r="AS1639" s="50"/>
      <c r="AT1639" s="51"/>
      <c r="AU1639" s="51"/>
      <c r="AV1639" s="51"/>
      <c r="AW1639" s="51"/>
      <c r="AX1639" s="50"/>
      <c r="AY1639" s="50"/>
      <c r="AZ1639" s="50"/>
      <c r="BA1639" s="50"/>
      <c r="BB1639" s="51"/>
      <c r="BC1639" s="51"/>
      <c r="BD1639" s="51"/>
      <c r="BE1639" s="51"/>
      <c r="BF1639" s="47"/>
      <c r="BG1639" s="47"/>
      <c r="BH1639" s="47"/>
      <c r="BI1639" s="47"/>
      <c r="BJ1639" s="47"/>
      <c r="BK1639" s="47"/>
      <c r="BL1639" s="47"/>
      <c r="BM1639" s="47"/>
      <c r="BN1639" s="47"/>
      <c r="BO1639" s="47"/>
      <c r="BP1639" s="47"/>
      <c r="BQ1639" s="47"/>
      <c r="BR1639" s="47"/>
      <c r="BS1639" s="47"/>
      <c r="BT1639" s="47"/>
    </row>
    <row r="1640">
      <c r="A1640" s="24"/>
      <c r="B1640" s="48"/>
      <c r="C1640" s="49"/>
      <c r="D1640" s="24"/>
      <c r="E1640" s="52"/>
      <c r="F1640" s="53"/>
      <c r="G1640" s="48"/>
      <c r="H1640" s="49"/>
      <c r="I1640" s="49"/>
      <c r="J1640" s="48"/>
      <c r="K1640" s="48"/>
      <c r="L1640" s="48"/>
      <c r="M1640" s="48"/>
      <c r="N1640" s="48"/>
      <c r="O1640" s="48"/>
      <c r="P1640" s="48"/>
      <c r="Q1640" s="48"/>
      <c r="R1640" s="48"/>
      <c r="S1640" s="48"/>
      <c r="T1640" s="48"/>
      <c r="U1640" s="48"/>
      <c r="V1640" s="48"/>
      <c r="W1640" s="49"/>
      <c r="X1640" s="49"/>
      <c r="Y1640" s="49"/>
      <c r="Z1640" s="49"/>
      <c r="AA1640" s="49"/>
      <c r="AB1640" s="49"/>
      <c r="AC1640" s="49"/>
      <c r="AD1640" s="49"/>
      <c r="AE1640" s="49"/>
      <c r="AF1640" s="49"/>
      <c r="AG1640" s="49"/>
      <c r="AH1640" s="49"/>
      <c r="AI1640" s="48"/>
      <c r="AJ1640" s="48"/>
      <c r="AK1640" s="24"/>
      <c r="AL1640" s="50"/>
      <c r="AM1640" s="50"/>
      <c r="AN1640" s="50"/>
      <c r="AO1640" s="50"/>
      <c r="AP1640" s="50"/>
      <c r="AQ1640" s="50"/>
      <c r="AR1640" s="50"/>
      <c r="AS1640" s="50"/>
      <c r="AT1640" s="51"/>
      <c r="AU1640" s="51"/>
      <c r="AV1640" s="51"/>
      <c r="AW1640" s="51"/>
      <c r="AX1640" s="50"/>
      <c r="AY1640" s="50"/>
      <c r="AZ1640" s="50"/>
      <c r="BA1640" s="50"/>
      <c r="BB1640" s="51"/>
      <c r="BC1640" s="51"/>
      <c r="BD1640" s="51"/>
      <c r="BE1640" s="51"/>
      <c r="BF1640" s="47"/>
      <c r="BG1640" s="47"/>
      <c r="BH1640" s="47"/>
      <c r="BI1640" s="47"/>
      <c r="BJ1640" s="47"/>
      <c r="BK1640" s="47"/>
      <c r="BL1640" s="47"/>
      <c r="BM1640" s="47"/>
      <c r="BN1640" s="47"/>
      <c r="BO1640" s="47"/>
      <c r="BP1640" s="47"/>
      <c r="BQ1640" s="47"/>
      <c r="BR1640" s="47"/>
      <c r="BS1640" s="47"/>
      <c r="BT1640" s="47"/>
    </row>
    <row r="1641">
      <c r="A1641" s="24"/>
      <c r="B1641" s="48"/>
      <c r="C1641" s="49"/>
      <c r="D1641" s="24"/>
      <c r="E1641" s="52"/>
      <c r="F1641" s="53"/>
      <c r="G1641" s="48"/>
      <c r="H1641" s="49"/>
      <c r="I1641" s="49"/>
      <c r="J1641" s="48"/>
      <c r="K1641" s="48"/>
      <c r="L1641" s="48"/>
      <c r="M1641" s="48"/>
      <c r="N1641" s="48"/>
      <c r="O1641" s="48"/>
      <c r="P1641" s="48"/>
      <c r="Q1641" s="48"/>
      <c r="R1641" s="48"/>
      <c r="S1641" s="48"/>
      <c r="T1641" s="48"/>
      <c r="U1641" s="48"/>
      <c r="V1641" s="48"/>
      <c r="W1641" s="49"/>
      <c r="X1641" s="49"/>
      <c r="Y1641" s="49"/>
      <c r="Z1641" s="49"/>
      <c r="AA1641" s="49"/>
      <c r="AB1641" s="49"/>
      <c r="AC1641" s="49"/>
      <c r="AD1641" s="49"/>
      <c r="AE1641" s="49"/>
      <c r="AF1641" s="49"/>
      <c r="AG1641" s="49"/>
      <c r="AH1641" s="49"/>
      <c r="AI1641" s="48"/>
      <c r="AJ1641" s="48"/>
      <c r="AK1641" s="24"/>
      <c r="AL1641" s="50"/>
      <c r="AM1641" s="50"/>
      <c r="AN1641" s="50"/>
      <c r="AO1641" s="50"/>
      <c r="AP1641" s="50"/>
      <c r="AQ1641" s="50"/>
      <c r="AR1641" s="50"/>
      <c r="AS1641" s="50"/>
      <c r="AT1641" s="51"/>
      <c r="AU1641" s="51"/>
      <c r="AV1641" s="51"/>
      <c r="AW1641" s="51"/>
      <c r="AX1641" s="50"/>
      <c r="AY1641" s="50"/>
      <c r="AZ1641" s="50"/>
      <c r="BA1641" s="50"/>
      <c r="BB1641" s="51"/>
      <c r="BC1641" s="51"/>
      <c r="BD1641" s="51"/>
      <c r="BE1641" s="51"/>
      <c r="BF1641" s="47"/>
      <c r="BG1641" s="47"/>
      <c r="BH1641" s="47"/>
      <c r="BI1641" s="47"/>
      <c r="BJ1641" s="47"/>
      <c r="BK1641" s="47"/>
      <c r="BL1641" s="47"/>
      <c r="BM1641" s="47"/>
      <c r="BN1641" s="47"/>
      <c r="BO1641" s="47"/>
      <c r="BP1641" s="47"/>
      <c r="BQ1641" s="47"/>
      <c r="BR1641" s="47"/>
      <c r="BS1641" s="47"/>
      <c r="BT1641" s="47"/>
    </row>
    <row r="1642">
      <c r="A1642" s="24"/>
      <c r="B1642" s="48"/>
      <c r="C1642" s="49"/>
      <c r="D1642" s="24"/>
      <c r="E1642" s="52"/>
      <c r="F1642" s="53"/>
      <c r="G1642" s="48"/>
      <c r="H1642" s="49"/>
      <c r="I1642" s="49"/>
      <c r="J1642" s="48"/>
      <c r="K1642" s="48"/>
      <c r="L1642" s="48"/>
      <c r="M1642" s="48"/>
      <c r="N1642" s="48"/>
      <c r="O1642" s="48"/>
      <c r="P1642" s="48"/>
      <c r="Q1642" s="48"/>
      <c r="R1642" s="48"/>
      <c r="S1642" s="48"/>
      <c r="T1642" s="48"/>
      <c r="U1642" s="48"/>
      <c r="V1642" s="48"/>
      <c r="W1642" s="49"/>
      <c r="X1642" s="49"/>
      <c r="Y1642" s="49"/>
      <c r="Z1642" s="49"/>
      <c r="AA1642" s="49"/>
      <c r="AB1642" s="49"/>
      <c r="AC1642" s="49"/>
      <c r="AD1642" s="49"/>
      <c r="AE1642" s="49"/>
      <c r="AF1642" s="49"/>
      <c r="AG1642" s="49"/>
      <c r="AH1642" s="49"/>
      <c r="AI1642" s="48"/>
      <c r="AJ1642" s="48"/>
      <c r="AK1642" s="24"/>
      <c r="AL1642" s="50"/>
      <c r="AM1642" s="50"/>
      <c r="AN1642" s="50"/>
      <c r="AO1642" s="50"/>
      <c r="AP1642" s="50"/>
      <c r="AQ1642" s="50"/>
      <c r="AR1642" s="50"/>
      <c r="AS1642" s="50"/>
      <c r="AT1642" s="51"/>
      <c r="AU1642" s="51"/>
      <c r="AV1642" s="51"/>
      <c r="AW1642" s="51"/>
      <c r="AX1642" s="50"/>
      <c r="AY1642" s="50"/>
      <c r="AZ1642" s="50"/>
      <c r="BA1642" s="50"/>
      <c r="BB1642" s="51"/>
      <c r="BC1642" s="51"/>
      <c r="BD1642" s="51"/>
      <c r="BE1642" s="51"/>
      <c r="BF1642" s="47"/>
      <c r="BG1642" s="47"/>
      <c r="BH1642" s="47"/>
      <c r="BI1642" s="47"/>
      <c r="BJ1642" s="47"/>
      <c r="BK1642" s="47"/>
      <c r="BL1642" s="47"/>
      <c r="BM1642" s="47"/>
      <c r="BN1642" s="47"/>
      <c r="BO1642" s="47"/>
      <c r="BP1642" s="47"/>
      <c r="BQ1642" s="47"/>
      <c r="BR1642" s="47"/>
      <c r="BS1642" s="47"/>
      <c r="BT1642" s="47"/>
    </row>
    <row r="1643">
      <c r="A1643" s="24"/>
      <c r="B1643" s="48"/>
      <c r="C1643" s="49"/>
      <c r="D1643" s="24"/>
      <c r="E1643" s="52"/>
      <c r="F1643" s="53"/>
      <c r="G1643" s="48"/>
      <c r="H1643" s="49"/>
      <c r="I1643" s="49"/>
      <c r="J1643" s="48"/>
      <c r="K1643" s="48"/>
      <c r="L1643" s="48"/>
      <c r="M1643" s="48"/>
      <c r="N1643" s="48"/>
      <c r="O1643" s="48"/>
      <c r="P1643" s="48"/>
      <c r="Q1643" s="48"/>
      <c r="R1643" s="48"/>
      <c r="S1643" s="48"/>
      <c r="T1643" s="48"/>
      <c r="U1643" s="48"/>
      <c r="V1643" s="48"/>
      <c r="W1643" s="49"/>
      <c r="X1643" s="49"/>
      <c r="Y1643" s="49"/>
      <c r="Z1643" s="49"/>
      <c r="AA1643" s="49"/>
      <c r="AB1643" s="49"/>
      <c r="AC1643" s="49"/>
      <c r="AD1643" s="49"/>
      <c r="AE1643" s="49"/>
      <c r="AF1643" s="49"/>
      <c r="AG1643" s="49"/>
      <c r="AH1643" s="49"/>
      <c r="AI1643" s="48"/>
      <c r="AJ1643" s="48"/>
      <c r="AK1643" s="24"/>
      <c r="AL1643" s="50"/>
      <c r="AM1643" s="50"/>
      <c r="AN1643" s="50"/>
      <c r="AO1643" s="50"/>
      <c r="AP1643" s="50"/>
      <c r="AQ1643" s="50"/>
      <c r="AR1643" s="50"/>
      <c r="AS1643" s="50"/>
      <c r="AT1643" s="51"/>
      <c r="AU1643" s="51"/>
      <c r="AV1643" s="51"/>
      <c r="AW1643" s="51"/>
      <c r="AX1643" s="50"/>
      <c r="AY1643" s="50"/>
      <c r="AZ1643" s="50"/>
      <c r="BA1643" s="50"/>
      <c r="BB1643" s="51"/>
      <c r="BC1643" s="51"/>
      <c r="BD1643" s="51"/>
      <c r="BE1643" s="51"/>
      <c r="BF1643" s="47"/>
      <c r="BG1643" s="47"/>
      <c r="BH1643" s="47"/>
      <c r="BI1643" s="47"/>
      <c r="BJ1643" s="47"/>
      <c r="BK1643" s="47"/>
      <c r="BL1643" s="47"/>
      <c r="BM1643" s="47"/>
      <c r="BN1643" s="47"/>
      <c r="BO1643" s="47"/>
      <c r="BP1643" s="47"/>
      <c r="BQ1643" s="47"/>
      <c r="BR1643" s="47"/>
      <c r="BS1643" s="47"/>
      <c r="BT1643" s="47"/>
    </row>
    <row r="1644">
      <c r="A1644" s="24"/>
      <c r="B1644" s="48"/>
      <c r="C1644" s="49"/>
      <c r="D1644" s="24"/>
      <c r="E1644" s="52"/>
      <c r="F1644" s="53"/>
      <c r="G1644" s="48"/>
      <c r="H1644" s="49"/>
      <c r="I1644" s="49"/>
      <c r="J1644" s="48"/>
      <c r="K1644" s="48"/>
      <c r="L1644" s="48"/>
      <c r="M1644" s="48"/>
      <c r="N1644" s="48"/>
      <c r="O1644" s="48"/>
      <c r="P1644" s="48"/>
      <c r="Q1644" s="48"/>
      <c r="R1644" s="48"/>
      <c r="S1644" s="48"/>
      <c r="T1644" s="48"/>
      <c r="U1644" s="48"/>
      <c r="V1644" s="48"/>
      <c r="W1644" s="49"/>
      <c r="X1644" s="49"/>
      <c r="Y1644" s="49"/>
      <c r="Z1644" s="49"/>
      <c r="AA1644" s="49"/>
      <c r="AB1644" s="49"/>
      <c r="AC1644" s="49"/>
      <c r="AD1644" s="49"/>
      <c r="AE1644" s="49"/>
      <c r="AF1644" s="49"/>
      <c r="AG1644" s="49"/>
      <c r="AH1644" s="49"/>
      <c r="AI1644" s="48"/>
      <c r="AJ1644" s="48"/>
      <c r="AK1644" s="24"/>
      <c r="AL1644" s="50"/>
      <c r="AM1644" s="50"/>
      <c r="AN1644" s="50"/>
      <c r="AO1644" s="50"/>
      <c r="AP1644" s="50"/>
      <c r="AQ1644" s="50"/>
      <c r="AR1644" s="50"/>
      <c r="AS1644" s="50"/>
      <c r="AT1644" s="51"/>
      <c r="AU1644" s="51"/>
      <c r="AV1644" s="51"/>
      <c r="AW1644" s="51"/>
      <c r="AX1644" s="50"/>
      <c r="AY1644" s="50"/>
      <c r="AZ1644" s="50"/>
      <c r="BA1644" s="50"/>
      <c r="BB1644" s="51"/>
      <c r="BC1644" s="51"/>
      <c r="BD1644" s="51"/>
      <c r="BE1644" s="51"/>
      <c r="BF1644" s="47"/>
      <c r="BG1644" s="47"/>
      <c r="BH1644" s="47"/>
      <c r="BI1644" s="47"/>
      <c r="BJ1644" s="47"/>
      <c r="BK1644" s="47"/>
      <c r="BL1644" s="47"/>
      <c r="BM1644" s="47"/>
      <c r="BN1644" s="47"/>
      <c r="BO1644" s="47"/>
      <c r="BP1644" s="47"/>
      <c r="BQ1644" s="47"/>
      <c r="BR1644" s="47"/>
      <c r="BS1644" s="47"/>
      <c r="BT1644" s="47"/>
    </row>
    <row r="1645">
      <c r="A1645" s="24"/>
      <c r="B1645" s="48"/>
      <c r="C1645" s="49"/>
      <c r="D1645" s="24"/>
      <c r="E1645" s="52"/>
      <c r="F1645" s="53"/>
      <c r="G1645" s="48"/>
      <c r="H1645" s="49"/>
      <c r="I1645" s="49"/>
      <c r="J1645" s="48"/>
      <c r="K1645" s="48"/>
      <c r="L1645" s="48"/>
      <c r="M1645" s="48"/>
      <c r="N1645" s="48"/>
      <c r="O1645" s="48"/>
      <c r="P1645" s="48"/>
      <c r="Q1645" s="48"/>
      <c r="R1645" s="48"/>
      <c r="S1645" s="48"/>
      <c r="T1645" s="48"/>
      <c r="U1645" s="48"/>
      <c r="V1645" s="48"/>
      <c r="W1645" s="49"/>
      <c r="X1645" s="49"/>
      <c r="Y1645" s="49"/>
      <c r="Z1645" s="49"/>
      <c r="AA1645" s="49"/>
      <c r="AB1645" s="49"/>
      <c r="AC1645" s="49"/>
      <c r="AD1645" s="49"/>
      <c r="AE1645" s="49"/>
      <c r="AF1645" s="49"/>
      <c r="AG1645" s="49"/>
      <c r="AH1645" s="49"/>
      <c r="AI1645" s="48"/>
      <c r="AJ1645" s="48"/>
      <c r="AK1645" s="24"/>
      <c r="AL1645" s="50"/>
      <c r="AM1645" s="50"/>
      <c r="AN1645" s="50"/>
      <c r="AO1645" s="50"/>
      <c r="AP1645" s="50"/>
      <c r="AQ1645" s="50"/>
      <c r="AR1645" s="50"/>
      <c r="AS1645" s="50"/>
      <c r="AT1645" s="51"/>
      <c r="AU1645" s="51"/>
      <c r="AV1645" s="51"/>
      <c r="AW1645" s="51"/>
      <c r="AX1645" s="50"/>
      <c r="AY1645" s="50"/>
      <c r="AZ1645" s="50"/>
      <c r="BA1645" s="50"/>
      <c r="BB1645" s="51"/>
      <c r="BC1645" s="51"/>
      <c r="BD1645" s="51"/>
      <c r="BE1645" s="51"/>
      <c r="BF1645" s="47"/>
      <c r="BG1645" s="47"/>
      <c r="BH1645" s="47"/>
      <c r="BI1645" s="47"/>
      <c r="BJ1645" s="47"/>
      <c r="BK1645" s="47"/>
      <c r="BL1645" s="47"/>
      <c r="BM1645" s="47"/>
      <c r="BN1645" s="47"/>
      <c r="BO1645" s="47"/>
      <c r="BP1645" s="47"/>
      <c r="BQ1645" s="47"/>
      <c r="BR1645" s="47"/>
      <c r="BS1645" s="47"/>
      <c r="BT1645" s="47"/>
    </row>
    <row r="1646">
      <c r="A1646" s="24"/>
      <c r="B1646" s="48"/>
      <c r="C1646" s="49"/>
      <c r="D1646" s="24"/>
      <c r="E1646" s="52"/>
      <c r="F1646" s="53"/>
      <c r="G1646" s="48"/>
      <c r="H1646" s="49"/>
      <c r="I1646" s="49"/>
      <c r="J1646" s="48"/>
      <c r="K1646" s="48"/>
      <c r="L1646" s="48"/>
      <c r="M1646" s="48"/>
      <c r="N1646" s="48"/>
      <c r="O1646" s="48"/>
      <c r="P1646" s="48"/>
      <c r="Q1646" s="48"/>
      <c r="R1646" s="48"/>
      <c r="S1646" s="48"/>
      <c r="T1646" s="48"/>
      <c r="U1646" s="48"/>
      <c r="V1646" s="48"/>
      <c r="W1646" s="49"/>
      <c r="X1646" s="49"/>
      <c r="Y1646" s="49"/>
      <c r="Z1646" s="49"/>
      <c r="AA1646" s="49"/>
      <c r="AB1646" s="49"/>
      <c r="AC1646" s="49"/>
      <c r="AD1646" s="49"/>
      <c r="AE1646" s="49"/>
      <c r="AF1646" s="49"/>
      <c r="AG1646" s="49"/>
      <c r="AH1646" s="49"/>
      <c r="AI1646" s="48"/>
      <c r="AJ1646" s="48"/>
      <c r="AK1646" s="24"/>
      <c r="AL1646" s="50"/>
      <c r="AM1646" s="50"/>
      <c r="AN1646" s="50"/>
      <c r="AO1646" s="50"/>
      <c r="AP1646" s="50"/>
      <c r="AQ1646" s="50"/>
      <c r="AR1646" s="50"/>
      <c r="AS1646" s="50"/>
      <c r="AT1646" s="51"/>
      <c r="AU1646" s="51"/>
      <c r="AV1646" s="51"/>
      <c r="AW1646" s="51"/>
      <c r="AX1646" s="50"/>
      <c r="AY1646" s="50"/>
      <c r="AZ1646" s="50"/>
      <c r="BA1646" s="50"/>
      <c r="BB1646" s="51"/>
      <c r="BC1646" s="51"/>
      <c r="BD1646" s="51"/>
      <c r="BE1646" s="51"/>
      <c r="BF1646" s="47"/>
      <c r="BG1646" s="47"/>
      <c r="BH1646" s="47"/>
      <c r="BI1646" s="47"/>
      <c r="BJ1646" s="47"/>
      <c r="BK1646" s="47"/>
      <c r="BL1646" s="47"/>
      <c r="BM1646" s="47"/>
      <c r="BN1646" s="47"/>
      <c r="BO1646" s="47"/>
      <c r="BP1646" s="47"/>
      <c r="BQ1646" s="47"/>
      <c r="BR1646" s="47"/>
      <c r="BS1646" s="47"/>
      <c r="BT1646" s="47"/>
    </row>
    <row r="1647">
      <c r="A1647" s="24"/>
      <c r="B1647" s="48"/>
      <c r="C1647" s="49"/>
      <c r="D1647" s="24"/>
      <c r="E1647" s="52"/>
      <c r="F1647" s="53"/>
      <c r="G1647" s="48"/>
      <c r="H1647" s="49"/>
      <c r="I1647" s="49"/>
      <c r="J1647" s="48"/>
      <c r="K1647" s="48"/>
      <c r="L1647" s="48"/>
      <c r="M1647" s="48"/>
      <c r="N1647" s="48"/>
      <c r="O1647" s="48"/>
      <c r="P1647" s="48"/>
      <c r="Q1647" s="48"/>
      <c r="R1647" s="48"/>
      <c r="S1647" s="48"/>
      <c r="T1647" s="48"/>
      <c r="U1647" s="48"/>
      <c r="V1647" s="48"/>
      <c r="W1647" s="49"/>
      <c r="X1647" s="49"/>
      <c r="Y1647" s="49"/>
      <c r="Z1647" s="49"/>
      <c r="AA1647" s="49"/>
      <c r="AB1647" s="49"/>
      <c r="AC1647" s="49"/>
      <c r="AD1647" s="49"/>
      <c r="AE1647" s="49"/>
      <c r="AF1647" s="49"/>
      <c r="AG1647" s="49"/>
      <c r="AH1647" s="49"/>
      <c r="AI1647" s="48"/>
      <c r="AJ1647" s="48"/>
      <c r="AK1647" s="24"/>
      <c r="AL1647" s="50"/>
      <c r="AM1647" s="50"/>
      <c r="AN1647" s="50"/>
      <c r="AO1647" s="50"/>
      <c r="AP1647" s="50"/>
      <c r="AQ1647" s="50"/>
      <c r="AR1647" s="50"/>
      <c r="AS1647" s="50"/>
      <c r="AT1647" s="51"/>
      <c r="AU1647" s="51"/>
      <c r="AV1647" s="51"/>
      <c r="AW1647" s="51"/>
      <c r="AX1647" s="50"/>
      <c r="AY1647" s="50"/>
      <c r="AZ1647" s="50"/>
      <c r="BA1647" s="50"/>
      <c r="BB1647" s="51"/>
      <c r="BC1647" s="51"/>
      <c r="BD1647" s="51"/>
      <c r="BE1647" s="51"/>
      <c r="BF1647" s="47"/>
      <c r="BG1647" s="47"/>
      <c r="BH1647" s="47"/>
      <c r="BI1647" s="47"/>
      <c r="BJ1647" s="47"/>
      <c r="BK1647" s="47"/>
      <c r="BL1647" s="47"/>
      <c r="BM1647" s="47"/>
      <c r="BN1647" s="47"/>
      <c r="BO1647" s="47"/>
      <c r="BP1647" s="47"/>
      <c r="BQ1647" s="47"/>
      <c r="BR1647" s="47"/>
      <c r="BS1647" s="47"/>
      <c r="BT1647" s="47"/>
    </row>
    <row r="1648">
      <c r="A1648" s="24"/>
      <c r="B1648" s="48"/>
      <c r="C1648" s="49"/>
      <c r="D1648" s="24"/>
      <c r="E1648" s="52"/>
      <c r="F1648" s="53"/>
      <c r="G1648" s="48"/>
      <c r="H1648" s="49"/>
      <c r="I1648" s="49"/>
      <c r="J1648" s="48"/>
      <c r="K1648" s="48"/>
      <c r="L1648" s="48"/>
      <c r="M1648" s="48"/>
      <c r="N1648" s="48"/>
      <c r="O1648" s="48"/>
      <c r="P1648" s="48"/>
      <c r="Q1648" s="48"/>
      <c r="R1648" s="48"/>
      <c r="S1648" s="48"/>
      <c r="T1648" s="48"/>
      <c r="U1648" s="48"/>
      <c r="V1648" s="48"/>
      <c r="W1648" s="49"/>
      <c r="X1648" s="49"/>
      <c r="Y1648" s="49"/>
      <c r="Z1648" s="49"/>
      <c r="AA1648" s="49"/>
      <c r="AB1648" s="49"/>
      <c r="AC1648" s="49"/>
      <c r="AD1648" s="49"/>
      <c r="AE1648" s="49"/>
      <c r="AF1648" s="49"/>
      <c r="AG1648" s="49"/>
      <c r="AH1648" s="49"/>
      <c r="AI1648" s="48"/>
      <c r="AJ1648" s="48"/>
      <c r="AK1648" s="24"/>
      <c r="AL1648" s="50"/>
      <c r="AM1648" s="50"/>
      <c r="AN1648" s="50"/>
      <c r="AO1648" s="50"/>
      <c r="AP1648" s="50"/>
      <c r="AQ1648" s="50"/>
      <c r="AR1648" s="50"/>
      <c r="AS1648" s="50"/>
      <c r="AT1648" s="51"/>
      <c r="AU1648" s="51"/>
      <c r="AV1648" s="51"/>
      <c r="AW1648" s="51"/>
      <c r="AX1648" s="50"/>
      <c r="AY1648" s="50"/>
      <c r="AZ1648" s="50"/>
      <c r="BA1648" s="50"/>
      <c r="BB1648" s="51"/>
      <c r="BC1648" s="51"/>
      <c r="BD1648" s="51"/>
      <c r="BE1648" s="51"/>
      <c r="BF1648" s="47"/>
      <c r="BG1648" s="47"/>
      <c r="BH1648" s="47"/>
      <c r="BI1648" s="47"/>
      <c r="BJ1648" s="47"/>
      <c r="BK1648" s="47"/>
      <c r="BL1648" s="47"/>
      <c r="BM1648" s="47"/>
      <c r="BN1648" s="47"/>
      <c r="BO1648" s="47"/>
      <c r="BP1648" s="47"/>
      <c r="BQ1648" s="47"/>
      <c r="BR1648" s="47"/>
      <c r="BS1648" s="47"/>
      <c r="BT1648" s="47"/>
    </row>
    <row r="1649">
      <c r="A1649" s="24"/>
      <c r="B1649" s="48"/>
      <c r="C1649" s="49"/>
      <c r="D1649" s="24"/>
      <c r="E1649" s="52"/>
      <c r="F1649" s="53"/>
      <c r="G1649" s="48"/>
      <c r="H1649" s="49"/>
      <c r="I1649" s="49"/>
      <c r="J1649" s="48"/>
      <c r="K1649" s="48"/>
      <c r="L1649" s="48"/>
      <c r="M1649" s="48"/>
      <c r="N1649" s="48"/>
      <c r="O1649" s="48"/>
      <c r="P1649" s="48"/>
      <c r="Q1649" s="48"/>
      <c r="R1649" s="48"/>
      <c r="S1649" s="48"/>
      <c r="T1649" s="48"/>
      <c r="U1649" s="48"/>
      <c r="V1649" s="48"/>
      <c r="W1649" s="49"/>
      <c r="X1649" s="49"/>
      <c r="Y1649" s="49"/>
      <c r="Z1649" s="49"/>
      <c r="AA1649" s="49"/>
      <c r="AB1649" s="49"/>
      <c r="AC1649" s="49"/>
      <c r="AD1649" s="49"/>
      <c r="AE1649" s="49"/>
      <c r="AF1649" s="49"/>
      <c r="AG1649" s="49"/>
      <c r="AH1649" s="49"/>
      <c r="AI1649" s="48"/>
      <c r="AJ1649" s="48"/>
      <c r="AK1649" s="24"/>
      <c r="AL1649" s="50"/>
      <c r="AM1649" s="50"/>
      <c r="AN1649" s="50"/>
      <c r="AO1649" s="50"/>
      <c r="AP1649" s="50"/>
      <c r="AQ1649" s="50"/>
      <c r="AR1649" s="50"/>
      <c r="AS1649" s="50"/>
      <c r="AT1649" s="51"/>
      <c r="AU1649" s="51"/>
      <c r="AV1649" s="51"/>
      <c r="AW1649" s="51"/>
      <c r="AX1649" s="50"/>
      <c r="AY1649" s="50"/>
      <c r="AZ1649" s="50"/>
      <c r="BA1649" s="50"/>
      <c r="BB1649" s="51"/>
      <c r="BC1649" s="51"/>
      <c r="BD1649" s="51"/>
      <c r="BE1649" s="51"/>
      <c r="BF1649" s="47"/>
      <c r="BG1649" s="47"/>
      <c r="BH1649" s="47"/>
      <c r="BI1649" s="47"/>
      <c r="BJ1649" s="47"/>
      <c r="BK1649" s="47"/>
      <c r="BL1649" s="47"/>
      <c r="BM1649" s="47"/>
      <c r="BN1649" s="47"/>
      <c r="BO1649" s="47"/>
      <c r="BP1649" s="47"/>
      <c r="BQ1649" s="47"/>
      <c r="BR1649" s="47"/>
      <c r="BS1649" s="47"/>
      <c r="BT1649" s="47"/>
    </row>
    <row r="1650">
      <c r="A1650" s="24"/>
      <c r="B1650" s="48"/>
      <c r="C1650" s="49"/>
      <c r="D1650" s="24"/>
      <c r="E1650" s="52"/>
      <c r="F1650" s="53"/>
      <c r="G1650" s="48"/>
      <c r="H1650" s="49"/>
      <c r="I1650" s="49"/>
      <c r="J1650" s="48"/>
      <c r="K1650" s="48"/>
      <c r="L1650" s="48"/>
      <c r="M1650" s="48"/>
      <c r="N1650" s="48"/>
      <c r="O1650" s="48"/>
      <c r="P1650" s="48"/>
      <c r="Q1650" s="48"/>
      <c r="R1650" s="48"/>
      <c r="S1650" s="48"/>
      <c r="T1650" s="48"/>
      <c r="U1650" s="48"/>
      <c r="V1650" s="48"/>
      <c r="W1650" s="49"/>
      <c r="X1650" s="49"/>
      <c r="Y1650" s="49"/>
      <c r="Z1650" s="49"/>
      <c r="AA1650" s="49"/>
      <c r="AB1650" s="49"/>
      <c r="AC1650" s="49"/>
      <c r="AD1650" s="49"/>
      <c r="AE1650" s="49"/>
      <c r="AF1650" s="49"/>
      <c r="AG1650" s="49"/>
      <c r="AH1650" s="49"/>
      <c r="AI1650" s="48"/>
      <c r="AJ1650" s="48"/>
      <c r="AK1650" s="24"/>
      <c r="AL1650" s="50"/>
      <c r="AM1650" s="50"/>
      <c r="AN1650" s="50"/>
      <c r="AO1650" s="50"/>
      <c r="AP1650" s="50"/>
      <c r="AQ1650" s="50"/>
      <c r="AR1650" s="50"/>
      <c r="AS1650" s="50"/>
      <c r="AT1650" s="51"/>
      <c r="AU1650" s="51"/>
      <c r="AV1650" s="51"/>
      <c r="AW1650" s="51"/>
      <c r="AX1650" s="50"/>
      <c r="AY1650" s="50"/>
      <c r="AZ1650" s="50"/>
      <c r="BA1650" s="50"/>
      <c r="BB1650" s="51"/>
      <c r="BC1650" s="51"/>
      <c r="BD1650" s="51"/>
      <c r="BE1650" s="51"/>
      <c r="BF1650" s="47"/>
      <c r="BG1650" s="47"/>
      <c r="BH1650" s="47"/>
      <c r="BI1650" s="47"/>
      <c r="BJ1650" s="47"/>
      <c r="BK1650" s="47"/>
      <c r="BL1650" s="47"/>
      <c r="BM1650" s="47"/>
      <c r="BN1650" s="47"/>
      <c r="BO1650" s="47"/>
      <c r="BP1650" s="47"/>
      <c r="BQ1650" s="47"/>
      <c r="BR1650" s="47"/>
      <c r="BS1650" s="47"/>
      <c r="BT1650" s="47"/>
    </row>
    <row r="1651">
      <c r="A1651" s="24"/>
      <c r="B1651" s="48"/>
      <c r="C1651" s="49"/>
      <c r="D1651" s="24"/>
      <c r="E1651" s="52"/>
      <c r="F1651" s="53"/>
      <c r="G1651" s="48"/>
      <c r="H1651" s="49"/>
      <c r="I1651" s="49"/>
      <c r="J1651" s="48"/>
      <c r="K1651" s="48"/>
      <c r="L1651" s="48"/>
      <c r="M1651" s="48"/>
      <c r="N1651" s="48"/>
      <c r="O1651" s="48"/>
      <c r="P1651" s="48"/>
      <c r="Q1651" s="48"/>
      <c r="R1651" s="48"/>
      <c r="S1651" s="48"/>
      <c r="T1651" s="48"/>
      <c r="U1651" s="48"/>
      <c r="V1651" s="48"/>
      <c r="W1651" s="49"/>
      <c r="X1651" s="49"/>
      <c r="Y1651" s="49"/>
      <c r="Z1651" s="49"/>
      <c r="AA1651" s="49"/>
      <c r="AB1651" s="49"/>
      <c r="AC1651" s="49"/>
      <c r="AD1651" s="49"/>
      <c r="AE1651" s="49"/>
      <c r="AF1651" s="49"/>
      <c r="AG1651" s="49"/>
      <c r="AH1651" s="49"/>
      <c r="AI1651" s="48"/>
      <c r="AJ1651" s="48"/>
      <c r="AK1651" s="24"/>
      <c r="AL1651" s="50"/>
      <c r="AM1651" s="50"/>
      <c r="AN1651" s="50"/>
      <c r="AO1651" s="50"/>
      <c r="AP1651" s="50"/>
      <c r="AQ1651" s="50"/>
      <c r="AR1651" s="50"/>
      <c r="AS1651" s="50"/>
      <c r="AT1651" s="51"/>
      <c r="AU1651" s="51"/>
      <c r="AV1651" s="51"/>
      <c r="AW1651" s="51"/>
      <c r="AX1651" s="50"/>
      <c r="AY1651" s="50"/>
      <c r="AZ1651" s="50"/>
      <c r="BA1651" s="50"/>
      <c r="BB1651" s="51"/>
      <c r="BC1651" s="51"/>
      <c r="BD1651" s="51"/>
      <c r="BE1651" s="51"/>
      <c r="BF1651" s="47"/>
      <c r="BG1651" s="47"/>
      <c r="BH1651" s="47"/>
      <c r="BI1651" s="47"/>
      <c r="BJ1651" s="47"/>
      <c r="BK1651" s="47"/>
      <c r="BL1651" s="47"/>
      <c r="BM1651" s="47"/>
      <c r="BN1651" s="47"/>
      <c r="BO1651" s="47"/>
      <c r="BP1651" s="47"/>
      <c r="BQ1651" s="47"/>
      <c r="BR1651" s="47"/>
      <c r="BS1651" s="47"/>
      <c r="BT1651" s="47"/>
    </row>
    <row r="1652">
      <c r="A1652" s="24"/>
      <c r="B1652" s="48"/>
      <c r="C1652" s="49"/>
      <c r="D1652" s="24"/>
      <c r="E1652" s="52"/>
      <c r="F1652" s="53"/>
      <c r="G1652" s="48"/>
      <c r="H1652" s="49"/>
      <c r="I1652" s="49"/>
      <c r="J1652" s="48"/>
      <c r="K1652" s="48"/>
      <c r="L1652" s="48"/>
      <c r="M1652" s="48"/>
      <c r="N1652" s="48"/>
      <c r="O1652" s="48"/>
      <c r="P1652" s="48"/>
      <c r="Q1652" s="48"/>
      <c r="R1652" s="48"/>
      <c r="S1652" s="48"/>
      <c r="T1652" s="48"/>
      <c r="U1652" s="48"/>
      <c r="V1652" s="48"/>
      <c r="W1652" s="49"/>
      <c r="X1652" s="49"/>
      <c r="Y1652" s="49"/>
      <c r="Z1652" s="49"/>
      <c r="AA1652" s="49"/>
      <c r="AB1652" s="49"/>
      <c r="AC1652" s="49"/>
      <c r="AD1652" s="49"/>
      <c r="AE1652" s="49"/>
      <c r="AF1652" s="49"/>
      <c r="AG1652" s="49"/>
      <c r="AH1652" s="49"/>
      <c r="AI1652" s="48"/>
      <c r="AJ1652" s="48"/>
      <c r="AK1652" s="24"/>
      <c r="AL1652" s="50"/>
      <c r="AM1652" s="50"/>
      <c r="AN1652" s="50"/>
      <c r="AO1652" s="50"/>
      <c r="AP1652" s="50"/>
      <c r="AQ1652" s="50"/>
      <c r="AR1652" s="50"/>
      <c r="AS1652" s="50"/>
      <c r="AT1652" s="51"/>
      <c r="AU1652" s="51"/>
      <c r="AV1652" s="51"/>
      <c r="AW1652" s="51"/>
      <c r="AX1652" s="50"/>
      <c r="AY1652" s="50"/>
      <c r="AZ1652" s="50"/>
      <c r="BA1652" s="50"/>
      <c r="BB1652" s="51"/>
      <c r="BC1652" s="51"/>
      <c r="BD1652" s="51"/>
      <c r="BE1652" s="51"/>
      <c r="BF1652" s="47"/>
      <c r="BG1652" s="47"/>
      <c r="BH1652" s="47"/>
      <c r="BI1652" s="47"/>
      <c r="BJ1652" s="47"/>
      <c r="BK1652" s="47"/>
      <c r="BL1652" s="47"/>
      <c r="BM1652" s="47"/>
      <c r="BN1652" s="47"/>
      <c r="BO1652" s="47"/>
      <c r="BP1652" s="47"/>
      <c r="BQ1652" s="47"/>
      <c r="BR1652" s="47"/>
      <c r="BS1652" s="47"/>
      <c r="BT1652" s="47"/>
    </row>
    <row r="1653">
      <c r="A1653" s="24"/>
      <c r="B1653" s="48"/>
      <c r="C1653" s="49"/>
      <c r="D1653" s="24"/>
      <c r="E1653" s="52"/>
      <c r="F1653" s="53"/>
      <c r="G1653" s="48"/>
      <c r="H1653" s="49"/>
      <c r="I1653" s="49"/>
      <c r="J1653" s="48"/>
      <c r="K1653" s="48"/>
      <c r="L1653" s="48"/>
      <c r="M1653" s="48"/>
      <c r="N1653" s="48"/>
      <c r="O1653" s="48"/>
      <c r="P1653" s="48"/>
      <c r="Q1653" s="48"/>
      <c r="R1653" s="48"/>
      <c r="S1653" s="48"/>
      <c r="T1653" s="48"/>
      <c r="U1653" s="48"/>
      <c r="V1653" s="48"/>
      <c r="W1653" s="49"/>
      <c r="X1653" s="49"/>
      <c r="Y1653" s="49"/>
      <c r="Z1653" s="49"/>
      <c r="AA1653" s="49"/>
      <c r="AB1653" s="49"/>
      <c r="AC1653" s="49"/>
      <c r="AD1653" s="49"/>
      <c r="AE1653" s="49"/>
      <c r="AF1653" s="49"/>
      <c r="AG1653" s="49"/>
      <c r="AH1653" s="49"/>
      <c r="AI1653" s="48"/>
      <c r="AJ1653" s="48"/>
      <c r="AK1653" s="24"/>
      <c r="AL1653" s="50"/>
      <c r="AM1653" s="50"/>
      <c r="AN1653" s="50"/>
      <c r="AO1653" s="50"/>
      <c r="AP1653" s="50"/>
      <c r="AQ1653" s="50"/>
      <c r="AR1653" s="50"/>
      <c r="AS1653" s="50"/>
      <c r="AT1653" s="51"/>
      <c r="AU1653" s="51"/>
      <c r="AV1653" s="51"/>
      <c r="AW1653" s="51"/>
      <c r="AX1653" s="50"/>
      <c r="AY1653" s="50"/>
      <c r="AZ1653" s="50"/>
      <c r="BA1653" s="50"/>
      <c r="BB1653" s="51"/>
      <c r="BC1653" s="51"/>
      <c r="BD1653" s="51"/>
      <c r="BE1653" s="51"/>
      <c r="BF1653" s="47"/>
      <c r="BG1653" s="47"/>
      <c r="BH1653" s="47"/>
      <c r="BI1653" s="47"/>
      <c r="BJ1653" s="47"/>
      <c r="BK1653" s="47"/>
      <c r="BL1653" s="47"/>
      <c r="BM1653" s="47"/>
      <c r="BN1653" s="47"/>
      <c r="BO1653" s="47"/>
      <c r="BP1653" s="47"/>
      <c r="BQ1653" s="47"/>
      <c r="BR1653" s="47"/>
      <c r="BS1653" s="47"/>
      <c r="BT1653" s="47"/>
    </row>
    <row r="1654">
      <c r="A1654" s="24"/>
      <c r="B1654" s="48"/>
      <c r="C1654" s="49"/>
      <c r="D1654" s="24"/>
      <c r="E1654" s="52"/>
      <c r="F1654" s="53"/>
      <c r="G1654" s="48"/>
      <c r="H1654" s="49"/>
      <c r="I1654" s="49"/>
      <c r="J1654" s="48"/>
      <c r="K1654" s="48"/>
      <c r="L1654" s="48"/>
      <c r="M1654" s="48"/>
      <c r="N1654" s="48"/>
      <c r="O1654" s="48"/>
      <c r="P1654" s="48"/>
      <c r="Q1654" s="48"/>
      <c r="R1654" s="48"/>
      <c r="S1654" s="48"/>
      <c r="T1654" s="48"/>
      <c r="U1654" s="48"/>
      <c r="V1654" s="48"/>
      <c r="W1654" s="49"/>
      <c r="X1654" s="49"/>
      <c r="Y1654" s="49"/>
      <c r="Z1654" s="49"/>
      <c r="AA1654" s="49"/>
      <c r="AB1654" s="49"/>
      <c r="AC1654" s="49"/>
      <c r="AD1654" s="49"/>
      <c r="AE1654" s="49"/>
      <c r="AF1654" s="49"/>
      <c r="AG1654" s="49"/>
      <c r="AH1654" s="49"/>
      <c r="AI1654" s="48"/>
      <c r="AJ1654" s="48"/>
      <c r="AK1654" s="24"/>
      <c r="AL1654" s="50"/>
      <c r="AM1654" s="50"/>
      <c r="AN1654" s="50"/>
      <c r="AO1654" s="50"/>
      <c r="AP1654" s="50"/>
      <c r="AQ1654" s="50"/>
      <c r="AR1654" s="50"/>
      <c r="AS1654" s="50"/>
      <c r="AT1654" s="51"/>
      <c r="AU1654" s="51"/>
      <c r="AV1654" s="51"/>
      <c r="AW1654" s="51"/>
      <c r="AX1654" s="50"/>
      <c r="AY1654" s="50"/>
      <c r="AZ1654" s="50"/>
      <c r="BA1654" s="50"/>
      <c r="BB1654" s="51"/>
      <c r="BC1654" s="51"/>
      <c r="BD1654" s="51"/>
      <c r="BE1654" s="51"/>
      <c r="BF1654" s="47"/>
      <c r="BG1654" s="47"/>
      <c r="BH1654" s="47"/>
      <c r="BI1654" s="47"/>
      <c r="BJ1654" s="47"/>
      <c r="BK1654" s="47"/>
      <c r="BL1654" s="47"/>
      <c r="BM1654" s="47"/>
      <c r="BN1654" s="47"/>
      <c r="BO1654" s="47"/>
      <c r="BP1654" s="47"/>
      <c r="BQ1654" s="47"/>
      <c r="BR1654" s="47"/>
      <c r="BS1654" s="47"/>
      <c r="BT1654" s="47"/>
    </row>
    <row r="1655">
      <c r="A1655" s="24"/>
      <c r="B1655" s="48"/>
      <c r="C1655" s="49"/>
      <c r="D1655" s="24"/>
      <c r="E1655" s="52"/>
      <c r="F1655" s="53"/>
      <c r="G1655" s="48"/>
      <c r="H1655" s="49"/>
      <c r="I1655" s="49"/>
      <c r="J1655" s="48"/>
      <c r="K1655" s="48"/>
      <c r="L1655" s="48"/>
      <c r="M1655" s="48"/>
      <c r="N1655" s="48"/>
      <c r="O1655" s="48"/>
      <c r="P1655" s="48"/>
      <c r="Q1655" s="48"/>
      <c r="R1655" s="48"/>
      <c r="S1655" s="48"/>
      <c r="T1655" s="48"/>
      <c r="U1655" s="48"/>
      <c r="V1655" s="48"/>
      <c r="W1655" s="49"/>
      <c r="X1655" s="49"/>
      <c r="Y1655" s="49"/>
      <c r="Z1655" s="49"/>
      <c r="AA1655" s="49"/>
      <c r="AB1655" s="49"/>
      <c r="AC1655" s="49"/>
      <c r="AD1655" s="49"/>
      <c r="AE1655" s="49"/>
      <c r="AF1655" s="49"/>
      <c r="AG1655" s="49"/>
      <c r="AH1655" s="49"/>
      <c r="AI1655" s="48"/>
      <c r="AJ1655" s="48"/>
      <c r="AK1655" s="24"/>
      <c r="AL1655" s="50"/>
      <c r="AM1655" s="50"/>
      <c r="AN1655" s="50"/>
      <c r="AO1655" s="50"/>
      <c r="AP1655" s="50"/>
      <c r="AQ1655" s="50"/>
      <c r="AR1655" s="50"/>
      <c r="AS1655" s="50"/>
      <c r="AT1655" s="51"/>
      <c r="AU1655" s="51"/>
      <c r="AV1655" s="51"/>
      <c r="AW1655" s="51"/>
      <c r="AX1655" s="50"/>
      <c r="AY1655" s="50"/>
      <c r="AZ1655" s="50"/>
      <c r="BA1655" s="50"/>
      <c r="BB1655" s="51"/>
      <c r="BC1655" s="51"/>
      <c r="BD1655" s="51"/>
      <c r="BE1655" s="51"/>
      <c r="BF1655" s="47"/>
      <c r="BG1655" s="47"/>
      <c r="BH1655" s="47"/>
      <c r="BI1655" s="47"/>
      <c r="BJ1655" s="47"/>
      <c r="BK1655" s="47"/>
      <c r="BL1655" s="47"/>
      <c r="BM1655" s="47"/>
      <c r="BN1655" s="47"/>
      <c r="BO1655" s="47"/>
      <c r="BP1655" s="47"/>
      <c r="BQ1655" s="47"/>
      <c r="BR1655" s="47"/>
      <c r="BS1655" s="47"/>
      <c r="BT1655" s="47"/>
    </row>
    <row r="1656">
      <c r="A1656" s="24"/>
      <c r="B1656" s="48"/>
      <c r="C1656" s="49"/>
      <c r="D1656" s="24"/>
      <c r="E1656" s="52"/>
      <c r="F1656" s="53"/>
      <c r="G1656" s="48"/>
      <c r="H1656" s="49"/>
      <c r="I1656" s="49"/>
      <c r="J1656" s="48"/>
      <c r="K1656" s="48"/>
      <c r="L1656" s="48"/>
      <c r="M1656" s="48"/>
      <c r="N1656" s="48"/>
      <c r="O1656" s="48"/>
      <c r="P1656" s="48"/>
      <c r="Q1656" s="48"/>
      <c r="R1656" s="48"/>
      <c r="S1656" s="48"/>
      <c r="T1656" s="48"/>
      <c r="U1656" s="48"/>
      <c r="V1656" s="48"/>
      <c r="W1656" s="49"/>
      <c r="X1656" s="49"/>
      <c r="Y1656" s="49"/>
      <c r="Z1656" s="49"/>
      <c r="AA1656" s="49"/>
      <c r="AB1656" s="49"/>
      <c r="AC1656" s="49"/>
      <c r="AD1656" s="49"/>
      <c r="AE1656" s="49"/>
      <c r="AF1656" s="49"/>
      <c r="AG1656" s="49"/>
      <c r="AH1656" s="49"/>
      <c r="AI1656" s="48"/>
      <c r="AJ1656" s="48"/>
      <c r="AK1656" s="24"/>
      <c r="AL1656" s="50"/>
      <c r="AM1656" s="50"/>
      <c r="AN1656" s="50"/>
      <c r="AO1656" s="50"/>
      <c r="AP1656" s="50"/>
      <c r="AQ1656" s="50"/>
      <c r="AR1656" s="50"/>
      <c r="AS1656" s="50"/>
      <c r="AT1656" s="51"/>
      <c r="AU1656" s="51"/>
      <c r="AV1656" s="51"/>
      <c r="AW1656" s="51"/>
      <c r="AX1656" s="50"/>
      <c r="AY1656" s="50"/>
      <c r="AZ1656" s="50"/>
      <c r="BA1656" s="50"/>
      <c r="BB1656" s="51"/>
      <c r="BC1656" s="51"/>
      <c r="BD1656" s="51"/>
      <c r="BE1656" s="51"/>
      <c r="BF1656" s="47"/>
      <c r="BG1656" s="47"/>
      <c r="BH1656" s="47"/>
      <c r="BI1656" s="47"/>
      <c r="BJ1656" s="47"/>
      <c r="BK1656" s="47"/>
      <c r="BL1656" s="47"/>
      <c r="BM1656" s="47"/>
      <c r="BN1656" s="47"/>
      <c r="BO1656" s="47"/>
      <c r="BP1656" s="47"/>
      <c r="BQ1656" s="47"/>
      <c r="BR1656" s="47"/>
      <c r="BS1656" s="47"/>
      <c r="BT1656" s="47"/>
    </row>
    <row r="1657">
      <c r="A1657" s="24"/>
      <c r="B1657" s="48"/>
      <c r="C1657" s="49"/>
      <c r="D1657" s="24"/>
      <c r="E1657" s="52"/>
      <c r="F1657" s="53"/>
      <c r="G1657" s="48"/>
      <c r="H1657" s="49"/>
      <c r="I1657" s="49"/>
      <c r="J1657" s="48"/>
      <c r="K1657" s="48"/>
      <c r="L1657" s="48"/>
      <c r="M1657" s="48"/>
      <c r="N1657" s="48"/>
      <c r="O1657" s="48"/>
      <c r="P1657" s="48"/>
      <c r="Q1657" s="48"/>
      <c r="R1657" s="48"/>
      <c r="S1657" s="48"/>
      <c r="T1657" s="48"/>
      <c r="U1657" s="48"/>
      <c r="V1657" s="48"/>
      <c r="W1657" s="49"/>
      <c r="X1657" s="49"/>
      <c r="Y1657" s="49"/>
      <c r="Z1657" s="49"/>
      <c r="AA1657" s="49"/>
      <c r="AB1657" s="49"/>
      <c r="AC1657" s="49"/>
      <c r="AD1657" s="49"/>
      <c r="AE1657" s="49"/>
      <c r="AF1657" s="49"/>
      <c r="AG1657" s="49"/>
      <c r="AH1657" s="49"/>
      <c r="AI1657" s="48"/>
      <c r="AJ1657" s="48"/>
      <c r="AK1657" s="24"/>
      <c r="AL1657" s="50"/>
      <c r="AM1657" s="50"/>
      <c r="AN1657" s="50"/>
      <c r="AO1657" s="50"/>
      <c r="AP1657" s="50"/>
      <c r="AQ1657" s="50"/>
      <c r="AR1657" s="50"/>
      <c r="AS1657" s="50"/>
      <c r="AT1657" s="51"/>
      <c r="AU1657" s="51"/>
      <c r="AV1657" s="51"/>
      <c r="AW1657" s="51"/>
      <c r="AX1657" s="50"/>
      <c r="AY1657" s="50"/>
      <c r="AZ1657" s="50"/>
      <c r="BA1657" s="50"/>
      <c r="BB1657" s="51"/>
      <c r="BC1657" s="51"/>
      <c r="BD1657" s="51"/>
      <c r="BE1657" s="51"/>
      <c r="BF1657" s="47"/>
      <c r="BG1657" s="47"/>
      <c r="BH1657" s="47"/>
      <c r="BI1657" s="47"/>
      <c r="BJ1657" s="47"/>
      <c r="BK1657" s="47"/>
      <c r="BL1657" s="47"/>
      <c r="BM1657" s="47"/>
      <c r="BN1657" s="47"/>
      <c r="BO1657" s="47"/>
      <c r="BP1657" s="47"/>
      <c r="BQ1657" s="47"/>
      <c r="BR1657" s="47"/>
      <c r="BS1657" s="47"/>
      <c r="BT1657" s="47"/>
    </row>
    <row r="1658">
      <c r="A1658" s="24"/>
      <c r="B1658" s="48"/>
      <c r="C1658" s="49"/>
      <c r="D1658" s="24"/>
      <c r="E1658" s="52"/>
      <c r="F1658" s="53"/>
      <c r="G1658" s="48"/>
      <c r="H1658" s="49"/>
      <c r="I1658" s="49"/>
      <c r="J1658" s="48"/>
      <c r="K1658" s="48"/>
      <c r="L1658" s="48"/>
      <c r="M1658" s="48"/>
      <c r="N1658" s="48"/>
      <c r="O1658" s="48"/>
      <c r="P1658" s="48"/>
      <c r="Q1658" s="48"/>
      <c r="R1658" s="48"/>
      <c r="S1658" s="48"/>
      <c r="T1658" s="48"/>
      <c r="U1658" s="48"/>
      <c r="V1658" s="48"/>
      <c r="W1658" s="49"/>
      <c r="X1658" s="49"/>
      <c r="Y1658" s="49"/>
      <c r="Z1658" s="49"/>
      <c r="AA1658" s="49"/>
      <c r="AB1658" s="49"/>
      <c r="AC1658" s="49"/>
      <c r="AD1658" s="49"/>
      <c r="AE1658" s="49"/>
      <c r="AF1658" s="49"/>
      <c r="AG1658" s="49"/>
      <c r="AH1658" s="49"/>
      <c r="AI1658" s="48"/>
      <c r="AJ1658" s="48"/>
      <c r="AK1658" s="24"/>
      <c r="AL1658" s="50"/>
      <c r="AM1658" s="50"/>
      <c r="AN1658" s="50"/>
      <c r="AO1658" s="50"/>
      <c r="AP1658" s="50"/>
      <c r="AQ1658" s="50"/>
      <c r="AR1658" s="50"/>
      <c r="AS1658" s="50"/>
      <c r="AT1658" s="51"/>
      <c r="AU1658" s="51"/>
      <c r="AV1658" s="51"/>
      <c r="AW1658" s="51"/>
      <c r="AX1658" s="50"/>
      <c r="AY1658" s="50"/>
      <c r="AZ1658" s="50"/>
      <c r="BA1658" s="50"/>
      <c r="BB1658" s="51"/>
      <c r="BC1658" s="51"/>
      <c r="BD1658" s="51"/>
      <c r="BE1658" s="51"/>
      <c r="BF1658" s="47"/>
      <c r="BG1658" s="47"/>
      <c r="BH1658" s="47"/>
      <c r="BI1658" s="47"/>
      <c r="BJ1658" s="47"/>
      <c r="BK1658" s="47"/>
      <c r="BL1658" s="47"/>
      <c r="BM1658" s="47"/>
      <c r="BN1658" s="47"/>
      <c r="BO1658" s="47"/>
      <c r="BP1658" s="47"/>
      <c r="BQ1658" s="47"/>
      <c r="BR1658" s="47"/>
      <c r="BS1658" s="47"/>
      <c r="BT1658" s="47"/>
    </row>
    <row r="1659">
      <c r="A1659" s="24"/>
      <c r="B1659" s="48"/>
      <c r="C1659" s="49"/>
      <c r="D1659" s="24"/>
      <c r="E1659" s="52"/>
      <c r="F1659" s="53"/>
      <c r="G1659" s="48"/>
      <c r="H1659" s="49"/>
      <c r="I1659" s="49"/>
      <c r="J1659" s="48"/>
      <c r="K1659" s="48"/>
      <c r="L1659" s="48"/>
      <c r="M1659" s="48"/>
      <c r="N1659" s="48"/>
      <c r="O1659" s="48"/>
      <c r="P1659" s="48"/>
      <c r="Q1659" s="48"/>
      <c r="R1659" s="48"/>
      <c r="S1659" s="48"/>
      <c r="T1659" s="48"/>
      <c r="U1659" s="48"/>
      <c r="V1659" s="48"/>
      <c r="W1659" s="49"/>
      <c r="X1659" s="49"/>
      <c r="Y1659" s="49"/>
      <c r="Z1659" s="49"/>
      <c r="AA1659" s="49"/>
      <c r="AB1659" s="49"/>
      <c r="AC1659" s="49"/>
      <c r="AD1659" s="49"/>
      <c r="AE1659" s="49"/>
      <c r="AF1659" s="49"/>
      <c r="AG1659" s="49"/>
      <c r="AH1659" s="49"/>
      <c r="AI1659" s="48"/>
      <c r="AJ1659" s="48"/>
      <c r="AK1659" s="24"/>
      <c r="AL1659" s="50"/>
      <c r="AM1659" s="50"/>
      <c r="AN1659" s="50"/>
      <c r="AO1659" s="50"/>
      <c r="AP1659" s="50"/>
      <c r="AQ1659" s="50"/>
      <c r="AR1659" s="50"/>
      <c r="AS1659" s="50"/>
      <c r="AT1659" s="51"/>
      <c r="AU1659" s="51"/>
      <c r="AV1659" s="51"/>
      <c r="AW1659" s="51"/>
      <c r="AX1659" s="50"/>
      <c r="AY1659" s="50"/>
      <c r="AZ1659" s="50"/>
      <c r="BA1659" s="50"/>
      <c r="BB1659" s="51"/>
      <c r="BC1659" s="51"/>
      <c r="BD1659" s="51"/>
      <c r="BE1659" s="51"/>
      <c r="BF1659" s="47"/>
      <c r="BG1659" s="47"/>
      <c r="BH1659" s="47"/>
      <c r="BI1659" s="47"/>
      <c r="BJ1659" s="47"/>
      <c r="BK1659" s="47"/>
      <c r="BL1659" s="47"/>
      <c r="BM1659" s="47"/>
      <c r="BN1659" s="47"/>
      <c r="BO1659" s="47"/>
      <c r="BP1659" s="47"/>
      <c r="BQ1659" s="47"/>
      <c r="BR1659" s="47"/>
      <c r="BS1659" s="47"/>
      <c r="BT1659" s="47"/>
    </row>
    <row r="1660">
      <c r="A1660" s="24"/>
      <c r="B1660" s="48"/>
      <c r="C1660" s="49"/>
      <c r="D1660" s="24"/>
      <c r="E1660" s="52"/>
      <c r="F1660" s="53"/>
      <c r="G1660" s="48"/>
      <c r="H1660" s="49"/>
      <c r="I1660" s="49"/>
      <c r="J1660" s="48"/>
      <c r="K1660" s="48"/>
      <c r="L1660" s="48"/>
      <c r="M1660" s="48"/>
      <c r="N1660" s="48"/>
      <c r="O1660" s="48"/>
      <c r="P1660" s="48"/>
      <c r="Q1660" s="48"/>
      <c r="R1660" s="48"/>
      <c r="S1660" s="48"/>
      <c r="T1660" s="48"/>
      <c r="U1660" s="48"/>
      <c r="V1660" s="48"/>
      <c r="W1660" s="49"/>
      <c r="X1660" s="49"/>
      <c r="Y1660" s="49"/>
      <c r="Z1660" s="49"/>
      <c r="AA1660" s="49"/>
      <c r="AB1660" s="49"/>
      <c r="AC1660" s="49"/>
      <c r="AD1660" s="49"/>
      <c r="AE1660" s="49"/>
      <c r="AF1660" s="49"/>
      <c r="AG1660" s="49"/>
      <c r="AH1660" s="49"/>
      <c r="AI1660" s="48"/>
      <c r="AJ1660" s="48"/>
      <c r="AK1660" s="24"/>
      <c r="AL1660" s="50"/>
      <c r="AM1660" s="50"/>
      <c r="AN1660" s="50"/>
      <c r="AO1660" s="50"/>
      <c r="AP1660" s="50"/>
      <c r="AQ1660" s="50"/>
      <c r="AR1660" s="50"/>
      <c r="AS1660" s="50"/>
      <c r="AT1660" s="51"/>
      <c r="AU1660" s="51"/>
      <c r="AV1660" s="51"/>
      <c r="AW1660" s="51"/>
      <c r="AX1660" s="50"/>
      <c r="AY1660" s="50"/>
      <c r="AZ1660" s="50"/>
      <c r="BA1660" s="50"/>
      <c r="BB1660" s="51"/>
      <c r="BC1660" s="51"/>
      <c r="BD1660" s="51"/>
      <c r="BE1660" s="51"/>
      <c r="BF1660" s="47"/>
      <c r="BG1660" s="47"/>
      <c r="BH1660" s="47"/>
      <c r="BI1660" s="47"/>
      <c r="BJ1660" s="47"/>
      <c r="BK1660" s="47"/>
      <c r="BL1660" s="47"/>
      <c r="BM1660" s="47"/>
      <c r="BN1660" s="47"/>
      <c r="BO1660" s="47"/>
      <c r="BP1660" s="47"/>
      <c r="BQ1660" s="47"/>
      <c r="BR1660" s="47"/>
      <c r="BS1660" s="47"/>
      <c r="BT1660" s="47"/>
    </row>
    <row r="1661">
      <c r="A1661" s="24"/>
      <c r="B1661" s="48"/>
      <c r="C1661" s="49"/>
      <c r="D1661" s="24"/>
      <c r="E1661" s="52"/>
      <c r="F1661" s="53"/>
      <c r="G1661" s="48"/>
      <c r="H1661" s="49"/>
      <c r="I1661" s="49"/>
      <c r="J1661" s="48"/>
      <c r="K1661" s="48"/>
      <c r="L1661" s="48"/>
      <c r="M1661" s="48"/>
      <c r="N1661" s="48"/>
      <c r="O1661" s="48"/>
      <c r="P1661" s="48"/>
      <c r="Q1661" s="48"/>
      <c r="R1661" s="48"/>
      <c r="S1661" s="48"/>
      <c r="T1661" s="48"/>
      <c r="U1661" s="48"/>
      <c r="V1661" s="48"/>
      <c r="W1661" s="49"/>
      <c r="X1661" s="49"/>
      <c r="Y1661" s="49"/>
      <c r="Z1661" s="49"/>
      <c r="AA1661" s="49"/>
      <c r="AB1661" s="49"/>
      <c r="AC1661" s="49"/>
      <c r="AD1661" s="49"/>
      <c r="AE1661" s="49"/>
      <c r="AF1661" s="49"/>
      <c r="AG1661" s="49"/>
      <c r="AH1661" s="49"/>
      <c r="AI1661" s="48"/>
      <c r="AJ1661" s="48"/>
      <c r="AK1661" s="24"/>
      <c r="AL1661" s="50"/>
      <c r="AM1661" s="50"/>
      <c r="AN1661" s="50"/>
      <c r="AO1661" s="50"/>
      <c r="AP1661" s="50"/>
      <c r="AQ1661" s="50"/>
      <c r="AR1661" s="50"/>
      <c r="AS1661" s="50"/>
      <c r="AT1661" s="51"/>
      <c r="AU1661" s="51"/>
      <c r="AV1661" s="51"/>
      <c r="AW1661" s="51"/>
      <c r="AX1661" s="50"/>
      <c r="AY1661" s="50"/>
      <c r="AZ1661" s="50"/>
      <c r="BA1661" s="50"/>
      <c r="BB1661" s="51"/>
      <c r="BC1661" s="51"/>
      <c r="BD1661" s="51"/>
      <c r="BE1661" s="51"/>
      <c r="BF1661" s="47"/>
      <c r="BG1661" s="47"/>
      <c r="BH1661" s="47"/>
      <c r="BI1661" s="47"/>
      <c r="BJ1661" s="47"/>
      <c r="BK1661" s="47"/>
      <c r="BL1661" s="47"/>
      <c r="BM1661" s="47"/>
      <c r="BN1661" s="47"/>
      <c r="BO1661" s="47"/>
      <c r="BP1661" s="47"/>
      <c r="BQ1661" s="47"/>
      <c r="BR1661" s="47"/>
      <c r="BS1661" s="47"/>
      <c r="BT1661" s="47"/>
    </row>
    <row r="1662">
      <c r="A1662" s="24"/>
      <c r="B1662" s="48"/>
      <c r="C1662" s="49"/>
      <c r="D1662" s="24"/>
      <c r="E1662" s="52"/>
      <c r="F1662" s="53"/>
      <c r="G1662" s="48"/>
      <c r="H1662" s="49"/>
      <c r="I1662" s="49"/>
      <c r="J1662" s="48"/>
      <c r="K1662" s="48"/>
      <c r="L1662" s="48"/>
      <c r="M1662" s="48"/>
      <c r="N1662" s="48"/>
      <c r="O1662" s="48"/>
      <c r="P1662" s="48"/>
      <c r="Q1662" s="48"/>
      <c r="R1662" s="48"/>
      <c r="S1662" s="48"/>
      <c r="T1662" s="48"/>
      <c r="U1662" s="48"/>
      <c r="V1662" s="48"/>
      <c r="W1662" s="49"/>
      <c r="X1662" s="49"/>
      <c r="Y1662" s="49"/>
      <c r="Z1662" s="49"/>
      <c r="AA1662" s="49"/>
      <c r="AB1662" s="49"/>
      <c r="AC1662" s="49"/>
      <c r="AD1662" s="49"/>
      <c r="AE1662" s="49"/>
      <c r="AF1662" s="49"/>
      <c r="AG1662" s="49"/>
      <c r="AH1662" s="49"/>
      <c r="AI1662" s="48"/>
      <c r="AJ1662" s="48"/>
      <c r="AK1662" s="24"/>
      <c r="AL1662" s="50"/>
      <c r="AM1662" s="50"/>
      <c r="AN1662" s="50"/>
      <c r="AO1662" s="50"/>
      <c r="AP1662" s="50"/>
      <c r="AQ1662" s="50"/>
      <c r="AR1662" s="50"/>
      <c r="AS1662" s="50"/>
      <c r="AT1662" s="51"/>
      <c r="AU1662" s="51"/>
      <c r="AV1662" s="51"/>
      <c r="AW1662" s="51"/>
      <c r="AX1662" s="50"/>
      <c r="AY1662" s="50"/>
      <c r="AZ1662" s="50"/>
      <c r="BA1662" s="50"/>
      <c r="BB1662" s="51"/>
      <c r="BC1662" s="51"/>
      <c r="BD1662" s="51"/>
      <c r="BE1662" s="51"/>
      <c r="BF1662" s="47"/>
      <c r="BG1662" s="47"/>
      <c r="BH1662" s="47"/>
      <c r="BI1662" s="47"/>
      <c r="BJ1662" s="47"/>
      <c r="BK1662" s="47"/>
      <c r="BL1662" s="47"/>
      <c r="BM1662" s="47"/>
      <c r="BN1662" s="47"/>
      <c r="BO1662" s="47"/>
      <c r="BP1662" s="47"/>
      <c r="BQ1662" s="47"/>
      <c r="BR1662" s="47"/>
      <c r="BS1662" s="47"/>
      <c r="BT1662" s="47"/>
    </row>
    <row r="1663">
      <c r="A1663" s="24"/>
      <c r="B1663" s="48"/>
      <c r="C1663" s="49"/>
      <c r="D1663" s="24"/>
      <c r="E1663" s="52"/>
      <c r="F1663" s="53"/>
      <c r="G1663" s="48"/>
      <c r="H1663" s="49"/>
      <c r="I1663" s="49"/>
      <c r="J1663" s="48"/>
      <c r="K1663" s="48"/>
      <c r="L1663" s="48"/>
      <c r="M1663" s="48"/>
      <c r="N1663" s="48"/>
      <c r="O1663" s="48"/>
      <c r="P1663" s="48"/>
      <c r="Q1663" s="48"/>
      <c r="R1663" s="48"/>
      <c r="S1663" s="48"/>
      <c r="T1663" s="48"/>
      <c r="U1663" s="48"/>
      <c r="V1663" s="48"/>
      <c r="W1663" s="49"/>
      <c r="X1663" s="49"/>
      <c r="Y1663" s="49"/>
      <c r="Z1663" s="49"/>
      <c r="AA1663" s="49"/>
      <c r="AB1663" s="49"/>
      <c r="AC1663" s="49"/>
      <c r="AD1663" s="49"/>
      <c r="AE1663" s="49"/>
      <c r="AF1663" s="49"/>
      <c r="AG1663" s="49"/>
      <c r="AH1663" s="49"/>
      <c r="AI1663" s="48"/>
      <c r="AJ1663" s="48"/>
      <c r="AK1663" s="24"/>
      <c r="AL1663" s="50"/>
      <c r="AM1663" s="50"/>
      <c r="AN1663" s="50"/>
      <c r="AO1663" s="50"/>
      <c r="AP1663" s="50"/>
      <c r="AQ1663" s="50"/>
      <c r="AR1663" s="50"/>
      <c r="AS1663" s="50"/>
      <c r="AT1663" s="51"/>
      <c r="AU1663" s="51"/>
      <c r="AV1663" s="51"/>
      <c r="AW1663" s="51"/>
      <c r="AX1663" s="50"/>
      <c r="AY1663" s="50"/>
      <c r="AZ1663" s="50"/>
      <c r="BA1663" s="50"/>
      <c r="BB1663" s="51"/>
      <c r="BC1663" s="51"/>
      <c r="BD1663" s="51"/>
      <c r="BE1663" s="51"/>
      <c r="BF1663" s="47"/>
      <c r="BG1663" s="47"/>
      <c r="BH1663" s="47"/>
      <c r="BI1663" s="47"/>
      <c r="BJ1663" s="47"/>
      <c r="BK1663" s="47"/>
      <c r="BL1663" s="47"/>
      <c r="BM1663" s="47"/>
      <c r="BN1663" s="47"/>
      <c r="BO1663" s="47"/>
      <c r="BP1663" s="47"/>
      <c r="BQ1663" s="47"/>
      <c r="BR1663" s="47"/>
      <c r="BS1663" s="47"/>
      <c r="BT1663" s="47"/>
    </row>
    <row r="1664">
      <c r="A1664" s="24"/>
      <c r="B1664" s="48"/>
      <c r="C1664" s="49"/>
      <c r="D1664" s="24"/>
      <c r="E1664" s="52"/>
      <c r="F1664" s="53"/>
      <c r="G1664" s="48"/>
      <c r="H1664" s="49"/>
      <c r="I1664" s="49"/>
      <c r="J1664" s="48"/>
      <c r="K1664" s="48"/>
      <c r="L1664" s="48"/>
      <c r="M1664" s="48"/>
      <c r="N1664" s="48"/>
      <c r="O1664" s="48"/>
      <c r="P1664" s="48"/>
      <c r="Q1664" s="48"/>
      <c r="R1664" s="48"/>
      <c r="S1664" s="48"/>
      <c r="T1664" s="48"/>
      <c r="U1664" s="48"/>
      <c r="V1664" s="48"/>
      <c r="W1664" s="49"/>
      <c r="X1664" s="49"/>
      <c r="Y1664" s="49"/>
      <c r="Z1664" s="49"/>
      <c r="AA1664" s="49"/>
      <c r="AB1664" s="49"/>
      <c r="AC1664" s="49"/>
      <c r="AD1664" s="49"/>
      <c r="AE1664" s="49"/>
      <c r="AF1664" s="49"/>
      <c r="AG1664" s="49"/>
      <c r="AH1664" s="49"/>
      <c r="AI1664" s="48"/>
      <c r="AJ1664" s="48"/>
      <c r="AK1664" s="24"/>
      <c r="AL1664" s="50"/>
      <c r="AM1664" s="50"/>
      <c r="AN1664" s="50"/>
      <c r="AO1664" s="50"/>
      <c r="AP1664" s="50"/>
      <c r="AQ1664" s="50"/>
      <c r="AR1664" s="50"/>
      <c r="AS1664" s="50"/>
      <c r="AT1664" s="51"/>
      <c r="AU1664" s="51"/>
      <c r="AV1664" s="51"/>
      <c r="AW1664" s="51"/>
      <c r="AX1664" s="50"/>
      <c r="AY1664" s="50"/>
      <c r="AZ1664" s="50"/>
      <c r="BA1664" s="50"/>
      <c r="BB1664" s="51"/>
      <c r="BC1664" s="51"/>
      <c r="BD1664" s="51"/>
      <c r="BE1664" s="51"/>
      <c r="BF1664" s="47"/>
      <c r="BG1664" s="47"/>
      <c r="BH1664" s="47"/>
      <c r="BI1664" s="47"/>
      <c r="BJ1664" s="47"/>
      <c r="BK1664" s="47"/>
      <c r="BL1664" s="47"/>
      <c r="BM1664" s="47"/>
      <c r="BN1664" s="47"/>
      <c r="BO1664" s="47"/>
      <c r="BP1664" s="47"/>
      <c r="BQ1664" s="47"/>
      <c r="BR1664" s="47"/>
      <c r="BS1664" s="47"/>
      <c r="BT1664" s="47"/>
    </row>
    <row r="1665">
      <c r="A1665" s="24"/>
      <c r="B1665" s="48"/>
      <c r="C1665" s="49"/>
      <c r="D1665" s="24"/>
      <c r="E1665" s="52"/>
      <c r="F1665" s="53"/>
      <c r="G1665" s="48"/>
      <c r="H1665" s="49"/>
      <c r="I1665" s="49"/>
      <c r="J1665" s="48"/>
      <c r="K1665" s="48"/>
      <c r="L1665" s="48"/>
      <c r="M1665" s="48"/>
      <c r="N1665" s="48"/>
      <c r="O1665" s="48"/>
      <c r="P1665" s="48"/>
      <c r="Q1665" s="48"/>
      <c r="R1665" s="48"/>
      <c r="S1665" s="48"/>
      <c r="T1665" s="48"/>
      <c r="U1665" s="48"/>
      <c r="V1665" s="48"/>
      <c r="W1665" s="49"/>
      <c r="X1665" s="49"/>
      <c r="Y1665" s="49"/>
      <c r="Z1665" s="49"/>
      <c r="AA1665" s="49"/>
      <c r="AB1665" s="49"/>
      <c r="AC1665" s="49"/>
      <c r="AD1665" s="49"/>
      <c r="AE1665" s="49"/>
      <c r="AF1665" s="49"/>
      <c r="AG1665" s="49"/>
      <c r="AH1665" s="49"/>
      <c r="AI1665" s="48"/>
      <c r="AJ1665" s="48"/>
      <c r="AK1665" s="24"/>
      <c r="AL1665" s="50"/>
      <c r="AM1665" s="50"/>
      <c r="AN1665" s="50"/>
      <c r="AO1665" s="50"/>
      <c r="AP1665" s="50"/>
      <c r="AQ1665" s="50"/>
      <c r="AR1665" s="50"/>
      <c r="AS1665" s="50"/>
      <c r="AT1665" s="51"/>
      <c r="AU1665" s="51"/>
      <c r="AV1665" s="51"/>
      <c r="AW1665" s="51"/>
      <c r="AX1665" s="50"/>
      <c r="AY1665" s="50"/>
      <c r="AZ1665" s="50"/>
      <c r="BA1665" s="50"/>
      <c r="BB1665" s="51"/>
      <c r="BC1665" s="51"/>
      <c r="BD1665" s="51"/>
      <c r="BE1665" s="51"/>
      <c r="BF1665" s="47"/>
      <c r="BG1665" s="47"/>
      <c r="BH1665" s="47"/>
      <c r="BI1665" s="47"/>
      <c r="BJ1665" s="47"/>
      <c r="BK1665" s="47"/>
      <c r="BL1665" s="47"/>
      <c r="BM1665" s="47"/>
      <c r="BN1665" s="47"/>
      <c r="BO1665" s="47"/>
      <c r="BP1665" s="47"/>
      <c r="BQ1665" s="47"/>
      <c r="BR1665" s="47"/>
      <c r="BS1665" s="47"/>
      <c r="BT1665" s="47"/>
    </row>
    <row r="1666">
      <c r="A1666" s="24"/>
      <c r="B1666" s="48"/>
      <c r="C1666" s="49"/>
      <c r="D1666" s="24"/>
      <c r="E1666" s="52"/>
      <c r="F1666" s="53"/>
      <c r="G1666" s="48"/>
      <c r="H1666" s="49"/>
      <c r="I1666" s="49"/>
      <c r="J1666" s="48"/>
      <c r="K1666" s="48"/>
      <c r="L1666" s="48"/>
      <c r="M1666" s="48"/>
      <c r="N1666" s="48"/>
      <c r="O1666" s="48"/>
      <c r="P1666" s="48"/>
      <c r="Q1666" s="48"/>
      <c r="R1666" s="48"/>
      <c r="S1666" s="48"/>
      <c r="T1666" s="48"/>
      <c r="U1666" s="48"/>
      <c r="V1666" s="48"/>
      <c r="W1666" s="49"/>
      <c r="X1666" s="49"/>
      <c r="Y1666" s="49"/>
      <c r="Z1666" s="49"/>
      <c r="AA1666" s="49"/>
      <c r="AB1666" s="49"/>
      <c r="AC1666" s="49"/>
      <c r="AD1666" s="49"/>
      <c r="AE1666" s="49"/>
      <c r="AF1666" s="49"/>
      <c r="AG1666" s="49"/>
      <c r="AH1666" s="49"/>
      <c r="AI1666" s="48"/>
      <c r="AJ1666" s="48"/>
      <c r="AK1666" s="24"/>
      <c r="AL1666" s="50"/>
      <c r="AM1666" s="50"/>
      <c r="AN1666" s="50"/>
      <c r="AO1666" s="50"/>
      <c r="AP1666" s="50"/>
      <c r="AQ1666" s="50"/>
      <c r="AR1666" s="50"/>
      <c r="AS1666" s="50"/>
      <c r="AT1666" s="51"/>
      <c r="AU1666" s="51"/>
      <c r="AV1666" s="51"/>
      <c r="AW1666" s="51"/>
      <c r="AX1666" s="50"/>
      <c r="AY1666" s="50"/>
      <c r="AZ1666" s="50"/>
      <c r="BA1666" s="50"/>
      <c r="BB1666" s="51"/>
      <c r="BC1666" s="51"/>
      <c r="BD1666" s="51"/>
      <c r="BE1666" s="51"/>
      <c r="BF1666" s="47"/>
      <c r="BG1666" s="47"/>
      <c r="BH1666" s="47"/>
      <c r="BI1666" s="47"/>
      <c r="BJ1666" s="47"/>
      <c r="BK1666" s="47"/>
      <c r="BL1666" s="47"/>
      <c r="BM1666" s="47"/>
      <c r="BN1666" s="47"/>
      <c r="BO1666" s="47"/>
      <c r="BP1666" s="47"/>
      <c r="BQ1666" s="47"/>
      <c r="BR1666" s="47"/>
      <c r="BS1666" s="47"/>
      <c r="BT1666" s="47"/>
    </row>
    <row r="1667">
      <c r="A1667" s="24"/>
      <c r="B1667" s="48"/>
      <c r="C1667" s="49"/>
      <c r="D1667" s="24"/>
      <c r="E1667" s="52"/>
      <c r="F1667" s="53"/>
      <c r="G1667" s="48"/>
      <c r="H1667" s="49"/>
      <c r="I1667" s="49"/>
      <c r="J1667" s="48"/>
      <c r="K1667" s="48"/>
      <c r="L1667" s="48"/>
      <c r="M1667" s="48"/>
      <c r="N1667" s="48"/>
      <c r="O1667" s="48"/>
      <c r="P1667" s="48"/>
      <c r="Q1667" s="48"/>
      <c r="R1667" s="48"/>
      <c r="S1667" s="48"/>
      <c r="T1667" s="48"/>
      <c r="U1667" s="48"/>
      <c r="V1667" s="48"/>
      <c r="W1667" s="49"/>
      <c r="X1667" s="49"/>
      <c r="Y1667" s="49"/>
      <c r="Z1667" s="49"/>
      <c r="AA1667" s="49"/>
      <c r="AB1667" s="49"/>
      <c r="AC1667" s="49"/>
      <c r="AD1667" s="49"/>
      <c r="AE1667" s="49"/>
      <c r="AF1667" s="49"/>
      <c r="AG1667" s="49"/>
      <c r="AH1667" s="49"/>
      <c r="AI1667" s="48"/>
      <c r="AJ1667" s="48"/>
      <c r="AK1667" s="24"/>
      <c r="AL1667" s="50"/>
      <c r="AM1667" s="50"/>
      <c r="AN1667" s="50"/>
      <c r="AO1667" s="50"/>
      <c r="AP1667" s="50"/>
      <c r="AQ1667" s="50"/>
      <c r="AR1667" s="50"/>
      <c r="AS1667" s="50"/>
      <c r="AT1667" s="51"/>
      <c r="AU1667" s="51"/>
      <c r="AV1667" s="51"/>
      <c r="AW1667" s="51"/>
      <c r="AX1667" s="50"/>
      <c r="AY1667" s="50"/>
      <c r="AZ1667" s="50"/>
      <c r="BA1667" s="50"/>
      <c r="BB1667" s="51"/>
      <c r="BC1667" s="51"/>
      <c r="BD1667" s="51"/>
      <c r="BE1667" s="51"/>
      <c r="BF1667" s="47"/>
      <c r="BG1667" s="47"/>
      <c r="BH1667" s="47"/>
      <c r="BI1667" s="47"/>
      <c r="BJ1667" s="47"/>
      <c r="BK1667" s="47"/>
      <c r="BL1667" s="47"/>
      <c r="BM1667" s="47"/>
      <c r="BN1667" s="47"/>
      <c r="BO1667" s="47"/>
      <c r="BP1667" s="47"/>
      <c r="BQ1667" s="47"/>
      <c r="BR1667" s="47"/>
      <c r="BS1667" s="47"/>
      <c r="BT1667" s="47"/>
    </row>
    <row r="1668">
      <c r="A1668" s="24"/>
      <c r="B1668" s="48"/>
      <c r="C1668" s="49"/>
      <c r="D1668" s="24"/>
      <c r="E1668" s="52"/>
      <c r="F1668" s="53"/>
      <c r="G1668" s="48"/>
      <c r="H1668" s="49"/>
      <c r="I1668" s="49"/>
      <c r="J1668" s="48"/>
      <c r="K1668" s="48"/>
      <c r="L1668" s="48"/>
      <c r="M1668" s="48"/>
      <c r="N1668" s="48"/>
      <c r="O1668" s="48"/>
      <c r="P1668" s="48"/>
      <c r="Q1668" s="48"/>
      <c r="R1668" s="48"/>
      <c r="S1668" s="48"/>
      <c r="T1668" s="48"/>
      <c r="U1668" s="48"/>
      <c r="V1668" s="48"/>
      <c r="W1668" s="49"/>
      <c r="X1668" s="49"/>
      <c r="Y1668" s="49"/>
      <c r="Z1668" s="49"/>
      <c r="AA1668" s="49"/>
      <c r="AB1668" s="49"/>
      <c r="AC1668" s="49"/>
      <c r="AD1668" s="49"/>
      <c r="AE1668" s="49"/>
      <c r="AF1668" s="49"/>
      <c r="AG1668" s="49"/>
      <c r="AH1668" s="49"/>
      <c r="AI1668" s="48"/>
      <c r="AJ1668" s="48"/>
      <c r="AK1668" s="24"/>
      <c r="AL1668" s="50"/>
      <c r="AM1668" s="50"/>
      <c r="AN1668" s="50"/>
      <c r="AO1668" s="50"/>
      <c r="AP1668" s="50"/>
      <c r="AQ1668" s="50"/>
      <c r="AR1668" s="50"/>
      <c r="AS1668" s="50"/>
      <c r="AT1668" s="51"/>
      <c r="AU1668" s="51"/>
      <c r="AV1668" s="51"/>
      <c r="AW1668" s="51"/>
      <c r="AX1668" s="50"/>
      <c r="AY1668" s="50"/>
      <c r="AZ1668" s="50"/>
      <c r="BA1668" s="50"/>
      <c r="BB1668" s="51"/>
      <c r="BC1668" s="51"/>
      <c r="BD1668" s="51"/>
      <c r="BE1668" s="51"/>
      <c r="BF1668" s="47"/>
      <c r="BG1668" s="47"/>
      <c r="BH1668" s="47"/>
      <c r="BI1668" s="47"/>
      <c r="BJ1668" s="47"/>
      <c r="BK1668" s="47"/>
      <c r="BL1668" s="47"/>
      <c r="BM1668" s="47"/>
      <c r="BN1668" s="47"/>
      <c r="BO1668" s="47"/>
      <c r="BP1668" s="47"/>
      <c r="BQ1668" s="47"/>
      <c r="BR1668" s="47"/>
      <c r="BS1668" s="47"/>
      <c r="BT1668" s="47"/>
    </row>
    <row r="1669">
      <c r="A1669" s="24"/>
      <c r="B1669" s="48"/>
      <c r="C1669" s="49"/>
      <c r="D1669" s="24"/>
      <c r="E1669" s="52"/>
      <c r="F1669" s="53"/>
      <c r="G1669" s="48"/>
      <c r="H1669" s="49"/>
      <c r="I1669" s="49"/>
      <c r="J1669" s="48"/>
      <c r="K1669" s="48"/>
      <c r="L1669" s="48"/>
      <c r="M1669" s="48"/>
      <c r="N1669" s="48"/>
      <c r="O1669" s="48"/>
      <c r="P1669" s="48"/>
      <c r="Q1669" s="48"/>
      <c r="R1669" s="48"/>
      <c r="S1669" s="48"/>
      <c r="T1669" s="48"/>
      <c r="U1669" s="48"/>
      <c r="V1669" s="48"/>
      <c r="W1669" s="49"/>
      <c r="X1669" s="49"/>
      <c r="Y1669" s="49"/>
      <c r="Z1669" s="49"/>
      <c r="AA1669" s="49"/>
      <c r="AB1669" s="49"/>
      <c r="AC1669" s="49"/>
      <c r="AD1669" s="49"/>
      <c r="AE1669" s="49"/>
      <c r="AF1669" s="49"/>
      <c r="AG1669" s="49"/>
      <c r="AH1669" s="49"/>
      <c r="AI1669" s="48"/>
      <c r="AJ1669" s="48"/>
      <c r="AK1669" s="24"/>
      <c r="AL1669" s="50"/>
      <c r="AM1669" s="50"/>
      <c r="AN1669" s="50"/>
      <c r="AO1669" s="50"/>
      <c r="AP1669" s="50"/>
      <c r="AQ1669" s="50"/>
      <c r="AR1669" s="50"/>
      <c r="AS1669" s="50"/>
      <c r="AT1669" s="51"/>
      <c r="AU1669" s="51"/>
      <c r="AV1669" s="51"/>
      <c r="AW1669" s="51"/>
      <c r="AX1669" s="50"/>
      <c r="AY1669" s="50"/>
      <c r="AZ1669" s="50"/>
      <c r="BA1669" s="50"/>
      <c r="BB1669" s="51"/>
      <c r="BC1669" s="51"/>
      <c r="BD1669" s="51"/>
      <c r="BE1669" s="51"/>
      <c r="BF1669" s="47"/>
      <c r="BG1669" s="47"/>
      <c r="BH1669" s="47"/>
      <c r="BI1669" s="47"/>
      <c r="BJ1669" s="47"/>
      <c r="BK1669" s="47"/>
      <c r="BL1669" s="47"/>
      <c r="BM1669" s="47"/>
      <c r="BN1669" s="47"/>
      <c r="BO1669" s="47"/>
      <c r="BP1669" s="47"/>
      <c r="BQ1669" s="47"/>
      <c r="BR1669" s="47"/>
      <c r="BS1669" s="47"/>
      <c r="BT1669" s="47"/>
    </row>
    <row r="1670">
      <c r="A1670" s="24"/>
      <c r="B1670" s="48"/>
      <c r="C1670" s="49"/>
      <c r="D1670" s="24"/>
      <c r="E1670" s="52"/>
      <c r="F1670" s="53"/>
      <c r="G1670" s="48"/>
      <c r="H1670" s="49"/>
      <c r="I1670" s="49"/>
      <c r="J1670" s="48"/>
      <c r="K1670" s="48"/>
      <c r="L1670" s="48"/>
      <c r="M1670" s="48"/>
      <c r="N1670" s="48"/>
      <c r="O1670" s="48"/>
      <c r="P1670" s="48"/>
      <c r="Q1670" s="48"/>
      <c r="R1670" s="48"/>
      <c r="S1670" s="48"/>
      <c r="T1670" s="48"/>
      <c r="U1670" s="48"/>
      <c r="V1670" s="48"/>
      <c r="W1670" s="49"/>
      <c r="X1670" s="49"/>
      <c r="Y1670" s="49"/>
      <c r="Z1670" s="49"/>
      <c r="AA1670" s="49"/>
      <c r="AB1670" s="49"/>
      <c r="AC1670" s="49"/>
      <c r="AD1670" s="49"/>
      <c r="AE1670" s="49"/>
      <c r="AF1670" s="49"/>
      <c r="AG1670" s="49"/>
      <c r="AH1670" s="49"/>
      <c r="AI1670" s="48"/>
      <c r="AJ1670" s="48"/>
      <c r="AK1670" s="24"/>
      <c r="AL1670" s="50"/>
      <c r="AM1670" s="50"/>
      <c r="AN1670" s="50"/>
      <c r="AO1670" s="50"/>
      <c r="AP1670" s="50"/>
      <c r="AQ1670" s="50"/>
      <c r="AR1670" s="50"/>
      <c r="AS1670" s="50"/>
      <c r="AT1670" s="51"/>
      <c r="AU1670" s="51"/>
      <c r="AV1670" s="51"/>
      <c r="AW1670" s="51"/>
      <c r="AX1670" s="50"/>
      <c r="AY1670" s="50"/>
      <c r="AZ1670" s="50"/>
      <c r="BA1670" s="50"/>
      <c r="BB1670" s="51"/>
      <c r="BC1670" s="51"/>
      <c r="BD1670" s="51"/>
      <c r="BE1670" s="51"/>
      <c r="BF1670" s="47"/>
      <c r="BG1670" s="47"/>
      <c r="BH1670" s="47"/>
      <c r="BI1670" s="47"/>
      <c r="BJ1670" s="47"/>
      <c r="BK1670" s="47"/>
      <c r="BL1670" s="47"/>
      <c r="BM1670" s="47"/>
      <c r="BN1670" s="47"/>
      <c r="BO1670" s="47"/>
      <c r="BP1670" s="47"/>
      <c r="BQ1670" s="47"/>
      <c r="BR1670" s="47"/>
      <c r="BS1670" s="47"/>
      <c r="BT1670" s="47"/>
    </row>
    <row r="1671">
      <c r="A1671" s="24"/>
      <c r="B1671" s="48"/>
      <c r="C1671" s="49"/>
      <c r="D1671" s="24"/>
      <c r="E1671" s="52"/>
      <c r="F1671" s="53"/>
      <c r="G1671" s="48"/>
      <c r="H1671" s="49"/>
      <c r="I1671" s="49"/>
      <c r="J1671" s="48"/>
      <c r="K1671" s="48"/>
      <c r="L1671" s="48"/>
      <c r="M1671" s="48"/>
      <c r="N1671" s="48"/>
      <c r="O1671" s="48"/>
      <c r="P1671" s="48"/>
      <c r="Q1671" s="48"/>
      <c r="R1671" s="48"/>
      <c r="S1671" s="48"/>
      <c r="T1671" s="48"/>
      <c r="U1671" s="48"/>
      <c r="V1671" s="48"/>
      <c r="W1671" s="49"/>
      <c r="X1671" s="49"/>
      <c r="Y1671" s="49"/>
      <c r="Z1671" s="49"/>
      <c r="AA1671" s="49"/>
      <c r="AB1671" s="49"/>
      <c r="AC1671" s="49"/>
      <c r="AD1671" s="49"/>
      <c r="AE1671" s="49"/>
      <c r="AF1671" s="49"/>
      <c r="AG1671" s="49"/>
      <c r="AH1671" s="49"/>
      <c r="AI1671" s="48"/>
      <c r="AJ1671" s="48"/>
      <c r="AK1671" s="24"/>
      <c r="AL1671" s="50"/>
      <c r="AM1671" s="50"/>
      <c r="AN1671" s="50"/>
      <c r="AO1671" s="50"/>
      <c r="AP1671" s="50"/>
      <c r="AQ1671" s="50"/>
      <c r="AR1671" s="50"/>
      <c r="AS1671" s="50"/>
      <c r="AT1671" s="51"/>
      <c r="AU1671" s="51"/>
      <c r="AV1671" s="51"/>
      <c r="AW1671" s="51"/>
      <c r="AX1671" s="50"/>
      <c r="AY1671" s="50"/>
      <c r="AZ1671" s="50"/>
      <c r="BA1671" s="50"/>
      <c r="BB1671" s="51"/>
      <c r="BC1671" s="51"/>
      <c r="BD1671" s="51"/>
      <c r="BE1671" s="51"/>
      <c r="BF1671" s="47"/>
      <c r="BG1671" s="47"/>
      <c r="BH1671" s="47"/>
      <c r="BI1671" s="47"/>
      <c r="BJ1671" s="47"/>
      <c r="BK1671" s="47"/>
      <c r="BL1671" s="47"/>
      <c r="BM1671" s="47"/>
      <c r="BN1671" s="47"/>
      <c r="BO1671" s="47"/>
      <c r="BP1671" s="47"/>
      <c r="BQ1671" s="47"/>
      <c r="BR1671" s="47"/>
      <c r="BS1671" s="47"/>
      <c r="BT1671" s="47"/>
    </row>
    <row r="1672">
      <c r="A1672" s="24"/>
      <c r="B1672" s="48"/>
      <c r="C1672" s="49"/>
      <c r="D1672" s="24"/>
      <c r="E1672" s="52"/>
      <c r="F1672" s="53"/>
      <c r="G1672" s="48"/>
      <c r="H1672" s="49"/>
      <c r="I1672" s="49"/>
      <c r="J1672" s="48"/>
      <c r="K1672" s="48"/>
      <c r="L1672" s="48"/>
      <c r="M1672" s="48"/>
      <c r="N1672" s="48"/>
      <c r="O1672" s="48"/>
      <c r="P1672" s="48"/>
      <c r="Q1672" s="48"/>
      <c r="R1672" s="48"/>
      <c r="S1672" s="48"/>
      <c r="T1672" s="48"/>
      <c r="U1672" s="48"/>
      <c r="V1672" s="48"/>
      <c r="W1672" s="49"/>
      <c r="X1672" s="49"/>
      <c r="Y1672" s="49"/>
      <c r="Z1672" s="49"/>
      <c r="AA1672" s="49"/>
      <c r="AB1672" s="49"/>
      <c r="AC1672" s="49"/>
      <c r="AD1672" s="49"/>
      <c r="AE1672" s="49"/>
      <c r="AF1672" s="49"/>
      <c r="AG1672" s="49"/>
      <c r="AH1672" s="49"/>
      <c r="AI1672" s="48"/>
      <c r="AJ1672" s="48"/>
      <c r="AK1672" s="24"/>
      <c r="AL1672" s="50"/>
      <c r="AM1672" s="50"/>
      <c r="AN1672" s="50"/>
      <c r="AO1672" s="50"/>
      <c r="AP1672" s="50"/>
      <c r="AQ1672" s="50"/>
      <c r="AR1672" s="50"/>
      <c r="AS1672" s="50"/>
      <c r="AT1672" s="51"/>
      <c r="AU1672" s="51"/>
      <c r="AV1672" s="51"/>
      <c r="AW1672" s="51"/>
      <c r="AX1672" s="50"/>
      <c r="AY1672" s="50"/>
      <c r="AZ1672" s="50"/>
      <c r="BA1672" s="50"/>
      <c r="BB1672" s="51"/>
      <c r="BC1672" s="51"/>
      <c r="BD1672" s="51"/>
      <c r="BE1672" s="51"/>
      <c r="BF1672" s="47"/>
      <c r="BG1672" s="47"/>
      <c r="BH1672" s="47"/>
      <c r="BI1672" s="47"/>
      <c r="BJ1672" s="47"/>
      <c r="BK1672" s="47"/>
      <c r="BL1672" s="47"/>
      <c r="BM1672" s="47"/>
      <c r="BN1672" s="47"/>
      <c r="BO1672" s="47"/>
      <c r="BP1672" s="47"/>
      <c r="BQ1672" s="47"/>
      <c r="BR1672" s="47"/>
      <c r="BS1672" s="47"/>
      <c r="BT1672" s="47"/>
    </row>
    <row r="1673">
      <c r="A1673" s="24"/>
      <c r="B1673" s="48"/>
      <c r="C1673" s="49"/>
      <c r="D1673" s="24"/>
      <c r="E1673" s="52"/>
      <c r="F1673" s="53"/>
      <c r="G1673" s="48"/>
      <c r="H1673" s="49"/>
      <c r="I1673" s="49"/>
      <c r="J1673" s="48"/>
      <c r="K1673" s="48"/>
      <c r="L1673" s="48"/>
      <c r="M1673" s="48"/>
      <c r="N1673" s="48"/>
      <c r="O1673" s="48"/>
      <c r="P1673" s="48"/>
      <c r="Q1673" s="48"/>
      <c r="R1673" s="48"/>
      <c r="S1673" s="48"/>
      <c r="T1673" s="48"/>
      <c r="U1673" s="48"/>
      <c r="V1673" s="48"/>
      <c r="W1673" s="49"/>
      <c r="X1673" s="49"/>
      <c r="Y1673" s="49"/>
      <c r="Z1673" s="49"/>
      <c r="AA1673" s="49"/>
      <c r="AB1673" s="49"/>
      <c r="AC1673" s="49"/>
      <c r="AD1673" s="49"/>
      <c r="AE1673" s="49"/>
      <c r="AF1673" s="49"/>
      <c r="AG1673" s="49"/>
      <c r="AH1673" s="49"/>
      <c r="AI1673" s="48"/>
      <c r="AJ1673" s="48"/>
      <c r="AK1673" s="24"/>
      <c r="AL1673" s="50"/>
      <c r="AM1673" s="50"/>
      <c r="AN1673" s="50"/>
      <c r="AO1673" s="50"/>
      <c r="AP1673" s="50"/>
      <c r="AQ1673" s="50"/>
      <c r="AR1673" s="50"/>
      <c r="AS1673" s="50"/>
      <c r="AT1673" s="51"/>
      <c r="AU1673" s="51"/>
      <c r="AV1673" s="51"/>
      <c r="AW1673" s="51"/>
      <c r="AX1673" s="50"/>
      <c r="AY1673" s="50"/>
      <c r="AZ1673" s="50"/>
      <c r="BA1673" s="50"/>
      <c r="BB1673" s="51"/>
      <c r="BC1673" s="51"/>
      <c r="BD1673" s="51"/>
      <c r="BE1673" s="51"/>
      <c r="BF1673" s="47"/>
      <c r="BG1673" s="47"/>
      <c r="BH1673" s="47"/>
      <c r="BI1673" s="47"/>
      <c r="BJ1673" s="47"/>
      <c r="BK1673" s="47"/>
      <c r="BL1673" s="47"/>
      <c r="BM1673" s="47"/>
      <c r="BN1673" s="47"/>
      <c r="BO1673" s="47"/>
      <c r="BP1673" s="47"/>
      <c r="BQ1673" s="47"/>
      <c r="BR1673" s="47"/>
      <c r="BS1673" s="47"/>
      <c r="BT1673" s="47"/>
    </row>
    <row r="1674">
      <c r="A1674" s="24"/>
      <c r="B1674" s="48"/>
      <c r="C1674" s="49"/>
      <c r="D1674" s="24"/>
      <c r="E1674" s="52"/>
      <c r="F1674" s="53"/>
      <c r="G1674" s="48"/>
      <c r="H1674" s="49"/>
      <c r="I1674" s="49"/>
      <c r="J1674" s="48"/>
      <c r="K1674" s="48"/>
      <c r="L1674" s="48"/>
      <c r="M1674" s="48"/>
      <c r="N1674" s="48"/>
      <c r="O1674" s="48"/>
      <c r="P1674" s="48"/>
      <c r="Q1674" s="48"/>
      <c r="R1674" s="48"/>
      <c r="S1674" s="48"/>
      <c r="T1674" s="48"/>
      <c r="U1674" s="48"/>
      <c r="V1674" s="48"/>
      <c r="W1674" s="49"/>
      <c r="X1674" s="49"/>
      <c r="Y1674" s="49"/>
      <c r="Z1674" s="49"/>
      <c r="AA1674" s="49"/>
      <c r="AB1674" s="49"/>
      <c r="AC1674" s="49"/>
      <c r="AD1674" s="49"/>
      <c r="AE1674" s="49"/>
      <c r="AF1674" s="49"/>
      <c r="AG1674" s="49"/>
      <c r="AH1674" s="49"/>
      <c r="AI1674" s="48"/>
      <c r="AJ1674" s="48"/>
      <c r="AK1674" s="24"/>
      <c r="AL1674" s="50"/>
      <c r="AM1674" s="50"/>
      <c r="AN1674" s="50"/>
      <c r="AO1674" s="50"/>
      <c r="AP1674" s="50"/>
      <c r="AQ1674" s="50"/>
      <c r="AR1674" s="50"/>
      <c r="AS1674" s="50"/>
      <c r="AT1674" s="51"/>
      <c r="AU1674" s="51"/>
      <c r="AV1674" s="51"/>
      <c r="AW1674" s="51"/>
      <c r="AX1674" s="50"/>
      <c r="AY1674" s="50"/>
      <c r="AZ1674" s="50"/>
      <c r="BA1674" s="50"/>
      <c r="BB1674" s="51"/>
      <c r="BC1674" s="51"/>
      <c r="BD1674" s="51"/>
      <c r="BE1674" s="51"/>
      <c r="BF1674" s="47"/>
      <c r="BG1674" s="47"/>
      <c r="BH1674" s="47"/>
      <c r="BI1674" s="47"/>
      <c r="BJ1674" s="47"/>
      <c r="BK1674" s="47"/>
      <c r="BL1674" s="47"/>
      <c r="BM1674" s="47"/>
      <c r="BN1674" s="47"/>
      <c r="BO1674" s="47"/>
      <c r="BP1674" s="47"/>
      <c r="BQ1674" s="47"/>
      <c r="BR1674" s="47"/>
      <c r="BS1674" s="47"/>
      <c r="BT1674" s="47"/>
    </row>
    <row r="1675">
      <c r="A1675" s="24"/>
      <c r="B1675" s="48"/>
      <c r="C1675" s="49"/>
      <c r="D1675" s="24"/>
      <c r="E1675" s="52"/>
      <c r="F1675" s="53"/>
      <c r="G1675" s="48"/>
      <c r="H1675" s="49"/>
      <c r="I1675" s="49"/>
      <c r="J1675" s="48"/>
      <c r="K1675" s="48"/>
      <c r="L1675" s="48"/>
      <c r="M1675" s="48"/>
      <c r="N1675" s="48"/>
      <c r="O1675" s="48"/>
      <c r="P1675" s="48"/>
      <c r="Q1675" s="48"/>
      <c r="R1675" s="48"/>
      <c r="S1675" s="48"/>
      <c r="T1675" s="48"/>
      <c r="U1675" s="48"/>
      <c r="V1675" s="48"/>
      <c r="W1675" s="49"/>
      <c r="X1675" s="49"/>
      <c r="Y1675" s="49"/>
      <c r="Z1675" s="49"/>
      <c r="AA1675" s="49"/>
      <c r="AB1675" s="49"/>
      <c r="AC1675" s="49"/>
      <c r="AD1675" s="49"/>
      <c r="AE1675" s="49"/>
      <c r="AF1675" s="49"/>
      <c r="AG1675" s="49"/>
      <c r="AH1675" s="49"/>
      <c r="AI1675" s="48"/>
      <c r="AJ1675" s="48"/>
      <c r="AK1675" s="24"/>
      <c r="AL1675" s="50"/>
      <c r="AM1675" s="50"/>
      <c r="AN1675" s="50"/>
      <c r="AO1675" s="50"/>
      <c r="AP1675" s="50"/>
      <c r="AQ1675" s="50"/>
      <c r="AR1675" s="50"/>
      <c r="AS1675" s="50"/>
      <c r="AT1675" s="51"/>
      <c r="AU1675" s="51"/>
      <c r="AV1675" s="51"/>
      <c r="AW1675" s="51"/>
      <c r="AX1675" s="50"/>
      <c r="AY1675" s="50"/>
      <c r="AZ1675" s="50"/>
      <c r="BA1675" s="50"/>
      <c r="BB1675" s="51"/>
      <c r="BC1675" s="51"/>
      <c r="BD1675" s="51"/>
      <c r="BE1675" s="51"/>
      <c r="BF1675" s="47"/>
      <c r="BG1675" s="47"/>
      <c r="BH1675" s="47"/>
      <c r="BI1675" s="47"/>
      <c r="BJ1675" s="47"/>
      <c r="BK1675" s="47"/>
      <c r="BL1675" s="47"/>
      <c r="BM1675" s="47"/>
      <c r="BN1675" s="47"/>
      <c r="BO1675" s="47"/>
      <c r="BP1675" s="47"/>
      <c r="BQ1675" s="47"/>
      <c r="BR1675" s="47"/>
      <c r="BS1675" s="47"/>
      <c r="BT1675" s="47"/>
    </row>
    <row r="1676">
      <c r="A1676" s="24"/>
      <c r="B1676" s="48"/>
      <c r="C1676" s="49"/>
      <c r="D1676" s="24"/>
      <c r="E1676" s="52"/>
      <c r="F1676" s="53"/>
      <c r="G1676" s="48"/>
      <c r="H1676" s="49"/>
      <c r="I1676" s="49"/>
      <c r="J1676" s="48"/>
      <c r="K1676" s="48"/>
      <c r="L1676" s="48"/>
      <c r="M1676" s="48"/>
      <c r="N1676" s="48"/>
      <c r="O1676" s="48"/>
      <c r="P1676" s="48"/>
      <c r="Q1676" s="48"/>
      <c r="R1676" s="48"/>
      <c r="S1676" s="48"/>
      <c r="T1676" s="48"/>
      <c r="U1676" s="48"/>
      <c r="V1676" s="48"/>
      <c r="W1676" s="49"/>
      <c r="X1676" s="49"/>
      <c r="Y1676" s="49"/>
      <c r="Z1676" s="49"/>
      <c r="AA1676" s="49"/>
      <c r="AB1676" s="49"/>
      <c r="AC1676" s="49"/>
      <c r="AD1676" s="49"/>
      <c r="AE1676" s="49"/>
      <c r="AF1676" s="49"/>
      <c r="AG1676" s="49"/>
      <c r="AH1676" s="49"/>
      <c r="AI1676" s="48"/>
      <c r="AJ1676" s="48"/>
      <c r="AK1676" s="24"/>
      <c r="AL1676" s="50"/>
      <c r="AM1676" s="50"/>
      <c r="AN1676" s="50"/>
      <c r="AO1676" s="50"/>
      <c r="AP1676" s="50"/>
      <c r="AQ1676" s="50"/>
      <c r="AR1676" s="50"/>
      <c r="AS1676" s="50"/>
      <c r="AT1676" s="51"/>
      <c r="AU1676" s="51"/>
      <c r="AV1676" s="51"/>
      <c r="AW1676" s="51"/>
      <c r="AX1676" s="50"/>
      <c r="AY1676" s="50"/>
      <c r="AZ1676" s="50"/>
      <c r="BA1676" s="50"/>
      <c r="BB1676" s="51"/>
      <c r="BC1676" s="51"/>
      <c r="BD1676" s="51"/>
      <c r="BE1676" s="51"/>
      <c r="BF1676" s="47"/>
      <c r="BG1676" s="47"/>
      <c r="BH1676" s="47"/>
      <c r="BI1676" s="47"/>
      <c r="BJ1676" s="47"/>
      <c r="BK1676" s="47"/>
      <c r="BL1676" s="47"/>
      <c r="BM1676" s="47"/>
      <c r="BN1676" s="47"/>
      <c r="BO1676" s="47"/>
      <c r="BP1676" s="47"/>
      <c r="BQ1676" s="47"/>
      <c r="BR1676" s="47"/>
      <c r="BS1676" s="47"/>
      <c r="BT1676" s="47"/>
    </row>
    <row r="1677">
      <c r="A1677" s="24"/>
      <c r="B1677" s="48"/>
      <c r="C1677" s="49"/>
      <c r="D1677" s="24"/>
      <c r="E1677" s="52"/>
      <c r="F1677" s="53"/>
      <c r="G1677" s="48"/>
      <c r="H1677" s="49"/>
      <c r="I1677" s="49"/>
      <c r="J1677" s="48"/>
      <c r="K1677" s="48"/>
      <c r="L1677" s="48"/>
      <c r="M1677" s="48"/>
      <c r="N1677" s="48"/>
      <c r="O1677" s="48"/>
      <c r="P1677" s="48"/>
      <c r="Q1677" s="48"/>
      <c r="R1677" s="48"/>
      <c r="S1677" s="48"/>
      <c r="T1677" s="48"/>
      <c r="U1677" s="48"/>
      <c r="V1677" s="48"/>
      <c r="W1677" s="49"/>
      <c r="X1677" s="49"/>
      <c r="Y1677" s="49"/>
      <c r="Z1677" s="49"/>
      <c r="AA1677" s="49"/>
      <c r="AB1677" s="49"/>
      <c r="AC1677" s="49"/>
      <c r="AD1677" s="49"/>
      <c r="AE1677" s="49"/>
      <c r="AF1677" s="49"/>
      <c r="AG1677" s="49"/>
      <c r="AH1677" s="49"/>
      <c r="AI1677" s="48"/>
      <c r="AJ1677" s="48"/>
      <c r="AK1677" s="24"/>
      <c r="AL1677" s="50"/>
      <c r="AM1677" s="50"/>
      <c r="AN1677" s="50"/>
      <c r="AO1677" s="50"/>
      <c r="AP1677" s="50"/>
      <c r="AQ1677" s="50"/>
      <c r="AR1677" s="50"/>
      <c r="AS1677" s="50"/>
      <c r="AT1677" s="51"/>
      <c r="AU1677" s="51"/>
      <c r="AV1677" s="51"/>
      <c r="AW1677" s="51"/>
      <c r="AX1677" s="50"/>
      <c r="AY1677" s="50"/>
      <c r="AZ1677" s="50"/>
      <c r="BA1677" s="50"/>
      <c r="BB1677" s="51"/>
      <c r="BC1677" s="51"/>
      <c r="BD1677" s="51"/>
      <c r="BE1677" s="51"/>
      <c r="BF1677" s="47"/>
      <c r="BG1677" s="47"/>
      <c r="BH1677" s="47"/>
      <c r="BI1677" s="47"/>
      <c r="BJ1677" s="47"/>
      <c r="BK1677" s="47"/>
      <c r="BL1677" s="47"/>
      <c r="BM1677" s="47"/>
      <c r="BN1677" s="47"/>
      <c r="BO1677" s="47"/>
      <c r="BP1677" s="47"/>
      <c r="BQ1677" s="47"/>
      <c r="BR1677" s="47"/>
      <c r="BS1677" s="47"/>
      <c r="BT1677" s="47"/>
    </row>
    <row r="1678">
      <c r="A1678" s="24"/>
      <c r="B1678" s="48"/>
      <c r="C1678" s="49"/>
      <c r="D1678" s="24"/>
      <c r="E1678" s="52"/>
      <c r="F1678" s="53"/>
      <c r="G1678" s="48"/>
      <c r="H1678" s="49"/>
      <c r="I1678" s="49"/>
      <c r="J1678" s="48"/>
      <c r="K1678" s="48"/>
      <c r="L1678" s="48"/>
      <c r="M1678" s="48"/>
      <c r="N1678" s="48"/>
      <c r="O1678" s="48"/>
      <c r="P1678" s="48"/>
      <c r="Q1678" s="48"/>
      <c r="R1678" s="48"/>
      <c r="S1678" s="48"/>
      <c r="T1678" s="48"/>
      <c r="U1678" s="48"/>
      <c r="V1678" s="48"/>
      <c r="W1678" s="49"/>
      <c r="X1678" s="49"/>
      <c r="Y1678" s="49"/>
      <c r="Z1678" s="49"/>
      <c r="AA1678" s="49"/>
      <c r="AB1678" s="49"/>
      <c r="AC1678" s="49"/>
      <c r="AD1678" s="49"/>
      <c r="AE1678" s="49"/>
      <c r="AF1678" s="49"/>
      <c r="AG1678" s="49"/>
      <c r="AH1678" s="49"/>
      <c r="AI1678" s="48"/>
      <c r="AJ1678" s="48"/>
      <c r="AK1678" s="24"/>
      <c r="AL1678" s="50"/>
      <c r="AM1678" s="50"/>
      <c r="AN1678" s="50"/>
      <c r="AO1678" s="50"/>
      <c r="AP1678" s="50"/>
      <c r="AQ1678" s="50"/>
      <c r="AR1678" s="50"/>
      <c r="AS1678" s="50"/>
      <c r="AT1678" s="51"/>
      <c r="AU1678" s="51"/>
      <c r="AV1678" s="51"/>
      <c r="AW1678" s="51"/>
      <c r="AX1678" s="50"/>
      <c r="AY1678" s="50"/>
      <c r="AZ1678" s="50"/>
      <c r="BA1678" s="50"/>
      <c r="BB1678" s="51"/>
      <c r="BC1678" s="51"/>
      <c r="BD1678" s="51"/>
      <c r="BE1678" s="51"/>
      <c r="BF1678" s="47"/>
      <c r="BG1678" s="47"/>
      <c r="BH1678" s="47"/>
      <c r="BI1678" s="47"/>
      <c r="BJ1678" s="47"/>
      <c r="BK1678" s="47"/>
      <c r="BL1678" s="47"/>
      <c r="BM1678" s="47"/>
      <c r="BN1678" s="47"/>
      <c r="BO1678" s="47"/>
      <c r="BP1678" s="47"/>
      <c r="BQ1678" s="47"/>
      <c r="BR1678" s="47"/>
      <c r="BS1678" s="47"/>
      <c r="BT1678" s="47"/>
    </row>
    <row r="1679">
      <c r="A1679" s="24"/>
      <c r="B1679" s="48"/>
      <c r="C1679" s="49"/>
      <c r="D1679" s="24"/>
      <c r="E1679" s="52"/>
      <c r="F1679" s="53"/>
      <c r="G1679" s="48"/>
      <c r="H1679" s="49"/>
      <c r="I1679" s="49"/>
      <c r="J1679" s="48"/>
      <c r="K1679" s="48"/>
      <c r="L1679" s="48"/>
      <c r="M1679" s="48"/>
      <c r="N1679" s="48"/>
      <c r="O1679" s="48"/>
      <c r="P1679" s="48"/>
      <c r="Q1679" s="48"/>
      <c r="R1679" s="48"/>
      <c r="S1679" s="48"/>
      <c r="T1679" s="48"/>
      <c r="U1679" s="48"/>
      <c r="V1679" s="48"/>
      <c r="W1679" s="49"/>
      <c r="X1679" s="49"/>
      <c r="Y1679" s="49"/>
      <c r="Z1679" s="49"/>
      <c r="AA1679" s="49"/>
      <c r="AB1679" s="49"/>
      <c r="AC1679" s="49"/>
      <c r="AD1679" s="49"/>
      <c r="AE1679" s="49"/>
      <c r="AF1679" s="49"/>
      <c r="AG1679" s="49"/>
      <c r="AH1679" s="49"/>
      <c r="AI1679" s="48"/>
      <c r="AJ1679" s="48"/>
      <c r="AK1679" s="24"/>
      <c r="AL1679" s="50"/>
      <c r="AM1679" s="50"/>
      <c r="AN1679" s="50"/>
      <c r="AO1679" s="50"/>
      <c r="AP1679" s="50"/>
      <c r="AQ1679" s="50"/>
      <c r="AR1679" s="50"/>
      <c r="AS1679" s="50"/>
      <c r="AT1679" s="51"/>
      <c r="AU1679" s="51"/>
      <c r="AV1679" s="51"/>
      <c r="AW1679" s="51"/>
      <c r="AX1679" s="50"/>
      <c r="AY1679" s="50"/>
      <c r="AZ1679" s="50"/>
      <c r="BA1679" s="50"/>
      <c r="BB1679" s="51"/>
      <c r="BC1679" s="51"/>
      <c r="BD1679" s="51"/>
      <c r="BE1679" s="51"/>
      <c r="BF1679" s="47"/>
      <c r="BG1679" s="47"/>
      <c r="BH1679" s="47"/>
      <c r="BI1679" s="47"/>
      <c r="BJ1679" s="47"/>
      <c r="BK1679" s="47"/>
      <c r="BL1679" s="47"/>
      <c r="BM1679" s="47"/>
      <c r="BN1679" s="47"/>
      <c r="BO1679" s="47"/>
      <c r="BP1679" s="47"/>
      <c r="BQ1679" s="47"/>
      <c r="BR1679" s="47"/>
      <c r="BS1679" s="47"/>
      <c r="BT1679" s="47"/>
    </row>
    <row r="1680">
      <c r="A1680" s="24"/>
      <c r="B1680" s="48"/>
      <c r="C1680" s="49"/>
      <c r="D1680" s="24"/>
      <c r="E1680" s="52"/>
      <c r="F1680" s="53"/>
      <c r="G1680" s="48"/>
      <c r="H1680" s="49"/>
      <c r="I1680" s="49"/>
      <c r="J1680" s="48"/>
      <c r="K1680" s="48"/>
      <c r="L1680" s="48"/>
      <c r="M1680" s="48"/>
      <c r="N1680" s="48"/>
      <c r="O1680" s="48"/>
      <c r="P1680" s="48"/>
      <c r="Q1680" s="48"/>
      <c r="R1680" s="48"/>
      <c r="S1680" s="48"/>
      <c r="T1680" s="48"/>
      <c r="U1680" s="48"/>
      <c r="V1680" s="48"/>
      <c r="W1680" s="49"/>
      <c r="X1680" s="49"/>
      <c r="Y1680" s="49"/>
      <c r="Z1680" s="49"/>
      <c r="AA1680" s="49"/>
      <c r="AB1680" s="49"/>
      <c r="AC1680" s="49"/>
      <c r="AD1680" s="49"/>
      <c r="AE1680" s="49"/>
      <c r="AF1680" s="49"/>
      <c r="AG1680" s="49"/>
      <c r="AH1680" s="49"/>
      <c r="AI1680" s="48"/>
      <c r="AJ1680" s="48"/>
      <c r="AK1680" s="24"/>
      <c r="AL1680" s="50"/>
      <c r="AM1680" s="50"/>
      <c r="AN1680" s="50"/>
      <c r="AO1680" s="50"/>
      <c r="AP1680" s="50"/>
      <c r="AQ1680" s="50"/>
      <c r="AR1680" s="50"/>
      <c r="AS1680" s="50"/>
      <c r="AT1680" s="51"/>
      <c r="AU1680" s="51"/>
      <c r="AV1680" s="51"/>
      <c r="AW1680" s="51"/>
      <c r="AX1680" s="50"/>
      <c r="AY1680" s="50"/>
      <c r="AZ1680" s="50"/>
      <c r="BA1680" s="50"/>
      <c r="BB1680" s="51"/>
      <c r="BC1680" s="51"/>
      <c r="BD1680" s="51"/>
      <c r="BE1680" s="51"/>
      <c r="BF1680" s="47"/>
      <c r="BG1680" s="47"/>
      <c r="BH1680" s="47"/>
      <c r="BI1680" s="47"/>
      <c r="BJ1680" s="47"/>
      <c r="BK1680" s="47"/>
      <c r="BL1680" s="47"/>
      <c r="BM1680" s="47"/>
      <c r="BN1680" s="47"/>
      <c r="BO1680" s="47"/>
      <c r="BP1680" s="47"/>
      <c r="BQ1680" s="47"/>
      <c r="BR1680" s="47"/>
      <c r="BS1680" s="47"/>
      <c r="BT1680" s="47"/>
    </row>
    <row r="1681">
      <c r="A1681" s="24"/>
      <c r="B1681" s="48"/>
      <c r="C1681" s="49"/>
      <c r="D1681" s="24"/>
      <c r="E1681" s="52"/>
      <c r="F1681" s="53"/>
      <c r="G1681" s="48"/>
      <c r="H1681" s="49"/>
      <c r="I1681" s="49"/>
      <c r="J1681" s="48"/>
      <c r="K1681" s="48"/>
      <c r="L1681" s="48"/>
      <c r="M1681" s="48"/>
      <c r="N1681" s="48"/>
      <c r="O1681" s="48"/>
      <c r="P1681" s="48"/>
      <c r="Q1681" s="48"/>
      <c r="R1681" s="48"/>
      <c r="S1681" s="48"/>
      <c r="T1681" s="48"/>
      <c r="U1681" s="48"/>
      <c r="V1681" s="48"/>
      <c r="W1681" s="49"/>
      <c r="X1681" s="49"/>
      <c r="Y1681" s="49"/>
      <c r="Z1681" s="49"/>
      <c r="AA1681" s="49"/>
      <c r="AB1681" s="49"/>
      <c r="AC1681" s="49"/>
      <c r="AD1681" s="49"/>
      <c r="AE1681" s="49"/>
      <c r="AF1681" s="49"/>
      <c r="AG1681" s="49"/>
      <c r="AH1681" s="49"/>
      <c r="AI1681" s="48"/>
      <c r="AJ1681" s="48"/>
      <c r="AK1681" s="24"/>
      <c r="AL1681" s="50"/>
      <c r="AM1681" s="50"/>
      <c r="AN1681" s="50"/>
      <c r="AO1681" s="50"/>
      <c r="AP1681" s="50"/>
      <c r="AQ1681" s="50"/>
      <c r="AR1681" s="50"/>
      <c r="AS1681" s="50"/>
      <c r="AT1681" s="51"/>
      <c r="AU1681" s="51"/>
      <c r="AV1681" s="51"/>
      <c r="AW1681" s="51"/>
      <c r="AX1681" s="50"/>
      <c r="AY1681" s="50"/>
      <c r="AZ1681" s="50"/>
      <c r="BA1681" s="50"/>
      <c r="BB1681" s="51"/>
      <c r="BC1681" s="51"/>
      <c r="BD1681" s="51"/>
      <c r="BE1681" s="51"/>
      <c r="BF1681" s="47"/>
      <c r="BG1681" s="47"/>
      <c r="BH1681" s="47"/>
      <c r="BI1681" s="47"/>
      <c r="BJ1681" s="47"/>
      <c r="BK1681" s="47"/>
      <c r="BL1681" s="47"/>
      <c r="BM1681" s="47"/>
      <c r="BN1681" s="47"/>
      <c r="BO1681" s="47"/>
      <c r="BP1681" s="47"/>
      <c r="BQ1681" s="47"/>
      <c r="BR1681" s="47"/>
      <c r="BS1681" s="47"/>
      <c r="BT1681" s="47"/>
    </row>
    <row r="1682">
      <c r="A1682" s="24"/>
      <c r="B1682" s="48"/>
      <c r="C1682" s="49"/>
      <c r="D1682" s="24"/>
      <c r="E1682" s="52"/>
      <c r="F1682" s="53"/>
      <c r="G1682" s="48"/>
      <c r="H1682" s="49"/>
      <c r="I1682" s="49"/>
      <c r="J1682" s="48"/>
      <c r="K1682" s="48"/>
      <c r="L1682" s="48"/>
      <c r="M1682" s="48"/>
      <c r="N1682" s="48"/>
      <c r="O1682" s="48"/>
      <c r="P1682" s="48"/>
      <c r="Q1682" s="48"/>
      <c r="R1682" s="48"/>
      <c r="S1682" s="48"/>
      <c r="T1682" s="48"/>
      <c r="U1682" s="48"/>
      <c r="V1682" s="48"/>
      <c r="W1682" s="49"/>
      <c r="X1682" s="49"/>
      <c r="Y1682" s="49"/>
      <c r="Z1682" s="49"/>
      <c r="AA1682" s="49"/>
      <c r="AB1682" s="49"/>
      <c r="AC1682" s="49"/>
      <c r="AD1682" s="49"/>
      <c r="AE1682" s="49"/>
      <c r="AF1682" s="49"/>
      <c r="AG1682" s="49"/>
      <c r="AH1682" s="49"/>
      <c r="AI1682" s="48"/>
      <c r="AJ1682" s="48"/>
      <c r="AK1682" s="24"/>
      <c r="AL1682" s="50"/>
      <c r="AM1682" s="50"/>
      <c r="AN1682" s="50"/>
      <c r="AO1682" s="50"/>
      <c r="AP1682" s="50"/>
      <c r="AQ1682" s="50"/>
      <c r="AR1682" s="50"/>
      <c r="AS1682" s="50"/>
      <c r="AT1682" s="51"/>
      <c r="AU1682" s="51"/>
      <c r="AV1682" s="51"/>
      <c r="AW1682" s="51"/>
      <c r="AX1682" s="50"/>
      <c r="AY1682" s="50"/>
      <c r="AZ1682" s="50"/>
      <c r="BA1682" s="50"/>
      <c r="BB1682" s="51"/>
      <c r="BC1682" s="51"/>
      <c r="BD1682" s="51"/>
      <c r="BE1682" s="51"/>
      <c r="BF1682" s="47"/>
      <c r="BG1682" s="47"/>
      <c r="BH1682" s="47"/>
      <c r="BI1682" s="47"/>
      <c r="BJ1682" s="47"/>
      <c r="BK1682" s="47"/>
      <c r="BL1682" s="47"/>
      <c r="BM1682" s="47"/>
      <c r="BN1682" s="47"/>
      <c r="BO1682" s="47"/>
      <c r="BP1682" s="47"/>
      <c r="BQ1682" s="47"/>
      <c r="BR1682" s="47"/>
      <c r="BS1682" s="47"/>
      <c r="BT1682" s="47"/>
    </row>
    <row r="1683">
      <c r="A1683" s="24"/>
      <c r="B1683" s="48"/>
      <c r="C1683" s="49"/>
      <c r="D1683" s="24"/>
      <c r="E1683" s="52"/>
      <c r="F1683" s="53"/>
      <c r="G1683" s="48"/>
      <c r="H1683" s="49"/>
      <c r="I1683" s="49"/>
      <c r="J1683" s="48"/>
      <c r="K1683" s="48"/>
      <c r="L1683" s="48"/>
      <c r="M1683" s="48"/>
      <c r="N1683" s="48"/>
      <c r="O1683" s="48"/>
      <c r="P1683" s="48"/>
      <c r="Q1683" s="48"/>
      <c r="R1683" s="48"/>
      <c r="S1683" s="48"/>
      <c r="T1683" s="48"/>
      <c r="U1683" s="48"/>
      <c r="V1683" s="48"/>
      <c r="W1683" s="49"/>
      <c r="X1683" s="49"/>
      <c r="Y1683" s="49"/>
      <c r="Z1683" s="49"/>
      <c r="AA1683" s="49"/>
      <c r="AB1683" s="49"/>
      <c r="AC1683" s="49"/>
      <c r="AD1683" s="49"/>
      <c r="AE1683" s="49"/>
      <c r="AF1683" s="49"/>
      <c r="AG1683" s="49"/>
      <c r="AH1683" s="49"/>
      <c r="AI1683" s="48"/>
      <c r="AJ1683" s="48"/>
      <c r="AK1683" s="24"/>
      <c r="AL1683" s="50"/>
      <c r="AM1683" s="50"/>
      <c r="AN1683" s="50"/>
      <c r="AO1683" s="50"/>
      <c r="AP1683" s="50"/>
      <c r="AQ1683" s="50"/>
      <c r="AR1683" s="50"/>
      <c r="AS1683" s="50"/>
      <c r="AT1683" s="51"/>
      <c r="AU1683" s="51"/>
      <c r="AV1683" s="51"/>
      <c r="AW1683" s="51"/>
      <c r="AX1683" s="50"/>
      <c r="AY1683" s="50"/>
      <c r="AZ1683" s="50"/>
      <c r="BA1683" s="50"/>
      <c r="BB1683" s="51"/>
      <c r="BC1683" s="51"/>
      <c r="BD1683" s="51"/>
      <c r="BE1683" s="51"/>
      <c r="BF1683" s="47"/>
      <c r="BG1683" s="47"/>
      <c r="BH1683" s="47"/>
      <c r="BI1683" s="47"/>
      <c r="BJ1683" s="47"/>
      <c r="BK1683" s="47"/>
      <c r="BL1683" s="47"/>
      <c r="BM1683" s="47"/>
      <c r="BN1683" s="47"/>
      <c r="BO1683" s="47"/>
      <c r="BP1683" s="47"/>
      <c r="BQ1683" s="47"/>
      <c r="BR1683" s="47"/>
      <c r="BS1683" s="47"/>
      <c r="BT1683" s="47"/>
    </row>
    <row r="1684">
      <c r="A1684" s="24"/>
      <c r="B1684" s="48"/>
      <c r="C1684" s="49"/>
      <c r="D1684" s="24"/>
      <c r="E1684" s="52"/>
      <c r="F1684" s="53"/>
      <c r="G1684" s="48"/>
      <c r="H1684" s="49"/>
      <c r="I1684" s="49"/>
      <c r="J1684" s="48"/>
      <c r="K1684" s="48"/>
      <c r="L1684" s="48"/>
      <c r="M1684" s="48"/>
      <c r="N1684" s="48"/>
      <c r="O1684" s="48"/>
      <c r="P1684" s="48"/>
      <c r="Q1684" s="48"/>
      <c r="R1684" s="48"/>
      <c r="S1684" s="48"/>
      <c r="T1684" s="48"/>
      <c r="U1684" s="48"/>
      <c r="V1684" s="48"/>
      <c r="W1684" s="49"/>
      <c r="X1684" s="49"/>
      <c r="Y1684" s="49"/>
      <c r="Z1684" s="49"/>
      <c r="AA1684" s="49"/>
      <c r="AB1684" s="49"/>
      <c r="AC1684" s="49"/>
      <c r="AD1684" s="49"/>
      <c r="AE1684" s="49"/>
      <c r="AF1684" s="49"/>
      <c r="AG1684" s="49"/>
      <c r="AH1684" s="49"/>
      <c r="AI1684" s="48"/>
      <c r="AJ1684" s="48"/>
      <c r="AK1684" s="24"/>
      <c r="AL1684" s="50"/>
      <c r="AM1684" s="50"/>
      <c r="AN1684" s="50"/>
      <c r="AO1684" s="50"/>
      <c r="AP1684" s="50"/>
      <c r="AQ1684" s="50"/>
      <c r="AR1684" s="50"/>
      <c r="AS1684" s="50"/>
      <c r="AT1684" s="51"/>
      <c r="AU1684" s="51"/>
      <c r="AV1684" s="51"/>
      <c r="AW1684" s="51"/>
      <c r="AX1684" s="50"/>
      <c r="AY1684" s="50"/>
      <c r="AZ1684" s="50"/>
      <c r="BA1684" s="50"/>
      <c r="BB1684" s="51"/>
      <c r="BC1684" s="51"/>
      <c r="BD1684" s="51"/>
      <c r="BE1684" s="51"/>
      <c r="BF1684" s="47"/>
      <c r="BG1684" s="47"/>
      <c r="BH1684" s="47"/>
      <c r="BI1684" s="47"/>
      <c r="BJ1684" s="47"/>
      <c r="BK1684" s="47"/>
      <c r="BL1684" s="47"/>
      <c r="BM1684" s="47"/>
      <c r="BN1684" s="47"/>
      <c r="BO1684" s="47"/>
      <c r="BP1684" s="47"/>
      <c r="BQ1684" s="47"/>
      <c r="BR1684" s="47"/>
      <c r="BS1684" s="47"/>
      <c r="BT1684" s="47"/>
    </row>
    <row r="1685">
      <c r="A1685" s="24"/>
      <c r="B1685" s="48"/>
      <c r="C1685" s="49"/>
      <c r="D1685" s="24"/>
      <c r="E1685" s="52"/>
      <c r="F1685" s="53"/>
      <c r="G1685" s="48"/>
      <c r="H1685" s="49"/>
      <c r="I1685" s="49"/>
      <c r="J1685" s="48"/>
      <c r="K1685" s="48"/>
      <c r="L1685" s="48"/>
      <c r="M1685" s="48"/>
      <c r="N1685" s="48"/>
      <c r="O1685" s="48"/>
      <c r="P1685" s="48"/>
      <c r="Q1685" s="48"/>
      <c r="R1685" s="48"/>
      <c r="S1685" s="48"/>
      <c r="T1685" s="48"/>
      <c r="U1685" s="48"/>
      <c r="V1685" s="48"/>
      <c r="W1685" s="49"/>
      <c r="X1685" s="49"/>
      <c r="Y1685" s="49"/>
      <c r="Z1685" s="49"/>
      <c r="AA1685" s="49"/>
      <c r="AB1685" s="49"/>
      <c r="AC1685" s="49"/>
      <c r="AD1685" s="49"/>
      <c r="AE1685" s="49"/>
      <c r="AF1685" s="49"/>
      <c r="AG1685" s="49"/>
      <c r="AH1685" s="49"/>
      <c r="AI1685" s="48"/>
      <c r="AJ1685" s="48"/>
      <c r="AK1685" s="24"/>
      <c r="AL1685" s="50"/>
      <c r="AM1685" s="50"/>
      <c r="AN1685" s="50"/>
      <c r="AO1685" s="50"/>
      <c r="AP1685" s="50"/>
      <c r="AQ1685" s="50"/>
      <c r="AR1685" s="50"/>
      <c r="AS1685" s="50"/>
      <c r="AT1685" s="51"/>
      <c r="AU1685" s="51"/>
      <c r="AV1685" s="51"/>
      <c r="AW1685" s="51"/>
      <c r="AX1685" s="50"/>
      <c r="AY1685" s="50"/>
      <c r="AZ1685" s="50"/>
      <c r="BA1685" s="50"/>
      <c r="BB1685" s="51"/>
      <c r="BC1685" s="51"/>
      <c r="BD1685" s="51"/>
      <c r="BE1685" s="51"/>
      <c r="BF1685" s="47"/>
      <c r="BG1685" s="47"/>
      <c r="BH1685" s="47"/>
      <c r="BI1685" s="47"/>
      <c r="BJ1685" s="47"/>
      <c r="BK1685" s="47"/>
      <c r="BL1685" s="47"/>
      <c r="BM1685" s="47"/>
      <c r="BN1685" s="47"/>
      <c r="BO1685" s="47"/>
      <c r="BP1685" s="47"/>
      <c r="BQ1685" s="47"/>
      <c r="BR1685" s="47"/>
      <c r="BS1685" s="47"/>
      <c r="BT1685" s="47"/>
    </row>
    <row r="1686">
      <c r="A1686" s="24"/>
      <c r="B1686" s="48"/>
      <c r="C1686" s="49"/>
      <c r="D1686" s="24"/>
      <c r="E1686" s="52"/>
      <c r="F1686" s="53"/>
      <c r="G1686" s="48"/>
      <c r="H1686" s="49"/>
      <c r="I1686" s="49"/>
      <c r="J1686" s="48"/>
      <c r="K1686" s="48"/>
      <c r="L1686" s="48"/>
      <c r="M1686" s="48"/>
      <c r="N1686" s="48"/>
      <c r="O1686" s="48"/>
      <c r="P1686" s="48"/>
      <c r="Q1686" s="48"/>
      <c r="R1686" s="48"/>
      <c r="S1686" s="48"/>
      <c r="T1686" s="48"/>
      <c r="U1686" s="48"/>
      <c r="V1686" s="48"/>
      <c r="W1686" s="49"/>
      <c r="X1686" s="49"/>
      <c r="Y1686" s="49"/>
      <c r="Z1686" s="49"/>
      <c r="AA1686" s="49"/>
      <c r="AB1686" s="49"/>
      <c r="AC1686" s="49"/>
      <c r="AD1686" s="49"/>
      <c r="AE1686" s="49"/>
      <c r="AF1686" s="49"/>
      <c r="AG1686" s="49"/>
      <c r="AH1686" s="49"/>
      <c r="AI1686" s="48"/>
      <c r="AJ1686" s="48"/>
      <c r="AK1686" s="24"/>
      <c r="AL1686" s="50"/>
      <c r="AM1686" s="50"/>
      <c r="AN1686" s="50"/>
      <c r="AO1686" s="50"/>
      <c r="AP1686" s="50"/>
      <c r="AQ1686" s="50"/>
      <c r="AR1686" s="50"/>
      <c r="AS1686" s="50"/>
      <c r="AT1686" s="51"/>
      <c r="AU1686" s="51"/>
      <c r="AV1686" s="51"/>
      <c r="AW1686" s="51"/>
      <c r="AX1686" s="50"/>
      <c r="AY1686" s="50"/>
      <c r="AZ1686" s="50"/>
      <c r="BA1686" s="50"/>
      <c r="BB1686" s="51"/>
      <c r="BC1686" s="51"/>
      <c r="BD1686" s="51"/>
      <c r="BE1686" s="51"/>
      <c r="BF1686" s="47"/>
      <c r="BG1686" s="47"/>
      <c r="BH1686" s="47"/>
      <c r="BI1686" s="47"/>
      <c r="BJ1686" s="47"/>
      <c r="BK1686" s="47"/>
      <c r="BL1686" s="47"/>
      <c r="BM1686" s="47"/>
      <c r="BN1686" s="47"/>
      <c r="BO1686" s="47"/>
      <c r="BP1686" s="47"/>
      <c r="BQ1686" s="47"/>
      <c r="BR1686" s="47"/>
      <c r="BS1686" s="47"/>
      <c r="BT1686" s="47"/>
    </row>
    <row r="1687">
      <c r="A1687" s="24"/>
      <c r="B1687" s="48"/>
      <c r="C1687" s="49"/>
      <c r="D1687" s="24"/>
      <c r="E1687" s="52"/>
      <c r="F1687" s="53"/>
      <c r="G1687" s="48"/>
      <c r="H1687" s="49"/>
      <c r="I1687" s="49"/>
      <c r="J1687" s="48"/>
      <c r="K1687" s="48"/>
      <c r="L1687" s="48"/>
      <c r="M1687" s="48"/>
      <c r="N1687" s="48"/>
      <c r="O1687" s="48"/>
      <c r="P1687" s="48"/>
      <c r="Q1687" s="48"/>
      <c r="R1687" s="48"/>
      <c r="S1687" s="48"/>
      <c r="T1687" s="48"/>
      <c r="U1687" s="48"/>
      <c r="V1687" s="48"/>
      <c r="W1687" s="49"/>
      <c r="X1687" s="49"/>
      <c r="Y1687" s="49"/>
      <c r="Z1687" s="49"/>
      <c r="AA1687" s="49"/>
      <c r="AB1687" s="49"/>
      <c r="AC1687" s="49"/>
      <c r="AD1687" s="49"/>
      <c r="AE1687" s="49"/>
      <c r="AF1687" s="49"/>
      <c r="AG1687" s="49"/>
      <c r="AH1687" s="49"/>
      <c r="AI1687" s="48"/>
      <c r="AJ1687" s="48"/>
      <c r="AK1687" s="24"/>
      <c r="AL1687" s="50"/>
      <c r="AM1687" s="50"/>
      <c r="AN1687" s="50"/>
      <c r="AO1687" s="50"/>
      <c r="AP1687" s="50"/>
      <c r="AQ1687" s="50"/>
      <c r="AR1687" s="50"/>
      <c r="AS1687" s="50"/>
      <c r="AT1687" s="51"/>
      <c r="AU1687" s="51"/>
      <c r="AV1687" s="51"/>
      <c r="AW1687" s="51"/>
      <c r="AX1687" s="50"/>
      <c r="AY1687" s="50"/>
      <c r="AZ1687" s="50"/>
      <c r="BA1687" s="50"/>
      <c r="BB1687" s="51"/>
      <c r="BC1687" s="51"/>
      <c r="BD1687" s="51"/>
      <c r="BE1687" s="51"/>
      <c r="BF1687" s="47"/>
      <c r="BG1687" s="47"/>
      <c r="BH1687" s="47"/>
      <c r="BI1687" s="47"/>
      <c r="BJ1687" s="47"/>
      <c r="BK1687" s="47"/>
      <c r="BL1687" s="47"/>
      <c r="BM1687" s="47"/>
      <c r="BN1687" s="47"/>
      <c r="BO1687" s="47"/>
      <c r="BP1687" s="47"/>
      <c r="BQ1687" s="47"/>
      <c r="BR1687" s="47"/>
      <c r="BS1687" s="47"/>
      <c r="BT1687" s="47"/>
    </row>
    <row r="1688">
      <c r="A1688" s="24"/>
      <c r="B1688" s="48"/>
      <c r="C1688" s="49"/>
      <c r="D1688" s="24"/>
      <c r="E1688" s="52"/>
      <c r="F1688" s="53"/>
      <c r="G1688" s="48"/>
      <c r="H1688" s="49"/>
      <c r="I1688" s="49"/>
      <c r="J1688" s="48"/>
      <c r="K1688" s="48"/>
      <c r="L1688" s="48"/>
      <c r="M1688" s="48"/>
      <c r="N1688" s="48"/>
      <c r="O1688" s="48"/>
      <c r="P1688" s="48"/>
      <c r="Q1688" s="48"/>
      <c r="R1688" s="48"/>
      <c r="S1688" s="48"/>
      <c r="T1688" s="48"/>
      <c r="U1688" s="48"/>
      <c r="V1688" s="48"/>
      <c r="W1688" s="49"/>
      <c r="X1688" s="49"/>
      <c r="Y1688" s="49"/>
      <c r="Z1688" s="49"/>
      <c r="AA1688" s="49"/>
      <c r="AB1688" s="49"/>
      <c r="AC1688" s="49"/>
      <c r="AD1688" s="49"/>
      <c r="AE1688" s="49"/>
      <c r="AF1688" s="49"/>
      <c r="AG1688" s="49"/>
      <c r="AH1688" s="49"/>
      <c r="AI1688" s="48"/>
      <c r="AJ1688" s="48"/>
      <c r="AK1688" s="24"/>
      <c r="AL1688" s="50"/>
      <c r="AM1688" s="50"/>
      <c r="AN1688" s="50"/>
      <c r="AO1688" s="50"/>
      <c r="AP1688" s="50"/>
      <c r="AQ1688" s="50"/>
      <c r="AR1688" s="50"/>
      <c r="AS1688" s="50"/>
      <c r="AT1688" s="51"/>
      <c r="AU1688" s="51"/>
      <c r="AV1688" s="51"/>
      <c r="AW1688" s="51"/>
      <c r="AX1688" s="50"/>
      <c r="AY1688" s="50"/>
      <c r="AZ1688" s="50"/>
      <c r="BA1688" s="50"/>
      <c r="BB1688" s="51"/>
      <c r="BC1688" s="51"/>
      <c r="BD1688" s="51"/>
      <c r="BE1688" s="51"/>
      <c r="BF1688" s="47"/>
      <c r="BG1688" s="47"/>
      <c r="BH1688" s="47"/>
      <c r="BI1688" s="47"/>
      <c r="BJ1688" s="47"/>
      <c r="BK1688" s="47"/>
      <c r="BL1688" s="47"/>
      <c r="BM1688" s="47"/>
      <c r="BN1688" s="47"/>
      <c r="BO1688" s="47"/>
      <c r="BP1688" s="47"/>
      <c r="BQ1688" s="47"/>
      <c r="BR1688" s="47"/>
      <c r="BS1688" s="47"/>
      <c r="BT1688" s="47"/>
    </row>
    <row r="1689">
      <c r="A1689" s="24"/>
      <c r="B1689" s="48"/>
      <c r="C1689" s="49"/>
      <c r="D1689" s="24"/>
      <c r="E1689" s="52"/>
      <c r="F1689" s="53"/>
      <c r="G1689" s="48"/>
      <c r="H1689" s="49"/>
      <c r="I1689" s="49"/>
      <c r="J1689" s="48"/>
      <c r="K1689" s="48"/>
      <c r="L1689" s="48"/>
      <c r="M1689" s="48"/>
      <c r="N1689" s="48"/>
      <c r="O1689" s="48"/>
      <c r="P1689" s="48"/>
      <c r="Q1689" s="48"/>
      <c r="R1689" s="48"/>
      <c r="S1689" s="48"/>
      <c r="T1689" s="48"/>
      <c r="U1689" s="48"/>
      <c r="V1689" s="48"/>
      <c r="W1689" s="49"/>
      <c r="X1689" s="49"/>
      <c r="Y1689" s="49"/>
      <c r="Z1689" s="49"/>
      <c r="AA1689" s="49"/>
      <c r="AB1689" s="49"/>
      <c r="AC1689" s="49"/>
      <c r="AD1689" s="49"/>
      <c r="AE1689" s="49"/>
      <c r="AF1689" s="49"/>
      <c r="AG1689" s="49"/>
      <c r="AH1689" s="49"/>
      <c r="AI1689" s="48"/>
      <c r="AJ1689" s="48"/>
      <c r="AK1689" s="24"/>
      <c r="AL1689" s="50"/>
      <c r="AM1689" s="50"/>
      <c r="AN1689" s="50"/>
      <c r="AO1689" s="50"/>
      <c r="AP1689" s="50"/>
      <c r="AQ1689" s="50"/>
      <c r="AR1689" s="50"/>
      <c r="AS1689" s="50"/>
      <c r="AT1689" s="51"/>
      <c r="AU1689" s="51"/>
      <c r="AV1689" s="51"/>
      <c r="AW1689" s="51"/>
      <c r="AX1689" s="50"/>
      <c r="AY1689" s="50"/>
      <c r="AZ1689" s="50"/>
      <c r="BA1689" s="50"/>
      <c r="BB1689" s="51"/>
      <c r="BC1689" s="51"/>
      <c r="BD1689" s="51"/>
      <c r="BE1689" s="51"/>
      <c r="BF1689" s="47"/>
      <c r="BG1689" s="47"/>
      <c r="BH1689" s="47"/>
      <c r="BI1689" s="47"/>
      <c r="BJ1689" s="47"/>
      <c r="BK1689" s="47"/>
      <c r="BL1689" s="47"/>
      <c r="BM1689" s="47"/>
      <c r="BN1689" s="47"/>
      <c r="BO1689" s="47"/>
      <c r="BP1689" s="47"/>
      <c r="BQ1689" s="47"/>
      <c r="BR1689" s="47"/>
      <c r="BS1689" s="47"/>
      <c r="BT1689" s="47"/>
    </row>
    <row r="1690">
      <c r="A1690" s="24"/>
      <c r="B1690" s="48"/>
      <c r="C1690" s="49"/>
      <c r="D1690" s="24"/>
      <c r="E1690" s="52"/>
      <c r="F1690" s="53"/>
      <c r="G1690" s="48"/>
      <c r="H1690" s="49"/>
      <c r="I1690" s="49"/>
      <c r="J1690" s="48"/>
      <c r="K1690" s="48"/>
      <c r="L1690" s="48"/>
      <c r="M1690" s="48"/>
      <c r="N1690" s="48"/>
      <c r="O1690" s="48"/>
      <c r="P1690" s="48"/>
      <c r="Q1690" s="48"/>
      <c r="R1690" s="48"/>
      <c r="S1690" s="48"/>
      <c r="T1690" s="48"/>
      <c r="U1690" s="48"/>
      <c r="V1690" s="48"/>
      <c r="W1690" s="49"/>
      <c r="X1690" s="49"/>
      <c r="Y1690" s="49"/>
      <c r="Z1690" s="49"/>
      <c r="AA1690" s="49"/>
      <c r="AB1690" s="49"/>
      <c r="AC1690" s="49"/>
      <c r="AD1690" s="49"/>
      <c r="AE1690" s="49"/>
      <c r="AF1690" s="49"/>
      <c r="AG1690" s="49"/>
      <c r="AH1690" s="49"/>
      <c r="AI1690" s="48"/>
      <c r="AJ1690" s="48"/>
      <c r="AK1690" s="24"/>
      <c r="AL1690" s="50"/>
      <c r="AM1690" s="50"/>
      <c r="AN1690" s="50"/>
      <c r="AO1690" s="50"/>
      <c r="AP1690" s="50"/>
      <c r="AQ1690" s="50"/>
      <c r="AR1690" s="50"/>
      <c r="AS1690" s="50"/>
      <c r="AT1690" s="51"/>
      <c r="AU1690" s="51"/>
      <c r="AV1690" s="51"/>
      <c r="AW1690" s="51"/>
      <c r="AX1690" s="50"/>
      <c r="AY1690" s="50"/>
      <c r="AZ1690" s="50"/>
      <c r="BA1690" s="50"/>
      <c r="BB1690" s="51"/>
      <c r="BC1690" s="51"/>
      <c r="BD1690" s="51"/>
      <c r="BE1690" s="51"/>
      <c r="BF1690" s="47"/>
      <c r="BG1690" s="47"/>
      <c r="BH1690" s="47"/>
      <c r="BI1690" s="47"/>
      <c r="BJ1690" s="47"/>
      <c r="BK1690" s="47"/>
      <c r="BL1690" s="47"/>
      <c r="BM1690" s="47"/>
      <c r="BN1690" s="47"/>
      <c r="BO1690" s="47"/>
      <c r="BP1690" s="47"/>
      <c r="BQ1690" s="47"/>
      <c r="BR1690" s="47"/>
      <c r="BS1690" s="47"/>
      <c r="BT1690" s="47"/>
    </row>
    <row r="1691">
      <c r="A1691" s="24"/>
      <c r="B1691" s="48"/>
      <c r="C1691" s="49"/>
      <c r="D1691" s="24"/>
      <c r="E1691" s="52"/>
      <c r="F1691" s="53"/>
      <c r="G1691" s="48"/>
      <c r="H1691" s="49"/>
      <c r="I1691" s="49"/>
      <c r="J1691" s="48"/>
      <c r="K1691" s="48"/>
      <c r="L1691" s="48"/>
      <c r="M1691" s="48"/>
      <c r="N1691" s="48"/>
      <c r="O1691" s="48"/>
      <c r="P1691" s="48"/>
      <c r="Q1691" s="48"/>
      <c r="R1691" s="48"/>
      <c r="S1691" s="48"/>
      <c r="T1691" s="48"/>
      <c r="U1691" s="48"/>
      <c r="V1691" s="48"/>
      <c r="W1691" s="49"/>
      <c r="X1691" s="49"/>
      <c r="Y1691" s="49"/>
      <c r="Z1691" s="49"/>
      <c r="AA1691" s="49"/>
      <c r="AB1691" s="49"/>
      <c r="AC1691" s="49"/>
      <c r="AD1691" s="49"/>
      <c r="AE1691" s="49"/>
      <c r="AF1691" s="49"/>
      <c r="AG1691" s="49"/>
      <c r="AH1691" s="49"/>
      <c r="AI1691" s="48"/>
      <c r="AJ1691" s="48"/>
      <c r="AK1691" s="24"/>
      <c r="AL1691" s="50"/>
      <c r="AM1691" s="50"/>
      <c r="AN1691" s="50"/>
      <c r="AO1691" s="50"/>
      <c r="AP1691" s="50"/>
      <c r="AQ1691" s="50"/>
      <c r="AR1691" s="50"/>
      <c r="AS1691" s="50"/>
      <c r="AT1691" s="51"/>
      <c r="AU1691" s="51"/>
      <c r="AV1691" s="51"/>
      <c r="AW1691" s="51"/>
      <c r="AX1691" s="50"/>
      <c r="AY1691" s="50"/>
      <c r="AZ1691" s="50"/>
      <c r="BA1691" s="50"/>
      <c r="BB1691" s="51"/>
      <c r="BC1691" s="51"/>
      <c r="BD1691" s="51"/>
      <c r="BE1691" s="51"/>
      <c r="BF1691" s="47"/>
      <c r="BG1691" s="47"/>
      <c r="BH1691" s="47"/>
      <c r="BI1691" s="47"/>
      <c r="BJ1691" s="47"/>
      <c r="BK1691" s="47"/>
      <c r="BL1691" s="47"/>
      <c r="BM1691" s="47"/>
      <c r="BN1691" s="47"/>
      <c r="BO1691" s="47"/>
      <c r="BP1691" s="47"/>
      <c r="BQ1691" s="47"/>
      <c r="BR1691" s="47"/>
      <c r="BS1691" s="47"/>
      <c r="BT1691" s="47"/>
    </row>
    <row r="1692">
      <c r="A1692" s="24"/>
      <c r="B1692" s="48"/>
      <c r="C1692" s="49"/>
      <c r="D1692" s="24"/>
      <c r="E1692" s="52"/>
      <c r="F1692" s="53"/>
      <c r="G1692" s="48"/>
      <c r="H1692" s="49"/>
      <c r="I1692" s="49"/>
      <c r="J1692" s="48"/>
      <c r="K1692" s="48"/>
      <c r="L1692" s="48"/>
      <c r="M1692" s="48"/>
      <c r="N1692" s="48"/>
      <c r="O1692" s="48"/>
      <c r="P1692" s="48"/>
      <c r="Q1692" s="48"/>
      <c r="R1692" s="48"/>
      <c r="S1692" s="48"/>
      <c r="T1692" s="48"/>
      <c r="U1692" s="48"/>
      <c r="V1692" s="48"/>
      <c r="W1692" s="49"/>
      <c r="X1692" s="49"/>
      <c r="Y1692" s="49"/>
      <c r="Z1692" s="49"/>
      <c r="AA1692" s="49"/>
      <c r="AB1692" s="49"/>
      <c r="AC1692" s="49"/>
      <c r="AD1692" s="49"/>
      <c r="AE1692" s="49"/>
      <c r="AF1692" s="49"/>
      <c r="AG1692" s="49"/>
      <c r="AH1692" s="49"/>
      <c r="AI1692" s="48"/>
      <c r="AJ1692" s="48"/>
      <c r="AK1692" s="24"/>
      <c r="AL1692" s="50"/>
      <c r="AM1692" s="50"/>
      <c r="AN1692" s="50"/>
      <c r="AO1692" s="50"/>
      <c r="AP1692" s="50"/>
      <c r="AQ1692" s="50"/>
      <c r="AR1692" s="50"/>
      <c r="AS1692" s="50"/>
      <c r="AT1692" s="51"/>
      <c r="AU1692" s="51"/>
      <c r="AV1692" s="51"/>
      <c r="AW1692" s="51"/>
      <c r="AX1692" s="50"/>
      <c r="AY1692" s="50"/>
      <c r="AZ1692" s="50"/>
      <c r="BA1692" s="50"/>
      <c r="BB1692" s="51"/>
      <c r="BC1692" s="51"/>
      <c r="BD1692" s="51"/>
      <c r="BE1692" s="51"/>
      <c r="BF1692" s="47"/>
      <c r="BG1692" s="47"/>
      <c r="BH1692" s="47"/>
      <c r="BI1692" s="47"/>
      <c r="BJ1692" s="47"/>
      <c r="BK1692" s="47"/>
      <c r="BL1692" s="47"/>
      <c r="BM1692" s="47"/>
      <c r="BN1692" s="47"/>
      <c r="BO1692" s="47"/>
      <c r="BP1692" s="47"/>
      <c r="BQ1692" s="47"/>
      <c r="BR1692" s="47"/>
      <c r="BS1692" s="47"/>
      <c r="BT1692" s="47"/>
    </row>
    <row r="1693">
      <c r="A1693" s="24"/>
      <c r="B1693" s="48"/>
      <c r="C1693" s="49"/>
      <c r="D1693" s="24"/>
      <c r="E1693" s="52"/>
      <c r="F1693" s="53"/>
      <c r="G1693" s="48"/>
      <c r="H1693" s="49"/>
      <c r="I1693" s="49"/>
      <c r="J1693" s="48"/>
      <c r="K1693" s="48"/>
      <c r="L1693" s="48"/>
      <c r="M1693" s="48"/>
      <c r="N1693" s="48"/>
      <c r="O1693" s="48"/>
      <c r="P1693" s="48"/>
      <c r="Q1693" s="48"/>
      <c r="R1693" s="48"/>
      <c r="S1693" s="48"/>
      <c r="T1693" s="48"/>
      <c r="U1693" s="48"/>
      <c r="V1693" s="48"/>
      <c r="W1693" s="49"/>
      <c r="X1693" s="49"/>
      <c r="Y1693" s="49"/>
      <c r="Z1693" s="49"/>
      <c r="AA1693" s="49"/>
      <c r="AB1693" s="49"/>
      <c r="AC1693" s="49"/>
      <c r="AD1693" s="49"/>
      <c r="AE1693" s="49"/>
      <c r="AF1693" s="49"/>
      <c r="AG1693" s="49"/>
      <c r="AH1693" s="49"/>
      <c r="AI1693" s="48"/>
      <c r="AJ1693" s="48"/>
      <c r="AK1693" s="24"/>
      <c r="AL1693" s="50"/>
      <c r="AM1693" s="50"/>
      <c r="AN1693" s="50"/>
      <c r="AO1693" s="50"/>
      <c r="AP1693" s="50"/>
      <c r="AQ1693" s="50"/>
      <c r="AR1693" s="50"/>
      <c r="AS1693" s="50"/>
      <c r="AT1693" s="51"/>
      <c r="AU1693" s="51"/>
      <c r="AV1693" s="51"/>
      <c r="AW1693" s="51"/>
      <c r="AX1693" s="50"/>
      <c r="AY1693" s="50"/>
      <c r="AZ1693" s="50"/>
      <c r="BA1693" s="50"/>
      <c r="BB1693" s="51"/>
      <c r="BC1693" s="51"/>
      <c r="BD1693" s="51"/>
      <c r="BE1693" s="51"/>
      <c r="BF1693" s="47"/>
      <c r="BG1693" s="47"/>
      <c r="BH1693" s="47"/>
      <c r="BI1693" s="47"/>
      <c r="BJ1693" s="47"/>
      <c r="BK1693" s="47"/>
      <c r="BL1693" s="47"/>
      <c r="BM1693" s="47"/>
      <c r="BN1693" s="47"/>
      <c r="BO1693" s="47"/>
      <c r="BP1693" s="47"/>
      <c r="BQ1693" s="47"/>
      <c r="BR1693" s="47"/>
      <c r="BS1693" s="47"/>
      <c r="BT1693" s="47"/>
    </row>
    <row r="1694">
      <c r="A1694" s="24"/>
      <c r="B1694" s="48"/>
      <c r="C1694" s="49"/>
      <c r="D1694" s="24"/>
      <c r="E1694" s="52"/>
      <c r="F1694" s="53"/>
      <c r="G1694" s="48"/>
      <c r="H1694" s="49"/>
      <c r="I1694" s="49"/>
      <c r="J1694" s="48"/>
      <c r="K1694" s="48"/>
      <c r="L1694" s="48"/>
      <c r="M1694" s="48"/>
      <c r="N1694" s="48"/>
      <c r="O1694" s="48"/>
      <c r="P1694" s="48"/>
      <c r="Q1694" s="48"/>
      <c r="R1694" s="48"/>
      <c r="S1694" s="48"/>
      <c r="T1694" s="48"/>
      <c r="U1694" s="48"/>
      <c r="V1694" s="48"/>
      <c r="W1694" s="49"/>
      <c r="X1694" s="49"/>
      <c r="Y1694" s="49"/>
      <c r="Z1694" s="49"/>
      <c r="AA1694" s="49"/>
      <c r="AB1694" s="49"/>
      <c r="AC1694" s="49"/>
      <c r="AD1694" s="49"/>
      <c r="AE1694" s="49"/>
      <c r="AF1694" s="49"/>
      <c r="AG1694" s="49"/>
      <c r="AH1694" s="49"/>
      <c r="AI1694" s="48"/>
      <c r="AJ1694" s="48"/>
      <c r="AK1694" s="24"/>
      <c r="AL1694" s="50"/>
      <c r="AM1694" s="50"/>
      <c r="AN1694" s="50"/>
      <c r="AO1694" s="50"/>
      <c r="AP1694" s="50"/>
      <c r="AQ1694" s="50"/>
      <c r="AR1694" s="50"/>
      <c r="AS1694" s="50"/>
      <c r="AT1694" s="51"/>
      <c r="AU1694" s="51"/>
      <c r="AV1694" s="51"/>
      <c r="AW1694" s="51"/>
      <c r="AX1694" s="50"/>
      <c r="AY1694" s="50"/>
      <c r="AZ1694" s="50"/>
      <c r="BA1694" s="50"/>
      <c r="BB1694" s="51"/>
      <c r="BC1694" s="51"/>
      <c r="BD1694" s="51"/>
      <c r="BE1694" s="51"/>
      <c r="BF1694" s="47"/>
      <c r="BG1694" s="47"/>
      <c r="BH1694" s="47"/>
      <c r="BI1694" s="47"/>
      <c r="BJ1694" s="47"/>
      <c r="BK1694" s="47"/>
      <c r="BL1694" s="47"/>
      <c r="BM1694" s="47"/>
      <c r="BN1694" s="47"/>
      <c r="BO1694" s="47"/>
      <c r="BP1694" s="47"/>
      <c r="BQ1694" s="47"/>
      <c r="BR1694" s="47"/>
      <c r="BS1694" s="47"/>
      <c r="BT1694" s="47"/>
    </row>
    <row r="1695">
      <c r="A1695" s="24"/>
      <c r="B1695" s="48"/>
      <c r="C1695" s="49"/>
      <c r="D1695" s="24"/>
      <c r="E1695" s="52"/>
      <c r="F1695" s="53"/>
      <c r="G1695" s="48"/>
      <c r="H1695" s="49"/>
      <c r="I1695" s="49"/>
      <c r="J1695" s="48"/>
      <c r="K1695" s="48"/>
      <c r="L1695" s="48"/>
      <c r="M1695" s="48"/>
      <c r="N1695" s="48"/>
      <c r="O1695" s="48"/>
      <c r="P1695" s="48"/>
      <c r="Q1695" s="48"/>
      <c r="R1695" s="48"/>
      <c r="S1695" s="48"/>
      <c r="T1695" s="48"/>
      <c r="U1695" s="48"/>
      <c r="V1695" s="48"/>
      <c r="W1695" s="49"/>
      <c r="X1695" s="49"/>
      <c r="Y1695" s="49"/>
      <c r="Z1695" s="49"/>
      <c r="AA1695" s="49"/>
      <c r="AB1695" s="49"/>
      <c r="AC1695" s="49"/>
      <c r="AD1695" s="49"/>
      <c r="AE1695" s="49"/>
      <c r="AF1695" s="49"/>
      <c r="AG1695" s="49"/>
      <c r="AH1695" s="49"/>
      <c r="AI1695" s="48"/>
      <c r="AJ1695" s="48"/>
      <c r="AK1695" s="24"/>
      <c r="AL1695" s="50"/>
      <c r="AM1695" s="50"/>
      <c r="AN1695" s="50"/>
      <c r="AO1695" s="50"/>
      <c r="AP1695" s="50"/>
      <c r="AQ1695" s="50"/>
      <c r="AR1695" s="50"/>
      <c r="AS1695" s="50"/>
      <c r="AT1695" s="51"/>
      <c r="AU1695" s="51"/>
      <c r="AV1695" s="51"/>
      <c r="AW1695" s="51"/>
      <c r="AX1695" s="50"/>
      <c r="AY1695" s="50"/>
      <c r="AZ1695" s="50"/>
      <c r="BA1695" s="50"/>
      <c r="BB1695" s="51"/>
      <c r="BC1695" s="51"/>
      <c r="BD1695" s="51"/>
      <c r="BE1695" s="51"/>
      <c r="BF1695" s="47"/>
      <c r="BG1695" s="47"/>
      <c r="BH1695" s="47"/>
      <c r="BI1695" s="47"/>
      <c r="BJ1695" s="47"/>
      <c r="BK1695" s="47"/>
      <c r="BL1695" s="47"/>
      <c r="BM1695" s="47"/>
      <c r="BN1695" s="47"/>
      <c r="BO1695" s="47"/>
      <c r="BP1695" s="47"/>
      <c r="BQ1695" s="47"/>
      <c r="BR1695" s="47"/>
      <c r="BS1695" s="47"/>
      <c r="BT1695" s="47"/>
    </row>
    <row r="1696">
      <c r="A1696" s="24"/>
      <c r="B1696" s="48"/>
      <c r="C1696" s="49"/>
      <c r="D1696" s="24"/>
      <c r="E1696" s="52"/>
      <c r="F1696" s="53"/>
      <c r="G1696" s="48"/>
      <c r="H1696" s="49"/>
      <c r="I1696" s="49"/>
      <c r="J1696" s="48"/>
      <c r="K1696" s="48"/>
      <c r="L1696" s="48"/>
      <c r="M1696" s="48"/>
      <c r="N1696" s="48"/>
      <c r="O1696" s="48"/>
      <c r="P1696" s="48"/>
      <c r="Q1696" s="48"/>
      <c r="R1696" s="48"/>
      <c r="S1696" s="48"/>
      <c r="T1696" s="48"/>
      <c r="U1696" s="48"/>
      <c r="V1696" s="48"/>
      <c r="W1696" s="49"/>
      <c r="X1696" s="49"/>
      <c r="Y1696" s="49"/>
      <c r="Z1696" s="49"/>
      <c r="AA1696" s="49"/>
      <c r="AB1696" s="49"/>
      <c r="AC1696" s="49"/>
      <c r="AD1696" s="49"/>
      <c r="AE1696" s="49"/>
      <c r="AF1696" s="49"/>
      <c r="AG1696" s="49"/>
      <c r="AH1696" s="49"/>
      <c r="AI1696" s="48"/>
      <c r="AJ1696" s="48"/>
      <c r="AK1696" s="24"/>
      <c r="AL1696" s="50"/>
      <c r="AM1696" s="50"/>
      <c r="AN1696" s="50"/>
      <c r="AO1696" s="50"/>
      <c r="AP1696" s="50"/>
      <c r="AQ1696" s="50"/>
      <c r="AR1696" s="50"/>
      <c r="AS1696" s="50"/>
      <c r="AT1696" s="51"/>
      <c r="AU1696" s="51"/>
      <c r="AV1696" s="51"/>
      <c r="AW1696" s="51"/>
      <c r="AX1696" s="50"/>
      <c r="AY1696" s="50"/>
      <c r="AZ1696" s="50"/>
      <c r="BA1696" s="50"/>
      <c r="BB1696" s="51"/>
      <c r="BC1696" s="51"/>
      <c r="BD1696" s="51"/>
      <c r="BE1696" s="51"/>
      <c r="BF1696" s="47"/>
      <c r="BG1696" s="47"/>
      <c r="BH1696" s="47"/>
      <c r="BI1696" s="47"/>
      <c r="BJ1696" s="47"/>
      <c r="BK1696" s="47"/>
      <c r="BL1696" s="47"/>
      <c r="BM1696" s="47"/>
      <c r="BN1696" s="47"/>
      <c r="BO1696" s="47"/>
      <c r="BP1696" s="47"/>
      <c r="BQ1696" s="47"/>
      <c r="BR1696" s="47"/>
      <c r="BS1696" s="47"/>
      <c r="BT1696" s="47"/>
    </row>
    <row r="1697">
      <c r="A1697" s="24"/>
      <c r="B1697" s="48"/>
      <c r="C1697" s="49"/>
      <c r="D1697" s="24"/>
      <c r="E1697" s="52"/>
      <c r="F1697" s="53"/>
      <c r="G1697" s="48"/>
      <c r="H1697" s="49"/>
      <c r="I1697" s="49"/>
      <c r="J1697" s="48"/>
      <c r="K1697" s="48"/>
      <c r="L1697" s="48"/>
      <c r="M1697" s="48"/>
      <c r="N1697" s="48"/>
      <c r="O1697" s="48"/>
      <c r="P1697" s="48"/>
      <c r="Q1697" s="48"/>
      <c r="R1697" s="48"/>
      <c r="S1697" s="48"/>
      <c r="T1697" s="48"/>
      <c r="U1697" s="48"/>
      <c r="V1697" s="48"/>
      <c r="W1697" s="49"/>
      <c r="X1697" s="49"/>
      <c r="Y1697" s="49"/>
      <c r="Z1697" s="49"/>
      <c r="AA1697" s="49"/>
      <c r="AB1697" s="49"/>
      <c r="AC1697" s="49"/>
      <c r="AD1697" s="49"/>
      <c r="AE1697" s="49"/>
      <c r="AF1697" s="49"/>
      <c r="AG1697" s="49"/>
      <c r="AH1697" s="49"/>
      <c r="AI1697" s="48"/>
      <c r="AJ1697" s="48"/>
      <c r="AK1697" s="24"/>
      <c r="AL1697" s="50"/>
      <c r="AM1697" s="50"/>
      <c r="AN1697" s="50"/>
      <c r="AO1697" s="50"/>
      <c r="AP1697" s="50"/>
      <c r="AQ1697" s="50"/>
      <c r="AR1697" s="50"/>
      <c r="AS1697" s="50"/>
      <c r="AT1697" s="51"/>
      <c r="AU1697" s="51"/>
      <c r="AV1697" s="51"/>
      <c r="AW1697" s="51"/>
      <c r="AX1697" s="50"/>
      <c r="AY1697" s="50"/>
      <c r="AZ1697" s="50"/>
      <c r="BA1697" s="50"/>
      <c r="BB1697" s="51"/>
      <c r="BC1697" s="51"/>
      <c r="BD1697" s="51"/>
      <c r="BE1697" s="51"/>
      <c r="BF1697" s="47"/>
      <c r="BG1697" s="47"/>
      <c r="BH1697" s="47"/>
      <c r="BI1697" s="47"/>
      <c r="BJ1697" s="47"/>
      <c r="BK1697" s="47"/>
      <c r="BL1697" s="47"/>
      <c r="BM1697" s="47"/>
      <c r="BN1697" s="47"/>
      <c r="BO1697" s="47"/>
      <c r="BP1697" s="47"/>
      <c r="BQ1697" s="47"/>
      <c r="BR1697" s="47"/>
      <c r="BS1697" s="47"/>
      <c r="BT1697" s="47"/>
    </row>
    <row r="1698">
      <c r="A1698" s="24"/>
      <c r="B1698" s="48"/>
      <c r="C1698" s="49"/>
      <c r="D1698" s="24"/>
      <c r="E1698" s="52"/>
      <c r="F1698" s="53"/>
      <c r="G1698" s="48"/>
      <c r="H1698" s="49"/>
      <c r="I1698" s="49"/>
      <c r="J1698" s="48"/>
      <c r="K1698" s="48"/>
      <c r="L1698" s="48"/>
      <c r="M1698" s="48"/>
      <c r="N1698" s="48"/>
      <c r="O1698" s="48"/>
      <c r="P1698" s="48"/>
      <c r="Q1698" s="48"/>
      <c r="R1698" s="48"/>
      <c r="S1698" s="48"/>
      <c r="T1698" s="48"/>
      <c r="U1698" s="48"/>
      <c r="V1698" s="48"/>
      <c r="W1698" s="49"/>
      <c r="X1698" s="49"/>
      <c r="Y1698" s="49"/>
      <c r="Z1698" s="49"/>
      <c r="AA1698" s="49"/>
      <c r="AB1698" s="49"/>
      <c r="AC1698" s="49"/>
      <c r="AD1698" s="49"/>
      <c r="AE1698" s="49"/>
      <c r="AF1698" s="49"/>
      <c r="AG1698" s="49"/>
      <c r="AH1698" s="49"/>
      <c r="AI1698" s="48"/>
      <c r="AJ1698" s="48"/>
      <c r="AK1698" s="24"/>
      <c r="AL1698" s="50"/>
      <c r="AM1698" s="50"/>
      <c r="AN1698" s="50"/>
      <c r="AO1698" s="50"/>
      <c r="AP1698" s="50"/>
      <c r="AQ1698" s="50"/>
      <c r="AR1698" s="50"/>
      <c r="AS1698" s="50"/>
      <c r="AT1698" s="51"/>
      <c r="AU1698" s="51"/>
      <c r="AV1698" s="51"/>
      <c r="AW1698" s="51"/>
      <c r="AX1698" s="50"/>
      <c r="AY1698" s="50"/>
      <c r="AZ1698" s="50"/>
      <c r="BA1698" s="50"/>
      <c r="BB1698" s="51"/>
      <c r="BC1698" s="51"/>
      <c r="BD1698" s="51"/>
      <c r="BE1698" s="51"/>
      <c r="BF1698" s="47"/>
      <c r="BG1698" s="47"/>
      <c r="BH1698" s="47"/>
      <c r="BI1698" s="47"/>
      <c r="BJ1698" s="47"/>
      <c r="BK1698" s="47"/>
      <c r="BL1698" s="47"/>
      <c r="BM1698" s="47"/>
      <c r="BN1698" s="47"/>
      <c r="BO1698" s="47"/>
      <c r="BP1698" s="47"/>
      <c r="BQ1698" s="47"/>
      <c r="BR1698" s="47"/>
      <c r="BS1698" s="47"/>
      <c r="BT1698" s="47"/>
    </row>
    <row r="1699">
      <c r="A1699" s="24"/>
      <c r="B1699" s="48"/>
      <c r="C1699" s="49"/>
      <c r="D1699" s="24"/>
      <c r="E1699" s="52"/>
      <c r="F1699" s="53"/>
      <c r="G1699" s="48"/>
      <c r="H1699" s="49"/>
      <c r="I1699" s="49"/>
      <c r="J1699" s="48"/>
      <c r="K1699" s="48"/>
      <c r="L1699" s="48"/>
      <c r="M1699" s="48"/>
      <c r="N1699" s="48"/>
      <c r="O1699" s="48"/>
      <c r="P1699" s="48"/>
      <c r="Q1699" s="48"/>
      <c r="R1699" s="48"/>
      <c r="S1699" s="48"/>
      <c r="T1699" s="48"/>
      <c r="U1699" s="48"/>
      <c r="V1699" s="48"/>
      <c r="W1699" s="49"/>
      <c r="X1699" s="49"/>
      <c r="Y1699" s="49"/>
      <c r="Z1699" s="49"/>
      <c r="AA1699" s="49"/>
      <c r="AB1699" s="49"/>
      <c r="AC1699" s="49"/>
      <c r="AD1699" s="49"/>
      <c r="AE1699" s="49"/>
      <c r="AF1699" s="49"/>
      <c r="AG1699" s="49"/>
      <c r="AH1699" s="49"/>
      <c r="AI1699" s="48"/>
      <c r="AJ1699" s="48"/>
      <c r="AK1699" s="24"/>
      <c r="AL1699" s="50"/>
      <c r="AM1699" s="50"/>
      <c r="AN1699" s="50"/>
      <c r="AO1699" s="50"/>
      <c r="AP1699" s="50"/>
      <c r="AQ1699" s="50"/>
      <c r="AR1699" s="50"/>
      <c r="AS1699" s="50"/>
      <c r="AT1699" s="51"/>
      <c r="AU1699" s="51"/>
      <c r="AV1699" s="51"/>
      <c r="AW1699" s="51"/>
      <c r="AX1699" s="50"/>
      <c r="AY1699" s="50"/>
      <c r="AZ1699" s="50"/>
      <c r="BA1699" s="50"/>
      <c r="BB1699" s="51"/>
      <c r="BC1699" s="51"/>
      <c r="BD1699" s="51"/>
      <c r="BE1699" s="51"/>
      <c r="BF1699" s="47"/>
      <c r="BG1699" s="47"/>
      <c r="BH1699" s="47"/>
      <c r="BI1699" s="47"/>
      <c r="BJ1699" s="47"/>
      <c r="BK1699" s="47"/>
      <c r="BL1699" s="47"/>
      <c r="BM1699" s="47"/>
      <c r="BN1699" s="47"/>
      <c r="BO1699" s="47"/>
      <c r="BP1699" s="47"/>
      <c r="BQ1699" s="47"/>
      <c r="BR1699" s="47"/>
      <c r="BS1699" s="47"/>
      <c r="BT1699" s="47"/>
    </row>
    <row r="1700">
      <c r="A1700" s="24"/>
      <c r="B1700" s="48"/>
      <c r="C1700" s="49"/>
      <c r="D1700" s="24"/>
      <c r="E1700" s="52"/>
      <c r="F1700" s="53"/>
      <c r="G1700" s="48"/>
      <c r="H1700" s="49"/>
      <c r="I1700" s="49"/>
      <c r="J1700" s="48"/>
      <c r="K1700" s="48"/>
      <c r="L1700" s="48"/>
      <c r="M1700" s="48"/>
      <c r="N1700" s="48"/>
      <c r="O1700" s="48"/>
      <c r="P1700" s="48"/>
      <c r="Q1700" s="48"/>
      <c r="R1700" s="48"/>
      <c r="S1700" s="48"/>
      <c r="T1700" s="48"/>
      <c r="U1700" s="48"/>
      <c r="V1700" s="48"/>
      <c r="W1700" s="49"/>
      <c r="X1700" s="49"/>
      <c r="Y1700" s="49"/>
      <c r="Z1700" s="49"/>
      <c r="AA1700" s="49"/>
      <c r="AB1700" s="49"/>
      <c r="AC1700" s="49"/>
      <c r="AD1700" s="49"/>
      <c r="AE1700" s="49"/>
      <c r="AF1700" s="49"/>
      <c r="AG1700" s="49"/>
      <c r="AH1700" s="49"/>
      <c r="AI1700" s="48"/>
      <c r="AJ1700" s="48"/>
      <c r="AK1700" s="24"/>
      <c r="AL1700" s="50"/>
      <c r="AM1700" s="50"/>
      <c r="AN1700" s="50"/>
      <c r="AO1700" s="50"/>
      <c r="AP1700" s="50"/>
      <c r="AQ1700" s="50"/>
      <c r="AR1700" s="50"/>
      <c r="AS1700" s="50"/>
      <c r="AT1700" s="51"/>
      <c r="AU1700" s="51"/>
      <c r="AV1700" s="51"/>
      <c r="AW1700" s="51"/>
      <c r="AX1700" s="50"/>
      <c r="AY1700" s="50"/>
      <c r="AZ1700" s="50"/>
      <c r="BA1700" s="50"/>
      <c r="BB1700" s="51"/>
      <c r="BC1700" s="51"/>
      <c r="BD1700" s="51"/>
      <c r="BE1700" s="51"/>
      <c r="BF1700" s="47"/>
      <c r="BG1700" s="47"/>
      <c r="BH1700" s="47"/>
      <c r="BI1700" s="47"/>
      <c r="BJ1700" s="47"/>
      <c r="BK1700" s="47"/>
      <c r="BL1700" s="47"/>
      <c r="BM1700" s="47"/>
      <c r="BN1700" s="47"/>
      <c r="BO1700" s="47"/>
      <c r="BP1700" s="47"/>
      <c r="BQ1700" s="47"/>
      <c r="BR1700" s="47"/>
      <c r="BS1700" s="47"/>
      <c r="BT1700" s="47"/>
    </row>
    <row r="1701">
      <c r="A1701" s="24"/>
      <c r="B1701" s="48"/>
      <c r="C1701" s="49"/>
      <c r="D1701" s="24"/>
      <c r="E1701" s="52"/>
      <c r="F1701" s="53"/>
      <c r="G1701" s="48"/>
      <c r="H1701" s="49"/>
      <c r="I1701" s="49"/>
      <c r="J1701" s="48"/>
      <c r="K1701" s="48"/>
      <c r="L1701" s="48"/>
      <c r="M1701" s="48"/>
      <c r="N1701" s="48"/>
      <c r="O1701" s="48"/>
      <c r="P1701" s="48"/>
      <c r="Q1701" s="48"/>
      <c r="R1701" s="48"/>
      <c r="S1701" s="48"/>
      <c r="T1701" s="48"/>
      <c r="U1701" s="48"/>
      <c r="V1701" s="48"/>
      <c r="W1701" s="49"/>
      <c r="X1701" s="49"/>
      <c r="Y1701" s="49"/>
      <c r="Z1701" s="49"/>
      <c r="AA1701" s="49"/>
      <c r="AB1701" s="49"/>
      <c r="AC1701" s="49"/>
      <c r="AD1701" s="49"/>
      <c r="AE1701" s="49"/>
      <c r="AF1701" s="49"/>
      <c r="AG1701" s="49"/>
      <c r="AH1701" s="49"/>
      <c r="AI1701" s="48"/>
      <c r="AJ1701" s="48"/>
      <c r="AK1701" s="24"/>
      <c r="AL1701" s="50"/>
      <c r="AM1701" s="50"/>
      <c r="AN1701" s="50"/>
      <c r="AO1701" s="50"/>
      <c r="AP1701" s="50"/>
      <c r="AQ1701" s="50"/>
      <c r="AR1701" s="50"/>
      <c r="AS1701" s="50"/>
      <c r="AT1701" s="51"/>
      <c r="AU1701" s="51"/>
      <c r="AV1701" s="51"/>
      <c r="AW1701" s="51"/>
      <c r="AX1701" s="50"/>
      <c r="AY1701" s="50"/>
      <c r="AZ1701" s="50"/>
      <c r="BA1701" s="50"/>
      <c r="BB1701" s="51"/>
      <c r="BC1701" s="51"/>
      <c r="BD1701" s="51"/>
      <c r="BE1701" s="51"/>
      <c r="BF1701" s="47"/>
      <c r="BG1701" s="47"/>
      <c r="BH1701" s="47"/>
      <c r="BI1701" s="47"/>
      <c r="BJ1701" s="47"/>
      <c r="BK1701" s="47"/>
      <c r="BL1701" s="47"/>
      <c r="BM1701" s="47"/>
      <c r="BN1701" s="47"/>
      <c r="BO1701" s="47"/>
      <c r="BP1701" s="47"/>
      <c r="BQ1701" s="47"/>
      <c r="BR1701" s="47"/>
      <c r="BS1701" s="47"/>
      <c r="BT1701" s="47"/>
    </row>
    <row r="1702">
      <c r="A1702" s="24"/>
      <c r="B1702" s="48"/>
      <c r="C1702" s="49"/>
      <c r="D1702" s="24"/>
      <c r="E1702" s="52"/>
      <c r="F1702" s="53"/>
      <c r="G1702" s="48"/>
      <c r="H1702" s="49"/>
      <c r="I1702" s="49"/>
      <c r="J1702" s="48"/>
      <c r="K1702" s="48"/>
      <c r="L1702" s="48"/>
      <c r="M1702" s="48"/>
      <c r="N1702" s="48"/>
      <c r="O1702" s="48"/>
      <c r="P1702" s="48"/>
      <c r="Q1702" s="48"/>
      <c r="R1702" s="48"/>
      <c r="S1702" s="48"/>
      <c r="T1702" s="48"/>
      <c r="U1702" s="48"/>
      <c r="V1702" s="48"/>
      <c r="W1702" s="49"/>
      <c r="X1702" s="49"/>
      <c r="Y1702" s="49"/>
      <c r="Z1702" s="49"/>
      <c r="AA1702" s="49"/>
      <c r="AB1702" s="49"/>
      <c r="AC1702" s="49"/>
      <c r="AD1702" s="49"/>
      <c r="AE1702" s="49"/>
      <c r="AF1702" s="49"/>
      <c r="AG1702" s="49"/>
      <c r="AH1702" s="49"/>
      <c r="AI1702" s="48"/>
      <c r="AJ1702" s="48"/>
      <c r="AK1702" s="24"/>
      <c r="AL1702" s="50"/>
      <c r="AM1702" s="50"/>
      <c r="AN1702" s="50"/>
      <c r="AO1702" s="50"/>
      <c r="AP1702" s="50"/>
      <c r="AQ1702" s="50"/>
      <c r="AR1702" s="50"/>
      <c r="AS1702" s="50"/>
      <c r="AT1702" s="51"/>
      <c r="AU1702" s="51"/>
      <c r="AV1702" s="51"/>
      <c r="AW1702" s="51"/>
      <c r="AX1702" s="50"/>
      <c r="AY1702" s="50"/>
      <c r="AZ1702" s="50"/>
      <c r="BA1702" s="50"/>
      <c r="BB1702" s="51"/>
      <c r="BC1702" s="51"/>
      <c r="BD1702" s="51"/>
      <c r="BE1702" s="51"/>
      <c r="BF1702" s="47"/>
      <c r="BG1702" s="47"/>
      <c r="BH1702" s="47"/>
      <c r="BI1702" s="47"/>
      <c r="BJ1702" s="47"/>
      <c r="BK1702" s="47"/>
      <c r="BL1702" s="47"/>
      <c r="BM1702" s="47"/>
      <c r="BN1702" s="47"/>
      <c r="BO1702" s="47"/>
      <c r="BP1702" s="47"/>
      <c r="BQ1702" s="47"/>
      <c r="BR1702" s="47"/>
      <c r="BS1702" s="47"/>
      <c r="BT1702" s="47"/>
    </row>
    <row r="1703">
      <c r="A1703" s="24"/>
      <c r="B1703" s="48"/>
      <c r="C1703" s="49"/>
      <c r="D1703" s="24"/>
      <c r="E1703" s="52"/>
      <c r="F1703" s="53"/>
      <c r="G1703" s="48"/>
      <c r="H1703" s="49"/>
      <c r="I1703" s="49"/>
      <c r="J1703" s="48"/>
      <c r="K1703" s="48"/>
      <c r="L1703" s="48"/>
      <c r="M1703" s="48"/>
      <c r="N1703" s="48"/>
      <c r="O1703" s="48"/>
      <c r="P1703" s="48"/>
      <c r="Q1703" s="48"/>
      <c r="R1703" s="48"/>
      <c r="S1703" s="48"/>
      <c r="T1703" s="48"/>
      <c r="U1703" s="48"/>
      <c r="V1703" s="48"/>
      <c r="W1703" s="49"/>
      <c r="X1703" s="49"/>
      <c r="Y1703" s="49"/>
      <c r="Z1703" s="49"/>
      <c r="AA1703" s="49"/>
      <c r="AB1703" s="49"/>
      <c r="AC1703" s="49"/>
      <c r="AD1703" s="49"/>
      <c r="AE1703" s="49"/>
      <c r="AF1703" s="49"/>
      <c r="AG1703" s="49"/>
      <c r="AH1703" s="49"/>
      <c r="AI1703" s="48"/>
      <c r="AJ1703" s="48"/>
      <c r="AK1703" s="24"/>
      <c r="AL1703" s="50"/>
      <c r="AM1703" s="50"/>
      <c r="AN1703" s="50"/>
      <c r="AO1703" s="50"/>
      <c r="AP1703" s="50"/>
      <c r="AQ1703" s="50"/>
      <c r="AR1703" s="50"/>
      <c r="AS1703" s="50"/>
      <c r="AT1703" s="51"/>
      <c r="AU1703" s="51"/>
      <c r="AV1703" s="51"/>
      <c r="AW1703" s="51"/>
      <c r="AX1703" s="50"/>
      <c r="AY1703" s="50"/>
      <c r="AZ1703" s="50"/>
      <c r="BA1703" s="50"/>
      <c r="BB1703" s="51"/>
      <c r="BC1703" s="51"/>
      <c r="BD1703" s="51"/>
      <c r="BE1703" s="51"/>
      <c r="BF1703" s="47"/>
      <c r="BG1703" s="47"/>
      <c r="BH1703" s="47"/>
      <c r="BI1703" s="47"/>
      <c r="BJ1703" s="47"/>
      <c r="BK1703" s="47"/>
      <c r="BL1703" s="47"/>
      <c r="BM1703" s="47"/>
      <c r="BN1703" s="47"/>
      <c r="BO1703" s="47"/>
      <c r="BP1703" s="47"/>
      <c r="BQ1703" s="47"/>
      <c r="BR1703" s="47"/>
      <c r="BS1703" s="47"/>
      <c r="BT1703" s="47"/>
    </row>
    <row r="1704">
      <c r="A1704" s="24"/>
      <c r="B1704" s="48"/>
      <c r="C1704" s="49"/>
      <c r="D1704" s="24"/>
      <c r="E1704" s="52"/>
      <c r="F1704" s="53"/>
      <c r="G1704" s="48"/>
      <c r="H1704" s="49"/>
      <c r="I1704" s="49"/>
      <c r="J1704" s="48"/>
      <c r="K1704" s="48"/>
      <c r="L1704" s="48"/>
      <c r="M1704" s="48"/>
      <c r="N1704" s="48"/>
      <c r="O1704" s="48"/>
      <c r="P1704" s="48"/>
      <c r="Q1704" s="48"/>
      <c r="R1704" s="48"/>
      <c r="S1704" s="48"/>
      <c r="T1704" s="48"/>
      <c r="U1704" s="48"/>
      <c r="V1704" s="48"/>
      <c r="W1704" s="49"/>
      <c r="X1704" s="49"/>
      <c r="Y1704" s="49"/>
      <c r="Z1704" s="49"/>
      <c r="AA1704" s="49"/>
      <c r="AB1704" s="49"/>
      <c r="AC1704" s="49"/>
      <c r="AD1704" s="49"/>
      <c r="AE1704" s="49"/>
      <c r="AF1704" s="49"/>
      <c r="AG1704" s="49"/>
      <c r="AH1704" s="49"/>
      <c r="AI1704" s="48"/>
      <c r="AJ1704" s="48"/>
      <c r="AK1704" s="24"/>
      <c r="AL1704" s="50"/>
      <c r="AM1704" s="50"/>
      <c r="AN1704" s="50"/>
      <c r="AO1704" s="50"/>
      <c r="AP1704" s="50"/>
      <c r="AQ1704" s="50"/>
      <c r="AR1704" s="50"/>
      <c r="AS1704" s="50"/>
      <c r="AT1704" s="51"/>
      <c r="AU1704" s="51"/>
      <c r="AV1704" s="51"/>
      <c r="AW1704" s="51"/>
      <c r="AX1704" s="50"/>
      <c r="AY1704" s="50"/>
      <c r="AZ1704" s="50"/>
      <c r="BA1704" s="50"/>
      <c r="BB1704" s="51"/>
      <c r="BC1704" s="51"/>
      <c r="BD1704" s="51"/>
      <c r="BE1704" s="51"/>
      <c r="BF1704" s="47"/>
      <c r="BG1704" s="47"/>
      <c r="BH1704" s="47"/>
      <c r="BI1704" s="47"/>
      <c r="BJ1704" s="47"/>
      <c r="BK1704" s="47"/>
      <c r="BL1704" s="47"/>
      <c r="BM1704" s="47"/>
      <c r="BN1704" s="47"/>
      <c r="BO1704" s="47"/>
      <c r="BP1704" s="47"/>
      <c r="BQ1704" s="47"/>
      <c r="BR1704" s="47"/>
      <c r="BS1704" s="47"/>
      <c r="BT1704" s="47"/>
    </row>
    <row r="1705">
      <c r="A1705" s="24"/>
      <c r="B1705" s="48"/>
      <c r="C1705" s="49"/>
      <c r="D1705" s="24"/>
      <c r="E1705" s="52"/>
      <c r="F1705" s="53"/>
      <c r="G1705" s="48"/>
      <c r="H1705" s="49"/>
      <c r="I1705" s="49"/>
      <c r="J1705" s="48"/>
      <c r="K1705" s="48"/>
      <c r="L1705" s="48"/>
      <c r="M1705" s="48"/>
      <c r="N1705" s="48"/>
      <c r="O1705" s="48"/>
      <c r="P1705" s="48"/>
      <c r="Q1705" s="48"/>
      <c r="R1705" s="48"/>
      <c r="S1705" s="48"/>
      <c r="T1705" s="48"/>
      <c r="U1705" s="48"/>
      <c r="V1705" s="48"/>
      <c r="W1705" s="49"/>
      <c r="X1705" s="49"/>
      <c r="Y1705" s="49"/>
      <c r="Z1705" s="49"/>
      <c r="AA1705" s="49"/>
      <c r="AB1705" s="49"/>
      <c r="AC1705" s="49"/>
      <c r="AD1705" s="49"/>
      <c r="AE1705" s="49"/>
      <c r="AF1705" s="49"/>
      <c r="AG1705" s="49"/>
      <c r="AH1705" s="49"/>
      <c r="AI1705" s="48"/>
      <c r="AJ1705" s="48"/>
      <c r="AK1705" s="24"/>
      <c r="AL1705" s="50"/>
      <c r="AM1705" s="50"/>
      <c r="AN1705" s="50"/>
      <c r="AO1705" s="50"/>
      <c r="AP1705" s="50"/>
      <c r="AQ1705" s="50"/>
      <c r="AR1705" s="50"/>
      <c r="AS1705" s="50"/>
      <c r="AT1705" s="51"/>
      <c r="AU1705" s="51"/>
      <c r="AV1705" s="51"/>
      <c r="AW1705" s="51"/>
      <c r="AX1705" s="50"/>
      <c r="AY1705" s="50"/>
      <c r="AZ1705" s="50"/>
      <c r="BA1705" s="50"/>
      <c r="BB1705" s="51"/>
      <c r="BC1705" s="51"/>
      <c r="BD1705" s="51"/>
      <c r="BE1705" s="51"/>
      <c r="BF1705" s="47"/>
      <c r="BG1705" s="47"/>
      <c r="BH1705" s="47"/>
      <c r="BI1705" s="47"/>
      <c r="BJ1705" s="47"/>
      <c r="BK1705" s="47"/>
      <c r="BL1705" s="47"/>
      <c r="BM1705" s="47"/>
      <c r="BN1705" s="47"/>
      <c r="BO1705" s="47"/>
      <c r="BP1705" s="47"/>
      <c r="BQ1705" s="47"/>
      <c r="BR1705" s="47"/>
      <c r="BS1705" s="47"/>
      <c r="BT1705" s="47"/>
    </row>
    <row r="1706">
      <c r="A1706" s="24"/>
      <c r="B1706" s="48"/>
      <c r="C1706" s="49"/>
      <c r="D1706" s="24"/>
      <c r="E1706" s="52"/>
      <c r="F1706" s="53"/>
      <c r="G1706" s="48"/>
      <c r="H1706" s="49"/>
      <c r="I1706" s="49"/>
      <c r="J1706" s="48"/>
      <c r="K1706" s="48"/>
      <c r="L1706" s="48"/>
      <c r="M1706" s="48"/>
      <c r="N1706" s="48"/>
      <c r="O1706" s="48"/>
      <c r="P1706" s="48"/>
      <c r="Q1706" s="48"/>
      <c r="R1706" s="48"/>
      <c r="S1706" s="48"/>
      <c r="T1706" s="48"/>
      <c r="U1706" s="48"/>
      <c r="V1706" s="48"/>
      <c r="W1706" s="49"/>
      <c r="X1706" s="49"/>
      <c r="Y1706" s="49"/>
      <c r="Z1706" s="49"/>
      <c r="AA1706" s="49"/>
      <c r="AB1706" s="49"/>
      <c r="AC1706" s="49"/>
      <c r="AD1706" s="49"/>
      <c r="AE1706" s="49"/>
      <c r="AF1706" s="49"/>
      <c r="AG1706" s="49"/>
      <c r="AH1706" s="49"/>
      <c r="AI1706" s="48"/>
      <c r="AJ1706" s="48"/>
      <c r="AK1706" s="24"/>
      <c r="AL1706" s="50"/>
      <c r="AM1706" s="50"/>
      <c r="AN1706" s="50"/>
      <c r="AO1706" s="50"/>
      <c r="AP1706" s="50"/>
      <c r="AQ1706" s="50"/>
      <c r="AR1706" s="50"/>
      <c r="AS1706" s="50"/>
      <c r="AT1706" s="51"/>
      <c r="AU1706" s="51"/>
      <c r="AV1706" s="51"/>
      <c r="AW1706" s="51"/>
      <c r="AX1706" s="50"/>
      <c r="AY1706" s="50"/>
      <c r="AZ1706" s="50"/>
      <c r="BA1706" s="50"/>
      <c r="BB1706" s="51"/>
      <c r="BC1706" s="51"/>
      <c r="BD1706" s="51"/>
      <c r="BE1706" s="51"/>
      <c r="BF1706" s="47"/>
      <c r="BG1706" s="47"/>
      <c r="BH1706" s="47"/>
      <c r="BI1706" s="47"/>
      <c r="BJ1706" s="47"/>
      <c r="BK1706" s="47"/>
      <c r="BL1706" s="47"/>
      <c r="BM1706" s="47"/>
      <c r="BN1706" s="47"/>
      <c r="BO1706" s="47"/>
      <c r="BP1706" s="47"/>
      <c r="BQ1706" s="47"/>
      <c r="BR1706" s="47"/>
      <c r="BS1706" s="47"/>
      <c r="BT1706" s="47"/>
    </row>
    <row r="1707">
      <c r="A1707" s="24"/>
      <c r="B1707" s="48"/>
      <c r="C1707" s="49"/>
      <c r="D1707" s="24"/>
      <c r="E1707" s="52"/>
      <c r="F1707" s="53"/>
      <c r="G1707" s="48"/>
      <c r="H1707" s="49"/>
      <c r="I1707" s="49"/>
      <c r="J1707" s="48"/>
      <c r="K1707" s="48"/>
      <c r="L1707" s="48"/>
      <c r="M1707" s="48"/>
      <c r="N1707" s="48"/>
      <c r="O1707" s="48"/>
      <c r="P1707" s="48"/>
      <c r="Q1707" s="48"/>
      <c r="R1707" s="48"/>
      <c r="S1707" s="48"/>
      <c r="T1707" s="48"/>
      <c r="U1707" s="48"/>
      <c r="V1707" s="48"/>
      <c r="W1707" s="49"/>
      <c r="X1707" s="49"/>
      <c r="Y1707" s="49"/>
      <c r="Z1707" s="49"/>
      <c r="AA1707" s="49"/>
      <c r="AB1707" s="49"/>
      <c r="AC1707" s="49"/>
      <c r="AD1707" s="49"/>
      <c r="AE1707" s="49"/>
      <c r="AF1707" s="49"/>
      <c r="AG1707" s="49"/>
      <c r="AH1707" s="49"/>
      <c r="AI1707" s="48"/>
      <c r="AJ1707" s="48"/>
      <c r="AK1707" s="24"/>
      <c r="AL1707" s="50"/>
      <c r="AM1707" s="50"/>
      <c r="AN1707" s="50"/>
      <c r="AO1707" s="50"/>
      <c r="AP1707" s="50"/>
      <c r="AQ1707" s="50"/>
      <c r="AR1707" s="50"/>
      <c r="AS1707" s="50"/>
      <c r="AT1707" s="51"/>
      <c r="AU1707" s="51"/>
      <c r="AV1707" s="51"/>
      <c r="AW1707" s="51"/>
      <c r="AX1707" s="50"/>
      <c r="AY1707" s="50"/>
      <c r="AZ1707" s="50"/>
      <c r="BA1707" s="50"/>
      <c r="BB1707" s="51"/>
      <c r="BC1707" s="51"/>
      <c r="BD1707" s="51"/>
      <c r="BE1707" s="51"/>
      <c r="BF1707" s="47"/>
      <c r="BG1707" s="47"/>
      <c r="BH1707" s="47"/>
      <c r="BI1707" s="47"/>
      <c r="BJ1707" s="47"/>
      <c r="BK1707" s="47"/>
      <c r="BL1707" s="47"/>
      <c r="BM1707" s="47"/>
      <c r="BN1707" s="47"/>
      <c r="BO1707" s="47"/>
      <c r="BP1707" s="47"/>
      <c r="BQ1707" s="47"/>
      <c r="BR1707" s="47"/>
      <c r="BS1707" s="47"/>
      <c r="BT1707" s="47"/>
    </row>
    <row r="1708">
      <c r="A1708" s="24"/>
      <c r="B1708" s="48"/>
      <c r="C1708" s="49"/>
      <c r="D1708" s="24"/>
      <c r="E1708" s="52"/>
      <c r="F1708" s="53"/>
      <c r="G1708" s="48"/>
      <c r="H1708" s="49"/>
      <c r="I1708" s="49"/>
      <c r="J1708" s="48"/>
      <c r="K1708" s="48"/>
      <c r="L1708" s="48"/>
      <c r="M1708" s="48"/>
      <c r="N1708" s="48"/>
      <c r="O1708" s="48"/>
      <c r="P1708" s="48"/>
      <c r="Q1708" s="48"/>
      <c r="R1708" s="48"/>
      <c r="S1708" s="48"/>
      <c r="T1708" s="48"/>
      <c r="U1708" s="48"/>
      <c r="V1708" s="48"/>
      <c r="W1708" s="49"/>
      <c r="X1708" s="49"/>
      <c r="Y1708" s="49"/>
      <c r="Z1708" s="49"/>
      <c r="AA1708" s="49"/>
      <c r="AB1708" s="49"/>
      <c r="AC1708" s="49"/>
      <c r="AD1708" s="49"/>
      <c r="AE1708" s="49"/>
      <c r="AF1708" s="49"/>
      <c r="AG1708" s="49"/>
      <c r="AH1708" s="49"/>
      <c r="AI1708" s="48"/>
      <c r="AJ1708" s="48"/>
      <c r="AK1708" s="24"/>
      <c r="AL1708" s="50"/>
      <c r="AM1708" s="50"/>
      <c r="AN1708" s="50"/>
      <c r="AO1708" s="50"/>
      <c r="AP1708" s="50"/>
      <c r="AQ1708" s="50"/>
      <c r="AR1708" s="50"/>
      <c r="AS1708" s="50"/>
      <c r="AT1708" s="51"/>
      <c r="AU1708" s="51"/>
      <c r="AV1708" s="51"/>
      <c r="AW1708" s="51"/>
      <c r="AX1708" s="50"/>
      <c r="AY1708" s="50"/>
      <c r="AZ1708" s="50"/>
      <c r="BA1708" s="50"/>
      <c r="BB1708" s="51"/>
      <c r="BC1708" s="51"/>
      <c r="BD1708" s="51"/>
      <c r="BE1708" s="51"/>
      <c r="BF1708" s="47"/>
      <c r="BG1708" s="47"/>
      <c r="BH1708" s="47"/>
      <c r="BI1708" s="47"/>
      <c r="BJ1708" s="47"/>
      <c r="BK1708" s="47"/>
      <c r="BL1708" s="47"/>
      <c r="BM1708" s="47"/>
      <c r="BN1708" s="47"/>
      <c r="BO1708" s="47"/>
      <c r="BP1708" s="47"/>
      <c r="BQ1708" s="47"/>
      <c r="BR1708" s="47"/>
      <c r="BS1708" s="47"/>
      <c r="BT1708" s="47"/>
    </row>
    <row r="1709">
      <c r="A1709" s="24"/>
      <c r="B1709" s="48"/>
      <c r="C1709" s="49"/>
      <c r="D1709" s="24"/>
      <c r="E1709" s="52"/>
      <c r="F1709" s="53"/>
      <c r="G1709" s="48"/>
      <c r="H1709" s="49"/>
      <c r="I1709" s="49"/>
      <c r="J1709" s="48"/>
      <c r="K1709" s="48"/>
      <c r="L1709" s="48"/>
      <c r="M1709" s="48"/>
      <c r="N1709" s="48"/>
      <c r="O1709" s="48"/>
      <c r="P1709" s="48"/>
      <c r="Q1709" s="48"/>
      <c r="R1709" s="48"/>
      <c r="S1709" s="48"/>
      <c r="T1709" s="48"/>
      <c r="U1709" s="48"/>
      <c r="V1709" s="48"/>
      <c r="W1709" s="49"/>
      <c r="X1709" s="49"/>
      <c r="Y1709" s="49"/>
      <c r="Z1709" s="49"/>
      <c r="AA1709" s="49"/>
      <c r="AB1709" s="49"/>
      <c r="AC1709" s="49"/>
      <c r="AD1709" s="49"/>
      <c r="AE1709" s="49"/>
      <c r="AF1709" s="49"/>
      <c r="AG1709" s="49"/>
      <c r="AH1709" s="49"/>
      <c r="AI1709" s="48"/>
      <c r="AJ1709" s="48"/>
      <c r="AK1709" s="24"/>
      <c r="AL1709" s="50"/>
      <c r="AM1709" s="50"/>
      <c r="AN1709" s="50"/>
      <c r="AO1709" s="50"/>
      <c r="AP1709" s="50"/>
      <c r="AQ1709" s="50"/>
      <c r="AR1709" s="50"/>
      <c r="AS1709" s="50"/>
      <c r="AT1709" s="51"/>
      <c r="AU1709" s="51"/>
      <c r="AV1709" s="51"/>
      <c r="AW1709" s="51"/>
      <c r="AX1709" s="50"/>
      <c r="AY1709" s="50"/>
      <c r="AZ1709" s="50"/>
      <c r="BA1709" s="50"/>
      <c r="BB1709" s="51"/>
      <c r="BC1709" s="51"/>
      <c r="BD1709" s="51"/>
      <c r="BE1709" s="51"/>
      <c r="BF1709" s="47"/>
      <c r="BG1709" s="47"/>
      <c r="BH1709" s="47"/>
      <c r="BI1709" s="47"/>
      <c r="BJ1709" s="47"/>
      <c r="BK1709" s="47"/>
      <c r="BL1709" s="47"/>
      <c r="BM1709" s="47"/>
      <c r="BN1709" s="47"/>
      <c r="BO1709" s="47"/>
      <c r="BP1709" s="47"/>
      <c r="BQ1709" s="47"/>
      <c r="BR1709" s="47"/>
      <c r="BS1709" s="47"/>
      <c r="BT1709" s="47"/>
    </row>
    <row r="1710">
      <c r="A1710" s="24"/>
      <c r="B1710" s="48"/>
      <c r="C1710" s="49"/>
      <c r="D1710" s="24"/>
      <c r="E1710" s="52"/>
      <c r="F1710" s="53"/>
      <c r="G1710" s="48"/>
      <c r="H1710" s="49"/>
      <c r="I1710" s="49"/>
      <c r="J1710" s="48"/>
      <c r="K1710" s="48"/>
      <c r="L1710" s="48"/>
      <c r="M1710" s="48"/>
      <c r="N1710" s="48"/>
      <c r="O1710" s="48"/>
      <c r="P1710" s="48"/>
      <c r="Q1710" s="48"/>
      <c r="R1710" s="48"/>
      <c r="S1710" s="48"/>
      <c r="T1710" s="48"/>
      <c r="U1710" s="48"/>
      <c r="V1710" s="48"/>
      <c r="W1710" s="49"/>
      <c r="X1710" s="49"/>
      <c r="Y1710" s="49"/>
      <c r="Z1710" s="49"/>
      <c r="AA1710" s="49"/>
      <c r="AB1710" s="49"/>
      <c r="AC1710" s="49"/>
      <c r="AD1710" s="49"/>
      <c r="AE1710" s="49"/>
      <c r="AF1710" s="49"/>
      <c r="AG1710" s="49"/>
      <c r="AH1710" s="49"/>
      <c r="AI1710" s="48"/>
      <c r="AJ1710" s="48"/>
      <c r="AK1710" s="24"/>
      <c r="AL1710" s="50"/>
      <c r="AM1710" s="50"/>
      <c r="AN1710" s="50"/>
      <c r="AO1710" s="50"/>
      <c r="AP1710" s="50"/>
      <c r="AQ1710" s="50"/>
      <c r="AR1710" s="50"/>
      <c r="AS1710" s="50"/>
      <c r="AT1710" s="51"/>
      <c r="AU1710" s="51"/>
      <c r="AV1710" s="51"/>
      <c r="AW1710" s="51"/>
      <c r="AX1710" s="50"/>
      <c r="AY1710" s="50"/>
      <c r="AZ1710" s="50"/>
      <c r="BA1710" s="50"/>
      <c r="BB1710" s="51"/>
      <c r="BC1710" s="51"/>
      <c r="BD1710" s="51"/>
      <c r="BE1710" s="51"/>
      <c r="BF1710" s="47"/>
      <c r="BG1710" s="47"/>
      <c r="BH1710" s="47"/>
      <c r="BI1710" s="47"/>
      <c r="BJ1710" s="47"/>
      <c r="BK1710" s="47"/>
      <c r="BL1710" s="47"/>
      <c r="BM1710" s="47"/>
      <c r="BN1710" s="47"/>
      <c r="BO1710" s="47"/>
      <c r="BP1710" s="47"/>
      <c r="BQ1710" s="47"/>
      <c r="BR1710" s="47"/>
      <c r="BS1710" s="47"/>
      <c r="BT1710" s="47"/>
    </row>
    <row r="1711">
      <c r="A1711" s="24"/>
      <c r="B1711" s="48"/>
      <c r="C1711" s="49"/>
      <c r="D1711" s="24"/>
      <c r="E1711" s="52"/>
      <c r="F1711" s="53"/>
      <c r="G1711" s="48"/>
      <c r="H1711" s="49"/>
      <c r="I1711" s="49"/>
      <c r="J1711" s="48"/>
      <c r="K1711" s="48"/>
      <c r="L1711" s="48"/>
      <c r="M1711" s="48"/>
      <c r="N1711" s="48"/>
      <c r="O1711" s="48"/>
      <c r="P1711" s="48"/>
      <c r="Q1711" s="48"/>
      <c r="R1711" s="48"/>
      <c r="S1711" s="48"/>
      <c r="T1711" s="48"/>
      <c r="U1711" s="48"/>
      <c r="V1711" s="48"/>
      <c r="W1711" s="49"/>
      <c r="X1711" s="49"/>
      <c r="Y1711" s="49"/>
      <c r="Z1711" s="49"/>
      <c r="AA1711" s="49"/>
      <c r="AB1711" s="49"/>
      <c r="AC1711" s="49"/>
      <c r="AD1711" s="49"/>
      <c r="AE1711" s="49"/>
      <c r="AF1711" s="49"/>
      <c r="AG1711" s="49"/>
      <c r="AH1711" s="49"/>
      <c r="AI1711" s="48"/>
      <c r="AJ1711" s="48"/>
      <c r="AK1711" s="24"/>
      <c r="AL1711" s="50"/>
      <c r="AM1711" s="50"/>
      <c r="AN1711" s="50"/>
      <c r="AO1711" s="50"/>
      <c r="AP1711" s="50"/>
      <c r="AQ1711" s="50"/>
      <c r="AR1711" s="50"/>
      <c r="AS1711" s="50"/>
      <c r="AT1711" s="51"/>
      <c r="AU1711" s="51"/>
      <c r="AV1711" s="51"/>
      <c r="AW1711" s="51"/>
      <c r="AX1711" s="50"/>
      <c r="AY1711" s="50"/>
      <c r="AZ1711" s="50"/>
      <c r="BA1711" s="50"/>
      <c r="BB1711" s="51"/>
      <c r="BC1711" s="51"/>
      <c r="BD1711" s="51"/>
      <c r="BE1711" s="51"/>
      <c r="BF1711" s="47"/>
      <c r="BG1711" s="47"/>
      <c r="BH1711" s="47"/>
      <c r="BI1711" s="47"/>
      <c r="BJ1711" s="47"/>
      <c r="BK1711" s="47"/>
      <c r="BL1711" s="47"/>
      <c r="BM1711" s="47"/>
      <c r="BN1711" s="47"/>
      <c r="BO1711" s="47"/>
      <c r="BP1711" s="47"/>
      <c r="BQ1711" s="47"/>
      <c r="BR1711" s="47"/>
      <c r="BS1711" s="47"/>
      <c r="BT1711" s="47"/>
    </row>
    <row r="1712">
      <c r="A1712" s="24"/>
      <c r="B1712" s="48"/>
      <c r="C1712" s="49"/>
      <c r="D1712" s="24"/>
      <c r="E1712" s="52"/>
      <c r="F1712" s="53"/>
      <c r="G1712" s="48"/>
      <c r="H1712" s="49"/>
      <c r="I1712" s="49"/>
      <c r="J1712" s="48"/>
      <c r="K1712" s="48"/>
      <c r="L1712" s="48"/>
      <c r="M1712" s="48"/>
      <c r="N1712" s="48"/>
      <c r="O1712" s="48"/>
      <c r="P1712" s="48"/>
      <c r="Q1712" s="48"/>
      <c r="R1712" s="48"/>
      <c r="S1712" s="48"/>
      <c r="T1712" s="48"/>
      <c r="U1712" s="48"/>
      <c r="V1712" s="48"/>
      <c r="W1712" s="49"/>
      <c r="X1712" s="49"/>
      <c r="Y1712" s="49"/>
      <c r="Z1712" s="49"/>
      <c r="AA1712" s="49"/>
      <c r="AB1712" s="49"/>
      <c r="AC1712" s="49"/>
      <c r="AD1712" s="49"/>
      <c r="AE1712" s="49"/>
      <c r="AF1712" s="49"/>
      <c r="AG1712" s="49"/>
      <c r="AH1712" s="49"/>
      <c r="AI1712" s="48"/>
      <c r="AJ1712" s="48"/>
      <c r="AK1712" s="24"/>
      <c r="AL1712" s="50"/>
      <c r="AM1712" s="50"/>
      <c r="AN1712" s="50"/>
      <c r="AO1712" s="50"/>
      <c r="AP1712" s="50"/>
      <c r="AQ1712" s="50"/>
      <c r="AR1712" s="50"/>
      <c r="AS1712" s="50"/>
      <c r="AT1712" s="51"/>
      <c r="AU1712" s="51"/>
      <c r="AV1712" s="51"/>
      <c r="AW1712" s="51"/>
      <c r="AX1712" s="50"/>
      <c r="AY1712" s="50"/>
      <c r="AZ1712" s="50"/>
      <c r="BA1712" s="50"/>
      <c r="BB1712" s="51"/>
      <c r="BC1712" s="51"/>
      <c r="BD1712" s="51"/>
      <c r="BE1712" s="51"/>
      <c r="BF1712" s="47"/>
      <c r="BG1712" s="47"/>
      <c r="BH1712" s="47"/>
      <c r="BI1712" s="47"/>
      <c r="BJ1712" s="47"/>
      <c r="BK1712" s="47"/>
      <c r="BL1712" s="47"/>
      <c r="BM1712" s="47"/>
      <c r="BN1712" s="47"/>
      <c r="BO1712" s="47"/>
      <c r="BP1712" s="47"/>
      <c r="BQ1712" s="47"/>
      <c r="BR1712" s="47"/>
      <c r="BS1712" s="47"/>
      <c r="BT1712" s="47"/>
    </row>
    <row r="1713">
      <c r="A1713" s="24"/>
      <c r="B1713" s="48"/>
      <c r="C1713" s="49"/>
      <c r="D1713" s="24"/>
      <c r="E1713" s="52"/>
      <c r="F1713" s="53"/>
      <c r="G1713" s="48"/>
      <c r="H1713" s="49"/>
      <c r="I1713" s="49"/>
      <c r="J1713" s="48"/>
      <c r="K1713" s="48"/>
      <c r="L1713" s="48"/>
      <c r="M1713" s="48"/>
      <c r="N1713" s="48"/>
      <c r="O1713" s="48"/>
      <c r="P1713" s="48"/>
      <c r="Q1713" s="48"/>
      <c r="R1713" s="48"/>
      <c r="S1713" s="48"/>
      <c r="T1713" s="48"/>
      <c r="U1713" s="48"/>
      <c r="V1713" s="48"/>
      <c r="W1713" s="49"/>
      <c r="X1713" s="49"/>
      <c r="Y1713" s="49"/>
      <c r="Z1713" s="49"/>
      <c r="AA1713" s="49"/>
      <c r="AB1713" s="49"/>
      <c r="AC1713" s="49"/>
      <c r="AD1713" s="49"/>
      <c r="AE1713" s="49"/>
      <c r="AF1713" s="49"/>
      <c r="AG1713" s="49"/>
      <c r="AH1713" s="49"/>
      <c r="AI1713" s="48"/>
      <c r="AJ1713" s="48"/>
      <c r="AK1713" s="24"/>
      <c r="AL1713" s="50"/>
      <c r="AM1713" s="50"/>
      <c r="AN1713" s="50"/>
      <c r="AO1713" s="50"/>
      <c r="AP1713" s="50"/>
      <c r="AQ1713" s="50"/>
      <c r="AR1713" s="50"/>
      <c r="AS1713" s="50"/>
      <c r="AT1713" s="51"/>
      <c r="AU1713" s="51"/>
      <c r="AV1713" s="51"/>
      <c r="AW1713" s="51"/>
      <c r="AX1713" s="50"/>
      <c r="AY1713" s="50"/>
      <c r="AZ1713" s="50"/>
      <c r="BA1713" s="50"/>
      <c r="BB1713" s="51"/>
      <c r="BC1713" s="51"/>
      <c r="BD1713" s="51"/>
      <c r="BE1713" s="51"/>
      <c r="BF1713" s="47"/>
      <c r="BG1713" s="47"/>
      <c r="BH1713" s="47"/>
      <c r="BI1713" s="47"/>
      <c r="BJ1713" s="47"/>
      <c r="BK1713" s="47"/>
      <c r="BL1713" s="47"/>
      <c r="BM1713" s="47"/>
      <c r="BN1713" s="47"/>
      <c r="BO1713" s="47"/>
      <c r="BP1713" s="47"/>
      <c r="BQ1713" s="47"/>
      <c r="BR1713" s="47"/>
      <c r="BS1713" s="47"/>
      <c r="BT1713" s="47"/>
    </row>
    <row r="1714">
      <c r="A1714" s="24"/>
      <c r="B1714" s="48"/>
      <c r="C1714" s="49"/>
      <c r="D1714" s="24"/>
      <c r="E1714" s="52"/>
      <c r="F1714" s="53"/>
      <c r="G1714" s="48"/>
      <c r="H1714" s="49"/>
      <c r="I1714" s="49"/>
      <c r="J1714" s="48"/>
      <c r="K1714" s="48"/>
      <c r="L1714" s="48"/>
      <c r="M1714" s="48"/>
      <c r="N1714" s="48"/>
      <c r="O1714" s="48"/>
      <c r="P1714" s="48"/>
      <c r="Q1714" s="48"/>
      <c r="R1714" s="48"/>
      <c r="S1714" s="48"/>
      <c r="T1714" s="48"/>
      <c r="U1714" s="48"/>
      <c r="V1714" s="48"/>
      <c r="W1714" s="49"/>
      <c r="X1714" s="49"/>
      <c r="Y1714" s="49"/>
      <c r="Z1714" s="49"/>
      <c r="AA1714" s="49"/>
      <c r="AB1714" s="49"/>
      <c r="AC1714" s="49"/>
      <c r="AD1714" s="49"/>
      <c r="AE1714" s="49"/>
      <c r="AF1714" s="49"/>
      <c r="AG1714" s="49"/>
      <c r="AH1714" s="49"/>
      <c r="AI1714" s="48"/>
      <c r="AJ1714" s="48"/>
      <c r="AK1714" s="24"/>
      <c r="AL1714" s="50"/>
      <c r="AM1714" s="50"/>
      <c r="AN1714" s="50"/>
      <c r="AO1714" s="50"/>
      <c r="AP1714" s="50"/>
      <c r="AQ1714" s="50"/>
      <c r="AR1714" s="50"/>
      <c r="AS1714" s="50"/>
      <c r="AT1714" s="51"/>
      <c r="AU1714" s="51"/>
      <c r="AV1714" s="51"/>
      <c r="AW1714" s="51"/>
      <c r="AX1714" s="50"/>
      <c r="AY1714" s="50"/>
      <c r="AZ1714" s="50"/>
      <c r="BA1714" s="50"/>
      <c r="BB1714" s="51"/>
      <c r="BC1714" s="51"/>
      <c r="BD1714" s="51"/>
      <c r="BE1714" s="51"/>
      <c r="BF1714" s="47"/>
      <c r="BG1714" s="47"/>
      <c r="BH1714" s="47"/>
      <c r="BI1714" s="47"/>
      <c r="BJ1714" s="47"/>
      <c r="BK1714" s="47"/>
      <c r="BL1714" s="47"/>
      <c r="BM1714" s="47"/>
      <c r="BN1714" s="47"/>
      <c r="BO1714" s="47"/>
      <c r="BP1714" s="47"/>
      <c r="BQ1714" s="47"/>
      <c r="BR1714" s="47"/>
      <c r="BS1714" s="47"/>
      <c r="BT1714" s="47"/>
    </row>
    <row r="1715">
      <c r="A1715" s="24"/>
      <c r="B1715" s="48"/>
      <c r="C1715" s="49"/>
      <c r="D1715" s="24"/>
      <c r="E1715" s="52"/>
      <c r="F1715" s="53"/>
      <c r="G1715" s="48"/>
      <c r="H1715" s="49"/>
      <c r="I1715" s="49"/>
      <c r="J1715" s="48"/>
      <c r="K1715" s="48"/>
      <c r="L1715" s="48"/>
      <c r="M1715" s="48"/>
      <c r="N1715" s="48"/>
      <c r="O1715" s="48"/>
      <c r="P1715" s="48"/>
      <c r="Q1715" s="48"/>
      <c r="R1715" s="48"/>
      <c r="S1715" s="48"/>
      <c r="T1715" s="48"/>
      <c r="U1715" s="48"/>
      <c r="V1715" s="48"/>
      <c r="W1715" s="49"/>
      <c r="X1715" s="49"/>
      <c r="Y1715" s="49"/>
      <c r="Z1715" s="49"/>
      <c r="AA1715" s="49"/>
      <c r="AB1715" s="49"/>
      <c r="AC1715" s="49"/>
      <c r="AD1715" s="49"/>
      <c r="AE1715" s="49"/>
      <c r="AF1715" s="49"/>
      <c r="AG1715" s="49"/>
      <c r="AH1715" s="49"/>
      <c r="AI1715" s="48"/>
      <c r="AJ1715" s="48"/>
      <c r="AK1715" s="24"/>
      <c r="AL1715" s="50"/>
      <c r="AM1715" s="50"/>
      <c r="AN1715" s="50"/>
      <c r="AO1715" s="50"/>
      <c r="AP1715" s="50"/>
      <c r="AQ1715" s="50"/>
      <c r="AR1715" s="50"/>
      <c r="AS1715" s="50"/>
      <c r="AT1715" s="51"/>
      <c r="AU1715" s="51"/>
      <c r="AV1715" s="51"/>
      <c r="AW1715" s="51"/>
      <c r="AX1715" s="50"/>
      <c r="AY1715" s="50"/>
      <c r="AZ1715" s="50"/>
      <c r="BA1715" s="50"/>
      <c r="BB1715" s="51"/>
      <c r="BC1715" s="51"/>
      <c r="BD1715" s="51"/>
      <c r="BE1715" s="51"/>
      <c r="BF1715" s="47"/>
      <c r="BG1715" s="47"/>
      <c r="BH1715" s="47"/>
      <c r="BI1715" s="47"/>
      <c r="BJ1715" s="47"/>
      <c r="BK1715" s="47"/>
      <c r="BL1715" s="47"/>
      <c r="BM1715" s="47"/>
      <c r="BN1715" s="47"/>
      <c r="BO1715" s="47"/>
      <c r="BP1715" s="47"/>
      <c r="BQ1715" s="47"/>
      <c r="BR1715" s="47"/>
      <c r="BS1715" s="47"/>
      <c r="BT1715" s="47"/>
    </row>
    <row r="1716">
      <c r="A1716" s="24"/>
      <c r="B1716" s="48"/>
      <c r="C1716" s="49"/>
      <c r="D1716" s="24"/>
      <c r="E1716" s="52"/>
      <c r="F1716" s="53"/>
      <c r="G1716" s="48"/>
      <c r="H1716" s="49"/>
      <c r="I1716" s="49"/>
      <c r="J1716" s="48"/>
      <c r="K1716" s="48"/>
      <c r="L1716" s="48"/>
      <c r="M1716" s="48"/>
      <c r="N1716" s="48"/>
      <c r="O1716" s="48"/>
      <c r="P1716" s="48"/>
      <c r="Q1716" s="48"/>
      <c r="R1716" s="48"/>
      <c r="S1716" s="48"/>
      <c r="T1716" s="48"/>
      <c r="U1716" s="48"/>
      <c r="V1716" s="48"/>
      <c r="W1716" s="49"/>
      <c r="X1716" s="49"/>
      <c r="Y1716" s="49"/>
      <c r="Z1716" s="49"/>
      <c r="AA1716" s="49"/>
      <c r="AB1716" s="49"/>
      <c r="AC1716" s="49"/>
      <c r="AD1716" s="49"/>
      <c r="AE1716" s="49"/>
      <c r="AF1716" s="49"/>
      <c r="AG1716" s="49"/>
      <c r="AH1716" s="49"/>
      <c r="AI1716" s="48"/>
      <c r="AJ1716" s="48"/>
      <c r="AK1716" s="24"/>
      <c r="AL1716" s="50"/>
      <c r="AM1716" s="50"/>
      <c r="AN1716" s="50"/>
      <c r="AO1716" s="50"/>
      <c r="AP1716" s="50"/>
      <c r="AQ1716" s="50"/>
      <c r="AR1716" s="50"/>
      <c r="AS1716" s="50"/>
      <c r="AT1716" s="51"/>
      <c r="AU1716" s="51"/>
      <c r="AV1716" s="51"/>
      <c r="AW1716" s="51"/>
      <c r="AX1716" s="50"/>
      <c r="AY1716" s="50"/>
      <c r="AZ1716" s="50"/>
      <c r="BA1716" s="50"/>
      <c r="BB1716" s="51"/>
      <c r="BC1716" s="51"/>
      <c r="BD1716" s="51"/>
      <c r="BE1716" s="51"/>
      <c r="BF1716" s="47"/>
      <c r="BG1716" s="47"/>
      <c r="BH1716" s="47"/>
      <c r="BI1716" s="47"/>
      <c r="BJ1716" s="47"/>
      <c r="BK1716" s="47"/>
      <c r="BL1716" s="47"/>
      <c r="BM1716" s="47"/>
      <c r="BN1716" s="47"/>
      <c r="BO1716" s="47"/>
      <c r="BP1716" s="47"/>
      <c r="BQ1716" s="47"/>
      <c r="BR1716" s="47"/>
      <c r="BS1716" s="47"/>
      <c r="BT1716" s="47"/>
    </row>
    <row r="1717">
      <c r="A1717" s="24"/>
      <c r="B1717" s="48"/>
      <c r="C1717" s="49"/>
      <c r="D1717" s="24"/>
      <c r="E1717" s="52"/>
      <c r="F1717" s="53"/>
      <c r="G1717" s="48"/>
      <c r="H1717" s="49"/>
      <c r="I1717" s="49"/>
      <c r="J1717" s="48"/>
      <c r="K1717" s="48"/>
      <c r="L1717" s="48"/>
      <c r="M1717" s="48"/>
      <c r="N1717" s="48"/>
      <c r="O1717" s="48"/>
      <c r="P1717" s="48"/>
      <c r="Q1717" s="48"/>
      <c r="R1717" s="48"/>
      <c r="S1717" s="48"/>
      <c r="T1717" s="48"/>
      <c r="U1717" s="48"/>
      <c r="V1717" s="48"/>
      <c r="W1717" s="49"/>
      <c r="X1717" s="49"/>
      <c r="Y1717" s="49"/>
      <c r="Z1717" s="49"/>
      <c r="AA1717" s="49"/>
      <c r="AB1717" s="49"/>
      <c r="AC1717" s="49"/>
      <c r="AD1717" s="49"/>
      <c r="AE1717" s="49"/>
      <c r="AF1717" s="49"/>
      <c r="AG1717" s="49"/>
      <c r="AH1717" s="49"/>
      <c r="AI1717" s="48"/>
      <c r="AJ1717" s="48"/>
      <c r="AK1717" s="24"/>
      <c r="AL1717" s="50"/>
      <c r="AM1717" s="50"/>
      <c r="AN1717" s="50"/>
      <c r="AO1717" s="50"/>
      <c r="AP1717" s="50"/>
      <c r="AQ1717" s="50"/>
      <c r="AR1717" s="50"/>
      <c r="AS1717" s="50"/>
      <c r="AT1717" s="51"/>
      <c r="AU1717" s="51"/>
      <c r="AV1717" s="51"/>
      <c r="AW1717" s="51"/>
      <c r="AX1717" s="50"/>
      <c r="AY1717" s="50"/>
      <c r="AZ1717" s="50"/>
      <c r="BA1717" s="50"/>
      <c r="BB1717" s="51"/>
      <c r="BC1717" s="51"/>
      <c r="BD1717" s="51"/>
      <c r="BE1717" s="51"/>
      <c r="BF1717" s="47"/>
      <c r="BG1717" s="47"/>
      <c r="BH1717" s="47"/>
      <c r="BI1717" s="47"/>
      <c r="BJ1717" s="47"/>
      <c r="BK1717" s="47"/>
      <c r="BL1717" s="47"/>
      <c r="BM1717" s="47"/>
      <c r="BN1717" s="47"/>
      <c r="BO1717" s="47"/>
      <c r="BP1717" s="47"/>
      <c r="BQ1717" s="47"/>
      <c r="BR1717" s="47"/>
      <c r="BS1717" s="47"/>
      <c r="BT1717" s="47"/>
    </row>
    <row r="1718">
      <c r="A1718" s="24"/>
      <c r="B1718" s="48"/>
      <c r="C1718" s="49"/>
      <c r="D1718" s="24"/>
      <c r="E1718" s="52"/>
      <c r="F1718" s="53"/>
      <c r="G1718" s="48"/>
      <c r="H1718" s="49"/>
      <c r="I1718" s="49"/>
      <c r="J1718" s="48"/>
      <c r="K1718" s="48"/>
      <c r="L1718" s="48"/>
      <c r="M1718" s="48"/>
      <c r="N1718" s="48"/>
      <c r="O1718" s="48"/>
      <c r="P1718" s="48"/>
      <c r="Q1718" s="48"/>
      <c r="R1718" s="48"/>
      <c r="S1718" s="48"/>
      <c r="T1718" s="48"/>
      <c r="U1718" s="48"/>
      <c r="V1718" s="48"/>
      <c r="W1718" s="49"/>
      <c r="X1718" s="49"/>
      <c r="Y1718" s="49"/>
      <c r="Z1718" s="49"/>
      <c r="AA1718" s="49"/>
      <c r="AB1718" s="49"/>
      <c r="AC1718" s="49"/>
      <c r="AD1718" s="49"/>
      <c r="AE1718" s="49"/>
      <c r="AF1718" s="49"/>
      <c r="AG1718" s="49"/>
      <c r="AH1718" s="49"/>
      <c r="AI1718" s="48"/>
      <c r="AJ1718" s="48"/>
      <c r="AK1718" s="24"/>
      <c r="AL1718" s="50"/>
      <c r="AM1718" s="50"/>
      <c r="AN1718" s="50"/>
      <c r="AO1718" s="50"/>
      <c r="AP1718" s="50"/>
      <c r="AQ1718" s="50"/>
      <c r="AR1718" s="50"/>
      <c r="AS1718" s="50"/>
      <c r="AT1718" s="51"/>
      <c r="AU1718" s="51"/>
      <c r="AV1718" s="51"/>
      <c r="AW1718" s="51"/>
      <c r="AX1718" s="50"/>
      <c r="AY1718" s="50"/>
      <c r="AZ1718" s="50"/>
      <c r="BA1718" s="50"/>
      <c r="BB1718" s="51"/>
      <c r="BC1718" s="51"/>
      <c r="BD1718" s="51"/>
      <c r="BE1718" s="51"/>
      <c r="BF1718" s="47"/>
      <c r="BG1718" s="47"/>
      <c r="BH1718" s="47"/>
      <c r="BI1718" s="47"/>
      <c r="BJ1718" s="47"/>
      <c r="BK1718" s="47"/>
      <c r="BL1718" s="47"/>
      <c r="BM1718" s="47"/>
      <c r="BN1718" s="47"/>
      <c r="BO1718" s="47"/>
      <c r="BP1718" s="47"/>
      <c r="BQ1718" s="47"/>
      <c r="BR1718" s="47"/>
      <c r="BS1718" s="47"/>
      <c r="BT1718" s="47"/>
    </row>
    <row r="1719">
      <c r="A1719" s="24"/>
      <c r="B1719" s="48"/>
      <c r="C1719" s="49"/>
      <c r="D1719" s="24"/>
      <c r="E1719" s="52"/>
      <c r="F1719" s="53"/>
      <c r="G1719" s="48"/>
      <c r="H1719" s="49"/>
      <c r="I1719" s="49"/>
      <c r="J1719" s="48"/>
      <c r="K1719" s="48"/>
      <c r="L1719" s="48"/>
      <c r="M1719" s="48"/>
      <c r="N1719" s="48"/>
      <c r="O1719" s="48"/>
      <c r="P1719" s="48"/>
      <c r="Q1719" s="48"/>
      <c r="R1719" s="48"/>
      <c r="S1719" s="48"/>
      <c r="T1719" s="48"/>
      <c r="U1719" s="48"/>
      <c r="V1719" s="48"/>
      <c r="W1719" s="49"/>
      <c r="X1719" s="49"/>
      <c r="Y1719" s="49"/>
      <c r="Z1719" s="49"/>
      <c r="AA1719" s="49"/>
      <c r="AB1719" s="49"/>
      <c r="AC1719" s="49"/>
      <c r="AD1719" s="49"/>
      <c r="AE1719" s="49"/>
      <c r="AF1719" s="49"/>
      <c r="AG1719" s="49"/>
      <c r="AH1719" s="49"/>
      <c r="AI1719" s="48"/>
      <c r="AJ1719" s="48"/>
      <c r="AK1719" s="24"/>
      <c r="AL1719" s="50"/>
      <c r="AM1719" s="50"/>
      <c r="AN1719" s="50"/>
      <c r="AO1719" s="50"/>
      <c r="AP1719" s="50"/>
      <c r="AQ1719" s="50"/>
      <c r="AR1719" s="50"/>
      <c r="AS1719" s="50"/>
      <c r="AT1719" s="51"/>
      <c r="AU1719" s="51"/>
      <c r="AV1719" s="51"/>
      <c r="AW1719" s="51"/>
      <c r="AX1719" s="50"/>
      <c r="AY1719" s="50"/>
      <c r="AZ1719" s="50"/>
      <c r="BA1719" s="50"/>
      <c r="BB1719" s="51"/>
      <c r="BC1719" s="51"/>
      <c r="BD1719" s="51"/>
      <c r="BE1719" s="51"/>
      <c r="BF1719" s="47"/>
      <c r="BG1719" s="47"/>
      <c r="BH1719" s="47"/>
      <c r="BI1719" s="47"/>
      <c r="BJ1719" s="47"/>
      <c r="BK1719" s="47"/>
      <c r="BL1719" s="47"/>
      <c r="BM1719" s="47"/>
      <c r="BN1719" s="47"/>
      <c r="BO1719" s="47"/>
      <c r="BP1719" s="47"/>
      <c r="BQ1719" s="47"/>
      <c r="BR1719" s="47"/>
      <c r="BS1719" s="47"/>
      <c r="BT1719" s="47"/>
    </row>
    <row r="1720">
      <c r="A1720" s="24"/>
      <c r="B1720" s="48"/>
      <c r="C1720" s="49"/>
      <c r="D1720" s="24"/>
      <c r="E1720" s="52"/>
      <c r="F1720" s="53"/>
      <c r="G1720" s="48"/>
      <c r="H1720" s="49"/>
      <c r="I1720" s="49"/>
      <c r="J1720" s="48"/>
      <c r="K1720" s="48"/>
      <c r="L1720" s="48"/>
      <c r="M1720" s="48"/>
      <c r="N1720" s="48"/>
      <c r="O1720" s="48"/>
      <c r="P1720" s="48"/>
      <c r="Q1720" s="48"/>
      <c r="R1720" s="48"/>
      <c r="S1720" s="48"/>
      <c r="T1720" s="48"/>
      <c r="U1720" s="48"/>
      <c r="V1720" s="48"/>
      <c r="W1720" s="49"/>
      <c r="X1720" s="49"/>
      <c r="Y1720" s="49"/>
      <c r="Z1720" s="49"/>
      <c r="AA1720" s="49"/>
      <c r="AB1720" s="49"/>
      <c r="AC1720" s="49"/>
      <c r="AD1720" s="49"/>
      <c r="AE1720" s="49"/>
      <c r="AF1720" s="49"/>
      <c r="AG1720" s="49"/>
      <c r="AH1720" s="49"/>
      <c r="AI1720" s="48"/>
      <c r="AJ1720" s="48"/>
      <c r="AK1720" s="24"/>
      <c r="AL1720" s="50"/>
      <c r="AM1720" s="50"/>
      <c r="AN1720" s="50"/>
      <c r="AO1720" s="50"/>
      <c r="AP1720" s="50"/>
      <c r="AQ1720" s="50"/>
      <c r="AR1720" s="50"/>
      <c r="AS1720" s="50"/>
      <c r="AT1720" s="51"/>
      <c r="AU1720" s="51"/>
      <c r="AV1720" s="51"/>
      <c r="AW1720" s="51"/>
      <c r="AX1720" s="50"/>
      <c r="AY1720" s="50"/>
      <c r="AZ1720" s="50"/>
      <c r="BA1720" s="50"/>
      <c r="BB1720" s="51"/>
      <c r="BC1720" s="51"/>
      <c r="BD1720" s="51"/>
      <c r="BE1720" s="51"/>
      <c r="BF1720" s="47"/>
      <c r="BG1720" s="47"/>
      <c r="BH1720" s="47"/>
      <c r="BI1720" s="47"/>
      <c r="BJ1720" s="47"/>
      <c r="BK1720" s="47"/>
      <c r="BL1720" s="47"/>
      <c r="BM1720" s="47"/>
      <c r="BN1720" s="47"/>
      <c r="BO1720" s="47"/>
      <c r="BP1720" s="47"/>
      <c r="BQ1720" s="47"/>
      <c r="BR1720" s="47"/>
      <c r="BS1720" s="47"/>
      <c r="BT1720" s="47"/>
    </row>
    <row r="1721">
      <c r="A1721" s="24"/>
      <c r="B1721" s="48"/>
      <c r="C1721" s="49"/>
      <c r="D1721" s="24"/>
      <c r="E1721" s="52"/>
      <c r="F1721" s="53"/>
      <c r="G1721" s="48"/>
      <c r="H1721" s="49"/>
      <c r="I1721" s="49"/>
      <c r="J1721" s="48"/>
      <c r="K1721" s="48"/>
      <c r="L1721" s="48"/>
      <c r="M1721" s="48"/>
      <c r="N1721" s="48"/>
      <c r="O1721" s="48"/>
      <c r="P1721" s="48"/>
      <c r="Q1721" s="48"/>
      <c r="R1721" s="48"/>
      <c r="S1721" s="48"/>
      <c r="T1721" s="48"/>
      <c r="U1721" s="48"/>
      <c r="V1721" s="48"/>
      <c r="W1721" s="49"/>
      <c r="X1721" s="49"/>
      <c r="Y1721" s="49"/>
      <c r="Z1721" s="49"/>
      <c r="AA1721" s="49"/>
      <c r="AB1721" s="49"/>
      <c r="AC1721" s="49"/>
      <c r="AD1721" s="49"/>
      <c r="AE1721" s="49"/>
      <c r="AF1721" s="49"/>
      <c r="AG1721" s="49"/>
      <c r="AH1721" s="49"/>
      <c r="AI1721" s="48"/>
      <c r="AJ1721" s="48"/>
      <c r="AK1721" s="24"/>
      <c r="AL1721" s="50"/>
      <c r="AM1721" s="50"/>
      <c r="AN1721" s="50"/>
      <c r="AO1721" s="50"/>
      <c r="AP1721" s="50"/>
      <c r="AQ1721" s="50"/>
      <c r="AR1721" s="50"/>
      <c r="AS1721" s="50"/>
      <c r="AT1721" s="51"/>
      <c r="AU1721" s="51"/>
      <c r="AV1721" s="51"/>
      <c r="AW1721" s="51"/>
      <c r="AX1721" s="50"/>
      <c r="AY1721" s="50"/>
      <c r="AZ1721" s="50"/>
      <c r="BA1721" s="50"/>
      <c r="BB1721" s="51"/>
      <c r="BC1721" s="51"/>
      <c r="BD1721" s="51"/>
      <c r="BE1721" s="51"/>
      <c r="BF1721" s="47"/>
      <c r="BG1721" s="47"/>
      <c r="BH1721" s="47"/>
      <c r="BI1721" s="47"/>
      <c r="BJ1721" s="47"/>
      <c r="BK1721" s="47"/>
      <c r="BL1721" s="47"/>
      <c r="BM1721" s="47"/>
      <c r="BN1721" s="47"/>
      <c r="BO1721" s="47"/>
      <c r="BP1721" s="47"/>
      <c r="BQ1721" s="47"/>
      <c r="BR1721" s="47"/>
      <c r="BS1721" s="47"/>
      <c r="BT1721" s="47"/>
    </row>
    <row r="1722">
      <c r="A1722" s="24"/>
      <c r="B1722" s="48"/>
      <c r="C1722" s="49"/>
      <c r="D1722" s="24"/>
      <c r="E1722" s="52"/>
      <c r="F1722" s="53"/>
      <c r="G1722" s="48"/>
      <c r="H1722" s="49"/>
      <c r="I1722" s="49"/>
      <c r="J1722" s="48"/>
      <c r="K1722" s="48"/>
      <c r="L1722" s="48"/>
      <c r="M1722" s="48"/>
      <c r="N1722" s="48"/>
      <c r="O1722" s="48"/>
      <c r="P1722" s="48"/>
      <c r="Q1722" s="48"/>
      <c r="R1722" s="48"/>
      <c r="S1722" s="48"/>
      <c r="T1722" s="48"/>
      <c r="U1722" s="48"/>
      <c r="V1722" s="48"/>
      <c r="W1722" s="49"/>
      <c r="X1722" s="49"/>
      <c r="Y1722" s="49"/>
      <c r="Z1722" s="49"/>
      <c r="AA1722" s="49"/>
      <c r="AB1722" s="49"/>
      <c r="AC1722" s="49"/>
      <c r="AD1722" s="49"/>
      <c r="AE1722" s="49"/>
      <c r="AF1722" s="49"/>
      <c r="AG1722" s="49"/>
      <c r="AH1722" s="49"/>
      <c r="AI1722" s="48"/>
      <c r="AJ1722" s="48"/>
      <c r="AK1722" s="24"/>
      <c r="AL1722" s="50"/>
      <c r="AM1722" s="50"/>
      <c r="AN1722" s="50"/>
      <c r="AO1722" s="50"/>
      <c r="AP1722" s="50"/>
      <c r="AQ1722" s="50"/>
      <c r="AR1722" s="50"/>
      <c r="AS1722" s="50"/>
      <c r="AT1722" s="51"/>
      <c r="AU1722" s="51"/>
      <c r="AV1722" s="51"/>
      <c r="AW1722" s="51"/>
      <c r="AX1722" s="50"/>
      <c r="AY1722" s="50"/>
      <c r="AZ1722" s="50"/>
      <c r="BA1722" s="50"/>
      <c r="BB1722" s="51"/>
      <c r="BC1722" s="51"/>
      <c r="BD1722" s="51"/>
      <c r="BE1722" s="51"/>
      <c r="BF1722" s="47"/>
      <c r="BG1722" s="47"/>
      <c r="BH1722" s="47"/>
      <c r="BI1722" s="47"/>
      <c r="BJ1722" s="47"/>
      <c r="BK1722" s="47"/>
      <c r="BL1722" s="47"/>
      <c r="BM1722" s="47"/>
      <c r="BN1722" s="47"/>
      <c r="BO1722" s="47"/>
      <c r="BP1722" s="47"/>
      <c r="BQ1722" s="47"/>
      <c r="BR1722" s="47"/>
      <c r="BS1722" s="47"/>
      <c r="BT1722" s="47"/>
    </row>
    <row r="1723">
      <c r="A1723" s="24"/>
      <c r="B1723" s="48"/>
      <c r="C1723" s="49"/>
      <c r="D1723" s="24"/>
      <c r="E1723" s="52"/>
      <c r="F1723" s="53"/>
      <c r="G1723" s="48"/>
      <c r="H1723" s="49"/>
      <c r="I1723" s="49"/>
      <c r="J1723" s="48"/>
      <c r="K1723" s="48"/>
      <c r="L1723" s="48"/>
      <c r="M1723" s="48"/>
      <c r="N1723" s="48"/>
      <c r="O1723" s="48"/>
      <c r="P1723" s="48"/>
      <c r="Q1723" s="48"/>
      <c r="R1723" s="48"/>
      <c r="S1723" s="48"/>
      <c r="T1723" s="48"/>
      <c r="U1723" s="48"/>
      <c r="V1723" s="48"/>
      <c r="W1723" s="49"/>
      <c r="X1723" s="49"/>
      <c r="Y1723" s="49"/>
      <c r="Z1723" s="49"/>
      <c r="AA1723" s="49"/>
      <c r="AB1723" s="49"/>
      <c r="AC1723" s="49"/>
      <c r="AD1723" s="49"/>
      <c r="AE1723" s="49"/>
      <c r="AF1723" s="49"/>
      <c r="AG1723" s="49"/>
      <c r="AH1723" s="49"/>
      <c r="AI1723" s="48"/>
      <c r="AJ1723" s="48"/>
      <c r="AK1723" s="24"/>
      <c r="AL1723" s="50"/>
      <c r="AM1723" s="50"/>
      <c r="AN1723" s="50"/>
      <c r="AO1723" s="50"/>
      <c r="AP1723" s="50"/>
      <c r="AQ1723" s="50"/>
      <c r="AR1723" s="50"/>
      <c r="AS1723" s="50"/>
      <c r="AT1723" s="51"/>
      <c r="AU1723" s="51"/>
      <c r="AV1723" s="51"/>
      <c r="AW1723" s="51"/>
      <c r="AX1723" s="50"/>
      <c r="AY1723" s="50"/>
      <c r="AZ1723" s="50"/>
      <c r="BA1723" s="50"/>
      <c r="BB1723" s="51"/>
      <c r="BC1723" s="51"/>
      <c r="BD1723" s="51"/>
      <c r="BE1723" s="51"/>
      <c r="BF1723" s="47"/>
      <c r="BG1723" s="47"/>
      <c r="BH1723" s="47"/>
      <c r="BI1723" s="47"/>
      <c r="BJ1723" s="47"/>
      <c r="BK1723" s="47"/>
      <c r="BL1723" s="47"/>
      <c r="BM1723" s="47"/>
      <c r="BN1723" s="47"/>
      <c r="BO1723" s="47"/>
      <c r="BP1723" s="47"/>
      <c r="BQ1723" s="47"/>
      <c r="BR1723" s="47"/>
      <c r="BS1723" s="47"/>
      <c r="BT1723" s="47"/>
    </row>
    <row r="1724">
      <c r="A1724" s="24"/>
      <c r="B1724" s="48"/>
      <c r="C1724" s="49"/>
      <c r="D1724" s="24"/>
      <c r="E1724" s="52"/>
      <c r="F1724" s="53"/>
      <c r="G1724" s="48"/>
      <c r="H1724" s="49"/>
      <c r="I1724" s="49"/>
      <c r="J1724" s="48"/>
      <c r="K1724" s="48"/>
      <c r="L1724" s="48"/>
      <c r="M1724" s="48"/>
      <c r="N1724" s="48"/>
      <c r="O1724" s="48"/>
      <c r="P1724" s="48"/>
      <c r="Q1724" s="48"/>
      <c r="R1724" s="48"/>
      <c r="S1724" s="48"/>
      <c r="T1724" s="48"/>
      <c r="U1724" s="48"/>
      <c r="V1724" s="48"/>
      <c r="W1724" s="49"/>
      <c r="X1724" s="49"/>
      <c r="Y1724" s="49"/>
      <c r="Z1724" s="49"/>
      <c r="AA1724" s="49"/>
      <c r="AB1724" s="49"/>
      <c r="AC1724" s="49"/>
      <c r="AD1724" s="49"/>
      <c r="AE1724" s="49"/>
      <c r="AF1724" s="49"/>
      <c r="AG1724" s="49"/>
      <c r="AH1724" s="49"/>
      <c r="AI1724" s="48"/>
      <c r="AJ1724" s="48"/>
      <c r="AK1724" s="24"/>
      <c r="AL1724" s="50"/>
      <c r="AM1724" s="50"/>
      <c r="AN1724" s="50"/>
      <c r="AO1724" s="50"/>
      <c r="AP1724" s="50"/>
      <c r="AQ1724" s="50"/>
      <c r="AR1724" s="50"/>
      <c r="AS1724" s="50"/>
      <c r="AT1724" s="51"/>
      <c r="AU1724" s="51"/>
      <c r="AV1724" s="51"/>
      <c r="AW1724" s="51"/>
      <c r="AX1724" s="50"/>
      <c r="AY1724" s="50"/>
      <c r="AZ1724" s="50"/>
      <c r="BA1724" s="50"/>
      <c r="BB1724" s="51"/>
      <c r="BC1724" s="51"/>
      <c r="BD1724" s="51"/>
      <c r="BE1724" s="51"/>
      <c r="BF1724" s="47"/>
      <c r="BG1724" s="47"/>
      <c r="BH1724" s="47"/>
      <c r="BI1724" s="47"/>
      <c r="BJ1724" s="47"/>
      <c r="BK1724" s="47"/>
      <c r="BL1724" s="47"/>
      <c r="BM1724" s="47"/>
      <c r="BN1724" s="47"/>
      <c r="BO1724" s="47"/>
      <c r="BP1724" s="47"/>
      <c r="BQ1724" s="47"/>
      <c r="BR1724" s="47"/>
      <c r="BS1724" s="47"/>
      <c r="BT1724" s="47"/>
    </row>
    <row r="1725">
      <c r="A1725" s="24"/>
      <c r="B1725" s="48"/>
      <c r="C1725" s="49"/>
      <c r="D1725" s="24"/>
      <c r="E1725" s="52"/>
      <c r="F1725" s="53"/>
      <c r="G1725" s="48"/>
      <c r="H1725" s="49"/>
      <c r="I1725" s="49"/>
      <c r="J1725" s="48"/>
      <c r="K1725" s="48"/>
      <c r="L1725" s="48"/>
      <c r="M1725" s="48"/>
      <c r="N1725" s="48"/>
      <c r="O1725" s="48"/>
      <c r="P1725" s="48"/>
      <c r="Q1725" s="48"/>
      <c r="R1725" s="48"/>
      <c r="S1725" s="48"/>
      <c r="T1725" s="48"/>
      <c r="U1725" s="48"/>
      <c r="V1725" s="48"/>
      <c r="W1725" s="49"/>
      <c r="X1725" s="49"/>
      <c r="Y1725" s="49"/>
      <c r="Z1725" s="49"/>
      <c r="AA1725" s="49"/>
      <c r="AB1725" s="49"/>
      <c r="AC1725" s="49"/>
      <c r="AD1725" s="49"/>
      <c r="AE1725" s="49"/>
      <c r="AF1725" s="49"/>
      <c r="AG1725" s="49"/>
      <c r="AH1725" s="49"/>
      <c r="AI1725" s="48"/>
      <c r="AJ1725" s="48"/>
      <c r="AK1725" s="24"/>
      <c r="AL1725" s="50"/>
      <c r="AM1725" s="50"/>
      <c r="AN1725" s="50"/>
      <c r="AO1725" s="50"/>
      <c r="AP1725" s="50"/>
      <c r="AQ1725" s="50"/>
      <c r="AR1725" s="50"/>
      <c r="AS1725" s="50"/>
      <c r="AT1725" s="51"/>
      <c r="AU1725" s="51"/>
      <c r="AV1725" s="51"/>
      <c r="AW1725" s="51"/>
      <c r="AX1725" s="50"/>
      <c r="AY1725" s="50"/>
      <c r="AZ1725" s="50"/>
      <c r="BA1725" s="50"/>
      <c r="BB1725" s="51"/>
      <c r="BC1725" s="51"/>
      <c r="BD1725" s="51"/>
      <c r="BE1725" s="51"/>
      <c r="BF1725" s="47"/>
      <c r="BG1725" s="47"/>
      <c r="BH1725" s="47"/>
      <c r="BI1725" s="47"/>
      <c r="BJ1725" s="47"/>
      <c r="BK1725" s="47"/>
      <c r="BL1725" s="47"/>
      <c r="BM1725" s="47"/>
      <c r="BN1725" s="47"/>
      <c r="BO1725" s="47"/>
      <c r="BP1725" s="47"/>
      <c r="BQ1725" s="47"/>
      <c r="BR1725" s="47"/>
      <c r="BS1725" s="47"/>
      <c r="BT1725" s="47"/>
    </row>
    <row r="1726">
      <c r="A1726" s="24"/>
      <c r="B1726" s="48"/>
      <c r="C1726" s="49"/>
      <c r="D1726" s="24"/>
      <c r="E1726" s="52"/>
      <c r="F1726" s="53"/>
      <c r="G1726" s="48"/>
      <c r="H1726" s="49"/>
      <c r="I1726" s="49"/>
      <c r="J1726" s="48"/>
      <c r="K1726" s="48"/>
      <c r="L1726" s="48"/>
      <c r="M1726" s="48"/>
      <c r="N1726" s="48"/>
      <c r="O1726" s="48"/>
      <c r="P1726" s="48"/>
      <c r="Q1726" s="48"/>
      <c r="R1726" s="48"/>
      <c r="S1726" s="48"/>
      <c r="T1726" s="48"/>
      <c r="U1726" s="48"/>
      <c r="V1726" s="48"/>
      <c r="W1726" s="49"/>
      <c r="X1726" s="49"/>
      <c r="Y1726" s="49"/>
      <c r="Z1726" s="49"/>
      <c r="AA1726" s="49"/>
      <c r="AB1726" s="49"/>
      <c r="AC1726" s="49"/>
      <c r="AD1726" s="49"/>
      <c r="AE1726" s="49"/>
      <c r="AF1726" s="49"/>
      <c r="AG1726" s="49"/>
      <c r="AH1726" s="49"/>
      <c r="AI1726" s="48"/>
      <c r="AJ1726" s="48"/>
      <c r="AK1726" s="24"/>
      <c r="AL1726" s="50"/>
      <c r="AM1726" s="50"/>
      <c r="AN1726" s="50"/>
      <c r="AO1726" s="50"/>
      <c r="AP1726" s="50"/>
      <c r="AQ1726" s="50"/>
      <c r="AR1726" s="50"/>
      <c r="AS1726" s="50"/>
      <c r="AT1726" s="51"/>
      <c r="AU1726" s="51"/>
      <c r="AV1726" s="51"/>
      <c r="AW1726" s="51"/>
      <c r="AX1726" s="50"/>
      <c r="AY1726" s="50"/>
      <c r="AZ1726" s="50"/>
      <c r="BA1726" s="50"/>
      <c r="BB1726" s="51"/>
      <c r="BC1726" s="51"/>
      <c r="BD1726" s="51"/>
      <c r="BE1726" s="51"/>
      <c r="BF1726" s="47"/>
      <c r="BG1726" s="47"/>
      <c r="BH1726" s="47"/>
      <c r="BI1726" s="47"/>
      <c r="BJ1726" s="47"/>
      <c r="BK1726" s="47"/>
      <c r="BL1726" s="47"/>
      <c r="BM1726" s="47"/>
      <c r="BN1726" s="47"/>
      <c r="BO1726" s="47"/>
      <c r="BP1726" s="47"/>
      <c r="BQ1726" s="47"/>
      <c r="BR1726" s="47"/>
      <c r="BS1726" s="47"/>
      <c r="BT1726" s="47"/>
    </row>
    <row r="1727">
      <c r="A1727" s="24"/>
      <c r="B1727" s="48"/>
      <c r="C1727" s="49"/>
      <c r="D1727" s="24"/>
      <c r="E1727" s="52"/>
      <c r="F1727" s="53"/>
      <c r="G1727" s="48"/>
      <c r="H1727" s="49"/>
      <c r="I1727" s="49"/>
      <c r="J1727" s="48"/>
      <c r="K1727" s="48"/>
      <c r="L1727" s="48"/>
      <c r="M1727" s="48"/>
      <c r="N1727" s="48"/>
      <c r="O1727" s="48"/>
      <c r="P1727" s="48"/>
      <c r="Q1727" s="48"/>
      <c r="R1727" s="48"/>
      <c r="S1727" s="48"/>
      <c r="T1727" s="48"/>
      <c r="U1727" s="48"/>
      <c r="V1727" s="48"/>
      <c r="W1727" s="49"/>
      <c r="X1727" s="49"/>
      <c r="Y1727" s="49"/>
      <c r="Z1727" s="49"/>
      <c r="AA1727" s="49"/>
      <c r="AB1727" s="49"/>
      <c r="AC1727" s="49"/>
      <c r="AD1727" s="49"/>
      <c r="AE1727" s="49"/>
      <c r="AF1727" s="49"/>
      <c r="AG1727" s="49"/>
      <c r="AH1727" s="49"/>
      <c r="AI1727" s="48"/>
      <c r="AJ1727" s="48"/>
      <c r="AK1727" s="24"/>
      <c r="AL1727" s="50"/>
      <c r="AM1727" s="50"/>
      <c r="AN1727" s="50"/>
      <c r="AO1727" s="50"/>
      <c r="AP1727" s="50"/>
      <c r="AQ1727" s="50"/>
      <c r="AR1727" s="50"/>
      <c r="AS1727" s="50"/>
      <c r="AT1727" s="51"/>
      <c r="AU1727" s="51"/>
      <c r="AV1727" s="51"/>
      <c r="AW1727" s="51"/>
      <c r="AX1727" s="50"/>
      <c r="AY1727" s="50"/>
      <c r="AZ1727" s="50"/>
      <c r="BA1727" s="50"/>
      <c r="BB1727" s="51"/>
      <c r="BC1727" s="51"/>
      <c r="BD1727" s="51"/>
      <c r="BE1727" s="51"/>
      <c r="BF1727" s="47"/>
      <c r="BG1727" s="47"/>
      <c r="BH1727" s="47"/>
      <c r="BI1727" s="47"/>
      <c r="BJ1727" s="47"/>
      <c r="BK1727" s="47"/>
      <c r="BL1727" s="47"/>
      <c r="BM1727" s="47"/>
      <c r="BN1727" s="47"/>
      <c r="BO1727" s="47"/>
      <c r="BP1727" s="47"/>
      <c r="BQ1727" s="47"/>
      <c r="BR1727" s="47"/>
      <c r="BS1727" s="47"/>
      <c r="BT1727" s="47"/>
    </row>
    <row r="1728">
      <c r="A1728" s="24"/>
      <c r="B1728" s="48"/>
      <c r="C1728" s="49"/>
      <c r="D1728" s="24"/>
      <c r="E1728" s="52"/>
      <c r="F1728" s="53"/>
      <c r="G1728" s="48"/>
      <c r="H1728" s="49"/>
      <c r="I1728" s="49"/>
      <c r="J1728" s="48"/>
      <c r="K1728" s="48"/>
      <c r="L1728" s="48"/>
      <c r="M1728" s="48"/>
      <c r="N1728" s="48"/>
      <c r="O1728" s="48"/>
      <c r="P1728" s="48"/>
      <c r="Q1728" s="48"/>
      <c r="R1728" s="48"/>
      <c r="S1728" s="48"/>
      <c r="T1728" s="48"/>
      <c r="U1728" s="48"/>
      <c r="V1728" s="48"/>
      <c r="W1728" s="49"/>
      <c r="X1728" s="49"/>
      <c r="Y1728" s="49"/>
      <c r="Z1728" s="49"/>
      <c r="AA1728" s="49"/>
      <c r="AB1728" s="49"/>
      <c r="AC1728" s="49"/>
      <c r="AD1728" s="49"/>
      <c r="AE1728" s="49"/>
      <c r="AF1728" s="49"/>
      <c r="AG1728" s="49"/>
      <c r="AH1728" s="49"/>
      <c r="AI1728" s="48"/>
      <c r="AJ1728" s="48"/>
      <c r="AK1728" s="24"/>
      <c r="AL1728" s="50"/>
      <c r="AM1728" s="50"/>
      <c r="AN1728" s="50"/>
      <c r="AO1728" s="50"/>
      <c r="AP1728" s="50"/>
      <c r="AQ1728" s="50"/>
      <c r="AR1728" s="50"/>
      <c r="AS1728" s="50"/>
      <c r="AT1728" s="51"/>
      <c r="AU1728" s="51"/>
      <c r="AV1728" s="51"/>
      <c r="AW1728" s="51"/>
      <c r="AX1728" s="50"/>
      <c r="AY1728" s="50"/>
      <c r="AZ1728" s="50"/>
      <c r="BA1728" s="50"/>
      <c r="BB1728" s="51"/>
      <c r="BC1728" s="51"/>
      <c r="BD1728" s="51"/>
      <c r="BE1728" s="51"/>
      <c r="BF1728" s="47"/>
      <c r="BG1728" s="47"/>
      <c r="BH1728" s="47"/>
      <c r="BI1728" s="47"/>
      <c r="BJ1728" s="47"/>
      <c r="BK1728" s="47"/>
      <c r="BL1728" s="47"/>
      <c r="BM1728" s="47"/>
      <c r="BN1728" s="47"/>
      <c r="BO1728" s="47"/>
      <c r="BP1728" s="47"/>
      <c r="BQ1728" s="47"/>
      <c r="BR1728" s="47"/>
      <c r="BS1728" s="47"/>
      <c r="BT1728" s="47"/>
    </row>
    <row r="1729">
      <c r="A1729" s="24"/>
      <c r="B1729" s="48"/>
      <c r="C1729" s="49"/>
      <c r="D1729" s="24"/>
      <c r="E1729" s="52"/>
      <c r="F1729" s="53"/>
      <c r="G1729" s="48"/>
      <c r="H1729" s="49"/>
      <c r="I1729" s="49"/>
      <c r="J1729" s="48"/>
      <c r="K1729" s="48"/>
      <c r="L1729" s="48"/>
      <c r="M1729" s="48"/>
      <c r="N1729" s="48"/>
      <c r="O1729" s="48"/>
      <c r="P1729" s="48"/>
      <c r="Q1729" s="48"/>
      <c r="R1729" s="48"/>
      <c r="S1729" s="48"/>
      <c r="T1729" s="48"/>
      <c r="U1729" s="48"/>
      <c r="V1729" s="48"/>
      <c r="W1729" s="49"/>
      <c r="X1729" s="49"/>
      <c r="Y1729" s="49"/>
      <c r="Z1729" s="49"/>
      <c r="AA1729" s="49"/>
      <c r="AB1729" s="49"/>
      <c r="AC1729" s="49"/>
      <c r="AD1729" s="49"/>
      <c r="AE1729" s="49"/>
      <c r="AF1729" s="49"/>
      <c r="AG1729" s="49"/>
      <c r="AH1729" s="49"/>
      <c r="AI1729" s="48"/>
      <c r="AJ1729" s="48"/>
      <c r="AK1729" s="24"/>
      <c r="AL1729" s="50"/>
      <c r="AM1729" s="50"/>
      <c r="AN1729" s="50"/>
      <c r="AO1729" s="50"/>
      <c r="AP1729" s="50"/>
      <c r="AQ1729" s="50"/>
      <c r="AR1729" s="50"/>
      <c r="AS1729" s="50"/>
      <c r="AT1729" s="51"/>
      <c r="AU1729" s="51"/>
      <c r="AV1729" s="51"/>
      <c r="AW1729" s="51"/>
      <c r="AX1729" s="50"/>
      <c r="AY1729" s="50"/>
      <c r="AZ1729" s="50"/>
      <c r="BA1729" s="50"/>
      <c r="BB1729" s="51"/>
      <c r="BC1729" s="51"/>
      <c r="BD1729" s="51"/>
      <c r="BE1729" s="51"/>
      <c r="BF1729" s="47"/>
      <c r="BG1729" s="47"/>
      <c r="BH1729" s="47"/>
      <c r="BI1729" s="47"/>
      <c r="BJ1729" s="47"/>
      <c r="BK1729" s="47"/>
      <c r="BL1729" s="47"/>
      <c r="BM1729" s="47"/>
      <c r="BN1729" s="47"/>
      <c r="BO1729" s="47"/>
      <c r="BP1729" s="47"/>
      <c r="BQ1729" s="47"/>
      <c r="BR1729" s="47"/>
      <c r="BS1729" s="47"/>
      <c r="BT1729" s="47"/>
    </row>
    <row r="1730">
      <c r="A1730" s="24"/>
      <c r="B1730" s="48"/>
      <c r="C1730" s="49"/>
      <c r="D1730" s="24"/>
      <c r="E1730" s="52"/>
      <c r="F1730" s="53"/>
      <c r="G1730" s="48"/>
      <c r="H1730" s="49"/>
      <c r="I1730" s="49"/>
      <c r="J1730" s="48"/>
      <c r="K1730" s="48"/>
      <c r="L1730" s="48"/>
      <c r="M1730" s="48"/>
      <c r="N1730" s="48"/>
      <c r="O1730" s="48"/>
      <c r="P1730" s="48"/>
      <c r="Q1730" s="48"/>
      <c r="R1730" s="48"/>
      <c r="S1730" s="48"/>
      <c r="T1730" s="48"/>
      <c r="U1730" s="48"/>
      <c r="V1730" s="48"/>
      <c r="W1730" s="49"/>
      <c r="X1730" s="49"/>
      <c r="Y1730" s="49"/>
      <c r="Z1730" s="49"/>
      <c r="AA1730" s="49"/>
      <c r="AB1730" s="49"/>
      <c r="AC1730" s="49"/>
      <c r="AD1730" s="49"/>
      <c r="AE1730" s="49"/>
      <c r="AF1730" s="49"/>
      <c r="AG1730" s="49"/>
      <c r="AH1730" s="49"/>
      <c r="AI1730" s="48"/>
      <c r="AJ1730" s="48"/>
      <c r="AK1730" s="24"/>
      <c r="AL1730" s="50"/>
      <c r="AM1730" s="50"/>
      <c r="AN1730" s="50"/>
      <c r="AO1730" s="50"/>
      <c r="AP1730" s="50"/>
      <c r="AQ1730" s="50"/>
      <c r="AR1730" s="50"/>
      <c r="AS1730" s="50"/>
      <c r="AT1730" s="51"/>
      <c r="AU1730" s="51"/>
      <c r="AV1730" s="51"/>
      <c r="AW1730" s="51"/>
      <c r="AX1730" s="50"/>
      <c r="AY1730" s="50"/>
      <c r="AZ1730" s="50"/>
      <c r="BA1730" s="50"/>
      <c r="BB1730" s="51"/>
      <c r="BC1730" s="51"/>
      <c r="BD1730" s="51"/>
      <c r="BE1730" s="51"/>
      <c r="BF1730" s="47"/>
      <c r="BG1730" s="47"/>
      <c r="BH1730" s="47"/>
      <c r="BI1730" s="47"/>
      <c r="BJ1730" s="47"/>
      <c r="BK1730" s="47"/>
      <c r="BL1730" s="47"/>
      <c r="BM1730" s="47"/>
      <c r="BN1730" s="47"/>
      <c r="BO1730" s="47"/>
      <c r="BP1730" s="47"/>
      <c r="BQ1730" s="47"/>
      <c r="BR1730" s="47"/>
      <c r="BS1730" s="47"/>
      <c r="BT1730" s="47"/>
    </row>
    <row r="1731">
      <c r="A1731" s="24"/>
      <c r="B1731" s="48"/>
      <c r="C1731" s="49"/>
      <c r="D1731" s="24"/>
      <c r="E1731" s="52"/>
      <c r="F1731" s="53"/>
      <c r="G1731" s="48"/>
      <c r="H1731" s="49"/>
      <c r="I1731" s="49"/>
      <c r="J1731" s="48"/>
      <c r="K1731" s="48"/>
      <c r="L1731" s="48"/>
      <c r="M1731" s="48"/>
      <c r="N1731" s="48"/>
      <c r="O1731" s="48"/>
      <c r="P1731" s="48"/>
      <c r="Q1731" s="48"/>
      <c r="R1731" s="48"/>
      <c r="S1731" s="48"/>
      <c r="T1731" s="48"/>
      <c r="U1731" s="48"/>
      <c r="V1731" s="48"/>
      <c r="W1731" s="49"/>
      <c r="X1731" s="49"/>
      <c r="Y1731" s="49"/>
      <c r="Z1731" s="49"/>
      <c r="AA1731" s="49"/>
      <c r="AB1731" s="49"/>
      <c r="AC1731" s="49"/>
      <c r="AD1731" s="49"/>
      <c r="AE1731" s="49"/>
      <c r="AF1731" s="49"/>
      <c r="AG1731" s="49"/>
      <c r="AH1731" s="49"/>
      <c r="AI1731" s="48"/>
      <c r="AJ1731" s="48"/>
      <c r="AK1731" s="24"/>
      <c r="AL1731" s="50"/>
      <c r="AM1731" s="50"/>
      <c r="AN1731" s="50"/>
      <c r="AO1731" s="50"/>
      <c r="AP1731" s="50"/>
      <c r="AQ1731" s="50"/>
      <c r="AR1731" s="50"/>
      <c r="AS1731" s="50"/>
      <c r="AT1731" s="51"/>
      <c r="AU1731" s="51"/>
      <c r="AV1731" s="51"/>
      <c r="AW1731" s="51"/>
      <c r="AX1731" s="50"/>
      <c r="AY1731" s="50"/>
      <c r="AZ1731" s="50"/>
      <c r="BA1731" s="50"/>
      <c r="BB1731" s="51"/>
      <c r="BC1731" s="51"/>
      <c r="BD1731" s="51"/>
      <c r="BE1731" s="51"/>
      <c r="BF1731" s="47"/>
      <c r="BG1731" s="47"/>
      <c r="BH1731" s="47"/>
      <c r="BI1731" s="47"/>
      <c r="BJ1731" s="47"/>
      <c r="BK1731" s="47"/>
      <c r="BL1731" s="47"/>
      <c r="BM1731" s="47"/>
      <c r="BN1731" s="47"/>
      <c r="BO1731" s="47"/>
      <c r="BP1731" s="47"/>
      <c r="BQ1731" s="47"/>
      <c r="BR1731" s="47"/>
      <c r="BS1731" s="47"/>
      <c r="BT1731" s="47"/>
    </row>
    <row r="1732">
      <c r="A1732" s="24"/>
      <c r="B1732" s="48"/>
      <c r="C1732" s="49"/>
      <c r="D1732" s="24"/>
      <c r="E1732" s="52"/>
      <c r="F1732" s="53"/>
      <c r="G1732" s="48"/>
      <c r="H1732" s="49"/>
      <c r="I1732" s="49"/>
      <c r="J1732" s="48"/>
      <c r="K1732" s="48"/>
      <c r="L1732" s="48"/>
      <c r="M1732" s="48"/>
      <c r="N1732" s="48"/>
      <c r="O1732" s="48"/>
      <c r="P1732" s="48"/>
      <c r="Q1732" s="48"/>
      <c r="R1732" s="48"/>
      <c r="S1732" s="48"/>
      <c r="T1732" s="48"/>
      <c r="U1732" s="48"/>
      <c r="V1732" s="48"/>
      <c r="W1732" s="49"/>
      <c r="X1732" s="49"/>
      <c r="Y1732" s="49"/>
      <c r="Z1732" s="49"/>
      <c r="AA1732" s="49"/>
      <c r="AB1732" s="49"/>
      <c r="AC1732" s="49"/>
      <c r="AD1732" s="49"/>
      <c r="AE1732" s="49"/>
      <c r="AF1732" s="49"/>
      <c r="AG1732" s="49"/>
      <c r="AH1732" s="49"/>
      <c r="AI1732" s="48"/>
      <c r="AJ1732" s="48"/>
      <c r="AK1732" s="24"/>
      <c r="AL1732" s="50"/>
      <c r="AM1732" s="50"/>
      <c r="AN1732" s="50"/>
      <c r="AO1732" s="50"/>
      <c r="AP1732" s="50"/>
      <c r="AQ1732" s="50"/>
      <c r="AR1732" s="50"/>
      <c r="AS1732" s="50"/>
      <c r="AT1732" s="51"/>
      <c r="AU1732" s="51"/>
      <c r="AV1732" s="51"/>
      <c r="AW1732" s="51"/>
      <c r="AX1732" s="50"/>
      <c r="AY1732" s="50"/>
      <c r="AZ1732" s="50"/>
      <c r="BA1732" s="50"/>
      <c r="BB1732" s="51"/>
      <c r="BC1732" s="51"/>
      <c r="BD1732" s="51"/>
      <c r="BE1732" s="51"/>
      <c r="BF1732" s="47"/>
      <c r="BG1732" s="47"/>
      <c r="BH1732" s="47"/>
      <c r="BI1732" s="47"/>
      <c r="BJ1732" s="47"/>
      <c r="BK1732" s="47"/>
      <c r="BL1732" s="47"/>
      <c r="BM1732" s="47"/>
      <c r="BN1732" s="47"/>
      <c r="BO1732" s="47"/>
      <c r="BP1732" s="47"/>
      <c r="BQ1732" s="47"/>
      <c r="BR1732" s="47"/>
      <c r="BS1732" s="47"/>
      <c r="BT1732" s="47"/>
    </row>
    <row r="1733">
      <c r="A1733" s="24"/>
      <c r="B1733" s="48"/>
      <c r="C1733" s="49"/>
      <c r="D1733" s="24"/>
      <c r="E1733" s="52"/>
      <c r="F1733" s="53"/>
      <c r="G1733" s="48"/>
      <c r="H1733" s="49"/>
      <c r="I1733" s="49"/>
      <c r="J1733" s="48"/>
      <c r="K1733" s="48"/>
      <c r="L1733" s="48"/>
      <c r="M1733" s="48"/>
      <c r="N1733" s="48"/>
      <c r="O1733" s="48"/>
      <c r="P1733" s="48"/>
      <c r="Q1733" s="48"/>
      <c r="R1733" s="48"/>
      <c r="S1733" s="48"/>
      <c r="T1733" s="48"/>
      <c r="U1733" s="48"/>
      <c r="V1733" s="48"/>
      <c r="W1733" s="49"/>
      <c r="X1733" s="49"/>
      <c r="Y1733" s="49"/>
      <c r="Z1733" s="49"/>
      <c r="AA1733" s="49"/>
      <c r="AB1733" s="49"/>
      <c r="AC1733" s="49"/>
      <c r="AD1733" s="49"/>
      <c r="AE1733" s="49"/>
      <c r="AF1733" s="49"/>
      <c r="AG1733" s="49"/>
      <c r="AH1733" s="49"/>
      <c r="AI1733" s="48"/>
      <c r="AJ1733" s="48"/>
      <c r="AK1733" s="24"/>
      <c r="AL1733" s="50"/>
      <c r="AM1733" s="50"/>
      <c r="AN1733" s="50"/>
      <c r="AO1733" s="50"/>
      <c r="AP1733" s="50"/>
      <c r="AQ1733" s="50"/>
      <c r="AR1733" s="50"/>
      <c r="AS1733" s="50"/>
      <c r="AT1733" s="51"/>
      <c r="AU1733" s="51"/>
      <c r="AV1733" s="51"/>
      <c r="AW1733" s="51"/>
      <c r="AX1733" s="50"/>
      <c r="AY1733" s="50"/>
      <c r="AZ1733" s="50"/>
      <c r="BA1733" s="50"/>
      <c r="BB1733" s="51"/>
      <c r="BC1733" s="51"/>
      <c r="BD1733" s="51"/>
      <c r="BE1733" s="51"/>
      <c r="BF1733" s="47"/>
      <c r="BG1733" s="47"/>
      <c r="BH1733" s="47"/>
      <c r="BI1733" s="47"/>
      <c r="BJ1733" s="47"/>
      <c r="BK1733" s="47"/>
      <c r="BL1733" s="47"/>
      <c r="BM1733" s="47"/>
      <c r="BN1733" s="47"/>
      <c r="BO1733" s="47"/>
      <c r="BP1733" s="47"/>
      <c r="BQ1733" s="47"/>
      <c r="BR1733" s="47"/>
      <c r="BS1733" s="47"/>
      <c r="BT1733" s="47"/>
    </row>
    <row r="1734">
      <c r="A1734" s="24"/>
      <c r="B1734" s="48"/>
      <c r="C1734" s="49"/>
      <c r="D1734" s="24"/>
      <c r="E1734" s="52"/>
      <c r="F1734" s="53"/>
      <c r="G1734" s="48"/>
      <c r="H1734" s="49"/>
      <c r="I1734" s="49"/>
      <c r="J1734" s="48"/>
      <c r="K1734" s="48"/>
      <c r="L1734" s="48"/>
      <c r="M1734" s="48"/>
      <c r="N1734" s="48"/>
      <c r="O1734" s="48"/>
      <c r="P1734" s="48"/>
      <c r="Q1734" s="48"/>
      <c r="R1734" s="48"/>
      <c r="S1734" s="48"/>
      <c r="T1734" s="48"/>
      <c r="U1734" s="48"/>
      <c r="V1734" s="48"/>
      <c r="W1734" s="49"/>
      <c r="X1734" s="49"/>
      <c r="Y1734" s="49"/>
      <c r="Z1734" s="49"/>
      <c r="AA1734" s="49"/>
      <c r="AB1734" s="49"/>
      <c r="AC1734" s="49"/>
      <c r="AD1734" s="49"/>
      <c r="AE1734" s="49"/>
      <c r="AF1734" s="49"/>
      <c r="AG1734" s="49"/>
      <c r="AH1734" s="49"/>
      <c r="AI1734" s="48"/>
      <c r="AJ1734" s="48"/>
      <c r="AK1734" s="24"/>
      <c r="AL1734" s="50"/>
      <c r="AM1734" s="50"/>
      <c r="AN1734" s="50"/>
      <c r="AO1734" s="50"/>
      <c r="AP1734" s="50"/>
      <c r="AQ1734" s="50"/>
      <c r="AR1734" s="50"/>
      <c r="AS1734" s="50"/>
      <c r="AT1734" s="51"/>
      <c r="AU1734" s="51"/>
      <c r="AV1734" s="51"/>
      <c r="AW1734" s="51"/>
      <c r="AX1734" s="50"/>
      <c r="AY1734" s="50"/>
      <c r="AZ1734" s="50"/>
      <c r="BA1734" s="50"/>
      <c r="BB1734" s="51"/>
      <c r="BC1734" s="51"/>
      <c r="BD1734" s="51"/>
      <c r="BE1734" s="51"/>
      <c r="BF1734" s="47"/>
      <c r="BG1734" s="47"/>
      <c r="BH1734" s="47"/>
      <c r="BI1734" s="47"/>
      <c r="BJ1734" s="47"/>
      <c r="BK1734" s="47"/>
      <c r="BL1734" s="47"/>
      <c r="BM1734" s="47"/>
      <c r="BN1734" s="47"/>
      <c r="BO1734" s="47"/>
      <c r="BP1734" s="47"/>
      <c r="BQ1734" s="47"/>
      <c r="BR1734" s="47"/>
      <c r="BS1734" s="47"/>
      <c r="BT1734" s="47"/>
    </row>
    <row r="1735">
      <c r="A1735" s="24"/>
      <c r="B1735" s="48"/>
      <c r="C1735" s="49"/>
      <c r="D1735" s="24"/>
      <c r="E1735" s="52"/>
      <c r="F1735" s="53"/>
      <c r="G1735" s="48"/>
      <c r="H1735" s="49"/>
      <c r="I1735" s="49"/>
      <c r="J1735" s="48"/>
      <c r="K1735" s="48"/>
      <c r="L1735" s="48"/>
      <c r="M1735" s="48"/>
      <c r="N1735" s="48"/>
      <c r="O1735" s="48"/>
      <c r="P1735" s="48"/>
      <c r="Q1735" s="48"/>
      <c r="R1735" s="48"/>
      <c r="S1735" s="48"/>
      <c r="T1735" s="48"/>
      <c r="U1735" s="48"/>
      <c r="V1735" s="48"/>
      <c r="W1735" s="49"/>
      <c r="X1735" s="49"/>
      <c r="Y1735" s="49"/>
      <c r="Z1735" s="49"/>
      <c r="AA1735" s="49"/>
      <c r="AB1735" s="49"/>
      <c r="AC1735" s="49"/>
      <c r="AD1735" s="49"/>
      <c r="AE1735" s="49"/>
      <c r="AF1735" s="49"/>
      <c r="AG1735" s="49"/>
      <c r="AH1735" s="49"/>
      <c r="AI1735" s="48"/>
      <c r="AJ1735" s="48"/>
      <c r="AK1735" s="24"/>
      <c r="AL1735" s="50"/>
      <c r="AM1735" s="50"/>
      <c r="AN1735" s="50"/>
      <c r="AO1735" s="50"/>
      <c r="AP1735" s="50"/>
      <c r="AQ1735" s="50"/>
      <c r="AR1735" s="50"/>
      <c r="AS1735" s="50"/>
      <c r="AT1735" s="51"/>
      <c r="AU1735" s="51"/>
      <c r="AV1735" s="51"/>
      <c r="AW1735" s="51"/>
      <c r="AX1735" s="50"/>
      <c r="AY1735" s="50"/>
      <c r="AZ1735" s="50"/>
      <c r="BA1735" s="50"/>
      <c r="BB1735" s="51"/>
      <c r="BC1735" s="51"/>
      <c r="BD1735" s="51"/>
      <c r="BE1735" s="51"/>
      <c r="BF1735" s="47"/>
      <c r="BG1735" s="47"/>
      <c r="BH1735" s="47"/>
      <c r="BI1735" s="47"/>
      <c r="BJ1735" s="47"/>
      <c r="BK1735" s="47"/>
      <c r="BL1735" s="47"/>
      <c r="BM1735" s="47"/>
      <c r="BN1735" s="47"/>
      <c r="BO1735" s="47"/>
      <c r="BP1735" s="47"/>
      <c r="BQ1735" s="47"/>
      <c r="BR1735" s="47"/>
      <c r="BS1735" s="47"/>
      <c r="BT1735" s="47"/>
    </row>
    <row r="1736">
      <c r="A1736" s="24"/>
      <c r="B1736" s="48"/>
      <c r="C1736" s="49"/>
      <c r="D1736" s="24"/>
      <c r="E1736" s="52"/>
      <c r="F1736" s="53"/>
      <c r="G1736" s="48"/>
      <c r="H1736" s="49"/>
      <c r="I1736" s="49"/>
      <c r="J1736" s="48"/>
      <c r="K1736" s="48"/>
      <c r="L1736" s="48"/>
      <c r="M1736" s="48"/>
      <c r="N1736" s="48"/>
      <c r="O1736" s="48"/>
      <c r="P1736" s="48"/>
      <c r="Q1736" s="48"/>
      <c r="R1736" s="48"/>
      <c r="S1736" s="48"/>
      <c r="T1736" s="48"/>
      <c r="U1736" s="48"/>
      <c r="V1736" s="48"/>
      <c r="W1736" s="49"/>
      <c r="X1736" s="49"/>
      <c r="Y1736" s="49"/>
      <c r="Z1736" s="49"/>
      <c r="AA1736" s="49"/>
      <c r="AB1736" s="49"/>
      <c r="AC1736" s="49"/>
      <c r="AD1736" s="49"/>
      <c r="AE1736" s="49"/>
      <c r="AF1736" s="49"/>
      <c r="AG1736" s="49"/>
      <c r="AH1736" s="49"/>
      <c r="AI1736" s="48"/>
      <c r="AJ1736" s="48"/>
      <c r="AK1736" s="24"/>
      <c r="AL1736" s="50"/>
      <c r="AM1736" s="50"/>
      <c r="AN1736" s="50"/>
      <c r="AO1736" s="50"/>
      <c r="AP1736" s="50"/>
      <c r="AQ1736" s="50"/>
      <c r="AR1736" s="50"/>
      <c r="AS1736" s="50"/>
      <c r="AT1736" s="51"/>
      <c r="AU1736" s="51"/>
      <c r="AV1736" s="51"/>
      <c r="AW1736" s="51"/>
      <c r="AX1736" s="50"/>
      <c r="AY1736" s="50"/>
      <c r="AZ1736" s="50"/>
      <c r="BA1736" s="50"/>
      <c r="BB1736" s="51"/>
      <c r="BC1736" s="51"/>
      <c r="BD1736" s="51"/>
      <c r="BE1736" s="51"/>
      <c r="BF1736" s="47"/>
      <c r="BG1736" s="47"/>
      <c r="BH1736" s="47"/>
      <c r="BI1736" s="47"/>
      <c r="BJ1736" s="47"/>
      <c r="BK1736" s="47"/>
      <c r="BL1736" s="47"/>
      <c r="BM1736" s="47"/>
      <c r="BN1736" s="47"/>
      <c r="BO1736" s="47"/>
      <c r="BP1736" s="47"/>
      <c r="BQ1736" s="47"/>
      <c r="BR1736" s="47"/>
      <c r="BS1736" s="47"/>
      <c r="BT1736" s="47"/>
    </row>
    <row r="1737">
      <c r="A1737" s="24"/>
      <c r="B1737" s="48"/>
      <c r="C1737" s="49"/>
      <c r="D1737" s="24"/>
      <c r="E1737" s="52"/>
      <c r="F1737" s="53"/>
      <c r="G1737" s="48"/>
      <c r="H1737" s="49"/>
      <c r="I1737" s="49"/>
      <c r="J1737" s="48"/>
      <c r="K1737" s="48"/>
      <c r="L1737" s="48"/>
      <c r="M1737" s="48"/>
      <c r="N1737" s="48"/>
      <c r="O1737" s="48"/>
      <c r="P1737" s="48"/>
      <c r="Q1737" s="48"/>
      <c r="R1737" s="48"/>
      <c r="S1737" s="48"/>
      <c r="T1737" s="48"/>
      <c r="U1737" s="48"/>
      <c r="V1737" s="48"/>
      <c r="W1737" s="49"/>
      <c r="X1737" s="49"/>
      <c r="Y1737" s="49"/>
      <c r="Z1737" s="49"/>
      <c r="AA1737" s="49"/>
      <c r="AB1737" s="49"/>
      <c r="AC1737" s="49"/>
      <c r="AD1737" s="49"/>
      <c r="AE1737" s="49"/>
      <c r="AF1737" s="49"/>
      <c r="AG1737" s="49"/>
      <c r="AH1737" s="49"/>
      <c r="AI1737" s="48"/>
      <c r="AJ1737" s="48"/>
      <c r="AK1737" s="24"/>
      <c r="AL1737" s="50"/>
      <c r="AM1737" s="50"/>
      <c r="AN1737" s="50"/>
      <c r="AO1737" s="50"/>
      <c r="AP1737" s="50"/>
      <c r="AQ1737" s="50"/>
      <c r="AR1737" s="50"/>
      <c r="AS1737" s="50"/>
      <c r="AT1737" s="51"/>
      <c r="AU1737" s="51"/>
      <c r="AV1737" s="51"/>
      <c r="AW1737" s="51"/>
      <c r="AX1737" s="50"/>
      <c r="AY1737" s="50"/>
      <c r="AZ1737" s="50"/>
      <c r="BA1737" s="50"/>
      <c r="BB1737" s="51"/>
      <c r="BC1737" s="51"/>
      <c r="BD1737" s="51"/>
      <c r="BE1737" s="51"/>
      <c r="BF1737" s="47"/>
      <c r="BG1737" s="47"/>
      <c r="BH1737" s="47"/>
      <c r="BI1737" s="47"/>
      <c r="BJ1737" s="47"/>
      <c r="BK1737" s="47"/>
      <c r="BL1737" s="47"/>
      <c r="BM1737" s="47"/>
      <c r="BN1737" s="47"/>
      <c r="BO1737" s="47"/>
      <c r="BP1737" s="47"/>
      <c r="BQ1737" s="47"/>
      <c r="BR1737" s="47"/>
      <c r="BS1737" s="47"/>
      <c r="BT1737" s="47"/>
    </row>
    <row r="1738">
      <c r="A1738" s="24"/>
      <c r="B1738" s="48"/>
      <c r="C1738" s="49"/>
      <c r="D1738" s="24"/>
      <c r="E1738" s="52"/>
      <c r="F1738" s="53"/>
      <c r="G1738" s="48"/>
      <c r="H1738" s="49"/>
      <c r="I1738" s="49"/>
      <c r="J1738" s="48"/>
      <c r="K1738" s="48"/>
      <c r="L1738" s="48"/>
      <c r="M1738" s="48"/>
      <c r="N1738" s="48"/>
      <c r="O1738" s="48"/>
      <c r="P1738" s="48"/>
      <c r="Q1738" s="48"/>
      <c r="R1738" s="48"/>
      <c r="S1738" s="48"/>
      <c r="T1738" s="48"/>
      <c r="U1738" s="48"/>
      <c r="V1738" s="48"/>
      <c r="W1738" s="49"/>
      <c r="X1738" s="49"/>
      <c r="Y1738" s="49"/>
      <c r="Z1738" s="49"/>
      <c r="AA1738" s="49"/>
      <c r="AB1738" s="49"/>
      <c r="AC1738" s="49"/>
      <c r="AD1738" s="49"/>
      <c r="AE1738" s="49"/>
      <c r="AF1738" s="49"/>
      <c r="AG1738" s="49"/>
      <c r="AH1738" s="49"/>
      <c r="AI1738" s="48"/>
      <c r="AJ1738" s="48"/>
      <c r="AK1738" s="24"/>
      <c r="AL1738" s="50"/>
      <c r="AM1738" s="50"/>
      <c r="AN1738" s="50"/>
      <c r="AO1738" s="50"/>
      <c r="AP1738" s="50"/>
      <c r="AQ1738" s="50"/>
      <c r="AR1738" s="50"/>
      <c r="AS1738" s="50"/>
      <c r="AT1738" s="51"/>
      <c r="AU1738" s="51"/>
      <c r="AV1738" s="51"/>
      <c r="AW1738" s="51"/>
      <c r="AX1738" s="50"/>
      <c r="AY1738" s="50"/>
      <c r="AZ1738" s="50"/>
      <c r="BA1738" s="50"/>
      <c r="BB1738" s="51"/>
      <c r="BC1738" s="51"/>
      <c r="BD1738" s="51"/>
      <c r="BE1738" s="51"/>
      <c r="BF1738" s="47"/>
      <c r="BG1738" s="47"/>
      <c r="BH1738" s="47"/>
      <c r="BI1738" s="47"/>
      <c r="BJ1738" s="47"/>
      <c r="BK1738" s="47"/>
      <c r="BL1738" s="47"/>
      <c r="BM1738" s="47"/>
      <c r="BN1738" s="47"/>
      <c r="BO1738" s="47"/>
      <c r="BP1738" s="47"/>
      <c r="BQ1738" s="47"/>
      <c r="BR1738" s="47"/>
      <c r="BS1738" s="47"/>
      <c r="BT1738" s="47"/>
    </row>
    <row r="1739">
      <c r="A1739" s="24"/>
      <c r="B1739" s="48"/>
      <c r="C1739" s="49"/>
      <c r="D1739" s="24"/>
      <c r="E1739" s="52"/>
      <c r="F1739" s="53"/>
      <c r="G1739" s="48"/>
      <c r="H1739" s="49"/>
      <c r="I1739" s="49"/>
      <c r="J1739" s="48"/>
      <c r="K1739" s="48"/>
      <c r="L1739" s="48"/>
      <c r="M1739" s="48"/>
      <c r="N1739" s="48"/>
      <c r="O1739" s="48"/>
      <c r="P1739" s="48"/>
      <c r="Q1739" s="48"/>
      <c r="R1739" s="48"/>
      <c r="S1739" s="48"/>
      <c r="T1739" s="48"/>
      <c r="U1739" s="48"/>
      <c r="V1739" s="48"/>
      <c r="W1739" s="49"/>
      <c r="X1739" s="49"/>
      <c r="Y1739" s="49"/>
      <c r="Z1739" s="49"/>
      <c r="AA1739" s="49"/>
      <c r="AB1739" s="49"/>
      <c r="AC1739" s="49"/>
      <c r="AD1739" s="49"/>
      <c r="AE1739" s="49"/>
      <c r="AF1739" s="49"/>
      <c r="AG1739" s="49"/>
      <c r="AH1739" s="49"/>
      <c r="AI1739" s="48"/>
      <c r="AJ1739" s="48"/>
      <c r="AK1739" s="24"/>
      <c r="AL1739" s="50"/>
      <c r="AM1739" s="50"/>
      <c r="AN1739" s="50"/>
      <c r="AO1739" s="50"/>
      <c r="AP1739" s="50"/>
      <c r="AQ1739" s="50"/>
      <c r="AR1739" s="50"/>
      <c r="AS1739" s="50"/>
      <c r="AT1739" s="51"/>
      <c r="AU1739" s="51"/>
      <c r="AV1739" s="51"/>
      <c r="AW1739" s="51"/>
      <c r="AX1739" s="50"/>
      <c r="AY1739" s="50"/>
      <c r="AZ1739" s="50"/>
      <c r="BA1739" s="50"/>
      <c r="BB1739" s="51"/>
      <c r="BC1739" s="51"/>
      <c r="BD1739" s="51"/>
      <c r="BE1739" s="51"/>
      <c r="BF1739" s="47"/>
      <c r="BG1739" s="47"/>
      <c r="BH1739" s="47"/>
      <c r="BI1739" s="47"/>
      <c r="BJ1739" s="47"/>
      <c r="BK1739" s="47"/>
      <c r="BL1739" s="47"/>
      <c r="BM1739" s="47"/>
      <c r="BN1739" s="47"/>
      <c r="BO1739" s="47"/>
      <c r="BP1739" s="47"/>
      <c r="BQ1739" s="47"/>
      <c r="BR1739" s="47"/>
      <c r="BS1739" s="47"/>
      <c r="BT1739" s="47"/>
    </row>
    <row r="1740">
      <c r="A1740" s="24"/>
      <c r="B1740" s="48"/>
      <c r="C1740" s="49"/>
      <c r="D1740" s="24"/>
      <c r="E1740" s="52"/>
      <c r="F1740" s="53"/>
      <c r="G1740" s="48"/>
      <c r="H1740" s="49"/>
      <c r="I1740" s="49"/>
      <c r="J1740" s="48"/>
      <c r="K1740" s="48"/>
      <c r="L1740" s="48"/>
      <c r="M1740" s="48"/>
      <c r="N1740" s="48"/>
      <c r="O1740" s="48"/>
      <c r="P1740" s="48"/>
      <c r="Q1740" s="48"/>
      <c r="R1740" s="48"/>
      <c r="S1740" s="48"/>
      <c r="T1740" s="48"/>
      <c r="U1740" s="48"/>
      <c r="V1740" s="48"/>
      <c r="W1740" s="49"/>
      <c r="X1740" s="49"/>
      <c r="Y1740" s="49"/>
      <c r="Z1740" s="49"/>
      <c r="AA1740" s="49"/>
      <c r="AB1740" s="49"/>
      <c r="AC1740" s="49"/>
      <c r="AD1740" s="49"/>
      <c r="AE1740" s="49"/>
      <c r="AF1740" s="49"/>
      <c r="AG1740" s="49"/>
      <c r="AH1740" s="49"/>
      <c r="AI1740" s="48"/>
      <c r="AJ1740" s="48"/>
      <c r="AK1740" s="24"/>
      <c r="AL1740" s="50"/>
      <c r="AM1740" s="50"/>
      <c r="AN1740" s="50"/>
      <c r="AO1740" s="50"/>
      <c r="AP1740" s="50"/>
      <c r="AQ1740" s="50"/>
      <c r="AR1740" s="50"/>
      <c r="AS1740" s="50"/>
      <c r="AT1740" s="51"/>
      <c r="AU1740" s="51"/>
      <c r="AV1740" s="51"/>
      <c r="AW1740" s="51"/>
      <c r="AX1740" s="50"/>
      <c r="AY1740" s="50"/>
      <c r="AZ1740" s="50"/>
      <c r="BA1740" s="50"/>
      <c r="BB1740" s="51"/>
      <c r="BC1740" s="51"/>
      <c r="BD1740" s="51"/>
      <c r="BE1740" s="51"/>
      <c r="BF1740" s="47"/>
      <c r="BG1740" s="47"/>
      <c r="BH1740" s="47"/>
      <c r="BI1740" s="47"/>
      <c r="BJ1740" s="47"/>
      <c r="BK1740" s="47"/>
      <c r="BL1740" s="47"/>
      <c r="BM1740" s="47"/>
      <c r="BN1740" s="47"/>
      <c r="BO1740" s="47"/>
      <c r="BP1740" s="47"/>
      <c r="BQ1740" s="47"/>
      <c r="BR1740" s="47"/>
      <c r="BS1740" s="47"/>
      <c r="BT1740" s="47"/>
    </row>
    <row r="1741">
      <c r="A1741" s="24"/>
      <c r="B1741" s="48"/>
      <c r="C1741" s="49"/>
      <c r="D1741" s="24"/>
      <c r="E1741" s="52"/>
      <c r="F1741" s="53"/>
      <c r="G1741" s="48"/>
      <c r="H1741" s="49"/>
      <c r="I1741" s="49"/>
      <c r="J1741" s="48"/>
      <c r="K1741" s="48"/>
      <c r="L1741" s="48"/>
      <c r="M1741" s="48"/>
      <c r="N1741" s="48"/>
      <c r="O1741" s="48"/>
      <c r="P1741" s="48"/>
      <c r="Q1741" s="48"/>
      <c r="R1741" s="48"/>
      <c r="S1741" s="48"/>
      <c r="T1741" s="48"/>
      <c r="U1741" s="48"/>
      <c r="V1741" s="48"/>
      <c r="W1741" s="49"/>
      <c r="X1741" s="49"/>
      <c r="Y1741" s="49"/>
      <c r="Z1741" s="49"/>
      <c r="AA1741" s="49"/>
      <c r="AB1741" s="49"/>
      <c r="AC1741" s="49"/>
      <c r="AD1741" s="49"/>
      <c r="AE1741" s="49"/>
      <c r="AF1741" s="49"/>
      <c r="AG1741" s="49"/>
      <c r="AH1741" s="49"/>
      <c r="AI1741" s="48"/>
      <c r="AJ1741" s="48"/>
      <c r="AK1741" s="24"/>
      <c r="AL1741" s="50"/>
      <c r="AM1741" s="50"/>
      <c r="AN1741" s="50"/>
      <c r="AO1741" s="50"/>
      <c r="AP1741" s="50"/>
      <c r="AQ1741" s="50"/>
      <c r="AR1741" s="50"/>
      <c r="AS1741" s="50"/>
      <c r="AT1741" s="51"/>
      <c r="AU1741" s="51"/>
      <c r="AV1741" s="51"/>
      <c r="AW1741" s="51"/>
      <c r="AX1741" s="50"/>
      <c r="AY1741" s="50"/>
      <c r="AZ1741" s="50"/>
      <c r="BA1741" s="50"/>
      <c r="BB1741" s="51"/>
      <c r="BC1741" s="51"/>
      <c r="BD1741" s="51"/>
      <c r="BE1741" s="51"/>
      <c r="BF1741" s="47"/>
      <c r="BG1741" s="47"/>
      <c r="BH1741" s="47"/>
      <c r="BI1741" s="47"/>
      <c r="BJ1741" s="47"/>
      <c r="BK1741" s="47"/>
      <c r="BL1741" s="47"/>
      <c r="BM1741" s="47"/>
      <c r="BN1741" s="47"/>
      <c r="BO1741" s="47"/>
      <c r="BP1741" s="47"/>
      <c r="BQ1741" s="47"/>
      <c r="BR1741" s="47"/>
      <c r="BS1741" s="47"/>
      <c r="BT1741" s="47"/>
    </row>
    <row r="1742">
      <c r="A1742" s="24"/>
      <c r="B1742" s="48"/>
      <c r="C1742" s="49"/>
      <c r="D1742" s="24"/>
      <c r="E1742" s="52"/>
      <c r="F1742" s="53"/>
      <c r="G1742" s="48"/>
      <c r="H1742" s="49"/>
      <c r="I1742" s="49"/>
      <c r="J1742" s="48"/>
      <c r="K1742" s="48"/>
      <c r="L1742" s="48"/>
      <c r="M1742" s="48"/>
      <c r="N1742" s="48"/>
      <c r="O1742" s="48"/>
      <c r="P1742" s="48"/>
      <c r="Q1742" s="48"/>
      <c r="R1742" s="48"/>
      <c r="S1742" s="48"/>
      <c r="T1742" s="48"/>
      <c r="U1742" s="48"/>
      <c r="V1742" s="48"/>
      <c r="W1742" s="49"/>
      <c r="X1742" s="49"/>
      <c r="Y1742" s="49"/>
      <c r="Z1742" s="49"/>
      <c r="AA1742" s="49"/>
      <c r="AB1742" s="49"/>
      <c r="AC1742" s="49"/>
      <c r="AD1742" s="49"/>
      <c r="AE1742" s="49"/>
      <c r="AF1742" s="49"/>
      <c r="AG1742" s="49"/>
      <c r="AH1742" s="49"/>
      <c r="AI1742" s="48"/>
      <c r="AJ1742" s="48"/>
      <c r="AK1742" s="24"/>
      <c r="AL1742" s="50"/>
      <c r="AM1742" s="50"/>
      <c r="AN1742" s="50"/>
      <c r="AO1742" s="50"/>
      <c r="AP1742" s="50"/>
      <c r="AQ1742" s="50"/>
      <c r="AR1742" s="50"/>
      <c r="AS1742" s="50"/>
      <c r="AT1742" s="51"/>
      <c r="AU1742" s="51"/>
      <c r="AV1742" s="51"/>
      <c r="AW1742" s="51"/>
      <c r="AX1742" s="50"/>
      <c r="AY1742" s="50"/>
      <c r="AZ1742" s="50"/>
      <c r="BA1742" s="50"/>
      <c r="BB1742" s="51"/>
      <c r="BC1742" s="51"/>
      <c r="BD1742" s="51"/>
      <c r="BE1742" s="51"/>
      <c r="BF1742" s="47"/>
      <c r="BG1742" s="47"/>
      <c r="BH1742" s="47"/>
      <c r="BI1742" s="47"/>
      <c r="BJ1742" s="47"/>
      <c r="BK1742" s="47"/>
      <c r="BL1742" s="47"/>
      <c r="BM1742" s="47"/>
      <c r="BN1742" s="47"/>
      <c r="BO1742" s="47"/>
      <c r="BP1742" s="47"/>
      <c r="BQ1742" s="47"/>
      <c r="BR1742" s="47"/>
      <c r="BS1742" s="47"/>
      <c r="BT1742" s="47"/>
    </row>
    <row r="1743">
      <c r="A1743" s="24"/>
      <c r="B1743" s="48"/>
      <c r="C1743" s="49"/>
      <c r="D1743" s="24"/>
      <c r="E1743" s="52"/>
      <c r="F1743" s="53"/>
      <c r="G1743" s="48"/>
      <c r="H1743" s="49"/>
      <c r="I1743" s="49"/>
      <c r="J1743" s="48"/>
      <c r="K1743" s="48"/>
      <c r="L1743" s="48"/>
      <c r="M1743" s="48"/>
      <c r="N1743" s="48"/>
      <c r="O1743" s="48"/>
      <c r="P1743" s="48"/>
      <c r="Q1743" s="48"/>
      <c r="R1743" s="48"/>
      <c r="S1743" s="48"/>
      <c r="T1743" s="48"/>
      <c r="U1743" s="48"/>
      <c r="V1743" s="48"/>
      <c r="W1743" s="49"/>
      <c r="X1743" s="49"/>
      <c r="Y1743" s="49"/>
      <c r="Z1743" s="49"/>
      <c r="AA1743" s="49"/>
      <c r="AB1743" s="49"/>
      <c r="AC1743" s="49"/>
      <c r="AD1743" s="49"/>
      <c r="AE1743" s="49"/>
      <c r="AF1743" s="49"/>
      <c r="AG1743" s="49"/>
      <c r="AH1743" s="49"/>
      <c r="AI1743" s="48"/>
      <c r="AJ1743" s="48"/>
      <c r="AK1743" s="24"/>
      <c r="AL1743" s="50"/>
      <c r="AM1743" s="50"/>
      <c r="AN1743" s="50"/>
      <c r="AO1743" s="50"/>
      <c r="AP1743" s="50"/>
      <c r="AQ1743" s="50"/>
      <c r="AR1743" s="50"/>
      <c r="AS1743" s="50"/>
      <c r="AT1743" s="51"/>
      <c r="AU1743" s="51"/>
      <c r="AV1743" s="51"/>
      <c r="AW1743" s="51"/>
      <c r="AX1743" s="50"/>
      <c r="AY1743" s="50"/>
      <c r="AZ1743" s="50"/>
      <c r="BA1743" s="50"/>
      <c r="BB1743" s="51"/>
      <c r="BC1743" s="51"/>
      <c r="BD1743" s="51"/>
      <c r="BE1743" s="51"/>
      <c r="BF1743" s="47"/>
      <c r="BG1743" s="47"/>
      <c r="BH1743" s="47"/>
      <c r="BI1743" s="47"/>
      <c r="BJ1743" s="47"/>
      <c r="BK1743" s="47"/>
      <c r="BL1743" s="47"/>
      <c r="BM1743" s="47"/>
      <c r="BN1743" s="47"/>
      <c r="BO1743" s="47"/>
      <c r="BP1743" s="47"/>
      <c r="BQ1743" s="47"/>
      <c r="BR1743" s="47"/>
      <c r="BS1743" s="47"/>
      <c r="BT1743" s="47"/>
    </row>
    <row r="1744">
      <c r="A1744" s="24"/>
      <c r="B1744" s="48"/>
      <c r="C1744" s="49"/>
      <c r="D1744" s="24"/>
      <c r="E1744" s="52"/>
      <c r="F1744" s="53"/>
      <c r="G1744" s="48"/>
      <c r="H1744" s="49"/>
      <c r="I1744" s="49"/>
      <c r="J1744" s="48"/>
      <c r="K1744" s="48"/>
      <c r="L1744" s="48"/>
      <c r="M1744" s="48"/>
      <c r="N1744" s="48"/>
      <c r="O1744" s="48"/>
      <c r="P1744" s="48"/>
      <c r="Q1744" s="48"/>
      <c r="R1744" s="48"/>
      <c r="S1744" s="48"/>
      <c r="T1744" s="48"/>
      <c r="U1744" s="48"/>
      <c r="V1744" s="48"/>
      <c r="W1744" s="49"/>
      <c r="X1744" s="49"/>
      <c r="Y1744" s="49"/>
      <c r="Z1744" s="49"/>
      <c r="AA1744" s="49"/>
      <c r="AB1744" s="49"/>
      <c r="AC1744" s="49"/>
      <c r="AD1744" s="49"/>
      <c r="AE1744" s="49"/>
      <c r="AF1744" s="49"/>
      <c r="AG1744" s="49"/>
      <c r="AH1744" s="49"/>
      <c r="AI1744" s="48"/>
      <c r="AJ1744" s="48"/>
      <c r="AK1744" s="24"/>
      <c r="AL1744" s="50"/>
      <c r="AM1744" s="50"/>
      <c r="AN1744" s="50"/>
      <c r="AO1744" s="50"/>
      <c r="AP1744" s="50"/>
      <c r="AQ1744" s="50"/>
      <c r="AR1744" s="50"/>
      <c r="AS1744" s="50"/>
      <c r="AT1744" s="51"/>
      <c r="AU1744" s="51"/>
      <c r="AV1744" s="51"/>
      <c r="AW1744" s="51"/>
      <c r="AX1744" s="50"/>
      <c r="AY1744" s="50"/>
      <c r="AZ1744" s="50"/>
      <c r="BA1744" s="50"/>
      <c r="BB1744" s="51"/>
      <c r="BC1744" s="51"/>
      <c r="BD1744" s="51"/>
      <c r="BE1744" s="51"/>
      <c r="BF1744" s="47"/>
      <c r="BG1744" s="47"/>
      <c r="BH1744" s="47"/>
      <c r="BI1744" s="47"/>
      <c r="BJ1744" s="47"/>
      <c r="BK1744" s="47"/>
      <c r="BL1744" s="47"/>
      <c r="BM1744" s="47"/>
      <c r="BN1744" s="47"/>
      <c r="BO1744" s="47"/>
      <c r="BP1744" s="47"/>
      <c r="BQ1744" s="47"/>
      <c r="BR1744" s="47"/>
      <c r="BS1744" s="47"/>
      <c r="BT1744" s="47"/>
    </row>
    <row r="1745">
      <c r="A1745" s="24"/>
      <c r="B1745" s="48"/>
      <c r="C1745" s="49"/>
      <c r="D1745" s="24"/>
      <c r="E1745" s="52"/>
      <c r="F1745" s="53"/>
      <c r="G1745" s="48"/>
      <c r="H1745" s="49"/>
      <c r="I1745" s="49"/>
      <c r="J1745" s="48"/>
      <c r="K1745" s="48"/>
      <c r="L1745" s="48"/>
      <c r="M1745" s="48"/>
      <c r="N1745" s="48"/>
      <c r="O1745" s="48"/>
      <c r="P1745" s="48"/>
      <c r="Q1745" s="48"/>
      <c r="R1745" s="48"/>
      <c r="S1745" s="48"/>
      <c r="T1745" s="48"/>
      <c r="U1745" s="48"/>
      <c r="V1745" s="48"/>
      <c r="W1745" s="49"/>
      <c r="X1745" s="49"/>
      <c r="Y1745" s="49"/>
      <c r="Z1745" s="49"/>
      <c r="AA1745" s="49"/>
      <c r="AB1745" s="49"/>
      <c r="AC1745" s="49"/>
      <c r="AD1745" s="49"/>
      <c r="AE1745" s="49"/>
      <c r="AF1745" s="49"/>
      <c r="AG1745" s="49"/>
      <c r="AH1745" s="49"/>
      <c r="AI1745" s="48"/>
      <c r="AJ1745" s="48"/>
      <c r="AK1745" s="24"/>
      <c r="AL1745" s="50"/>
      <c r="AM1745" s="50"/>
      <c r="AN1745" s="50"/>
      <c r="AO1745" s="50"/>
      <c r="AP1745" s="50"/>
      <c r="AQ1745" s="50"/>
      <c r="AR1745" s="50"/>
      <c r="AS1745" s="50"/>
      <c r="AT1745" s="51"/>
      <c r="AU1745" s="51"/>
      <c r="AV1745" s="51"/>
      <c r="AW1745" s="51"/>
      <c r="AX1745" s="50"/>
      <c r="AY1745" s="50"/>
      <c r="AZ1745" s="50"/>
      <c r="BA1745" s="50"/>
      <c r="BB1745" s="51"/>
      <c r="BC1745" s="51"/>
      <c r="BD1745" s="51"/>
      <c r="BE1745" s="51"/>
      <c r="BF1745" s="47"/>
      <c r="BG1745" s="47"/>
      <c r="BH1745" s="47"/>
      <c r="BI1745" s="47"/>
      <c r="BJ1745" s="47"/>
      <c r="BK1745" s="47"/>
      <c r="BL1745" s="47"/>
      <c r="BM1745" s="47"/>
      <c r="BN1745" s="47"/>
      <c r="BO1745" s="47"/>
      <c r="BP1745" s="47"/>
      <c r="BQ1745" s="47"/>
      <c r="BR1745" s="47"/>
      <c r="BS1745" s="47"/>
      <c r="BT1745" s="47"/>
    </row>
    <row r="1746">
      <c r="A1746" s="24"/>
      <c r="B1746" s="48"/>
      <c r="C1746" s="49"/>
      <c r="D1746" s="24"/>
      <c r="E1746" s="52"/>
      <c r="F1746" s="53"/>
      <c r="G1746" s="48"/>
      <c r="H1746" s="49"/>
      <c r="I1746" s="49"/>
      <c r="J1746" s="48"/>
      <c r="K1746" s="48"/>
      <c r="L1746" s="48"/>
      <c r="M1746" s="48"/>
      <c r="N1746" s="48"/>
      <c r="O1746" s="48"/>
      <c r="P1746" s="48"/>
      <c r="Q1746" s="48"/>
      <c r="R1746" s="48"/>
      <c r="S1746" s="48"/>
      <c r="T1746" s="48"/>
      <c r="U1746" s="48"/>
      <c r="V1746" s="48"/>
      <c r="W1746" s="49"/>
      <c r="X1746" s="49"/>
      <c r="Y1746" s="49"/>
      <c r="Z1746" s="49"/>
      <c r="AA1746" s="49"/>
      <c r="AB1746" s="49"/>
      <c r="AC1746" s="49"/>
      <c r="AD1746" s="49"/>
      <c r="AE1746" s="49"/>
      <c r="AF1746" s="49"/>
      <c r="AG1746" s="49"/>
      <c r="AH1746" s="49"/>
      <c r="AI1746" s="48"/>
      <c r="AJ1746" s="48"/>
      <c r="AK1746" s="24"/>
      <c r="AL1746" s="50"/>
      <c r="AM1746" s="50"/>
      <c r="AN1746" s="50"/>
      <c r="AO1746" s="50"/>
      <c r="AP1746" s="50"/>
      <c r="AQ1746" s="50"/>
      <c r="AR1746" s="50"/>
      <c r="AS1746" s="50"/>
      <c r="AT1746" s="51"/>
      <c r="AU1746" s="51"/>
      <c r="AV1746" s="51"/>
      <c r="AW1746" s="51"/>
      <c r="AX1746" s="50"/>
      <c r="AY1746" s="50"/>
      <c r="AZ1746" s="50"/>
      <c r="BA1746" s="50"/>
      <c r="BB1746" s="51"/>
      <c r="BC1746" s="51"/>
      <c r="BD1746" s="51"/>
      <c r="BE1746" s="51"/>
      <c r="BF1746" s="47"/>
      <c r="BG1746" s="47"/>
      <c r="BH1746" s="47"/>
      <c r="BI1746" s="47"/>
      <c r="BJ1746" s="47"/>
      <c r="BK1746" s="47"/>
      <c r="BL1746" s="47"/>
      <c r="BM1746" s="47"/>
      <c r="BN1746" s="47"/>
      <c r="BO1746" s="47"/>
      <c r="BP1746" s="47"/>
      <c r="BQ1746" s="47"/>
      <c r="BR1746" s="47"/>
      <c r="BS1746" s="47"/>
      <c r="BT1746" s="47"/>
    </row>
    <row r="1747">
      <c r="A1747" s="24"/>
      <c r="B1747" s="48"/>
      <c r="C1747" s="49"/>
      <c r="D1747" s="24"/>
      <c r="E1747" s="52"/>
      <c r="F1747" s="53"/>
      <c r="G1747" s="48"/>
      <c r="H1747" s="49"/>
      <c r="I1747" s="49"/>
      <c r="J1747" s="48"/>
      <c r="K1747" s="48"/>
      <c r="L1747" s="48"/>
      <c r="M1747" s="48"/>
      <c r="N1747" s="48"/>
      <c r="O1747" s="48"/>
      <c r="P1747" s="48"/>
      <c r="Q1747" s="48"/>
      <c r="R1747" s="48"/>
      <c r="S1747" s="48"/>
      <c r="T1747" s="48"/>
      <c r="U1747" s="48"/>
      <c r="V1747" s="48"/>
      <c r="W1747" s="49"/>
      <c r="X1747" s="49"/>
      <c r="Y1747" s="49"/>
      <c r="Z1747" s="49"/>
      <c r="AA1747" s="49"/>
      <c r="AB1747" s="49"/>
      <c r="AC1747" s="49"/>
      <c r="AD1747" s="49"/>
      <c r="AE1747" s="49"/>
      <c r="AF1747" s="49"/>
      <c r="AG1747" s="49"/>
      <c r="AH1747" s="49"/>
      <c r="AI1747" s="48"/>
      <c r="AJ1747" s="48"/>
      <c r="AK1747" s="24"/>
      <c r="AL1747" s="50"/>
      <c r="AM1747" s="50"/>
      <c r="AN1747" s="50"/>
      <c r="AO1747" s="50"/>
      <c r="AP1747" s="50"/>
      <c r="AQ1747" s="50"/>
      <c r="AR1747" s="50"/>
      <c r="AS1747" s="50"/>
      <c r="AT1747" s="51"/>
      <c r="AU1747" s="51"/>
      <c r="AV1747" s="51"/>
      <c r="AW1747" s="51"/>
      <c r="AX1747" s="50"/>
      <c r="AY1747" s="50"/>
      <c r="AZ1747" s="50"/>
      <c r="BA1747" s="50"/>
      <c r="BB1747" s="51"/>
      <c r="BC1747" s="51"/>
      <c r="BD1747" s="51"/>
      <c r="BE1747" s="51"/>
      <c r="BF1747" s="47"/>
      <c r="BG1747" s="47"/>
      <c r="BH1747" s="47"/>
      <c r="BI1747" s="47"/>
      <c r="BJ1747" s="47"/>
      <c r="BK1747" s="47"/>
      <c r="BL1747" s="47"/>
      <c r="BM1747" s="47"/>
      <c r="BN1747" s="47"/>
      <c r="BO1747" s="47"/>
      <c r="BP1747" s="47"/>
      <c r="BQ1747" s="47"/>
      <c r="BR1747" s="47"/>
      <c r="BS1747" s="47"/>
      <c r="BT1747" s="47"/>
    </row>
    <row r="1748">
      <c r="A1748" s="24"/>
      <c r="B1748" s="48"/>
      <c r="C1748" s="49"/>
      <c r="D1748" s="24"/>
      <c r="E1748" s="52"/>
      <c r="F1748" s="53"/>
      <c r="G1748" s="48"/>
      <c r="H1748" s="49"/>
      <c r="I1748" s="49"/>
      <c r="J1748" s="48"/>
      <c r="K1748" s="48"/>
      <c r="L1748" s="48"/>
      <c r="M1748" s="48"/>
      <c r="N1748" s="48"/>
      <c r="O1748" s="48"/>
      <c r="P1748" s="48"/>
      <c r="Q1748" s="48"/>
      <c r="R1748" s="48"/>
      <c r="S1748" s="48"/>
      <c r="T1748" s="48"/>
      <c r="U1748" s="48"/>
      <c r="V1748" s="48"/>
      <c r="W1748" s="49"/>
      <c r="X1748" s="49"/>
      <c r="Y1748" s="49"/>
      <c r="Z1748" s="49"/>
      <c r="AA1748" s="49"/>
      <c r="AB1748" s="49"/>
      <c r="AC1748" s="49"/>
      <c r="AD1748" s="49"/>
      <c r="AE1748" s="49"/>
      <c r="AF1748" s="49"/>
      <c r="AG1748" s="49"/>
      <c r="AH1748" s="49"/>
      <c r="AI1748" s="48"/>
      <c r="AJ1748" s="48"/>
      <c r="AK1748" s="24"/>
      <c r="AL1748" s="50"/>
      <c r="AM1748" s="50"/>
      <c r="AN1748" s="50"/>
      <c r="AO1748" s="50"/>
      <c r="AP1748" s="50"/>
      <c r="AQ1748" s="50"/>
      <c r="AR1748" s="50"/>
      <c r="AS1748" s="50"/>
      <c r="AT1748" s="51"/>
      <c r="AU1748" s="51"/>
      <c r="AV1748" s="51"/>
      <c r="AW1748" s="51"/>
      <c r="AX1748" s="50"/>
      <c r="AY1748" s="50"/>
      <c r="AZ1748" s="50"/>
      <c r="BA1748" s="50"/>
      <c r="BB1748" s="51"/>
      <c r="BC1748" s="51"/>
      <c r="BD1748" s="51"/>
      <c r="BE1748" s="51"/>
      <c r="BF1748" s="47"/>
      <c r="BG1748" s="47"/>
      <c r="BH1748" s="47"/>
      <c r="BI1748" s="47"/>
      <c r="BJ1748" s="47"/>
      <c r="BK1748" s="47"/>
      <c r="BL1748" s="47"/>
      <c r="BM1748" s="47"/>
      <c r="BN1748" s="47"/>
      <c r="BO1748" s="47"/>
      <c r="BP1748" s="47"/>
      <c r="BQ1748" s="47"/>
      <c r="BR1748" s="47"/>
      <c r="BS1748" s="47"/>
      <c r="BT1748" s="47"/>
    </row>
    <row r="1749">
      <c r="A1749" s="24"/>
      <c r="B1749" s="48"/>
      <c r="C1749" s="49"/>
      <c r="D1749" s="24"/>
      <c r="E1749" s="52"/>
      <c r="F1749" s="53"/>
      <c r="G1749" s="48"/>
      <c r="H1749" s="49"/>
      <c r="I1749" s="49"/>
      <c r="J1749" s="48"/>
      <c r="K1749" s="48"/>
      <c r="L1749" s="48"/>
      <c r="M1749" s="48"/>
      <c r="N1749" s="48"/>
      <c r="O1749" s="48"/>
      <c r="P1749" s="48"/>
      <c r="Q1749" s="48"/>
      <c r="R1749" s="48"/>
      <c r="S1749" s="48"/>
      <c r="T1749" s="48"/>
      <c r="U1749" s="48"/>
      <c r="V1749" s="48"/>
      <c r="W1749" s="49"/>
      <c r="X1749" s="49"/>
      <c r="Y1749" s="49"/>
      <c r="Z1749" s="49"/>
      <c r="AA1749" s="49"/>
      <c r="AB1749" s="49"/>
      <c r="AC1749" s="49"/>
      <c r="AD1749" s="49"/>
      <c r="AE1749" s="49"/>
      <c r="AF1749" s="49"/>
      <c r="AG1749" s="49"/>
      <c r="AH1749" s="49"/>
      <c r="AI1749" s="48"/>
      <c r="AJ1749" s="48"/>
      <c r="AK1749" s="24"/>
      <c r="AL1749" s="50"/>
      <c r="AM1749" s="50"/>
      <c r="AN1749" s="50"/>
      <c r="AO1749" s="50"/>
      <c r="AP1749" s="50"/>
      <c r="AQ1749" s="50"/>
      <c r="AR1749" s="50"/>
      <c r="AS1749" s="50"/>
      <c r="AT1749" s="51"/>
      <c r="AU1749" s="51"/>
      <c r="AV1749" s="51"/>
      <c r="AW1749" s="51"/>
      <c r="AX1749" s="50"/>
      <c r="AY1749" s="50"/>
      <c r="AZ1749" s="50"/>
      <c r="BA1749" s="50"/>
      <c r="BB1749" s="51"/>
      <c r="BC1749" s="51"/>
      <c r="BD1749" s="51"/>
      <c r="BE1749" s="51"/>
      <c r="BF1749" s="47"/>
      <c r="BG1749" s="47"/>
      <c r="BH1749" s="47"/>
      <c r="BI1749" s="47"/>
      <c r="BJ1749" s="47"/>
      <c r="BK1749" s="47"/>
      <c r="BL1749" s="47"/>
      <c r="BM1749" s="47"/>
      <c r="BN1749" s="47"/>
      <c r="BO1749" s="47"/>
      <c r="BP1749" s="47"/>
      <c r="BQ1749" s="47"/>
      <c r="BR1749" s="47"/>
      <c r="BS1749" s="47"/>
      <c r="BT1749" s="47"/>
    </row>
    <row r="1750">
      <c r="A1750" s="24"/>
      <c r="B1750" s="48"/>
      <c r="C1750" s="49"/>
      <c r="D1750" s="24"/>
      <c r="E1750" s="52"/>
      <c r="F1750" s="53"/>
      <c r="G1750" s="48"/>
      <c r="H1750" s="49"/>
      <c r="I1750" s="49"/>
      <c r="J1750" s="48"/>
      <c r="K1750" s="48"/>
      <c r="L1750" s="48"/>
      <c r="M1750" s="48"/>
      <c r="N1750" s="48"/>
      <c r="O1750" s="48"/>
      <c r="P1750" s="48"/>
      <c r="Q1750" s="48"/>
      <c r="R1750" s="48"/>
      <c r="S1750" s="48"/>
      <c r="T1750" s="48"/>
      <c r="U1750" s="48"/>
      <c r="V1750" s="48"/>
      <c r="W1750" s="49"/>
      <c r="X1750" s="49"/>
      <c r="Y1750" s="49"/>
      <c r="Z1750" s="49"/>
      <c r="AA1750" s="49"/>
      <c r="AB1750" s="49"/>
      <c r="AC1750" s="49"/>
      <c r="AD1750" s="49"/>
      <c r="AE1750" s="49"/>
      <c r="AF1750" s="49"/>
      <c r="AG1750" s="49"/>
      <c r="AH1750" s="49"/>
      <c r="AI1750" s="48"/>
      <c r="AJ1750" s="48"/>
      <c r="AK1750" s="24"/>
      <c r="AL1750" s="50"/>
      <c r="AM1750" s="50"/>
      <c r="AN1750" s="50"/>
      <c r="AO1750" s="50"/>
      <c r="AP1750" s="50"/>
      <c r="AQ1750" s="50"/>
      <c r="AR1750" s="50"/>
      <c r="AS1750" s="50"/>
      <c r="AT1750" s="51"/>
      <c r="AU1750" s="51"/>
      <c r="AV1750" s="51"/>
      <c r="AW1750" s="51"/>
      <c r="AX1750" s="50"/>
      <c r="AY1750" s="50"/>
      <c r="AZ1750" s="50"/>
      <c r="BA1750" s="50"/>
      <c r="BB1750" s="51"/>
      <c r="BC1750" s="51"/>
      <c r="BD1750" s="51"/>
      <c r="BE1750" s="51"/>
      <c r="BF1750" s="47"/>
      <c r="BG1750" s="47"/>
      <c r="BH1750" s="47"/>
      <c r="BI1750" s="47"/>
      <c r="BJ1750" s="47"/>
      <c r="BK1750" s="47"/>
      <c r="BL1750" s="47"/>
      <c r="BM1750" s="47"/>
      <c r="BN1750" s="47"/>
      <c r="BO1750" s="47"/>
      <c r="BP1750" s="47"/>
      <c r="BQ1750" s="47"/>
      <c r="BR1750" s="47"/>
      <c r="BS1750" s="47"/>
      <c r="BT1750" s="47"/>
    </row>
    <row r="1751">
      <c r="A1751" s="24"/>
      <c r="B1751" s="48"/>
      <c r="C1751" s="49"/>
      <c r="D1751" s="24"/>
      <c r="E1751" s="52"/>
      <c r="F1751" s="53"/>
      <c r="G1751" s="48"/>
      <c r="H1751" s="49"/>
      <c r="I1751" s="49"/>
      <c r="J1751" s="48"/>
      <c r="K1751" s="48"/>
      <c r="L1751" s="48"/>
      <c r="M1751" s="48"/>
      <c r="N1751" s="48"/>
      <c r="O1751" s="48"/>
      <c r="P1751" s="48"/>
      <c r="Q1751" s="48"/>
      <c r="R1751" s="48"/>
      <c r="S1751" s="48"/>
      <c r="T1751" s="48"/>
      <c r="U1751" s="48"/>
      <c r="V1751" s="48"/>
      <c r="W1751" s="49"/>
      <c r="X1751" s="49"/>
      <c r="Y1751" s="49"/>
      <c r="Z1751" s="49"/>
      <c r="AA1751" s="49"/>
      <c r="AB1751" s="49"/>
      <c r="AC1751" s="49"/>
      <c r="AD1751" s="49"/>
      <c r="AE1751" s="49"/>
      <c r="AF1751" s="49"/>
      <c r="AG1751" s="49"/>
      <c r="AH1751" s="49"/>
      <c r="AI1751" s="48"/>
      <c r="AJ1751" s="48"/>
      <c r="AK1751" s="24"/>
      <c r="AL1751" s="50"/>
      <c r="AM1751" s="50"/>
      <c r="AN1751" s="50"/>
      <c r="AO1751" s="50"/>
      <c r="AP1751" s="50"/>
      <c r="AQ1751" s="50"/>
      <c r="AR1751" s="50"/>
      <c r="AS1751" s="50"/>
      <c r="AT1751" s="51"/>
      <c r="AU1751" s="51"/>
      <c r="AV1751" s="51"/>
      <c r="AW1751" s="51"/>
      <c r="AX1751" s="50"/>
      <c r="AY1751" s="50"/>
      <c r="AZ1751" s="50"/>
      <c r="BA1751" s="50"/>
      <c r="BB1751" s="51"/>
      <c r="BC1751" s="51"/>
      <c r="BD1751" s="51"/>
      <c r="BE1751" s="51"/>
      <c r="BF1751" s="47"/>
      <c r="BG1751" s="47"/>
      <c r="BH1751" s="47"/>
      <c r="BI1751" s="47"/>
      <c r="BJ1751" s="47"/>
      <c r="BK1751" s="47"/>
      <c r="BL1751" s="47"/>
      <c r="BM1751" s="47"/>
      <c r="BN1751" s="47"/>
      <c r="BO1751" s="47"/>
      <c r="BP1751" s="47"/>
      <c r="BQ1751" s="47"/>
      <c r="BR1751" s="47"/>
      <c r="BS1751" s="47"/>
      <c r="BT1751" s="47"/>
    </row>
    <row r="1752">
      <c r="A1752" s="24"/>
      <c r="B1752" s="48"/>
      <c r="C1752" s="49"/>
      <c r="D1752" s="24"/>
      <c r="E1752" s="52"/>
      <c r="F1752" s="53"/>
      <c r="G1752" s="48"/>
      <c r="H1752" s="49"/>
      <c r="I1752" s="49"/>
      <c r="J1752" s="48"/>
      <c r="K1752" s="48"/>
      <c r="L1752" s="48"/>
      <c r="M1752" s="48"/>
      <c r="N1752" s="48"/>
      <c r="O1752" s="48"/>
      <c r="P1752" s="48"/>
      <c r="Q1752" s="48"/>
      <c r="R1752" s="48"/>
      <c r="S1752" s="48"/>
      <c r="T1752" s="48"/>
      <c r="U1752" s="48"/>
      <c r="V1752" s="48"/>
      <c r="W1752" s="49"/>
      <c r="X1752" s="49"/>
      <c r="Y1752" s="49"/>
      <c r="Z1752" s="49"/>
      <c r="AA1752" s="49"/>
      <c r="AB1752" s="49"/>
      <c r="AC1752" s="49"/>
      <c r="AD1752" s="49"/>
      <c r="AE1752" s="49"/>
      <c r="AF1752" s="49"/>
      <c r="AG1752" s="49"/>
      <c r="AH1752" s="49"/>
      <c r="AI1752" s="48"/>
      <c r="AJ1752" s="48"/>
      <c r="AK1752" s="24"/>
      <c r="AL1752" s="50"/>
      <c r="AM1752" s="50"/>
      <c r="AN1752" s="50"/>
      <c r="AO1752" s="50"/>
      <c r="AP1752" s="50"/>
      <c r="AQ1752" s="50"/>
      <c r="AR1752" s="50"/>
      <c r="AS1752" s="50"/>
      <c r="AT1752" s="51"/>
      <c r="AU1752" s="51"/>
      <c r="AV1752" s="51"/>
      <c r="AW1752" s="51"/>
      <c r="AX1752" s="50"/>
      <c r="AY1752" s="50"/>
      <c r="AZ1752" s="50"/>
      <c r="BA1752" s="50"/>
      <c r="BB1752" s="51"/>
      <c r="BC1752" s="51"/>
      <c r="BD1752" s="51"/>
      <c r="BE1752" s="51"/>
      <c r="BF1752" s="47"/>
      <c r="BG1752" s="47"/>
      <c r="BH1752" s="47"/>
      <c r="BI1752" s="47"/>
      <c r="BJ1752" s="47"/>
      <c r="BK1752" s="47"/>
      <c r="BL1752" s="47"/>
      <c r="BM1752" s="47"/>
      <c r="BN1752" s="47"/>
      <c r="BO1752" s="47"/>
      <c r="BP1752" s="47"/>
      <c r="BQ1752" s="47"/>
      <c r="BR1752" s="47"/>
      <c r="BS1752" s="47"/>
      <c r="BT1752" s="47"/>
    </row>
    <row r="1753">
      <c r="A1753" s="24"/>
      <c r="B1753" s="48"/>
      <c r="C1753" s="49"/>
      <c r="D1753" s="24"/>
      <c r="E1753" s="52"/>
      <c r="F1753" s="53"/>
      <c r="G1753" s="48"/>
      <c r="H1753" s="49"/>
      <c r="I1753" s="49"/>
      <c r="J1753" s="48"/>
      <c r="K1753" s="48"/>
      <c r="L1753" s="48"/>
      <c r="M1753" s="48"/>
      <c r="N1753" s="48"/>
      <c r="O1753" s="48"/>
      <c r="P1753" s="48"/>
      <c r="Q1753" s="48"/>
      <c r="R1753" s="48"/>
      <c r="S1753" s="48"/>
      <c r="T1753" s="48"/>
      <c r="U1753" s="48"/>
      <c r="V1753" s="48"/>
      <c r="W1753" s="49"/>
      <c r="X1753" s="49"/>
      <c r="Y1753" s="49"/>
      <c r="Z1753" s="49"/>
      <c r="AA1753" s="49"/>
      <c r="AB1753" s="49"/>
      <c r="AC1753" s="49"/>
      <c r="AD1753" s="49"/>
      <c r="AE1753" s="49"/>
      <c r="AF1753" s="49"/>
      <c r="AG1753" s="49"/>
      <c r="AH1753" s="49"/>
      <c r="AI1753" s="48"/>
      <c r="AJ1753" s="48"/>
      <c r="AK1753" s="24"/>
      <c r="AL1753" s="50"/>
      <c r="AM1753" s="50"/>
      <c r="AN1753" s="50"/>
      <c r="AO1753" s="50"/>
      <c r="AP1753" s="50"/>
      <c r="AQ1753" s="50"/>
      <c r="AR1753" s="50"/>
      <c r="AS1753" s="50"/>
      <c r="AT1753" s="51"/>
      <c r="AU1753" s="51"/>
      <c r="AV1753" s="51"/>
      <c r="AW1753" s="51"/>
      <c r="AX1753" s="50"/>
      <c r="AY1753" s="50"/>
      <c r="AZ1753" s="50"/>
      <c r="BA1753" s="50"/>
      <c r="BB1753" s="51"/>
      <c r="BC1753" s="51"/>
      <c r="BD1753" s="51"/>
      <c r="BE1753" s="51"/>
      <c r="BF1753" s="47"/>
      <c r="BG1753" s="47"/>
      <c r="BH1753" s="47"/>
      <c r="BI1753" s="47"/>
      <c r="BJ1753" s="47"/>
      <c r="BK1753" s="47"/>
      <c r="BL1753" s="47"/>
      <c r="BM1753" s="47"/>
      <c r="BN1753" s="47"/>
      <c r="BO1753" s="47"/>
      <c r="BP1753" s="47"/>
      <c r="BQ1753" s="47"/>
      <c r="BR1753" s="47"/>
      <c r="BS1753" s="47"/>
      <c r="BT1753" s="47"/>
    </row>
    <row r="1754">
      <c r="A1754" s="24"/>
      <c r="B1754" s="48"/>
      <c r="C1754" s="49"/>
      <c r="D1754" s="24"/>
      <c r="E1754" s="52"/>
      <c r="F1754" s="53"/>
      <c r="G1754" s="48"/>
      <c r="H1754" s="49"/>
      <c r="I1754" s="49"/>
      <c r="J1754" s="48"/>
      <c r="K1754" s="48"/>
      <c r="L1754" s="48"/>
      <c r="M1754" s="48"/>
      <c r="N1754" s="48"/>
      <c r="O1754" s="48"/>
      <c r="P1754" s="48"/>
      <c r="Q1754" s="48"/>
      <c r="R1754" s="48"/>
      <c r="S1754" s="48"/>
      <c r="T1754" s="48"/>
      <c r="U1754" s="48"/>
      <c r="V1754" s="48"/>
      <c r="W1754" s="49"/>
      <c r="X1754" s="49"/>
      <c r="Y1754" s="49"/>
      <c r="Z1754" s="49"/>
      <c r="AA1754" s="49"/>
      <c r="AB1754" s="49"/>
      <c r="AC1754" s="49"/>
      <c r="AD1754" s="49"/>
      <c r="AE1754" s="49"/>
      <c r="AF1754" s="49"/>
      <c r="AG1754" s="49"/>
      <c r="AH1754" s="49"/>
      <c r="AI1754" s="48"/>
      <c r="AJ1754" s="48"/>
      <c r="AK1754" s="24"/>
      <c r="AL1754" s="50"/>
      <c r="AM1754" s="50"/>
      <c r="AN1754" s="50"/>
      <c r="AO1754" s="50"/>
      <c r="AP1754" s="50"/>
      <c r="AQ1754" s="50"/>
      <c r="AR1754" s="50"/>
      <c r="AS1754" s="50"/>
      <c r="AT1754" s="51"/>
      <c r="AU1754" s="51"/>
      <c r="AV1754" s="51"/>
      <c r="AW1754" s="51"/>
      <c r="AX1754" s="50"/>
      <c r="AY1754" s="50"/>
      <c r="AZ1754" s="50"/>
      <c r="BA1754" s="50"/>
      <c r="BB1754" s="51"/>
      <c r="BC1754" s="51"/>
      <c r="BD1754" s="51"/>
      <c r="BE1754" s="51"/>
      <c r="BF1754" s="47"/>
      <c r="BG1754" s="47"/>
      <c r="BH1754" s="47"/>
      <c r="BI1754" s="47"/>
      <c r="BJ1754" s="47"/>
      <c r="BK1754" s="47"/>
      <c r="BL1754" s="47"/>
      <c r="BM1754" s="47"/>
      <c r="BN1754" s="47"/>
      <c r="BO1754" s="47"/>
      <c r="BP1754" s="47"/>
      <c r="BQ1754" s="47"/>
      <c r="BR1754" s="47"/>
      <c r="BS1754" s="47"/>
      <c r="BT1754" s="47"/>
    </row>
    <row r="1755">
      <c r="A1755" s="24"/>
      <c r="B1755" s="48"/>
      <c r="C1755" s="49"/>
      <c r="D1755" s="24"/>
      <c r="E1755" s="52"/>
      <c r="F1755" s="53"/>
      <c r="G1755" s="48"/>
      <c r="H1755" s="49"/>
      <c r="I1755" s="49"/>
      <c r="J1755" s="48"/>
      <c r="K1755" s="48"/>
      <c r="L1755" s="48"/>
      <c r="M1755" s="48"/>
      <c r="N1755" s="48"/>
      <c r="O1755" s="48"/>
      <c r="P1755" s="48"/>
      <c r="Q1755" s="48"/>
      <c r="R1755" s="48"/>
      <c r="S1755" s="48"/>
      <c r="T1755" s="48"/>
      <c r="U1755" s="48"/>
      <c r="V1755" s="48"/>
      <c r="W1755" s="49"/>
      <c r="X1755" s="49"/>
      <c r="Y1755" s="49"/>
      <c r="Z1755" s="49"/>
      <c r="AA1755" s="49"/>
      <c r="AB1755" s="49"/>
      <c r="AC1755" s="49"/>
      <c r="AD1755" s="49"/>
      <c r="AE1755" s="49"/>
      <c r="AF1755" s="49"/>
      <c r="AG1755" s="49"/>
      <c r="AH1755" s="49"/>
      <c r="AI1755" s="48"/>
      <c r="AJ1755" s="48"/>
      <c r="AK1755" s="24"/>
      <c r="AL1755" s="50"/>
      <c r="AM1755" s="50"/>
      <c r="AN1755" s="50"/>
      <c r="AO1755" s="50"/>
      <c r="AP1755" s="50"/>
      <c r="AQ1755" s="50"/>
      <c r="AR1755" s="50"/>
      <c r="AS1755" s="50"/>
      <c r="AT1755" s="51"/>
      <c r="AU1755" s="51"/>
      <c r="AV1755" s="51"/>
      <c r="AW1755" s="51"/>
      <c r="AX1755" s="50"/>
      <c r="AY1755" s="50"/>
      <c r="AZ1755" s="50"/>
      <c r="BA1755" s="50"/>
      <c r="BB1755" s="51"/>
      <c r="BC1755" s="51"/>
      <c r="BD1755" s="51"/>
      <c r="BE1755" s="51"/>
      <c r="BF1755" s="47"/>
      <c r="BG1755" s="47"/>
      <c r="BH1755" s="47"/>
      <c r="BI1755" s="47"/>
      <c r="BJ1755" s="47"/>
      <c r="BK1755" s="47"/>
      <c r="BL1755" s="47"/>
      <c r="BM1755" s="47"/>
      <c r="BN1755" s="47"/>
      <c r="BO1755" s="47"/>
      <c r="BP1755" s="47"/>
      <c r="BQ1755" s="47"/>
      <c r="BR1755" s="47"/>
      <c r="BS1755" s="47"/>
      <c r="BT1755" s="47"/>
    </row>
    <row r="1756">
      <c r="A1756" s="24"/>
      <c r="B1756" s="48"/>
      <c r="C1756" s="49"/>
      <c r="D1756" s="24"/>
      <c r="E1756" s="52"/>
      <c r="F1756" s="53"/>
      <c r="G1756" s="48"/>
      <c r="H1756" s="49"/>
      <c r="I1756" s="49"/>
      <c r="J1756" s="48"/>
      <c r="K1756" s="48"/>
      <c r="L1756" s="48"/>
      <c r="M1756" s="48"/>
      <c r="N1756" s="48"/>
      <c r="O1756" s="48"/>
      <c r="P1756" s="48"/>
      <c r="Q1756" s="48"/>
      <c r="R1756" s="48"/>
      <c r="S1756" s="48"/>
      <c r="T1756" s="48"/>
      <c r="U1756" s="48"/>
      <c r="V1756" s="48"/>
      <c r="W1756" s="49"/>
      <c r="X1756" s="49"/>
      <c r="Y1756" s="49"/>
      <c r="Z1756" s="49"/>
      <c r="AA1756" s="49"/>
      <c r="AB1756" s="49"/>
      <c r="AC1756" s="49"/>
      <c r="AD1756" s="49"/>
      <c r="AE1756" s="49"/>
      <c r="AF1756" s="49"/>
      <c r="AG1756" s="49"/>
      <c r="AH1756" s="49"/>
      <c r="AI1756" s="48"/>
      <c r="AJ1756" s="48"/>
      <c r="AK1756" s="24"/>
      <c r="AL1756" s="50"/>
      <c r="AM1756" s="50"/>
      <c r="AN1756" s="50"/>
      <c r="AO1756" s="50"/>
      <c r="AP1756" s="50"/>
      <c r="AQ1756" s="50"/>
      <c r="AR1756" s="50"/>
      <c r="AS1756" s="50"/>
      <c r="AT1756" s="51"/>
      <c r="AU1756" s="51"/>
      <c r="AV1756" s="51"/>
      <c r="AW1756" s="51"/>
      <c r="AX1756" s="50"/>
      <c r="AY1756" s="50"/>
      <c r="AZ1756" s="50"/>
      <c r="BA1756" s="50"/>
      <c r="BB1756" s="51"/>
      <c r="BC1756" s="51"/>
      <c r="BD1756" s="51"/>
      <c r="BE1756" s="51"/>
      <c r="BF1756" s="47"/>
      <c r="BG1756" s="47"/>
      <c r="BH1756" s="47"/>
      <c r="BI1756" s="47"/>
      <c r="BJ1756" s="47"/>
      <c r="BK1756" s="47"/>
      <c r="BL1756" s="47"/>
      <c r="BM1756" s="47"/>
      <c r="BN1756" s="47"/>
      <c r="BO1756" s="47"/>
      <c r="BP1756" s="47"/>
      <c r="BQ1756" s="47"/>
      <c r="BR1756" s="47"/>
      <c r="BS1756" s="47"/>
      <c r="BT1756" s="47"/>
    </row>
    <row r="1757">
      <c r="A1757" s="24"/>
      <c r="B1757" s="48"/>
      <c r="C1757" s="49"/>
      <c r="D1757" s="24"/>
      <c r="E1757" s="52"/>
      <c r="F1757" s="53"/>
      <c r="G1757" s="48"/>
      <c r="H1757" s="49"/>
      <c r="I1757" s="49"/>
      <c r="J1757" s="48"/>
      <c r="K1757" s="48"/>
      <c r="L1757" s="48"/>
      <c r="M1757" s="48"/>
      <c r="N1757" s="48"/>
      <c r="O1757" s="48"/>
      <c r="P1757" s="48"/>
      <c r="Q1757" s="48"/>
      <c r="R1757" s="48"/>
      <c r="S1757" s="48"/>
      <c r="T1757" s="48"/>
      <c r="U1757" s="48"/>
      <c r="V1757" s="48"/>
      <c r="W1757" s="49"/>
      <c r="X1757" s="49"/>
      <c r="Y1757" s="49"/>
      <c r="Z1757" s="49"/>
      <c r="AA1757" s="49"/>
      <c r="AB1757" s="49"/>
      <c r="AC1757" s="49"/>
      <c r="AD1757" s="49"/>
      <c r="AE1757" s="49"/>
      <c r="AF1757" s="49"/>
      <c r="AG1757" s="49"/>
      <c r="AH1757" s="49"/>
      <c r="AI1757" s="48"/>
      <c r="AJ1757" s="48"/>
      <c r="AK1757" s="24"/>
      <c r="AL1757" s="50"/>
      <c r="AM1757" s="50"/>
      <c r="AN1757" s="50"/>
      <c r="AO1757" s="50"/>
      <c r="AP1757" s="50"/>
      <c r="AQ1757" s="50"/>
      <c r="AR1757" s="50"/>
      <c r="AS1757" s="50"/>
      <c r="AT1757" s="51"/>
      <c r="AU1757" s="51"/>
      <c r="AV1757" s="51"/>
      <c r="AW1757" s="51"/>
      <c r="AX1757" s="50"/>
      <c r="AY1757" s="50"/>
      <c r="AZ1757" s="50"/>
      <c r="BA1757" s="50"/>
      <c r="BB1757" s="51"/>
      <c r="BC1757" s="51"/>
      <c r="BD1757" s="51"/>
      <c r="BE1757" s="51"/>
      <c r="BF1757" s="47"/>
      <c r="BG1757" s="47"/>
      <c r="BH1757" s="47"/>
      <c r="BI1757" s="47"/>
      <c r="BJ1757" s="47"/>
      <c r="BK1757" s="47"/>
      <c r="BL1757" s="47"/>
      <c r="BM1757" s="47"/>
      <c r="BN1757" s="47"/>
      <c r="BO1757" s="47"/>
      <c r="BP1757" s="47"/>
      <c r="BQ1757" s="47"/>
      <c r="BR1757" s="47"/>
      <c r="BS1757" s="47"/>
      <c r="BT1757" s="47"/>
    </row>
    <row r="1758">
      <c r="A1758" s="24"/>
      <c r="B1758" s="48"/>
      <c r="C1758" s="49"/>
      <c r="D1758" s="24"/>
      <c r="E1758" s="52"/>
      <c r="F1758" s="53"/>
      <c r="G1758" s="48"/>
      <c r="H1758" s="49"/>
      <c r="I1758" s="49"/>
      <c r="J1758" s="48"/>
      <c r="K1758" s="48"/>
      <c r="L1758" s="48"/>
      <c r="M1758" s="48"/>
      <c r="N1758" s="48"/>
      <c r="O1758" s="48"/>
      <c r="P1758" s="48"/>
      <c r="Q1758" s="48"/>
      <c r="R1758" s="48"/>
      <c r="S1758" s="48"/>
      <c r="T1758" s="48"/>
      <c r="U1758" s="48"/>
      <c r="V1758" s="48"/>
      <c r="W1758" s="49"/>
      <c r="X1758" s="49"/>
      <c r="Y1758" s="49"/>
      <c r="Z1758" s="49"/>
      <c r="AA1758" s="49"/>
      <c r="AB1758" s="49"/>
      <c r="AC1758" s="49"/>
      <c r="AD1758" s="49"/>
      <c r="AE1758" s="49"/>
      <c r="AF1758" s="49"/>
      <c r="AG1758" s="49"/>
      <c r="AH1758" s="49"/>
      <c r="AI1758" s="48"/>
      <c r="AJ1758" s="48"/>
      <c r="AK1758" s="24"/>
      <c r="AL1758" s="50"/>
      <c r="AM1758" s="50"/>
      <c r="AN1758" s="50"/>
      <c r="AO1758" s="50"/>
      <c r="AP1758" s="50"/>
      <c r="AQ1758" s="50"/>
      <c r="AR1758" s="50"/>
      <c r="AS1758" s="50"/>
      <c r="AT1758" s="51"/>
      <c r="AU1758" s="51"/>
      <c r="AV1758" s="51"/>
      <c r="AW1758" s="51"/>
      <c r="AX1758" s="50"/>
      <c r="AY1758" s="50"/>
      <c r="AZ1758" s="50"/>
      <c r="BA1758" s="50"/>
      <c r="BB1758" s="51"/>
      <c r="BC1758" s="51"/>
      <c r="BD1758" s="51"/>
      <c r="BE1758" s="51"/>
      <c r="BF1758" s="47"/>
      <c r="BG1758" s="47"/>
      <c r="BH1758" s="47"/>
      <c r="BI1758" s="47"/>
      <c r="BJ1758" s="47"/>
      <c r="BK1758" s="47"/>
      <c r="BL1758" s="47"/>
      <c r="BM1758" s="47"/>
      <c r="BN1758" s="47"/>
      <c r="BO1758" s="47"/>
      <c r="BP1758" s="47"/>
      <c r="BQ1758" s="47"/>
      <c r="BR1758" s="47"/>
      <c r="BS1758" s="47"/>
      <c r="BT1758" s="47"/>
    </row>
    <row r="1759">
      <c r="A1759" s="24"/>
      <c r="B1759" s="48"/>
      <c r="C1759" s="49"/>
      <c r="D1759" s="24"/>
      <c r="E1759" s="52"/>
      <c r="F1759" s="53"/>
      <c r="G1759" s="48"/>
      <c r="H1759" s="49"/>
      <c r="I1759" s="49"/>
      <c r="J1759" s="48"/>
      <c r="K1759" s="48"/>
      <c r="L1759" s="48"/>
      <c r="M1759" s="48"/>
      <c r="N1759" s="48"/>
      <c r="O1759" s="48"/>
      <c r="P1759" s="48"/>
      <c r="Q1759" s="48"/>
      <c r="R1759" s="48"/>
      <c r="S1759" s="48"/>
      <c r="T1759" s="48"/>
      <c r="U1759" s="48"/>
      <c r="V1759" s="48"/>
      <c r="W1759" s="49"/>
      <c r="X1759" s="49"/>
      <c r="Y1759" s="49"/>
      <c r="Z1759" s="49"/>
      <c r="AA1759" s="49"/>
      <c r="AB1759" s="49"/>
      <c r="AC1759" s="49"/>
      <c r="AD1759" s="49"/>
      <c r="AE1759" s="49"/>
      <c r="AF1759" s="49"/>
      <c r="AG1759" s="49"/>
      <c r="AH1759" s="49"/>
      <c r="AI1759" s="48"/>
      <c r="AJ1759" s="48"/>
      <c r="AK1759" s="24"/>
      <c r="AL1759" s="50"/>
      <c r="AM1759" s="50"/>
      <c r="AN1759" s="50"/>
      <c r="AO1759" s="50"/>
      <c r="AP1759" s="50"/>
      <c r="AQ1759" s="50"/>
      <c r="AR1759" s="50"/>
      <c r="AS1759" s="50"/>
      <c r="AT1759" s="51"/>
      <c r="AU1759" s="51"/>
      <c r="AV1759" s="51"/>
      <c r="AW1759" s="51"/>
      <c r="AX1759" s="50"/>
      <c r="AY1759" s="50"/>
      <c r="AZ1759" s="50"/>
      <c r="BA1759" s="50"/>
      <c r="BB1759" s="51"/>
      <c r="BC1759" s="51"/>
      <c r="BD1759" s="51"/>
      <c r="BE1759" s="51"/>
      <c r="BF1759" s="47"/>
      <c r="BG1759" s="47"/>
      <c r="BH1759" s="47"/>
      <c r="BI1759" s="47"/>
      <c r="BJ1759" s="47"/>
      <c r="BK1759" s="47"/>
      <c r="BL1759" s="47"/>
      <c r="BM1759" s="47"/>
      <c r="BN1759" s="47"/>
      <c r="BO1759" s="47"/>
      <c r="BP1759" s="47"/>
      <c r="BQ1759" s="47"/>
      <c r="BR1759" s="47"/>
      <c r="BS1759" s="47"/>
      <c r="BT1759" s="47"/>
    </row>
    <row r="1760">
      <c r="A1760" s="24"/>
      <c r="B1760" s="48"/>
      <c r="C1760" s="49"/>
      <c r="D1760" s="24"/>
      <c r="E1760" s="52"/>
      <c r="F1760" s="53"/>
      <c r="G1760" s="48"/>
      <c r="H1760" s="49"/>
      <c r="I1760" s="49"/>
      <c r="J1760" s="48"/>
      <c r="K1760" s="48"/>
      <c r="L1760" s="48"/>
      <c r="M1760" s="48"/>
      <c r="N1760" s="48"/>
      <c r="O1760" s="48"/>
      <c r="P1760" s="48"/>
      <c r="Q1760" s="48"/>
      <c r="R1760" s="48"/>
      <c r="S1760" s="48"/>
      <c r="T1760" s="48"/>
      <c r="U1760" s="48"/>
      <c r="V1760" s="48"/>
      <c r="W1760" s="49"/>
      <c r="X1760" s="49"/>
      <c r="Y1760" s="49"/>
      <c r="Z1760" s="49"/>
      <c r="AA1760" s="49"/>
      <c r="AB1760" s="49"/>
      <c r="AC1760" s="49"/>
      <c r="AD1760" s="49"/>
      <c r="AE1760" s="49"/>
      <c r="AF1760" s="49"/>
      <c r="AG1760" s="49"/>
      <c r="AH1760" s="49"/>
      <c r="AI1760" s="48"/>
      <c r="AJ1760" s="48"/>
      <c r="AK1760" s="24"/>
      <c r="AL1760" s="50"/>
      <c r="AM1760" s="50"/>
      <c r="AN1760" s="50"/>
      <c r="AO1760" s="50"/>
      <c r="AP1760" s="50"/>
      <c r="AQ1760" s="50"/>
      <c r="AR1760" s="50"/>
      <c r="AS1760" s="50"/>
      <c r="AT1760" s="51"/>
      <c r="AU1760" s="51"/>
      <c r="AV1760" s="51"/>
      <c r="AW1760" s="51"/>
      <c r="AX1760" s="50"/>
      <c r="AY1760" s="50"/>
      <c r="AZ1760" s="50"/>
      <c r="BA1760" s="50"/>
      <c r="BB1760" s="51"/>
      <c r="BC1760" s="51"/>
      <c r="BD1760" s="51"/>
      <c r="BE1760" s="51"/>
      <c r="BF1760" s="47"/>
      <c r="BG1760" s="47"/>
      <c r="BH1760" s="47"/>
      <c r="BI1760" s="47"/>
      <c r="BJ1760" s="47"/>
      <c r="BK1760" s="47"/>
      <c r="BL1760" s="47"/>
      <c r="BM1760" s="47"/>
      <c r="BN1760" s="47"/>
      <c r="BO1760" s="47"/>
      <c r="BP1760" s="47"/>
      <c r="BQ1760" s="47"/>
      <c r="BR1760" s="47"/>
      <c r="BS1760" s="47"/>
      <c r="BT1760" s="47"/>
    </row>
    <row r="1761">
      <c r="A1761" s="24"/>
      <c r="B1761" s="48"/>
      <c r="C1761" s="49"/>
      <c r="D1761" s="24"/>
      <c r="E1761" s="52"/>
      <c r="F1761" s="53"/>
      <c r="G1761" s="48"/>
      <c r="H1761" s="49"/>
      <c r="I1761" s="49"/>
      <c r="J1761" s="48"/>
      <c r="K1761" s="48"/>
      <c r="L1761" s="48"/>
      <c r="M1761" s="48"/>
      <c r="N1761" s="48"/>
      <c r="O1761" s="48"/>
      <c r="P1761" s="48"/>
      <c r="Q1761" s="48"/>
      <c r="R1761" s="48"/>
      <c r="S1761" s="48"/>
      <c r="T1761" s="48"/>
      <c r="U1761" s="48"/>
      <c r="V1761" s="48"/>
      <c r="W1761" s="49"/>
      <c r="X1761" s="49"/>
      <c r="Y1761" s="49"/>
      <c r="Z1761" s="49"/>
      <c r="AA1761" s="49"/>
      <c r="AB1761" s="49"/>
      <c r="AC1761" s="49"/>
      <c r="AD1761" s="49"/>
      <c r="AE1761" s="49"/>
      <c r="AF1761" s="49"/>
      <c r="AG1761" s="49"/>
      <c r="AH1761" s="49"/>
      <c r="AI1761" s="48"/>
      <c r="AJ1761" s="48"/>
      <c r="AK1761" s="24"/>
      <c r="AL1761" s="50"/>
      <c r="AM1761" s="50"/>
      <c r="AN1761" s="50"/>
      <c r="AO1761" s="50"/>
      <c r="AP1761" s="50"/>
      <c r="AQ1761" s="50"/>
      <c r="AR1761" s="50"/>
      <c r="AS1761" s="50"/>
      <c r="AT1761" s="51"/>
      <c r="AU1761" s="51"/>
      <c r="AV1761" s="51"/>
      <c r="AW1761" s="51"/>
      <c r="AX1761" s="50"/>
      <c r="AY1761" s="50"/>
      <c r="AZ1761" s="50"/>
      <c r="BA1761" s="50"/>
      <c r="BB1761" s="51"/>
      <c r="BC1761" s="51"/>
      <c r="BD1761" s="51"/>
      <c r="BE1761" s="51"/>
      <c r="BF1761" s="47"/>
      <c r="BG1761" s="47"/>
      <c r="BH1761" s="47"/>
      <c r="BI1761" s="47"/>
      <c r="BJ1761" s="47"/>
      <c r="BK1761" s="47"/>
      <c r="BL1761" s="47"/>
      <c r="BM1761" s="47"/>
      <c r="BN1761" s="47"/>
      <c r="BO1761" s="47"/>
      <c r="BP1761" s="47"/>
      <c r="BQ1761" s="47"/>
      <c r="BR1761" s="47"/>
      <c r="BS1761" s="47"/>
      <c r="BT1761" s="47"/>
    </row>
    <row r="1762">
      <c r="A1762" s="24"/>
      <c r="B1762" s="48"/>
      <c r="C1762" s="49"/>
      <c r="D1762" s="24"/>
      <c r="E1762" s="52"/>
      <c r="F1762" s="53"/>
      <c r="G1762" s="48"/>
      <c r="H1762" s="49"/>
      <c r="I1762" s="49"/>
      <c r="J1762" s="48"/>
      <c r="K1762" s="48"/>
      <c r="L1762" s="48"/>
      <c r="M1762" s="48"/>
      <c r="N1762" s="48"/>
      <c r="O1762" s="48"/>
      <c r="P1762" s="48"/>
      <c r="Q1762" s="48"/>
      <c r="R1762" s="48"/>
      <c r="S1762" s="48"/>
      <c r="T1762" s="48"/>
      <c r="U1762" s="48"/>
      <c r="V1762" s="48"/>
      <c r="W1762" s="49"/>
      <c r="X1762" s="49"/>
      <c r="Y1762" s="49"/>
      <c r="Z1762" s="49"/>
      <c r="AA1762" s="49"/>
      <c r="AB1762" s="49"/>
      <c r="AC1762" s="49"/>
      <c r="AD1762" s="49"/>
      <c r="AE1762" s="49"/>
      <c r="AF1762" s="49"/>
      <c r="AG1762" s="49"/>
      <c r="AH1762" s="49"/>
      <c r="AI1762" s="48"/>
      <c r="AJ1762" s="48"/>
      <c r="AK1762" s="24"/>
      <c r="AL1762" s="50"/>
      <c r="AM1762" s="50"/>
      <c r="AN1762" s="50"/>
      <c r="AO1762" s="50"/>
      <c r="AP1762" s="50"/>
      <c r="AQ1762" s="50"/>
      <c r="AR1762" s="50"/>
      <c r="AS1762" s="50"/>
      <c r="AT1762" s="51"/>
      <c r="AU1762" s="51"/>
      <c r="AV1762" s="51"/>
      <c r="AW1762" s="51"/>
      <c r="AX1762" s="50"/>
      <c r="AY1762" s="50"/>
      <c r="AZ1762" s="50"/>
      <c r="BA1762" s="50"/>
      <c r="BB1762" s="51"/>
      <c r="BC1762" s="51"/>
      <c r="BD1762" s="51"/>
      <c r="BE1762" s="51"/>
      <c r="BF1762" s="47"/>
      <c r="BG1762" s="47"/>
      <c r="BH1762" s="47"/>
      <c r="BI1762" s="47"/>
      <c r="BJ1762" s="47"/>
      <c r="BK1762" s="47"/>
      <c r="BL1762" s="47"/>
      <c r="BM1762" s="47"/>
      <c r="BN1762" s="47"/>
      <c r="BO1762" s="47"/>
      <c r="BP1762" s="47"/>
      <c r="BQ1762" s="47"/>
      <c r="BR1762" s="47"/>
      <c r="BS1762" s="47"/>
      <c r="BT1762" s="47"/>
    </row>
    <row r="1763">
      <c r="A1763" s="24"/>
      <c r="B1763" s="48"/>
      <c r="C1763" s="49"/>
      <c r="D1763" s="24"/>
      <c r="E1763" s="52"/>
      <c r="F1763" s="53"/>
      <c r="G1763" s="48"/>
      <c r="H1763" s="49"/>
      <c r="I1763" s="49"/>
      <c r="J1763" s="48"/>
      <c r="K1763" s="48"/>
      <c r="L1763" s="48"/>
      <c r="M1763" s="48"/>
      <c r="N1763" s="48"/>
      <c r="O1763" s="48"/>
      <c r="P1763" s="48"/>
      <c r="Q1763" s="48"/>
      <c r="R1763" s="48"/>
      <c r="S1763" s="48"/>
      <c r="T1763" s="48"/>
      <c r="U1763" s="48"/>
      <c r="V1763" s="48"/>
      <c r="W1763" s="49"/>
      <c r="X1763" s="49"/>
      <c r="Y1763" s="49"/>
      <c r="Z1763" s="49"/>
      <c r="AA1763" s="49"/>
      <c r="AB1763" s="49"/>
      <c r="AC1763" s="49"/>
      <c r="AD1763" s="49"/>
      <c r="AE1763" s="49"/>
      <c r="AF1763" s="49"/>
      <c r="AG1763" s="49"/>
      <c r="AH1763" s="49"/>
      <c r="AI1763" s="48"/>
      <c r="AJ1763" s="48"/>
      <c r="AK1763" s="24"/>
      <c r="AL1763" s="50"/>
      <c r="AM1763" s="50"/>
      <c r="AN1763" s="50"/>
      <c r="AO1763" s="50"/>
      <c r="AP1763" s="50"/>
      <c r="AQ1763" s="50"/>
      <c r="AR1763" s="50"/>
      <c r="AS1763" s="50"/>
      <c r="AT1763" s="51"/>
      <c r="AU1763" s="51"/>
      <c r="AV1763" s="51"/>
      <c r="AW1763" s="51"/>
      <c r="AX1763" s="50"/>
      <c r="AY1763" s="50"/>
      <c r="AZ1763" s="50"/>
      <c r="BA1763" s="50"/>
      <c r="BB1763" s="51"/>
      <c r="BC1763" s="51"/>
      <c r="BD1763" s="51"/>
      <c r="BE1763" s="51"/>
      <c r="BF1763" s="47"/>
      <c r="BG1763" s="47"/>
      <c r="BH1763" s="47"/>
      <c r="BI1763" s="47"/>
      <c r="BJ1763" s="47"/>
      <c r="BK1763" s="47"/>
      <c r="BL1763" s="47"/>
      <c r="BM1763" s="47"/>
      <c r="BN1763" s="47"/>
      <c r="BO1763" s="47"/>
      <c r="BP1763" s="47"/>
      <c r="BQ1763" s="47"/>
      <c r="BR1763" s="47"/>
      <c r="BS1763" s="47"/>
      <c r="BT1763" s="47"/>
    </row>
    <row r="1764">
      <c r="A1764" s="24"/>
      <c r="B1764" s="48"/>
      <c r="C1764" s="49"/>
      <c r="D1764" s="24"/>
      <c r="E1764" s="52"/>
      <c r="F1764" s="53"/>
      <c r="G1764" s="48"/>
      <c r="H1764" s="49"/>
      <c r="I1764" s="49"/>
      <c r="J1764" s="48"/>
      <c r="K1764" s="48"/>
      <c r="L1764" s="48"/>
      <c r="M1764" s="48"/>
      <c r="N1764" s="48"/>
      <c r="O1764" s="48"/>
      <c r="P1764" s="48"/>
      <c r="Q1764" s="48"/>
      <c r="R1764" s="48"/>
      <c r="S1764" s="48"/>
      <c r="T1764" s="48"/>
      <c r="U1764" s="48"/>
      <c r="V1764" s="48"/>
      <c r="W1764" s="49"/>
      <c r="X1764" s="49"/>
      <c r="Y1764" s="49"/>
      <c r="Z1764" s="49"/>
      <c r="AA1764" s="49"/>
      <c r="AB1764" s="49"/>
      <c r="AC1764" s="49"/>
      <c r="AD1764" s="49"/>
      <c r="AE1764" s="49"/>
      <c r="AF1764" s="49"/>
      <c r="AG1764" s="49"/>
      <c r="AH1764" s="49"/>
      <c r="AI1764" s="48"/>
      <c r="AJ1764" s="48"/>
      <c r="AK1764" s="24"/>
      <c r="AL1764" s="50"/>
      <c r="AM1764" s="50"/>
      <c r="AN1764" s="50"/>
      <c r="AO1764" s="50"/>
      <c r="AP1764" s="50"/>
      <c r="AQ1764" s="50"/>
      <c r="AR1764" s="50"/>
      <c r="AS1764" s="50"/>
      <c r="AT1764" s="51"/>
      <c r="AU1764" s="51"/>
      <c r="AV1764" s="51"/>
      <c r="AW1764" s="51"/>
      <c r="AX1764" s="50"/>
      <c r="AY1764" s="50"/>
      <c r="AZ1764" s="50"/>
      <c r="BA1764" s="50"/>
      <c r="BB1764" s="51"/>
      <c r="BC1764" s="51"/>
      <c r="BD1764" s="51"/>
      <c r="BE1764" s="51"/>
      <c r="BF1764" s="47"/>
      <c r="BG1764" s="47"/>
      <c r="BH1764" s="47"/>
      <c r="BI1764" s="47"/>
      <c r="BJ1764" s="47"/>
      <c r="BK1764" s="47"/>
      <c r="BL1764" s="47"/>
      <c r="BM1764" s="47"/>
      <c r="BN1764" s="47"/>
      <c r="BO1764" s="47"/>
      <c r="BP1764" s="47"/>
      <c r="BQ1764" s="47"/>
      <c r="BR1764" s="47"/>
      <c r="BS1764" s="47"/>
      <c r="BT1764" s="47"/>
    </row>
    <row r="1765">
      <c r="A1765" s="24"/>
      <c r="B1765" s="48"/>
      <c r="C1765" s="49"/>
      <c r="D1765" s="24"/>
      <c r="E1765" s="52"/>
      <c r="F1765" s="53"/>
      <c r="G1765" s="48"/>
      <c r="H1765" s="49"/>
      <c r="I1765" s="49"/>
      <c r="J1765" s="48"/>
      <c r="K1765" s="48"/>
      <c r="L1765" s="48"/>
      <c r="M1765" s="48"/>
      <c r="N1765" s="48"/>
      <c r="O1765" s="48"/>
      <c r="P1765" s="48"/>
      <c r="Q1765" s="48"/>
      <c r="R1765" s="48"/>
      <c r="S1765" s="48"/>
      <c r="T1765" s="48"/>
      <c r="U1765" s="48"/>
      <c r="V1765" s="48"/>
      <c r="W1765" s="49"/>
      <c r="X1765" s="49"/>
      <c r="Y1765" s="49"/>
      <c r="Z1765" s="49"/>
      <c r="AA1765" s="49"/>
      <c r="AB1765" s="49"/>
      <c r="AC1765" s="49"/>
      <c r="AD1765" s="49"/>
      <c r="AE1765" s="49"/>
      <c r="AF1765" s="49"/>
      <c r="AG1765" s="49"/>
      <c r="AH1765" s="49"/>
      <c r="AI1765" s="48"/>
      <c r="AJ1765" s="48"/>
      <c r="AK1765" s="24"/>
      <c r="AL1765" s="50"/>
      <c r="AM1765" s="50"/>
      <c r="AN1765" s="50"/>
      <c r="AO1765" s="50"/>
      <c r="AP1765" s="50"/>
      <c r="AQ1765" s="50"/>
      <c r="AR1765" s="50"/>
      <c r="AS1765" s="50"/>
      <c r="AT1765" s="51"/>
      <c r="AU1765" s="51"/>
      <c r="AV1765" s="51"/>
      <c r="AW1765" s="51"/>
      <c r="AX1765" s="50"/>
      <c r="AY1765" s="50"/>
      <c r="AZ1765" s="50"/>
      <c r="BA1765" s="50"/>
      <c r="BB1765" s="51"/>
      <c r="BC1765" s="51"/>
      <c r="BD1765" s="51"/>
      <c r="BE1765" s="51"/>
      <c r="BF1765" s="47"/>
      <c r="BG1765" s="47"/>
      <c r="BH1765" s="47"/>
      <c r="BI1765" s="47"/>
      <c r="BJ1765" s="47"/>
      <c r="BK1765" s="47"/>
      <c r="BL1765" s="47"/>
      <c r="BM1765" s="47"/>
      <c r="BN1765" s="47"/>
      <c r="BO1765" s="47"/>
      <c r="BP1765" s="47"/>
      <c r="BQ1765" s="47"/>
      <c r="BR1765" s="47"/>
      <c r="BS1765" s="47"/>
      <c r="BT1765" s="47"/>
    </row>
    <row r="1766">
      <c r="A1766" s="24"/>
      <c r="B1766" s="48"/>
      <c r="C1766" s="49"/>
      <c r="D1766" s="24"/>
      <c r="E1766" s="52"/>
      <c r="F1766" s="53"/>
      <c r="G1766" s="48"/>
      <c r="H1766" s="49"/>
      <c r="I1766" s="49"/>
      <c r="J1766" s="48"/>
      <c r="K1766" s="48"/>
      <c r="L1766" s="48"/>
      <c r="M1766" s="48"/>
      <c r="N1766" s="48"/>
      <c r="O1766" s="48"/>
      <c r="P1766" s="48"/>
      <c r="Q1766" s="48"/>
      <c r="R1766" s="48"/>
      <c r="S1766" s="48"/>
      <c r="T1766" s="48"/>
      <c r="U1766" s="48"/>
      <c r="V1766" s="48"/>
      <c r="W1766" s="49"/>
      <c r="X1766" s="49"/>
      <c r="Y1766" s="49"/>
      <c r="Z1766" s="49"/>
      <c r="AA1766" s="49"/>
      <c r="AB1766" s="49"/>
      <c r="AC1766" s="49"/>
      <c r="AD1766" s="49"/>
      <c r="AE1766" s="49"/>
      <c r="AF1766" s="49"/>
      <c r="AG1766" s="49"/>
      <c r="AH1766" s="49"/>
      <c r="AI1766" s="48"/>
      <c r="AJ1766" s="48"/>
      <c r="AK1766" s="24"/>
      <c r="AL1766" s="50"/>
      <c r="AM1766" s="50"/>
      <c r="AN1766" s="50"/>
      <c r="AO1766" s="50"/>
      <c r="AP1766" s="50"/>
      <c r="AQ1766" s="50"/>
      <c r="AR1766" s="50"/>
      <c r="AS1766" s="50"/>
      <c r="AT1766" s="51"/>
      <c r="AU1766" s="51"/>
      <c r="AV1766" s="51"/>
      <c r="AW1766" s="51"/>
      <c r="AX1766" s="50"/>
      <c r="AY1766" s="50"/>
      <c r="AZ1766" s="50"/>
      <c r="BA1766" s="50"/>
      <c r="BB1766" s="51"/>
      <c r="BC1766" s="51"/>
      <c r="BD1766" s="51"/>
      <c r="BE1766" s="51"/>
      <c r="BF1766" s="47"/>
      <c r="BG1766" s="47"/>
      <c r="BH1766" s="47"/>
      <c r="BI1766" s="47"/>
      <c r="BJ1766" s="47"/>
      <c r="BK1766" s="47"/>
      <c r="BL1766" s="47"/>
      <c r="BM1766" s="47"/>
      <c r="BN1766" s="47"/>
      <c r="BO1766" s="47"/>
      <c r="BP1766" s="47"/>
      <c r="BQ1766" s="47"/>
      <c r="BR1766" s="47"/>
      <c r="BS1766" s="47"/>
      <c r="BT1766" s="47"/>
    </row>
    <row r="1767">
      <c r="A1767" s="24"/>
      <c r="B1767" s="48"/>
      <c r="C1767" s="49"/>
      <c r="D1767" s="24"/>
      <c r="E1767" s="52"/>
      <c r="F1767" s="53"/>
      <c r="G1767" s="48"/>
      <c r="H1767" s="49"/>
      <c r="I1767" s="49"/>
      <c r="J1767" s="48"/>
      <c r="K1767" s="48"/>
      <c r="L1767" s="48"/>
      <c r="M1767" s="48"/>
      <c r="N1767" s="48"/>
      <c r="O1767" s="48"/>
      <c r="P1767" s="48"/>
      <c r="Q1767" s="48"/>
      <c r="R1767" s="48"/>
      <c r="S1767" s="48"/>
      <c r="T1767" s="48"/>
      <c r="U1767" s="48"/>
      <c r="V1767" s="48"/>
      <c r="W1767" s="49"/>
      <c r="X1767" s="49"/>
      <c r="Y1767" s="49"/>
      <c r="Z1767" s="49"/>
      <c r="AA1767" s="49"/>
      <c r="AB1767" s="49"/>
      <c r="AC1767" s="49"/>
      <c r="AD1767" s="49"/>
      <c r="AE1767" s="49"/>
      <c r="AF1767" s="49"/>
      <c r="AG1767" s="49"/>
      <c r="AH1767" s="49"/>
      <c r="AI1767" s="48"/>
      <c r="AJ1767" s="48"/>
      <c r="AK1767" s="24"/>
      <c r="AL1767" s="50"/>
      <c r="AM1767" s="50"/>
      <c r="AN1767" s="50"/>
      <c r="AO1767" s="50"/>
      <c r="AP1767" s="50"/>
      <c r="AQ1767" s="50"/>
      <c r="AR1767" s="50"/>
      <c r="AS1767" s="50"/>
      <c r="AT1767" s="51"/>
      <c r="AU1767" s="51"/>
      <c r="AV1767" s="51"/>
      <c r="AW1767" s="51"/>
      <c r="AX1767" s="50"/>
      <c r="AY1767" s="50"/>
      <c r="AZ1767" s="50"/>
      <c r="BA1767" s="50"/>
      <c r="BB1767" s="51"/>
      <c r="BC1767" s="51"/>
      <c r="BD1767" s="51"/>
      <c r="BE1767" s="51"/>
      <c r="BF1767" s="47"/>
      <c r="BG1767" s="47"/>
      <c r="BH1767" s="47"/>
      <c r="BI1767" s="47"/>
      <c r="BJ1767" s="47"/>
      <c r="BK1767" s="47"/>
      <c r="BL1767" s="47"/>
      <c r="BM1767" s="47"/>
      <c r="BN1767" s="47"/>
      <c r="BO1767" s="47"/>
      <c r="BP1767" s="47"/>
      <c r="BQ1767" s="47"/>
      <c r="BR1767" s="47"/>
      <c r="BS1767" s="47"/>
      <c r="BT1767" s="47"/>
    </row>
    <row r="1768">
      <c r="A1768" s="24"/>
      <c r="B1768" s="48"/>
      <c r="C1768" s="49"/>
      <c r="D1768" s="24"/>
      <c r="E1768" s="52"/>
      <c r="F1768" s="53"/>
      <c r="G1768" s="48"/>
      <c r="H1768" s="49"/>
      <c r="I1768" s="49"/>
      <c r="J1768" s="48"/>
      <c r="K1768" s="48"/>
      <c r="L1768" s="48"/>
      <c r="M1768" s="48"/>
      <c r="N1768" s="48"/>
      <c r="O1768" s="48"/>
      <c r="P1768" s="48"/>
      <c r="Q1768" s="48"/>
      <c r="R1768" s="48"/>
      <c r="S1768" s="48"/>
      <c r="T1768" s="48"/>
      <c r="U1768" s="48"/>
      <c r="V1768" s="48"/>
      <c r="W1768" s="49"/>
      <c r="X1768" s="49"/>
      <c r="Y1768" s="49"/>
      <c r="Z1768" s="49"/>
      <c r="AA1768" s="49"/>
      <c r="AB1768" s="49"/>
      <c r="AC1768" s="49"/>
      <c r="AD1768" s="49"/>
      <c r="AE1768" s="49"/>
      <c r="AF1768" s="49"/>
      <c r="AG1768" s="49"/>
      <c r="AH1768" s="49"/>
      <c r="AI1768" s="48"/>
      <c r="AJ1768" s="48"/>
      <c r="AK1768" s="24"/>
      <c r="AL1768" s="50"/>
      <c r="AM1768" s="50"/>
      <c r="AN1768" s="50"/>
      <c r="AO1768" s="50"/>
      <c r="AP1768" s="50"/>
      <c r="AQ1768" s="50"/>
      <c r="AR1768" s="50"/>
      <c r="AS1768" s="50"/>
      <c r="AT1768" s="51"/>
      <c r="AU1768" s="51"/>
      <c r="AV1768" s="51"/>
      <c r="AW1768" s="51"/>
      <c r="AX1768" s="50"/>
      <c r="AY1768" s="50"/>
      <c r="AZ1768" s="50"/>
      <c r="BA1768" s="50"/>
      <c r="BB1768" s="51"/>
      <c r="BC1768" s="51"/>
      <c r="BD1768" s="51"/>
      <c r="BE1768" s="51"/>
      <c r="BF1768" s="47"/>
      <c r="BG1768" s="47"/>
      <c r="BH1768" s="47"/>
      <c r="BI1768" s="47"/>
      <c r="BJ1768" s="47"/>
      <c r="BK1768" s="47"/>
      <c r="BL1768" s="47"/>
      <c r="BM1768" s="47"/>
      <c r="BN1768" s="47"/>
      <c r="BO1768" s="47"/>
      <c r="BP1768" s="47"/>
      <c r="BQ1768" s="47"/>
      <c r="BR1768" s="47"/>
      <c r="BS1768" s="47"/>
      <c r="BT1768" s="47"/>
    </row>
    <row r="1769">
      <c r="A1769" s="24"/>
      <c r="B1769" s="48"/>
      <c r="C1769" s="49"/>
      <c r="D1769" s="24"/>
      <c r="E1769" s="52"/>
      <c r="F1769" s="53"/>
      <c r="G1769" s="48"/>
      <c r="H1769" s="49"/>
      <c r="I1769" s="49"/>
      <c r="J1769" s="48"/>
      <c r="K1769" s="48"/>
      <c r="L1769" s="48"/>
      <c r="M1769" s="48"/>
      <c r="N1769" s="48"/>
      <c r="O1769" s="48"/>
      <c r="P1769" s="48"/>
      <c r="Q1769" s="48"/>
      <c r="R1769" s="48"/>
      <c r="S1769" s="48"/>
      <c r="T1769" s="48"/>
      <c r="U1769" s="48"/>
      <c r="V1769" s="48"/>
      <c r="W1769" s="49"/>
      <c r="X1769" s="49"/>
      <c r="Y1769" s="49"/>
      <c r="Z1769" s="49"/>
      <c r="AA1769" s="49"/>
      <c r="AB1769" s="49"/>
      <c r="AC1769" s="49"/>
      <c r="AD1769" s="49"/>
      <c r="AE1769" s="49"/>
      <c r="AF1769" s="49"/>
      <c r="AG1769" s="49"/>
      <c r="AH1769" s="49"/>
      <c r="AI1769" s="48"/>
      <c r="AJ1769" s="48"/>
      <c r="AK1769" s="24"/>
      <c r="AL1769" s="50"/>
      <c r="AM1769" s="50"/>
      <c r="AN1769" s="50"/>
      <c r="AO1769" s="50"/>
      <c r="AP1769" s="50"/>
      <c r="AQ1769" s="50"/>
      <c r="AR1769" s="50"/>
      <c r="AS1769" s="50"/>
      <c r="AT1769" s="51"/>
      <c r="AU1769" s="51"/>
      <c r="AV1769" s="51"/>
      <c r="AW1769" s="51"/>
      <c r="AX1769" s="50"/>
      <c r="AY1769" s="50"/>
      <c r="AZ1769" s="50"/>
      <c r="BA1769" s="50"/>
      <c r="BB1769" s="51"/>
      <c r="BC1769" s="51"/>
      <c r="BD1769" s="51"/>
      <c r="BE1769" s="51"/>
      <c r="BF1769" s="47"/>
      <c r="BG1769" s="47"/>
      <c r="BH1769" s="47"/>
      <c r="BI1769" s="47"/>
      <c r="BJ1769" s="47"/>
      <c r="BK1769" s="47"/>
      <c r="BL1769" s="47"/>
      <c r="BM1769" s="47"/>
      <c r="BN1769" s="47"/>
      <c r="BO1769" s="47"/>
      <c r="BP1769" s="47"/>
      <c r="BQ1769" s="47"/>
      <c r="BR1769" s="47"/>
      <c r="BS1769" s="47"/>
      <c r="BT1769" s="47"/>
    </row>
    <row r="1770">
      <c r="A1770" s="24"/>
      <c r="B1770" s="48"/>
      <c r="C1770" s="49"/>
      <c r="D1770" s="24"/>
      <c r="E1770" s="52"/>
      <c r="F1770" s="53"/>
      <c r="G1770" s="48"/>
      <c r="H1770" s="49"/>
      <c r="I1770" s="49"/>
      <c r="J1770" s="48"/>
      <c r="K1770" s="48"/>
      <c r="L1770" s="48"/>
      <c r="M1770" s="48"/>
      <c r="N1770" s="48"/>
      <c r="O1770" s="48"/>
      <c r="P1770" s="48"/>
      <c r="Q1770" s="48"/>
      <c r="R1770" s="48"/>
      <c r="S1770" s="48"/>
      <c r="T1770" s="48"/>
      <c r="U1770" s="48"/>
      <c r="V1770" s="48"/>
      <c r="W1770" s="49"/>
      <c r="X1770" s="49"/>
      <c r="Y1770" s="49"/>
      <c r="Z1770" s="49"/>
      <c r="AA1770" s="49"/>
      <c r="AB1770" s="49"/>
      <c r="AC1770" s="49"/>
      <c r="AD1770" s="49"/>
      <c r="AE1770" s="49"/>
      <c r="AF1770" s="49"/>
      <c r="AG1770" s="49"/>
      <c r="AH1770" s="49"/>
      <c r="AI1770" s="48"/>
      <c r="AJ1770" s="48"/>
      <c r="AK1770" s="24"/>
      <c r="AL1770" s="50"/>
      <c r="AM1770" s="50"/>
      <c r="AN1770" s="50"/>
      <c r="AO1770" s="50"/>
      <c r="AP1770" s="50"/>
      <c r="AQ1770" s="50"/>
      <c r="AR1770" s="50"/>
      <c r="AS1770" s="50"/>
      <c r="AT1770" s="51"/>
      <c r="AU1770" s="51"/>
      <c r="AV1770" s="51"/>
      <c r="AW1770" s="51"/>
      <c r="AX1770" s="50"/>
      <c r="AY1770" s="50"/>
      <c r="AZ1770" s="50"/>
      <c r="BA1770" s="50"/>
      <c r="BB1770" s="51"/>
      <c r="BC1770" s="51"/>
      <c r="BD1770" s="51"/>
      <c r="BE1770" s="51"/>
      <c r="BF1770" s="47"/>
      <c r="BG1770" s="47"/>
      <c r="BH1770" s="47"/>
      <c r="BI1770" s="47"/>
      <c r="BJ1770" s="47"/>
      <c r="BK1770" s="47"/>
      <c r="BL1770" s="47"/>
      <c r="BM1770" s="47"/>
      <c r="BN1770" s="47"/>
      <c r="BO1770" s="47"/>
      <c r="BP1770" s="47"/>
      <c r="BQ1770" s="47"/>
      <c r="BR1770" s="47"/>
      <c r="BS1770" s="47"/>
      <c r="BT1770" s="47"/>
    </row>
    <row r="1771">
      <c r="A1771" s="24"/>
      <c r="B1771" s="48"/>
      <c r="C1771" s="49"/>
      <c r="D1771" s="24"/>
      <c r="E1771" s="52"/>
      <c r="F1771" s="53"/>
      <c r="G1771" s="48"/>
      <c r="H1771" s="49"/>
      <c r="I1771" s="49"/>
      <c r="J1771" s="48"/>
      <c r="K1771" s="48"/>
      <c r="L1771" s="48"/>
      <c r="M1771" s="48"/>
      <c r="N1771" s="48"/>
      <c r="O1771" s="48"/>
      <c r="P1771" s="48"/>
      <c r="Q1771" s="48"/>
      <c r="R1771" s="48"/>
      <c r="S1771" s="48"/>
      <c r="T1771" s="48"/>
      <c r="U1771" s="48"/>
      <c r="V1771" s="48"/>
      <c r="W1771" s="49"/>
      <c r="X1771" s="49"/>
      <c r="Y1771" s="49"/>
      <c r="Z1771" s="49"/>
      <c r="AA1771" s="49"/>
      <c r="AB1771" s="49"/>
      <c r="AC1771" s="49"/>
      <c r="AD1771" s="49"/>
      <c r="AE1771" s="49"/>
      <c r="AF1771" s="49"/>
      <c r="AG1771" s="49"/>
      <c r="AH1771" s="49"/>
      <c r="AI1771" s="48"/>
      <c r="AJ1771" s="48"/>
      <c r="AK1771" s="24"/>
      <c r="AL1771" s="50"/>
      <c r="AM1771" s="50"/>
      <c r="AN1771" s="50"/>
      <c r="AO1771" s="50"/>
      <c r="AP1771" s="50"/>
      <c r="AQ1771" s="50"/>
      <c r="AR1771" s="50"/>
      <c r="AS1771" s="50"/>
      <c r="AT1771" s="51"/>
      <c r="AU1771" s="51"/>
      <c r="AV1771" s="51"/>
      <c r="AW1771" s="51"/>
      <c r="AX1771" s="50"/>
      <c r="AY1771" s="50"/>
      <c r="AZ1771" s="50"/>
      <c r="BA1771" s="50"/>
      <c r="BB1771" s="51"/>
      <c r="BC1771" s="51"/>
      <c r="BD1771" s="51"/>
      <c r="BE1771" s="51"/>
      <c r="BF1771" s="47"/>
      <c r="BG1771" s="47"/>
      <c r="BH1771" s="47"/>
      <c r="BI1771" s="47"/>
      <c r="BJ1771" s="47"/>
      <c r="BK1771" s="47"/>
      <c r="BL1771" s="47"/>
      <c r="BM1771" s="47"/>
      <c r="BN1771" s="47"/>
      <c r="BO1771" s="47"/>
      <c r="BP1771" s="47"/>
      <c r="BQ1771" s="47"/>
      <c r="BR1771" s="47"/>
      <c r="BS1771" s="47"/>
      <c r="BT1771" s="47"/>
    </row>
    <row r="1772">
      <c r="A1772" s="24"/>
      <c r="B1772" s="48"/>
      <c r="C1772" s="49"/>
      <c r="D1772" s="24"/>
      <c r="E1772" s="52"/>
      <c r="F1772" s="53"/>
      <c r="G1772" s="48"/>
      <c r="H1772" s="49"/>
      <c r="I1772" s="49"/>
      <c r="J1772" s="48"/>
      <c r="K1772" s="48"/>
      <c r="L1772" s="48"/>
      <c r="M1772" s="48"/>
      <c r="N1772" s="48"/>
      <c r="O1772" s="48"/>
      <c r="P1772" s="48"/>
      <c r="Q1772" s="48"/>
      <c r="R1772" s="48"/>
      <c r="S1772" s="48"/>
      <c r="T1772" s="48"/>
      <c r="U1772" s="48"/>
      <c r="V1772" s="48"/>
      <c r="W1772" s="49"/>
      <c r="X1772" s="49"/>
      <c r="Y1772" s="49"/>
      <c r="Z1772" s="49"/>
      <c r="AA1772" s="49"/>
      <c r="AB1772" s="49"/>
      <c r="AC1772" s="49"/>
      <c r="AD1772" s="49"/>
      <c r="AE1772" s="49"/>
      <c r="AF1772" s="49"/>
      <c r="AG1772" s="49"/>
      <c r="AH1772" s="49"/>
      <c r="AI1772" s="48"/>
      <c r="AJ1772" s="48"/>
      <c r="AK1772" s="24"/>
      <c r="AL1772" s="50"/>
      <c r="AM1772" s="50"/>
      <c r="AN1772" s="50"/>
      <c r="AO1772" s="50"/>
      <c r="AP1772" s="50"/>
      <c r="AQ1772" s="50"/>
      <c r="AR1772" s="50"/>
      <c r="AS1772" s="50"/>
      <c r="AT1772" s="51"/>
      <c r="AU1772" s="51"/>
      <c r="AV1772" s="51"/>
      <c r="AW1772" s="51"/>
      <c r="AX1772" s="50"/>
      <c r="AY1772" s="50"/>
      <c r="AZ1772" s="50"/>
      <c r="BA1772" s="50"/>
      <c r="BB1772" s="51"/>
      <c r="BC1772" s="51"/>
      <c r="BD1772" s="51"/>
      <c r="BE1772" s="51"/>
      <c r="BF1772" s="47"/>
      <c r="BG1772" s="47"/>
      <c r="BH1772" s="47"/>
      <c r="BI1772" s="47"/>
      <c r="BJ1772" s="47"/>
      <c r="BK1772" s="47"/>
      <c r="BL1772" s="47"/>
      <c r="BM1772" s="47"/>
      <c r="BN1772" s="47"/>
      <c r="BO1772" s="47"/>
      <c r="BP1772" s="47"/>
      <c r="BQ1772" s="47"/>
      <c r="BR1772" s="47"/>
      <c r="BS1772" s="47"/>
      <c r="BT1772" s="47"/>
    </row>
    <row r="1773">
      <c r="A1773" s="24"/>
      <c r="B1773" s="48"/>
      <c r="C1773" s="49"/>
      <c r="D1773" s="24"/>
      <c r="E1773" s="52"/>
      <c r="F1773" s="53"/>
      <c r="G1773" s="48"/>
      <c r="H1773" s="49"/>
      <c r="I1773" s="49"/>
      <c r="J1773" s="48"/>
      <c r="K1773" s="48"/>
      <c r="L1773" s="48"/>
      <c r="M1773" s="48"/>
      <c r="N1773" s="48"/>
      <c r="O1773" s="48"/>
      <c r="P1773" s="48"/>
      <c r="Q1773" s="48"/>
      <c r="R1773" s="48"/>
      <c r="S1773" s="48"/>
      <c r="T1773" s="48"/>
      <c r="U1773" s="48"/>
      <c r="V1773" s="48"/>
      <c r="W1773" s="49"/>
      <c r="X1773" s="49"/>
      <c r="Y1773" s="49"/>
      <c r="Z1773" s="49"/>
      <c r="AA1773" s="49"/>
      <c r="AB1773" s="49"/>
      <c r="AC1773" s="49"/>
      <c r="AD1773" s="49"/>
      <c r="AE1773" s="49"/>
      <c r="AF1773" s="49"/>
      <c r="AG1773" s="49"/>
      <c r="AH1773" s="49"/>
      <c r="AI1773" s="48"/>
      <c r="AJ1773" s="48"/>
      <c r="AK1773" s="24"/>
      <c r="AL1773" s="50"/>
      <c r="AM1773" s="50"/>
      <c r="AN1773" s="50"/>
      <c r="AO1773" s="50"/>
      <c r="AP1773" s="50"/>
      <c r="AQ1773" s="50"/>
      <c r="AR1773" s="50"/>
      <c r="AS1773" s="50"/>
      <c r="AT1773" s="51"/>
      <c r="AU1773" s="51"/>
      <c r="AV1773" s="51"/>
      <c r="AW1773" s="51"/>
      <c r="AX1773" s="50"/>
      <c r="AY1773" s="50"/>
      <c r="AZ1773" s="50"/>
      <c r="BA1773" s="50"/>
      <c r="BB1773" s="51"/>
      <c r="BC1773" s="51"/>
      <c r="BD1773" s="51"/>
      <c r="BE1773" s="51"/>
      <c r="BF1773" s="47"/>
      <c r="BG1773" s="47"/>
      <c r="BH1773" s="47"/>
      <c r="BI1773" s="47"/>
      <c r="BJ1773" s="47"/>
      <c r="BK1773" s="47"/>
      <c r="BL1773" s="47"/>
      <c r="BM1773" s="47"/>
      <c r="BN1773" s="47"/>
      <c r="BO1773" s="47"/>
      <c r="BP1773" s="47"/>
      <c r="BQ1773" s="47"/>
      <c r="BR1773" s="47"/>
      <c r="BS1773" s="47"/>
      <c r="BT1773" s="47"/>
    </row>
    <row r="1774">
      <c r="A1774" s="24"/>
      <c r="B1774" s="48"/>
      <c r="C1774" s="49"/>
      <c r="D1774" s="24"/>
      <c r="E1774" s="52"/>
      <c r="F1774" s="53"/>
      <c r="G1774" s="48"/>
      <c r="H1774" s="49"/>
      <c r="I1774" s="49"/>
      <c r="J1774" s="48"/>
      <c r="K1774" s="48"/>
      <c r="L1774" s="48"/>
      <c r="M1774" s="48"/>
      <c r="N1774" s="48"/>
      <c r="O1774" s="48"/>
      <c r="P1774" s="48"/>
      <c r="Q1774" s="48"/>
      <c r="R1774" s="48"/>
      <c r="S1774" s="48"/>
      <c r="T1774" s="48"/>
      <c r="U1774" s="48"/>
      <c r="V1774" s="48"/>
      <c r="W1774" s="49"/>
      <c r="X1774" s="49"/>
      <c r="Y1774" s="49"/>
      <c r="Z1774" s="49"/>
      <c r="AA1774" s="49"/>
      <c r="AB1774" s="49"/>
      <c r="AC1774" s="49"/>
      <c r="AD1774" s="49"/>
      <c r="AE1774" s="49"/>
      <c r="AF1774" s="49"/>
      <c r="AG1774" s="49"/>
      <c r="AH1774" s="49"/>
      <c r="AI1774" s="48"/>
      <c r="AJ1774" s="48"/>
      <c r="AK1774" s="24"/>
      <c r="AL1774" s="50"/>
      <c r="AM1774" s="50"/>
      <c r="AN1774" s="50"/>
      <c r="AO1774" s="50"/>
      <c r="AP1774" s="50"/>
      <c r="AQ1774" s="50"/>
      <c r="AR1774" s="50"/>
      <c r="AS1774" s="50"/>
      <c r="AT1774" s="51"/>
      <c r="AU1774" s="51"/>
      <c r="AV1774" s="51"/>
      <c r="AW1774" s="51"/>
      <c r="AX1774" s="50"/>
      <c r="AY1774" s="50"/>
      <c r="AZ1774" s="50"/>
      <c r="BA1774" s="50"/>
      <c r="BB1774" s="51"/>
      <c r="BC1774" s="51"/>
      <c r="BD1774" s="51"/>
      <c r="BE1774" s="51"/>
      <c r="BF1774" s="47"/>
      <c r="BG1774" s="47"/>
      <c r="BH1774" s="47"/>
      <c r="BI1774" s="47"/>
      <c r="BJ1774" s="47"/>
      <c r="BK1774" s="47"/>
      <c r="BL1774" s="47"/>
      <c r="BM1774" s="47"/>
      <c r="BN1774" s="47"/>
      <c r="BO1774" s="47"/>
      <c r="BP1774" s="47"/>
      <c r="BQ1774" s="47"/>
      <c r="BR1774" s="47"/>
      <c r="BS1774" s="47"/>
      <c r="BT1774" s="47"/>
    </row>
    <row r="1775">
      <c r="A1775" s="24"/>
      <c r="B1775" s="48"/>
      <c r="C1775" s="49"/>
      <c r="D1775" s="24"/>
      <c r="E1775" s="52"/>
      <c r="F1775" s="53"/>
      <c r="G1775" s="48"/>
      <c r="H1775" s="49"/>
      <c r="I1775" s="49"/>
      <c r="J1775" s="48"/>
      <c r="K1775" s="48"/>
      <c r="L1775" s="48"/>
      <c r="M1775" s="48"/>
      <c r="N1775" s="48"/>
      <c r="O1775" s="48"/>
      <c r="P1775" s="48"/>
      <c r="Q1775" s="48"/>
      <c r="R1775" s="48"/>
      <c r="S1775" s="48"/>
      <c r="T1775" s="48"/>
      <c r="U1775" s="48"/>
      <c r="V1775" s="48"/>
      <c r="W1775" s="49"/>
      <c r="X1775" s="49"/>
      <c r="Y1775" s="49"/>
      <c r="Z1775" s="49"/>
      <c r="AA1775" s="49"/>
      <c r="AB1775" s="49"/>
      <c r="AC1775" s="49"/>
      <c r="AD1775" s="49"/>
      <c r="AE1775" s="49"/>
      <c r="AF1775" s="49"/>
      <c r="AG1775" s="49"/>
      <c r="AH1775" s="49"/>
      <c r="AI1775" s="48"/>
      <c r="AJ1775" s="48"/>
      <c r="AK1775" s="24"/>
      <c r="AL1775" s="50"/>
      <c r="AM1775" s="50"/>
      <c r="AN1775" s="50"/>
      <c r="AO1775" s="50"/>
      <c r="AP1775" s="50"/>
      <c r="AQ1775" s="50"/>
      <c r="AR1775" s="50"/>
      <c r="AS1775" s="50"/>
      <c r="AT1775" s="51"/>
      <c r="AU1775" s="51"/>
      <c r="AV1775" s="51"/>
      <c r="AW1775" s="51"/>
      <c r="AX1775" s="50"/>
      <c r="AY1775" s="50"/>
      <c r="AZ1775" s="50"/>
      <c r="BA1775" s="50"/>
      <c r="BB1775" s="51"/>
      <c r="BC1775" s="51"/>
      <c r="BD1775" s="51"/>
      <c r="BE1775" s="51"/>
      <c r="BF1775" s="47"/>
      <c r="BG1775" s="47"/>
      <c r="BH1775" s="47"/>
      <c r="BI1775" s="47"/>
      <c r="BJ1775" s="47"/>
      <c r="BK1775" s="47"/>
      <c r="BL1775" s="47"/>
      <c r="BM1775" s="47"/>
      <c r="BN1775" s="47"/>
      <c r="BO1775" s="47"/>
      <c r="BP1775" s="47"/>
      <c r="BQ1775" s="47"/>
      <c r="BR1775" s="47"/>
      <c r="BS1775" s="47"/>
      <c r="BT1775" s="47"/>
    </row>
    <row r="1776">
      <c r="A1776" s="24"/>
      <c r="B1776" s="48"/>
      <c r="C1776" s="49"/>
      <c r="D1776" s="24"/>
      <c r="E1776" s="52"/>
      <c r="F1776" s="53"/>
      <c r="G1776" s="48"/>
      <c r="H1776" s="49"/>
      <c r="I1776" s="49"/>
      <c r="J1776" s="48"/>
      <c r="K1776" s="48"/>
      <c r="L1776" s="48"/>
      <c r="M1776" s="48"/>
      <c r="N1776" s="48"/>
      <c r="O1776" s="48"/>
      <c r="P1776" s="48"/>
      <c r="Q1776" s="48"/>
      <c r="R1776" s="48"/>
      <c r="S1776" s="48"/>
      <c r="T1776" s="48"/>
      <c r="U1776" s="48"/>
      <c r="V1776" s="48"/>
      <c r="W1776" s="49"/>
      <c r="X1776" s="49"/>
      <c r="Y1776" s="49"/>
      <c r="Z1776" s="49"/>
      <c r="AA1776" s="49"/>
      <c r="AB1776" s="49"/>
      <c r="AC1776" s="49"/>
      <c r="AD1776" s="49"/>
      <c r="AE1776" s="49"/>
      <c r="AF1776" s="49"/>
      <c r="AG1776" s="49"/>
      <c r="AH1776" s="49"/>
      <c r="AI1776" s="48"/>
      <c r="AJ1776" s="48"/>
      <c r="AK1776" s="24"/>
      <c r="AL1776" s="50"/>
      <c r="AM1776" s="50"/>
      <c r="AN1776" s="50"/>
      <c r="AO1776" s="50"/>
      <c r="AP1776" s="50"/>
      <c r="AQ1776" s="50"/>
      <c r="AR1776" s="50"/>
      <c r="AS1776" s="50"/>
      <c r="AT1776" s="51"/>
      <c r="AU1776" s="51"/>
      <c r="AV1776" s="51"/>
      <c r="AW1776" s="51"/>
      <c r="AX1776" s="50"/>
      <c r="AY1776" s="50"/>
      <c r="AZ1776" s="50"/>
      <c r="BA1776" s="50"/>
      <c r="BB1776" s="51"/>
      <c r="BC1776" s="51"/>
      <c r="BD1776" s="51"/>
      <c r="BE1776" s="51"/>
      <c r="BF1776" s="47"/>
      <c r="BG1776" s="47"/>
      <c r="BH1776" s="47"/>
      <c r="BI1776" s="47"/>
      <c r="BJ1776" s="47"/>
      <c r="BK1776" s="47"/>
      <c r="BL1776" s="47"/>
      <c r="BM1776" s="47"/>
      <c r="BN1776" s="47"/>
      <c r="BO1776" s="47"/>
      <c r="BP1776" s="47"/>
      <c r="BQ1776" s="47"/>
      <c r="BR1776" s="47"/>
      <c r="BS1776" s="47"/>
      <c r="BT1776" s="47"/>
    </row>
    <row r="1777">
      <c r="A1777" s="24"/>
      <c r="B1777" s="48"/>
      <c r="C1777" s="49"/>
      <c r="D1777" s="24"/>
      <c r="E1777" s="52"/>
      <c r="F1777" s="53"/>
      <c r="G1777" s="48"/>
      <c r="H1777" s="49"/>
      <c r="I1777" s="49"/>
      <c r="J1777" s="48"/>
      <c r="K1777" s="48"/>
      <c r="L1777" s="48"/>
      <c r="M1777" s="48"/>
      <c r="N1777" s="48"/>
      <c r="O1777" s="48"/>
      <c r="P1777" s="48"/>
      <c r="Q1777" s="48"/>
      <c r="R1777" s="48"/>
      <c r="S1777" s="48"/>
      <c r="T1777" s="48"/>
      <c r="U1777" s="48"/>
      <c r="V1777" s="48"/>
      <c r="W1777" s="49"/>
      <c r="X1777" s="49"/>
      <c r="Y1777" s="49"/>
      <c r="Z1777" s="49"/>
      <c r="AA1777" s="49"/>
      <c r="AB1777" s="49"/>
      <c r="AC1777" s="49"/>
      <c r="AD1777" s="49"/>
      <c r="AE1777" s="49"/>
      <c r="AF1777" s="49"/>
      <c r="AG1777" s="49"/>
      <c r="AH1777" s="49"/>
      <c r="AI1777" s="48"/>
      <c r="AJ1777" s="48"/>
      <c r="AK1777" s="24"/>
      <c r="AL1777" s="50"/>
      <c r="AM1777" s="50"/>
      <c r="AN1777" s="50"/>
      <c r="AO1777" s="50"/>
      <c r="AP1777" s="50"/>
      <c r="AQ1777" s="50"/>
      <c r="AR1777" s="50"/>
      <c r="AS1777" s="50"/>
      <c r="AT1777" s="51"/>
      <c r="AU1777" s="51"/>
      <c r="AV1777" s="51"/>
      <c r="AW1777" s="51"/>
      <c r="AX1777" s="50"/>
      <c r="AY1777" s="50"/>
      <c r="AZ1777" s="50"/>
      <c r="BA1777" s="50"/>
      <c r="BB1777" s="51"/>
      <c r="BC1777" s="51"/>
      <c r="BD1777" s="51"/>
      <c r="BE1777" s="51"/>
      <c r="BF1777" s="47"/>
      <c r="BG1777" s="47"/>
      <c r="BH1777" s="47"/>
      <c r="BI1777" s="47"/>
      <c r="BJ1777" s="47"/>
      <c r="BK1777" s="47"/>
      <c r="BL1777" s="47"/>
      <c r="BM1777" s="47"/>
      <c r="BN1777" s="47"/>
      <c r="BO1777" s="47"/>
      <c r="BP1777" s="47"/>
      <c r="BQ1777" s="47"/>
      <c r="BR1777" s="47"/>
      <c r="BS1777" s="47"/>
      <c r="BT1777" s="47"/>
    </row>
    <row r="1778">
      <c r="A1778" s="24"/>
      <c r="B1778" s="48"/>
      <c r="C1778" s="49"/>
      <c r="D1778" s="24"/>
      <c r="E1778" s="52"/>
      <c r="F1778" s="53"/>
      <c r="G1778" s="48"/>
      <c r="H1778" s="49"/>
      <c r="I1778" s="49"/>
      <c r="J1778" s="48"/>
      <c r="K1778" s="48"/>
      <c r="L1778" s="48"/>
      <c r="M1778" s="48"/>
      <c r="N1778" s="48"/>
      <c r="O1778" s="48"/>
      <c r="P1778" s="48"/>
      <c r="Q1778" s="48"/>
      <c r="R1778" s="48"/>
      <c r="S1778" s="48"/>
      <c r="T1778" s="48"/>
      <c r="U1778" s="48"/>
      <c r="V1778" s="48"/>
      <c r="W1778" s="49"/>
      <c r="X1778" s="49"/>
      <c r="Y1778" s="49"/>
      <c r="Z1778" s="49"/>
      <c r="AA1778" s="49"/>
      <c r="AB1778" s="49"/>
      <c r="AC1778" s="49"/>
      <c r="AD1778" s="49"/>
      <c r="AE1778" s="49"/>
      <c r="AF1778" s="49"/>
      <c r="AG1778" s="49"/>
      <c r="AH1778" s="49"/>
      <c r="AI1778" s="48"/>
      <c r="AJ1778" s="48"/>
      <c r="AK1778" s="24"/>
      <c r="AL1778" s="50"/>
      <c r="AM1778" s="50"/>
      <c r="AN1778" s="50"/>
      <c r="AO1778" s="50"/>
      <c r="AP1778" s="50"/>
      <c r="AQ1778" s="50"/>
      <c r="AR1778" s="50"/>
      <c r="AS1778" s="50"/>
      <c r="AT1778" s="51"/>
      <c r="AU1778" s="51"/>
      <c r="AV1778" s="51"/>
      <c r="AW1778" s="51"/>
      <c r="AX1778" s="50"/>
      <c r="AY1778" s="50"/>
      <c r="AZ1778" s="50"/>
      <c r="BA1778" s="50"/>
      <c r="BB1778" s="51"/>
      <c r="BC1778" s="51"/>
      <c r="BD1778" s="51"/>
      <c r="BE1778" s="51"/>
      <c r="BF1778" s="47"/>
      <c r="BG1778" s="47"/>
      <c r="BH1778" s="47"/>
      <c r="BI1778" s="47"/>
      <c r="BJ1778" s="47"/>
      <c r="BK1778" s="47"/>
      <c r="BL1778" s="47"/>
      <c r="BM1778" s="47"/>
      <c r="BN1778" s="47"/>
      <c r="BO1778" s="47"/>
      <c r="BP1778" s="47"/>
      <c r="BQ1778" s="47"/>
      <c r="BR1778" s="47"/>
      <c r="BS1778" s="47"/>
      <c r="BT1778" s="47"/>
    </row>
    <row r="1779">
      <c r="A1779" s="24"/>
      <c r="B1779" s="48"/>
      <c r="C1779" s="49"/>
      <c r="D1779" s="24"/>
      <c r="E1779" s="52"/>
      <c r="F1779" s="53"/>
      <c r="G1779" s="48"/>
      <c r="H1779" s="49"/>
      <c r="I1779" s="49"/>
      <c r="J1779" s="48"/>
      <c r="K1779" s="48"/>
      <c r="L1779" s="48"/>
      <c r="M1779" s="48"/>
      <c r="N1779" s="48"/>
      <c r="O1779" s="48"/>
      <c r="P1779" s="48"/>
      <c r="Q1779" s="48"/>
      <c r="R1779" s="48"/>
      <c r="S1779" s="48"/>
      <c r="T1779" s="48"/>
      <c r="U1779" s="48"/>
      <c r="V1779" s="48"/>
      <c r="W1779" s="49"/>
      <c r="X1779" s="49"/>
      <c r="Y1779" s="49"/>
      <c r="Z1779" s="49"/>
      <c r="AA1779" s="49"/>
      <c r="AB1779" s="49"/>
      <c r="AC1779" s="49"/>
      <c r="AD1779" s="49"/>
      <c r="AE1779" s="49"/>
      <c r="AF1779" s="49"/>
      <c r="AG1779" s="49"/>
      <c r="AH1779" s="49"/>
      <c r="AI1779" s="48"/>
      <c r="AJ1779" s="48"/>
      <c r="AK1779" s="24"/>
      <c r="AL1779" s="50"/>
      <c r="AM1779" s="50"/>
      <c r="AN1779" s="50"/>
      <c r="AO1779" s="50"/>
      <c r="AP1779" s="50"/>
      <c r="AQ1779" s="50"/>
      <c r="AR1779" s="50"/>
      <c r="AS1779" s="50"/>
      <c r="AT1779" s="51"/>
      <c r="AU1779" s="51"/>
      <c r="AV1779" s="51"/>
      <c r="AW1779" s="51"/>
      <c r="AX1779" s="50"/>
      <c r="AY1779" s="50"/>
      <c r="AZ1779" s="50"/>
      <c r="BA1779" s="50"/>
      <c r="BB1779" s="51"/>
      <c r="BC1779" s="51"/>
      <c r="BD1779" s="51"/>
      <c r="BE1779" s="51"/>
      <c r="BF1779" s="47"/>
      <c r="BG1779" s="47"/>
      <c r="BH1779" s="47"/>
      <c r="BI1779" s="47"/>
      <c r="BJ1779" s="47"/>
      <c r="BK1779" s="47"/>
      <c r="BL1779" s="47"/>
      <c r="BM1779" s="47"/>
      <c r="BN1779" s="47"/>
      <c r="BO1779" s="47"/>
      <c r="BP1779" s="47"/>
      <c r="BQ1779" s="47"/>
      <c r="BR1779" s="47"/>
      <c r="BS1779" s="47"/>
      <c r="BT1779" s="47"/>
    </row>
    <row r="1780">
      <c r="A1780" s="24"/>
      <c r="B1780" s="48"/>
      <c r="C1780" s="49"/>
      <c r="D1780" s="24"/>
      <c r="E1780" s="52"/>
      <c r="F1780" s="53"/>
      <c r="G1780" s="48"/>
      <c r="H1780" s="49"/>
      <c r="I1780" s="49"/>
      <c r="J1780" s="48"/>
      <c r="K1780" s="48"/>
      <c r="L1780" s="48"/>
      <c r="M1780" s="48"/>
      <c r="N1780" s="48"/>
      <c r="O1780" s="48"/>
      <c r="P1780" s="48"/>
      <c r="Q1780" s="48"/>
      <c r="R1780" s="48"/>
      <c r="S1780" s="48"/>
      <c r="T1780" s="48"/>
      <c r="U1780" s="48"/>
      <c r="V1780" s="48"/>
      <c r="W1780" s="49"/>
      <c r="X1780" s="49"/>
      <c r="Y1780" s="49"/>
      <c r="Z1780" s="49"/>
      <c r="AA1780" s="49"/>
      <c r="AB1780" s="49"/>
      <c r="AC1780" s="49"/>
      <c r="AD1780" s="49"/>
      <c r="AE1780" s="49"/>
      <c r="AF1780" s="49"/>
      <c r="AG1780" s="49"/>
      <c r="AH1780" s="49"/>
      <c r="AI1780" s="48"/>
      <c r="AJ1780" s="48"/>
      <c r="AK1780" s="24"/>
      <c r="AL1780" s="50"/>
      <c r="AM1780" s="50"/>
      <c r="AN1780" s="50"/>
      <c r="AO1780" s="50"/>
      <c r="AP1780" s="50"/>
      <c r="AQ1780" s="50"/>
      <c r="AR1780" s="50"/>
      <c r="AS1780" s="50"/>
      <c r="AT1780" s="51"/>
      <c r="AU1780" s="51"/>
      <c r="AV1780" s="51"/>
      <c r="AW1780" s="51"/>
      <c r="AX1780" s="50"/>
      <c r="AY1780" s="50"/>
      <c r="AZ1780" s="50"/>
      <c r="BA1780" s="50"/>
      <c r="BB1780" s="51"/>
      <c r="BC1780" s="51"/>
      <c r="BD1780" s="51"/>
      <c r="BE1780" s="51"/>
      <c r="BF1780" s="47"/>
      <c r="BG1780" s="47"/>
      <c r="BH1780" s="47"/>
      <c r="BI1780" s="47"/>
      <c r="BJ1780" s="47"/>
      <c r="BK1780" s="47"/>
      <c r="BL1780" s="47"/>
      <c r="BM1780" s="47"/>
      <c r="BN1780" s="47"/>
      <c r="BO1780" s="47"/>
      <c r="BP1780" s="47"/>
      <c r="BQ1780" s="47"/>
      <c r="BR1780" s="47"/>
      <c r="BS1780" s="47"/>
      <c r="BT1780" s="47"/>
    </row>
    <row r="1781">
      <c r="A1781" s="24"/>
      <c r="B1781" s="48"/>
      <c r="C1781" s="49"/>
      <c r="D1781" s="24"/>
      <c r="E1781" s="52"/>
      <c r="F1781" s="53"/>
      <c r="G1781" s="48"/>
      <c r="H1781" s="49"/>
      <c r="I1781" s="49"/>
      <c r="J1781" s="48"/>
      <c r="K1781" s="48"/>
      <c r="L1781" s="48"/>
      <c r="M1781" s="48"/>
      <c r="N1781" s="48"/>
      <c r="O1781" s="48"/>
      <c r="P1781" s="48"/>
      <c r="Q1781" s="48"/>
      <c r="R1781" s="48"/>
      <c r="S1781" s="48"/>
      <c r="T1781" s="48"/>
      <c r="U1781" s="48"/>
      <c r="V1781" s="48"/>
      <c r="W1781" s="49"/>
      <c r="X1781" s="49"/>
      <c r="Y1781" s="49"/>
      <c r="Z1781" s="49"/>
      <c r="AA1781" s="49"/>
      <c r="AB1781" s="49"/>
      <c r="AC1781" s="49"/>
      <c r="AD1781" s="49"/>
      <c r="AE1781" s="49"/>
      <c r="AF1781" s="49"/>
      <c r="AG1781" s="49"/>
      <c r="AH1781" s="49"/>
      <c r="AI1781" s="48"/>
      <c r="AJ1781" s="48"/>
      <c r="AK1781" s="24"/>
      <c r="AL1781" s="50"/>
      <c r="AM1781" s="50"/>
      <c r="AN1781" s="50"/>
      <c r="AO1781" s="50"/>
      <c r="AP1781" s="50"/>
      <c r="AQ1781" s="50"/>
      <c r="AR1781" s="50"/>
      <c r="AS1781" s="50"/>
      <c r="AT1781" s="51"/>
      <c r="AU1781" s="51"/>
      <c r="AV1781" s="51"/>
      <c r="AW1781" s="51"/>
      <c r="AX1781" s="50"/>
      <c r="AY1781" s="50"/>
      <c r="AZ1781" s="50"/>
      <c r="BA1781" s="50"/>
      <c r="BB1781" s="51"/>
      <c r="BC1781" s="51"/>
      <c r="BD1781" s="51"/>
      <c r="BE1781" s="51"/>
      <c r="BF1781" s="47"/>
      <c r="BG1781" s="47"/>
      <c r="BH1781" s="47"/>
      <c r="BI1781" s="47"/>
      <c r="BJ1781" s="47"/>
      <c r="BK1781" s="47"/>
      <c r="BL1781" s="47"/>
      <c r="BM1781" s="47"/>
      <c r="BN1781" s="47"/>
      <c r="BO1781" s="47"/>
      <c r="BP1781" s="47"/>
      <c r="BQ1781" s="47"/>
      <c r="BR1781" s="47"/>
      <c r="BS1781" s="47"/>
      <c r="BT1781" s="47"/>
    </row>
    <row r="1782">
      <c r="A1782" s="24"/>
      <c r="B1782" s="48"/>
      <c r="C1782" s="49"/>
      <c r="D1782" s="24"/>
      <c r="E1782" s="52"/>
      <c r="F1782" s="53"/>
      <c r="G1782" s="48"/>
      <c r="H1782" s="49"/>
      <c r="I1782" s="49"/>
      <c r="J1782" s="48"/>
      <c r="K1782" s="48"/>
      <c r="L1782" s="48"/>
      <c r="M1782" s="48"/>
      <c r="N1782" s="48"/>
      <c r="O1782" s="48"/>
      <c r="P1782" s="48"/>
      <c r="Q1782" s="48"/>
      <c r="R1782" s="48"/>
      <c r="S1782" s="48"/>
      <c r="T1782" s="48"/>
      <c r="U1782" s="48"/>
      <c r="V1782" s="48"/>
      <c r="W1782" s="49"/>
      <c r="X1782" s="49"/>
      <c r="Y1782" s="49"/>
      <c r="Z1782" s="49"/>
      <c r="AA1782" s="49"/>
      <c r="AB1782" s="49"/>
      <c r="AC1782" s="49"/>
      <c r="AD1782" s="49"/>
      <c r="AE1782" s="49"/>
      <c r="AF1782" s="49"/>
      <c r="AG1782" s="49"/>
      <c r="AH1782" s="49"/>
      <c r="AI1782" s="48"/>
      <c r="AJ1782" s="48"/>
      <c r="AK1782" s="24"/>
      <c r="AL1782" s="50"/>
      <c r="AM1782" s="50"/>
      <c r="AN1782" s="50"/>
      <c r="AO1782" s="50"/>
      <c r="AP1782" s="50"/>
      <c r="AQ1782" s="50"/>
      <c r="AR1782" s="50"/>
      <c r="AS1782" s="50"/>
      <c r="AT1782" s="51"/>
      <c r="AU1782" s="51"/>
      <c r="AV1782" s="51"/>
      <c r="AW1782" s="51"/>
      <c r="AX1782" s="50"/>
      <c r="AY1782" s="50"/>
      <c r="AZ1782" s="50"/>
      <c r="BA1782" s="50"/>
      <c r="BB1782" s="51"/>
      <c r="BC1782" s="51"/>
      <c r="BD1782" s="51"/>
      <c r="BE1782" s="51"/>
      <c r="BF1782" s="47"/>
      <c r="BG1782" s="47"/>
      <c r="BH1782" s="47"/>
      <c r="BI1782" s="47"/>
      <c r="BJ1782" s="47"/>
      <c r="BK1782" s="47"/>
      <c r="BL1782" s="47"/>
      <c r="BM1782" s="47"/>
      <c r="BN1782" s="47"/>
      <c r="BO1782" s="47"/>
      <c r="BP1782" s="47"/>
      <c r="BQ1782" s="47"/>
      <c r="BR1782" s="47"/>
      <c r="BS1782" s="47"/>
      <c r="BT1782" s="47"/>
    </row>
    <row r="1783">
      <c r="A1783" s="24"/>
      <c r="B1783" s="48"/>
      <c r="C1783" s="49"/>
      <c r="D1783" s="24"/>
      <c r="E1783" s="52"/>
      <c r="F1783" s="53"/>
      <c r="G1783" s="48"/>
      <c r="H1783" s="49"/>
      <c r="I1783" s="49"/>
      <c r="J1783" s="48"/>
      <c r="K1783" s="48"/>
      <c r="L1783" s="48"/>
      <c r="M1783" s="48"/>
      <c r="N1783" s="48"/>
      <c r="O1783" s="48"/>
      <c r="P1783" s="48"/>
      <c r="Q1783" s="48"/>
      <c r="R1783" s="48"/>
      <c r="S1783" s="48"/>
      <c r="T1783" s="48"/>
      <c r="U1783" s="48"/>
      <c r="V1783" s="48"/>
      <c r="W1783" s="49"/>
      <c r="X1783" s="49"/>
      <c r="Y1783" s="49"/>
      <c r="Z1783" s="49"/>
      <c r="AA1783" s="49"/>
      <c r="AB1783" s="49"/>
      <c r="AC1783" s="49"/>
      <c r="AD1783" s="49"/>
      <c r="AE1783" s="49"/>
      <c r="AF1783" s="49"/>
      <c r="AG1783" s="49"/>
      <c r="AH1783" s="49"/>
      <c r="AI1783" s="48"/>
      <c r="AJ1783" s="48"/>
      <c r="AK1783" s="24"/>
      <c r="AL1783" s="50"/>
      <c r="AM1783" s="50"/>
      <c r="AN1783" s="50"/>
      <c r="AO1783" s="50"/>
      <c r="AP1783" s="50"/>
      <c r="AQ1783" s="50"/>
      <c r="AR1783" s="50"/>
      <c r="AS1783" s="50"/>
      <c r="AT1783" s="51"/>
      <c r="AU1783" s="51"/>
      <c r="AV1783" s="51"/>
      <c r="AW1783" s="51"/>
      <c r="AX1783" s="50"/>
      <c r="AY1783" s="50"/>
      <c r="AZ1783" s="50"/>
      <c r="BA1783" s="50"/>
      <c r="BB1783" s="51"/>
      <c r="BC1783" s="51"/>
      <c r="BD1783" s="51"/>
      <c r="BE1783" s="51"/>
      <c r="BF1783" s="47"/>
      <c r="BG1783" s="47"/>
      <c r="BH1783" s="47"/>
      <c r="BI1783" s="47"/>
      <c r="BJ1783" s="47"/>
      <c r="BK1783" s="47"/>
      <c r="BL1783" s="47"/>
      <c r="BM1783" s="47"/>
      <c r="BN1783" s="47"/>
      <c r="BO1783" s="47"/>
      <c r="BP1783" s="47"/>
      <c r="BQ1783" s="47"/>
      <c r="BR1783" s="47"/>
      <c r="BS1783" s="47"/>
      <c r="BT1783" s="47"/>
    </row>
    <row r="1784">
      <c r="A1784" s="24"/>
      <c r="B1784" s="48"/>
      <c r="C1784" s="49"/>
      <c r="D1784" s="24"/>
      <c r="E1784" s="52"/>
      <c r="F1784" s="53"/>
      <c r="G1784" s="48"/>
      <c r="H1784" s="49"/>
      <c r="I1784" s="49"/>
      <c r="J1784" s="48"/>
      <c r="K1784" s="48"/>
      <c r="L1784" s="48"/>
      <c r="M1784" s="48"/>
      <c r="N1784" s="48"/>
      <c r="O1784" s="48"/>
      <c r="P1784" s="48"/>
      <c r="Q1784" s="48"/>
      <c r="R1784" s="48"/>
      <c r="S1784" s="48"/>
      <c r="T1784" s="48"/>
      <c r="U1784" s="48"/>
      <c r="V1784" s="48"/>
      <c r="W1784" s="49"/>
      <c r="X1784" s="49"/>
      <c r="Y1784" s="49"/>
      <c r="Z1784" s="49"/>
      <c r="AA1784" s="49"/>
      <c r="AB1784" s="49"/>
      <c r="AC1784" s="49"/>
      <c r="AD1784" s="49"/>
      <c r="AE1784" s="49"/>
      <c r="AF1784" s="49"/>
      <c r="AG1784" s="49"/>
      <c r="AH1784" s="49"/>
      <c r="AI1784" s="48"/>
      <c r="AJ1784" s="48"/>
      <c r="AK1784" s="24"/>
      <c r="AL1784" s="50"/>
      <c r="AM1784" s="50"/>
      <c r="AN1784" s="50"/>
      <c r="AO1784" s="50"/>
      <c r="AP1784" s="50"/>
      <c r="AQ1784" s="50"/>
      <c r="AR1784" s="50"/>
      <c r="AS1784" s="50"/>
      <c r="AT1784" s="51"/>
      <c r="AU1784" s="51"/>
      <c r="AV1784" s="51"/>
      <c r="AW1784" s="51"/>
      <c r="AX1784" s="50"/>
      <c r="AY1784" s="50"/>
      <c r="AZ1784" s="50"/>
      <c r="BA1784" s="50"/>
      <c r="BB1784" s="51"/>
      <c r="BC1784" s="51"/>
      <c r="BD1784" s="51"/>
      <c r="BE1784" s="51"/>
      <c r="BF1784" s="47"/>
      <c r="BG1784" s="47"/>
      <c r="BH1784" s="47"/>
      <c r="BI1784" s="47"/>
      <c r="BJ1784" s="47"/>
      <c r="BK1784" s="47"/>
      <c r="BL1784" s="47"/>
      <c r="BM1784" s="47"/>
      <c r="BN1784" s="47"/>
      <c r="BO1784" s="47"/>
      <c r="BP1784" s="47"/>
      <c r="BQ1784" s="47"/>
      <c r="BR1784" s="47"/>
      <c r="BS1784" s="47"/>
      <c r="BT1784" s="47"/>
    </row>
    <row r="1785">
      <c r="A1785" s="24"/>
      <c r="B1785" s="48"/>
      <c r="C1785" s="49"/>
      <c r="D1785" s="24"/>
      <c r="E1785" s="52"/>
      <c r="F1785" s="53"/>
      <c r="G1785" s="48"/>
      <c r="H1785" s="49"/>
      <c r="I1785" s="49"/>
      <c r="J1785" s="48"/>
      <c r="K1785" s="48"/>
      <c r="L1785" s="48"/>
      <c r="M1785" s="48"/>
      <c r="N1785" s="48"/>
      <c r="O1785" s="48"/>
      <c r="P1785" s="48"/>
      <c r="Q1785" s="48"/>
      <c r="R1785" s="48"/>
      <c r="S1785" s="48"/>
      <c r="T1785" s="48"/>
      <c r="U1785" s="48"/>
      <c r="V1785" s="48"/>
      <c r="W1785" s="49"/>
      <c r="X1785" s="49"/>
      <c r="Y1785" s="49"/>
      <c r="Z1785" s="49"/>
      <c r="AA1785" s="49"/>
      <c r="AB1785" s="49"/>
      <c r="AC1785" s="49"/>
      <c r="AD1785" s="49"/>
      <c r="AE1785" s="49"/>
      <c r="AF1785" s="49"/>
      <c r="AG1785" s="49"/>
      <c r="AH1785" s="49"/>
      <c r="AI1785" s="48"/>
      <c r="AJ1785" s="48"/>
      <c r="AK1785" s="24"/>
      <c r="AL1785" s="50"/>
      <c r="AM1785" s="50"/>
      <c r="AN1785" s="50"/>
      <c r="AO1785" s="50"/>
      <c r="AP1785" s="50"/>
      <c r="AQ1785" s="50"/>
      <c r="AR1785" s="50"/>
      <c r="AS1785" s="50"/>
      <c r="AT1785" s="51"/>
      <c r="AU1785" s="51"/>
      <c r="AV1785" s="51"/>
      <c r="AW1785" s="51"/>
      <c r="AX1785" s="50"/>
      <c r="AY1785" s="50"/>
      <c r="AZ1785" s="50"/>
      <c r="BA1785" s="50"/>
      <c r="BB1785" s="51"/>
      <c r="BC1785" s="51"/>
      <c r="BD1785" s="51"/>
      <c r="BE1785" s="51"/>
      <c r="BF1785" s="47"/>
      <c r="BG1785" s="47"/>
      <c r="BH1785" s="47"/>
      <c r="BI1785" s="47"/>
      <c r="BJ1785" s="47"/>
      <c r="BK1785" s="47"/>
      <c r="BL1785" s="47"/>
      <c r="BM1785" s="47"/>
      <c r="BN1785" s="47"/>
      <c r="BO1785" s="47"/>
      <c r="BP1785" s="47"/>
      <c r="BQ1785" s="47"/>
      <c r="BR1785" s="47"/>
      <c r="BS1785" s="47"/>
      <c r="BT1785" s="47"/>
    </row>
    <row r="1786">
      <c r="A1786" s="24"/>
      <c r="B1786" s="48"/>
      <c r="C1786" s="49"/>
      <c r="D1786" s="24"/>
      <c r="E1786" s="52"/>
      <c r="F1786" s="53"/>
      <c r="G1786" s="48"/>
      <c r="H1786" s="49"/>
      <c r="I1786" s="49"/>
      <c r="J1786" s="48"/>
      <c r="K1786" s="48"/>
      <c r="L1786" s="48"/>
      <c r="M1786" s="48"/>
      <c r="N1786" s="48"/>
      <c r="O1786" s="48"/>
      <c r="P1786" s="48"/>
      <c r="Q1786" s="48"/>
      <c r="R1786" s="48"/>
      <c r="S1786" s="48"/>
      <c r="T1786" s="48"/>
      <c r="U1786" s="48"/>
      <c r="V1786" s="48"/>
      <c r="W1786" s="49"/>
      <c r="X1786" s="49"/>
      <c r="Y1786" s="49"/>
      <c r="Z1786" s="49"/>
      <c r="AA1786" s="49"/>
      <c r="AB1786" s="49"/>
      <c r="AC1786" s="49"/>
      <c r="AD1786" s="49"/>
      <c r="AE1786" s="49"/>
      <c r="AF1786" s="49"/>
      <c r="AG1786" s="49"/>
      <c r="AH1786" s="49"/>
      <c r="AI1786" s="48"/>
      <c r="AJ1786" s="48"/>
      <c r="AK1786" s="24"/>
      <c r="AL1786" s="50"/>
      <c r="AM1786" s="50"/>
      <c r="AN1786" s="50"/>
      <c r="AO1786" s="50"/>
      <c r="AP1786" s="50"/>
      <c r="AQ1786" s="50"/>
      <c r="AR1786" s="50"/>
      <c r="AS1786" s="50"/>
      <c r="AT1786" s="51"/>
      <c r="AU1786" s="51"/>
      <c r="AV1786" s="51"/>
      <c r="AW1786" s="51"/>
      <c r="AX1786" s="50"/>
      <c r="AY1786" s="50"/>
      <c r="AZ1786" s="50"/>
      <c r="BA1786" s="50"/>
      <c r="BB1786" s="51"/>
      <c r="BC1786" s="51"/>
      <c r="BD1786" s="51"/>
      <c r="BE1786" s="51"/>
      <c r="BF1786" s="47"/>
      <c r="BG1786" s="47"/>
      <c r="BH1786" s="47"/>
      <c r="BI1786" s="47"/>
      <c r="BJ1786" s="47"/>
      <c r="BK1786" s="47"/>
      <c r="BL1786" s="47"/>
      <c r="BM1786" s="47"/>
      <c r="BN1786" s="47"/>
      <c r="BO1786" s="47"/>
      <c r="BP1786" s="47"/>
      <c r="BQ1786" s="47"/>
      <c r="BR1786" s="47"/>
      <c r="BS1786" s="47"/>
      <c r="BT1786" s="47"/>
    </row>
    <row r="1787">
      <c r="A1787" s="24"/>
      <c r="B1787" s="48"/>
      <c r="C1787" s="49"/>
      <c r="D1787" s="24"/>
      <c r="E1787" s="52"/>
      <c r="F1787" s="53"/>
      <c r="G1787" s="48"/>
      <c r="H1787" s="49"/>
      <c r="I1787" s="49"/>
      <c r="J1787" s="48"/>
      <c r="K1787" s="48"/>
      <c r="L1787" s="48"/>
      <c r="M1787" s="48"/>
      <c r="N1787" s="48"/>
      <c r="O1787" s="48"/>
      <c r="P1787" s="48"/>
      <c r="Q1787" s="48"/>
      <c r="R1787" s="48"/>
      <c r="S1787" s="48"/>
      <c r="T1787" s="48"/>
      <c r="U1787" s="48"/>
      <c r="V1787" s="48"/>
      <c r="W1787" s="49"/>
      <c r="X1787" s="49"/>
      <c r="Y1787" s="49"/>
      <c r="Z1787" s="49"/>
      <c r="AA1787" s="49"/>
      <c r="AB1787" s="49"/>
      <c r="AC1787" s="49"/>
      <c r="AD1787" s="49"/>
      <c r="AE1787" s="49"/>
      <c r="AF1787" s="49"/>
      <c r="AG1787" s="49"/>
      <c r="AH1787" s="49"/>
      <c r="AI1787" s="48"/>
      <c r="AJ1787" s="48"/>
      <c r="AK1787" s="24"/>
      <c r="AL1787" s="50"/>
      <c r="AM1787" s="50"/>
      <c r="AN1787" s="50"/>
      <c r="AO1787" s="50"/>
      <c r="AP1787" s="50"/>
      <c r="AQ1787" s="50"/>
      <c r="AR1787" s="50"/>
      <c r="AS1787" s="50"/>
      <c r="AT1787" s="51"/>
      <c r="AU1787" s="51"/>
      <c r="AV1787" s="51"/>
      <c r="AW1787" s="51"/>
      <c r="AX1787" s="50"/>
      <c r="AY1787" s="50"/>
      <c r="AZ1787" s="50"/>
      <c r="BA1787" s="50"/>
      <c r="BB1787" s="51"/>
      <c r="BC1787" s="51"/>
      <c r="BD1787" s="51"/>
      <c r="BE1787" s="51"/>
      <c r="BF1787" s="47"/>
      <c r="BG1787" s="47"/>
      <c r="BH1787" s="47"/>
      <c r="BI1787" s="47"/>
      <c r="BJ1787" s="47"/>
      <c r="BK1787" s="47"/>
      <c r="BL1787" s="47"/>
      <c r="BM1787" s="47"/>
      <c r="BN1787" s="47"/>
      <c r="BO1787" s="47"/>
      <c r="BP1787" s="47"/>
      <c r="BQ1787" s="47"/>
      <c r="BR1787" s="47"/>
      <c r="BS1787" s="47"/>
      <c r="BT1787" s="47"/>
    </row>
    <row r="1788">
      <c r="A1788" s="24"/>
      <c r="B1788" s="48"/>
      <c r="C1788" s="49"/>
      <c r="D1788" s="24"/>
      <c r="E1788" s="52"/>
      <c r="F1788" s="53"/>
      <c r="G1788" s="48"/>
      <c r="H1788" s="49"/>
      <c r="I1788" s="49"/>
      <c r="J1788" s="48"/>
      <c r="K1788" s="48"/>
      <c r="L1788" s="48"/>
      <c r="M1788" s="48"/>
      <c r="N1788" s="48"/>
      <c r="O1788" s="48"/>
      <c r="P1788" s="48"/>
      <c r="Q1788" s="48"/>
      <c r="R1788" s="48"/>
      <c r="S1788" s="48"/>
      <c r="T1788" s="48"/>
      <c r="U1788" s="48"/>
      <c r="V1788" s="48"/>
      <c r="W1788" s="49"/>
      <c r="X1788" s="49"/>
      <c r="Y1788" s="49"/>
      <c r="Z1788" s="49"/>
      <c r="AA1788" s="49"/>
      <c r="AB1788" s="49"/>
      <c r="AC1788" s="49"/>
      <c r="AD1788" s="49"/>
      <c r="AE1788" s="49"/>
      <c r="AF1788" s="49"/>
      <c r="AG1788" s="49"/>
      <c r="AH1788" s="49"/>
      <c r="AI1788" s="48"/>
      <c r="AJ1788" s="48"/>
      <c r="AK1788" s="24"/>
      <c r="AL1788" s="50"/>
      <c r="AM1788" s="50"/>
      <c r="AN1788" s="50"/>
      <c r="AO1788" s="50"/>
      <c r="AP1788" s="50"/>
      <c r="AQ1788" s="50"/>
      <c r="AR1788" s="50"/>
      <c r="AS1788" s="50"/>
      <c r="AT1788" s="51"/>
      <c r="AU1788" s="51"/>
      <c r="AV1788" s="51"/>
      <c r="AW1788" s="51"/>
      <c r="AX1788" s="50"/>
      <c r="AY1788" s="50"/>
      <c r="AZ1788" s="50"/>
      <c r="BA1788" s="50"/>
      <c r="BB1788" s="51"/>
      <c r="BC1788" s="51"/>
      <c r="BD1788" s="51"/>
      <c r="BE1788" s="51"/>
      <c r="BF1788" s="47"/>
      <c r="BG1788" s="47"/>
      <c r="BH1788" s="47"/>
      <c r="BI1788" s="47"/>
      <c r="BJ1788" s="47"/>
      <c r="BK1788" s="47"/>
      <c r="BL1788" s="47"/>
      <c r="BM1788" s="47"/>
      <c r="BN1788" s="47"/>
      <c r="BO1788" s="47"/>
      <c r="BP1788" s="47"/>
      <c r="BQ1788" s="47"/>
      <c r="BR1788" s="47"/>
      <c r="BS1788" s="47"/>
      <c r="BT1788" s="47"/>
    </row>
    <row r="1789">
      <c r="A1789" s="24"/>
      <c r="B1789" s="48"/>
      <c r="C1789" s="49"/>
      <c r="D1789" s="24"/>
      <c r="E1789" s="52"/>
      <c r="F1789" s="53"/>
      <c r="G1789" s="48"/>
      <c r="H1789" s="49"/>
      <c r="I1789" s="49"/>
      <c r="J1789" s="48"/>
      <c r="K1789" s="48"/>
      <c r="L1789" s="48"/>
      <c r="M1789" s="48"/>
      <c r="N1789" s="48"/>
      <c r="O1789" s="48"/>
      <c r="P1789" s="48"/>
      <c r="Q1789" s="48"/>
      <c r="R1789" s="48"/>
      <c r="S1789" s="48"/>
      <c r="T1789" s="48"/>
      <c r="U1789" s="48"/>
      <c r="V1789" s="48"/>
      <c r="W1789" s="49"/>
      <c r="X1789" s="49"/>
      <c r="Y1789" s="49"/>
      <c r="Z1789" s="49"/>
      <c r="AA1789" s="49"/>
      <c r="AB1789" s="49"/>
      <c r="AC1789" s="49"/>
      <c r="AD1789" s="49"/>
      <c r="AE1789" s="49"/>
      <c r="AF1789" s="49"/>
      <c r="AG1789" s="49"/>
      <c r="AH1789" s="49"/>
      <c r="AI1789" s="48"/>
      <c r="AJ1789" s="48"/>
      <c r="AK1789" s="24"/>
      <c r="AL1789" s="50"/>
      <c r="AM1789" s="50"/>
      <c r="AN1789" s="50"/>
      <c r="AO1789" s="50"/>
      <c r="AP1789" s="50"/>
      <c r="AQ1789" s="50"/>
      <c r="AR1789" s="50"/>
      <c r="AS1789" s="50"/>
      <c r="AT1789" s="51"/>
      <c r="AU1789" s="51"/>
      <c r="AV1789" s="51"/>
      <c r="AW1789" s="51"/>
      <c r="AX1789" s="50"/>
      <c r="AY1789" s="50"/>
      <c r="AZ1789" s="50"/>
      <c r="BA1789" s="50"/>
      <c r="BB1789" s="51"/>
      <c r="BC1789" s="51"/>
      <c r="BD1789" s="51"/>
      <c r="BE1789" s="51"/>
      <c r="BF1789" s="47"/>
      <c r="BG1789" s="47"/>
      <c r="BH1789" s="47"/>
      <c r="BI1789" s="47"/>
      <c r="BJ1789" s="47"/>
      <c r="BK1789" s="47"/>
      <c r="BL1789" s="47"/>
      <c r="BM1789" s="47"/>
      <c r="BN1789" s="47"/>
      <c r="BO1789" s="47"/>
      <c r="BP1789" s="47"/>
      <c r="BQ1789" s="47"/>
      <c r="BR1789" s="47"/>
      <c r="BS1789" s="47"/>
      <c r="BT1789" s="47"/>
    </row>
    <row r="1790">
      <c r="A1790" s="24"/>
      <c r="B1790" s="48"/>
      <c r="C1790" s="49"/>
      <c r="D1790" s="24"/>
      <c r="E1790" s="52"/>
      <c r="F1790" s="53"/>
      <c r="G1790" s="48"/>
      <c r="H1790" s="49"/>
      <c r="I1790" s="49"/>
      <c r="J1790" s="48"/>
      <c r="K1790" s="48"/>
      <c r="L1790" s="48"/>
      <c r="M1790" s="48"/>
      <c r="N1790" s="48"/>
      <c r="O1790" s="48"/>
      <c r="P1790" s="48"/>
      <c r="Q1790" s="48"/>
      <c r="R1790" s="48"/>
      <c r="S1790" s="48"/>
      <c r="T1790" s="48"/>
      <c r="U1790" s="48"/>
      <c r="V1790" s="48"/>
      <c r="W1790" s="49"/>
      <c r="X1790" s="49"/>
      <c r="Y1790" s="49"/>
      <c r="Z1790" s="49"/>
      <c r="AA1790" s="49"/>
      <c r="AB1790" s="49"/>
      <c r="AC1790" s="49"/>
      <c r="AD1790" s="49"/>
      <c r="AE1790" s="49"/>
      <c r="AF1790" s="49"/>
      <c r="AG1790" s="49"/>
      <c r="AH1790" s="49"/>
      <c r="AI1790" s="48"/>
      <c r="AJ1790" s="48"/>
      <c r="AK1790" s="24"/>
      <c r="AL1790" s="50"/>
      <c r="AM1790" s="50"/>
      <c r="AN1790" s="50"/>
      <c r="AO1790" s="50"/>
      <c r="AP1790" s="50"/>
      <c r="AQ1790" s="50"/>
      <c r="AR1790" s="50"/>
      <c r="AS1790" s="50"/>
      <c r="AT1790" s="51"/>
      <c r="AU1790" s="51"/>
      <c r="AV1790" s="51"/>
      <c r="AW1790" s="51"/>
      <c r="AX1790" s="50"/>
      <c r="AY1790" s="50"/>
      <c r="AZ1790" s="50"/>
      <c r="BA1790" s="50"/>
      <c r="BB1790" s="51"/>
      <c r="BC1790" s="51"/>
      <c r="BD1790" s="51"/>
      <c r="BE1790" s="51"/>
      <c r="BF1790" s="47"/>
      <c r="BG1790" s="47"/>
      <c r="BH1790" s="47"/>
      <c r="BI1790" s="47"/>
      <c r="BJ1790" s="47"/>
      <c r="BK1790" s="47"/>
      <c r="BL1790" s="47"/>
      <c r="BM1790" s="47"/>
      <c r="BN1790" s="47"/>
      <c r="BO1790" s="47"/>
      <c r="BP1790" s="47"/>
      <c r="BQ1790" s="47"/>
      <c r="BR1790" s="47"/>
      <c r="BS1790" s="47"/>
      <c r="BT1790" s="47"/>
    </row>
    <row r="1791">
      <c r="A1791" s="24"/>
      <c r="B1791" s="48"/>
      <c r="C1791" s="49"/>
      <c r="D1791" s="24"/>
      <c r="E1791" s="52"/>
      <c r="F1791" s="53"/>
      <c r="G1791" s="48"/>
      <c r="H1791" s="49"/>
      <c r="I1791" s="49"/>
      <c r="J1791" s="48"/>
      <c r="K1791" s="48"/>
      <c r="L1791" s="48"/>
      <c r="M1791" s="48"/>
      <c r="N1791" s="48"/>
      <c r="O1791" s="48"/>
      <c r="P1791" s="48"/>
      <c r="Q1791" s="48"/>
      <c r="R1791" s="48"/>
      <c r="S1791" s="48"/>
      <c r="T1791" s="48"/>
      <c r="U1791" s="48"/>
      <c r="V1791" s="48"/>
      <c r="W1791" s="49"/>
      <c r="X1791" s="49"/>
      <c r="Y1791" s="49"/>
      <c r="Z1791" s="49"/>
      <c r="AA1791" s="49"/>
      <c r="AB1791" s="49"/>
      <c r="AC1791" s="49"/>
      <c r="AD1791" s="49"/>
      <c r="AE1791" s="49"/>
      <c r="AF1791" s="49"/>
      <c r="AG1791" s="49"/>
      <c r="AH1791" s="49"/>
      <c r="AI1791" s="48"/>
      <c r="AJ1791" s="48"/>
      <c r="AK1791" s="24"/>
      <c r="AL1791" s="50"/>
      <c r="AM1791" s="50"/>
      <c r="AN1791" s="50"/>
      <c r="AO1791" s="50"/>
      <c r="AP1791" s="50"/>
      <c r="AQ1791" s="50"/>
      <c r="AR1791" s="50"/>
      <c r="AS1791" s="50"/>
      <c r="AT1791" s="51"/>
      <c r="AU1791" s="51"/>
      <c r="AV1791" s="51"/>
      <c r="AW1791" s="51"/>
      <c r="AX1791" s="50"/>
      <c r="AY1791" s="50"/>
      <c r="AZ1791" s="50"/>
      <c r="BA1791" s="50"/>
      <c r="BB1791" s="51"/>
      <c r="BC1791" s="51"/>
      <c r="BD1791" s="51"/>
      <c r="BE1791" s="51"/>
      <c r="BF1791" s="47"/>
      <c r="BG1791" s="47"/>
      <c r="BH1791" s="47"/>
      <c r="BI1791" s="47"/>
      <c r="BJ1791" s="47"/>
      <c r="BK1791" s="47"/>
      <c r="BL1791" s="47"/>
      <c r="BM1791" s="47"/>
      <c r="BN1791" s="47"/>
      <c r="BO1791" s="47"/>
      <c r="BP1791" s="47"/>
      <c r="BQ1791" s="47"/>
      <c r="BR1791" s="47"/>
      <c r="BS1791" s="47"/>
      <c r="BT1791" s="47"/>
    </row>
    <row r="1792">
      <c r="A1792" s="24"/>
      <c r="B1792" s="48"/>
      <c r="C1792" s="49"/>
      <c r="D1792" s="24"/>
      <c r="E1792" s="52"/>
      <c r="F1792" s="53"/>
      <c r="G1792" s="48"/>
      <c r="H1792" s="49"/>
      <c r="I1792" s="49"/>
      <c r="J1792" s="48"/>
      <c r="K1792" s="48"/>
      <c r="L1792" s="48"/>
      <c r="M1792" s="48"/>
      <c r="N1792" s="48"/>
      <c r="O1792" s="48"/>
      <c r="P1792" s="48"/>
      <c r="Q1792" s="48"/>
      <c r="R1792" s="48"/>
      <c r="S1792" s="48"/>
      <c r="T1792" s="48"/>
      <c r="U1792" s="48"/>
      <c r="V1792" s="48"/>
      <c r="W1792" s="49"/>
      <c r="X1792" s="49"/>
      <c r="Y1792" s="49"/>
      <c r="Z1792" s="49"/>
      <c r="AA1792" s="49"/>
      <c r="AB1792" s="49"/>
      <c r="AC1792" s="49"/>
      <c r="AD1792" s="49"/>
      <c r="AE1792" s="49"/>
      <c r="AF1792" s="49"/>
      <c r="AG1792" s="49"/>
      <c r="AH1792" s="49"/>
      <c r="AI1792" s="48"/>
      <c r="AJ1792" s="48"/>
      <c r="AK1792" s="24"/>
      <c r="AL1792" s="50"/>
      <c r="AM1792" s="50"/>
      <c r="AN1792" s="50"/>
      <c r="AO1792" s="50"/>
      <c r="AP1792" s="50"/>
      <c r="AQ1792" s="50"/>
      <c r="AR1792" s="50"/>
      <c r="AS1792" s="50"/>
      <c r="AT1792" s="51"/>
      <c r="AU1792" s="51"/>
      <c r="AV1792" s="51"/>
      <c r="AW1792" s="51"/>
      <c r="AX1792" s="50"/>
      <c r="AY1792" s="50"/>
      <c r="AZ1792" s="50"/>
      <c r="BA1792" s="50"/>
      <c r="BB1792" s="51"/>
      <c r="BC1792" s="51"/>
      <c r="BD1792" s="51"/>
      <c r="BE1792" s="51"/>
      <c r="BF1792" s="47"/>
      <c r="BG1792" s="47"/>
      <c r="BH1792" s="47"/>
      <c r="BI1792" s="47"/>
      <c r="BJ1792" s="47"/>
      <c r="BK1792" s="47"/>
      <c r="BL1792" s="47"/>
      <c r="BM1792" s="47"/>
      <c r="BN1792" s="47"/>
      <c r="BO1792" s="47"/>
      <c r="BP1792" s="47"/>
      <c r="BQ1792" s="47"/>
      <c r="BR1792" s="47"/>
      <c r="BS1792" s="47"/>
      <c r="BT1792" s="47"/>
    </row>
    <row r="1793">
      <c r="A1793" s="24"/>
      <c r="B1793" s="48"/>
      <c r="C1793" s="49"/>
      <c r="D1793" s="24"/>
      <c r="E1793" s="52"/>
      <c r="F1793" s="53"/>
      <c r="G1793" s="48"/>
      <c r="H1793" s="49"/>
      <c r="I1793" s="49"/>
      <c r="J1793" s="48"/>
      <c r="K1793" s="48"/>
      <c r="L1793" s="48"/>
      <c r="M1793" s="48"/>
      <c r="N1793" s="48"/>
      <c r="O1793" s="48"/>
      <c r="P1793" s="48"/>
      <c r="Q1793" s="48"/>
      <c r="R1793" s="48"/>
      <c r="S1793" s="48"/>
      <c r="T1793" s="48"/>
      <c r="U1793" s="48"/>
      <c r="V1793" s="48"/>
      <c r="W1793" s="49"/>
      <c r="X1793" s="49"/>
      <c r="Y1793" s="49"/>
      <c r="Z1793" s="49"/>
      <c r="AA1793" s="49"/>
      <c r="AB1793" s="49"/>
      <c r="AC1793" s="49"/>
      <c r="AD1793" s="49"/>
      <c r="AE1793" s="49"/>
      <c r="AF1793" s="49"/>
      <c r="AG1793" s="49"/>
      <c r="AH1793" s="49"/>
      <c r="AI1793" s="48"/>
      <c r="AJ1793" s="48"/>
      <c r="AK1793" s="24"/>
      <c r="AL1793" s="50"/>
      <c r="AM1793" s="50"/>
      <c r="AN1793" s="50"/>
      <c r="AO1793" s="50"/>
      <c r="AP1793" s="50"/>
      <c r="AQ1793" s="50"/>
      <c r="AR1793" s="50"/>
      <c r="AS1793" s="50"/>
      <c r="AT1793" s="51"/>
      <c r="AU1793" s="51"/>
      <c r="AV1793" s="51"/>
      <c r="AW1793" s="51"/>
      <c r="AX1793" s="50"/>
      <c r="AY1793" s="50"/>
      <c r="AZ1793" s="50"/>
      <c r="BA1793" s="50"/>
      <c r="BB1793" s="51"/>
      <c r="BC1793" s="51"/>
      <c r="BD1793" s="51"/>
      <c r="BE1793" s="51"/>
      <c r="BF1793" s="47"/>
      <c r="BG1793" s="47"/>
      <c r="BH1793" s="47"/>
      <c r="BI1793" s="47"/>
      <c r="BJ1793" s="47"/>
      <c r="BK1793" s="47"/>
      <c r="BL1793" s="47"/>
      <c r="BM1793" s="47"/>
      <c r="BN1793" s="47"/>
      <c r="BO1793" s="47"/>
      <c r="BP1793" s="47"/>
      <c r="BQ1793" s="47"/>
      <c r="BR1793" s="47"/>
      <c r="BS1793" s="47"/>
      <c r="BT1793" s="47"/>
    </row>
    <row r="1794">
      <c r="A1794" s="24"/>
      <c r="B1794" s="48"/>
      <c r="C1794" s="49"/>
      <c r="D1794" s="24"/>
      <c r="E1794" s="52"/>
      <c r="F1794" s="53"/>
      <c r="G1794" s="48"/>
      <c r="H1794" s="49"/>
      <c r="I1794" s="49"/>
      <c r="J1794" s="48"/>
      <c r="K1794" s="48"/>
      <c r="L1794" s="48"/>
      <c r="M1794" s="48"/>
      <c r="N1794" s="48"/>
      <c r="O1794" s="48"/>
      <c r="P1794" s="48"/>
      <c r="Q1794" s="48"/>
      <c r="R1794" s="48"/>
      <c r="S1794" s="48"/>
      <c r="T1794" s="48"/>
      <c r="U1794" s="48"/>
      <c r="V1794" s="48"/>
      <c r="W1794" s="49"/>
      <c r="X1794" s="49"/>
      <c r="Y1794" s="49"/>
      <c r="Z1794" s="49"/>
      <c r="AA1794" s="49"/>
      <c r="AB1794" s="49"/>
      <c r="AC1794" s="49"/>
      <c r="AD1794" s="49"/>
      <c r="AE1794" s="49"/>
      <c r="AF1794" s="49"/>
      <c r="AG1794" s="49"/>
      <c r="AH1794" s="49"/>
      <c r="AI1794" s="48"/>
      <c r="AJ1794" s="48"/>
      <c r="AK1794" s="24"/>
      <c r="AL1794" s="50"/>
      <c r="AM1794" s="50"/>
      <c r="AN1794" s="50"/>
      <c r="AO1794" s="50"/>
      <c r="AP1794" s="50"/>
      <c r="AQ1794" s="50"/>
      <c r="AR1794" s="50"/>
      <c r="AS1794" s="50"/>
      <c r="AT1794" s="51"/>
      <c r="AU1794" s="51"/>
      <c r="AV1794" s="51"/>
      <c r="AW1794" s="51"/>
      <c r="AX1794" s="50"/>
      <c r="AY1794" s="50"/>
      <c r="AZ1794" s="50"/>
      <c r="BA1794" s="50"/>
      <c r="BB1794" s="51"/>
      <c r="BC1794" s="51"/>
      <c r="BD1794" s="51"/>
      <c r="BE1794" s="51"/>
      <c r="BF1794" s="47"/>
      <c r="BG1794" s="47"/>
      <c r="BH1794" s="47"/>
      <c r="BI1794" s="47"/>
      <c r="BJ1794" s="47"/>
      <c r="BK1794" s="47"/>
      <c r="BL1794" s="47"/>
      <c r="BM1794" s="47"/>
      <c r="BN1794" s="47"/>
      <c r="BO1794" s="47"/>
      <c r="BP1794" s="47"/>
      <c r="BQ1794" s="47"/>
      <c r="BR1794" s="47"/>
      <c r="BS1794" s="47"/>
      <c r="BT1794" s="47"/>
    </row>
    <row r="1795">
      <c r="A1795" s="24"/>
      <c r="B1795" s="48"/>
      <c r="C1795" s="49"/>
      <c r="D1795" s="24"/>
      <c r="E1795" s="52"/>
      <c r="F1795" s="53"/>
      <c r="G1795" s="48"/>
      <c r="H1795" s="49"/>
      <c r="I1795" s="49"/>
      <c r="J1795" s="48"/>
      <c r="K1795" s="48"/>
      <c r="L1795" s="48"/>
      <c r="M1795" s="48"/>
      <c r="N1795" s="48"/>
      <c r="O1795" s="48"/>
      <c r="P1795" s="48"/>
      <c r="Q1795" s="48"/>
      <c r="R1795" s="48"/>
      <c r="S1795" s="48"/>
      <c r="T1795" s="48"/>
      <c r="U1795" s="48"/>
      <c r="V1795" s="48"/>
      <c r="W1795" s="49"/>
      <c r="X1795" s="49"/>
      <c r="Y1795" s="49"/>
      <c r="Z1795" s="49"/>
      <c r="AA1795" s="49"/>
      <c r="AB1795" s="49"/>
      <c r="AC1795" s="49"/>
      <c r="AD1795" s="49"/>
      <c r="AE1795" s="49"/>
      <c r="AF1795" s="49"/>
      <c r="AG1795" s="49"/>
      <c r="AH1795" s="49"/>
      <c r="AI1795" s="48"/>
      <c r="AJ1795" s="48"/>
      <c r="AK1795" s="24"/>
      <c r="AL1795" s="50"/>
      <c r="AM1795" s="50"/>
      <c r="AN1795" s="50"/>
      <c r="AO1795" s="50"/>
      <c r="AP1795" s="50"/>
      <c r="AQ1795" s="50"/>
      <c r="AR1795" s="50"/>
      <c r="AS1795" s="50"/>
      <c r="AT1795" s="51"/>
      <c r="AU1795" s="51"/>
      <c r="AV1795" s="51"/>
      <c r="AW1795" s="51"/>
      <c r="AX1795" s="50"/>
      <c r="AY1795" s="50"/>
      <c r="AZ1795" s="50"/>
      <c r="BA1795" s="50"/>
      <c r="BB1795" s="51"/>
      <c r="BC1795" s="51"/>
      <c r="BD1795" s="51"/>
      <c r="BE1795" s="51"/>
      <c r="BF1795" s="47"/>
      <c r="BG1795" s="47"/>
      <c r="BH1795" s="47"/>
      <c r="BI1795" s="47"/>
      <c r="BJ1795" s="47"/>
      <c r="BK1795" s="47"/>
      <c r="BL1795" s="47"/>
      <c r="BM1795" s="47"/>
      <c r="BN1795" s="47"/>
      <c r="BO1795" s="47"/>
      <c r="BP1795" s="47"/>
      <c r="BQ1795" s="47"/>
      <c r="BR1795" s="47"/>
      <c r="BS1795" s="47"/>
      <c r="BT1795" s="47"/>
    </row>
    <row r="1796">
      <c r="A1796" s="24"/>
      <c r="B1796" s="48"/>
      <c r="C1796" s="49"/>
      <c r="D1796" s="24"/>
      <c r="E1796" s="52"/>
      <c r="F1796" s="53"/>
      <c r="G1796" s="48"/>
      <c r="H1796" s="49"/>
      <c r="I1796" s="49"/>
      <c r="J1796" s="48"/>
      <c r="K1796" s="48"/>
      <c r="L1796" s="48"/>
      <c r="M1796" s="48"/>
      <c r="N1796" s="48"/>
      <c r="O1796" s="48"/>
      <c r="P1796" s="48"/>
      <c r="Q1796" s="48"/>
      <c r="R1796" s="48"/>
      <c r="S1796" s="48"/>
      <c r="T1796" s="48"/>
      <c r="U1796" s="48"/>
      <c r="V1796" s="48"/>
      <c r="W1796" s="49"/>
      <c r="X1796" s="49"/>
      <c r="Y1796" s="49"/>
      <c r="Z1796" s="49"/>
      <c r="AA1796" s="49"/>
      <c r="AB1796" s="49"/>
      <c r="AC1796" s="49"/>
      <c r="AD1796" s="49"/>
      <c r="AE1796" s="49"/>
      <c r="AF1796" s="49"/>
      <c r="AG1796" s="49"/>
      <c r="AH1796" s="49"/>
      <c r="AI1796" s="48"/>
      <c r="AJ1796" s="48"/>
      <c r="AK1796" s="24"/>
      <c r="AL1796" s="50"/>
      <c r="AM1796" s="50"/>
      <c r="AN1796" s="50"/>
      <c r="AO1796" s="50"/>
      <c r="AP1796" s="50"/>
      <c r="AQ1796" s="50"/>
      <c r="AR1796" s="50"/>
      <c r="AS1796" s="50"/>
      <c r="AT1796" s="51"/>
      <c r="AU1796" s="51"/>
      <c r="AV1796" s="51"/>
      <c r="AW1796" s="51"/>
      <c r="AX1796" s="50"/>
      <c r="AY1796" s="50"/>
      <c r="AZ1796" s="50"/>
      <c r="BA1796" s="50"/>
      <c r="BB1796" s="51"/>
      <c r="BC1796" s="51"/>
      <c r="BD1796" s="51"/>
      <c r="BE1796" s="51"/>
      <c r="BF1796" s="47"/>
      <c r="BG1796" s="47"/>
      <c r="BH1796" s="47"/>
      <c r="BI1796" s="47"/>
      <c r="BJ1796" s="47"/>
      <c r="BK1796" s="47"/>
      <c r="BL1796" s="47"/>
      <c r="BM1796" s="47"/>
      <c r="BN1796" s="47"/>
      <c r="BO1796" s="47"/>
      <c r="BP1796" s="47"/>
      <c r="BQ1796" s="47"/>
      <c r="BR1796" s="47"/>
      <c r="BS1796" s="47"/>
      <c r="BT1796" s="47"/>
    </row>
    <row r="1797">
      <c r="A1797" s="24"/>
      <c r="B1797" s="48"/>
      <c r="C1797" s="49"/>
      <c r="D1797" s="24"/>
      <c r="E1797" s="52"/>
      <c r="F1797" s="53"/>
      <c r="G1797" s="48"/>
      <c r="H1797" s="49"/>
      <c r="I1797" s="49"/>
      <c r="J1797" s="48"/>
      <c r="K1797" s="48"/>
      <c r="L1797" s="48"/>
      <c r="M1797" s="48"/>
      <c r="N1797" s="48"/>
      <c r="O1797" s="48"/>
      <c r="P1797" s="48"/>
      <c r="Q1797" s="48"/>
      <c r="R1797" s="48"/>
      <c r="S1797" s="48"/>
      <c r="T1797" s="48"/>
      <c r="U1797" s="48"/>
      <c r="V1797" s="48"/>
      <c r="W1797" s="49"/>
      <c r="X1797" s="49"/>
      <c r="Y1797" s="49"/>
      <c r="Z1797" s="49"/>
      <c r="AA1797" s="49"/>
      <c r="AB1797" s="49"/>
      <c r="AC1797" s="49"/>
      <c r="AD1797" s="49"/>
      <c r="AE1797" s="49"/>
      <c r="AF1797" s="49"/>
      <c r="AG1797" s="49"/>
      <c r="AH1797" s="49"/>
      <c r="AI1797" s="48"/>
      <c r="AJ1797" s="48"/>
      <c r="AK1797" s="24"/>
      <c r="AL1797" s="50"/>
      <c r="AM1797" s="50"/>
      <c r="AN1797" s="50"/>
      <c r="AO1797" s="50"/>
      <c r="AP1797" s="50"/>
      <c r="AQ1797" s="50"/>
      <c r="AR1797" s="50"/>
      <c r="AS1797" s="50"/>
      <c r="AT1797" s="51"/>
      <c r="AU1797" s="51"/>
      <c r="AV1797" s="51"/>
      <c r="AW1797" s="51"/>
      <c r="AX1797" s="50"/>
      <c r="AY1797" s="50"/>
      <c r="AZ1797" s="50"/>
      <c r="BA1797" s="50"/>
      <c r="BB1797" s="51"/>
      <c r="BC1797" s="51"/>
      <c r="BD1797" s="51"/>
      <c r="BE1797" s="51"/>
      <c r="BF1797" s="47"/>
      <c r="BG1797" s="47"/>
      <c r="BH1797" s="47"/>
      <c r="BI1797" s="47"/>
      <c r="BJ1797" s="47"/>
      <c r="BK1797" s="47"/>
      <c r="BL1797" s="47"/>
      <c r="BM1797" s="47"/>
      <c r="BN1797" s="47"/>
      <c r="BO1797" s="47"/>
      <c r="BP1797" s="47"/>
      <c r="BQ1797" s="47"/>
      <c r="BR1797" s="47"/>
      <c r="BS1797" s="47"/>
      <c r="BT1797" s="47"/>
    </row>
    <row r="1798">
      <c r="A1798" s="24"/>
      <c r="B1798" s="48"/>
      <c r="C1798" s="49"/>
      <c r="D1798" s="24"/>
      <c r="E1798" s="52"/>
      <c r="F1798" s="53"/>
      <c r="G1798" s="48"/>
      <c r="H1798" s="49"/>
      <c r="I1798" s="49"/>
      <c r="J1798" s="48"/>
      <c r="K1798" s="48"/>
      <c r="L1798" s="48"/>
      <c r="M1798" s="48"/>
      <c r="N1798" s="48"/>
      <c r="O1798" s="48"/>
      <c r="P1798" s="48"/>
      <c r="Q1798" s="48"/>
      <c r="R1798" s="48"/>
      <c r="S1798" s="48"/>
      <c r="T1798" s="48"/>
      <c r="U1798" s="48"/>
      <c r="V1798" s="48"/>
      <c r="W1798" s="49"/>
      <c r="X1798" s="49"/>
      <c r="Y1798" s="49"/>
      <c r="Z1798" s="49"/>
      <c r="AA1798" s="49"/>
      <c r="AB1798" s="49"/>
      <c r="AC1798" s="49"/>
      <c r="AD1798" s="49"/>
      <c r="AE1798" s="49"/>
      <c r="AF1798" s="49"/>
      <c r="AG1798" s="49"/>
      <c r="AH1798" s="49"/>
      <c r="AI1798" s="48"/>
      <c r="AJ1798" s="48"/>
      <c r="AK1798" s="24"/>
      <c r="AL1798" s="50"/>
      <c r="AM1798" s="50"/>
      <c r="AN1798" s="50"/>
      <c r="AO1798" s="50"/>
      <c r="AP1798" s="50"/>
      <c r="AQ1798" s="50"/>
      <c r="AR1798" s="50"/>
      <c r="AS1798" s="50"/>
      <c r="AT1798" s="51"/>
      <c r="AU1798" s="51"/>
      <c r="AV1798" s="51"/>
      <c r="AW1798" s="51"/>
      <c r="AX1798" s="50"/>
      <c r="AY1798" s="50"/>
      <c r="AZ1798" s="50"/>
      <c r="BA1798" s="50"/>
      <c r="BB1798" s="51"/>
      <c r="BC1798" s="51"/>
      <c r="BD1798" s="51"/>
      <c r="BE1798" s="51"/>
      <c r="BF1798" s="47"/>
      <c r="BG1798" s="47"/>
      <c r="BH1798" s="47"/>
      <c r="BI1798" s="47"/>
      <c r="BJ1798" s="47"/>
      <c r="BK1798" s="47"/>
      <c r="BL1798" s="47"/>
      <c r="BM1798" s="47"/>
      <c r="BN1798" s="47"/>
      <c r="BO1798" s="47"/>
      <c r="BP1798" s="47"/>
      <c r="BQ1798" s="47"/>
      <c r="BR1798" s="47"/>
      <c r="BS1798" s="47"/>
      <c r="BT1798" s="47"/>
    </row>
    <row r="1799">
      <c r="A1799" s="24"/>
      <c r="B1799" s="48"/>
      <c r="C1799" s="49"/>
      <c r="D1799" s="24"/>
      <c r="E1799" s="52"/>
      <c r="F1799" s="53"/>
      <c r="G1799" s="48"/>
      <c r="H1799" s="49"/>
      <c r="I1799" s="49"/>
      <c r="J1799" s="48"/>
      <c r="K1799" s="48"/>
      <c r="L1799" s="48"/>
      <c r="M1799" s="48"/>
      <c r="N1799" s="48"/>
      <c r="O1799" s="48"/>
      <c r="P1799" s="48"/>
      <c r="Q1799" s="48"/>
      <c r="R1799" s="48"/>
      <c r="S1799" s="48"/>
      <c r="T1799" s="48"/>
      <c r="U1799" s="48"/>
      <c r="V1799" s="48"/>
      <c r="W1799" s="49"/>
      <c r="X1799" s="49"/>
      <c r="Y1799" s="49"/>
      <c r="Z1799" s="49"/>
      <c r="AA1799" s="49"/>
      <c r="AB1799" s="49"/>
      <c r="AC1799" s="49"/>
      <c r="AD1799" s="49"/>
      <c r="AE1799" s="49"/>
      <c r="AF1799" s="49"/>
      <c r="AG1799" s="49"/>
      <c r="AH1799" s="49"/>
      <c r="AI1799" s="48"/>
      <c r="AJ1799" s="48"/>
      <c r="AK1799" s="24"/>
      <c r="AL1799" s="50"/>
      <c r="AM1799" s="50"/>
      <c r="AN1799" s="50"/>
      <c r="AO1799" s="50"/>
      <c r="AP1799" s="50"/>
      <c r="AQ1799" s="50"/>
      <c r="AR1799" s="50"/>
      <c r="AS1799" s="50"/>
      <c r="AT1799" s="51"/>
      <c r="AU1799" s="51"/>
      <c r="AV1799" s="51"/>
      <c r="AW1799" s="51"/>
      <c r="AX1799" s="50"/>
      <c r="AY1799" s="50"/>
      <c r="AZ1799" s="50"/>
      <c r="BA1799" s="50"/>
      <c r="BB1799" s="51"/>
      <c r="BC1799" s="51"/>
      <c r="BD1799" s="51"/>
      <c r="BE1799" s="51"/>
      <c r="BF1799" s="47"/>
      <c r="BG1799" s="47"/>
      <c r="BH1799" s="47"/>
      <c r="BI1799" s="47"/>
      <c r="BJ1799" s="47"/>
      <c r="BK1799" s="47"/>
      <c r="BL1799" s="47"/>
      <c r="BM1799" s="47"/>
      <c r="BN1799" s="47"/>
      <c r="BO1799" s="47"/>
      <c r="BP1799" s="47"/>
      <c r="BQ1799" s="47"/>
      <c r="BR1799" s="47"/>
      <c r="BS1799" s="47"/>
      <c r="BT1799" s="47"/>
    </row>
    <row r="1800">
      <c r="A1800" s="24"/>
      <c r="B1800" s="48"/>
      <c r="C1800" s="49"/>
      <c r="D1800" s="24"/>
      <c r="E1800" s="52"/>
      <c r="F1800" s="53"/>
      <c r="G1800" s="48"/>
      <c r="H1800" s="49"/>
      <c r="I1800" s="49"/>
      <c r="J1800" s="48"/>
      <c r="K1800" s="48"/>
      <c r="L1800" s="48"/>
      <c r="M1800" s="48"/>
      <c r="N1800" s="48"/>
      <c r="O1800" s="48"/>
      <c r="P1800" s="48"/>
      <c r="Q1800" s="48"/>
      <c r="R1800" s="48"/>
      <c r="S1800" s="48"/>
      <c r="T1800" s="48"/>
      <c r="U1800" s="48"/>
      <c r="V1800" s="48"/>
      <c r="W1800" s="49"/>
      <c r="X1800" s="49"/>
      <c r="Y1800" s="49"/>
      <c r="Z1800" s="49"/>
      <c r="AA1800" s="49"/>
      <c r="AB1800" s="49"/>
      <c r="AC1800" s="49"/>
      <c r="AD1800" s="49"/>
      <c r="AE1800" s="49"/>
      <c r="AF1800" s="49"/>
      <c r="AG1800" s="49"/>
      <c r="AH1800" s="49"/>
      <c r="AI1800" s="48"/>
      <c r="AJ1800" s="48"/>
      <c r="AK1800" s="24"/>
      <c r="AL1800" s="50"/>
      <c r="AM1800" s="50"/>
      <c r="AN1800" s="50"/>
      <c r="AO1800" s="50"/>
      <c r="AP1800" s="50"/>
      <c r="AQ1800" s="50"/>
      <c r="AR1800" s="50"/>
      <c r="AS1800" s="50"/>
      <c r="AT1800" s="51"/>
      <c r="AU1800" s="51"/>
      <c r="AV1800" s="51"/>
      <c r="AW1800" s="51"/>
      <c r="AX1800" s="50"/>
      <c r="AY1800" s="50"/>
      <c r="AZ1800" s="50"/>
      <c r="BA1800" s="50"/>
      <c r="BB1800" s="51"/>
      <c r="BC1800" s="51"/>
      <c r="BD1800" s="51"/>
      <c r="BE1800" s="51"/>
      <c r="BF1800" s="47"/>
      <c r="BG1800" s="47"/>
      <c r="BH1800" s="47"/>
      <c r="BI1800" s="47"/>
      <c r="BJ1800" s="47"/>
      <c r="BK1800" s="47"/>
      <c r="BL1800" s="47"/>
      <c r="BM1800" s="47"/>
      <c r="BN1800" s="47"/>
      <c r="BO1800" s="47"/>
      <c r="BP1800" s="47"/>
      <c r="BQ1800" s="47"/>
      <c r="BR1800" s="47"/>
      <c r="BS1800" s="47"/>
      <c r="BT1800" s="47"/>
    </row>
    <row r="1801">
      <c r="A1801" s="24"/>
      <c r="B1801" s="48"/>
      <c r="C1801" s="49"/>
      <c r="D1801" s="24"/>
      <c r="E1801" s="52"/>
      <c r="F1801" s="53"/>
      <c r="G1801" s="48"/>
      <c r="H1801" s="49"/>
      <c r="I1801" s="49"/>
      <c r="J1801" s="48"/>
      <c r="K1801" s="48"/>
      <c r="L1801" s="48"/>
      <c r="M1801" s="48"/>
      <c r="N1801" s="48"/>
      <c r="O1801" s="48"/>
      <c r="P1801" s="48"/>
      <c r="Q1801" s="48"/>
      <c r="R1801" s="48"/>
      <c r="S1801" s="48"/>
      <c r="T1801" s="48"/>
      <c r="U1801" s="48"/>
      <c r="V1801" s="48"/>
      <c r="W1801" s="49"/>
      <c r="X1801" s="49"/>
      <c r="Y1801" s="49"/>
      <c r="Z1801" s="49"/>
      <c r="AA1801" s="49"/>
      <c r="AB1801" s="49"/>
      <c r="AC1801" s="49"/>
      <c r="AD1801" s="49"/>
      <c r="AE1801" s="49"/>
      <c r="AF1801" s="49"/>
      <c r="AG1801" s="49"/>
      <c r="AH1801" s="49"/>
      <c r="AI1801" s="48"/>
      <c r="AJ1801" s="48"/>
      <c r="AK1801" s="24"/>
      <c r="AL1801" s="50"/>
      <c r="AM1801" s="50"/>
      <c r="AN1801" s="50"/>
      <c r="AO1801" s="50"/>
      <c r="AP1801" s="50"/>
      <c r="AQ1801" s="50"/>
      <c r="AR1801" s="50"/>
      <c r="AS1801" s="50"/>
      <c r="AT1801" s="51"/>
      <c r="AU1801" s="51"/>
      <c r="AV1801" s="51"/>
      <c r="AW1801" s="51"/>
      <c r="AX1801" s="50"/>
      <c r="AY1801" s="50"/>
      <c r="AZ1801" s="50"/>
      <c r="BA1801" s="50"/>
      <c r="BB1801" s="51"/>
      <c r="BC1801" s="51"/>
      <c r="BD1801" s="51"/>
      <c r="BE1801" s="51"/>
      <c r="BF1801" s="47"/>
      <c r="BG1801" s="47"/>
      <c r="BH1801" s="47"/>
      <c r="BI1801" s="47"/>
      <c r="BJ1801" s="47"/>
      <c r="BK1801" s="47"/>
      <c r="BL1801" s="47"/>
      <c r="BM1801" s="47"/>
      <c r="BN1801" s="47"/>
      <c r="BO1801" s="47"/>
      <c r="BP1801" s="47"/>
      <c r="BQ1801" s="47"/>
      <c r="BR1801" s="47"/>
      <c r="BS1801" s="47"/>
      <c r="BT1801" s="47"/>
    </row>
    <row r="1802">
      <c r="A1802" s="24"/>
      <c r="B1802" s="48"/>
      <c r="C1802" s="49"/>
      <c r="D1802" s="24"/>
      <c r="E1802" s="52"/>
      <c r="F1802" s="53"/>
      <c r="G1802" s="48"/>
      <c r="H1802" s="49"/>
      <c r="I1802" s="49"/>
      <c r="J1802" s="48"/>
      <c r="K1802" s="48"/>
      <c r="L1802" s="48"/>
      <c r="M1802" s="48"/>
      <c r="N1802" s="48"/>
      <c r="O1802" s="48"/>
      <c r="P1802" s="48"/>
      <c r="Q1802" s="48"/>
      <c r="R1802" s="48"/>
      <c r="S1802" s="48"/>
      <c r="T1802" s="48"/>
      <c r="U1802" s="48"/>
      <c r="V1802" s="48"/>
      <c r="W1802" s="49"/>
      <c r="X1802" s="49"/>
      <c r="Y1802" s="49"/>
      <c r="Z1802" s="49"/>
      <c r="AA1802" s="49"/>
      <c r="AB1802" s="49"/>
      <c r="AC1802" s="49"/>
      <c r="AD1802" s="49"/>
      <c r="AE1802" s="49"/>
      <c r="AF1802" s="49"/>
      <c r="AG1802" s="49"/>
      <c r="AH1802" s="49"/>
      <c r="AI1802" s="48"/>
      <c r="AJ1802" s="48"/>
      <c r="AK1802" s="24"/>
      <c r="AL1802" s="50"/>
      <c r="AM1802" s="50"/>
      <c r="AN1802" s="50"/>
      <c r="AO1802" s="50"/>
      <c r="AP1802" s="50"/>
      <c r="AQ1802" s="50"/>
      <c r="AR1802" s="50"/>
      <c r="AS1802" s="50"/>
      <c r="AT1802" s="51"/>
      <c r="AU1802" s="51"/>
      <c r="AV1802" s="51"/>
      <c r="AW1802" s="51"/>
      <c r="AX1802" s="50"/>
      <c r="AY1802" s="50"/>
      <c r="AZ1802" s="50"/>
      <c r="BA1802" s="50"/>
      <c r="BB1802" s="51"/>
      <c r="BC1802" s="51"/>
      <c r="BD1802" s="51"/>
      <c r="BE1802" s="51"/>
      <c r="BF1802" s="47"/>
      <c r="BG1802" s="47"/>
      <c r="BH1802" s="47"/>
      <c r="BI1802" s="47"/>
      <c r="BJ1802" s="47"/>
      <c r="BK1802" s="47"/>
      <c r="BL1802" s="47"/>
      <c r="BM1802" s="47"/>
      <c r="BN1802" s="47"/>
      <c r="BO1802" s="47"/>
      <c r="BP1802" s="47"/>
      <c r="BQ1802" s="47"/>
      <c r="BR1802" s="47"/>
      <c r="BS1802" s="47"/>
      <c r="BT1802" s="47"/>
    </row>
    <row r="1803">
      <c r="A1803" s="24"/>
      <c r="B1803" s="48"/>
      <c r="C1803" s="49"/>
      <c r="D1803" s="24"/>
      <c r="E1803" s="52"/>
      <c r="F1803" s="53"/>
      <c r="G1803" s="48"/>
      <c r="H1803" s="49"/>
      <c r="I1803" s="49"/>
      <c r="J1803" s="48"/>
      <c r="K1803" s="48"/>
      <c r="L1803" s="48"/>
      <c r="M1803" s="48"/>
      <c r="N1803" s="48"/>
      <c r="O1803" s="48"/>
      <c r="P1803" s="48"/>
      <c r="Q1803" s="48"/>
      <c r="R1803" s="48"/>
      <c r="S1803" s="48"/>
      <c r="T1803" s="48"/>
      <c r="U1803" s="48"/>
      <c r="V1803" s="48"/>
      <c r="W1803" s="49"/>
      <c r="X1803" s="49"/>
      <c r="Y1803" s="49"/>
      <c r="Z1803" s="49"/>
      <c r="AA1803" s="49"/>
      <c r="AB1803" s="49"/>
      <c r="AC1803" s="49"/>
      <c r="AD1803" s="49"/>
      <c r="AE1803" s="49"/>
      <c r="AF1803" s="49"/>
      <c r="AG1803" s="49"/>
      <c r="AH1803" s="49"/>
      <c r="AI1803" s="48"/>
      <c r="AJ1803" s="48"/>
      <c r="AK1803" s="24"/>
      <c r="AL1803" s="50"/>
      <c r="AM1803" s="50"/>
      <c r="AN1803" s="50"/>
      <c r="AO1803" s="50"/>
      <c r="AP1803" s="50"/>
      <c r="AQ1803" s="50"/>
      <c r="AR1803" s="50"/>
      <c r="AS1803" s="50"/>
      <c r="AT1803" s="51"/>
      <c r="AU1803" s="51"/>
      <c r="AV1803" s="51"/>
      <c r="AW1803" s="51"/>
      <c r="AX1803" s="50"/>
      <c r="AY1803" s="50"/>
      <c r="AZ1803" s="50"/>
      <c r="BA1803" s="50"/>
      <c r="BB1803" s="51"/>
      <c r="BC1803" s="51"/>
      <c r="BD1803" s="51"/>
      <c r="BE1803" s="51"/>
      <c r="BF1803" s="47"/>
      <c r="BG1803" s="47"/>
      <c r="BH1803" s="47"/>
      <c r="BI1803" s="47"/>
      <c r="BJ1803" s="47"/>
      <c r="BK1803" s="47"/>
      <c r="BL1803" s="47"/>
      <c r="BM1803" s="47"/>
      <c r="BN1803" s="47"/>
      <c r="BO1803" s="47"/>
      <c r="BP1803" s="47"/>
      <c r="BQ1803" s="47"/>
      <c r="BR1803" s="47"/>
      <c r="BS1803" s="47"/>
      <c r="BT1803" s="47"/>
    </row>
    <row r="1804">
      <c r="A1804" s="24"/>
      <c r="B1804" s="48"/>
      <c r="C1804" s="49"/>
      <c r="D1804" s="24"/>
      <c r="E1804" s="52"/>
      <c r="F1804" s="53"/>
      <c r="G1804" s="48"/>
      <c r="H1804" s="49"/>
      <c r="I1804" s="49"/>
      <c r="J1804" s="48"/>
      <c r="K1804" s="48"/>
      <c r="L1804" s="48"/>
      <c r="M1804" s="48"/>
      <c r="N1804" s="48"/>
      <c r="O1804" s="48"/>
      <c r="P1804" s="48"/>
      <c r="Q1804" s="48"/>
      <c r="R1804" s="48"/>
      <c r="S1804" s="48"/>
      <c r="T1804" s="48"/>
      <c r="U1804" s="48"/>
      <c r="V1804" s="48"/>
      <c r="W1804" s="49"/>
      <c r="X1804" s="49"/>
      <c r="Y1804" s="49"/>
      <c r="Z1804" s="49"/>
      <c r="AA1804" s="49"/>
      <c r="AB1804" s="49"/>
      <c r="AC1804" s="49"/>
      <c r="AD1804" s="49"/>
      <c r="AE1804" s="49"/>
      <c r="AF1804" s="49"/>
      <c r="AG1804" s="49"/>
      <c r="AH1804" s="49"/>
      <c r="AI1804" s="48"/>
      <c r="AJ1804" s="48"/>
      <c r="AK1804" s="24"/>
      <c r="AL1804" s="50"/>
      <c r="AM1804" s="50"/>
      <c r="AN1804" s="50"/>
      <c r="AO1804" s="50"/>
      <c r="AP1804" s="50"/>
      <c r="AQ1804" s="50"/>
      <c r="AR1804" s="50"/>
      <c r="AS1804" s="50"/>
      <c r="AT1804" s="51"/>
      <c r="AU1804" s="51"/>
      <c r="AV1804" s="51"/>
      <c r="AW1804" s="51"/>
      <c r="AX1804" s="50"/>
      <c r="AY1804" s="50"/>
      <c r="AZ1804" s="50"/>
      <c r="BA1804" s="50"/>
      <c r="BB1804" s="51"/>
      <c r="BC1804" s="51"/>
      <c r="BD1804" s="51"/>
      <c r="BE1804" s="51"/>
      <c r="BF1804" s="47"/>
      <c r="BG1804" s="47"/>
      <c r="BH1804" s="47"/>
      <c r="BI1804" s="47"/>
      <c r="BJ1804" s="47"/>
      <c r="BK1804" s="47"/>
      <c r="BL1804" s="47"/>
      <c r="BM1804" s="47"/>
      <c r="BN1804" s="47"/>
      <c r="BO1804" s="47"/>
      <c r="BP1804" s="47"/>
      <c r="BQ1804" s="47"/>
      <c r="BR1804" s="47"/>
      <c r="BS1804" s="47"/>
      <c r="BT1804" s="47"/>
    </row>
    <row r="1805">
      <c r="A1805" s="24"/>
      <c r="B1805" s="48"/>
      <c r="C1805" s="49"/>
      <c r="D1805" s="24"/>
      <c r="E1805" s="52"/>
      <c r="F1805" s="53"/>
      <c r="G1805" s="48"/>
      <c r="H1805" s="49"/>
      <c r="I1805" s="49"/>
      <c r="J1805" s="48"/>
      <c r="K1805" s="48"/>
      <c r="L1805" s="48"/>
      <c r="M1805" s="48"/>
      <c r="N1805" s="48"/>
      <c r="O1805" s="48"/>
      <c r="P1805" s="48"/>
      <c r="Q1805" s="48"/>
      <c r="R1805" s="48"/>
      <c r="S1805" s="48"/>
      <c r="T1805" s="48"/>
      <c r="U1805" s="48"/>
      <c r="V1805" s="48"/>
      <c r="W1805" s="49"/>
      <c r="X1805" s="49"/>
      <c r="Y1805" s="49"/>
      <c r="Z1805" s="49"/>
      <c r="AA1805" s="49"/>
      <c r="AB1805" s="49"/>
      <c r="AC1805" s="49"/>
      <c r="AD1805" s="49"/>
      <c r="AE1805" s="49"/>
      <c r="AF1805" s="49"/>
      <c r="AG1805" s="49"/>
      <c r="AH1805" s="49"/>
      <c r="AI1805" s="48"/>
      <c r="AJ1805" s="48"/>
      <c r="AK1805" s="24"/>
      <c r="AL1805" s="50"/>
      <c r="AM1805" s="50"/>
      <c r="AN1805" s="50"/>
      <c r="AO1805" s="50"/>
      <c r="AP1805" s="50"/>
      <c r="AQ1805" s="50"/>
      <c r="AR1805" s="50"/>
      <c r="AS1805" s="50"/>
      <c r="AT1805" s="51"/>
      <c r="AU1805" s="51"/>
      <c r="AV1805" s="51"/>
      <c r="AW1805" s="51"/>
      <c r="AX1805" s="50"/>
      <c r="AY1805" s="50"/>
      <c r="AZ1805" s="50"/>
      <c r="BA1805" s="50"/>
      <c r="BB1805" s="51"/>
      <c r="BC1805" s="51"/>
      <c r="BD1805" s="51"/>
      <c r="BE1805" s="51"/>
      <c r="BF1805" s="47"/>
      <c r="BG1805" s="47"/>
      <c r="BH1805" s="47"/>
      <c r="BI1805" s="47"/>
      <c r="BJ1805" s="47"/>
      <c r="BK1805" s="47"/>
      <c r="BL1805" s="47"/>
      <c r="BM1805" s="47"/>
      <c r="BN1805" s="47"/>
      <c r="BO1805" s="47"/>
      <c r="BP1805" s="47"/>
      <c r="BQ1805" s="47"/>
      <c r="BR1805" s="47"/>
      <c r="BS1805" s="47"/>
      <c r="BT1805" s="47"/>
    </row>
    <row r="1806">
      <c r="A1806" s="24"/>
      <c r="B1806" s="48"/>
      <c r="C1806" s="49"/>
      <c r="D1806" s="24"/>
      <c r="E1806" s="52"/>
      <c r="F1806" s="53"/>
      <c r="G1806" s="48"/>
      <c r="H1806" s="49"/>
      <c r="I1806" s="49"/>
      <c r="J1806" s="48"/>
      <c r="K1806" s="48"/>
      <c r="L1806" s="48"/>
      <c r="M1806" s="48"/>
      <c r="N1806" s="48"/>
      <c r="O1806" s="48"/>
      <c r="P1806" s="48"/>
      <c r="Q1806" s="48"/>
      <c r="R1806" s="48"/>
      <c r="S1806" s="48"/>
      <c r="T1806" s="48"/>
      <c r="U1806" s="48"/>
      <c r="V1806" s="48"/>
      <c r="W1806" s="49"/>
      <c r="X1806" s="49"/>
      <c r="Y1806" s="49"/>
      <c r="Z1806" s="49"/>
      <c r="AA1806" s="49"/>
      <c r="AB1806" s="49"/>
      <c r="AC1806" s="49"/>
      <c r="AD1806" s="49"/>
      <c r="AE1806" s="49"/>
      <c r="AF1806" s="49"/>
      <c r="AG1806" s="49"/>
      <c r="AH1806" s="49"/>
      <c r="AI1806" s="48"/>
      <c r="AJ1806" s="48"/>
      <c r="AK1806" s="24"/>
      <c r="AL1806" s="50"/>
      <c r="AM1806" s="50"/>
      <c r="AN1806" s="50"/>
      <c r="AO1806" s="50"/>
      <c r="AP1806" s="50"/>
      <c r="AQ1806" s="50"/>
      <c r="AR1806" s="50"/>
      <c r="AS1806" s="50"/>
      <c r="AT1806" s="51"/>
      <c r="AU1806" s="51"/>
      <c r="AV1806" s="51"/>
      <c r="AW1806" s="51"/>
      <c r="AX1806" s="50"/>
      <c r="AY1806" s="50"/>
      <c r="AZ1806" s="50"/>
      <c r="BA1806" s="50"/>
      <c r="BB1806" s="51"/>
      <c r="BC1806" s="51"/>
      <c r="BD1806" s="51"/>
      <c r="BE1806" s="51"/>
      <c r="BF1806" s="47"/>
      <c r="BG1806" s="47"/>
      <c r="BH1806" s="47"/>
      <c r="BI1806" s="47"/>
      <c r="BJ1806" s="47"/>
      <c r="BK1806" s="47"/>
      <c r="BL1806" s="47"/>
      <c r="BM1806" s="47"/>
      <c r="BN1806" s="47"/>
      <c r="BO1806" s="47"/>
      <c r="BP1806" s="47"/>
      <c r="BQ1806" s="47"/>
      <c r="BR1806" s="47"/>
      <c r="BS1806" s="47"/>
      <c r="BT1806" s="47"/>
    </row>
    <row r="1807">
      <c r="A1807" s="24"/>
      <c r="B1807" s="48"/>
      <c r="C1807" s="49"/>
      <c r="D1807" s="24"/>
      <c r="E1807" s="52"/>
      <c r="F1807" s="53"/>
      <c r="G1807" s="48"/>
      <c r="H1807" s="49"/>
      <c r="I1807" s="49"/>
      <c r="J1807" s="48"/>
      <c r="K1807" s="48"/>
      <c r="L1807" s="48"/>
      <c r="M1807" s="48"/>
      <c r="N1807" s="48"/>
      <c r="O1807" s="48"/>
      <c r="P1807" s="48"/>
      <c r="Q1807" s="48"/>
      <c r="R1807" s="48"/>
      <c r="S1807" s="48"/>
      <c r="T1807" s="48"/>
      <c r="U1807" s="48"/>
      <c r="V1807" s="48"/>
      <c r="W1807" s="49"/>
      <c r="X1807" s="49"/>
      <c r="Y1807" s="49"/>
      <c r="Z1807" s="49"/>
      <c r="AA1807" s="49"/>
      <c r="AB1807" s="49"/>
      <c r="AC1807" s="49"/>
      <c r="AD1807" s="49"/>
      <c r="AE1807" s="49"/>
      <c r="AF1807" s="49"/>
      <c r="AG1807" s="49"/>
      <c r="AH1807" s="49"/>
      <c r="AI1807" s="48"/>
      <c r="AJ1807" s="48"/>
      <c r="AK1807" s="24"/>
      <c r="AL1807" s="50"/>
      <c r="AM1807" s="50"/>
      <c r="AN1807" s="50"/>
      <c r="AO1807" s="50"/>
      <c r="AP1807" s="50"/>
      <c r="AQ1807" s="50"/>
      <c r="AR1807" s="50"/>
      <c r="AS1807" s="50"/>
      <c r="AT1807" s="51"/>
      <c r="AU1807" s="51"/>
      <c r="AV1807" s="51"/>
      <c r="AW1807" s="51"/>
      <c r="AX1807" s="50"/>
      <c r="AY1807" s="50"/>
      <c r="AZ1807" s="50"/>
      <c r="BA1807" s="50"/>
      <c r="BB1807" s="51"/>
      <c r="BC1807" s="51"/>
      <c r="BD1807" s="51"/>
      <c r="BE1807" s="51"/>
      <c r="BF1807" s="47"/>
      <c r="BG1807" s="47"/>
      <c r="BH1807" s="47"/>
      <c r="BI1807" s="47"/>
      <c r="BJ1807" s="47"/>
      <c r="BK1807" s="47"/>
      <c r="BL1807" s="47"/>
      <c r="BM1807" s="47"/>
      <c r="BN1807" s="47"/>
      <c r="BO1807" s="47"/>
      <c r="BP1807" s="47"/>
      <c r="BQ1807" s="47"/>
      <c r="BR1807" s="47"/>
      <c r="BS1807" s="47"/>
      <c r="BT1807" s="47"/>
    </row>
    <row r="1808">
      <c r="A1808" s="24"/>
      <c r="B1808" s="48"/>
      <c r="C1808" s="49"/>
      <c r="D1808" s="24"/>
      <c r="E1808" s="52"/>
      <c r="F1808" s="53"/>
      <c r="G1808" s="48"/>
      <c r="H1808" s="49"/>
      <c r="I1808" s="49"/>
      <c r="J1808" s="48"/>
      <c r="K1808" s="48"/>
      <c r="L1808" s="48"/>
      <c r="M1808" s="48"/>
      <c r="N1808" s="48"/>
      <c r="O1808" s="48"/>
      <c r="P1808" s="48"/>
      <c r="Q1808" s="48"/>
      <c r="R1808" s="48"/>
      <c r="S1808" s="48"/>
      <c r="T1808" s="48"/>
      <c r="U1808" s="48"/>
      <c r="V1808" s="48"/>
      <c r="W1808" s="49"/>
      <c r="X1808" s="49"/>
      <c r="Y1808" s="49"/>
      <c r="Z1808" s="49"/>
      <c r="AA1808" s="49"/>
      <c r="AB1808" s="49"/>
      <c r="AC1808" s="49"/>
      <c r="AD1808" s="49"/>
      <c r="AE1808" s="49"/>
      <c r="AF1808" s="49"/>
      <c r="AG1808" s="49"/>
      <c r="AH1808" s="49"/>
      <c r="AI1808" s="48"/>
      <c r="AJ1808" s="48"/>
      <c r="AK1808" s="24"/>
      <c r="AL1808" s="50"/>
      <c r="AM1808" s="50"/>
      <c r="AN1808" s="50"/>
      <c r="AO1808" s="50"/>
      <c r="AP1808" s="50"/>
      <c r="AQ1808" s="50"/>
      <c r="AR1808" s="50"/>
      <c r="AS1808" s="50"/>
      <c r="AT1808" s="51"/>
      <c r="AU1808" s="51"/>
      <c r="AV1808" s="51"/>
      <c r="AW1808" s="51"/>
      <c r="AX1808" s="50"/>
      <c r="AY1808" s="50"/>
      <c r="AZ1808" s="50"/>
      <c r="BA1808" s="50"/>
      <c r="BB1808" s="51"/>
      <c r="BC1808" s="51"/>
      <c r="BD1808" s="51"/>
      <c r="BE1808" s="51"/>
      <c r="BF1808" s="47"/>
      <c r="BG1808" s="47"/>
      <c r="BH1808" s="47"/>
      <c r="BI1808" s="47"/>
      <c r="BJ1808" s="47"/>
      <c r="BK1808" s="47"/>
      <c r="BL1808" s="47"/>
      <c r="BM1808" s="47"/>
      <c r="BN1808" s="47"/>
      <c r="BO1808" s="47"/>
      <c r="BP1808" s="47"/>
      <c r="BQ1808" s="47"/>
      <c r="BR1808" s="47"/>
      <c r="BS1808" s="47"/>
      <c r="BT1808" s="47"/>
    </row>
    <row r="1809">
      <c r="A1809" s="24"/>
      <c r="B1809" s="48"/>
      <c r="C1809" s="49"/>
      <c r="D1809" s="24"/>
      <c r="E1809" s="52"/>
      <c r="F1809" s="53"/>
      <c r="G1809" s="48"/>
      <c r="H1809" s="49"/>
      <c r="I1809" s="49"/>
      <c r="J1809" s="48"/>
      <c r="K1809" s="48"/>
      <c r="L1809" s="48"/>
      <c r="M1809" s="48"/>
      <c r="N1809" s="48"/>
      <c r="O1809" s="48"/>
      <c r="P1809" s="48"/>
      <c r="Q1809" s="48"/>
      <c r="R1809" s="48"/>
      <c r="S1809" s="48"/>
      <c r="T1809" s="48"/>
      <c r="U1809" s="48"/>
      <c r="V1809" s="48"/>
      <c r="W1809" s="49"/>
      <c r="X1809" s="49"/>
      <c r="Y1809" s="49"/>
      <c r="Z1809" s="49"/>
      <c r="AA1809" s="49"/>
      <c r="AB1809" s="49"/>
      <c r="AC1809" s="49"/>
      <c r="AD1809" s="49"/>
      <c r="AE1809" s="49"/>
      <c r="AF1809" s="49"/>
      <c r="AG1809" s="49"/>
      <c r="AH1809" s="49"/>
      <c r="AI1809" s="48"/>
      <c r="AJ1809" s="48"/>
      <c r="AK1809" s="24"/>
      <c r="AL1809" s="50"/>
      <c r="AM1809" s="50"/>
      <c r="AN1809" s="50"/>
      <c r="AO1809" s="50"/>
      <c r="AP1809" s="50"/>
      <c r="AQ1809" s="50"/>
      <c r="AR1809" s="50"/>
      <c r="AS1809" s="50"/>
      <c r="AT1809" s="51"/>
      <c r="AU1809" s="51"/>
      <c r="AV1809" s="51"/>
      <c r="AW1809" s="51"/>
      <c r="AX1809" s="50"/>
      <c r="AY1809" s="50"/>
      <c r="AZ1809" s="50"/>
      <c r="BA1809" s="50"/>
      <c r="BB1809" s="51"/>
      <c r="BC1809" s="51"/>
      <c r="BD1809" s="51"/>
      <c r="BE1809" s="51"/>
      <c r="BF1809" s="47"/>
      <c r="BG1809" s="47"/>
      <c r="BH1809" s="47"/>
      <c r="BI1809" s="47"/>
      <c r="BJ1809" s="47"/>
      <c r="BK1809" s="47"/>
      <c r="BL1809" s="47"/>
      <c r="BM1809" s="47"/>
      <c r="BN1809" s="47"/>
      <c r="BO1809" s="47"/>
      <c r="BP1809" s="47"/>
      <c r="BQ1809" s="47"/>
      <c r="BR1809" s="47"/>
      <c r="BS1809" s="47"/>
      <c r="BT1809" s="47"/>
    </row>
    <row r="1810">
      <c r="A1810" s="24"/>
      <c r="B1810" s="48"/>
      <c r="C1810" s="49"/>
      <c r="D1810" s="24"/>
      <c r="E1810" s="52"/>
      <c r="F1810" s="53"/>
      <c r="G1810" s="48"/>
      <c r="H1810" s="49"/>
      <c r="I1810" s="49"/>
      <c r="J1810" s="48"/>
      <c r="K1810" s="48"/>
      <c r="L1810" s="48"/>
      <c r="M1810" s="48"/>
      <c r="N1810" s="48"/>
      <c r="O1810" s="48"/>
      <c r="P1810" s="48"/>
      <c r="Q1810" s="48"/>
      <c r="R1810" s="48"/>
      <c r="S1810" s="48"/>
      <c r="T1810" s="48"/>
      <c r="U1810" s="48"/>
      <c r="V1810" s="48"/>
      <c r="W1810" s="49"/>
      <c r="X1810" s="49"/>
      <c r="Y1810" s="49"/>
      <c r="Z1810" s="49"/>
      <c r="AA1810" s="49"/>
      <c r="AB1810" s="49"/>
      <c r="AC1810" s="49"/>
      <c r="AD1810" s="49"/>
      <c r="AE1810" s="49"/>
      <c r="AF1810" s="49"/>
      <c r="AG1810" s="49"/>
      <c r="AH1810" s="49"/>
      <c r="AI1810" s="48"/>
      <c r="AJ1810" s="48"/>
      <c r="AK1810" s="24"/>
      <c r="AL1810" s="50"/>
      <c r="AM1810" s="50"/>
      <c r="AN1810" s="50"/>
      <c r="AO1810" s="50"/>
      <c r="AP1810" s="50"/>
      <c r="AQ1810" s="50"/>
      <c r="AR1810" s="50"/>
      <c r="AS1810" s="50"/>
      <c r="AT1810" s="51"/>
      <c r="AU1810" s="51"/>
      <c r="AV1810" s="51"/>
      <c r="AW1810" s="51"/>
      <c r="AX1810" s="50"/>
      <c r="AY1810" s="50"/>
      <c r="AZ1810" s="50"/>
      <c r="BA1810" s="50"/>
      <c r="BB1810" s="51"/>
      <c r="BC1810" s="51"/>
      <c r="BD1810" s="51"/>
      <c r="BE1810" s="51"/>
      <c r="BF1810" s="47"/>
      <c r="BG1810" s="47"/>
      <c r="BH1810" s="47"/>
      <c r="BI1810" s="47"/>
      <c r="BJ1810" s="47"/>
      <c r="BK1810" s="47"/>
      <c r="BL1810" s="47"/>
      <c r="BM1810" s="47"/>
      <c r="BN1810" s="47"/>
      <c r="BO1810" s="47"/>
      <c r="BP1810" s="47"/>
      <c r="BQ1810" s="47"/>
      <c r="BR1810" s="47"/>
      <c r="BS1810" s="47"/>
      <c r="BT1810" s="47"/>
    </row>
    <row r="1811">
      <c r="A1811" s="24"/>
      <c r="B1811" s="48"/>
      <c r="C1811" s="49"/>
      <c r="D1811" s="24"/>
      <c r="E1811" s="52"/>
      <c r="F1811" s="53"/>
      <c r="G1811" s="48"/>
      <c r="H1811" s="49"/>
      <c r="I1811" s="49"/>
      <c r="J1811" s="48"/>
      <c r="K1811" s="48"/>
      <c r="L1811" s="48"/>
      <c r="M1811" s="48"/>
      <c r="N1811" s="48"/>
      <c r="O1811" s="48"/>
      <c r="P1811" s="48"/>
      <c r="Q1811" s="48"/>
      <c r="R1811" s="48"/>
      <c r="S1811" s="48"/>
      <c r="T1811" s="48"/>
      <c r="U1811" s="48"/>
      <c r="V1811" s="48"/>
      <c r="W1811" s="49"/>
      <c r="X1811" s="49"/>
      <c r="Y1811" s="49"/>
      <c r="Z1811" s="49"/>
      <c r="AA1811" s="49"/>
      <c r="AB1811" s="49"/>
      <c r="AC1811" s="49"/>
      <c r="AD1811" s="49"/>
      <c r="AE1811" s="49"/>
      <c r="AF1811" s="49"/>
      <c r="AG1811" s="49"/>
      <c r="AH1811" s="49"/>
      <c r="AI1811" s="48"/>
      <c r="AJ1811" s="48"/>
      <c r="AK1811" s="24"/>
      <c r="AL1811" s="50"/>
      <c r="AM1811" s="50"/>
      <c r="AN1811" s="50"/>
      <c r="AO1811" s="50"/>
      <c r="AP1811" s="50"/>
      <c r="AQ1811" s="50"/>
      <c r="AR1811" s="50"/>
      <c r="AS1811" s="50"/>
      <c r="AT1811" s="51"/>
      <c r="AU1811" s="51"/>
      <c r="AV1811" s="51"/>
      <c r="AW1811" s="51"/>
      <c r="AX1811" s="50"/>
      <c r="AY1811" s="50"/>
      <c r="AZ1811" s="50"/>
      <c r="BA1811" s="50"/>
      <c r="BB1811" s="51"/>
      <c r="BC1811" s="51"/>
      <c r="BD1811" s="51"/>
      <c r="BE1811" s="51"/>
      <c r="BF1811" s="47"/>
      <c r="BG1811" s="47"/>
      <c r="BH1811" s="47"/>
      <c r="BI1811" s="47"/>
      <c r="BJ1811" s="47"/>
      <c r="BK1811" s="47"/>
      <c r="BL1811" s="47"/>
      <c r="BM1811" s="47"/>
      <c r="BN1811" s="47"/>
      <c r="BO1811" s="47"/>
      <c r="BP1811" s="47"/>
      <c r="BQ1811" s="47"/>
      <c r="BR1811" s="47"/>
      <c r="BS1811" s="47"/>
      <c r="BT1811" s="47"/>
    </row>
    <row r="1812">
      <c r="A1812" s="24"/>
      <c r="B1812" s="48"/>
      <c r="C1812" s="49"/>
      <c r="D1812" s="24"/>
      <c r="E1812" s="52"/>
      <c r="F1812" s="53"/>
      <c r="G1812" s="48"/>
      <c r="H1812" s="49"/>
      <c r="I1812" s="49"/>
      <c r="J1812" s="48"/>
      <c r="K1812" s="48"/>
      <c r="L1812" s="48"/>
      <c r="M1812" s="48"/>
      <c r="N1812" s="48"/>
      <c r="O1812" s="48"/>
      <c r="P1812" s="48"/>
      <c r="Q1812" s="48"/>
      <c r="R1812" s="48"/>
      <c r="S1812" s="48"/>
      <c r="T1812" s="48"/>
      <c r="U1812" s="48"/>
      <c r="V1812" s="48"/>
      <c r="W1812" s="49"/>
      <c r="X1812" s="49"/>
      <c r="Y1812" s="49"/>
      <c r="Z1812" s="49"/>
      <c r="AA1812" s="49"/>
      <c r="AB1812" s="49"/>
      <c r="AC1812" s="49"/>
      <c r="AD1812" s="49"/>
      <c r="AE1812" s="49"/>
      <c r="AF1812" s="49"/>
      <c r="AG1812" s="49"/>
      <c r="AH1812" s="49"/>
      <c r="AI1812" s="48"/>
      <c r="AJ1812" s="48"/>
      <c r="AK1812" s="24"/>
      <c r="AL1812" s="50"/>
      <c r="AM1812" s="50"/>
      <c r="AN1812" s="50"/>
      <c r="AO1812" s="50"/>
      <c r="AP1812" s="50"/>
      <c r="AQ1812" s="50"/>
      <c r="AR1812" s="50"/>
      <c r="AS1812" s="50"/>
      <c r="AT1812" s="51"/>
      <c r="AU1812" s="51"/>
      <c r="AV1812" s="51"/>
      <c r="AW1812" s="51"/>
      <c r="AX1812" s="50"/>
      <c r="AY1812" s="50"/>
      <c r="AZ1812" s="50"/>
      <c r="BA1812" s="50"/>
      <c r="BB1812" s="51"/>
      <c r="BC1812" s="51"/>
      <c r="BD1812" s="51"/>
      <c r="BE1812" s="51"/>
      <c r="BF1812" s="47"/>
      <c r="BG1812" s="47"/>
      <c r="BH1812" s="47"/>
      <c r="BI1812" s="47"/>
      <c r="BJ1812" s="47"/>
      <c r="BK1812" s="47"/>
      <c r="BL1812" s="47"/>
      <c r="BM1812" s="47"/>
      <c r="BN1812" s="47"/>
      <c r="BO1812" s="47"/>
      <c r="BP1812" s="47"/>
      <c r="BQ1812" s="47"/>
      <c r="BR1812" s="47"/>
      <c r="BS1812" s="47"/>
      <c r="BT1812" s="47"/>
    </row>
    <row r="1813">
      <c r="A1813" s="24"/>
      <c r="B1813" s="48"/>
      <c r="C1813" s="49"/>
      <c r="D1813" s="24"/>
      <c r="E1813" s="52"/>
      <c r="F1813" s="53"/>
      <c r="G1813" s="48"/>
      <c r="H1813" s="49"/>
      <c r="I1813" s="49"/>
      <c r="J1813" s="48"/>
      <c r="K1813" s="48"/>
      <c r="L1813" s="48"/>
      <c r="M1813" s="48"/>
      <c r="N1813" s="48"/>
      <c r="O1813" s="48"/>
      <c r="P1813" s="48"/>
      <c r="Q1813" s="48"/>
      <c r="R1813" s="48"/>
      <c r="S1813" s="48"/>
      <c r="T1813" s="48"/>
      <c r="U1813" s="48"/>
      <c r="V1813" s="48"/>
      <c r="W1813" s="49"/>
      <c r="X1813" s="49"/>
      <c r="Y1813" s="49"/>
      <c r="Z1813" s="49"/>
      <c r="AA1813" s="49"/>
      <c r="AB1813" s="49"/>
      <c r="AC1813" s="49"/>
      <c r="AD1813" s="49"/>
      <c r="AE1813" s="49"/>
      <c r="AF1813" s="49"/>
      <c r="AG1813" s="49"/>
      <c r="AH1813" s="49"/>
      <c r="AI1813" s="48"/>
      <c r="AJ1813" s="48"/>
      <c r="AK1813" s="24"/>
      <c r="AL1813" s="50"/>
      <c r="AM1813" s="50"/>
      <c r="AN1813" s="50"/>
      <c r="AO1813" s="50"/>
      <c r="AP1813" s="50"/>
      <c r="AQ1813" s="50"/>
      <c r="AR1813" s="50"/>
      <c r="AS1813" s="50"/>
      <c r="AT1813" s="51"/>
      <c r="AU1813" s="51"/>
      <c r="AV1813" s="51"/>
      <c r="AW1813" s="51"/>
      <c r="AX1813" s="50"/>
      <c r="AY1813" s="50"/>
      <c r="AZ1813" s="50"/>
      <c r="BA1813" s="50"/>
      <c r="BB1813" s="51"/>
      <c r="BC1813" s="51"/>
      <c r="BD1813" s="51"/>
      <c r="BE1813" s="51"/>
      <c r="BF1813" s="47"/>
      <c r="BG1813" s="47"/>
      <c r="BH1813" s="47"/>
      <c r="BI1813" s="47"/>
      <c r="BJ1813" s="47"/>
      <c r="BK1813" s="47"/>
      <c r="BL1813" s="47"/>
      <c r="BM1813" s="47"/>
      <c r="BN1813" s="47"/>
      <c r="BO1813" s="47"/>
      <c r="BP1813" s="47"/>
      <c r="BQ1813" s="47"/>
      <c r="BR1813" s="47"/>
      <c r="BS1813" s="47"/>
      <c r="BT1813" s="47"/>
    </row>
    <row r="1814">
      <c r="A1814" s="24"/>
      <c r="B1814" s="48"/>
      <c r="C1814" s="49"/>
      <c r="D1814" s="24"/>
      <c r="E1814" s="52"/>
      <c r="F1814" s="53"/>
      <c r="G1814" s="48"/>
      <c r="H1814" s="49"/>
      <c r="I1814" s="49"/>
      <c r="J1814" s="48"/>
      <c r="K1814" s="48"/>
      <c r="L1814" s="48"/>
      <c r="M1814" s="48"/>
      <c r="N1814" s="48"/>
      <c r="O1814" s="48"/>
      <c r="P1814" s="48"/>
      <c r="Q1814" s="48"/>
      <c r="R1814" s="48"/>
      <c r="S1814" s="48"/>
      <c r="T1814" s="48"/>
      <c r="U1814" s="48"/>
      <c r="V1814" s="48"/>
      <c r="W1814" s="49"/>
      <c r="X1814" s="49"/>
      <c r="Y1814" s="49"/>
      <c r="Z1814" s="49"/>
      <c r="AA1814" s="49"/>
      <c r="AB1814" s="49"/>
      <c r="AC1814" s="49"/>
      <c r="AD1814" s="49"/>
      <c r="AE1814" s="49"/>
      <c r="AF1814" s="49"/>
      <c r="AG1814" s="49"/>
      <c r="AH1814" s="49"/>
      <c r="AI1814" s="48"/>
      <c r="AJ1814" s="48"/>
      <c r="AK1814" s="24"/>
      <c r="AL1814" s="50"/>
      <c r="AM1814" s="50"/>
      <c r="AN1814" s="50"/>
      <c r="AO1814" s="50"/>
      <c r="AP1814" s="50"/>
      <c r="AQ1814" s="50"/>
      <c r="AR1814" s="50"/>
      <c r="AS1814" s="50"/>
      <c r="AT1814" s="51"/>
      <c r="AU1814" s="51"/>
      <c r="AV1814" s="51"/>
      <c r="AW1814" s="51"/>
      <c r="AX1814" s="50"/>
      <c r="AY1814" s="50"/>
      <c r="AZ1814" s="50"/>
      <c r="BA1814" s="50"/>
      <c r="BB1814" s="51"/>
      <c r="BC1814" s="51"/>
      <c r="BD1814" s="51"/>
      <c r="BE1814" s="51"/>
      <c r="BF1814" s="47"/>
      <c r="BG1814" s="47"/>
      <c r="BH1814" s="47"/>
      <c r="BI1814" s="47"/>
      <c r="BJ1814" s="47"/>
      <c r="BK1814" s="47"/>
      <c r="BL1814" s="47"/>
      <c r="BM1814" s="47"/>
      <c r="BN1814" s="47"/>
      <c r="BO1814" s="47"/>
      <c r="BP1814" s="47"/>
      <c r="BQ1814" s="47"/>
      <c r="BR1814" s="47"/>
      <c r="BS1814" s="47"/>
      <c r="BT1814" s="47"/>
    </row>
    <row r="1815">
      <c r="A1815" s="24"/>
      <c r="B1815" s="48"/>
      <c r="C1815" s="49"/>
      <c r="D1815" s="24"/>
      <c r="E1815" s="52"/>
      <c r="F1815" s="53"/>
      <c r="G1815" s="48"/>
      <c r="H1815" s="49"/>
      <c r="I1815" s="49"/>
      <c r="J1815" s="48"/>
      <c r="K1815" s="48"/>
      <c r="L1815" s="48"/>
      <c r="M1815" s="48"/>
      <c r="N1815" s="48"/>
      <c r="O1815" s="48"/>
      <c r="P1815" s="48"/>
      <c r="Q1815" s="48"/>
      <c r="R1815" s="48"/>
      <c r="S1815" s="48"/>
      <c r="T1815" s="48"/>
      <c r="U1815" s="48"/>
      <c r="V1815" s="48"/>
      <c r="W1815" s="49"/>
      <c r="X1815" s="49"/>
      <c r="Y1815" s="49"/>
      <c r="Z1815" s="49"/>
      <c r="AA1815" s="49"/>
      <c r="AB1815" s="49"/>
      <c r="AC1815" s="49"/>
      <c r="AD1815" s="49"/>
      <c r="AE1815" s="49"/>
      <c r="AF1815" s="49"/>
      <c r="AG1815" s="49"/>
      <c r="AH1815" s="49"/>
      <c r="AI1815" s="48"/>
      <c r="AJ1815" s="48"/>
      <c r="AK1815" s="24"/>
      <c r="AL1815" s="50"/>
      <c r="AM1815" s="50"/>
      <c r="AN1815" s="50"/>
      <c r="AO1815" s="50"/>
      <c r="AP1815" s="50"/>
      <c r="AQ1815" s="50"/>
      <c r="AR1815" s="50"/>
      <c r="AS1815" s="50"/>
      <c r="AT1815" s="51"/>
      <c r="AU1815" s="51"/>
      <c r="AV1815" s="51"/>
      <c r="AW1815" s="51"/>
      <c r="AX1815" s="50"/>
      <c r="AY1815" s="50"/>
      <c r="AZ1815" s="50"/>
      <c r="BA1815" s="50"/>
      <c r="BB1815" s="51"/>
      <c r="BC1815" s="51"/>
      <c r="BD1815" s="51"/>
      <c r="BE1815" s="51"/>
      <c r="BF1815" s="47"/>
      <c r="BG1815" s="47"/>
      <c r="BH1815" s="47"/>
      <c r="BI1815" s="47"/>
      <c r="BJ1815" s="47"/>
      <c r="BK1815" s="47"/>
      <c r="BL1815" s="47"/>
      <c r="BM1815" s="47"/>
      <c r="BN1815" s="47"/>
      <c r="BO1815" s="47"/>
      <c r="BP1815" s="47"/>
      <c r="BQ1815" s="47"/>
      <c r="BR1815" s="47"/>
      <c r="BS1815" s="47"/>
      <c r="BT1815" s="47"/>
    </row>
    <row r="1816">
      <c r="A1816" s="24"/>
      <c r="B1816" s="48"/>
      <c r="C1816" s="49"/>
      <c r="D1816" s="24"/>
      <c r="E1816" s="52"/>
      <c r="F1816" s="53"/>
      <c r="G1816" s="48"/>
      <c r="H1816" s="49"/>
      <c r="I1816" s="49"/>
      <c r="J1816" s="48"/>
      <c r="K1816" s="48"/>
      <c r="L1816" s="48"/>
      <c r="M1816" s="48"/>
      <c r="N1816" s="48"/>
      <c r="O1816" s="48"/>
      <c r="P1816" s="48"/>
      <c r="Q1816" s="48"/>
      <c r="R1816" s="48"/>
      <c r="S1816" s="48"/>
      <c r="T1816" s="48"/>
      <c r="U1816" s="48"/>
      <c r="V1816" s="48"/>
      <c r="W1816" s="49"/>
      <c r="X1816" s="49"/>
      <c r="Y1816" s="49"/>
      <c r="Z1816" s="49"/>
      <c r="AA1816" s="49"/>
      <c r="AB1816" s="49"/>
      <c r="AC1816" s="49"/>
      <c r="AD1816" s="49"/>
      <c r="AE1816" s="49"/>
      <c r="AF1816" s="49"/>
      <c r="AG1816" s="49"/>
      <c r="AH1816" s="49"/>
      <c r="AI1816" s="48"/>
      <c r="AJ1816" s="48"/>
      <c r="AK1816" s="24"/>
      <c r="AL1816" s="50"/>
      <c r="AM1816" s="50"/>
      <c r="AN1816" s="50"/>
      <c r="AO1816" s="50"/>
      <c r="AP1816" s="50"/>
      <c r="AQ1816" s="50"/>
      <c r="AR1816" s="50"/>
      <c r="AS1816" s="50"/>
      <c r="AT1816" s="51"/>
      <c r="AU1816" s="51"/>
      <c r="AV1816" s="51"/>
      <c r="AW1816" s="51"/>
      <c r="AX1816" s="50"/>
      <c r="AY1816" s="50"/>
      <c r="AZ1816" s="50"/>
      <c r="BA1816" s="50"/>
      <c r="BB1816" s="51"/>
      <c r="BC1816" s="51"/>
      <c r="BD1816" s="51"/>
      <c r="BE1816" s="51"/>
      <c r="BF1816" s="47"/>
      <c r="BG1816" s="47"/>
      <c r="BH1816" s="47"/>
      <c r="BI1816" s="47"/>
      <c r="BJ1816" s="47"/>
      <c r="BK1816" s="47"/>
      <c r="BL1816" s="47"/>
      <c r="BM1816" s="47"/>
      <c r="BN1816" s="47"/>
      <c r="BO1816" s="47"/>
      <c r="BP1816" s="47"/>
      <c r="BQ1816" s="47"/>
      <c r="BR1816" s="47"/>
      <c r="BS1816" s="47"/>
      <c r="BT1816" s="47"/>
    </row>
    <row r="1817">
      <c r="A1817" s="24"/>
      <c r="B1817" s="48"/>
      <c r="C1817" s="49"/>
      <c r="D1817" s="24"/>
      <c r="E1817" s="52"/>
      <c r="F1817" s="53"/>
      <c r="G1817" s="48"/>
      <c r="H1817" s="49"/>
      <c r="I1817" s="49"/>
      <c r="J1817" s="48"/>
      <c r="K1817" s="48"/>
      <c r="L1817" s="48"/>
      <c r="M1817" s="48"/>
      <c r="N1817" s="48"/>
      <c r="O1817" s="48"/>
      <c r="P1817" s="48"/>
      <c r="Q1817" s="48"/>
      <c r="R1817" s="48"/>
      <c r="S1817" s="48"/>
      <c r="T1817" s="48"/>
      <c r="U1817" s="48"/>
      <c r="V1817" s="48"/>
      <c r="W1817" s="49"/>
      <c r="X1817" s="49"/>
      <c r="Y1817" s="49"/>
      <c r="Z1817" s="49"/>
      <c r="AA1817" s="49"/>
      <c r="AB1817" s="49"/>
      <c r="AC1817" s="49"/>
      <c r="AD1817" s="49"/>
      <c r="AE1817" s="49"/>
      <c r="AF1817" s="49"/>
      <c r="AG1817" s="49"/>
      <c r="AH1817" s="49"/>
      <c r="AI1817" s="48"/>
      <c r="AJ1817" s="48"/>
      <c r="AK1817" s="24"/>
      <c r="AL1817" s="50"/>
      <c r="AM1817" s="50"/>
      <c r="AN1817" s="50"/>
      <c r="AO1817" s="50"/>
      <c r="AP1817" s="50"/>
      <c r="AQ1817" s="50"/>
      <c r="AR1817" s="50"/>
      <c r="AS1817" s="50"/>
      <c r="AT1817" s="51"/>
      <c r="AU1817" s="51"/>
      <c r="AV1817" s="51"/>
      <c r="AW1817" s="51"/>
      <c r="AX1817" s="50"/>
      <c r="AY1817" s="50"/>
      <c r="AZ1817" s="50"/>
      <c r="BA1817" s="50"/>
      <c r="BB1817" s="51"/>
      <c r="BC1817" s="51"/>
      <c r="BD1817" s="51"/>
      <c r="BE1817" s="51"/>
      <c r="BF1817" s="47"/>
      <c r="BG1817" s="47"/>
      <c r="BH1817" s="47"/>
      <c r="BI1817" s="47"/>
      <c r="BJ1817" s="47"/>
      <c r="BK1817" s="47"/>
      <c r="BL1817" s="47"/>
      <c r="BM1817" s="47"/>
      <c r="BN1817" s="47"/>
      <c r="BO1817" s="47"/>
      <c r="BP1817" s="47"/>
      <c r="BQ1817" s="47"/>
      <c r="BR1817" s="47"/>
      <c r="BS1817" s="47"/>
      <c r="BT1817" s="47"/>
    </row>
    <row r="1818">
      <c r="A1818" s="24"/>
      <c r="B1818" s="48"/>
      <c r="C1818" s="49"/>
      <c r="D1818" s="24"/>
      <c r="E1818" s="52"/>
      <c r="F1818" s="53"/>
      <c r="G1818" s="48"/>
      <c r="H1818" s="49"/>
      <c r="I1818" s="49"/>
      <c r="J1818" s="48"/>
      <c r="K1818" s="48"/>
      <c r="L1818" s="48"/>
      <c r="M1818" s="48"/>
      <c r="N1818" s="48"/>
      <c r="O1818" s="48"/>
      <c r="P1818" s="48"/>
      <c r="Q1818" s="48"/>
      <c r="R1818" s="48"/>
      <c r="S1818" s="48"/>
      <c r="T1818" s="48"/>
      <c r="U1818" s="48"/>
      <c r="V1818" s="48"/>
      <c r="W1818" s="49"/>
      <c r="X1818" s="49"/>
      <c r="Y1818" s="49"/>
      <c r="Z1818" s="49"/>
      <c r="AA1818" s="49"/>
      <c r="AB1818" s="49"/>
      <c r="AC1818" s="49"/>
      <c r="AD1818" s="49"/>
      <c r="AE1818" s="49"/>
      <c r="AF1818" s="49"/>
      <c r="AG1818" s="49"/>
      <c r="AH1818" s="49"/>
      <c r="AI1818" s="48"/>
      <c r="AJ1818" s="48"/>
      <c r="AK1818" s="24"/>
      <c r="AL1818" s="50"/>
      <c r="AM1818" s="50"/>
      <c r="AN1818" s="50"/>
      <c r="AO1818" s="50"/>
      <c r="AP1818" s="50"/>
      <c r="AQ1818" s="50"/>
      <c r="AR1818" s="50"/>
      <c r="AS1818" s="50"/>
      <c r="AT1818" s="51"/>
      <c r="AU1818" s="51"/>
      <c r="AV1818" s="51"/>
      <c r="AW1818" s="51"/>
      <c r="AX1818" s="50"/>
      <c r="AY1818" s="50"/>
      <c r="AZ1818" s="50"/>
      <c r="BA1818" s="50"/>
      <c r="BB1818" s="51"/>
      <c r="BC1818" s="51"/>
      <c r="BD1818" s="51"/>
      <c r="BE1818" s="51"/>
      <c r="BF1818" s="47"/>
      <c r="BG1818" s="47"/>
      <c r="BH1818" s="47"/>
      <c r="BI1818" s="47"/>
      <c r="BJ1818" s="47"/>
      <c r="BK1818" s="47"/>
      <c r="BL1818" s="47"/>
      <c r="BM1818" s="47"/>
      <c r="BN1818" s="47"/>
      <c r="BO1818" s="47"/>
      <c r="BP1818" s="47"/>
      <c r="BQ1818" s="47"/>
      <c r="BR1818" s="47"/>
      <c r="BS1818" s="47"/>
      <c r="BT1818" s="47"/>
    </row>
    <row r="1819">
      <c r="A1819" s="24"/>
      <c r="B1819" s="48"/>
      <c r="C1819" s="49"/>
      <c r="D1819" s="24"/>
      <c r="E1819" s="52"/>
      <c r="F1819" s="53"/>
      <c r="G1819" s="48"/>
      <c r="H1819" s="49"/>
      <c r="I1819" s="49"/>
      <c r="J1819" s="48"/>
      <c r="K1819" s="48"/>
      <c r="L1819" s="48"/>
      <c r="M1819" s="48"/>
      <c r="N1819" s="48"/>
      <c r="O1819" s="48"/>
      <c r="P1819" s="48"/>
      <c r="Q1819" s="48"/>
      <c r="R1819" s="48"/>
      <c r="S1819" s="48"/>
      <c r="T1819" s="48"/>
      <c r="U1819" s="48"/>
      <c r="V1819" s="48"/>
      <c r="W1819" s="49"/>
      <c r="X1819" s="49"/>
      <c r="Y1819" s="49"/>
      <c r="Z1819" s="49"/>
      <c r="AA1819" s="49"/>
      <c r="AB1819" s="49"/>
      <c r="AC1819" s="49"/>
      <c r="AD1819" s="49"/>
      <c r="AE1819" s="49"/>
      <c r="AF1819" s="49"/>
      <c r="AG1819" s="49"/>
      <c r="AH1819" s="49"/>
      <c r="AI1819" s="48"/>
      <c r="AJ1819" s="48"/>
      <c r="AK1819" s="24"/>
      <c r="AL1819" s="50"/>
      <c r="AM1819" s="50"/>
      <c r="AN1819" s="50"/>
      <c r="AO1819" s="50"/>
      <c r="AP1819" s="50"/>
      <c r="AQ1819" s="50"/>
      <c r="AR1819" s="50"/>
      <c r="AS1819" s="50"/>
      <c r="AT1819" s="51"/>
      <c r="AU1819" s="51"/>
      <c r="AV1819" s="51"/>
      <c r="AW1819" s="51"/>
      <c r="AX1819" s="50"/>
      <c r="AY1819" s="50"/>
      <c r="AZ1819" s="50"/>
      <c r="BA1819" s="50"/>
      <c r="BB1819" s="51"/>
      <c r="BC1819" s="51"/>
      <c r="BD1819" s="51"/>
      <c r="BE1819" s="51"/>
      <c r="BF1819" s="47"/>
      <c r="BG1819" s="47"/>
      <c r="BH1819" s="47"/>
      <c r="BI1819" s="47"/>
      <c r="BJ1819" s="47"/>
      <c r="BK1819" s="47"/>
      <c r="BL1819" s="47"/>
      <c r="BM1819" s="47"/>
      <c r="BN1819" s="47"/>
      <c r="BO1819" s="47"/>
      <c r="BP1819" s="47"/>
      <c r="BQ1819" s="47"/>
      <c r="BR1819" s="47"/>
      <c r="BS1819" s="47"/>
      <c r="BT1819" s="47"/>
    </row>
    <row r="1820">
      <c r="A1820" s="24"/>
      <c r="B1820" s="48"/>
      <c r="C1820" s="49"/>
      <c r="D1820" s="24"/>
      <c r="E1820" s="52"/>
      <c r="F1820" s="53"/>
      <c r="G1820" s="48"/>
      <c r="H1820" s="49"/>
      <c r="I1820" s="49"/>
      <c r="J1820" s="48"/>
      <c r="K1820" s="48"/>
      <c r="L1820" s="48"/>
      <c r="M1820" s="48"/>
      <c r="N1820" s="48"/>
      <c r="O1820" s="48"/>
      <c r="P1820" s="48"/>
      <c r="Q1820" s="48"/>
      <c r="R1820" s="48"/>
      <c r="S1820" s="48"/>
      <c r="T1820" s="48"/>
      <c r="U1820" s="48"/>
      <c r="V1820" s="48"/>
      <c r="W1820" s="49"/>
      <c r="X1820" s="49"/>
      <c r="Y1820" s="49"/>
      <c r="Z1820" s="49"/>
      <c r="AA1820" s="49"/>
      <c r="AB1820" s="49"/>
      <c r="AC1820" s="49"/>
      <c r="AD1820" s="49"/>
      <c r="AE1820" s="49"/>
      <c r="AF1820" s="49"/>
      <c r="AG1820" s="49"/>
      <c r="AH1820" s="49"/>
      <c r="AI1820" s="48"/>
      <c r="AJ1820" s="48"/>
      <c r="AK1820" s="24"/>
      <c r="AL1820" s="50"/>
      <c r="AM1820" s="50"/>
      <c r="AN1820" s="50"/>
      <c r="AO1820" s="50"/>
      <c r="AP1820" s="50"/>
      <c r="AQ1820" s="50"/>
      <c r="AR1820" s="50"/>
      <c r="AS1820" s="50"/>
      <c r="AT1820" s="51"/>
      <c r="AU1820" s="51"/>
      <c r="AV1820" s="51"/>
      <c r="AW1820" s="51"/>
      <c r="AX1820" s="50"/>
      <c r="AY1820" s="50"/>
      <c r="AZ1820" s="50"/>
      <c r="BA1820" s="50"/>
      <c r="BB1820" s="51"/>
      <c r="BC1820" s="51"/>
      <c r="BD1820" s="51"/>
      <c r="BE1820" s="51"/>
      <c r="BF1820" s="47"/>
      <c r="BG1820" s="47"/>
      <c r="BH1820" s="47"/>
      <c r="BI1820" s="47"/>
      <c r="BJ1820" s="47"/>
      <c r="BK1820" s="47"/>
      <c r="BL1820" s="47"/>
      <c r="BM1820" s="47"/>
      <c r="BN1820" s="47"/>
      <c r="BO1820" s="47"/>
      <c r="BP1820" s="47"/>
      <c r="BQ1820" s="47"/>
      <c r="BR1820" s="47"/>
      <c r="BS1820" s="47"/>
      <c r="BT1820" s="47"/>
    </row>
    <row r="1821">
      <c r="A1821" s="24"/>
      <c r="B1821" s="48"/>
      <c r="C1821" s="49"/>
      <c r="D1821" s="24"/>
      <c r="E1821" s="52"/>
      <c r="F1821" s="53"/>
      <c r="G1821" s="48"/>
      <c r="H1821" s="49"/>
      <c r="I1821" s="49"/>
      <c r="J1821" s="48"/>
      <c r="K1821" s="48"/>
      <c r="L1821" s="48"/>
      <c r="M1821" s="48"/>
      <c r="N1821" s="48"/>
      <c r="O1821" s="48"/>
      <c r="P1821" s="48"/>
      <c r="Q1821" s="48"/>
      <c r="R1821" s="48"/>
      <c r="S1821" s="48"/>
      <c r="T1821" s="48"/>
      <c r="U1821" s="48"/>
      <c r="V1821" s="48"/>
      <c r="W1821" s="49"/>
      <c r="X1821" s="49"/>
      <c r="Y1821" s="49"/>
      <c r="Z1821" s="49"/>
      <c r="AA1821" s="49"/>
      <c r="AB1821" s="49"/>
      <c r="AC1821" s="49"/>
      <c r="AD1821" s="49"/>
      <c r="AE1821" s="49"/>
      <c r="AF1821" s="49"/>
      <c r="AG1821" s="49"/>
      <c r="AH1821" s="49"/>
      <c r="AI1821" s="48"/>
      <c r="AJ1821" s="48"/>
      <c r="AK1821" s="24"/>
      <c r="AL1821" s="50"/>
      <c r="AM1821" s="50"/>
      <c r="AN1821" s="50"/>
      <c r="AO1821" s="50"/>
      <c r="AP1821" s="50"/>
      <c r="AQ1821" s="50"/>
      <c r="AR1821" s="50"/>
      <c r="AS1821" s="50"/>
      <c r="AT1821" s="51"/>
      <c r="AU1821" s="51"/>
      <c r="AV1821" s="51"/>
      <c r="AW1821" s="51"/>
      <c r="AX1821" s="50"/>
      <c r="AY1821" s="50"/>
      <c r="AZ1821" s="50"/>
      <c r="BA1821" s="50"/>
      <c r="BB1821" s="51"/>
      <c r="BC1821" s="51"/>
      <c r="BD1821" s="51"/>
      <c r="BE1821" s="51"/>
      <c r="BF1821" s="47"/>
      <c r="BG1821" s="47"/>
      <c r="BH1821" s="47"/>
      <c r="BI1821" s="47"/>
      <c r="BJ1821" s="47"/>
      <c r="BK1821" s="47"/>
      <c r="BL1821" s="47"/>
      <c r="BM1821" s="47"/>
      <c r="BN1821" s="47"/>
      <c r="BO1821" s="47"/>
      <c r="BP1821" s="47"/>
      <c r="BQ1821" s="47"/>
      <c r="BR1821" s="47"/>
      <c r="BS1821" s="47"/>
      <c r="BT1821" s="47"/>
    </row>
    <row r="1822">
      <c r="A1822" s="24"/>
      <c r="B1822" s="48"/>
      <c r="C1822" s="49"/>
      <c r="D1822" s="24"/>
      <c r="E1822" s="52"/>
      <c r="F1822" s="53"/>
      <c r="G1822" s="48"/>
      <c r="H1822" s="49"/>
      <c r="I1822" s="49"/>
      <c r="J1822" s="48"/>
      <c r="K1822" s="48"/>
      <c r="L1822" s="48"/>
      <c r="M1822" s="48"/>
      <c r="N1822" s="48"/>
      <c r="O1822" s="48"/>
      <c r="P1822" s="48"/>
      <c r="Q1822" s="48"/>
      <c r="R1822" s="48"/>
      <c r="S1822" s="48"/>
      <c r="T1822" s="48"/>
      <c r="U1822" s="48"/>
      <c r="V1822" s="48"/>
      <c r="W1822" s="49"/>
      <c r="X1822" s="49"/>
      <c r="Y1822" s="49"/>
      <c r="Z1822" s="49"/>
      <c r="AA1822" s="49"/>
      <c r="AB1822" s="49"/>
      <c r="AC1822" s="49"/>
      <c r="AD1822" s="49"/>
      <c r="AE1822" s="49"/>
      <c r="AF1822" s="49"/>
      <c r="AG1822" s="49"/>
      <c r="AH1822" s="49"/>
      <c r="AI1822" s="48"/>
      <c r="AJ1822" s="48"/>
      <c r="AK1822" s="24"/>
      <c r="AL1822" s="50"/>
      <c r="AM1822" s="50"/>
      <c r="AN1822" s="50"/>
      <c r="AO1822" s="50"/>
      <c r="AP1822" s="50"/>
      <c r="AQ1822" s="50"/>
      <c r="AR1822" s="50"/>
      <c r="AS1822" s="50"/>
      <c r="AT1822" s="51"/>
      <c r="AU1822" s="51"/>
      <c r="AV1822" s="51"/>
      <c r="AW1822" s="51"/>
      <c r="AX1822" s="50"/>
      <c r="AY1822" s="50"/>
      <c r="AZ1822" s="50"/>
      <c r="BA1822" s="50"/>
      <c r="BB1822" s="51"/>
      <c r="BC1822" s="51"/>
      <c r="BD1822" s="51"/>
      <c r="BE1822" s="51"/>
      <c r="BF1822" s="47"/>
      <c r="BG1822" s="47"/>
      <c r="BH1822" s="47"/>
      <c r="BI1822" s="47"/>
      <c r="BJ1822" s="47"/>
      <c r="BK1822" s="47"/>
      <c r="BL1822" s="47"/>
      <c r="BM1822" s="47"/>
      <c r="BN1822" s="47"/>
      <c r="BO1822" s="47"/>
      <c r="BP1822" s="47"/>
      <c r="BQ1822" s="47"/>
      <c r="BR1822" s="47"/>
      <c r="BS1822" s="47"/>
      <c r="BT1822" s="47"/>
    </row>
    <row r="1823">
      <c r="A1823" s="24"/>
      <c r="B1823" s="48"/>
      <c r="C1823" s="49"/>
      <c r="D1823" s="24"/>
      <c r="E1823" s="52"/>
      <c r="F1823" s="53"/>
      <c r="G1823" s="48"/>
      <c r="H1823" s="49"/>
      <c r="I1823" s="49"/>
      <c r="J1823" s="48"/>
      <c r="K1823" s="48"/>
      <c r="L1823" s="48"/>
      <c r="M1823" s="48"/>
      <c r="N1823" s="48"/>
      <c r="O1823" s="48"/>
      <c r="P1823" s="48"/>
      <c r="Q1823" s="48"/>
      <c r="R1823" s="48"/>
      <c r="S1823" s="48"/>
      <c r="T1823" s="48"/>
      <c r="U1823" s="48"/>
      <c r="V1823" s="48"/>
      <c r="W1823" s="49"/>
      <c r="X1823" s="49"/>
      <c r="Y1823" s="49"/>
      <c r="Z1823" s="49"/>
      <c r="AA1823" s="49"/>
      <c r="AB1823" s="49"/>
      <c r="AC1823" s="49"/>
      <c r="AD1823" s="49"/>
      <c r="AE1823" s="49"/>
      <c r="AF1823" s="49"/>
      <c r="AG1823" s="49"/>
      <c r="AH1823" s="49"/>
      <c r="AI1823" s="48"/>
      <c r="AJ1823" s="48"/>
      <c r="AK1823" s="24"/>
      <c r="AL1823" s="50"/>
      <c r="AM1823" s="50"/>
      <c r="AN1823" s="50"/>
      <c r="AO1823" s="50"/>
      <c r="AP1823" s="50"/>
      <c r="AQ1823" s="50"/>
      <c r="AR1823" s="50"/>
      <c r="AS1823" s="50"/>
      <c r="AT1823" s="51"/>
      <c r="AU1823" s="51"/>
      <c r="AV1823" s="51"/>
      <c r="AW1823" s="51"/>
      <c r="AX1823" s="50"/>
      <c r="AY1823" s="50"/>
      <c r="AZ1823" s="50"/>
      <c r="BA1823" s="50"/>
      <c r="BB1823" s="51"/>
      <c r="BC1823" s="51"/>
      <c r="BD1823" s="51"/>
      <c r="BE1823" s="51"/>
      <c r="BF1823" s="47"/>
      <c r="BG1823" s="47"/>
      <c r="BH1823" s="47"/>
      <c r="BI1823" s="47"/>
      <c r="BJ1823" s="47"/>
      <c r="BK1823" s="47"/>
      <c r="BL1823" s="47"/>
      <c r="BM1823" s="47"/>
      <c r="BN1823" s="47"/>
      <c r="BO1823" s="47"/>
      <c r="BP1823" s="47"/>
      <c r="BQ1823" s="47"/>
      <c r="BR1823" s="47"/>
      <c r="BS1823" s="47"/>
      <c r="BT1823" s="47"/>
    </row>
    <row r="1824">
      <c r="A1824" s="24"/>
      <c r="B1824" s="48"/>
      <c r="C1824" s="49"/>
      <c r="D1824" s="24"/>
      <c r="E1824" s="52"/>
      <c r="F1824" s="53"/>
      <c r="G1824" s="48"/>
      <c r="H1824" s="49"/>
      <c r="I1824" s="49"/>
      <c r="J1824" s="48"/>
      <c r="K1824" s="48"/>
      <c r="L1824" s="48"/>
      <c r="M1824" s="48"/>
      <c r="N1824" s="48"/>
      <c r="O1824" s="48"/>
      <c r="P1824" s="48"/>
      <c r="Q1824" s="48"/>
      <c r="R1824" s="48"/>
      <c r="S1824" s="48"/>
      <c r="T1824" s="48"/>
      <c r="U1824" s="48"/>
      <c r="V1824" s="48"/>
      <c r="W1824" s="49"/>
      <c r="X1824" s="49"/>
      <c r="Y1824" s="49"/>
      <c r="Z1824" s="49"/>
      <c r="AA1824" s="49"/>
      <c r="AB1824" s="49"/>
      <c r="AC1824" s="49"/>
      <c r="AD1824" s="49"/>
      <c r="AE1824" s="49"/>
      <c r="AF1824" s="49"/>
      <c r="AG1824" s="49"/>
      <c r="AH1824" s="49"/>
      <c r="AI1824" s="48"/>
      <c r="AJ1824" s="48"/>
      <c r="AK1824" s="24"/>
      <c r="AL1824" s="50"/>
      <c r="AM1824" s="50"/>
      <c r="AN1824" s="50"/>
      <c r="AO1824" s="50"/>
      <c r="AP1824" s="50"/>
      <c r="AQ1824" s="50"/>
      <c r="AR1824" s="50"/>
      <c r="AS1824" s="50"/>
      <c r="AT1824" s="51"/>
      <c r="AU1824" s="51"/>
      <c r="AV1824" s="51"/>
      <c r="AW1824" s="51"/>
      <c r="AX1824" s="50"/>
      <c r="AY1824" s="50"/>
      <c r="AZ1824" s="50"/>
      <c r="BA1824" s="50"/>
      <c r="BB1824" s="51"/>
      <c r="BC1824" s="51"/>
      <c r="BD1824" s="51"/>
      <c r="BE1824" s="51"/>
      <c r="BF1824" s="47"/>
      <c r="BG1824" s="47"/>
      <c r="BH1824" s="47"/>
      <c r="BI1824" s="47"/>
      <c r="BJ1824" s="47"/>
      <c r="BK1824" s="47"/>
      <c r="BL1824" s="47"/>
      <c r="BM1824" s="47"/>
      <c r="BN1824" s="47"/>
      <c r="BO1824" s="47"/>
      <c r="BP1824" s="47"/>
      <c r="BQ1824" s="47"/>
      <c r="BR1824" s="47"/>
      <c r="BS1824" s="47"/>
      <c r="BT1824" s="47"/>
    </row>
    <row r="1825">
      <c r="A1825" s="24"/>
      <c r="B1825" s="48"/>
      <c r="C1825" s="49"/>
      <c r="D1825" s="24"/>
      <c r="E1825" s="52"/>
      <c r="F1825" s="53"/>
      <c r="G1825" s="48"/>
      <c r="H1825" s="49"/>
      <c r="I1825" s="49"/>
      <c r="J1825" s="48"/>
      <c r="K1825" s="48"/>
      <c r="L1825" s="48"/>
      <c r="M1825" s="48"/>
      <c r="N1825" s="48"/>
      <c r="O1825" s="48"/>
      <c r="P1825" s="48"/>
      <c r="Q1825" s="48"/>
      <c r="R1825" s="48"/>
      <c r="S1825" s="48"/>
      <c r="T1825" s="48"/>
      <c r="U1825" s="48"/>
      <c r="V1825" s="48"/>
      <c r="W1825" s="49"/>
      <c r="X1825" s="49"/>
      <c r="Y1825" s="49"/>
      <c r="Z1825" s="49"/>
      <c r="AA1825" s="49"/>
      <c r="AB1825" s="49"/>
      <c r="AC1825" s="49"/>
      <c r="AD1825" s="49"/>
      <c r="AE1825" s="49"/>
      <c r="AF1825" s="49"/>
      <c r="AG1825" s="49"/>
      <c r="AH1825" s="49"/>
      <c r="AI1825" s="48"/>
      <c r="AJ1825" s="48"/>
      <c r="AK1825" s="24"/>
      <c r="AL1825" s="50"/>
      <c r="AM1825" s="50"/>
      <c r="AN1825" s="50"/>
      <c r="AO1825" s="50"/>
      <c r="AP1825" s="50"/>
      <c r="AQ1825" s="50"/>
      <c r="AR1825" s="50"/>
      <c r="AS1825" s="50"/>
      <c r="AT1825" s="51"/>
      <c r="AU1825" s="51"/>
      <c r="AV1825" s="51"/>
      <c r="AW1825" s="51"/>
      <c r="AX1825" s="50"/>
      <c r="AY1825" s="50"/>
      <c r="AZ1825" s="50"/>
      <c r="BA1825" s="50"/>
      <c r="BB1825" s="51"/>
      <c r="BC1825" s="51"/>
      <c r="BD1825" s="51"/>
      <c r="BE1825" s="51"/>
      <c r="BF1825" s="47"/>
      <c r="BG1825" s="47"/>
      <c r="BH1825" s="47"/>
      <c r="BI1825" s="47"/>
      <c r="BJ1825" s="47"/>
      <c r="BK1825" s="47"/>
      <c r="BL1825" s="47"/>
      <c r="BM1825" s="47"/>
      <c r="BN1825" s="47"/>
      <c r="BO1825" s="47"/>
      <c r="BP1825" s="47"/>
      <c r="BQ1825" s="47"/>
      <c r="BR1825" s="47"/>
      <c r="BS1825" s="47"/>
      <c r="BT1825" s="47"/>
    </row>
    <row r="1826">
      <c r="A1826" s="24"/>
      <c r="B1826" s="48"/>
      <c r="C1826" s="49"/>
      <c r="D1826" s="24"/>
      <c r="E1826" s="52"/>
      <c r="F1826" s="53"/>
      <c r="G1826" s="48"/>
      <c r="H1826" s="49"/>
      <c r="I1826" s="49"/>
      <c r="J1826" s="48"/>
      <c r="K1826" s="48"/>
      <c r="L1826" s="48"/>
      <c r="M1826" s="48"/>
      <c r="N1826" s="48"/>
      <c r="O1826" s="48"/>
      <c r="P1826" s="48"/>
      <c r="Q1826" s="48"/>
      <c r="R1826" s="48"/>
      <c r="S1826" s="48"/>
      <c r="T1826" s="48"/>
      <c r="U1826" s="48"/>
      <c r="V1826" s="48"/>
      <c r="W1826" s="49"/>
      <c r="X1826" s="49"/>
      <c r="Y1826" s="49"/>
      <c r="Z1826" s="49"/>
      <c r="AA1826" s="49"/>
      <c r="AB1826" s="49"/>
      <c r="AC1826" s="49"/>
      <c r="AD1826" s="49"/>
      <c r="AE1826" s="49"/>
      <c r="AF1826" s="49"/>
      <c r="AG1826" s="49"/>
      <c r="AH1826" s="49"/>
      <c r="AI1826" s="48"/>
      <c r="AJ1826" s="48"/>
      <c r="AK1826" s="24"/>
      <c r="AL1826" s="50"/>
      <c r="AM1826" s="50"/>
      <c r="AN1826" s="50"/>
      <c r="AO1826" s="50"/>
      <c r="AP1826" s="50"/>
      <c r="AQ1826" s="50"/>
      <c r="AR1826" s="50"/>
      <c r="AS1826" s="50"/>
      <c r="AT1826" s="51"/>
      <c r="AU1826" s="51"/>
      <c r="AV1826" s="51"/>
      <c r="AW1826" s="51"/>
      <c r="AX1826" s="50"/>
      <c r="AY1826" s="50"/>
      <c r="AZ1826" s="50"/>
      <c r="BA1826" s="50"/>
      <c r="BB1826" s="51"/>
      <c r="BC1826" s="51"/>
      <c r="BD1826" s="51"/>
      <c r="BE1826" s="51"/>
      <c r="BF1826" s="47"/>
      <c r="BG1826" s="47"/>
      <c r="BH1826" s="47"/>
      <c r="BI1826" s="47"/>
      <c r="BJ1826" s="47"/>
      <c r="BK1826" s="47"/>
      <c r="BL1826" s="47"/>
      <c r="BM1826" s="47"/>
      <c r="BN1826" s="47"/>
      <c r="BO1826" s="47"/>
      <c r="BP1826" s="47"/>
      <c r="BQ1826" s="47"/>
      <c r="BR1826" s="47"/>
      <c r="BS1826" s="47"/>
      <c r="BT1826" s="47"/>
    </row>
    <row r="1827">
      <c r="A1827" s="24"/>
      <c r="B1827" s="48"/>
      <c r="C1827" s="49"/>
      <c r="D1827" s="24"/>
      <c r="E1827" s="52"/>
      <c r="F1827" s="53"/>
      <c r="G1827" s="48"/>
      <c r="H1827" s="49"/>
      <c r="I1827" s="49"/>
      <c r="J1827" s="48"/>
      <c r="K1827" s="48"/>
      <c r="L1827" s="48"/>
      <c r="M1827" s="48"/>
      <c r="N1827" s="48"/>
      <c r="O1827" s="48"/>
      <c r="P1827" s="48"/>
      <c r="Q1827" s="48"/>
      <c r="R1827" s="48"/>
      <c r="S1827" s="48"/>
      <c r="T1827" s="48"/>
      <c r="U1827" s="48"/>
      <c r="V1827" s="48"/>
      <c r="W1827" s="49"/>
      <c r="X1827" s="49"/>
      <c r="Y1827" s="49"/>
      <c r="Z1827" s="49"/>
      <c r="AA1827" s="49"/>
      <c r="AB1827" s="49"/>
      <c r="AC1827" s="49"/>
      <c r="AD1827" s="49"/>
      <c r="AE1827" s="49"/>
      <c r="AF1827" s="49"/>
      <c r="AG1827" s="49"/>
      <c r="AH1827" s="49"/>
      <c r="AI1827" s="48"/>
      <c r="AJ1827" s="48"/>
      <c r="AK1827" s="24"/>
      <c r="AL1827" s="50"/>
      <c r="AM1827" s="50"/>
      <c r="AN1827" s="50"/>
      <c r="AO1827" s="50"/>
      <c r="AP1827" s="50"/>
      <c r="AQ1827" s="50"/>
      <c r="AR1827" s="50"/>
      <c r="AS1827" s="50"/>
      <c r="AT1827" s="51"/>
      <c r="AU1827" s="51"/>
      <c r="AV1827" s="51"/>
      <c r="AW1827" s="51"/>
      <c r="AX1827" s="50"/>
      <c r="AY1827" s="50"/>
      <c r="AZ1827" s="50"/>
      <c r="BA1827" s="50"/>
      <c r="BB1827" s="51"/>
      <c r="BC1827" s="51"/>
      <c r="BD1827" s="51"/>
      <c r="BE1827" s="51"/>
      <c r="BF1827" s="47"/>
      <c r="BG1827" s="47"/>
      <c r="BH1827" s="47"/>
      <c r="BI1827" s="47"/>
      <c r="BJ1827" s="47"/>
      <c r="BK1827" s="47"/>
      <c r="BL1827" s="47"/>
      <c r="BM1827" s="47"/>
      <c r="BN1827" s="47"/>
      <c r="BO1827" s="47"/>
      <c r="BP1827" s="47"/>
      <c r="BQ1827" s="47"/>
      <c r="BR1827" s="47"/>
      <c r="BS1827" s="47"/>
      <c r="BT1827" s="47"/>
    </row>
    <row r="1828">
      <c r="A1828" s="24"/>
      <c r="B1828" s="48"/>
      <c r="C1828" s="49"/>
      <c r="D1828" s="24"/>
      <c r="E1828" s="52"/>
      <c r="F1828" s="53"/>
      <c r="G1828" s="48"/>
      <c r="H1828" s="49"/>
      <c r="I1828" s="49"/>
      <c r="J1828" s="48"/>
      <c r="K1828" s="48"/>
      <c r="L1828" s="48"/>
      <c r="M1828" s="48"/>
      <c r="N1828" s="48"/>
      <c r="O1828" s="48"/>
      <c r="P1828" s="48"/>
      <c r="Q1828" s="48"/>
      <c r="R1828" s="48"/>
      <c r="S1828" s="48"/>
      <c r="T1828" s="48"/>
      <c r="U1828" s="48"/>
      <c r="V1828" s="48"/>
      <c r="W1828" s="49"/>
      <c r="X1828" s="49"/>
      <c r="Y1828" s="49"/>
      <c r="Z1828" s="49"/>
      <c r="AA1828" s="49"/>
      <c r="AB1828" s="49"/>
      <c r="AC1828" s="49"/>
      <c r="AD1828" s="49"/>
      <c r="AE1828" s="49"/>
      <c r="AF1828" s="49"/>
      <c r="AG1828" s="49"/>
      <c r="AH1828" s="49"/>
      <c r="AI1828" s="48"/>
      <c r="AJ1828" s="48"/>
      <c r="AK1828" s="24"/>
      <c r="AL1828" s="50"/>
      <c r="AM1828" s="50"/>
      <c r="AN1828" s="50"/>
      <c r="AO1828" s="50"/>
      <c r="AP1828" s="50"/>
      <c r="AQ1828" s="50"/>
      <c r="AR1828" s="50"/>
      <c r="AS1828" s="50"/>
      <c r="AT1828" s="51"/>
      <c r="AU1828" s="51"/>
      <c r="AV1828" s="51"/>
      <c r="AW1828" s="51"/>
      <c r="AX1828" s="50"/>
      <c r="AY1828" s="50"/>
      <c r="AZ1828" s="50"/>
      <c r="BA1828" s="50"/>
      <c r="BB1828" s="51"/>
      <c r="BC1828" s="51"/>
      <c r="BD1828" s="51"/>
      <c r="BE1828" s="51"/>
      <c r="BF1828" s="47"/>
      <c r="BG1828" s="47"/>
      <c r="BH1828" s="47"/>
      <c r="BI1828" s="47"/>
      <c r="BJ1828" s="47"/>
      <c r="BK1828" s="47"/>
      <c r="BL1828" s="47"/>
      <c r="BM1828" s="47"/>
      <c r="BN1828" s="47"/>
      <c r="BO1828" s="47"/>
      <c r="BP1828" s="47"/>
      <c r="BQ1828" s="47"/>
      <c r="BR1828" s="47"/>
      <c r="BS1828" s="47"/>
      <c r="BT1828" s="47"/>
    </row>
    <row r="1829">
      <c r="A1829" s="24"/>
      <c r="B1829" s="48"/>
      <c r="C1829" s="49"/>
      <c r="D1829" s="24"/>
      <c r="E1829" s="52"/>
      <c r="F1829" s="53"/>
      <c r="G1829" s="48"/>
      <c r="H1829" s="49"/>
      <c r="I1829" s="49"/>
      <c r="J1829" s="48"/>
      <c r="K1829" s="48"/>
      <c r="L1829" s="48"/>
      <c r="M1829" s="48"/>
      <c r="N1829" s="48"/>
      <c r="O1829" s="48"/>
      <c r="P1829" s="48"/>
      <c r="Q1829" s="48"/>
      <c r="R1829" s="48"/>
      <c r="S1829" s="48"/>
      <c r="T1829" s="48"/>
      <c r="U1829" s="48"/>
      <c r="V1829" s="48"/>
      <c r="W1829" s="49"/>
      <c r="X1829" s="49"/>
      <c r="Y1829" s="49"/>
      <c r="Z1829" s="49"/>
      <c r="AA1829" s="49"/>
      <c r="AB1829" s="49"/>
      <c r="AC1829" s="49"/>
      <c r="AD1829" s="49"/>
      <c r="AE1829" s="49"/>
      <c r="AF1829" s="49"/>
      <c r="AG1829" s="49"/>
      <c r="AH1829" s="49"/>
      <c r="AI1829" s="48"/>
      <c r="AJ1829" s="48"/>
      <c r="AK1829" s="24"/>
      <c r="AL1829" s="50"/>
      <c r="AM1829" s="50"/>
      <c r="AN1829" s="50"/>
      <c r="AO1829" s="50"/>
      <c r="AP1829" s="50"/>
      <c r="AQ1829" s="50"/>
      <c r="AR1829" s="50"/>
      <c r="AS1829" s="50"/>
      <c r="AT1829" s="51"/>
      <c r="AU1829" s="51"/>
      <c r="AV1829" s="51"/>
      <c r="AW1829" s="51"/>
      <c r="AX1829" s="50"/>
      <c r="AY1829" s="50"/>
      <c r="AZ1829" s="50"/>
      <c r="BA1829" s="50"/>
      <c r="BB1829" s="51"/>
      <c r="BC1829" s="51"/>
      <c r="BD1829" s="51"/>
      <c r="BE1829" s="51"/>
      <c r="BF1829" s="47"/>
      <c r="BG1829" s="47"/>
      <c r="BH1829" s="47"/>
      <c r="BI1829" s="47"/>
      <c r="BJ1829" s="47"/>
      <c r="BK1829" s="47"/>
      <c r="BL1829" s="47"/>
      <c r="BM1829" s="47"/>
      <c r="BN1829" s="47"/>
      <c r="BO1829" s="47"/>
      <c r="BP1829" s="47"/>
      <c r="BQ1829" s="47"/>
      <c r="BR1829" s="47"/>
      <c r="BS1829" s="47"/>
      <c r="BT1829" s="47"/>
    </row>
    <row r="1830">
      <c r="A1830" s="24"/>
      <c r="B1830" s="48"/>
      <c r="C1830" s="49"/>
      <c r="D1830" s="24"/>
      <c r="E1830" s="52"/>
      <c r="F1830" s="53"/>
      <c r="G1830" s="48"/>
      <c r="H1830" s="49"/>
      <c r="I1830" s="49"/>
      <c r="J1830" s="48"/>
      <c r="K1830" s="48"/>
      <c r="L1830" s="48"/>
      <c r="M1830" s="48"/>
      <c r="N1830" s="48"/>
      <c r="O1830" s="48"/>
      <c r="P1830" s="48"/>
      <c r="Q1830" s="48"/>
      <c r="R1830" s="48"/>
      <c r="S1830" s="48"/>
      <c r="T1830" s="48"/>
      <c r="U1830" s="48"/>
      <c r="V1830" s="48"/>
      <c r="W1830" s="49"/>
      <c r="X1830" s="49"/>
      <c r="Y1830" s="49"/>
      <c r="Z1830" s="49"/>
      <c r="AA1830" s="49"/>
      <c r="AB1830" s="49"/>
      <c r="AC1830" s="49"/>
      <c r="AD1830" s="49"/>
      <c r="AE1830" s="49"/>
      <c r="AF1830" s="49"/>
      <c r="AG1830" s="49"/>
      <c r="AH1830" s="49"/>
      <c r="AI1830" s="48"/>
      <c r="AJ1830" s="48"/>
      <c r="AK1830" s="24"/>
      <c r="AL1830" s="50"/>
      <c r="AM1830" s="50"/>
      <c r="AN1830" s="50"/>
      <c r="AO1830" s="50"/>
      <c r="AP1830" s="50"/>
      <c r="AQ1830" s="50"/>
      <c r="AR1830" s="50"/>
      <c r="AS1830" s="50"/>
      <c r="AT1830" s="51"/>
      <c r="AU1830" s="51"/>
      <c r="AV1830" s="51"/>
      <c r="AW1830" s="51"/>
      <c r="AX1830" s="50"/>
      <c r="AY1830" s="50"/>
      <c r="AZ1830" s="50"/>
      <c r="BA1830" s="50"/>
      <c r="BB1830" s="51"/>
      <c r="BC1830" s="51"/>
      <c r="BD1830" s="51"/>
      <c r="BE1830" s="51"/>
      <c r="BF1830" s="47"/>
      <c r="BG1830" s="47"/>
      <c r="BH1830" s="47"/>
      <c r="BI1830" s="47"/>
      <c r="BJ1830" s="47"/>
      <c r="BK1830" s="47"/>
      <c r="BL1830" s="47"/>
      <c r="BM1830" s="47"/>
      <c r="BN1830" s="47"/>
      <c r="BO1830" s="47"/>
      <c r="BP1830" s="47"/>
      <c r="BQ1830" s="47"/>
      <c r="BR1830" s="47"/>
      <c r="BS1830" s="47"/>
      <c r="BT1830" s="47"/>
    </row>
    <row r="1831">
      <c r="A1831" s="24"/>
      <c r="B1831" s="48"/>
      <c r="C1831" s="49"/>
      <c r="D1831" s="24"/>
      <c r="E1831" s="52"/>
      <c r="F1831" s="53"/>
      <c r="G1831" s="48"/>
      <c r="H1831" s="49"/>
      <c r="I1831" s="49"/>
      <c r="J1831" s="48"/>
      <c r="K1831" s="48"/>
      <c r="L1831" s="48"/>
      <c r="M1831" s="48"/>
      <c r="N1831" s="48"/>
      <c r="O1831" s="48"/>
      <c r="P1831" s="48"/>
      <c r="Q1831" s="48"/>
      <c r="R1831" s="48"/>
      <c r="S1831" s="48"/>
      <c r="T1831" s="48"/>
      <c r="U1831" s="48"/>
      <c r="V1831" s="48"/>
      <c r="W1831" s="49"/>
      <c r="X1831" s="49"/>
      <c r="Y1831" s="49"/>
      <c r="Z1831" s="49"/>
      <c r="AA1831" s="49"/>
      <c r="AB1831" s="49"/>
      <c r="AC1831" s="49"/>
      <c r="AD1831" s="49"/>
      <c r="AE1831" s="49"/>
      <c r="AF1831" s="49"/>
      <c r="AG1831" s="49"/>
      <c r="AH1831" s="49"/>
      <c r="AI1831" s="48"/>
      <c r="AJ1831" s="48"/>
      <c r="AK1831" s="24"/>
      <c r="AL1831" s="50"/>
      <c r="AM1831" s="50"/>
      <c r="AN1831" s="50"/>
      <c r="AO1831" s="50"/>
      <c r="AP1831" s="50"/>
      <c r="AQ1831" s="50"/>
      <c r="AR1831" s="50"/>
      <c r="AS1831" s="50"/>
      <c r="AT1831" s="51"/>
      <c r="AU1831" s="51"/>
      <c r="AV1831" s="51"/>
      <c r="AW1831" s="51"/>
      <c r="AX1831" s="50"/>
      <c r="AY1831" s="50"/>
      <c r="AZ1831" s="50"/>
      <c r="BA1831" s="50"/>
      <c r="BB1831" s="51"/>
      <c r="BC1831" s="51"/>
      <c r="BD1831" s="51"/>
      <c r="BE1831" s="51"/>
      <c r="BF1831" s="47"/>
      <c r="BG1831" s="47"/>
      <c r="BH1831" s="47"/>
      <c r="BI1831" s="47"/>
      <c r="BJ1831" s="47"/>
      <c r="BK1831" s="47"/>
      <c r="BL1831" s="47"/>
      <c r="BM1831" s="47"/>
      <c r="BN1831" s="47"/>
      <c r="BO1831" s="47"/>
      <c r="BP1831" s="47"/>
      <c r="BQ1831" s="47"/>
      <c r="BR1831" s="47"/>
      <c r="BS1831" s="47"/>
      <c r="BT1831" s="47"/>
    </row>
    <row r="1832">
      <c r="A1832" s="24"/>
      <c r="B1832" s="48"/>
      <c r="C1832" s="49"/>
      <c r="D1832" s="24"/>
      <c r="E1832" s="52"/>
      <c r="F1832" s="53"/>
      <c r="G1832" s="48"/>
      <c r="H1832" s="49"/>
      <c r="I1832" s="49"/>
      <c r="J1832" s="48"/>
      <c r="K1832" s="48"/>
      <c r="L1832" s="48"/>
      <c r="M1832" s="48"/>
      <c r="N1832" s="48"/>
      <c r="O1832" s="48"/>
      <c r="P1832" s="48"/>
      <c r="Q1832" s="48"/>
      <c r="R1832" s="48"/>
      <c r="S1832" s="48"/>
      <c r="T1832" s="48"/>
      <c r="U1832" s="48"/>
      <c r="V1832" s="48"/>
      <c r="W1832" s="49"/>
      <c r="X1832" s="49"/>
      <c r="Y1832" s="49"/>
      <c r="Z1832" s="49"/>
      <c r="AA1832" s="49"/>
      <c r="AB1832" s="49"/>
      <c r="AC1832" s="49"/>
      <c r="AD1832" s="49"/>
      <c r="AE1832" s="49"/>
      <c r="AF1832" s="49"/>
      <c r="AG1832" s="49"/>
      <c r="AH1832" s="49"/>
      <c r="AI1832" s="48"/>
      <c r="AJ1832" s="48"/>
      <c r="AK1832" s="24"/>
      <c r="AL1832" s="50"/>
      <c r="AM1832" s="50"/>
      <c r="AN1832" s="50"/>
      <c r="AO1832" s="50"/>
      <c r="AP1832" s="50"/>
      <c r="AQ1832" s="50"/>
      <c r="AR1832" s="50"/>
      <c r="AS1832" s="50"/>
      <c r="AT1832" s="51"/>
      <c r="AU1832" s="51"/>
      <c r="AV1832" s="51"/>
      <c r="AW1832" s="51"/>
      <c r="AX1832" s="50"/>
      <c r="AY1832" s="50"/>
      <c r="AZ1832" s="50"/>
      <c r="BA1832" s="50"/>
      <c r="BB1832" s="51"/>
      <c r="BC1832" s="51"/>
      <c r="BD1832" s="51"/>
      <c r="BE1832" s="51"/>
      <c r="BF1832" s="47"/>
      <c r="BG1832" s="47"/>
      <c r="BH1832" s="47"/>
      <c r="BI1832" s="47"/>
      <c r="BJ1832" s="47"/>
      <c r="BK1832" s="47"/>
      <c r="BL1832" s="47"/>
      <c r="BM1832" s="47"/>
      <c r="BN1832" s="47"/>
      <c r="BO1832" s="47"/>
      <c r="BP1832" s="47"/>
      <c r="BQ1832" s="47"/>
      <c r="BR1832" s="47"/>
      <c r="BS1832" s="47"/>
      <c r="BT1832" s="47"/>
    </row>
    <row r="1833">
      <c r="A1833" s="24"/>
      <c r="B1833" s="48"/>
      <c r="C1833" s="49"/>
      <c r="D1833" s="24"/>
      <c r="E1833" s="52"/>
      <c r="F1833" s="53"/>
      <c r="G1833" s="48"/>
      <c r="H1833" s="49"/>
      <c r="I1833" s="49"/>
      <c r="J1833" s="48"/>
      <c r="K1833" s="48"/>
      <c r="L1833" s="48"/>
      <c r="M1833" s="48"/>
      <c r="N1833" s="48"/>
      <c r="O1833" s="48"/>
      <c r="P1833" s="48"/>
      <c r="Q1833" s="48"/>
      <c r="R1833" s="48"/>
      <c r="S1833" s="48"/>
      <c r="T1833" s="48"/>
      <c r="U1833" s="48"/>
      <c r="V1833" s="48"/>
      <c r="W1833" s="49"/>
      <c r="X1833" s="49"/>
      <c r="Y1833" s="49"/>
      <c r="Z1833" s="49"/>
      <c r="AA1833" s="49"/>
      <c r="AB1833" s="49"/>
      <c r="AC1833" s="49"/>
      <c r="AD1833" s="49"/>
      <c r="AE1833" s="49"/>
      <c r="AF1833" s="49"/>
      <c r="AG1833" s="49"/>
      <c r="AH1833" s="49"/>
      <c r="AI1833" s="48"/>
      <c r="AJ1833" s="48"/>
      <c r="AK1833" s="24"/>
      <c r="AL1833" s="50"/>
      <c r="AM1833" s="50"/>
      <c r="AN1833" s="50"/>
      <c r="AO1833" s="50"/>
      <c r="AP1833" s="50"/>
      <c r="AQ1833" s="50"/>
      <c r="AR1833" s="50"/>
      <c r="AS1833" s="50"/>
      <c r="AT1833" s="51"/>
      <c r="AU1833" s="51"/>
      <c r="AV1833" s="51"/>
      <c r="AW1833" s="51"/>
      <c r="AX1833" s="50"/>
      <c r="AY1833" s="50"/>
      <c r="AZ1833" s="50"/>
      <c r="BA1833" s="50"/>
      <c r="BB1833" s="51"/>
      <c r="BC1833" s="51"/>
      <c r="BD1833" s="51"/>
      <c r="BE1833" s="51"/>
      <c r="BF1833" s="47"/>
      <c r="BG1833" s="47"/>
      <c r="BH1833" s="47"/>
      <c r="BI1833" s="47"/>
      <c r="BJ1833" s="47"/>
      <c r="BK1833" s="47"/>
      <c r="BL1833" s="47"/>
      <c r="BM1833" s="47"/>
      <c r="BN1833" s="47"/>
      <c r="BO1833" s="47"/>
      <c r="BP1833" s="47"/>
      <c r="BQ1833" s="47"/>
      <c r="BR1833" s="47"/>
      <c r="BS1833" s="47"/>
      <c r="BT1833" s="47"/>
    </row>
    <row r="1834">
      <c r="A1834" s="24"/>
      <c r="B1834" s="48"/>
      <c r="C1834" s="49"/>
      <c r="D1834" s="24"/>
      <c r="E1834" s="52"/>
      <c r="F1834" s="53"/>
      <c r="G1834" s="48"/>
      <c r="H1834" s="49"/>
      <c r="I1834" s="49"/>
      <c r="J1834" s="48"/>
      <c r="K1834" s="48"/>
      <c r="L1834" s="48"/>
      <c r="M1834" s="48"/>
      <c r="N1834" s="48"/>
      <c r="O1834" s="48"/>
      <c r="P1834" s="48"/>
      <c r="Q1834" s="48"/>
      <c r="R1834" s="48"/>
      <c r="S1834" s="48"/>
      <c r="T1834" s="48"/>
      <c r="U1834" s="48"/>
      <c r="V1834" s="48"/>
      <c r="W1834" s="49"/>
      <c r="X1834" s="49"/>
      <c r="Y1834" s="49"/>
      <c r="Z1834" s="49"/>
      <c r="AA1834" s="49"/>
      <c r="AB1834" s="49"/>
      <c r="AC1834" s="49"/>
      <c r="AD1834" s="49"/>
      <c r="AE1834" s="49"/>
      <c r="AF1834" s="49"/>
      <c r="AG1834" s="49"/>
      <c r="AH1834" s="49"/>
      <c r="AI1834" s="48"/>
      <c r="AJ1834" s="48"/>
      <c r="AK1834" s="24"/>
      <c r="AL1834" s="50"/>
      <c r="AM1834" s="50"/>
      <c r="AN1834" s="50"/>
      <c r="AO1834" s="50"/>
      <c r="AP1834" s="50"/>
      <c r="AQ1834" s="50"/>
      <c r="AR1834" s="50"/>
      <c r="AS1834" s="50"/>
      <c r="AT1834" s="51"/>
      <c r="AU1834" s="51"/>
      <c r="AV1834" s="51"/>
      <c r="AW1834" s="51"/>
      <c r="AX1834" s="50"/>
      <c r="AY1834" s="50"/>
      <c r="AZ1834" s="50"/>
      <c r="BA1834" s="50"/>
      <c r="BB1834" s="51"/>
      <c r="BC1834" s="51"/>
      <c r="BD1834" s="51"/>
      <c r="BE1834" s="51"/>
      <c r="BF1834" s="47"/>
      <c r="BG1834" s="47"/>
      <c r="BH1834" s="47"/>
      <c r="BI1834" s="47"/>
      <c r="BJ1834" s="47"/>
      <c r="BK1834" s="47"/>
      <c r="BL1834" s="47"/>
      <c r="BM1834" s="47"/>
      <c r="BN1834" s="47"/>
      <c r="BO1834" s="47"/>
      <c r="BP1834" s="47"/>
      <c r="BQ1834" s="47"/>
      <c r="BR1834" s="47"/>
      <c r="BS1834" s="47"/>
      <c r="BT1834" s="47"/>
    </row>
    <row r="1835">
      <c r="A1835" s="24"/>
      <c r="B1835" s="48"/>
      <c r="C1835" s="49"/>
      <c r="D1835" s="24"/>
      <c r="E1835" s="52"/>
      <c r="F1835" s="53"/>
      <c r="G1835" s="48"/>
      <c r="H1835" s="49"/>
      <c r="I1835" s="49"/>
      <c r="J1835" s="48"/>
      <c r="K1835" s="48"/>
      <c r="L1835" s="48"/>
      <c r="M1835" s="48"/>
      <c r="N1835" s="48"/>
      <c r="O1835" s="48"/>
      <c r="P1835" s="48"/>
      <c r="Q1835" s="48"/>
      <c r="R1835" s="48"/>
      <c r="S1835" s="48"/>
      <c r="T1835" s="48"/>
      <c r="U1835" s="48"/>
      <c r="V1835" s="48"/>
      <c r="W1835" s="49"/>
      <c r="X1835" s="49"/>
      <c r="Y1835" s="49"/>
      <c r="Z1835" s="49"/>
      <c r="AA1835" s="49"/>
      <c r="AB1835" s="49"/>
      <c r="AC1835" s="49"/>
      <c r="AD1835" s="49"/>
      <c r="AE1835" s="49"/>
      <c r="AF1835" s="49"/>
      <c r="AG1835" s="49"/>
      <c r="AH1835" s="49"/>
      <c r="AI1835" s="48"/>
      <c r="AJ1835" s="48"/>
      <c r="AK1835" s="24"/>
      <c r="AL1835" s="50"/>
      <c r="AM1835" s="50"/>
      <c r="AN1835" s="50"/>
      <c r="AO1835" s="50"/>
      <c r="AP1835" s="50"/>
      <c r="AQ1835" s="50"/>
      <c r="AR1835" s="50"/>
      <c r="AS1835" s="50"/>
      <c r="AT1835" s="51"/>
      <c r="AU1835" s="51"/>
      <c r="AV1835" s="51"/>
      <c r="AW1835" s="51"/>
      <c r="AX1835" s="50"/>
      <c r="AY1835" s="50"/>
      <c r="AZ1835" s="50"/>
      <c r="BA1835" s="50"/>
      <c r="BB1835" s="51"/>
      <c r="BC1835" s="51"/>
      <c r="BD1835" s="51"/>
      <c r="BE1835" s="51"/>
      <c r="BF1835" s="47"/>
      <c r="BG1835" s="47"/>
      <c r="BH1835" s="47"/>
      <c r="BI1835" s="47"/>
      <c r="BJ1835" s="47"/>
      <c r="BK1835" s="47"/>
      <c r="BL1835" s="47"/>
      <c r="BM1835" s="47"/>
      <c r="BN1835" s="47"/>
      <c r="BO1835" s="47"/>
      <c r="BP1835" s="47"/>
      <c r="BQ1835" s="47"/>
      <c r="BR1835" s="47"/>
      <c r="BS1835" s="47"/>
      <c r="BT1835" s="47"/>
    </row>
    <row r="1836">
      <c r="A1836" s="24"/>
      <c r="B1836" s="48"/>
      <c r="C1836" s="49"/>
      <c r="D1836" s="24"/>
      <c r="E1836" s="52"/>
      <c r="F1836" s="53"/>
      <c r="G1836" s="48"/>
      <c r="H1836" s="49"/>
      <c r="I1836" s="49"/>
      <c r="J1836" s="48"/>
      <c r="K1836" s="48"/>
      <c r="L1836" s="48"/>
      <c r="M1836" s="48"/>
      <c r="N1836" s="48"/>
      <c r="O1836" s="48"/>
      <c r="P1836" s="48"/>
      <c r="Q1836" s="48"/>
      <c r="R1836" s="48"/>
      <c r="S1836" s="48"/>
      <c r="T1836" s="48"/>
      <c r="U1836" s="48"/>
      <c r="V1836" s="48"/>
      <c r="W1836" s="49"/>
      <c r="X1836" s="49"/>
      <c r="Y1836" s="49"/>
      <c r="Z1836" s="49"/>
      <c r="AA1836" s="49"/>
      <c r="AB1836" s="49"/>
      <c r="AC1836" s="49"/>
      <c r="AD1836" s="49"/>
      <c r="AE1836" s="49"/>
      <c r="AF1836" s="49"/>
      <c r="AG1836" s="49"/>
      <c r="AH1836" s="49"/>
      <c r="AI1836" s="48"/>
      <c r="AJ1836" s="48"/>
      <c r="AK1836" s="24"/>
      <c r="AL1836" s="50"/>
      <c r="AM1836" s="50"/>
      <c r="AN1836" s="50"/>
      <c r="AO1836" s="50"/>
      <c r="AP1836" s="50"/>
      <c r="AQ1836" s="50"/>
      <c r="AR1836" s="50"/>
      <c r="AS1836" s="50"/>
      <c r="AT1836" s="51"/>
      <c r="AU1836" s="51"/>
      <c r="AV1836" s="51"/>
      <c r="AW1836" s="51"/>
      <c r="AX1836" s="50"/>
      <c r="AY1836" s="50"/>
      <c r="AZ1836" s="50"/>
      <c r="BA1836" s="50"/>
      <c r="BB1836" s="51"/>
      <c r="BC1836" s="51"/>
      <c r="BD1836" s="51"/>
      <c r="BE1836" s="51"/>
      <c r="BF1836" s="47"/>
      <c r="BG1836" s="47"/>
      <c r="BH1836" s="47"/>
      <c r="BI1836" s="47"/>
      <c r="BJ1836" s="47"/>
      <c r="BK1836" s="47"/>
      <c r="BL1836" s="47"/>
      <c r="BM1836" s="47"/>
      <c r="BN1836" s="47"/>
      <c r="BO1836" s="47"/>
      <c r="BP1836" s="47"/>
      <c r="BQ1836" s="47"/>
      <c r="BR1836" s="47"/>
      <c r="BS1836" s="47"/>
      <c r="BT1836" s="47"/>
    </row>
    <row r="1837">
      <c r="A1837" s="24"/>
      <c r="B1837" s="48"/>
      <c r="C1837" s="49"/>
      <c r="D1837" s="24"/>
      <c r="E1837" s="52"/>
      <c r="F1837" s="53"/>
      <c r="G1837" s="48"/>
      <c r="H1837" s="49"/>
      <c r="I1837" s="49"/>
      <c r="J1837" s="48"/>
      <c r="K1837" s="48"/>
      <c r="L1837" s="48"/>
      <c r="M1837" s="48"/>
      <c r="N1837" s="48"/>
      <c r="O1837" s="48"/>
      <c r="P1837" s="48"/>
      <c r="Q1837" s="48"/>
      <c r="R1837" s="48"/>
      <c r="S1837" s="48"/>
      <c r="T1837" s="48"/>
      <c r="U1837" s="48"/>
      <c r="V1837" s="48"/>
      <c r="W1837" s="49"/>
      <c r="X1837" s="49"/>
      <c r="Y1837" s="49"/>
      <c r="Z1837" s="49"/>
      <c r="AA1837" s="49"/>
      <c r="AB1837" s="49"/>
      <c r="AC1837" s="49"/>
      <c r="AD1837" s="49"/>
      <c r="AE1837" s="49"/>
      <c r="AF1837" s="49"/>
      <c r="AG1837" s="49"/>
      <c r="AH1837" s="49"/>
      <c r="AI1837" s="48"/>
      <c r="AJ1837" s="48"/>
      <c r="AK1837" s="24"/>
      <c r="AL1837" s="50"/>
      <c r="AM1837" s="50"/>
      <c r="AN1837" s="50"/>
      <c r="AO1837" s="50"/>
      <c r="AP1837" s="50"/>
      <c r="AQ1837" s="50"/>
      <c r="AR1837" s="50"/>
      <c r="AS1837" s="50"/>
      <c r="AT1837" s="51"/>
      <c r="AU1837" s="51"/>
      <c r="AV1837" s="51"/>
      <c r="AW1837" s="51"/>
      <c r="AX1837" s="50"/>
      <c r="AY1837" s="50"/>
      <c r="AZ1837" s="50"/>
      <c r="BA1837" s="50"/>
      <c r="BB1837" s="51"/>
      <c r="BC1837" s="51"/>
      <c r="BD1837" s="51"/>
      <c r="BE1837" s="51"/>
      <c r="BF1837" s="47"/>
      <c r="BG1837" s="47"/>
      <c r="BH1837" s="47"/>
      <c r="BI1837" s="47"/>
      <c r="BJ1837" s="47"/>
      <c r="BK1837" s="47"/>
      <c r="BL1837" s="47"/>
      <c r="BM1837" s="47"/>
      <c r="BN1837" s="47"/>
      <c r="BO1837" s="47"/>
      <c r="BP1837" s="47"/>
      <c r="BQ1837" s="47"/>
      <c r="BR1837" s="47"/>
      <c r="BS1837" s="47"/>
      <c r="BT1837" s="47"/>
    </row>
    <row r="1838">
      <c r="A1838" s="24"/>
      <c r="B1838" s="48"/>
      <c r="C1838" s="49"/>
      <c r="D1838" s="24"/>
      <c r="E1838" s="52"/>
      <c r="F1838" s="53"/>
      <c r="G1838" s="48"/>
      <c r="H1838" s="49"/>
      <c r="I1838" s="49"/>
      <c r="J1838" s="48"/>
      <c r="K1838" s="48"/>
      <c r="L1838" s="48"/>
      <c r="M1838" s="48"/>
      <c r="N1838" s="48"/>
      <c r="O1838" s="48"/>
      <c r="P1838" s="48"/>
      <c r="Q1838" s="48"/>
      <c r="R1838" s="48"/>
      <c r="S1838" s="48"/>
      <c r="T1838" s="48"/>
      <c r="U1838" s="48"/>
      <c r="V1838" s="48"/>
      <c r="W1838" s="49"/>
      <c r="X1838" s="49"/>
      <c r="Y1838" s="49"/>
      <c r="Z1838" s="49"/>
      <c r="AA1838" s="49"/>
      <c r="AB1838" s="49"/>
      <c r="AC1838" s="49"/>
      <c r="AD1838" s="49"/>
      <c r="AE1838" s="49"/>
      <c r="AF1838" s="49"/>
      <c r="AG1838" s="49"/>
      <c r="AH1838" s="49"/>
      <c r="AI1838" s="48"/>
      <c r="AJ1838" s="48"/>
      <c r="AK1838" s="24"/>
      <c r="AL1838" s="50"/>
      <c r="AM1838" s="50"/>
      <c r="AN1838" s="50"/>
      <c r="AO1838" s="50"/>
      <c r="AP1838" s="50"/>
      <c r="AQ1838" s="50"/>
      <c r="AR1838" s="50"/>
      <c r="AS1838" s="50"/>
      <c r="AT1838" s="51"/>
      <c r="AU1838" s="51"/>
      <c r="AV1838" s="51"/>
      <c r="AW1838" s="51"/>
      <c r="AX1838" s="50"/>
      <c r="AY1838" s="50"/>
      <c r="AZ1838" s="50"/>
      <c r="BA1838" s="50"/>
      <c r="BB1838" s="51"/>
      <c r="BC1838" s="51"/>
      <c r="BD1838" s="51"/>
      <c r="BE1838" s="51"/>
      <c r="BF1838" s="47"/>
      <c r="BG1838" s="47"/>
      <c r="BH1838" s="47"/>
      <c r="BI1838" s="47"/>
      <c r="BJ1838" s="47"/>
      <c r="BK1838" s="47"/>
      <c r="BL1838" s="47"/>
      <c r="BM1838" s="47"/>
      <c r="BN1838" s="47"/>
      <c r="BO1838" s="47"/>
      <c r="BP1838" s="47"/>
      <c r="BQ1838" s="47"/>
      <c r="BR1838" s="47"/>
      <c r="BS1838" s="47"/>
      <c r="BT1838" s="47"/>
    </row>
    <row r="1839">
      <c r="A1839" s="24"/>
      <c r="B1839" s="48"/>
      <c r="C1839" s="49"/>
      <c r="D1839" s="24"/>
      <c r="E1839" s="52"/>
      <c r="F1839" s="53"/>
      <c r="G1839" s="48"/>
      <c r="H1839" s="49"/>
      <c r="I1839" s="49"/>
      <c r="J1839" s="48"/>
      <c r="K1839" s="48"/>
      <c r="L1839" s="48"/>
      <c r="M1839" s="48"/>
      <c r="N1839" s="48"/>
      <c r="O1839" s="48"/>
      <c r="P1839" s="48"/>
      <c r="Q1839" s="48"/>
      <c r="R1839" s="48"/>
      <c r="S1839" s="48"/>
      <c r="T1839" s="48"/>
      <c r="U1839" s="48"/>
      <c r="V1839" s="48"/>
      <c r="W1839" s="49"/>
      <c r="X1839" s="49"/>
      <c r="Y1839" s="49"/>
      <c r="Z1839" s="49"/>
      <c r="AA1839" s="49"/>
      <c r="AB1839" s="49"/>
      <c r="AC1839" s="49"/>
      <c r="AD1839" s="49"/>
      <c r="AE1839" s="49"/>
      <c r="AF1839" s="49"/>
      <c r="AG1839" s="49"/>
      <c r="AH1839" s="49"/>
      <c r="AI1839" s="48"/>
      <c r="AJ1839" s="48"/>
      <c r="AK1839" s="24"/>
      <c r="AL1839" s="50"/>
      <c r="AM1839" s="50"/>
      <c r="AN1839" s="50"/>
      <c r="AO1839" s="50"/>
      <c r="AP1839" s="50"/>
      <c r="AQ1839" s="50"/>
      <c r="AR1839" s="50"/>
      <c r="AS1839" s="50"/>
      <c r="AT1839" s="51"/>
      <c r="AU1839" s="51"/>
      <c r="AV1839" s="51"/>
      <c r="AW1839" s="51"/>
      <c r="AX1839" s="50"/>
      <c r="AY1839" s="50"/>
      <c r="AZ1839" s="50"/>
      <c r="BA1839" s="50"/>
      <c r="BB1839" s="51"/>
      <c r="BC1839" s="51"/>
      <c r="BD1839" s="51"/>
      <c r="BE1839" s="51"/>
      <c r="BF1839" s="47"/>
      <c r="BG1839" s="47"/>
      <c r="BH1839" s="47"/>
      <c r="BI1839" s="47"/>
      <c r="BJ1839" s="47"/>
      <c r="BK1839" s="47"/>
      <c r="BL1839" s="47"/>
      <c r="BM1839" s="47"/>
      <c r="BN1839" s="47"/>
      <c r="BO1839" s="47"/>
      <c r="BP1839" s="47"/>
      <c r="BQ1839" s="47"/>
      <c r="BR1839" s="47"/>
      <c r="BS1839" s="47"/>
      <c r="BT1839" s="47"/>
    </row>
    <row r="1840">
      <c r="A1840" s="24"/>
      <c r="B1840" s="48"/>
      <c r="C1840" s="49"/>
      <c r="D1840" s="24"/>
      <c r="E1840" s="52"/>
      <c r="F1840" s="53"/>
      <c r="G1840" s="48"/>
      <c r="H1840" s="49"/>
      <c r="I1840" s="49"/>
      <c r="J1840" s="48"/>
      <c r="K1840" s="48"/>
      <c r="L1840" s="48"/>
      <c r="M1840" s="48"/>
      <c r="N1840" s="48"/>
      <c r="O1840" s="48"/>
      <c r="P1840" s="48"/>
      <c r="Q1840" s="48"/>
      <c r="R1840" s="48"/>
      <c r="S1840" s="48"/>
      <c r="T1840" s="48"/>
      <c r="U1840" s="48"/>
      <c r="V1840" s="48"/>
      <c r="W1840" s="49"/>
      <c r="X1840" s="49"/>
      <c r="Y1840" s="49"/>
      <c r="Z1840" s="49"/>
      <c r="AA1840" s="49"/>
      <c r="AB1840" s="49"/>
      <c r="AC1840" s="49"/>
      <c r="AD1840" s="49"/>
      <c r="AE1840" s="49"/>
      <c r="AF1840" s="49"/>
      <c r="AG1840" s="49"/>
      <c r="AH1840" s="49"/>
      <c r="AI1840" s="48"/>
      <c r="AJ1840" s="48"/>
      <c r="AK1840" s="24"/>
      <c r="AL1840" s="50"/>
      <c r="AM1840" s="50"/>
      <c r="AN1840" s="50"/>
      <c r="AO1840" s="50"/>
      <c r="AP1840" s="50"/>
      <c r="AQ1840" s="50"/>
      <c r="AR1840" s="50"/>
      <c r="AS1840" s="50"/>
      <c r="AT1840" s="51"/>
      <c r="AU1840" s="51"/>
      <c r="AV1840" s="51"/>
      <c r="AW1840" s="51"/>
      <c r="AX1840" s="50"/>
      <c r="AY1840" s="50"/>
      <c r="AZ1840" s="50"/>
      <c r="BA1840" s="50"/>
      <c r="BB1840" s="51"/>
      <c r="BC1840" s="51"/>
      <c r="BD1840" s="51"/>
      <c r="BE1840" s="51"/>
      <c r="BF1840" s="47"/>
      <c r="BG1840" s="47"/>
      <c r="BH1840" s="47"/>
      <c r="BI1840" s="47"/>
      <c r="BJ1840" s="47"/>
      <c r="BK1840" s="47"/>
      <c r="BL1840" s="47"/>
      <c r="BM1840" s="47"/>
      <c r="BN1840" s="47"/>
      <c r="BO1840" s="47"/>
      <c r="BP1840" s="47"/>
      <c r="BQ1840" s="47"/>
      <c r="BR1840" s="47"/>
      <c r="BS1840" s="47"/>
      <c r="BT1840" s="47"/>
    </row>
    <row r="1841">
      <c r="A1841" s="24"/>
      <c r="B1841" s="48"/>
      <c r="C1841" s="49"/>
      <c r="D1841" s="24"/>
      <c r="E1841" s="52"/>
      <c r="F1841" s="53"/>
      <c r="G1841" s="48"/>
      <c r="H1841" s="49"/>
      <c r="I1841" s="49"/>
      <c r="J1841" s="48"/>
      <c r="K1841" s="48"/>
      <c r="L1841" s="48"/>
      <c r="M1841" s="48"/>
      <c r="N1841" s="48"/>
      <c r="O1841" s="48"/>
      <c r="P1841" s="48"/>
      <c r="Q1841" s="48"/>
      <c r="R1841" s="48"/>
      <c r="S1841" s="48"/>
      <c r="T1841" s="48"/>
      <c r="U1841" s="48"/>
      <c r="V1841" s="48"/>
      <c r="W1841" s="49"/>
      <c r="X1841" s="49"/>
      <c r="Y1841" s="49"/>
      <c r="Z1841" s="49"/>
      <c r="AA1841" s="49"/>
      <c r="AB1841" s="49"/>
      <c r="AC1841" s="49"/>
      <c r="AD1841" s="49"/>
      <c r="AE1841" s="49"/>
      <c r="AF1841" s="49"/>
      <c r="AG1841" s="49"/>
      <c r="AH1841" s="49"/>
      <c r="AI1841" s="48"/>
      <c r="AJ1841" s="48"/>
      <c r="AK1841" s="24"/>
      <c r="AL1841" s="50"/>
      <c r="AM1841" s="50"/>
      <c r="AN1841" s="50"/>
      <c r="AO1841" s="50"/>
      <c r="AP1841" s="50"/>
      <c r="AQ1841" s="50"/>
      <c r="AR1841" s="50"/>
      <c r="AS1841" s="50"/>
      <c r="AT1841" s="51"/>
      <c r="AU1841" s="51"/>
      <c r="AV1841" s="51"/>
      <c r="AW1841" s="51"/>
      <c r="AX1841" s="50"/>
      <c r="AY1841" s="50"/>
      <c r="AZ1841" s="50"/>
      <c r="BA1841" s="50"/>
      <c r="BB1841" s="51"/>
      <c r="BC1841" s="51"/>
      <c r="BD1841" s="51"/>
      <c r="BE1841" s="51"/>
      <c r="BF1841" s="47"/>
      <c r="BG1841" s="47"/>
      <c r="BH1841" s="47"/>
      <c r="BI1841" s="47"/>
      <c r="BJ1841" s="47"/>
      <c r="BK1841" s="47"/>
      <c r="BL1841" s="47"/>
      <c r="BM1841" s="47"/>
      <c r="BN1841" s="47"/>
      <c r="BO1841" s="47"/>
      <c r="BP1841" s="47"/>
      <c r="BQ1841" s="47"/>
      <c r="BR1841" s="47"/>
      <c r="BS1841" s="47"/>
      <c r="BT1841" s="47"/>
    </row>
    <row r="1842">
      <c r="A1842" s="24"/>
      <c r="B1842" s="48"/>
      <c r="C1842" s="49"/>
      <c r="D1842" s="24"/>
      <c r="E1842" s="52"/>
      <c r="F1842" s="53"/>
      <c r="G1842" s="48"/>
      <c r="H1842" s="49"/>
      <c r="I1842" s="49"/>
      <c r="J1842" s="48"/>
      <c r="K1842" s="48"/>
      <c r="L1842" s="48"/>
      <c r="M1842" s="48"/>
      <c r="N1842" s="48"/>
      <c r="O1842" s="48"/>
      <c r="P1842" s="48"/>
      <c r="Q1842" s="48"/>
      <c r="R1842" s="48"/>
      <c r="S1842" s="48"/>
      <c r="T1842" s="48"/>
      <c r="U1842" s="48"/>
      <c r="V1842" s="48"/>
      <c r="W1842" s="49"/>
      <c r="X1842" s="49"/>
      <c r="Y1842" s="49"/>
      <c r="Z1842" s="49"/>
      <c r="AA1842" s="49"/>
      <c r="AB1842" s="49"/>
      <c r="AC1842" s="49"/>
      <c r="AD1842" s="49"/>
      <c r="AE1842" s="49"/>
      <c r="AF1842" s="49"/>
      <c r="AG1842" s="49"/>
      <c r="AH1842" s="49"/>
      <c r="AI1842" s="48"/>
      <c r="AJ1842" s="48"/>
      <c r="AK1842" s="24"/>
      <c r="AL1842" s="50"/>
      <c r="AM1842" s="50"/>
      <c r="AN1842" s="50"/>
      <c r="AO1842" s="50"/>
      <c r="AP1842" s="50"/>
      <c r="AQ1842" s="50"/>
      <c r="AR1842" s="50"/>
      <c r="AS1842" s="50"/>
      <c r="AT1842" s="51"/>
      <c r="AU1842" s="51"/>
      <c r="AV1842" s="51"/>
      <c r="AW1842" s="51"/>
      <c r="AX1842" s="50"/>
      <c r="AY1842" s="50"/>
      <c r="AZ1842" s="50"/>
      <c r="BA1842" s="50"/>
      <c r="BB1842" s="51"/>
      <c r="BC1842" s="51"/>
      <c r="BD1842" s="51"/>
      <c r="BE1842" s="51"/>
      <c r="BF1842" s="47"/>
      <c r="BG1842" s="47"/>
      <c r="BH1842" s="47"/>
      <c r="BI1842" s="47"/>
      <c r="BJ1842" s="47"/>
      <c r="BK1842" s="47"/>
      <c r="BL1842" s="47"/>
      <c r="BM1842" s="47"/>
      <c r="BN1842" s="47"/>
      <c r="BO1842" s="47"/>
      <c r="BP1842" s="47"/>
      <c r="BQ1842" s="47"/>
      <c r="BR1842" s="47"/>
      <c r="BS1842" s="47"/>
      <c r="BT1842" s="47"/>
    </row>
    <row r="1843">
      <c r="A1843" s="24"/>
      <c r="B1843" s="48"/>
      <c r="C1843" s="49"/>
      <c r="D1843" s="24"/>
      <c r="E1843" s="52"/>
      <c r="F1843" s="53"/>
      <c r="G1843" s="48"/>
      <c r="H1843" s="49"/>
      <c r="I1843" s="49"/>
      <c r="J1843" s="48"/>
      <c r="K1843" s="48"/>
      <c r="L1843" s="48"/>
      <c r="M1843" s="48"/>
      <c r="N1843" s="48"/>
      <c r="O1843" s="48"/>
      <c r="P1843" s="48"/>
      <c r="Q1843" s="48"/>
      <c r="R1843" s="48"/>
      <c r="S1843" s="48"/>
      <c r="T1843" s="48"/>
      <c r="U1843" s="48"/>
      <c r="V1843" s="48"/>
      <c r="W1843" s="49"/>
      <c r="X1843" s="49"/>
      <c r="Y1843" s="49"/>
      <c r="Z1843" s="49"/>
      <c r="AA1843" s="49"/>
      <c r="AB1843" s="49"/>
      <c r="AC1843" s="49"/>
      <c r="AD1843" s="49"/>
      <c r="AE1843" s="49"/>
      <c r="AF1843" s="49"/>
      <c r="AG1843" s="49"/>
      <c r="AH1843" s="49"/>
      <c r="AI1843" s="48"/>
      <c r="AJ1843" s="48"/>
      <c r="AK1843" s="24"/>
      <c r="AL1843" s="50"/>
      <c r="AM1843" s="50"/>
      <c r="AN1843" s="50"/>
      <c r="AO1843" s="50"/>
      <c r="AP1843" s="50"/>
      <c r="AQ1843" s="50"/>
      <c r="AR1843" s="50"/>
      <c r="AS1843" s="50"/>
      <c r="AT1843" s="51"/>
      <c r="AU1843" s="51"/>
      <c r="AV1843" s="51"/>
      <c r="AW1843" s="51"/>
      <c r="AX1843" s="50"/>
      <c r="AY1843" s="50"/>
      <c r="AZ1843" s="50"/>
      <c r="BA1843" s="50"/>
      <c r="BB1843" s="51"/>
      <c r="BC1843" s="51"/>
      <c r="BD1843" s="51"/>
      <c r="BE1843" s="51"/>
      <c r="BF1843" s="47"/>
      <c r="BG1843" s="47"/>
      <c r="BH1843" s="47"/>
      <c r="BI1843" s="47"/>
      <c r="BJ1843" s="47"/>
      <c r="BK1843" s="47"/>
      <c r="BL1843" s="47"/>
      <c r="BM1843" s="47"/>
      <c r="BN1843" s="47"/>
      <c r="BO1843" s="47"/>
      <c r="BP1843" s="47"/>
      <c r="BQ1843" s="47"/>
      <c r="BR1843" s="47"/>
      <c r="BS1843" s="47"/>
      <c r="BT1843" s="47"/>
    </row>
    <row r="1844">
      <c r="A1844" s="24"/>
      <c r="B1844" s="48"/>
      <c r="C1844" s="49"/>
      <c r="D1844" s="24"/>
      <c r="E1844" s="52"/>
      <c r="F1844" s="53"/>
      <c r="G1844" s="48"/>
      <c r="H1844" s="49"/>
      <c r="I1844" s="49"/>
      <c r="J1844" s="48"/>
      <c r="K1844" s="48"/>
      <c r="L1844" s="48"/>
      <c r="M1844" s="48"/>
      <c r="N1844" s="48"/>
      <c r="O1844" s="48"/>
      <c r="P1844" s="48"/>
      <c r="Q1844" s="48"/>
      <c r="R1844" s="48"/>
      <c r="S1844" s="48"/>
      <c r="T1844" s="48"/>
      <c r="U1844" s="48"/>
      <c r="V1844" s="48"/>
      <c r="W1844" s="49"/>
      <c r="X1844" s="49"/>
      <c r="Y1844" s="49"/>
      <c r="Z1844" s="49"/>
      <c r="AA1844" s="49"/>
      <c r="AB1844" s="49"/>
      <c r="AC1844" s="49"/>
      <c r="AD1844" s="49"/>
      <c r="AE1844" s="49"/>
      <c r="AF1844" s="49"/>
      <c r="AG1844" s="49"/>
      <c r="AH1844" s="49"/>
      <c r="AI1844" s="48"/>
      <c r="AJ1844" s="48"/>
      <c r="AK1844" s="24"/>
      <c r="AL1844" s="50"/>
      <c r="AM1844" s="50"/>
      <c r="AN1844" s="50"/>
      <c r="AO1844" s="50"/>
      <c r="AP1844" s="50"/>
      <c r="AQ1844" s="50"/>
      <c r="AR1844" s="50"/>
      <c r="AS1844" s="50"/>
      <c r="AT1844" s="51"/>
      <c r="AU1844" s="51"/>
      <c r="AV1844" s="51"/>
      <c r="AW1844" s="51"/>
      <c r="AX1844" s="50"/>
      <c r="AY1844" s="50"/>
      <c r="AZ1844" s="50"/>
      <c r="BA1844" s="50"/>
      <c r="BB1844" s="51"/>
      <c r="BC1844" s="51"/>
      <c r="BD1844" s="51"/>
      <c r="BE1844" s="51"/>
      <c r="BF1844" s="47"/>
      <c r="BG1844" s="47"/>
      <c r="BH1844" s="47"/>
      <c r="BI1844" s="47"/>
      <c r="BJ1844" s="47"/>
      <c r="BK1844" s="47"/>
      <c r="BL1844" s="47"/>
      <c r="BM1844" s="47"/>
      <c r="BN1844" s="47"/>
      <c r="BO1844" s="47"/>
      <c r="BP1844" s="47"/>
      <c r="BQ1844" s="47"/>
      <c r="BR1844" s="47"/>
      <c r="BS1844" s="47"/>
      <c r="BT1844" s="47"/>
    </row>
    <row r="1845">
      <c r="A1845" s="24"/>
      <c r="B1845" s="48"/>
      <c r="C1845" s="49"/>
      <c r="D1845" s="24"/>
      <c r="E1845" s="52"/>
      <c r="F1845" s="53"/>
      <c r="G1845" s="48"/>
      <c r="H1845" s="49"/>
      <c r="I1845" s="49"/>
      <c r="J1845" s="48"/>
      <c r="K1845" s="48"/>
      <c r="L1845" s="48"/>
      <c r="M1845" s="48"/>
      <c r="N1845" s="48"/>
      <c r="O1845" s="48"/>
      <c r="P1845" s="48"/>
      <c r="Q1845" s="48"/>
      <c r="R1845" s="48"/>
      <c r="S1845" s="48"/>
      <c r="T1845" s="48"/>
      <c r="U1845" s="48"/>
      <c r="V1845" s="48"/>
      <c r="W1845" s="49"/>
      <c r="X1845" s="49"/>
      <c r="Y1845" s="49"/>
      <c r="Z1845" s="49"/>
      <c r="AA1845" s="49"/>
      <c r="AB1845" s="49"/>
      <c r="AC1845" s="49"/>
      <c r="AD1845" s="49"/>
      <c r="AE1845" s="49"/>
      <c r="AF1845" s="49"/>
      <c r="AG1845" s="49"/>
      <c r="AH1845" s="49"/>
      <c r="AI1845" s="48"/>
      <c r="AJ1845" s="48"/>
      <c r="AK1845" s="24"/>
      <c r="AL1845" s="50"/>
      <c r="AM1845" s="50"/>
      <c r="AN1845" s="50"/>
      <c r="AO1845" s="50"/>
      <c r="AP1845" s="50"/>
      <c r="AQ1845" s="50"/>
      <c r="AR1845" s="50"/>
      <c r="AS1845" s="50"/>
      <c r="AT1845" s="51"/>
      <c r="AU1845" s="51"/>
      <c r="AV1845" s="51"/>
      <c r="AW1845" s="51"/>
      <c r="AX1845" s="50"/>
      <c r="AY1845" s="50"/>
      <c r="AZ1845" s="50"/>
      <c r="BA1845" s="50"/>
      <c r="BB1845" s="51"/>
      <c r="BC1845" s="51"/>
      <c r="BD1845" s="51"/>
      <c r="BE1845" s="51"/>
      <c r="BF1845" s="47"/>
      <c r="BG1845" s="47"/>
      <c r="BH1845" s="47"/>
      <c r="BI1845" s="47"/>
      <c r="BJ1845" s="47"/>
      <c r="BK1845" s="47"/>
      <c r="BL1845" s="47"/>
      <c r="BM1845" s="47"/>
      <c r="BN1845" s="47"/>
      <c r="BO1845" s="47"/>
      <c r="BP1845" s="47"/>
      <c r="BQ1845" s="47"/>
      <c r="BR1845" s="47"/>
      <c r="BS1845" s="47"/>
      <c r="BT1845" s="47"/>
    </row>
    <row r="1846">
      <c r="A1846" s="24"/>
      <c r="B1846" s="48"/>
      <c r="C1846" s="49"/>
      <c r="D1846" s="24"/>
      <c r="E1846" s="52"/>
      <c r="F1846" s="53"/>
      <c r="G1846" s="48"/>
      <c r="H1846" s="49"/>
      <c r="I1846" s="49"/>
      <c r="J1846" s="48"/>
      <c r="K1846" s="48"/>
      <c r="L1846" s="48"/>
      <c r="M1846" s="48"/>
      <c r="N1846" s="48"/>
      <c r="O1846" s="48"/>
      <c r="P1846" s="48"/>
      <c r="Q1846" s="48"/>
      <c r="R1846" s="48"/>
      <c r="S1846" s="48"/>
      <c r="T1846" s="48"/>
      <c r="U1846" s="48"/>
      <c r="V1846" s="48"/>
      <c r="W1846" s="49"/>
      <c r="X1846" s="49"/>
      <c r="Y1846" s="49"/>
      <c r="Z1846" s="49"/>
      <c r="AA1846" s="49"/>
      <c r="AB1846" s="49"/>
      <c r="AC1846" s="49"/>
      <c r="AD1846" s="49"/>
      <c r="AE1846" s="49"/>
      <c r="AF1846" s="49"/>
      <c r="AG1846" s="49"/>
      <c r="AH1846" s="49"/>
      <c r="AI1846" s="48"/>
      <c r="AJ1846" s="48"/>
      <c r="AK1846" s="24"/>
      <c r="AL1846" s="50"/>
      <c r="AM1846" s="50"/>
      <c r="AN1846" s="50"/>
      <c r="AO1846" s="50"/>
      <c r="AP1846" s="50"/>
      <c r="AQ1846" s="50"/>
      <c r="AR1846" s="50"/>
      <c r="AS1846" s="50"/>
      <c r="AT1846" s="51"/>
      <c r="AU1846" s="51"/>
      <c r="AV1846" s="51"/>
      <c r="AW1846" s="51"/>
      <c r="AX1846" s="50"/>
      <c r="AY1846" s="50"/>
      <c r="AZ1846" s="50"/>
      <c r="BA1846" s="50"/>
      <c r="BB1846" s="51"/>
      <c r="BC1846" s="51"/>
      <c r="BD1846" s="51"/>
      <c r="BE1846" s="51"/>
      <c r="BF1846" s="47"/>
      <c r="BG1846" s="47"/>
      <c r="BH1846" s="47"/>
      <c r="BI1846" s="47"/>
      <c r="BJ1846" s="47"/>
      <c r="BK1846" s="47"/>
      <c r="BL1846" s="47"/>
      <c r="BM1846" s="47"/>
      <c r="BN1846" s="47"/>
      <c r="BO1846" s="47"/>
      <c r="BP1846" s="47"/>
      <c r="BQ1846" s="47"/>
      <c r="BR1846" s="47"/>
      <c r="BS1846" s="47"/>
      <c r="BT1846" s="47"/>
    </row>
    <row r="1847">
      <c r="A1847" s="24"/>
      <c r="B1847" s="48"/>
      <c r="C1847" s="49"/>
      <c r="D1847" s="24"/>
      <c r="E1847" s="52"/>
      <c r="F1847" s="53"/>
      <c r="G1847" s="48"/>
      <c r="H1847" s="49"/>
      <c r="I1847" s="49"/>
      <c r="J1847" s="48"/>
      <c r="K1847" s="48"/>
      <c r="L1847" s="48"/>
      <c r="M1847" s="48"/>
      <c r="N1847" s="48"/>
      <c r="O1847" s="48"/>
      <c r="P1847" s="48"/>
      <c r="Q1847" s="48"/>
      <c r="R1847" s="48"/>
      <c r="S1847" s="48"/>
      <c r="T1847" s="48"/>
      <c r="U1847" s="48"/>
      <c r="V1847" s="48"/>
      <c r="W1847" s="49"/>
      <c r="X1847" s="49"/>
      <c r="Y1847" s="49"/>
      <c r="Z1847" s="49"/>
      <c r="AA1847" s="49"/>
      <c r="AB1847" s="49"/>
      <c r="AC1847" s="49"/>
      <c r="AD1847" s="49"/>
      <c r="AE1847" s="49"/>
      <c r="AF1847" s="49"/>
      <c r="AG1847" s="49"/>
      <c r="AH1847" s="49"/>
      <c r="AI1847" s="48"/>
      <c r="AJ1847" s="48"/>
      <c r="AK1847" s="24"/>
      <c r="AL1847" s="50"/>
      <c r="AM1847" s="50"/>
      <c r="AN1847" s="50"/>
      <c r="AO1847" s="50"/>
      <c r="AP1847" s="50"/>
      <c r="AQ1847" s="50"/>
      <c r="AR1847" s="50"/>
      <c r="AS1847" s="50"/>
      <c r="AT1847" s="51"/>
      <c r="AU1847" s="51"/>
      <c r="AV1847" s="51"/>
      <c r="AW1847" s="51"/>
      <c r="AX1847" s="50"/>
      <c r="AY1847" s="50"/>
      <c r="AZ1847" s="50"/>
      <c r="BA1847" s="50"/>
      <c r="BB1847" s="51"/>
      <c r="BC1847" s="51"/>
      <c r="BD1847" s="51"/>
      <c r="BE1847" s="51"/>
      <c r="BF1847" s="47"/>
      <c r="BG1847" s="47"/>
      <c r="BH1847" s="47"/>
      <c r="BI1847" s="47"/>
      <c r="BJ1847" s="47"/>
      <c r="BK1847" s="47"/>
      <c r="BL1847" s="47"/>
      <c r="BM1847" s="47"/>
      <c r="BN1847" s="47"/>
      <c r="BO1847" s="47"/>
      <c r="BP1847" s="47"/>
      <c r="BQ1847" s="47"/>
      <c r="BR1847" s="47"/>
      <c r="BS1847" s="47"/>
      <c r="BT1847" s="47"/>
    </row>
    <row r="1848">
      <c r="A1848" s="24"/>
      <c r="B1848" s="48"/>
      <c r="C1848" s="49"/>
      <c r="D1848" s="24"/>
      <c r="E1848" s="52"/>
      <c r="F1848" s="53"/>
      <c r="G1848" s="48"/>
      <c r="H1848" s="49"/>
      <c r="I1848" s="49"/>
      <c r="J1848" s="48"/>
      <c r="K1848" s="48"/>
      <c r="L1848" s="48"/>
      <c r="M1848" s="48"/>
      <c r="N1848" s="48"/>
      <c r="O1848" s="48"/>
      <c r="P1848" s="48"/>
      <c r="Q1848" s="48"/>
      <c r="R1848" s="48"/>
      <c r="S1848" s="48"/>
      <c r="T1848" s="48"/>
      <c r="U1848" s="48"/>
      <c r="V1848" s="48"/>
      <c r="W1848" s="49"/>
      <c r="X1848" s="49"/>
      <c r="Y1848" s="49"/>
      <c r="Z1848" s="49"/>
      <c r="AA1848" s="49"/>
      <c r="AB1848" s="49"/>
      <c r="AC1848" s="49"/>
      <c r="AD1848" s="49"/>
      <c r="AE1848" s="49"/>
      <c r="AF1848" s="49"/>
      <c r="AG1848" s="49"/>
      <c r="AH1848" s="49"/>
      <c r="AI1848" s="48"/>
      <c r="AJ1848" s="48"/>
      <c r="AK1848" s="24"/>
      <c r="AL1848" s="50"/>
      <c r="AM1848" s="50"/>
      <c r="AN1848" s="50"/>
      <c r="AO1848" s="50"/>
      <c r="AP1848" s="50"/>
      <c r="AQ1848" s="50"/>
      <c r="AR1848" s="50"/>
      <c r="AS1848" s="50"/>
      <c r="AT1848" s="51"/>
      <c r="AU1848" s="51"/>
      <c r="AV1848" s="51"/>
      <c r="AW1848" s="51"/>
      <c r="AX1848" s="50"/>
      <c r="AY1848" s="50"/>
      <c r="AZ1848" s="50"/>
      <c r="BA1848" s="50"/>
      <c r="BB1848" s="51"/>
      <c r="BC1848" s="51"/>
      <c r="BD1848" s="51"/>
      <c r="BE1848" s="51"/>
      <c r="BF1848" s="47"/>
      <c r="BG1848" s="47"/>
      <c r="BH1848" s="47"/>
      <c r="BI1848" s="47"/>
      <c r="BJ1848" s="47"/>
      <c r="BK1848" s="47"/>
      <c r="BL1848" s="47"/>
      <c r="BM1848" s="47"/>
      <c r="BN1848" s="47"/>
      <c r="BO1848" s="47"/>
      <c r="BP1848" s="47"/>
      <c r="BQ1848" s="47"/>
      <c r="BR1848" s="47"/>
      <c r="BS1848" s="47"/>
      <c r="BT1848" s="47"/>
    </row>
    <row r="1849">
      <c r="A1849" s="24"/>
      <c r="B1849" s="48"/>
      <c r="C1849" s="49"/>
      <c r="D1849" s="24"/>
      <c r="E1849" s="52"/>
      <c r="F1849" s="53"/>
      <c r="G1849" s="48"/>
      <c r="H1849" s="49"/>
      <c r="I1849" s="49"/>
      <c r="J1849" s="48"/>
      <c r="K1849" s="48"/>
      <c r="L1849" s="48"/>
      <c r="M1849" s="48"/>
      <c r="N1849" s="48"/>
      <c r="O1849" s="48"/>
      <c r="P1849" s="48"/>
      <c r="Q1849" s="48"/>
      <c r="R1849" s="48"/>
      <c r="S1849" s="48"/>
      <c r="T1849" s="48"/>
      <c r="U1849" s="48"/>
      <c r="V1849" s="48"/>
      <c r="W1849" s="49"/>
      <c r="X1849" s="49"/>
      <c r="Y1849" s="49"/>
      <c r="Z1849" s="49"/>
      <c r="AA1849" s="49"/>
      <c r="AB1849" s="49"/>
      <c r="AC1849" s="49"/>
      <c r="AD1849" s="49"/>
      <c r="AE1849" s="49"/>
      <c r="AF1849" s="49"/>
      <c r="AG1849" s="49"/>
      <c r="AH1849" s="49"/>
      <c r="AI1849" s="48"/>
      <c r="AJ1849" s="48"/>
      <c r="AK1849" s="24"/>
      <c r="AL1849" s="50"/>
      <c r="AM1849" s="50"/>
      <c r="AN1849" s="50"/>
      <c r="AO1849" s="50"/>
      <c r="AP1849" s="50"/>
      <c r="AQ1849" s="50"/>
      <c r="AR1849" s="50"/>
      <c r="AS1849" s="50"/>
      <c r="AT1849" s="51"/>
      <c r="AU1849" s="51"/>
      <c r="AV1849" s="51"/>
      <c r="AW1849" s="51"/>
      <c r="AX1849" s="50"/>
      <c r="AY1849" s="50"/>
      <c r="AZ1849" s="50"/>
      <c r="BA1849" s="50"/>
      <c r="BB1849" s="51"/>
      <c r="BC1849" s="51"/>
      <c r="BD1849" s="51"/>
      <c r="BE1849" s="51"/>
      <c r="BF1849" s="47"/>
      <c r="BG1849" s="47"/>
      <c r="BH1849" s="47"/>
      <c r="BI1849" s="47"/>
      <c r="BJ1849" s="47"/>
      <c r="BK1849" s="47"/>
      <c r="BL1849" s="47"/>
      <c r="BM1849" s="47"/>
      <c r="BN1849" s="47"/>
      <c r="BO1849" s="47"/>
      <c r="BP1849" s="47"/>
      <c r="BQ1849" s="47"/>
      <c r="BR1849" s="47"/>
      <c r="BS1849" s="47"/>
      <c r="BT1849" s="47"/>
    </row>
    <row r="1850">
      <c r="A1850" s="24"/>
      <c r="B1850" s="48"/>
      <c r="C1850" s="49"/>
      <c r="D1850" s="24"/>
      <c r="E1850" s="52"/>
      <c r="F1850" s="53"/>
      <c r="G1850" s="48"/>
      <c r="H1850" s="49"/>
      <c r="I1850" s="49"/>
      <c r="J1850" s="48"/>
      <c r="K1850" s="48"/>
      <c r="L1850" s="48"/>
      <c r="M1850" s="48"/>
      <c r="N1850" s="48"/>
      <c r="O1850" s="48"/>
      <c r="P1850" s="48"/>
      <c r="Q1850" s="48"/>
      <c r="R1850" s="48"/>
      <c r="S1850" s="48"/>
      <c r="T1850" s="48"/>
      <c r="U1850" s="48"/>
      <c r="V1850" s="48"/>
      <c r="W1850" s="49"/>
      <c r="X1850" s="49"/>
      <c r="Y1850" s="49"/>
      <c r="Z1850" s="49"/>
      <c r="AA1850" s="49"/>
      <c r="AB1850" s="49"/>
      <c r="AC1850" s="49"/>
      <c r="AD1850" s="49"/>
      <c r="AE1850" s="49"/>
      <c r="AF1850" s="49"/>
      <c r="AG1850" s="49"/>
      <c r="AH1850" s="49"/>
      <c r="AI1850" s="48"/>
      <c r="AJ1850" s="48"/>
      <c r="AK1850" s="24"/>
      <c r="AL1850" s="50"/>
      <c r="AM1850" s="50"/>
      <c r="AN1850" s="50"/>
      <c r="AO1850" s="50"/>
      <c r="AP1850" s="50"/>
      <c r="AQ1850" s="50"/>
      <c r="AR1850" s="50"/>
      <c r="AS1850" s="50"/>
      <c r="AT1850" s="51"/>
      <c r="AU1850" s="51"/>
      <c r="AV1850" s="51"/>
      <c r="AW1850" s="51"/>
      <c r="AX1850" s="50"/>
      <c r="AY1850" s="50"/>
      <c r="AZ1850" s="50"/>
      <c r="BA1850" s="50"/>
      <c r="BB1850" s="51"/>
      <c r="BC1850" s="51"/>
      <c r="BD1850" s="51"/>
      <c r="BE1850" s="51"/>
      <c r="BF1850" s="47"/>
      <c r="BG1850" s="47"/>
      <c r="BH1850" s="47"/>
      <c r="BI1850" s="47"/>
      <c r="BJ1850" s="47"/>
      <c r="BK1850" s="47"/>
      <c r="BL1850" s="47"/>
      <c r="BM1850" s="47"/>
      <c r="BN1850" s="47"/>
      <c r="BO1850" s="47"/>
      <c r="BP1850" s="47"/>
      <c r="BQ1850" s="47"/>
      <c r="BR1850" s="47"/>
      <c r="BS1850" s="47"/>
      <c r="BT1850" s="47"/>
    </row>
    <row r="1851">
      <c r="A1851" s="24"/>
      <c r="B1851" s="48"/>
      <c r="C1851" s="49"/>
      <c r="D1851" s="24"/>
      <c r="E1851" s="52"/>
      <c r="F1851" s="53"/>
      <c r="G1851" s="48"/>
      <c r="H1851" s="49"/>
      <c r="I1851" s="49"/>
      <c r="J1851" s="48"/>
      <c r="K1851" s="48"/>
      <c r="L1851" s="48"/>
      <c r="M1851" s="48"/>
      <c r="N1851" s="48"/>
      <c r="O1851" s="48"/>
      <c r="P1851" s="48"/>
      <c r="Q1851" s="48"/>
      <c r="R1851" s="48"/>
      <c r="S1851" s="48"/>
      <c r="T1851" s="48"/>
      <c r="U1851" s="48"/>
      <c r="V1851" s="48"/>
      <c r="W1851" s="49"/>
      <c r="X1851" s="49"/>
      <c r="Y1851" s="49"/>
      <c r="Z1851" s="49"/>
      <c r="AA1851" s="49"/>
      <c r="AB1851" s="49"/>
      <c r="AC1851" s="49"/>
      <c r="AD1851" s="49"/>
      <c r="AE1851" s="49"/>
      <c r="AF1851" s="49"/>
      <c r="AG1851" s="49"/>
      <c r="AH1851" s="49"/>
      <c r="AI1851" s="48"/>
      <c r="AJ1851" s="48"/>
      <c r="AK1851" s="24"/>
      <c r="AL1851" s="50"/>
      <c r="AM1851" s="50"/>
      <c r="AN1851" s="50"/>
      <c r="AO1851" s="50"/>
      <c r="AP1851" s="50"/>
      <c r="AQ1851" s="50"/>
      <c r="AR1851" s="50"/>
      <c r="AS1851" s="50"/>
      <c r="AT1851" s="51"/>
      <c r="AU1851" s="51"/>
      <c r="AV1851" s="51"/>
      <c r="AW1851" s="51"/>
      <c r="AX1851" s="50"/>
      <c r="AY1851" s="50"/>
      <c r="AZ1851" s="50"/>
      <c r="BA1851" s="50"/>
      <c r="BB1851" s="51"/>
      <c r="BC1851" s="51"/>
      <c r="BD1851" s="51"/>
      <c r="BE1851" s="51"/>
      <c r="BF1851" s="47"/>
      <c r="BG1851" s="47"/>
      <c r="BH1851" s="47"/>
      <c r="BI1851" s="47"/>
      <c r="BJ1851" s="47"/>
      <c r="BK1851" s="47"/>
      <c r="BL1851" s="47"/>
      <c r="BM1851" s="47"/>
      <c r="BN1851" s="47"/>
      <c r="BO1851" s="47"/>
      <c r="BP1851" s="47"/>
      <c r="BQ1851" s="47"/>
      <c r="BR1851" s="47"/>
      <c r="BS1851" s="47"/>
      <c r="BT1851" s="47"/>
    </row>
    <row r="1852">
      <c r="A1852" s="24"/>
      <c r="B1852" s="48"/>
      <c r="C1852" s="49"/>
      <c r="D1852" s="24"/>
      <c r="E1852" s="52"/>
      <c r="F1852" s="53"/>
      <c r="G1852" s="48"/>
      <c r="H1852" s="49"/>
      <c r="I1852" s="49"/>
      <c r="J1852" s="48"/>
      <c r="K1852" s="48"/>
      <c r="L1852" s="48"/>
      <c r="M1852" s="48"/>
      <c r="N1852" s="48"/>
      <c r="O1852" s="48"/>
      <c r="P1852" s="48"/>
      <c r="Q1852" s="48"/>
      <c r="R1852" s="48"/>
      <c r="S1852" s="48"/>
      <c r="T1852" s="48"/>
      <c r="U1852" s="48"/>
      <c r="V1852" s="48"/>
      <c r="W1852" s="49"/>
      <c r="X1852" s="49"/>
      <c r="Y1852" s="49"/>
      <c r="Z1852" s="49"/>
      <c r="AA1852" s="49"/>
      <c r="AB1852" s="49"/>
      <c r="AC1852" s="49"/>
      <c r="AD1852" s="49"/>
      <c r="AE1852" s="49"/>
      <c r="AF1852" s="49"/>
      <c r="AG1852" s="49"/>
      <c r="AH1852" s="49"/>
      <c r="AI1852" s="48"/>
      <c r="AJ1852" s="48"/>
      <c r="AK1852" s="24"/>
      <c r="AL1852" s="50"/>
      <c r="AM1852" s="50"/>
      <c r="AN1852" s="50"/>
      <c r="AO1852" s="50"/>
      <c r="AP1852" s="50"/>
      <c r="AQ1852" s="50"/>
      <c r="AR1852" s="50"/>
      <c r="AS1852" s="50"/>
      <c r="AT1852" s="51"/>
      <c r="AU1852" s="51"/>
      <c r="AV1852" s="51"/>
      <c r="AW1852" s="51"/>
      <c r="AX1852" s="50"/>
      <c r="AY1852" s="50"/>
      <c r="AZ1852" s="50"/>
      <c r="BA1852" s="50"/>
      <c r="BB1852" s="51"/>
      <c r="BC1852" s="51"/>
      <c r="BD1852" s="51"/>
      <c r="BE1852" s="51"/>
      <c r="BF1852" s="47"/>
      <c r="BG1852" s="47"/>
      <c r="BH1852" s="47"/>
      <c r="BI1852" s="47"/>
      <c r="BJ1852" s="47"/>
      <c r="BK1852" s="47"/>
      <c r="BL1852" s="47"/>
      <c r="BM1852" s="47"/>
      <c r="BN1852" s="47"/>
      <c r="BO1852" s="47"/>
      <c r="BP1852" s="47"/>
      <c r="BQ1852" s="47"/>
      <c r="BR1852" s="47"/>
      <c r="BS1852" s="47"/>
      <c r="BT1852" s="47"/>
    </row>
    <row r="1853">
      <c r="A1853" s="24"/>
      <c r="B1853" s="48"/>
      <c r="C1853" s="49"/>
      <c r="D1853" s="24"/>
      <c r="E1853" s="52"/>
      <c r="F1853" s="53"/>
      <c r="G1853" s="48"/>
      <c r="H1853" s="49"/>
      <c r="I1853" s="49"/>
      <c r="J1853" s="48"/>
      <c r="K1853" s="48"/>
      <c r="L1853" s="48"/>
      <c r="M1853" s="48"/>
      <c r="N1853" s="48"/>
      <c r="O1853" s="48"/>
      <c r="P1853" s="48"/>
      <c r="Q1853" s="48"/>
      <c r="R1853" s="48"/>
      <c r="S1853" s="48"/>
      <c r="T1853" s="48"/>
      <c r="U1853" s="48"/>
      <c r="V1853" s="48"/>
      <c r="W1853" s="49"/>
      <c r="X1853" s="49"/>
      <c r="Y1853" s="49"/>
      <c r="Z1853" s="49"/>
      <c r="AA1853" s="49"/>
      <c r="AB1853" s="49"/>
      <c r="AC1853" s="49"/>
      <c r="AD1853" s="49"/>
      <c r="AE1853" s="49"/>
      <c r="AF1853" s="49"/>
      <c r="AG1853" s="49"/>
      <c r="AH1853" s="49"/>
      <c r="AI1853" s="48"/>
      <c r="AJ1853" s="48"/>
      <c r="AK1853" s="24"/>
      <c r="AL1853" s="50"/>
      <c r="AM1853" s="50"/>
      <c r="AN1853" s="50"/>
      <c r="AO1853" s="50"/>
      <c r="AP1853" s="50"/>
      <c r="AQ1853" s="50"/>
      <c r="AR1853" s="50"/>
      <c r="AS1853" s="50"/>
      <c r="AT1853" s="51"/>
      <c r="AU1853" s="51"/>
      <c r="AV1853" s="51"/>
      <c r="AW1853" s="51"/>
      <c r="AX1853" s="50"/>
      <c r="AY1853" s="50"/>
      <c r="AZ1853" s="50"/>
      <c r="BA1853" s="50"/>
      <c r="BB1853" s="51"/>
      <c r="BC1853" s="51"/>
      <c r="BD1853" s="51"/>
      <c r="BE1853" s="51"/>
      <c r="BF1853" s="47"/>
      <c r="BG1853" s="47"/>
      <c r="BH1853" s="47"/>
      <c r="BI1853" s="47"/>
      <c r="BJ1853" s="47"/>
      <c r="BK1853" s="47"/>
      <c r="BL1853" s="47"/>
      <c r="BM1853" s="47"/>
      <c r="BN1853" s="47"/>
      <c r="BO1853" s="47"/>
      <c r="BP1853" s="47"/>
      <c r="BQ1853" s="47"/>
      <c r="BR1853" s="47"/>
      <c r="BS1853" s="47"/>
      <c r="BT1853" s="47"/>
    </row>
    <row r="1854">
      <c r="A1854" s="24"/>
      <c r="B1854" s="48"/>
      <c r="C1854" s="49"/>
      <c r="D1854" s="24"/>
      <c r="E1854" s="52"/>
      <c r="F1854" s="53"/>
      <c r="G1854" s="48"/>
      <c r="H1854" s="49"/>
      <c r="I1854" s="49"/>
      <c r="J1854" s="48"/>
      <c r="K1854" s="48"/>
      <c r="L1854" s="48"/>
      <c r="M1854" s="48"/>
      <c r="N1854" s="48"/>
      <c r="O1854" s="48"/>
      <c r="P1854" s="48"/>
      <c r="Q1854" s="48"/>
      <c r="R1854" s="48"/>
      <c r="S1854" s="48"/>
      <c r="T1854" s="48"/>
      <c r="U1854" s="48"/>
      <c r="V1854" s="48"/>
      <c r="W1854" s="49"/>
      <c r="X1854" s="49"/>
      <c r="Y1854" s="49"/>
      <c r="Z1854" s="49"/>
      <c r="AA1854" s="49"/>
      <c r="AB1854" s="49"/>
      <c r="AC1854" s="49"/>
      <c r="AD1854" s="49"/>
      <c r="AE1854" s="49"/>
      <c r="AF1854" s="49"/>
      <c r="AG1854" s="49"/>
      <c r="AH1854" s="49"/>
      <c r="AI1854" s="48"/>
      <c r="AJ1854" s="48"/>
      <c r="AK1854" s="24"/>
      <c r="AL1854" s="50"/>
      <c r="AM1854" s="50"/>
      <c r="AN1854" s="50"/>
      <c r="AO1854" s="50"/>
      <c r="AP1854" s="50"/>
      <c r="AQ1854" s="50"/>
      <c r="AR1854" s="50"/>
      <c r="AS1854" s="50"/>
      <c r="AT1854" s="51"/>
      <c r="AU1854" s="51"/>
      <c r="AV1854" s="51"/>
      <c r="AW1854" s="51"/>
      <c r="AX1854" s="50"/>
      <c r="AY1854" s="50"/>
      <c r="AZ1854" s="50"/>
      <c r="BA1854" s="50"/>
      <c r="BB1854" s="51"/>
      <c r="BC1854" s="51"/>
      <c r="BD1854" s="51"/>
      <c r="BE1854" s="51"/>
      <c r="BF1854" s="47"/>
      <c r="BG1854" s="47"/>
      <c r="BH1854" s="47"/>
      <c r="BI1854" s="47"/>
      <c r="BJ1854" s="47"/>
      <c r="BK1854" s="47"/>
      <c r="BL1854" s="47"/>
      <c r="BM1854" s="47"/>
      <c r="BN1854" s="47"/>
      <c r="BO1854" s="47"/>
      <c r="BP1854" s="47"/>
      <c r="BQ1854" s="47"/>
      <c r="BR1854" s="47"/>
      <c r="BS1854" s="47"/>
      <c r="BT1854" s="47"/>
    </row>
    <row r="1855">
      <c r="A1855" s="24"/>
      <c r="B1855" s="48"/>
      <c r="C1855" s="49"/>
      <c r="D1855" s="24"/>
      <c r="E1855" s="52"/>
      <c r="F1855" s="53"/>
      <c r="G1855" s="48"/>
      <c r="H1855" s="49"/>
      <c r="I1855" s="49"/>
      <c r="J1855" s="48"/>
      <c r="K1855" s="48"/>
      <c r="L1855" s="48"/>
      <c r="M1855" s="48"/>
      <c r="N1855" s="48"/>
      <c r="O1855" s="48"/>
      <c r="P1855" s="48"/>
      <c r="Q1855" s="48"/>
      <c r="R1855" s="48"/>
      <c r="S1855" s="48"/>
      <c r="T1855" s="48"/>
      <c r="U1855" s="48"/>
      <c r="V1855" s="48"/>
      <c r="W1855" s="49"/>
      <c r="X1855" s="49"/>
      <c r="Y1855" s="49"/>
      <c r="Z1855" s="49"/>
      <c r="AA1855" s="49"/>
      <c r="AB1855" s="49"/>
      <c r="AC1855" s="49"/>
      <c r="AD1855" s="49"/>
      <c r="AE1855" s="49"/>
      <c r="AF1855" s="49"/>
      <c r="AG1855" s="49"/>
      <c r="AH1855" s="49"/>
      <c r="AI1855" s="48"/>
      <c r="AJ1855" s="48"/>
      <c r="AK1855" s="24"/>
      <c r="AL1855" s="50"/>
      <c r="AM1855" s="50"/>
      <c r="AN1855" s="50"/>
      <c r="AO1855" s="50"/>
      <c r="AP1855" s="50"/>
      <c r="AQ1855" s="50"/>
      <c r="AR1855" s="50"/>
      <c r="AS1855" s="50"/>
      <c r="AT1855" s="51"/>
      <c r="AU1855" s="51"/>
      <c r="AV1855" s="51"/>
      <c r="AW1855" s="51"/>
      <c r="AX1855" s="50"/>
      <c r="AY1855" s="50"/>
      <c r="AZ1855" s="50"/>
      <c r="BA1855" s="50"/>
      <c r="BB1855" s="51"/>
      <c r="BC1855" s="51"/>
      <c r="BD1855" s="51"/>
      <c r="BE1855" s="51"/>
      <c r="BF1855" s="47"/>
      <c r="BG1855" s="47"/>
      <c r="BH1855" s="47"/>
      <c r="BI1855" s="47"/>
      <c r="BJ1855" s="47"/>
      <c r="BK1855" s="47"/>
      <c r="BL1855" s="47"/>
      <c r="BM1855" s="47"/>
      <c r="BN1855" s="47"/>
      <c r="BO1855" s="47"/>
      <c r="BP1855" s="47"/>
      <c r="BQ1855" s="47"/>
      <c r="BR1855" s="47"/>
      <c r="BS1855" s="47"/>
      <c r="BT1855" s="47"/>
    </row>
    <row r="1856">
      <c r="A1856" s="24"/>
      <c r="B1856" s="48"/>
      <c r="C1856" s="49"/>
      <c r="D1856" s="24"/>
      <c r="E1856" s="52"/>
      <c r="F1856" s="53"/>
      <c r="G1856" s="48"/>
      <c r="H1856" s="49"/>
      <c r="I1856" s="49"/>
      <c r="J1856" s="48"/>
      <c r="K1856" s="48"/>
      <c r="L1856" s="48"/>
      <c r="M1856" s="48"/>
      <c r="N1856" s="48"/>
      <c r="O1856" s="48"/>
      <c r="P1856" s="48"/>
      <c r="Q1856" s="48"/>
      <c r="R1856" s="48"/>
      <c r="S1856" s="48"/>
      <c r="T1856" s="48"/>
      <c r="U1856" s="48"/>
      <c r="V1856" s="48"/>
      <c r="W1856" s="49"/>
      <c r="X1856" s="49"/>
      <c r="Y1856" s="49"/>
      <c r="Z1856" s="49"/>
      <c r="AA1856" s="49"/>
      <c r="AB1856" s="49"/>
      <c r="AC1856" s="49"/>
      <c r="AD1856" s="49"/>
      <c r="AE1856" s="49"/>
      <c r="AF1856" s="49"/>
      <c r="AG1856" s="49"/>
      <c r="AH1856" s="49"/>
      <c r="AI1856" s="48"/>
      <c r="AJ1856" s="48"/>
      <c r="AK1856" s="24"/>
      <c r="AL1856" s="50"/>
      <c r="AM1856" s="50"/>
      <c r="AN1856" s="50"/>
      <c r="AO1856" s="50"/>
      <c r="AP1856" s="50"/>
      <c r="AQ1856" s="50"/>
      <c r="AR1856" s="50"/>
      <c r="AS1856" s="50"/>
      <c r="AT1856" s="51"/>
      <c r="AU1856" s="51"/>
      <c r="AV1856" s="51"/>
      <c r="AW1856" s="51"/>
      <c r="AX1856" s="50"/>
      <c r="AY1856" s="50"/>
      <c r="AZ1856" s="50"/>
      <c r="BA1856" s="50"/>
      <c r="BB1856" s="51"/>
      <c r="BC1856" s="51"/>
      <c r="BD1856" s="51"/>
      <c r="BE1856" s="51"/>
      <c r="BF1856" s="47"/>
      <c r="BG1856" s="47"/>
      <c r="BH1856" s="47"/>
      <c r="BI1856" s="47"/>
      <c r="BJ1856" s="47"/>
      <c r="BK1856" s="47"/>
      <c r="BL1856" s="47"/>
      <c r="BM1856" s="47"/>
      <c r="BN1856" s="47"/>
      <c r="BO1856" s="47"/>
      <c r="BP1856" s="47"/>
      <c r="BQ1856" s="47"/>
      <c r="BR1856" s="47"/>
      <c r="BS1856" s="47"/>
      <c r="BT1856" s="47"/>
    </row>
    <row r="1857">
      <c r="A1857" s="24"/>
      <c r="B1857" s="48"/>
      <c r="C1857" s="49"/>
      <c r="D1857" s="24"/>
      <c r="E1857" s="52"/>
      <c r="F1857" s="53"/>
      <c r="G1857" s="48"/>
      <c r="H1857" s="49"/>
      <c r="I1857" s="49"/>
      <c r="J1857" s="48"/>
      <c r="K1857" s="48"/>
      <c r="L1857" s="48"/>
      <c r="M1857" s="48"/>
      <c r="N1857" s="48"/>
      <c r="O1857" s="48"/>
      <c r="P1857" s="48"/>
      <c r="Q1857" s="48"/>
      <c r="R1857" s="48"/>
      <c r="S1857" s="48"/>
      <c r="T1857" s="48"/>
      <c r="U1857" s="48"/>
      <c r="V1857" s="48"/>
      <c r="W1857" s="49"/>
      <c r="X1857" s="49"/>
      <c r="Y1857" s="49"/>
      <c r="Z1857" s="49"/>
      <c r="AA1857" s="49"/>
      <c r="AB1857" s="49"/>
      <c r="AC1857" s="49"/>
      <c r="AD1857" s="49"/>
      <c r="AE1857" s="49"/>
      <c r="AF1857" s="49"/>
      <c r="AG1857" s="49"/>
      <c r="AH1857" s="49"/>
      <c r="AI1857" s="48"/>
      <c r="AJ1857" s="48"/>
      <c r="AK1857" s="24"/>
      <c r="AL1857" s="50"/>
      <c r="AM1857" s="50"/>
      <c r="AN1857" s="50"/>
      <c r="AO1857" s="50"/>
      <c r="AP1857" s="50"/>
      <c r="AQ1857" s="50"/>
      <c r="AR1857" s="50"/>
      <c r="AS1857" s="50"/>
      <c r="AT1857" s="51"/>
      <c r="AU1857" s="51"/>
      <c r="AV1857" s="51"/>
      <c r="AW1857" s="51"/>
      <c r="AX1857" s="50"/>
      <c r="AY1857" s="50"/>
      <c r="AZ1857" s="50"/>
      <c r="BA1857" s="50"/>
      <c r="BB1857" s="51"/>
      <c r="BC1857" s="51"/>
      <c r="BD1857" s="51"/>
      <c r="BE1857" s="51"/>
      <c r="BF1857" s="47"/>
      <c r="BG1857" s="47"/>
      <c r="BH1857" s="47"/>
      <c r="BI1857" s="47"/>
      <c r="BJ1857" s="47"/>
      <c r="BK1857" s="47"/>
      <c r="BL1857" s="47"/>
      <c r="BM1857" s="47"/>
      <c r="BN1857" s="47"/>
      <c r="BO1857" s="47"/>
      <c r="BP1857" s="47"/>
      <c r="BQ1857" s="47"/>
      <c r="BR1857" s="47"/>
      <c r="BS1857" s="47"/>
      <c r="BT1857" s="47"/>
    </row>
    <row r="1858">
      <c r="A1858" s="24"/>
      <c r="B1858" s="48"/>
      <c r="C1858" s="49"/>
      <c r="D1858" s="24"/>
      <c r="E1858" s="52"/>
      <c r="F1858" s="53"/>
      <c r="G1858" s="48"/>
      <c r="H1858" s="49"/>
      <c r="I1858" s="49"/>
      <c r="J1858" s="48"/>
      <c r="K1858" s="48"/>
      <c r="L1858" s="48"/>
      <c r="M1858" s="48"/>
      <c r="N1858" s="48"/>
      <c r="O1858" s="48"/>
      <c r="P1858" s="48"/>
      <c r="Q1858" s="48"/>
      <c r="R1858" s="48"/>
      <c r="S1858" s="48"/>
      <c r="T1858" s="48"/>
      <c r="U1858" s="48"/>
      <c r="V1858" s="48"/>
      <c r="W1858" s="49"/>
      <c r="X1858" s="49"/>
      <c r="Y1858" s="49"/>
      <c r="Z1858" s="49"/>
      <c r="AA1858" s="49"/>
      <c r="AB1858" s="49"/>
      <c r="AC1858" s="49"/>
      <c r="AD1858" s="49"/>
      <c r="AE1858" s="49"/>
      <c r="AF1858" s="49"/>
      <c r="AG1858" s="49"/>
      <c r="AH1858" s="49"/>
      <c r="AI1858" s="48"/>
      <c r="AJ1858" s="48"/>
      <c r="AK1858" s="24"/>
      <c r="AL1858" s="50"/>
      <c r="AM1858" s="50"/>
      <c r="AN1858" s="50"/>
      <c r="AO1858" s="50"/>
      <c r="AP1858" s="50"/>
      <c r="AQ1858" s="50"/>
      <c r="AR1858" s="50"/>
      <c r="AS1858" s="50"/>
      <c r="AT1858" s="51"/>
      <c r="AU1858" s="51"/>
      <c r="AV1858" s="51"/>
      <c r="AW1858" s="51"/>
      <c r="AX1858" s="50"/>
      <c r="AY1858" s="50"/>
      <c r="AZ1858" s="50"/>
      <c r="BA1858" s="50"/>
      <c r="BB1858" s="51"/>
      <c r="BC1858" s="51"/>
      <c r="BD1858" s="51"/>
      <c r="BE1858" s="51"/>
      <c r="BF1858" s="47"/>
      <c r="BG1858" s="47"/>
      <c r="BH1858" s="47"/>
      <c r="BI1858" s="47"/>
      <c r="BJ1858" s="47"/>
      <c r="BK1858" s="47"/>
      <c r="BL1858" s="47"/>
      <c r="BM1858" s="47"/>
      <c r="BN1858" s="47"/>
      <c r="BO1858" s="47"/>
      <c r="BP1858" s="47"/>
      <c r="BQ1858" s="47"/>
      <c r="BR1858" s="47"/>
      <c r="BS1858" s="47"/>
      <c r="BT1858" s="47"/>
    </row>
    <row r="1859">
      <c r="A1859" s="24"/>
      <c r="B1859" s="48"/>
      <c r="C1859" s="49"/>
      <c r="D1859" s="24"/>
      <c r="E1859" s="52"/>
      <c r="F1859" s="53"/>
      <c r="G1859" s="48"/>
      <c r="H1859" s="49"/>
      <c r="I1859" s="49"/>
      <c r="J1859" s="48"/>
      <c r="K1859" s="48"/>
      <c r="L1859" s="48"/>
      <c r="M1859" s="48"/>
      <c r="N1859" s="48"/>
      <c r="O1859" s="48"/>
      <c r="P1859" s="48"/>
      <c r="Q1859" s="48"/>
      <c r="R1859" s="48"/>
      <c r="S1859" s="48"/>
      <c r="T1859" s="48"/>
      <c r="U1859" s="48"/>
      <c r="V1859" s="48"/>
      <c r="W1859" s="49"/>
      <c r="X1859" s="49"/>
      <c r="Y1859" s="49"/>
      <c r="Z1859" s="49"/>
      <c r="AA1859" s="49"/>
      <c r="AB1859" s="49"/>
      <c r="AC1859" s="49"/>
      <c r="AD1859" s="49"/>
      <c r="AE1859" s="49"/>
      <c r="AF1859" s="49"/>
      <c r="AG1859" s="49"/>
      <c r="AH1859" s="49"/>
      <c r="AI1859" s="48"/>
      <c r="AJ1859" s="48"/>
      <c r="AK1859" s="24"/>
      <c r="AL1859" s="50"/>
      <c r="AM1859" s="50"/>
      <c r="AN1859" s="50"/>
      <c r="AO1859" s="50"/>
      <c r="AP1859" s="50"/>
      <c r="AQ1859" s="50"/>
      <c r="AR1859" s="50"/>
      <c r="AS1859" s="50"/>
      <c r="AT1859" s="51"/>
      <c r="AU1859" s="51"/>
      <c r="AV1859" s="51"/>
      <c r="AW1859" s="51"/>
      <c r="AX1859" s="50"/>
      <c r="AY1859" s="50"/>
      <c r="AZ1859" s="50"/>
      <c r="BA1859" s="50"/>
      <c r="BB1859" s="51"/>
      <c r="BC1859" s="51"/>
      <c r="BD1859" s="51"/>
      <c r="BE1859" s="51"/>
      <c r="BF1859" s="47"/>
      <c r="BG1859" s="47"/>
      <c r="BH1859" s="47"/>
      <c r="BI1859" s="47"/>
      <c r="BJ1859" s="47"/>
      <c r="BK1859" s="47"/>
      <c r="BL1859" s="47"/>
      <c r="BM1859" s="47"/>
      <c r="BN1859" s="47"/>
      <c r="BO1859" s="47"/>
      <c r="BP1859" s="47"/>
      <c r="BQ1859" s="47"/>
      <c r="BR1859" s="47"/>
      <c r="BS1859" s="47"/>
      <c r="BT1859" s="47"/>
    </row>
    <row r="1860">
      <c r="A1860" s="24"/>
      <c r="B1860" s="48"/>
      <c r="C1860" s="49"/>
      <c r="D1860" s="24"/>
      <c r="E1860" s="52"/>
      <c r="F1860" s="53"/>
      <c r="G1860" s="48"/>
      <c r="H1860" s="49"/>
      <c r="I1860" s="49"/>
      <c r="J1860" s="48"/>
      <c r="K1860" s="48"/>
      <c r="L1860" s="48"/>
      <c r="M1860" s="48"/>
      <c r="N1860" s="48"/>
      <c r="O1860" s="48"/>
      <c r="P1860" s="48"/>
      <c r="Q1860" s="48"/>
      <c r="R1860" s="48"/>
      <c r="S1860" s="48"/>
      <c r="T1860" s="48"/>
      <c r="U1860" s="48"/>
      <c r="V1860" s="48"/>
      <c r="W1860" s="49"/>
      <c r="X1860" s="49"/>
      <c r="Y1860" s="49"/>
      <c r="Z1860" s="49"/>
      <c r="AA1860" s="49"/>
      <c r="AB1860" s="49"/>
      <c r="AC1860" s="49"/>
      <c r="AD1860" s="49"/>
      <c r="AE1860" s="49"/>
      <c r="AF1860" s="49"/>
      <c r="AG1860" s="49"/>
      <c r="AH1860" s="49"/>
      <c r="AI1860" s="48"/>
      <c r="AJ1860" s="48"/>
      <c r="AK1860" s="24"/>
      <c r="AL1860" s="50"/>
      <c r="AM1860" s="50"/>
      <c r="AN1860" s="50"/>
      <c r="AO1860" s="50"/>
      <c r="AP1860" s="50"/>
      <c r="AQ1860" s="50"/>
      <c r="AR1860" s="50"/>
      <c r="AS1860" s="50"/>
      <c r="AT1860" s="51"/>
      <c r="AU1860" s="51"/>
      <c r="AV1860" s="51"/>
      <c r="AW1860" s="51"/>
      <c r="AX1860" s="50"/>
      <c r="AY1860" s="50"/>
      <c r="AZ1860" s="50"/>
      <c r="BA1860" s="50"/>
      <c r="BB1860" s="51"/>
      <c r="BC1860" s="51"/>
      <c r="BD1860" s="51"/>
      <c r="BE1860" s="51"/>
      <c r="BF1860" s="47"/>
      <c r="BG1860" s="47"/>
      <c r="BH1860" s="47"/>
      <c r="BI1860" s="47"/>
      <c r="BJ1860" s="47"/>
      <c r="BK1860" s="47"/>
      <c r="BL1860" s="47"/>
      <c r="BM1860" s="47"/>
      <c r="BN1860" s="47"/>
      <c r="BO1860" s="47"/>
      <c r="BP1860" s="47"/>
      <c r="BQ1860" s="47"/>
      <c r="BR1860" s="47"/>
      <c r="BS1860" s="47"/>
      <c r="BT1860" s="47"/>
    </row>
    <row r="1861">
      <c r="A1861" s="24"/>
      <c r="B1861" s="48"/>
      <c r="C1861" s="49"/>
      <c r="D1861" s="24"/>
      <c r="E1861" s="52"/>
      <c r="F1861" s="53"/>
      <c r="G1861" s="48"/>
      <c r="H1861" s="49"/>
      <c r="I1861" s="49"/>
      <c r="J1861" s="48"/>
      <c r="K1861" s="48"/>
      <c r="L1861" s="48"/>
      <c r="M1861" s="48"/>
      <c r="N1861" s="48"/>
      <c r="O1861" s="48"/>
      <c r="P1861" s="48"/>
      <c r="Q1861" s="48"/>
      <c r="R1861" s="48"/>
      <c r="S1861" s="48"/>
      <c r="T1861" s="48"/>
      <c r="U1861" s="48"/>
      <c r="V1861" s="48"/>
      <c r="W1861" s="49"/>
      <c r="X1861" s="49"/>
      <c r="Y1861" s="49"/>
      <c r="Z1861" s="49"/>
      <c r="AA1861" s="49"/>
      <c r="AB1861" s="49"/>
      <c r="AC1861" s="49"/>
      <c r="AD1861" s="49"/>
      <c r="AE1861" s="49"/>
      <c r="AF1861" s="49"/>
      <c r="AG1861" s="49"/>
      <c r="AH1861" s="49"/>
      <c r="AI1861" s="48"/>
      <c r="AJ1861" s="48"/>
      <c r="AK1861" s="24"/>
      <c r="AL1861" s="50"/>
      <c r="AM1861" s="50"/>
      <c r="AN1861" s="50"/>
      <c r="AO1861" s="50"/>
      <c r="AP1861" s="50"/>
      <c r="AQ1861" s="50"/>
      <c r="AR1861" s="50"/>
      <c r="AS1861" s="50"/>
      <c r="AT1861" s="51"/>
      <c r="AU1861" s="51"/>
      <c r="AV1861" s="51"/>
      <c r="AW1861" s="51"/>
      <c r="AX1861" s="50"/>
      <c r="AY1861" s="50"/>
      <c r="AZ1861" s="50"/>
      <c r="BA1861" s="50"/>
      <c r="BB1861" s="51"/>
      <c r="BC1861" s="51"/>
      <c r="BD1861" s="51"/>
      <c r="BE1861" s="51"/>
      <c r="BF1861" s="47"/>
      <c r="BG1861" s="47"/>
      <c r="BH1861" s="47"/>
      <c r="BI1861" s="47"/>
      <c r="BJ1861" s="47"/>
      <c r="BK1861" s="47"/>
      <c r="BL1861" s="47"/>
      <c r="BM1861" s="47"/>
      <c r="BN1861" s="47"/>
      <c r="BO1861" s="47"/>
      <c r="BP1861" s="47"/>
      <c r="BQ1861" s="47"/>
      <c r="BR1861" s="47"/>
      <c r="BS1861" s="47"/>
      <c r="BT1861" s="47"/>
    </row>
    <row r="1862">
      <c r="A1862" s="24"/>
      <c r="B1862" s="48"/>
      <c r="C1862" s="49"/>
      <c r="D1862" s="24"/>
      <c r="E1862" s="52"/>
      <c r="F1862" s="53"/>
      <c r="G1862" s="48"/>
      <c r="H1862" s="49"/>
      <c r="I1862" s="49"/>
      <c r="J1862" s="48"/>
      <c r="K1862" s="48"/>
      <c r="L1862" s="48"/>
      <c r="M1862" s="48"/>
      <c r="N1862" s="48"/>
      <c r="O1862" s="48"/>
      <c r="P1862" s="48"/>
      <c r="Q1862" s="48"/>
      <c r="R1862" s="48"/>
      <c r="S1862" s="48"/>
      <c r="T1862" s="48"/>
      <c r="U1862" s="48"/>
      <c r="V1862" s="48"/>
      <c r="W1862" s="49"/>
      <c r="X1862" s="49"/>
      <c r="Y1862" s="49"/>
      <c r="Z1862" s="49"/>
      <c r="AA1862" s="49"/>
      <c r="AB1862" s="49"/>
      <c r="AC1862" s="49"/>
      <c r="AD1862" s="49"/>
      <c r="AE1862" s="49"/>
      <c r="AF1862" s="49"/>
      <c r="AG1862" s="49"/>
      <c r="AH1862" s="49"/>
      <c r="AI1862" s="48"/>
      <c r="AJ1862" s="48"/>
      <c r="AK1862" s="24"/>
      <c r="AL1862" s="50"/>
      <c r="AM1862" s="50"/>
      <c r="AN1862" s="50"/>
      <c r="AO1862" s="50"/>
      <c r="AP1862" s="50"/>
      <c r="AQ1862" s="50"/>
      <c r="AR1862" s="50"/>
      <c r="AS1862" s="50"/>
      <c r="AT1862" s="51"/>
      <c r="AU1862" s="51"/>
      <c r="AV1862" s="51"/>
      <c r="AW1862" s="51"/>
      <c r="AX1862" s="50"/>
      <c r="AY1862" s="50"/>
      <c r="AZ1862" s="50"/>
      <c r="BA1862" s="50"/>
      <c r="BB1862" s="51"/>
      <c r="BC1862" s="51"/>
      <c r="BD1862" s="51"/>
      <c r="BE1862" s="51"/>
      <c r="BF1862" s="47"/>
      <c r="BG1862" s="47"/>
      <c r="BH1862" s="47"/>
      <c r="BI1862" s="47"/>
      <c r="BJ1862" s="47"/>
      <c r="BK1862" s="47"/>
      <c r="BL1862" s="47"/>
      <c r="BM1862" s="47"/>
      <c r="BN1862" s="47"/>
      <c r="BO1862" s="47"/>
      <c r="BP1862" s="47"/>
      <c r="BQ1862" s="47"/>
      <c r="BR1862" s="47"/>
      <c r="BS1862" s="47"/>
      <c r="BT1862" s="47"/>
    </row>
    <row r="1863">
      <c r="A1863" s="24"/>
      <c r="B1863" s="48"/>
      <c r="C1863" s="49"/>
      <c r="D1863" s="24"/>
      <c r="E1863" s="52"/>
      <c r="F1863" s="53"/>
      <c r="G1863" s="48"/>
      <c r="H1863" s="49"/>
      <c r="I1863" s="49"/>
      <c r="J1863" s="48"/>
      <c r="K1863" s="48"/>
      <c r="L1863" s="48"/>
      <c r="M1863" s="48"/>
      <c r="N1863" s="48"/>
      <c r="O1863" s="48"/>
      <c r="P1863" s="48"/>
      <c r="Q1863" s="48"/>
      <c r="R1863" s="48"/>
      <c r="S1863" s="48"/>
      <c r="T1863" s="48"/>
      <c r="U1863" s="48"/>
      <c r="V1863" s="48"/>
      <c r="W1863" s="49"/>
      <c r="X1863" s="49"/>
      <c r="Y1863" s="49"/>
      <c r="Z1863" s="49"/>
      <c r="AA1863" s="49"/>
      <c r="AB1863" s="49"/>
      <c r="AC1863" s="49"/>
      <c r="AD1863" s="49"/>
      <c r="AE1863" s="49"/>
      <c r="AF1863" s="49"/>
      <c r="AG1863" s="49"/>
      <c r="AH1863" s="49"/>
      <c r="AI1863" s="48"/>
      <c r="AJ1863" s="48"/>
      <c r="AK1863" s="24"/>
      <c r="AL1863" s="50"/>
      <c r="AM1863" s="50"/>
      <c r="AN1863" s="50"/>
      <c r="AO1863" s="50"/>
      <c r="AP1863" s="50"/>
      <c r="AQ1863" s="50"/>
      <c r="AR1863" s="50"/>
      <c r="AS1863" s="50"/>
      <c r="AT1863" s="51"/>
      <c r="AU1863" s="51"/>
      <c r="AV1863" s="51"/>
      <c r="AW1863" s="51"/>
      <c r="AX1863" s="50"/>
      <c r="AY1863" s="50"/>
      <c r="AZ1863" s="50"/>
      <c r="BA1863" s="50"/>
      <c r="BB1863" s="51"/>
      <c r="BC1863" s="51"/>
      <c r="BD1863" s="51"/>
      <c r="BE1863" s="51"/>
      <c r="BF1863" s="47"/>
      <c r="BG1863" s="47"/>
      <c r="BH1863" s="47"/>
      <c r="BI1863" s="47"/>
      <c r="BJ1863" s="47"/>
      <c r="BK1863" s="47"/>
      <c r="BL1863" s="47"/>
      <c r="BM1863" s="47"/>
      <c r="BN1863" s="47"/>
      <c r="BO1863" s="47"/>
      <c r="BP1863" s="47"/>
      <c r="BQ1863" s="47"/>
      <c r="BR1863" s="47"/>
      <c r="BS1863" s="47"/>
      <c r="BT1863" s="47"/>
    </row>
    <row r="1864">
      <c r="A1864" s="24"/>
      <c r="B1864" s="48"/>
      <c r="C1864" s="49"/>
      <c r="D1864" s="24"/>
      <c r="E1864" s="52"/>
      <c r="F1864" s="53"/>
      <c r="G1864" s="48"/>
      <c r="H1864" s="49"/>
      <c r="I1864" s="49"/>
      <c r="J1864" s="48"/>
      <c r="K1864" s="48"/>
      <c r="L1864" s="48"/>
      <c r="M1864" s="48"/>
      <c r="N1864" s="48"/>
      <c r="O1864" s="48"/>
      <c r="P1864" s="48"/>
      <c r="Q1864" s="48"/>
      <c r="R1864" s="48"/>
      <c r="S1864" s="48"/>
      <c r="T1864" s="48"/>
      <c r="U1864" s="48"/>
      <c r="V1864" s="48"/>
      <c r="W1864" s="49"/>
      <c r="X1864" s="49"/>
      <c r="Y1864" s="49"/>
      <c r="Z1864" s="49"/>
      <c r="AA1864" s="49"/>
      <c r="AB1864" s="49"/>
      <c r="AC1864" s="49"/>
      <c r="AD1864" s="49"/>
      <c r="AE1864" s="49"/>
      <c r="AF1864" s="49"/>
      <c r="AG1864" s="49"/>
      <c r="AH1864" s="49"/>
      <c r="AI1864" s="48"/>
      <c r="AJ1864" s="48"/>
      <c r="AK1864" s="24"/>
      <c r="AL1864" s="50"/>
      <c r="AM1864" s="50"/>
      <c r="AN1864" s="50"/>
      <c r="AO1864" s="50"/>
      <c r="AP1864" s="50"/>
      <c r="AQ1864" s="50"/>
      <c r="AR1864" s="50"/>
      <c r="AS1864" s="50"/>
      <c r="AT1864" s="51"/>
      <c r="AU1864" s="51"/>
      <c r="AV1864" s="51"/>
      <c r="AW1864" s="51"/>
      <c r="AX1864" s="50"/>
      <c r="AY1864" s="50"/>
      <c r="AZ1864" s="50"/>
      <c r="BA1864" s="50"/>
      <c r="BB1864" s="51"/>
      <c r="BC1864" s="51"/>
      <c r="BD1864" s="51"/>
      <c r="BE1864" s="51"/>
      <c r="BF1864" s="47"/>
      <c r="BG1864" s="47"/>
      <c r="BH1864" s="47"/>
      <c r="BI1864" s="47"/>
      <c r="BJ1864" s="47"/>
      <c r="BK1864" s="47"/>
      <c r="BL1864" s="47"/>
      <c r="BM1864" s="47"/>
      <c r="BN1864" s="47"/>
      <c r="BO1864" s="47"/>
      <c r="BP1864" s="47"/>
      <c r="BQ1864" s="47"/>
      <c r="BR1864" s="47"/>
      <c r="BS1864" s="47"/>
      <c r="BT1864" s="47"/>
    </row>
    <row r="1865">
      <c r="A1865" s="24"/>
      <c r="B1865" s="48"/>
      <c r="C1865" s="49"/>
      <c r="D1865" s="24"/>
      <c r="E1865" s="52"/>
      <c r="F1865" s="53"/>
      <c r="G1865" s="48"/>
      <c r="H1865" s="49"/>
      <c r="I1865" s="49"/>
      <c r="J1865" s="48"/>
      <c r="K1865" s="48"/>
      <c r="L1865" s="48"/>
      <c r="M1865" s="48"/>
      <c r="N1865" s="48"/>
      <c r="O1865" s="48"/>
      <c r="P1865" s="48"/>
      <c r="Q1865" s="48"/>
      <c r="R1865" s="48"/>
      <c r="S1865" s="48"/>
      <c r="T1865" s="48"/>
      <c r="U1865" s="48"/>
      <c r="V1865" s="48"/>
      <c r="W1865" s="49"/>
      <c r="X1865" s="49"/>
      <c r="Y1865" s="49"/>
      <c r="Z1865" s="49"/>
      <c r="AA1865" s="49"/>
      <c r="AB1865" s="49"/>
      <c r="AC1865" s="49"/>
      <c r="AD1865" s="49"/>
      <c r="AE1865" s="49"/>
      <c r="AF1865" s="49"/>
      <c r="AG1865" s="49"/>
      <c r="AH1865" s="49"/>
      <c r="AI1865" s="48"/>
      <c r="AJ1865" s="48"/>
      <c r="AK1865" s="24"/>
      <c r="AL1865" s="50"/>
      <c r="AM1865" s="50"/>
      <c r="AN1865" s="50"/>
      <c r="AO1865" s="50"/>
      <c r="AP1865" s="50"/>
      <c r="AQ1865" s="50"/>
      <c r="AR1865" s="50"/>
      <c r="AS1865" s="50"/>
      <c r="AT1865" s="51"/>
      <c r="AU1865" s="51"/>
      <c r="AV1865" s="51"/>
      <c r="AW1865" s="51"/>
      <c r="AX1865" s="50"/>
      <c r="AY1865" s="50"/>
      <c r="AZ1865" s="50"/>
      <c r="BA1865" s="50"/>
      <c r="BB1865" s="51"/>
      <c r="BC1865" s="51"/>
      <c r="BD1865" s="51"/>
      <c r="BE1865" s="51"/>
      <c r="BF1865" s="47"/>
      <c r="BG1865" s="47"/>
      <c r="BH1865" s="47"/>
      <c r="BI1865" s="47"/>
      <c r="BJ1865" s="47"/>
      <c r="BK1865" s="47"/>
      <c r="BL1865" s="47"/>
      <c r="BM1865" s="47"/>
      <c r="BN1865" s="47"/>
      <c r="BO1865" s="47"/>
      <c r="BP1865" s="47"/>
      <c r="BQ1865" s="47"/>
      <c r="BR1865" s="47"/>
      <c r="BS1865" s="47"/>
      <c r="BT1865" s="47"/>
    </row>
    <row r="1866">
      <c r="A1866" s="24"/>
      <c r="B1866" s="48"/>
      <c r="C1866" s="49"/>
      <c r="D1866" s="24"/>
      <c r="E1866" s="52"/>
      <c r="F1866" s="53"/>
      <c r="G1866" s="48"/>
      <c r="H1866" s="49"/>
      <c r="I1866" s="49"/>
      <c r="J1866" s="48"/>
      <c r="K1866" s="48"/>
      <c r="L1866" s="48"/>
      <c r="M1866" s="48"/>
      <c r="N1866" s="48"/>
      <c r="O1866" s="48"/>
      <c r="P1866" s="48"/>
      <c r="Q1866" s="48"/>
      <c r="R1866" s="48"/>
      <c r="S1866" s="48"/>
      <c r="T1866" s="48"/>
      <c r="U1866" s="48"/>
      <c r="V1866" s="48"/>
      <c r="W1866" s="49"/>
      <c r="X1866" s="49"/>
      <c r="Y1866" s="49"/>
      <c r="Z1866" s="49"/>
      <c r="AA1866" s="49"/>
      <c r="AB1866" s="49"/>
      <c r="AC1866" s="49"/>
      <c r="AD1866" s="49"/>
      <c r="AE1866" s="49"/>
      <c r="AF1866" s="49"/>
      <c r="AG1866" s="49"/>
      <c r="AH1866" s="49"/>
      <c r="AI1866" s="48"/>
      <c r="AJ1866" s="48"/>
      <c r="AK1866" s="24"/>
      <c r="AL1866" s="50"/>
      <c r="AM1866" s="50"/>
      <c r="AN1866" s="50"/>
      <c r="AO1866" s="50"/>
      <c r="AP1866" s="50"/>
      <c r="AQ1866" s="50"/>
      <c r="AR1866" s="50"/>
      <c r="AS1866" s="50"/>
      <c r="AT1866" s="51"/>
      <c r="AU1866" s="51"/>
      <c r="AV1866" s="51"/>
      <c r="AW1866" s="51"/>
      <c r="AX1866" s="50"/>
      <c r="AY1866" s="50"/>
      <c r="AZ1866" s="50"/>
      <c r="BA1866" s="50"/>
      <c r="BB1866" s="51"/>
      <c r="BC1866" s="51"/>
      <c r="BD1866" s="51"/>
      <c r="BE1866" s="51"/>
      <c r="BF1866" s="47"/>
      <c r="BG1866" s="47"/>
      <c r="BH1866" s="47"/>
      <c r="BI1866" s="47"/>
      <c r="BJ1866" s="47"/>
      <c r="BK1866" s="47"/>
      <c r="BL1866" s="47"/>
      <c r="BM1866" s="47"/>
      <c r="BN1866" s="47"/>
      <c r="BO1866" s="47"/>
      <c r="BP1866" s="47"/>
      <c r="BQ1866" s="47"/>
      <c r="BR1866" s="47"/>
      <c r="BS1866" s="47"/>
      <c r="BT1866" s="47"/>
    </row>
    <row r="1867">
      <c r="A1867" s="24"/>
      <c r="B1867" s="48"/>
      <c r="C1867" s="49"/>
      <c r="D1867" s="24"/>
      <c r="E1867" s="52"/>
      <c r="F1867" s="53"/>
      <c r="G1867" s="48"/>
      <c r="H1867" s="49"/>
      <c r="I1867" s="49"/>
      <c r="J1867" s="48"/>
      <c r="K1867" s="48"/>
      <c r="L1867" s="48"/>
      <c r="M1867" s="48"/>
      <c r="N1867" s="48"/>
      <c r="O1867" s="48"/>
      <c r="P1867" s="48"/>
      <c r="Q1867" s="48"/>
      <c r="R1867" s="48"/>
      <c r="S1867" s="48"/>
      <c r="T1867" s="48"/>
      <c r="U1867" s="48"/>
      <c r="V1867" s="48"/>
      <c r="W1867" s="49"/>
      <c r="X1867" s="49"/>
      <c r="Y1867" s="49"/>
      <c r="Z1867" s="49"/>
      <c r="AA1867" s="49"/>
      <c r="AB1867" s="49"/>
      <c r="AC1867" s="49"/>
      <c r="AD1867" s="49"/>
      <c r="AE1867" s="49"/>
      <c r="AF1867" s="49"/>
      <c r="AG1867" s="49"/>
      <c r="AH1867" s="49"/>
      <c r="AI1867" s="48"/>
      <c r="AJ1867" s="48"/>
      <c r="AK1867" s="24"/>
      <c r="AL1867" s="50"/>
      <c r="AM1867" s="50"/>
      <c r="AN1867" s="50"/>
      <c r="AO1867" s="50"/>
      <c r="AP1867" s="50"/>
      <c r="AQ1867" s="50"/>
      <c r="AR1867" s="50"/>
      <c r="AS1867" s="50"/>
      <c r="AT1867" s="51"/>
      <c r="AU1867" s="51"/>
      <c r="AV1867" s="51"/>
      <c r="AW1867" s="51"/>
      <c r="AX1867" s="50"/>
      <c r="AY1867" s="50"/>
      <c r="AZ1867" s="50"/>
      <c r="BA1867" s="50"/>
      <c r="BB1867" s="51"/>
      <c r="BC1867" s="51"/>
      <c r="BD1867" s="51"/>
      <c r="BE1867" s="51"/>
      <c r="BF1867" s="47"/>
      <c r="BG1867" s="47"/>
      <c r="BH1867" s="47"/>
      <c r="BI1867" s="47"/>
      <c r="BJ1867" s="47"/>
      <c r="BK1867" s="47"/>
      <c r="BL1867" s="47"/>
      <c r="BM1867" s="47"/>
      <c r="BN1867" s="47"/>
      <c r="BO1867" s="47"/>
      <c r="BP1867" s="47"/>
      <c r="BQ1867" s="47"/>
      <c r="BR1867" s="47"/>
      <c r="BS1867" s="47"/>
      <c r="BT1867" s="47"/>
    </row>
    <row r="1868">
      <c r="A1868" s="24"/>
      <c r="B1868" s="48"/>
      <c r="C1868" s="49"/>
      <c r="D1868" s="24"/>
      <c r="E1868" s="52"/>
      <c r="F1868" s="53"/>
      <c r="G1868" s="48"/>
      <c r="H1868" s="49"/>
      <c r="I1868" s="49"/>
      <c r="J1868" s="48"/>
      <c r="K1868" s="48"/>
      <c r="L1868" s="48"/>
      <c r="M1868" s="48"/>
      <c r="N1868" s="48"/>
      <c r="O1868" s="48"/>
      <c r="P1868" s="48"/>
      <c r="Q1868" s="48"/>
      <c r="R1868" s="48"/>
      <c r="S1868" s="48"/>
      <c r="T1868" s="48"/>
      <c r="U1868" s="48"/>
      <c r="V1868" s="48"/>
      <c r="W1868" s="49"/>
      <c r="X1868" s="49"/>
      <c r="Y1868" s="49"/>
      <c r="Z1868" s="49"/>
      <c r="AA1868" s="49"/>
      <c r="AB1868" s="49"/>
      <c r="AC1868" s="49"/>
      <c r="AD1868" s="49"/>
      <c r="AE1868" s="49"/>
      <c r="AF1868" s="49"/>
      <c r="AG1868" s="49"/>
      <c r="AH1868" s="49"/>
      <c r="AI1868" s="48"/>
      <c r="AJ1868" s="48"/>
      <c r="AK1868" s="24"/>
      <c r="AL1868" s="50"/>
      <c r="AM1868" s="50"/>
      <c r="AN1868" s="50"/>
      <c r="AO1868" s="50"/>
      <c r="AP1868" s="50"/>
      <c r="AQ1868" s="50"/>
      <c r="AR1868" s="50"/>
      <c r="AS1868" s="50"/>
      <c r="AT1868" s="51"/>
      <c r="AU1868" s="51"/>
      <c r="AV1868" s="51"/>
      <c r="AW1868" s="51"/>
      <c r="AX1868" s="50"/>
      <c r="AY1868" s="50"/>
      <c r="AZ1868" s="50"/>
      <c r="BA1868" s="50"/>
      <c r="BB1868" s="51"/>
      <c r="BC1868" s="51"/>
      <c r="BD1868" s="51"/>
      <c r="BE1868" s="51"/>
      <c r="BF1868" s="47"/>
      <c r="BG1868" s="47"/>
      <c r="BH1868" s="47"/>
      <c r="BI1868" s="47"/>
      <c r="BJ1868" s="47"/>
      <c r="BK1868" s="47"/>
      <c r="BL1868" s="47"/>
      <c r="BM1868" s="47"/>
      <c r="BN1868" s="47"/>
      <c r="BO1868" s="47"/>
      <c r="BP1868" s="47"/>
      <c r="BQ1868" s="47"/>
      <c r="BR1868" s="47"/>
      <c r="BS1868" s="47"/>
      <c r="BT1868" s="47"/>
    </row>
    <row r="1869">
      <c r="A1869" s="24"/>
      <c r="B1869" s="48"/>
      <c r="C1869" s="49"/>
      <c r="D1869" s="24"/>
      <c r="E1869" s="52"/>
      <c r="F1869" s="53"/>
      <c r="G1869" s="48"/>
      <c r="H1869" s="49"/>
      <c r="I1869" s="49"/>
      <c r="J1869" s="48"/>
      <c r="K1869" s="48"/>
      <c r="L1869" s="48"/>
      <c r="M1869" s="48"/>
      <c r="N1869" s="48"/>
      <c r="O1869" s="48"/>
      <c r="P1869" s="48"/>
      <c r="Q1869" s="48"/>
      <c r="R1869" s="48"/>
      <c r="S1869" s="48"/>
      <c r="T1869" s="48"/>
      <c r="U1869" s="48"/>
      <c r="V1869" s="48"/>
      <c r="W1869" s="49"/>
      <c r="X1869" s="49"/>
      <c r="Y1869" s="49"/>
      <c r="Z1869" s="49"/>
      <c r="AA1869" s="49"/>
      <c r="AB1869" s="49"/>
      <c r="AC1869" s="49"/>
      <c r="AD1869" s="49"/>
      <c r="AE1869" s="49"/>
      <c r="AF1869" s="49"/>
      <c r="AG1869" s="49"/>
      <c r="AH1869" s="49"/>
      <c r="AI1869" s="48"/>
      <c r="AJ1869" s="48"/>
      <c r="AK1869" s="24"/>
      <c r="AL1869" s="50"/>
      <c r="AM1869" s="50"/>
      <c r="AN1869" s="50"/>
      <c r="AO1869" s="50"/>
      <c r="AP1869" s="50"/>
      <c r="AQ1869" s="50"/>
      <c r="AR1869" s="50"/>
      <c r="AS1869" s="50"/>
      <c r="AT1869" s="51"/>
      <c r="AU1869" s="51"/>
      <c r="AV1869" s="51"/>
      <c r="AW1869" s="51"/>
      <c r="AX1869" s="50"/>
      <c r="AY1869" s="50"/>
      <c r="AZ1869" s="50"/>
      <c r="BA1869" s="50"/>
      <c r="BB1869" s="51"/>
      <c r="BC1869" s="51"/>
      <c r="BD1869" s="51"/>
      <c r="BE1869" s="51"/>
      <c r="BF1869" s="47"/>
      <c r="BG1869" s="47"/>
      <c r="BH1869" s="47"/>
      <c r="BI1869" s="47"/>
      <c r="BJ1869" s="47"/>
      <c r="BK1869" s="47"/>
      <c r="BL1869" s="47"/>
      <c r="BM1869" s="47"/>
      <c r="BN1869" s="47"/>
      <c r="BO1869" s="47"/>
      <c r="BP1869" s="47"/>
      <c r="BQ1869" s="47"/>
      <c r="BR1869" s="47"/>
      <c r="BS1869" s="47"/>
      <c r="BT1869" s="47"/>
    </row>
    <row r="1870">
      <c r="A1870" s="24"/>
      <c r="B1870" s="48"/>
      <c r="C1870" s="49"/>
      <c r="D1870" s="24"/>
      <c r="E1870" s="52"/>
      <c r="F1870" s="53"/>
      <c r="G1870" s="48"/>
      <c r="H1870" s="49"/>
      <c r="I1870" s="49"/>
      <c r="J1870" s="48"/>
      <c r="K1870" s="48"/>
      <c r="L1870" s="48"/>
      <c r="M1870" s="48"/>
      <c r="N1870" s="48"/>
      <c r="O1870" s="48"/>
      <c r="P1870" s="48"/>
      <c r="Q1870" s="48"/>
      <c r="R1870" s="48"/>
      <c r="S1870" s="48"/>
      <c r="T1870" s="48"/>
      <c r="U1870" s="48"/>
      <c r="V1870" s="48"/>
      <c r="W1870" s="49"/>
      <c r="X1870" s="49"/>
      <c r="Y1870" s="49"/>
      <c r="Z1870" s="49"/>
      <c r="AA1870" s="49"/>
      <c r="AB1870" s="49"/>
      <c r="AC1870" s="49"/>
      <c r="AD1870" s="49"/>
      <c r="AE1870" s="49"/>
      <c r="AF1870" s="49"/>
      <c r="AG1870" s="49"/>
      <c r="AH1870" s="49"/>
      <c r="AI1870" s="48"/>
      <c r="AJ1870" s="48"/>
      <c r="AK1870" s="24"/>
      <c r="AL1870" s="50"/>
      <c r="AM1870" s="50"/>
      <c r="AN1870" s="50"/>
      <c r="AO1870" s="50"/>
      <c r="AP1870" s="50"/>
      <c r="AQ1870" s="50"/>
      <c r="AR1870" s="50"/>
      <c r="AS1870" s="50"/>
      <c r="AT1870" s="51"/>
      <c r="AU1870" s="51"/>
      <c r="AV1870" s="51"/>
      <c r="AW1870" s="51"/>
      <c r="AX1870" s="50"/>
      <c r="AY1870" s="50"/>
      <c r="AZ1870" s="50"/>
      <c r="BA1870" s="50"/>
      <c r="BB1870" s="51"/>
      <c r="BC1870" s="51"/>
      <c r="BD1870" s="51"/>
      <c r="BE1870" s="51"/>
      <c r="BF1870" s="47"/>
      <c r="BG1870" s="47"/>
      <c r="BH1870" s="47"/>
      <c r="BI1870" s="47"/>
      <c r="BJ1870" s="47"/>
      <c r="BK1870" s="47"/>
      <c r="BL1870" s="47"/>
      <c r="BM1870" s="47"/>
      <c r="BN1870" s="47"/>
      <c r="BO1870" s="47"/>
      <c r="BP1870" s="47"/>
      <c r="BQ1870" s="47"/>
      <c r="BR1870" s="47"/>
      <c r="BS1870" s="47"/>
      <c r="BT1870" s="47"/>
    </row>
    <row r="1871">
      <c r="A1871" s="24"/>
      <c r="B1871" s="48"/>
      <c r="C1871" s="49"/>
      <c r="D1871" s="24"/>
      <c r="E1871" s="52"/>
      <c r="F1871" s="53"/>
      <c r="G1871" s="48"/>
      <c r="H1871" s="49"/>
      <c r="I1871" s="49"/>
      <c r="J1871" s="48"/>
      <c r="K1871" s="48"/>
      <c r="L1871" s="48"/>
      <c r="M1871" s="48"/>
      <c r="N1871" s="48"/>
      <c r="O1871" s="48"/>
      <c r="P1871" s="48"/>
      <c r="Q1871" s="48"/>
      <c r="R1871" s="48"/>
      <c r="S1871" s="48"/>
      <c r="T1871" s="48"/>
      <c r="U1871" s="48"/>
      <c r="V1871" s="48"/>
      <c r="W1871" s="49"/>
      <c r="X1871" s="49"/>
      <c r="Y1871" s="49"/>
      <c r="Z1871" s="49"/>
      <c r="AA1871" s="49"/>
      <c r="AB1871" s="49"/>
      <c r="AC1871" s="49"/>
      <c r="AD1871" s="49"/>
      <c r="AE1871" s="49"/>
      <c r="AF1871" s="49"/>
      <c r="AG1871" s="49"/>
      <c r="AH1871" s="49"/>
      <c r="AI1871" s="48"/>
      <c r="AJ1871" s="48"/>
      <c r="AK1871" s="24"/>
      <c r="AL1871" s="50"/>
      <c r="AM1871" s="50"/>
      <c r="AN1871" s="50"/>
      <c r="AO1871" s="50"/>
      <c r="AP1871" s="50"/>
      <c r="AQ1871" s="50"/>
      <c r="AR1871" s="50"/>
      <c r="AS1871" s="50"/>
      <c r="AT1871" s="51"/>
      <c r="AU1871" s="51"/>
      <c r="AV1871" s="51"/>
      <c r="AW1871" s="51"/>
      <c r="AX1871" s="50"/>
      <c r="AY1871" s="50"/>
      <c r="AZ1871" s="50"/>
      <c r="BA1871" s="50"/>
      <c r="BB1871" s="51"/>
      <c r="BC1871" s="51"/>
      <c r="BD1871" s="51"/>
      <c r="BE1871" s="51"/>
      <c r="BF1871" s="47"/>
      <c r="BG1871" s="47"/>
      <c r="BH1871" s="47"/>
      <c r="BI1871" s="47"/>
      <c r="BJ1871" s="47"/>
      <c r="BK1871" s="47"/>
      <c r="BL1871" s="47"/>
      <c r="BM1871" s="47"/>
      <c r="BN1871" s="47"/>
      <c r="BO1871" s="47"/>
      <c r="BP1871" s="47"/>
      <c r="BQ1871" s="47"/>
      <c r="BR1871" s="47"/>
      <c r="BS1871" s="47"/>
      <c r="BT1871" s="47"/>
    </row>
    <row r="1872">
      <c r="A1872" s="24"/>
      <c r="B1872" s="48"/>
      <c r="C1872" s="49"/>
      <c r="D1872" s="24"/>
      <c r="E1872" s="52"/>
      <c r="F1872" s="53"/>
      <c r="G1872" s="48"/>
      <c r="H1872" s="49"/>
      <c r="I1872" s="49"/>
      <c r="J1872" s="48"/>
      <c r="K1872" s="48"/>
      <c r="L1872" s="48"/>
      <c r="M1872" s="48"/>
      <c r="N1872" s="48"/>
      <c r="O1872" s="48"/>
      <c r="P1872" s="48"/>
      <c r="Q1872" s="48"/>
      <c r="R1872" s="48"/>
      <c r="S1872" s="48"/>
      <c r="T1872" s="48"/>
      <c r="U1872" s="48"/>
      <c r="V1872" s="48"/>
      <c r="W1872" s="49"/>
      <c r="X1872" s="49"/>
      <c r="Y1872" s="49"/>
      <c r="Z1872" s="49"/>
      <c r="AA1872" s="49"/>
      <c r="AB1872" s="49"/>
      <c r="AC1872" s="49"/>
      <c r="AD1872" s="49"/>
      <c r="AE1872" s="49"/>
      <c r="AF1872" s="49"/>
      <c r="AG1872" s="49"/>
      <c r="AH1872" s="49"/>
      <c r="AI1872" s="48"/>
      <c r="AJ1872" s="48"/>
      <c r="AK1872" s="24"/>
      <c r="AL1872" s="50"/>
      <c r="AM1872" s="50"/>
      <c r="AN1872" s="50"/>
      <c r="AO1872" s="50"/>
      <c r="AP1872" s="50"/>
      <c r="AQ1872" s="50"/>
      <c r="AR1872" s="50"/>
      <c r="AS1872" s="50"/>
      <c r="AT1872" s="51"/>
      <c r="AU1872" s="51"/>
      <c r="AV1872" s="51"/>
      <c r="AW1872" s="51"/>
      <c r="AX1872" s="50"/>
      <c r="AY1872" s="50"/>
      <c r="AZ1872" s="50"/>
      <c r="BA1872" s="50"/>
      <c r="BB1872" s="51"/>
      <c r="BC1872" s="51"/>
      <c r="BD1872" s="51"/>
      <c r="BE1872" s="51"/>
      <c r="BF1872" s="47"/>
      <c r="BG1872" s="47"/>
      <c r="BH1872" s="47"/>
      <c r="BI1872" s="47"/>
      <c r="BJ1872" s="47"/>
      <c r="BK1872" s="47"/>
      <c r="BL1872" s="47"/>
      <c r="BM1872" s="47"/>
      <c r="BN1872" s="47"/>
      <c r="BO1872" s="47"/>
      <c r="BP1872" s="47"/>
      <c r="BQ1872" s="47"/>
      <c r="BR1872" s="47"/>
      <c r="BS1872" s="47"/>
      <c r="BT1872" s="47"/>
    </row>
    <row r="1873">
      <c r="A1873" s="24"/>
      <c r="B1873" s="48"/>
      <c r="C1873" s="49"/>
      <c r="D1873" s="24"/>
      <c r="E1873" s="52"/>
      <c r="F1873" s="53"/>
      <c r="G1873" s="48"/>
      <c r="H1873" s="49"/>
      <c r="I1873" s="49"/>
      <c r="J1873" s="48"/>
      <c r="K1873" s="48"/>
      <c r="L1873" s="48"/>
      <c r="M1873" s="48"/>
      <c r="N1873" s="48"/>
      <c r="O1873" s="48"/>
      <c r="P1873" s="48"/>
      <c r="Q1873" s="48"/>
      <c r="R1873" s="48"/>
      <c r="S1873" s="48"/>
      <c r="T1873" s="48"/>
      <c r="U1873" s="48"/>
      <c r="V1873" s="48"/>
      <c r="W1873" s="49"/>
      <c r="X1873" s="49"/>
      <c r="Y1873" s="49"/>
      <c r="Z1873" s="49"/>
      <c r="AA1873" s="49"/>
      <c r="AB1873" s="49"/>
      <c r="AC1873" s="49"/>
      <c r="AD1873" s="49"/>
      <c r="AE1873" s="49"/>
      <c r="AF1873" s="49"/>
      <c r="AG1873" s="49"/>
      <c r="AH1873" s="49"/>
      <c r="AI1873" s="48"/>
      <c r="AJ1873" s="48"/>
      <c r="AK1873" s="24"/>
      <c r="AL1873" s="50"/>
      <c r="AM1873" s="50"/>
      <c r="AN1873" s="50"/>
      <c r="AO1873" s="50"/>
      <c r="AP1873" s="50"/>
      <c r="AQ1873" s="50"/>
      <c r="AR1873" s="50"/>
      <c r="AS1873" s="50"/>
      <c r="AT1873" s="51"/>
      <c r="AU1873" s="51"/>
      <c r="AV1873" s="51"/>
      <c r="AW1873" s="51"/>
      <c r="AX1873" s="50"/>
      <c r="AY1873" s="50"/>
      <c r="AZ1873" s="50"/>
      <c r="BA1873" s="50"/>
      <c r="BB1873" s="51"/>
      <c r="BC1873" s="51"/>
      <c r="BD1873" s="51"/>
      <c r="BE1873" s="51"/>
      <c r="BF1873" s="47"/>
      <c r="BG1873" s="47"/>
      <c r="BH1873" s="47"/>
      <c r="BI1873" s="47"/>
      <c r="BJ1873" s="47"/>
      <c r="BK1873" s="47"/>
      <c r="BL1873" s="47"/>
      <c r="BM1873" s="47"/>
      <c r="BN1873" s="47"/>
      <c r="BO1873" s="47"/>
      <c r="BP1873" s="47"/>
      <c r="BQ1873" s="47"/>
      <c r="BR1873" s="47"/>
      <c r="BS1873" s="47"/>
      <c r="BT1873" s="47"/>
    </row>
    <row r="1874">
      <c r="A1874" s="24"/>
      <c r="B1874" s="48"/>
      <c r="C1874" s="49"/>
      <c r="D1874" s="24"/>
      <c r="E1874" s="52"/>
      <c r="F1874" s="53"/>
      <c r="G1874" s="48"/>
      <c r="H1874" s="49"/>
      <c r="I1874" s="49"/>
      <c r="J1874" s="48"/>
      <c r="K1874" s="48"/>
      <c r="L1874" s="48"/>
      <c r="M1874" s="48"/>
      <c r="N1874" s="48"/>
      <c r="O1874" s="48"/>
      <c r="P1874" s="48"/>
      <c r="Q1874" s="48"/>
      <c r="R1874" s="48"/>
      <c r="S1874" s="48"/>
      <c r="T1874" s="48"/>
      <c r="U1874" s="48"/>
      <c r="V1874" s="48"/>
      <c r="W1874" s="49"/>
      <c r="X1874" s="49"/>
      <c r="Y1874" s="49"/>
      <c r="Z1874" s="49"/>
      <c r="AA1874" s="49"/>
      <c r="AB1874" s="49"/>
      <c r="AC1874" s="49"/>
      <c r="AD1874" s="49"/>
      <c r="AE1874" s="49"/>
      <c r="AF1874" s="49"/>
      <c r="AG1874" s="49"/>
      <c r="AH1874" s="49"/>
      <c r="AI1874" s="48"/>
      <c r="AJ1874" s="48"/>
      <c r="AK1874" s="24"/>
      <c r="AL1874" s="50"/>
      <c r="AM1874" s="50"/>
      <c r="AN1874" s="50"/>
      <c r="AO1874" s="50"/>
      <c r="AP1874" s="50"/>
      <c r="AQ1874" s="50"/>
      <c r="AR1874" s="50"/>
      <c r="AS1874" s="50"/>
      <c r="AT1874" s="51"/>
      <c r="AU1874" s="51"/>
      <c r="AV1874" s="51"/>
      <c r="AW1874" s="51"/>
      <c r="AX1874" s="50"/>
      <c r="AY1874" s="50"/>
      <c r="AZ1874" s="50"/>
      <c r="BA1874" s="50"/>
      <c r="BB1874" s="51"/>
      <c r="BC1874" s="51"/>
      <c r="BD1874" s="51"/>
      <c r="BE1874" s="51"/>
      <c r="BF1874" s="47"/>
      <c r="BG1874" s="47"/>
      <c r="BH1874" s="47"/>
      <c r="BI1874" s="47"/>
      <c r="BJ1874" s="47"/>
      <c r="BK1874" s="47"/>
      <c r="BL1874" s="47"/>
      <c r="BM1874" s="47"/>
      <c r="BN1874" s="47"/>
      <c r="BO1874" s="47"/>
      <c r="BP1874" s="47"/>
      <c r="BQ1874" s="47"/>
      <c r="BR1874" s="47"/>
      <c r="BS1874" s="47"/>
      <c r="BT1874" s="47"/>
    </row>
    <row r="1875">
      <c r="A1875" s="24"/>
      <c r="B1875" s="48"/>
      <c r="C1875" s="49"/>
      <c r="D1875" s="24"/>
      <c r="E1875" s="52"/>
      <c r="F1875" s="53"/>
      <c r="G1875" s="48"/>
      <c r="H1875" s="49"/>
      <c r="I1875" s="49"/>
      <c r="J1875" s="48"/>
      <c r="K1875" s="48"/>
      <c r="L1875" s="48"/>
      <c r="M1875" s="48"/>
      <c r="N1875" s="48"/>
      <c r="O1875" s="48"/>
      <c r="P1875" s="48"/>
      <c r="Q1875" s="48"/>
      <c r="R1875" s="48"/>
      <c r="S1875" s="48"/>
      <c r="T1875" s="48"/>
      <c r="U1875" s="48"/>
      <c r="V1875" s="48"/>
      <c r="W1875" s="49"/>
      <c r="X1875" s="49"/>
      <c r="Y1875" s="49"/>
      <c r="Z1875" s="49"/>
      <c r="AA1875" s="49"/>
      <c r="AB1875" s="49"/>
      <c r="AC1875" s="49"/>
      <c r="AD1875" s="49"/>
      <c r="AE1875" s="49"/>
      <c r="AF1875" s="49"/>
      <c r="AG1875" s="49"/>
      <c r="AH1875" s="49"/>
      <c r="AI1875" s="48"/>
      <c r="AJ1875" s="48"/>
      <c r="AK1875" s="24"/>
      <c r="AL1875" s="50"/>
      <c r="AM1875" s="50"/>
      <c r="AN1875" s="50"/>
      <c r="AO1875" s="50"/>
      <c r="AP1875" s="50"/>
      <c r="AQ1875" s="50"/>
      <c r="AR1875" s="50"/>
      <c r="AS1875" s="50"/>
      <c r="AT1875" s="51"/>
      <c r="AU1875" s="51"/>
      <c r="AV1875" s="51"/>
      <c r="AW1875" s="51"/>
      <c r="AX1875" s="50"/>
      <c r="AY1875" s="50"/>
      <c r="AZ1875" s="50"/>
      <c r="BA1875" s="50"/>
      <c r="BB1875" s="51"/>
      <c r="BC1875" s="51"/>
      <c r="BD1875" s="51"/>
      <c r="BE1875" s="51"/>
      <c r="BF1875" s="47"/>
      <c r="BG1875" s="47"/>
      <c r="BH1875" s="47"/>
      <c r="BI1875" s="47"/>
      <c r="BJ1875" s="47"/>
      <c r="BK1875" s="47"/>
      <c r="BL1875" s="47"/>
      <c r="BM1875" s="47"/>
      <c r="BN1875" s="47"/>
      <c r="BO1875" s="47"/>
      <c r="BP1875" s="47"/>
      <c r="BQ1875" s="47"/>
      <c r="BR1875" s="47"/>
      <c r="BS1875" s="47"/>
      <c r="BT1875" s="47"/>
    </row>
    <row r="1876">
      <c r="A1876" s="24"/>
      <c r="B1876" s="48"/>
      <c r="C1876" s="49"/>
      <c r="D1876" s="24"/>
      <c r="E1876" s="52"/>
      <c r="F1876" s="53"/>
      <c r="G1876" s="48"/>
      <c r="H1876" s="49"/>
      <c r="I1876" s="49"/>
      <c r="J1876" s="48"/>
      <c r="K1876" s="48"/>
      <c r="L1876" s="48"/>
      <c r="M1876" s="48"/>
      <c r="N1876" s="48"/>
      <c r="O1876" s="48"/>
      <c r="P1876" s="48"/>
      <c r="Q1876" s="48"/>
      <c r="R1876" s="48"/>
      <c r="S1876" s="48"/>
      <c r="T1876" s="48"/>
      <c r="U1876" s="48"/>
      <c r="V1876" s="48"/>
      <c r="W1876" s="49"/>
      <c r="X1876" s="49"/>
      <c r="Y1876" s="49"/>
      <c r="Z1876" s="49"/>
      <c r="AA1876" s="49"/>
      <c r="AB1876" s="49"/>
      <c r="AC1876" s="49"/>
      <c r="AD1876" s="49"/>
      <c r="AE1876" s="49"/>
      <c r="AF1876" s="49"/>
      <c r="AG1876" s="49"/>
      <c r="AH1876" s="49"/>
      <c r="AI1876" s="48"/>
      <c r="AJ1876" s="48"/>
      <c r="AK1876" s="24"/>
      <c r="AL1876" s="50"/>
      <c r="AM1876" s="50"/>
      <c r="AN1876" s="50"/>
      <c r="AO1876" s="50"/>
      <c r="AP1876" s="50"/>
      <c r="AQ1876" s="50"/>
      <c r="AR1876" s="50"/>
      <c r="AS1876" s="50"/>
      <c r="AT1876" s="51"/>
      <c r="AU1876" s="51"/>
      <c r="AV1876" s="51"/>
      <c r="AW1876" s="51"/>
      <c r="AX1876" s="50"/>
      <c r="AY1876" s="50"/>
      <c r="AZ1876" s="50"/>
      <c r="BA1876" s="50"/>
      <c r="BB1876" s="51"/>
      <c r="BC1876" s="51"/>
      <c r="BD1876" s="51"/>
      <c r="BE1876" s="51"/>
      <c r="BF1876" s="47"/>
      <c r="BG1876" s="47"/>
      <c r="BH1876" s="47"/>
      <c r="BI1876" s="47"/>
      <c r="BJ1876" s="47"/>
      <c r="BK1876" s="47"/>
      <c r="BL1876" s="47"/>
      <c r="BM1876" s="47"/>
      <c r="BN1876" s="47"/>
      <c r="BO1876" s="47"/>
      <c r="BP1876" s="47"/>
      <c r="BQ1876" s="47"/>
      <c r="BR1876" s="47"/>
      <c r="BS1876" s="47"/>
      <c r="BT1876" s="47"/>
    </row>
    <row r="1877">
      <c r="A1877" s="24"/>
      <c r="B1877" s="48"/>
      <c r="C1877" s="49"/>
      <c r="D1877" s="24"/>
      <c r="E1877" s="52"/>
      <c r="F1877" s="53"/>
      <c r="G1877" s="48"/>
      <c r="H1877" s="49"/>
      <c r="I1877" s="49"/>
      <c r="J1877" s="48"/>
      <c r="K1877" s="48"/>
      <c r="L1877" s="48"/>
      <c r="M1877" s="48"/>
      <c r="N1877" s="48"/>
      <c r="O1877" s="48"/>
      <c r="P1877" s="48"/>
      <c r="Q1877" s="48"/>
      <c r="R1877" s="48"/>
      <c r="S1877" s="48"/>
      <c r="T1877" s="48"/>
      <c r="U1877" s="48"/>
      <c r="V1877" s="48"/>
      <c r="W1877" s="49"/>
      <c r="X1877" s="49"/>
      <c r="Y1877" s="49"/>
      <c r="Z1877" s="49"/>
      <c r="AA1877" s="49"/>
      <c r="AB1877" s="49"/>
      <c r="AC1877" s="49"/>
      <c r="AD1877" s="49"/>
      <c r="AE1877" s="49"/>
      <c r="AF1877" s="49"/>
      <c r="AG1877" s="49"/>
      <c r="AH1877" s="49"/>
      <c r="AI1877" s="48"/>
      <c r="AJ1877" s="48"/>
      <c r="AK1877" s="24"/>
      <c r="AL1877" s="50"/>
      <c r="AM1877" s="50"/>
      <c r="AN1877" s="50"/>
      <c r="AO1877" s="50"/>
      <c r="AP1877" s="50"/>
      <c r="AQ1877" s="50"/>
      <c r="AR1877" s="50"/>
      <c r="AS1877" s="50"/>
      <c r="AT1877" s="51"/>
      <c r="AU1877" s="51"/>
      <c r="AV1877" s="51"/>
      <c r="AW1877" s="51"/>
      <c r="AX1877" s="50"/>
      <c r="AY1877" s="50"/>
      <c r="AZ1877" s="50"/>
      <c r="BA1877" s="50"/>
      <c r="BB1877" s="51"/>
      <c r="BC1877" s="51"/>
      <c r="BD1877" s="51"/>
      <c r="BE1877" s="51"/>
      <c r="BF1877" s="47"/>
      <c r="BG1877" s="47"/>
      <c r="BH1877" s="47"/>
      <c r="BI1877" s="47"/>
      <c r="BJ1877" s="47"/>
      <c r="BK1877" s="47"/>
      <c r="BL1877" s="47"/>
      <c r="BM1877" s="47"/>
      <c r="BN1877" s="47"/>
      <c r="BO1877" s="47"/>
      <c r="BP1877" s="47"/>
      <c r="BQ1877" s="47"/>
      <c r="BR1877" s="47"/>
      <c r="BS1877" s="47"/>
      <c r="BT1877" s="47"/>
    </row>
    <row r="1878">
      <c r="A1878" s="24"/>
      <c r="B1878" s="48"/>
      <c r="C1878" s="49"/>
      <c r="D1878" s="24"/>
      <c r="E1878" s="52"/>
      <c r="F1878" s="53"/>
      <c r="G1878" s="48"/>
      <c r="H1878" s="49"/>
      <c r="I1878" s="49"/>
      <c r="J1878" s="48"/>
      <c r="K1878" s="48"/>
      <c r="L1878" s="48"/>
      <c r="M1878" s="48"/>
      <c r="N1878" s="48"/>
      <c r="O1878" s="48"/>
      <c r="P1878" s="48"/>
      <c r="Q1878" s="48"/>
      <c r="R1878" s="48"/>
      <c r="S1878" s="48"/>
      <c r="T1878" s="48"/>
      <c r="U1878" s="48"/>
      <c r="V1878" s="48"/>
      <c r="W1878" s="49"/>
      <c r="X1878" s="49"/>
      <c r="Y1878" s="49"/>
      <c r="Z1878" s="49"/>
      <c r="AA1878" s="49"/>
      <c r="AB1878" s="49"/>
      <c r="AC1878" s="49"/>
      <c r="AD1878" s="49"/>
      <c r="AE1878" s="49"/>
      <c r="AF1878" s="49"/>
      <c r="AG1878" s="49"/>
      <c r="AH1878" s="49"/>
      <c r="AI1878" s="48"/>
      <c r="AJ1878" s="48"/>
      <c r="AK1878" s="24"/>
      <c r="AL1878" s="50"/>
      <c r="AM1878" s="50"/>
      <c r="AN1878" s="50"/>
      <c r="AO1878" s="50"/>
      <c r="AP1878" s="50"/>
      <c r="AQ1878" s="50"/>
      <c r="AR1878" s="50"/>
      <c r="AS1878" s="50"/>
      <c r="AT1878" s="51"/>
      <c r="AU1878" s="51"/>
      <c r="AV1878" s="51"/>
      <c r="AW1878" s="51"/>
      <c r="AX1878" s="50"/>
      <c r="AY1878" s="50"/>
      <c r="AZ1878" s="50"/>
      <c r="BA1878" s="50"/>
      <c r="BB1878" s="51"/>
      <c r="BC1878" s="51"/>
      <c r="BD1878" s="51"/>
      <c r="BE1878" s="51"/>
      <c r="BF1878" s="47"/>
      <c r="BG1878" s="47"/>
      <c r="BH1878" s="47"/>
      <c r="BI1878" s="47"/>
      <c r="BJ1878" s="47"/>
      <c r="BK1878" s="47"/>
      <c r="BL1878" s="47"/>
      <c r="BM1878" s="47"/>
      <c r="BN1878" s="47"/>
      <c r="BO1878" s="47"/>
      <c r="BP1878" s="47"/>
      <c r="BQ1878" s="47"/>
      <c r="BR1878" s="47"/>
      <c r="BS1878" s="47"/>
      <c r="BT1878" s="47"/>
    </row>
    <row r="1879">
      <c r="A1879" s="24"/>
      <c r="B1879" s="48"/>
      <c r="C1879" s="49"/>
      <c r="D1879" s="24"/>
      <c r="E1879" s="52"/>
      <c r="F1879" s="53"/>
      <c r="G1879" s="48"/>
      <c r="H1879" s="49"/>
      <c r="I1879" s="49"/>
      <c r="J1879" s="48"/>
      <c r="K1879" s="48"/>
      <c r="L1879" s="48"/>
      <c r="M1879" s="48"/>
      <c r="N1879" s="48"/>
      <c r="O1879" s="48"/>
      <c r="P1879" s="48"/>
      <c r="Q1879" s="48"/>
      <c r="R1879" s="48"/>
      <c r="S1879" s="48"/>
      <c r="T1879" s="48"/>
      <c r="U1879" s="48"/>
      <c r="V1879" s="48"/>
      <c r="W1879" s="49"/>
      <c r="X1879" s="49"/>
      <c r="Y1879" s="49"/>
      <c r="Z1879" s="49"/>
      <c r="AA1879" s="49"/>
      <c r="AB1879" s="49"/>
      <c r="AC1879" s="49"/>
      <c r="AD1879" s="49"/>
      <c r="AE1879" s="49"/>
      <c r="AF1879" s="49"/>
      <c r="AG1879" s="49"/>
      <c r="AH1879" s="49"/>
      <c r="AI1879" s="48"/>
      <c r="AJ1879" s="48"/>
      <c r="AK1879" s="24"/>
      <c r="AL1879" s="50"/>
      <c r="AM1879" s="50"/>
      <c r="AN1879" s="50"/>
      <c r="AO1879" s="50"/>
      <c r="AP1879" s="50"/>
      <c r="AQ1879" s="50"/>
      <c r="AR1879" s="50"/>
      <c r="AS1879" s="50"/>
      <c r="AT1879" s="51"/>
      <c r="AU1879" s="51"/>
      <c r="AV1879" s="51"/>
      <c r="AW1879" s="51"/>
      <c r="AX1879" s="50"/>
      <c r="AY1879" s="50"/>
      <c r="AZ1879" s="50"/>
      <c r="BA1879" s="50"/>
      <c r="BB1879" s="51"/>
      <c r="BC1879" s="51"/>
      <c r="BD1879" s="51"/>
      <c r="BE1879" s="51"/>
      <c r="BF1879" s="47"/>
      <c r="BG1879" s="47"/>
      <c r="BH1879" s="47"/>
      <c r="BI1879" s="47"/>
      <c r="BJ1879" s="47"/>
      <c r="BK1879" s="47"/>
      <c r="BL1879" s="47"/>
      <c r="BM1879" s="47"/>
      <c r="BN1879" s="47"/>
      <c r="BO1879" s="47"/>
      <c r="BP1879" s="47"/>
      <c r="BQ1879" s="47"/>
      <c r="BR1879" s="47"/>
      <c r="BS1879" s="47"/>
      <c r="BT1879" s="47"/>
    </row>
    <row r="1880">
      <c r="A1880" s="24"/>
      <c r="B1880" s="48"/>
      <c r="C1880" s="49"/>
      <c r="D1880" s="24"/>
      <c r="E1880" s="52"/>
      <c r="F1880" s="53"/>
      <c r="G1880" s="48"/>
      <c r="H1880" s="49"/>
      <c r="I1880" s="49"/>
      <c r="J1880" s="48"/>
      <c r="K1880" s="48"/>
      <c r="L1880" s="48"/>
      <c r="M1880" s="48"/>
      <c r="N1880" s="48"/>
      <c r="O1880" s="48"/>
      <c r="P1880" s="48"/>
      <c r="Q1880" s="48"/>
      <c r="R1880" s="48"/>
      <c r="S1880" s="48"/>
      <c r="T1880" s="48"/>
      <c r="U1880" s="48"/>
      <c r="V1880" s="48"/>
      <c r="W1880" s="49"/>
      <c r="X1880" s="49"/>
      <c r="Y1880" s="49"/>
      <c r="Z1880" s="49"/>
      <c r="AA1880" s="49"/>
      <c r="AB1880" s="49"/>
      <c r="AC1880" s="49"/>
      <c r="AD1880" s="49"/>
      <c r="AE1880" s="49"/>
      <c r="AF1880" s="49"/>
      <c r="AG1880" s="49"/>
      <c r="AH1880" s="49"/>
      <c r="AI1880" s="48"/>
      <c r="AJ1880" s="48"/>
      <c r="AK1880" s="24"/>
      <c r="AL1880" s="50"/>
      <c r="AM1880" s="50"/>
      <c r="AN1880" s="50"/>
      <c r="AO1880" s="50"/>
      <c r="AP1880" s="50"/>
      <c r="AQ1880" s="50"/>
      <c r="AR1880" s="50"/>
      <c r="AS1880" s="50"/>
      <c r="AT1880" s="51"/>
      <c r="AU1880" s="51"/>
      <c r="AV1880" s="51"/>
      <c r="AW1880" s="51"/>
      <c r="AX1880" s="50"/>
      <c r="AY1880" s="50"/>
      <c r="AZ1880" s="50"/>
      <c r="BA1880" s="50"/>
      <c r="BB1880" s="51"/>
      <c r="BC1880" s="51"/>
      <c r="BD1880" s="51"/>
      <c r="BE1880" s="51"/>
      <c r="BF1880" s="47"/>
      <c r="BG1880" s="47"/>
      <c r="BH1880" s="47"/>
      <c r="BI1880" s="47"/>
      <c r="BJ1880" s="47"/>
      <c r="BK1880" s="47"/>
      <c r="BL1880" s="47"/>
      <c r="BM1880" s="47"/>
      <c r="BN1880" s="47"/>
      <c r="BO1880" s="47"/>
      <c r="BP1880" s="47"/>
      <c r="BQ1880" s="47"/>
      <c r="BR1880" s="47"/>
      <c r="BS1880" s="47"/>
      <c r="BT1880" s="47"/>
    </row>
    <row r="1881">
      <c r="A1881" s="24"/>
      <c r="B1881" s="48"/>
      <c r="C1881" s="49"/>
      <c r="D1881" s="24"/>
      <c r="E1881" s="52"/>
      <c r="F1881" s="53"/>
      <c r="G1881" s="48"/>
      <c r="H1881" s="49"/>
      <c r="I1881" s="49"/>
      <c r="J1881" s="48"/>
      <c r="K1881" s="48"/>
      <c r="L1881" s="48"/>
      <c r="M1881" s="48"/>
      <c r="N1881" s="48"/>
      <c r="O1881" s="48"/>
      <c r="P1881" s="48"/>
      <c r="Q1881" s="48"/>
      <c r="R1881" s="48"/>
      <c r="S1881" s="48"/>
      <c r="T1881" s="48"/>
      <c r="U1881" s="48"/>
      <c r="V1881" s="48"/>
      <c r="W1881" s="49"/>
      <c r="X1881" s="49"/>
      <c r="Y1881" s="49"/>
      <c r="Z1881" s="49"/>
      <c r="AA1881" s="49"/>
      <c r="AB1881" s="49"/>
      <c r="AC1881" s="49"/>
      <c r="AD1881" s="49"/>
      <c r="AE1881" s="49"/>
      <c r="AF1881" s="49"/>
      <c r="AG1881" s="49"/>
      <c r="AH1881" s="49"/>
      <c r="AI1881" s="48"/>
      <c r="AJ1881" s="48"/>
      <c r="AK1881" s="24"/>
      <c r="AL1881" s="50"/>
      <c r="AM1881" s="50"/>
      <c r="AN1881" s="50"/>
      <c r="AO1881" s="50"/>
      <c r="AP1881" s="50"/>
      <c r="AQ1881" s="50"/>
      <c r="AR1881" s="50"/>
      <c r="AS1881" s="50"/>
      <c r="AT1881" s="51"/>
      <c r="AU1881" s="51"/>
      <c r="AV1881" s="51"/>
      <c r="AW1881" s="51"/>
      <c r="AX1881" s="50"/>
      <c r="AY1881" s="50"/>
      <c r="AZ1881" s="50"/>
      <c r="BA1881" s="50"/>
      <c r="BB1881" s="51"/>
      <c r="BC1881" s="51"/>
      <c r="BD1881" s="51"/>
      <c r="BE1881" s="51"/>
      <c r="BF1881" s="47"/>
      <c r="BG1881" s="47"/>
      <c r="BH1881" s="47"/>
      <c r="BI1881" s="47"/>
      <c r="BJ1881" s="47"/>
      <c r="BK1881" s="47"/>
      <c r="BL1881" s="47"/>
      <c r="BM1881" s="47"/>
      <c r="BN1881" s="47"/>
      <c r="BO1881" s="47"/>
      <c r="BP1881" s="47"/>
      <c r="BQ1881" s="47"/>
      <c r="BR1881" s="47"/>
      <c r="BS1881" s="47"/>
      <c r="BT1881" s="47"/>
    </row>
    <row r="1882">
      <c r="A1882" s="24"/>
      <c r="B1882" s="48"/>
      <c r="C1882" s="49"/>
      <c r="D1882" s="24"/>
      <c r="E1882" s="52"/>
      <c r="F1882" s="53"/>
      <c r="G1882" s="48"/>
      <c r="H1882" s="49"/>
      <c r="I1882" s="49"/>
      <c r="J1882" s="48"/>
      <c r="K1882" s="48"/>
      <c r="L1882" s="48"/>
      <c r="M1882" s="48"/>
      <c r="N1882" s="48"/>
      <c r="O1882" s="48"/>
      <c r="P1882" s="48"/>
      <c r="Q1882" s="48"/>
      <c r="R1882" s="48"/>
      <c r="S1882" s="48"/>
      <c r="T1882" s="48"/>
      <c r="U1882" s="48"/>
      <c r="V1882" s="48"/>
      <c r="W1882" s="49"/>
      <c r="X1882" s="49"/>
      <c r="Y1882" s="49"/>
      <c r="Z1882" s="49"/>
      <c r="AA1882" s="49"/>
      <c r="AB1882" s="49"/>
      <c r="AC1882" s="49"/>
      <c r="AD1882" s="49"/>
      <c r="AE1882" s="49"/>
      <c r="AF1882" s="49"/>
      <c r="AG1882" s="49"/>
      <c r="AH1882" s="49"/>
      <c r="AI1882" s="48"/>
      <c r="AJ1882" s="48"/>
      <c r="AK1882" s="24"/>
      <c r="AL1882" s="50"/>
      <c r="AM1882" s="50"/>
      <c r="AN1882" s="50"/>
      <c r="AO1882" s="50"/>
      <c r="AP1882" s="50"/>
      <c r="AQ1882" s="50"/>
      <c r="AR1882" s="50"/>
      <c r="AS1882" s="50"/>
      <c r="AT1882" s="51"/>
      <c r="AU1882" s="51"/>
      <c r="AV1882" s="51"/>
      <c r="AW1882" s="51"/>
      <c r="AX1882" s="50"/>
      <c r="AY1882" s="50"/>
      <c r="AZ1882" s="50"/>
      <c r="BA1882" s="50"/>
      <c r="BB1882" s="51"/>
      <c r="BC1882" s="51"/>
      <c r="BD1882" s="51"/>
      <c r="BE1882" s="51"/>
      <c r="BF1882" s="47"/>
      <c r="BG1882" s="47"/>
      <c r="BH1882" s="47"/>
      <c r="BI1882" s="47"/>
      <c r="BJ1882" s="47"/>
      <c r="BK1882" s="47"/>
      <c r="BL1882" s="47"/>
      <c r="BM1882" s="47"/>
      <c r="BN1882" s="47"/>
      <c r="BO1882" s="47"/>
      <c r="BP1882" s="47"/>
      <c r="BQ1882" s="47"/>
      <c r="BR1882" s="47"/>
      <c r="BS1882" s="47"/>
      <c r="BT1882" s="47"/>
    </row>
    <row r="1883">
      <c r="A1883" s="24"/>
      <c r="B1883" s="48"/>
      <c r="C1883" s="49"/>
      <c r="D1883" s="24"/>
      <c r="E1883" s="52"/>
      <c r="F1883" s="53"/>
      <c r="G1883" s="48"/>
      <c r="H1883" s="49"/>
      <c r="I1883" s="49"/>
      <c r="J1883" s="48"/>
      <c r="K1883" s="48"/>
      <c r="L1883" s="48"/>
      <c r="M1883" s="48"/>
      <c r="N1883" s="48"/>
      <c r="O1883" s="48"/>
      <c r="P1883" s="48"/>
      <c r="Q1883" s="48"/>
      <c r="R1883" s="48"/>
      <c r="S1883" s="48"/>
      <c r="T1883" s="48"/>
      <c r="U1883" s="48"/>
      <c r="V1883" s="48"/>
      <c r="W1883" s="49"/>
      <c r="X1883" s="49"/>
      <c r="Y1883" s="49"/>
      <c r="Z1883" s="49"/>
      <c r="AA1883" s="49"/>
      <c r="AB1883" s="49"/>
      <c r="AC1883" s="49"/>
      <c r="AD1883" s="49"/>
      <c r="AE1883" s="49"/>
      <c r="AF1883" s="49"/>
      <c r="AG1883" s="49"/>
      <c r="AH1883" s="49"/>
      <c r="AI1883" s="48"/>
      <c r="AJ1883" s="48"/>
      <c r="AK1883" s="24"/>
      <c r="AL1883" s="50"/>
      <c r="AM1883" s="50"/>
      <c r="AN1883" s="50"/>
      <c r="AO1883" s="50"/>
      <c r="AP1883" s="50"/>
      <c r="AQ1883" s="50"/>
      <c r="AR1883" s="50"/>
      <c r="AS1883" s="50"/>
      <c r="AT1883" s="51"/>
      <c r="AU1883" s="51"/>
      <c r="AV1883" s="51"/>
      <c r="AW1883" s="51"/>
      <c r="AX1883" s="50"/>
      <c r="AY1883" s="50"/>
      <c r="AZ1883" s="50"/>
      <c r="BA1883" s="50"/>
      <c r="BB1883" s="51"/>
      <c r="BC1883" s="51"/>
      <c r="BD1883" s="51"/>
      <c r="BE1883" s="51"/>
      <c r="BF1883" s="47"/>
      <c r="BG1883" s="47"/>
      <c r="BH1883" s="47"/>
      <c r="BI1883" s="47"/>
      <c r="BJ1883" s="47"/>
      <c r="BK1883" s="47"/>
      <c r="BL1883" s="47"/>
      <c r="BM1883" s="47"/>
      <c r="BN1883" s="47"/>
      <c r="BO1883" s="47"/>
      <c r="BP1883" s="47"/>
      <c r="BQ1883" s="47"/>
      <c r="BR1883" s="47"/>
      <c r="BS1883" s="47"/>
      <c r="BT1883" s="47"/>
    </row>
    <row r="1884">
      <c r="A1884" s="24"/>
      <c r="B1884" s="48"/>
      <c r="C1884" s="49"/>
      <c r="D1884" s="24"/>
      <c r="E1884" s="52"/>
      <c r="F1884" s="53"/>
      <c r="G1884" s="48"/>
      <c r="H1884" s="49"/>
      <c r="I1884" s="49"/>
      <c r="J1884" s="48"/>
      <c r="K1884" s="48"/>
      <c r="L1884" s="48"/>
      <c r="M1884" s="48"/>
      <c r="N1884" s="48"/>
      <c r="O1884" s="48"/>
      <c r="P1884" s="48"/>
      <c r="Q1884" s="48"/>
      <c r="R1884" s="48"/>
      <c r="S1884" s="48"/>
      <c r="T1884" s="48"/>
      <c r="U1884" s="48"/>
      <c r="V1884" s="48"/>
      <c r="W1884" s="49"/>
      <c r="X1884" s="49"/>
      <c r="Y1884" s="49"/>
      <c r="Z1884" s="49"/>
      <c r="AA1884" s="49"/>
      <c r="AB1884" s="49"/>
      <c r="AC1884" s="49"/>
      <c r="AD1884" s="49"/>
      <c r="AE1884" s="49"/>
      <c r="AF1884" s="49"/>
      <c r="AG1884" s="49"/>
      <c r="AH1884" s="49"/>
      <c r="AI1884" s="48"/>
      <c r="AJ1884" s="48"/>
      <c r="AK1884" s="24"/>
      <c r="AL1884" s="50"/>
      <c r="AM1884" s="50"/>
      <c r="AN1884" s="50"/>
      <c r="AO1884" s="50"/>
      <c r="AP1884" s="50"/>
      <c r="AQ1884" s="50"/>
      <c r="AR1884" s="50"/>
      <c r="AS1884" s="50"/>
      <c r="AT1884" s="51"/>
      <c r="AU1884" s="51"/>
      <c r="AV1884" s="51"/>
      <c r="AW1884" s="51"/>
      <c r="AX1884" s="50"/>
      <c r="AY1884" s="50"/>
      <c r="AZ1884" s="50"/>
      <c r="BA1884" s="50"/>
      <c r="BB1884" s="51"/>
      <c r="BC1884" s="51"/>
      <c r="BD1884" s="51"/>
      <c r="BE1884" s="51"/>
      <c r="BF1884" s="47"/>
      <c r="BG1884" s="47"/>
      <c r="BH1884" s="47"/>
      <c r="BI1884" s="47"/>
      <c r="BJ1884" s="47"/>
      <c r="BK1884" s="47"/>
      <c r="BL1884" s="47"/>
      <c r="BM1884" s="47"/>
      <c r="BN1884" s="47"/>
      <c r="BO1884" s="47"/>
      <c r="BP1884" s="47"/>
      <c r="BQ1884" s="47"/>
      <c r="BR1884" s="47"/>
      <c r="BS1884" s="47"/>
      <c r="BT1884" s="47"/>
    </row>
    <row r="1885">
      <c r="A1885" s="24"/>
      <c r="B1885" s="48"/>
      <c r="C1885" s="49"/>
      <c r="D1885" s="24"/>
      <c r="E1885" s="52"/>
      <c r="F1885" s="53"/>
      <c r="G1885" s="48"/>
      <c r="H1885" s="49"/>
      <c r="I1885" s="49"/>
      <c r="J1885" s="48"/>
      <c r="K1885" s="48"/>
      <c r="L1885" s="48"/>
      <c r="M1885" s="48"/>
      <c r="N1885" s="48"/>
      <c r="O1885" s="48"/>
      <c r="P1885" s="48"/>
      <c r="Q1885" s="48"/>
      <c r="R1885" s="48"/>
      <c r="S1885" s="48"/>
      <c r="T1885" s="48"/>
      <c r="U1885" s="48"/>
      <c r="V1885" s="48"/>
      <c r="W1885" s="49"/>
      <c r="X1885" s="49"/>
      <c r="Y1885" s="49"/>
      <c r="Z1885" s="49"/>
      <c r="AA1885" s="49"/>
      <c r="AB1885" s="49"/>
      <c r="AC1885" s="49"/>
      <c r="AD1885" s="49"/>
      <c r="AE1885" s="49"/>
      <c r="AF1885" s="49"/>
      <c r="AG1885" s="49"/>
      <c r="AH1885" s="49"/>
      <c r="AI1885" s="48"/>
      <c r="AJ1885" s="48"/>
      <c r="AK1885" s="24"/>
      <c r="AL1885" s="50"/>
      <c r="AM1885" s="50"/>
      <c r="AN1885" s="50"/>
      <c r="AO1885" s="50"/>
      <c r="AP1885" s="50"/>
      <c r="AQ1885" s="50"/>
      <c r="AR1885" s="50"/>
      <c r="AS1885" s="50"/>
      <c r="AT1885" s="51"/>
      <c r="AU1885" s="51"/>
      <c r="AV1885" s="51"/>
      <c r="AW1885" s="51"/>
      <c r="AX1885" s="50"/>
      <c r="AY1885" s="50"/>
      <c r="AZ1885" s="50"/>
      <c r="BA1885" s="50"/>
      <c r="BB1885" s="51"/>
      <c r="BC1885" s="51"/>
      <c r="BD1885" s="51"/>
      <c r="BE1885" s="51"/>
      <c r="BF1885" s="47"/>
      <c r="BG1885" s="47"/>
      <c r="BH1885" s="47"/>
      <c r="BI1885" s="47"/>
      <c r="BJ1885" s="47"/>
      <c r="BK1885" s="47"/>
      <c r="BL1885" s="47"/>
      <c r="BM1885" s="47"/>
      <c r="BN1885" s="47"/>
      <c r="BO1885" s="47"/>
      <c r="BP1885" s="47"/>
      <c r="BQ1885" s="47"/>
      <c r="BR1885" s="47"/>
      <c r="BS1885" s="47"/>
      <c r="BT1885" s="47"/>
    </row>
    <row r="1886">
      <c r="A1886" s="24"/>
      <c r="B1886" s="48"/>
      <c r="C1886" s="49"/>
      <c r="D1886" s="24"/>
      <c r="E1886" s="52"/>
      <c r="F1886" s="53"/>
      <c r="G1886" s="48"/>
      <c r="H1886" s="49"/>
      <c r="I1886" s="49"/>
      <c r="J1886" s="48"/>
      <c r="K1886" s="48"/>
      <c r="L1886" s="48"/>
      <c r="M1886" s="48"/>
      <c r="N1886" s="48"/>
      <c r="O1886" s="48"/>
      <c r="P1886" s="48"/>
      <c r="Q1886" s="48"/>
      <c r="R1886" s="48"/>
      <c r="S1886" s="48"/>
      <c r="T1886" s="48"/>
      <c r="U1886" s="48"/>
      <c r="V1886" s="48"/>
      <c r="W1886" s="49"/>
      <c r="X1886" s="49"/>
      <c r="Y1886" s="49"/>
      <c r="Z1886" s="49"/>
      <c r="AA1886" s="49"/>
      <c r="AB1886" s="49"/>
      <c r="AC1886" s="49"/>
      <c r="AD1886" s="49"/>
      <c r="AE1886" s="49"/>
      <c r="AF1886" s="49"/>
      <c r="AG1886" s="49"/>
      <c r="AH1886" s="49"/>
      <c r="AI1886" s="48"/>
      <c r="AJ1886" s="48"/>
      <c r="AK1886" s="24"/>
      <c r="AL1886" s="50"/>
      <c r="AM1886" s="50"/>
      <c r="AN1886" s="50"/>
      <c r="AO1886" s="50"/>
      <c r="AP1886" s="50"/>
      <c r="AQ1886" s="50"/>
      <c r="AR1886" s="50"/>
      <c r="AS1886" s="50"/>
      <c r="AT1886" s="51"/>
      <c r="AU1886" s="51"/>
      <c r="AV1886" s="51"/>
      <c r="AW1886" s="51"/>
      <c r="AX1886" s="50"/>
      <c r="AY1886" s="50"/>
      <c r="AZ1886" s="50"/>
      <c r="BA1886" s="50"/>
      <c r="BB1886" s="51"/>
      <c r="BC1886" s="51"/>
      <c r="BD1886" s="51"/>
      <c r="BE1886" s="51"/>
      <c r="BF1886" s="47"/>
      <c r="BG1886" s="47"/>
      <c r="BH1886" s="47"/>
      <c r="BI1886" s="47"/>
      <c r="BJ1886" s="47"/>
      <c r="BK1886" s="47"/>
      <c r="BL1886" s="47"/>
      <c r="BM1886" s="47"/>
      <c r="BN1886" s="47"/>
      <c r="BO1886" s="47"/>
      <c r="BP1886" s="47"/>
      <c r="BQ1886" s="47"/>
      <c r="BR1886" s="47"/>
      <c r="BS1886" s="47"/>
      <c r="BT1886" s="47"/>
    </row>
    <row r="1887">
      <c r="A1887" s="24"/>
      <c r="B1887" s="48"/>
      <c r="C1887" s="49"/>
      <c r="D1887" s="24"/>
      <c r="E1887" s="52"/>
      <c r="F1887" s="53"/>
      <c r="G1887" s="48"/>
      <c r="H1887" s="49"/>
      <c r="I1887" s="49"/>
      <c r="J1887" s="48"/>
      <c r="K1887" s="48"/>
      <c r="L1887" s="48"/>
      <c r="M1887" s="48"/>
      <c r="N1887" s="48"/>
      <c r="O1887" s="48"/>
      <c r="P1887" s="48"/>
      <c r="Q1887" s="48"/>
      <c r="R1887" s="48"/>
      <c r="S1887" s="48"/>
      <c r="T1887" s="48"/>
      <c r="U1887" s="48"/>
      <c r="V1887" s="48"/>
      <c r="W1887" s="49"/>
      <c r="X1887" s="49"/>
      <c r="Y1887" s="49"/>
      <c r="Z1887" s="49"/>
      <c r="AA1887" s="49"/>
      <c r="AB1887" s="49"/>
      <c r="AC1887" s="49"/>
      <c r="AD1887" s="49"/>
      <c r="AE1887" s="49"/>
      <c r="AF1887" s="49"/>
      <c r="AG1887" s="49"/>
      <c r="AH1887" s="49"/>
      <c r="AI1887" s="48"/>
      <c r="AJ1887" s="48"/>
      <c r="AK1887" s="24"/>
      <c r="AL1887" s="50"/>
      <c r="AM1887" s="50"/>
      <c r="AN1887" s="50"/>
      <c r="AO1887" s="50"/>
      <c r="AP1887" s="50"/>
      <c r="AQ1887" s="50"/>
      <c r="AR1887" s="50"/>
      <c r="AS1887" s="50"/>
      <c r="AT1887" s="51"/>
      <c r="AU1887" s="51"/>
      <c r="AV1887" s="51"/>
      <c r="AW1887" s="51"/>
      <c r="AX1887" s="50"/>
      <c r="AY1887" s="50"/>
      <c r="AZ1887" s="50"/>
      <c r="BA1887" s="50"/>
      <c r="BB1887" s="51"/>
      <c r="BC1887" s="51"/>
      <c r="BD1887" s="51"/>
      <c r="BE1887" s="51"/>
      <c r="BF1887" s="47"/>
      <c r="BG1887" s="47"/>
      <c r="BH1887" s="47"/>
      <c r="BI1887" s="47"/>
      <c r="BJ1887" s="47"/>
      <c r="BK1887" s="47"/>
      <c r="BL1887" s="47"/>
      <c r="BM1887" s="47"/>
      <c r="BN1887" s="47"/>
      <c r="BO1887" s="47"/>
      <c r="BP1887" s="47"/>
      <c r="BQ1887" s="47"/>
      <c r="BR1887" s="47"/>
      <c r="BS1887" s="47"/>
      <c r="BT1887" s="47"/>
    </row>
    <row r="1888">
      <c r="A1888" s="24"/>
      <c r="B1888" s="48"/>
      <c r="C1888" s="49"/>
      <c r="D1888" s="24"/>
      <c r="E1888" s="52"/>
      <c r="F1888" s="53"/>
      <c r="G1888" s="48"/>
      <c r="H1888" s="49"/>
      <c r="I1888" s="49"/>
      <c r="J1888" s="48"/>
      <c r="K1888" s="48"/>
      <c r="L1888" s="48"/>
      <c r="M1888" s="48"/>
      <c r="N1888" s="48"/>
      <c r="O1888" s="48"/>
      <c r="P1888" s="48"/>
      <c r="Q1888" s="48"/>
      <c r="R1888" s="48"/>
      <c r="S1888" s="48"/>
      <c r="T1888" s="48"/>
      <c r="U1888" s="48"/>
      <c r="V1888" s="48"/>
      <c r="W1888" s="49"/>
      <c r="X1888" s="49"/>
      <c r="Y1888" s="49"/>
      <c r="Z1888" s="49"/>
      <c r="AA1888" s="49"/>
      <c r="AB1888" s="49"/>
      <c r="AC1888" s="49"/>
      <c r="AD1888" s="49"/>
      <c r="AE1888" s="49"/>
      <c r="AF1888" s="49"/>
      <c r="AG1888" s="49"/>
      <c r="AH1888" s="49"/>
      <c r="AI1888" s="48"/>
      <c r="AJ1888" s="48"/>
      <c r="AK1888" s="24"/>
      <c r="AL1888" s="50"/>
      <c r="AM1888" s="50"/>
      <c r="AN1888" s="50"/>
      <c r="AO1888" s="50"/>
      <c r="AP1888" s="50"/>
      <c r="AQ1888" s="50"/>
      <c r="AR1888" s="50"/>
      <c r="AS1888" s="50"/>
      <c r="AT1888" s="51"/>
      <c r="AU1888" s="51"/>
      <c r="AV1888" s="51"/>
      <c r="AW1888" s="51"/>
      <c r="AX1888" s="50"/>
      <c r="AY1888" s="50"/>
      <c r="AZ1888" s="50"/>
      <c r="BA1888" s="50"/>
      <c r="BB1888" s="51"/>
      <c r="BC1888" s="51"/>
      <c r="BD1888" s="51"/>
      <c r="BE1888" s="51"/>
      <c r="BF1888" s="47"/>
      <c r="BG1888" s="47"/>
      <c r="BH1888" s="47"/>
      <c r="BI1888" s="47"/>
      <c r="BJ1888" s="47"/>
      <c r="BK1888" s="47"/>
      <c r="BL1888" s="47"/>
      <c r="BM1888" s="47"/>
      <c r="BN1888" s="47"/>
      <c r="BO1888" s="47"/>
      <c r="BP1888" s="47"/>
      <c r="BQ1888" s="47"/>
      <c r="BR1888" s="47"/>
      <c r="BS1888" s="47"/>
      <c r="BT1888" s="47"/>
    </row>
    <row r="1889">
      <c r="A1889" s="24"/>
      <c r="B1889" s="48"/>
      <c r="C1889" s="49"/>
      <c r="D1889" s="24"/>
      <c r="E1889" s="52"/>
      <c r="F1889" s="53"/>
      <c r="G1889" s="48"/>
      <c r="H1889" s="49"/>
      <c r="I1889" s="49"/>
      <c r="J1889" s="48"/>
      <c r="K1889" s="48"/>
      <c r="L1889" s="48"/>
      <c r="M1889" s="48"/>
      <c r="N1889" s="48"/>
      <c r="O1889" s="48"/>
      <c r="P1889" s="48"/>
      <c r="Q1889" s="48"/>
      <c r="R1889" s="48"/>
      <c r="S1889" s="48"/>
      <c r="T1889" s="48"/>
      <c r="U1889" s="48"/>
      <c r="V1889" s="48"/>
      <c r="W1889" s="49"/>
      <c r="X1889" s="49"/>
      <c r="Y1889" s="49"/>
      <c r="Z1889" s="49"/>
      <c r="AA1889" s="49"/>
      <c r="AB1889" s="49"/>
      <c r="AC1889" s="49"/>
      <c r="AD1889" s="49"/>
      <c r="AE1889" s="49"/>
      <c r="AF1889" s="49"/>
      <c r="AG1889" s="49"/>
      <c r="AH1889" s="49"/>
      <c r="AI1889" s="48"/>
      <c r="AJ1889" s="48"/>
      <c r="AK1889" s="24"/>
      <c r="AL1889" s="50"/>
      <c r="AM1889" s="50"/>
      <c r="AN1889" s="50"/>
      <c r="AO1889" s="50"/>
      <c r="AP1889" s="50"/>
      <c r="AQ1889" s="50"/>
      <c r="AR1889" s="50"/>
      <c r="AS1889" s="50"/>
      <c r="AT1889" s="51"/>
      <c r="AU1889" s="51"/>
      <c r="AV1889" s="51"/>
      <c r="AW1889" s="51"/>
      <c r="AX1889" s="50"/>
      <c r="AY1889" s="50"/>
      <c r="AZ1889" s="50"/>
      <c r="BA1889" s="50"/>
      <c r="BB1889" s="51"/>
      <c r="BC1889" s="51"/>
      <c r="BD1889" s="51"/>
      <c r="BE1889" s="51"/>
      <c r="BF1889" s="47"/>
      <c r="BG1889" s="47"/>
      <c r="BH1889" s="47"/>
      <c r="BI1889" s="47"/>
      <c r="BJ1889" s="47"/>
      <c r="BK1889" s="47"/>
      <c r="BL1889" s="47"/>
      <c r="BM1889" s="47"/>
      <c r="BN1889" s="47"/>
      <c r="BO1889" s="47"/>
      <c r="BP1889" s="47"/>
      <c r="BQ1889" s="47"/>
      <c r="BR1889" s="47"/>
      <c r="BS1889" s="47"/>
      <c r="BT1889" s="47"/>
    </row>
    <row r="1890">
      <c r="A1890" s="24"/>
      <c r="B1890" s="48"/>
      <c r="C1890" s="49"/>
      <c r="D1890" s="24"/>
      <c r="E1890" s="52"/>
      <c r="F1890" s="53"/>
      <c r="G1890" s="48"/>
      <c r="H1890" s="49"/>
      <c r="I1890" s="49"/>
      <c r="J1890" s="48"/>
      <c r="K1890" s="48"/>
      <c r="L1890" s="48"/>
      <c r="M1890" s="48"/>
      <c r="N1890" s="48"/>
      <c r="O1890" s="48"/>
      <c r="P1890" s="48"/>
      <c r="Q1890" s="48"/>
      <c r="R1890" s="48"/>
      <c r="S1890" s="48"/>
      <c r="T1890" s="48"/>
      <c r="U1890" s="48"/>
      <c r="V1890" s="48"/>
      <c r="W1890" s="49"/>
      <c r="X1890" s="49"/>
      <c r="Y1890" s="49"/>
      <c r="Z1890" s="49"/>
      <c r="AA1890" s="49"/>
      <c r="AB1890" s="49"/>
      <c r="AC1890" s="49"/>
      <c r="AD1890" s="49"/>
      <c r="AE1890" s="49"/>
      <c r="AF1890" s="49"/>
      <c r="AG1890" s="49"/>
      <c r="AH1890" s="49"/>
      <c r="AI1890" s="48"/>
      <c r="AJ1890" s="48"/>
      <c r="AK1890" s="24"/>
      <c r="AL1890" s="50"/>
      <c r="AM1890" s="50"/>
      <c r="AN1890" s="50"/>
      <c r="AO1890" s="50"/>
      <c r="AP1890" s="50"/>
      <c r="AQ1890" s="50"/>
      <c r="AR1890" s="50"/>
      <c r="AS1890" s="50"/>
      <c r="AT1890" s="51"/>
      <c r="AU1890" s="51"/>
      <c r="AV1890" s="51"/>
      <c r="AW1890" s="51"/>
      <c r="AX1890" s="50"/>
      <c r="AY1890" s="50"/>
      <c r="AZ1890" s="50"/>
      <c r="BA1890" s="50"/>
      <c r="BB1890" s="51"/>
      <c r="BC1890" s="51"/>
      <c r="BD1890" s="51"/>
      <c r="BE1890" s="51"/>
      <c r="BF1890" s="47"/>
      <c r="BG1890" s="47"/>
      <c r="BH1890" s="47"/>
      <c r="BI1890" s="47"/>
      <c r="BJ1890" s="47"/>
      <c r="BK1890" s="47"/>
      <c r="BL1890" s="47"/>
      <c r="BM1890" s="47"/>
      <c r="BN1890" s="47"/>
      <c r="BO1890" s="47"/>
      <c r="BP1890" s="47"/>
      <c r="BQ1890" s="47"/>
      <c r="BR1890" s="47"/>
      <c r="BS1890" s="47"/>
      <c r="BT1890" s="47"/>
    </row>
    <row r="1891">
      <c r="A1891" s="24"/>
      <c r="B1891" s="48"/>
      <c r="C1891" s="49"/>
      <c r="D1891" s="24"/>
      <c r="E1891" s="52"/>
      <c r="F1891" s="53"/>
      <c r="G1891" s="48"/>
      <c r="H1891" s="49"/>
      <c r="I1891" s="49"/>
      <c r="J1891" s="48"/>
      <c r="K1891" s="48"/>
      <c r="L1891" s="48"/>
      <c r="M1891" s="48"/>
      <c r="N1891" s="48"/>
      <c r="O1891" s="48"/>
      <c r="P1891" s="48"/>
      <c r="Q1891" s="48"/>
      <c r="R1891" s="48"/>
      <c r="S1891" s="48"/>
      <c r="T1891" s="48"/>
      <c r="U1891" s="48"/>
      <c r="V1891" s="48"/>
      <c r="W1891" s="49"/>
      <c r="X1891" s="49"/>
      <c r="Y1891" s="49"/>
      <c r="Z1891" s="49"/>
      <c r="AA1891" s="49"/>
      <c r="AB1891" s="49"/>
      <c r="AC1891" s="49"/>
      <c r="AD1891" s="49"/>
      <c r="AE1891" s="49"/>
      <c r="AF1891" s="49"/>
      <c r="AG1891" s="49"/>
      <c r="AH1891" s="49"/>
      <c r="AI1891" s="48"/>
      <c r="AJ1891" s="48"/>
      <c r="AK1891" s="24"/>
      <c r="AL1891" s="50"/>
      <c r="AM1891" s="50"/>
      <c r="AN1891" s="50"/>
      <c r="AO1891" s="50"/>
      <c r="AP1891" s="50"/>
      <c r="AQ1891" s="50"/>
      <c r="AR1891" s="50"/>
      <c r="AS1891" s="50"/>
      <c r="AT1891" s="51"/>
      <c r="AU1891" s="51"/>
      <c r="AV1891" s="51"/>
      <c r="AW1891" s="51"/>
      <c r="AX1891" s="50"/>
      <c r="AY1891" s="50"/>
      <c r="AZ1891" s="50"/>
      <c r="BA1891" s="50"/>
      <c r="BB1891" s="51"/>
      <c r="BC1891" s="51"/>
      <c r="BD1891" s="51"/>
      <c r="BE1891" s="51"/>
      <c r="BF1891" s="47"/>
      <c r="BG1891" s="47"/>
      <c r="BH1891" s="47"/>
      <c r="BI1891" s="47"/>
      <c r="BJ1891" s="47"/>
      <c r="BK1891" s="47"/>
      <c r="BL1891" s="47"/>
      <c r="BM1891" s="47"/>
      <c r="BN1891" s="47"/>
      <c r="BO1891" s="47"/>
      <c r="BP1891" s="47"/>
      <c r="BQ1891" s="47"/>
      <c r="BR1891" s="47"/>
      <c r="BS1891" s="47"/>
      <c r="BT1891" s="47"/>
    </row>
    <row r="1892">
      <c r="A1892" s="24"/>
      <c r="B1892" s="48"/>
      <c r="C1892" s="49"/>
      <c r="D1892" s="24"/>
      <c r="E1892" s="52"/>
      <c r="F1892" s="53"/>
      <c r="G1892" s="48"/>
      <c r="H1892" s="49"/>
      <c r="I1892" s="49"/>
      <c r="J1892" s="48"/>
      <c r="K1892" s="48"/>
      <c r="L1892" s="48"/>
      <c r="M1892" s="48"/>
      <c r="N1892" s="48"/>
      <c r="O1892" s="48"/>
      <c r="P1892" s="48"/>
      <c r="Q1892" s="48"/>
      <c r="R1892" s="48"/>
      <c r="S1892" s="48"/>
      <c r="T1892" s="48"/>
      <c r="U1892" s="48"/>
      <c r="V1892" s="48"/>
      <c r="W1892" s="49"/>
      <c r="X1892" s="49"/>
      <c r="Y1892" s="49"/>
      <c r="Z1892" s="49"/>
      <c r="AA1892" s="49"/>
      <c r="AB1892" s="49"/>
      <c r="AC1892" s="49"/>
      <c r="AD1892" s="49"/>
      <c r="AE1892" s="49"/>
      <c r="AF1892" s="49"/>
      <c r="AG1892" s="49"/>
      <c r="AH1892" s="49"/>
      <c r="AI1892" s="48"/>
      <c r="AJ1892" s="48"/>
      <c r="AK1892" s="24"/>
      <c r="AL1892" s="50"/>
      <c r="AM1892" s="50"/>
      <c r="AN1892" s="50"/>
      <c r="AO1892" s="50"/>
      <c r="AP1892" s="50"/>
      <c r="AQ1892" s="50"/>
      <c r="AR1892" s="50"/>
      <c r="AS1892" s="50"/>
      <c r="AT1892" s="51"/>
      <c r="AU1892" s="51"/>
      <c r="AV1892" s="51"/>
      <c r="AW1892" s="51"/>
      <c r="AX1892" s="50"/>
      <c r="AY1892" s="50"/>
      <c r="AZ1892" s="50"/>
      <c r="BA1892" s="50"/>
      <c r="BB1892" s="51"/>
      <c r="BC1892" s="51"/>
      <c r="BD1892" s="51"/>
      <c r="BE1892" s="51"/>
      <c r="BF1892" s="47"/>
      <c r="BG1892" s="47"/>
      <c r="BH1892" s="47"/>
      <c r="BI1892" s="47"/>
      <c r="BJ1892" s="47"/>
      <c r="BK1892" s="47"/>
      <c r="BL1892" s="47"/>
      <c r="BM1892" s="47"/>
      <c r="BN1892" s="47"/>
      <c r="BO1892" s="47"/>
      <c r="BP1892" s="47"/>
      <c r="BQ1892" s="47"/>
      <c r="BR1892" s="47"/>
      <c r="BS1892" s="47"/>
      <c r="BT1892" s="47"/>
    </row>
    <row r="1893">
      <c r="A1893" s="24"/>
      <c r="B1893" s="48"/>
      <c r="C1893" s="49"/>
      <c r="D1893" s="24"/>
      <c r="E1893" s="52"/>
      <c r="F1893" s="53"/>
      <c r="G1893" s="48"/>
      <c r="H1893" s="49"/>
      <c r="I1893" s="49"/>
      <c r="J1893" s="48"/>
      <c r="K1893" s="48"/>
      <c r="L1893" s="48"/>
      <c r="M1893" s="48"/>
      <c r="N1893" s="48"/>
      <c r="O1893" s="48"/>
      <c r="P1893" s="48"/>
      <c r="Q1893" s="48"/>
      <c r="R1893" s="48"/>
      <c r="S1893" s="48"/>
      <c r="T1893" s="48"/>
      <c r="U1893" s="48"/>
      <c r="V1893" s="48"/>
      <c r="W1893" s="49"/>
      <c r="X1893" s="49"/>
      <c r="Y1893" s="49"/>
      <c r="Z1893" s="49"/>
      <c r="AA1893" s="49"/>
      <c r="AB1893" s="49"/>
      <c r="AC1893" s="49"/>
      <c r="AD1893" s="49"/>
      <c r="AE1893" s="49"/>
      <c r="AF1893" s="49"/>
      <c r="AG1893" s="49"/>
      <c r="AH1893" s="49"/>
      <c r="AI1893" s="48"/>
      <c r="AJ1893" s="48"/>
      <c r="AK1893" s="24"/>
      <c r="AL1893" s="50"/>
      <c r="AM1893" s="50"/>
      <c r="AN1893" s="50"/>
      <c r="AO1893" s="50"/>
      <c r="AP1893" s="50"/>
      <c r="AQ1893" s="50"/>
      <c r="AR1893" s="50"/>
      <c r="AS1893" s="50"/>
      <c r="AT1893" s="51"/>
      <c r="AU1893" s="51"/>
      <c r="AV1893" s="51"/>
      <c r="AW1893" s="51"/>
      <c r="AX1893" s="50"/>
      <c r="AY1893" s="50"/>
      <c r="AZ1893" s="50"/>
      <c r="BA1893" s="50"/>
      <c r="BB1893" s="51"/>
      <c r="BC1893" s="51"/>
      <c r="BD1893" s="51"/>
      <c r="BE1893" s="51"/>
      <c r="BF1893" s="47"/>
      <c r="BG1893" s="47"/>
      <c r="BH1893" s="47"/>
      <c r="BI1893" s="47"/>
      <c r="BJ1893" s="47"/>
      <c r="BK1893" s="47"/>
      <c r="BL1893" s="47"/>
      <c r="BM1893" s="47"/>
      <c r="BN1893" s="47"/>
      <c r="BO1893" s="47"/>
      <c r="BP1893" s="47"/>
      <c r="BQ1893" s="47"/>
      <c r="BR1893" s="47"/>
      <c r="BS1893" s="47"/>
      <c r="BT1893" s="47"/>
    </row>
    <row r="1894">
      <c r="A1894" s="24"/>
      <c r="B1894" s="48"/>
      <c r="C1894" s="49"/>
      <c r="D1894" s="24"/>
      <c r="E1894" s="52"/>
      <c r="F1894" s="53"/>
      <c r="G1894" s="48"/>
      <c r="H1894" s="49"/>
      <c r="I1894" s="49"/>
      <c r="J1894" s="48"/>
      <c r="K1894" s="48"/>
      <c r="L1894" s="48"/>
      <c r="M1894" s="48"/>
      <c r="N1894" s="48"/>
      <c r="O1894" s="48"/>
      <c r="P1894" s="48"/>
      <c r="Q1894" s="48"/>
      <c r="R1894" s="48"/>
      <c r="S1894" s="48"/>
      <c r="T1894" s="48"/>
      <c r="U1894" s="48"/>
      <c r="V1894" s="48"/>
      <c r="W1894" s="49"/>
      <c r="X1894" s="49"/>
      <c r="Y1894" s="49"/>
      <c r="Z1894" s="49"/>
      <c r="AA1894" s="49"/>
      <c r="AB1894" s="49"/>
      <c r="AC1894" s="49"/>
      <c r="AD1894" s="49"/>
      <c r="AE1894" s="49"/>
      <c r="AF1894" s="49"/>
      <c r="AG1894" s="49"/>
      <c r="AH1894" s="49"/>
      <c r="AI1894" s="48"/>
      <c r="AJ1894" s="48"/>
      <c r="AK1894" s="24"/>
      <c r="AL1894" s="50"/>
      <c r="AM1894" s="50"/>
      <c r="AN1894" s="50"/>
      <c r="AO1894" s="50"/>
      <c r="AP1894" s="50"/>
      <c r="AQ1894" s="50"/>
      <c r="AR1894" s="50"/>
      <c r="AS1894" s="50"/>
      <c r="AT1894" s="51"/>
      <c r="AU1894" s="51"/>
      <c r="AV1894" s="51"/>
      <c r="AW1894" s="51"/>
      <c r="AX1894" s="50"/>
      <c r="AY1894" s="50"/>
      <c r="AZ1894" s="50"/>
      <c r="BA1894" s="50"/>
      <c r="BB1894" s="51"/>
      <c r="BC1894" s="51"/>
      <c r="BD1894" s="51"/>
      <c r="BE1894" s="51"/>
      <c r="BF1894" s="47"/>
      <c r="BG1894" s="47"/>
      <c r="BH1894" s="47"/>
      <c r="BI1894" s="47"/>
      <c r="BJ1894" s="47"/>
      <c r="BK1894" s="47"/>
      <c r="BL1894" s="47"/>
      <c r="BM1894" s="47"/>
      <c r="BN1894" s="47"/>
      <c r="BO1894" s="47"/>
      <c r="BP1894" s="47"/>
      <c r="BQ1894" s="47"/>
      <c r="BR1894" s="47"/>
      <c r="BS1894" s="47"/>
      <c r="BT1894" s="47"/>
    </row>
    <row r="1895">
      <c r="A1895" s="24"/>
      <c r="B1895" s="48"/>
      <c r="C1895" s="49"/>
      <c r="D1895" s="24"/>
      <c r="E1895" s="52"/>
      <c r="F1895" s="53"/>
      <c r="G1895" s="48"/>
      <c r="H1895" s="49"/>
      <c r="I1895" s="49"/>
      <c r="J1895" s="48"/>
      <c r="K1895" s="48"/>
      <c r="L1895" s="48"/>
      <c r="M1895" s="48"/>
      <c r="N1895" s="48"/>
      <c r="O1895" s="48"/>
      <c r="P1895" s="48"/>
      <c r="Q1895" s="48"/>
      <c r="R1895" s="48"/>
      <c r="S1895" s="48"/>
      <c r="T1895" s="48"/>
      <c r="U1895" s="48"/>
      <c r="V1895" s="48"/>
      <c r="W1895" s="49"/>
      <c r="X1895" s="49"/>
      <c r="Y1895" s="49"/>
      <c r="Z1895" s="49"/>
      <c r="AA1895" s="49"/>
      <c r="AB1895" s="49"/>
      <c r="AC1895" s="49"/>
      <c r="AD1895" s="49"/>
      <c r="AE1895" s="49"/>
      <c r="AF1895" s="49"/>
      <c r="AG1895" s="49"/>
      <c r="AH1895" s="49"/>
      <c r="AI1895" s="48"/>
      <c r="AJ1895" s="48"/>
      <c r="AK1895" s="24"/>
      <c r="AL1895" s="50"/>
      <c r="AM1895" s="50"/>
      <c r="AN1895" s="50"/>
      <c r="AO1895" s="50"/>
      <c r="AP1895" s="50"/>
      <c r="AQ1895" s="50"/>
      <c r="AR1895" s="50"/>
      <c r="AS1895" s="50"/>
      <c r="AT1895" s="51"/>
      <c r="AU1895" s="51"/>
      <c r="AV1895" s="51"/>
      <c r="AW1895" s="51"/>
      <c r="AX1895" s="50"/>
      <c r="AY1895" s="50"/>
      <c r="AZ1895" s="50"/>
      <c r="BA1895" s="50"/>
      <c r="BB1895" s="51"/>
      <c r="BC1895" s="51"/>
      <c r="BD1895" s="51"/>
      <c r="BE1895" s="51"/>
      <c r="BF1895" s="47"/>
      <c r="BG1895" s="47"/>
      <c r="BH1895" s="47"/>
      <c r="BI1895" s="47"/>
      <c r="BJ1895" s="47"/>
      <c r="BK1895" s="47"/>
      <c r="BL1895" s="47"/>
      <c r="BM1895" s="47"/>
      <c r="BN1895" s="47"/>
      <c r="BO1895" s="47"/>
      <c r="BP1895" s="47"/>
      <c r="BQ1895" s="47"/>
      <c r="BR1895" s="47"/>
      <c r="BS1895" s="47"/>
      <c r="BT1895" s="47"/>
    </row>
    <row r="1896">
      <c r="A1896" s="24"/>
      <c r="B1896" s="48"/>
      <c r="C1896" s="49"/>
      <c r="D1896" s="24"/>
      <c r="E1896" s="52"/>
      <c r="F1896" s="53"/>
      <c r="G1896" s="48"/>
      <c r="H1896" s="49"/>
      <c r="I1896" s="49"/>
      <c r="J1896" s="48"/>
      <c r="K1896" s="48"/>
      <c r="L1896" s="48"/>
      <c r="M1896" s="48"/>
      <c r="N1896" s="48"/>
      <c r="O1896" s="48"/>
      <c r="P1896" s="48"/>
      <c r="Q1896" s="48"/>
      <c r="R1896" s="48"/>
      <c r="S1896" s="48"/>
      <c r="T1896" s="48"/>
      <c r="U1896" s="48"/>
      <c r="V1896" s="48"/>
      <c r="W1896" s="49"/>
      <c r="X1896" s="49"/>
      <c r="Y1896" s="49"/>
      <c r="Z1896" s="49"/>
      <c r="AA1896" s="49"/>
      <c r="AB1896" s="49"/>
      <c r="AC1896" s="49"/>
      <c r="AD1896" s="49"/>
      <c r="AE1896" s="49"/>
      <c r="AF1896" s="49"/>
      <c r="AG1896" s="49"/>
      <c r="AH1896" s="49"/>
      <c r="AI1896" s="48"/>
      <c r="AJ1896" s="48"/>
      <c r="AK1896" s="24"/>
      <c r="AL1896" s="50"/>
      <c r="AM1896" s="50"/>
      <c r="AN1896" s="50"/>
      <c r="AO1896" s="50"/>
      <c r="AP1896" s="50"/>
      <c r="AQ1896" s="50"/>
      <c r="AR1896" s="50"/>
      <c r="AS1896" s="50"/>
      <c r="AT1896" s="51"/>
      <c r="AU1896" s="51"/>
      <c r="AV1896" s="51"/>
      <c r="AW1896" s="51"/>
      <c r="AX1896" s="50"/>
      <c r="AY1896" s="50"/>
      <c r="AZ1896" s="50"/>
      <c r="BA1896" s="50"/>
      <c r="BB1896" s="51"/>
      <c r="BC1896" s="51"/>
      <c r="BD1896" s="51"/>
      <c r="BE1896" s="51"/>
      <c r="BF1896" s="47"/>
      <c r="BG1896" s="47"/>
      <c r="BH1896" s="47"/>
      <c r="BI1896" s="47"/>
      <c r="BJ1896" s="47"/>
      <c r="BK1896" s="47"/>
      <c r="BL1896" s="47"/>
      <c r="BM1896" s="47"/>
      <c r="BN1896" s="47"/>
      <c r="BO1896" s="47"/>
      <c r="BP1896" s="47"/>
      <c r="BQ1896" s="47"/>
      <c r="BR1896" s="47"/>
      <c r="BS1896" s="47"/>
      <c r="BT1896" s="47"/>
    </row>
    <row r="1897">
      <c r="A1897" s="24"/>
      <c r="B1897" s="48"/>
      <c r="C1897" s="49"/>
      <c r="D1897" s="24"/>
      <c r="E1897" s="52"/>
      <c r="F1897" s="53"/>
      <c r="G1897" s="48"/>
      <c r="H1897" s="49"/>
      <c r="I1897" s="49"/>
      <c r="J1897" s="48"/>
      <c r="K1897" s="48"/>
      <c r="L1897" s="48"/>
      <c r="M1897" s="48"/>
      <c r="N1897" s="48"/>
      <c r="O1897" s="48"/>
      <c r="P1897" s="48"/>
      <c r="Q1897" s="48"/>
      <c r="R1897" s="48"/>
      <c r="S1897" s="48"/>
      <c r="T1897" s="48"/>
      <c r="U1897" s="48"/>
      <c r="V1897" s="48"/>
      <c r="W1897" s="49"/>
      <c r="X1897" s="49"/>
      <c r="Y1897" s="49"/>
      <c r="Z1897" s="49"/>
      <c r="AA1897" s="49"/>
      <c r="AB1897" s="49"/>
      <c r="AC1897" s="49"/>
      <c r="AD1897" s="49"/>
      <c r="AE1897" s="49"/>
      <c r="AF1897" s="49"/>
      <c r="AG1897" s="49"/>
      <c r="AH1897" s="49"/>
      <c r="AI1897" s="48"/>
      <c r="AJ1897" s="48"/>
      <c r="AK1897" s="24"/>
      <c r="AL1897" s="50"/>
      <c r="AM1897" s="50"/>
      <c r="AN1897" s="50"/>
      <c r="AO1897" s="50"/>
      <c r="AP1897" s="50"/>
      <c r="AQ1897" s="50"/>
      <c r="AR1897" s="50"/>
      <c r="AS1897" s="50"/>
      <c r="AT1897" s="51"/>
      <c r="AU1897" s="51"/>
      <c r="AV1897" s="51"/>
      <c r="AW1897" s="51"/>
      <c r="AX1897" s="50"/>
      <c r="AY1897" s="50"/>
      <c r="AZ1897" s="50"/>
      <c r="BA1897" s="50"/>
      <c r="BB1897" s="51"/>
      <c r="BC1897" s="51"/>
      <c r="BD1897" s="51"/>
      <c r="BE1897" s="51"/>
      <c r="BF1897" s="47"/>
      <c r="BG1897" s="47"/>
      <c r="BH1897" s="47"/>
      <c r="BI1897" s="47"/>
      <c r="BJ1897" s="47"/>
      <c r="BK1897" s="47"/>
      <c r="BL1897" s="47"/>
      <c r="BM1897" s="47"/>
      <c r="BN1897" s="47"/>
      <c r="BO1897" s="47"/>
      <c r="BP1897" s="47"/>
      <c r="BQ1897" s="47"/>
      <c r="BR1897" s="47"/>
      <c r="BS1897" s="47"/>
      <c r="BT1897" s="47"/>
    </row>
    <row r="1898">
      <c r="A1898" s="24"/>
      <c r="B1898" s="48"/>
      <c r="C1898" s="49"/>
      <c r="D1898" s="24"/>
      <c r="E1898" s="52"/>
      <c r="F1898" s="53"/>
      <c r="G1898" s="48"/>
      <c r="H1898" s="49"/>
      <c r="I1898" s="49"/>
      <c r="J1898" s="48"/>
      <c r="K1898" s="48"/>
      <c r="L1898" s="48"/>
      <c r="M1898" s="48"/>
      <c r="N1898" s="48"/>
      <c r="O1898" s="48"/>
      <c r="P1898" s="48"/>
      <c r="Q1898" s="48"/>
      <c r="R1898" s="48"/>
      <c r="S1898" s="48"/>
      <c r="T1898" s="48"/>
      <c r="U1898" s="48"/>
      <c r="V1898" s="48"/>
      <c r="W1898" s="49"/>
      <c r="X1898" s="49"/>
      <c r="Y1898" s="49"/>
      <c r="Z1898" s="49"/>
      <c r="AA1898" s="49"/>
      <c r="AB1898" s="49"/>
      <c r="AC1898" s="49"/>
      <c r="AD1898" s="49"/>
      <c r="AE1898" s="49"/>
      <c r="AF1898" s="49"/>
      <c r="AG1898" s="49"/>
      <c r="AH1898" s="49"/>
      <c r="AI1898" s="48"/>
      <c r="AJ1898" s="48"/>
      <c r="AK1898" s="24"/>
      <c r="AL1898" s="50"/>
      <c r="AM1898" s="50"/>
      <c r="AN1898" s="50"/>
      <c r="AO1898" s="50"/>
      <c r="AP1898" s="50"/>
      <c r="AQ1898" s="50"/>
      <c r="AR1898" s="50"/>
      <c r="AS1898" s="50"/>
      <c r="AT1898" s="51"/>
      <c r="AU1898" s="51"/>
      <c r="AV1898" s="51"/>
      <c r="AW1898" s="51"/>
      <c r="AX1898" s="50"/>
      <c r="AY1898" s="50"/>
      <c r="AZ1898" s="50"/>
      <c r="BA1898" s="50"/>
      <c r="BB1898" s="51"/>
      <c r="BC1898" s="51"/>
      <c r="BD1898" s="51"/>
      <c r="BE1898" s="51"/>
      <c r="BF1898" s="47"/>
      <c r="BG1898" s="47"/>
      <c r="BH1898" s="47"/>
      <c r="BI1898" s="47"/>
      <c r="BJ1898" s="47"/>
      <c r="BK1898" s="47"/>
      <c r="BL1898" s="47"/>
      <c r="BM1898" s="47"/>
      <c r="BN1898" s="47"/>
      <c r="BO1898" s="47"/>
      <c r="BP1898" s="47"/>
      <c r="BQ1898" s="47"/>
      <c r="BR1898" s="47"/>
      <c r="BS1898" s="47"/>
      <c r="BT1898" s="47"/>
    </row>
    <row r="1899">
      <c r="A1899" s="24"/>
      <c r="B1899" s="48"/>
      <c r="C1899" s="49"/>
      <c r="D1899" s="24"/>
      <c r="E1899" s="52"/>
      <c r="F1899" s="53"/>
      <c r="G1899" s="48"/>
      <c r="H1899" s="49"/>
      <c r="I1899" s="49"/>
      <c r="J1899" s="48"/>
      <c r="K1899" s="48"/>
      <c r="L1899" s="48"/>
      <c r="M1899" s="48"/>
      <c r="N1899" s="48"/>
      <c r="O1899" s="48"/>
      <c r="P1899" s="48"/>
      <c r="Q1899" s="48"/>
      <c r="R1899" s="48"/>
      <c r="S1899" s="48"/>
      <c r="T1899" s="48"/>
      <c r="U1899" s="48"/>
      <c r="V1899" s="48"/>
      <c r="W1899" s="49"/>
      <c r="X1899" s="49"/>
      <c r="Y1899" s="49"/>
      <c r="Z1899" s="49"/>
      <c r="AA1899" s="49"/>
      <c r="AB1899" s="49"/>
      <c r="AC1899" s="49"/>
      <c r="AD1899" s="49"/>
      <c r="AE1899" s="49"/>
      <c r="AF1899" s="49"/>
      <c r="AG1899" s="49"/>
      <c r="AH1899" s="49"/>
      <c r="AI1899" s="48"/>
      <c r="AJ1899" s="48"/>
      <c r="AK1899" s="24"/>
      <c r="AL1899" s="50"/>
      <c r="AM1899" s="50"/>
      <c r="AN1899" s="50"/>
      <c r="AO1899" s="50"/>
      <c r="AP1899" s="50"/>
      <c r="AQ1899" s="50"/>
      <c r="AR1899" s="50"/>
      <c r="AS1899" s="50"/>
      <c r="AT1899" s="51"/>
      <c r="AU1899" s="51"/>
      <c r="AV1899" s="51"/>
      <c r="AW1899" s="51"/>
      <c r="AX1899" s="50"/>
      <c r="AY1899" s="50"/>
      <c r="AZ1899" s="50"/>
      <c r="BA1899" s="50"/>
      <c r="BB1899" s="51"/>
      <c r="BC1899" s="51"/>
      <c r="BD1899" s="51"/>
      <c r="BE1899" s="51"/>
      <c r="BF1899" s="47"/>
      <c r="BG1899" s="47"/>
      <c r="BH1899" s="47"/>
      <c r="BI1899" s="47"/>
      <c r="BJ1899" s="47"/>
      <c r="BK1899" s="47"/>
      <c r="BL1899" s="47"/>
      <c r="BM1899" s="47"/>
      <c r="BN1899" s="47"/>
      <c r="BO1899" s="47"/>
      <c r="BP1899" s="47"/>
      <c r="BQ1899" s="47"/>
      <c r="BR1899" s="47"/>
      <c r="BS1899" s="47"/>
      <c r="BT1899" s="47"/>
    </row>
    <row r="1900">
      <c r="A1900" s="24"/>
      <c r="B1900" s="48"/>
      <c r="C1900" s="49"/>
      <c r="D1900" s="24"/>
      <c r="E1900" s="52"/>
      <c r="F1900" s="53"/>
      <c r="G1900" s="48"/>
      <c r="H1900" s="49"/>
      <c r="I1900" s="49"/>
      <c r="J1900" s="48"/>
      <c r="K1900" s="48"/>
      <c r="L1900" s="48"/>
      <c r="M1900" s="48"/>
      <c r="N1900" s="48"/>
      <c r="O1900" s="48"/>
      <c r="P1900" s="48"/>
      <c r="Q1900" s="48"/>
      <c r="R1900" s="48"/>
      <c r="S1900" s="48"/>
      <c r="T1900" s="48"/>
      <c r="U1900" s="48"/>
      <c r="V1900" s="48"/>
      <c r="W1900" s="49"/>
      <c r="X1900" s="49"/>
      <c r="Y1900" s="49"/>
      <c r="Z1900" s="49"/>
      <c r="AA1900" s="49"/>
      <c r="AB1900" s="49"/>
      <c r="AC1900" s="49"/>
      <c r="AD1900" s="49"/>
      <c r="AE1900" s="49"/>
      <c r="AF1900" s="49"/>
      <c r="AG1900" s="49"/>
      <c r="AH1900" s="49"/>
      <c r="AI1900" s="48"/>
      <c r="AJ1900" s="48"/>
      <c r="AK1900" s="24"/>
      <c r="AL1900" s="50"/>
      <c r="AM1900" s="50"/>
      <c r="AN1900" s="50"/>
      <c r="AO1900" s="50"/>
      <c r="AP1900" s="50"/>
      <c r="AQ1900" s="50"/>
      <c r="AR1900" s="50"/>
      <c r="AS1900" s="50"/>
      <c r="AT1900" s="51"/>
      <c r="AU1900" s="51"/>
      <c r="AV1900" s="51"/>
      <c r="AW1900" s="51"/>
      <c r="AX1900" s="50"/>
      <c r="AY1900" s="50"/>
      <c r="AZ1900" s="50"/>
      <c r="BA1900" s="50"/>
      <c r="BB1900" s="51"/>
      <c r="BC1900" s="51"/>
      <c r="BD1900" s="51"/>
      <c r="BE1900" s="51"/>
      <c r="BF1900" s="47"/>
      <c r="BG1900" s="47"/>
      <c r="BH1900" s="47"/>
      <c r="BI1900" s="47"/>
      <c r="BJ1900" s="47"/>
      <c r="BK1900" s="47"/>
      <c r="BL1900" s="47"/>
      <c r="BM1900" s="47"/>
      <c r="BN1900" s="47"/>
      <c r="BO1900" s="47"/>
      <c r="BP1900" s="47"/>
      <c r="BQ1900" s="47"/>
      <c r="BR1900" s="47"/>
      <c r="BS1900" s="47"/>
      <c r="BT1900" s="47"/>
    </row>
    <row r="1901">
      <c r="A1901" s="24"/>
      <c r="B1901" s="48"/>
      <c r="C1901" s="49"/>
      <c r="D1901" s="24"/>
      <c r="E1901" s="52"/>
      <c r="F1901" s="53"/>
      <c r="G1901" s="48"/>
      <c r="H1901" s="49"/>
      <c r="I1901" s="49"/>
      <c r="J1901" s="48"/>
      <c r="K1901" s="48"/>
      <c r="L1901" s="48"/>
      <c r="M1901" s="48"/>
      <c r="N1901" s="48"/>
      <c r="O1901" s="48"/>
      <c r="P1901" s="48"/>
      <c r="Q1901" s="48"/>
      <c r="R1901" s="48"/>
      <c r="S1901" s="48"/>
      <c r="T1901" s="48"/>
      <c r="U1901" s="48"/>
      <c r="V1901" s="48"/>
      <c r="W1901" s="49"/>
      <c r="X1901" s="49"/>
      <c r="Y1901" s="49"/>
      <c r="Z1901" s="49"/>
      <c r="AA1901" s="49"/>
      <c r="AB1901" s="49"/>
      <c r="AC1901" s="49"/>
      <c r="AD1901" s="49"/>
      <c r="AE1901" s="49"/>
      <c r="AF1901" s="49"/>
      <c r="AG1901" s="49"/>
      <c r="AH1901" s="49"/>
      <c r="AI1901" s="48"/>
      <c r="AJ1901" s="48"/>
      <c r="AK1901" s="24"/>
      <c r="AL1901" s="50"/>
      <c r="AM1901" s="50"/>
      <c r="AN1901" s="50"/>
      <c r="AO1901" s="50"/>
      <c r="AP1901" s="50"/>
      <c r="AQ1901" s="50"/>
      <c r="AR1901" s="50"/>
      <c r="AS1901" s="50"/>
      <c r="AT1901" s="51"/>
      <c r="AU1901" s="51"/>
      <c r="AV1901" s="51"/>
      <c r="AW1901" s="51"/>
      <c r="AX1901" s="50"/>
      <c r="AY1901" s="50"/>
      <c r="AZ1901" s="50"/>
      <c r="BA1901" s="50"/>
      <c r="BB1901" s="51"/>
      <c r="BC1901" s="51"/>
      <c r="BD1901" s="51"/>
      <c r="BE1901" s="51"/>
      <c r="BF1901" s="47"/>
      <c r="BG1901" s="47"/>
      <c r="BH1901" s="47"/>
      <c r="BI1901" s="47"/>
      <c r="BJ1901" s="47"/>
      <c r="BK1901" s="47"/>
      <c r="BL1901" s="47"/>
      <c r="BM1901" s="47"/>
      <c r="BN1901" s="47"/>
      <c r="BO1901" s="47"/>
      <c r="BP1901" s="47"/>
      <c r="BQ1901" s="47"/>
      <c r="BR1901" s="47"/>
      <c r="BS1901" s="47"/>
      <c r="BT1901" s="47"/>
    </row>
    <row r="1902">
      <c r="A1902" s="24"/>
      <c r="B1902" s="48"/>
      <c r="C1902" s="49"/>
      <c r="D1902" s="24"/>
      <c r="E1902" s="52"/>
      <c r="F1902" s="53"/>
      <c r="G1902" s="48"/>
      <c r="H1902" s="49"/>
      <c r="I1902" s="49"/>
      <c r="J1902" s="48"/>
      <c r="K1902" s="48"/>
      <c r="L1902" s="48"/>
      <c r="M1902" s="48"/>
      <c r="N1902" s="48"/>
      <c r="O1902" s="48"/>
      <c r="P1902" s="48"/>
      <c r="Q1902" s="48"/>
      <c r="R1902" s="48"/>
      <c r="S1902" s="48"/>
      <c r="T1902" s="48"/>
      <c r="U1902" s="48"/>
      <c r="V1902" s="48"/>
      <c r="W1902" s="49"/>
      <c r="X1902" s="49"/>
      <c r="Y1902" s="49"/>
      <c r="Z1902" s="49"/>
      <c r="AA1902" s="49"/>
      <c r="AB1902" s="49"/>
      <c r="AC1902" s="49"/>
      <c r="AD1902" s="49"/>
      <c r="AE1902" s="49"/>
      <c r="AF1902" s="49"/>
      <c r="AG1902" s="49"/>
      <c r="AH1902" s="49"/>
      <c r="AI1902" s="48"/>
      <c r="AJ1902" s="48"/>
      <c r="AK1902" s="24"/>
      <c r="AL1902" s="50"/>
      <c r="AM1902" s="50"/>
      <c r="AN1902" s="50"/>
      <c r="AO1902" s="50"/>
      <c r="AP1902" s="50"/>
      <c r="AQ1902" s="50"/>
      <c r="AR1902" s="50"/>
      <c r="AS1902" s="50"/>
      <c r="AT1902" s="51"/>
      <c r="AU1902" s="51"/>
      <c r="AV1902" s="51"/>
      <c r="AW1902" s="51"/>
      <c r="AX1902" s="50"/>
      <c r="AY1902" s="50"/>
      <c r="AZ1902" s="50"/>
      <c r="BA1902" s="50"/>
      <c r="BB1902" s="51"/>
      <c r="BC1902" s="51"/>
      <c r="BD1902" s="51"/>
      <c r="BE1902" s="51"/>
      <c r="BF1902" s="47"/>
      <c r="BG1902" s="47"/>
      <c r="BH1902" s="47"/>
      <c r="BI1902" s="47"/>
      <c r="BJ1902" s="47"/>
      <c r="BK1902" s="47"/>
      <c r="BL1902" s="47"/>
      <c r="BM1902" s="47"/>
      <c r="BN1902" s="47"/>
      <c r="BO1902" s="47"/>
      <c r="BP1902" s="47"/>
      <c r="BQ1902" s="47"/>
      <c r="BR1902" s="47"/>
      <c r="BS1902" s="47"/>
      <c r="BT1902" s="47"/>
    </row>
    <row r="1903">
      <c r="A1903" s="24"/>
      <c r="B1903" s="48"/>
      <c r="C1903" s="49"/>
      <c r="D1903" s="24"/>
      <c r="E1903" s="52"/>
      <c r="F1903" s="53"/>
      <c r="G1903" s="48"/>
      <c r="H1903" s="49"/>
      <c r="I1903" s="49"/>
      <c r="J1903" s="48"/>
      <c r="K1903" s="48"/>
      <c r="L1903" s="48"/>
      <c r="M1903" s="48"/>
      <c r="N1903" s="48"/>
      <c r="O1903" s="48"/>
      <c r="P1903" s="48"/>
      <c r="Q1903" s="48"/>
      <c r="R1903" s="48"/>
      <c r="S1903" s="48"/>
      <c r="T1903" s="48"/>
      <c r="U1903" s="48"/>
      <c r="V1903" s="48"/>
      <c r="W1903" s="49"/>
      <c r="X1903" s="49"/>
      <c r="Y1903" s="49"/>
      <c r="Z1903" s="49"/>
      <c r="AA1903" s="49"/>
      <c r="AB1903" s="49"/>
      <c r="AC1903" s="49"/>
      <c r="AD1903" s="49"/>
      <c r="AE1903" s="49"/>
      <c r="AF1903" s="49"/>
      <c r="AG1903" s="49"/>
      <c r="AH1903" s="49"/>
      <c r="AI1903" s="48"/>
      <c r="AJ1903" s="48"/>
      <c r="AK1903" s="24"/>
      <c r="AL1903" s="50"/>
      <c r="AM1903" s="50"/>
      <c r="AN1903" s="50"/>
      <c r="AO1903" s="50"/>
      <c r="AP1903" s="50"/>
      <c r="AQ1903" s="50"/>
      <c r="AR1903" s="50"/>
      <c r="AS1903" s="50"/>
      <c r="AT1903" s="51"/>
      <c r="AU1903" s="51"/>
      <c r="AV1903" s="51"/>
      <c r="AW1903" s="51"/>
      <c r="AX1903" s="50"/>
      <c r="AY1903" s="50"/>
      <c r="AZ1903" s="50"/>
      <c r="BA1903" s="50"/>
      <c r="BB1903" s="51"/>
      <c r="BC1903" s="51"/>
      <c r="BD1903" s="51"/>
      <c r="BE1903" s="51"/>
      <c r="BF1903" s="47"/>
      <c r="BG1903" s="47"/>
      <c r="BH1903" s="47"/>
      <c r="BI1903" s="47"/>
      <c r="BJ1903" s="47"/>
      <c r="BK1903" s="47"/>
      <c r="BL1903" s="47"/>
      <c r="BM1903" s="47"/>
      <c r="BN1903" s="47"/>
      <c r="BO1903" s="47"/>
      <c r="BP1903" s="47"/>
      <c r="BQ1903" s="47"/>
      <c r="BR1903" s="47"/>
      <c r="BS1903" s="47"/>
      <c r="BT1903" s="47"/>
    </row>
    <row r="1904">
      <c r="A1904" s="24"/>
      <c r="B1904" s="48"/>
      <c r="C1904" s="49"/>
      <c r="D1904" s="24"/>
      <c r="E1904" s="52"/>
      <c r="F1904" s="53"/>
      <c r="G1904" s="48"/>
      <c r="H1904" s="49"/>
      <c r="I1904" s="49"/>
      <c r="J1904" s="48"/>
      <c r="K1904" s="48"/>
      <c r="L1904" s="48"/>
      <c r="M1904" s="48"/>
      <c r="N1904" s="48"/>
      <c r="O1904" s="48"/>
      <c r="P1904" s="48"/>
      <c r="Q1904" s="48"/>
      <c r="R1904" s="48"/>
      <c r="S1904" s="48"/>
      <c r="T1904" s="48"/>
      <c r="U1904" s="48"/>
      <c r="V1904" s="48"/>
      <c r="W1904" s="49"/>
      <c r="X1904" s="49"/>
      <c r="Y1904" s="49"/>
      <c r="Z1904" s="49"/>
      <c r="AA1904" s="49"/>
      <c r="AB1904" s="49"/>
      <c r="AC1904" s="49"/>
      <c r="AD1904" s="49"/>
      <c r="AE1904" s="49"/>
      <c r="AF1904" s="49"/>
      <c r="AG1904" s="49"/>
      <c r="AH1904" s="49"/>
      <c r="AI1904" s="48"/>
      <c r="AJ1904" s="48"/>
      <c r="AK1904" s="24"/>
      <c r="AL1904" s="50"/>
      <c r="AM1904" s="50"/>
      <c r="AN1904" s="50"/>
      <c r="AO1904" s="50"/>
      <c r="AP1904" s="50"/>
      <c r="AQ1904" s="50"/>
      <c r="AR1904" s="50"/>
      <c r="AS1904" s="50"/>
      <c r="AT1904" s="51"/>
      <c r="AU1904" s="51"/>
      <c r="AV1904" s="51"/>
      <c r="AW1904" s="51"/>
      <c r="AX1904" s="50"/>
      <c r="AY1904" s="50"/>
      <c r="AZ1904" s="50"/>
      <c r="BA1904" s="50"/>
      <c r="BB1904" s="51"/>
      <c r="BC1904" s="51"/>
      <c r="BD1904" s="51"/>
      <c r="BE1904" s="51"/>
      <c r="BF1904" s="47"/>
      <c r="BG1904" s="47"/>
      <c r="BH1904" s="47"/>
      <c r="BI1904" s="47"/>
      <c r="BJ1904" s="47"/>
      <c r="BK1904" s="47"/>
      <c r="BL1904" s="47"/>
      <c r="BM1904" s="47"/>
      <c r="BN1904" s="47"/>
      <c r="BO1904" s="47"/>
      <c r="BP1904" s="47"/>
      <c r="BQ1904" s="47"/>
      <c r="BR1904" s="47"/>
      <c r="BS1904" s="47"/>
      <c r="BT1904" s="47"/>
    </row>
    <row r="1905">
      <c r="A1905" s="24"/>
      <c r="B1905" s="48"/>
      <c r="C1905" s="49"/>
      <c r="D1905" s="24"/>
      <c r="E1905" s="52"/>
      <c r="F1905" s="53"/>
      <c r="G1905" s="48"/>
      <c r="H1905" s="49"/>
      <c r="I1905" s="49"/>
      <c r="J1905" s="48"/>
      <c r="K1905" s="48"/>
      <c r="L1905" s="48"/>
      <c r="M1905" s="48"/>
      <c r="N1905" s="48"/>
      <c r="O1905" s="48"/>
      <c r="P1905" s="48"/>
      <c r="Q1905" s="48"/>
      <c r="R1905" s="48"/>
      <c r="S1905" s="48"/>
      <c r="T1905" s="48"/>
      <c r="U1905" s="48"/>
      <c r="V1905" s="48"/>
      <c r="W1905" s="49"/>
      <c r="X1905" s="49"/>
      <c r="Y1905" s="49"/>
      <c r="Z1905" s="49"/>
      <c r="AA1905" s="49"/>
      <c r="AB1905" s="49"/>
      <c r="AC1905" s="49"/>
      <c r="AD1905" s="49"/>
      <c r="AE1905" s="49"/>
      <c r="AF1905" s="49"/>
      <c r="AG1905" s="49"/>
      <c r="AH1905" s="49"/>
      <c r="AI1905" s="48"/>
      <c r="AJ1905" s="48"/>
      <c r="AK1905" s="24"/>
      <c r="AL1905" s="50"/>
      <c r="AM1905" s="50"/>
      <c r="AN1905" s="50"/>
      <c r="AO1905" s="50"/>
      <c r="AP1905" s="50"/>
      <c r="AQ1905" s="50"/>
      <c r="AR1905" s="50"/>
      <c r="AS1905" s="50"/>
      <c r="AT1905" s="51"/>
      <c r="AU1905" s="51"/>
      <c r="AV1905" s="51"/>
      <c r="AW1905" s="51"/>
      <c r="AX1905" s="50"/>
      <c r="AY1905" s="50"/>
      <c r="AZ1905" s="50"/>
      <c r="BA1905" s="50"/>
      <c r="BB1905" s="51"/>
      <c r="BC1905" s="51"/>
      <c r="BD1905" s="51"/>
      <c r="BE1905" s="51"/>
      <c r="BF1905" s="47"/>
      <c r="BG1905" s="47"/>
      <c r="BH1905" s="47"/>
      <c r="BI1905" s="47"/>
      <c r="BJ1905" s="47"/>
      <c r="BK1905" s="47"/>
      <c r="BL1905" s="47"/>
      <c r="BM1905" s="47"/>
      <c r="BN1905" s="47"/>
      <c r="BO1905" s="47"/>
      <c r="BP1905" s="47"/>
      <c r="BQ1905" s="47"/>
      <c r="BR1905" s="47"/>
      <c r="BS1905" s="47"/>
      <c r="BT1905" s="47"/>
    </row>
    <row r="1906">
      <c r="A1906" s="24"/>
      <c r="B1906" s="48"/>
      <c r="C1906" s="49"/>
      <c r="D1906" s="24"/>
      <c r="E1906" s="52"/>
      <c r="F1906" s="53"/>
      <c r="G1906" s="48"/>
      <c r="H1906" s="49"/>
      <c r="I1906" s="49"/>
      <c r="J1906" s="48"/>
      <c r="K1906" s="48"/>
      <c r="L1906" s="48"/>
      <c r="M1906" s="48"/>
      <c r="N1906" s="48"/>
      <c r="O1906" s="48"/>
      <c r="P1906" s="48"/>
      <c r="Q1906" s="48"/>
      <c r="R1906" s="48"/>
      <c r="S1906" s="48"/>
      <c r="T1906" s="48"/>
      <c r="U1906" s="48"/>
      <c r="V1906" s="48"/>
      <c r="W1906" s="49"/>
      <c r="X1906" s="49"/>
      <c r="Y1906" s="49"/>
      <c r="Z1906" s="49"/>
      <c r="AA1906" s="49"/>
      <c r="AB1906" s="49"/>
      <c r="AC1906" s="49"/>
      <c r="AD1906" s="49"/>
      <c r="AE1906" s="49"/>
      <c r="AF1906" s="49"/>
      <c r="AG1906" s="49"/>
      <c r="AH1906" s="49"/>
      <c r="AI1906" s="48"/>
      <c r="AJ1906" s="48"/>
      <c r="AK1906" s="24"/>
      <c r="AL1906" s="50"/>
      <c r="AM1906" s="50"/>
      <c r="AN1906" s="50"/>
      <c r="AO1906" s="50"/>
      <c r="AP1906" s="50"/>
      <c r="AQ1906" s="50"/>
      <c r="AR1906" s="50"/>
      <c r="AS1906" s="50"/>
      <c r="AT1906" s="51"/>
      <c r="AU1906" s="51"/>
      <c r="AV1906" s="51"/>
      <c r="AW1906" s="51"/>
      <c r="AX1906" s="50"/>
      <c r="AY1906" s="50"/>
      <c r="AZ1906" s="50"/>
      <c r="BA1906" s="50"/>
      <c r="BB1906" s="51"/>
      <c r="BC1906" s="51"/>
      <c r="BD1906" s="51"/>
      <c r="BE1906" s="51"/>
      <c r="BF1906" s="47"/>
      <c r="BG1906" s="47"/>
      <c r="BH1906" s="47"/>
      <c r="BI1906" s="47"/>
      <c r="BJ1906" s="47"/>
      <c r="BK1906" s="47"/>
      <c r="BL1906" s="47"/>
      <c r="BM1906" s="47"/>
      <c r="BN1906" s="47"/>
      <c r="BO1906" s="47"/>
      <c r="BP1906" s="47"/>
      <c r="BQ1906" s="47"/>
      <c r="BR1906" s="47"/>
      <c r="BS1906" s="47"/>
      <c r="BT1906" s="47"/>
    </row>
    <row r="1907">
      <c r="A1907" s="24"/>
      <c r="B1907" s="48"/>
      <c r="C1907" s="49"/>
      <c r="D1907" s="24"/>
      <c r="E1907" s="52"/>
      <c r="F1907" s="53"/>
      <c r="G1907" s="48"/>
      <c r="H1907" s="49"/>
      <c r="I1907" s="49"/>
      <c r="J1907" s="48"/>
      <c r="K1907" s="48"/>
      <c r="L1907" s="48"/>
      <c r="M1907" s="48"/>
      <c r="N1907" s="48"/>
      <c r="O1907" s="48"/>
      <c r="P1907" s="48"/>
      <c r="Q1907" s="48"/>
      <c r="R1907" s="48"/>
      <c r="S1907" s="48"/>
      <c r="T1907" s="48"/>
      <c r="U1907" s="48"/>
      <c r="V1907" s="48"/>
      <c r="W1907" s="49"/>
      <c r="X1907" s="49"/>
      <c r="Y1907" s="49"/>
      <c r="Z1907" s="49"/>
      <c r="AA1907" s="49"/>
      <c r="AB1907" s="49"/>
      <c r="AC1907" s="49"/>
      <c r="AD1907" s="49"/>
      <c r="AE1907" s="49"/>
      <c r="AF1907" s="49"/>
      <c r="AG1907" s="49"/>
      <c r="AH1907" s="49"/>
      <c r="AI1907" s="48"/>
      <c r="AJ1907" s="48"/>
      <c r="AK1907" s="24"/>
      <c r="AL1907" s="50"/>
      <c r="AM1907" s="50"/>
      <c r="AN1907" s="50"/>
      <c r="AO1907" s="50"/>
      <c r="AP1907" s="50"/>
      <c r="AQ1907" s="50"/>
      <c r="AR1907" s="50"/>
      <c r="AS1907" s="50"/>
      <c r="AT1907" s="51"/>
      <c r="AU1907" s="51"/>
      <c r="AV1907" s="51"/>
      <c r="AW1907" s="51"/>
      <c r="AX1907" s="50"/>
      <c r="AY1907" s="50"/>
      <c r="AZ1907" s="50"/>
      <c r="BA1907" s="50"/>
      <c r="BB1907" s="51"/>
      <c r="BC1907" s="51"/>
      <c r="BD1907" s="51"/>
      <c r="BE1907" s="51"/>
      <c r="BF1907" s="47"/>
      <c r="BG1907" s="47"/>
      <c r="BH1907" s="47"/>
      <c r="BI1907" s="47"/>
      <c r="BJ1907" s="47"/>
      <c r="BK1907" s="47"/>
      <c r="BL1907" s="47"/>
      <c r="BM1907" s="47"/>
      <c r="BN1907" s="47"/>
      <c r="BO1907" s="47"/>
      <c r="BP1907" s="47"/>
      <c r="BQ1907" s="47"/>
      <c r="BR1907" s="47"/>
      <c r="BS1907" s="47"/>
      <c r="BT1907" s="47"/>
    </row>
    <row r="1908">
      <c r="A1908" s="24"/>
      <c r="B1908" s="48"/>
      <c r="C1908" s="49"/>
      <c r="D1908" s="24"/>
      <c r="E1908" s="52"/>
      <c r="F1908" s="53"/>
      <c r="G1908" s="48"/>
      <c r="H1908" s="49"/>
      <c r="I1908" s="49"/>
      <c r="J1908" s="48"/>
      <c r="K1908" s="48"/>
      <c r="L1908" s="48"/>
      <c r="M1908" s="48"/>
      <c r="N1908" s="48"/>
      <c r="O1908" s="48"/>
      <c r="P1908" s="48"/>
      <c r="Q1908" s="48"/>
      <c r="R1908" s="48"/>
      <c r="S1908" s="48"/>
      <c r="T1908" s="48"/>
      <c r="U1908" s="48"/>
      <c r="V1908" s="48"/>
      <c r="W1908" s="49"/>
      <c r="X1908" s="49"/>
      <c r="Y1908" s="49"/>
      <c r="Z1908" s="49"/>
      <c r="AA1908" s="49"/>
      <c r="AB1908" s="49"/>
      <c r="AC1908" s="49"/>
      <c r="AD1908" s="49"/>
      <c r="AE1908" s="49"/>
      <c r="AF1908" s="49"/>
      <c r="AG1908" s="49"/>
      <c r="AH1908" s="49"/>
      <c r="AI1908" s="48"/>
      <c r="AJ1908" s="48"/>
      <c r="AK1908" s="24"/>
      <c r="AL1908" s="50"/>
      <c r="AM1908" s="50"/>
      <c r="AN1908" s="50"/>
      <c r="AO1908" s="50"/>
      <c r="AP1908" s="50"/>
      <c r="AQ1908" s="50"/>
      <c r="AR1908" s="50"/>
      <c r="AS1908" s="50"/>
      <c r="AT1908" s="51"/>
      <c r="AU1908" s="51"/>
      <c r="AV1908" s="51"/>
      <c r="AW1908" s="51"/>
      <c r="AX1908" s="50"/>
      <c r="AY1908" s="50"/>
      <c r="AZ1908" s="50"/>
      <c r="BA1908" s="50"/>
      <c r="BB1908" s="51"/>
      <c r="BC1908" s="51"/>
      <c r="BD1908" s="51"/>
      <c r="BE1908" s="51"/>
      <c r="BF1908" s="47"/>
      <c r="BG1908" s="47"/>
      <c r="BH1908" s="47"/>
      <c r="BI1908" s="47"/>
      <c r="BJ1908" s="47"/>
      <c r="BK1908" s="47"/>
      <c r="BL1908" s="47"/>
      <c r="BM1908" s="47"/>
      <c r="BN1908" s="47"/>
      <c r="BO1908" s="47"/>
      <c r="BP1908" s="47"/>
      <c r="BQ1908" s="47"/>
      <c r="BR1908" s="47"/>
      <c r="BS1908" s="47"/>
      <c r="BT1908" s="47"/>
    </row>
    <row r="1909">
      <c r="A1909" s="24"/>
      <c r="B1909" s="48"/>
      <c r="C1909" s="49"/>
      <c r="D1909" s="24"/>
      <c r="E1909" s="52"/>
      <c r="F1909" s="53"/>
      <c r="G1909" s="48"/>
      <c r="H1909" s="49"/>
      <c r="I1909" s="49"/>
      <c r="J1909" s="48"/>
      <c r="K1909" s="48"/>
      <c r="L1909" s="48"/>
      <c r="M1909" s="48"/>
      <c r="N1909" s="48"/>
      <c r="O1909" s="48"/>
      <c r="P1909" s="48"/>
      <c r="Q1909" s="48"/>
      <c r="R1909" s="48"/>
      <c r="S1909" s="48"/>
      <c r="T1909" s="48"/>
      <c r="U1909" s="48"/>
      <c r="V1909" s="48"/>
      <c r="W1909" s="49"/>
      <c r="X1909" s="49"/>
      <c r="Y1909" s="49"/>
      <c r="Z1909" s="49"/>
      <c r="AA1909" s="49"/>
      <c r="AB1909" s="49"/>
      <c r="AC1909" s="49"/>
      <c r="AD1909" s="49"/>
      <c r="AE1909" s="49"/>
      <c r="AF1909" s="49"/>
      <c r="AG1909" s="49"/>
      <c r="AH1909" s="49"/>
      <c r="AI1909" s="48"/>
      <c r="AJ1909" s="48"/>
      <c r="AK1909" s="24"/>
      <c r="AL1909" s="50"/>
      <c r="AM1909" s="50"/>
      <c r="AN1909" s="50"/>
      <c r="AO1909" s="50"/>
      <c r="AP1909" s="50"/>
      <c r="AQ1909" s="50"/>
      <c r="AR1909" s="50"/>
      <c r="AS1909" s="50"/>
      <c r="AT1909" s="51"/>
      <c r="AU1909" s="51"/>
      <c r="AV1909" s="51"/>
      <c r="AW1909" s="51"/>
      <c r="AX1909" s="50"/>
      <c r="AY1909" s="50"/>
      <c r="AZ1909" s="50"/>
      <c r="BA1909" s="50"/>
      <c r="BB1909" s="51"/>
      <c r="BC1909" s="51"/>
      <c r="BD1909" s="51"/>
      <c r="BE1909" s="51"/>
      <c r="BF1909" s="47"/>
      <c r="BG1909" s="47"/>
      <c r="BH1909" s="47"/>
      <c r="BI1909" s="47"/>
      <c r="BJ1909" s="47"/>
      <c r="BK1909" s="47"/>
      <c r="BL1909" s="47"/>
      <c r="BM1909" s="47"/>
      <c r="BN1909" s="47"/>
      <c r="BO1909" s="47"/>
      <c r="BP1909" s="47"/>
      <c r="BQ1909" s="47"/>
      <c r="BR1909" s="47"/>
      <c r="BS1909" s="47"/>
      <c r="BT1909" s="47"/>
    </row>
    <row r="1910">
      <c r="A1910" s="24"/>
      <c r="B1910" s="48"/>
      <c r="C1910" s="49"/>
      <c r="D1910" s="24"/>
      <c r="E1910" s="52"/>
      <c r="F1910" s="53"/>
      <c r="G1910" s="48"/>
      <c r="H1910" s="49"/>
      <c r="I1910" s="49"/>
      <c r="J1910" s="48"/>
      <c r="K1910" s="48"/>
      <c r="L1910" s="48"/>
      <c r="M1910" s="48"/>
      <c r="N1910" s="48"/>
      <c r="O1910" s="48"/>
      <c r="P1910" s="48"/>
      <c r="Q1910" s="48"/>
      <c r="R1910" s="48"/>
      <c r="S1910" s="48"/>
      <c r="T1910" s="48"/>
      <c r="U1910" s="48"/>
      <c r="V1910" s="48"/>
      <c r="W1910" s="49"/>
      <c r="X1910" s="49"/>
      <c r="Y1910" s="49"/>
      <c r="Z1910" s="49"/>
      <c r="AA1910" s="49"/>
      <c r="AB1910" s="49"/>
      <c r="AC1910" s="49"/>
      <c r="AD1910" s="49"/>
      <c r="AE1910" s="49"/>
      <c r="AF1910" s="49"/>
      <c r="AG1910" s="49"/>
      <c r="AH1910" s="49"/>
      <c r="AI1910" s="48"/>
      <c r="AJ1910" s="48"/>
      <c r="AK1910" s="24"/>
      <c r="AL1910" s="50"/>
      <c r="AM1910" s="50"/>
      <c r="AN1910" s="50"/>
      <c r="AO1910" s="50"/>
      <c r="AP1910" s="50"/>
      <c r="AQ1910" s="50"/>
      <c r="AR1910" s="50"/>
      <c r="AS1910" s="50"/>
      <c r="AT1910" s="51"/>
      <c r="AU1910" s="51"/>
      <c r="AV1910" s="51"/>
      <c r="AW1910" s="51"/>
      <c r="AX1910" s="50"/>
      <c r="AY1910" s="50"/>
      <c r="AZ1910" s="50"/>
      <c r="BA1910" s="50"/>
      <c r="BB1910" s="51"/>
      <c r="BC1910" s="51"/>
      <c r="BD1910" s="51"/>
      <c r="BE1910" s="51"/>
      <c r="BF1910" s="47"/>
      <c r="BG1910" s="47"/>
      <c r="BH1910" s="47"/>
      <c r="BI1910" s="47"/>
      <c r="BJ1910" s="47"/>
      <c r="BK1910" s="47"/>
      <c r="BL1910" s="47"/>
      <c r="BM1910" s="47"/>
      <c r="BN1910" s="47"/>
      <c r="BO1910" s="47"/>
      <c r="BP1910" s="47"/>
      <c r="BQ1910" s="47"/>
      <c r="BR1910" s="47"/>
      <c r="BS1910" s="47"/>
      <c r="BT1910" s="47"/>
    </row>
    <row r="1911">
      <c r="A1911" s="24"/>
      <c r="B1911" s="48"/>
      <c r="C1911" s="49"/>
      <c r="D1911" s="24"/>
      <c r="E1911" s="52"/>
      <c r="F1911" s="53"/>
      <c r="G1911" s="48"/>
      <c r="H1911" s="49"/>
      <c r="I1911" s="49"/>
      <c r="J1911" s="48"/>
      <c r="K1911" s="48"/>
      <c r="L1911" s="48"/>
      <c r="M1911" s="48"/>
      <c r="N1911" s="48"/>
      <c r="O1911" s="48"/>
      <c r="P1911" s="48"/>
      <c r="Q1911" s="48"/>
      <c r="R1911" s="48"/>
      <c r="S1911" s="48"/>
      <c r="T1911" s="48"/>
      <c r="U1911" s="48"/>
      <c r="V1911" s="48"/>
      <c r="W1911" s="49"/>
      <c r="X1911" s="49"/>
      <c r="Y1911" s="49"/>
      <c r="Z1911" s="49"/>
      <c r="AA1911" s="49"/>
      <c r="AB1911" s="49"/>
      <c r="AC1911" s="49"/>
      <c r="AD1911" s="49"/>
      <c r="AE1911" s="49"/>
      <c r="AF1911" s="49"/>
      <c r="AG1911" s="49"/>
      <c r="AH1911" s="49"/>
      <c r="AI1911" s="48"/>
      <c r="AJ1911" s="48"/>
      <c r="AK1911" s="24"/>
      <c r="AL1911" s="50"/>
      <c r="AM1911" s="50"/>
      <c r="AN1911" s="50"/>
      <c r="AO1911" s="50"/>
      <c r="AP1911" s="50"/>
      <c r="AQ1911" s="50"/>
      <c r="AR1911" s="50"/>
      <c r="AS1911" s="50"/>
      <c r="AT1911" s="51"/>
      <c r="AU1911" s="51"/>
      <c r="AV1911" s="51"/>
      <c r="AW1911" s="51"/>
      <c r="AX1911" s="50"/>
      <c r="AY1911" s="50"/>
      <c r="AZ1911" s="50"/>
      <c r="BA1911" s="50"/>
      <c r="BB1911" s="51"/>
      <c r="BC1911" s="51"/>
      <c r="BD1911" s="51"/>
      <c r="BE1911" s="51"/>
      <c r="BF1911" s="47"/>
      <c r="BG1911" s="47"/>
      <c r="BH1911" s="47"/>
      <c r="BI1911" s="47"/>
      <c r="BJ1911" s="47"/>
      <c r="BK1911" s="47"/>
      <c r="BL1911" s="47"/>
      <c r="BM1911" s="47"/>
      <c r="BN1911" s="47"/>
      <c r="BO1911" s="47"/>
      <c r="BP1911" s="47"/>
      <c r="BQ1911" s="47"/>
      <c r="BR1911" s="47"/>
      <c r="BS1911" s="47"/>
      <c r="BT1911" s="47"/>
    </row>
    <row r="1912">
      <c r="A1912" s="24"/>
      <c r="B1912" s="48"/>
      <c r="C1912" s="49"/>
      <c r="D1912" s="24"/>
      <c r="E1912" s="52"/>
      <c r="F1912" s="53"/>
      <c r="G1912" s="48"/>
      <c r="H1912" s="49"/>
      <c r="I1912" s="49"/>
      <c r="J1912" s="48"/>
      <c r="K1912" s="48"/>
      <c r="L1912" s="48"/>
      <c r="M1912" s="48"/>
      <c r="N1912" s="48"/>
      <c r="O1912" s="48"/>
      <c r="P1912" s="48"/>
      <c r="Q1912" s="48"/>
      <c r="R1912" s="48"/>
      <c r="S1912" s="48"/>
      <c r="T1912" s="48"/>
      <c r="U1912" s="48"/>
      <c r="V1912" s="48"/>
      <c r="W1912" s="49"/>
      <c r="X1912" s="49"/>
      <c r="Y1912" s="49"/>
      <c r="Z1912" s="49"/>
      <c r="AA1912" s="49"/>
      <c r="AB1912" s="49"/>
      <c r="AC1912" s="49"/>
      <c r="AD1912" s="49"/>
      <c r="AE1912" s="49"/>
      <c r="AF1912" s="49"/>
      <c r="AG1912" s="49"/>
      <c r="AH1912" s="49"/>
      <c r="AI1912" s="48"/>
      <c r="AJ1912" s="48"/>
      <c r="AK1912" s="24"/>
      <c r="AL1912" s="50"/>
      <c r="AM1912" s="50"/>
      <c r="AN1912" s="50"/>
      <c r="AO1912" s="50"/>
      <c r="AP1912" s="50"/>
      <c r="AQ1912" s="50"/>
      <c r="AR1912" s="50"/>
      <c r="AS1912" s="50"/>
      <c r="AT1912" s="51"/>
      <c r="AU1912" s="51"/>
      <c r="AV1912" s="51"/>
      <c r="AW1912" s="51"/>
      <c r="AX1912" s="50"/>
      <c r="AY1912" s="50"/>
      <c r="AZ1912" s="50"/>
      <c r="BA1912" s="50"/>
      <c r="BB1912" s="51"/>
      <c r="BC1912" s="51"/>
      <c r="BD1912" s="51"/>
      <c r="BE1912" s="51"/>
      <c r="BF1912" s="47"/>
      <c r="BG1912" s="47"/>
      <c r="BH1912" s="47"/>
      <c r="BI1912" s="47"/>
      <c r="BJ1912" s="47"/>
      <c r="BK1912" s="47"/>
      <c r="BL1912" s="47"/>
      <c r="BM1912" s="47"/>
      <c r="BN1912" s="47"/>
      <c r="BO1912" s="47"/>
      <c r="BP1912" s="47"/>
      <c r="BQ1912" s="47"/>
      <c r="BR1912" s="47"/>
      <c r="BS1912" s="47"/>
      <c r="BT1912" s="47"/>
    </row>
    <row r="1913">
      <c r="A1913" s="24"/>
      <c r="B1913" s="48"/>
      <c r="C1913" s="49"/>
      <c r="D1913" s="24"/>
      <c r="E1913" s="52"/>
      <c r="F1913" s="53"/>
      <c r="G1913" s="48"/>
      <c r="H1913" s="49"/>
      <c r="I1913" s="49"/>
      <c r="J1913" s="48"/>
      <c r="K1913" s="48"/>
      <c r="L1913" s="48"/>
      <c r="M1913" s="48"/>
      <c r="N1913" s="48"/>
      <c r="O1913" s="48"/>
      <c r="P1913" s="48"/>
      <c r="Q1913" s="48"/>
      <c r="R1913" s="48"/>
      <c r="S1913" s="48"/>
      <c r="T1913" s="48"/>
      <c r="U1913" s="48"/>
      <c r="V1913" s="48"/>
      <c r="W1913" s="49"/>
      <c r="X1913" s="49"/>
      <c r="Y1913" s="49"/>
      <c r="Z1913" s="49"/>
      <c r="AA1913" s="49"/>
      <c r="AB1913" s="49"/>
      <c r="AC1913" s="49"/>
      <c r="AD1913" s="49"/>
      <c r="AE1913" s="49"/>
      <c r="AF1913" s="49"/>
      <c r="AG1913" s="49"/>
      <c r="AH1913" s="49"/>
      <c r="AI1913" s="48"/>
      <c r="AJ1913" s="48"/>
      <c r="AK1913" s="24"/>
      <c r="AL1913" s="50"/>
      <c r="AM1913" s="50"/>
      <c r="AN1913" s="50"/>
      <c r="AO1913" s="50"/>
      <c r="AP1913" s="50"/>
      <c r="AQ1913" s="50"/>
      <c r="AR1913" s="50"/>
      <c r="AS1913" s="50"/>
      <c r="AT1913" s="51"/>
      <c r="AU1913" s="51"/>
      <c r="AV1913" s="51"/>
      <c r="AW1913" s="51"/>
      <c r="AX1913" s="50"/>
      <c r="AY1913" s="50"/>
      <c r="AZ1913" s="50"/>
      <c r="BA1913" s="50"/>
      <c r="BB1913" s="51"/>
      <c r="BC1913" s="51"/>
      <c r="BD1913" s="51"/>
      <c r="BE1913" s="51"/>
      <c r="BF1913" s="47"/>
      <c r="BG1913" s="47"/>
      <c r="BH1913" s="47"/>
      <c r="BI1913" s="47"/>
      <c r="BJ1913" s="47"/>
      <c r="BK1913" s="47"/>
      <c r="BL1913" s="47"/>
      <c r="BM1913" s="47"/>
      <c r="BN1913" s="47"/>
      <c r="BO1913" s="47"/>
      <c r="BP1913" s="47"/>
      <c r="BQ1913" s="47"/>
      <c r="BR1913" s="47"/>
      <c r="BS1913" s="47"/>
      <c r="BT1913" s="47"/>
    </row>
    <row r="1914">
      <c r="A1914" s="24"/>
      <c r="B1914" s="48"/>
      <c r="C1914" s="49"/>
      <c r="D1914" s="24"/>
      <c r="E1914" s="52"/>
      <c r="F1914" s="53"/>
      <c r="G1914" s="48"/>
      <c r="H1914" s="49"/>
      <c r="I1914" s="49"/>
      <c r="J1914" s="48"/>
      <c r="K1914" s="48"/>
      <c r="L1914" s="48"/>
      <c r="M1914" s="48"/>
      <c r="N1914" s="48"/>
      <c r="O1914" s="48"/>
      <c r="P1914" s="48"/>
      <c r="Q1914" s="48"/>
      <c r="R1914" s="48"/>
      <c r="S1914" s="48"/>
      <c r="T1914" s="48"/>
      <c r="U1914" s="48"/>
      <c r="V1914" s="48"/>
      <c r="W1914" s="49"/>
      <c r="X1914" s="49"/>
      <c r="Y1914" s="49"/>
      <c r="Z1914" s="49"/>
      <c r="AA1914" s="49"/>
      <c r="AB1914" s="49"/>
      <c r="AC1914" s="49"/>
      <c r="AD1914" s="49"/>
      <c r="AE1914" s="49"/>
      <c r="AF1914" s="49"/>
      <c r="AG1914" s="49"/>
      <c r="AH1914" s="49"/>
      <c r="AI1914" s="48"/>
      <c r="AJ1914" s="48"/>
      <c r="AK1914" s="24"/>
      <c r="AL1914" s="50"/>
      <c r="AM1914" s="50"/>
      <c r="AN1914" s="50"/>
      <c r="AO1914" s="50"/>
      <c r="AP1914" s="50"/>
      <c r="AQ1914" s="50"/>
      <c r="AR1914" s="50"/>
      <c r="AS1914" s="50"/>
      <c r="AT1914" s="51"/>
      <c r="AU1914" s="51"/>
      <c r="AV1914" s="51"/>
      <c r="AW1914" s="51"/>
      <c r="AX1914" s="50"/>
      <c r="AY1914" s="50"/>
      <c r="AZ1914" s="50"/>
      <c r="BA1914" s="50"/>
      <c r="BB1914" s="51"/>
      <c r="BC1914" s="51"/>
      <c r="BD1914" s="51"/>
      <c r="BE1914" s="51"/>
      <c r="BF1914" s="47"/>
      <c r="BG1914" s="47"/>
      <c r="BH1914" s="47"/>
      <c r="BI1914" s="47"/>
      <c r="BJ1914" s="47"/>
      <c r="BK1914" s="47"/>
      <c r="BL1914" s="47"/>
      <c r="BM1914" s="47"/>
      <c r="BN1914" s="47"/>
      <c r="BO1914" s="47"/>
      <c r="BP1914" s="47"/>
      <c r="BQ1914" s="47"/>
      <c r="BR1914" s="47"/>
      <c r="BS1914" s="47"/>
      <c r="BT1914" s="47"/>
    </row>
    <row r="1915">
      <c r="A1915" s="24"/>
      <c r="B1915" s="48"/>
      <c r="C1915" s="49"/>
      <c r="D1915" s="24"/>
      <c r="E1915" s="52"/>
      <c r="F1915" s="53"/>
      <c r="G1915" s="48"/>
      <c r="H1915" s="49"/>
      <c r="I1915" s="49"/>
      <c r="J1915" s="48"/>
      <c r="K1915" s="48"/>
      <c r="L1915" s="48"/>
      <c r="M1915" s="48"/>
      <c r="N1915" s="48"/>
      <c r="O1915" s="48"/>
      <c r="P1915" s="48"/>
      <c r="Q1915" s="48"/>
      <c r="R1915" s="48"/>
      <c r="S1915" s="48"/>
      <c r="T1915" s="48"/>
      <c r="U1915" s="48"/>
      <c r="V1915" s="48"/>
      <c r="W1915" s="49"/>
      <c r="X1915" s="49"/>
      <c r="Y1915" s="49"/>
      <c r="Z1915" s="49"/>
      <c r="AA1915" s="49"/>
      <c r="AB1915" s="49"/>
      <c r="AC1915" s="49"/>
      <c r="AD1915" s="49"/>
      <c r="AE1915" s="49"/>
      <c r="AF1915" s="49"/>
      <c r="AG1915" s="49"/>
      <c r="AH1915" s="49"/>
      <c r="AI1915" s="48"/>
      <c r="AJ1915" s="48"/>
      <c r="AK1915" s="24"/>
      <c r="AL1915" s="50"/>
      <c r="AM1915" s="50"/>
      <c r="AN1915" s="50"/>
      <c r="AO1915" s="50"/>
      <c r="AP1915" s="50"/>
      <c r="AQ1915" s="50"/>
      <c r="AR1915" s="50"/>
      <c r="AS1915" s="50"/>
      <c r="AT1915" s="51"/>
      <c r="AU1915" s="51"/>
      <c r="AV1915" s="51"/>
      <c r="AW1915" s="51"/>
      <c r="AX1915" s="50"/>
      <c r="AY1915" s="50"/>
      <c r="AZ1915" s="50"/>
      <c r="BA1915" s="50"/>
      <c r="BB1915" s="51"/>
      <c r="BC1915" s="51"/>
      <c r="BD1915" s="51"/>
      <c r="BE1915" s="51"/>
      <c r="BF1915" s="47"/>
      <c r="BG1915" s="47"/>
      <c r="BH1915" s="47"/>
      <c r="BI1915" s="47"/>
      <c r="BJ1915" s="47"/>
      <c r="BK1915" s="47"/>
      <c r="BL1915" s="47"/>
      <c r="BM1915" s="47"/>
      <c r="BN1915" s="47"/>
      <c r="BO1915" s="47"/>
      <c r="BP1915" s="47"/>
      <c r="BQ1915" s="47"/>
      <c r="BR1915" s="47"/>
      <c r="BS1915" s="47"/>
      <c r="BT1915" s="47"/>
    </row>
    <row r="1916">
      <c r="A1916" s="24"/>
      <c r="B1916" s="48"/>
      <c r="C1916" s="49"/>
      <c r="D1916" s="24"/>
      <c r="E1916" s="52"/>
      <c r="F1916" s="53"/>
      <c r="G1916" s="48"/>
      <c r="H1916" s="49"/>
      <c r="I1916" s="49"/>
      <c r="J1916" s="48"/>
      <c r="K1916" s="48"/>
      <c r="L1916" s="48"/>
      <c r="M1916" s="48"/>
      <c r="N1916" s="48"/>
      <c r="O1916" s="48"/>
      <c r="P1916" s="48"/>
      <c r="Q1916" s="48"/>
      <c r="R1916" s="48"/>
      <c r="S1916" s="48"/>
      <c r="T1916" s="48"/>
      <c r="U1916" s="48"/>
      <c r="V1916" s="48"/>
      <c r="W1916" s="49"/>
      <c r="X1916" s="49"/>
      <c r="Y1916" s="49"/>
      <c r="Z1916" s="49"/>
      <c r="AA1916" s="49"/>
      <c r="AB1916" s="49"/>
      <c r="AC1916" s="49"/>
      <c r="AD1916" s="49"/>
      <c r="AE1916" s="49"/>
      <c r="AF1916" s="49"/>
      <c r="AG1916" s="49"/>
      <c r="AH1916" s="49"/>
      <c r="AI1916" s="48"/>
      <c r="AJ1916" s="48"/>
      <c r="AK1916" s="24"/>
      <c r="AL1916" s="50"/>
      <c r="AM1916" s="50"/>
      <c r="AN1916" s="50"/>
      <c r="AO1916" s="50"/>
      <c r="AP1916" s="50"/>
      <c r="AQ1916" s="50"/>
      <c r="AR1916" s="50"/>
      <c r="AS1916" s="50"/>
      <c r="AT1916" s="51"/>
      <c r="AU1916" s="51"/>
      <c r="AV1916" s="51"/>
      <c r="AW1916" s="51"/>
      <c r="AX1916" s="50"/>
      <c r="AY1916" s="50"/>
      <c r="AZ1916" s="50"/>
      <c r="BA1916" s="50"/>
      <c r="BB1916" s="51"/>
      <c r="BC1916" s="51"/>
      <c r="BD1916" s="51"/>
      <c r="BE1916" s="51"/>
      <c r="BF1916" s="47"/>
      <c r="BG1916" s="47"/>
      <c r="BH1916" s="47"/>
      <c r="BI1916" s="47"/>
      <c r="BJ1916" s="47"/>
      <c r="BK1916" s="47"/>
      <c r="BL1916" s="47"/>
      <c r="BM1916" s="47"/>
      <c r="BN1916" s="47"/>
      <c r="BO1916" s="47"/>
      <c r="BP1916" s="47"/>
      <c r="BQ1916" s="47"/>
      <c r="BR1916" s="47"/>
      <c r="BS1916" s="47"/>
      <c r="BT1916" s="47"/>
    </row>
    <row r="1917">
      <c r="A1917" s="24"/>
      <c r="B1917" s="48"/>
      <c r="C1917" s="49"/>
      <c r="D1917" s="24"/>
      <c r="E1917" s="52"/>
      <c r="F1917" s="53"/>
      <c r="G1917" s="48"/>
      <c r="H1917" s="49"/>
      <c r="I1917" s="49"/>
      <c r="J1917" s="48"/>
      <c r="K1917" s="48"/>
      <c r="L1917" s="48"/>
      <c r="M1917" s="48"/>
      <c r="N1917" s="48"/>
      <c r="O1917" s="48"/>
      <c r="P1917" s="48"/>
      <c r="Q1917" s="48"/>
      <c r="R1917" s="48"/>
      <c r="S1917" s="48"/>
      <c r="T1917" s="48"/>
      <c r="U1917" s="48"/>
      <c r="V1917" s="48"/>
      <c r="W1917" s="49"/>
      <c r="X1917" s="49"/>
      <c r="Y1917" s="49"/>
      <c r="Z1917" s="49"/>
      <c r="AA1917" s="49"/>
      <c r="AB1917" s="49"/>
      <c r="AC1917" s="49"/>
      <c r="AD1917" s="49"/>
      <c r="AE1917" s="49"/>
      <c r="AF1917" s="49"/>
      <c r="AG1917" s="49"/>
      <c r="AH1917" s="49"/>
      <c r="AI1917" s="48"/>
      <c r="AJ1917" s="48"/>
      <c r="AK1917" s="24"/>
      <c r="AL1917" s="50"/>
      <c r="AM1917" s="50"/>
      <c r="AN1917" s="50"/>
      <c r="AO1917" s="50"/>
      <c r="AP1917" s="50"/>
      <c r="AQ1917" s="50"/>
      <c r="AR1917" s="50"/>
      <c r="AS1917" s="50"/>
      <c r="AT1917" s="51"/>
      <c r="AU1917" s="51"/>
      <c r="AV1917" s="51"/>
      <c r="AW1917" s="51"/>
      <c r="AX1917" s="50"/>
      <c r="AY1917" s="50"/>
      <c r="AZ1917" s="50"/>
      <c r="BA1917" s="50"/>
      <c r="BB1917" s="51"/>
      <c r="BC1917" s="51"/>
      <c r="BD1917" s="51"/>
      <c r="BE1917" s="51"/>
      <c r="BF1917" s="47"/>
      <c r="BG1917" s="47"/>
      <c r="BH1917" s="47"/>
      <c r="BI1917" s="47"/>
      <c r="BJ1917" s="47"/>
      <c r="BK1917" s="47"/>
      <c r="BL1917" s="47"/>
      <c r="BM1917" s="47"/>
      <c r="BN1917" s="47"/>
      <c r="BO1917" s="47"/>
      <c r="BP1917" s="47"/>
      <c r="BQ1917" s="47"/>
      <c r="BR1917" s="47"/>
      <c r="BS1917" s="47"/>
      <c r="BT1917" s="47"/>
    </row>
    <row r="1918">
      <c r="A1918" s="24"/>
      <c r="B1918" s="48"/>
      <c r="C1918" s="49"/>
      <c r="D1918" s="24"/>
      <c r="E1918" s="52"/>
      <c r="F1918" s="53"/>
      <c r="G1918" s="48"/>
      <c r="H1918" s="49"/>
      <c r="I1918" s="49"/>
      <c r="J1918" s="48"/>
      <c r="K1918" s="48"/>
      <c r="L1918" s="48"/>
      <c r="M1918" s="48"/>
      <c r="N1918" s="48"/>
      <c r="O1918" s="48"/>
      <c r="P1918" s="48"/>
      <c r="Q1918" s="48"/>
      <c r="R1918" s="48"/>
      <c r="S1918" s="48"/>
      <c r="T1918" s="48"/>
      <c r="U1918" s="48"/>
      <c r="V1918" s="48"/>
      <c r="W1918" s="49"/>
      <c r="X1918" s="49"/>
      <c r="Y1918" s="49"/>
      <c r="Z1918" s="49"/>
      <c r="AA1918" s="49"/>
      <c r="AB1918" s="49"/>
      <c r="AC1918" s="49"/>
      <c r="AD1918" s="49"/>
      <c r="AE1918" s="49"/>
      <c r="AF1918" s="49"/>
      <c r="AG1918" s="49"/>
      <c r="AH1918" s="49"/>
      <c r="AI1918" s="48"/>
      <c r="AJ1918" s="48"/>
      <c r="AK1918" s="24"/>
      <c r="AL1918" s="50"/>
      <c r="AM1918" s="50"/>
      <c r="AN1918" s="50"/>
      <c r="AO1918" s="50"/>
      <c r="AP1918" s="50"/>
      <c r="AQ1918" s="50"/>
      <c r="AR1918" s="50"/>
      <c r="AS1918" s="50"/>
      <c r="AT1918" s="51"/>
      <c r="AU1918" s="51"/>
      <c r="AV1918" s="51"/>
      <c r="AW1918" s="51"/>
      <c r="AX1918" s="50"/>
      <c r="AY1918" s="50"/>
      <c r="AZ1918" s="50"/>
      <c r="BA1918" s="50"/>
      <c r="BB1918" s="51"/>
      <c r="BC1918" s="51"/>
      <c r="BD1918" s="51"/>
      <c r="BE1918" s="51"/>
      <c r="BF1918" s="47"/>
      <c r="BG1918" s="47"/>
      <c r="BH1918" s="47"/>
      <c r="BI1918" s="47"/>
      <c r="BJ1918" s="47"/>
      <c r="BK1918" s="47"/>
      <c r="BL1918" s="47"/>
      <c r="BM1918" s="47"/>
      <c r="BN1918" s="47"/>
      <c r="BO1918" s="47"/>
      <c r="BP1918" s="47"/>
      <c r="BQ1918" s="47"/>
      <c r="BR1918" s="47"/>
      <c r="BS1918" s="47"/>
      <c r="BT1918" s="47"/>
    </row>
    <row r="1919">
      <c r="A1919" s="24"/>
      <c r="B1919" s="48"/>
      <c r="C1919" s="49"/>
      <c r="D1919" s="24"/>
      <c r="E1919" s="52"/>
      <c r="F1919" s="53"/>
      <c r="G1919" s="48"/>
      <c r="H1919" s="49"/>
      <c r="I1919" s="49"/>
      <c r="J1919" s="48"/>
      <c r="K1919" s="48"/>
      <c r="L1919" s="48"/>
      <c r="M1919" s="48"/>
      <c r="N1919" s="48"/>
      <c r="O1919" s="48"/>
      <c r="P1919" s="48"/>
      <c r="Q1919" s="48"/>
      <c r="R1919" s="48"/>
      <c r="S1919" s="48"/>
      <c r="T1919" s="48"/>
      <c r="U1919" s="48"/>
      <c r="V1919" s="48"/>
      <c r="W1919" s="49"/>
      <c r="X1919" s="49"/>
      <c r="Y1919" s="49"/>
      <c r="Z1919" s="49"/>
      <c r="AA1919" s="49"/>
      <c r="AB1919" s="49"/>
      <c r="AC1919" s="49"/>
      <c r="AD1919" s="49"/>
      <c r="AE1919" s="49"/>
      <c r="AF1919" s="49"/>
      <c r="AG1919" s="49"/>
      <c r="AH1919" s="49"/>
      <c r="AI1919" s="48"/>
      <c r="AJ1919" s="48"/>
      <c r="AK1919" s="24"/>
      <c r="AL1919" s="50"/>
      <c r="AM1919" s="50"/>
      <c r="AN1919" s="50"/>
      <c r="AO1919" s="50"/>
      <c r="AP1919" s="50"/>
      <c r="AQ1919" s="50"/>
      <c r="AR1919" s="50"/>
      <c r="AS1919" s="50"/>
      <c r="AT1919" s="51"/>
      <c r="AU1919" s="51"/>
      <c r="AV1919" s="51"/>
      <c r="AW1919" s="51"/>
      <c r="AX1919" s="50"/>
      <c r="AY1919" s="50"/>
      <c r="AZ1919" s="50"/>
      <c r="BA1919" s="50"/>
      <c r="BB1919" s="51"/>
      <c r="BC1919" s="51"/>
      <c r="BD1919" s="51"/>
      <c r="BE1919" s="51"/>
      <c r="BF1919" s="47"/>
      <c r="BG1919" s="47"/>
      <c r="BH1919" s="47"/>
      <c r="BI1919" s="47"/>
      <c r="BJ1919" s="47"/>
      <c r="BK1919" s="47"/>
      <c r="BL1919" s="47"/>
      <c r="BM1919" s="47"/>
      <c r="BN1919" s="47"/>
      <c r="BO1919" s="47"/>
      <c r="BP1919" s="47"/>
      <c r="BQ1919" s="47"/>
      <c r="BR1919" s="47"/>
      <c r="BS1919" s="47"/>
      <c r="BT1919" s="47"/>
    </row>
    <row r="1920">
      <c r="A1920" s="24"/>
      <c r="B1920" s="48"/>
      <c r="C1920" s="49"/>
      <c r="D1920" s="24"/>
      <c r="E1920" s="52"/>
      <c r="F1920" s="53"/>
      <c r="G1920" s="48"/>
      <c r="H1920" s="49"/>
      <c r="I1920" s="49"/>
      <c r="J1920" s="48"/>
      <c r="K1920" s="48"/>
      <c r="L1920" s="48"/>
      <c r="M1920" s="48"/>
      <c r="N1920" s="48"/>
      <c r="O1920" s="48"/>
      <c r="P1920" s="48"/>
      <c r="Q1920" s="48"/>
      <c r="R1920" s="48"/>
      <c r="S1920" s="48"/>
      <c r="T1920" s="48"/>
      <c r="U1920" s="48"/>
      <c r="V1920" s="48"/>
      <c r="W1920" s="49"/>
      <c r="X1920" s="49"/>
      <c r="Y1920" s="49"/>
      <c r="Z1920" s="49"/>
      <c r="AA1920" s="49"/>
      <c r="AB1920" s="49"/>
      <c r="AC1920" s="49"/>
      <c r="AD1920" s="49"/>
      <c r="AE1920" s="49"/>
      <c r="AF1920" s="49"/>
      <c r="AG1920" s="49"/>
      <c r="AH1920" s="49"/>
      <c r="AI1920" s="48"/>
      <c r="AJ1920" s="48"/>
      <c r="AK1920" s="24"/>
      <c r="AL1920" s="50"/>
      <c r="AM1920" s="50"/>
      <c r="AN1920" s="50"/>
      <c r="AO1920" s="50"/>
      <c r="AP1920" s="50"/>
      <c r="AQ1920" s="50"/>
      <c r="AR1920" s="50"/>
      <c r="AS1920" s="50"/>
      <c r="AT1920" s="51"/>
      <c r="AU1920" s="51"/>
      <c r="AV1920" s="51"/>
      <c r="AW1920" s="51"/>
      <c r="AX1920" s="50"/>
      <c r="AY1920" s="50"/>
      <c r="AZ1920" s="50"/>
      <c r="BA1920" s="50"/>
      <c r="BB1920" s="51"/>
      <c r="BC1920" s="51"/>
      <c r="BD1920" s="51"/>
      <c r="BE1920" s="51"/>
      <c r="BF1920" s="47"/>
      <c r="BG1920" s="47"/>
      <c r="BH1920" s="47"/>
      <c r="BI1920" s="47"/>
      <c r="BJ1920" s="47"/>
      <c r="BK1920" s="47"/>
      <c r="BL1920" s="47"/>
      <c r="BM1920" s="47"/>
      <c r="BN1920" s="47"/>
      <c r="BO1920" s="47"/>
      <c r="BP1920" s="47"/>
      <c r="BQ1920" s="47"/>
      <c r="BR1920" s="47"/>
      <c r="BS1920" s="47"/>
      <c r="BT1920" s="47"/>
    </row>
    <row r="1921">
      <c r="A1921" s="24"/>
      <c r="B1921" s="48"/>
      <c r="C1921" s="49"/>
      <c r="D1921" s="24"/>
      <c r="E1921" s="52"/>
      <c r="F1921" s="53"/>
      <c r="G1921" s="48"/>
      <c r="H1921" s="49"/>
      <c r="I1921" s="49"/>
      <c r="J1921" s="48"/>
      <c r="K1921" s="48"/>
      <c r="L1921" s="48"/>
      <c r="M1921" s="48"/>
      <c r="N1921" s="48"/>
      <c r="O1921" s="48"/>
      <c r="P1921" s="48"/>
      <c r="Q1921" s="48"/>
      <c r="R1921" s="48"/>
      <c r="S1921" s="48"/>
      <c r="T1921" s="48"/>
      <c r="U1921" s="48"/>
      <c r="V1921" s="48"/>
      <c r="W1921" s="49"/>
      <c r="X1921" s="49"/>
      <c r="Y1921" s="49"/>
      <c r="Z1921" s="49"/>
      <c r="AA1921" s="49"/>
      <c r="AB1921" s="49"/>
      <c r="AC1921" s="49"/>
      <c r="AD1921" s="49"/>
      <c r="AE1921" s="49"/>
      <c r="AF1921" s="49"/>
      <c r="AG1921" s="49"/>
      <c r="AH1921" s="49"/>
      <c r="AI1921" s="48"/>
      <c r="AJ1921" s="48"/>
      <c r="AK1921" s="24"/>
      <c r="AL1921" s="50"/>
      <c r="AM1921" s="50"/>
      <c r="AN1921" s="50"/>
      <c r="AO1921" s="50"/>
      <c r="AP1921" s="50"/>
      <c r="AQ1921" s="50"/>
      <c r="AR1921" s="50"/>
      <c r="AS1921" s="50"/>
      <c r="AT1921" s="51"/>
      <c r="AU1921" s="51"/>
      <c r="AV1921" s="51"/>
      <c r="AW1921" s="51"/>
      <c r="AX1921" s="50"/>
      <c r="AY1921" s="50"/>
      <c r="AZ1921" s="50"/>
      <c r="BA1921" s="50"/>
      <c r="BB1921" s="51"/>
      <c r="BC1921" s="51"/>
      <c r="BD1921" s="51"/>
      <c r="BE1921" s="51"/>
      <c r="BF1921" s="47"/>
      <c r="BG1921" s="47"/>
      <c r="BH1921" s="47"/>
      <c r="BI1921" s="47"/>
      <c r="BJ1921" s="47"/>
      <c r="BK1921" s="47"/>
      <c r="BL1921" s="47"/>
      <c r="BM1921" s="47"/>
      <c r="BN1921" s="47"/>
      <c r="BO1921" s="47"/>
      <c r="BP1921" s="47"/>
      <c r="BQ1921" s="47"/>
      <c r="BR1921" s="47"/>
      <c r="BS1921" s="47"/>
      <c r="BT1921" s="47"/>
    </row>
    <row r="1922">
      <c r="A1922" s="24"/>
      <c r="B1922" s="48"/>
      <c r="C1922" s="49"/>
      <c r="D1922" s="24"/>
      <c r="E1922" s="52"/>
      <c r="F1922" s="53"/>
      <c r="G1922" s="48"/>
      <c r="H1922" s="49"/>
      <c r="I1922" s="49"/>
      <c r="J1922" s="48"/>
      <c r="K1922" s="48"/>
      <c r="L1922" s="48"/>
      <c r="M1922" s="48"/>
      <c r="N1922" s="48"/>
      <c r="O1922" s="48"/>
      <c r="P1922" s="48"/>
      <c r="Q1922" s="48"/>
      <c r="R1922" s="48"/>
      <c r="S1922" s="48"/>
      <c r="T1922" s="48"/>
      <c r="U1922" s="48"/>
      <c r="V1922" s="48"/>
      <c r="W1922" s="49"/>
      <c r="X1922" s="49"/>
      <c r="Y1922" s="49"/>
      <c r="Z1922" s="49"/>
      <c r="AA1922" s="49"/>
      <c r="AB1922" s="49"/>
      <c r="AC1922" s="49"/>
      <c r="AD1922" s="49"/>
      <c r="AE1922" s="49"/>
      <c r="AF1922" s="49"/>
      <c r="AG1922" s="49"/>
      <c r="AH1922" s="49"/>
      <c r="AI1922" s="48"/>
      <c r="AJ1922" s="48"/>
      <c r="AK1922" s="24"/>
      <c r="AL1922" s="50"/>
      <c r="AM1922" s="50"/>
      <c r="AN1922" s="50"/>
      <c r="AO1922" s="50"/>
      <c r="AP1922" s="50"/>
      <c r="AQ1922" s="50"/>
      <c r="AR1922" s="50"/>
      <c r="AS1922" s="50"/>
      <c r="AT1922" s="51"/>
      <c r="AU1922" s="51"/>
      <c r="AV1922" s="51"/>
      <c r="AW1922" s="51"/>
      <c r="AX1922" s="50"/>
      <c r="AY1922" s="50"/>
      <c r="AZ1922" s="50"/>
      <c r="BA1922" s="50"/>
      <c r="BB1922" s="51"/>
      <c r="BC1922" s="51"/>
      <c r="BD1922" s="51"/>
      <c r="BE1922" s="51"/>
      <c r="BF1922" s="47"/>
      <c r="BG1922" s="47"/>
      <c r="BH1922" s="47"/>
      <c r="BI1922" s="47"/>
      <c r="BJ1922" s="47"/>
      <c r="BK1922" s="47"/>
      <c r="BL1922" s="47"/>
      <c r="BM1922" s="47"/>
      <c r="BN1922" s="47"/>
      <c r="BO1922" s="47"/>
      <c r="BP1922" s="47"/>
      <c r="BQ1922" s="47"/>
      <c r="BR1922" s="47"/>
      <c r="BS1922" s="47"/>
      <c r="BT1922" s="47"/>
    </row>
    <row r="1923">
      <c r="A1923" s="24"/>
      <c r="B1923" s="48"/>
      <c r="C1923" s="49"/>
      <c r="D1923" s="24"/>
      <c r="E1923" s="52"/>
      <c r="F1923" s="53"/>
      <c r="G1923" s="48"/>
      <c r="H1923" s="49"/>
      <c r="I1923" s="49"/>
      <c r="J1923" s="48"/>
      <c r="K1923" s="48"/>
      <c r="L1923" s="48"/>
      <c r="M1923" s="48"/>
      <c r="N1923" s="48"/>
      <c r="O1923" s="48"/>
      <c r="P1923" s="48"/>
      <c r="Q1923" s="48"/>
      <c r="R1923" s="48"/>
      <c r="S1923" s="48"/>
      <c r="T1923" s="48"/>
      <c r="U1923" s="48"/>
      <c r="V1923" s="48"/>
      <c r="W1923" s="49"/>
      <c r="X1923" s="49"/>
      <c r="Y1923" s="49"/>
      <c r="Z1923" s="49"/>
      <c r="AA1923" s="49"/>
      <c r="AB1923" s="49"/>
      <c r="AC1923" s="49"/>
      <c r="AD1923" s="49"/>
      <c r="AE1923" s="49"/>
      <c r="AF1923" s="49"/>
      <c r="AG1923" s="49"/>
      <c r="AH1923" s="49"/>
      <c r="AI1923" s="48"/>
      <c r="AJ1923" s="48"/>
      <c r="AK1923" s="24"/>
      <c r="AL1923" s="50"/>
      <c r="AM1923" s="50"/>
      <c r="AN1923" s="50"/>
      <c r="AO1923" s="50"/>
      <c r="AP1923" s="50"/>
      <c r="AQ1923" s="50"/>
      <c r="AR1923" s="50"/>
      <c r="AS1923" s="50"/>
      <c r="AT1923" s="51"/>
      <c r="AU1923" s="51"/>
      <c r="AV1923" s="51"/>
      <c r="AW1923" s="51"/>
      <c r="AX1923" s="50"/>
      <c r="AY1923" s="50"/>
      <c r="AZ1923" s="50"/>
      <c r="BA1923" s="50"/>
      <c r="BB1923" s="51"/>
      <c r="BC1923" s="51"/>
      <c r="BD1923" s="51"/>
      <c r="BE1923" s="51"/>
      <c r="BF1923" s="47"/>
      <c r="BG1923" s="47"/>
      <c r="BH1923" s="47"/>
      <c r="BI1923" s="47"/>
      <c r="BJ1923" s="47"/>
      <c r="BK1923" s="47"/>
      <c r="BL1923" s="47"/>
      <c r="BM1923" s="47"/>
      <c r="BN1923" s="47"/>
      <c r="BO1923" s="47"/>
      <c r="BP1923" s="47"/>
      <c r="BQ1923" s="47"/>
      <c r="BR1923" s="47"/>
      <c r="BS1923" s="47"/>
      <c r="BT1923" s="47"/>
    </row>
    <row r="1924">
      <c r="A1924" s="24"/>
      <c r="B1924" s="48"/>
      <c r="C1924" s="49"/>
      <c r="D1924" s="24"/>
      <c r="E1924" s="52"/>
      <c r="F1924" s="53"/>
      <c r="G1924" s="48"/>
      <c r="H1924" s="49"/>
      <c r="I1924" s="49"/>
      <c r="J1924" s="48"/>
      <c r="K1924" s="48"/>
      <c r="L1924" s="48"/>
      <c r="M1924" s="48"/>
      <c r="N1924" s="48"/>
      <c r="O1924" s="48"/>
      <c r="P1924" s="48"/>
      <c r="Q1924" s="48"/>
      <c r="R1924" s="48"/>
      <c r="S1924" s="48"/>
      <c r="T1924" s="48"/>
      <c r="U1924" s="48"/>
      <c r="V1924" s="48"/>
      <c r="W1924" s="49"/>
      <c r="X1924" s="49"/>
      <c r="Y1924" s="49"/>
      <c r="Z1924" s="49"/>
      <c r="AA1924" s="49"/>
      <c r="AB1924" s="49"/>
      <c r="AC1924" s="49"/>
      <c r="AD1924" s="49"/>
      <c r="AE1924" s="49"/>
      <c r="AF1924" s="49"/>
      <c r="AG1924" s="49"/>
      <c r="AH1924" s="49"/>
      <c r="AI1924" s="48"/>
      <c r="AJ1924" s="48"/>
      <c r="AK1924" s="24"/>
      <c r="AL1924" s="50"/>
      <c r="AM1924" s="50"/>
      <c r="AN1924" s="50"/>
      <c r="AO1924" s="50"/>
      <c r="AP1924" s="50"/>
      <c r="AQ1924" s="50"/>
      <c r="AR1924" s="50"/>
      <c r="AS1924" s="50"/>
      <c r="AT1924" s="51"/>
      <c r="AU1924" s="51"/>
      <c r="AV1924" s="51"/>
      <c r="AW1924" s="51"/>
      <c r="AX1924" s="50"/>
      <c r="AY1924" s="50"/>
      <c r="AZ1924" s="50"/>
      <c r="BA1924" s="50"/>
      <c r="BB1924" s="51"/>
      <c r="BC1924" s="51"/>
      <c r="BD1924" s="51"/>
      <c r="BE1924" s="51"/>
      <c r="BF1924" s="47"/>
      <c r="BG1924" s="47"/>
      <c r="BH1924" s="47"/>
      <c r="BI1924" s="47"/>
      <c r="BJ1924" s="47"/>
      <c r="BK1924" s="47"/>
      <c r="BL1924" s="47"/>
      <c r="BM1924" s="47"/>
      <c r="BN1924" s="47"/>
      <c r="BO1924" s="47"/>
      <c r="BP1924" s="47"/>
      <c r="BQ1924" s="47"/>
      <c r="BR1924" s="47"/>
      <c r="BS1924" s="47"/>
      <c r="BT1924" s="47"/>
    </row>
    <row r="1925">
      <c r="A1925" s="24"/>
      <c r="B1925" s="48"/>
      <c r="C1925" s="49"/>
      <c r="D1925" s="24"/>
      <c r="E1925" s="52"/>
      <c r="F1925" s="53"/>
      <c r="G1925" s="48"/>
      <c r="H1925" s="49"/>
      <c r="I1925" s="49"/>
      <c r="J1925" s="48"/>
      <c r="K1925" s="48"/>
      <c r="L1925" s="48"/>
      <c r="M1925" s="48"/>
      <c r="N1925" s="48"/>
      <c r="O1925" s="48"/>
      <c r="P1925" s="48"/>
      <c r="Q1925" s="48"/>
      <c r="R1925" s="48"/>
      <c r="S1925" s="48"/>
      <c r="T1925" s="48"/>
      <c r="U1925" s="48"/>
      <c r="V1925" s="48"/>
      <c r="W1925" s="49"/>
      <c r="X1925" s="49"/>
      <c r="Y1925" s="49"/>
      <c r="Z1925" s="49"/>
      <c r="AA1925" s="49"/>
      <c r="AB1925" s="49"/>
      <c r="AC1925" s="49"/>
      <c r="AD1925" s="49"/>
      <c r="AE1925" s="49"/>
      <c r="AF1925" s="49"/>
      <c r="AG1925" s="49"/>
      <c r="AH1925" s="49"/>
      <c r="AI1925" s="48"/>
      <c r="AJ1925" s="48"/>
      <c r="AK1925" s="24"/>
      <c r="AL1925" s="50"/>
      <c r="AM1925" s="50"/>
      <c r="AN1925" s="50"/>
      <c r="AO1925" s="50"/>
      <c r="AP1925" s="50"/>
      <c r="AQ1925" s="50"/>
      <c r="AR1925" s="50"/>
      <c r="AS1925" s="50"/>
      <c r="AT1925" s="51"/>
      <c r="AU1925" s="51"/>
      <c r="AV1925" s="51"/>
      <c r="AW1925" s="51"/>
      <c r="AX1925" s="50"/>
      <c r="AY1925" s="50"/>
      <c r="AZ1925" s="50"/>
      <c r="BA1925" s="50"/>
      <c r="BB1925" s="51"/>
      <c r="BC1925" s="51"/>
      <c r="BD1925" s="51"/>
      <c r="BE1925" s="51"/>
      <c r="BF1925" s="47"/>
      <c r="BG1925" s="47"/>
      <c r="BH1925" s="47"/>
      <c r="BI1925" s="47"/>
      <c r="BJ1925" s="47"/>
      <c r="BK1925" s="47"/>
      <c r="BL1925" s="47"/>
      <c r="BM1925" s="47"/>
      <c r="BN1925" s="47"/>
      <c r="BO1925" s="47"/>
      <c r="BP1925" s="47"/>
      <c r="BQ1925" s="47"/>
      <c r="BR1925" s="47"/>
      <c r="BS1925" s="47"/>
      <c r="BT1925" s="47"/>
    </row>
    <row r="1926">
      <c r="A1926" s="24"/>
      <c r="B1926" s="48"/>
      <c r="C1926" s="49"/>
      <c r="D1926" s="24"/>
      <c r="E1926" s="52"/>
      <c r="F1926" s="53"/>
      <c r="G1926" s="48"/>
      <c r="H1926" s="49"/>
      <c r="I1926" s="49"/>
      <c r="J1926" s="48"/>
      <c r="K1926" s="48"/>
      <c r="L1926" s="48"/>
      <c r="M1926" s="48"/>
      <c r="N1926" s="48"/>
      <c r="O1926" s="48"/>
      <c r="P1926" s="48"/>
      <c r="Q1926" s="48"/>
      <c r="R1926" s="48"/>
      <c r="S1926" s="48"/>
      <c r="T1926" s="48"/>
      <c r="U1926" s="48"/>
      <c r="V1926" s="48"/>
      <c r="W1926" s="49"/>
      <c r="X1926" s="49"/>
      <c r="Y1926" s="49"/>
      <c r="Z1926" s="49"/>
      <c r="AA1926" s="49"/>
      <c r="AB1926" s="49"/>
      <c r="AC1926" s="49"/>
      <c r="AD1926" s="49"/>
      <c r="AE1926" s="49"/>
      <c r="AF1926" s="49"/>
      <c r="AG1926" s="49"/>
      <c r="AH1926" s="49"/>
      <c r="AI1926" s="48"/>
      <c r="AJ1926" s="48"/>
      <c r="AK1926" s="24"/>
      <c r="AL1926" s="50"/>
      <c r="AM1926" s="50"/>
      <c r="AN1926" s="50"/>
      <c r="AO1926" s="50"/>
      <c r="AP1926" s="50"/>
      <c r="AQ1926" s="50"/>
      <c r="AR1926" s="50"/>
      <c r="AS1926" s="50"/>
      <c r="AT1926" s="51"/>
      <c r="AU1926" s="51"/>
      <c r="AV1926" s="51"/>
      <c r="AW1926" s="51"/>
      <c r="AX1926" s="50"/>
      <c r="AY1926" s="50"/>
      <c r="AZ1926" s="50"/>
      <c r="BA1926" s="50"/>
      <c r="BB1926" s="51"/>
      <c r="BC1926" s="51"/>
      <c r="BD1926" s="51"/>
      <c r="BE1926" s="51"/>
      <c r="BF1926" s="47"/>
      <c r="BG1926" s="47"/>
      <c r="BH1926" s="47"/>
      <c r="BI1926" s="47"/>
      <c r="BJ1926" s="47"/>
      <c r="BK1926" s="47"/>
      <c r="BL1926" s="47"/>
      <c r="BM1926" s="47"/>
      <c r="BN1926" s="47"/>
      <c r="BO1926" s="47"/>
      <c r="BP1926" s="47"/>
      <c r="BQ1926" s="47"/>
      <c r="BR1926" s="47"/>
      <c r="BS1926" s="47"/>
      <c r="BT1926" s="47"/>
    </row>
    <row r="1927">
      <c r="A1927" s="24"/>
      <c r="B1927" s="48"/>
      <c r="C1927" s="49"/>
      <c r="D1927" s="24"/>
      <c r="E1927" s="52"/>
      <c r="F1927" s="53"/>
      <c r="G1927" s="48"/>
      <c r="H1927" s="49"/>
      <c r="I1927" s="49"/>
      <c r="J1927" s="48"/>
      <c r="K1927" s="48"/>
      <c r="L1927" s="48"/>
      <c r="M1927" s="48"/>
      <c r="N1927" s="48"/>
      <c r="O1927" s="48"/>
      <c r="P1927" s="48"/>
      <c r="Q1927" s="48"/>
      <c r="R1927" s="48"/>
      <c r="S1927" s="48"/>
      <c r="T1927" s="48"/>
      <c r="U1927" s="48"/>
      <c r="V1927" s="48"/>
      <c r="W1927" s="49"/>
      <c r="X1927" s="49"/>
      <c r="Y1927" s="49"/>
      <c r="Z1927" s="49"/>
      <c r="AA1927" s="49"/>
      <c r="AB1927" s="49"/>
      <c r="AC1927" s="49"/>
      <c r="AD1927" s="49"/>
      <c r="AE1927" s="49"/>
      <c r="AF1927" s="49"/>
      <c r="AG1927" s="49"/>
      <c r="AH1927" s="49"/>
      <c r="AI1927" s="48"/>
      <c r="AJ1927" s="48"/>
      <c r="AK1927" s="24"/>
      <c r="AL1927" s="50"/>
      <c r="AM1927" s="50"/>
      <c r="AN1927" s="50"/>
      <c r="AO1927" s="50"/>
      <c r="AP1927" s="50"/>
      <c r="AQ1927" s="50"/>
      <c r="AR1927" s="50"/>
      <c r="AS1927" s="50"/>
      <c r="AT1927" s="51"/>
      <c r="AU1927" s="51"/>
      <c r="AV1927" s="51"/>
      <c r="AW1927" s="51"/>
      <c r="AX1927" s="50"/>
      <c r="AY1927" s="50"/>
      <c r="AZ1927" s="50"/>
      <c r="BA1927" s="50"/>
      <c r="BB1927" s="51"/>
      <c r="BC1927" s="51"/>
      <c r="BD1927" s="51"/>
      <c r="BE1927" s="51"/>
      <c r="BF1927" s="47"/>
      <c r="BG1927" s="47"/>
      <c r="BH1927" s="47"/>
      <c r="BI1927" s="47"/>
      <c r="BJ1927" s="47"/>
      <c r="BK1927" s="47"/>
      <c r="BL1927" s="47"/>
      <c r="BM1927" s="47"/>
      <c r="BN1927" s="47"/>
      <c r="BO1927" s="47"/>
      <c r="BP1927" s="47"/>
      <c r="BQ1927" s="47"/>
      <c r="BR1927" s="47"/>
      <c r="BS1927" s="47"/>
      <c r="BT1927" s="47"/>
    </row>
    <row r="1928">
      <c r="A1928" s="24"/>
      <c r="B1928" s="48"/>
      <c r="C1928" s="49"/>
      <c r="D1928" s="24"/>
      <c r="E1928" s="52"/>
      <c r="F1928" s="53"/>
      <c r="G1928" s="48"/>
      <c r="H1928" s="49"/>
      <c r="I1928" s="49"/>
      <c r="J1928" s="48"/>
      <c r="K1928" s="48"/>
      <c r="L1928" s="48"/>
      <c r="M1928" s="48"/>
      <c r="N1928" s="48"/>
      <c r="O1928" s="48"/>
      <c r="P1928" s="48"/>
      <c r="Q1928" s="48"/>
      <c r="R1928" s="48"/>
      <c r="S1928" s="48"/>
      <c r="T1928" s="48"/>
      <c r="U1928" s="48"/>
      <c r="V1928" s="48"/>
      <c r="W1928" s="49"/>
      <c r="X1928" s="49"/>
      <c r="Y1928" s="49"/>
      <c r="Z1928" s="49"/>
      <c r="AA1928" s="49"/>
      <c r="AB1928" s="49"/>
      <c r="AC1928" s="49"/>
      <c r="AD1928" s="49"/>
      <c r="AE1928" s="49"/>
      <c r="AF1928" s="49"/>
      <c r="AG1928" s="49"/>
      <c r="AH1928" s="49"/>
      <c r="AI1928" s="48"/>
      <c r="AJ1928" s="48"/>
      <c r="AK1928" s="24"/>
      <c r="AL1928" s="50"/>
      <c r="AM1928" s="50"/>
      <c r="AN1928" s="50"/>
      <c r="AO1928" s="50"/>
      <c r="AP1928" s="50"/>
      <c r="AQ1928" s="50"/>
      <c r="AR1928" s="50"/>
      <c r="AS1928" s="50"/>
      <c r="AT1928" s="51"/>
      <c r="AU1928" s="51"/>
      <c r="AV1928" s="51"/>
      <c r="AW1928" s="51"/>
      <c r="AX1928" s="50"/>
      <c r="AY1928" s="50"/>
      <c r="AZ1928" s="50"/>
      <c r="BA1928" s="50"/>
      <c r="BB1928" s="51"/>
      <c r="BC1928" s="51"/>
      <c r="BD1928" s="51"/>
      <c r="BE1928" s="51"/>
      <c r="BF1928" s="47"/>
      <c r="BG1928" s="47"/>
      <c r="BH1928" s="47"/>
      <c r="BI1928" s="47"/>
      <c r="BJ1928" s="47"/>
      <c r="BK1928" s="47"/>
      <c r="BL1928" s="47"/>
      <c r="BM1928" s="47"/>
      <c r="BN1928" s="47"/>
      <c r="BO1928" s="47"/>
      <c r="BP1928" s="47"/>
      <c r="BQ1928" s="47"/>
      <c r="BR1928" s="47"/>
      <c r="BS1928" s="47"/>
      <c r="BT1928" s="47"/>
    </row>
    <row r="1929">
      <c r="A1929" s="24"/>
      <c r="B1929" s="48"/>
      <c r="C1929" s="49"/>
      <c r="D1929" s="24"/>
      <c r="E1929" s="52"/>
      <c r="F1929" s="53"/>
      <c r="G1929" s="48"/>
      <c r="H1929" s="49"/>
      <c r="I1929" s="49"/>
      <c r="J1929" s="48"/>
      <c r="K1929" s="48"/>
      <c r="L1929" s="48"/>
      <c r="M1929" s="48"/>
      <c r="N1929" s="48"/>
      <c r="O1929" s="48"/>
      <c r="P1929" s="48"/>
      <c r="Q1929" s="48"/>
      <c r="R1929" s="48"/>
      <c r="S1929" s="48"/>
      <c r="T1929" s="48"/>
      <c r="U1929" s="48"/>
      <c r="V1929" s="48"/>
      <c r="W1929" s="49"/>
      <c r="X1929" s="49"/>
      <c r="Y1929" s="49"/>
      <c r="Z1929" s="49"/>
      <c r="AA1929" s="49"/>
      <c r="AB1929" s="49"/>
      <c r="AC1929" s="49"/>
      <c r="AD1929" s="49"/>
      <c r="AE1929" s="49"/>
      <c r="AF1929" s="49"/>
      <c r="AG1929" s="49"/>
      <c r="AH1929" s="49"/>
      <c r="AI1929" s="48"/>
      <c r="AJ1929" s="48"/>
      <c r="AK1929" s="24"/>
      <c r="AL1929" s="50"/>
      <c r="AM1929" s="50"/>
      <c r="AN1929" s="50"/>
      <c r="AO1929" s="50"/>
      <c r="AP1929" s="50"/>
      <c r="AQ1929" s="50"/>
      <c r="AR1929" s="50"/>
      <c r="AS1929" s="50"/>
      <c r="AT1929" s="51"/>
      <c r="AU1929" s="51"/>
      <c r="AV1929" s="51"/>
      <c r="AW1929" s="51"/>
      <c r="AX1929" s="50"/>
      <c r="AY1929" s="50"/>
      <c r="AZ1929" s="50"/>
      <c r="BA1929" s="50"/>
      <c r="BB1929" s="51"/>
      <c r="BC1929" s="51"/>
      <c r="BD1929" s="51"/>
      <c r="BE1929" s="51"/>
      <c r="BF1929" s="47"/>
      <c r="BG1929" s="47"/>
      <c r="BH1929" s="47"/>
      <c r="BI1929" s="47"/>
      <c r="BJ1929" s="47"/>
      <c r="BK1929" s="47"/>
      <c r="BL1929" s="47"/>
      <c r="BM1929" s="47"/>
      <c r="BN1929" s="47"/>
      <c r="BO1929" s="47"/>
      <c r="BP1929" s="47"/>
      <c r="BQ1929" s="47"/>
      <c r="BR1929" s="47"/>
      <c r="BS1929" s="47"/>
      <c r="BT1929" s="47"/>
    </row>
    <row r="1930">
      <c r="A1930" s="24"/>
      <c r="B1930" s="48"/>
      <c r="C1930" s="49"/>
      <c r="D1930" s="24"/>
      <c r="E1930" s="52"/>
      <c r="F1930" s="53"/>
      <c r="G1930" s="48"/>
      <c r="H1930" s="49"/>
      <c r="I1930" s="49"/>
      <c r="J1930" s="48"/>
      <c r="K1930" s="48"/>
      <c r="L1930" s="48"/>
      <c r="M1930" s="48"/>
      <c r="N1930" s="48"/>
      <c r="O1930" s="48"/>
      <c r="P1930" s="48"/>
      <c r="Q1930" s="48"/>
      <c r="R1930" s="48"/>
      <c r="S1930" s="48"/>
      <c r="T1930" s="48"/>
      <c r="U1930" s="48"/>
      <c r="V1930" s="48"/>
      <c r="W1930" s="49"/>
      <c r="X1930" s="49"/>
      <c r="Y1930" s="49"/>
      <c r="Z1930" s="49"/>
      <c r="AA1930" s="49"/>
      <c r="AB1930" s="49"/>
      <c r="AC1930" s="49"/>
      <c r="AD1930" s="49"/>
      <c r="AE1930" s="49"/>
      <c r="AF1930" s="49"/>
      <c r="AG1930" s="49"/>
      <c r="AH1930" s="49"/>
      <c r="AI1930" s="48"/>
      <c r="AJ1930" s="48"/>
      <c r="AK1930" s="24"/>
      <c r="AL1930" s="50"/>
      <c r="AM1930" s="50"/>
      <c r="AN1930" s="50"/>
      <c r="AO1930" s="50"/>
      <c r="AP1930" s="50"/>
      <c r="AQ1930" s="50"/>
      <c r="AR1930" s="50"/>
      <c r="AS1930" s="50"/>
      <c r="AT1930" s="51"/>
      <c r="AU1930" s="51"/>
      <c r="AV1930" s="51"/>
      <c r="AW1930" s="51"/>
      <c r="AX1930" s="50"/>
      <c r="AY1930" s="50"/>
      <c r="AZ1930" s="50"/>
      <c r="BA1930" s="50"/>
      <c r="BB1930" s="51"/>
      <c r="BC1930" s="51"/>
      <c r="BD1930" s="51"/>
      <c r="BE1930" s="51"/>
      <c r="BF1930" s="47"/>
      <c r="BG1930" s="47"/>
      <c r="BH1930" s="47"/>
      <c r="BI1930" s="47"/>
      <c r="BJ1930" s="47"/>
      <c r="BK1930" s="47"/>
      <c r="BL1930" s="47"/>
      <c r="BM1930" s="47"/>
      <c r="BN1930" s="47"/>
      <c r="BO1930" s="47"/>
      <c r="BP1930" s="47"/>
      <c r="BQ1930" s="47"/>
      <c r="BR1930" s="47"/>
      <c r="BS1930" s="47"/>
      <c r="BT1930" s="47"/>
    </row>
    <row r="1931">
      <c r="A1931" s="24"/>
      <c r="B1931" s="48"/>
      <c r="C1931" s="49"/>
      <c r="D1931" s="24"/>
      <c r="E1931" s="52"/>
      <c r="F1931" s="53"/>
      <c r="G1931" s="48"/>
      <c r="H1931" s="49"/>
      <c r="I1931" s="49"/>
      <c r="J1931" s="48"/>
      <c r="K1931" s="48"/>
      <c r="L1931" s="48"/>
      <c r="M1931" s="48"/>
      <c r="N1931" s="48"/>
      <c r="O1931" s="48"/>
      <c r="P1931" s="48"/>
      <c r="Q1931" s="48"/>
      <c r="R1931" s="48"/>
      <c r="S1931" s="48"/>
      <c r="T1931" s="48"/>
      <c r="U1931" s="48"/>
      <c r="V1931" s="48"/>
      <c r="W1931" s="49"/>
      <c r="X1931" s="49"/>
      <c r="Y1931" s="49"/>
      <c r="Z1931" s="49"/>
      <c r="AA1931" s="49"/>
      <c r="AB1931" s="49"/>
      <c r="AC1931" s="49"/>
      <c r="AD1931" s="49"/>
      <c r="AE1931" s="49"/>
      <c r="AF1931" s="49"/>
      <c r="AG1931" s="49"/>
      <c r="AH1931" s="49"/>
      <c r="AI1931" s="48"/>
      <c r="AJ1931" s="48"/>
      <c r="AK1931" s="24"/>
      <c r="AL1931" s="50"/>
      <c r="AM1931" s="50"/>
      <c r="AN1931" s="50"/>
      <c r="AO1931" s="50"/>
      <c r="AP1931" s="50"/>
      <c r="AQ1931" s="50"/>
      <c r="AR1931" s="50"/>
      <c r="AS1931" s="50"/>
      <c r="AT1931" s="51"/>
      <c r="AU1931" s="51"/>
      <c r="AV1931" s="51"/>
      <c r="AW1931" s="51"/>
      <c r="AX1931" s="50"/>
      <c r="AY1931" s="50"/>
      <c r="AZ1931" s="50"/>
      <c r="BA1931" s="50"/>
      <c r="BB1931" s="51"/>
      <c r="BC1931" s="51"/>
      <c r="BD1931" s="51"/>
      <c r="BE1931" s="51"/>
      <c r="BF1931" s="47"/>
      <c r="BG1931" s="47"/>
      <c r="BH1931" s="47"/>
      <c r="BI1931" s="47"/>
      <c r="BJ1931" s="47"/>
      <c r="BK1931" s="47"/>
      <c r="BL1931" s="47"/>
      <c r="BM1931" s="47"/>
      <c r="BN1931" s="47"/>
      <c r="BO1931" s="47"/>
      <c r="BP1931" s="47"/>
      <c r="BQ1931" s="47"/>
      <c r="BR1931" s="47"/>
      <c r="BS1931" s="47"/>
      <c r="BT1931" s="47"/>
    </row>
    <row r="1932">
      <c r="A1932" s="24"/>
      <c r="B1932" s="48"/>
      <c r="C1932" s="49"/>
      <c r="D1932" s="24"/>
      <c r="E1932" s="52"/>
      <c r="F1932" s="53"/>
      <c r="G1932" s="48"/>
      <c r="H1932" s="49"/>
      <c r="I1932" s="49"/>
      <c r="J1932" s="48"/>
      <c r="K1932" s="48"/>
      <c r="L1932" s="48"/>
      <c r="M1932" s="48"/>
      <c r="N1932" s="48"/>
      <c r="O1932" s="48"/>
      <c r="P1932" s="48"/>
      <c r="Q1932" s="48"/>
      <c r="R1932" s="48"/>
      <c r="S1932" s="48"/>
      <c r="T1932" s="48"/>
      <c r="U1932" s="48"/>
      <c r="V1932" s="48"/>
      <c r="W1932" s="49"/>
      <c r="X1932" s="49"/>
      <c r="Y1932" s="49"/>
      <c r="Z1932" s="49"/>
      <c r="AA1932" s="49"/>
      <c r="AB1932" s="49"/>
      <c r="AC1932" s="49"/>
      <c r="AD1932" s="49"/>
      <c r="AE1932" s="49"/>
      <c r="AF1932" s="49"/>
      <c r="AG1932" s="49"/>
      <c r="AH1932" s="49"/>
      <c r="AI1932" s="48"/>
      <c r="AJ1932" s="48"/>
      <c r="AK1932" s="24"/>
      <c r="AL1932" s="50"/>
      <c r="AM1932" s="50"/>
      <c r="AN1932" s="50"/>
      <c r="AO1932" s="50"/>
      <c r="AP1932" s="50"/>
      <c r="AQ1932" s="50"/>
      <c r="AR1932" s="50"/>
      <c r="AS1932" s="50"/>
      <c r="AT1932" s="51"/>
      <c r="AU1932" s="51"/>
      <c r="AV1932" s="51"/>
      <c r="AW1932" s="51"/>
      <c r="AX1932" s="50"/>
      <c r="AY1932" s="50"/>
      <c r="AZ1932" s="50"/>
      <c r="BA1932" s="50"/>
      <c r="BB1932" s="51"/>
      <c r="BC1932" s="51"/>
      <c r="BD1932" s="51"/>
      <c r="BE1932" s="51"/>
      <c r="BF1932" s="47"/>
      <c r="BG1932" s="47"/>
      <c r="BH1932" s="47"/>
      <c r="BI1932" s="47"/>
      <c r="BJ1932" s="47"/>
      <c r="BK1932" s="47"/>
      <c r="BL1932" s="47"/>
      <c r="BM1932" s="47"/>
      <c r="BN1932" s="47"/>
      <c r="BO1932" s="47"/>
      <c r="BP1932" s="47"/>
      <c r="BQ1932" s="47"/>
      <c r="BR1932" s="47"/>
      <c r="BS1932" s="47"/>
      <c r="BT1932" s="47"/>
    </row>
    <row r="1933">
      <c r="A1933" s="24"/>
      <c r="B1933" s="48"/>
      <c r="C1933" s="49"/>
      <c r="D1933" s="24"/>
      <c r="E1933" s="52"/>
      <c r="F1933" s="53"/>
      <c r="G1933" s="48"/>
      <c r="H1933" s="49"/>
      <c r="I1933" s="49"/>
      <c r="J1933" s="48"/>
      <c r="K1933" s="48"/>
      <c r="L1933" s="48"/>
      <c r="M1933" s="48"/>
      <c r="N1933" s="48"/>
      <c r="O1933" s="48"/>
      <c r="P1933" s="48"/>
      <c r="Q1933" s="48"/>
      <c r="R1933" s="48"/>
      <c r="S1933" s="48"/>
      <c r="T1933" s="48"/>
      <c r="U1933" s="48"/>
      <c r="V1933" s="48"/>
      <c r="W1933" s="49"/>
      <c r="X1933" s="49"/>
      <c r="Y1933" s="49"/>
      <c r="Z1933" s="49"/>
      <c r="AA1933" s="49"/>
      <c r="AB1933" s="49"/>
      <c r="AC1933" s="49"/>
      <c r="AD1933" s="49"/>
      <c r="AE1933" s="49"/>
      <c r="AF1933" s="49"/>
      <c r="AG1933" s="49"/>
      <c r="AH1933" s="49"/>
      <c r="AI1933" s="48"/>
      <c r="AJ1933" s="48"/>
      <c r="AK1933" s="24"/>
      <c r="AL1933" s="50"/>
      <c r="AM1933" s="50"/>
      <c r="AN1933" s="50"/>
      <c r="AO1933" s="50"/>
      <c r="AP1933" s="50"/>
      <c r="AQ1933" s="50"/>
      <c r="AR1933" s="50"/>
      <c r="AS1933" s="50"/>
      <c r="AT1933" s="51"/>
      <c r="AU1933" s="51"/>
      <c r="AV1933" s="51"/>
      <c r="AW1933" s="51"/>
      <c r="AX1933" s="50"/>
      <c r="AY1933" s="50"/>
      <c r="AZ1933" s="50"/>
      <c r="BA1933" s="50"/>
      <c r="BB1933" s="51"/>
      <c r="BC1933" s="51"/>
      <c r="BD1933" s="51"/>
      <c r="BE1933" s="51"/>
      <c r="BF1933" s="47"/>
      <c r="BG1933" s="47"/>
      <c r="BH1933" s="47"/>
      <c r="BI1933" s="47"/>
      <c r="BJ1933" s="47"/>
      <c r="BK1933" s="47"/>
      <c r="BL1933" s="47"/>
      <c r="BM1933" s="47"/>
      <c r="BN1933" s="47"/>
      <c r="BO1933" s="47"/>
      <c r="BP1933" s="47"/>
      <c r="BQ1933" s="47"/>
      <c r="BR1933" s="47"/>
      <c r="BS1933" s="47"/>
      <c r="BT1933" s="47"/>
    </row>
    <row r="1934">
      <c r="A1934" s="24"/>
      <c r="B1934" s="48"/>
      <c r="C1934" s="49"/>
      <c r="D1934" s="24"/>
      <c r="E1934" s="52"/>
      <c r="F1934" s="53"/>
      <c r="G1934" s="48"/>
      <c r="H1934" s="49"/>
      <c r="I1934" s="49"/>
      <c r="J1934" s="48"/>
      <c r="K1934" s="48"/>
      <c r="L1934" s="48"/>
      <c r="M1934" s="48"/>
      <c r="N1934" s="48"/>
      <c r="O1934" s="48"/>
      <c r="P1934" s="48"/>
      <c r="Q1934" s="48"/>
      <c r="R1934" s="48"/>
      <c r="S1934" s="48"/>
      <c r="T1934" s="48"/>
      <c r="U1934" s="48"/>
      <c r="V1934" s="48"/>
      <c r="W1934" s="49"/>
      <c r="X1934" s="49"/>
      <c r="Y1934" s="49"/>
      <c r="Z1934" s="49"/>
      <c r="AA1934" s="49"/>
      <c r="AB1934" s="49"/>
      <c r="AC1934" s="49"/>
      <c r="AD1934" s="49"/>
      <c r="AE1934" s="49"/>
      <c r="AF1934" s="49"/>
      <c r="AG1934" s="49"/>
      <c r="AH1934" s="49"/>
      <c r="AI1934" s="48"/>
      <c r="AJ1934" s="48"/>
      <c r="AK1934" s="24"/>
      <c r="AL1934" s="50"/>
      <c r="AM1934" s="50"/>
      <c r="AN1934" s="50"/>
      <c r="AO1934" s="50"/>
      <c r="AP1934" s="50"/>
      <c r="AQ1934" s="50"/>
      <c r="AR1934" s="50"/>
      <c r="AS1934" s="50"/>
      <c r="AT1934" s="51"/>
      <c r="AU1934" s="51"/>
      <c r="AV1934" s="51"/>
      <c r="AW1934" s="51"/>
      <c r="AX1934" s="50"/>
      <c r="AY1934" s="50"/>
      <c r="AZ1934" s="50"/>
      <c r="BA1934" s="50"/>
      <c r="BB1934" s="51"/>
      <c r="BC1934" s="51"/>
      <c r="BD1934" s="51"/>
      <c r="BE1934" s="51"/>
      <c r="BF1934" s="47"/>
      <c r="BG1934" s="47"/>
      <c r="BH1934" s="47"/>
      <c r="BI1934" s="47"/>
      <c r="BJ1934" s="47"/>
      <c r="BK1934" s="47"/>
      <c r="BL1934" s="47"/>
      <c r="BM1934" s="47"/>
      <c r="BN1934" s="47"/>
      <c r="BO1934" s="47"/>
      <c r="BP1934" s="47"/>
      <c r="BQ1934" s="47"/>
      <c r="BR1934" s="47"/>
      <c r="BS1934" s="47"/>
      <c r="BT1934" s="47"/>
    </row>
    <row r="1935">
      <c r="A1935" s="24"/>
      <c r="B1935" s="48"/>
      <c r="C1935" s="49"/>
      <c r="D1935" s="24"/>
      <c r="E1935" s="52"/>
      <c r="F1935" s="53"/>
      <c r="G1935" s="48"/>
      <c r="H1935" s="49"/>
      <c r="I1935" s="49"/>
      <c r="J1935" s="48"/>
      <c r="K1935" s="48"/>
      <c r="L1935" s="48"/>
      <c r="M1935" s="48"/>
      <c r="N1935" s="48"/>
      <c r="O1935" s="48"/>
      <c r="P1935" s="48"/>
      <c r="Q1935" s="48"/>
      <c r="R1935" s="48"/>
      <c r="S1935" s="48"/>
      <c r="T1935" s="48"/>
      <c r="U1935" s="48"/>
      <c r="V1935" s="48"/>
      <c r="W1935" s="49"/>
      <c r="X1935" s="49"/>
      <c r="Y1935" s="49"/>
      <c r="Z1935" s="49"/>
      <c r="AA1935" s="49"/>
      <c r="AB1935" s="49"/>
      <c r="AC1935" s="49"/>
      <c r="AD1935" s="49"/>
      <c r="AE1935" s="49"/>
      <c r="AF1935" s="49"/>
      <c r="AG1935" s="49"/>
      <c r="AH1935" s="49"/>
      <c r="AI1935" s="48"/>
      <c r="AJ1935" s="48"/>
      <c r="AK1935" s="24"/>
      <c r="AL1935" s="50"/>
      <c r="AM1935" s="50"/>
      <c r="AN1935" s="50"/>
      <c r="AO1935" s="50"/>
      <c r="AP1935" s="50"/>
      <c r="AQ1935" s="50"/>
      <c r="AR1935" s="50"/>
      <c r="AS1935" s="50"/>
      <c r="AT1935" s="51"/>
      <c r="AU1935" s="51"/>
      <c r="AV1935" s="51"/>
      <c r="AW1935" s="51"/>
      <c r="AX1935" s="50"/>
      <c r="AY1935" s="50"/>
      <c r="AZ1935" s="50"/>
      <c r="BA1935" s="50"/>
      <c r="BB1935" s="51"/>
      <c r="BC1935" s="51"/>
      <c r="BD1935" s="51"/>
      <c r="BE1935" s="51"/>
      <c r="BF1935" s="47"/>
      <c r="BG1935" s="47"/>
      <c r="BH1935" s="47"/>
      <c r="BI1935" s="47"/>
      <c r="BJ1935" s="47"/>
      <c r="BK1935" s="47"/>
      <c r="BL1935" s="47"/>
      <c r="BM1935" s="47"/>
      <c r="BN1935" s="47"/>
      <c r="BO1935" s="47"/>
      <c r="BP1935" s="47"/>
      <c r="BQ1935" s="47"/>
      <c r="BR1935" s="47"/>
      <c r="BS1935" s="47"/>
      <c r="BT1935" s="47"/>
    </row>
    <row r="1936">
      <c r="A1936" s="24"/>
      <c r="B1936" s="48"/>
      <c r="C1936" s="49"/>
      <c r="D1936" s="24"/>
      <c r="E1936" s="52"/>
      <c r="F1936" s="53"/>
      <c r="G1936" s="48"/>
      <c r="H1936" s="49"/>
      <c r="I1936" s="49"/>
      <c r="J1936" s="48"/>
      <c r="K1936" s="48"/>
      <c r="L1936" s="48"/>
      <c r="M1936" s="48"/>
      <c r="N1936" s="48"/>
      <c r="O1936" s="48"/>
      <c r="P1936" s="48"/>
      <c r="Q1936" s="48"/>
      <c r="R1936" s="48"/>
      <c r="S1936" s="48"/>
      <c r="T1936" s="48"/>
      <c r="U1936" s="48"/>
      <c r="V1936" s="48"/>
      <c r="W1936" s="49"/>
      <c r="X1936" s="49"/>
      <c r="Y1936" s="49"/>
      <c r="Z1936" s="49"/>
      <c r="AA1936" s="49"/>
      <c r="AB1936" s="49"/>
      <c r="AC1936" s="49"/>
      <c r="AD1936" s="49"/>
      <c r="AE1936" s="49"/>
      <c r="AF1936" s="49"/>
      <c r="AG1936" s="49"/>
      <c r="AH1936" s="49"/>
      <c r="AI1936" s="48"/>
      <c r="AJ1936" s="48"/>
      <c r="AK1936" s="24"/>
      <c r="AL1936" s="50"/>
      <c r="AM1936" s="50"/>
      <c r="AN1936" s="50"/>
      <c r="AO1936" s="50"/>
      <c r="AP1936" s="50"/>
      <c r="AQ1936" s="50"/>
      <c r="AR1936" s="50"/>
      <c r="AS1936" s="50"/>
      <c r="AT1936" s="51"/>
      <c r="AU1936" s="51"/>
      <c r="AV1936" s="51"/>
      <c r="AW1936" s="51"/>
      <c r="AX1936" s="50"/>
      <c r="AY1936" s="50"/>
      <c r="AZ1936" s="50"/>
      <c r="BA1936" s="50"/>
      <c r="BB1936" s="51"/>
      <c r="BC1936" s="51"/>
      <c r="BD1936" s="51"/>
      <c r="BE1936" s="51"/>
      <c r="BF1936" s="47"/>
      <c r="BG1936" s="47"/>
      <c r="BH1936" s="47"/>
      <c r="BI1936" s="47"/>
      <c r="BJ1936" s="47"/>
      <c r="BK1936" s="47"/>
      <c r="BL1936" s="47"/>
      <c r="BM1936" s="47"/>
      <c r="BN1936" s="47"/>
      <c r="BO1936" s="47"/>
      <c r="BP1936" s="47"/>
      <c r="BQ1936" s="47"/>
      <c r="BR1936" s="47"/>
      <c r="BS1936" s="47"/>
      <c r="BT1936" s="47"/>
    </row>
    <row r="1937">
      <c r="A1937" s="24"/>
      <c r="B1937" s="48"/>
      <c r="C1937" s="49"/>
      <c r="D1937" s="24"/>
      <c r="E1937" s="52"/>
      <c r="F1937" s="53"/>
      <c r="G1937" s="48"/>
      <c r="H1937" s="49"/>
      <c r="I1937" s="49"/>
      <c r="J1937" s="48"/>
      <c r="K1937" s="48"/>
      <c r="L1937" s="48"/>
      <c r="M1937" s="48"/>
      <c r="N1937" s="48"/>
      <c r="O1937" s="48"/>
      <c r="P1937" s="48"/>
      <c r="Q1937" s="48"/>
      <c r="R1937" s="48"/>
      <c r="S1937" s="48"/>
      <c r="T1937" s="48"/>
      <c r="U1937" s="48"/>
      <c r="V1937" s="48"/>
      <c r="W1937" s="49"/>
      <c r="X1937" s="49"/>
      <c r="Y1937" s="49"/>
      <c r="Z1937" s="49"/>
      <c r="AA1937" s="49"/>
      <c r="AB1937" s="49"/>
      <c r="AC1937" s="49"/>
      <c r="AD1937" s="49"/>
      <c r="AE1937" s="49"/>
      <c r="AF1937" s="49"/>
      <c r="AG1937" s="49"/>
      <c r="AH1937" s="49"/>
      <c r="AI1937" s="48"/>
      <c r="AJ1937" s="48"/>
      <c r="AK1937" s="24"/>
      <c r="AL1937" s="50"/>
      <c r="AM1937" s="50"/>
      <c r="AN1937" s="50"/>
      <c r="AO1937" s="50"/>
      <c r="AP1937" s="50"/>
      <c r="AQ1937" s="50"/>
      <c r="AR1937" s="50"/>
      <c r="AS1937" s="50"/>
      <c r="AT1937" s="51"/>
      <c r="AU1937" s="51"/>
      <c r="AV1937" s="51"/>
      <c r="AW1937" s="51"/>
      <c r="AX1937" s="50"/>
      <c r="AY1937" s="50"/>
      <c r="AZ1937" s="50"/>
      <c r="BA1937" s="50"/>
      <c r="BB1937" s="51"/>
      <c r="BC1937" s="51"/>
      <c r="BD1937" s="51"/>
      <c r="BE1937" s="51"/>
      <c r="BF1937" s="47"/>
      <c r="BG1937" s="47"/>
      <c r="BH1937" s="47"/>
      <c r="BI1937" s="47"/>
      <c r="BJ1937" s="47"/>
      <c r="BK1937" s="47"/>
      <c r="BL1937" s="47"/>
      <c r="BM1937" s="47"/>
      <c r="BN1937" s="47"/>
      <c r="BO1937" s="47"/>
      <c r="BP1937" s="47"/>
      <c r="BQ1937" s="47"/>
      <c r="BR1937" s="47"/>
      <c r="BS1937" s="47"/>
      <c r="BT1937" s="47"/>
    </row>
    <row r="1938">
      <c r="A1938" s="24"/>
      <c r="B1938" s="48"/>
      <c r="C1938" s="49"/>
      <c r="D1938" s="24"/>
      <c r="E1938" s="52"/>
      <c r="F1938" s="53"/>
      <c r="G1938" s="48"/>
      <c r="H1938" s="49"/>
      <c r="I1938" s="49"/>
      <c r="J1938" s="48"/>
      <c r="K1938" s="48"/>
      <c r="L1938" s="48"/>
      <c r="M1938" s="48"/>
      <c r="N1938" s="48"/>
      <c r="O1938" s="48"/>
      <c r="P1938" s="48"/>
      <c r="Q1938" s="48"/>
      <c r="R1938" s="48"/>
      <c r="S1938" s="48"/>
      <c r="T1938" s="48"/>
      <c r="U1938" s="48"/>
      <c r="V1938" s="48"/>
      <c r="W1938" s="49"/>
      <c r="X1938" s="49"/>
      <c r="Y1938" s="49"/>
      <c r="Z1938" s="49"/>
      <c r="AA1938" s="49"/>
      <c r="AB1938" s="49"/>
      <c r="AC1938" s="49"/>
      <c r="AD1938" s="49"/>
      <c r="AE1938" s="49"/>
      <c r="AF1938" s="49"/>
      <c r="AG1938" s="49"/>
      <c r="AH1938" s="49"/>
      <c r="AI1938" s="48"/>
      <c r="AJ1938" s="48"/>
      <c r="AK1938" s="24"/>
      <c r="AL1938" s="50"/>
      <c r="AM1938" s="50"/>
      <c r="AN1938" s="50"/>
      <c r="AO1938" s="50"/>
      <c r="AP1938" s="50"/>
      <c r="AQ1938" s="50"/>
      <c r="AR1938" s="50"/>
      <c r="AS1938" s="50"/>
      <c r="AT1938" s="51"/>
      <c r="AU1938" s="51"/>
      <c r="AV1938" s="51"/>
      <c r="AW1938" s="51"/>
      <c r="AX1938" s="50"/>
      <c r="AY1938" s="50"/>
      <c r="AZ1938" s="50"/>
      <c r="BA1938" s="50"/>
      <c r="BB1938" s="51"/>
      <c r="BC1938" s="51"/>
      <c r="BD1938" s="51"/>
      <c r="BE1938" s="51"/>
      <c r="BF1938" s="47"/>
      <c r="BG1938" s="47"/>
      <c r="BH1938" s="47"/>
      <c r="BI1938" s="47"/>
      <c r="BJ1938" s="47"/>
      <c r="BK1938" s="47"/>
      <c r="BL1938" s="47"/>
      <c r="BM1938" s="47"/>
      <c r="BN1938" s="47"/>
      <c r="BO1938" s="47"/>
      <c r="BP1938" s="47"/>
      <c r="BQ1938" s="47"/>
      <c r="BR1938" s="47"/>
      <c r="BS1938" s="47"/>
      <c r="BT1938" s="47"/>
    </row>
    <row r="1939">
      <c r="A1939" s="24"/>
      <c r="B1939" s="48"/>
      <c r="C1939" s="49"/>
      <c r="D1939" s="24"/>
      <c r="E1939" s="52"/>
      <c r="F1939" s="53"/>
      <c r="G1939" s="48"/>
      <c r="H1939" s="49"/>
      <c r="I1939" s="49"/>
      <c r="J1939" s="48"/>
      <c r="K1939" s="48"/>
      <c r="L1939" s="48"/>
      <c r="M1939" s="48"/>
      <c r="N1939" s="48"/>
      <c r="O1939" s="48"/>
      <c r="P1939" s="48"/>
      <c r="Q1939" s="48"/>
      <c r="R1939" s="48"/>
      <c r="S1939" s="48"/>
      <c r="T1939" s="48"/>
      <c r="U1939" s="48"/>
      <c r="V1939" s="48"/>
      <c r="W1939" s="49"/>
      <c r="X1939" s="49"/>
      <c r="Y1939" s="49"/>
      <c r="Z1939" s="49"/>
      <c r="AA1939" s="49"/>
      <c r="AB1939" s="49"/>
      <c r="AC1939" s="49"/>
      <c r="AD1939" s="49"/>
      <c r="AE1939" s="49"/>
      <c r="AF1939" s="49"/>
      <c r="AG1939" s="49"/>
      <c r="AH1939" s="49"/>
      <c r="AI1939" s="48"/>
      <c r="AJ1939" s="48"/>
      <c r="AK1939" s="24"/>
      <c r="AL1939" s="50"/>
      <c r="AM1939" s="50"/>
      <c r="AN1939" s="50"/>
      <c r="AO1939" s="50"/>
      <c r="AP1939" s="50"/>
      <c r="AQ1939" s="50"/>
      <c r="AR1939" s="50"/>
      <c r="AS1939" s="50"/>
      <c r="AT1939" s="51"/>
      <c r="AU1939" s="51"/>
      <c r="AV1939" s="51"/>
      <c r="AW1939" s="51"/>
      <c r="AX1939" s="50"/>
      <c r="AY1939" s="50"/>
      <c r="AZ1939" s="50"/>
      <c r="BA1939" s="50"/>
      <c r="BB1939" s="51"/>
      <c r="BC1939" s="51"/>
      <c r="BD1939" s="51"/>
      <c r="BE1939" s="51"/>
      <c r="BF1939" s="47"/>
      <c r="BG1939" s="47"/>
      <c r="BH1939" s="47"/>
      <c r="BI1939" s="47"/>
      <c r="BJ1939" s="47"/>
      <c r="BK1939" s="47"/>
      <c r="BL1939" s="47"/>
      <c r="BM1939" s="47"/>
      <c r="BN1939" s="47"/>
      <c r="BO1939" s="47"/>
      <c r="BP1939" s="47"/>
      <c r="BQ1939" s="47"/>
      <c r="BR1939" s="47"/>
      <c r="BS1939" s="47"/>
      <c r="BT1939" s="47"/>
    </row>
    <row r="1940">
      <c r="A1940" s="24"/>
      <c r="B1940" s="48"/>
      <c r="C1940" s="49"/>
      <c r="D1940" s="24"/>
      <c r="E1940" s="52"/>
      <c r="F1940" s="53"/>
      <c r="G1940" s="48"/>
      <c r="H1940" s="49"/>
      <c r="I1940" s="49"/>
      <c r="J1940" s="48"/>
      <c r="K1940" s="48"/>
      <c r="L1940" s="48"/>
      <c r="M1940" s="48"/>
      <c r="N1940" s="48"/>
      <c r="O1940" s="48"/>
      <c r="P1940" s="48"/>
      <c r="Q1940" s="48"/>
      <c r="R1940" s="48"/>
      <c r="S1940" s="48"/>
      <c r="T1940" s="48"/>
      <c r="U1940" s="48"/>
      <c r="V1940" s="48"/>
      <c r="W1940" s="49"/>
      <c r="X1940" s="49"/>
      <c r="Y1940" s="49"/>
      <c r="Z1940" s="49"/>
      <c r="AA1940" s="49"/>
      <c r="AB1940" s="49"/>
      <c r="AC1940" s="49"/>
      <c r="AD1940" s="49"/>
      <c r="AE1940" s="49"/>
      <c r="AF1940" s="49"/>
      <c r="AG1940" s="49"/>
      <c r="AH1940" s="49"/>
      <c r="AI1940" s="48"/>
      <c r="AJ1940" s="48"/>
      <c r="AK1940" s="24"/>
      <c r="AL1940" s="50"/>
      <c r="AM1940" s="50"/>
      <c r="AN1940" s="50"/>
      <c r="AO1940" s="50"/>
      <c r="AP1940" s="50"/>
      <c r="AQ1940" s="50"/>
      <c r="AR1940" s="50"/>
      <c r="AS1940" s="50"/>
      <c r="AT1940" s="51"/>
      <c r="AU1940" s="51"/>
      <c r="AV1940" s="51"/>
      <c r="AW1940" s="51"/>
      <c r="AX1940" s="50"/>
      <c r="AY1940" s="50"/>
      <c r="AZ1940" s="50"/>
      <c r="BA1940" s="50"/>
      <c r="BB1940" s="51"/>
      <c r="BC1940" s="51"/>
      <c r="BD1940" s="51"/>
      <c r="BE1940" s="51"/>
      <c r="BF1940" s="47"/>
      <c r="BG1940" s="47"/>
      <c r="BH1940" s="47"/>
      <c r="BI1940" s="47"/>
      <c r="BJ1940" s="47"/>
      <c r="BK1940" s="47"/>
      <c r="BL1940" s="47"/>
      <c r="BM1940" s="47"/>
      <c r="BN1940" s="47"/>
      <c r="BO1940" s="47"/>
      <c r="BP1940" s="47"/>
      <c r="BQ1940" s="47"/>
      <c r="BR1940" s="47"/>
      <c r="BS1940" s="47"/>
      <c r="BT1940" s="47"/>
    </row>
    <row r="1941">
      <c r="A1941" s="24"/>
      <c r="B1941" s="48"/>
      <c r="C1941" s="49"/>
      <c r="D1941" s="24"/>
      <c r="E1941" s="52"/>
      <c r="F1941" s="53"/>
      <c r="G1941" s="48"/>
      <c r="H1941" s="49"/>
      <c r="I1941" s="49"/>
      <c r="J1941" s="48"/>
      <c r="K1941" s="48"/>
      <c r="L1941" s="48"/>
      <c r="M1941" s="48"/>
      <c r="N1941" s="48"/>
      <c r="O1941" s="48"/>
      <c r="P1941" s="48"/>
      <c r="Q1941" s="48"/>
      <c r="R1941" s="48"/>
      <c r="S1941" s="48"/>
      <c r="T1941" s="48"/>
      <c r="U1941" s="48"/>
      <c r="V1941" s="48"/>
      <c r="W1941" s="49"/>
      <c r="X1941" s="49"/>
      <c r="Y1941" s="49"/>
      <c r="Z1941" s="49"/>
      <c r="AA1941" s="49"/>
      <c r="AB1941" s="49"/>
      <c r="AC1941" s="49"/>
      <c r="AD1941" s="49"/>
      <c r="AE1941" s="49"/>
      <c r="AF1941" s="49"/>
      <c r="AG1941" s="49"/>
      <c r="AH1941" s="49"/>
      <c r="AI1941" s="48"/>
      <c r="AJ1941" s="48"/>
      <c r="AK1941" s="24"/>
      <c r="AL1941" s="50"/>
      <c r="AM1941" s="50"/>
      <c r="AN1941" s="50"/>
      <c r="AO1941" s="50"/>
      <c r="AP1941" s="50"/>
      <c r="AQ1941" s="50"/>
      <c r="AR1941" s="50"/>
      <c r="AS1941" s="50"/>
      <c r="AT1941" s="51"/>
      <c r="AU1941" s="51"/>
      <c r="AV1941" s="51"/>
      <c r="AW1941" s="51"/>
      <c r="AX1941" s="50"/>
      <c r="AY1941" s="50"/>
      <c r="AZ1941" s="50"/>
      <c r="BA1941" s="50"/>
      <c r="BB1941" s="51"/>
      <c r="BC1941" s="51"/>
      <c r="BD1941" s="51"/>
      <c r="BE1941" s="51"/>
      <c r="BF1941" s="47"/>
      <c r="BG1941" s="47"/>
      <c r="BH1941" s="47"/>
      <c r="BI1941" s="47"/>
      <c r="BJ1941" s="47"/>
      <c r="BK1941" s="47"/>
      <c r="BL1941" s="47"/>
      <c r="BM1941" s="47"/>
      <c r="BN1941" s="47"/>
      <c r="BO1941" s="47"/>
      <c r="BP1941" s="47"/>
      <c r="BQ1941" s="47"/>
      <c r="BR1941" s="47"/>
      <c r="BS1941" s="47"/>
      <c r="BT1941" s="47"/>
    </row>
    <row r="1942">
      <c r="A1942" s="24"/>
      <c r="B1942" s="48"/>
      <c r="C1942" s="49"/>
      <c r="D1942" s="24"/>
      <c r="E1942" s="52"/>
      <c r="F1942" s="53"/>
      <c r="G1942" s="48"/>
      <c r="H1942" s="49"/>
      <c r="I1942" s="49"/>
      <c r="J1942" s="48"/>
      <c r="K1942" s="48"/>
      <c r="L1942" s="48"/>
      <c r="M1942" s="48"/>
      <c r="N1942" s="48"/>
      <c r="O1942" s="48"/>
      <c r="P1942" s="48"/>
      <c r="Q1942" s="48"/>
      <c r="R1942" s="48"/>
      <c r="S1942" s="48"/>
      <c r="T1942" s="48"/>
      <c r="U1942" s="48"/>
      <c r="V1942" s="48"/>
      <c r="W1942" s="49"/>
      <c r="X1942" s="49"/>
      <c r="Y1942" s="49"/>
      <c r="Z1942" s="49"/>
      <c r="AA1942" s="49"/>
      <c r="AB1942" s="49"/>
      <c r="AC1942" s="49"/>
      <c r="AD1942" s="49"/>
      <c r="AE1942" s="49"/>
      <c r="AF1942" s="49"/>
      <c r="AG1942" s="49"/>
      <c r="AH1942" s="49"/>
      <c r="AI1942" s="48"/>
      <c r="AJ1942" s="48"/>
      <c r="AK1942" s="24"/>
      <c r="AL1942" s="50"/>
      <c r="AM1942" s="50"/>
      <c r="AN1942" s="50"/>
      <c r="AO1942" s="50"/>
      <c r="AP1942" s="50"/>
      <c r="AQ1942" s="50"/>
      <c r="AR1942" s="50"/>
      <c r="AS1942" s="50"/>
      <c r="AT1942" s="51"/>
      <c r="AU1942" s="51"/>
      <c r="AV1942" s="51"/>
      <c r="AW1942" s="51"/>
      <c r="AX1942" s="50"/>
      <c r="AY1942" s="50"/>
      <c r="AZ1942" s="50"/>
      <c r="BA1942" s="50"/>
      <c r="BB1942" s="51"/>
      <c r="BC1942" s="51"/>
      <c r="BD1942" s="51"/>
      <c r="BE1942" s="51"/>
      <c r="BF1942" s="47"/>
      <c r="BG1942" s="47"/>
      <c r="BH1942" s="47"/>
      <c r="BI1942" s="47"/>
      <c r="BJ1942" s="47"/>
      <c r="BK1942" s="47"/>
      <c r="BL1942" s="47"/>
      <c r="BM1942" s="47"/>
      <c r="BN1942" s="47"/>
      <c r="BO1942" s="47"/>
      <c r="BP1942" s="47"/>
      <c r="BQ1942" s="47"/>
      <c r="BR1942" s="47"/>
      <c r="BS1942" s="47"/>
      <c r="BT1942" s="47"/>
    </row>
    <row r="1943">
      <c r="A1943" s="24"/>
      <c r="B1943" s="48"/>
      <c r="C1943" s="49"/>
      <c r="D1943" s="24"/>
      <c r="E1943" s="52"/>
      <c r="F1943" s="53"/>
      <c r="G1943" s="48"/>
      <c r="H1943" s="49"/>
      <c r="I1943" s="49"/>
      <c r="J1943" s="48"/>
      <c r="K1943" s="48"/>
      <c r="L1943" s="48"/>
      <c r="M1943" s="48"/>
      <c r="N1943" s="48"/>
      <c r="O1943" s="48"/>
      <c r="P1943" s="48"/>
      <c r="Q1943" s="48"/>
      <c r="R1943" s="48"/>
      <c r="S1943" s="48"/>
      <c r="T1943" s="48"/>
      <c r="U1943" s="48"/>
      <c r="V1943" s="48"/>
      <c r="W1943" s="49"/>
      <c r="X1943" s="49"/>
      <c r="Y1943" s="49"/>
      <c r="Z1943" s="49"/>
      <c r="AA1943" s="49"/>
      <c r="AB1943" s="49"/>
      <c r="AC1943" s="49"/>
      <c r="AD1943" s="49"/>
      <c r="AE1943" s="49"/>
      <c r="AF1943" s="49"/>
      <c r="AG1943" s="49"/>
      <c r="AH1943" s="49"/>
      <c r="AI1943" s="48"/>
      <c r="AJ1943" s="48"/>
      <c r="AK1943" s="24"/>
      <c r="AL1943" s="50"/>
      <c r="AM1943" s="50"/>
      <c r="AN1943" s="50"/>
      <c r="AO1943" s="50"/>
      <c r="AP1943" s="50"/>
      <c r="AQ1943" s="50"/>
      <c r="AR1943" s="50"/>
      <c r="AS1943" s="50"/>
      <c r="AT1943" s="51"/>
      <c r="AU1943" s="51"/>
      <c r="AV1943" s="51"/>
      <c r="AW1943" s="51"/>
      <c r="AX1943" s="50"/>
      <c r="AY1943" s="50"/>
      <c r="AZ1943" s="50"/>
      <c r="BA1943" s="50"/>
      <c r="BB1943" s="51"/>
      <c r="BC1943" s="51"/>
      <c r="BD1943" s="51"/>
      <c r="BE1943" s="51"/>
      <c r="BF1943" s="47"/>
      <c r="BG1943" s="47"/>
      <c r="BH1943" s="47"/>
      <c r="BI1943" s="47"/>
      <c r="BJ1943" s="47"/>
      <c r="BK1943" s="47"/>
      <c r="BL1943" s="47"/>
      <c r="BM1943" s="47"/>
      <c r="BN1943" s="47"/>
      <c r="BO1943" s="47"/>
      <c r="BP1943" s="47"/>
      <c r="BQ1943" s="47"/>
      <c r="BR1943" s="47"/>
      <c r="BS1943" s="47"/>
      <c r="BT1943" s="47"/>
    </row>
    <row r="1944">
      <c r="A1944" s="24"/>
      <c r="B1944" s="48"/>
      <c r="C1944" s="49"/>
      <c r="D1944" s="24"/>
      <c r="E1944" s="52"/>
      <c r="F1944" s="53"/>
      <c r="G1944" s="48"/>
      <c r="H1944" s="49"/>
      <c r="I1944" s="49"/>
      <c r="J1944" s="48"/>
      <c r="K1944" s="48"/>
      <c r="L1944" s="48"/>
      <c r="M1944" s="48"/>
      <c r="N1944" s="48"/>
      <c r="O1944" s="48"/>
      <c r="P1944" s="48"/>
      <c r="Q1944" s="48"/>
      <c r="R1944" s="48"/>
      <c r="S1944" s="48"/>
      <c r="T1944" s="48"/>
      <c r="U1944" s="48"/>
      <c r="V1944" s="48"/>
      <c r="W1944" s="49"/>
      <c r="X1944" s="49"/>
      <c r="Y1944" s="49"/>
      <c r="Z1944" s="49"/>
      <c r="AA1944" s="49"/>
      <c r="AB1944" s="49"/>
      <c r="AC1944" s="49"/>
      <c r="AD1944" s="49"/>
      <c r="AE1944" s="49"/>
      <c r="AF1944" s="49"/>
      <c r="AG1944" s="49"/>
      <c r="AH1944" s="49"/>
      <c r="AI1944" s="48"/>
      <c r="AJ1944" s="48"/>
      <c r="AK1944" s="24"/>
      <c r="AL1944" s="50"/>
      <c r="AM1944" s="50"/>
      <c r="AN1944" s="50"/>
      <c r="AO1944" s="50"/>
      <c r="AP1944" s="50"/>
      <c r="AQ1944" s="50"/>
      <c r="AR1944" s="50"/>
      <c r="AS1944" s="50"/>
      <c r="AT1944" s="51"/>
      <c r="AU1944" s="51"/>
      <c r="AV1944" s="51"/>
      <c r="AW1944" s="51"/>
      <c r="AX1944" s="50"/>
      <c r="AY1944" s="50"/>
      <c r="AZ1944" s="50"/>
      <c r="BA1944" s="50"/>
      <c r="BB1944" s="51"/>
      <c r="BC1944" s="51"/>
      <c r="BD1944" s="51"/>
      <c r="BE1944" s="51"/>
      <c r="BF1944" s="47"/>
      <c r="BG1944" s="47"/>
      <c r="BH1944" s="47"/>
      <c r="BI1944" s="47"/>
      <c r="BJ1944" s="47"/>
      <c r="BK1944" s="47"/>
      <c r="BL1944" s="47"/>
      <c r="BM1944" s="47"/>
      <c r="BN1944" s="47"/>
      <c r="BO1944" s="47"/>
      <c r="BP1944" s="47"/>
      <c r="BQ1944" s="47"/>
      <c r="BR1944" s="47"/>
      <c r="BS1944" s="47"/>
      <c r="BT1944" s="47"/>
    </row>
    <row r="1945">
      <c r="A1945" s="24"/>
      <c r="B1945" s="48"/>
      <c r="C1945" s="49"/>
      <c r="D1945" s="24"/>
      <c r="E1945" s="52"/>
      <c r="F1945" s="53"/>
      <c r="G1945" s="48"/>
      <c r="H1945" s="49"/>
      <c r="I1945" s="49"/>
      <c r="J1945" s="48"/>
      <c r="K1945" s="48"/>
      <c r="L1945" s="48"/>
      <c r="M1945" s="48"/>
      <c r="N1945" s="48"/>
      <c r="O1945" s="48"/>
      <c r="P1945" s="48"/>
      <c r="Q1945" s="48"/>
      <c r="R1945" s="48"/>
      <c r="S1945" s="48"/>
      <c r="T1945" s="48"/>
      <c r="U1945" s="48"/>
      <c r="V1945" s="48"/>
      <c r="W1945" s="49"/>
      <c r="X1945" s="49"/>
      <c r="Y1945" s="49"/>
      <c r="Z1945" s="49"/>
      <c r="AA1945" s="49"/>
      <c r="AB1945" s="49"/>
      <c r="AC1945" s="49"/>
      <c r="AD1945" s="49"/>
      <c r="AE1945" s="49"/>
      <c r="AF1945" s="49"/>
      <c r="AG1945" s="49"/>
      <c r="AH1945" s="49"/>
      <c r="AI1945" s="48"/>
      <c r="AJ1945" s="48"/>
      <c r="AK1945" s="24"/>
      <c r="AL1945" s="50"/>
      <c r="AM1945" s="50"/>
      <c r="AN1945" s="50"/>
      <c r="AO1945" s="50"/>
      <c r="AP1945" s="50"/>
      <c r="AQ1945" s="50"/>
      <c r="AR1945" s="50"/>
      <c r="AS1945" s="50"/>
      <c r="AT1945" s="51"/>
      <c r="AU1945" s="51"/>
      <c r="AV1945" s="51"/>
      <c r="AW1945" s="51"/>
      <c r="AX1945" s="50"/>
      <c r="AY1945" s="50"/>
      <c r="AZ1945" s="50"/>
      <c r="BA1945" s="50"/>
      <c r="BB1945" s="51"/>
      <c r="BC1945" s="51"/>
      <c r="BD1945" s="51"/>
      <c r="BE1945" s="51"/>
      <c r="BF1945" s="47"/>
      <c r="BG1945" s="47"/>
      <c r="BH1945" s="47"/>
      <c r="BI1945" s="47"/>
      <c r="BJ1945" s="47"/>
      <c r="BK1945" s="47"/>
      <c r="BL1945" s="47"/>
      <c r="BM1945" s="47"/>
      <c r="BN1945" s="47"/>
      <c r="BO1945" s="47"/>
      <c r="BP1945" s="47"/>
      <c r="BQ1945" s="47"/>
      <c r="BR1945" s="47"/>
      <c r="BS1945" s="47"/>
      <c r="BT1945" s="47"/>
    </row>
    <row r="1946">
      <c r="A1946" s="24"/>
      <c r="B1946" s="48"/>
      <c r="C1946" s="49"/>
      <c r="D1946" s="24"/>
      <c r="E1946" s="52"/>
      <c r="F1946" s="53"/>
      <c r="G1946" s="48"/>
      <c r="H1946" s="49"/>
      <c r="I1946" s="49"/>
      <c r="J1946" s="48"/>
      <c r="K1946" s="48"/>
      <c r="L1946" s="48"/>
      <c r="M1946" s="48"/>
      <c r="N1946" s="48"/>
      <c r="O1946" s="48"/>
      <c r="P1946" s="48"/>
      <c r="Q1946" s="48"/>
      <c r="R1946" s="48"/>
      <c r="S1946" s="48"/>
      <c r="T1946" s="48"/>
      <c r="U1946" s="48"/>
      <c r="V1946" s="48"/>
      <c r="W1946" s="49"/>
      <c r="X1946" s="49"/>
      <c r="Y1946" s="49"/>
      <c r="Z1946" s="49"/>
      <c r="AA1946" s="49"/>
      <c r="AB1946" s="49"/>
      <c r="AC1946" s="49"/>
      <c r="AD1946" s="49"/>
      <c r="AE1946" s="49"/>
      <c r="AF1946" s="49"/>
      <c r="AG1946" s="49"/>
      <c r="AH1946" s="49"/>
      <c r="AI1946" s="48"/>
      <c r="AJ1946" s="48"/>
      <c r="AK1946" s="24"/>
      <c r="AL1946" s="50"/>
      <c r="AM1946" s="50"/>
      <c r="AN1946" s="50"/>
      <c r="AO1946" s="50"/>
      <c r="AP1946" s="50"/>
      <c r="AQ1946" s="50"/>
      <c r="AR1946" s="50"/>
      <c r="AS1946" s="50"/>
      <c r="AT1946" s="51"/>
      <c r="AU1946" s="51"/>
      <c r="AV1946" s="51"/>
      <c r="AW1946" s="51"/>
      <c r="AX1946" s="50"/>
      <c r="AY1946" s="50"/>
      <c r="AZ1946" s="50"/>
      <c r="BA1946" s="50"/>
      <c r="BB1946" s="51"/>
      <c r="BC1946" s="51"/>
      <c r="BD1946" s="51"/>
      <c r="BE1946" s="51"/>
      <c r="BF1946" s="47"/>
      <c r="BG1946" s="47"/>
      <c r="BH1946" s="47"/>
      <c r="BI1946" s="47"/>
      <c r="BJ1946" s="47"/>
      <c r="BK1946" s="47"/>
      <c r="BL1946" s="47"/>
      <c r="BM1946" s="47"/>
      <c r="BN1946" s="47"/>
      <c r="BO1946" s="47"/>
      <c r="BP1946" s="47"/>
      <c r="BQ1946" s="47"/>
      <c r="BR1946" s="47"/>
      <c r="BS1946" s="47"/>
      <c r="BT1946" s="47"/>
    </row>
    <row r="1947">
      <c r="A1947" s="24"/>
      <c r="B1947" s="48"/>
      <c r="C1947" s="49"/>
      <c r="D1947" s="24"/>
      <c r="E1947" s="52"/>
      <c r="F1947" s="53"/>
      <c r="G1947" s="48"/>
      <c r="H1947" s="49"/>
      <c r="I1947" s="49"/>
      <c r="J1947" s="48"/>
      <c r="K1947" s="48"/>
      <c r="L1947" s="48"/>
      <c r="M1947" s="48"/>
      <c r="N1947" s="48"/>
      <c r="O1947" s="48"/>
      <c r="P1947" s="48"/>
      <c r="Q1947" s="48"/>
      <c r="R1947" s="48"/>
      <c r="S1947" s="48"/>
      <c r="T1947" s="48"/>
      <c r="U1947" s="48"/>
      <c r="V1947" s="48"/>
      <c r="W1947" s="49"/>
      <c r="X1947" s="49"/>
      <c r="Y1947" s="49"/>
      <c r="Z1947" s="49"/>
      <c r="AA1947" s="49"/>
      <c r="AB1947" s="49"/>
      <c r="AC1947" s="49"/>
      <c r="AD1947" s="49"/>
      <c r="AE1947" s="49"/>
      <c r="AF1947" s="49"/>
      <c r="AG1947" s="49"/>
      <c r="AH1947" s="49"/>
      <c r="AI1947" s="48"/>
      <c r="AJ1947" s="48"/>
      <c r="AK1947" s="24"/>
      <c r="AL1947" s="50"/>
      <c r="AM1947" s="50"/>
      <c r="AN1947" s="50"/>
      <c r="AO1947" s="50"/>
      <c r="AP1947" s="50"/>
      <c r="AQ1947" s="50"/>
      <c r="AR1947" s="50"/>
      <c r="AS1947" s="50"/>
      <c r="AT1947" s="51"/>
      <c r="AU1947" s="51"/>
      <c r="AV1947" s="51"/>
      <c r="AW1947" s="51"/>
      <c r="AX1947" s="50"/>
      <c r="AY1947" s="50"/>
      <c r="AZ1947" s="50"/>
      <c r="BA1947" s="50"/>
      <c r="BB1947" s="51"/>
      <c r="BC1947" s="51"/>
      <c r="BD1947" s="51"/>
      <c r="BE1947" s="51"/>
      <c r="BF1947" s="47"/>
      <c r="BG1947" s="47"/>
      <c r="BH1947" s="47"/>
      <c r="BI1947" s="47"/>
      <c r="BJ1947" s="47"/>
      <c r="BK1947" s="47"/>
      <c r="BL1947" s="47"/>
      <c r="BM1947" s="47"/>
      <c r="BN1947" s="47"/>
      <c r="BO1947" s="47"/>
      <c r="BP1947" s="47"/>
      <c r="BQ1947" s="47"/>
      <c r="BR1947" s="47"/>
      <c r="BS1947" s="47"/>
      <c r="BT1947" s="47"/>
    </row>
    <row r="1948">
      <c r="A1948" s="24"/>
      <c r="B1948" s="48"/>
      <c r="C1948" s="49"/>
      <c r="D1948" s="24"/>
      <c r="E1948" s="52"/>
      <c r="F1948" s="53"/>
      <c r="G1948" s="48"/>
      <c r="H1948" s="49"/>
      <c r="I1948" s="49"/>
      <c r="J1948" s="48"/>
      <c r="K1948" s="48"/>
      <c r="L1948" s="48"/>
      <c r="M1948" s="48"/>
      <c r="N1948" s="48"/>
      <c r="O1948" s="48"/>
      <c r="P1948" s="48"/>
      <c r="Q1948" s="48"/>
      <c r="R1948" s="48"/>
      <c r="S1948" s="48"/>
      <c r="T1948" s="48"/>
      <c r="U1948" s="48"/>
      <c r="V1948" s="48"/>
      <c r="W1948" s="49"/>
      <c r="X1948" s="49"/>
      <c r="Y1948" s="49"/>
      <c r="Z1948" s="49"/>
      <c r="AA1948" s="49"/>
      <c r="AB1948" s="49"/>
      <c r="AC1948" s="49"/>
      <c r="AD1948" s="49"/>
      <c r="AE1948" s="49"/>
      <c r="AF1948" s="49"/>
      <c r="AG1948" s="49"/>
      <c r="AH1948" s="49"/>
      <c r="AI1948" s="48"/>
      <c r="AJ1948" s="48"/>
      <c r="AK1948" s="24"/>
      <c r="AL1948" s="50"/>
      <c r="AM1948" s="50"/>
      <c r="AN1948" s="50"/>
      <c r="AO1948" s="50"/>
      <c r="AP1948" s="50"/>
      <c r="AQ1948" s="50"/>
      <c r="AR1948" s="50"/>
      <c r="AS1948" s="50"/>
      <c r="AT1948" s="51"/>
      <c r="AU1948" s="51"/>
      <c r="AV1948" s="51"/>
      <c r="AW1948" s="51"/>
      <c r="AX1948" s="50"/>
      <c r="AY1948" s="50"/>
      <c r="AZ1948" s="50"/>
      <c r="BA1948" s="50"/>
      <c r="BB1948" s="51"/>
      <c r="BC1948" s="51"/>
      <c r="BD1948" s="51"/>
      <c r="BE1948" s="51"/>
      <c r="BF1948" s="47"/>
      <c r="BG1948" s="47"/>
      <c r="BH1948" s="47"/>
      <c r="BI1948" s="47"/>
      <c r="BJ1948" s="47"/>
      <c r="BK1948" s="47"/>
      <c r="BL1948" s="47"/>
      <c r="BM1948" s="47"/>
      <c r="BN1948" s="47"/>
      <c r="BO1948" s="47"/>
      <c r="BP1948" s="47"/>
      <c r="BQ1948" s="47"/>
      <c r="BR1948" s="47"/>
      <c r="BS1948" s="47"/>
      <c r="BT1948" s="47"/>
    </row>
    <row r="1949">
      <c r="A1949" s="24"/>
      <c r="B1949" s="48"/>
      <c r="C1949" s="49"/>
      <c r="D1949" s="24"/>
      <c r="E1949" s="52"/>
      <c r="F1949" s="53"/>
      <c r="G1949" s="48"/>
      <c r="H1949" s="49"/>
      <c r="I1949" s="49"/>
      <c r="J1949" s="48"/>
      <c r="K1949" s="48"/>
      <c r="L1949" s="48"/>
      <c r="M1949" s="48"/>
      <c r="N1949" s="48"/>
      <c r="O1949" s="48"/>
      <c r="P1949" s="48"/>
      <c r="Q1949" s="48"/>
      <c r="R1949" s="48"/>
      <c r="S1949" s="48"/>
      <c r="T1949" s="48"/>
      <c r="U1949" s="48"/>
      <c r="V1949" s="48"/>
      <c r="W1949" s="49"/>
      <c r="X1949" s="49"/>
      <c r="Y1949" s="49"/>
      <c r="Z1949" s="49"/>
      <c r="AA1949" s="49"/>
      <c r="AB1949" s="49"/>
      <c r="AC1949" s="49"/>
      <c r="AD1949" s="49"/>
      <c r="AE1949" s="49"/>
      <c r="AF1949" s="49"/>
      <c r="AG1949" s="49"/>
      <c r="AH1949" s="49"/>
      <c r="AI1949" s="48"/>
      <c r="AJ1949" s="48"/>
      <c r="AK1949" s="24"/>
      <c r="AL1949" s="50"/>
      <c r="AM1949" s="50"/>
      <c r="AN1949" s="50"/>
      <c r="AO1949" s="50"/>
      <c r="AP1949" s="50"/>
      <c r="AQ1949" s="50"/>
      <c r="AR1949" s="50"/>
      <c r="AS1949" s="50"/>
      <c r="AT1949" s="51"/>
      <c r="AU1949" s="51"/>
      <c r="AV1949" s="51"/>
      <c r="AW1949" s="51"/>
      <c r="AX1949" s="50"/>
      <c r="AY1949" s="50"/>
      <c r="AZ1949" s="50"/>
      <c r="BA1949" s="50"/>
      <c r="BB1949" s="51"/>
      <c r="BC1949" s="51"/>
      <c r="BD1949" s="51"/>
      <c r="BE1949" s="51"/>
      <c r="BF1949" s="47"/>
      <c r="BG1949" s="47"/>
      <c r="BH1949" s="47"/>
      <c r="BI1949" s="47"/>
      <c r="BJ1949" s="47"/>
      <c r="BK1949" s="47"/>
      <c r="BL1949" s="47"/>
      <c r="BM1949" s="47"/>
      <c r="BN1949" s="47"/>
      <c r="BO1949" s="47"/>
      <c r="BP1949" s="47"/>
      <c r="BQ1949" s="47"/>
      <c r="BR1949" s="47"/>
      <c r="BS1949" s="47"/>
      <c r="BT1949" s="47"/>
    </row>
    <row r="1950">
      <c r="A1950" s="24"/>
      <c r="B1950" s="48"/>
      <c r="C1950" s="49"/>
      <c r="D1950" s="24"/>
      <c r="E1950" s="52"/>
      <c r="F1950" s="53"/>
      <c r="G1950" s="48"/>
      <c r="H1950" s="49"/>
      <c r="I1950" s="49"/>
      <c r="J1950" s="48"/>
      <c r="K1950" s="48"/>
      <c r="L1950" s="48"/>
      <c r="M1950" s="48"/>
      <c r="N1950" s="48"/>
      <c r="O1950" s="48"/>
      <c r="P1950" s="48"/>
      <c r="Q1950" s="48"/>
      <c r="R1950" s="48"/>
      <c r="S1950" s="48"/>
      <c r="T1950" s="48"/>
      <c r="U1950" s="48"/>
      <c r="V1950" s="48"/>
      <c r="W1950" s="49"/>
      <c r="X1950" s="49"/>
      <c r="Y1950" s="49"/>
      <c r="Z1950" s="49"/>
      <c r="AA1950" s="49"/>
      <c r="AB1950" s="49"/>
      <c r="AC1950" s="49"/>
      <c r="AD1950" s="49"/>
      <c r="AE1950" s="49"/>
      <c r="AF1950" s="49"/>
      <c r="AG1950" s="49"/>
      <c r="AH1950" s="49"/>
      <c r="AI1950" s="48"/>
      <c r="AJ1950" s="48"/>
      <c r="AK1950" s="24"/>
      <c r="AL1950" s="50"/>
      <c r="AM1950" s="50"/>
      <c r="AN1950" s="50"/>
      <c r="AO1950" s="50"/>
      <c r="AP1950" s="50"/>
      <c r="AQ1950" s="50"/>
      <c r="AR1950" s="50"/>
      <c r="AS1950" s="50"/>
      <c r="AT1950" s="51"/>
      <c r="AU1950" s="51"/>
      <c r="AV1950" s="51"/>
      <c r="AW1950" s="51"/>
      <c r="AX1950" s="50"/>
      <c r="AY1950" s="50"/>
      <c r="AZ1950" s="50"/>
      <c r="BA1950" s="50"/>
      <c r="BB1950" s="51"/>
      <c r="BC1950" s="51"/>
      <c r="BD1950" s="51"/>
      <c r="BE1950" s="51"/>
      <c r="BF1950" s="47"/>
      <c r="BG1950" s="47"/>
      <c r="BH1950" s="47"/>
      <c r="BI1950" s="47"/>
      <c r="BJ1950" s="47"/>
      <c r="BK1950" s="47"/>
      <c r="BL1950" s="47"/>
      <c r="BM1950" s="47"/>
      <c r="BN1950" s="47"/>
      <c r="BO1950" s="47"/>
      <c r="BP1950" s="47"/>
      <c r="BQ1950" s="47"/>
      <c r="BR1950" s="47"/>
      <c r="BS1950" s="47"/>
      <c r="BT1950" s="47"/>
    </row>
    <row r="1951">
      <c r="A1951" s="24"/>
      <c r="B1951" s="48"/>
      <c r="C1951" s="49"/>
      <c r="D1951" s="24"/>
      <c r="E1951" s="52"/>
      <c r="F1951" s="53"/>
      <c r="G1951" s="48"/>
      <c r="H1951" s="49"/>
      <c r="I1951" s="49"/>
      <c r="J1951" s="48"/>
      <c r="K1951" s="48"/>
      <c r="L1951" s="48"/>
      <c r="M1951" s="48"/>
      <c r="N1951" s="48"/>
      <c r="O1951" s="48"/>
      <c r="P1951" s="48"/>
      <c r="Q1951" s="48"/>
      <c r="R1951" s="48"/>
      <c r="S1951" s="48"/>
      <c r="T1951" s="48"/>
      <c r="U1951" s="48"/>
      <c r="V1951" s="48"/>
      <c r="W1951" s="49"/>
      <c r="X1951" s="49"/>
      <c r="Y1951" s="49"/>
      <c r="Z1951" s="49"/>
      <c r="AA1951" s="49"/>
      <c r="AB1951" s="49"/>
      <c r="AC1951" s="49"/>
      <c r="AD1951" s="49"/>
      <c r="AE1951" s="49"/>
      <c r="AF1951" s="49"/>
      <c r="AG1951" s="49"/>
      <c r="AH1951" s="49"/>
      <c r="AI1951" s="48"/>
      <c r="AJ1951" s="48"/>
      <c r="AK1951" s="24"/>
      <c r="AL1951" s="50"/>
      <c r="AM1951" s="50"/>
      <c r="AN1951" s="50"/>
      <c r="AO1951" s="50"/>
      <c r="AP1951" s="50"/>
      <c r="AQ1951" s="50"/>
      <c r="AR1951" s="50"/>
      <c r="AS1951" s="50"/>
      <c r="AT1951" s="51"/>
      <c r="AU1951" s="51"/>
      <c r="AV1951" s="51"/>
      <c r="AW1951" s="51"/>
      <c r="AX1951" s="50"/>
      <c r="AY1951" s="50"/>
      <c r="AZ1951" s="50"/>
      <c r="BA1951" s="50"/>
      <c r="BB1951" s="51"/>
      <c r="BC1951" s="51"/>
      <c r="BD1951" s="51"/>
      <c r="BE1951" s="51"/>
      <c r="BF1951" s="47"/>
      <c r="BG1951" s="47"/>
      <c r="BH1951" s="47"/>
      <c r="BI1951" s="47"/>
      <c r="BJ1951" s="47"/>
      <c r="BK1951" s="47"/>
      <c r="BL1951" s="47"/>
      <c r="BM1951" s="47"/>
      <c r="BN1951" s="47"/>
      <c r="BO1951" s="47"/>
      <c r="BP1951" s="47"/>
      <c r="BQ1951" s="47"/>
      <c r="BR1951" s="47"/>
      <c r="BS1951" s="47"/>
      <c r="BT1951" s="47"/>
    </row>
    <row r="1952">
      <c r="A1952" s="24"/>
      <c r="B1952" s="48"/>
      <c r="C1952" s="49"/>
      <c r="D1952" s="24"/>
      <c r="E1952" s="52"/>
      <c r="F1952" s="53"/>
      <c r="G1952" s="48"/>
      <c r="H1952" s="49"/>
      <c r="I1952" s="49"/>
      <c r="J1952" s="48"/>
      <c r="K1952" s="48"/>
      <c r="L1952" s="48"/>
      <c r="M1952" s="48"/>
      <c r="N1952" s="48"/>
      <c r="O1952" s="48"/>
      <c r="P1952" s="48"/>
      <c r="Q1952" s="48"/>
      <c r="R1952" s="48"/>
      <c r="S1952" s="48"/>
      <c r="T1952" s="48"/>
      <c r="U1952" s="48"/>
      <c r="V1952" s="48"/>
      <c r="W1952" s="49"/>
      <c r="X1952" s="49"/>
      <c r="Y1952" s="49"/>
      <c r="Z1952" s="49"/>
      <c r="AA1952" s="49"/>
      <c r="AB1952" s="49"/>
      <c r="AC1952" s="49"/>
      <c r="AD1952" s="49"/>
      <c r="AE1952" s="49"/>
      <c r="AF1952" s="49"/>
      <c r="AG1952" s="49"/>
      <c r="AH1952" s="49"/>
      <c r="AI1952" s="48"/>
      <c r="AJ1952" s="48"/>
      <c r="AK1952" s="24"/>
      <c r="AL1952" s="50"/>
      <c r="AM1952" s="50"/>
      <c r="AN1952" s="50"/>
      <c r="AO1952" s="50"/>
      <c r="AP1952" s="50"/>
      <c r="AQ1952" s="50"/>
      <c r="AR1952" s="50"/>
      <c r="AS1952" s="50"/>
      <c r="AT1952" s="51"/>
      <c r="AU1952" s="51"/>
      <c r="AV1952" s="51"/>
      <c r="AW1952" s="51"/>
      <c r="AX1952" s="50"/>
      <c r="AY1952" s="50"/>
      <c r="AZ1952" s="50"/>
      <c r="BA1952" s="50"/>
      <c r="BB1952" s="51"/>
      <c r="BC1952" s="51"/>
      <c r="BD1952" s="51"/>
      <c r="BE1952" s="51"/>
      <c r="BF1952" s="47"/>
      <c r="BG1952" s="47"/>
      <c r="BH1952" s="47"/>
      <c r="BI1952" s="47"/>
      <c r="BJ1952" s="47"/>
      <c r="BK1952" s="47"/>
      <c r="BL1952" s="47"/>
      <c r="BM1952" s="47"/>
      <c r="BN1952" s="47"/>
      <c r="BO1952" s="47"/>
      <c r="BP1952" s="47"/>
      <c r="BQ1952" s="47"/>
      <c r="BR1952" s="47"/>
      <c r="BS1952" s="47"/>
      <c r="BT1952" s="47"/>
    </row>
    <row r="1953">
      <c r="A1953" s="24"/>
      <c r="B1953" s="48"/>
      <c r="C1953" s="49"/>
      <c r="D1953" s="24"/>
      <c r="E1953" s="52"/>
      <c r="F1953" s="53"/>
      <c r="G1953" s="48"/>
      <c r="H1953" s="49"/>
      <c r="I1953" s="49"/>
      <c r="J1953" s="48"/>
      <c r="K1953" s="48"/>
      <c r="L1953" s="48"/>
      <c r="M1953" s="48"/>
      <c r="N1953" s="48"/>
      <c r="O1953" s="48"/>
      <c r="P1953" s="48"/>
      <c r="Q1953" s="48"/>
      <c r="R1953" s="48"/>
      <c r="S1953" s="48"/>
      <c r="T1953" s="48"/>
      <c r="U1953" s="48"/>
      <c r="V1953" s="48"/>
      <c r="W1953" s="49"/>
      <c r="X1953" s="49"/>
      <c r="Y1953" s="49"/>
      <c r="Z1953" s="49"/>
      <c r="AA1953" s="49"/>
      <c r="AB1953" s="49"/>
      <c r="AC1953" s="49"/>
      <c r="AD1953" s="49"/>
      <c r="AE1953" s="49"/>
      <c r="AF1953" s="49"/>
      <c r="AG1953" s="49"/>
      <c r="AH1953" s="49"/>
      <c r="AI1953" s="48"/>
      <c r="AJ1953" s="48"/>
      <c r="AK1953" s="24"/>
      <c r="AL1953" s="50"/>
      <c r="AM1953" s="50"/>
      <c r="AN1953" s="50"/>
      <c r="AO1953" s="50"/>
      <c r="AP1953" s="50"/>
      <c r="AQ1953" s="50"/>
      <c r="AR1953" s="50"/>
      <c r="AS1953" s="50"/>
      <c r="AT1953" s="51"/>
      <c r="AU1953" s="51"/>
      <c r="AV1953" s="51"/>
      <c r="AW1953" s="51"/>
      <c r="AX1953" s="50"/>
      <c r="AY1953" s="50"/>
      <c r="AZ1953" s="50"/>
      <c r="BA1953" s="50"/>
      <c r="BB1953" s="51"/>
      <c r="BC1953" s="51"/>
      <c r="BD1953" s="51"/>
      <c r="BE1953" s="51"/>
      <c r="BF1953" s="47"/>
      <c r="BG1953" s="47"/>
      <c r="BH1953" s="47"/>
      <c r="BI1953" s="47"/>
      <c r="BJ1953" s="47"/>
      <c r="BK1953" s="47"/>
      <c r="BL1953" s="47"/>
      <c r="BM1953" s="47"/>
      <c r="BN1953" s="47"/>
      <c r="BO1953" s="47"/>
      <c r="BP1953" s="47"/>
      <c r="BQ1953" s="47"/>
      <c r="BR1953" s="47"/>
      <c r="BS1953" s="47"/>
      <c r="BT1953" s="47"/>
    </row>
    <row r="1954">
      <c r="A1954" s="24"/>
      <c r="B1954" s="48"/>
      <c r="C1954" s="49"/>
      <c r="D1954" s="24"/>
      <c r="E1954" s="52"/>
      <c r="F1954" s="53"/>
      <c r="G1954" s="48"/>
      <c r="H1954" s="49"/>
      <c r="I1954" s="49"/>
      <c r="J1954" s="48"/>
      <c r="K1954" s="48"/>
      <c r="L1954" s="48"/>
      <c r="M1954" s="48"/>
      <c r="N1954" s="48"/>
      <c r="O1954" s="48"/>
      <c r="P1954" s="48"/>
      <c r="Q1954" s="48"/>
      <c r="R1954" s="48"/>
      <c r="S1954" s="48"/>
      <c r="T1954" s="48"/>
      <c r="U1954" s="48"/>
      <c r="V1954" s="48"/>
      <c r="W1954" s="49"/>
      <c r="X1954" s="49"/>
      <c r="Y1954" s="49"/>
      <c r="Z1954" s="49"/>
      <c r="AA1954" s="49"/>
      <c r="AB1954" s="49"/>
      <c r="AC1954" s="49"/>
      <c r="AD1954" s="49"/>
      <c r="AE1954" s="49"/>
      <c r="AF1954" s="49"/>
      <c r="AG1954" s="49"/>
      <c r="AH1954" s="49"/>
      <c r="AI1954" s="48"/>
      <c r="AJ1954" s="48"/>
      <c r="AK1954" s="24"/>
      <c r="AL1954" s="50"/>
      <c r="AM1954" s="50"/>
      <c r="AN1954" s="50"/>
      <c r="AO1954" s="50"/>
      <c r="AP1954" s="50"/>
      <c r="AQ1954" s="50"/>
      <c r="AR1954" s="50"/>
      <c r="AS1954" s="50"/>
      <c r="AT1954" s="51"/>
      <c r="AU1954" s="51"/>
      <c r="AV1954" s="51"/>
      <c r="AW1954" s="51"/>
      <c r="AX1954" s="50"/>
      <c r="AY1954" s="50"/>
      <c r="AZ1954" s="50"/>
      <c r="BA1954" s="50"/>
      <c r="BB1954" s="51"/>
      <c r="BC1954" s="51"/>
      <c r="BD1954" s="51"/>
      <c r="BE1954" s="51"/>
      <c r="BF1954" s="47"/>
      <c r="BG1954" s="47"/>
      <c r="BH1954" s="47"/>
      <c r="BI1954" s="47"/>
      <c r="BJ1954" s="47"/>
      <c r="BK1954" s="47"/>
      <c r="BL1954" s="47"/>
      <c r="BM1954" s="47"/>
      <c r="BN1954" s="47"/>
      <c r="BO1954" s="47"/>
      <c r="BP1954" s="47"/>
      <c r="BQ1954" s="47"/>
      <c r="BR1954" s="47"/>
      <c r="BS1954" s="47"/>
      <c r="BT1954" s="47"/>
    </row>
    <row r="1955">
      <c r="A1955" s="24"/>
      <c r="B1955" s="48"/>
      <c r="C1955" s="49"/>
      <c r="D1955" s="24"/>
      <c r="E1955" s="52"/>
      <c r="F1955" s="53"/>
      <c r="G1955" s="48"/>
      <c r="H1955" s="49"/>
      <c r="I1955" s="49"/>
      <c r="J1955" s="48"/>
      <c r="K1955" s="48"/>
      <c r="L1955" s="48"/>
      <c r="M1955" s="48"/>
      <c r="N1955" s="48"/>
      <c r="O1955" s="48"/>
      <c r="P1955" s="48"/>
      <c r="Q1955" s="48"/>
      <c r="R1955" s="48"/>
      <c r="S1955" s="48"/>
      <c r="T1955" s="48"/>
      <c r="U1955" s="48"/>
      <c r="V1955" s="48"/>
      <c r="W1955" s="49"/>
      <c r="X1955" s="49"/>
      <c r="Y1955" s="49"/>
      <c r="Z1955" s="49"/>
      <c r="AA1955" s="49"/>
      <c r="AB1955" s="49"/>
      <c r="AC1955" s="49"/>
      <c r="AD1955" s="49"/>
      <c r="AE1955" s="49"/>
      <c r="AF1955" s="49"/>
      <c r="AG1955" s="49"/>
      <c r="AH1955" s="49"/>
      <c r="AI1955" s="48"/>
      <c r="AJ1955" s="48"/>
      <c r="AK1955" s="24"/>
      <c r="AL1955" s="50"/>
      <c r="AM1955" s="50"/>
      <c r="AN1955" s="50"/>
      <c r="AO1955" s="50"/>
      <c r="AP1955" s="50"/>
      <c r="AQ1955" s="50"/>
      <c r="AR1955" s="50"/>
      <c r="AS1955" s="50"/>
      <c r="AT1955" s="51"/>
      <c r="AU1955" s="51"/>
      <c r="AV1955" s="51"/>
      <c r="AW1955" s="51"/>
      <c r="AX1955" s="50"/>
      <c r="AY1955" s="50"/>
      <c r="AZ1955" s="50"/>
      <c r="BA1955" s="50"/>
      <c r="BB1955" s="51"/>
      <c r="BC1955" s="51"/>
      <c r="BD1955" s="51"/>
      <c r="BE1955" s="51"/>
      <c r="BF1955" s="47"/>
      <c r="BG1955" s="47"/>
      <c r="BH1955" s="47"/>
      <c r="BI1955" s="47"/>
      <c r="BJ1955" s="47"/>
      <c r="BK1955" s="47"/>
      <c r="BL1955" s="47"/>
      <c r="BM1955" s="47"/>
      <c r="BN1955" s="47"/>
      <c r="BO1955" s="47"/>
      <c r="BP1955" s="47"/>
      <c r="BQ1955" s="47"/>
      <c r="BR1955" s="47"/>
      <c r="BS1955" s="47"/>
      <c r="BT1955" s="47"/>
    </row>
    <row r="1956">
      <c r="A1956" s="24"/>
      <c r="B1956" s="48"/>
      <c r="C1956" s="49"/>
      <c r="D1956" s="24"/>
      <c r="E1956" s="52"/>
      <c r="F1956" s="53"/>
      <c r="G1956" s="48"/>
      <c r="H1956" s="49"/>
      <c r="I1956" s="49"/>
      <c r="J1956" s="48"/>
      <c r="K1956" s="48"/>
      <c r="L1956" s="48"/>
      <c r="M1956" s="48"/>
      <c r="N1956" s="48"/>
      <c r="O1956" s="48"/>
      <c r="P1956" s="48"/>
      <c r="Q1956" s="48"/>
      <c r="R1956" s="48"/>
      <c r="S1956" s="48"/>
      <c r="T1956" s="48"/>
      <c r="U1956" s="48"/>
      <c r="V1956" s="48"/>
      <c r="W1956" s="49"/>
      <c r="X1956" s="49"/>
      <c r="Y1956" s="49"/>
      <c r="Z1956" s="49"/>
      <c r="AA1956" s="49"/>
      <c r="AB1956" s="49"/>
      <c r="AC1956" s="49"/>
      <c r="AD1956" s="49"/>
      <c r="AE1956" s="49"/>
      <c r="AF1956" s="49"/>
      <c r="AG1956" s="49"/>
      <c r="AH1956" s="49"/>
      <c r="AI1956" s="48"/>
      <c r="AJ1956" s="48"/>
      <c r="AK1956" s="24"/>
      <c r="AL1956" s="50"/>
      <c r="AM1956" s="50"/>
      <c r="AN1956" s="50"/>
      <c r="AO1956" s="50"/>
      <c r="AP1956" s="50"/>
      <c r="AQ1956" s="50"/>
      <c r="AR1956" s="50"/>
      <c r="AS1956" s="50"/>
      <c r="AT1956" s="51"/>
      <c r="AU1956" s="51"/>
      <c r="AV1956" s="51"/>
      <c r="AW1956" s="51"/>
      <c r="AX1956" s="50"/>
      <c r="AY1956" s="50"/>
      <c r="AZ1956" s="50"/>
      <c r="BA1956" s="50"/>
      <c r="BB1956" s="51"/>
      <c r="BC1956" s="51"/>
      <c r="BD1956" s="51"/>
      <c r="BE1956" s="51"/>
      <c r="BF1956" s="47"/>
      <c r="BG1956" s="47"/>
      <c r="BH1956" s="47"/>
      <c r="BI1956" s="47"/>
      <c r="BJ1956" s="47"/>
      <c r="BK1956" s="47"/>
      <c r="BL1956" s="47"/>
      <c r="BM1956" s="47"/>
      <c r="BN1956" s="47"/>
      <c r="BO1956" s="47"/>
      <c r="BP1956" s="47"/>
      <c r="BQ1956" s="47"/>
      <c r="BR1956" s="47"/>
      <c r="BS1956" s="47"/>
      <c r="BT1956" s="47"/>
    </row>
    <row r="1957">
      <c r="A1957" s="24"/>
      <c r="B1957" s="48"/>
      <c r="C1957" s="49"/>
      <c r="D1957" s="24"/>
      <c r="E1957" s="52"/>
      <c r="F1957" s="53"/>
      <c r="G1957" s="48"/>
      <c r="H1957" s="49"/>
      <c r="I1957" s="49"/>
      <c r="J1957" s="48"/>
      <c r="K1957" s="48"/>
      <c r="L1957" s="48"/>
      <c r="M1957" s="48"/>
      <c r="N1957" s="48"/>
      <c r="O1957" s="48"/>
      <c r="P1957" s="48"/>
      <c r="Q1957" s="48"/>
      <c r="R1957" s="48"/>
      <c r="S1957" s="48"/>
      <c r="T1957" s="48"/>
      <c r="U1957" s="48"/>
      <c r="V1957" s="48"/>
      <c r="W1957" s="49"/>
      <c r="X1957" s="49"/>
      <c r="Y1957" s="49"/>
      <c r="Z1957" s="49"/>
      <c r="AA1957" s="49"/>
      <c r="AB1957" s="49"/>
      <c r="AC1957" s="49"/>
      <c r="AD1957" s="49"/>
      <c r="AE1957" s="49"/>
      <c r="AF1957" s="49"/>
      <c r="AG1957" s="49"/>
      <c r="AH1957" s="49"/>
      <c r="AI1957" s="48"/>
      <c r="AJ1957" s="48"/>
      <c r="AK1957" s="24"/>
      <c r="AL1957" s="50"/>
      <c r="AM1957" s="50"/>
      <c r="AN1957" s="50"/>
      <c r="AO1957" s="50"/>
      <c r="AP1957" s="50"/>
      <c r="AQ1957" s="50"/>
      <c r="AR1957" s="50"/>
      <c r="AS1957" s="50"/>
      <c r="AT1957" s="51"/>
      <c r="AU1957" s="51"/>
      <c r="AV1957" s="51"/>
      <c r="AW1957" s="51"/>
      <c r="AX1957" s="50"/>
      <c r="AY1957" s="50"/>
      <c r="AZ1957" s="50"/>
      <c r="BA1957" s="50"/>
      <c r="BB1957" s="51"/>
      <c r="BC1957" s="51"/>
      <c r="BD1957" s="51"/>
      <c r="BE1957" s="51"/>
      <c r="BF1957" s="47"/>
      <c r="BG1957" s="47"/>
      <c r="BH1957" s="47"/>
      <c r="BI1957" s="47"/>
      <c r="BJ1957" s="47"/>
      <c r="BK1957" s="47"/>
      <c r="BL1957" s="47"/>
      <c r="BM1957" s="47"/>
      <c r="BN1957" s="47"/>
      <c r="BO1957" s="47"/>
      <c r="BP1957" s="47"/>
      <c r="BQ1957" s="47"/>
      <c r="BR1957" s="47"/>
      <c r="BS1957" s="47"/>
      <c r="BT1957" s="47"/>
    </row>
    <row r="1958">
      <c r="A1958" s="24"/>
      <c r="B1958" s="48"/>
      <c r="C1958" s="49"/>
      <c r="D1958" s="24"/>
      <c r="E1958" s="52"/>
      <c r="F1958" s="53"/>
      <c r="G1958" s="48"/>
      <c r="H1958" s="49"/>
      <c r="I1958" s="49"/>
      <c r="J1958" s="48"/>
      <c r="K1958" s="48"/>
      <c r="L1958" s="48"/>
      <c r="M1958" s="48"/>
      <c r="N1958" s="48"/>
      <c r="O1958" s="48"/>
      <c r="P1958" s="48"/>
      <c r="Q1958" s="48"/>
      <c r="R1958" s="48"/>
      <c r="S1958" s="48"/>
      <c r="T1958" s="48"/>
      <c r="U1958" s="48"/>
      <c r="V1958" s="48"/>
      <c r="W1958" s="49"/>
      <c r="X1958" s="49"/>
      <c r="Y1958" s="49"/>
      <c r="Z1958" s="49"/>
      <c r="AA1958" s="49"/>
      <c r="AB1958" s="49"/>
      <c r="AC1958" s="49"/>
      <c r="AD1958" s="49"/>
      <c r="AE1958" s="49"/>
      <c r="AF1958" s="49"/>
      <c r="AG1958" s="49"/>
      <c r="AH1958" s="49"/>
      <c r="AI1958" s="48"/>
      <c r="AJ1958" s="48"/>
      <c r="AK1958" s="24"/>
      <c r="AL1958" s="50"/>
      <c r="AM1958" s="50"/>
      <c r="AN1958" s="50"/>
      <c r="AO1958" s="50"/>
      <c r="AP1958" s="50"/>
      <c r="AQ1958" s="50"/>
      <c r="AR1958" s="50"/>
      <c r="AS1958" s="50"/>
      <c r="AT1958" s="51"/>
      <c r="AU1958" s="51"/>
      <c r="AV1958" s="51"/>
      <c r="AW1958" s="51"/>
      <c r="AX1958" s="50"/>
      <c r="AY1958" s="50"/>
      <c r="AZ1958" s="50"/>
      <c r="BA1958" s="50"/>
      <c r="BB1958" s="51"/>
      <c r="BC1958" s="51"/>
      <c r="BD1958" s="51"/>
      <c r="BE1958" s="51"/>
      <c r="BF1958" s="47"/>
      <c r="BG1958" s="47"/>
      <c r="BH1958" s="47"/>
      <c r="BI1958" s="47"/>
      <c r="BJ1958" s="47"/>
      <c r="BK1958" s="47"/>
      <c r="BL1958" s="47"/>
      <c r="BM1958" s="47"/>
      <c r="BN1958" s="47"/>
      <c r="BO1958" s="47"/>
      <c r="BP1958" s="47"/>
      <c r="BQ1958" s="47"/>
      <c r="BR1958" s="47"/>
      <c r="BS1958" s="47"/>
      <c r="BT1958" s="47"/>
    </row>
    <row r="1959">
      <c r="A1959" s="24"/>
      <c r="B1959" s="48"/>
      <c r="C1959" s="49"/>
      <c r="D1959" s="24"/>
      <c r="E1959" s="52"/>
      <c r="F1959" s="53"/>
      <c r="G1959" s="48"/>
      <c r="H1959" s="49"/>
      <c r="I1959" s="49"/>
      <c r="J1959" s="48"/>
      <c r="K1959" s="48"/>
      <c r="L1959" s="48"/>
      <c r="M1959" s="48"/>
      <c r="N1959" s="48"/>
      <c r="O1959" s="48"/>
      <c r="P1959" s="48"/>
      <c r="Q1959" s="48"/>
      <c r="R1959" s="48"/>
      <c r="S1959" s="48"/>
      <c r="T1959" s="48"/>
      <c r="U1959" s="48"/>
      <c r="V1959" s="48"/>
      <c r="W1959" s="49"/>
      <c r="X1959" s="49"/>
      <c r="Y1959" s="49"/>
      <c r="Z1959" s="49"/>
      <c r="AA1959" s="49"/>
      <c r="AB1959" s="49"/>
      <c r="AC1959" s="49"/>
      <c r="AD1959" s="49"/>
      <c r="AE1959" s="49"/>
      <c r="AF1959" s="49"/>
      <c r="AG1959" s="49"/>
      <c r="AH1959" s="49"/>
      <c r="AI1959" s="48"/>
      <c r="AJ1959" s="48"/>
      <c r="AK1959" s="24"/>
      <c r="AL1959" s="50"/>
      <c r="AM1959" s="50"/>
      <c r="AN1959" s="50"/>
      <c r="AO1959" s="50"/>
      <c r="AP1959" s="50"/>
      <c r="AQ1959" s="50"/>
      <c r="AR1959" s="50"/>
      <c r="AS1959" s="50"/>
      <c r="AT1959" s="51"/>
      <c r="AU1959" s="51"/>
      <c r="AV1959" s="51"/>
      <c r="AW1959" s="51"/>
      <c r="AX1959" s="50"/>
      <c r="AY1959" s="50"/>
      <c r="AZ1959" s="50"/>
      <c r="BA1959" s="50"/>
      <c r="BB1959" s="51"/>
      <c r="BC1959" s="51"/>
      <c r="BD1959" s="51"/>
      <c r="BE1959" s="51"/>
      <c r="BF1959" s="47"/>
      <c r="BG1959" s="47"/>
      <c r="BH1959" s="47"/>
      <c r="BI1959" s="47"/>
      <c r="BJ1959" s="47"/>
      <c r="BK1959" s="47"/>
      <c r="BL1959" s="47"/>
      <c r="BM1959" s="47"/>
      <c r="BN1959" s="47"/>
      <c r="BO1959" s="47"/>
      <c r="BP1959" s="47"/>
      <c r="BQ1959" s="47"/>
      <c r="BR1959" s="47"/>
      <c r="BS1959" s="47"/>
      <c r="BT1959" s="47"/>
    </row>
    <row r="1960">
      <c r="A1960" s="24"/>
      <c r="B1960" s="48"/>
      <c r="C1960" s="49"/>
      <c r="D1960" s="24"/>
      <c r="E1960" s="52"/>
      <c r="F1960" s="53"/>
      <c r="G1960" s="48"/>
      <c r="H1960" s="49"/>
      <c r="I1960" s="49"/>
      <c r="J1960" s="48"/>
      <c r="K1960" s="48"/>
      <c r="L1960" s="48"/>
      <c r="M1960" s="48"/>
      <c r="N1960" s="48"/>
      <c r="O1960" s="48"/>
      <c r="P1960" s="48"/>
      <c r="Q1960" s="48"/>
      <c r="R1960" s="48"/>
      <c r="S1960" s="48"/>
      <c r="T1960" s="48"/>
      <c r="U1960" s="48"/>
      <c r="V1960" s="48"/>
      <c r="W1960" s="49"/>
      <c r="X1960" s="49"/>
      <c r="Y1960" s="49"/>
      <c r="Z1960" s="49"/>
      <c r="AA1960" s="49"/>
      <c r="AB1960" s="49"/>
      <c r="AC1960" s="49"/>
      <c r="AD1960" s="49"/>
      <c r="AE1960" s="49"/>
      <c r="AF1960" s="49"/>
      <c r="AG1960" s="49"/>
      <c r="AH1960" s="49"/>
      <c r="AI1960" s="48"/>
      <c r="AJ1960" s="48"/>
      <c r="AK1960" s="24"/>
      <c r="AL1960" s="50"/>
      <c r="AM1960" s="50"/>
      <c r="AN1960" s="50"/>
      <c r="AO1960" s="50"/>
      <c r="AP1960" s="50"/>
      <c r="AQ1960" s="50"/>
      <c r="AR1960" s="50"/>
      <c r="AS1960" s="50"/>
      <c r="AT1960" s="51"/>
      <c r="AU1960" s="51"/>
      <c r="AV1960" s="51"/>
      <c r="AW1960" s="51"/>
      <c r="AX1960" s="50"/>
      <c r="AY1960" s="50"/>
      <c r="AZ1960" s="50"/>
      <c r="BA1960" s="50"/>
      <c r="BB1960" s="51"/>
      <c r="BC1960" s="51"/>
      <c r="BD1960" s="51"/>
      <c r="BE1960" s="51"/>
      <c r="BF1960" s="47"/>
      <c r="BG1960" s="47"/>
      <c r="BH1960" s="47"/>
      <c r="BI1960" s="47"/>
      <c r="BJ1960" s="47"/>
      <c r="BK1960" s="47"/>
      <c r="BL1960" s="47"/>
      <c r="BM1960" s="47"/>
      <c r="BN1960" s="47"/>
      <c r="BO1960" s="47"/>
      <c r="BP1960" s="47"/>
      <c r="BQ1960" s="47"/>
      <c r="BR1960" s="47"/>
      <c r="BS1960" s="47"/>
      <c r="BT1960" s="47"/>
    </row>
    <row r="1961">
      <c r="A1961" s="24"/>
      <c r="B1961" s="48"/>
      <c r="C1961" s="49"/>
      <c r="D1961" s="24"/>
      <c r="E1961" s="52"/>
      <c r="F1961" s="53"/>
      <c r="G1961" s="48"/>
      <c r="H1961" s="49"/>
      <c r="I1961" s="49"/>
      <c r="J1961" s="48"/>
      <c r="K1961" s="48"/>
      <c r="L1961" s="48"/>
      <c r="M1961" s="48"/>
      <c r="N1961" s="48"/>
      <c r="O1961" s="48"/>
      <c r="P1961" s="48"/>
      <c r="Q1961" s="48"/>
      <c r="R1961" s="48"/>
      <c r="S1961" s="48"/>
      <c r="T1961" s="48"/>
      <c r="U1961" s="48"/>
      <c r="V1961" s="48"/>
      <c r="W1961" s="49"/>
      <c r="X1961" s="49"/>
      <c r="Y1961" s="49"/>
      <c r="Z1961" s="49"/>
      <c r="AA1961" s="49"/>
      <c r="AB1961" s="49"/>
      <c r="AC1961" s="49"/>
      <c r="AD1961" s="49"/>
      <c r="AE1961" s="49"/>
      <c r="AF1961" s="49"/>
      <c r="AG1961" s="49"/>
      <c r="AH1961" s="49"/>
      <c r="AI1961" s="48"/>
      <c r="AJ1961" s="48"/>
      <c r="AK1961" s="24"/>
      <c r="AL1961" s="50"/>
      <c r="AM1961" s="50"/>
      <c r="AN1961" s="50"/>
      <c r="AO1961" s="50"/>
      <c r="AP1961" s="50"/>
      <c r="AQ1961" s="50"/>
      <c r="AR1961" s="50"/>
      <c r="AS1961" s="50"/>
      <c r="AT1961" s="51"/>
      <c r="AU1961" s="51"/>
      <c r="AV1961" s="51"/>
      <c r="AW1961" s="51"/>
      <c r="AX1961" s="50"/>
      <c r="AY1961" s="50"/>
      <c r="AZ1961" s="50"/>
      <c r="BA1961" s="50"/>
      <c r="BB1961" s="51"/>
      <c r="BC1961" s="51"/>
      <c r="BD1961" s="51"/>
      <c r="BE1961" s="51"/>
      <c r="BF1961" s="47"/>
      <c r="BG1961" s="47"/>
      <c r="BH1961" s="47"/>
      <c r="BI1961" s="47"/>
      <c r="BJ1961" s="47"/>
      <c r="BK1961" s="47"/>
      <c r="BL1961" s="47"/>
      <c r="BM1961" s="47"/>
      <c r="BN1961" s="47"/>
      <c r="BO1961" s="47"/>
      <c r="BP1961" s="47"/>
      <c r="BQ1961" s="47"/>
      <c r="BR1961" s="47"/>
      <c r="BS1961" s="47"/>
      <c r="BT1961" s="47"/>
    </row>
    <row r="1962">
      <c r="A1962" s="24"/>
      <c r="B1962" s="48"/>
      <c r="C1962" s="49"/>
      <c r="D1962" s="24"/>
      <c r="E1962" s="52"/>
      <c r="F1962" s="53"/>
      <c r="G1962" s="48"/>
      <c r="H1962" s="49"/>
      <c r="I1962" s="49"/>
      <c r="J1962" s="48"/>
      <c r="K1962" s="48"/>
      <c r="L1962" s="48"/>
      <c r="M1962" s="48"/>
      <c r="N1962" s="48"/>
      <c r="O1962" s="48"/>
      <c r="P1962" s="48"/>
      <c r="Q1962" s="48"/>
      <c r="R1962" s="48"/>
      <c r="S1962" s="48"/>
      <c r="T1962" s="48"/>
      <c r="U1962" s="48"/>
      <c r="V1962" s="48"/>
      <c r="W1962" s="49"/>
      <c r="X1962" s="49"/>
      <c r="Y1962" s="49"/>
      <c r="Z1962" s="49"/>
      <c r="AA1962" s="49"/>
      <c r="AB1962" s="49"/>
      <c r="AC1962" s="49"/>
      <c r="AD1962" s="49"/>
      <c r="AE1962" s="49"/>
      <c r="AF1962" s="49"/>
      <c r="AG1962" s="49"/>
      <c r="AH1962" s="49"/>
      <c r="AI1962" s="48"/>
      <c r="AJ1962" s="48"/>
      <c r="AK1962" s="24"/>
      <c r="AL1962" s="50"/>
      <c r="AM1962" s="50"/>
      <c r="AN1962" s="50"/>
      <c r="AO1962" s="50"/>
      <c r="AP1962" s="50"/>
      <c r="AQ1962" s="50"/>
      <c r="AR1962" s="50"/>
      <c r="AS1962" s="50"/>
      <c r="AT1962" s="51"/>
      <c r="AU1962" s="51"/>
      <c r="AV1962" s="51"/>
      <c r="AW1962" s="51"/>
      <c r="AX1962" s="50"/>
      <c r="AY1962" s="50"/>
      <c r="AZ1962" s="50"/>
      <c r="BA1962" s="50"/>
      <c r="BB1962" s="51"/>
      <c r="BC1962" s="51"/>
      <c r="BD1962" s="51"/>
      <c r="BE1962" s="51"/>
      <c r="BF1962" s="47"/>
      <c r="BG1962" s="47"/>
      <c r="BH1962" s="47"/>
      <c r="BI1962" s="47"/>
      <c r="BJ1962" s="47"/>
      <c r="BK1962" s="47"/>
      <c r="BL1962" s="47"/>
      <c r="BM1962" s="47"/>
      <c r="BN1962" s="47"/>
      <c r="BO1962" s="47"/>
      <c r="BP1962" s="47"/>
      <c r="BQ1962" s="47"/>
      <c r="BR1962" s="47"/>
      <c r="BS1962" s="47"/>
      <c r="BT1962" s="47"/>
    </row>
    <row r="1963">
      <c r="A1963" s="24"/>
      <c r="B1963" s="48"/>
      <c r="C1963" s="49"/>
      <c r="D1963" s="24"/>
      <c r="E1963" s="52"/>
      <c r="F1963" s="53"/>
      <c r="G1963" s="48"/>
      <c r="H1963" s="49"/>
      <c r="I1963" s="49"/>
      <c r="J1963" s="48"/>
      <c r="K1963" s="48"/>
      <c r="L1963" s="48"/>
      <c r="M1963" s="48"/>
      <c r="N1963" s="48"/>
      <c r="O1963" s="48"/>
      <c r="P1963" s="48"/>
      <c r="Q1963" s="48"/>
      <c r="R1963" s="48"/>
      <c r="S1963" s="48"/>
      <c r="T1963" s="48"/>
      <c r="U1963" s="48"/>
      <c r="V1963" s="48"/>
      <c r="W1963" s="49"/>
      <c r="X1963" s="49"/>
      <c r="Y1963" s="49"/>
      <c r="Z1963" s="49"/>
      <c r="AA1963" s="49"/>
      <c r="AB1963" s="49"/>
      <c r="AC1963" s="49"/>
      <c r="AD1963" s="49"/>
      <c r="AE1963" s="49"/>
      <c r="AF1963" s="49"/>
      <c r="AG1963" s="49"/>
      <c r="AH1963" s="49"/>
      <c r="AI1963" s="48"/>
      <c r="AJ1963" s="48"/>
      <c r="AK1963" s="24"/>
      <c r="AL1963" s="50"/>
      <c r="AM1963" s="50"/>
      <c r="AN1963" s="50"/>
      <c r="AO1963" s="50"/>
      <c r="AP1963" s="50"/>
      <c r="AQ1963" s="50"/>
      <c r="AR1963" s="50"/>
      <c r="AS1963" s="50"/>
      <c r="AT1963" s="51"/>
      <c r="AU1963" s="51"/>
      <c r="AV1963" s="51"/>
      <c r="AW1963" s="51"/>
      <c r="AX1963" s="50"/>
      <c r="AY1963" s="50"/>
      <c r="AZ1963" s="50"/>
      <c r="BA1963" s="50"/>
      <c r="BB1963" s="51"/>
      <c r="BC1963" s="51"/>
      <c r="BD1963" s="51"/>
      <c r="BE1963" s="51"/>
      <c r="BF1963" s="47"/>
      <c r="BG1963" s="47"/>
      <c r="BH1963" s="47"/>
      <c r="BI1963" s="47"/>
      <c r="BJ1963" s="47"/>
      <c r="BK1963" s="47"/>
      <c r="BL1963" s="47"/>
      <c r="BM1963" s="47"/>
      <c r="BN1963" s="47"/>
      <c r="BO1963" s="47"/>
      <c r="BP1963" s="47"/>
      <c r="BQ1963" s="47"/>
      <c r="BR1963" s="47"/>
      <c r="BS1963" s="47"/>
      <c r="BT1963" s="47"/>
    </row>
    <row r="1964">
      <c r="A1964" s="24"/>
      <c r="B1964" s="48"/>
      <c r="C1964" s="49"/>
      <c r="D1964" s="24"/>
      <c r="E1964" s="52"/>
      <c r="F1964" s="53"/>
      <c r="G1964" s="48"/>
      <c r="H1964" s="49"/>
      <c r="I1964" s="49"/>
      <c r="J1964" s="48"/>
      <c r="K1964" s="48"/>
      <c r="L1964" s="48"/>
      <c r="M1964" s="48"/>
      <c r="N1964" s="48"/>
      <c r="O1964" s="48"/>
      <c r="P1964" s="48"/>
      <c r="Q1964" s="48"/>
      <c r="R1964" s="48"/>
      <c r="S1964" s="48"/>
      <c r="T1964" s="48"/>
      <c r="U1964" s="48"/>
      <c r="V1964" s="48"/>
      <c r="W1964" s="49"/>
      <c r="X1964" s="49"/>
      <c r="Y1964" s="49"/>
      <c r="Z1964" s="49"/>
      <c r="AA1964" s="49"/>
      <c r="AB1964" s="49"/>
      <c r="AC1964" s="49"/>
      <c r="AD1964" s="49"/>
      <c r="AE1964" s="49"/>
      <c r="AF1964" s="49"/>
      <c r="AG1964" s="49"/>
      <c r="AH1964" s="49"/>
      <c r="AI1964" s="48"/>
      <c r="AJ1964" s="48"/>
      <c r="AK1964" s="24"/>
      <c r="AL1964" s="50"/>
      <c r="AM1964" s="50"/>
      <c r="AN1964" s="50"/>
      <c r="AO1964" s="50"/>
      <c r="AP1964" s="50"/>
      <c r="AQ1964" s="50"/>
      <c r="AR1964" s="50"/>
      <c r="AS1964" s="50"/>
      <c r="AT1964" s="51"/>
      <c r="AU1964" s="51"/>
      <c r="AV1964" s="51"/>
      <c r="AW1964" s="51"/>
      <c r="AX1964" s="50"/>
      <c r="AY1964" s="50"/>
      <c r="AZ1964" s="50"/>
      <c r="BA1964" s="50"/>
      <c r="BB1964" s="51"/>
      <c r="BC1964" s="51"/>
      <c r="BD1964" s="51"/>
      <c r="BE1964" s="51"/>
      <c r="BF1964" s="47"/>
      <c r="BG1964" s="47"/>
      <c r="BH1964" s="47"/>
      <c r="BI1964" s="47"/>
      <c r="BJ1964" s="47"/>
      <c r="BK1964" s="47"/>
      <c r="BL1964" s="47"/>
      <c r="BM1964" s="47"/>
      <c r="BN1964" s="47"/>
      <c r="BO1964" s="47"/>
      <c r="BP1964" s="47"/>
      <c r="BQ1964" s="47"/>
      <c r="BR1964" s="47"/>
      <c r="BS1964" s="47"/>
      <c r="BT1964" s="47"/>
    </row>
    <row r="1965">
      <c r="A1965" s="24"/>
      <c r="B1965" s="48"/>
      <c r="C1965" s="49"/>
      <c r="D1965" s="24"/>
      <c r="E1965" s="52"/>
      <c r="F1965" s="53"/>
      <c r="G1965" s="48"/>
      <c r="H1965" s="49"/>
      <c r="I1965" s="49"/>
      <c r="J1965" s="48"/>
      <c r="K1965" s="48"/>
      <c r="L1965" s="48"/>
      <c r="M1965" s="48"/>
      <c r="N1965" s="48"/>
      <c r="O1965" s="48"/>
      <c r="P1965" s="48"/>
      <c r="Q1965" s="48"/>
      <c r="R1965" s="48"/>
      <c r="S1965" s="48"/>
      <c r="T1965" s="48"/>
      <c r="U1965" s="48"/>
      <c r="V1965" s="48"/>
      <c r="W1965" s="49"/>
      <c r="X1965" s="49"/>
      <c r="Y1965" s="49"/>
      <c r="Z1965" s="49"/>
      <c r="AA1965" s="49"/>
      <c r="AB1965" s="49"/>
      <c r="AC1965" s="49"/>
      <c r="AD1965" s="49"/>
      <c r="AE1965" s="49"/>
      <c r="AF1965" s="49"/>
      <c r="AG1965" s="49"/>
      <c r="AH1965" s="49"/>
      <c r="AI1965" s="48"/>
      <c r="AJ1965" s="48"/>
      <c r="AK1965" s="24"/>
      <c r="AL1965" s="50"/>
      <c r="AM1965" s="50"/>
      <c r="AN1965" s="50"/>
      <c r="AO1965" s="50"/>
      <c r="AP1965" s="50"/>
      <c r="AQ1965" s="50"/>
      <c r="AR1965" s="50"/>
      <c r="AS1965" s="50"/>
      <c r="AT1965" s="51"/>
      <c r="AU1965" s="51"/>
      <c r="AV1965" s="51"/>
      <c r="AW1965" s="51"/>
      <c r="AX1965" s="50"/>
      <c r="AY1965" s="50"/>
      <c r="AZ1965" s="50"/>
      <c r="BA1965" s="50"/>
      <c r="BB1965" s="51"/>
      <c r="BC1965" s="51"/>
      <c r="BD1965" s="51"/>
      <c r="BE1965" s="51"/>
      <c r="BF1965" s="47"/>
      <c r="BG1965" s="47"/>
      <c r="BH1965" s="47"/>
      <c r="BI1965" s="47"/>
      <c r="BJ1965" s="47"/>
      <c r="BK1965" s="47"/>
      <c r="BL1965" s="47"/>
      <c r="BM1965" s="47"/>
      <c r="BN1965" s="47"/>
      <c r="BO1965" s="47"/>
      <c r="BP1965" s="47"/>
      <c r="BQ1965" s="47"/>
      <c r="BR1965" s="47"/>
      <c r="BS1965" s="47"/>
      <c r="BT1965" s="47"/>
    </row>
    <row r="1966">
      <c r="A1966" s="24"/>
      <c r="B1966" s="48"/>
      <c r="C1966" s="49"/>
      <c r="D1966" s="24"/>
      <c r="E1966" s="52"/>
      <c r="F1966" s="53"/>
      <c r="G1966" s="48"/>
      <c r="H1966" s="49"/>
      <c r="I1966" s="49"/>
      <c r="J1966" s="48"/>
      <c r="K1966" s="48"/>
      <c r="L1966" s="48"/>
      <c r="M1966" s="48"/>
      <c r="N1966" s="48"/>
      <c r="O1966" s="48"/>
      <c r="P1966" s="48"/>
      <c r="Q1966" s="48"/>
      <c r="R1966" s="48"/>
      <c r="S1966" s="48"/>
      <c r="T1966" s="48"/>
      <c r="U1966" s="48"/>
      <c r="V1966" s="48"/>
      <c r="W1966" s="49"/>
      <c r="X1966" s="49"/>
      <c r="Y1966" s="49"/>
      <c r="Z1966" s="49"/>
      <c r="AA1966" s="49"/>
      <c r="AB1966" s="49"/>
      <c r="AC1966" s="49"/>
      <c r="AD1966" s="49"/>
      <c r="AE1966" s="49"/>
      <c r="AF1966" s="49"/>
      <c r="AG1966" s="49"/>
      <c r="AH1966" s="49"/>
      <c r="AI1966" s="48"/>
      <c r="AJ1966" s="48"/>
      <c r="AK1966" s="24"/>
      <c r="AL1966" s="50"/>
      <c r="AM1966" s="50"/>
      <c r="AN1966" s="50"/>
      <c r="AO1966" s="50"/>
      <c r="AP1966" s="50"/>
      <c r="AQ1966" s="50"/>
      <c r="AR1966" s="50"/>
      <c r="AS1966" s="50"/>
      <c r="AT1966" s="51"/>
      <c r="AU1966" s="51"/>
      <c r="AV1966" s="51"/>
      <c r="AW1966" s="51"/>
      <c r="AX1966" s="50"/>
      <c r="AY1966" s="50"/>
      <c r="AZ1966" s="50"/>
      <c r="BA1966" s="50"/>
      <c r="BB1966" s="51"/>
      <c r="BC1966" s="51"/>
      <c r="BD1966" s="51"/>
      <c r="BE1966" s="51"/>
      <c r="BF1966" s="47"/>
      <c r="BG1966" s="47"/>
      <c r="BH1966" s="47"/>
      <c r="BI1966" s="47"/>
      <c r="BJ1966" s="47"/>
      <c r="BK1966" s="47"/>
      <c r="BL1966" s="47"/>
      <c r="BM1966" s="47"/>
      <c r="BN1966" s="47"/>
      <c r="BO1966" s="47"/>
      <c r="BP1966" s="47"/>
      <c r="BQ1966" s="47"/>
      <c r="BR1966" s="47"/>
      <c r="BS1966" s="47"/>
      <c r="BT1966" s="47"/>
    </row>
    <row r="1967">
      <c r="A1967" s="24"/>
      <c r="B1967" s="48"/>
      <c r="C1967" s="49"/>
      <c r="D1967" s="24"/>
      <c r="E1967" s="52"/>
      <c r="F1967" s="53"/>
      <c r="G1967" s="48"/>
      <c r="H1967" s="49"/>
      <c r="I1967" s="49"/>
      <c r="J1967" s="48"/>
      <c r="K1967" s="48"/>
      <c r="L1967" s="48"/>
      <c r="M1967" s="48"/>
      <c r="N1967" s="48"/>
      <c r="O1967" s="48"/>
      <c r="P1967" s="48"/>
      <c r="Q1967" s="48"/>
      <c r="R1967" s="48"/>
      <c r="S1967" s="48"/>
      <c r="T1967" s="48"/>
      <c r="U1967" s="48"/>
      <c r="V1967" s="48"/>
      <c r="W1967" s="49"/>
      <c r="X1967" s="49"/>
      <c r="Y1967" s="49"/>
      <c r="Z1967" s="49"/>
      <c r="AA1967" s="49"/>
      <c r="AB1967" s="49"/>
      <c r="AC1967" s="49"/>
      <c r="AD1967" s="49"/>
      <c r="AE1967" s="49"/>
      <c r="AF1967" s="49"/>
      <c r="AG1967" s="49"/>
      <c r="AH1967" s="49"/>
      <c r="AI1967" s="48"/>
      <c r="AJ1967" s="48"/>
      <c r="AK1967" s="24"/>
      <c r="AL1967" s="50"/>
      <c r="AM1967" s="50"/>
      <c r="AN1967" s="50"/>
      <c r="AO1967" s="50"/>
      <c r="AP1967" s="50"/>
      <c r="AQ1967" s="50"/>
      <c r="AR1967" s="50"/>
      <c r="AS1967" s="50"/>
      <c r="AT1967" s="51"/>
      <c r="AU1967" s="51"/>
      <c r="AV1967" s="51"/>
      <c r="AW1967" s="51"/>
      <c r="AX1967" s="50"/>
      <c r="AY1967" s="50"/>
      <c r="AZ1967" s="50"/>
      <c r="BA1967" s="50"/>
      <c r="BB1967" s="51"/>
      <c r="BC1967" s="51"/>
      <c r="BD1967" s="51"/>
      <c r="BE1967" s="51"/>
      <c r="BF1967" s="47"/>
      <c r="BG1967" s="47"/>
      <c r="BH1967" s="47"/>
      <c r="BI1967" s="47"/>
      <c r="BJ1967" s="47"/>
      <c r="BK1967" s="47"/>
      <c r="BL1967" s="47"/>
      <c r="BM1967" s="47"/>
      <c r="BN1967" s="47"/>
      <c r="BO1967" s="47"/>
      <c r="BP1967" s="47"/>
      <c r="BQ1967" s="47"/>
      <c r="BR1967" s="47"/>
      <c r="BS1967" s="47"/>
      <c r="BT1967" s="47"/>
    </row>
    <row r="1968">
      <c r="A1968" s="24"/>
      <c r="B1968" s="48"/>
      <c r="C1968" s="49"/>
      <c r="D1968" s="24"/>
      <c r="E1968" s="52"/>
      <c r="F1968" s="53"/>
      <c r="G1968" s="48"/>
      <c r="H1968" s="49"/>
      <c r="I1968" s="49"/>
      <c r="J1968" s="48"/>
      <c r="K1968" s="48"/>
      <c r="L1968" s="48"/>
      <c r="M1968" s="48"/>
      <c r="N1968" s="48"/>
      <c r="O1968" s="48"/>
      <c r="P1968" s="48"/>
      <c r="Q1968" s="48"/>
      <c r="R1968" s="48"/>
      <c r="S1968" s="48"/>
      <c r="T1968" s="48"/>
      <c r="U1968" s="48"/>
      <c r="V1968" s="48"/>
      <c r="W1968" s="49"/>
      <c r="X1968" s="49"/>
      <c r="Y1968" s="49"/>
      <c r="Z1968" s="49"/>
      <c r="AA1968" s="49"/>
      <c r="AB1968" s="49"/>
      <c r="AC1968" s="49"/>
      <c r="AD1968" s="49"/>
      <c r="AE1968" s="49"/>
      <c r="AF1968" s="49"/>
      <c r="AG1968" s="49"/>
      <c r="AH1968" s="49"/>
      <c r="AI1968" s="48"/>
      <c r="AJ1968" s="48"/>
      <c r="AK1968" s="24"/>
      <c r="AL1968" s="50"/>
      <c r="AM1968" s="50"/>
      <c r="AN1968" s="50"/>
      <c r="AO1968" s="50"/>
      <c r="AP1968" s="50"/>
      <c r="AQ1968" s="50"/>
      <c r="AR1968" s="50"/>
      <c r="AS1968" s="50"/>
      <c r="AT1968" s="51"/>
      <c r="AU1968" s="51"/>
      <c r="AV1968" s="51"/>
      <c r="AW1968" s="51"/>
      <c r="AX1968" s="50"/>
      <c r="AY1968" s="50"/>
      <c r="AZ1968" s="50"/>
      <c r="BA1968" s="50"/>
      <c r="BB1968" s="51"/>
      <c r="BC1968" s="51"/>
      <c r="BD1968" s="51"/>
      <c r="BE1968" s="51"/>
      <c r="BF1968" s="47"/>
      <c r="BG1968" s="47"/>
      <c r="BH1968" s="47"/>
      <c r="BI1968" s="47"/>
      <c r="BJ1968" s="47"/>
      <c r="BK1968" s="47"/>
      <c r="BL1968" s="47"/>
      <c r="BM1968" s="47"/>
      <c r="BN1968" s="47"/>
      <c r="BO1968" s="47"/>
      <c r="BP1968" s="47"/>
      <c r="BQ1968" s="47"/>
      <c r="BR1968" s="47"/>
      <c r="BS1968" s="47"/>
      <c r="BT1968" s="47"/>
    </row>
    <row r="1969">
      <c r="A1969" s="24"/>
      <c r="B1969" s="48"/>
      <c r="C1969" s="49"/>
      <c r="D1969" s="24"/>
      <c r="E1969" s="52"/>
      <c r="F1969" s="53"/>
      <c r="G1969" s="48"/>
      <c r="H1969" s="49"/>
      <c r="I1969" s="49"/>
      <c r="J1969" s="48"/>
      <c r="K1969" s="48"/>
      <c r="L1969" s="48"/>
      <c r="M1969" s="48"/>
      <c r="N1969" s="48"/>
      <c r="O1969" s="48"/>
      <c r="P1969" s="48"/>
      <c r="Q1969" s="48"/>
      <c r="R1969" s="48"/>
      <c r="S1969" s="48"/>
      <c r="T1969" s="48"/>
      <c r="U1969" s="48"/>
      <c r="V1969" s="48"/>
      <c r="W1969" s="49"/>
      <c r="X1969" s="49"/>
      <c r="Y1969" s="49"/>
      <c r="Z1969" s="49"/>
      <c r="AA1969" s="49"/>
      <c r="AB1969" s="49"/>
      <c r="AC1969" s="49"/>
      <c r="AD1969" s="49"/>
      <c r="AE1969" s="49"/>
      <c r="AF1969" s="49"/>
      <c r="AG1969" s="49"/>
      <c r="AH1969" s="49"/>
      <c r="AI1969" s="48"/>
      <c r="AJ1969" s="48"/>
      <c r="AK1969" s="24"/>
      <c r="AL1969" s="50"/>
      <c r="AM1969" s="50"/>
      <c r="AN1969" s="50"/>
      <c r="AO1969" s="50"/>
      <c r="AP1969" s="50"/>
      <c r="AQ1969" s="50"/>
      <c r="AR1969" s="50"/>
      <c r="AS1969" s="50"/>
      <c r="AT1969" s="51"/>
      <c r="AU1969" s="51"/>
      <c r="AV1969" s="51"/>
      <c r="AW1969" s="51"/>
      <c r="AX1969" s="50"/>
      <c r="AY1969" s="50"/>
      <c r="AZ1969" s="50"/>
      <c r="BA1969" s="50"/>
      <c r="BB1969" s="51"/>
      <c r="BC1969" s="51"/>
      <c r="BD1969" s="51"/>
      <c r="BE1969" s="51"/>
      <c r="BF1969" s="47"/>
      <c r="BG1969" s="47"/>
      <c r="BH1969" s="47"/>
      <c r="BI1969" s="47"/>
      <c r="BJ1969" s="47"/>
      <c r="BK1969" s="47"/>
      <c r="BL1969" s="47"/>
      <c r="BM1969" s="47"/>
      <c r="BN1969" s="47"/>
      <c r="BO1969" s="47"/>
      <c r="BP1969" s="47"/>
      <c r="BQ1969" s="47"/>
      <c r="BR1969" s="47"/>
      <c r="BS1969" s="47"/>
      <c r="BT1969" s="47"/>
    </row>
    <row r="1970">
      <c r="A1970" s="24"/>
      <c r="B1970" s="48"/>
      <c r="C1970" s="49"/>
      <c r="D1970" s="24"/>
      <c r="E1970" s="52"/>
      <c r="F1970" s="53"/>
      <c r="G1970" s="48"/>
      <c r="H1970" s="49"/>
      <c r="I1970" s="49"/>
      <c r="J1970" s="48"/>
      <c r="K1970" s="48"/>
      <c r="L1970" s="48"/>
      <c r="M1970" s="48"/>
      <c r="N1970" s="48"/>
      <c r="O1970" s="48"/>
      <c r="P1970" s="48"/>
      <c r="Q1970" s="48"/>
      <c r="R1970" s="48"/>
      <c r="S1970" s="48"/>
      <c r="T1970" s="48"/>
      <c r="U1970" s="48"/>
      <c r="V1970" s="48"/>
      <c r="W1970" s="49"/>
      <c r="X1970" s="49"/>
      <c r="Y1970" s="49"/>
      <c r="Z1970" s="49"/>
      <c r="AA1970" s="49"/>
      <c r="AB1970" s="49"/>
      <c r="AC1970" s="49"/>
      <c r="AD1970" s="49"/>
      <c r="AE1970" s="49"/>
      <c r="AF1970" s="49"/>
      <c r="AG1970" s="49"/>
      <c r="AH1970" s="49"/>
      <c r="AI1970" s="48"/>
      <c r="AJ1970" s="48"/>
      <c r="AK1970" s="24"/>
      <c r="AL1970" s="50"/>
      <c r="AM1970" s="50"/>
      <c r="AN1970" s="50"/>
      <c r="AO1970" s="50"/>
      <c r="AP1970" s="50"/>
      <c r="AQ1970" s="50"/>
      <c r="AR1970" s="50"/>
      <c r="AS1970" s="50"/>
      <c r="AT1970" s="51"/>
      <c r="AU1970" s="51"/>
      <c r="AV1970" s="51"/>
      <c r="AW1970" s="51"/>
      <c r="AX1970" s="50"/>
      <c r="AY1970" s="50"/>
      <c r="AZ1970" s="50"/>
      <c r="BA1970" s="50"/>
      <c r="BB1970" s="51"/>
      <c r="BC1970" s="51"/>
      <c r="BD1970" s="51"/>
      <c r="BE1970" s="51"/>
      <c r="BF1970" s="47"/>
      <c r="BG1970" s="47"/>
      <c r="BH1970" s="47"/>
      <c r="BI1970" s="47"/>
      <c r="BJ1970" s="47"/>
      <c r="BK1970" s="47"/>
      <c r="BL1970" s="47"/>
      <c r="BM1970" s="47"/>
      <c r="BN1970" s="47"/>
      <c r="BO1970" s="47"/>
      <c r="BP1970" s="47"/>
      <c r="BQ1970" s="47"/>
      <c r="BR1970" s="47"/>
      <c r="BS1970" s="47"/>
      <c r="BT1970" s="47"/>
    </row>
    <row r="1971">
      <c r="A1971" s="24"/>
      <c r="B1971" s="48"/>
      <c r="C1971" s="49"/>
      <c r="D1971" s="24"/>
      <c r="E1971" s="52"/>
      <c r="F1971" s="53"/>
      <c r="G1971" s="48"/>
      <c r="H1971" s="49"/>
      <c r="I1971" s="49"/>
      <c r="J1971" s="48"/>
      <c r="K1971" s="48"/>
      <c r="L1971" s="48"/>
      <c r="M1971" s="48"/>
      <c r="N1971" s="48"/>
      <c r="O1971" s="48"/>
      <c r="P1971" s="48"/>
      <c r="Q1971" s="48"/>
      <c r="R1971" s="48"/>
      <c r="S1971" s="48"/>
      <c r="T1971" s="48"/>
      <c r="U1971" s="48"/>
      <c r="V1971" s="48"/>
      <c r="W1971" s="49"/>
      <c r="X1971" s="49"/>
      <c r="Y1971" s="49"/>
      <c r="Z1971" s="49"/>
      <c r="AA1971" s="49"/>
      <c r="AB1971" s="49"/>
      <c r="AC1971" s="49"/>
      <c r="AD1971" s="49"/>
      <c r="AE1971" s="49"/>
      <c r="AF1971" s="49"/>
      <c r="AG1971" s="49"/>
      <c r="AH1971" s="49"/>
      <c r="AI1971" s="48"/>
      <c r="AJ1971" s="48"/>
      <c r="AK1971" s="24"/>
      <c r="AL1971" s="50"/>
      <c r="AM1971" s="50"/>
      <c r="AN1971" s="50"/>
      <c r="AO1971" s="50"/>
      <c r="AP1971" s="50"/>
      <c r="AQ1971" s="50"/>
      <c r="AR1971" s="50"/>
      <c r="AS1971" s="50"/>
      <c r="AT1971" s="51"/>
      <c r="AU1971" s="51"/>
      <c r="AV1971" s="51"/>
      <c r="AW1971" s="51"/>
      <c r="AX1971" s="50"/>
      <c r="AY1971" s="50"/>
      <c r="AZ1971" s="50"/>
      <c r="BA1971" s="50"/>
      <c r="BB1971" s="51"/>
      <c r="BC1971" s="51"/>
      <c r="BD1971" s="51"/>
      <c r="BE1971" s="51"/>
      <c r="BF1971" s="47"/>
      <c r="BG1971" s="47"/>
      <c r="BH1971" s="47"/>
      <c r="BI1971" s="47"/>
      <c r="BJ1971" s="47"/>
      <c r="BK1971" s="47"/>
      <c r="BL1971" s="47"/>
      <c r="BM1971" s="47"/>
      <c r="BN1971" s="47"/>
      <c r="BO1971" s="47"/>
      <c r="BP1971" s="47"/>
      <c r="BQ1971" s="47"/>
      <c r="BR1971" s="47"/>
      <c r="BS1971" s="47"/>
      <c r="BT1971" s="47"/>
    </row>
    <row r="1972">
      <c r="A1972" s="24"/>
      <c r="B1972" s="48"/>
      <c r="C1972" s="49"/>
      <c r="D1972" s="24"/>
      <c r="E1972" s="52"/>
      <c r="F1972" s="53"/>
      <c r="G1972" s="48"/>
      <c r="H1972" s="49"/>
      <c r="I1972" s="49"/>
      <c r="J1972" s="48"/>
      <c r="K1972" s="48"/>
      <c r="L1972" s="48"/>
      <c r="M1972" s="48"/>
      <c r="N1972" s="48"/>
      <c r="O1972" s="48"/>
      <c r="P1972" s="48"/>
      <c r="Q1972" s="48"/>
      <c r="R1972" s="48"/>
      <c r="S1972" s="48"/>
      <c r="T1972" s="48"/>
      <c r="U1972" s="48"/>
      <c r="V1972" s="48"/>
      <c r="W1972" s="49"/>
      <c r="X1972" s="49"/>
      <c r="Y1972" s="49"/>
      <c r="Z1972" s="49"/>
      <c r="AA1972" s="49"/>
      <c r="AB1972" s="49"/>
      <c r="AC1972" s="49"/>
      <c r="AD1972" s="49"/>
      <c r="AE1972" s="49"/>
      <c r="AF1972" s="49"/>
      <c r="AG1972" s="49"/>
      <c r="AH1972" s="49"/>
      <c r="AI1972" s="48"/>
      <c r="AJ1972" s="48"/>
      <c r="AK1972" s="24"/>
      <c r="AL1972" s="50"/>
      <c r="AM1972" s="50"/>
      <c r="AN1972" s="50"/>
      <c r="AO1972" s="50"/>
      <c r="AP1972" s="50"/>
      <c r="AQ1972" s="50"/>
      <c r="AR1972" s="50"/>
      <c r="AS1972" s="50"/>
      <c r="AT1972" s="51"/>
      <c r="AU1972" s="51"/>
      <c r="AV1972" s="51"/>
      <c r="AW1972" s="51"/>
      <c r="AX1972" s="50"/>
      <c r="AY1972" s="50"/>
      <c r="AZ1972" s="50"/>
      <c r="BA1972" s="50"/>
      <c r="BB1972" s="51"/>
      <c r="BC1972" s="51"/>
      <c r="BD1972" s="51"/>
      <c r="BE1972" s="51"/>
      <c r="BF1972" s="47"/>
      <c r="BG1972" s="47"/>
      <c r="BH1972" s="47"/>
      <c r="BI1972" s="47"/>
      <c r="BJ1972" s="47"/>
      <c r="BK1972" s="47"/>
      <c r="BL1972" s="47"/>
      <c r="BM1972" s="47"/>
      <c r="BN1972" s="47"/>
      <c r="BO1972" s="47"/>
      <c r="BP1972" s="47"/>
      <c r="BQ1972" s="47"/>
      <c r="BR1972" s="47"/>
      <c r="BS1972" s="47"/>
      <c r="BT1972" s="47"/>
    </row>
    <row r="1973">
      <c r="A1973" s="24"/>
      <c r="B1973" s="48"/>
      <c r="C1973" s="49"/>
      <c r="D1973" s="24"/>
      <c r="E1973" s="52"/>
      <c r="F1973" s="53"/>
      <c r="G1973" s="48"/>
      <c r="H1973" s="49"/>
      <c r="I1973" s="49"/>
      <c r="J1973" s="48"/>
      <c r="K1973" s="48"/>
      <c r="L1973" s="48"/>
      <c r="M1973" s="48"/>
      <c r="N1973" s="48"/>
      <c r="O1973" s="48"/>
      <c r="P1973" s="48"/>
      <c r="Q1973" s="48"/>
      <c r="R1973" s="48"/>
      <c r="S1973" s="48"/>
      <c r="T1973" s="48"/>
      <c r="U1973" s="48"/>
      <c r="V1973" s="48"/>
      <c r="W1973" s="49"/>
      <c r="X1973" s="49"/>
      <c r="Y1973" s="49"/>
      <c r="Z1973" s="49"/>
      <c r="AA1973" s="49"/>
      <c r="AB1973" s="49"/>
      <c r="AC1973" s="49"/>
      <c r="AD1973" s="49"/>
      <c r="AE1973" s="49"/>
      <c r="AF1973" s="49"/>
      <c r="AG1973" s="49"/>
      <c r="AH1973" s="49"/>
      <c r="AI1973" s="48"/>
      <c r="AJ1973" s="48"/>
      <c r="AK1973" s="24"/>
      <c r="AL1973" s="50"/>
      <c r="AM1973" s="50"/>
      <c r="AN1973" s="50"/>
      <c r="AO1973" s="50"/>
      <c r="AP1973" s="50"/>
      <c r="AQ1973" s="50"/>
      <c r="AR1973" s="50"/>
      <c r="AS1973" s="50"/>
      <c r="AT1973" s="51"/>
      <c r="AU1973" s="51"/>
      <c r="AV1973" s="51"/>
      <c r="AW1973" s="51"/>
      <c r="AX1973" s="50"/>
      <c r="AY1973" s="50"/>
      <c r="AZ1973" s="50"/>
      <c r="BA1973" s="50"/>
      <c r="BB1973" s="51"/>
      <c r="BC1973" s="51"/>
      <c r="BD1973" s="51"/>
      <c r="BE1973" s="51"/>
      <c r="BF1973" s="47"/>
      <c r="BG1973" s="47"/>
      <c r="BH1973" s="47"/>
      <c r="BI1973" s="47"/>
      <c r="BJ1973" s="47"/>
      <c r="BK1973" s="47"/>
      <c r="BL1973" s="47"/>
      <c r="BM1973" s="47"/>
      <c r="BN1973" s="47"/>
      <c r="BO1973" s="47"/>
      <c r="BP1973" s="47"/>
      <c r="BQ1973" s="47"/>
      <c r="BR1973" s="47"/>
      <c r="BS1973" s="47"/>
      <c r="BT1973" s="47"/>
    </row>
    <row r="1974">
      <c r="A1974" s="24"/>
      <c r="B1974" s="48"/>
      <c r="C1974" s="49"/>
      <c r="D1974" s="24"/>
      <c r="E1974" s="52"/>
      <c r="F1974" s="53"/>
      <c r="G1974" s="48"/>
      <c r="H1974" s="49"/>
      <c r="I1974" s="49"/>
      <c r="J1974" s="48"/>
      <c r="K1974" s="48"/>
      <c r="L1974" s="48"/>
      <c r="M1974" s="48"/>
      <c r="N1974" s="48"/>
      <c r="O1974" s="48"/>
      <c r="P1974" s="48"/>
      <c r="Q1974" s="48"/>
      <c r="R1974" s="48"/>
      <c r="S1974" s="48"/>
      <c r="T1974" s="48"/>
      <c r="U1974" s="48"/>
      <c r="V1974" s="48"/>
      <c r="W1974" s="49"/>
      <c r="X1974" s="49"/>
      <c r="Y1974" s="49"/>
      <c r="Z1974" s="49"/>
      <c r="AA1974" s="49"/>
      <c r="AB1974" s="49"/>
      <c r="AC1974" s="49"/>
      <c r="AD1974" s="49"/>
      <c r="AE1974" s="49"/>
      <c r="AF1974" s="49"/>
      <c r="AG1974" s="49"/>
      <c r="AH1974" s="49"/>
      <c r="AI1974" s="48"/>
      <c r="AJ1974" s="48"/>
      <c r="AK1974" s="24"/>
      <c r="AL1974" s="50"/>
      <c r="AM1974" s="50"/>
      <c r="AN1974" s="50"/>
      <c r="AO1974" s="50"/>
      <c r="AP1974" s="50"/>
      <c r="AQ1974" s="50"/>
      <c r="AR1974" s="50"/>
      <c r="AS1974" s="50"/>
      <c r="AT1974" s="51"/>
      <c r="AU1974" s="51"/>
      <c r="AV1974" s="51"/>
      <c r="AW1974" s="51"/>
      <c r="AX1974" s="50"/>
      <c r="AY1974" s="50"/>
      <c r="AZ1974" s="50"/>
      <c r="BA1974" s="50"/>
      <c r="BB1974" s="51"/>
      <c r="BC1974" s="51"/>
      <c r="BD1974" s="51"/>
      <c r="BE1974" s="51"/>
      <c r="BF1974" s="47"/>
      <c r="BG1974" s="47"/>
      <c r="BH1974" s="47"/>
      <c r="BI1974" s="47"/>
      <c r="BJ1974" s="47"/>
      <c r="BK1974" s="47"/>
      <c r="BL1974" s="47"/>
      <c r="BM1974" s="47"/>
      <c r="BN1974" s="47"/>
      <c r="BO1974" s="47"/>
      <c r="BP1974" s="47"/>
      <c r="BQ1974" s="47"/>
      <c r="BR1974" s="47"/>
      <c r="BS1974" s="47"/>
      <c r="BT1974" s="47"/>
    </row>
    <row r="1975">
      <c r="A1975" s="24"/>
      <c r="B1975" s="48"/>
      <c r="C1975" s="49"/>
      <c r="D1975" s="24"/>
      <c r="E1975" s="52"/>
      <c r="F1975" s="53"/>
      <c r="G1975" s="48"/>
      <c r="H1975" s="49"/>
      <c r="I1975" s="49"/>
      <c r="J1975" s="48"/>
      <c r="K1975" s="48"/>
      <c r="L1975" s="48"/>
      <c r="M1975" s="48"/>
      <c r="N1975" s="48"/>
      <c r="O1975" s="48"/>
      <c r="P1975" s="48"/>
      <c r="Q1975" s="48"/>
      <c r="R1975" s="48"/>
      <c r="S1975" s="48"/>
      <c r="T1975" s="48"/>
      <c r="U1975" s="48"/>
      <c r="V1975" s="48"/>
      <c r="W1975" s="49"/>
      <c r="X1975" s="49"/>
      <c r="Y1975" s="49"/>
      <c r="Z1975" s="49"/>
      <c r="AA1975" s="49"/>
      <c r="AB1975" s="49"/>
      <c r="AC1975" s="49"/>
      <c r="AD1975" s="49"/>
      <c r="AE1975" s="49"/>
      <c r="AF1975" s="49"/>
      <c r="AG1975" s="49"/>
      <c r="AH1975" s="49"/>
      <c r="AI1975" s="48"/>
      <c r="AJ1975" s="48"/>
      <c r="AK1975" s="24"/>
      <c r="AL1975" s="50"/>
      <c r="AM1975" s="50"/>
      <c r="AN1975" s="50"/>
      <c r="AO1975" s="50"/>
      <c r="AP1975" s="50"/>
      <c r="AQ1975" s="50"/>
      <c r="AR1975" s="50"/>
      <c r="AS1975" s="50"/>
      <c r="AT1975" s="51"/>
      <c r="AU1975" s="51"/>
      <c r="AV1975" s="51"/>
      <c r="AW1975" s="51"/>
      <c r="AX1975" s="50"/>
      <c r="AY1975" s="50"/>
      <c r="AZ1975" s="50"/>
      <c r="BA1975" s="50"/>
      <c r="BB1975" s="51"/>
      <c r="BC1975" s="51"/>
      <c r="BD1975" s="51"/>
      <c r="BE1975" s="51"/>
      <c r="BF1975" s="47"/>
      <c r="BG1975" s="47"/>
      <c r="BH1975" s="47"/>
      <c r="BI1975" s="47"/>
      <c r="BJ1975" s="47"/>
      <c r="BK1975" s="47"/>
      <c r="BL1975" s="47"/>
      <c r="BM1975" s="47"/>
      <c r="BN1975" s="47"/>
      <c r="BO1975" s="47"/>
      <c r="BP1975" s="47"/>
      <c r="BQ1975" s="47"/>
      <c r="BR1975" s="47"/>
      <c r="BS1975" s="47"/>
      <c r="BT1975" s="47"/>
    </row>
    <row r="1976">
      <c r="A1976" s="24"/>
      <c r="B1976" s="48"/>
      <c r="C1976" s="49"/>
      <c r="D1976" s="24"/>
      <c r="E1976" s="52"/>
      <c r="F1976" s="53"/>
      <c r="G1976" s="48"/>
      <c r="H1976" s="49"/>
      <c r="I1976" s="49"/>
      <c r="J1976" s="48"/>
      <c r="K1976" s="48"/>
      <c r="L1976" s="48"/>
      <c r="M1976" s="48"/>
      <c r="N1976" s="48"/>
      <c r="O1976" s="48"/>
      <c r="P1976" s="48"/>
      <c r="Q1976" s="48"/>
      <c r="R1976" s="48"/>
      <c r="S1976" s="48"/>
      <c r="T1976" s="48"/>
      <c r="U1976" s="48"/>
      <c r="V1976" s="48"/>
      <c r="W1976" s="49"/>
      <c r="X1976" s="49"/>
      <c r="Y1976" s="49"/>
      <c r="Z1976" s="49"/>
      <c r="AA1976" s="49"/>
      <c r="AB1976" s="49"/>
      <c r="AC1976" s="49"/>
      <c r="AD1976" s="49"/>
      <c r="AE1976" s="49"/>
      <c r="AF1976" s="49"/>
      <c r="AG1976" s="49"/>
      <c r="AH1976" s="49"/>
      <c r="AI1976" s="48"/>
      <c r="AJ1976" s="48"/>
      <c r="AK1976" s="24"/>
      <c r="AL1976" s="50"/>
      <c r="AM1976" s="50"/>
      <c r="AN1976" s="50"/>
      <c r="AO1976" s="50"/>
      <c r="AP1976" s="50"/>
      <c r="AQ1976" s="50"/>
      <c r="AR1976" s="50"/>
      <c r="AS1976" s="50"/>
      <c r="AT1976" s="51"/>
      <c r="AU1976" s="51"/>
      <c r="AV1976" s="51"/>
      <c r="AW1976" s="51"/>
      <c r="AX1976" s="50"/>
      <c r="AY1976" s="50"/>
      <c r="AZ1976" s="50"/>
      <c r="BA1976" s="50"/>
      <c r="BB1976" s="51"/>
      <c r="BC1976" s="51"/>
      <c r="BD1976" s="51"/>
      <c r="BE1976" s="51"/>
      <c r="BF1976" s="47"/>
      <c r="BG1976" s="47"/>
      <c r="BH1976" s="47"/>
      <c r="BI1976" s="47"/>
      <c r="BJ1976" s="47"/>
      <c r="BK1976" s="47"/>
      <c r="BL1976" s="47"/>
      <c r="BM1976" s="47"/>
      <c r="BN1976" s="47"/>
      <c r="BO1976" s="47"/>
      <c r="BP1976" s="47"/>
      <c r="BQ1976" s="47"/>
      <c r="BR1976" s="47"/>
      <c r="BS1976" s="47"/>
      <c r="BT1976" s="47"/>
    </row>
    <row r="1977">
      <c r="A1977" s="24"/>
      <c r="B1977" s="48"/>
      <c r="C1977" s="49"/>
      <c r="D1977" s="24"/>
      <c r="E1977" s="52"/>
      <c r="F1977" s="53"/>
      <c r="G1977" s="48"/>
      <c r="H1977" s="49"/>
      <c r="I1977" s="49"/>
      <c r="J1977" s="48"/>
      <c r="K1977" s="48"/>
      <c r="L1977" s="48"/>
      <c r="M1977" s="48"/>
      <c r="N1977" s="48"/>
      <c r="O1977" s="48"/>
      <c r="P1977" s="48"/>
      <c r="Q1977" s="48"/>
      <c r="R1977" s="48"/>
      <c r="S1977" s="48"/>
      <c r="T1977" s="48"/>
      <c r="U1977" s="48"/>
      <c r="V1977" s="48"/>
      <c r="W1977" s="49"/>
      <c r="X1977" s="49"/>
      <c r="Y1977" s="49"/>
      <c r="Z1977" s="49"/>
      <c r="AA1977" s="49"/>
      <c r="AB1977" s="49"/>
      <c r="AC1977" s="49"/>
      <c r="AD1977" s="49"/>
      <c r="AE1977" s="49"/>
      <c r="AF1977" s="49"/>
      <c r="AG1977" s="49"/>
      <c r="AH1977" s="49"/>
      <c r="AI1977" s="48"/>
      <c r="AJ1977" s="48"/>
      <c r="AK1977" s="24"/>
      <c r="AL1977" s="50"/>
      <c r="AM1977" s="50"/>
      <c r="AN1977" s="50"/>
      <c r="AO1977" s="50"/>
      <c r="AP1977" s="50"/>
      <c r="AQ1977" s="50"/>
      <c r="AR1977" s="50"/>
      <c r="AS1977" s="50"/>
      <c r="AT1977" s="51"/>
      <c r="AU1977" s="51"/>
      <c r="AV1977" s="51"/>
      <c r="AW1977" s="51"/>
      <c r="AX1977" s="50"/>
      <c r="AY1977" s="50"/>
      <c r="AZ1977" s="50"/>
      <c r="BA1977" s="50"/>
      <c r="BB1977" s="51"/>
      <c r="BC1977" s="51"/>
      <c r="BD1977" s="51"/>
      <c r="BE1977" s="51"/>
      <c r="BF1977" s="47"/>
      <c r="BG1977" s="47"/>
      <c r="BH1977" s="47"/>
      <c r="BI1977" s="47"/>
      <c r="BJ1977" s="47"/>
      <c r="BK1977" s="47"/>
      <c r="BL1977" s="47"/>
      <c r="BM1977" s="47"/>
      <c r="BN1977" s="47"/>
      <c r="BO1977" s="47"/>
      <c r="BP1977" s="47"/>
      <c r="BQ1977" s="47"/>
      <c r="BR1977" s="47"/>
      <c r="BS1977" s="47"/>
      <c r="BT1977" s="47"/>
    </row>
    <row r="1978">
      <c r="A1978" s="24"/>
      <c r="B1978" s="48"/>
      <c r="C1978" s="49"/>
      <c r="D1978" s="24"/>
      <c r="E1978" s="52"/>
      <c r="F1978" s="53"/>
      <c r="G1978" s="48"/>
      <c r="H1978" s="49"/>
      <c r="I1978" s="49"/>
      <c r="J1978" s="48"/>
      <c r="K1978" s="48"/>
      <c r="L1978" s="48"/>
      <c r="M1978" s="48"/>
      <c r="N1978" s="48"/>
      <c r="O1978" s="48"/>
      <c r="P1978" s="48"/>
      <c r="Q1978" s="48"/>
      <c r="R1978" s="48"/>
      <c r="S1978" s="48"/>
      <c r="T1978" s="48"/>
      <c r="U1978" s="48"/>
      <c r="V1978" s="48"/>
      <c r="W1978" s="49"/>
      <c r="X1978" s="49"/>
      <c r="Y1978" s="49"/>
      <c r="Z1978" s="49"/>
      <c r="AA1978" s="49"/>
      <c r="AB1978" s="49"/>
      <c r="AC1978" s="49"/>
      <c r="AD1978" s="49"/>
      <c r="AE1978" s="49"/>
      <c r="AF1978" s="49"/>
      <c r="AG1978" s="49"/>
      <c r="AH1978" s="49"/>
      <c r="AI1978" s="48"/>
      <c r="AJ1978" s="48"/>
      <c r="AK1978" s="24"/>
      <c r="AL1978" s="50"/>
      <c r="AM1978" s="50"/>
      <c r="AN1978" s="50"/>
      <c r="AO1978" s="50"/>
      <c r="AP1978" s="50"/>
      <c r="AQ1978" s="50"/>
      <c r="AR1978" s="50"/>
      <c r="AS1978" s="50"/>
      <c r="AT1978" s="51"/>
      <c r="AU1978" s="51"/>
      <c r="AV1978" s="51"/>
      <c r="AW1978" s="51"/>
      <c r="AX1978" s="50"/>
      <c r="AY1978" s="50"/>
      <c r="AZ1978" s="50"/>
      <c r="BA1978" s="50"/>
      <c r="BB1978" s="51"/>
      <c r="BC1978" s="51"/>
      <c r="BD1978" s="51"/>
      <c r="BE1978" s="51"/>
      <c r="BF1978" s="47"/>
      <c r="BG1978" s="47"/>
      <c r="BH1978" s="47"/>
      <c r="BI1978" s="47"/>
      <c r="BJ1978" s="47"/>
      <c r="BK1978" s="47"/>
      <c r="BL1978" s="47"/>
      <c r="BM1978" s="47"/>
      <c r="BN1978" s="47"/>
      <c r="BO1978" s="47"/>
      <c r="BP1978" s="47"/>
      <c r="BQ1978" s="47"/>
      <c r="BR1978" s="47"/>
      <c r="BS1978" s="47"/>
      <c r="BT1978" s="47"/>
    </row>
    <row r="1979">
      <c r="A1979" s="24"/>
      <c r="B1979" s="48"/>
      <c r="C1979" s="49"/>
      <c r="D1979" s="24"/>
      <c r="E1979" s="52"/>
      <c r="F1979" s="53"/>
      <c r="G1979" s="48"/>
      <c r="H1979" s="49"/>
      <c r="I1979" s="49"/>
      <c r="J1979" s="48"/>
      <c r="K1979" s="48"/>
      <c r="L1979" s="48"/>
      <c r="M1979" s="48"/>
      <c r="N1979" s="48"/>
      <c r="O1979" s="48"/>
      <c r="P1979" s="48"/>
      <c r="Q1979" s="48"/>
      <c r="R1979" s="48"/>
      <c r="S1979" s="48"/>
      <c r="T1979" s="48"/>
      <c r="U1979" s="48"/>
      <c r="V1979" s="48"/>
      <c r="W1979" s="49"/>
      <c r="X1979" s="49"/>
      <c r="Y1979" s="49"/>
      <c r="Z1979" s="49"/>
      <c r="AA1979" s="49"/>
      <c r="AB1979" s="49"/>
      <c r="AC1979" s="49"/>
      <c r="AD1979" s="49"/>
      <c r="AE1979" s="49"/>
      <c r="AF1979" s="49"/>
      <c r="AG1979" s="49"/>
      <c r="AH1979" s="49"/>
      <c r="AI1979" s="48"/>
      <c r="AJ1979" s="48"/>
      <c r="AK1979" s="24"/>
      <c r="AL1979" s="50"/>
      <c r="AM1979" s="50"/>
      <c r="AN1979" s="50"/>
      <c r="AO1979" s="50"/>
      <c r="AP1979" s="50"/>
      <c r="AQ1979" s="50"/>
      <c r="AR1979" s="50"/>
      <c r="AS1979" s="50"/>
      <c r="AT1979" s="51"/>
      <c r="AU1979" s="51"/>
      <c r="AV1979" s="51"/>
      <c r="AW1979" s="51"/>
      <c r="AX1979" s="50"/>
      <c r="AY1979" s="50"/>
      <c r="AZ1979" s="50"/>
      <c r="BA1979" s="50"/>
      <c r="BB1979" s="51"/>
      <c r="BC1979" s="51"/>
      <c r="BD1979" s="51"/>
      <c r="BE1979" s="51"/>
      <c r="BF1979" s="47"/>
      <c r="BG1979" s="47"/>
      <c r="BH1979" s="47"/>
      <c r="BI1979" s="47"/>
      <c r="BJ1979" s="47"/>
      <c r="BK1979" s="47"/>
      <c r="BL1979" s="47"/>
      <c r="BM1979" s="47"/>
      <c r="BN1979" s="47"/>
      <c r="BO1979" s="47"/>
      <c r="BP1979" s="47"/>
      <c r="BQ1979" s="47"/>
      <c r="BR1979" s="47"/>
      <c r="BS1979" s="47"/>
      <c r="BT1979" s="47"/>
    </row>
    <row r="1980">
      <c r="A1980" s="24"/>
      <c r="B1980" s="48"/>
      <c r="C1980" s="49"/>
      <c r="D1980" s="24"/>
      <c r="E1980" s="52"/>
      <c r="F1980" s="53"/>
      <c r="G1980" s="48"/>
      <c r="H1980" s="49"/>
      <c r="I1980" s="49"/>
      <c r="J1980" s="48"/>
      <c r="K1980" s="48"/>
      <c r="L1980" s="48"/>
      <c r="M1980" s="48"/>
      <c r="N1980" s="48"/>
      <c r="O1980" s="48"/>
      <c r="P1980" s="48"/>
      <c r="Q1980" s="48"/>
      <c r="R1980" s="48"/>
      <c r="S1980" s="48"/>
      <c r="T1980" s="48"/>
      <c r="U1980" s="48"/>
      <c r="V1980" s="48"/>
      <c r="W1980" s="49"/>
      <c r="X1980" s="49"/>
      <c r="Y1980" s="49"/>
      <c r="Z1980" s="49"/>
      <c r="AA1980" s="49"/>
      <c r="AB1980" s="49"/>
      <c r="AC1980" s="49"/>
      <c r="AD1980" s="49"/>
      <c r="AE1980" s="49"/>
      <c r="AF1980" s="49"/>
      <c r="AG1980" s="49"/>
      <c r="AH1980" s="49"/>
      <c r="AI1980" s="48"/>
      <c r="AJ1980" s="48"/>
      <c r="AK1980" s="24"/>
      <c r="AL1980" s="50"/>
      <c r="AM1980" s="50"/>
      <c r="AN1980" s="50"/>
      <c r="AO1980" s="50"/>
      <c r="AP1980" s="50"/>
      <c r="AQ1980" s="50"/>
      <c r="AR1980" s="50"/>
      <c r="AS1980" s="50"/>
      <c r="AT1980" s="51"/>
      <c r="AU1980" s="51"/>
      <c r="AV1980" s="51"/>
      <c r="AW1980" s="51"/>
      <c r="AX1980" s="50"/>
      <c r="AY1980" s="50"/>
      <c r="AZ1980" s="50"/>
      <c r="BA1980" s="50"/>
      <c r="BB1980" s="51"/>
      <c r="BC1980" s="51"/>
      <c r="BD1980" s="51"/>
      <c r="BE1980" s="51"/>
      <c r="BF1980" s="47"/>
      <c r="BG1980" s="47"/>
      <c r="BH1980" s="47"/>
      <c r="BI1980" s="47"/>
      <c r="BJ1980" s="47"/>
      <c r="BK1980" s="47"/>
      <c r="BL1980" s="47"/>
      <c r="BM1980" s="47"/>
      <c r="BN1980" s="47"/>
      <c r="BO1980" s="47"/>
      <c r="BP1980" s="47"/>
      <c r="BQ1980" s="47"/>
      <c r="BR1980" s="47"/>
      <c r="BS1980" s="47"/>
      <c r="BT1980" s="47"/>
    </row>
    <row r="1981">
      <c r="A1981" s="24"/>
      <c r="B1981" s="48"/>
      <c r="C1981" s="49"/>
      <c r="D1981" s="24"/>
      <c r="E1981" s="52"/>
      <c r="F1981" s="53"/>
      <c r="G1981" s="48"/>
      <c r="H1981" s="49"/>
      <c r="I1981" s="49"/>
      <c r="J1981" s="48"/>
      <c r="K1981" s="48"/>
      <c r="L1981" s="48"/>
      <c r="M1981" s="48"/>
      <c r="N1981" s="48"/>
      <c r="O1981" s="48"/>
      <c r="P1981" s="48"/>
      <c r="Q1981" s="48"/>
      <c r="R1981" s="48"/>
      <c r="S1981" s="48"/>
      <c r="T1981" s="48"/>
      <c r="U1981" s="48"/>
      <c r="V1981" s="48"/>
      <c r="W1981" s="49"/>
      <c r="X1981" s="49"/>
      <c r="Y1981" s="49"/>
      <c r="Z1981" s="49"/>
      <c r="AA1981" s="49"/>
      <c r="AB1981" s="49"/>
      <c r="AC1981" s="49"/>
      <c r="AD1981" s="49"/>
      <c r="AE1981" s="49"/>
      <c r="AF1981" s="49"/>
      <c r="AG1981" s="49"/>
      <c r="AH1981" s="49"/>
      <c r="AI1981" s="48"/>
      <c r="AJ1981" s="48"/>
      <c r="AK1981" s="24"/>
      <c r="AL1981" s="50"/>
      <c r="AM1981" s="50"/>
      <c r="AN1981" s="50"/>
      <c r="AO1981" s="50"/>
      <c r="AP1981" s="50"/>
      <c r="AQ1981" s="50"/>
      <c r="AR1981" s="50"/>
      <c r="AS1981" s="50"/>
      <c r="AT1981" s="51"/>
      <c r="AU1981" s="51"/>
      <c r="AV1981" s="51"/>
      <c r="AW1981" s="51"/>
      <c r="AX1981" s="50"/>
      <c r="AY1981" s="50"/>
      <c r="AZ1981" s="50"/>
      <c r="BA1981" s="50"/>
      <c r="BB1981" s="51"/>
      <c r="BC1981" s="51"/>
      <c r="BD1981" s="51"/>
      <c r="BE1981" s="51"/>
      <c r="BF1981" s="47"/>
      <c r="BG1981" s="47"/>
      <c r="BH1981" s="47"/>
      <c r="BI1981" s="47"/>
      <c r="BJ1981" s="47"/>
      <c r="BK1981" s="47"/>
      <c r="BL1981" s="47"/>
      <c r="BM1981" s="47"/>
      <c r="BN1981" s="47"/>
      <c r="BO1981" s="47"/>
      <c r="BP1981" s="47"/>
      <c r="BQ1981" s="47"/>
      <c r="BR1981" s="47"/>
      <c r="BS1981" s="47"/>
      <c r="BT1981" s="47"/>
    </row>
    <row r="1982">
      <c r="A1982" s="24"/>
      <c r="B1982" s="48"/>
      <c r="C1982" s="49"/>
      <c r="D1982" s="24"/>
      <c r="E1982" s="52"/>
      <c r="F1982" s="53"/>
      <c r="G1982" s="48"/>
      <c r="H1982" s="49"/>
      <c r="I1982" s="49"/>
      <c r="J1982" s="48"/>
      <c r="K1982" s="48"/>
      <c r="L1982" s="48"/>
      <c r="M1982" s="48"/>
      <c r="N1982" s="48"/>
      <c r="O1982" s="48"/>
      <c r="P1982" s="48"/>
      <c r="Q1982" s="48"/>
      <c r="R1982" s="48"/>
      <c r="S1982" s="48"/>
      <c r="T1982" s="48"/>
      <c r="U1982" s="48"/>
      <c r="V1982" s="48"/>
      <c r="W1982" s="49"/>
      <c r="X1982" s="49"/>
      <c r="Y1982" s="49"/>
      <c r="Z1982" s="49"/>
      <c r="AA1982" s="49"/>
      <c r="AB1982" s="49"/>
      <c r="AC1982" s="49"/>
      <c r="AD1982" s="49"/>
      <c r="AE1982" s="49"/>
      <c r="AF1982" s="49"/>
      <c r="AG1982" s="49"/>
      <c r="AH1982" s="49"/>
      <c r="AI1982" s="48"/>
      <c r="AJ1982" s="48"/>
      <c r="AK1982" s="24"/>
      <c r="AL1982" s="50"/>
      <c r="AM1982" s="50"/>
      <c r="AN1982" s="50"/>
      <c r="AO1982" s="50"/>
      <c r="AP1982" s="50"/>
      <c r="AQ1982" s="50"/>
      <c r="AR1982" s="50"/>
      <c r="AS1982" s="50"/>
      <c r="AT1982" s="51"/>
      <c r="AU1982" s="51"/>
      <c r="AV1982" s="51"/>
      <c r="AW1982" s="51"/>
      <c r="AX1982" s="50"/>
      <c r="AY1982" s="50"/>
      <c r="AZ1982" s="50"/>
      <c r="BA1982" s="50"/>
      <c r="BB1982" s="51"/>
      <c r="BC1982" s="51"/>
      <c r="BD1982" s="51"/>
      <c r="BE1982" s="51"/>
      <c r="BF1982" s="47"/>
      <c r="BG1982" s="47"/>
      <c r="BH1982" s="47"/>
      <c r="BI1982" s="47"/>
      <c r="BJ1982" s="47"/>
      <c r="BK1982" s="47"/>
      <c r="BL1982" s="47"/>
      <c r="BM1982" s="47"/>
      <c r="BN1982" s="47"/>
      <c r="BO1982" s="47"/>
      <c r="BP1982" s="47"/>
      <c r="BQ1982" s="47"/>
      <c r="BR1982" s="47"/>
      <c r="BS1982" s="47"/>
      <c r="BT1982" s="47"/>
    </row>
    <row r="1983">
      <c r="A1983" s="24"/>
      <c r="B1983" s="48"/>
      <c r="C1983" s="49"/>
      <c r="D1983" s="24"/>
      <c r="E1983" s="52"/>
      <c r="F1983" s="53"/>
      <c r="G1983" s="48"/>
      <c r="H1983" s="49"/>
      <c r="I1983" s="49"/>
      <c r="J1983" s="48"/>
      <c r="K1983" s="48"/>
      <c r="L1983" s="48"/>
      <c r="M1983" s="48"/>
      <c r="N1983" s="48"/>
      <c r="O1983" s="48"/>
      <c r="P1983" s="48"/>
      <c r="Q1983" s="48"/>
      <c r="R1983" s="48"/>
      <c r="S1983" s="48"/>
      <c r="T1983" s="48"/>
      <c r="U1983" s="48"/>
      <c r="V1983" s="48"/>
      <c r="W1983" s="49"/>
      <c r="X1983" s="49"/>
      <c r="Y1983" s="49"/>
      <c r="Z1983" s="49"/>
      <c r="AA1983" s="49"/>
      <c r="AB1983" s="49"/>
      <c r="AC1983" s="49"/>
      <c r="AD1983" s="49"/>
      <c r="AE1983" s="49"/>
      <c r="AF1983" s="49"/>
      <c r="AG1983" s="49"/>
      <c r="AH1983" s="49"/>
      <c r="AI1983" s="48"/>
      <c r="AJ1983" s="48"/>
      <c r="AK1983" s="24"/>
      <c r="AL1983" s="50"/>
      <c r="AM1983" s="50"/>
      <c r="AN1983" s="50"/>
      <c r="AO1983" s="50"/>
      <c r="AP1983" s="50"/>
      <c r="AQ1983" s="50"/>
      <c r="AR1983" s="50"/>
      <c r="AS1983" s="50"/>
      <c r="AT1983" s="51"/>
      <c r="AU1983" s="51"/>
      <c r="AV1983" s="51"/>
      <c r="AW1983" s="51"/>
      <c r="AX1983" s="50"/>
      <c r="AY1983" s="50"/>
      <c r="AZ1983" s="50"/>
      <c r="BA1983" s="50"/>
      <c r="BB1983" s="51"/>
      <c r="BC1983" s="51"/>
      <c r="BD1983" s="51"/>
      <c r="BE1983" s="51"/>
      <c r="BF1983" s="47"/>
      <c r="BG1983" s="47"/>
      <c r="BH1983" s="47"/>
      <c r="BI1983" s="47"/>
      <c r="BJ1983" s="47"/>
      <c r="BK1983" s="47"/>
      <c r="BL1983" s="47"/>
      <c r="BM1983" s="47"/>
      <c r="BN1983" s="47"/>
      <c r="BO1983" s="47"/>
      <c r="BP1983" s="47"/>
      <c r="BQ1983" s="47"/>
      <c r="BR1983" s="47"/>
      <c r="BS1983" s="47"/>
      <c r="BT1983" s="47"/>
    </row>
    <row r="1984">
      <c r="A1984" s="24"/>
      <c r="B1984" s="48"/>
      <c r="C1984" s="49"/>
      <c r="D1984" s="24"/>
      <c r="E1984" s="52"/>
      <c r="F1984" s="53"/>
      <c r="G1984" s="48"/>
      <c r="H1984" s="49"/>
      <c r="I1984" s="49"/>
      <c r="J1984" s="48"/>
      <c r="K1984" s="48"/>
      <c r="L1984" s="48"/>
      <c r="M1984" s="48"/>
      <c r="N1984" s="48"/>
      <c r="O1984" s="48"/>
      <c r="P1984" s="48"/>
      <c r="Q1984" s="48"/>
      <c r="R1984" s="48"/>
      <c r="S1984" s="48"/>
      <c r="T1984" s="48"/>
      <c r="U1984" s="48"/>
      <c r="V1984" s="48"/>
      <c r="W1984" s="49"/>
      <c r="X1984" s="49"/>
      <c r="Y1984" s="49"/>
      <c r="Z1984" s="49"/>
      <c r="AA1984" s="49"/>
      <c r="AB1984" s="49"/>
      <c r="AC1984" s="49"/>
      <c r="AD1984" s="49"/>
      <c r="AE1984" s="49"/>
      <c r="AF1984" s="49"/>
      <c r="AG1984" s="49"/>
      <c r="AH1984" s="49"/>
      <c r="AI1984" s="48"/>
      <c r="AJ1984" s="48"/>
      <c r="AK1984" s="24"/>
      <c r="AL1984" s="50"/>
      <c r="AM1984" s="50"/>
      <c r="AN1984" s="50"/>
      <c r="AO1984" s="50"/>
      <c r="AP1984" s="50"/>
      <c r="AQ1984" s="50"/>
      <c r="AR1984" s="50"/>
      <c r="AS1984" s="50"/>
      <c r="AT1984" s="51"/>
      <c r="AU1984" s="51"/>
      <c r="AV1984" s="51"/>
      <c r="AW1984" s="51"/>
      <c r="AX1984" s="50"/>
      <c r="AY1984" s="50"/>
      <c r="AZ1984" s="50"/>
      <c r="BA1984" s="50"/>
      <c r="BB1984" s="51"/>
      <c r="BC1984" s="51"/>
      <c r="BD1984" s="51"/>
      <c r="BE1984" s="51"/>
      <c r="BF1984" s="47"/>
      <c r="BG1984" s="47"/>
      <c r="BH1984" s="47"/>
      <c r="BI1984" s="47"/>
      <c r="BJ1984" s="47"/>
      <c r="BK1984" s="47"/>
      <c r="BL1984" s="47"/>
      <c r="BM1984" s="47"/>
      <c r="BN1984" s="47"/>
      <c r="BO1984" s="47"/>
      <c r="BP1984" s="47"/>
      <c r="BQ1984" s="47"/>
      <c r="BR1984" s="47"/>
      <c r="BS1984" s="47"/>
      <c r="BT1984" s="47"/>
    </row>
    <row r="1985">
      <c r="A1985" s="24"/>
      <c r="B1985" s="48"/>
      <c r="C1985" s="49"/>
      <c r="D1985" s="24"/>
      <c r="E1985" s="52"/>
      <c r="F1985" s="53"/>
      <c r="G1985" s="48"/>
      <c r="H1985" s="49"/>
      <c r="I1985" s="49"/>
      <c r="J1985" s="48"/>
      <c r="K1985" s="48"/>
      <c r="L1985" s="48"/>
      <c r="M1985" s="48"/>
      <c r="N1985" s="48"/>
      <c r="O1985" s="48"/>
      <c r="P1985" s="48"/>
      <c r="Q1985" s="48"/>
      <c r="R1985" s="48"/>
      <c r="S1985" s="48"/>
      <c r="T1985" s="48"/>
      <c r="U1985" s="48"/>
      <c r="V1985" s="48"/>
      <c r="W1985" s="49"/>
      <c r="X1985" s="49"/>
      <c r="Y1985" s="49"/>
      <c r="Z1985" s="49"/>
      <c r="AA1985" s="49"/>
      <c r="AB1985" s="49"/>
      <c r="AC1985" s="49"/>
      <c r="AD1985" s="49"/>
      <c r="AE1985" s="49"/>
      <c r="AF1985" s="49"/>
      <c r="AG1985" s="49"/>
      <c r="AH1985" s="49"/>
      <c r="AI1985" s="48"/>
      <c r="AJ1985" s="48"/>
      <c r="AK1985" s="24"/>
      <c r="AL1985" s="50"/>
      <c r="AM1985" s="50"/>
      <c r="AN1985" s="50"/>
      <c r="AO1985" s="50"/>
      <c r="AP1985" s="50"/>
      <c r="AQ1985" s="50"/>
      <c r="AR1985" s="50"/>
      <c r="AS1985" s="50"/>
      <c r="AT1985" s="51"/>
      <c r="AU1985" s="51"/>
      <c r="AV1985" s="51"/>
      <c r="AW1985" s="51"/>
      <c r="AX1985" s="50"/>
      <c r="AY1985" s="50"/>
      <c r="AZ1985" s="50"/>
      <c r="BA1985" s="50"/>
      <c r="BB1985" s="51"/>
      <c r="BC1985" s="51"/>
      <c r="BD1985" s="51"/>
      <c r="BE1985" s="51"/>
      <c r="BF1985" s="47"/>
      <c r="BG1985" s="47"/>
      <c r="BH1985" s="47"/>
      <c r="BI1985" s="47"/>
      <c r="BJ1985" s="47"/>
      <c r="BK1985" s="47"/>
      <c r="BL1985" s="47"/>
      <c r="BM1985" s="47"/>
      <c r="BN1985" s="47"/>
      <c r="BO1985" s="47"/>
      <c r="BP1985" s="47"/>
      <c r="BQ1985" s="47"/>
      <c r="BR1985" s="47"/>
      <c r="BS1985" s="47"/>
      <c r="BT1985" s="47"/>
    </row>
    <row r="1986">
      <c r="A1986" s="24"/>
      <c r="B1986" s="48"/>
      <c r="C1986" s="49"/>
      <c r="D1986" s="24"/>
      <c r="E1986" s="52"/>
      <c r="F1986" s="53"/>
      <c r="G1986" s="48"/>
      <c r="H1986" s="49"/>
      <c r="I1986" s="49"/>
      <c r="J1986" s="48"/>
      <c r="K1986" s="48"/>
      <c r="L1986" s="48"/>
      <c r="M1986" s="48"/>
      <c r="N1986" s="48"/>
      <c r="O1986" s="48"/>
      <c r="P1986" s="48"/>
      <c r="Q1986" s="48"/>
      <c r="R1986" s="48"/>
      <c r="S1986" s="48"/>
      <c r="T1986" s="48"/>
      <c r="U1986" s="48"/>
      <c r="V1986" s="48"/>
      <c r="W1986" s="49"/>
      <c r="X1986" s="49"/>
      <c r="Y1986" s="49"/>
      <c r="Z1986" s="49"/>
      <c r="AA1986" s="49"/>
      <c r="AB1986" s="49"/>
      <c r="AC1986" s="49"/>
      <c r="AD1986" s="49"/>
      <c r="AE1986" s="49"/>
      <c r="AF1986" s="49"/>
      <c r="AG1986" s="49"/>
      <c r="AH1986" s="49"/>
      <c r="AI1986" s="48"/>
      <c r="AJ1986" s="48"/>
      <c r="AK1986" s="24"/>
      <c r="AL1986" s="50"/>
      <c r="AM1986" s="50"/>
      <c r="AN1986" s="50"/>
      <c r="AO1986" s="50"/>
      <c r="AP1986" s="50"/>
      <c r="AQ1986" s="50"/>
      <c r="AR1986" s="50"/>
      <c r="AS1986" s="50"/>
      <c r="AT1986" s="51"/>
      <c r="AU1986" s="51"/>
      <c r="AV1986" s="51"/>
      <c r="AW1986" s="51"/>
      <c r="AX1986" s="50"/>
      <c r="AY1986" s="50"/>
      <c r="AZ1986" s="50"/>
      <c r="BA1986" s="50"/>
      <c r="BB1986" s="51"/>
      <c r="BC1986" s="51"/>
      <c r="BD1986" s="51"/>
      <c r="BE1986" s="51"/>
      <c r="BF1986" s="47"/>
      <c r="BG1986" s="47"/>
      <c r="BH1986" s="47"/>
      <c r="BI1986" s="47"/>
      <c r="BJ1986" s="47"/>
      <c r="BK1986" s="47"/>
      <c r="BL1986" s="47"/>
      <c r="BM1986" s="47"/>
      <c r="BN1986" s="47"/>
      <c r="BO1986" s="47"/>
      <c r="BP1986" s="47"/>
      <c r="BQ1986" s="47"/>
      <c r="BR1986" s="47"/>
      <c r="BS1986" s="47"/>
      <c r="BT1986" s="47"/>
    </row>
    <row r="1987">
      <c r="A1987" s="24"/>
      <c r="B1987" s="48"/>
      <c r="C1987" s="49"/>
      <c r="D1987" s="24"/>
      <c r="E1987" s="52"/>
      <c r="F1987" s="53"/>
      <c r="G1987" s="48"/>
      <c r="H1987" s="49"/>
      <c r="I1987" s="49"/>
      <c r="J1987" s="48"/>
      <c r="K1987" s="48"/>
      <c r="L1987" s="48"/>
      <c r="M1987" s="48"/>
      <c r="N1987" s="48"/>
      <c r="O1987" s="48"/>
      <c r="P1987" s="48"/>
      <c r="Q1987" s="48"/>
      <c r="R1987" s="48"/>
      <c r="S1987" s="48"/>
      <c r="T1987" s="48"/>
      <c r="U1987" s="48"/>
      <c r="V1987" s="48"/>
      <c r="W1987" s="49"/>
      <c r="X1987" s="49"/>
      <c r="Y1987" s="49"/>
      <c r="Z1987" s="49"/>
      <c r="AA1987" s="49"/>
      <c r="AB1987" s="49"/>
      <c r="AC1987" s="49"/>
      <c r="AD1987" s="49"/>
      <c r="AE1987" s="49"/>
      <c r="AF1987" s="49"/>
      <c r="AG1987" s="49"/>
      <c r="AH1987" s="49"/>
      <c r="AI1987" s="48"/>
      <c r="AJ1987" s="48"/>
      <c r="AK1987" s="24"/>
      <c r="AL1987" s="50"/>
      <c r="AM1987" s="50"/>
      <c r="AN1987" s="50"/>
      <c r="AO1987" s="50"/>
      <c r="AP1987" s="50"/>
      <c r="AQ1987" s="50"/>
      <c r="AR1987" s="50"/>
      <c r="AS1987" s="50"/>
      <c r="AT1987" s="51"/>
      <c r="AU1987" s="51"/>
      <c r="AV1987" s="51"/>
      <c r="AW1987" s="51"/>
      <c r="AX1987" s="50"/>
      <c r="AY1987" s="50"/>
      <c r="AZ1987" s="50"/>
      <c r="BA1987" s="50"/>
      <c r="BB1987" s="51"/>
      <c r="BC1987" s="51"/>
      <c r="BD1987" s="51"/>
      <c r="BE1987" s="51"/>
      <c r="BF1987" s="47"/>
      <c r="BG1987" s="47"/>
      <c r="BH1987" s="47"/>
      <c r="BI1987" s="47"/>
      <c r="BJ1987" s="47"/>
      <c r="BK1987" s="47"/>
      <c r="BL1987" s="47"/>
      <c r="BM1987" s="47"/>
      <c r="BN1987" s="47"/>
      <c r="BO1987" s="47"/>
      <c r="BP1987" s="47"/>
      <c r="BQ1987" s="47"/>
      <c r="BR1987" s="47"/>
      <c r="BS1987" s="47"/>
      <c r="BT1987" s="47"/>
    </row>
    <row r="1988">
      <c r="A1988" s="24"/>
      <c r="B1988" s="48"/>
      <c r="C1988" s="49"/>
      <c r="D1988" s="24"/>
      <c r="E1988" s="52"/>
      <c r="F1988" s="53"/>
      <c r="G1988" s="48"/>
      <c r="H1988" s="49"/>
      <c r="I1988" s="49"/>
      <c r="J1988" s="48"/>
      <c r="K1988" s="48"/>
      <c r="L1988" s="48"/>
      <c r="M1988" s="48"/>
      <c r="N1988" s="48"/>
      <c r="O1988" s="48"/>
      <c r="P1988" s="48"/>
      <c r="Q1988" s="48"/>
      <c r="R1988" s="48"/>
      <c r="S1988" s="48"/>
      <c r="T1988" s="48"/>
      <c r="U1988" s="48"/>
      <c r="V1988" s="48"/>
      <c r="W1988" s="49"/>
      <c r="X1988" s="49"/>
      <c r="Y1988" s="49"/>
      <c r="Z1988" s="49"/>
      <c r="AA1988" s="49"/>
      <c r="AB1988" s="49"/>
      <c r="AC1988" s="49"/>
      <c r="AD1988" s="49"/>
      <c r="AE1988" s="49"/>
      <c r="AF1988" s="49"/>
      <c r="AG1988" s="49"/>
      <c r="AH1988" s="49"/>
      <c r="AI1988" s="48"/>
      <c r="AJ1988" s="48"/>
      <c r="AK1988" s="24"/>
      <c r="AL1988" s="50"/>
      <c r="AM1988" s="50"/>
      <c r="AN1988" s="50"/>
      <c r="AO1988" s="50"/>
      <c r="AP1988" s="50"/>
      <c r="AQ1988" s="50"/>
      <c r="AR1988" s="50"/>
      <c r="AS1988" s="50"/>
      <c r="AT1988" s="51"/>
      <c r="AU1988" s="51"/>
      <c r="AV1988" s="51"/>
      <c r="AW1988" s="51"/>
      <c r="AX1988" s="50"/>
      <c r="AY1988" s="50"/>
      <c r="AZ1988" s="50"/>
      <c r="BA1988" s="50"/>
      <c r="BB1988" s="51"/>
      <c r="BC1988" s="51"/>
      <c r="BD1988" s="51"/>
      <c r="BE1988" s="51"/>
      <c r="BF1988" s="47"/>
      <c r="BG1988" s="47"/>
      <c r="BH1988" s="47"/>
      <c r="BI1988" s="47"/>
      <c r="BJ1988" s="47"/>
      <c r="BK1988" s="47"/>
      <c r="BL1988" s="47"/>
      <c r="BM1988" s="47"/>
      <c r="BN1988" s="47"/>
      <c r="BO1988" s="47"/>
      <c r="BP1988" s="47"/>
      <c r="BQ1988" s="47"/>
      <c r="BR1988" s="47"/>
      <c r="BS1988" s="47"/>
      <c r="BT1988" s="47"/>
    </row>
    <row r="1989">
      <c r="A1989" s="24"/>
      <c r="B1989" s="48"/>
      <c r="C1989" s="49"/>
      <c r="D1989" s="24"/>
      <c r="E1989" s="52"/>
      <c r="F1989" s="53"/>
      <c r="G1989" s="48"/>
      <c r="H1989" s="49"/>
      <c r="I1989" s="49"/>
      <c r="J1989" s="48"/>
      <c r="K1989" s="48"/>
      <c r="L1989" s="48"/>
      <c r="M1989" s="48"/>
      <c r="N1989" s="48"/>
      <c r="O1989" s="48"/>
      <c r="P1989" s="48"/>
      <c r="Q1989" s="48"/>
      <c r="R1989" s="48"/>
      <c r="S1989" s="48"/>
      <c r="T1989" s="48"/>
      <c r="U1989" s="48"/>
      <c r="V1989" s="48"/>
      <c r="W1989" s="49"/>
      <c r="X1989" s="49"/>
      <c r="Y1989" s="49"/>
      <c r="Z1989" s="49"/>
      <c r="AA1989" s="49"/>
      <c r="AB1989" s="49"/>
      <c r="AC1989" s="49"/>
      <c r="AD1989" s="49"/>
      <c r="AE1989" s="49"/>
      <c r="AF1989" s="49"/>
      <c r="AG1989" s="49"/>
      <c r="AH1989" s="49"/>
      <c r="AI1989" s="48"/>
      <c r="AJ1989" s="48"/>
      <c r="AK1989" s="24"/>
      <c r="AL1989" s="50"/>
      <c r="AM1989" s="50"/>
      <c r="AN1989" s="50"/>
      <c r="AO1989" s="50"/>
      <c r="AP1989" s="50"/>
      <c r="AQ1989" s="50"/>
      <c r="AR1989" s="50"/>
      <c r="AS1989" s="50"/>
      <c r="AT1989" s="51"/>
      <c r="AU1989" s="51"/>
      <c r="AV1989" s="51"/>
      <c r="AW1989" s="51"/>
      <c r="AX1989" s="50"/>
      <c r="AY1989" s="50"/>
      <c r="AZ1989" s="50"/>
      <c r="BA1989" s="50"/>
      <c r="BB1989" s="51"/>
      <c r="BC1989" s="51"/>
      <c r="BD1989" s="51"/>
      <c r="BE1989" s="51"/>
      <c r="BF1989" s="47"/>
      <c r="BG1989" s="47"/>
      <c r="BH1989" s="47"/>
      <c r="BI1989" s="47"/>
      <c r="BJ1989" s="47"/>
      <c r="BK1989" s="47"/>
      <c r="BL1989" s="47"/>
      <c r="BM1989" s="47"/>
      <c r="BN1989" s="47"/>
      <c r="BO1989" s="47"/>
      <c r="BP1989" s="47"/>
      <c r="BQ1989" s="47"/>
      <c r="BR1989" s="47"/>
      <c r="BS1989" s="47"/>
      <c r="BT1989" s="47"/>
    </row>
    <row r="1990">
      <c r="A1990" s="24"/>
      <c r="B1990" s="48"/>
      <c r="C1990" s="49"/>
      <c r="D1990" s="24"/>
      <c r="E1990" s="52"/>
      <c r="F1990" s="53"/>
      <c r="G1990" s="48"/>
      <c r="H1990" s="49"/>
      <c r="I1990" s="49"/>
      <c r="J1990" s="48"/>
      <c r="K1990" s="48"/>
      <c r="L1990" s="48"/>
      <c r="M1990" s="48"/>
      <c r="N1990" s="48"/>
      <c r="O1990" s="48"/>
      <c r="P1990" s="48"/>
      <c r="Q1990" s="48"/>
      <c r="R1990" s="48"/>
      <c r="S1990" s="48"/>
      <c r="T1990" s="48"/>
      <c r="U1990" s="48"/>
      <c r="V1990" s="48"/>
      <c r="W1990" s="49"/>
      <c r="X1990" s="49"/>
      <c r="Y1990" s="49"/>
      <c r="Z1990" s="49"/>
      <c r="AA1990" s="49"/>
      <c r="AB1990" s="49"/>
      <c r="AC1990" s="49"/>
      <c r="AD1990" s="49"/>
      <c r="AE1990" s="49"/>
      <c r="AF1990" s="49"/>
      <c r="AG1990" s="49"/>
      <c r="AH1990" s="49"/>
      <c r="AI1990" s="48"/>
      <c r="AJ1990" s="48"/>
      <c r="AK1990" s="24"/>
      <c r="AL1990" s="50"/>
      <c r="AM1990" s="50"/>
      <c r="AN1990" s="50"/>
      <c r="AO1990" s="50"/>
      <c r="AP1990" s="50"/>
      <c r="AQ1990" s="50"/>
      <c r="AR1990" s="50"/>
      <c r="AS1990" s="50"/>
      <c r="AT1990" s="51"/>
      <c r="AU1990" s="51"/>
      <c r="AV1990" s="51"/>
      <c r="AW1990" s="51"/>
      <c r="AX1990" s="50"/>
      <c r="AY1990" s="50"/>
      <c r="AZ1990" s="50"/>
      <c r="BA1990" s="50"/>
      <c r="BB1990" s="51"/>
      <c r="BC1990" s="51"/>
      <c r="BD1990" s="51"/>
      <c r="BE1990" s="51"/>
      <c r="BF1990" s="47"/>
      <c r="BG1990" s="47"/>
      <c r="BH1990" s="47"/>
      <c r="BI1990" s="47"/>
      <c r="BJ1990" s="47"/>
      <c r="BK1990" s="47"/>
      <c r="BL1990" s="47"/>
      <c r="BM1990" s="47"/>
      <c r="BN1990" s="47"/>
      <c r="BO1990" s="47"/>
      <c r="BP1990" s="47"/>
      <c r="BQ1990" s="47"/>
      <c r="BR1990" s="47"/>
      <c r="BS1990" s="47"/>
      <c r="BT1990" s="47"/>
    </row>
    <row r="1991">
      <c r="A1991" s="24"/>
      <c r="B1991" s="48"/>
      <c r="C1991" s="49"/>
      <c r="D1991" s="24"/>
      <c r="E1991" s="52"/>
      <c r="F1991" s="53"/>
      <c r="G1991" s="48"/>
      <c r="H1991" s="49"/>
      <c r="I1991" s="49"/>
      <c r="J1991" s="48"/>
      <c r="K1991" s="48"/>
      <c r="L1991" s="48"/>
      <c r="M1991" s="48"/>
      <c r="N1991" s="48"/>
      <c r="O1991" s="48"/>
      <c r="P1991" s="48"/>
      <c r="Q1991" s="48"/>
      <c r="R1991" s="48"/>
      <c r="S1991" s="48"/>
      <c r="T1991" s="48"/>
      <c r="U1991" s="48"/>
      <c r="V1991" s="48"/>
      <c r="W1991" s="49"/>
      <c r="X1991" s="49"/>
      <c r="Y1991" s="49"/>
      <c r="Z1991" s="49"/>
      <c r="AA1991" s="49"/>
      <c r="AB1991" s="49"/>
      <c r="AC1991" s="49"/>
      <c r="AD1991" s="49"/>
      <c r="AE1991" s="49"/>
      <c r="AF1991" s="49"/>
      <c r="AG1991" s="49"/>
      <c r="AH1991" s="49"/>
      <c r="AI1991" s="48"/>
      <c r="AJ1991" s="48"/>
      <c r="AK1991" s="24"/>
      <c r="AL1991" s="50"/>
      <c r="AM1991" s="50"/>
      <c r="AN1991" s="50"/>
      <c r="AO1991" s="50"/>
      <c r="AP1991" s="50"/>
      <c r="AQ1991" s="50"/>
      <c r="AR1991" s="50"/>
      <c r="AS1991" s="50"/>
      <c r="AT1991" s="51"/>
      <c r="AU1991" s="51"/>
      <c r="AV1991" s="51"/>
      <c r="AW1991" s="51"/>
      <c r="AX1991" s="50"/>
      <c r="AY1991" s="50"/>
      <c r="AZ1991" s="50"/>
      <c r="BA1991" s="50"/>
      <c r="BB1991" s="51"/>
      <c r="BC1991" s="51"/>
      <c r="BD1991" s="51"/>
      <c r="BE1991" s="51"/>
      <c r="BF1991" s="47"/>
      <c r="BG1991" s="47"/>
      <c r="BH1991" s="47"/>
      <c r="BI1991" s="47"/>
      <c r="BJ1991" s="47"/>
      <c r="BK1991" s="47"/>
      <c r="BL1991" s="47"/>
      <c r="BM1991" s="47"/>
      <c r="BN1991" s="47"/>
      <c r="BO1991" s="47"/>
      <c r="BP1991" s="47"/>
      <c r="BQ1991" s="47"/>
      <c r="BR1991" s="47"/>
      <c r="BS1991" s="47"/>
      <c r="BT1991" s="47"/>
    </row>
    <row r="1992">
      <c r="A1992" s="24"/>
      <c r="B1992" s="48"/>
      <c r="C1992" s="49"/>
      <c r="D1992" s="24"/>
      <c r="E1992" s="52"/>
      <c r="F1992" s="53"/>
      <c r="G1992" s="48"/>
      <c r="H1992" s="49"/>
      <c r="I1992" s="49"/>
      <c r="J1992" s="48"/>
      <c r="K1992" s="48"/>
      <c r="L1992" s="48"/>
      <c r="M1992" s="48"/>
      <c r="N1992" s="48"/>
      <c r="O1992" s="48"/>
      <c r="P1992" s="48"/>
      <c r="Q1992" s="48"/>
      <c r="R1992" s="48"/>
      <c r="S1992" s="48"/>
      <c r="T1992" s="48"/>
      <c r="U1992" s="48"/>
      <c r="V1992" s="48"/>
      <c r="W1992" s="49"/>
      <c r="X1992" s="49"/>
      <c r="Y1992" s="49"/>
      <c r="Z1992" s="49"/>
      <c r="AA1992" s="49"/>
      <c r="AB1992" s="49"/>
      <c r="AC1992" s="49"/>
      <c r="AD1992" s="49"/>
      <c r="AE1992" s="49"/>
      <c r="AF1992" s="49"/>
      <c r="AG1992" s="49"/>
      <c r="AH1992" s="49"/>
      <c r="AI1992" s="48"/>
      <c r="AJ1992" s="48"/>
      <c r="AK1992" s="24"/>
      <c r="AL1992" s="50"/>
      <c r="AM1992" s="50"/>
      <c r="AN1992" s="50"/>
      <c r="AO1992" s="50"/>
      <c r="AP1992" s="50"/>
      <c r="AQ1992" s="50"/>
      <c r="AR1992" s="50"/>
      <c r="AS1992" s="50"/>
      <c r="AT1992" s="51"/>
      <c r="AU1992" s="51"/>
      <c r="AV1992" s="51"/>
      <c r="AW1992" s="51"/>
      <c r="AX1992" s="50"/>
      <c r="AY1992" s="50"/>
      <c r="AZ1992" s="50"/>
      <c r="BA1992" s="50"/>
      <c r="BB1992" s="51"/>
      <c r="BC1992" s="51"/>
      <c r="BD1992" s="51"/>
      <c r="BE1992" s="51"/>
      <c r="BF1992" s="47"/>
      <c r="BG1992" s="47"/>
      <c r="BH1992" s="47"/>
      <c r="BI1992" s="47"/>
      <c r="BJ1992" s="47"/>
      <c r="BK1992" s="47"/>
      <c r="BL1992" s="47"/>
      <c r="BM1992" s="47"/>
      <c r="BN1992" s="47"/>
      <c r="BO1992" s="47"/>
      <c r="BP1992" s="47"/>
      <c r="BQ1992" s="47"/>
      <c r="BR1992" s="47"/>
      <c r="BS1992" s="47"/>
      <c r="BT1992" s="47"/>
    </row>
    <row r="1993">
      <c r="A1993" s="24"/>
      <c r="B1993" s="48"/>
      <c r="C1993" s="49"/>
      <c r="D1993" s="24"/>
      <c r="E1993" s="52"/>
      <c r="F1993" s="53"/>
      <c r="G1993" s="48"/>
      <c r="H1993" s="49"/>
      <c r="I1993" s="49"/>
      <c r="J1993" s="48"/>
      <c r="K1993" s="48"/>
      <c r="L1993" s="48"/>
      <c r="M1993" s="48"/>
      <c r="N1993" s="48"/>
      <c r="O1993" s="48"/>
      <c r="P1993" s="48"/>
      <c r="Q1993" s="48"/>
      <c r="R1993" s="48"/>
      <c r="S1993" s="48"/>
      <c r="T1993" s="48"/>
      <c r="U1993" s="48"/>
      <c r="V1993" s="48"/>
      <c r="W1993" s="49"/>
      <c r="X1993" s="49"/>
      <c r="Y1993" s="49"/>
      <c r="Z1993" s="49"/>
      <c r="AA1993" s="49"/>
      <c r="AB1993" s="49"/>
      <c r="AC1993" s="49"/>
      <c r="AD1993" s="49"/>
      <c r="AE1993" s="49"/>
      <c r="AF1993" s="49"/>
      <c r="AG1993" s="49"/>
      <c r="AH1993" s="49"/>
      <c r="AI1993" s="48"/>
      <c r="AJ1993" s="48"/>
      <c r="AK1993" s="24"/>
      <c r="AL1993" s="50"/>
      <c r="AM1993" s="50"/>
      <c r="AN1993" s="50"/>
      <c r="AO1993" s="50"/>
      <c r="AP1993" s="50"/>
      <c r="AQ1993" s="50"/>
      <c r="AR1993" s="50"/>
      <c r="AS1993" s="50"/>
      <c r="AT1993" s="51"/>
      <c r="AU1993" s="51"/>
      <c r="AV1993" s="51"/>
      <c r="AW1993" s="51"/>
      <c r="AX1993" s="50"/>
      <c r="AY1993" s="50"/>
      <c r="AZ1993" s="50"/>
      <c r="BA1993" s="50"/>
      <c r="BB1993" s="51"/>
      <c r="BC1993" s="51"/>
      <c r="BD1993" s="51"/>
      <c r="BE1993" s="51"/>
      <c r="BF1993" s="47"/>
      <c r="BG1993" s="47"/>
      <c r="BH1993" s="47"/>
      <c r="BI1993" s="47"/>
      <c r="BJ1993" s="47"/>
      <c r="BK1993" s="47"/>
      <c r="BL1993" s="47"/>
      <c r="BM1993" s="47"/>
      <c r="BN1993" s="47"/>
      <c r="BO1993" s="47"/>
      <c r="BP1993" s="47"/>
      <c r="BQ1993" s="47"/>
      <c r="BR1993" s="47"/>
      <c r="BS1993" s="47"/>
      <c r="BT1993" s="47"/>
    </row>
    <row r="1994">
      <c r="A1994" s="24"/>
      <c r="B1994" s="48"/>
      <c r="C1994" s="49"/>
      <c r="D1994" s="24"/>
      <c r="E1994" s="52"/>
      <c r="F1994" s="53"/>
      <c r="G1994" s="48"/>
      <c r="H1994" s="49"/>
      <c r="I1994" s="49"/>
      <c r="J1994" s="48"/>
      <c r="K1994" s="48"/>
      <c r="L1994" s="48"/>
      <c r="M1994" s="48"/>
      <c r="N1994" s="48"/>
      <c r="O1994" s="48"/>
      <c r="P1994" s="48"/>
      <c r="Q1994" s="48"/>
      <c r="R1994" s="48"/>
      <c r="S1994" s="48"/>
      <c r="T1994" s="48"/>
      <c r="U1994" s="48"/>
      <c r="V1994" s="48"/>
      <c r="W1994" s="49"/>
      <c r="X1994" s="49"/>
      <c r="Y1994" s="49"/>
      <c r="Z1994" s="49"/>
      <c r="AA1994" s="49"/>
      <c r="AB1994" s="49"/>
      <c r="AC1994" s="49"/>
      <c r="AD1994" s="49"/>
      <c r="AE1994" s="49"/>
      <c r="AF1994" s="49"/>
      <c r="AG1994" s="49"/>
      <c r="AH1994" s="49"/>
      <c r="AI1994" s="48"/>
      <c r="AJ1994" s="48"/>
      <c r="AK1994" s="24"/>
      <c r="AL1994" s="50"/>
      <c r="AM1994" s="50"/>
      <c r="AN1994" s="50"/>
      <c r="AO1994" s="50"/>
      <c r="AP1994" s="50"/>
      <c r="AQ1994" s="50"/>
      <c r="AR1994" s="50"/>
      <c r="AS1994" s="50"/>
      <c r="AT1994" s="51"/>
      <c r="AU1994" s="51"/>
      <c r="AV1994" s="51"/>
      <c r="AW1994" s="51"/>
      <c r="AX1994" s="50"/>
      <c r="AY1994" s="50"/>
      <c r="AZ1994" s="50"/>
      <c r="BA1994" s="50"/>
      <c r="BB1994" s="51"/>
      <c r="BC1994" s="51"/>
      <c r="BD1994" s="51"/>
      <c r="BE1994" s="51"/>
      <c r="BF1994" s="47"/>
      <c r="BG1994" s="47"/>
      <c r="BH1994" s="47"/>
      <c r="BI1994" s="47"/>
      <c r="BJ1994" s="47"/>
      <c r="BK1994" s="47"/>
      <c r="BL1994" s="47"/>
      <c r="BM1994" s="47"/>
      <c r="BN1994" s="47"/>
      <c r="BO1994" s="47"/>
      <c r="BP1994" s="47"/>
      <c r="BQ1994" s="47"/>
      <c r="BR1994" s="47"/>
      <c r="BS1994" s="47"/>
      <c r="BT1994" s="47"/>
    </row>
    <row r="1995">
      <c r="A1995" s="24"/>
      <c r="B1995" s="48"/>
      <c r="C1995" s="49"/>
      <c r="D1995" s="24"/>
      <c r="E1995" s="52"/>
      <c r="F1995" s="53"/>
      <c r="G1995" s="48"/>
      <c r="H1995" s="49"/>
      <c r="I1995" s="49"/>
      <c r="J1995" s="48"/>
      <c r="K1995" s="48"/>
      <c r="L1995" s="48"/>
      <c r="M1995" s="48"/>
      <c r="N1995" s="48"/>
      <c r="O1995" s="48"/>
      <c r="P1995" s="48"/>
      <c r="Q1995" s="48"/>
      <c r="R1995" s="48"/>
      <c r="S1995" s="48"/>
      <c r="T1995" s="48"/>
      <c r="U1995" s="48"/>
      <c r="V1995" s="48"/>
      <c r="W1995" s="49"/>
      <c r="X1995" s="49"/>
      <c r="Y1995" s="49"/>
      <c r="Z1995" s="49"/>
      <c r="AA1995" s="49"/>
      <c r="AB1995" s="49"/>
      <c r="AC1995" s="49"/>
      <c r="AD1995" s="49"/>
      <c r="AE1995" s="49"/>
      <c r="AF1995" s="49"/>
      <c r="AG1995" s="49"/>
      <c r="AH1995" s="49"/>
      <c r="AI1995" s="48"/>
      <c r="AJ1995" s="48"/>
      <c r="AK1995" s="24"/>
      <c r="AL1995" s="50"/>
      <c r="AM1995" s="50"/>
      <c r="AN1995" s="50"/>
      <c r="AO1995" s="50"/>
      <c r="AP1995" s="50"/>
      <c r="AQ1995" s="50"/>
      <c r="AR1995" s="50"/>
      <c r="AS1995" s="50"/>
      <c r="AT1995" s="51"/>
      <c r="AU1995" s="51"/>
      <c r="AV1995" s="51"/>
      <c r="AW1995" s="51"/>
      <c r="AX1995" s="50"/>
      <c r="AY1995" s="50"/>
      <c r="AZ1995" s="50"/>
      <c r="BA1995" s="50"/>
      <c r="BB1995" s="51"/>
      <c r="BC1995" s="51"/>
      <c r="BD1995" s="51"/>
      <c r="BE1995" s="51"/>
      <c r="BF1995" s="47"/>
      <c r="BG1995" s="47"/>
      <c r="BH1995" s="47"/>
      <c r="BI1995" s="47"/>
      <c r="BJ1995" s="47"/>
      <c r="BK1995" s="47"/>
      <c r="BL1995" s="47"/>
      <c r="BM1995" s="47"/>
      <c r="BN1995" s="47"/>
      <c r="BO1995" s="47"/>
      <c r="BP1995" s="47"/>
      <c r="BQ1995" s="47"/>
      <c r="BR1995" s="47"/>
      <c r="BS1995" s="47"/>
      <c r="BT1995" s="47"/>
    </row>
    <row r="1996">
      <c r="A1996" s="24"/>
      <c r="B1996" s="48"/>
      <c r="C1996" s="49"/>
      <c r="D1996" s="24"/>
      <c r="E1996" s="52"/>
      <c r="F1996" s="53"/>
      <c r="G1996" s="48"/>
      <c r="H1996" s="49"/>
      <c r="I1996" s="49"/>
      <c r="J1996" s="48"/>
      <c r="K1996" s="48"/>
      <c r="L1996" s="48"/>
      <c r="M1996" s="48"/>
      <c r="N1996" s="48"/>
      <c r="O1996" s="48"/>
      <c r="P1996" s="48"/>
      <c r="Q1996" s="48"/>
      <c r="R1996" s="48"/>
      <c r="S1996" s="48"/>
      <c r="T1996" s="48"/>
      <c r="U1996" s="48"/>
      <c r="V1996" s="48"/>
      <c r="W1996" s="49"/>
      <c r="X1996" s="49"/>
      <c r="Y1996" s="49"/>
      <c r="Z1996" s="49"/>
      <c r="AA1996" s="49"/>
      <c r="AB1996" s="49"/>
      <c r="AC1996" s="49"/>
      <c r="AD1996" s="49"/>
      <c r="AE1996" s="49"/>
      <c r="AF1996" s="49"/>
      <c r="AG1996" s="49"/>
      <c r="AH1996" s="49"/>
      <c r="AI1996" s="48"/>
      <c r="AJ1996" s="48"/>
      <c r="AK1996" s="24"/>
      <c r="AL1996" s="50"/>
      <c r="AM1996" s="50"/>
      <c r="AN1996" s="50"/>
      <c r="AO1996" s="50"/>
      <c r="AP1996" s="50"/>
      <c r="AQ1996" s="50"/>
      <c r="AR1996" s="50"/>
      <c r="AS1996" s="50"/>
      <c r="AT1996" s="51"/>
      <c r="AU1996" s="51"/>
      <c r="AV1996" s="51"/>
      <c r="AW1996" s="51"/>
      <c r="AX1996" s="50"/>
      <c r="AY1996" s="50"/>
      <c r="AZ1996" s="50"/>
      <c r="BA1996" s="50"/>
      <c r="BB1996" s="51"/>
      <c r="BC1996" s="51"/>
      <c r="BD1996" s="51"/>
      <c r="BE1996" s="51"/>
      <c r="BF1996" s="47"/>
      <c r="BG1996" s="47"/>
      <c r="BH1996" s="47"/>
      <c r="BI1996" s="47"/>
      <c r="BJ1996" s="47"/>
      <c r="BK1996" s="47"/>
      <c r="BL1996" s="47"/>
      <c r="BM1996" s="47"/>
      <c r="BN1996" s="47"/>
      <c r="BO1996" s="47"/>
      <c r="BP1996" s="47"/>
      <c r="BQ1996" s="47"/>
      <c r="BR1996" s="47"/>
      <c r="BS1996" s="47"/>
      <c r="BT1996" s="47"/>
    </row>
    <row r="1997">
      <c r="A1997" s="24"/>
      <c r="B1997" s="48"/>
      <c r="C1997" s="49"/>
      <c r="D1997" s="24"/>
      <c r="E1997" s="52"/>
      <c r="F1997" s="53"/>
      <c r="G1997" s="48"/>
      <c r="H1997" s="49"/>
      <c r="I1997" s="49"/>
      <c r="J1997" s="48"/>
      <c r="K1997" s="48"/>
      <c r="L1997" s="48"/>
      <c r="M1997" s="48"/>
      <c r="N1997" s="48"/>
      <c r="O1997" s="48"/>
      <c r="P1997" s="48"/>
      <c r="Q1997" s="48"/>
      <c r="R1997" s="48"/>
      <c r="S1997" s="48"/>
      <c r="T1997" s="48"/>
      <c r="U1997" s="48"/>
      <c r="V1997" s="48"/>
      <c r="W1997" s="49"/>
      <c r="X1997" s="49"/>
      <c r="Y1997" s="49"/>
      <c r="Z1997" s="49"/>
      <c r="AA1997" s="49"/>
      <c r="AB1997" s="49"/>
      <c r="AC1997" s="49"/>
      <c r="AD1997" s="49"/>
      <c r="AE1997" s="49"/>
      <c r="AF1997" s="49"/>
      <c r="AG1997" s="49"/>
      <c r="AH1997" s="49"/>
      <c r="AI1997" s="48"/>
      <c r="AJ1997" s="48"/>
      <c r="AK1997" s="24"/>
      <c r="AL1997" s="50"/>
      <c r="AM1997" s="50"/>
      <c r="AN1997" s="50"/>
      <c r="AO1997" s="50"/>
      <c r="AP1997" s="50"/>
      <c r="AQ1997" s="50"/>
      <c r="AR1997" s="50"/>
      <c r="AS1997" s="50"/>
      <c r="AT1997" s="51"/>
      <c r="AU1997" s="51"/>
      <c r="AV1997" s="51"/>
      <c r="AW1997" s="51"/>
      <c r="AX1997" s="50"/>
      <c r="AY1997" s="50"/>
      <c r="AZ1997" s="50"/>
      <c r="BA1997" s="50"/>
      <c r="BB1997" s="51"/>
      <c r="BC1997" s="51"/>
      <c r="BD1997" s="51"/>
      <c r="BE1997" s="51"/>
      <c r="BF1997" s="47"/>
      <c r="BG1997" s="47"/>
      <c r="BH1997" s="47"/>
      <c r="BI1997" s="47"/>
      <c r="BJ1997" s="47"/>
      <c r="BK1997" s="47"/>
      <c r="BL1997" s="47"/>
      <c r="BM1997" s="47"/>
      <c r="BN1997" s="47"/>
      <c r="BO1997" s="47"/>
      <c r="BP1997" s="47"/>
      <c r="BQ1997" s="47"/>
      <c r="BR1997" s="47"/>
      <c r="BS1997" s="47"/>
      <c r="BT1997" s="47"/>
    </row>
    <row r="1998">
      <c r="A1998" s="24"/>
      <c r="B1998" s="48"/>
      <c r="C1998" s="49"/>
      <c r="D1998" s="24"/>
      <c r="E1998" s="52"/>
      <c r="F1998" s="53"/>
      <c r="G1998" s="48"/>
      <c r="H1998" s="49"/>
      <c r="I1998" s="49"/>
      <c r="J1998" s="48"/>
      <c r="K1998" s="48"/>
      <c r="L1998" s="48"/>
      <c r="M1998" s="48"/>
      <c r="N1998" s="48"/>
      <c r="O1998" s="48"/>
      <c r="P1998" s="48"/>
      <c r="Q1998" s="48"/>
      <c r="R1998" s="48"/>
      <c r="S1998" s="48"/>
      <c r="T1998" s="48"/>
      <c r="U1998" s="48"/>
      <c r="V1998" s="48"/>
      <c r="W1998" s="49"/>
      <c r="X1998" s="49"/>
      <c r="Y1998" s="49"/>
      <c r="Z1998" s="49"/>
      <c r="AA1998" s="49"/>
      <c r="AB1998" s="49"/>
      <c r="AC1998" s="49"/>
      <c r="AD1998" s="49"/>
      <c r="AE1998" s="49"/>
      <c r="AF1998" s="49"/>
      <c r="AG1998" s="49"/>
      <c r="AH1998" s="49"/>
      <c r="AI1998" s="48"/>
      <c r="AJ1998" s="48"/>
      <c r="AK1998" s="24"/>
      <c r="AL1998" s="50"/>
      <c r="AM1998" s="50"/>
      <c r="AN1998" s="50"/>
      <c r="AO1998" s="50"/>
      <c r="AP1998" s="50"/>
      <c r="AQ1998" s="50"/>
      <c r="AR1998" s="50"/>
      <c r="AS1998" s="50"/>
      <c r="AT1998" s="51"/>
      <c r="AU1998" s="51"/>
      <c r="AV1998" s="51"/>
      <c r="AW1998" s="51"/>
      <c r="AX1998" s="50"/>
      <c r="AY1998" s="50"/>
      <c r="AZ1998" s="50"/>
      <c r="BA1998" s="50"/>
      <c r="BB1998" s="51"/>
      <c r="BC1998" s="51"/>
      <c r="BD1998" s="51"/>
      <c r="BE1998" s="51"/>
      <c r="BF1998" s="47"/>
      <c r="BG1998" s="47"/>
      <c r="BH1998" s="47"/>
      <c r="BI1998" s="47"/>
      <c r="BJ1998" s="47"/>
      <c r="BK1998" s="47"/>
      <c r="BL1998" s="47"/>
      <c r="BM1998" s="47"/>
      <c r="BN1998" s="47"/>
      <c r="BO1998" s="47"/>
      <c r="BP1998" s="47"/>
      <c r="BQ1998" s="47"/>
      <c r="BR1998" s="47"/>
      <c r="BS1998" s="47"/>
      <c r="BT1998" s="47"/>
    </row>
    <row r="1999">
      <c r="A1999" s="24"/>
      <c r="B1999" s="48"/>
      <c r="C1999" s="49"/>
      <c r="D1999" s="24"/>
      <c r="E1999" s="52"/>
      <c r="F1999" s="53"/>
      <c r="G1999" s="48"/>
      <c r="H1999" s="49"/>
      <c r="I1999" s="49"/>
      <c r="J1999" s="48"/>
      <c r="K1999" s="48"/>
      <c r="L1999" s="48"/>
      <c r="M1999" s="48"/>
      <c r="N1999" s="48"/>
      <c r="O1999" s="48"/>
      <c r="P1999" s="48"/>
      <c r="Q1999" s="48"/>
      <c r="R1999" s="48"/>
      <c r="S1999" s="48"/>
      <c r="T1999" s="48"/>
      <c r="U1999" s="48"/>
      <c r="V1999" s="48"/>
      <c r="W1999" s="49"/>
      <c r="X1999" s="49"/>
      <c r="Y1999" s="49"/>
      <c r="Z1999" s="49"/>
      <c r="AA1999" s="49"/>
      <c r="AB1999" s="49"/>
      <c r="AC1999" s="49"/>
      <c r="AD1999" s="49"/>
      <c r="AE1999" s="49"/>
      <c r="AF1999" s="49"/>
      <c r="AG1999" s="49"/>
      <c r="AH1999" s="49"/>
      <c r="AI1999" s="48"/>
      <c r="AJ1999" s="48"/>
      <c r="AK1999" s="24"/>
      <c r="AL1999" s="50"/>
      <c r="AM1999" s="50"/>
      <c r="AN1999" s="50"/>
      <c r="AO1999" s="50"/>
      <c r="AP1999" s="50"/>
      <c r="AQ1999" s="50"/>
      <c r="AR1999" s="50"/>
      <c r="AS1999" s="50"/>
      <c r="AT1999" s="51"/>
      <c r="AU1999" s="51"/>
      <c r="AV1999" s="51"/>
      <c r="AW1999" s="51"/>
      <c r="AX1999" s="50"/>
      <c r="AY1999" s="50"/>
      <c r="AZ1999" s="50"/>
      <c r="BA1999" s="50"/>
      <c r="BB1999" s="51"/>
      <c r="BC1999" s="51"/>
      <c r="BD1999" s="51"/>
      <c r="BE1999" s="51"/>
      <c r="BF1999" s="47"/>
      <c r="BG1999" s="47"/>
      <c r="BH1999" s="47"/>
      <c r="BI1999" s="47"/>
      <c r="BJ1999" s="47"/>
      <c r="BK1999" s="47"/>
      <c r="BL1999" s="47"/>
      <c r="BM1999" s="47"/>
      <c r="BN1999" s="47"/>
      <c r="BO1999" s="47"/>
      <c r="BP1999" s="47"/>
      <c r="BQ1999" s="47"/>
      <c r="BR1999" s="47"/>
      <c r="BS1999" s="47"/>
      <c r="BT1999" s="47"/>
    </row>
    <row r="2000">
      <c r="A2000" s="24"/>
      <c r="B2000" s="48"/>
      <c r="C2000" s="49"/>
      <c r="D2000" s="24"/>
      <c r="E2000" s="52"/>
      <c r="F2000" s="53"/>
      <c r="G2000" s="48"/>
      <c r="H2000" s="49"/>
      <c r="I2000" s="49"/>
      <c r="J2000" s="48"/>
      <c r="K2000" s="48"/>
      <c r="L2000" s="48"/>
      <c r="M2000" s="48"/>
      <c r="N2000" s="48"/>
      <c r="O2000" s="48"/>
      <c r="P2000" s="48"/>
      <c r="Q2000" s="48"/>
      <c r="R2000" s="48"/>
      <c r="S2000" s="48"/>
      <c r="T2000" s="48"/>
      <c r="U2000" s="48"/>
      <c r="V2000" s="48"/>
      <c r="W2000" s="49"/>
      <c r="X2000" s="49"/>
      <c r="Y2000" s="49"/>
      <c r="Z2000" s="49"/>
      <c r="AA2000" s="49"/>
      <c r="AB2000" s="49"/>
      <c r="AC2000" s="49"/>
      <c r="AD2000" s="49"/>
      <c r="AE2000" s="49"/>
      <c r="AF2000" s="49"/>
      <c r="AG2000" s="49"/>
      <c r="AH2000" s="49"/>
      <c r="AI2000" s="48"/>
      <c r="AJ2000" s="48"/>
      <c r="AK2000" s="24"/>
      <c r="AL2000" s="50"/>
      <c r="AM2000" s="50"/>
      <c r="AN2000" s="50"/>
      <c r="AO2000" s="50"/>
      <c r="AP2000" s="50"/>
      <c r="AQ2000" s="50"/>
      <c r="AR2000" s="50"/>
      <c r="AS2000" s="50"/>
      <c r="AT2000" s="51"/>
      <c r="AU2000" s="51"/>
      <c r="AV2000" s="51"/>
      <c r="AW2000" s="51"/>
      <c r="AX2000" s="50"/>
      <c r="AY2000" s="50"/>
      <c r="AZ2000" s="50"/>
      <c r="BA2000" s="50"/>
      <c r="BB2000" s="51"/>
      <c r="BC2000" s="51"/>
      <c r="BD2000" s="51"/>
      <c r="BE2000" s="51"/>
      <c r="BF2000" s="47"/>
      <c r="BG2000" s="47"/>
      <c r="BH2000" s="47"/>
      <c r="BI2000" s="47"/>
      <c r="BJ2000" s="47"/>
      <c r="BK2000" s="47"/>
      <c r="BL2000" s="47"/>
      <c r="BM2000" s="47"/>
      <c r="BN2000" s="47"/>
      <c r="BO2000" s="47"/>
      <c r="BP2000" s="47"/>
      <c r="BQ2000" s="47"/>
      <c r="BR2000" s="47"/>
      <c r="BS2000" s="47"/>
      <c r="BT2000" s="47"/>
    </row>
    <row r="2001">
      <c r="A2001" s="24"/>
      <c r="B2001" s="48"/>
      <c r="C2001" s="49"/>
      <c r="D2001" s="24"/>
      <c r="E2001" s="52"/>
      <c r="F2001" s="53"/>
      <c r="G2001" s="48"/>
      <c r="H2001" s="49"/>
      <c r="I2001" s="49"/>
      <c r="J2001" s="48"/>
      <c r="K2001" s="48"/>
      <c r="L2001" s="48"/>
      <c r="M2001" s="48"/>
      <c r="N2001" s="48"/>
      <c r="O2001" s="48"/>
      <c r="P2001" s="48"/>
      <c r="Q2001" s="48"/>
      <c r="R2001" s="48"/>
      <c r="S2001" s="48"/>
      <c r="T2001" s="48"/>
      <c r="U2001" s="48"/>
      <c r="V2001" s="48"/>
      <c r="W2001" s="49"/>
      <c r="X2001" s="49"/>
      <c r="Y2001" s="49"/>
      <c r="Z2001" s="49"/>
      <c r="AA2001" s="49"/>
      <c r="AB2001" s="49"/>
      <c r="AC2001" s="49"/>
      <c r="AD2001" s="49"/>
      <c r="AE2001" s="49"/>
      <c r="AF2001" s="49"/>
      <c r="AG2001" s="49"/>
      <c r="AH2001" s="49"/>
      <c r="AI2001" s="48"/>
      <c r="AJ2001" s="48"/>
      <c r="AK2001" s="24"/>
      <c r="AL2001" s="50"/>
      <c r="AM2001" s="50"/>
      <c r="AN2001" s="50"/>
      <c r="AO2001" s="50"/>
      <c r="AP2001" s="50"/>
      <c r="AQ2001" s="50"/>
      <c r="AR2001" s="50"/>
      <c r="AS2001" s="50"/>
      <c r="AT2001" s="51"/>
      <c r="AU2001" s="51"/>
      <c r="AV2001" s="51"/>
      <c r="AW2001" s="51"/>
      <c r="AX2001" s="50"/>
      <c r="AY2001" s="50"/>
      <c r="AZ2001" s="50"/>
      <c r="BA2001" s="50"/>
      <c r="BB2001" s="51"/>
      <c r="BC2001" s="51"/>
      <c r="BD2001" s="51"/>
      <c r="BE2001" s="51"/>
      <c r="BF2001" s="47"/>
      <c r="BG2001" s="47"/>
      <c r="BH2001" s="47"/>
      <c r="BI2001" s="47"/>
      <c r="BJ2001" s="47"/>
      <c r="BK2001" s="47"/>
      <c r="BL2001" s="47"/>
      <c r="BM2001" s="47"/>
      <c r="BN2001" s="47"/>
      <c r="BO2001" s="47"/>
      <c r="BP2001" s="47"/>
      <c r="BQ2001" s="47"/>
      <c r="BR2001" s="47"/>
      <c r="BS2001" s="47"/>
      <c r="BT2001" s="47"/>
    </row>
    <row r="2002">
      <c r="A2002" s="24"/>
      <c r="B2002" s="48"/>
      <c r="C2002" s="49"/>
      <c r="D2002" s="24"/>
      <c r="E2002" s="52"/>
      <c r="F2002" s="53"/>
      <c r="G2002" s="48"/>
      <c r="H2002" s="49"/>
      <c r="I2002" s="49"/>
      <c r="J2002" s="48"/>
      <c r="K2002" s="48"/>
      <c r="L2002" s="48"/>
      <c r="M2002" s="48"/>
      <c r="N2002" s="48"/>
      <c r="O2002" s="48"/>
      <c r="P2002" s="48"/>
      <c r="Q2002" s="48"/>
      <c r="R2002" s="48"/>
      <c r="S2002" s="48"/>
      <c r="T2002" s="48"/>
      <c r="U2002" s="48"/>
      <c r="V2002" s="48"/>
      <c r="W2002" s="49"/>
      <c r="X2002" s="49"/>
      <c r="Y2002" s="49"/>
      <c r="Z2002" s="49"/>
      <c r="AA2002" s="49"/>
      <c r="AB2002" s="49"/>
      <c r="AC2002" s="49"/>
      <c r="AD2002" s="49"/>
      <c r="AE2002" s="49"/>
      <c r="AF2002" s="49"/>
      <c r="AG2002" s="49"/>
      <c r="AH2002" s="49"/>
      <c r="AI2002" s="48"/>
      <c r="AJ2002" s="48"/>
      <c r="AK2002" s="24"/>
      <c r="AL2002" s="50"/>
      <c r="AM2002" s="50"/>
      <c r="AN2002" s="50"/>
      <c r="AO2002" s="50"/>
      <c r="AP2002" s="50"/>
      <c r="AQ2002" s="50"/>
      <c r="AR2002" s="50"/>
      <c r="AS2002" s="50"/>
      <c r="AT2002" s="51"/>
      <c r="AU2002" s="51"/>
      <c r="AV2002" s="51"/>
      <c r="AW2002" s="51"/>
      <c r="AX2002" s="50"/>
      <c r="AY2002" s="50"/>
      <c r="AZ2002" s="50"/>
      <c r="BA2002" s="50"/>
      <c r="BB2002" s="51"/>
      <c r="BC2002" s="51"/>
      <c r="BD2002" s="51"/>
      <c r="BE2002" s="51"/>
      <c r="BF2002" s="47"/>
      <c r="BG2002" s="47"/>
      <c r="BH2002" s="47"/>
      <c r="BI2002" s="47"/>
      <c r="BJ2002" s="47"/>
      <c r="BK2002" s="47"/>
      <c r="BL2002" s="47"/>
      <c r="BM2002" s="47"/>
      <c r="BN2002" s="47"/>
      <c r="BO2002" s="47"/>
      <c r="BP2002" s="47"/>
      <c r="BQ2002" s="47"/>
      <c r="BR2002" s="47"/>
      <c r="BS2002" s="47"/>
      <c r="BT2002" s="47"/>
    </row>
    <row r="2003">
      <c r="A2003" s="24"/>
      <c r="B2003" s="48"/>
      <c r="C2003" s="49"/>
      <c r="D2003" s="24"/>
      <c r="E2003" s="52"/>
      <c r="F2003" s="53"/>
      <c r="G2003" s="48"/>
      <c r="H2003" s="49"/>
      <c r="I2003" s="49"/>
      <c r="J2003" s="48"/>
      <c r="K2003" s="48"/>
      <c r="L2003" s="48"/>
      <c r="M2003" s="48"/>
      <c r="N2003" s="48"/>
      <c r="O2003" s="48"/>
      <c r="P2003" s="48"/>
      <c r="Q2003" s="48"/>
      <c r="R2003" s="48"/>
      <c r="S2003" s="48"/>
      <c r="T2003" s="48"/>
      <c r="U2003" s="48"/>
      <c r="V2003" s="48"/>
      <c r="W2003" s="49"/>
      <c r="X2003" s="49"/>
      <c r="Y2003" s="49"/>
      <c r="Z2003" s="49"/>
      <c r="AA2003" s="49"/>
      <c r="AB2003" s="49"/>
      <c r="AC2003" s="49"/>
      <c r="AD2003" s="49"/>
      <c r="AE2003" s="49"/>
      <c r="AF2003" s="49"/>
      <c r="AG2003" s="49"/>
      <c r="AH2003" s="49"/>
      <c r="AI2003" s="48"/>
      <c r="AJ2003" s="48"/>
      <c r="AK2003" s="24"/>
      <c r="AL2003" s="50"/>
      <c r="AM2003" s="50"/>
      <c r="AN2003" s="50"/>
      <c r="AO2003" s="50"/>
      <c r="AP2003" s="50"/>
      <c r="AQ2003" s="50"/>
      <c r="AR2003" s="50"/>
      <c r="AS2003" s="50"/>
      <c r="AT2003" s="51"/>
      <c r="AU2003" s="51"/>
      <c r="AV2003" s="51"/>
      <c r="AW2003" s="51"/>
      <c r="AX2003" s="50"/>
      <c r="AY2003" s="50"/>
      <c r="AZ2003" s="50"/>
      <c r="BA2003" s="50"/>
      <c r="BB2003" s="51"/>
      <c r="BC2003" s="51"/>
      <c r="BD2003" s="51"/>
      <c r="BE2003" s="51"/>
      <c r="BF2003" s="47"/>
      <c r="BG2003" s="47"/>
      <c r="BH2003" s="47"/>
      <c r="BI2003" s="47"/>
      <c r="BJ2003" s="47"/>
      <c r="BK2003" s="47"/>
      <c r="BL2003" s="47"/>
      <c r="BM2003" s="47"/>
      <c r="BN2003" s="47"/>
      <c r="BO2003" s="47"/>
      <c r="BP2003" s="47"/>
      <c r="BQ2003" s="47"/>
      <c r="BR2003" s="47"/>
      <c r="BS2003" s="47"/>
      <c r="BT2003" s="47"/>
    </row>
    <row r="2004">
      <c r="A2004" s="24"/>
      <c r="B2004" s="48"/>
      <c r="C2004" s="49"/>
      <c r="D2004" s="24"/>
      <c r="E2004" s="52"/>
      <c r="F2004" s="53"/>
      <c r="G2004" s="48"/>
      <c r="H2004" s="49"/>
      <c r="I2004" s="49"/>
      <c r="J2004" s="48"/>
      <c r="K2004" s="48"/>
      <c r="L2004" s="48"/>
      <c r="M2004" s="48"/>
      <c r="N2004" s="48"/>
      <c r="O2004" s="48"/>
      <c r="P2004" s="48"/>
      <c r="Q2004" s="48"/>
      <c r="R2004" s="48"/>
      <c r="S2004" s="48"/>
      <c r="T2004" s="48"/>
      <c r="U2004" s="48"/>
      <c r="V2004" s="48"/>
      <c r="W2004" s="49"/>
      <c r="X2004" s="49"/>
      <c r="Y2004" s="49"/>
      <c r="Z2004" s="49"/>
      <c r="AA2004" s="49"/>
      <c r="AB2004" s="49"/>
      <c r="AC2004" s="49"/>
      <c r="AD2004" s="49"/>
      <c r="AE2004" s="49"/>
      <c r="AF2004" s="49"/>
      <c r="AG2004" s="49"/>
      <c r="AH2004" s="49"/>
      <c r="AI2004" s="48"/>
      <c r="AJ2004" s="48"/>
      <c r="AK2004" s="24"/>
      <c r="AL2004" s="50"/>
      <c r="AM2004" s="50"/>
      <c r="AN2004" s="50"/>
      <c r="AO2004" s="50"/>
      <c r="AP2004" s="50"/>
      <c r="AQ2004" s="50"/>
      <c r="AR2004" s="50"/>
      <c r="AS2004" s="50"/>
      <c r="AT2004" s="51"/>
      <c r="AU2004" s="51"/>
      <c r="AV2004" s="51"/>
      <c r="AW2004" s="51"/>
      <c r="AX2004" s="50"/>
      <c r="AY2004" s="50"/>
      <c r="AZ2004" s="50"/>
      <c r="BA2004" s="50"/>
      <c r="BB2004" s="51"/>
      <c r="BC2004" s="51"/>
      <c r="BD2004" s="51"/>
      <c r="BE2004" s="51"/>
      <c r="BF2004" s="47"/>
      <c r="BG2004" s="47"/>
      <c r="BH2004" s="47"/>
      <c r="BI2004" s="47"/>
      <c r="BJ2004" s="47"/>
      <c r="BK2004" s="47"/>
      <c r="BL2004" s="47"/>
      <c r="BM2004" s="47"/>
      <c r="BN2004" s="47"/>
      <c r="BO2004" s="47"/>
      <c r="BP2004" s="47"/>
      <c r="BQ2004" s="47"/>
      <c r="BR2004" s="47"/>
      <c r="BS2004" s="47"/>
      <c r="BT2004" s="47"/>
    </row>
    <row r="2005">
      <c r="A2005" s="24"/>
      <c r="B2005" s="48"/>
      <c r="C2005" s="49"/>
      <c r="D2005" s="24"/>
      <c r="E2005" s="52"/>
      <c r="F2005" s="53"/>
      <c r="G2005" s="48"/>
      <c r="H2005" s="49"/>
      <c r="I2005" s="49"/>
      <c r="J2005" s="48"/>
      <c r="K2005" s="48"/>
      <c r="L2005" s="48"/>
      <c r="M2005" s="48"/>
      <c r="N2005" s="48"/>
      <c r="O2005" s="48"/>
      <c r="P2005" s="48"/>
      <c r="Q2005" s="48"/>
      <c r="R2005" s="48"/>
      <c r="S2005" s="48"/>
      <c r="T2005" s="48"/>
      <c r="U2005" s="48"/>
      <c r="V2005" s="48"/>
      <c r="W2005" s="49"/>
      <c r="X2005" s="49"/>
      <c r="Y2005" s="49"/>
      <c r="Z2005" s="49"/>
      <c r="AA2005" s="49"/>
      <c r="AB2005" s="49"/>
      <c r="AC2005" s="49"/>
      <c r="AD2005" s="49"/>
      <c r="AE2005" s="49"/>
      <c r="AF2005" s="49"/>
      <c r="AG2005" s="49"/>
      <c r="AH2005" s="49"/>
      <c r="AI2005" s="48"/>
      <c r="AJ2005" s="48"/>
      <c r="AK2005" s="24"/>
      <c r="AL2005" s="50"/>
      <c r="AM2005" s="50"/>
      <c r="AN2005" s="50"/>
      <c r="AO2005" s="50"/>
      <c r="AP2005" s="50"/>
      <c r="AQ2005" s="50"/>
      <c r="AR2005" s="50"/>
      <c r="AS2005" s="50"/>
      <c r="AT2005" s="51"/>
      <c r="AU2005" s="51"/>
      <c r="AV2005" s="51"/>
      <c r="AW2005" s="51"/>
      <c r="AX2005" s="50"/>
      <c r="AY2005" s="50"/>
      <c r="AZ2005" s="50"/>
      <c r="BA2005" s="50"/>
      <c r="BB2005" s="51"/>
      <c r="BC2005" s="51"/>
      <c r="BD2005" s="51"/>
      <c r="BE2005" s="51"/>
      <c r="BF2005" s="47"/>
      <c r="BG2005" s="47"/>
      <c r="BH2005" s="47"/>
      <c r="BI2005" s="47"/>
      <c r="BJ2005" s="47"/>
      <c r="BK2005" s="47"/>
      <c r="BL2005" s="47"/>
      <c r="BM2005" s="47"/>
      <c r="BN2005" s="47"/>
      <c r="BO2005" s="47"/>
      <c r="BP2005" s="47"/>
      <c r="BQ2005" s="47"/>
      <c r="BR2005" s="47"/>
      <c r="BS2005" s="47"/>
      <c r="BT2005" s="47"/>
    </row>
    <row r="2006">
      <c r="A2006" s="24"/>
      <c r="B2006" s="48"/>
      <c r="C2006" s="49"/>
      <c r="D2006" s="24"/>
      <c r="E2006" s="52"/>
      <c r="F2006" s="53"/>
      <c r="G2006" s="48"/>
      <c r="H2006" s="49"/>
      <c r="I2006" s="49"/>
      <c r="J2006" s="48"/>
      <c r="K2006" s="48"/>
      <c r="L2006" s="48"/>
      <c r="M2006" s="48"/>
      <c r="N2006" s="48"/>
      <c r="O2006" s="48"/>
      <c r="P2006" s="48"/>
      <c r="Q2006" s="48"/>
      <c r="R2006" s="48"/>
      <c r="S2006" s="48"/>
      <c r="T2006" s="48"/>
      <c r="U2006" s="48"/>
      <c r="V2006" s="48"/>
      <c r="W2006" s="49"/>
      <c r="X2006" s="49"/>
      <c r="Y2006" s="49"/>
      <c r="Z2006" s="49"/>
      <c r="AA2006" s="49"/>
      <c r="AB2006" s="49"/>
      <c r="AC2006" s="49"/>
      <c r="AD2006" s="49"/>
      <c r="AE2006" s="49"/>
      <c r="AF2006" s="49"/>
      <c r="AG2006" s="49"/>
      <c r="AH2006" s="49"/>
      <c r="AI2006" s="48"/>
      <c r="AJ2006" s="48"/>
      <c r="AK2006" s="24"/>
      <c r="AL2006" s="50"/>
      <c r="AM2006" s="50"/>
      <c r="AN2006" s="50"/>
      <c r="AO2006" s="50"/>
      <c r="AP2006" s="50"/>
      <c r="AQ2006" s="50"/>
      <c r="AR2006" s="50"/>
      <c r="AS2006" s="50"/>
      <c r="AT2006" s="51"/>
      <c r="AU2006" s="51"/>
      <c r="AV2006" s="51"/>
      <c r="AW2006" s="51"/>
      <c r="AX2006" s="50"/>
      <c r="AY2006" s="50"/>
      <c r="AZ2006" s="50"/>
      <c r="BA2006" s="50"/>
      <c r="BB2006" s="51"/>
      <c r="BC2006" s="51"/>
      <c r="BD2006" s="51"/>
      <c r="BE2006" s="51"/>
      <c r="BF2006" s="47"/>
      <c r="BG2006" s="47"/>
      <c r="BH2006" s="47"/>
      <c r="BI2006" s="47"/>
      <c r="BJ2006" s="47"/>
      <c r="BK2006" s="47"/>
      <c r="BL2006" s="47"/>
      <c r="BM2006" s="47"/>
      <c r="BN2006" s="47"/>
      <c r="BO2006" s="47"/>
      <c r="BP2006" s="47"/>
      <c r="BQ2006" s="47"/>
      <c r="BR2006" s="47"/>
      <c r="BS2006" s="47"/>
      <c r="BT2006" s="47"/>
    </row>
    <row r="2007">
      <c r="A2007" s="24"/>
      <c r="B2007" s="48"/>
      <c r="C2007" s="49"/>
      <c r="D2007" s="24"/>
      <c r="E2007" s="52"/>
      <c r="F2007" s="53"/>
      <c r="G2007" s="48"/>
      <c r="H2007" s="49"/>
      <c r="I2007" s="49"/>
      <c r="J2007" s="48"/>
      <c r="K2007" s="48"/>
      <c r="L2007" s="48"/>
      <c r="M2007" s="48"/>
      <c r="N2007" s="48"/>
      <c r="O2007" s="48"/>
      <c r="P2007" s="48"/>
      <c r="Q2007" s="48"/>
      <c r="R2007" s="48"/>
      <c r="S2007" s="48"/>
      <c r="T2007" s="48"/>
      <c r="U2007" s="48"/>
      <c r="V2007" s="48"/>
      <c r="W2007" s="49"/>
      <c r="X2007" s="49"/>
      <c r="Y2007" s="49"/>
      <c r="Z2007" s="49"/>
      <c r="AA2007" s="49"/>
      <c r="AB2007" s="49"/>
      <c r="AC2007" s="49"/>
      <c r="AD2007" s="49"/>
      <c r="AE2007" s="49"/>
      <c r="AF2007" s="49"/>
      <c r="AG2007" s="49"/>
      <c r="AH2007" s="49"/>
      <c r="AI2007" s="48"/>
      <c r="AJ2007" s="48"/>
      <c r="AK2007" s="24"/>
      <c r="AL2007" s="50"/>
      <c r="AM2007" s="50"/>
      <c r="AN2007" s="50"/>
      <c r="AO2007" s="50"/>
      <c r="AP2007" s="50"/>
      <c r="AQ2007" s="50"/>
      <c r="AR2007" s="50"/>
      <c r="AS2007" s="50"/>
      <c r="AT2007" s="51"/>
      <c r="AU2007" s="51"/>
      <c r="AV2007" s="51"/>
      <c r="AW2007" s="51"/>
      <c r="AX2007" s="50"/>
      <c r="AY2007" s="50"/>
      <c r="AZ2007" s="50"/>
      <c r="BA2007" s="50"/>
      <c r="BB2007" s="51"/>
      <c r="BC2007" s="51"/>
      <c r="BD2007" s="51"/>
      <c r="BE2007" s="51"/>
      <c r="BF2007" s="47"/>
      <c r="BG2007" s="47"/>
      <c r="BH2007" s="47"/>
      <c r="BI2007" s="47"/>
      <c r="BJ2007" s="47"/>
      <c r="BK2007" s="47"/>
      <c r="BL2007" s="47"/>
      <c r="BM2007" s="47"/>
      <c r="BN2007" s="47"/>
      <c r="BO2007" s="47"/>
      <c r="BP2007" s="47"/>
      <c r="BQ2007" s="47"/>
      <c r="BR2007" s="47"/>
      <c r="BS2007" s="47"/>
      <c r="BT2007" s="47"/>
    </row>
    <row r="2008">
      <c r="A2008" s="24"/>
      <c r="B2008" s="48"/>
      <c r="C2008" s="49"/>
      <c r="D2008" s="24"/>
      <c r="E2008" s="52"/>
      <c r="F2008" s="53"/>
      <c r="G2008" s="48"/>
      <c r="H2008" s="49"/>
      <c r="I2008" s="49"/>
      <c r="J2008" s="48"/>
      <c r="K2008" s="48"/>
      <c r="L2008" s="48"/>
      <c r="M2008" s="48"/>
      <c r="N2008" s="48"/>
      <c r="O2008" s="48"/>
      <c r="P2008" s="48"/>
      <c r="Q2008" s="48"/>
      <c r="R2008" s="48"/>
      <c r="S2008" s="48"/>
      <c r="T2008" s="48"/>
      <c r="U2008" s="48"/>
      <c r="V2008" s="48"/>
      <c r="W2008" s="49"/>
      <c r="X2008" s="49"/>
      <c r="Y2008" s="49"/>
      <c r="Z2008" s="49"/>
      <c r="AA2008" s="49"/>
      <c r="AB2008" s="49"/>
      <c r="AC2008" s="49"/>
      <c r="AD2008" s="49"/>
      <c r="AE2008" s="49"/>
      <c r="AF2008" s="49"/>
      <c r="AG2008" s="49"/>
      <c r="AH2008" s="49"/>
      <c r="AI2008" s="48"/>
      <c r="AJ2008" s="48"/>
      <c r="AK2008" s="24"/>
      <c r="AL2008" s="50"/>
      <c r="AM2008" s="50"/>
      <c r="AN2008" s="50"/>
      <c r="AO2008" s="50"/>
      <c r="AP2008" s="50"/>
      <c r="AQ2008" s="50"/>
      <c r="AR2008" s="50"/>
      <c r="AS2008" s="50"/>
      <c r="AT2008" s="51"/>
      <c r="AU2008" s="51"/>
      <c r="AV2008" s="51"/>
      <c r="AW2008" s="51"/>
      <c r="AX2008" s="50"/>
      <c r="AY2008" s="50"/>
      <c r="AZ2008" s="50"/>
      <c r="BA2008" s="50"/>
      <c r="BB2008" s="51"/>
      <c r="BC2008" s="51"/>
      <c r="BD2008" s="51"/>
      <c r="BE2008" s="51"/>
      <c r="BF2008" s="47"/>
      <c r="BG2008" s="47"/>
      <c r="BH2008" s="47"/>
      <c r="BI2008" s="47"/>
      <c r="BJ2008" s="47"/>
      <c r="BK2008" s="47"/>
      <c r="BL2008" s="47"/>
      <c r="BM2008" s="47"/>
      <c r="BN2008" s="47"/>
      <c r="BO2008" s="47"/>
      <c r="BP2008" s="47"/>
      <c r="BQ2008" s="47"/>
      <c r="BR2008" s="47"/>
      <c r="BS2008" s="47"/>
      <c r="BT2008" s="47"/>
    </row>
    <row r="2009">
      <c r="A2009" s="24"/>
      <c r="B2009" s="48"/>
      <c r="C2009" s="49"/>
      <c r="D2009" s="24"/>
      <c r="E2009" s="52"/>
      <c r="F2009" s="53"/>
      <c r="G2009" s="48"/>
      <c r="H2009" s="49"/>
      <c r="I2009" s="49"/>
      <c r="J2009" s="48"/>
      <c r="K2009" s="48"/>
      <c r="L2009" s="48"/>
      <c r="M2009" s="48"/>
      <c r="N2009" s="48"/>
      <c r="O2009" s="48"/>
      <c r="P2009" s="48"/>
      <c r="Q2009" s="48"/>
      <c r="R2009" s="48"/>
      <c r="S2009" s="48"/>
      <c r="T2009" s="48"/>
      <c r="U2009" s="48"/>
      <c r="V2009" s="48"/>
      <c r="W2009" s="49"/>
      <c r="X2009" s="49"/>
      <c r="Y2009" s="49"/>
      <c r="Z2009" s="49"/>
      <c r="AA2009" s="49"/>
      <c r="AB2009" s="49"/>
      <c r="AC2009" s="49"/>
      <c r="AD2009" s="49"/>
      <c r="AE2009" s="49"/>
      <c r="AF2009" s="49"/>
      <c r="AG2009" s="49"/>
      <c r="AH2009" s="49"/>
      <c r="AI2009" s="48"/>
      <c r="AJ2009" s="48"/>
      <c r="AK2009" s="24"/>
      <c r="AL2009" s="50"/>
      <c r="AM2009" s="50"/>
      <c r="AN2009" s="50"/>
      <c r="AO2009" s="50"/>
      <c r="AP2009" s="50"/>
      <c r="AQ2009" s="50"/>
      <c r="AR2009" s="50"/>
      <c r="AS2009" s="50"/>
      <c r="AT2009" s="51"/>
      <c r="AU2009" s="51"/>
      <c r="AV2009" s="51"/>
      <c r="AW2009" s="51"/>
      <c r="AX2009" s="50"/>
      <c r="AY2009" s="50"/>
      <c r="AZ2009" s="50"/>
      <c r="BA2009" s="50"/>
      <c r="BB2009" s="51"/>
      <c r="BC2009" s="51"/>
      <c r="BD2009" s="51"/>
      <c r="BE2009" s="51"/>
      <c r="BF2009" s="47"/>
      <c r="BG2009" s="47"/>
      <c r="BH2009" s="47"/>
      <c r="BI2009" s="47"/>
      <c r="BJ2009" s="47"/>
      <c r="BK2009" s="47"/>
      <c r="BL2009" s="47"/>
      <c r="BM2009" s="47"/>
      <c r="BN2009" s="47"/>
      <c r="BO2009" s="47"/>
      <c r="BP2009" s="47"/>
      <c r="BQ2009" s="47"/>
      <c r="BR2009" s="47"/>
      <c r="BS2009" s="47"/>
      <c r="BT2009" s="47"/>
    </row>
    <row r="2010">
      <c r="A2010" s="24"/>
      <c r="B2010" s="48"/>
      <c r="C2010" s="49"/>
      <c r="D2010" s="24"/>
      <c r="E2010" s="52"/>
      <c r="F2010" s="53"/>
      <c r="G2010" s="48"/>
      <c r="H2010" s="49"/>
      <c r="I2010" s="49"/>
      <c r="J2010" s="48"/>
      <c r="K2010" s="48"/>
      <c r="L2010" s="48"/>
      <c r="M2010" s="48"/>
      <c r="N2010" s="48"/>
      <c r="O2010" s="48"/>
      <c r="P2010" s="48"/>
      <c r="Q2010" s="48"/>
      <c r="R2010" s="48"/>
      <c r="S2010" s="48"/>
      <c r="T2010" s="48"/>
      <c r="U2010" s="48"/>
      <c r="V2010" s="48"/>
      <c r="W2010" s="49"/>
      <c r="X2010" s="49"/>
      <c r="Y2010" s="49"/>
      <c r="Z2010" s="49"/>
      <c r="AA2010" s="49"/>
      <c r="AB2010" s="49"/>
      <c r="AC2010" s="49"/>
      <c r="AD2010" s="49"/>
      <c r="AE2010" s="49"/>
      <c r="AF2010" s="49"/>
      <c r="AG2010" s="49"/>
      <c r="AH2010" s="49"/>
      <c r="AI2010" s="48"/>
      <c r="AJ2010" s="48"/>
      <c r="AK2010" s="24"/>
      <c r="AL2010" s="50"/>
      <c r="AM2010" s="50"/>
      <c r="AN2010" s="50"/>
      <c r="AO2010" s="50"/>
      <c r="AP2010" s="50"/>
      <c r="AQ2010" s="50"/>
      <c r="AR2010" s="50"/>
      <c r="AS2010" s="50"/>
      <c r="AT2010" s="51"/>
      <c r="AU2010" s="51"/>
      <c r="AV2010" s="51"/>
      <c r="AW2010" s="51"/>
      <c r="AX2010" s="50"/>
      <c r="AY2010" s="50"/>
      <c r="AZ2010" s="50"/>
      <c r="BA2010" s="50"/>
      <c r="BB2010" s="51"/>
      <c r="BC2010" s="51"/>
      <c r="BD2010" s="51"/>
      <c r="BE2010" s="51"/>
      <c r="BF2010" s="47"/>
      <c r="BG2010" s="47"/>
      <c r="BH2010" s="47"/>
      <c r="BI2010" s="47"/>
      <c r="BJ2010" s="47"/>
      <c r="BK2010" s="47"/>
      <c r="BL2010" s="47"/>
      <c r="BM2010" s="47"/>
      <c r="BN2010" s="47"/>
      <c r="BO2010" s="47"/>
      <c r="BP2010" s="47"/>
      <c r="BQ2010" s="47"/>
      <c r="BR2010" s="47"/>
      <c r="BS2010" s="47"/>
      <c r="BT2010" s="47"/>
    </row>
    <row r="2011">
      <c r="A2011" s="24"/>
      <c r="B2011" s="48"/>
      <c r="C2011" s="49"/>
      <c r="D2011" s="24"/>
      <c r="E2011" s="52"/>
      <c r="F2011" s="53"/>
      <c r="G2011" s="48"/>
      <c r="H2011" s="49"/>
      <c r="I2011" s="49"/>
      <c r="J2011" s="48"/>
      <c r="K2011" s="48"/>
      <c r="L2011" s="48"/>
      <c r="M2011" s="48"/>
      <c r="N2011" s="48"/>
      <c r="O2011" s="48"/>
      <c r="P2011" s="48"/>
      <c r="Q2011" s="48"/>
      <c r="R2011" s="48"/>
      <c r="S2011" s="48"/>
      <c r="T2011" s="48"/>
      <c r="U2011" s="48"/>
      <c r="V2011" s="48"/>
      <c r="W2011" s="49"/>
      <c r="X2011" s="49"/>
      <c r="Y2011" s="49"/>
      <c r="Z2011" s="49"/>
      <c r="AA2011" s="49"/>
      <c r="AB2011" s="49"/>
      <c r="AC2011" s="49"/>
      <c r="AD2011" s="49"/>
      <c r="AE2011" s="49"/>
      <c r="AF2011" s="49"/>
      <c r="AG2011" s="49"/>
      <c r="AH2011" s="49"/>
      <c r="AI2011" s="48"/>
      <c r="AJ2011" s="48"/>
      <c r="AK2011" s="24"/>
      <c r="AL2011" s="50"/>
      <c r="AM2011" s="50"/>
      <c r="AN2011" s="50"/>
      <c r="AO2011" s="50"/>
      <c r="AP2011" s="50"/>
      <c r="AQ2011" s="50"/>
      <c r="AR2011" s="50"/>
      <c r="AS2011" s="50"/>
      <c r="AT2011" s="51"/>
      <c r="AU2011" s="51"/>
      <c r="AV2011" s="51"/>
      <c r="AW2011" s="51"/>
      <c r="AX2011" s="50"/>
      <c r="AY2011" s="50"/>
      <c r="AZ2011" s="50"/>
      <c r="BA2011" s="50"/>
      <c r="BB2011" s="51"/>
      <c r="BC2011" s="51"/>
      <c r="BD2011" s="51"/>
      <c r="BE2011" s="51"/>
      <c r="BF2011" s="47"/>
      <c r="BG2011" s="47"/>
      <c r="BH2011" s="47"/>
      <c r="BI2011" s="47"/>
      <c r="BJ2011" s="47"/>
      <c r="BK2011" s="47"/>
      <c r="BL2011" s="47"/>
      <c r="BM2011" s="47"/>
      <c r="BN2011" s="47"/>
      <c r="BO2011" s="47"/>
      <c r="BP2011" s="47"/>
      <c r="BQ2011" s="47"/>
      <c r="BR2011" s="47"/>
      <c r="BS2011" s="47"/>
      <c r="BT2011" s="47"/>
    </row>
    <row r="2012">
      <c r="A2012" s="24"/>
      <c r="B2012" s="48"/>
      <c r="C2012" s="49"/>
      <c r="D2012" s="24"/>
      <c r="E2012" s="52"/>
      <c r="F2012" s="53"/>
      <c r="G2012" s="48"/>
      <c r="H2012" s="49"/>
      <c r="I2012" s="49"/>
      <c r="J2012" s="48"/>
      <c r="K2012" s="48"/>
      <c r="L2012" s="48"/>
      <c r="M2012" s="48"/>
      <c r="N2012" s="48"/>
      <c r="O2012" s="48"/>
      <c r="P2012" s="48"/>
      <c r="Q2012" s="48"/>
      <c r="R2012" s="48"/>
      <c r="S2012" s="48"/>
      <c r="T2012" s="48"/>
      <c r="U2012" s="48"/>
      <c r="V2012" s="48"/>
      <c r="W2012" s="49"/>
      <c r="X2012" s="49"/>
      <c r="Y2012" s="49"/>
      <c r="Z2012" s="49"/>
      <c r="AA2012" s="49"/>
      <c r="AB2012" s="49"/>
      <c r="AC2012" s="49"/>
      <c r="AD2012" s="49"/>
      <c r="AE2012" s="49"/>
      <c r="AF2012" s="49"/>
      <c r="AG2012" s="49"/>
      <c r="AH2012" s="49"/>
      <c r="AI2012" s="48"/>
      <c r="AJ2012" s="48"/>
      <c r="AK2012" s="24"/>
      <c r="AL2012" s="50"/>
      <c r="AM2012" s="50"/>
      <c r="AN2012" s="50"/>
      <c r="AO2012" s="50"/>
      <c r="AP2012" s="50"/>
      <c r="AQ2012" s="50"/>
      <c r="AR2012" s="50"/>
      <c r="AS2012" s="50"/>
      <c r="AT2012" s="51"/>
      <c r="AU2012" s="51"/>
      <c r="AV2012" s="51"/>
      <c r="AW2012" s="51"/>
      <c r="AX2012" s="50"/>
      <c r="AY2012" s="50"/>
      <c r="AZ2012" s="50"/>
      <c r="BA2012" s="50"/>
      <c r="BB2012" s="51"/>
      <c r="BC2012" s="51"/>
      <c r="BD2012" s="51"/>
      <c r="BE2012" s="51"/>
      <c r="BF2012" s="47"/>
      <c r="BG2012" s="47"/>
      <c r="BH2012" s="47"/>
      <c r="BI2012" s="47"/>
      <c r="BJ2012" s="47"/>
      <c r="BK2012" s="47"/>
      <c r="BL2012" s="47"/>
      <c r="BM2012" s="47"/>
      <c r="BN2012" s="47"/>
      <c r="BO2012" s="47"/>
      <c r="BP2012" s="47"/>
      <c r="BQ2012" s="47"/>
      <c r="BR2012" s="47"/>
      <c r="BS2012" s="47"/>
      <c r="BT2012" s="47"/>
    </row>
    <row r="2013">
      <c r="A2013" s="24"/>
      <c r="B2013" s="48"/>
      <c r="C2013" s="49"/>
      <c r="D2013" s="24"/>
      <c r="E2013" s="52"/>
      <c r="F2013" s="53"/>
      <c r="G2013" s="48"/>
      <c r="H2013" s="49"/>
      <c r="I2013" s="49"/>
      <c r="J2013" s="48"/>
      <c r="K2013" s="48"/>
      <c r="L2013" s="48"/>
      <c r="M2013" s="48"/>
      <c r="N2013" s="48"/>
      <c r="O2013" s="48"/>
      <c r="P2013" s="48"/>
      <c r="Q2013" s="48"/>
      <c r="R2013" s="48"/>
      <c r="S2013" s="48"/>
      <c r="T2013" s="48"/>
      <c r="U2013" s="48"/>
      <c r="V2013" s="48"/>
      <c r="W2013" s="49"/>
      <c r="X2013" s="49"/>
      <c r="Y2013" s="49"/>
      <c r="Z2013" s="49"/>
      <c r="AA2013" s="49"/>
      <c r="AB2013" s="49"/>
      <c r="AC2013" s="49"/>
      <c r="AD2013" s="49"/>
      <c r="AE2013" s="49"/>
      <c r="AF2013" s="49"/>
      <c r="AG2013" s="49"/>
      <c r="AH2013" s="49"/>
      <c r="AI2013" s="48"/>
      <c r="AJ2013" s="48"/>
      <c r="AK2013" s="24"/>
      <c r="AL2013" s="50"/>
      <c r="AM2013" s="50"/>
      <c r="AN2013" s="50"/>
      <c r="AO2013" s="50"/>
      <c r="AP2013" s="50"/>
      <c r="AQ2013" s="50"/>
      <c r="AR2013" s="50"/>
      <c r="AS2013" s="50"/>
      <c r="AT2013" s="51"/>
      <c r="AU2013" s="51"/>
      <c r="AV2013" s="51"/>
      <c r="AW2013" s="51"/>
      <c r="AX2013" s="50"/>
      <c r="AY2013" s="50"/>
      <c r="AZ2013" s="50"/>
      <c r="BA2013" s="50"/>
      <c r="BB2013" s="51"/>
      <c r="BC2013" s="51"/>
      <c r="BD2013" s="51"/>
      <c r="BE2013" s="51"/>
      <c r="BF2013" s="47"/>
      <c r="BG2013" s="47"/>
      <c r="BH2013" s="47"/>
      <c r="BI2013" s="47"/>
      <c r="BJ2013" s="47"/>
      <c r="BK2013" s="47"/>
      <c r="BL2013" s="47"/>
      <c r="BM2013" s="47"/>
      <c r="BN2013" s="47"/>
      <c r="BO2013" s="47"/>
      <c r="BP2013" s="47"/>
      <c r="BQ2013" s="47"/>
      <c r="BR2013" s="47"/>
      <c r="BS2013" s="47"/>
      <c r="BT2013" s="47"/>
    </row>
    <row r="2014">
      <c r="A2014" s="24"/>
      <c r="B2014" s="48"/>
      <c r="C2014" s="49"/>
      <c r="D2014" s="24"/>
      <c r="E2014" s="52"/>
      <c r="F2014" s="53"/>
      <c r="G2014" s="48"/>
      <c r="H2014" s="49"/>
      <c r="I2014" s="49"/>
      <c r="J2014" s="48"/>
      <c r="K2014" s="48"/>
      <c r="L2014" s="48"/>
      <c r="M2014" s="48"/>
      <c r="N2014" s="48"/>
      <c r="O2014" s="48"/>
      <c r="P2014" s="48"/>
      <c r="Q2014" s="48"/>
      <c r="R2014" s="48"/>
      <c r="S2014" s="48"/>
      <c r="T2014" s="48"/>
      <c r="U2014" s="48"/>
      <c r="V2014" s="48"/>
      <c r="W2014" s="49"/>
      <c r="X2014" s="49"/>
      <c r="Y2014" s="49"/>
      <c r="Z2014" s="49"/>
      <c r="AA2014" s="49"/>
      <c r="AB2014" s="49"/>
      <c r="AC2014" s="49"/>
      <c r="AD2014" s="49"/>
      <c r="AE2014" s="49"/>
      <c r="AF2014" s="49"/>
      <c r="AG2014" s="49"/>
      <c r="AH2014" s="49"/>
      <c r="AI2014" s="48"/>
      <c r="AJ2014" s="48"/>
      <c r="AK2014" s="24"/>
      <c r="AL2014" s="50"/>
      <c r="AM2014" s="50"/>
      <c r="AN2014" s="50"/>
      <c r="AO2014" s="50"/>
      <c r="AP2014" s="50"/>
      <c r="AQ2014" s="50"/>
      <c r="AR2014" s="50"/>
      <c r="AS2014" s="50"/>
      <c r="AT2014" s="51"/>
      <c r="AU2014" s="51"/>
      <c r="AV2014" s="51"/>
      <c r="AW2014" s="51"/>
      <c r="AX2014" s="50"/>
      <c r="AY2014" s="50"/>
      <c r="AZ2014" s="50"/>
      <c r="BA2014" s="50"/>
      <c r="BB2014" s="51"/>
      <c r="BC2014" s="51"/>
      <c r="BD2014" s="51"/>
      <c r="BE2014" s="51"/>
      <c r="BF2014" s="47"/>
      <c r="BG2014" s="47"/>
      <c r="BH2014" s="47"/>
      <c r="BI2014" s="47"/>
      <c r="BJ2014" s="47"/>
      <c r="BK2014" s="47"/>
      <c r="BL2014" s="47"/>
      <c r="BM2014" s="47"/>
      <c r="BN2014" s="47"/>
      <c r="BO2014" s="47"/>
      <c r="BP2014" s="47"/>
      <c r="BQ2014" s="47"/>
      <c r="BR2014" s="47"/>
      <c r="BS2014" s="47"/>
      <c r="BT2014" s="47"/>
    </row>
    <row r="2015">
      <c r="A2015" s="24"/>
      <c r="B2015" s="48"/>
      <c r="C2015" s="49"/>
      <c r="D2015" s="24"/>
      <c r="E2015" s="52"/>
      <c r="F2015" s="53"/>
      <c r="G2015" s="48"/>
      <c r="H2015" s="49"/>
      <c r="I2015" s="49"/>
      <c r="J2015" s="48"/>
      <c r="K2015" s="48"/>
      <c r="L2015" s="48"/>
      <c r="M2015" s="48"/>
      <c r="N2015" s="48"/>
      <c r="O2015" s="48"/>
      <c r="P2015" s="48"/>
      <c r="Q2015" s="48"/>
      <c r="R2015" s="48"/>
      <c r="S2015" s="48"/>
      <c r="T2015" s="48"/>
      <c r="U2015" s="48"/>
      <c r="V2015" s="48"/>
      <c r="W2015" s="49"/>
      <c r="X2015" s="49"/>
      <c r="Y2015" s="49"/>
      <c r="Z2015" s="49"/>
      <c r="AA2015" s="49"/>
      <c r="AB2015" s="49"/>
      <c r="AC2015" s="49"/>
      <c r="AD2015" s="49"/>
      <c r="AE2015" s="49"/>
      <c r="AF2015" s="49"/>
      <c r="AG2015" s="49"/>
      <c r="AH2015" s="49"/>
      <c r="AI2015" s="48"/>
      <c r="AJ2015" s="48"/>
      <c r="AK2015" s="24"/>
      <c r="AL2015" s="50"/>
      <c r="AM2015" s="50"/>
      <c r="AN2015" s="50"/>
      <c r="AO2015" s="50"/>
      <c r="AP2015" s="50"/>
      <c r="AQ2015" s="50"/>
      <c r="AR2015" s="50"/>
      <c r="AS2015" s="50"/>
      <c r="AT2015" s="51"/>
      <c r="AU2015" s="51"/>
      <c r="AV2015" s="51"/>
      <c r="AW2015" s="51"/>
      <c r="AX2015" s="50"/>
      <c r="AY2015" s="50"/>
      <c r="AZ2015" s="50"/>
      <c r="BA2015" s="50"/>
      <c r="BB2015" s="51"/>
      <c r="BC2015" s="51"/>
      <c r="BD2015" s="51"/>
      <c r="BE2015" s="51"/>
      <c r="BF2015" s="47"/>
      <c r="BG2015" s="47"/>
      <c r="BH2015" s="47"/>
      <c r="BI2015" s="47"/>
      <c r="BJ2015" s="47"/>
      <c r="BK2015" s="47"/>
      <c r="BL2015" s="47"/>
      <c r="BM2015" s="47"/>
      <c r="BN2015" s="47"/>
      <c r="BO2015" s="47"/>
      <c r="BP2015" s="47"/>
      <c r="BQ2015" s="47"/>
      <c r="BR2015" s="47"/>
      <c r="BS2015" s="47"/>
      <c r="BT2015" s="47"/>
    </row>
    <row r="2016">
      <c r="A2016" s="24"/>
      <c r="B2016" s="48"/>
      <c r="C2016" s="49"/>
      <c r="D2016" s="24"/>
      <c r="E2016" s="52"/>
      <c r="F2016" s="53"/>
      <c r="G2016" s="48"/>
      <c r="H2016" s="49"/>
      <c r="I2016" s="49"/>
      <c r="J2016" s="48"/>
      <c r="K2016" s="48"/>
      <c r="L2016" s="48"/>
      <c r="M2016" s="48"/>
      <c r="N2016" s="48"/>
      <c r="O2016" s="48"/>
      <c r="P2016" s="48"/>
      <c r="Q2016" s="48"/>
      <c r="R2016" s="48"/>
      <c r="S2016" s="48"/>
      <c r="T2016" s="48"/>
      <c r="U2016" s="48"/>
      <c r="V2016" s="48"/>
      <c r="W2016" s="49"/>
      <c r="X2016" s="49"/>
      <c r="Y2016" s="49"/>
      <c r="Z2016" s="49"/>
      <c r="AA2016" s="49"/>
      <c r="AB2016" s="49"/>
      <c r="AC2016" s="49"/>
      <c r="AD2016" s="49"/>
      <c r="AE2016" s="49"/>
      <c r="AF2016" s="49"/>
      <c r="AG2016" s="49"/>
      <c r="AH2016" s="49"/>
      <c r="AI2016" s="48"/>
      <c r="AJ2016" s="48"/>
      <c r="AK2016" s="24"/>
      <c r="AL2016" s="50"/>
      <c r="AM2016" s="50"/>
      <c r="AN2016" s="50"/>
      <c r="AO2016" s="50"/>
      <c r="AP2016" s="50"/>
      <c r="AQ2016" s="50"/>
      <c r="AR2016" s="50"/>
      <c r="AS2016" s="50"/>
      <c r="AT2016" s="51"/>
      <c r="AU2016" s="51"/>
      <c r="AV2016" s="51"/>
      <c r="AW2016" s="51"/>
      <c r="AX2016" s="50"/>
      <c r="AY2016" s="50"/>
      <c r="AZ2016" s="50"/>
      <c r="BA2016" s="50"/>
      <c r="BB2016" s="51"/>
      <c r="BC2016" s="51"/>
      <c r="BD2016" s="51"/>
      <c r="BE2016" s="51"/>
      <c r="BF2016" s="47"/>
      <c r="BG2016" s="47"/>
      <c r="BH2016" s="47"/>
      <c r="BI2016" s="47"/>
      <c r="BJ2016" s="47"/>
      <c r="BK2016" s="47"/>
      <c r="BL2016" s="47"/>
      <c r="BM2016" s="47"/>
      <c r="BN2016" s="47"/>
      <c r="BO2016" s="47"/>
      <c r="BP2016" s="47"/>
      <c r="BQ2016" s="47"/>
      <c r="BR2016" s="47"/>
      <c r="BS2016" s="47"/>
      <c r="BT2016" s="47"/>
    </row>
    <row r="2017">
      <c r="A2017" s="24"/>
      <c r="B2017" s="48"/>
      <c r="C2017" s="49"/>
      <c r="D2017" s="24"/>
      <c r="E2017" s="52"/>
      <c r="F2017" s="53"/>
      <c r="G2017" s="48"/>
      <c r="H2017" s="49"/>
      <c r="I2017" s="49"/>
      <c r="J2017" s="48"/>
      <c r="K2017" s="48"/>
      <c r="L2017" s="48"/>
      <c r="M2017" s="48"/>
      <c r="N2017" s="48"/>
      <c r="O2017" s="48"/>
      <c r="P2017" s="48"/>
      <c r="Q2017" s="48"/>
      <c r="R2017" s="48"/>
      <c r="S2017" s="48"/>
      <c r="T2017" s="48"/>
      <c r="U2017" s="48"/>
      <c r="V2017" s="48"/>
      <c r="W2017" s="49"/>
      <c r="X2017" s="49"/>
      <c r="Y2017" s="49"/>
      <c r="Z2017" s="49"/>
      <c r="AA2017" s="49"/>
      <c r="AB2017" s="49"/>
      <c r="AC2017" s="49"/>
      <c r="AD2017" s="49"/>
      <c r="AE2017" s="49"/>
      <c r="AF2017" s="49"/>
      <c r="AG2017" s="49"/>
      <c r="AH2017" s="49"/>
      <c r="AI2017" s="48"/>
      <c r="AJ2017" s="48"/>
      <c r="AK2017" s="24"/>
      <c r="AL2017" s="50"/>
      <c r="AM2017" s="50"/>
      <c r="AN2017" s="50"/>
      <c r="AO2017" s="50"/>
      <c r="AP2017" s="50"/>
      <c r="AQ2017" s="50"/>
      <c r="AR2017" s="50"/>
      <c r="AS2017" s="50"/>
      <c r="AT2017" s="51"/>
      <c r="AU2017" s="51"/>
      <c r="AV2017" s="51"/>
      <c r="AW2017" s="51"/>
      <c r="AX2017" s="50"/>
      <c r="AY2017" s="50"/>
      <c r="AZ2017" s="50"/>
      <c r="BA2017" s="50"/>
      <c r="BB2017" s="51"/>
      <c r="BC2017" s="51"/>
      <c r="BD2017" s="51"/>
      <c r="BE2017" s="51"/>
      <c r="BF2017" s="47"/>
      <c r="BG2017" s="47"/>
      <c r="BH2017" s="47"/>
      <c r="BI2017" s="47"/>
      <c r="BJ2017" s="47"/>
      <c r="BK2017" s="47"/>
      <c r="BL2017" s="47"/>
      <c r="BM2017" s="47"/>
      <c r="BN2017" s="47"/>
      <c r="BO2017" s="47"/>
      <c r="BP2017" s="47"/>
      <c r="BQ2017" s="47"/>
      <c r="BR2017" s="47"/>
      <c r="BS2017" s="47"/>
      <c r="BT2017" s="47"/>
    </row>
    <row r="2018">
      <c r="A2018" s="24"/>
      <c r="B2018" s="48"/>
      <c r="C2018" s="49"/>
      <c r="D2018" s="24"/>
      <c r="E2018" s="52"/>
      <c r="F2018" s="53"/>
      <c r="G2018" s="48"/>
      <c r="H2018" s="49"/>
      <c r="I2018" s="49"/>
      <c r="J2018" s="48"/>
      <c r="K2018" s="48"/>
      <c r="L2018" s="48"/>
      <c r="M2018" s="48"/>
      <c r="N2018" s="48"/>
      <c r="O2018" s="48"/>
      <c r="P2018" s="48"/>
      <c r="Q2018" s="48"/>
      <c r="R2018" s="48"/>
      <c r="S2018" s="48"/>
      <c r="T2018" s="48"/>
      <c r="U2018" s="48"/>
      <c r="V2018" s="48"/>
      <c r="W2018" s="49"/>
      <c r="X2018" s="49"/>
      <c r="Y2018" s="49"/>
      <c r="Z2018" s="49"/>
      <c r="AA2018" s="49"/>
      <c r="AB2018" s="49"/>
      <c r="AC2018" s="49"/>
      <c r="AD2018" s="49"/>
      <c r="AE2018" s="49"/>
      <c r="AF2018" s="49"/>
      <c r="AG2018" s="49"/>
      <c r="AH2018" s="49"/>
      <c r="AI2018" s="48"/>
      <c r="AJ2018" s="48"/>
      <c r="AK2018" s="24"/>
      <c r="AL2018" s="50"/>
      <c r="AM2018" s="50"/>
      <c r="AN2018" s="50"/>
      <c r="AO2018" s="50"/>
      <c r="AP2018" s="50"/>
      <c r="AQ2018" s="50"/>
      <c r="AR2018" s="50"/>
      <c r="AS2018" s="50"/>
      <c r="AT2018" s="51"/>
      <c r="AU2018" s="51"/>
      <c r="AV2018" s="51"/>
      <c r="AW2018" s="51"/>
      <c r="AX2018" s="50"/>
      <c r="AY2018" s="50"/>
      <c r="AZ2018" s="50"/>
      <c r="BA2018" s="50"/>
      <c r="BB2018" s="51"/>
      <c r="BC2018" s="51"/>
      <c r="BD2018" s="51"/>
      <c r="BE2018" s="51"/>
      <c r="BF2018" s="47"/>
      <c r="BG2018" s="47"/>
      <c r="BH2018" s="47"/>
      <c r="BI2018" s="47"/>
      <c r="BJ2018" s="47"/>
      <c r="BK2018" s="47"/>
      <c r="BL2018" s="47"/>
      <c r="BM2018" s="47"/>
      <c r="BN2018" s="47"/>
      <c r="BO2018" s="47"/>
      <c r="BP2018" s="47"/>
      <c r="BQ2018" s="47"/>
      <c r="BR2018" s="47"/>
      <c r="BS2018" s="47"/>
      <c r="BT2018" s="47"/>
    </row>
    <row r="2019">
      <c r="A2019" s="24"/>
      <c r="B2019" s="48"/>
      <c r="C2019" s="49"/>
      <c r="D2019" s="24"/>
      <c r="E2019" s="52"/>
      <c r="F2019" s="53"/>
      <c r="G2019" s="48"/>
      <c r="H2019" s="49"/>
      <c r="I2019" s="49"/>
      <c r="J2019" s="48"/>
      <c r="K2019" s="48"/>
      <c r="L2019" s="48"/>
      <c r="M2019" s="48"/>
      <c r="N2019" s="48"/>
      <c r="O2019" s="48"/>
      <c r="P2019" s="48"/>
      <c r="Q2019" s="48"/>
      <c r="R2019" s="48"/>
      <c r="S2019" s="48"/>
      <c r="T2019" s="48"/>
      <c r="U2019" s="48"/>
      <c r="V2019" s="48"/>
      <c r="W2019" s="49"/>
      <c r="X2019" s="49"/>
      <c r="Y2019" s="49"/>
      <c r="Z2019" s="49"/>
      <c r="AA2019" s="49"/>
      <c r="AB2019" s="49"/>
      <c r="AC2019" s="49"/>
      <c r="AD2019" s="49"/>
      <c r="AE2019" s="49"/>
      <c r="AF2019" s="49"/>
      <c r="AG2019" s="49"/>
      <c r="AH2019" s="49"/>
      <c r="AI2019" s="48"/>
      <c r="AJ2019" s="48"/>
      <c r="AK2019" s="24"/>
      <c r="AL2019" s="50"/>
      <c r="AM2019" s="50"/>
      <c r="AN2019" s="50"/>
      <c r="AO2019" s="50"/>
      <c r="AP2019" s="50"/>
      <c r="AQ2019" s="50"/>
      <c r="AR2019" s="50"/>
      <c r="AS2019" s="50"/>
      <c r="AT2019" s="51"/>
      <c r="AU2019" s="51"/>
      <c r="AV2019" s="51"/>
      <c r="AW2019" s="51"/>
      <c r="AX2019" s="50"/>
      <c r="AY2019" s="50"/>
      <c r="AZ2019" s="50"/>
      <c r="BA2019" s="50"/>
      <c r="BB2019" s="51"/>
      <c r="BC2019" s="51"/>
      <c r="BD2019" s="51"/>
      <c r="BE2019" s="51"/>
      <c r="BF2019" s="47"/>
      <c r="BG2019" s="47"/>
      <c r="BH2019" s="47"/>
      <c r="BI2019" s="47"/>
      <c r="BJ2019" s="47"/>
      <c r="BK2019" s="47"/>
      <c r="BL2019" s="47"/>
      <c r="BM2019" s="47"/>
      <c r="BN2019" s="47"/>
      <c r="BO2019" s="47"/>
      <c r="BP2019" s="47"/>
      <c r="BQ2019" s="47"/>
      <c r="BR2019" s="47"/>
      <c r="BS2019" s="47"/>
      <c r="BT2019" s="47"/>
    </row>
    <row r="2020">
      <c r="A2020" s="24"/>
      <c r="B2020" s="48"/>
      <c r="C2020" s="49"/>
      <c r="D2020" s="24"/>
      <c r="E2020" s="52"/>
      <c r="F2020" s="53"/>
      <c r="G2020" s="48"/>
      <c r="H2020" s="49"/>
      <c r="I2020" s="49"/>
      <c r="J2020" s="48"/>
      <c r="K2020" s="48"/>
      <c r="L2020" s="48"/>
      <c r="M2020" s="48"/>
      <c r="N2020" s="48"/>
      <c r="O2020" s="48"/>
      <c r="P2020" s="48"/>
      <c r="Q2020" s="48"/>
      <c r="R2020" s="48"/>
      <c r="S2020" s="48"/>
      <c r="T2020" s="48"/>
      <c r="U2020" s="48"/>
      <c r="V2020" s="48"/>
      <c r="W2020" s="49"/>
      <c r="X2020" s="49"/>
      <c r="Y2020" s="49"/>
      <c r="Z2020" s="49"/>
      <c r="AA2020" s="49"/>
      <c r="AB2020" s="49"/>
      <c r="AC2020" s="49"/>
      <c r="AD2020" s="49"/>
      <c r="AE2020" s="49"/>
      <c r="AF2020" s="49"/>
      <c r="AG2020" s="49"/>
      <c r="AH2020" s="49"/>
      <c r="AI2020" s="48"/>
      <c r="AJ2020" s="48"/>
      <c r="AK2020" s="24"/>
      <c r="AL2020" s="50"/>
      <c r="AM2020" s="50"/>
      <c r="AN2020" s="50"/>
      <c r="AO2020" s="50"/>
      <c r="AP2020" s="50"/>
      <c r="AQ2020" s="50"/>
      <c r="AR2020" s="50"/>
      <c r="AS2020" s="50"/>
      <c r="AT2020" s="51"/>
      <c r="AU2020" s="51"/>
      <c r="AV2020" s="51"/>
      <c r="AW2020" s="51"/>
      <c r="AX2020" s="50"/>
      <c r="AY2020" s="50"/>
      <c r="AZ2020" s="50"/>
      <c r="BA2020" s="50"/>
      <c r="BB2020" s="51"/>
      <c r="BC2020" s="51"/>
      <c r="BD2020" s="51"/>
      <c r="BE2020" s="51"/>
      <c r="BF2020" s="47"/>
      <c r="BG2020" s="47"/>
      <c r="BH2020" s="47"/>
      <c r="BI2020" s="47"/>
      <c r="BJ2020" s="47"/>
      <c r="BK2020" s="47"/>
      <c r="BL2020" s="47"/>
      <c r="BM2020" s="47"/>
      <c r="BN2020" s="47"/>
      <c r="BO2020" s="47"/>
      <c r="BP2020" s="47"/>
      <c r="BQ2020" s="47"/>
      <c r="BR2020" s="47"/>
      <c r="BS2020" s="47"/>
      <c r="BT2020" s="47"/>
    </row>
    <row r="2021">
      <c r="A2021" s="24"/>
      <c r="B2021" s="48"/>
      <c r="C2021" s="49"/>
      <c r="D2021" s="24"/>
      <c r="E2021" s="52"/>
      <c r="F2021" s="53"/>
      <c r="G2021" s="48"/>
      <c r="H2021" s="49"/>
      <c r="I2021" s="49"/>
      <c r="J2021" s="48"/>
      <c r="K2021" s="48"/>
      <c r="L2021" s="48"/>
      <c r="M2021" s="48"/>
      <c r="N2021" s="48"/>
      <c r="O2021" s="48"/>
      <c r="P2021" s="48"/>
      <c r="Q2021" s="48"/>
      <c r="R2021" s="48"/>
      <c r="S2021" s="48"/>
      <c r="T2021" s="48"/>
      <c r="U2021" s="48"/>
      <c r="V2021" s="48"/>
      <c r="W2021" s="49"/>
      <c r="X2021" s="49"/>
      <c r="Y2021" s="49"/>
      <c r="Z2021" s="49"/>
      <c r="AA2021" s="49"/>
      <c r="AB2021" s="49"/>
      <c r="AC2021" s="49"/>
      <c r="AD2021" s="49"/>
      <c r="AE2021" s="49"/>
      <c r="AF2021" s="49"/>
      <c r="AG2021" s="49"/>
      <c r="AH2021" s="49"/>
      <c r="AI2021" s="48"/>
      <c r="AJ2021" s="48"/>
      <c r="AK2021" s="24"/>
      <c r="AL2021" s="50"/>
      <c r="AM2021" s="50"/>
      <c r="AN2021" s="50"/>
      <c r="AO2021" s="50"/>
      <c r="AP2021" s="50"/>
      <c r="AQ2021" s="50"/>
      <c r="AR2021" s="50"/>
      <c r="AS2021" s="50"/>
      <c r="AT2021" s="51"/>
      <c r="AU2021" s="51"/>
      <c r="AV2021" s="51"/>
      <c r="AW2021" s="51"/>
      <c r="AX2021" s="50"/>
      <c r="AY2021" s="50"/>
      <c r="AZ2021" s="50"/>
      <c r="BA2021" s="50"/>
      <c r="BB2021" s="51"/>
      <c r="BC2021" s="51"/>
      <c r="BD2021" s="51"/>
      <c r="BE2021" s="51"/>
      <c r="BF2021" s="47"/>
      <c r="BG2021" s="47"/>
      <c r="BH2021" s="47"/>
      <c r="BI2021" s="47"/>
      <c r="BJ2021" s="47"/>
      <c r="BK2021" s="47"/>
      <c r="BL2021" s="47"/>
      <c r="BM2021" s="47"/>
      <c r="BN2021" s="47"/>
      <c r="BO2021" s="47"/>
      <c r="BP2021" s="47"/>
      <c r="BQ2021" s="47"/>
      <c r="BR2021" s="47"/>
      <c r="BS2021" s="47"/>
      <c r="BT2021" s="47"/>
    </row>
    <row r="2022">
      <c r="A2022" s="24"/>
      <c r="B2022" s="48"/>
      <c r="C2022" s="49"/>
      <c r="D2022" s="24"/>
      <c r="E2022" s="52"/>
      <c r="F2022" s="53"/>
      <c r="G2022" s="48"/>
      <c r="H2022" s="49"/>
      <c r="I2022" s="49"/>
      <c r="J2022" s="48"/>
      <c r="K2022" s="48"/>
      <c r="L2022" s="48"/>
      <c r="M2022" s="48"/>
      <c r="N2022" s="48"/>
      <c r="O2022" s="48"/>
      <c r="P2022" s="48"/>
      <c r="Q2022" s="48"/>
      <c r="R2022" s="48"/>
      <c r="S2022" s="48"/>
      <c r="T2022" s="48"/>
      <c r="U2022" s="48"/>
      <c r="V2022" s="48"/>
      <c r="W2022" s="49"/>
      <c r="X2022" s="49"/>
      <c r="Y2022" s="49"/>
      <c r="Z2022" s="49"/>
      <c r="AA2022" s="49"/>
      <c r="AB2022" s="49"/>
      <c r="AC2022" s="49"/>
      <c r="AD2022" s="49"/>
      <c r="AE2022" s="49"/>
      <c r="AF2022" s="49"/>
      <c r="AG2022" s="49"/>
      <c r="AH2022" s="49"/>
      <c r="AI2022" s="48"/>
      <c r="AJ2022" s="48"/>
      <c r="AK2022" s="24"/>
      <c r="AL2022" s="50"/>
      <c r="AM2022" s="50"/>
      <c r="AN2022" s="50"/>
      <c r="AO2022" s="50"/>
      <c r="AP2022" s="50"/>
      <c r="AQ2022" s="50"/>
      <c r="AR2022" s="50"/>
      <c r="AS2022" s="50"/>
      <c r="AT2022" s="51"/>
      <c r="AU2022" s="51"/>
      <c r="AV2022" s="51"/>
      <c r="AW2022" s="51"/>
      <c r="AX2022" s="50"/>
      <c r="AY2022" s="50"/>
      <c r="AZ2022" s="50"/>
      <c r="BA2022" s="50"/>
      <c r="BB2022" s="51"/>
      <c r="BC2022" s="51"/>
      <c r="BD2022" s="51"/>
      <c r="BE2022" s="51"/>
      <c r="BF2022" s="47"/>
      <c r="BG2022" s="47"/>
      <c r="BH2022" s="47"/>
      <c r="BI2022" s="47"/>
      <c r="BJ2022" s="47"/>
      <c r="BK2022" s="47"/>
      <c r="BL2022" s="47"/>
      <c r="BM2022" s="47"/>
      <c r="BN2022" s="47"/>
      <c r="BO2022" s="47"/>
      <c r="BP2022" s="47"/>
      <c r="BQ2022" s="47"/>
      <c r="BR2022" s="47"/>
      <c r="BS2022" s="47"/>
      <c r="BT2022" s="47"/>
    </row>
    <row r="2023">
      <c r="A2023" s="24"/>
      <c r="B2023" s="48"/>
      <c r="C2023" s="49"/>
      <c r="D2023" s="24"/>
      <c r="E2023" s="52"/>
      <c r="F2023" s="53"/>
      <c r="G2023" s="48"/>
      <c r="H2023" s="49"/>
      <c r="I2023" s="49"/>
      <c r="J2023" s="48"/>
      <c r="K2023" s="48"/>
      <c r="L2023" s="48"/>
      <c r="M2023" s="48"/>
      <c r="N2023" s="48"/>
      <c r="O2023" s="48"/>
      <c r="P2023" s="48"/>
      <c r="Q2023" s="48"/>
      <c r="R2023" s="48"/>
      <c r="S2023" s="48"/>
      <c r="T2023" s="48"/>
      <c r="U2023" s="48"/>
      <c r="V2023" s="48"/>
      <c r="W2023" s="49"/>
      <c r="X2023" s="49"/>
      <c r="Y2023" s="49"/>
      <c r="Z2023" s="49"/>
      <c r="AA2023" s="49"/>
      <c r="AB2023" s="49"/>
      <c r="AC2023" s="49"/>
      <c r="AD2023" s="49"/>
      <c r="AE2023" s="49"/>
      <c r="AF2023" s="49"/>
      <c r="AG2023" s="49"/>
      <c r="AH2023" s="49"/>
      <c r="AI2023" s="48"/>
      <c r="AJ2023" s="48"/>
      <c r="AK2023" s="24"/>
      <c r="AL2023" s="50"/>
      <c r="AM2023" s="50"/>
      <c r="AN2023" s="50"/>
      <c r="AO2023" s="50"/>
      <c r="AP2023" s="50"/>
      <c r="AQ2023" s="50"/>
      <c r="AR2023" s="50"/>
      <c r="AS2023" s="50"/>
      <c r="AT2023" s="51"/>
      <c r="AU2023" s="51"/>
      <c r="AV2023" s="51"/>
      <c r="AW2023" s="51"/>
      <c r="AX2023" s="50"/>
      <c r="AY2023" s="50"/>
      <c r="AZ2023" s="50"/>
      <c r="BA2023" s="50"/>
      <c r="BB2023" s="51"/>
      <c r="BC2023" s="51"/>
      <c r="BD2023" s="51"/>
      <c r="BE2023" s="51"/>
      <c r="BF2023" s="47"/>
      <c r="BG2023" s="47"/>
      <c r="BH2023" s="47"/>
      <c r="BI2023" s="47"/>
      <c r="BJ2023" s="47"/>
      <c r="BK2023" s="47"/>
      <c r="BL2023" s="47"/>
      <c r="BM2023" s="47"/>
      <c r="BN2023" s="47"/>
      <c r="BO2023" s="47"/>
      <c r="BP2023" s="47"/>
      <c r="BQ2023" s="47"/>
      <c r="BR2023" s="47"/>
      <c r="BS2023" s="47"/>
      <c r="BT2023" s="47"/>
    </row>
    <row r="2024">
      <c r="A2024" s="24"/>
      <c r="B2024" s="48"/>
      <c r="C2024" s="49"/>
      <c r="D2024" s="24"/>
      <c r="E2024" s="52"/>
      <c r="F2024" s="53"/>
      <c r="G2024" s="48"/>
      <c r="H2024" s="49"/>
      <c r="I2024" s="49"/>
      <c r="J2024" s="48"/>
      <c r="K2024" s="48"/>
      <c r="L2024" s="48"/>
      <c r="M2024" s="48"/>
      <c r="N2024" s="48"/>
      <c r="O2024" s="48"/>
      <c r="P2024" s="48"/>
      <c r="Q2024" s="48"/>
      <c r="R2024" s="48"/>
      <c r="S2024" s="48"/>
      <c r="T2024" s="48"/>
      <c r="U2024" s="48"/>
      <c r="V2024" s="48"/>
      <c r="W2024" s="49"/>
      <c r="X2024" s="49"/>
      <c r="Y2024" s="49"/>
      <c r="Z2024" s="49"/>
      <c r="AA2024" s="49"/>
      <c r="AB2024" s="49"/>
      <c r="AC2024" s="49"/>
      <c r="AD2024" s="49"/>
      <c r="AE2024" s="49"/>
      <c r="AF2024" s="49"/>
      <c r="AG2024" s="49"/>
      <c r="AH2024" s="49"/>
      <c r="AI2024" s="48"/>
      <c r="AJ2024" s="48"/>
      <c r="AK2024" s="24"/>
      <c r="AL2024" s="50"/>
      <c r="AM2024" s="50"/>
      <c r="AN2024" s="50"/>
      <c r="AO2024" s="50"/>
      <c r="AP2024" s="50"/>
      <c r="AQ2024" s="50"/>
      <c r="AR2024" s="50"/>
      <c r="AS2024" s="50"/>
      <c r="AT2024" s="51"/>
      <c r="AU2024" s="51"/>
      <c r="AV2024" s="51"/>
      <c r="AW2024" s="51"/>
      <c r="AX2024" s="50"/>
      <c r="AY2024" s="50"/>
      <c r="AZ2024" s="50"/>
      <c r="BA2024" s="50"/>
      <c r="BB2024" s="51"/>
      <c r="BC2024" s="51"/>
      <c r="BD2024" s="51"/>
      <c r="BE2024" s="51"/>
      <c r="BF2024" s="47"/>
      <c r="BG2024" s="47"/>
      <c r="BH2024" s="47"/>
      <c r="BI2024" s="47"/>
      <c r="BJ2024" s="47"/>
      <c r="BK2024" s="47"/>
      <c r="BL2024" s="47"/>
      <c r="BM2024" s="47"/>
      <c r="BN2024" s="47"/>
      <c r="BO2024" s="47"/>
      <c r="BP2024" s="47"/>
      <c r="BQ2024" s="47"/>
      <c r="BR2024" s="47"/>
      <c r="BS2024" s="47"/>
      <c r="BT2024" s="47"/>
    </row>
    <row r="2025">
      <c r="A2025" s="24"/>
      <c r="B2025" s="48"/>
      <c r="C2025" s="49"/>
      <c r="D2025" s="24"/>
      <c r="E2025" s="52"/>
      <c r="F2025" s="53"/>
      <c r="G2025" s="48"/>
      <c r="H2025" s="49"/>
      <c r="I2025" s="49"/>
      <c r="J2025" s="48"/>
      <c r="K2025" s="48"/>
      <c r="L2025" s="48"/>
      <c r="M2025" s="48"/>
      <c r="N2025" s="48"/>
      <c r="O2025" s="48"/>
      <c r="P2025" s="48"/>
      <c r="Q2025" s="48"/>
      <c r="R2025" s="48"/>
      <c r="S2025" s="48"/>
      <c r="T2025" s="48"/>
      <c r="U2025" s="48"/>
      <c r="V2025" s="48"/>
      <c r="W2025" s="49"/>
      <c r="X2025" s="49"/>
      <c r="Y2025" s="49"/>
      <c r="Z2025" s="49"/>
      <c r="AA2025" s="49"/>
      <c r="AB2025" s="49"/>
      <c r="AC2025" s="49"/>
      <c r="AD2025" s="49"/>
      <c r="AE2025" s="49"/>
      <c r="AF2025" s="49"/>
      <c r="AG2025" s="49"/>
      <c r="AH2025" s="49"/>
      <c r="AI2025" s="48"/>
      <c r="AJ2025" s="48"/>
      <c r="AK2025" s="24"/>
      <c r="AL2025" s="50"/>
      <c r="AM2025" s="50"/>
      <c r="AN2025" s="50"/>
      <c r="AO2025" s="50"/>
      <c r="AP2025" s="50"/>
      <c r="AQ2025" s="50"/>
      <c r="AR2025" s="50"/>
      <c r="AS2025" s="50"/>
      <c r="AT2025" s="51"/>
      <c r="AU2025" s="51"/>
      <c r="AV2025" s="51"/>
      <c r="AW2025" s="51"/>
      <c r="AX2025" s="50"/>
      <c r="AY2025" s="50"/>
      <c r="AZ2025" s="50"/>
      <c r="BA2025" s="50"/>
      <c r="BB2025" s="51"/>
      <c r="BC2025" s="51"/>
      <c r="BD2025" s="51"/>
      <c r="BE2025" s="51"/>
      <c r="BF2025" s="47"/>
      <c r="BG2025" s="47"/>
      <c r="BH2025" s="47"/>
      <c r="BI2025" s="47"/>
      <c r="BJ2025" s="47"/>
      <c r="BK2025" s="47"/>
      <c r="BL2025" s="47"/>
      <c r="BM2025" s="47"/>
      <c r="BN2025" s="47"/>
      <c r="BO2025" s="47"/>
      <c r="BP2025" s="47"/>
      <c r="BQ2025" s="47"/>
      <c r="BR2025" s="47"/>
      <c r="BS2025" s="47"/>
      <c r="BT2025" s="47"/>
    </row>
    <row r="2026">
      <c r="A2026" s="24"/>
      <c r="B2026" s="48"/>
      <c r="C2026" s="49"/>
      <c r="D2026" s="24"/>
      <c r="E2026" s="52"/>
      <c r="F2026" s="53"/>
      <c r="G2026" s="48"/>
      <c r="H2026" s="49"/>
      <c r="I2026" s="49"/>
      <c r="J2026" s="48"/>
      <c r="K2026" s="48"/>
      <c r="L2026" s="48"/>
      <c r="M2026" s="48"/>
      <c r="N2026" s="48"/>
      <c r="O2026" s="48"/>
      <c r="P2026" s="48"/>
      <c r="Q2026" s="48"/>
      <c r="R2026" s="48"/>
      <c r="S2026" s="48"/>
      <c r="T2026" s="48"/>
      <c r="U2026" s="48"/>
      <c r="V2026" s="48"/>
      <c r="W2026" s="49"/>
      <c r="X2026" s="49"/>
      <c r="Y2026" s="49"/>
      <c r="Z2026" s="49"/>
      <c r="AA2026" s="49"/>
      <c r="AB2026" s="49"/>
      <c r="AC2026" s="49"/>
      <c r="AD2026" s="49"/>
      <c r="AE2026" s="49"/>
      <c r="AF2026" s="49"/>
      <c r="AG2026" s="49"/>
      <c r="AH2026" s="49"/>
      <c r="AI2026" s="48"/>
      <c r="AJ2026" s="48"/>
      <c r="AK2026" s="24"/>
      <c r="AL2026" s="50"/>
      <c r="AM2026" s="50"/>
      <c r="AN2026" s="50"/>
      <c r="AO2026" s="50"/>
      <c r="AP2026" s="50"/>
      <c r="AQ2026" s="50"/>
      <c r="AR2026" s="50"/>
      <c r="AS2026" s="50"/>
      <c r="AT2026" s="51"/>
      <c r="AU2026" s="51"/>
      <c r="AV2026" s="51"/>
      <c r="AW2026" s="51"/>
      <c r="AX2026" s="50"/>
      <c r="AY2026" s="50"/>
      <c r="AZ2026" s="50"/>
      <c r="BA2026" s="50"/>
      <c r="BB2026" s="51"/>
      <c r="BC2026" s="51"/>
      <c r="BD2026" s="51"/>
      <c r="BE2026" s="51"/>
      <c r="BF2026" s="47"/>
      <c r="BG2026" s="47"/>
      <c r="BH2026" s="47"/>
      <c r="BI2026" s="47"/>
      <c r="BJ2026" s="47"/>
      <c r="BK2026" s="47"/>
      <c r="BL2026" s="47"/>
      <c r="BM2026" s="47"/>
      <c r="BN2026" s="47"/>
      <c r="BO2026" s="47"/>
      <c r="BP2026" s="47"/>
      <c r="BQ2026" s="47"/>
      <c r="BR2026" s="47"/>
      <c r="BS2026" s="47"/>
      <c r="BT2026" s="47"/>
    </row>
    <row r="2027">
      <c r="A2027" s="24"/>
      <c r="B2027" s="48"/>
      <c r="C2027" s="49"/>
      <c r="D2027" s="24"/>
      <c r="E2027" s="52"/>
      <c r="F2027" s="53"/>
      <c r="G2027" s="48"/>
      <c r="H2027" s="49"/>
      <c r="I2027" s="49"/>
      <c r="J2027" s="48"/>
      <c r="K2027" s="48"/>
      <c r="L2027" s="48"/>
      <c r="M2027" s="48"/>
      <c r="N2027" s="48"/>
      <c r="O2027" s="48"/>
      <c r="P2027" s="48"/>
      <c r="Q2027" s="48"/>
      <c r="R2027" s="48"/>
      <c r="S2027" s="48"/>
      <c r="T2027" s="48"/>
      <c r="U2027" s="48"/>
      <c r="V2027" s="48"/>
      <c r="W2027" s="49"/>
      <c r="X2027" s="49"/>
      <c r="Y2027" s="49"/>
      <c r="Z2027" s="49"/>
      <c r="AA2027" s="49"/>
      <c r="AB2027" s="49"/>
      <c r="AC2027" s="49"/>
      <c r="AD2027" s="49"/>
      <c r="AE2027" s="49"/>
      <c r="AF2027" s="49"/>
      <c r="AG2027" s="49"/>
      <c r="AH2027" s="49"/>
      <c r="AI2027" s="48"/>
      <c r="AJ2027" s="48"/>
      <c r="AK2027" s="24"/>
      <c r="AL2027" s="50"/>
      <c r="AM2027" s="50"/>
      <c r="AN2027" s="50"/>
      <c r="AO2027" s="50"/>
      <c r="AP2027" s="50"/>
      <c r="AQ2027" s="50"/>
      <c r="AR2027" s="50"/>
      <c r="AS2027" s="50"/>
      <c r="AT2027" s="51"/>
      <c r="AU2027" s="51"/>
      <c r="AV2027" s="51"/>
      <c r="AW2027" s="51"/>
      <c r="AX2027" s="50"/>
      <c r="AY2027" s="50"/>
      <c r="AZ2027" s="50"/>
      <c r="BA2027" s="50"/>
      <c r="BB2027" s="51"/>
      <c r="BC2027" s="51"/>
      <c r="BD2027" s="51"/>
      <c r="BE2027" s="51"/>
      <c r="BF2027" s="47"/>
      <c r="BG2027" s="47"/>
      <c r="BH2027" s="47"/>
      <c r="BI2027" s="47"/>
      <c r="BJ2027" s="47"/>
      <c r="BK2027" s="47"/>
      <c r="BL2027" s="47"/>
      <c r="BM2027" s="47"/>
      <c r="BN2027" s="47"/>
      <c r="BO2027" s="47"/>
      <c r="BP2027" s="47"/>
      <c r="BQ2027" s="47"/>
      <c r="BR2027" s="47"/>
      <c r="BS2027" s="47"/>
      <c r="BT2027" s="47"/>
    </row>
    <row r="2028">
      <c r="A2028" s="24"/>
      <c r="B2028" s="48"/>
      <c r="C2028" s="49"/>
      <c r="D2028" s="24"/>
      <c r="E2028" s="52"/>
      <c r="F2028" s="53"/>
      <c r="G2028" s="48"/>
      <c r="H2028" s="49"/>
      <c r="I2028" s="49"/>
      <c r="J2028" s="48"/>
      <c r="K2028" s="48"/>
      <c r="L2028" s="48"/>
      <c r="M2028" s="48"/>
      <c r="N2028" s="48"/>
      <c r="O2028" s="48"/>
      <c r="P2028" s="48"/>
      <c r="Q2028" s="48"/>
      <c r="R2028" s="48"/>
      <c r="S2028" s="48"/>
      <c r="T2028" s="48"/>
      <c r="U2028" s="48"/>
      <c r="V2028" s="48"/>
      <c r="W2028" s="49"/>
      <c r="X2028" s="49"/>
      <c r="Y2028" s="49"/>
      <c r="Z2028" s="49"/>
      <c r="AA2028" s="49"/>
      <c r="AB2028" s="49"/>
      <c r="AC2028" s="49"/>
      <c r="AD2028" s="49"/>
      <c r="AE2028" s="49"/>
      <c r="AF2028" s="49"/>
      <c r="AG2028" s="49"/>
      <c r="AH2028" s="49"/>
      <c r="AI2028" s="48"/>
      <c r="AJ2028" s="48"/>
      <c r="AK2028" s="24"/>
      <c r="AL2028" s="50"/>
      <c r="AM2028" s="50"/>
      <c r="AN2028" s="50"/>
      <c r="AO2028" s="50"/>
      <c r="AP2028" s="50"/>
      <c r="AQ2028" s="50"/>
      <c r="AR2028" s="50"/>
      <c r="AS2028" s="50"/>
      <c r="AT2028" s="51"/>
      <c r="AU2028" s="51"/>
      <c r="AV2028" s="51"/>
      <c r="AW2028" s="51"/>
      <c r="AX2028" s="50"/>
      <c r="AY2028" s="50"/>
      <c r="AZ2028" s="50"/>
      <c r="BA2028" s="50"/>
      <c r="BB2028" s="51"/>
      <c r="BC2028" s="51"/>
      <c r="BD2028" s="51"/>
      <c r="BE2028" s="51"/>
      <c r="BF2028" s="47"/>
      <c r="BG2028" s="47"/>
      <c r="BH2028" s="47"/>
      <c r="BI2028" s="47"/>
      <c r="BJ2028" s="47"/>
      <c r="BK2028" s="47"/>
      <c r="BL2028" s="47"/>
      <c r="BM2028" s="47"/>
      <c r="BN2028" s="47"/>
      <c r="BO2028" s="47"/>
      <c r="BP2028" s="47"/>
      <c r="BQ2028" s="47"/>
      <c r="BR2028" s="47"/>
      <c r="BS2028" s="47"/>
      <c r="BT2028" s="47"/>
    </row>
    <row r="2029">
      <c r="A2029" s="24"/>
      <c r="B2029" s="48"/>
      <c r="C2029" s="49"/>
      <c r="D2029" s="24"/>
      <c r="E2029" s="52"/>
      <c r="F2029" s="53"/>
      <c r="G2029" s="48"/>
      <c r="H2029" s="49"/>
      <c r="I2029" s="49"/>
      <c r="J2029" s="48"/>
      <c r="K2029" s="48"/>
      <c r="L2029" s="48"/>
      <c r="M2029" s="48"/>
      <c r="N2029" s="48"/>
      <c r="O2029" s="48"/>
      <c r="P2029" s="48"/>
      <c r="Q2029" s="48"/>
      <c r="R2029" s="48"/>
      <c r="S2029" s="48"/>
      <c r="T2029" s="48"/>
      <c r="U2029" s="48"/>
      <c r="V2029" s="48"/>
      <c r="W2029" s="49"/>
      <c r="X2029" s="49"/>
      <c r="Y2029" s="49"/>
      <c r="Z2029" s="49"/>
      <c r="AA2029" s="49"/>
      <c r="AB2029" s="49"/>
      <c r="AC2029" s="49"/>
      <c r="AD2029" s="49"/>
      <c r="AE2029" s="49"/>
      <c r="AF2029" s="49"/>
      <c r="AG2029" s="49"/>
      <c r="AH2029" s="49"/>
      <c r="AI2029" s="48"/>
      <c r="AJ2029" s="48"/>
      <c r="AK2029" s="24"/>
      <c r="AL2029" s="50"/>
      <c r="AM2029" s="50"/>
      <c r="AN2029" s="50"/>
      <c r="AO2029" s="50"/>
      <c r="AP2029" s="50"/>
      <c r="AQ2029" s="50"/>
      <c r="AR2029" s="50"/>
      <c r="AS2029" s="50"/>
      <c r="AT2029" s="51"/>
      <c r="AU2029" s="51"/>
      <c r="AV2029" s="51"/>
      <c r="AW2029" s="51"/>
      <c r="AX2029" s="50"/>
      <c r="AY2029" s="50"/>
      <c r="AZ2029" s="50"/>
      <c r="BA2029" s="50"/>
      <c r="BB2029" s="51"/>
      <c r="BC2029" s="51"/>
      <c r="BD2029" s="51"/>
      <c r="BE2029" s="51"/>
      <c r="BF2029" s="47"/>
      <c r="BG2029" s="47"/>
      <c r="BH2029" s="47"/>
      <c r="BI2029" s="47"/>
      <c r="BJ2029" s="47"/>
      <c r="BK2029" s="47"/>
      <c r="BL2029" s="47"/>
      <c r="BM2029" s="47"/>
      <c r="BN2029" s="47"/>
      <c r="BO2029" s="47"/>
      <c r="BP2029" s="47"/>
      <c r="BQ2029" s="47"/>
      <c r="BR2029" s="47"/>
      <c r="BS2029" s="47"/>
      <c r="BT2029" s="47"/>
    </row>
    <row r="2030">
      <c r="A2030" s="24"/>
      <c r="B2030" s="48"/>
      <c r="C2030" s="49"/>
      <c r="D2030" s="24"/>
      <c r="E2030" s="52"/>
      <c r="F2030" s="53"/>
      <c r="G2030" s="48"/>
      <c r="H2030" s="49"/>
      <c r="I2030" s="49"/>
      <c r="J2030" s="48"/>
      <c r="K2030" s="48"/>
      <c r="L2030" s="48"/>
      <c r="M2030" s="48"/>
      <c r="N2030" s="48"/>
      <c r="O2030" s="48"/>
      <c r="P2030" s="48"/>
      <c r="Q2030" s="48"/>
      <c r="R2030" s="48"/>
      <c r="S2030" s="48"/>
      <c r="T2030" s="48"/>
      <c r="U2030" s="48"/>
      <c r="V2030" s="48"/>
      <c r="W2030" s="49"/>
      <c r="X2030" s="49"/>
      <c r="Y2030" s="49"/>
      <c r="Z2030" s="49"/>
      <c r="AA2030" s="49"/>
      <c r="AB2030" s="49"/>
      <c r="AC2030" s="49"/>
      <c r="AD2030" s="49"/>
      <c r="AE2030" s="49"/>
      <c r="AF2030" s="49"/>
      <c r="AG2030" s="49"/>
      <c r="AH2030" s="49"/>
      <c r="AI2030" s="48"/>
      <c r="AJ2030" s="48"/>
      <c r="AK2030" s="24"/>
      <c r="AL2030" s="50"/>
      <c r="AM2030" s="50"/>
      <c r="AN2030" s="50"/>
      <c r="AO2030" s="50"/>
      <c r="AP2030" s="50"/>
      <c r="AQ2030" s="50"/>
      <c r="AR2030" s="50"/>
      <c r="AS2030" s="50"/>
      <c r="AT2030" s="51"/>
      <c r="AU2030" s="51"/>
      <c r="AV2030" s="51"/>
      <c r="AW2030" s="51"/>
      <c r="AX2030" s="50"/>
      <c r="AY2030" s="50"/>
      <c r="AZ2030" s="50"/>
      <c r="BA2030" s="50"/>
      <c r="BB2030" s="51"/>
      <c r="BC2030" s="51"/>
      <c r="BD2030" s="51"/>
      <c r="BE2030" s="51"/>
      <c r="BF2030" s="47"/>
      <c r="BG2030" s="47"/>
      <c r="BH2030" s="47"/>
      <c r="BI2030" s="47"/>
      <c r="BJ2030" s="47"/>
      <c r="BK2030" s="47"/>
      <c r="BL2030" s="47"/>
      <c r="BM2030" s="47"/>
      <c r="BN2030" s="47"/>
      <c r="BO2030" s="47"/>
      <c r="BP2030" s="47"/>
      <c r="BQ2030" s="47"/>
      <c r="BR2030" s="47"/>
      <c r="BS2030" s="47"/>
      <c r="BT2030" s="47"/>
    </row>
    <row r="2031">
      <c r="A2031" s="24"/>
      <c r="B2031" s="48"/>
      <c r="C2031" s="49"/>
      <c r="D2031" s="24"/>
      <c r="E2031" s="52"/>
      <c r="F2031" s="53"/>
      <c r="G2031" s="48"/>
      <c r="H2031" s="49"/>
      <c r="I2031" s="49"/>
      <c r="J2031" s="48"/>
      <c r="K2031" s="48"/>
      <c r="L2031" s="48"/>
      <c r="M2031" s="48"/>
      <c r="N2031" s="48"/>
      <c r="O2031" s="48"/>
      <c r="P2031" s="48"/>
      <c r="Q2031" s="48"/>
      <c r="R2031" s="48"/>
      <c r="S2031" s="48"/>
      <c r="T2031" s="48"/>
      <c r="U2031" s="48"/>
      <c r="V2031" s="48"/>
      <c r="W2031" s="49"/>
      <c r="X2031" s="49"/>
      <c r="Y2031" s="49"/>
      <c r="Z2031" s="49"/>
      <c r="AA2031" s="49"/>
      <c r="AB2031" s="49"/>
      <c r="AC2031" s="49"/>
      <c r="AD2031" s="49"/>
      <c r="AE2031" s="49"/>
      <c r="AF2031" s="49"/>
      <c r="AG2031" s="49"/>
      <c r="AH2031" s="49"/>
      <c r="AI2031" s="48"/>
      <c r="AJ2031" s="48"/>
      <c r="AK2031" s="24"/>
      <c r="AL2031" s="50"/>
      <c r="AM2031" s="50"/>
      <c r="AN2031" s="50"/>
      <c r="AO2031" s="50"/>
      <c r="AP2031" s="50"/>
      <c r="AQ2031" s="50"/>
      <c r="AR2031" s="50"/>
      <c r="AS2031" s="50"/>
      <c r="AT2031" s="51"/>
      <c r="AU2031" s="51"/>
      <c r="AV2031" s="51"/>
      <c r="AW2031" s="51"/>
      <c r="AX2031" s="50"/>
      <c r="AY2031" s="50"/>
      <c r="AZ2031" s="50"/>
      <c r="BA2031" s="50"/>
      <c r="BB2031" s="51"/>
      <c r="BC2031" s="51"/>
      <c r="BD2031" s="51"/>
      <c r="BE2031" s="51"/>
      <c r="BF2031" s="47"/>
      <c r="BG2031" s="47"/>
      <c r="BH2031" s="47"/>
      <c r="BI2031" s="47"/>
      <c r="BJ2031" s="47"/>
      <c r="BK2031" s="47"/>
      <c r="BL2031" s="47"/>
      <c r="BM2031" s="47"/>
      <c r="BN2031" s="47"/>
      <c r="BO2031" s="47"/>
      <c r="BP2031" s="47"/>
      <c r="BQ2031" s="47"/>
      <c r="BR2031" s="47"/>
      <c r="BS2031" s="47"/>
      <c r="BT2031" s="47"/>
    </row>
    <row r="2032">
      <c r="A2032" s="24"/>
      <c r="B2032" s="48"/>
      <c r="C2032" s="49"/>
      <c r="D2032" s="24"/>
      <c r="E2032" s="52"/>
      <c r="F2032" s="53"/>
      <c r="G2032" s="48"/>
      <c r="H2032" s="49"/>
      <c r="I2032" s="49"/>
      <c r="J2032" s="48"/>
      <c r="K2032" s="48"/>
      <c r="L2032" s="48"/>
      <c r="M2032" s="48"/>
      <c r="N2032" s="48"/>
      <c r="O2032" s="48"/>
      <c r="P2032" s="48"/>
      <c r="Q2032" s="48"/>
      <c r="R2032" s="48"/>
      <c r="S2032" s="48"/>
      <c r="T2032" s="48"/>
      <c r="U2032" s="48"/>
      <c r="V2032" s="48"/>
      <c r="W2032" s="49"/>
      <c r="X2032" s="49"/>
      <c r="Y2032" s="49"/>
      <c r="Z2032" s="49"/>
      <c r="AA2032" s="49"/>
      <c r="AB2032" s="49"/>
      <c r="AC2032" s="49"/>
      <c r="AD2032" s="49"/>
      <c r="AE2032" s="49"/>
      <c r="AF2032" s="49"/>
      <c r="AG2032" s="49"/>
      <c r="AH2032" s="49"/>
      <c r="AI2032" s="48"/>
      <c r="AJ2032" s="48"/>
      <c r="AK2032" s="24"/>
      <c r="AL2032" s="50"/>
      <c r="AM2032" s="50"/>
      <c r="AN2032" s="50"/>
      <c r="AO2032" s="50"/>
      <c r="AP2032" s="50"/>
      <c r="AQ2032" s="50"/>
      <c r="AR2032" s="50"/>
      <c r="AS2032" s="50"/>
      <c r="AT2032" s="51"/>
      <c r="AU2032" s="51"/>
      <c r="AV2032" s="51"/>
      <c r="AW2032" s="51"/>
      <c r="AX2032" s="50"/>
      <c r="AY2032" s="50"/>
      <c r="AZ2032" s="50"/>
      <c r="BA2032" s="50"/>
      <c r="BB2032" s="51"/>
      <c r="BC2032" s="51"/>
      <c r="BD2032" s="51"/>
      <c r="BE2032" s="51"/>
      <c r="BF2032" s="47"/>
      <c r="BG2032" s="47"/>
      <c r="BH2032" s="47"/>
      <c r="BI2032" s="47"/>
      <c r="BJ2032" s="47"/>
      <c r="BK2032" s="47"/>
      <c r="BL2032" s="47"/>
      <c r="BM2032" s="47"/>
      <c r="BN2032" s="47"/>
      <c r="BO2032" s="47"/>
      <c r="BP2032" s="47"/>
      <c r="BQ2032" s="47"/>
      <c r="BR2032" s="47"/>
      <c r="BS2032" s="47"/>
      <c r="BT2032" s="47"/>
    </row>
    <row r="2033">
      <c r="A2033" s="24"/>
      <c r="B2033" s="48"/>
      <c r="C2033" s="49"/>
      <c r="D2033" s="24"/>
      <c r="E2033" s="52"/>
      <c r="F2033" s="53"/>
      <c r="G2033" s="48"/>
      <c r="H2033" s="49"/>
      <c r="I2033" s="49"/>
      <c r="J2033" s="48"/>
      <c r="K2033" s="48"/>
      <c r="L2033" s="48"/>
      <c r="M2033" s="48"/>
      <c r="N2033" s="48"/>
      <c r="O2033" s="48"/>
      <c r="P2033" s="48"/>
      <c r="Q2033" s="48"/>
      <c r="R2033" s="48"/>
      <c r="S2033" s="48"/>
      <c r="T2033" s="48"/>
      <c r="U2033" s="48"/>
      <c r="V2033" s="48"/>
      <c r="W2033" s="49"/>
      <c r="X2033" s="49"/>
      <c r="Y2033" s="49"/>
      <c r="Z2033" s="49"/>
      <c r="AA2033" s="49"/>
      <c r="AB2033" s="49"/>
      <c r="AC2033" s="49"/>
      <c r="AD2033" s="49"/>
      <c r="AE2033" s="49"/>
      <c r="AF2033" s="49"/>
      <c r="AG2033" s="49"/>
      <c r="AH2033" s="49"/>
      <c r="AI2033" s="48"/>
      <c r="AJ2033" s="48"/>
      <c r="AK2033" s="24"/>
      <c r="AL2033" s="50"/>
      <c r="AM2033" s="50"/>
      <c r="AN2033" s="50"/>
      <c r="AO2033" s="50"/>
      <c r="AP2033" s="50"/>
      <c r="AQ2033" s="50"/>
      <c r="AR2033" s="50"/>
      <c r="AS2033" s="50"/>
      <c r="AT2033" s="51"/>
      <c r="AU2033" s="51"/>
      <c r="AV2033" s="51"/>
      <c r="AW2033" s="51"/>
      <c r="AX2033" s="50"/>
      <c r="AY2033" s="50"/>
      <c r="AZ2033" s="50"/>
      <c r="BA2033" s="50"/>
      <c r="BB2033" s="51"/>
      <c r="BC2033" s="51"/>
      <c r="BD2033" s="51"/>
      <c r="BE2033" s="51"/>
      <c r="BF2033" s="47"/>
      <c r="BG2033" s="47"/>
      <c r="BH2033" s="47"/>
      <c r="BI2033" s="47"/>
      <c r="BJ2033" s="47"/>
      <c r="BK2033" s="47"/>
      <c r="BL2033" s="47"/>
      <c r="BM2033" s="47"/>
      <c r="BN2033" s="47"/>
      <c r="BO2033" s="47"/>
      <c r="BP2033" s="47"/>
      <c r="BQ2033" s="47"/>
      <c r="BR2033" s="47"/>
      <c r="BS2033" s="47"/>
      <c r="BT2033" s="47"/>
    </row>
    <row r="2034">
      <c r="A2034" s="24"/>
      <c r="B2034" s="48"/>
      <c r="C2034" s="49"/>
      <c r="D2034" s="24"/>
      <c r="E2034" s="52"/>
      <c r="F2034" s="53"/>
      <c r="G2034" s="48"/>
      <c r="H2034" s="49"/>
      <c r="I2034" s="49"/>
      <c r="J2034" s="48"/>
      <c r="K2034" s="48"/>
      <c r="L2034" s="48"/>
      <c r="M2034" s="48"/>
      <c r="N2034" s="48"/>
      <c r="O2034" s="48"/>
      <c r="P2034" s="48"/>
      <c r="Q2034" s="48"/>
      <c r="R2034" s="48"/>
      <c r="S2034" s="48"/>
      <c r="T2034" s="48"/>
      <c r="U2034" s="48"/>
      <c r="V2034" s="48"/>
      <c r="W2034" s="49"/>
      <c r="X2034" s="49"/>
      <c r="Y2034" s="49"/>
      <c r="Z2034" s="49"/>
      <c r="AA2034" s="49"/>
      <c r="AB2034" s="49"/>
      <c r="AC2034" s="49"/>
      <c r="AD2034" s="49"/>
      <c r="AE2034" s="49"/>
      <c r="AF2034" s="49"/>
      <c r="AG2034" s="49"/>
      <c r="AH2034" s="49"/>
      <c r="AI2034" s="48"/>
      <c r="AJ2034" s="48"/>
      <c r="AK2034" s="24"/>
      <c r="AL2034" s="50"/>
      <c r="AM2034" s="50"/>
      <c r="AN2034" s="50"/>
      <c r="AO2034" s="50"/>
      <c r="AP2034" s="50"/>
      <c r="AQ2034" s="50"/>
      <c r="AR2034" s="50"/>
      <c r="AS2034" s="50"/>
      <c r="AT2034" s="51"/>
      <c r="AU2034" s="51"/>
      <c r="AV2034" s="51"/>
      <c r="AW2034" s="51"/>
      <c r="AX2034" s="50"/>
      <c r="AY2034" s="50"/>
      <c r="AZ2034" s="50"/>
      <c r="BA2034" s="50"/>
      <c r="BB2034" s="51"/>
      <c r="BC2034" s="51"/>
      <c r="BD2034" s="51"/>
      <c r="BE2034" s="51"/>
      <c r="BF2034" s="47"/>
      <c r="BG2034" s="47"/>
      <c r="BH2034" s="47"/>
      <c r="BI2034" s="47"/>
      <c r="BJ2034" s="47"/>
      <c r="BK2034" s="47"/>
      <c r="BL2034" s="47"/>
      <c r="BM2034" s="47"/>
      <c r="BN2034" s="47"/>
      <c r="BO2034" s="47"/>
      <c r="BP2034" s="47"/>
      <c r="BQ2034" s="47"/>
      <c r="BR2034" s="47"/>
      <c r="BS2034" s="47"/>
      <c r="BT2034" s="47"/>
    </row>
    <row r="2035">
      <c r="A2035" s="24"/>
      <c r="B2035" s="48"/>
      <c r="C2035" s="49"/>
      <c r="D2035" s="24"/>
      <c r="E2035" s="52"/>
      <c r="F2035" s="53"/>
      <c r="G2035" s="48"/>
      <c r="H2035" s="49"/>
      <c r="I2035" s="49"/>
      <c r="J2035" s="48"/>
      <c r="K2035" s="48"/>
      <c r="L2035" s="48"/>
      <c r="M2035" s="48"/>
      <c r="N2035" s="48"/>
      <c r="O2035" s="48"/>
      <c r="P2035" s="48"/>
      <c r="Q2035" s="48"/>
      <c r="R2035" s="48"/>
      <c r="S2035" s="48"/>
      <c r="T2035" s="48"/>
      <c r="U2035" s="48"/>
      <c r="V2035" s="48"/>
      <c r="W2035" s="49"/>
      <c r="X2035" s="49"/>
      <c r="Y2035" s="49"/>
      <c r="Z2035" s="49"/>
      <c r="AA2035" s="49"/>
      <c r="AB2035" s="49"/>
      <c r="AC2035" s="49"/>
      <c r="AD2035" s="49"/>
      <c r="AE2035" s="49"/>
      <c r="AF2035" s="49"/>
      <c r="AG2035" s="49"/>
      <c r="AH2035" s="49"/>
      <c r="AI2035" s="48"/>
      <c r="AJ2035" s="48"/>
      <c r="AK2035" s="24"/>
      <c r="AL2035" s="50"/>
      <c r="AM2035" s="50"/>
      <c r="AN2035" s="50"/>
      <c r="AO2035" s="50"/>
      <c r="AP2035" s="50"/>
      <c r="AQ2035" s="50"/>
      <c r="AR2035" s="50"/>
      <c r="AS2035" s="50"/>
      <c r="AT2035" s="51"/>
      <c r="AU2035" s="51"/>
      <c r="AV2035" s="51"/>
      <c r="AW2035" s="51"/>
      <c r="AX2035" s="50"/>
      <c r="AY2035" s="50"/>
      <c r="AZ2035" s="50"/>
      <c r="BA2035" s="50"/>
      <c r="BB2035" s="51"/>
      <c r="BC2035" s="51"/>
      <c r="BD2035" s="51"/>
      <c r="BE2035" s="51"/>
      <c r="BF2035" s="47"/>
      <c r="BG2035" s="47"/>
      <c r="BH2035" s="47"/>
      <c r="BI2035" s="47"/>
      <c r="BJ2035" s="47"/>
      <c r="BK2035" s="47"/>
      <c r="BL2035" s="47"/>
      <c r="BM2035" s="47"/>
      <c r="BN2035" s="47"/>
      <c r="BO2035" s="47"/>
      <c r="BP2035" s="47"/>
      <c r="BQ2035" s="47"/>
      <c r="BR2035" s="47"/>
      <c r="BS2035" s="47"/>
      <c r="BT2035" s="47"/>
    </row>
    <row r="2036">
      <c r="A2036" s="24"/>
      <c r="B2036" s="48"/>
      <c r="C2036" s="49"/>
      <c r="D2036" s="24"/>
      <c r="E2036" s="52"/>
      <c r="F2036" s="53"/>
      <c r="G2036" s="48"/>
      <c r="H2036" s="49"/>
      <c r="I2036" s="49"/>
      <c r="J2036" s="48"/>
      <c r="K2036" s="48"/>
      <c r="L2036" s="48"/>
      <c r="M2036" s="48"/>
      <c r="N2036" s="48"/>
      <c r="O2036" s="48"/>
      <c r="P2036" s="48"/>
      <c r="Q2036" s="48"/>
      <c r="R2036" s="48"/>
      <c r="S2036" s="48"/>
      <c r="T2036" s="48"/>
      <c r="U2036" s="48"/>
      <c r="V2036" s="48"/>
      <c r="W2036" s="49"/>
      <c r="X2036" s="49"/>
      <c r="Y2036" s="49"/>
      <c r="Z2036" s="49"/>
      <c r="AA2036" s="49"/>
      <c r="AB2036" s="49"/>
      <c r="AC2036" s="49"/>
      <c r="AD2036" s="49"/>
      <c r="AE2036" s="49"/>
      <c r="AF2036" s="49"/>
      <c r="AG2036" s="49"/>
      <c r="AH2036" s="49"/>
      <c r="AI2036" s="48"/>
      <c r="AJ2036" s="48"/>
      <c r="AK2036" s="24"/>
      <c r="AL2036" s="50"/>
      <c r="AM2036" s="50"/>
      <c r="AN2036" s="50"/>
      <c r="AO2036" s="50"/>
      <c r="AP2036" s="50"/>
      <c r="AQ2036" s="50"/>
      <c r="AR2036" s="50"/>
      <c r="AS2036" s="50"/>
      <c r="AT2036" s="51"/>
      <c r="AU2036" s="51"/>
      <c r="AV2036" s="51"/>
      <c r="AW2036" s="51"/>
      <c r="AX2036" s="50"/>
      <c r="AY2036" s="50"/>
      <c r="AZ2036" s="50"/>
      <c r="BA2036" s="50"/>
      <c r="BB2036" s="51"/>
      <c r="BC2036" s="51"/>
      <c r="BD2036" s="51"/>
      <c r="BE2036" s="51"/>
      <c r="BF2036" s="47"/>
      <c r="BG2036" s="47"/>
      <c r="BH2036" s="47"/>
      <c r="BI2036" s="47"/>
      <c r="BJ2036" s="47"/>
      <c r="BK2036" s="47"/>
      <c r="BL2036" s="47"/>
      <c r="BM2036" s="47"/>
      <c r="BN2036" s="47"/>
      <c r="BO2036" s="47"/>
      <c r="BP2036" s="47"/>
      <c r="BQ2036" s="47"/>
      <c r="BR2036" s="47"/>
      <c r="BS2036" s="47"/>
      <c r="BT2036" s="47"/>
    </row>
    <row r="2037">
      <c r="A2037" s="24"/>
      <c r="B2037" s="48"/>
      <c r="C2037" s="49"/>
      <c r="D2037" s="24"/>
      <c r="E2037" s="52"/>
      <c r="F2037" s="53"/>
      <c r="G2037" s="48"/>
      <c r="H2037" s="49"/>
      <c r="I2037" s="49"/>
      <c r="J2037" s="48"/>
      <c r="K2037" s="48"/>
      <c r="L2037" s="48"/>
      <c r="M2037" s="48"/>
      <c r="N2037" s="48"/>
      <c r="O2037" s="48"/>
      <c r="P2037" s="48"/>
      <c r="Q2037" s="48"/>
      <c r="R2037" s="48"/>
      <c r="S2037" s="48"/>
      <c r="T2037" s="48"/>
      <c r="U2037" s="48"/>
      <c r="V2037" s="48"/>
      <c r="W2037" s="49"/>
      <c r="X2037" s="49"/>
      <c r="Y2037" s="49"/>
      <c r="Z2037" s="49"/>
      <c r="AA2037" s="49"/>
      <c r="AB2037" s="49"/>
      <c r="AC2037" s="49"/>
      <c r="AD2037" s="49"/>
      <c r="AE2037" s="49"/>
      <c r="AF2037" s="49"/>
      <c r="AG2037" s="49"/>
      <c r="AH2037" s="49"/>
      <c r="AI2037" s="48"/>
      <c r="AJ2037" s="48"/>
      <c r="AK2037" s="24"/>
      <c r="AL2037" s="50"/>
      <c r="AM2037" s="50"/>
      <c r="AN2037" s="50"/>
      <c r="AO2037" s="50"/>
      <c r="AP2037" s="50"/>
      <c r="AQ2037" s="50"/>
      <c r="AR2037" s="50"/>
      <c r="AS2037" s="50"/>
      <c r="AT2037" s="51"/>
      <c r="AU2037" s="51"/>
      <c r="AV2037" s="51"/>
      <c r="AW2037" s="51"/>
      <c r="AX2037" s="50"/>
      <c r="AY2037" s="50"/>
      <c r="AZ2037" s="50"/>
      <c r="BA2037" s="50"/>
      <c r="BB2037" s="51"/>
      <c r="BC2037" s="51"/>
      <c r="BD2037" s="51"/>
      <c r="BE2037" s="51"/>
      <c r="BF2037" s="47"/>
      <c r="BG2037" s="47"/>
      <c r="BH2037" s="47"/>
      <c r="BI2037" s="47"/>
      <c r="BJ2037" s="47"/>
      <c r="BK2037" s="47"/>
      <c r="BL2037" s="47"/>
      <c r="BM2037" s="47"/>
      <c r="BN2037" s="47"/>
      <c r="BO2037" s="47"/>
      <c r="BP2037" s="47"/>
      <c r="BQ2037" s="47"/>
      <c r="BR2037" s="47"/>
      <c r="BS2037" s="47"/>
      <c r="BT2037" s="47"/>
    </row>
    <row r="2038">
      <c r="A2038" s="24"/>
      <c r="B2038" s="48"/>
      <c r="C2038" s="49"/>
      <c r="D2038" s="24"/>
      <c r="E2038" s="52"/>
      <c r="F2038" s="53"/>
      <c r="G2038" s="48"/>
      <c r="H2038" s="49"/>
      <c r="I2038" s="49"/>
      <c r="J2038" s="48"/>
      <c r="K2038" s="48"/>
      <c r="L2038" s="48"/>
      <c r="M2038" s="48"/>
      <c r="N2038" s="48"/>
      <c r="O2038" s="48"/>
      <c r="P2038" s="48"/>
      <c r="Q2038" s="48"/>
      <c r="R2038" s="48"/>
      <c r="S2038" s="48"/>
      <c r="T2038" s="48"/>
      <c r="U2038" s="48"/>
      <c r="V2038" s="48"/>
      <c r="W2038" s="49"/>
      <c r="X2038" s="49"/>
      <c r="Y2038" s="49"/>
      <c r="Z2038" s="49"/>
      <c r="AA2038" s="49"/>
      <c r="AB2038" s="49"/>
      <c r="AC2038" s="49"/>
      <c r="AD2038" s="49"/>
      <c r="AE2038" s="49"/>
      <c r="AF2038" s="49"/>
      <c r="AG2038" s="49"/>
      <c r="AH2038" s="49"/>
      <c r="AI2038" s="48"/>
      <c r="AJ2038" s="48"/>
      <c r="AK2038" s="24"/>
      <c r="AL2038" s="50"/>
      <c r="AM2038" s="50"/>
      <c r="AN2038" s="50"/>
      <c r="AO2038" s="50"/>
      <c r="AP2038" s="50"/>
      <c r="AQ2038" s="50"/>
      <c r="AR2038" s="50"/>
      <c r="AS2038" s="50"/>
      <c r="AT2038" s="51"/>
      <c r="AU2038" s="51"/>
      <c r="AV2038" s="51"/>
      <c r="AW2038" s="51"/>
      <c r="AX2038" s="50"/>
      <c r="AY2038" s="50"/>
      <c r="AZ2038" s="50"/>
      <c r="BA2038" s="50"/>
      <c r="BB2038" s="51"/>
      <c r="BC2038" s="51"/>
      <c r="BD2038" s="51"/>
      <c r="BE2038" s="51"/>
      <c r="BF2038" s="47"/>
      <c r="BG2038" s="47"/>
      <c r="BH2038" s="47"/>
      <c r="BI2038" s="47"/>
      <c r="BJ2038" s="47"/>
      <c r="BK2038" s="47"/>
      <c r="BL2038" s="47"/>
      <c r="BM2038" s="47"/>
      <c r="BN2038" s="47"/>
      <c r="BO2038" s="47"/>
      <c r="BP2038" s="47"/>
      <c r="BQ2038" s="47"/>
      <c r="BR2038" s="47"/>
      <c r="BS2038" s="47"/>
      <c r="BT2038" s="47"/>
    </row>
    <row r="2039">
      <c r="A2039" s="24"/>
      <c r="B2039" s="48"/>
      <c r="C2039" s="49"/>
      <c r="D2039" s="24"/>
      <c r="E2039" s="52"/>
      <c r="F2039" s="53"/>
      <c r="G2039" s="48"/>
      <c r="H2039" s="49"/>
      <c r="I2039" s="49"/>
      <c r="J2039" s="48"/>
      <c r="K2039" s="48"/>
      <c r="L2039" s="48"/>
      <c r="M2039" s="48"/>
      <c r="N2039" s="48"/>
      <c r="O2039" s="48"/>
      <c r="P2039" s="48"/>
      <c r="Q2039" s="48"/>
      <c r="R2039" s="48"/>
      <c r="S2039" s="48"/>
      <c r="T2039" s="48"/>
      <c r="U2039" s="48"/>
      <c r="V2039" s="48"/>
      <c r="W2039" s="49"/>
      <c r="X2039" s="49"/>
      <c r="Y2039" s="49"/>
      <c r="Z2039" s="49"/>
      <c r="AA2039" s="49"/>
      <c r="AB2039" s="49"/>
      <c r="AC2039" s="49"/>
      <c r="AD2039" s="49"/>
      <c r="AE2039" s="49"/>
      <c r="AF2039" s="49"/>
      <c r="AG2039" s="49"/>
      <c r="AH2039" s="49"/>
      <c r="AI2039" s="48"/>
      <c r="AJ2039" s="48"/>
      <c r="AK2039" s="24"/>
      <c r="AL2039" s="50"/>
      <c r="AM2039" s="50"/>
      <c r="AN2039" s="50"/>
      <c r="AO2039" s="50"/>
      <c r="AP2039" s="50"/>
      <c r="AQ2039" s="50"/>
      <c r="AR2039" s="50"/>
      <c r="AS2039" s="50"/>
      <c r="AT2039" s="51"/>
      <c r="AU2039" s="51"/>
      <c r="AV2039" s="51"/>
      <c r="AW2039" s="51"/>
      <c r="AX2039" s="50"/>
      <c r="AY2039" s="50"/>
      <c r="AZ2039" s="50"/>
      <c r="BA2039" s="50"/>
      <c r="BB2039" s="51"/>
      <c r="BC2039" s="51"/>
      <c r="BD2039" s="51"/>
      <c r="BE2039" s="51"/>
      <c r="BF2039" s="47"/>
      <c r="BG2039" s="47"/>
      <c r="BH2039" s="47"/>
      <c r="BI2039" s="47"/>
      <c r="BJ2039" s="47"/>
      <c r="BK2039" s="47"/>
      <c r="BL2039" s="47"/>
      <c r="BM2039" s="47"/>
      <c r="BN2039" s="47"/>
      <c r="BO2039" s="47"/>
      <c r="BP2039" s="47"/>
      <c r="BQ2039" s="47"/>
      <c r="BR2039" s="47"/>
      <c r="BS2039" s="47"/>
      <c r="BT2039" s="47"/>
    </row>
    <row r="2040">
      <c r="A2040" s="24"/>
      <c r="B2040" s="48"/>
      <c r="C2040" s="49"/>
      <c r="D2040" s="24"/>
      <c r="E2040" s="52"/>
      <c r="F2040" s="53"/>
      <c r="G2040" s="48"/>
      <c r="H2040" s="49"/>
      <c r="I2040" s="49"/>
      <c r="J2040" s="48"/>
      <c r="K2040" s="48"/>
      <c r="L2040" s="48"/>
      <c r="M2040" s="48"/>
      <c r="N2040" s="48"/>
      <c r="O2040" s="48"/>
      <c r="P2040" s="48"/>
      <c r="Q2040" s="48"/>
      <c r="R2040" s="48"/>
      <c r="S2040" s="48"/>
      <c r="T2040" s="48"/>
      <c r="U2040" s="48"/>
      <c r="V2040" s="48"/>
      <c r="W2040" s="49"/>
      <c r="X2040" s="49"/>
      <c r="Y2040" s="49"/>
      <c r="Z2040" s="49"/>
      <c r="AA2040" s="49"/>
      <c r="AB2040" s="49"/>
      <c r="AC2040" s="49"/>
      <c r="AD2040" s="49"/>
      <c r="AE2040" s="49"/>
      <c r="AF2040" s="49"/>
      <c r="AG2040" s="49"/>
      <c r="AH2040" s="49"/>
      <c r="AI2040" s="48"/>
      <c r="AJ2040" s="48"/>
      <c r="AK2040" s="24"/>
      <c r="AL2040" s="50"/>
      <c r="AM2040" s="50"/>
      <c r="AN2040" s="50"/>
      <c r="AO2040" s="50"/>
      <c r="AP2040" s="50"/>
      <c r="AQ2040" s="50"/>
      <c r="AR2040" s="50"/>
      <c r="AS2040" s="50"/>
      <c r="AT2040" s="51"/>
      <c r="AU2040" s="51"/>
      <c r="AV2040" s="51"/>
      <c r="AW2040" s="51"/>
      <c r="AX2040" s="50"/>
      <c r="AY2040" s="50"/>
      <c r="AZ2040" s="50"/>
      <c r="BA2040" s="50"/>
      <c r="BB2040" s="51"/>
      <c r="BC2040" s="51"/>
      <c r="BD2040" s="51"/>
      <c r="BE2040" s="51"/>
      <c r="BF2040" s="47"/>
      <c r="BG2040" s="47"/>
      <c r="BH2040" s="47"/>
      <c r="BI2040" s="47"/>
      <c r="BJ2040" s="47"/>
      <c r="BK2040" s="47"/>
      <c r="BL2040" s="47"/>
      <c r="BM2040" s="47"/>
      <c r="BN2040" s="47"/>
      <c r="BO2040" s="47"/>
      <c r="BP2040" s="47"/>
      <c r="BQ2040" s="47"/>
      <c r="BR2040" s="47"/>
      <c r="BS2040" s="47"/>
      <c r="BT2040" s="47"/>
    </row>
    <row r="2041">
      <c r="A2041" s="24"/>
      <c r="B2041" s="48"/>
      <c r="C2041" s="49"/>
      <c r="D2041" s="24"/>
      <c r="E2041" s="52"/>
      <c r="F2041" s="53"/>
      <c r="G2041" s="48"/>
      <c r="H2041" s="49"/>
      <c r="I2041" s="49"/>
      <c r="J2041" s="48"/>
      <c r="K2041" s="48"/>
      <c r="L2041" s="48"/>
      <c r="M2041" s="48"/>
      <c r="N2041" s="48"/>
      <c r="O2041" s="48"/>
      <c r="P2041" s="48"/>
      <c r="Q2041" s="48"/>
      <c r="R2041" s="48"/>
      <c r="S2041" s="48"/>
      <c r="T2041" s="48"/>
      <c r="U2041" s="48"/>
      <c r="V2041" s="48"/>
      <c r="W2041" s="49"/>
      <c r="X2041" s="49"/>
      <c r="Y2041" s="49"/>
      <c r="Z2041" s="49"/>
      <c r="AA2041" s="49"/>
      <c r="AB2041" s="49"/>
      <c r="AC2041" s="49"/>
      <c r="AD2041" s="49"/>
      <c r="AE2041" s="49"/>
      <c r="AF2041" s="49"/>
      <c r="AG2041" s="49"/>
      <c r="AH2041" s="49"/>
      <c r="AI2041" s="48"/>
      <c r="AJ2041" s="48"/>
      <c r="AK2041" s="24"/>
      <c r="AL2041" s="50"/>
      <c r="AM2041" s="50"/>
      <c r="AN2041" s="50"/>
      <c r="AO2041" s="50"/>
      <c r="AP2041" s="50"/>
      <c r="AQ2041" s="50"/>
      <c r="AR2041" s="50"/>
      <c r="AS2041" s="50"/>
      <c r="AT2041" s="51"/>
      <c r="AU2041" s="51"/>
      <c r="AV2041" s="51"/>
      <c r="AW2041" s="51"/>
      <c r="AX2041" s="50"/>
      <c r="AY2041" s="50"/>
      <c r="AZ2041" s="50"/>
      <c r="BA2041" s="50"/>
      <c r="BB2041" s="51"/>
      <c r="BC2041" s="51"/>
      <c r="BD2041" s="51"/>
      <c r="BE2041" s="51"/>
      <c r="BF2041" s="47"/>
      <c r="BG2041" s="47"/>
      <c r="BH2041" s="47"/>
      <c r="BI2041" s="47"/>
      <c r="BJ2041" s="47"/>
      <c r="BK2041" s="47"/>
      <c r="BL2041" s="47"/>
      <c r="BM2041" s="47"/>
      <c r="BN2041" s="47"/>
      <c r="BO2041" s="47"/>
      <c r="BP2041" s="47"/>
      <c r="BQ2041" s="47"/>
      <c r="BR2041" s="47"/>
      <c r="BS2041" s="47"/>
      <c r="BT2041" s="47"/>
    </row>
    <row r="2042">
      <c r="A2042" s="24"/>
      <c r="B2042" s="48"/>
      <c r="C2042" s="49"/>
      <c r="D2042" s="24"/>
      <c r="E2042" s="52"/>
      <c r="F2042" s="53"/>
      <c r="G2042" s="48"/>
      <c r="H2042" s="49"/>
      <c r="I2042" s="49"/>
      <c r="J2042" s="48"/>
      <c r="K2042" s="48"/>
      <c r="L2042" s="48"/>
      <c r="M2042" s="48"/>
      <c r="N2042" s="48"/>
      <c r="O2042" s="48"/>
      <c r="P2042" s="48"/>
      <c r="Q2042" s="48"/>
      <c r="R2042" s="48"/>
      <c r="S2042" s="48"/>
      <c r="T2042" s="48"/>
      <c r="U2042" s="48"/>
      <c r="V2042" s="48"/>
      <c r="W2042" s="49"/>
      <c r="X2042" s="49"/>
      <c r="Y2042" s="49"/>
      <c r="Z2042" s="49"/>
      <c r="AA2042" s="49"/>
      <c r="AB2042" s="49"/>
      <c r="AC2042" s="49"/>
      <c r="AD2042" s="49"/>
      <c r="AE2042" s="49"/>
      <c r="AF2042" s="49"/>
      <c r="AG2042" s="49"/>
      <c r="AH2042" s="49"/>
      <c r="AI2042" s="48"/>
      <c r="AJ2042" s="48"/>
      <c r="AK2042" s="24"/>
      <c r="AL2042" s="50"/>
      <c r="AM2042" s="50"/>
      <c r="AN2042" s="50"/>
      <c r="AO2042" s="50"/>
      <c r="AP2042" s="50"/>
      <c r="AQ2042" s="50"/>
      <c r="AR2042" s="50"/>
      <c r="AS2042" s="50"/>
      <c r="AT2042" s="51"/>
      <c r="AU2042" s="51"/>
      <c r="AV2042" s="51"/>
      <c r="AW2042" s="51"/>
      <c r="AX2042" s="50"/>
      <c r="AY2042" s="50"/>
      <c r="AZ2042" s="50"/>
      <c r="BA2042" s="50"/>
      <c r="BB2042" s="51"/>
      <c r="BC2042" s="51"/>
      <c r="BD2042" s="51"/>
      <c r="BE2042" s="51"/>
      <c r="BF2042" s="47"/>
      <c r="BG2042" s="47"/>
      <c r="BH2042" s="47"/>
      <c r="BI2042" s="47"/>
      <c r="BJ2042" s="47"/>
      <c r="BK2042" s="47"/>
      <c r="BL2042" s="47"/>
      <c r="BM2042" s="47"/>
      <c r="BN2042" s="47"/>
      <c r="BO2042" s="47"/>
      <c r="BP2042" s="47"/>
      <c r="BQ2042" s="47"/>
      <c r="BR2042" s="47"/>
      <c r="BS2042" s="47"/>
      <c r="BT2042" s="47"/>
    </row>
    <row r="2043">
      <c r="A2043" s="24"/>
      <c r="B2043" s="48"/>
      <c r="C2043" s="49"/>
      <c r="D2043" s="24"/>
      <c r="E2043" s="52"/>
      <c r="F2043" s="53"/>
      <c r="G2043" s="48"/>
      <c r="H2043" s="49"/>
      <c r="I2043" s="49"/>
      <c r="J2043" s="48"/>
      <c r="K2043" s="48"/>
      <c r="L2043" s="48"/>
      <c r="M2043" s="48"/>
      <c r="N2043" s="48"/>
      <c r="O2043" s="48"/>
      <c r="P2043" s="48"/>
      <c r="Q2043" s="48"/>
      <c r="R2043" s="48"/>
      <c r="S2043" s="48"/>
      <c r="T2043" s="48"/>
      <c r="U2043" s="48"/>
      <c r="V2043" s="48"/>
      <c r="W2043" s="49"/>
      <c r="X2043" s="49"/>
      <c r="Y2043" s="49"/>
      <c r="Z2043" s="49"/>
      <c r="AA2043" s="49"/>
      <c r="AB2043" s="49"/>
      <c r="AC2043" s="49"/>
      <c r="AD2043" s="49"/>
      <c r="AE2043" s="49"/>
      <c r="AF2043" s="49"/>
      <c r="AG2043" s="49"/>
      <c r="AH2043" s="49"/>
      <c r="AI2043" s="48"/>
      <c r="AJ2043" s="48"/>
      <c r="AK2043" s="24"/>
      <c r="AL2043" s="50"/>
      <c r="AM2043" s="50"/>
      <c r="AN2043" s="50"/>
      <c r="AO2043" s="50"/>
      <c r="AP2043" s="50"/>
      <c r="AQ2043" s="50"/>
      <c r="AR2043" s="50"/>
      <c r="AS2043" s="50"/>
      <c r="AT2043" s="51"/>
      <c r="AU2043" s="51"/>
      <c r="AV2043" s="51"/>
      <c r="AW2043" s="51"/>
      <c r="AX2043" s="50"/>
      <c r="AY2043" s="50"/>
      <c r="AZ2043" s="50"/>
      <c r="BA2043" s="50"/>
      <c r="BB2043" s="51"/>
      <c r="BC2043" s="51"/>
      <c r="BD2043" s="51"/>
      <c r="BE2043" s="51"/>
      <c r="BF2043" s="47"/>
      <c r="BG2043" s="47"/>
      <c r="BH2043" s="47"/>
      <c r="BI2043" s="47"/>
      <c r="BJ2043" s="47"/>
      <c r="BK2043" s="47"/>
      <c r="BL2043" s="47"/>
      <c r="BM2043" s="47"/>
      <c r="BN2043" s="47"/>
      <c r="BO2043" s="47"/>
      <c r="BP2043" s="47"/>
      <c r="BQ2043" s="47"/>
      <c r="BR2043" s="47"/>
      <c r="BS2043" s="47"/>
      <c r="BT2043" s="47"/>
    </row>
    <row r="2044">
      <c r="A2044" s="24"/>
      <c r="B2044" s="48"/>
      <c r="C2044" s="49"/>
      <c r="D2044" s="24"/>
      <c r="E2044" s="52"/>
      <c r="F2044" s="53"/>
      <c r="G2044" s="48"/>
      <c r="H2044" s="49"/>
      <c r="I2044" s="49"/>
      <c r="J2044" s="48"/>
      <c r="K2044" s="48"/>
      <c r="L2044" s="48"/>
      <c r="M2044" s="48"/>
      <c r="N2044" s="48"/>
      <c r="O2044" s="48"/>
      <c r="P2044" s="48"/>
      <c r="Q2044" s="48"/>
      <c r="R2044" s="48"/>
      <c r="S2044" s="48"/>
      <c r="T2044" s="48"/>
      <c r="U2044" s="48"/>
      <c r="V2044" s="48"/>
      <c r="W2044" s="49"/>
      <c r="X2044" s="49"/>
      <c r="Y2044" s="49"/>
      <c r="Z2044" s="49"/>
      <c r="AA2044" s="49"/>
      <c r="AB2044" s="49"/>
      <c r="AC2044" s="49"/>
      <c r="AD2044" s="49"/>
      <c r="AE2044" s="49"/>
      <c r="AF2044" s="49"/>
      <c r="AG2044" s="49"/>
      <c r="AH2044" s="49"/>
      <c r="AI2044" s="48"/>
      <c r="AJ2044" s="48"/>
      <c r="AK2044" s="24"/>
      <c r="AL2044" s="50"/>
      <c r="AM2044" s="50"/>
      <c r="AN2044" s="50"/>
      <c r="AO2044" s="50"/>
      <c r="AP2044" s="50"/>
      <c r="AQ2044" s="50"/>
      <c r="AR2044" s="50"/>
      <c r="AS2044" s="50"/>
      <c r="AT2044" s="51"/>
      <c r="AU2044" s="51"/>
      <c r="AV2044" s="51"/>
      <c r="AW2044" s="51"/>
      <c r="AX2044" s="50"/>
      <c r="AY2044" s="50"/>
      <c r="AZ2044" s="50"/>
      <c r="BA2044" s="50"/>
      <c r="BB2044" s="51"/>
      <c r="BC2044" s="51"/>
      <c r="BD2044" s="51"/>
      <c r="BE2044" s="51"/>
      <c r="BF2044" s="47"/>
      <c r="BG2044" s="47"/>
      <c r="BH2044" s="47"/>
      <c r="BI2044" s="47"/>
      <c r="BJ2044" s="47"/>
      <c r="BK2044" s="47"/>
      <c r="BL2044" s="47"/>
      <c r="BM2044" s="47"/>
      <c r="BN2044" s="47"/>
      <c r="BO2044" s="47"/>
      <c r="BP2044" s="47"/>
      <c r="BQ2044" s="47"/>
      <c r="BR2044" s="47"/>
      <c r="BS2044" s="47"/>
      <c r="BT2044" s="47"/>
    </row>
    <row r="2045">
      <c r="A2045" s="24"/>
      <c r="B2045" s="48"/>
      <c r="C2045" s="49"/>
      <c r="D2045" s="24"/>
      <c r="E2045" s="52"/>
      <c r="F2045" s="53"/>
      <c r="G2045" s="48"/>
      <c r="H2045" s="49"/>
      <c r="I2045" s="49"/>
      <c r="J2045" s="48"/>
      <c r="K2045" s="48"/>
      <c r="L2045" s="48"/>
      <c r="M2045" s="48"/>
      <c r="N2045" s="48"/>
      <c r="O2045" s="48"/>
      <c r="P2045" s="48"/>
      <c r="Q2045" s="48"/>
      <c r="R2045" s="48"/>
      <c r="S2045" s="48"/>
      <c r="T2045" s="48"/>
      <c r="U2045" s="48"/>
      <c r="V2045" s="48"/>
      <c r="W2045" s="49"/>
      <c r="X2045" s="49"/>
      <c r="Y2045" s="49"/>
      <c r="Z2045" s="49"/>
      <c r="AA2045" s="49"/>
      <c r="AB2045" s="49"/>
      <c r="AC2045" s="49"/>
      <c r="AD2045" s="49"/>
      <c r="AE2045" s="49"/>
      <c r="AF2045" s="49"/>
      <c r="AG2045" s="49"/>
      <c r="AH2045" s="49"/>
      <c r="AI2045" s="48"/>
      <c r="AJ2045" s="48"/>
      <c r="AK2045" s="24"/>
      <c r="AL2045" s="50"/>
      <c r="AM2045" s="50"/>
      <c r="AN2045" s="50"/>
      <c r="AO2045" s="50"/>
      <c r="AP2045" s="50"/>
      <c r="AQ2045" s="50"/>
      <c r="AR2045" s="50"/>
      <c r="AS2045" s="50"/>
      <c r="AT2045" s="51"/>
      <c r="AU2045" s="51"/>
      <c r="AV2045" s="51"/>
      <c r="AW2045" s="51"/>
      <c r="AX2045" s="50"/>
      <c r="AY2045" s="50"/>
      <c r="AZ2045" s="50"/>
      <c r="BA2045" s="50"/>
      <c r="BB2045" s="51"/>
      <c r="BC2045" s="51"/>
      <c r="BD2045" s="51"/>
      <c r="BE2045" s="51"/>
      <c r="BF2045" s="47"/>
      <c r="BG2045" s="47"/>
      <c r="BH2045" s="47"/>
      <c r="BI2045" s="47"/>
      <c r="BJ2045" s="47"/>
      <c r="BK2045" s="47"/>
      <c r="BL2045" s="47"/>
      <c r="BM2045" s="47"/>
      <c r="BN2045" s="47"/>
      <c r="BO2045" s="47"/>
      <c r="BP2045" s="47"/>
      <c r="BQ2045" s="47"/>
      <c r="BR2045" s="47"/>
      <c r="BS2045" s="47"/>
      <c r="BT2045" s="47"/>
    </row>
    <row r="2046">
      <c r="A2046" s="24"/>
      <c r="B2046" s="48"/>
      <c r="C2046" s="49"/>
      <c r="D2046" s="24"/>
      <c r="E2046" s="52"/>
      <c r="F2046" s="53"/>
      <c r="G2046" s="48"/>
      <c r="H2046" s="49"/>
      <c r="I2046" s="49"/>
      <c r="J2046" s="48"/>
      <c r="K2046" s="48"/>
      <c r="L2046" s="48"/>
      <c r="M2046" s="48"/>
      <c r="N2046" s="48"/>
      <c r="O2046" s="48"/>
      <c r="P2046" s="48"/>
      <c r="Q2046" s="48"/>
      <c r="R2046" s="48"/>
      <c r="S2046" s="48"/>
      <c r="T2046" s="48"/>
      <c r="U2046" s="48"/>
      <c r="V2046" s="48"/>
      <c r="W2046" s="49"/>
      <c r="X2046" s="49"/>
      <c r="Y2046" s="49"/>
      <c r="Z2046" s="49"/>
      <c r="AA2046" s="49"/>
      <c r="AB2046" s="49"/>
      <c r="AC2046" s="49"/>
      <c r="AD2046" s="49"/>
      <c r="AE2046" s="49"/>
      <c r="AF2046" s="49"/>
      <c r="AG2046" s="49"/>
      <c r="AH2046" s="49"/>
      <c r="AI2046" s="48"/>
      <c r="AJ2046" s="48"/>
      <c r="AK2046" s="24"/>
      <c r="AL2046" s="50"/>
      <c r="AM2046" s="50"/>
      <c r="AN2046" s="50"/>
      <c r="AO2046" s="50"/>
      <c r="AP2046" s="50"/>
      <c r="AQ2046" s="50"/>
      <c r="AR2046" s="50"/>
      <c r="AS2046" s="50"/>
      <c r="AT2046" s="51"/>
      <c r="AU2046" s="51"/>
      <c r="AV2046" s="51"/>
      <c r="AW2046" s="51"/>
      <c r="AX2046" s="50"/>
      <c r="AY2046" s="50"/>
      <c r="AZ2046" s="50"/>
      <c r="BA2046" s="50"/>
      <c r="BB2046" s="51"/>
      <c r="BC2046" s="51"/>
      <c r="BD2046" s="51"/>
      <c r="BE2046" s="51"/>
      <c r="BF2046" s="47"/>
      <c r="BG2046" s="47"/>
      <c r="BH2046" s="47"/>
      <c r="BI2046" s="47"/>
      <c r="BJ2046" s="47"/>
      <c r="BK2046" s="47"/>
      <c r="BL2046" s="47"/>
      <c r="BM2046" s="47"/>
      <c r="BN2046" s="47"/>
      <c r="BO2046" s="47"/>
      <c r="BP2046" s="47"/>
      <c r="BQ2046" s="47"/>
      <c r="BR2046" s="47"/>
      <c r="BS2046" s="47"/>
      <c r="BT2046" s="47"/>
    </row>
    <row r="2047">
      <c r="A2047" s="24"/>
      <c r="B2047" s="48"/>
      <c r="C2047" s="49"/>
      <c r="D2047" s="24"/>
      <c r="E2047" s="52"/>
      <c r="F2047" s="53"/>
      <c r="G2047" s="48"/>
      <c r="H2047" s="49"/>
      <c r="I2047" s="49"/>
      <c r="J2047" s="48"/>
      <c r="K2047" s="48"/>
      <c r="L2047" s="48"/>
      <c r="M2047" s="48"/>
      <c r="N2047" s="48"/>
      <c r="O2047" s="48"/>
      <c r="P2047" s="48"/>
      <c r="Q2047" s="48"/>
      <c r="R2047" s="48"/>
      <c r="S2047" s="48"/>
      <c r="T2047" s="48"/>
      <c r="U2047" s="48"/>
      <c r="V2047" s="48"/>
      <c r="W2047" s="49"/>
      <c r="X2047" s="49"/>
      <c r="Y2047" s="49"/>
      <c r="Z2047" s="49"/>
      <c r="AA2047" s="49"/>
      <c r="AB2047" s="49"/>
      <c r="AC2047" s="49"/>
      <c r="AD2047" s="49"/>
      <c r="AE2047" s="49"/>
      <c r="AF2047" s="49"/>
      <c r="AG2047" s="49"/>
      <c r="AH2047" s="49"/>
      <c r="AI2047" s="48"/>
      <c r="AJ2047" s="48"/>
      <c r="AK2047" s="24"/>
      <c r="AL2047" s="50"/>
      <c r="AM2047" s="50"/>
      <c r="AN2047" s="50"/>
      <c r="AO2047" s="50"/>
      <c r="AP2047" s="50"/>
      <c r="AQ2047" s="50"/>
      <c r="AR2047" s="50"/>
      <c r="AS2047" s="50"/>
      <c r="AT2047" s="51"/>
      <c r="AU2047" s="51"/>
      <c r="AV2047" s="51"/>
      <c r="AW2047" s="51"/>
      <c r="AX2047" s="50"/>
      <c r="AY2047" s="50"/>
      <c r="AZ2047" s="50"/>
      <c r="BA2047" s="50"/>
      <c r="BB2047" s="51"/>
      <c r="BC2047" s="51"/>
      <c r="BD2047" s="51"/>
      <c r="BE2047" s="51"/>
      <c r="BF2047" s="47"/>
      <c r="BG2047" s="47"/>
      <c r="BH2047" s="47"/>
      <c r="BI2047" s="47"/>
      <c r="BJ2047" s="47"/>
      <c r="BK2047" s="47"/>
      <c r="BL2047" s="47"/>
      <c r="BM2047" s="47"/>
      <c r="BN2047" s="47"/>
      <c r="BO2047" s="47"/>
      <c r="BP2047" s="47"/>
      <c r="BQ2047" s="47"/>
      <c r="BR2047" s="47"/>
      <c r="BS2047" s="47"/>
      <c r="BT2047" s="47"/>
    </row>
    <row r="2048">
      <c r="A2048" s="24"/>
      <c r="B2048" s="48"/>
      <c r="C2048" s="49"/>
      <c r="D2048" s="24"/>
      <c r="E2048" s="52"/>
      <c r="F2048" s="53"/>
      <c r="G2048" s="48"/>
      <c r="H2048" s="49"/>
      <c r="I2048" s="49"/>
      <c r="J2048" s="48"/>
      <c r="K2048" s="48"/>
      <c r="L2048" s="48"/>
      <c r="M2048" s="48"/>
      <c r="N2048" s="48"/>
      <c r="O2048" s="48"/>
      <c r="P2048" s="48"/>
      <c r="Q2048" s="48"/>
      <c r="R2048" s="48"/>
      <c r="S2048" s="48"/>
      <c r="T2048" s="48"/>
      <c r="U2048" s="48"/>
      <c r="V2048" s="48"/>
      <c r="W2048" s="49"/>
      <c r="X2048" s="49"/>
      <c r="Y2048" s="49"/>
      <c r="Z2048" s="49"/>
      <c r="AA2048" s="49"/>
      <c r="AB2048" s="49"/>
      <c r="AC2048" s="49"/>
      <c r="AD2048" s="49"/>
      <c r="AE2048" s="49"/>
      <c r="AF2048" s="49"/>
      <c r="AG2048" s="49"/>
      <c r="AH2048" s="49"/>
      <c r="AI2048" s="48"/>
      <c r="AJ2048" s="48"/>
      <c r="AK2048" s="24"/>
      <c r="AL2048" s="50"/>
      <c r="AM2048" s="50"/>
      <c r="AN2048" s="50"/>
      <c r="AO2048" s="50"/>
      <c r="AP2048" s="50"/>
      <c r="AQ2048" s="50"/>
      <c r="AR2048" s="50"/>
      <c r="AS2048" s="50"/>
      <c r="AT2048" s="51"/>
      <c r="AU2048" s="51"/>
      <c r="AV2048" s="51"/>
      <c r="AW2048" s="51"/>
      <c r="AX2048" s="50"/>
      <c r="AY2048" s="50"/>
      <c r="AZ2048" s="50"/>
      <c r="BA2048" s="50"/>
      <c r="BB2048" s="51"/>
      <c r="BC2048" s="51"/>
      <c r="BD2048" s="51"/>
      <c r="BE2048" s="51"/>
      <c r="BF2048" s="47"/>
      <c r="BG2048" s="47"/>
      <c r="BH2048" s="47"/>
      <c r="BI2048" s="47"/>
      <c r="BJ2048" s="47"/>
      <c r="BK2048" s="47"/>
      <c r="BL2048" s="47"/>
      <c r="BM2048" s="47"/>
      <c r="BN2048" s="47"/>
      <c r="BO2048" s="47"/>
      <c r="BP2048" s="47"/>
      <c r="BQ2048" s="47"/>
      <c r="BR2048" s="47"/>
      <c r="BS2048" s="47"/>
      <c r="BT2048" s="47"/>
    </row>
    <row r="2049">
      <c r="A2049" s="24"/>
      <c r="B2049" s="48"/>
      <c r="C2049" s="49"/>
      <c r="D2049" s="24"/>
      <c r="E2049" s="52"/>
      <c r="F2049" s="53"/>
      <c r="G2049" s="48"/>
      <c r="H2049" s="49"/>
      <c r="I2049" s="49"/>
      <c r="J2049" s="48"/>
      <c r="K2049" s="48"/>
      <c r="L2049" s="48"/>
      <c r="M2049" s="48"/>
      <c r="N2049" s="48"/>
      <c r="O2049" s="48"/>
      <c r="P2049" s="48"/>
      <c r="Q2049" s="48"/>
      <c r="R2049" s="48"/>
      <c r="S2049" s="48"/>
      <c r="T2049" s="48"/>
      <c r="U2049" s="48"/>
      <c r="V2049" s="48"/>
      <c r="W2049" s="49"/>
      <c r="X2049" s="49"/>
      <c r="Y2049" s="49"/>
      <c r="Z2049" s="49"/>
      <c r="AA2049" s="49"/>
      <c r="AB2049" s="49"/>
      <c r="AC2049" s="49"/>
      <c r="AD2049" s="49"/>
      <c r="AE2049" s="49"/>
      <c r="AF2049" s="49"/>
      <c r="AG2049" s="49"/>
      <c r="AH2049" s="49"/>
      <c r="AI2049" s="48"/>
      <c r="AJ2049" s="48"/>
      <c r="AK2049" s="24"/>
      <c r="AL2049" s="50"/>
      <c r="AM2049" s="50"/>
      <c r="AN2049" s="50"/>
      <c r="AO2049" s="50"/>
      <c r="AP2049" s="50"/>
      <c r="AQ2049" s="50"/>
      <c r="AR2049" s="50"/>
      <c r="AS2049" s="50"/>
      <c r="AT2049" s="51"/>
      <c r="AU2049" s="51"/>
      <c r="AV2049" s="51"/>
      <c r="AW2049" s="51"/>
      <c r="AX2049" s="50"/>
      <c r="AY2049" s="50"/>
      <c r="AZ2049" s="50"/>
      <c r="BA2049" s="50"/>
      <c r="BB2049" s="51"/>
      <c r="BC2049" s="51"/>
      <c r="BD2049" s="51"/>
      <c r="BE2049" s="51"/>
      <c r="BF2049" s="47"/>
      <c r="BG2049" s="47"/>
      <c r="BH2049" s="47"/>
      <c r="BI2049" s="47"/>
      <c r="BJ2049" s="47"/>
      <c r="BK2049" s="47"/>
      <c r="BL2049" s="47"/>
      <c r="BM2049" s="47"/>
      <c r="BN2049" s="47"/>
      <c r="BO2049" s="47"/>
      <c r="BP2049" s="47"/>
      <c r="BQ2049" s="47"/>
      <c r="BR2049" s="47"/>
      <c r="BS2049" s="47"/>
      <c r="BT2049" s="47"/>
    </row>
    <row r="2050">
      <c r="A2050" s="24"/>
      <c r="B2050" s="48"/>
      <c r="C2050" s="49"/>
      <c r="D2050" s="24"/>
      <c r="E2050" s="52"/>
      <c r="F2050" s="53"/>
      <c r="G2050" s="48"/>
      <c r="H2050" s="49"/>
      <c r="I2050" s="49"/>
      <c r="J2050" s="48"/>
      <c r="K2050" s="48"/>
      <c r="L2050" s="48"/>
      <c r="M2050" s="48"/>
      <c r="N2050" s="48"/>
      <c r="O2050" s="48"/>
      <c r="P2050" s="48"/>
      <c r="Q2050" s="48"/>
      <c r="R2050" s="48"/>
      <c r="S2050" s="48"/>
      <c r="T2050" s="48"/>
      <c r="U2050" s="48"/>
      <c r="V2050" s="48"/>
      <c r="W2050" s="49"/>
      <c r="X2050" s="49"/>
      <c r="Y2050" s="49"/>
      <c r="Z2050" s="49"/>
      <c r="AA2050" s="49"/>
      <c r="AB2050" s="49"/>
      <c r="AC2050" s="49"/>
      <c r="AD2050" s="49"/>
      <c r="AE2050" s="49"/>
      <c r="AF2050" s="49"/>
      <c r="AG2050" s="49"/>
      <c r="AH2050" s="49"/>
      <c r="AI2050" s="48"/>
      <c r="AJ2050" s="48"/>
      <c r="AK2050" s="24"/>
      <c r="AL2050" s="50"/>
      <c r="AM2050" s="50"/>
      <c r="AN2050" s="50"/>
      <c r="AO2050" s="50"/>
      <c r="AP2050" s="50"/>
      <c r="AQ2050" s="50"/>
      <c r="AR2050" s="50"/>
      <c r="AS2050" s="50"/>
      <c r="AT2050" s="51"/>
      <c r="AU2050" s="51"/>
      <c r="AV2050" s="51"/>
      <c r="AW2050" s="51"/>
      <c r="AX2050" s="50"/>
      <c r="AY2050" s="50"/>
      <c r="AZ2050" s="50"/>
      <c r="BA2050" s="50"/>
      <c r="BB2050" s="51"/>
      <c r="BC2050" s="51"/>
      <c r="BD2050" s="51"/>
      <c r="BE2050" s="51"/>
      <c r="BF2050" s="47"/>
      <c r="BG2050" s="47"/>
      <c r="BH2050" s="47"/>
      <c r="BI2050" s="47"/>
      <c r="BJ2050" s="47"/>
      <c r="BK2050" s="47"/>
      <c r="BL2050" s="47"/>
      <c r="BM2050" s="47"/>
      <c r="BN2050" s="47"/>
      <c r="BO2050" s="47"/>
      <c r="BP2050" s="47"/>
      <c r="BQ2050" s="47"/>
      <c r="BR2050" s="47"/>
      <c r="BS2050" s="47"/>
      <c r="BT2050" s="47"/>
    </row>
    <row r="2051">
      <c r="A2051" s="24"/>
      <c r="B2051" s="48"/>
      <c r="C2051" s="49"/>
      <c r="D2051" s="24"/>
      <c r="E2051" s="52"/>
      <c r="F2051" s="53"/>
      <c r="G2051" s="48"/>
      <c r="H2051" s="49"/>
      <c r="I2051" s="49"/>
      <c r="J2051" s="48"/>
      <c r="K2051" s="48"/>
      <c r="L2051" s="48"/>
      <c r="M2051" s="48"/>
      <c r="N2051" s="48"/>
      <c r="O2051" s="48"/>
      <c r="P2051" s="48"/>
      <c r="Q2051" s="48"/>
      <c r="R2051" s="48"/>
      <c r="S2051" s="48"/>
      <c r="T2051" s="48"/>
      <c r="U2051" s="48"/>
      <c r="V2051" s="48"/>
      <c r="W2051" s="49"/>
      <c r="X2051" s="49"/>
      <c r="Y2051" s="49"/>
      <c r="Z2051" s="49"/>
      <c r="AA2051" s="49"/>
      <c r="AB2051" s="49"/>
      <c r="AC2051" s="49"/>
      <c r="AD2051" s="49"/>
      <c r="AE2051" s="49"/>
      <c r="AF2051" s="49"/>
      <c r="AG2051" s="49"/>
      <c r="AH2051" s="49"/>
      <c r="AI2051" s="48"/>
      <c r="AJ2051" s="48"/>
      <c r="AK2051" s="24"/>
      <c r="AL2051" s="50"/>
      <c r="AM2051" s="50"/>
      <c r="AN2051" s="50"/>
      <c r="AO2051" s="50"/>
      <c r="AP2051" s="50"/>
      <c r="AQ2051" s="50"/>
      <c r="AR2051" s="50"/>
      <c r="AS2051" s="50"/>
      <c r="AT2051" s="51"/>
      <c r="AU2051" s="51"/>
      <c r="AV2051" s="51"/>
      <c r="AW2051" s="51"/>
      <c r="AX2051" s="50"/>
      <c r="AY2051" s="50"/>
      <c r="AZ2051" s="50"/>
      <c r="BA2051" s="50"/>
      <c r="BB2051" s="51"/>
      <c r="BC2051" s="51"/>
      <c r="BD2051" s="51"/>
      <c r="BE2051" s="51"/>
      <c r="BF2051" s="47"/>
      <c r="BG2051" s="47"/>
      <c r="BH2051" s="47"/>
      <c r="BI2051" s="47"/>
      <c r="BJ2051" s="47"/>
      <c r="BK2051" s="47"/>
      <c r="BL2051" s="47"/>
      <c r="BM2051" s="47"/>
      <c r="BN2051" s="47"/>
      <c r="BO2051" s="47"/>
      <c r="BP2051" s="47"/>
      <c r="BQ2051" s="47"/>
      <c r="BR2051" s="47"/>
      <c r="BS2051" s="47"/>
      <c r="BT2051" s="47"/>
    </row>
    <row r="2052">
      <c r="A2052" s="24"/>
      <c r="B2052" s="48"/>
      <c r="C2052" s="49"/>
      <c r="D2052" s="24"/>
      <c r="E2052" s="52"/>
      <c r="F2052" s="53"/>
      <c r="G2052" s="48"/>
      <c r="H2052" s="49"/>
      <c r="I2052" s="49"/>
      <c r="J2052" s="48"/>
      <c r="K2052" s="48"/>
      <c r="L2052" s="48"/>
      <c r="M2052" s="48"/>
      <c r="N2052" s="48"/>
      <c r="O2052" s="48"/>
      <c r="P2052" s="48"/>
      <c r="Q2052" s="48"/>
      <c r="R2052" s="48"/>
      <c r="S2052" s="48"/>
      <c r="T2052" s="48"/>
      <c r="U2052" s="48"/>
      <c r="V2052" s="48"/>
      <c r="W2052" s="49"/>
      <c r="X2052" s="49"/>
      <c r="Y2052" s="49"/>
      <c r="Z2052" s="49"/>
      <c r="AA2052" s="49"/>
      <c r="AB2052" s="49"/>
      <c r="AC2052" s="49"/>
      <c r="AD2052" s="49"/>
      <c r="AE2052" s="49"/>
      <c r="AF2052" s="49"/>
      <c r="AG2052" s="49"/>
      <c r="AH2052" s="49"/>
      <c r="AI2052" s="48"/>
      <c r="AJ2052" s="48"/>
      <c r="AK2052" s="24"/>
      <c r="AL2052" s="50"/>
      <c r="AM2052" s="50"/>
      <c r="AN2052" s="50"/>
      <c r="AO2052" s="50"/>
      <c r="AP2052" s="50"/>
      <c r="AQ2052" s="50"/>
      <c r="AR2052" s="50"/>
      <c r="AS2052" s="50"/>
      <c r="AT2052" s="51"/>
      <c r="AU2052" s="51"/>
      <c r="AV2052" s="51"/>
      <c r="AW2052" s="51"/>
      <c r="AX2052" s="50"/>
      <c r="AY2052" s="50"/>
      <c r="AZ2052" s="50"/>
      <c r="BA2052" s="50"/>
      <c r="BB2052" s="51"/>
      <c r="BC2052" s="51"/>
      <c r="BD2052" s="51"/>
      <c r="BE2052" s="51"/>
      <c r="BF2052" s="47"/>
      <c r="BG2052" s="47"/>
      <c r="BH2052" s="47"/>
      <c r="BI2052" s="47"/>
      <c r="BJ2052" s="47"/>
      <c r="BK2052" s="47"/>
      <c r="BL2052" s="47"/>
      <c r="BM2052" s="47"/>
      <c r="BN2052" s="47"/>
      <c r="BO2052" s="47"/>
      <c r="BP2052" s="47"/>
      <c r="BQ2052" s="47"/>
      <c r="BR2052" s="47"/>
      <c r="BS2052" s="47"/>
      <c r="BT2052" s="47"/>
    </row>
    <row r="2053">
      <c r="A2053" s="24"/>
      <c r="B2053" s="48"/>
      <c r="C2053" s="49"/>
      <c r="D2053" s="24"/>
      <c r="E2053" s="52"/>
      <c r="F2053" s="53"/>
      <c r="G2053" s="48"/>
      <c r="H2053" s="49"/>
      <c r="I2053" s="49"/>
      <c r="J2053" s="48"/>
      <c r="K2053" s="48"/>
      <c r="L2053" s="48"/>
      <c r="M2053" s="48"/>
      <c r="N2053" s="48"/>
      <c r="O2053" s="48"/>
      <c r="P2053" s="48"/>
      <c r="Q2053" s="48"/>
      <c r="R2053" s="48"/>
      <c r="S2053" s="48"/>
      <c r="T2053" s="48"/>
      <c r="U2053" s="48"/>
      <c r="V2053" s="48"/>
      <c r="W2053" s="49"/>
      <c r="X2053" s="49"/>
      <c r="Y2053" s="49"/>
      <c r="Z2053" s="49"/>
      <c r="AA2053" s="49"/>
      <c r="AB2053" s="49"/>
      <c r="AC2053" s="49"/>
      <c r="AD2053" s="49"/>
      <c r="AE2053" s="49"/>
      <c r="AF2053" s="49"/>
      <c r="AG2053" s="49"/>
      <c r="AH2053" s="49"/>
      <c r="AI2053" s="48"/>
      <c r="AJ2053" s="48"/>
      <c r="AK2053" s="24"/>
      <c r="AL2053" s="50"/>
      <c r="AM2053" s="50"/>
      <c r="AN2053" s="50"/>
      <c r="AO2053" s="50"/>
      <c r="AP2053" s="50"/>
      <c r="AQ2053" s="50"/>
      <c r="AR2053" s="50"/>
      <c r="AS2053" s="50"/>
      <c r="AT2053" s="51"/>
      <c r="AU2053" s="51"/>
      <c r="AV2053" s="51"/>
      <c r="AW2053" s="51"/>
      <c r="AX2053" s="50"/>
      <c r="AY2053" s="50"/>
      <c r="AZ2053" s="50"/>
      <c r="BA2053" s="50"/>
      <c r="BB2053" s="51"/>
      <c r="BC2053" s="51"/>
      <c r="BD2053" s="51"/>
      <c r="BE2053" s="51"/>
      <c r="BF2053" s="47"/>
      <c r="BG2053" s="47"/>
      <c r="BH2053" s="47"/>
      <c r="BI2053" s="47"/>
      <c r="BJ2053" s="47"/>
      <c r="BK2053" s="47"/>
      <c r="BL2053" s="47"/>
      <c r="BM2053" s="47"/>
      <c r="BN2053" s="47"/>
      <c r="BO2053" s="47"/>
      <c r="BP2053" s="47"/>
      <c r="BQ2053" s="47"/>
      <c r="BR2053" s="47"/>
      <c r="BS2053" s="47"/>
      <c r="BT2053" s="47"/>
    </row>
    <row r="2054">
      <c r="A2054" s="24"/>
      <c r="B2054" s="48"/>
      <c r="C2054" s="49"/>
      <c r="D2054" s="24"/>
      <c r="E2054" s="52"/>
      <c r="F2054" s="53"/>
      <c r="G2054" s="48"/>
      <c r="H2054" s="49"/>
      <c r="I2054" s="49"/>
      <c r="J2054" s="48"/>
      <c r="K2054" s="48"/>
      <c r="L2054" s="48"/>
      <c r="M2054" s="48"/>
      <c r="N2054" s="48"/>
      <c r="O2054" s="48"/>
      <c r="P2054" s="48"/>
      <c r="Q2054" s="48"/>
      <c r="R2054" s="48"/>
      <c r="S2054" s="48"/>
      <c r="T2054" s="48"/>
      <c r="U2054" s="48"/>
      <c r="V2054" s="48"/>
      <c r="W2054" s="49"/>
      <c r="X2054" s="49"/>
      <c r="Y2054" s="49"/>
      <c r="Z2054" s="49"/>
      <c r="AA2054" s="49"/>
      <c r="AB2054" s="49"/>
      <c r="AC2054" s="49"/>
      <c r="AD2054" s="49"/>
      <c r="AE2054" s="49"/>
      <c r="AF2054" s="49"/>
      <c r="AG2054" s="49"/>
      <c r="AH2054" s="49"/>
      <c r="AI2054" s="48"/>
      <c r="AJ2054" s="48"/>
      <c r="AK2054" s="24"/>
      <c r="AL2054" s="50"/>
      <c r="AM2054" s="50"/>
      <c r="AN2054" s="50"/>
      <c r="AO2054" s="50"/>
      <c r="AP2054" s="50"/>
      <c r="AQ2054" s="50"/>
      <c r="AR2054" s="50"/>
      <c r="AS2054" s="50"/>
      <c r="AT2054" s="51"/>
      <c r="AU2054" s="51"/>
      <c r="AV2054" s="51"/>
      <c r="AW2054" s="51"/>
      <c r="AX2054" s="50"/>
      <c r="AY2054" s="50"/>
      <c r="AZ2054" s="50"/>
      <c r="BA2054" s="50"/>
      <c r="BB2054" s="51"/>
      <c r="BC2054" s="51"/>
      <c r="BD2054" s="51"/>
      <c r="BE2054" s="51"/>
      <c r="BF2054" s="47"/>
      <c r="BG2054" s="47"/>
      <c r="BH2054" s="47"/>
      <c r="BI2054" s="47"/>
      <c r="BJ2054" s="47"/>
      <c r="BK2054" s="47"/>
      <c r="BL2054" s="47"/>
      <c r="BM2054" s="47"/>
      <c r="BN2054" s="47"/>
      <c r="BO2054" s="47"/>
      <c r="BP2054" s="47"/>
      <c r="BQ2054" s="47"/>
      <c r="BR2054" s="47"/>
      <c r="BS2054" s="47"/>
      <c r="BT2054" s="47"/>
    </row>
    <row r="2055">
      <c r="A2055" s="24"/>
      <c r="B2055" s="48"/>
      <c r="C2055" s="49"/>
      <c r="D2055" s="24"/>
      <c r="E2055" s="52"/>
      <c r="F2055" s="53"/>
      <c r="G2055" s="48"/>
      <c r="H2055" s="49"/>
      <c r="I2055" s="49"/>
      <c r="J2055" s="48"/>
      <c r="K2055" s="48"/>
      <c r="L2055" s="48"/>
      <c r="M2055" s="48"/>
      <c r="N2055" s="48"/>
      <c r="O2055" s="48"/>
      <c r="P2055" s="48"/>
      <c r="Q2055" s="48"/>
      <c r="R2055" s="48"/>
      <c r="S2055" s="48"/>
      <c r="T2055" s="48"/>
      <c r="U2055" s="48"/>
      <c r="V2055" s="48"/>
      <c r="W2055" s="49"/>
      <c r="X2055" s="49"/>
      <c r="Y2055" s="49"/>
      <c r="Z2055" s="49"/>
      <c r="AA2055" s="49"/>
      <c r="AB2055" s="49"/>
      <c r="AC2055" s="49"/>
      <c r="AD2055" s="49"/>
      <c r="AE2055" s="49"/>
      <c r="AF2055" s="49"/>
      <c r="AG2055" s="49"/>
      <c r="AH2055" s="49"/>
      <c r="AI2055" s="48"/>
      <c r="AJ2055" s="48"/>
      <c r="AK2055" s="24"/>
      <c r="AL2055" s="50"/>
      <c r="AM2055" s="50"/>
      <c r="AN2055" s="50"/>
      <c r="AO2055" s="50"/>
      <c r="AP2055" s="50"/>
      <c r="AQ2055" s="50"/>
      <c r="AR2055" s="50"/>
      <c r="AS2055" s="50"/>
      <c r="AT2055" s="51"/>
      <c r="AU2055" s="51"/>
      <c r="AV2055" s="51"/>
      <c r="AW2055" s="51"/>
      <c r="AX2055" s="50"/>
      <c r="AY2055" s="50"/>
      <c r="AZ2055" s="50"/>
      <c r="BA2055" s="50"/>
      <c r="BB2055" s="51"/>
      <c r="BC2055" s="51"/>
      <c r="BD2055" s="51"/>
      <c r="BE2055" s="51"/>
      <c r="BF2055" s="47"/>
      <c r="BG2055" s="47"/>
      <c r="BH2055" s="47"/>
      <c r="BI2055" s="47"/>
      <c r="BJ2055" s="47"/>
      <c r="BK2055" s="47"/>
      <c r="BL2055" s="47"/>
      <c r="BM2055" s="47"/>
      <c r="BN2055" s="47"/>
      <c r="BO2055" s="47"/>
      <c r="BP2055" s="47"/>
      <c r="BQ2055" s="47"/>
      <c r="BR2055" s="47"/>
      <c r="BS2055" s="47"/>
      <c r="BT2055" s="47"/>
    </row>
    <row r="2056">
      <c r="A2056" s="24"/>
      <c r="B2056" s="48"/>
      <c r="C2056" s="49"/>
      <c r="D2056" s="24"/>
      <c r="E2056" s="52"/>
      <c r="F2056" s="53"/>
      <c r="G2056" s="48"/>
      <c r="H2056" s="49"/>
      <c r="I2056" s="49"/>
      <c r="J2056" s="48"/>
      <c r="K2056" s="48"/>
      <c r="L2056" s="48"/>
      <c r="M2056" s="48"/>
      <c r="N2056" s="48"/>
      <c r="O2056" s="48"/>
      <c r="P2056" s="48"/>
      <c r="Q2056" s="48"/>
      <c r="R2056" s="48"/>
      <c r="S2056" s="48"/>
      <c r="T2056" s="48"/>
      <c r="U2056" s="48"/>
      <c r="V2056" s="48"/>
      <c r="W2056" s="49"/>
      <c r="X2056" s="49"/>
      <c r="Y2056" s="49"/>
      <c r="Z2056" s="49"/>
      <c r="AA2056" s="49"/>
      <c r="AB2056" s="49"/>
      <c r="AC2056" s="49"/>
      <c r="AD2056" s="49"/>
      <c r="AE2056" s="49"/>
      <c r="AF2056" s="49"/>
      <c r="AG2056" s="49"/>
      <c r="AH2056" s="49"/>
      <c r="AI2056" s="48"/>
      <c r="AJ2056" s="48"/>
      <c r="AK2056" s="24"/>
      <c r="AL2056" s="50"/>
      <c r="AM2056" s="50"/>
      <c r="AN2056" s="50"/>
      <c r="AO2056" s="50"/>
      <c r="AP2056" s="50"/>
      <c r="AQ2056" s="50"/>
      <c r="AR2056" s="50"/>
      <c r="AS2056" s="50"/>
      <c r="AT2056" s="51"/>
      <c r="AU2056" s="51"/>
      <c r="AV2056" s="51"/>
      <c r="AW2056" s="51"/>
      <c r="AX2056" s="50"/>
      <c r="AY2056" s="50"/>
      <c r="AZ2056" s="50"/>
      <c r="BA2056" s="50"/>
      <c r="BB2056" s="51"/>
      <c r="BC2056" s="51"/>
      <c r="BD2056" s="51"/>
      <c r="BE2056" s="51"/>
      <c r="BF2056" s="47"/>
      <c r="BG2056" s="47"/>
      <c r="BH2056" s="47"/>
      <c r="BI2056" s="47"/>
      <c r="BJ2056" s="47"/>
      <c r="BK2056" s="47"/>
      <c r="BL2056" s="47"/>
      <c r="BM2056" s="47"/>
      <c r="BN2056" s="47"/>
      <c r="BO2056" s="47"/>
      <c r="BP2056" s="47"/>
      <c r="BQ2056" s="47"/>
      <c r="BR2056" s="47"/>
      <c r="BS2056" s="47"/>
      <c r="BT2056" s="47"/>
    </row>
    <row r="2057">
      <c r="A2057" s="24"/>
      <c r="B2057" s="48"/>
      <c r="C2057" s="49"/>
      <c r="D2057" s="24"/>
      <c r="E2057" s="52"/>
      <c r="F2057" s="53"/>
      <c r="G2057" s="48"/>
      <c r="H2057" s="49"/>
      <c r="I2057" s="49"/>
      <c r="J2057" s="48"/>
      <c r="K2057" s="48"/>
      <c r="L2057" s="48"/>
      <c r="M2057" s="48"/>
      <c r="N2057" s="48"/>
      <c r="O2057" s="48"/>
      <c r="P2057" s="48"/>
      <c r="Q2057" s="48"/>
      <c r="R2057" s="48"/>
      <c r="S2057" s="48"/>
      <c r="T2057" s="48"/>
      <c r="U2057" s="48"/>
      <c r="V2057" s="48"/>
      <c r="W2057" s="49"/>
      <c r="X2057" s="49"/>
      <c r="Y2057" s="49"/>
      <c r="Z2057" s="49"/>
      <c r="AA2057" s="49"/>
      <c r="AB2057" s="49"/>
      <c r="AC2057" s="49"/>
      <c r="AD2057" s="49"/>
      <c r="AE2057" s="49"/>
      <c r="AF2057" s="49"/>
      <c r="AG2057" s="49"/>
      <c r="AH2057" s="49"/>
      <c r="AI2057" s="48"/>
      <c r="AJ2057" s="48"/>
      <c r="AK2057" s="24"/>
      <c r="AL2057" s="50"/>
      <c r="AM2057" s="50"/>
      <c r="AN2057" s="50"/>
      <c r="AO2057" s="50"/>
      <c r="AP2057" s="50"/>
      <c r="AQ2057" s="50"/>
      <c r="AR2057" s="50"/>
      <c r="AS2057" s="50"/>
      <c r="AT2057" s="51"/>
      <c r="AU2057" s="51"/>
      <c r="AV2057" s="51"/>
      <c r="AW2057" s="51"/>
      <c r="AX2057" s="50"/>
      <c r="AY2057" s="50"/>
      <c r="AZ2057" s="50"/>
      <c r="BA2057" s="50"/>
      <c r="BB2057" s="51"/>
      <c r="BC2057" s="51"/>
      <c r="BD2057" s="51"/>
      <c r="BE2057" s="51"/>
      <c r="BF2057" s="47"/>
      <c r="BG2057" s="47"/>
      <c r="BH2057" s="47"/>
      <c r="BI2057" s="47"/>
      <c r="BJ2057" s="47"/>
      <c r="BK2057" s="47"/>
      <c r="BL2057" s="47"/>
      <c r="BM2057" s="47"/>
      <c r="BN2057" s="47"/>
      <c r="BO2057" s="47"/>
      <c r="BP2057" s="47"/>
      <c r="BQ2057" s="47"/>
      <c r="BR2057" s="47"/>
      <c r="BS2057" s="47"/>
      <c r="BT2057" s="47"/>
    </row>
    <row r="2058">
      <c r="A2058" s="24"/>
      <c r="B2058" s="48"/>
      <c r="C2058" s="49"/>
      <c r="D2058" s="24"/>
      <c r="E2058" s="52"/>
      <c r="F2058" s="53"/>
      <c r="G2058" s="48"/>
      <c r="H2058" s="49"/>
      <c r="I2058" s="49"/>
      <c r="J2058" s="48"/>
      <c r="K2058" s="48"/>
      <c r="L2058" s="48"/>
      <c r="M2058" s="48"/>
      <c r="N2058" s="48"/>
      <c r="O2058" s="48"/>
      <c r="P2058" s="48"/>
      <c r="Q2058" s="48"/>
      <c r="R2058" s="48"/>
      <c r="S2058" s="48"/>
      <c r="T2058" s="48"/>
      <c r="U2058" s="48"/>
      <c r="V2058" s="48"/>
      <c r="W2058" s="49"/>
      <c r="X2058" s="49"/>
      <c r="Y2058" s="49"/>
      <c r="Z2058" s="49"/>
      <c r="AA2058" s="49"/>
      <c r="AB2058" s="49"/>
      <c r="AC2058" s="49"/>
      <c r="AD2058" s="49"/>
      <c r="AE2058" s="49"/>
      <c r="AF2058" s="49"/>
      <c r="AG2058" s="49"/>
      <c r="AH2058" s="49"/>
      <c r="AI2058" s="48"/>
      <c r="AJ2058" s="48"/>
      <c r="AK2058" s="24"/>
      <c r="AL2058" s="50"/>
      <c r="AM2058" s="50"/>
      <c r="AN2058" s="50"/>
      <c r="AO2058" s="50"/>
      <c r="AP2058" s="50"/>
      <c r="AQ2058" s="50"/>
      <c r="AR2058" s="50"/>
      <c r="AS2058" s="50"/>
      <c r="AT2058" s="51"/>
      <c r="AU2058" s="51"/>
      <c r="AV2058" s="51"/>
      <c r="AW2058" s="51"/>
      <c r="AX2058" s="50"/>
      <c r="AY2058" s="50"/>
      <c r="AZ2058" s="50"/>
      <c r="BA2058" s="50"/>
      <c r="BB2058" s="51"/>
      <c r="BC2058" s="51"/>
      <c r="BD2058" s="51"/>
      <c r="BE2058" s="51"/>
      <c r="BF2058" s="47"/>
      <c r="BG2058" s="47"/>
      <c r="BH2058" s="47"/>
      <c r="BI2058" s="47"/>
      <c r="BJ2058" s="47"/>
      <c r="BK2058" s="47"/>
      <c r="BL2058" s="47"/>
      <c r="BM2058" s="47"/>
      <c r="BN2058" s="47"/>
      <c r="BO2058" s="47"/>
      <c r="BP2058" s="47"/>
      <c r="BQ2058" s="47"/>
      <c r="BR2058" s="47"/>
      <c r="BS2058" s="47"/>
      <c r="BT2058" s="47"/>
    </row>
    <row r="2059">
      <c r="A2059" s="24"/>
      <c r="B2059" s="48"/>
      <c r="C2059" s="49"/>
      <c r="D2059" s="24"/>
      <c r="E2059" s="52"/>
      <c r="F2059" s="53"/>
      <c r="G2059" s="48"/>
      <c r="H2059" s="49"/>
      <c r="I2059" s="49"/>
      <c r="J2059" s="48"/>
      <c r="K2059" s="48"/>
      <c r="L2059" s="48"/>
      <c r="M2059" s="48"/>
      <c r="N2059" s="48"/>
      <c r="O2059" s="48"/>
      <c r="P2059" s="48"/>
      <c r="Q2059" s="48"/>
      <c r="R2059" s="48"/>
      <c r="S2059" s="48"/>
      <c r="T2059" s="48"/>
      <c r="U2059" s="48"/>
      <c r="V2059" s="48"/>
      <c r="W2059" s="49"/>
      <c r="X2059" s="49"/>
      <c r="Y2059" s="49"/>
      <c r="Z2059" s="49"/>
      <c r="AA2059" s="49"/>
      <c r="AB2059" s="49"/>
      <c r="AC2059" s="49"/>
      <c r="AD2059" s="49"/>
      <c r="AE2059" s="49"/>
      <c r="AF2059" s="49"/>
      <c r="AG2059" s="49"/>
      <c r="AH2059" s="49"/>
      <c r="AI2059" s="48"/>
      <c r="AJ2059" s="48"/>
      <c r="AK2059" s="24"/>
      <c r="AL2059" s="50"/>
      <c r="AM2059" s="50"/>
      <c r="AN2059" s="50"/>
      <c r="AO2059" s="50"/>
      <c r="AP2059" s="50"/>
      <c r="AQ2059" s="50"/>
      <c r="AR2059" s="50"/>
      <c r="AS2059" s="50"/>
      <c r="AT2059" s="51"/>
      <c r="AU2059" s="51"/>
      <c r="AV2059" s="51"/>
      <c r="AW2059" s="51"/>
      <c r="AX2059" s="50"/>
      <c r="AY2059" s="50"/>
      <c r="AZ2059" s="50"/>
      <c r="BA2059" s="50"/>
      <c r="BB2059" s="51"/>
      <c r="BC2059" s="51"/>
      <c r="BD2059" s="51"/>
      <c r="BE2059" s="51"/>
      <c r="BF2059" s="47"/>
      <c r="BG2059" s="47"/>
      <c r="BH2059" s="47"/>
      <c r="BI2059" s="47"/>
      <c r="BJ2059" s="47"/>
      <c r="BK2059" s="47"/>
      <c r="BL2059" s="47"/>
      <c r="BM2059" s="47"/>
      <c r="BN2059" s="47"/>
      <c r="BO2059" s="47"/>
      <c r="BP2059" s="47"/>
      <c r="BQ2059" s="47"/>
      <c r="BR2059" s="47"/>
      <c r="BS2059" s="47"/>
      <c r="BT2059" s="47"/>
    </row>
    <row r="2060">
      <c r="A2060" s="24"/>
      <c r="B2060" s="48"/>
      <c r="C2060" s="49"/>
      <c r="D2060" s="24"/>
      <c r="E2060" s="52"/>
      <c r="F2060" s="53"/>
      <c r="G2060" s="48"/>
      <c r="H2060" s="49"/>
      <c r="I2060" s="49"/>
      <c r="J2060" s="48"/>
      <c r="K2060" s="48"/>
      <c r="L2060" s="48"/>
      <c r="M2060" s="48"/>
      <c r="N2060" s="48"/>
      <c r="O2060" s="48"/>
      <c r="P2060" s="48"/>
      <c r="Q2060" s="48"/>
      <c r="R2060" s="48"/>
      <c r="S2060" s="48"/>
      <c r="T2060" s="48"/>
      <c r="U2060" s="48"/>
      <c r="V2060" s="48"/>
      <c r="W2060" s="49"/>
      <c r="X2060" s="49"/>
      <c r="Y2060" s="49"/>
      <c r="Z2060" s="49"/>
      <c r="AA2060" s="49"/>
      <c r="AB2060" s="49"/>
      <c r="AC2060" s="49"/>
      <c r="AD2060" s="49"/>
      <c r="AE2060" s="49"/>
      <c r="AF2060" s="49"/>
      <c r="AG2060" s="49"/>
      <c r="AH2060" s="49"/>
      <c r="AI2060" s="48"/>
      <c r="AJ2060" s="48"/>
      <c r="AK2060" s="24"/>
      <c r="AL2060" s="50"/>
      <c r="AM2060" s="50"/>
      <c r="AN2060" s="50"/>
      <c r="AO2060" s="50"/>
      <c r="AP2060" s="50"/>
      <c r="AQ2060" s="50"/>
      <c r="AR2060" s="50"/>
      <c r="AS2060" s="50"/>
      <c r="AT2060" s="51"/>
      <c r="AU2060" s="51"/>
      <c r="AV2060" s="51"/>
      <c r="AW2060" s="51"/>
      <c r="AX2060" s="50"/>
      <c r="AY2060" s="50"/>
      <c r="AZ2060" s="50"/>
      <c r="BA2060" s="50"/>
      <c r="BB2060" s="51"/>
      <c r="BC2060" s="51"/>
      <c r="BD2060" s="51"/>
      <c r="BE2060" s="51"/>
      <c r="BF2060" s="47"/>
      <c r="BG2060" s="47"/>
      <c r="BH2060" s="47"/>
      <c r="BI2060" s="47"/>
      <c r="BJ2060" s="47"/>
      <c r="BK2060" s="47"/>
      <c r="BL2060" s="47"/>
      <c r="BM2060" s="47"/>
      <c r="BN2060" s="47"/>
      <c r="BO2060" s="47"/>
      <c r="BP2060" s="47"/>
      <c r="BQ2060" s="47"/>
      <c r="BR2060" s="47"/>
      <c r="BS2060" s="47"/>
      <c r="BT2060" s="47"/>
    </row>
    <row r="2061">
      <c r="A2061" s="24"/>
      <c r="B2061" s="48"/>
      <c r="C2061" s="49"/>
      <c r="D2061" s="24"/>
      <c r="E2061" s="52"/>
      <c r="F2061" s="53"/>
      <c r="G2061" s="48"/>
      <c r="H2061" s="49"/>
      <c r="I2061" s="49"/>
      <c r="J2061" s="48"/>
      <c r="K2061" s="48"/>
      <c r="L2061" s="48"/>
      <c r="M2061" s="48"/>
      <c r="N2061" s="48"/>
      <c r="O2061" s="48"/>
      <c r="P2061" s="48"/>
      <c r="Q2061" s="48"/>
      <c r="R2061" s="48"/>
      <c r="S2061" s="48"/>
      <c r="T2061" s="48"/>
      <c r="U2061" s="48"/>
      <c r="V2061" s="48"/>
      <c r="W2061" s="49"/>
      <c r="X2061" s="49"/>
      <c r="Y2061" s="49"/>
      <c r="Z2061" s="49"/>
      <c r="AA2061" s="49"/>
      <c r="AB2061" s="49"/>
      <c r="AC2061" s="49"/>
      <c r="AD2061" s="49"/>
      <c r="AE2061" s="49"/>
      <c r="AF2061" s="49"/>
      <c r="AG2061" s="49"/>
      <c r="AH2061" s="49"/>
      <c r="AI2061" s="48"/>
      <c r="AJ2061" s="48"/>
      <c r="AK2061" s="24"/>
      <c r="AL2061" s="50"/>
      <c r="AM2061" s="50"/>
      <c r="AN2061" s="50"/>
      <c r="AO2061" s="50"/>
      <c r="AP2061" s="50"/>
      <c r="AQ2061" s="50"/>
      <c r="AR2061" s="50"/>
      <c r="AS2061" s="50"/>
      <c r="AT2061" s="51"/>
      <c r="AU2061" s="51"/>
      <c r="AV2061" s="51"/>
      <c r="AW2061" s="51"/>
      <c r="AX2061" s="50"/>
      <c r="AY2061" s="50"/>
      <c r="AZ2061" s="50"/>
      <c r="BA2061" s="50"/>
      <c r="BB2061" s="51"/>
      <c r="BC2061" s="51"/>
      <c r="BD2061" s="51"/>
      <c r="BE2061" s="51"/>
      <c r="BF2061" s="47"/>
      <c r="BG2061" s="47"/>
      <c r="BH2061" s="47"/>
      <c r="BI2061" s="47"/>
      <c r="BJ2061" s="47"/>
      <c r="BK2061" s="47"/>
      <c r="BL2061" s="47"/>
      <c r="BM2061" s="47"/>
      <c r="BN2061" s="47"/>
      <c r="BO2061" s="47"/>
      <c r="BP2061" s="47"/>
      <c r="BQ2061" s="47"/>
      <c r="BR2061" s="47"/>
      <c r="BS2061" s="47"/>
      <c r="BT2061" s="47"/>
    </row>
    <row r="2062">
      <c r="A2062" s="24"/>
      <c r="B2062" s="48"/>
      <c r="C2062" s="49"/>
      <c r="D2062" s="24"/>
      <c r="E2062" s="52"/>
      <c r="F2062" s="53"/>
      <c r="G2062" s="48"/>
      <c r="H2062" s="49"/>
      <c r="I2062" s="49"/>
      <c r="J2062" s="48"/>
      <c r="K2062" s="48"/>
      <c r="L2062" s="48"/>
      <c r="M2062" s="48"/>
      <c r="N2062" s="48"/>
      <c r="O2062" s="48"/>
      <c r="P2062" s="48"/>
      <c r="Q2062" s="48"/>
      <c r="R2062" s="48"/>
      <c r="S2062" s="48"/>
      <c r="T2062" s="48"/>
      <c r="U2062" s="48"/>
      <c r="V2062" s="48"/>
      <c r="W2062" s="49"/>
      <c r="X2062" s="49"/>
      <c r="Y2062" s="49"/>
      <c r="Z2062" s="49"/>
      <c r="AA2062" s="49"/>
      <c r="AB2062" s="49"/>
      <c r="AC2062" s="49"/>
      <c r="AD2062" s="49"/>
      <c r="AE2062" s="49"/>
      <c r="AF2062" s="49"/>
      <c r="AG2062" s="49"/>
      <c r="AH2062" s="49"/>
      <c r="AI2062" s="48"/>
      <c r="AJ2062" s="48"/>
      <c r="AK2062" s="24"/>
      <c r="AL2062" s="50"/>
      <c r="AM2062" s="50"/>
      <c r="AN2062" s="50"/>
      <c r="AO2062" s="50"/>
      <c r="AP2062" s="50"/>
      <c r="AQ2062" s="50"/>
      <c r="AR2062" s="50"/>
      <c r="AS2062" s="50"/>
      <c r="AT2062" s="51"/>
      <c r="AU2062" s="51"/>
      <c r="AV2062" s="51"/>
      <c r="AW2062" s="51"/>
      <c r="AX2062" s="50"/>
      <c r="AY2062" s="50"/>
      <c r="AZ2062" s="50"/>
      <c r="BA2062" s="50"/>
      <c r="BB2062" s="51"/>
      <c r="BC2062" s="51"/>
      <c r="BD2062" s="51"/>
      <c r="BE2062" s="51"/>
      <c r="BF2062" s="47"/>
      <c r="BG2062" s="47"/>
      <c r="BH2062" s="47"/>
      <c r="BI2062" s="47"/>
      <c r="BJ2062" s="47"/>
      <c r="BK2062" s="47"/>
      <c r="BL2062" s="47"/>
      <c r="BM2062" s="47"/>
      <c r="BN2062" s="47"/>
      <c r="BO2062" s="47"/>
      <c r="BP2062" s="47"/>
      <c r="BQ2062" s="47"/>
      <c r="BR2062" s="47"/>
      <c r="BS2062" s="47"/>
      <c r="BT2062" s="47"/>
    </row>
    <row r="2063">
      <c r="A2063" s="24"/>
      <c r="B2063" s="48"/>
      <c r="C2063" s="49"/>
      <c r="D2063" s="24"/>
      <c r="E2063" s="52"/>
      <c r="F2063" s="53"/>
      <c r="G2063" s="48"/>
      <c r="H2063" s="49"/>
      <c r="I2063" s="49"/>
      <c r="J2063" s="48"/>
      <c r="K2063" s="48"/>
      <c r="L2063" s="48"/>
      <c r="M2063" s="48"/>
      <c r="N2063" s="48"/>
      <c r="O2063" s="48"/>
      <c r="P2063" s="48"/>
      <c r="Q2063" s="48"/>
      <c r="R2063" s="48"/>
      <c r="S2063" s="48"/>
      <c r="T2063" s="48"/>
      <c r="U2063" s="48"/>
      <c r="V2063" s="48"/>
      <c r="W2063" s="49"/>
      <c r="X2063" s="49"/>
      <c r="Y2063" s="49"/>
      <c r="Z2063" s="49"/>
      <c r="AA2063" s="49"/>
      <c r="AB2063" s="49"/>
      <c r="AC2063" s="49"/>
      <c r="AD2063" s="49"/>
      <c r="AE2063" s="49"/>
      <c r="AF2063" s="49"/>
      <c r="AG2063" s="49"/>
      <c r="AH2063" s="49"/>
      <c r="AI2063" s="48"/>
      <c r="AJ2063" s="48"/>
      <c r="AK2063" s="24"/>
      <c r="AL2063" s="50"/>
      <c r="AM2063" s="50"/>
      <c r="AN2063" s="50"/>
      <c r="AO2063" s="50"/>
      <c r="AP2063" s="50"/>
      <c r="AQ2063" s="50"/>
      <c r="AR2063" s="50"/>
      <c r="AS2063" s="50"/>
      <c r="AT2063" s="51"/>
      <c r="AU2063" s="51"/>
      <c r="AV2063" s="51"/>
      <c r="AW2063" s="51"/>
      <c r="AX2063" s="50"/>
      <c r="AY2063" s="50"/>
      <c r="AZ2063" s="50"/>
      <c r="BA2063" s="50"/>
      <c r="BB2063" s="51"/>
      <c r="BC2063" s="51"/>
      <c r="BD2063" s="51"/>
      <c r="BE2063" s="51"/>
      <c r="BF2063" s="47"/>
      <c r="BG2063" s="47"/>
      <c r="BH2063" s="47"/>
      <c r="BI2063" s="47"/>
      <c r="BJ2063" s="47"/>
      <c r="BK2063" s="47"/>
      <c r="BL2063" s="47"/>
      <c r="BM2063" s="47"/>
      <c r="BN2063" s="47"/>
      <c r="BO2063" s="47"/>
      <c r="BP2063" s="47"/>
      <c r="BQ2063" s="47"/>
      <c r="BR2063" s="47"/>
      <c r="BS2063" s="47"/>
      <c r="BT2063" s="47"/>
    </row>
    <row r="2064">
      <c r="A2064" s="24"/>
      <c r="B2064" s="48"/>
      <c r="C2064" s="49"/>
      <c r="D2064" s="24"/>
      <c r="E2064" s="52"/>
      <c r="F2064" s="53"/>
      <c r="G2064" s="48"/>
      <c r="H2064" s="49"/>
      <c r="I2064" s="49"/>
      <c r="J2064" s="48"/>
      <c r="K2064" s="48"/>
      <c r="L2064" s="48"/>
      <c r="M2064" s="48"/>
      <c r="N2064" s="48"/>
      <c r="O2064" s="48"/>
      <c r="P2064" s="48"/>
      <c r="Q2064" s="48"/>
      <c r="R2064" s="48"/>
      <c r="S2064" s="48"/>
      <c r="T2064" s="48"/>
      <c r="U2064" s="48"/>
      <c r="V2064" s="48"/>
      <c r="W2064" s="49"/>
      <c r="X2064" s="49"/>
      <c r="Y2064" s="49"/>
      <c r="Z2064" s="49"/>
      <c r="AA2064" s="49"/>
      <c r="AB2064" s="49"/>
      <c r="AC2064" s="49"/>
      <c r="AD2064" s="49"/>
      <c r="AE2064" s="49"/>
      <c r="AF2064" s="49"/>
      <c r="AG2064" s="49"/>
      <c r="AH2064" s="49"/>
      <c r="AI2064" s="48"/>
      <c r="AJ2064" s="48"/>
      <c r="AK2064" s="24"/>
      <c r="AL2064" s="50"/>
      <c r="AM2064" s="50"/>
      <c r="AN2064" s="50"/>
      <c r="AO2064" s="50"/>
      <c r="AP2064" s="50"/>
      <c r="AQ2064" s="50"/>
      <c r="AR2064" s="50"/>
      <c r="AS2064" s="50"/>
      <c r="AT2064" s="51"/>
      <c r="AU2064" s="51"/>
      <c r="AV2064" s="51"/>
      <c r="AW2064" s="51"/>
      <c r="AX2064" s="50"/>
      <c r="AY2064" s="50"/>
      <c r="AZ2064" s="50"/>
      <c r="BA2064" s="50"/>
      <c r="BB2064" s="51"/>
      <c r="BC2064" s="51"/>
      <c r="BD2064" s="51"/>
      <c r="BE2064" s="51"/>
      <c r="BF2064" s="47"/>
      <c r="BG2064" s="47"/>
      <c r="BH2064" s="47"/>
      <c r="BI2064" s="47"/>
      <c r="BJ2064" s="47"/>
      <c r="BK2064" s="47"/>
      <c r="BL2064" s="47"/>
      <c r="BM2064" s="47"/>
      <c r="BN2064" s="47"/>
      <c r="BO2064" s="47"/>
      <c r="BP2064" s="47"/>
      <c r="BQ2064" s="47"/>
      <c r="BR2064" s="47"/>
      <c r="BS2064" s="47"/>
      <c r="BT2064" s="47"/>
    </row>
    <row r="2065">
      <c r="A2065" s="24"/>
      <c r="B2065" s="48"/>
      <c r="C2065" s="49"/>
      <c r="D2065" s="24"/>
      <c r="E2065" s="52"/>
      <c r="F2065" s="53"/>
      <c r="G2065" s="48"/>
      <c r="H2065" s="49"/>
      <c r="I2065" s="49"/>
      <c r="J2065" s="48"/>
      <c r="K2065" s="48"/>
      <c r="L2065" s="48"/>
      <c r="M2065" s="48"/>
      <c r="N2065" s="48"/>
      <c r="O2065" s="48"/>
      <c r="P2065" s="48"/>
      <c r="Q2065" s="48"/>
      <c r="R2065" s="48"/>
      <c r="S2065" s="48"/>
      <c r="T2065" s="48"/>
      <c r="U2065" s="48"/>
      <c r="V2065" s="48"/>
      <c r="W2065" s="49"/>
      <c r="X2065" s="49"/>
      <c r="Y2065" s="49"/>
      <c r="Z2065" s="49"/>
      <c r="AA2065" s="49"/>
      <c r="AB2065" s="49"/>
      <c r="AC2065" s="49"/>
      <c r="AD2065" s="49"/>
      <c r="AE2065" s="49"/>
      <c r="AF2065" s="49"/>
      <c r="AG2065" s="49"/>
      <c r="AH2065" s="49"/>
      <c r="AI2065" s="48"/>
      <c r="AJ2065" s="48"/>
      <c r="AK2065" s="24"/>
      <c r="AL2065" s="50"/>
      <c r="AM2065" s="50"/>
      <c r="AN2065" s="50"/>
      <c r="AO2065" s="50"/>
      <c r="AP2065" s="50"/>
      <c r="AQ2065" s="50"/>
      <c r="AR2065" s="50"/>
      <c r="AS2065" s="50"/>
      <c r="AT2065" s="51"/>
      <c r="AU2065" s="51"/>
      <c r="AV2065" s="51"/>
      <c r="AW2065" s="51"/>
      <c r="AX2065" s="50"/>
      <c r="AY2065" s="50"/>
      <c r="AZ2065" s="50"/>
      <c r="BA2065" s="50"/>
      <c r="BB2065" s="51"/>
      <c r="BC2065" s="51"/>
      <c r="BD2065" s="51"/>
      <c r="BE2065" s="51"/>
      <c r="BF2065" s="47"/>
      <c r="BG2065" s="47"/>
      <c r="BH2065" s="47"/>
      <c r="BI2065" s="47"/>
      <c r="BJ2065" s="47"/>
      <c r="BK2065" s="47"/>
      <c r="BL2065" s="47"/>
      <c r="BM2065" s="47"/>
      <c r="BN2065" s="47"/>
      <c r="BO2065" s="47"/>
      <c r="BP2065" s="47"/>
      <c r="BQ2065" s="47"/>
      <c r="BR2065" s="47"/>
      <c r="BS2065" s="47"/>
      <c r="BT2065" s="47"/>
    </row>
    <row r="2066">
      <c r="A2066" s="24"/>
      <c r="B2066" s="48"/>
      <c r="C2066" s="49"/>
      <c r="D2066" s="24"/>
      <c r="E2066" s="52"/>
      <c r="F2066" s="53"/>
      <c r="G2066" s="48"/>
      <c r="H2066" s="49"/>
      <c r="I2066" s="49"/>
      <c r="J2066" s="48"/>
      <c r="K2066" s="48"/>
      <c r="L2066" s="48"/>
      <c r="M2066" s="48"/>
      <c r="N2066" s="48"/>
      <c r="O2066" s="48"/>
      <c r="P2066" s="48"/>
      <c r="Q2066" s="48"/>
      <c r="R2066" s="48"/>
      <c r="S2066" s="48"/>
      <c r="T2066" s="48"/>
      <c r="U2066" s="48"/>
      <c r="V2066" s="48"/>
      <c r="W2066" s="49"/>
      <c r="X2066" s="49"/>
      <c r="Y2066" s="49"/>
      <c r="Z2066" s="49"/>
      <c r="AA2066" s="49"/>
      <c r="AB2066" s="49"/>
      <c r="AC2066" s="49"/>
      <c r="AD2066" s="49"/>
      <c r="AE2066" s="49"/>
      <c r="AF2066" s="49"/>
      <c r="AG2066" s="49"/>
      <c r="AH2066" s="49"/>
      <c r="AI2066" s="48"/>
      <c r="AJ2066" s="48"/>
      <c r="AK2066" s="24"/>
      <c r="AL2066" s="50"/>
      <c r="AM2066" s="50"/>
      <c r="AN2066" s="50"/>
      <c r="AO2066" s="50"/>
      <c r="AP2066" s="50"/>
      <c r="AQ2066" s="50"/>
      <c r="AR2066" s="50"/>
      <c r="AS2066" s="50"/>
      <c r="AT2066" s="51"/>
      <c r="AU2066" s="51"/>
      <c r="AV2066" s="51"/>
      <c r="AW2066" s="51"/>
      <c r="AX2066" s="50"/>
      <c r="AY2066" s="50"/>
      <c r="AZ2066" s="50"/>
      <c r="BA2066" s="50"/>
      <c r="BB2066" s="51"/>
      <c r="BC2066" s="51"/>
      <c r="BD2066" s="51"/>
      <c r="BE2066" s="51"/>
      <c r="BF2066" s="47"/>
      <c r="BG2066" s="47"/>
      <c r="BH2066" s="47"/>
      <c r="BI2066" s="47"/>
      <c r="BJ2066" s="47"/>
      <c r="BK2066" s="47"/>
      <c r="BL2066" s="47"/>
      <c r="BM2066" s="47"/>
      <c r="BN2066" s="47"/>
      <c r="BO2066" s="47"/>
      <c r="BP2066" s="47"/>
      <c r="BQ2066" s="47"/>
      <c r="BR2066" s="47"/>
      <c r="BS2066" s="47"/>
      <c r="BT2066" s="47"/>
    </row>
    <row r="2067">
      <c r="A2067" s="24"/>
      <c r="B2067" s="48"/>
      <c r="C2067" s="49"/>
      <c r="D2067" s="24"/>
      <c r="E2067" s="52"/>
      <c r="F2067" s="53"/>
      <c r="G2067" s="48"/>
      <c r="H2067" s="49"/>
      <c r="I2067" s="49"/>
      <c r="J2067" s="48"/>
      <c r="K2067" s="48"/>
      <c r="L2067" s="48"/>
      <c r="M2067" s="48"/>
      <c r="N2067" s="48"/>
      <c r="O2067" s="48"/>
      <c r="P2067" s="48"/>
      <c r="Q2067" s="48"/>
      <c r="R2067" s="48"/>
      <c r="S2067" s="48"/>
      <c r="T2067" s="48"/>
      <c r="U2067" s="48"/>
      <c r="V2067" s="48"/>
      <c r="W2067" s="49"/>
      <c r="X2067" s="49"/>
      <c r="Y2067" s="49"/>
      <c r="Z2067" s="49"/>
      <c r="AA2067" s="49"/>
      <c r="AB2067" s="49"/>
      <c r="AC2067" s="49"/>
      <c r="AD2067" s="49"/>
      <c r="AE2067" s="49"/>
      <c r="AF2067" s="49"/>
      <c r="AG2067" s="49"/>
      <c r="AH2067" s="49"/>
      <c r="AI2067" s="48"/>
      <c r="AJ2067" s="48"/>
      <c r="AK2067" s="24"/>
      <c r="AL2067" s="50"/>
      <c r="AM2067" s="50"/>
      <c r="AN2067" s="50"/>
      <c r="AO2067" s="50"/>
      <c r="AP2067" s="50"/>
      <c r="AQ2067" s="50"/>
      <c r="AR2067" s="50"/>
      <c r="AS2067" s="50"/>
      <c r="AT2067" s="51"/>
      <c r="AU2067" s="51"/>
      <c r="AV2067" s="51"/>
      <c r="AW2067" s="51"/>
      <c r="AX2067" s="50"/>
      <c r="AY2067" s="50"/>
      <c r="AZ2067" s="50"/>
      <c r="BA2067" s="50"/>
      <c r="BB2067" s="51"/>
      <c r="BC2067" s="51"/>
      <c r="BD2067" s="51"/>
      <c r="BE2067" s="51"/>
      <c r="BF2067" s="47"/>
      <c r="BG2067" s="47"/>
      <c r="BH2067" s="47"/>
      <c r="BI2067" s="47"/>
      <c r="BJ2067" s="47"/>
      <c r="BK2067" s="47"/>
      <c r="BL2067" s="47"/>
      <c r="BM2067" s="47"/>
      <c r="BN2067" s="47"/>
      <c r="BO2067" s="47"/>
      <c r="BP2067" s="47"/>
      <c r="BQ2067" s="47"/>
      <c r="BR2067" s="47"/>
      <c r="BS2067" s="47"/>
      <c r="BT2067" s="47"/>
    </row>
    <row r="2068">
      <c r="A2068" s="24"/>
      <c r="B2068" s="48"/>
      <c r="C2068" s="49"/>
      <c r="D2068" s="24"/>
      <c r="E2068" s="52"/>
      <c r="F2068" s="53"/>
      <c r="G2068" s="48"/>
      <c r="H2068" s="49"/>
      <c r="I2068" s="49"/>
      <c r="J2068" s="48"/>
      <c r="K2068" s="48"/>
      <c r="L2068" s="48"/>
      <c r="M2068" s="48"/>
      <c r="N2068" s="48"/>
      <c r="O2068" s="48"/>
      <c r="P2068" s="48"/>
      <c r="Q2068" s="48"/>
      <c r="R2068" s="48"/>
      <c r="S2068" s="48"/>
      <c r="T2068" s="48"/>
      <c r="U2068" s="48"/>
      <c r="V2068" s="48"/>
      <c r="W2068" s="49"/>
      <c r="X2068" s="49"/>
      <c r="Y2068" s="49"/>
      <c r="Z2068" s="49"/>
      <c r="AA2068" s="49"/>
      <c r="AB2068" s="49"/>
      <c r="AC2068" s="49"/>
      <c r="AD2068" s="49"/>
      <c r="AE2068" s="49"/>
      <c r="AF2068" s="49"/>
      <c r="AG2068" s="49"/>
      <c r="AH2068" s="49"/>
      <c r="AI2068" s="48"/>
      <c r="AJ2068" s="48"/>
      <c r="AK2068" s="24"/>
      <c r="AL2068" s="50"/>
      <c r="AM2068" s="50"/>
      <c r="AN2068" s="50"/>
      <c r="AO2068" s="50"/>
      <c r="AP2068" s="50"/>
      <c r="AQ2068" s="50"/>
      <c r="AR2068" s="50"/>
      <c r="AS2068" s="50"/>
      <c r="AT2068" s="51"/>
      <c r="AU2068" s="51"/>
      <c r="AV2068" s="51"/>
      <c r="AW2068" s="51"/>
      <c r="AX2068" s="50"/>
      <c r="AY2068" s="50"/>
      <c r="AZ2068" s="50"/>
      <c r="BA2068" s="50"/>
      <c r="BB2068" s="51"/>
      <c r="BC2068" s="51"/>
      <c r="BD2068" s="51"/>
      <c r="BE2068" s="51"/>
      <c r="BF2068" s="47"/>
      <c r="BG2068" s="47"/>
      <c r="BH2068" s="47"/>
      <c r="BI2068" s="47"/>
      <c r="BJ2068" s="47"/>
      <c r="BK2068" s="47"/>
      <c r="BL2068" s="47"/>
      <c r="BM2068" s="47"/>
      <c r="BN2068" s="47"/>
      <c r="BO2068" s="47"/>
      <c r="BP2068" s="47"/>
      <c r="BQ2068" s="47"/>
      <c r="BR2068" s="47"/>
      <c r="BS2068" s="47"/>
      <c r="BT2068" s="47"/>
    </row>
    <row r="2069">
      <c r="A2069" s="24"/>
      <c r="B2069" s="48"/>
      <c r="C2069" s="49"/>
      <c r="D2069" s="24"/>
      <c r="E2069" s="52"/>
      <c r="F2069" s="53"/>
      <c r="G2069" s="48"/>
      <c r="H2069" s="49"/>
      <c r="I2069" s="49"/>
      <c r="J2069" s="48"/>
      <c r="K2069" s="48"/>
      <c r="L2069" s="48"/>
      <c r="M2069" s="48"/>
      <c r="N2069" s="48"/>
      <c r="O2069" s="48"/>
      <c r="P2069" s="48"/>
      <c r="Q2069" s="48"/>
      <c r="R2069" s="48"/>
      <c r="S2069" s="48"/>
      <c r="T2069" s="48"/>
      <c r="U2069" s="48"/>
      <c r="V2069" s="48"/>
      <c r="W2069" s="49"/>
      <c r="X2069" s="49"/>
      <c r="Y2069" s="49"/>
      <c r="Z2069" s="49"/>
      <c r="AA2069" s="49"/>
      <c r="AB2069" s="49"/>
      <c r="AC2069" s="49"/>
      <c r="AD2069" s="49"/>
      <c r="AE2069" s="49"/>
      <c r="AF2069" s="49"/>
      <c r="AG2069" s="49"/>
      <c r="AH2069" s="49"/>
      <c r="AI2069" s="48"/>
      <c r="AJ2069" s="48"/>
      <c r="AK2069" s="24"/>
      <c r="AL2069" s="50"/>
      <c r="AM2069" s="50"/>
      <c r="AN2069" s="50"/>
      <c r="AO2069" s="50"/>
      <c r="AP2069" s="50"/>
      <c r="AQ2069" s="50"/>
      <c r="AR2069" s="50"/>
      <c r="AS2069" s="50"/>
      <c r="AT2069" s="51"/>
      <c r="AU2069" s="51"/>
      <c r="AV2069" s="51"/>
      <c r="AW2069" s="51"/>
      <c r="AX2069" s="50"/>
      <c r="AY2069" s="50"/>
      <c r="AZ2069" s="50"/>
      <c r="BA2069" s="50"/>
      <c r="BB2069" s="51"/>
      <c r="BC2069" s="51"/>
      <c r="BD2069" s="51"/>
      <c r="BE2069" s="51"/>
      <c r="BF2069" s="47"/>
      <c r="BG2069" s="47"/>
      <c r="BH2069" s="47"/>
      <c r="BI2069" s="47"/>
      <c r="BJ2069" s="47"/>
      <c r="BK2069" s="47"/>
      <c r="BL2069" s="47"/>
      <c r="BM2069" s="47"/>
      <c r="BN2069" s="47"/>
      <c r="BO2069" s="47"/>
      <c r="BP2069" s="47"/>
      <c r="BQ2069" s="47"/>
      <c r="BR2069" s="47"/>
      <c r="BS2069" s="47"/>
      <c r="BT2069" s="47"/>
    </row>
    <row r="2070">
      <c r="A2070" s="24"/>
      <c r="B2070" s="48"/>
      <c r="C2070" s="49"/>
      <c r="D2070" s="24"/>
      <c r="E2070" s="52"/>
      <c r="F2070" s="53"/>
      <c r="G2070" s="48"/>
      <c r="H2070" s="49"/>
      <c r="I2070" s="49"/>
      <c r="J2070" s="48"/>
      <c r="K2070" s="48"/>
      <c r="L2070" s="48"/>
      <c r="M2070" s="48"/>
      <c r="N2070" s="48"/>
      <c r="O2070" s="48"/>
      <c r="P2070" s="48"/>
      <c r="Q2070" s="48"/>
      <c r="R2070" s="48"/>
      <c r="S2070" s="48"/>
      <c r="T2070" s="48"/>
      <c r="U2070" s="48"/>
      <c r="V2070" s="48"/>
      <c r="W2070" s="49"/>
      <c r="X2070" s="49"/>
      <c r="Y2070" s="49"/>
      <c r="Z2070" s="49"/>
      <c r="AA2070" s="49"/>
      <c r="AB2070" s="49"/>
      <c r="AC2070" s="49"/>
      <c r="AD2070" s="49"/>
      <c r="AE2070" s="49"/>
      <c r="AF2070" s="49"/>
      <c r="AG2070" s="49"/>
      <c r="AH2070" s="49"/>
      <c r="AI2070" s="48"/>
      <c r="AJ2070" s="48"/>
      <c r="AK2070" s="24"/>
      <c r="AL2070" s="50"/>
      <c r="AM2070" s="50"/>
      <c r="AN2070" s="50"/>
      <c r="AO2070" s="50"/>
      <c r="AP2070" s="50"/>
      <c r="AQ2070" s="50"/>
      <c r="AR2070" s="50"/>
      <c r="AS2070" s="50"/>
      <c r="AT2070" s="51"/>
      <c r="AU2070" s="51"/>
      <c r="AV2070" s="51"/>
      <c r="AW2070" s="51"/>
      <c r="AX2070" s="50"/>
      <c r="AY2070" s="50"/>
      <c r="AZ2070" s="50"/>
      <c r="BA2070" s="50"/>
      <c r="BB2070" s="51"/>
      <c r="BC2070" s="51"/>
      <c r="BD2070" s="51"/>
      <c r="BE2070" s="51"/>
      <c r="BF2070" s="47"/>
      <c r="BG2070" s="47"/>
      <c r="BH2070" s="47"/>
      <c r="BI2070" s="47"/>
      <c r="BJ2070" s="47"/>
      <c r="BK2070" s="47"/>
      <c r="BL2070" s="47"/>
      <c r="BM2070" s="47"/>
      <c r="BN2070" s="47"/>
      <c r="BO2070" s="47"/>
      <c r="BP2070" s="47"/>
      <c r="BQ2070" s="47"/>
      <c r="BR2070" s="47"/>
      <c r="BS2070" s="47"/>
      <c r="BT2070" s="47"/>
    </row>
    <row r="2071">
      <c r="A2071" s="24"/>
      <c r="B2071" s="48"/>
      <c r="C2071" s="49"/>
      <c r="D2071" s="24"/>
      <c r="E2071" s="52"/>
      <c r="F2071" s="53"/>
      <c r="G2071" s="48"/>
      <c r="H2071" s="49"/>
      <c r="I2071" s="49"/>
      <c r="J2071" s="48"/>
      <c r="K2071" s="48"/>
      <c r="L2071" s="48"/>
      <c r="M2071" s="48"/>
      <c r="N2071" s="48"/>
      <c r="O2071" s="48"/>
      <c r="P2071" s="48"/>
      <c r="Q2071" s="48"/>
      <c r="R2071" s="48"/>
      <c r="S2071" s="48"/>
      <c r="T2071" s="48"/>
      <c r="U2071" s="48"/>
      <c r="V2071" s="48"/>
      <c r="W2071" s="49"/>
      <c r="X2071" s="49"/>
      <c r="Y2071" s="49"/>
      <c r="Z2071" s="49"/>
      <c r="AA2071" s="49"/>
      <c r="AB2071" s="49"/>
      <c r="AC2071" s="49"/>
      <c r="AD2071" s="49"/>
      <c r="AE2071" s="49"/>
      <c r="AF2071" s="49"/>
      <c r="AG2071" s="49"/>
      <c r="AH2071" s="49"/>
      <c r="AI2071" s="48"/>
      <c r="AJ2071" s="48"/>
      <c r="AK2071" s="24"/>
      <c r="AL2071" s="50"/>
      <c r="AM2071" s="50"/>
      <c r="AN2071" s="50"/>
      <c r="AO2071" s="50"/>
      <c r="AP2071" s="50"/>
      <c r="AQ2071" s="50"/>
      <c r="AR2071" s="50"/>
      <c r="AS2071" s="50"/>
      <c r="AT2071" s="51"/>
      <c r="AU2071" s="51"/>
      <c r="AV2071" s="51"/>
      <c r="AW2071" s="51"/>
      <c r="AX2071" s="50"/>
      <c r="AY2071" s="50"/>
      <c r="AZ2071" s="50"/>
      <c r="BA2071" s="50"/>
      <c r="BB2071" s="51"/>
      <c r="BC2071" s="51"/>
      <c r="BD2071" s="51"/>
      <c r="BE2071" s="51"/>
      <c r="BF2071" s="47"/>
      <c r="BG2071" s="47"/>
      <c r="BH2071" s="47"/>
      <c r="BI2071" s="47"/>
      <c r="BJ2071" s="47"/>
      <c r="BK2071" s="47"/>
      <c r="BL2071" s="47"/>
      <c r="BM2071" s="47"/>
      <c r="BN2071" s="47"/>
      <c r="BO2071" s="47"/>
      <c r="BP2071" s="47"/>
      <c r="BQ2071" s="47"/>
      <c r="BR2071" s="47"/>
      <c r="BS2071" s="47"/>
      <c r="BT2071" s="47"/>
    </row>
    <row r="2072">
      <c r="A2072" s="24"/>
      <c r="B2072" s="48"/>
      <c r="C2072" s="49"/>
      <c r="D2072" s="24"/>
      <c r="E2072" s="52"/>
      <c r="F2072" s="53"/>
      <c r="G2072" s="48"/>
      <c r="H2072" s="49"/>
      <c r="I2072" s="49"/>
      <c r="J2072" s="48"/>
      <c r="K2072" s="48"/>
      <c r="L2072" s="48"/>
      <c r="M2072" s="48"/>
      <c r="N2072" s="48"/>
      <c r="O2072" s="48"/>
      <c r="P2072" s="48"/>
      <c r="Q2072" s="48"/>
      <c r="R2072" s="48"/>
      <c r="S2072" s="48"/>
      <c r="T2072" s="48"/>
      <c r="U2072" s="48"/>
      <c r="V2072" s="48"/>
      <c r="W2072" s="49"/>
      <c r="X2072" s="49"/>
      <c r="Y2072" s="49"/>
      <c r="Z2072" s="49"/>
      <c r="AA2072" s="49"/>
      <c r="AB2072" s="49"/>
      <c r="AC2072" s="49"/>
      <c r="AD2072" s="49"/>
      <c r="AE2072" s="49"/>
      <c r="AF2072" s="49"/>
      <c r="AG2072" s="49"/>
      <c r="AH2072" s="49"/>
      <c r="AI2072" s="48"/>
      <c r="AJ2072" s="48"/>
      <c r="AK2072" s="24"/>
      <c r="AL2072" s="50"/>
      <c r="AM2072" s="50"/>
      <c r="AN2072" s="50"/>
      <c r="AO2072" s="50"/>
      <c r="AP2072" s="50"/>
      <c r="AQ2072" s="50"/>
      <c r="AR2072" s="50"/>
      <c r="AS2072" s="50"/>
      <c r="AT2072" s="51"/>
      <c r="AU2072" s="51"/>
      <c r="AV2072" s="51"/>
      <c r="AW2072" s="51"/>
      <c r="AX2072" s="50"/>
      <c r="AY2072" s="50"/>
      <c r="AZ2072" s="50"/>
      <c r="BA2072" s="50"/>
      <c r="BB2072" s="51"/>
      <c r="BC2072" s="51"/>
      <c r="BD2072" s="51"/>
      <c r="BE2072" s="51"/>
      <c r="BF2072" s="47"/>
      <c r="BG2072" s="47"/>
      <c r="BH2072" s="47"/>
      <c r="BI2072" s="47"/>
      <c r="BJ2072" s="47"/>
      <c r="BK2072" s="47"/>
      <c r="BL2072" s="47"/>
      <c r="BM2072" s="47"/>
      <c r="BN2072" s="47"/>
      <c r="BO2072" s="47"/>
      <c r="BP2072" s="47"/>
      <c r="BQ2072" s="47"/>
      <c r="BR2072" s="47"/>
      <c r="BS2072" s="47"/>
      <c r="BT2072" s="47"/>
    </row>
    <row r="2073">
      <c r="A2073" s="24"/>
      <c r="B2073" s="48"/>
      <c r="C2073" s="49"/>
      <c r="D2073" s="24"/>
      <c r="E2073" s="52"/>
      <c r="F2073" s="53"/>
      <c r="G2073" s="48"/>
      <c r="H2073" s="49"/>
      <c r="I2073" s="49"/>
      <c r="J2073" s="48"/>
      <c r="K2073" s="48"/>
      <c r="L2073" s="48"/>
      <c r="M2073" s="48"/>
      <c r="N2073" s="48"/>
      <c r="O2073" s="48"/>
      <c r="P2073" s="48"/>
      <c r="Q2073" s="48"/>
      <c r="R2073" s="48"/>
      <c r="S2073" s="48"/>
      <c r="T2073" s="48"/>
      <c r="U2073" s="48"/>
      <c r="V2073" s="48"/>
      <c r="W2073" s="49"/>
      <c r="X2073" s="49"/>
      <c r="Y2073" s="49"/>
      <c r="Z2073" s="49"/>
      <c r="AA2073" s="49"/>
      <c r="AB2073" s="49"/>
      <c r="AC2073" s="49"/>
      <c r="AD2073" s="49"/>
      <c r="AE2073" s="49"/>
      <c r="AF2073" s="49"/>
      <c r="AG2073" s="49"/>
      <c r="AH2073" s="49"/>
      <c r="AI2073" s="48"/>
      <c r="AJ2073" s="48"/>
      <c r="AK2073" s="24"/>
      <c r="AL2073" s="50"/>
      <c r="AM2073" s="50"/>
      <c r="AN2073" s="50"/>
      <c r="AO2073" s="50"/>
      <c r="AP2073" s="50"/>
      <c r="AQ2073" s="50"/>
      <c r="AR2073" s="50"/>
      <c r="AS2073" s="50"/>
      <c r="AT2073" s="51"/>
      <c r="AU2073" s="51"/>
      <c r="AV2073" s="51"/>
      <c r="AW2073" s="51"/>
      <c r="AX2073" s="50"/>
      <c r="AY2073" s="50"/>
      <c r="AZ2073" s="50"/>
      <c r="BA2073" s="50"/>
      <c r="BB2073" s="51"/>
      <c r="BC2073" s="51"/>
      <c r="BD2073" s="51"/>
      <c r="BE2073" s="51"/>
      <c r="BF2073" s="47"/>
      <c r="BG2073" s="47"/>
      <c r="BH2073" s="47"/>
      <c r="BI2073" s="47"/>
      <c r="BJ2073" s="47"/>
      <c r="BK2073" s="47"/>
      <c r="BL2073" s="47"/>
      <c r="BM2073" s="47"/>
      <c r="BN2073" s="47"/>
      <c r="BO2073" s="47"/>
      <c r="BP2073" s="47"/>
      <c r="BQ2073" s="47"/>
      <c r="BR2073" s="47"/>
      <c r="BS2073" s="47"/>
      <c r="BT2073" s="47"/>
    </row>
    <row r="2074">
      <c r="A2074" s="24"/>
      <c r="B2074" s="48"/>
      <c r="C2074" s="49"/>
      <c r="D2074" s="24"/>
      <c r="E2074" s="52"/>
      <c r="F2074" s="53"/>
      <c r="G2074" s="48"/>
      <c r="H2074" s="49"/>
      <c r="I2074" s="49"/>
      <c r="J2074" s="48"/>
      <c r="K2074" s="48"/>
      <c r="L2074" s="48"/>
      <c r="M2074" s="48"/>
      <c r="N2074" s="48"/>
      <c r="O2074" s="48"/>
      <c r="P2074" s="48"/>
      <c r="Q2074" s="48"/>
      <c r="R2074" s="48"/>
      <c r="S2074" s="48"/>
      <c r="T2074" s="48"/>
      <c r="U2074" s="48"/>
      <c r="V2074" s="48"/>
      <c r="W2074" s="49"/>
      <c r="X2074" s="49"/>
      <c r="Y2074" s="49"/>
      <c r="Z2074" s="49"/>
      <c r="AA2074" s="49"/>
      <c r="AB2074" s="49"/>
      <c r="AC2074" s="49"/>
      <c r="AD2074" s="49"/>
      <c r="AE2074" s="49"/>
      <c r="AF2074" s="49"/>
      <c r="AG2074" s="49"/>
      <c r="AH2074" s="49"/>
      <c r="AI2074" s="48"/>
      <c r="AJ2074" s="48"/>
      <c r="AK2074" s="24"/>
      <c r="AL2074" s="50"/>
      <c r="AM2074" s="50"/>
      <c r="AN2074" s="50"/>
      <c r="AO2074" s="50"/>
      <c r="AP2074" s="50"/>
      <c r="AQ2074" s="50"/>
      <c r="AR2074" s="50"/>
      <c r="AS2074" s="50"/>
      <c r="AT2074" s="51"/>
      <c r="AU2074" s="51"/>
      <c r="AV2074" s="51"/>
      <c r="AW2074" s="51"/>
      <c r="AX2074" s="50"/>
      <c r="AY2074" s="50"/>
      <c r="AZ2074" s="50"/>
      <c r="BA2074" s="50"/>
      <c r="BB2074" s="51"/>
      <c r="BC2074" s="51"/>
      <c r="BD2074" s="51"/>
      <c r="BE2074" s="51"/>
      <c r="BF2074" s="47"/>
      <c r="BG2074" s="47"/>
      <c r="BH2074" s="47"/>
      <c r="BI2074" s="47"/>
      <c r="BJ2074" s="47"/>
      <c r="BK2074" s="47"/>
      <c r="BL2074" s="47"/>
      <c r="BM2074" s="47"/>
      <c r="BN2074" s="47"/>
      <c r="BO2074" s="47"/>
      <c r="BP2074" s="47"/>
      <c r="BQ2074" s="47"/>
      <c r="BR2074" s="47"/>
      <c r="BS2074" s="47"/>
      <c r="BT2074" s="47"/>
    </row>
    <row r="2075">
      <c r="A2075" s="24"/>
      <c r="B2075" s="48"/>
      <c r="C2075" s="49"/>
      <c r="D2075" s="24"/>
      <c r="E2075" s="52"/>
      <c r="F2075" s="53"/>
      <c r="G2075" s="48"/>
      <c r="H2075" s="49"/>
      <c r="I2075" s="49"/>
      <c r="J2075" s="48"/>
      <c r="K2075" s="48"/>
      <c r="L2075" s="48"/>
      <c r="M2075" s="48"/>
      <c r="N2075" s="48"/>
      <c r="O2075" s="48"/>
      <c r="P2075" s="48"/>
      <c r="Q2075" s="48"/>
      <c r="R2075" s="48"/>
      <c r="S2075" s="48"/>
      <c r="T2075" s="48"/>
      <c r="U2075" s="48"/>
      <c r="V2075" s="48"/>
      <c r="W2075" s="49"/>
      <c r="X2075" s="49"/>
      <c r="Y2075" s="49"/>
      <c r="Z2075" s="49"/>
      <c r="AA2075" s="49"/>
      <c r="AB2075" s="49"/>
      <c r="AC2075" s="49"/>
      <c r="AD2075" s="49"/>
      <c r="AE2075" s="49"/>
      <c r="AF2075" s="49"/>
      <c r="AG2075" s="49"/>
      <c r="AH2075" s="49"/>
      <c r="AI2075" s="48"/>
      <c r="AJ2075" s="48"/>
      <c r="AK2075" s="24"/>
      <c r="AL2075" s="50"/>
      <c r="AM2075" s="50"/>
      <c r="AN2075" s="50"/>
      <c r="AO2075" s="50"/>
      <c r="AP2075" s="50"/>
      <c r="AQ2075" s="50"/>
      <c r="AR2075" s="50"/>
      <c r="AS2075" s="50"/>
      <c r="AT2075" s="51"/>
      <c r="AU2075" s="51"/>
      <c r="AV2075" s="51"/>
      <c r="AW2075" s="51"/>
      <c r="AX2075" s="50"/>
      <c r="AY2075" s="50"/>
      <c r="AZ2075" s="50"/>
      <c r="BA2075" s="50"/>
      <c r="BB2075" s="51"/>
      <c r="BC2075" s="51"/>
      <c r="BD2075" s="51"/>
      <c r="BE2075" s="51"/>
      <c r="BF2075" s="47"/>
      <c r="BG2075" s="47"/>
      <c r="BH2075" s="47"/>
      <c r="BI2075" s="47"/>
      <c r="BJ2075" s="47"/>
      <c r="BK2075" s="47"/>
      <c r="BL2075" s="47"/>
      <c r="BM2075" s="47"/>
      <c r="BN2075" s="47"/>
      <c r="BO2075" s="47"/>
      <c r="BP2075" s="47"/>
      <c r="BQ2075" s="47"/>
      <c r="BR2075" s="47"/>
      <c r="BS2075" s="47"/>
      <c r="BT2075" s="47"/>
    </row>
    <row r="2076">
      <c r="A2076" s="24"/>
      <c r="B2076" s="48"/>
      <c r="C2076" s="49"/>
      <c r="D2076" s="24"/>
      <c r="E2076" s="52"/>
      <c r="F2076" s="53"/>
      <c r="G2076" s="48"/>
      <c r="H2076" s="49"/>
      <c r="I2076" s="49"/>
      <c r="J2076" s="48"/>
      <c r="K2076" s="48"/>
      <c r="L2076" s="48"/>
      <c r="M2076" s="48"/>
      <c r="N2076" s="48"/>
      <c r="O2076" s="48"/>
      <c r="P2076" s="48"/>
      <c r="Q2076" s="48"/>
      <c r="R2076" s="48"/>
      <c r="S2076" s="48"/>
      <c r="T2076" s="48"/>
      <c r="U2076" s="48"/>
      <c r="V2076" s="48"/>
      <c r="W2076" s="49"/>
      <c r="X2076" s="49"/>
      <c r="Y2076" s="49"/>
      <c r="Z2076" s="49"/>
      <c r="AA2076" s="49"/>
      <c r="AB2076" s="49"/>
      <c r="AC2076" s="49"/>
      <c r="AD2076" s="49"/>
      <c r="AE2076" s="49"/>
      <c r="AF2076" s="49"/>
      <c r="AG2076" s="49"/>
      <c r="AH2076" s="49"/>
      <c r="AI2076" s="48"/>
      <c r="AJ2076" s="48"/>
      <c r="AK2076" s="24"/>
      <c r="AL2076" s="50"/>
      <c r="AM2076" s="50"/>
      <c r="AN2076" s="50"/>
      <c r="AO2076" s="50"/>
      <c r="AP2076" s="50"/>
      <c r="AQ2076" s="50"/>
      <c r="AR2076" s="50"/>
      <c r="AS2076" s="50"/>
      <c r="AT2076" s="51"/>
      <c r="AU2076" s="51"/>
      <c r="AV2076" s="51"/>
      <c r="AW2076" s="51"/>
      <c r="AX2076" s="50"/>
      <c r="AY2076" s="50"/>
      <c r="AZ2076" s="50"/>
      <c r="BA2076" s="50"/>
      <c r="BB2076" s="51"/>
      <c r="BC2076" s="51"/>
      <c r="BD2076" s="51"/>
      <c r="BE2076" s="51"/>
      <c r="BF2076" s="47"/>
      <c r="BG2076" s="47"/>
      <c r="BH2076" s="47"/>
      <c r="BI2076" s="47"/>
      <c r="BJ2076" s="47"/>
      <c r="BK2076" s="47"/>
      <c r="BL2076" s="47"/>
      <c r="BM2076" s="47"/>
      <c r="BN2076" s="47"/>
      <c r="BO2076" s="47"/>
      <c r="BP2076" s="47"/>
      <c r="BQ2076" s="47"/>
      <c r="BR2076" s="47"/>
      <c r="BS2076" s="47"/>
      <c r="BT2076" s="47"/>
    </row>
    <row r="2077">
      <c r="A2077" s="24"/>
      <c r="B2077" s="48"/>
      <c r="C2077" s="49"/>
      <c r="D2077" s="24"/>
      <c r="E2077" s="52"/>
      <c r="F2077" s="53"/>
      <c r="G2077" s="48"/>
      <c r="H2077" s="49"/>
      <c r="I2077" s="49"/>
      <c r="J2077" s="48"/>
      <c r="K2077" s="48"/>
      <c r="L2077" s="48"/>
      <c r="M2077" s="48"/>
      <c r="N2077" s="48"/>
      <c r="O2077" s="48"/>
      <c r="P2077" s="48"/>
      <c r="Q2077" s="48"/>
      <c r="R2077" s="48"/>
      <c r="S2077" s="48"/>
      <c r="T2077" s="48"/>
      <c r="U2077" s="48"/>
      <c r="V2077" s="48"/>
      <c r="W2077" s="49"/>
      <c r="X2077" s="49"/>
      <c r="Y2077" s="49"/>
      <c r="Z2077" s="49"/>
      <c r="AA2077" s="49"/>
      <c r="AB2077" s="49"/>
      <c r="AC2077" s="49"/>
      <c r="AD2077" s="49"/>
      <c r="AE2077" s="49"/>
      <c r="AF2077" s="49"/>
      <c r="AG2077" s="49"/>
      <c r="AH2077" s="49"/>
      <c r="AI2077" s="48"/>
      <c r="AJ2077" s="48"/>
      <c r="AK2077" s="24"/>
      <c r="AL2077" s="50"/>
      <c r="AM2077" s="50"/>
      <c r="AN2077" s="50"/>
      <c r="AO2077" s="50"/>
      <c r="AP2077" s="50"/>
      <c r="AQ2077" s="50"/>
      <c r="AR2077" s="50"/>
      <c r="AS2077" s="50"/>
      <c r="AT2077" s="51"/>
      <c r="AU2077" s="51"/>
      <c r="AV2077" s="51"/>
      <c r="AW2077" s="51"/>
      <c r="AX2077" s="50"/>
      <c r="AY2077" s="50"/>
      <c r="AZ2077" s="50"/>
      <c r="BA2077" s="50"/>
      <c r="BB2077" s="51"/>
      <c r="BC2077" s="51"/>
      <c r="BD2077" s="51"/>
      <c r="BE2077" s="51"/>
      <c r="BF2077" s="47"/>
      <c r="BG2077" s="47"/>
      <c r="BH2077" s="47"/>
      <c r="BI2077" s="47"/>
      <c r="BJ2077" s="47"/>
      <c r="BK2077" s="47"/>
      <c r="BL2077" s="47"/>
      <c r="BM2077" s="47"/>
      <c r="BN2077" s="47"/>
      <c r="BO2077" s="47"/>
      <c r="BP2077" s="47"/>
      <c r="BQ2077" s="47"/>
      <c r="BR2077" s="47"/>
      <c r="BS2077" s="47"/>
      <c r="BT2077" s="47"/>
    </row>
    <row r="2078">
      <c r="A2078" s="24"/>
      <c r="B2078" s="48"/>
      <c r="C2078" s="49"/>
      <c r="D2078" s="24"/>
      <c r="E2078" s="52"/>
      <c r="F2078" s="53"/>
      <c r="G2078" s="48"/>
      <c r="H2078" s="49"/>
      <c r="I2078" s="49"/>
      <c r="J2078" s="48"/>
      <c r="K2078" s="48"/>
      <c r="L2078" s="48"/>
      <c r="M2078" s="48"/>
      <c r="N2078" s="48"/>
      <c r="O2078" s="48"/>
      <c r="P2078" s="48"/>
      <c r="Q2078" s="48"/>
      <c r="R2078" s="48"/>
      <c r="S2078" s="48"/>
      <c r="T2078" s="48"/>
      <c r="U2078" s="48"/>
      <c r="V2078" s="48"/>
      <c r="W2078" s="49"/>
      <c r="X2078" s="49"/>
      <c r="Y2078" s="49"/>
      <c r="Z2078" s="49"/>
      <c r="AA2078" s="49"/>
      <c r="AB2078" s="49"/>
      <c r="AC2078" s="49"/>
      <c r="AD2078" s="49"/>
      <c r="AE2078" s="49"/>
      <c r="AF2078" s="49"/>
      <c r="AG2078" s="49"/>
      <c r="AH2078" s="49"/>
      <c r="AI2078" s="48"/>
      <c r="AJ2078" s="48"/>
      <c r="AK2078" s="24"/>
      <c r="AL2078" s="50"/>
      <c r="AM2078" s="50"/>
      <c r="AN2078" s="50"/>
      <c r="AO2078" s="50"/>
      <c r="AP2078" s="50"/>
      <c r="AQ2078" s="50"/>
      <c r="AR2078" s="50"/>
      <c r="AS2078" s="50"/>
      <c r="AT2078" s="51"/>
      <c r="AU2078" s="51"/>
      <c r="AV2078" s="51"/>
      <c r="AW2078" s="51"/>
      <c r="AX2078" s="50"/>
      <c r="AY2078" s="50"/>
      <c r="AZ2078" s="50"/>
      <c r="BA2078" s="50"/>
      <c r="BB2078" s="51"/>
      <c r="BC2078" s="51"/>
      <c r="BD2078" s="51"/>
      <c r="BE2078" s="51"/>
      <c r="BF2078" s="47"/>
      <c r="BG2078" s="47"/>
      <c r="BH2078" s="47"/>
      <c r="BI2078" s="47"/>
      <c r="BJ2078" s="47"/>
      <c r="BK2078" s="47"/>
      <c r="BL2078" s="47"/>
      <c r="BM2078" s="47"/>
      <c r="BN2078" s="47"/>
      <c r="BO2078" s="47"/>
      <c r="BP2078" s="47"/>
      <c r="BQ2078" s="47"/>
      <c r="BR2078" s="47"/>
      <c r="BS2078" s="47"/>
      <c r="BT2078" s="47"/>
    </row>
    <row r="2079">
      <c r="A2079" s="24"/>
      <c r="B2079" s="48"/>
      <c r="C2079" s="49"/>
      <c r="D2079" s="24"/>
      <c r="E2079" s="52"/>
      <c r="F2079" s="53"/>
      <c r="G2079" s="48"/>
      <c r="H2079" s="49"/>
      <c r="I2079" s="49"/>
      <c r="J2079" s="48"/>
      <c r="K2079" s="48"/>
      <c r="L2079" s="48"/>
      <c r="M2079" s="48"/>
      <c r="N2079" s="48"/>
      <c r="O2079" s="48"/>
      <c r="P2079" s="48"/>
      <c r="Q2079" s="48"/>
      <c r="R2079" s="48"/>
      <c r="S2079" s="48"/>
      <c r="T2079" s="48"/>
      <c r="U2079" s="48"/>
      <c r="V2079" s="48"/>
      <c r="W2079" s="49"/>
      <c r="X2079" s="49"/>
      <c r="Y2079" s="49"/>
      <c r="Z2079" s="49"/>
      <c r="AA2079" s="49"/>
      <c r="AB2079" s="49"/>
      <c r="AC2079" s="49"/>
      <c r="AD2079" s="49"/>
      <c r="AE2079" s="49"/>
      <c r="AF2079" s="49"/>
      <c r="AG2079" s="49"/>
      <c r="AH2079" s="49"/>
      <c r="AI2079" s="48"/>
      <c r="AJ2079" s="48"/>
      <c r="AK2079" s="24"/>
      <c r="AL2079" s="50"/>
      <c r="AM2079" s="50"/>
      <c r="AN2079" s="50"/>
      <c r="AO2079" s="50"/>
      <c r="AP2079" s="50"/>
      <c r="AQ2079" s="50"/>
      <c r="AR2079" s="50"/>
      <c r="AS2079" s="50"/>
      <c r="AT2079" s="51"/>
      <c r="AU2079" s="51"/>
      <c r="AV2079" s="51"/>
      <c r="AW2079" s="51"/>
      <c r="AX2079" s="50"/>
      <c r="AY2079" s="50"/>
      <c r="AZ2079" s="50"/>
      <c r="BA2079" s="50"/>
      <c r="BB2079" s="51"/>
      <c r="BC2079" s="51"/>
      <c r="BD2079" s="51"/>
      <c r="BE2079" s="51"/>
      <c r="BF2079" s="47"/>
      <c r="BG2079" s="47"/>
      <c r="BH2079" s="47"/>
      <c r="BI2079" s="47"/>
      <c r="BJ2079" s="47"/>
      <c r="BK2079" s="47"/>
      <c r="BL2079" s="47"/>
      <c r="BM2079" s="47"/>
      <c r="BN2079" s="47"/>
      <c r="BO2079" s="47"/>
      <c r="BP2079" s="47"/>
      <c r="BQ2079" s="47"/>
      <c r="BR2079" s="47"/>
      <c r="BS2079" s="47"/>
      <c r="BT2079" s="47"/>
    </row>
    <row r="2080">
      <c r="A2080" s="24"/>
      <c r="B2080" s="48"/>
      <c r="C2080" s="49"/>
      <c r="D2080" s="24"/>
      <c r="E2080" s="52"/>
      <c r="F2080" s="53"/>
      <c r="G2080" s="48"/>
      <c r="H2080" s="49"/>
      <c r="I2080" s="49"/>
      <c r="J2080" s="48"/>
      <c r="K2080" s="48"/>
      <c r="L2080" s="48"/>
      <c r="M2080" s="48"/>
      <c r="N2080" s="48"/>
      <c r="O2080" s="48"/>
      <c r="P2080" s="48"/>
      <c r="Q2080" s="48"/>
      <c r="R2080" s="48"/>
      <c r="S2080" s="48"/>
      <c r="T2080" s="48"/>
      <c r="U2080" s="48"/>
      <c r="V2080" s="48"/>
      <c r="W2080" s="49"/>
      <c r="X2080" s="49"/>
      <c r="Y2080" s="49"/>
      <c r="Z2080" s="49"/>
      <c r="AA2080" s="49"/>
      <c r="AB2080" s="49"/>
      <c r="AC2080" s="49"/>
      <c r="AD2080" s="49"/>
      <c r="AE2080" s="49"/>
      <c r="AF2080" s="49"/>
      <c r="AG2080" s="49"/>
      <c r="AH2080" s="49"/>
      <c r="AI2080" s="48"/>
      <c r="AJ2080" s="48"/>
      <c r="AK2080" s="24"/>
      <c r="AL2080" s="50"/>
      <c r="AM2080" s="50"/>
      <c r="AN2080" s="50"/>
      <c r="AO2080" s="50"/>
      <c r="AP2080" s="50"/>
      <c r="AQ2080" s="50"/>
      <c r="AR2080" s="50"/>
      <c r="AS2080" s="50"/>
      <c r="AT2080" s="51"/>
      <c r="AU2080" s="51"/>
      <c r="AV2080" s="51"/>
      <c r="AW2080" s="51"/>
      <c r="AX2080" s="50"/>
      <c r="AY2080" s="50"/>
      <c r="AZ2080" s="50"/>
      <c r="BA2080" s="50"/>
      <c r="BB2080" s="51"/>
      <c r="BC2080" s="51"/>
      <c r="BD2080" s="51"/>
      <c r="BE2080" s="51"/>
      <c r="BF2080" s="47"/>
      <c r="BG2080" s="47"/>
      <c r="BH2080" s="47"/>
      <c r="BI2080" s="47"/>
      <c r="BJ2080" s="47"/>
      <c r="BK2080" s="47"/>
      <c r="BL2080" s="47"/>
      <c r="BM2080" s="47"/>
      <c r="BN2080" s="47"/>
      <c r="BO2080" s="47"/>
      <c r="BP2080" s="47"/>
      <c r="BQ2080" s="47"/>
      <c r="BR2080" s="47"/>
      <c r="BS2080" s="47"/>
      <c r="BT2080" s="47"/>
    </row>
    <row r="2081">
      <c r="A2081" s="24"/>
      <c r="B2081" s="48"/>
      <c r="C2081" s="49"/>
      <c r="D2081" s="24"/>
      <c r="E2081" s="52"/>
      <c r="F2081" s="53"/>
      <c r="G2081" s="48"/>
      <c r="H2081" s="49"/>
      <c r="I2081" s="49"/>
      <c r="J2081" s="48"/>
      <c r="K2081" s="48"/>
      <c r="L2081" s="48"/>
      <c r="M2081" s="48"/>
      <c r="N2081" s="48"/>
      <c r="O2081" s="48"/>
      <c r="P2081" s="48"/>
      <c r="Q2081" s="48"/>
      <c r="R2081" s="48"/>
      <c r="S2081" s="48"/>
      <c r="T2081" s="48"/>
      <c r="U2081" s="48"/>
      <c r="V2081" s="48"/>
      <c r="W2081" s="49"/>
      <c r="X2081" s="49"/>
      <c r="Y2081" s="49"/>
      <c r="Z2081" s="49"/>
      <c r="AA2081" s="49"/>
      <c r="AB2081" s="49"/>
      <c r="AC2081" s="49"/>
      <c r="AD2081" s="49"/>
      <c r="AE2081" s="49"/>
      <c r="AF2081" s="49"/>
      <c r="AG2081" s="49"/>
      <c r="AH2081" s="49"/>
      <c r="AI2081" s="48"/>
      <c r="AJ2081" s="48"/>
      <c r="AK2081" s="24"/>
      <c r="AL2081" s="50"/>
      <c r="AM2081" s="50"/>
      <c r="AN2081" s="50"/>
      <c r="AO2081" s="50"/>
      <c r="AP2081" s="50"/>
      <c r="AQ2081" s="50"/>
      <c r="AR2081" s="50"/>
      <c r="AS2081" s="50"/>
      <c r="AT2081" s="51"/>
      <c r="AU2081" s="51"/>
      <c r="AV2081" s="51"/>
      <c r="AW2081" s="51"/>
      <c r="AX2081" s="50"/>
      <c r="AY2081" s="50"/>
      <c r="AZ2081" s="50"/>
      <c r="BA2081" s="50"/>
      <c r="BB2081" s="51"/>
      <c r="BC2081" s="51"/>
      <c r="BD2081" s="51"/>
      <c r="BE2081" s="51"/>
      <c r="BF2081" s="47"/>
      <c r="BG2081" s="47"/>
      <c r="BH2081" s="47"/>
      <c r="BI2081" s="47"/>
      <c r="BJ2081" s="47"/>
      <c r="BK2081" s="47"/>
      <c r="BL2081" s="47"/>
      <c r="BM2081" s="47"/>
      <c r="BN2081" s="47"/>
      <c r="BO2081" s="47"/>
      <c r="BP2081" s="47"/>
      <c r="BQ2081" s="47"/>
      <c r="BR2081" s="47"/>
      <c r="BS2081" s="47"/>
      <c r="BT2081" s="47"/>
    </row>
    <row r="2082">
      <c r="A2082" s="24"/>
      <c r="B2082" s="48"/>
      <c r="C2082" s="49"/>
      <c r="D2082" s="24"/>
      <c r="E2082" s="52"/>
      <c r="F2082" s="53"/>
      <c r="G2082" s="48"/>
      <c r="H2082" s="49"/>
      <c r="I2082" s="49"/>
      <c r="J2082" s="48"/>
      <c r="K2082" s="48"/>
      <c r="L2082" s="48"/>
      <c r="M2082" s="48"/>
      <c r="N2082" s="48"/>
      <c r="O2082" s="48"/>
      <c r="P2082" s="48"/>
      <c r="Q2082" s="48"/>
      <c r="R2082" s="48"/>
      <c r="S2082" s="48"/>
      <c r="T2082" s="48"/>
      <c r="U2082" s="48"/>
      <c r="V2082" s="48"/>
      <c r="W2082" s="49"/>
      <c r="X2082" s="49"/>
      <c r="Y2082" s="49"/>
      <c r="Z2082" s="49"/>
      <c r="AA2082" s="49"/>
      <c r="AB2082" s="49"/>
      <c r="AC2082" s="49"/>
      <c r="AD2082" s="49"/>
      <c r="AE2082" s="49"/>
      <c r="AF2082" s="49"/>
      <c r="AG2082" s="49"/>
      <c r="AH2082" s="49"/>
      <c r="AI2082" s="48"/>
      <c r="AJ2082" s="48"/>
      <c r="AK2082" s="24"/>
      <c r="AL2082" s="50"/>
      <c r="AM2082" s="50"/>
      <c r="AN2082" s="50"/>
      <c r="AO2082" s="50"/>
      <c r="AP2082" s="50"/>
      <c r="AQ2082" s="50"/>
      <c r="AR2082" s="50"/>
      <c r="AS2082" s="50"/>
      <c r="AT2082" s="51"/>
      <c r="AU2082" s="51"/>
      <c r="AV2082" s="51"/>
      <c r="AW2082" s="51"/>
      <c r="AX2082" s="50"/>
      <c r="AY2082" s="50"/>
      <c r="AZ2082" s="50"/>
      <c r="BA2082" s="50"/>
      <c r="BB2082" s="51"/>
      <c r="BC2082" s="51"/>
      <c r="BD2082" s="51"/>
      <c r="BE2082" s="51"/>
      <c r="BF2082" s="47"/>
      <c r="BG2082" s="47"/>
      <c r="BH2082" s="47"/>
      <c r="BI2082" s="47"/>
      <c r="BJ2082" s="47"/>
      <c r="BK2082" s="47"/>
      <c r="BL2082" s="47"/>
      <c r="BM2082" s="47"/>
      <c r="BN2082" s="47"/>
      <c r="BO2082" s="47"/>
      <c r="BP2082" s="47"/>
      <c r="BQ2082" s="47"/>
      <c r="BR2082" s="47"/>
      <c r="BS2082" s="47"/>
      <c r="BT2082" s="47"/>
    </row>
    <row r="2083">
      <c r="A2083" s="24"/>
      <c r="B2083" s="48"/>
      <c r="C2083" s="49"/>
      <c r="D2083" s="24"/>
      <c r="E2083" s="52"/>
      <c r="F2083" s="53"/>
      <c r="G2083" s="48"/>
      <c r="H2083" s="49"/>
      <c r="I2083" s="49"/>
      <c r="J2083" s="48"/>
      <c r="K2083" s="48"/>
      <c r="L2083" s="48"/>
      <c r="M2083" s="48"/>
      <c r="N2083" s="48"/>
      <c r="O2083" s="48"/>
      <c r="P2083" s="48"/>
      <c r="Q2083" s="48"/>
      <c r="R2083" s="48"/>
      <c r="S2083" s="48"/>
      <c r="T2083" s="48"/>
      <c r="U2083" s="48"/>
      <c r="V2083" s="48"/>
      <c r="W2083" s="49"/>
      <c r="X2083" s="49"/>
      <c r="Y2083" s="49"/>
      <c r="Z2083" s="49"/>
      <c r="AA2083" s="49"/>
      <c r="AB2083" s="49"/>
      <c r="AC2083" s="49"/>
      <c r="AD2083" s="49"/>
      <c r="AE2083" s="49"/>
      <c r="AF2083" s="49"/>
      <c r="AG2083" s="49"/>
      <c r="AH2083" s="49"/>
      <c r="AI2083" s="48"/>
      <c r="AJ2083" s="48"/>
      <c r="AK2083" s="24"/>
      <c r="AL2083" s="50"/>
      <c r="AM2083" s="50"/>
      <c r="AN2083" s="50"/>
      <c r="AO2083" s="50"/>
      <c r="AP2083" s="50"/>
      <c r="AQ2083" s="50"/>
      <c r="AR2083" s="50"/>
      <c r="AS2083" s="50"/>
      <c r="AT2083" s="51"/>
      <c r="AU2083" s="51"/>
      <c r="AV2083" s="51"/>
      <c r="AW2083" s="51"/>
      <c r="AX2083" s="50"/>
      <c r="AY2083" s="50"/>
      <c r="AZ2083" s="50"/>
      <c r="BA2083" s="50"/>
      <c r="BB2083" s="51"/>
      <c r="BC2083" s="51"/>
      <c r="BD2083" s="51"/>
      <c r="BE2083" s="51"/>
      <c r="BF2083" s="47"/>
      <c r="BG2083" s="47"/>
      <c r="BH2083" s="47"/>
      <c r="BI2083" s="47"/>
      <c r="BJ2083" s="47"/>
      <c r="BK2083" s="47"/>
      <c r="BL2083" s="47"/>
      <c r="BM2083" s="47"/>
      <c r="BN2083" s="47"/>
      <c r="BO2083" s="47"/>
      <c r="BP2083" s="47"/>
      <c r="BQ2083" s="47"/>
      <c r="BR2083" s="47"/>
      <c r="BS2083" s="47"/>
      <c r="BT2083" s="47"/>
    </row>
    <row r="2084">
      <c r="A2084" s="24"/>
      <c r="B2084" s="48"/>
      <c r="C2084" s="49"/>
      <c r="D2084" s="24"/>
      <c r="E2084" s="52"/>
      <c r="F2084" s="53"/>
      <c r="G2084" s="48"/>
      <c r="H2084" s="49"/>
      <c r="I2084" s="49"/>
      <c r="J2084" s="48"/>
      <c r="K2084" s="48"/>
      <c r="L2084" s="48"/>
      <c r="M2084" s="48"/>
      <c r="N2084" s="48"/>
      <c r="O2084" s="48"/>
      <c r="P2084" s="48"/>
      <c r="Q2084" s="48"/>
      <c r="R2084" s="48"/>
      <c r="S2084" s="48"/>
      <c r="T2084" s="48"/>
      <c r="U2084" s="48"/>
      <c r="V2084" s="48"/>
      <c r="W2084" s="49"/>
      <c r="X2084" s="49"/>
      <c r="Y2084" s="49"/>
      <c r="Z2084" s="49"/>
      <c r="AA2084" s="49"/>
      <c r="AB2084" s="49"/>
      <c r="AC2084" s="49"/>
      <c r="AD2084" s="49"/>
      <c r="AE2084" s="49"/>
      <c r="AF2084" s="49"/>
      <c r="AG2084" s="49"/>
      <c r="AH2084" s="49"/>
      <c r="AI2084" s="48"/>
      <c r="AJ2084" s="48"/>
      <c r="AK2084" s="24"/>
      <c r="AL2084" s="50"/>
      <c r="AM2084" s="50"/>
      <c r="AN2084" s="50"/>
      <c r="AO2084" s="50"/>
      <c r="AP2084" s="50"/>
      <c r="AQ2084" s="50"/>
      <c r="AR2084" s="50"/>
      <c r="AS2084" s="50"/>
      <c r="AT2084" s="51"/>
      <c r="AU2084" s="51"/>
      <c r="AV2084" s="51"/>
      <c r="AW2084" s="51"/>
      <c r="AX2084" s="50"/>
      <c r="AY2084" s="50"/>
      <c r="AZ2084" s="50"/>
      <c r="BA2084" s="50"/>
      <c r="BB2084" s="51"/>
      <c r="BC2084" s="51"/>
      <c r="BD2084" s="51"/>
      <c r="BE2084" s="51"/>
      <c r="BF2084" s="47"/>
      <c r="BG2084" s="47"/>
      <c r="BH2084" s="47"/>
      <c r="BI2084" s="47"/>
      <c r="BJ2084" s="47"/>
      <c r="BK2084" s="47"/>
      <c r="BL2084" s="47"/>
      <c r="BM2084" s="47"/>
      <c r="BN2084" s="47"/>
      <c r="BO2084" s="47"/>
      <c r="BP2084" s="47"/>
      <c r="BQ2084" s="47"/>
      <c r="BR2084" s="47"/>
      <c r="BS2084" s="47"/>
      <c r="BT2084" s="47"/>
    </row>
    <row r="2085">
      <c r="A2085" s="24"/>
      <c r="B2085" s="48"/>
      <c r="C2085" s="49"/>
      <c r="D2085" s="24"/>
      <c r="E2085" s="52"/>
      <c r="F2085" s="53"/>
      <c r="G2085" s="48"/>
      <c r="H2085" s="49"/>
      <c r="I2085" s="49"/>
      <c r="J2085" s="48"/>
      <c r="K2085" s="48"/>
      <c r="L2085" s="48"/>
      <c r="M2085" s="48"/>
      <c r="N2085" s="48"/>
      <c r="O2085" s="48"/>
      <c r="P2085" s="48"/>
      <c r="Q2085" s="48"/>
      <c r="R2085" s="48"/>
      <c r="S2085" s="48"/>
      <c r="T2085" s="48"/>
      <c r="U2085" s="48"/>
      <c r="V2085" s="48"/>
      <c r="W2085" s="49"/>
      <c r="X2085" s="49"/>
      <c r="Y2085" s="49"/>
      <c r="Z2085" s="49"/>
      <c r="AA2085" s="49"/>
      <c r="AB2085" s="49"/>
      <c r="AC2085" s="49"/>
      <c r="AD2085" s="49"/>
      <c r="AE2085" s="49"/>
      <c r="AF2085" s="49"/>
      <c r="AG2085" s="49"/>
      <c r="AH2085" s="49"/>
      <c r="AI2085" s="48"/>
      <c r="AJ2085" s="48"/>
      <c r="AK2085" s="24"/>
      <c r="AL2085" s="50"/>
      <c r="AM2085" s="50"/>
      <c r="AN2085" s="50"/>
      <c r="AO2085" s="50"/>
      <c r="AP2085" s="50"/>
      <c r="AQ2085" s="50"/>
      <c r="AR2085" s="50"/>
      <c r="AS2085" s="50"/>
      <c r="AT2085" s="51"/>
      <c r="AU2085" s="51"/>
      <c r="AV2085" s="51"/>
      <c r="AW2085" s="51"/>
      <c r="AX2085" s="50"/>
      <c r="AY2085" s="50"/>
      <c r="AZ2085" s="50"/>
      <c r="BA2085" s="50"/>
      <c r="BB2085" s="51"/>
      <c r="BC2085" s="51"/>
      <c r="BD2085" s="51"/>
      <c r="BE2085" s="51"/>
      <c r="BF2085" s="47"/>
      <c r="BG2085" s="47"/>
      <c r="BH2085" s="47"/>
      <c r="BI2085" s="47"/>
      <c r="BJ2085" s="47"/>
      <c r="BK2085" s="47"/>
      <c r="BL2085" s="47"/>
      <c r="BM2085" s="47"/>
      <c r="BN2085" s="47"/>
      <c r="BO2085" s="47"/>
      <c r="BP2085" s="47"/>
      <c r="BQ2085" s="47"/>
      <c r="BR2085" s="47"/>
      <c r="BS2085" s="47"/>
      <c r="BT2085" s="47"/>
    </row>
    <row r="2086">
      <c r="A2086" s="24"/>
      <c r="B2086" s="48"/>
      <c r="C2086" s="49"/>
      <c r="D2086" s="24"/>
      <c r="E2086" s="52"/>
      <c r="F2086" s="53"/>
      <c r="G2086" s="48"/>
      <c r="H2086" s="49"/>
      <c r="I2086" s="49"/>
      <c r="J2086" s="48"/>
      <c r="K2086" s="48"/>
      <c r="L2086" s="48"/>
      <c r="M2086" s="48"/>
      <c r="N2086" s="48"/>
      <c r="O2086" s="48"/>
      <c r="P2086" s="48"/>
      <c r="Q2086" s="48"/>
      <c r="R2086" s="48"/>
      <c r="S2086" s="48"/>
      <c r="T2086" s="48"/>
      <c r="U2086" s="48"/>
      <c r="V2086" s="48"/>
      <c r="W2086" s="49"/>
      <c r="X2086" s="49"/>
      <c r="Y2086" s="49"/>
      <c r="Z2086" s="49"/>
      <c r="AA2086" s="49"/>
      <c r="AB2086" s="49"/>
      <c r="AC2086" s="49"/>
      <c r="AD2086" s="49"/>
      <c r="AE2086" s="49"/>
      <c r="AF2086" s="49"/>
      <c r="AG2086" s="49"/>
      <c r="AH2086" s="49"/>
      <c r="AI2086" s="48"/>
      <c r="AJ2086" s="48"/>
      <c r="AK2086" s="24"/>
      <c r="AL2086" s="50"/>
      <c r="AM2086" s="50"/>
      <c r="AN2086" s="50"/>
      <c r="AO2086" s="50"/>
      <c r="AP2086" s="50"/>
      <c r="AQ2086" s="50"/>
      <c r="AR2086" s="50"/>
      <c r="AS2086" s="50"/>
      <c r="AT2086" s="51"/>
      <c r="AU2086" s="51"/>
      <c r="AV2086" s="51"/>
      <c r="AW2086" s="51"/>
      <c r="AX2086" s="50"/>
      <c r="AY2086" s="50"/>
      <c r="AZ2086" s="50"/>
      <c r="BA2086" s="50"/>
      <c r="BB2086" s="51"/>
      <c r="BC2086" s="51"/>
      <c r="BD2086" s="51"/>
      <c r="BE2086" s="51"/>
      <c r="BF2086" s="47"/>
      <c r="BG2086" s="47"/>
      <c r="BH2086" s="47"/>
      <c r="BI2086" s="47"/>
      <c r="BJ2086" s="47"/>
      <c r="BK2086" s="47"/>
      <c r="BL2086" s="47"/>
      <c r="BM2086" s="47"/>
      <c r="BN2086" s="47"/>
      <c r="BO2086" s="47"/>
      <c r="BP2086" s="47"/>
      <c r="BQ2086" s="47"/>
      <c r="BR2086" s="47"/>
      <c r="BS2086" s="47"/>
      <c r="BT2086" s="47"/>
    </row>
    <row r="2087">
      <c r="A2087" s="24"/>
      <c r="B2087" s="48"/>
      <c r="C2087" s="49"/>
      <c r="D2087" s="24"/>
      <c r="E2087" s="52"/>
      <c r="F2087" s="53"/>
      <c r="G2087" s="48"/>
      <c r="H2087" s="49"/>
      <c r="I2087" s="49"/>
      <c r="J2087" s="48"/>
      <c r="K2087" s="48"/>
      <c r="L2087" s="48"/>
      <c r="M2087" s="48"/>
      <c r="N2087" s="48"/>
      <c r="O2087" s="48"/>
      <c r="P2087" s="48"/>
      <c r="Q2087" s="48"/>
      <c r="R2087" s="48"/>
      <c r="S2087" s="48"/>
      <c r="T2087" s="48"/>
      <c r="U2087" s="48"/>
      <c r="V2087" s="48"/>
      <c r="W2087" s="49"/>
      <c r="X2087" s="49"/>
      <c r="Y2087" s="49"/>
      <c r="Z2087" s="49"/>
      <c r="AA2087" s="49"/>
      <c r="AB2087" s="49"/>
      <c r="AC2087" s="49"/>
      <c r="AD2087" s="49"/>
      <c r="AE2087" s="49"/>
      <c r="AF2087" s="49"/>
      <c r="AG2087" s="49"/>
      <c r="AH2087" s="49"/>
      <c r="AI2087" s="48"/>
      <c r="AJ2087" s="48"/>
      <c r="AK2087" s="24"/>
      <c r="AL2087" s="50"/>
      <c r="AM2087" s="50"/>
      <c r="AN2087" s="50"/>
      <c r="AO2087" s="50"/>
      <c r="AP2087" s="50"/>
      <c r="AQ2087" s="50"/>
      <c r="AR2087" s="50"/>
      <c r="AS2087" s="50"/>
      <c r="AT2087" s="51"/>
      <c r="AU2087" s="51"/>
      <c r="AV2087" s="51"/>
      <c r="AW2087" s="51"/>
      <c r="AX2087" s="50"/>
      <c r="AY2087" s="50"/>
      <c r="AZ2087" s="50"/>
      <c r="BA2087" s="50"/>
      <c r="BB2087" s="51"/>
      <c r="BC2087" s="51"/>
      <c r="BD2087" s="51"/>
      <c r="BE2087" s="51"/>
      <c r="BF2087" s="47"/>
      <c r="BG2087" s="47"/>
      <c r="BH2087" s="47"/>
      <c r="BI2087" s="47"/>
      <c r="BJ2087" s="47"/>
      <c r="BK2087" s="47"/>
      <c r="BL2087" s="47"/>
      <c r="BM2087" s="47"/>
      <c r="BN2087" s="47"/>
      <c r="BO2087" s="47"/>
      <c r="BP2087" s="47"/>
      <c r="BQ2087" s="47"/>
      <c r="BR2087" s="47"/>
      <c r="BS2087" s="47"/>
      <c r="BT2087" s="47"/>
    </row>
    <row r="2088">
      <c r="A2088" s="24"/>
      <c r="B2088" s="48"/>
      <c r="C2088" s="49"/>
      <c r="D2088" s="24"/>
      <c r="E2088" s="52"/>
      <c r="F2088" s="53"/>
      <c r="G2088" s="48"/>
      <c r="H2088" s="49"/>
      <c r="I2088" s="49"/>
      <c r="J2088" s="48"/>
      <c r="K2088" s="48"/>
      <c r="L2088" s="48"/>
      <c r="M2088" s="48"/>
      <c r="N2088" s="48"/>
      <c r="O2088" s="48"/>
      <c r="P2088" s="48"/>
      <c r="Q2088" s="48"/>
      <c r="R2088" s="48"/>
      <c r="S2088" s="48"/>
      <c r="T2088" s="48"/>
      <c r="U2088" s="48"/>
      <c r="V2088" s="48"/>
      <c r="W2088" s="49"/>
      <c r="X2088" s="49"/>
      <c r="Y2088" s="49"/>
      <c r="Z2088" s="49"/>
      <c r="AA2088" s="49"/>
      <c r="AB2088" s="49"/>
      <c r="AC2088" s="49"/>
      <c r="AD2088" s="49"/>
      <c r="AE2088" s="49"/>
      <c r="AF2088" s="49"/>
      <c r="AG2088" s="49"/>
      <c r="AH2088" s="49"/>
      <c r="AI2088" s="48"/>
      <c r="AJ2088" s="48"/>
      <c r="AK2088" s="24"/>
      <c r="AL2088" s="50"/>
      <c r="AM2088" s="50"/>
      <c r="AN2088" s="50"/>
      <c r="AO2088" s="50"/>
      <c r="AP2088" s="50"/>
      <c r="AQ2088" s="50"/>
      <c r="AR2088" s="50"/>
      <c r="AS2088" s="50"/>
      <c r="AT2088" s="51"/>
      <c r="AU2088" s="51"/>
      <c r="AV2088" s="51"/>
      <c r="AW2088" s="51"/>
      <c r="AX2088" s="50"/>
      <c r="AY2088" s="50"/>
      <c r="AZ2088" s="50"/>
      <c r="BA2088" s="50"/>
      <c r="BB2088" s="51"/>
      <c r="BC2088" s="51"/>
      <c r="BD2088" s="51"/>
      <c r="BE2088" s="51"/>
      <c r="BF2088" s="47"/>
      <c r="BG2088" s="47"/>
      <c r="BH2088" s="47"/>
      <c r="BI2088" s="47"/>
      <c r="BJ2088" s="47"/>
      <c r="BK2088" s="47"/>
      <c r="BL2088" s="47"/>
      <c r="BM2088" s="47"/>
      <c r="BN2088" s="47"/>
      <c r="BO2088" s="47"/>
      <c r="BP2088" s="47"/>
      <c r="BQ2088" s="47"/>
      <c r="BR2088" s="47"/>
      <c r="BS2088" s="47"/>
      <c r="BT2088" s="47"/>
    </row>
    <row r="2089">
      <c r="A2089" s="24"/>
      <c r="B2089" s="48"/>
      <c r="C2089" s="49"/>
      <c r="D2089" s="24"/>
      <c r="E2089" s="52"/>
      <c r="F2089" s="53"/>
      <c r="G2089" s="48"/>
      <c r="H2089" s="49"/>
      <c r="I2089" s="49"/>
      <c r="J2089" s="48"/>
      <c r="K2089" s="48"/>
      <c r="L2089" s="48"/>
      <c r="M2089" s="48"/>
      <c r="N2089" s="48"/>
      <c r="O2089" s="48"/>
      <c r="P2089" s="48"/>
      <c r="Q2089" s="48"/>
      <c r="R2089" s="48"/>
      <c r="S2089" s="48"/>
      <c r="T2089" s="48"/>
      <c r="U2089" s="48"/>
      <c r="V2089" s="48"/>
      <c r="W2089" s="49"/>
      <c r="X2089" s="49"/>
      <c r="Y2089" s="49"/>
      <c r="Z2089" s="49"/>
      <c r="AA2089" s="49"/>
      <c r="AB2089" s="49"/>
      <c r="AC2089" s="49"/>
      <c r="AD2089" s="49"/>
      <c r="AE2089" s="49"/>
      <c r="AF2089" s="49"/>
      <c r="AG2089" s="49"/>
      <c r="AH2089" s="49"/>
      <c r="AI2089" s="48"/>
      <c r="AJ2089" s="48"/>
      <c r="AK2089" s="24"/>
      <c r="AL2089" s="50"/>
      <c r="AM2089" s="50"/>
      <c r="AN2089" s="50"/>
      <c r="AO2089" s="50"/>
      <c r="AP2089" s="50"/>
      <c r="AQ2089" s="50"/>
      <c r="AR2089" s="50"/>
      <c r="AS2089" s="50"/>
      <c r="AT2089" s="51"/>
      <c r="AU2089" s="51"/>
      <c r="AV2089" s="51"/>
      <c r="AW2089" s="51"/>
      <c r="AX2089" s="50"/>
      <c r="AY2089" s="50"/>
      <c r="AZ2089" s="50"/>
      <c r="BA2089" s="50"/>
      <c r="BB2089" s="51"/>
      <c r="BC2089" s="51"/>
      <c r="BD2089" s="51"/>
      <c r="BE2089" s="51"/>
      <c r="BF2089" s="47"/>
      <c r="BG2089" s="47"/>
      <c r="BH2089" s="47"/>
      <c r="BI2089" s="47"/>
      <c r="BJ2089" s="47"/>
      <c r="BK2089" s="47"/>
      <c r="BL2089" s="47"/>
      <c r="BM2089" s="47"/>
      <c r="BN2089" s="47"/>
      <c r="BO2089" s="47"/>
      <c r="BP2089" s="47"/>
      <c r="BQ2089" s="47"/>
      <c r="BR2089" s="47"/>
      <c r="BS2089" s="47"/>
      <c r="BT2089" s="47"/>
    </row>
    <row r="2090">
      <c r="A2090" s="24"/>
      <c r="B2090" s="48"/>
      <c r="C2090" s="49"/>
      <c r="D2090" s="24"/>
      <c r="E2090" s="52"/>
      <c r="F2090" s="53"/>
      <c r="G2090" s="48"/>
      <c r="H2090" s="49"/>
      <c r="I2090" s="49"/>
      <c r="J2090" s="48"/>
      <c r="K2090" s="48"/>
      <c r="L2090" s="48"/>
      <c r="M2090" s="48"/>
      <c r="N2090" s="48"/>
      <c r="O2090" s="48"/>
      <c r="P2090" s="48"/>
      <c r="Q2090" s="48"/>
      <c r="R2090" s="48"/>
      <c r="S2090" s="48"/>
      <c r="T2090" s="48"/>
      <c r="U2090" s="48"/>
      <c r="V2090" s="48"/>
      <c r="W2090" s="49"/>
      <c r="X2090" s="49"/>
      <c r="Y2090" s="49"/>
      <c r="Z2090" s="49"/>
      <c r="AA2090" s="49"/>
      <c r="AB2090" s="49"/>
      <c r="AC2090" s="49"/>
      <c r="AD2090" s="49"/>
      <c r="AE2090" s="49"/>
      <c r="AF2090" s="49"/>
      <c r="AG2090" s="49"/>
      <c r="AH2090" s="49"/>
      <c r="AI2090" s="48"/>
      <c r="AJ2090" s="48"/>
      <c r="AK2090" s="24"/>
      <c r="AL2090" s="50"/>
      <c r="AM2090" s="50"/>
      <c r="AN2090" s="50"/>
      <c r="AO2090" s="50"/>
      <c r="AP2090" s="50"/>
      <c r="AQ2090" s="50"/>
      <c r="AR2090" s="50"/>
      <c r="AS2090" s="50"/>
      <c r="AT2090" s="51"/>
      <c r="AU2090" s="51"/>
      <c r="AV2090" s="51"/>
      <c r="AW2090" s="51"/>
      <c r="AX2090" s="50"/>
      <c r="AY2090" s="50"/>
      <c r="AZ2090" s="50"/>
      <c r="BA2090" s="50"/>
      <c r="BB2090" s="51"/>
      <c r="BC2090" s="51"/>
      <c r="BD2090" s="51"/>
      <c r="BE2090" s="51"/>
      <c r="BF2090" s="47"/>
      <c r="BG2090" s="47"/>
      <c r="BH2090" s="47"/>
      <c r="BI2090" s="47"/>
      <c r="BJ2090" s="47"/>
      <c r="BK2090" s="47"/>
      <c r="BL2090" s="47"/>
      <c r="BM2090" s="47"/>
      <c r="BN2090" s="47"/>
      <c r="BO2090" s="47"/>
      <c r="BP2090" s="47"/>
      <c r="BQ2090" s="47"/>
      <c r="BR2090" s="47"/>
      <c r="BS2090" s="47"/>
      <c r="BT2090" s="47"/>
    </row>
    <row r="2091">
      <c r="A2091" s="24"/>
      <c r="B2091" s="48"/>
      <c r="C2091" s="49"/>
      <c r="D2091" s="24"/>
      <c r="E2091" s="52"/>
      <c r="F2091" s="53"/>
      <c r="G2091" s="48"/>
      <c r="H2091" s="49"/>
      <c r="I2091" s="49"/>
      <c r="J2091" s="48"/>
      <c r="K2091" s="48"/>
      <c r="L2091" s="48"/>
      <c r="M2091" s="48"/>
      <c r="N2091" s="48"/>
      <c r="O2091" s="48"/>
      <c r="P2091" s="48"/>
      <c r="Q2091" s="48"/>
      <c r="R2091" s="48"/>
      <c r="S2091" s="48"/>
      <c r="T2091" s="48"/>
      <c r="U2091" s="48"/>
      <c r="V2091" s="48"/>
      <c r="W2091" s="49"/>
      <c r="X2091" s="49"/>
      <c r="Y2091" s="49"/>
      <c r="Z2091" s="49"/>
      <c r="AA2091" s="49"/>
      <c r="AB2091" s="49"/>
      <c r="AC2091" s="49"/>
      <c r="AD2091" s="49"/>
      <c r="AE2091" s="49"/>
      <c r="AF2091" s="49"/>
      <c r="AG2091" s="49"/>
      <c r="AH2091" s="49"/>
      <c r="AI2091" s="48"/>
      <c r="AJ2091" s="48"/>
      <c r="AK2091" s="24"/>
      <c r="AL2091" s="50"/>
      <c r="AM2091" s="50"/>
      <c r="AN2091" s="50"/>
      <c r="AO2091" s="50"/>
      <c r="AP2091" s="50"/>
      <c r="AQ2091" s="50"/>
      <c r="AR2091" s="50"/>
      <c r="AS2091" s="50"/>
      <c r="AT2091" s="51"/>
      <c r="AU2091" s="51"/>
      <c r="AV2091" s="51"/>
      <c r="AW2091" s="51"/>
      <c r="AX2091" s="50"/>
      <c r="AY2091" s="50"/>
      <c r="AZ2091" s="50"/>
      <c r="BA2091" s="50"/>
      <c r="BB2091" s="51"/>
      <c r="BC2091" s="51"/>
      <c r="BD2091" s="51"/>
      <c r="BE2091" s="51"/>
      <c r="BF2091" s="47"/>
      <c r="BG2091" s="47"/>
      <c r="BH2091" s="47"/>
      <c r="BI2091" s="47"/>
      <c r="BJ2091" s="47"/>
      <c r="BK2091" s="47"/>
      <c r="BL2091" s="47"/>
      <c r="BM2091" s="47"/>
      <c r="BN2091" s="47"/>
      <c r="BO2091" s="47"/>
      <c r="BP2091" s="47"/>
      <c r="BQ2091" s="47"/>
      <c r="BR2091" s="47"/>
      <c r="BS2091" s="47"/>
      <c r="BT2091" s="47"/>
    </row>
    <row r="2092">
      <c r="A2092" s="24"/>
      <c r="B2092" s="48"/>
      <c r="C2092" s="49"/>
      <c r="D2092" s="24"/>
      <c r="E2092" s="52"/>
      <c r="F2092" s="53"/>
      <c r="G2092" s="48"/>
      <c r="H2092" s="49"/>
      <c r="I2092" s="49"/>
      <c r="J2092" s="48"/>
      <c r="K2092" s="48"/>
      <c r="L2092" s="48"/>
      <c r="M2092" s="48"/>
      <c r="N2092" s="48"/>
      <c r="O2092" s="48"/>
      <c r="P2092" s="48"/>
      <c r="Q2092" s="48"/>
      <c r="R2092" s="48"/>
      <c r="S2092" s="48"/>
      <c r="T2092" s="48"/>
      <c r="U2092" s="48"/>
      <c r="V2092" s="48"/>
      <c r="W2092" s="49"/>
      <c r="X2092" s="49"/>
      <c r="Y2092" s="49"/>
      <c r="Z2092" s="49"/>
      <c r="AA2092" s="49"/>
      <c r="AB2092" s="49"/>
      <c r="AC2092" s="49"/>
      <c r="AD2092" s="49"/>
      <c r="AE2092" s="49"/>
      <c r="AF2092" s="49"/>
      <c r="AG2092" s="49"/>
      <c r="AH2092" s="49"/>
      <c r="AI2092" s="48"/>
      <c r="AJ2092" s="48"/>
      <c r="AK2092" s="24"/>
      <c r="AL2092" s="50"/>
      <c r="AM2092" s="50"/>
      <c r="AN2092" s="50"/>
      <c r="AO2092" s="50"/>
      <c r="AP2092" s="50"/>
      <c r="AQ2092" s="50"/>
      <c r="AR2092" s="50"/>
      <c r="AS2092" s="50"/>
      <c r="AT2092" s="51"/>
      <c r="AU2092" s="51"/>
      <c r="AV2092" s="51"/>
      <c r="AW2092" s="51"/>
      <c r="AX2092" s="50"/>
      <c r="AY2092" s="50"/>
      <c r="AZ2092" s="50"/>
      <c r="BA2092" s="50"/>
      <c r="BB2092" s="51"/>
      <c r="BC2092" s="51"/>
      <c r="BD2092" s="51"/>
      <c r="BE2092" s="51"/>
      <c r="BF2092" s="47"/>
      <c r="BG2092" s="47"/>
      <c r="BH2092" s="47"/>
      <c r="BI2092" s="47"/>
      <c r="BJ2092" s="47"/>
      <c r="BK2092" s="47"/>
      <c r="BL2092" s="47"/>
      <c r="BM2092" s="47"/>
      <c r="BN2092" s="47"/>
      <c r="BO2092" s="47"/>
      <c r="BP2092" s="47"/>
      <c r="BQ2092" s="47"/>
      <c r="BR2092" s="47"/>
      <c r="BS2092" s="47"/>
      <c r="BT2092" s="47"/>
    </row>
    <row r="2093">
      <c r="A2093" s="24"/>
      <c r="B2093" s="48"/>
      <c r="C2093" s="49"/>
      <c r="D2093" s="24"/>
      <c r="E2093" s="52"/>
      <c r="F2093" s="53"/>
      <c r="G2093" s="48"/>
      <c r="H2093" s="49"/>
      <c r="I2093" s="49"/>
      <c r="J2093" s="48"/>
      <c r="K2093" s="48"/>
      <c r="L2093" s="48"/>
      <c r="M2093" s="48"/>
      <c r="N2093" s="48"/>
      <c r="O2093" s="48"/>
      <c r="P2093" s="48"/>
      <c r="Q2093" s="48"/>
      <c r="R2093" s="48"/>
      <c r="S2093" s="48"/>
      <c r="T2093" s="48"/>
      <c r="U2093" s="48"/>
      <c r="V2093" s="48"/>
      <c r="W2093" s="49"/>
      <c r="X2093" s="49"/>
      <c r="Y2093" s="49"/>
      <c r="Z2093" s="49"/>
      <c r="AA2093" s="49"/>
      <c r="AB2093" s="49"/>
      <c r="AC2093" s="49"/>
      <c r="AD2093" s="49"/>
      <c r="AE2093" s="49"/>
      <c r="AF2093" s="49"/>
      <c r="AG2093" s="49"/>
      <c r="AH2093" s="49"/>
      <c r="AI2093" s="48"/>
      <c r="AJ2093" s="48"/>
      <c r="AK2093" s="24"/>
      <c r="AL2093" s="50"/>
      <c r="AM2093" s="50"/>
      <c r="AN2093" s="50"/>
      <c r="AO2093" s="50"/>
      <c r="AP2093" s="50"/>
      <c r="AQ2093" s="50"/>
      <c r="AR2093" s="50"/>
      <c r="AS2093" s="50"/>
      <c r="AT2093" s="51"/>
      <c r="AU2093" s="51"/>
      <c r="AV2093" s="51"/>
      <c r="AW2093" s="51"/>
      <c r="AX2093" s="50"/>
      <c r="AY2093" s="50"/>
      <c r="AZ2093" s="50"/>
      <c r="BA2093" s="50"/>
      <c r="BB2093" s="51"/>
      <c r="BC2093" s="51"/>
      <c r="BD2093" s="51"/>
      <c r="BE2093" s="51"/>
      <c r="BF2093" s="47"/>
      <c r="BG2093" s="47"/>
      <c r="BH2093" s="47"/>
      <c r="BI2093" s="47"/>
      <c r="BJ2093" s="47"/>
      <c r="BK2093" s="47"/>
      <c r="BL2093" s="47"/>
      <c r="BM2093" s="47"/>
      <c r="BN2093" s="47"/>
      <c r="BO2093" s="47"/>
      <c r="BP2093" s="47"/>
      <c r="BQ2093" s="47"/>
      <c r="BR2093" s="47"/>
      <c r="BS2093" s="47"/>
      <c r="BT2093" s="47"/>
    </row>
    <row r="2094">
      <c r="A2094" s="24"/>
      <c r="B2094" s="48"/>
      <c r="C2094" s="49"/>
      <c r="D2094" s="24"/>
      <c r="E2094" s="52"/>
      <c r="F2094" s="53"/>
      <c r="G2094" s="48"/>
      <c r="H2094" s="49"/>
      <c r="I2094" s="49"/>
      <c r="J2094" s="48"/>
      <c r="K2094" s="48"/>
      <c r="L2094" s="48"/>
      <c r="M2094" s="48"/>
      <c r="N2094" s="48"/>
      <c r="O2094" s="48"/>
      <c r="P2094" s="48"/>
      <c r="Q2094" s="48"/>
      <c r="R2094" s="48"/>
      <c r="S2094" s="48"/>
      <c r="T2094" s="48"/>
      <c r="U2094" s="48"/>
      <c r="V2094" s="48"/>
      <c r="W2094" s="49"/>
      <c r="X2094" s="49"/>
      <c r="Y2094" s="49"/>
      <c r="Z2094" s="49"/>
      <c r="AA2094" s="49"/>
      <c r="AB2094" s="49"/>
      <c r="AC2094" s="49"/>
      <c r="AD2094" s="49"/>
      <c r="AE2094" s="49"/>
      <c r="AF2094" s="49"/>
      <c r="AG2094" s="49"/>
      <c r="AH2094" s="49"/>
      <c r="AI2094" s="48"/>
      <c r="AJ2094" s="48"/>
      <c r="AK2094" s="24"/>
      <c r="AL2094" s="50"/>
      <c r="AM2094" s="50"/>
      <c r="AN2094" s="50"/>
      <c r="AO2094" s="50"/>
      <c r="AP2094" s="50"/>
      <c r="AQ2094" s="50"/>
      <c r="AR2094" s="50"/>
      <c r="AS2094" s="50"/>
      <c r="AT2094" s="51"/>
      <c r="AU2094" s="51"/>
      <c r="AV2094" s="51"/>
      <c r="AW2094" s="51"/>
      <c r="AX2094" s="50"/>
      <c r="AY2094" s="50"/>
      <c r="AZ2094" s="50"/>
      <c r="BA2094" s="50"/>
      <c r="BB2094" s="51"/>
      <c r="BC2094" s="51"/>
      <c r="BD2094" s="51"/>
      <c r="BE2094" s="51"/>
      <c r="BF2094" s="47"/>
      <c r="BG2094" s="47"/>
      <c r="BH2094" s="47"/>
      <c r="BI2094" s="47"/>
      <c r="BJ2094" s="47"/>
      <c r="BK2094" s="47"/>
      <c r="BL2094" s="47"/>
      <c r="BM2094" s="47"/>
      <c r="BN2094" s="47"/>
      <c r="BO2094" s="47"/>
      <c r="BP2094" s="47"/>
      <c r="BQ2094" s="47"/>
      <c r="BR2094" s="47"/>
      <c r="BS2094" s="47"/>
      <c r="BT2094" s="47"/>
    </row>
    <row r="2095">
      <c r="A2095" s="24"/>
      <c r="B2095" s="48"/>
      <c r="C2095" s="49"/>
      <c r="D2095" s="24"/>
      <c r="E2095" s="52"/>
      <c r="F2095" s="53"/>
      <c r="G2095" s="48"/>
      <c r="H2095" s="49"/>
      <c r="I2095" s="49"/>
      <c r="J2095" s="48"/>
      <c r="K2095" s="48"/>
      <c r="L2095" s="48"/>
      <c r="M2095" s="48"/>
      <c r="N2095" s="48"/>
      <c r="O2095" s="48"/>
      <c r="P2095" s="48"/>
      <c r="Q2095" s="48"/>
      <c r="R2095" s="48"/>
      <c r="S2095" s="48"/>
      <c r="T2095" s="48"/>
      <c r="U2095" s="48"/>
      <c r="V2095" s="48"/>
      <c r="W2095" s="49"/>
      <c r="X2095" s="49"/>
      <c r="Y2095" s="49"/>
      <c r="Z2095" s="49"/>
      <c r="AA2095" s="49"/>
      <c r="AB2095" s="49"/>
      <c r="AC2095" s="49"/>
      <c r="AD2095" s="49"/>
      <c r="AE2095" s="49"/>
      <c r="AF2095" s="49"/>
      <c r="AG2095" s="49"/>
      <c r="AH2095" s="49"/>
      <c r="AI2095" s="48"/>
      <c r="AJ2095" s="48"/>
      <c r="AK2095" s="24"/>
      <c r="AL2095" s="50"/>
      <c r="AM2095" s="50"/>
      <c r="AN2095" s="50"/>
      <c r="AO2095" s="50"/>
      <c r="AP2095" s="50"/>
      <c r="AQ2095" s="50"/>
      <c r="AR2095" s="50"/>
      <c r="AS2095" s="50"/>
      <c r="AT2095" s="51"/>
      <c r="AU2095" s="51"/>
      <c r="AV2095" s="51"/>
      <c r="AW2095" s="51"/>
      <c r="AX2095" s="50"/>
      <c r="AY2095" s="50"/>
      <c r="AZ2095" s="50"/>
      <c r="BA2095" s="50"/>
      <c r="BB2095" s="51"/>
      <c r="BC2095" s="51"/>
      <c r="BD2095" s="51"/>
      <c r="BE2095" s="51"/>
      <c r="BF2095" s="47"/>
      <c r="BG2095" s="47"/>
      <c r="BH2095" s="47"/>
      <c r="BI2095" s="47"/>
      <c r="BJ2095" s="47"/>
      <c r="BK2095" s="47"/>
      <c r="BL2095" s="47"/>
      <c r="BM2095" s="47"/>
      <c r="BN2095" s="47"/>
      <c r="BO2095" s="47"/>
      <c r="BP2095" s="47"/>
      <c r="BQ2095" s="47"/>
      <c r="BR2095" s="47"/>
      <c r="BS2095" s="47"/>
      <c r="BT2095" s="47"/>
    </row>
    <row r="2096">
      <c r="A2096" s="24"/>
      <c r="B2096" s="48"/>
      <c r="C2096" s="49"/>
      <c r="D2096" s="24"/>
      <c r="E2096" s="52"/>
      <c r="F2096" s="53"/>
      <c r="G2096" s="48"/>
      <c r="H2096" s="49"/>
      <c r="I2096" s="49"/>
      <c r="J2096" s="48"/>
      <c r="K2096" s="48"/>
      <c r="L2096" s="48"/>
      <c r="M2096" s="48"/>
      <c r="N2096" s="48"/>
      <c r="O2096" s="48"/>
      <c r="P2096" s="48"/>
      <c r="Q2096" s="48"/>
      <c r="R2096" s="48"/>
      <c r="S2096" s="48"/>
      <c r="T2096" s="48"/>
      <c r="U2096" s="48"/>
      <c r="V2096" s="48"/>
      <c r="W2096" s="49"/>
      <c r="X2096" s="49"/>
      <c r="Y2096" s="49"/>
      <c r="Z2096" s="49"/>
      <c r="AA2096" s="49"/>
      <c r="AB2096" s="49"/>
      <c r="AC2096" s="49"/>
      <c r="AD2096" s="49"/>
      <c r="AE2096" s="49"/>
      <c r="AF2096" s="49"/>
      <c r="AG2096" s="49"/>
      <c r="AH2096" s="49"/>
      <c r="AI2096" s="48"/>
      <c r="AJ2096" s="48"/>
      <c r="AK2096" s="24"/>
      <c r="AL2096" s="50"/>
      <c r="AM2096" s="50"/>
      <c r="AN2096" s="50"/>
      <c r="AO2096" s="50"/>
      <c r="AP2096" s="50"/>
      <c r="AQ2096" s="50"/>
      <c r="AR2096" s="50"/>
      <c r="AS2096" s="50"/>
      <c r="AT2096" s="51"/>
      <c r="AU2096" s="51"/>
      <c r="AV2096" s="51"/>
      <c r="AW2096" s="51"/>
      <c r="AX2096" s="50"/>
      <c r="AY2096" s="50"/>
      <c r="AZ2096" s="50"/>
      <c r="BA2096" s="50"/>
      <c r="BB2096" s="51"/>
      <c r="BC2096" s="51"/>
      <c r="BD2096" s="51"/>
      <c r="BE2096" s="51"/>
      <c r="BF2096" s="47"/>
      <c r="BG2096" s="47"/>
      <c r="BH2096" s="47"/>
      <c r="BI2096" s="47"/>
      <c r="BJ2096" s="47"/>
      <c r="BK2096" s="47"/>
      <c r="BL2096" s="47"/>
      <c r="BM2096" s="47"/>
      <c r="BN2096" s="47"/>
      <c r="BO2096" s="47"/>
      <c r="BP2096" s="47"/>
      <c r="BQ2096" s="47"/>
      <c r="BR2096" s="47"/>
      <c r="BS2096" s="47"/>
      <c r="BT2096" s="47"/>
    </row>
    <row r="2097">
      <c r="A2097" s="24"/>
      <c r="B2097" s="48"/>
      <c r="C2097" s="49"/>
      <c r="D2097" s="24"/>
      <c r="E2097" s="52"/>
      <c r="F2097" s="53"/>
      <c r="G2097" s="48"/>
      <c r="H2097" s="49"/>
      <c r="I2097" s="49"/>
      <c r="J2097" s="48"/>
      <c r="K2097" s="48"/>
      <c r="L2097" s="48"/>
      <c r="M2097" s="48"/>
      <c r="N2097" s="48"/>
      <c r="O2097" s="48"/>
      <c r="P2097" s="48"/>
      <c r="Q2097" s="48"/>
      <c r="R2097" s="48"/>
      <c r="S2097" s="48"/>
      <c r="T2097" s="48"/>
      <c r="U2097" s="48"/>
      <c r="V2097" s="48"/>
      <c r="W2097" s="49"/>
      <c r="X2097" s="49"/>
      <c r="Y2097" s="49"/>
      <c r="Z2097" s="49"/>
      <c r="AA2097" s="49"/>
      <c r="AB2097" s="49"/>
      <c r="AC2097" s="49"/>
      <c r="AD2097" s="49"/>
      <c r="AE2097" s="49"/>
      <c r="AF2097" s="49"/>
      <c r="AG2097" s="49"/>
      <c r="AH2097" s="49"/>
      <c r="AI2097" s="48"/>
      <c r="AJ2097" s="48"/>
      <c r="AK2097" s="24"/>
      <c r="AL2097" s="50"/>
      <c r="AM2097" s="50"/>
      <c r="AN2097" s="50"/>
      <c r="AO2097" s="50"/>
      <c r="AP2097" s="50"/>
      <c r="AQ2097" s="50"/>
      <c r="AR2097" s="50"/>
      <c r="AS2097" s="50"/>
      <c r="AT2097" s="51"/>
      <c r="AU2097" s="51"/>
      <c r="AV2097" s="51"/>
      <c r="AW2097" s="51"/>
      <c r="AX2097" s="50"/>
      <c r="AY2097" s="50"/>
      <c r="AZ2097" s="50"/>
      <c r="BA2097" s="50"/>
      <c r="BB2097" s="51"/>
      <c r="BC2097" s="51"/>
      <c r="BD2097" s="51"/>
      <c r="BE2097" s="51"/>
      <c r="BF2097" s="47"/>
      <c r="BG2097" s="47"/>
      <c r="BH2097" s="47"/>
      <c r="BI2097" s="47"/>
      <c r="BJ2097" s="47"/>
      <c r="BK2097" s="47"/>
      <c r="BL2097" s="47"/>
      <c r="BM2097" s="47"/>
      <c r="BN2097" s="47"/>
      <c r="BO2097" s="47"/>
      <c r="BP2097" s="47"/>
      <c r="BQ2097" s="47"/>
      <c r="BR2097" s="47"/>
      <c r="BS2097" s="47"/>
      <c r="BT2097" s="47"/>
    </row>
    <row r="2098">
      <c r="A2098" s="24"/>
      <c r="B2098" s="48"/>
      <c r="C2098" s="49"/>
      <c r="D2098" s="24"/>
      <c r="E2098" s="52"/>
      <c r="F2098" s="53"/>
      <c r="G2098" s="48"/>
      <c r="H2098" s="49"/>
      <c r="I2098" s="49"/>
      <c r="J2098" s="48"/>
      <c r="K2098" s="48"/>
      <c r="L2098" s="48"/>
      <c r="M2098" s="48"/>
      <c r="N2098" s="48"/>
      <c r="O2098" s="48"/>
      <c r="P2098" s="48"/>
      <c r="Q2098" s="48"/>
      <c r="R2098" s="48"/>
      <c r="S2098" s="48"/>
      <c r="T2098" s="48"/>
      <c r="U2098" s="48"/>
      <c r="V2098" s="48"/>
      <c r="W2098" s="49"/>
      <c r="X2098" s="49"/>
      <c r="Y2098" s="49"/>
      <c r="Z2098" s="49"/>
      <c r="AA2098" s="49"/>
      <c r="AB2098" s="49"/>
      <c r="AC2098" s="49"/>
      <c r="AD2098" s="49"/>
      <c r="AE2098" s="49"/>
      <c r="AF2098" s="49"/>
      <c r="AG2098" s="49"/>
      <c r="AH2098" s="49"/>
      <c r="AI2098" s="48"/>
      <c r="AJ2098" s="48"/>
      <c r="AK2098" s="24"/>
      <c r="AL2098" s="50"/>
      <c r="AM2098" s="50"/>
      <c r="AN2098" s="50"/>
      <c r="AO2098" s="50"/>
      <c r="AP2098" s="50"/>
      <c r="AQ2098" s="50"/>
      <c r="AR2098" s="50"/>
      <c r="AS2098" s="50"/>
      <c r="AT2098" s="51"/>
      <c r="AU2098" s="51"/>
      <c r="AV2098" s="51"/>
      <c r="AW2098" s="51"/>
      <c r="AX2098" s="50"/>
      <c r="AY2098" s="50"/>
      <c r="AZ2098" s="50"/>
      <c r="BA2098" s="50"/>
      <c r="BB2098" s="51"/>
      <c r="BC2098" s="51"/>
      <c r="BD2098" s="51"/>
      <c r="BE2098" s="51"/>
      <c r="BF2098" s="47"/>
      <c r="BG2098" s="47"/>
      <c r="BH2098" s="47"/>
      <c r="BI2098" s="47"/>
      <c r="BJ2098" s="47"/>
      <c r="BK2098" s="47"/>
      <c r="BL2098" s="47"/>
      <c r="BM2098" s="47"/>
      <c r="BN2098" s="47"/>
      <c r="BO2098" s="47"/>
      <c r="BP2098" s="47"/>
      <c r="BQ2098" s="47"/>
      <c r="BR2098" s="47"/>
      <c r="BS2098" s="47"/>
      <c r="BT2098" s="47"/>
    </row>
    <row r="2099">
      <c r="A2099" s="24"/>
      <c r="B2099" s="48"/>
      <c r="C2099" s="49"/>
      <c r="D2099" s="24"/>
      <c r="E2099" s="52"/>
      <c r="F2099" s="53"/>
      <c r="G2099" s="48"/>
      <c r="H2099" s="49"/>
      <c r="I2099" s="49"/>
      <c r="J2099" s="48"/>
      <c r="K2099" s="48"/>
      <c r="L2099" s="48"/>
      <c r="M2099" s="48"/>
      <c r="N2099" s="48"/>
      <c r="O2099" s="48"/>
      <c r="P2099" s="48"/>
      <c r="Q2099" s="48"/>
      <c r="R2099" s="48"/>
      <c r="S2099" s="48"/>
      <c r="T2099" s="48"/>
      <c r="U2099" s="48"/>
      <c r="V2099" s="48"/>
      <c r="W2099" s="49"/>
      <c r="X2099" s="49"/>
      <c r="Y2099" s="49"/>
      <c r="Z2099" s="49"/>
      <c r="AA2099" s="49"/>
      <c r="AB2099" s="49"/>
      <c r="AC2099" s="49"/>
      <c r="AD2099" s="49"/>
      <c r="AE2099" s="49"/>
      <c r="AF2099" s="49"/>
      <c r="AG2099" s="49"/>
      <c r="AH2099" s="49"/>
      <c r="AI2099" s="48"/>
      <c r="AJ2099" s="48"/>
      <c r="AK2099" s="24"/>
      <c r="AL2099" s="50"/>
      <c r="AM2099" s="50"/>
      <c r="AN2099" s="50"/>
      <c r="AO2099" s="50"/>
      <c r="AP2099" s="50"/>
      <c r="AQ2099" s="50"/>
      <c r="AR2099" s="50"/>
      <c r="AS2099" s="50"/>
      <c r="AT2099" s="51"/>
      <c r="AU2099" s="51"/>
      <c r="AV2099" s="51"/>
      <c r="AW2099" s="51"/>
      <c r="AX2099" s="50"/>
      <c r="AY2099" s="50"/>
      <c r="AZ2099" s="50"/>
      <c r="BA2099" s="50"/>
      <c r="BB2099" s="51"/>
      <c r="BC2099" s="51"/>
      <c r="BD2099" s="51"/>
      <c r="BE2099" s="51"/>
      <c r="BF2099" s="47"/>
      <c r="BG2099" s="47"/>
      <c r="BH2099" s="47"/>
      <c r="BI2099" s="47"/>
      <c r="BJ2099" s="47"/>
      <c r="BK2099" s="47"/>
      <c r="BL2099" s="47"/>
      <c r="BM2099" s="47"/>
      <c r="BN2099" s="47"/>
      <c r="BO2099" s="47"/>
      <c r="BP2099" s="47"/>
      <c r="BQ2099" s="47"/>
      <c r="BR2099" s="47"/>
      <c r="BS2099" s="47"/>
      <c r="BT2099" s="47"/>
    </row>
    <row r="2100">
      <c r="A2100" s="24"/>
      <c r="B2100" s="48"/>
      <c r="C2100" s="49"/>
      <c r="D2100" s="24"/>
      <c r="E2100" s="52"/>
      <c r="F2100" s="53"/>
      <c r="G2100" s="48"/>
      <c r="H2100" s="49"/>
      <c r="I2100" s="49"/>
      <c r="J2100" s="48"/>
      <c r="K2100" s="48"/>
      <c r="L2100" s="48"/>
      <c r="M2100" s="48"/>
      <c r="N2100" s="48"/>
      <c r="O2100" s="48"/>
      <c r="P2100" s="48"/>
      <c r="Q2100" s="48"/>
      <c r="R2100" s="48"/>
      <c r="S2100" s="48"/>
      <c r="T2100" s="48"/>
      <c r="U2100" s="48"/>
      <c r="V2100" s="48"/>
      <c r="W2100" s="49"/>
      <c r="X2100" s="49"/>
      <c r="Y2100" s="49"/>
      <c r="Z2100" s="49"/>
      <c r="AA2100" s="49"/>
      <c r="AB2100" s="49"/>
      <c r="AC2100" s="49"/>
      <c r="AD2100" s="49"/>
      <c r="AE2100" s="49"/>
      <c r="AF2100" s="49"/>
      <c r="AG2100" s="49"/>
      <c r="AH2100" s="49"/>
      <c r="AI2100" s="48"/>
      <c r="AJ2100" s="48"/>
      <c r="AK2100" s="24"/>
      <c r="AL2100" s="50"/>
      <c r="AM2100" s="50"/>
      <c r="AN2100" s="50"/>
      <c r="AO2100" s="50"/>
      <c r="AP2100" s="50"/>
      <c r="AQ2100" s="50"/>
      <c r="AR2100" s="50"/>
      <c r="AS2100" s="50"/>
      <c r="AT2100" s="51"/>
      <c r="AU2100" s="51"/>
      <c r="AV2100" s="51"/>
      <c r="AW2100" s="51"/>
      <c r="AX2100" s="50"/>
      <c r="AY2100" s="50"/>
      <c r="AZ2100" s="50"/>
      <c r="BA2100" s="50"/>
      <c r="BB2100" s="51"/>
      <c r="BC2100" s="51"/>
      <c r="BD2100" s="51"/>
      <c r="BE2100" s="51"/>
      <c r="BF2100" s="47"/>
      <c r="BG2100" s="47"/>
      <c r="BH2100" s="47"/>
      <c r="BI2100" s="47"/>
      <c r="BJ2100" s="47"/>
      <c r="BK2100" s="47"/>
      <c r="BL2100" s="47"/>
      <c r="BM2100" s="47"/>
      <c r="BN2100" s="47"/>
      <c r="BO2100" s="47"/>
      <c r="BP2100" s="47"/>
      <c r="BQ2100" s="47"/>
      <c r="BR2100" s="47"/>
      <c r="BS2100" s="47"/>
      <c r="BT2100" s="47"/>
    </row>
    <row r="2101">
      <c r="A2101" s="24"/>
      <c r="B2101" s="48"/>
      <c r="C2101" s="49"/>
      <c r="D2101" s="24"/>
      <c r="E2101" s="52"/>
      <c r="F2101" s="53"/>
      <c r="G2101" s="48"/>
      <c r="H2101" s="49"/>
      <c r="I2101" s="49"/>
      <c r="J2101" s="48"/>
      <c r="K2101" s="48"/>
      <c r="L2101" s="48"/>
      <c r="M2101" s="48"/>
      <c r="N2101" s="48"/>
      <c r="O2101" s="48"/>
      <c r="P2101" s="48"/>
      <c r="Q2101" s="48"/>
      <c r="R2101" s="48"/>
      <c r="S2101" s="48"/>
      <c r="T2101" s="48"/>
      <c r="U2101" s="48"/>
      <c r="V2101" s="48"/>
      <c r="W2101" s="49"/>
      <c r="X2101" s="49"/>
      <c r="Y2101" s="49"/>
      <c r="Z2101" s="49"/>
      <c r="AA2101" s="49"/>
      <c r="AB2101" s="49"/>
      <c r="AC2101" s="49"/>
      <c r="AD2101" s="49"/>
      <c r="AE2101" s="49"/>
      <c r="AF2101" s="49"/>
      <c r="AG2101" s="49"/>
      <c r="AH2101" s="49"/>
      <c r="AI2101" s="48"/>
      <c r="AJ2101" s="48"/>
      <c r="AK2101" s="24"/>
      <c r="AL2101" s="50"/>
      <c r="AM2101" s="50"/>
      <c r="AN2101" s="50"/>
      <c r="AO2101" s="50"/>
      <c r="AP2101" s="50"/>
      <c r="AQ2101" s="50"/>
      <c r="AR2101" s="50"/>
      <c r="AS2101" s="50"/>
      <c r="AT2101" s="51"/>
      <c r="AU2101" s="51"/>
      <c r="AV2101" s="51"/>
      <c r="AW2101" s="51"/>
      <c r="AX2101" s="50"/>
      <c r="AY2101" s="50"/>
      <c r="AZ2101" s="50"/>
      <c r="BA2101" s="50"/>
      <c r="BB2101" s="51"/>
      <c r="BC2101" s="51"/>
      <c r="BD2101" s="51"/>
      <c r="BE2101" s="51"/>
      <c r="BF2101" s="47"/>
      <c r="BG2101" s="47"/>
      <c r="BH2101" s="47"/>
      <c r="BI2101" s="47"/>
      <c r="BJ2101" s="47"/>
      <c r="BK2101" s="47"/>
      <c r="BL2101" s="47"/>
      <c r="BM2101" s="47"/>
      <c r="BN2101" s="47"/>
      <c r="BO2101" s="47"/>
      <c r="BP2101" s="47"/>
      <c r="BQ2101" s="47"/>
      <c r="BR2101" s="47"/>
      <c r="BS2101" s="47"/>
      <c r="BT2101" s="47"/>
    </row>
    <row r="2102">
      <c r="A2102" s="24"/>
      <c r="B2102" s="48"/>
      <c r="C2102" s="49"/>
      <c r="D2102" s="24"/>
      <c r="E2102" s="52"/>
      <c r="F2102" s="53"/>
      <c r="G2102" s="48"/>
      <c r="H2102" s="49"/>
      <c r="I2102" s="49"/>
      <c r="J2102" s="48"/>
      <c r="K2102" s="48"/>
      <c r="L2102" s="48"/>
      <c r="M2102" s="48"/>
      <c r="N2102" s="48"/>
      <c r="O2102" s="48"/>
      <c r="P2102" s="48"/>
      <c r="Q2102" s="48"/>
      <c r="R2102" s="48"/>
      <c r="S2102" s="48"/>
      <c r="T2102" s="48"/>
      <c r="U2102" s="48"/>
      <c r="V2102" s="48"/>
      <c r="W2102" s="49"/>
      <c r="X2102" s="49"/>
      <c r="Y2102" s="49"/>
      <c r="Z2102" s="49"/>
      <c r="AA2102" s="49"/>
      <c r="AB2102" s="49"/>
      <c r="AC2102" s="49"/>
      <c r="AD2102" s="49"/>
      <c r="AE2102" s="49"/>
      <c r="AF2102" s="49"/>
      <c r="AG2102" s="49"/>
      <c r="AH2102" s="49"/>
      <c r="AI2102" s="48"/>
      <c r="AJ2102" s="48"/>
      <c r="AK2102" s="24"/>
      <c r="AL2102" s="50"/>
      <c r="AM2102" s="50"/>
      <c r="AN2102" s="50"/>
      <c r="AO2102" s="50"/>
      <c r="AP2102" s="50"/>
      <c r="AQ2102" s="50"/>
      <c r="AR2102" s="50"/>
      <c r="AS2102" s="50"/>
      <c r="AT2102" s="51"/>
      <c r="AU2102" s="51"/>
      <c r="AV2102" s="51"/>
      <c r="AW2102" s="51"/>
      <c r="AX2102" s="50"/>
      <c r="AY2102" s="50"/>
      <c r="AZ2102" s="50"/>
      <c r="BA2102" s="50"/>
      <c r="BB2102" s="51"/>
      <c r="BC2102" s="51"/>
      <c r="BD2102" s="51"/>
      <c r="BE2102" s="51"/>
      <c r="BF2102" s="47"/>
      <c r="BG2102" s="47"/>
      <c r="BH2102" s="47"/>
      <c r="BI2102" s="47"/>
      <c r="BJ2102" s="47"/>
      <c r="BK2102" s="47"/>
      <c r="BL2102" s="47"/>
      <c r="BM2102" s="47"/>
      <c r="BN2102" s="47"/>
      <c r="BO2102" s="47"/>
      <c r="BP2102" s="47"/>
      <c r="BQ2102" s="47"/>
      <c r="BR2102" s="47"/>
      <c r="BS2102" s="47"/>
      <c r="BT2102" s="47"/>
    </row>
    <row r="2103">
      <c r="A2103" s="24"/>
      <c r="B2103" s="48"/>
      <c r="C2103" s="49"/>
      <c r="D2103" s="24"/>
      <c r="E2103" s="52"/>
      <c r="F2103" s="53"/>
      <c r="G2103" s="48"/>
      <c r="H2103" s="49"/>
      <c r="I2103" s="49"/>
      <c r="J2103" s="48"/>
      <c r="K2103" s="48"/>
      <c r="L2103" s="48"/>
      <c r="M2103" s="48"/>
      <c r="N2103" s="48"/>
      <c r="O2103" s="48"/>
      <c r="P2103" s="48"/>
      <c r="Q2103" s="48"/>
      <c r="R2103" s="48"/>
      <c r="S2103" s="48"/>
      <c r="T2103" s="48"/>
      <c r="U2103" s="48"/>
      <c r="V2103" s="48"/>
      <c r="W2103" s="49"/>
      <c r="X2103" s="49"/>
      <c r="Y2103" s="49"/>
      <c r="Z2103" s="49"/>
      <c r="AA2103" s="49"/>
      <c r="AB2103" s="49"/>
      <c r="AC2103" s="49"/>
      <c r="AD2103" s="49"/>
      <c r="AE2103" s="49"/>
      <c r="AF2103" s="49"/>
      <c r="AG2103" s="49"/>
      <c r="AH2103" s="49"/>
      <c r="AI2103" s="48"/>
      <c r="AJ2103" s="48"/>
      <c r="AK2103" s="24"/>
      <c r="AL2103" s="50"/>
      <c r="AM2103" s="50"/>
      <c r="AN2103" s="50"/>
      <c r="AO2103" s="50"/>
      <c r="AP2103" s="50"/>
      <c r="AQ2103" s="50"/>
      <c r="AR2103" s="50"/>
      <c r="AS2103" s="50"/>
      <c r="AT2103" s="51"/>
      <c r="AU2103" s="51"/>
      <c r="AV2103" s="51"/>
      <c r="AW2103" s="51"/>
      <c r="AX2103" s="50"/>
      <c r="AY2103" s="50"/>
      <c r="AZ2103" s="50"/>
      <c r="BA2103" s="50"/>
      <c r="BB2103" s="51"/>
      <c r="BC2103" s="51"/>
      <c r="BD2103" s="51"/>
      <c r="BE2103" s="51"/>
      <c r="BF2103" s="47"/>
      <c r="BG2103" s="47"/>
      <c r="BH2103" s="47"/>
      <c r="BI2103" s="47"/>
      <c r="BJ2103" s="47"/>
      <c r="BK2103" s="47"/>
      <c r="BL2103" s="47"/>
      <c r="BM2103" s="47"/>
      <c r="BN2103" s="47"/>
      <c r="BO2103" s="47"/>
      <c r="BP2103" s="47"/>
      <c r="BQ2103" s="47"/>
      <c r="BR2103" s="47"/>
      <c r="BS2103" s="47"/>
      <c r="BT2103" s="47"/>
    </row>
    <row r="2104">
      <c r="A2104" s="24"/>
      <c r="B2104" s="48"/>
      <c r="C2104" s="49"/>
      <c r="D2104" s="24"/>
      <c r="E2104" s="52"/>
      <c r="F2104" s="53"/>
      <c r="G2104" s="48"/>
      <c r="H2104" s="49"/>
      <c r="I2104" s="49"/>
      <c r="J2104" s="48"/>
      <c r="K2104" s="48"/>
      <c r="L2104" s="48"/>
      <c r="M2104" s="48"/>
      <c r="N2104" s="48"/>
      <c r="O2104" s="48"/>
      <c r="P2104" s="48"/>
      <c r="Q2104" s="48"/>
      <c r="R2104" s="48"/>
      <c r="S2104" s="48"/>
      <c r="T2104" s="48"/>
      <c r="U2104" s="48"/>
      <c r="V2104" s="48"/>
      <c r="W2104" s="49"/>
      <c r="X2104" s="49"/>
      <c r="Y2104" s="49"/>
      <c r="Z2104" s="49"/>
      <c r="AA2104" s="49"/>
      <c r="AB2104" s="49"/>
      <c r="AC2104" s="49"/>
      <c r="AD2104" s="49"/>
      <c r="AE2104" s="49"/>
      <c r="AF2104" s="49"/>
      <c r="AG2104" s="49"/>
      <c r="AH2104" s="49"/>
      <c r="AI2104" s="48"/>
      <c r="AJ2104" s="48"/>
      <c r="AK2104" s="24"/>
      <c r="AL2104" s="50"/>
      <c r="AM2104" s="50"/>
      <c r="AN2104" s="50"/>
      <c r="AO2104" s="50"/>
      <c r="AP2104" s="50"/>
      <c r="AQ2104" s="50"/>
      <c r="AR2104" s="50"/>
      <c r="AS2104" s="50"/>
      <c r="AT2104" s="51"/>
      <c r="AU2104" s="51"/>
      <c r="AV2104" s="51"/>
      <c r="AW2104" s="51"/>
      <c r="AX2104" s="50"/>
      <c r="AY2104" s="50"/>
      <c r="AZ2104" s="50"/>
      <c r="BA2104" s="50"/>
      <c r="BB2104" s="51"/>
      <c r="BC2104" s="51"/>
      <c r="BD2104" s="51"/>
      <c r="BE2104" s="51"/>
      <c r="BF2104" s="47"/>
      <c r="BG2104" s="47"/>
      <c r="BH2104" s="47"/>
      <c r="BI2104" s="47"/>
      <c r="BJ2104" s="47"/>
      <c r="BK2104" s="47"/>
      <c r="BL2104" s="47"/>
      <c r="BM2104" s="47"/>
      <c r="BN2104" s="47"/>
      <c r="BO2104" s="47"/>
      <c r="BP2104" s="47"/>
      <c r="BQ2104" s="47"/>
      <c r="BR2104" s="47"/>
      <c r="BS2104" s="47"/>
      <c r="BT2104" s="47"/>
    </row>
    <row r="2105">
      <c r="A2105" s="24"/>
      <c r="B2105" s="48"/>
      <c r="C2105" s="49"/>
      <c r="D2105" s="24"/>
      <c r="E2105" s="52"/>
      <c r="F2105" s="53"/>
      <c r="G2105" s="48"/>
      <c r="H2105" s="49"/>
      <c r="I2105" s="49"/>
      <c r="J2105" s="48"/>
      <c r="K2105" s="48"/>
      <c r="L2105" s="48"/>
      <c r="M2105" s="48"/>
      <c r="N2105" s="48"/>
      <c r="O2105" s="48"/>
      <c r="P2105" s="48"/>
      <c r="Q2105" s="48"/>
      <c r="R2105" s="48"/>
      <c r="S2105" s="48"/>
      <c r="T2105" s="48"/>
      <c r="U2105" s="48"/>
      <c r="V2105" s="48"/>
      <c r="W2105" s="49"/>
      <c r="X2105" s="49"/>
      <c r="Y2105" s="49"/>
      <c r="Z2105" s="49"/>
      <c r="AA2105" s="49"/>
      <c r="AB2105" s="49"/>
      <c r="AC2105" s="49"/>
      <c r="AD2105" s="49"/>
      <c r="AE2105" s="49"/>
      <c r="AF2105" s="49"/>
      <c r="AG2105" s="49"/>
      <c r="AH2105" s="49"/>
      <c r="AI2105" s="48"/>
      <c r="AJ2105" s="48"/>
      <c r="AK2105" s="24"/>
      <c r="AL2105" s="50"/>
      <c r="AM2105" s="50"/>
      <c r="AN2105" s="50"/>
      <c r="AO2105" s="50"/>
      <c r="AP2105" s="50"/>
      <c r="AQ2105" s="50"/>
      <c r="AR2105" s="50"/>
      <c r="AS2105" s="50"/>
      <c r="AT2105" s="51"/>
      <c r="AU2105" s="51"/>
      <c r="AV2105" s="51"/>
      <c r="AW2105" s="51"/>
      <c r="AX2105" s="50"/>
      <c r="AY2105" s="50"/>
      <c r="AZ2105" s="50"/>
      <c r="BA2105" s="50"/>
      <c r="BB2105" s="51"/>
      <c r="BC2105" s="51"/>
      <c r="BD2105" s="51"/>
      <c r="BE2105" s="51"/>
      <c r="BF2105" s="47"/>
      <c r="BG2105" s="47"/>
      <c r="BH2105" s="47"/>
      <c r="BI2105" s="47"/>
      <c r="BJ2105" s="47"/>
      <c r="BK2105" s="47"/>
      <c r="BL2105" s="47"/>
      <c r="BM2105" s="47"/>
      <c r="BN2105" s="47"/>
      <c r="BO2105" s="47"/>
      <c r="BP2105" s="47"/>
      <c r="BQ2105" s="47"/>
      <c r="BR2105" s="47"/>
      <c r="BS2105" s="47"/>
      <c r="BT2105" s="47"/>
    </row>
    <row r="2106">
      <c r="A2106" s="24"/>
      <c r="B2106" s="48"/>
      <c r="C2106" s="49"/>
      <c r="D2106" s="24"/>
      <c r="E2106" s="52"/>
      <c r="F2106" s="53"/>
      <c r="G2106" s="48"/>
      <c r="H2106" s="49"/>
      <c r="I2106" s="49"/>
      <c r="J2106" s="48"/>
      <c r="K2106" s="48"/>
      <c r="L2106" s="48"/>
      <c r="M2106" s="48"/>
      <c r="N2106" s="48"/>
      <c r="O2106" s="48"/>
      <c r="P2106" s="48"/>
      <c r="Q2106" s="48"/>
      <c r="R2106" s="48"/>
      <c r="S2106" s="48"/>
      <c r="T2106" s="48"/>
      <c r="U2106" s="48"/>
      <c r="V2106" s="48"/>
      <c r="W2106" s="49"/>
      <c r="X2106" s="49"/>
      <c r="Y2106" s="49"/>
      <c r="Z2106" s="49"/>
      <c r="AA2106" s="49"/>
      <c r="AB2106" s="49"/>
      <c r="AC2106" s="49"/>
      <c r="AD2106" s="49"/>
      <c r="AE2106" s="49"/>
      <c r="AF2106" s="49"/>
      <c r="AG2106" s="49"/>
      <c r="AH2106" s="49"/>
      <c r="AI2106" s="48"/>
      <c r="AJ2106" s="48"/>
      <c r="AK2106" s="24"/>
      <c r="AL2106" s="50"/>
      <c r="AM2106" s="50"/>
      <c r="AN2106" s="50"/>
      <c r="AO2106" s="50"/>
      <c r="AP2106" s="50"/>
      <c r="AQ2106" s="50"/>
      <c r="AR2106" s="50"/>
      <c r="AS2106" s="50"/>
      <c r="AT2106" s="51"/>
      <c r="AU2106" s="51"/>
      <c r="AV2106" s="51"/>
      <c r="AW2106" s="51"/>
      <c r="AX2106" s="50"/>
      <c r="AY2106" s="50"/>
      <c r="AZ2106" s="50"/>
      <c r="BA2106" s="50"/>
      <c r="BB2106" s="51"/>
      <c r="BC2106" s="51"/>
      <c r="BD2106" s="51"/>
      <c r="BE2106" s="51"/>
      <c r="BF2106" s="47"/>
      <c r="BG2106" s="47"/>
      <c r="BH2106" s="47"/>
      <c r="BI2106" s="47"/>
      <c r="BJ2106" s="47"/>
      <c r="BK2106" s="47"/>
      <c r="BL2106" s="47"/>
      <c r="BM2106" s="47"/>
      <c r="BN2106" s="47"/>
      <c r="BO2106" s="47"/>
      <c r="BP2106" s="47"/>
      <c r="BQ2106" s="47"/>
      <c r="BR2106" s="47"/>
      <c r="BS2106" s="47"/>
      <c r="BT2106" s="47"/>
    </row>
    <row r="2107">
      <c r="A2107" s="24"/>
      <c r="B2107" s="48"/>
      <c r="C2107" s="49"/>
      <c r="D2107" s="24"/>
      <c r="E2107" s="52"/>
      <c r="F2107" s="53"/>
      <c r="G2107" s="48"/>
      <c r="H2107" s="49"/>
      <c r="I2107" s="49"/>
      <c r="J2107" s="48"/>
      <c r="K2107" s="48"/>
      <c r="L2107" s="48"/>
      <c r="M2107" s="48"/>
      <c r="N2107" s="48"/>
      <c r="O2107" s="48"/>
      <c r="P2107" s="48"/>
      <c r="Q2107" s="48"/>
      <c r="R2107" s="48"/>
      <c r="S2107" s="48"/>
      <c r="T2107" s="48"/>
      <c r="U2107" s="48"/>
      <c r="V2107" s="48"/>
      <c r="W2107" s="49"/>
      <c r="X2107" s="49"/>
      <c r="Y2107" s="49"/>
      <c r="Z2107" s="49"/>
      <c r="AA2107" s="49"/>
      <c r="AB2107" s="49"/>
      <c r="AC2107" s="49"/>
      <c r="AD2107" s="49"/>
      <c r="AE2107" s="49"/>
      <c r="AF2107" s="49"/>
      <c r="AG2107" s="49"/>
      <c r="AH2107" s="49"/>
      <c r="AI2107" s="48"/>
      <c r="AJ2107" s="48"/>
      <c r="AK2107" s="24"/>
      <c r="AL2107" s="50"/>
      <c r="AM2107" s="50"/>
      <c r="AN2107" s="50"/>
      <c r="AO2107" s="50"/>
      <c r="AP2107" s="50"/>
      <c r="AQ2107" s="50"/>
      <c r="AR2107" s="50"/>
      <c r="AS2107" s="50"/>
      <c r="AT2107" s="51"/>
      <c r="AU2107" s="51"/>
      <c r="AV2107" s="51"/>
      <c r="AW2107" s="51"/>
      <c r="AX2107" s="50"/>
      <c r="AY2107" s="50"/>
      <c r="AZ2107" s="50"/>
      <c r="BA2107" s="50"/>
      <c r="BB2107" s="51"/>
      <c r="BC2107" s="51"/>
      <c r="BD2107" s="51"/>
      <c r="BE2107" s="51"/>
      <c r="BF2107" s="47"/>
      <c r="BG2107" s="47"/>
      <c r="BH2107" s="47"/>
      <c r="BI2107" s="47"/>
      <c r="BJ2107" s="47"/>
      <c r="BK2107" s="47"/>
      <c r="BL2107" s="47"/>
      <c r="BM2107" s="47"/>
      <c r="BN2107" s="47"/>
      <c r="BO2107" s="47"/>
      <c r="BP2107" s="47"/>
      <c r="BQ2107" s="47"/>
      <c r="BR2107" s="47"/>
      <c r="BS2107" s="47"/>
      <c r="BT2107" s="47"/>
    </row>
    <row r="2108">
      <c r="A2108" s="24"/>
      <c r="B2108" s="48"/>
      <c r="C2108" s="49"/>
      <c r="D2108" s="24"/>
      <c r="E2108" s="52"/>
      <c r="F2108" s="53"/>
      <c r="G2108" s="48"/>
      <c r="H2108" s="49"/>
      <c r="I2108" s="49"/>
      <c r="J2108" s="48"/>
      <c r="K2108" s="48"/>
      <c r="L2108" s="48"/>
      <c r="M2108" s="48"/>
      <c r="N2108" s="48"/>
      <c r="O2108" s="48"/>
      <c r="P2108" s="48"/>
      <c r="Q2108" s="48"/>
      <c r="R2108" s="48"/>
      <c r="S2108" s="48"/>
      <c r="T2108" s="48"/>
      <c r="U2108" s="48"/>
      <c r="V2108" s="48"/>
      <c r="W2108" s="49"/>
      <c r="X2108" s="49"/>
      <c r="Y2108" s="49"/>
      <c r="Z2108" s="49"/>
      <c r="AA2108" s="49"/>
      <c r="AB2108" s="49"/>
      <c r="AC2108" s="49"/>
      <c r="AD2108" s="49"/>
      <c r="AE2108" s="49"/>
      <c r="AF2108" s="49"/>
      <c r="AG2108" s="49"/>
      <c r="AH2108" s="49"/>
      <c r="AI2108" s="48"/>
      <c r="AJ2108" s="48"/>
      <c r="AK2108" s="24"/>
      <c r="AL2108" s="50"/>
      <c r="AM2108" s="50"/>
      <c r="AN2108" s="50"/>
      <c r="AO2108" s="50"/>
      <c r="AP2108" s="50"/>
      <c r="AQ2108" s="50"/>
      <c r="AR2108" s="50"/>
      <c r="AS2108" s="50"/>
      <c r="AT2108" s="51"/>
      <c r="AU2108" s="51"/>
      <c r="AV2108" s="51"/>
      <c r="AW2108" s="51"/>
      <c r="AX2108" s="50"/>
      <c r="AY2108" s="50"/>
      <c r="AZ2108" s="50"/>
      <c r="BA2108" s="50"/>
      <c r="BB2108" s="51"/>
      <c r="BC2108" s="51"/>
      <c r="BD2108" s="51"/>
      <c r="BE2108" s="51"/>
      <c r="BF2108" s="47"/>
      <c r="BG2108" s="47"/>
      <c r="BH2108" s="47"/>
      <c r="BI2108" s="47"/>
      <c r="BJ2108" s="47"/>
      <c r="BK2108" s="47"/>
      <c r="BL2108" s="47"/>
      <c r="BM2108" s="47"/>
      <c r="BN2108" s="47"/>
      <c r="BO2108" s="47"/>
      <c r="BP2108" s="47"/>
      <c r="BQ2108" s="47"/>
      <c r="BR2108" s="47"/>
      <c r="BS2108" s="47"/>
      <c r="BT2108" s="47"/>
    </row>
    <row r="2109">
      <c r="A2109" s="24"/>
      <c r="B2109" s="48"/>
      <c r="C2109" s="49"/>
      <c r="D2109" s="24"/>
      <c r="E2109" s="52"/>
      <c r="F2109" s="53"/>
      <c r="G2109" s="48"/>
      <c r="H2109" s="49"/>
      <c r="I2109" s="49"/>
      <c r="J2109" s="48"/>
      <c r="K2109" s="48"/>
      <c r="L2109" s="48"/>
      <c r="M2109" s="48"/>
      <c r="N2109" s="48"/>
      <c r="O2109" s="48"/>
      <c r="P2109" s="48"/>
      <c r="Q2109" s="48"/>
      <c r="R2109" s="48"/>
      <c r="S2109" s="48"/>
      <c r="T2109" s="48"/>
      <c r="U2109" s="48"/>
      <c r="V2109" s="48"/>
      <c r="W2109" s="49"/>
      <c r="X2109" s="49"/>
      <c r="Y2109" s="49"/>
      <c r="Z2109" s="49"/>
      <c r="AA2109" s="49"/>
      <c r="AB2109" s="49"/>
      <c r="AC2109" s="49"/>
      <c r="AD2109" s="49"/>
      <c r="AE2109" s="49"/>
      <c r="AF2109" s="49"/>
      <c r="AG2109" s="49"/>
      <c r="AH2109" s="49"/>
      <c r="AI2109" s="48"/>
      <c r="AJ2109" s="48"/>
      <c r="AK2109" s="24"/>
      <c r="AL2109" s="50"/>
      <c r="AM2109" s="50"/>
      <c r="AN2109" s="50"/>
      <c r="AO2109" s="50"/>
      <c r="AP2109" s="50"/>
      <c r="AQ2109" s="50"/>
      <c r="AR2109" s="50"/>
      <c r="AS2109" s="50"/>
      <c r="AT2109" s="51"/>
      <c r="AU2109" s="51"/>
      <c r="AV2109" s="51"/>
      <c r="AW2109" s="51"/>
      <c r="AX2109" s="50"/>
      <c r="AY2109" s="50"/>
      <c r="AZ2109" s="50"/>
      <c r="BA2109" s="50"/>
      <c r="BB2109" s="51"/>
      <c r="BC2109" s="51"/>
      <c r="BD2109" s="51"/>
      <c r="BE2109" s="51"/>
      <c r="BF2109" s="47"/>
      <c r="BG2109" s="47"/>
      <c r="BH2109" s="47"/>
      <c r="BI2109" s="47"/>
      <c r="BJ2109" s="47"/>
      <c r="BK2109" s="47"/>
      <c r="BL2109" s="47"/>
      <c r="BM2109" s="47"/>
      <c r="BN2109" s="47"/>
      <c r="BO2109" s="47"/>
      <c r="BP2109" s="47"/>
      <c r="BQ2109" s="47"/>
      <c r="BR2109" s="47"/>
      <c r="BS2109" s="47"/>
      <c r="BT2109" s="47"/>
    </row>
    <row r="2110">
      <c r="A2110" s="24"/>
      <c r="B2110" s="48"/>
      <c r="C2110" s="49"/>
      <c r="D2110" s="24"/>
      <c r="E2110" s="52"/>
      <c r="F2110" s="53"/>
      <c r="G2110" s="48"/>
      <c r="H2110" s="49"/>
      <c r="I2110" s="49"/>
      <c r="J2110" s="48"/>
      <c r="K2110" s="48"/>
      <c r="L2110" s="48"/>
      <c r="M2110" s="48"/>
      <c r="N2110" s="48"/>
      <c r="O2110" s="48"/>
      <c r="P2110" s="48"/>
      <c r="Q2110" s="48"/>
      <c r="R2110" s="48"/>
      <c r="S2110" s="48"/>
      <c r="T2110" s="48"/>
      <c r="U2110" s="48"/>
      <c r="V2110" s="48"/>
      <c r="W2110" s="49"/>
      <c r="X2110" s="49"/>
      <c r="Y2110" s="49"/>
      <c r="Z2110" s="49"/>
      <c r="AA2110" s="49"/>
      <c r="AB2110" s="49"/>
      <c r="AC2110" s="49"/>
      <c r="AD2110" s="49"/>
      <c r="AE2110" s="49"/>
      <c r="AF2110" s="49"/>
      <c r="AG2110" s="49"/>
      <c r="AH2110" s="49"/>
      <c r="AI2110" s="48"/>
      <c r="AJ2110" s="48"/>
      <c r="AK2110" s="24"/>
      <c r="AL2110" s="50"/>
      <c r="AM2110" s="50"/>
      <c r="AN2110" s="50"/>
      <c r="AO2110" s="50"/>
      <c r="AP2110" s="50"/>
      <c r="AQ2110" s="50"/>
      <c r="AR2110" s="50"/>
      <c r="AS2110" s="50"/>
      <c r="AT2110" s="51"/>
      <c r="AU2110" s="51"/>
      <c r="AV2110" s="51"/>
      <c r="AW2110" s="51"/>
      <c r="AX2110" s="50"/>
      <c r="AY2110" s="50"/>
      <c r="AZ2110" s="50"/>
      <c r="BA2110" s="50"/>
      <c r="BB2110" s="51"/>
      <c r="BC2110" s="51"/>
      <c r="BD2110" s="51"/>
      <c r="BE2110" s="51"/>
      <c r="BF2110" s="47"/>
      <c r="BG2110" s="47"/>
      <c r="BH2110" s="47"/>
      <c r="BI2110" s="47"/>
      <c r="BJ2110" s="47"/>
      <c r="BK2110" s="47"/>
      <c r="BL2110" s="47"/>
      <c r="BM2110" s="47"/>
      <c r="BN2110" s="47"/>
      <c r="BO2110" s="47"/>
      <c r="BP2110" s="47"/>
      <c r="BQ2110" s="47"/>
      <c r="BR2110" s="47"/>
      <c r="BS2110" s="47"/>
      <c r="BT2110" s="47"/>
    </row>
    <row r="2111">
      <c r="A2111" s="24"/>
      <c r="B2111" s="48"/>
      <c r="C2111" s="49"/>
      <c r="D2111" s="24"/>
      <c r="E2111" s="52"/>
      <c r="F2111" s="53"/>
      <c r="G2111" s="48"/>
      <c r="H2111" s="49"/>
      <c r="I2111" s="49"/>
      <c r="J2111" s="48"/>
      <c r="K2111" s="48"/>
      <c r="L2111" s="48"/>
      <c r="M2111" s="48"/>
      <c r="N2111" s="48"/>
      <c r="O2111" s="48"/>
      <c r="P2111" s="48"/>
      <c r="Q2111" s="48"/>
      <c r="R2111" s="48"/>
      <c r="S2111" s="48"/>
      <c r="T2111" s="48"/>
      <c r="U2111" s="48"/>
      <c r="V2111" s="48"/>
      <c r="W2111" s="49"/>
      <c r="X2111" s="49"/>
      <c r="Y2111" s="49"/>
      <c r="Z2111" s="49"/>
      <c r="AA2111" s="49"/>
      <c r="AB2111" s="49"/>
      <c r="AC2111" s="49"/>
      <c r="AD2111" s="49"/>
      <c r="AE2111" s="49"/>
      <c r="AF2111" s="49"/>
      <c r="AG2111" s="49"/>
      <c r="AH2111" s="49"/>
      <c r="AI2111" s="48"/>
      <c r="AJ2111" s="48"/>
      <c r="AK2111" s="24"/>
      <c r="AL2111" s="50"/>
      <c r="AM2111" s="50"/>
      <c r="AN2111" s="50"/>
      <c r="AO2111" s="50"/>
      <c r="AP2111" s="50"/>
      <c r="AQ2111" s="50"/>
      <c r="AR2111" s="50"/>
      <c r="AS2111" s="50"/>
      <c r="AT2111" s="51"/>
      <c r="AU2111" s="51"/>
      <c r="AV2111" s="51"/>
      <c r="AW2111" s="51"/>
      <c r="AX2111" s="50"/>
      <c r="AY2111" s="50"/>
      <c r="AZ2111" s="50"/>
      <c r="BA2111" s="50"/>
      <c r="BB2111" s="51"/>
      <c r="BC2111" s="51"/>
      <c r="BD2111" s="51"/>
      <c r="BE2111" s="51"/>
      <c r="BF2111" s="47"/>
      <c r="BG2111" s="47"/>
      <c r="BH2111" s="47"/>
      <c r="BI2111" s="47"/>
      <c r="BJ2111" s="47"/>
      <c r="BK2111" s="47"/>
      <c r="BL2111" s="47"/>
      <c r="BM2111" s="47"/>
      <c r="BN2111" s="47"/>
      <c r="BO2111" s="47"/>
      <c r="BP2111" s="47"/>
      <c r="BQ2111" s="47"/>
      <c r="BR2111" s="47"/>
      <c r="BS2111" s="47"/>
      <c r="BT2111" s="47"/>
    </row>
    <row r="2112">
      <c r="A2112" s="24"/>
      <c r="B2112" s="48"/>
      <c r="C2112" s="49"/>
      <c r="D2112" s="24"/>
      <c r="E2112" s="52"/>
      <c r="F2112" s="53"/>
      <c r="G2112" s="48"/>
      <c r="H2112" s="49"/>
      <c r="I2112" s="49"/>
      <c r="J2112" s="48"/>
      <c r="K2112" s="48"/>
      <c r="L2112" s="48"/>
      <c r="M2112" s="48"/>
      <c r="N2112" s="48"/>
      <c r="O2112" s="48"/>
      <c r="P2112" s="48"/>
      <c r="Q2112" s="48"/>
      <c r="R2112" s="48"/>
      <c r="S2112" s="48"/>
      <c r="T2112" s="48"/>
      <c r="U2112" s="48"/>
      <c r="V2112" s="48"/>
      <c r="W2112" s="49"/>
      <c r="X2112" s="49"/>
      <c r="Y2112" s="49"/>
      <c r="Z2112" s="49"/>
      <c r="AA2112" s="49"/>
      <c r="AB2112" s="49"/>
      <c r="AC2112" s="49"/>
      <c r="AD2112" s="49"/>
      <c r="AE2112" s="49"/>
      <c r="AF2112" s="49"/>
      <c r="AG2112" s="49"/>
      <c r="AH2112" s="49"/>
      <c r="AI2112" s="48"/>
      <c r="AJ2112" s="48"/>
      <c r="AK2112" s="24"/>
      <c r="AL2112" s="50"/>
      <c r="AM2112" s="50"/>
      <c r="AN2112" s="50"/>
      <c r="AO2112" s="50"/>
      <c r="AP2112" s="50"/>
      <c r="AQ2112" s="50"/>
      <c r="AR2112" s="50"/>
      <c r="AS2112" s="50"/>
      <c r="AT2112" s="51"/>
      <c r="AU2112" s="51"/>
      <c r="AV2112" s="51"/>
      <c r="AW2112" s="51"/>
      <c r="AX2112" s="50"/>
      <c r="AY2112" s="50"/>
      <c r="AZ2112" s="50"/>
      <c r="BA2112" s="50"/>
      <c r="BB2112" s="51"/>
      <c r="BC2112" s="51"/>
      <c r="BD2112" s="51"/>
      <c r="BE2112" s="51"/>
      <c r="BF2112" s="47"/>
      <c r="BG2112" s="47"/>
      <c r="BH2112" s="47"/>
      <c r="BI2112" s="47"/>
      <c r="BJ2112" s="47"/>
      <c r="BK2112" s="47"/>
      <c r="BL2112" s="47"/>
      <c r="BM2112" s="47"/>
      <c r="BN2112" s="47"/>
      <c r="BO2112" s="47"/>
      <c r="BP2112" s="47"/>
      <c r="BQ2112" s="47"/>
      <c r="BR2112" s="47"/>
      <c r="BS2112" s="47"/>
      <c r="BT2112" s="47"/>
    </row>
    <row r="2113">
      <c r="A2113" s="24"/>
      <c r="B2113" s="48"/>
      <c r="C2113" s="49"/>
      <c r="D2113" s="24"/>
      <c r="E2113" s="52"/>
      <c r="F2113" s="53"/>
      <c r="G2113" s="48"/>
      <c r="H2113" s="49"/>
      <c r="I2113" s="49"/>
      <c r="J2113" s="48"/>
      <c r="K2113" s="48"/>
      <c r="L2113" s="48"/>
      <c r="M2113" s="48"/>
      <c r="N2113" s="48"/>
      <c r="O2113" s="48"/>
      <c r="P2113" s="48"/>
      <c r="Q2113" s="48"/>
      <c r="R2113" s="48"/>
      <c r="S2113" s="48"/>
      <c r="T2113" s="48"/>
      <c r="U2113" s="48"/>
      <c r="V2113" s="48"/>
      <c r="W2113" s="49"/>
      <c r="X2113" s="49"/>
      <c r="Y2113" s="49"/>
      <c r="Z2113" s="49"/>
      <c r="AA2113" s="49"/>
      <c r="AB2113" s="49"/>
      <c r="AC2113" s="49"/>
      <c r="AD2113" s="49"/>
      <c r="AE2113" s="49"/>
      <c r="AF2113" s="49"/>
      <c r="AG2113" s="49"/>
      <c r="AH2113" s="49"/>
      <c r="AI2113" s="48"/>
      <c r="AJ2113" s="48"/>
      <c r="AK2113" s="24"/>
      <c r="AL2113" s="50"/>
      <c r="AM2113" s="50"/>
      <c r="AN2113" s="50"/>
      <c r="AO2113" s="50"/>
      <c r="AP2113" s="50"/>
      <c r="AQ2113" s="50"/>
      <c r="AR2113" s="50"/>
      <c r="AS2113" s="50"/>
      <c r="AT2113" s="51"/>
      <c r="AU2113" s="51"/>
      <c r="AV2113" s="51"/>
      <c r="AW2113" s="51"/>
      <c r="AX2113" s="50"/>
      <c r="AY2113" s="50"/>
      <c r="AZ2113" s="50"/>
      <c r="BA2113" s="50"/>
      <c r="BB2113" s="51"/>
      <c r="BC2113" s="51"/>
      <c r="BD2113" s="51"/>
      <c r="BE2113" s="51"/>
      <c r="BF2113" s="47"/>
      <c r="BG2113" s="47"/>
      <c r="BH2113" s="47"/>
      <c r="BI2113" s="47"/>
      <c r="BJ2113" s="47"/>
      <c r="BK2113" s="47"/>
      <c r="BL2113" s="47"/>
      <c r="BM2113" s="47"/>
      <c r="BN2113" s="47"/>
      <c r="BO2113" s="47"/>
      <c r="BP2113" s="47"/>
      <c r="BQ2113" s="47"/>
      <c r="BR2113" s="47"/>
      <c r="BS2113" s="47"/>
      <c r="BT2113" s="47"/>
    </row>
    <row r="2114">
      <c r="A2114" s="24"/>
      <c r="B2114" s="48"/>
      <c r="C2114" s="49"/>
      <c r="D2114" s="24"/>
      <c r="E2114" s="52"/>
      <c r="F2114" s="53"/>
      <c r="G2114" s="48"/>
      <c r="H2114" s="49"/>
      <c r="I2114" s="49"/>
      <c r="J2114" s="48"/>
      <c r="K2114" s="48"/>
      <c r="L2114" s="48"/>
      <c r="M2114" s="48"/>
      <c r="N2114" s="48"/>
      <c r="O2114" s="48"/>
      <c r="P2114" s="48"/>
      <c r="Q2114" s="48"/>
      <c r="R2114" s="48"/>
      <c r="S2114" s="48"/>
      <c r="T2114" s="48"/>
      <c r="U2114" s="48"/>
      <c r="V2114" s="48"/>
      <c r="W2114" s="49"/>
      <c r="X2114" s="49"/>
      <c r="Y2114" s="49"/>
      <c r="Z2114" s="49"/>
      <c r="AA2114" s="49"/>
      <c r="AB2114" s="49"/>
      <c r="AC2114" s="49"/>
      <c r="AD2114" s="49"/>
      <c r="AE2114" s="49"/>
      <c r="AF2114" s="49"/>
      <c r="AG2114" s="49"/>
      <c r="AH2114" s="49"/>
      <c r="AI2114" s="48"/>
      <c r="AJ2114" s="48"/>
      <c r="AK2114" s="24"/>
      <c r="AL2114" s="50"/>
      <c r="AM2114" s="50"/>
      <c r="AN2114" s="50"/>
      <c r="AO2114" s="50"/>
      <c r="AP2114" s="50"/>
      <c r="AQ2114" s="50"/>
      <c r="AR2114" s="50"/>
      <c r="AS2114" s="50"/>
      <c r="AT2114" s="51"/>
      <c r="AU2114" s="51"/>
      <c r="AV2114" s="51"/>
      <c r="AW2114" s="51"/>
      <c r="AX2114" s="50"/>
      <c r="AY2114" s="50"/>
      <c r="AZ2114" s="50"/>
      <c r="BA2114" s="50"/>
      <c r="BB2114" s="51"/>
      <c r="BC2114" s="51"/>
      <c r="BD2114" s="51"/>
      <c r="BE2114" s="51"/>
      <c r="BF2114" s="47"/>
      <c r="BG2114" s="47"/>
      <c r="BH2114" s="47"/>
      <c r="BI2114" s="47"/>
      <c r="BJ2114" s="47"/>
      <c r="BK2114" s="47"/>
      <c r="BL2114" s="47"/>
      <c r="BM2114" s="47"/>
      <c r="BN2114" s="47"/>
      <c r="BO2114" s="47"/>
      <c r="BP2114" s="47"/>
      <c r="BQ2114" s="47"/>
      <c r="BR2114" s="47"/>
      <c r="BS2114" s="47"/>
      <c r="BT2114" s="47"/>
    </row>
    <row r="2115">
      <c r="A2115" s="24"/>
      <c r="B2115" s="48"/>
      <c r="C2115" s="49"/>
      <c r="D2115" s="24"/>
      <c r="E2115" s="52"/>
      <c r="F2115" s="53"/>
      <c r="G2115" s="48"/>
      <c r="H2115" s="49"/>
      <c r="I2115" s="49"/>
      <c r="J2115" s="48"/>
      <c r="K2115" s="48"/>
      <c r="L2115" s="48"/>
      <c r="M2115" s="48"/>
      <c r="N2115" s="48"/>
      <c r="O2115" s="48"/>
      <c r="P2115" s="48"/>
      <c r="Q2115" s="48"/>
      <c r="R2115" s="48"/>
      <c r="S2115" s="48"/>
      <c r="T2115" s="48"/>
      <c r="U2115" s="48"/>
      <c r="V2115" s="48"/>
      <c r="W2115" s="49"/>
      <c r="X2115" s="49"/>
      <c r="Y2115" s="49"/>
      <c r="Z2115" s="49"/>
      <c r="AA2115" s="49"/>
      <c r="AB2115" s="49"/>
      <c r="AC2115" s="49"/>
      <c r="AD2115" s="49"/>
      <c r="AE2115" s="49"/>
      <c r="AF2115" s="49"/>
      <c r="AG2115" s="49"/>
      <c r="AH2115" s="49"/>
      <c r="AI2115" s="48"/>
      <c r="AJ2115" s="48"/>
      <c r="AK2115" s="24"/>
      <c r="AL2115" s="50"/>
      <c r="AM2115" s="50"/>
      <c r="AN2115" s="50"/>
      <c r="AO2115" s="50"/>
      <c r="AP2115" s="50"/>
      <c r="AQ2115" s="50"/>
      <c r="AR2115" s="50"/>
      <c r="AS2115" s="50"/>
      <c r="AT2115" s="51"/>
      <c r="AU2115" s="51"/>
      <c r="AV2115" s="51"/>
      <c r="AW2115" s="51"/>
      <c r="AX2115" s="50"/>
      <c r="AY2115" s="50"/>
      <c r="AZ2115" s="50"/>
      <c r="BA2115" s="50"/>
      <c r="BB2115" s="51"/>
      <c r="BC2115" s="51"/>
      <c r="BD2115" s="51"/>
      <c r="BE2115" s="51"/>
      <c r="BF2115" s="47"/>
      <c r="BG2115" s="47"/>
      <c r="BH2115" s="47"/>
      <c r="BI2115" s="47"/>
      <c r="BJ2115" s="47"/>
      <c r="BK2115" s="47"/>
      <c r="BL2115" s="47"/>
      <c r="BM2115" s="47"/>
      <c r="BN2115" s="47"/>
      <c r="BO2115" s="47"/>
      <c r="BP2115" s="47"/>
      <c r="BQ2115" s="47"/>
      <c r="BR2115" s="47"/>
      <c r="BS2115" s="47"/>
      <c r="BT2115" s="47"/>
    </row>
    <row r="2116">
      <c r="A2116" s="24"/>
      <c r="B2116" s="48"/>
      <c r="C2116" s="49"/>
      <c r="D2116" s="24"/>
      <c r="E2116" s="52"/>
      <c r="F2116" s="53"/>
      <c r="G2116" s="48"/>
      <c r="H2116" s="49"/>
      <c r="I2116" s="49"/>
      <c r="J2116" s="48"/>
      <c r="K2116" s="48"/>
      <c r="L2116" s="48"/>
      <c r="M2116" s="48"/>
      <c r="N2116" s="48"/>
      <c r="O2116" s="48"/>
      <c r="P2116" s="48"/>
      <c r="Q2116" s="48"/>
      <c r="R2116" s="48"/>
      <c r="S2116" s="48"/>
      <c r="T2116" s="48"/>
      <c r="U2116" s="48"/>
      <c r="V2116" s="48"/>
      <c r="W2116" s="49"/>
      <c r="X2116" s="49"/>
      <c r="Y2116" s="49"/>
      <c r="Z2116" s="49"/>
      <c r="AA2116" s="49"/>
      <c r="AB2116" s="49"/>
      <c r="AC2116" s="49"/>
      <c r="AD2116" s="49"/>
      <c r="AE2116" s="49"/>
      <c r="AF2116" s="49"/>
      <c r="AG2116" s="49"/>
      <c r="AH2116" s="49"/>
      <c r="AI2116" s="48"/>
      <c r="AJ2116" s="48"/>
      <c r="AK2116" s="24"/>
      <c r="AL2116" s="50"/>
      <c r="AM2116" s="50"/>
      <c r="AN2116" s="50"/>
      <c r="AO2116" s="50"/>
      <c r="AP2116" s="50"/>
      <c r="AQ2116" s="50"/>
      <c r="AR2116" s="50"/>
      <c r="AS2116" s="50"/>
      <c r="AT2116" s="51"/>
      <c r="AU2116" s="51"/>
      <c r="AV2116" s="51"/>
      <c r="AW2116" s="51"/>
      <c r="AX2116" s="50"/>
      <c r="AY2116" s="50"/>
      <c r="AZ2116" s="50"/>
      <c r="BA2116" s="50"/>
      <c r="BB2116" s="51"/>
      <c r="BC2116" s="51"/>
      <c r="BD2116" s="51"/>
      <c r="BE2116" s="51"/>
      <c r="BF2116" s="47"/>
      <c r="BG2116" s="47"/>
      <c r="BH2116" s="47"/>
      <c r="BI2116" s="47"/>
      <c r="BJ2116" s="47"/>
      <c r="BK2116" s="47"/>
      <c r="BL2116" s="47"/>
      <c r="BM2116" s="47"/>
      <c r="BN2116" s="47"/>
      <c r="BO2116" s="47"/>
      <c r="BP2116" s="47"/>
      <c r="BQ2116" s="47"/>
      <c r="BR2116" s="47"/>
      <c r="BS2116" s="47"/>
      <c r="BT2116" s="47"/>
    </row>
    <row r="2117">
      <c r="A2117" s="24"/>
      <c r="B2117" s="48"/>
      <c r="C2117" s="49"/>
      <c r="D2117" s="24"/>
      <c r="E2117" s="52"/>
      <c r="F2117" s="53"/>
      <c r="G2117" s="48"/>
      <c r="H2117" s="49"/>
      <c r="I2117" s="49"/>
      <c r="J2117" s="48"/>
      <c r="K2117" s="48"/>
      <c r="L2117" s="48"/>
      <c r="M2117" s="48"/>
      <c r="N2117" s="48"/>
      <c r="O2117" s="48"/>
      <c r="P2117" s="48"/>
      <c r="Q2117" s="48"/>
      <c r="R2117" s="48"/>
      <c r="S2117" s="48"/>
      <c r="T2117" s="48"/>
      <c r="U2117" s="48"/>
      <c r="V2117" s="48"/>
      <c r="W2117" s="49"/>
      <c r="X2117" s="49"/>
      <c r="Y2117" s="49"/>
      <c r="Z2117" s="49"/>
      <c r="AA2117" s="49"/>
      <c r="AB2117" s="49"/>
      <c r="AC2117" s="49"/>
      <c r="AD2117" s="49"/>
      <c r="AE2117" s="49"/>
      <c r="AF2117" s="49"/>
      <c r="AG2117" s="49"/>
      <c r="AH2117" s="49"/>
      <c r="AI2117" s="48"/>
      <c r="AJ2117" s="48"/>
      <c r="AK2117" s="24"/>
      <c r="AL2117" s="50"/>
      <c r="AM2117" s="50"/>
      <c r="AN2117" s="50"/>
      <c r="AO2117" s="50"/>
      <c r="AP2117" s="50"/>
      <c r="AQ2117" s="50"/>
      <c r="AR2117" s="50"/>
      <c r="AS2117" s="50"/>
      <c r="AT2117" s="51"/>
      <c r="AU2117" s="51"/>
      <c r="AV2117" s="51"/>
      <c r="AW2117" s="51"/>
      <c r="AX2117" s="50"/>
      <c r="AY2117" s="50"/>
      <c r="AZ2117" s="50"/>
      <c r="BA2117" s="50"/>
      <c r="BB2117" s="51"/>
      <c r="BC2117" s="51"/>
      <c r="BD2117" s="51"/>
      <c r="BE2117" s="51"/>
      <c r="BF2117" s="47"/>
      <c r="BG2117" s="47"/>
      <c r="BH2117" s="47"/>
      <c r="BI2117" s="47"/>
      <c r="BJ2117" s="47"/>
      <c r="BK2117" s="47"/>
      <c r="BL2117" s="47"/>
      <c r="BM2117" s="47"/>
      <c r="BN2117" s="47"/>
      <c r="BO2117" s="47"/>
      <c r="BP2117" s="47"/>
      <c r="BQ2117" s="47"/>
      <c r="BR2117" s="47"/>
      <c r="BS2117" s="47"/>
      <c r="BT2117" s="47"/>
    </row>
    <row r="2118">
      <c r="A2118" s="24"/>
      <c r="B2118" s="48"/>
      <c r="C2118" s="49"/>
      <c r="D2118" s="24"/>
      <c r="E2118" s="52"/>
      <c r="F2118" s="53"/>
      <c r="G2118" s="48"/>
      <c r="H2118" s="49"/>
      <c r="I2118" s="49"/>
      <c r="J2118" s="48"/>
      <c r="K2118" s="48"/>
      <c r="L2118" s="48"/>
      <c r="M2118" s="48"/>
      <c r="N2118" s="48"/>
      <c r="O2118" s="48"/>
      <c r="P2118" s="48"/>
      <c r="Q2118" s="48"/>
      <c r="R2118" s="48"/>
      <c r="S2118" s="48"/>
      <c r="T2118" s="48"/>
      <c r="U2118" s="48"/>
      <c r="V2118" s="48"/>
      <c r="W2118" s="49"/>
      <c r="X2118" s="49"/>
      <c r="Y2118" s="49"/>
      <c r="Z2118" s="49"/>
      <c r="AA2118" s="49"/>
      <c r="AB2118" s="49"/>
      <c r="AC2118" s="49"/>
      <c r="AD2118" s="49"/>
      <c r="AE2118" s="49"/>
      <c r="AF2118" s="49"/>
      <c r="AG2118" s="49"/>
      <c r="AH2118" s="49"/>
      <c r="AI2118" s="48"/>
      <c r="AJ2118" s="48"/>
      <c r="AK2118" s="24"/>
      <c r="AL2118" s="50"/>
      <c r="AM2118" s="50"/>
      <c r="AN2118" s="50"/>
      <c r="AO2118" s="50"/>
      <c r="AP2118" s="50"/>
      <c r="AQ2118" s="50"/>
      <c r="AR2118" s="50"/>
      <c r="AS2118" s="50"/>
      <c r="AT2118" s="51"/>
      <c r="AU2118" s="51"/>
      <c r="AV2118" s="51"/>
      <c r="AW2118" s="51"/>
      <c r="AX2118" s="50"/>
      <c r="AY2118" s="50"/>
      <c r="AZ2118" s="50"/>
      <c r="BA2118" s="50"/>
      <c r="BB2118" s="51"/>
      <c r="BC2118" s="51"/>
      <c r="BD2118" s="51"/>
      <c r="BE2118" s="51"/>
      <c r="BF2118" s="47"/>
      <c r="BG2118" s="47"/>
      <c r="BH2118" s="47"/>
      <c r="BI2118" s="47"/>
      <c r="BJ2118" s="47"/>
      <c r="BK2118" s="47"/>
      <c r="BL2118" s="47"/>
      <c r="BM2118" s="47"/>
      <c r="BN2118" s="47"/>
      <c r="BO2118" s="47"/>
      <c r="BP2118" s="47"/>
      <c r="BQ2118" s="47"/>
      <c r="BR2118" s="47"/>
      <c r="BS2118" s="47"/>
      <c r="BT2118" s="47"/>
    </row>
    <row r="2119">
      <c r="A2119" s="24"/>
      <c r="B2119" s="48"/>
      <c r="C2119" s="49"/>
      <c r="D2119" s="24"/>
      <c r="E2119" s="52"/>
      <c r="F2119" s="53"/>
      <c r="G2119" s="48"/>
      <c r="H2119" s="49"/>
      <c r="I2119" s="49"/>
      <c r="J2119" s="48"/>
      <c r="K2119" s="48"/>
      <c r="L2119" s="48"/>
      <c r="M2119" s="48"/>
      <c r="N2119" s="48"/>
      <c r="O2119" s="48"/>
      <c r="P2119" s="48"/>
      <c r="Q2119" s="48"/>
      <c r="R2119" s="48"/>
      <c r="S2119" s="48"/>
      <c r="T2119" s="48"/>
      <c r="U2119" s="48"/>
      <c r="V2119" s="48"/>
      <c r="W2119" s="49"/>
      <c r="X2119" s="49"/>
      <c r="Y2119" s="49"/>
      <c r="Z2119" s="49"/>
      <c r="AA2119" s="49"/>
      <c r="AB2119" s="49"/>
      <c r="AC2119" s="49"/>
      <c r="AD2119" s="49"/>
      <c r="AE2119" s="49"/>
      <c r="AF2119" s="49"/>
      <c r="AG2119" s="49"/>
      <c r="AH2119" s="49"/>
      <c r="AI2119" s="48"/>
      <c r="AJ2119" s="48"/>
      <c r="AK2119" s="24"/>
      <c r="AL2119" s="50"/>
      <c r="AM2119" s="50"/>
      <c r="AN2119" s="50"/>
      <c r="AO2119" s="50"/>
      <c r="AP2119" s="50"/>
      <c r="AQ2119" s="50"/>
      <c r="AR2119" s="50"/>
      <c r="AS2119" s="50"/>
      <c r="AT2119" s="51"/>
      <c r="AU2119" s="51"/>
      <c r="AV2119" s="51"/>
      <c r="AW2119" s="51"/>
      <c r="AX2119" s="50"/>
      <c r="AY2119" s="50"/>
      <c r="AZ2119" s="50"/>
      <c r="BA2119" s="50"/>
      <c r="BB2119" s="51"/>
      <c r="BC2119" s="51"/>
      <c r="BD2119" s="51"/>
      <c r="BE2119" s="51"/>
      <c r="BF2119" s="47"/>
      <c r="BG2119" s="47"/>
      <c r="BH2119" s="47"/>
      <c r="BI2119" s="47"/>
      <c r="BJ2119" s="47"/>
      <c r="BK2119" s="47"/>
      <c r="BL2119" s="47"/>
      <c r="BM2119" s="47"/>
      <c r="BN2119" s="47"/>
      <c r="BO2119" s="47"/>
      <c r="BP2119" s="47"/>
      <c r="BQ2119" s="47"/>
      <c r="BR2119" s="47"/>
      <c r="BS2119" s="47"/>
      <c r="BT2119" s="47"/>
    </row>
    <row r="2120">
      <c r="A2120" s="24"/>
      <c r="B2120" s="48"/>
      <c r="C2120" s="49"/>
      <c r="D2120" s="24"/>
      <c r="E2120" s="52"/>
      <c r="F2120" s="53"/>
      <c r="G2120" s="48"/>
      <c r="H2120" s="49"/>
      <c r="I2120" s="49"/>
      <c r="J2120" s="48"/>
      <c r="K2120" s="48"/>
      <c r="L2120" s="48"/>
      <c r="M2120" s="48"/>
      <c r="N2120" s="48"/>
      <c r="O2120" s="48"/>
      <c r="P2120" s="48"/>
      <c r="Q2120" s="48"/>
      <c r="R2120" s="48"/>
      <c r="S2120" s="48"/>
      <c r="T2120" s="48"/>
      <c r="U2120" s="48"/>
      <c r="V2120" s="48"/>
      <c r="W2120" s="49"/>
      <c r="X2120" s="49"/>
      <c r="Y2120" s="49"/>
      <c r="Z2120" s="49"/>
      <c r="AA2120" s="49"/>
      <c r="AB2120" s="49"/>
      <c r="AC2120" s="49"/>
      <c r="AD2120" s="49"/>
      <c r="AE2120" s="49"/>
      <c r="AF2120" s="49"/>
      <c r="AG2120" s="49"/>
      <c r="AH2120" s="49"/>
      <c r="AI2120" s="48"/>
      <c r="AJ2120" s="48"/>
      <c r="AK2120" s="24"/>
      <c r="AL2120" s="50"/>
      <c r="AM2120" s="50"/>
      <c r="AN2120" s="50"/>
      <c r="AO2120" s="50"/>
      <c r="AP2120" s="50"/>
      <c r="AQ2120" s="50"/>
      <c r="AR2120" s="50"/>
      <c r="AS2120" s="50"/>
      <c r="AT2120" s="51"/>
      <c r="AU2120" s="51"/>
      <c r="AV2120" s="51"/>
      <c r="AW2120" s="51"/>
      <c r="AX2120" s="50"/>
      <c r="AY2120" s="50"/>
      <c r="AZ2120" s="50"/>
      <c r="BA2120" s="50"/>
      <c r="BB2120" s="51"/>
      <c r="BC2120" s="51"/>
      <c r="BD2120" s="51"/>
      <c r="BE2120" s="51"/>
      <c r="BF2120" s="47"/>
      <c r="BG2120" s="47"/>
      <c r="BH2120" s="47"/>
      <c r="BI2120" s="47"/>
      <c r="BJ2120" s="47"/>
      <c r="BK2120" s="47"/>
      <c r="BL2120" s="47"/>
      <c r="BM2120" s="47"/>
      <c r="BN2120" s="47"/>
      <c r="BO2120" s="47"/>
      <c r="BP2120" s="47"/>
      <c r="BQ2120" s="47"/>
      <c r="BR2120" s="47"/>
      <c r="BS2120" s="47"/>
      <c r="BT2120" s="47"/>
    </row>
    <row r="2121">
      <c r="A2121" s="24"/>
      <c r="B2121" s="48"/>
      <c r="C2121" s="49"/>
      <c r="D2121" s="24"/>
      <c r="E2121" s="52"/>
      <c r="F2121" s="53"/>
      <c r="G2121" s="48"/>
      <c r="H2121" s="49"/>
      <c r="I2121" s="49"/>
      <c r="J2121" s="48"/>
      <c r="K2121" s="48"/>
      <c r="L2121" s="48"/>
      <c r="M2121" s="48"/>
      <c r="N2121" s="48"/>
      <c r="O2121" s="48"/>
      <c r="P2121" s="48"/>
      <c r="Q2121" s="48"/>
      <c r="R2121" s="48"/>
      <c r="S2121" s="48"/>
      <c r="T2121" s="48"/>
      <c r="U2121" s="48"/>
      <c r="V2121" s="48"/>
      <c r="W2121" s="49"/>
      <c r="X2121" s="49"/>
      <c r="Y2121" s="49"/>
      <c r="Z2121" s="49"/>
      <c r="AA2121" s="49"/>
      <c r="AB2121" s="49"/>
      <c r="AC2121" s="49"/>
      <c r="AD2121" s="49"/>
      <c r="AE2121" s="49"/>
      <c r="AF2121" s="49"/>
      <c r="AG2121" s="49"/>
      <c r="AH2121" s="49"/>
      <c r="AI2121" s="48"/>
      <c r="AJ2121" s="48"/>
      <c r="AK2121" s="24"/>
      <c r="AL2121" s="50"/>
      <c r="AM2121" s="50"/>
      <c r="AN2121" s="50"/>
      <c r="AO2121" s="50"/>
      <c r="AP2121" s="50"/>
      <c r="AQ2121" s="50"/>
      <c r="AR2121" s="50"/>
      <c r="AS2121" s="50"/>
      <c r="AT2121" s="51"/>
      <c r="AU2121" s="51"/>
      <c r="AV2121" s="51"/>
      <c r="AW2121" s="51"/>
      <c r="AX2121" s="50"/>
      <c r="AY2121" s="50"/>
      <c r="AZ2121" s="50"/>
      <c r="BA2121" s="50"/>
      <c r="BB2121" s="51"/>
      <c r="BC2121" s="51"/>
      <c r="BD2121" s="51"/>
      <c r="BE2121" s="51"/>
      <c r="BF2121" s="47"/>
      <c r="BG2121" s="47"/>
      <c r="BH2121" s="47"/>
      <c r="BI2121" s="47"/>
      <c r="BJ2121" s="47"/>
      <c r="BK2121" s="47"/>
      <c r="BL2121" s="47"/>
      <c r="BM2121" s="47"/>
      <c r="BN2121" s="47"/>
      <c r="BO2121" s="47"/>
      <c r="BP2121" s="47"/>
      <c r="BQ2121" s="47"/>
      <c r="BR2121" s="47"/>
      <c r="BS2121" s="47"/>
      <c r="BT2121" s="47"/>
    </row>
    <row r="2122">
      <c r="A2122" s="24"/>
      <c r="B2122" s="48"/>
      <c r="C2122" s="49"/>
      <c r="D2122" s="24"/>
      <c r="E2122" s="52"/>
      <c r="F2122" s="53"/>
      <c r="G2122" s="48"/>
      <c r="H2122" s="49"/>
      <c r="I2122" s="49"/>
      <c r="J2122" s="48"/>
      <c r="K2122" s="48"/>
      <c r="L2122" s="48"/>
      <c r="M2122" s="48"/>
      <c r="N2122" s="48"/>
      <c r="O2122" s="48"/>
      <c r="P2122" s="48"/>
      <c r="Q2122" s="48"/>
      <c r="R2122" s="48"/>
      <c r="S2122" s="48"/>
      <c r="T2122" s="48"/>
      <c r="U2122" s="48"/>
      <c r="V2122" s="48"/>
      <c r="W2122" s="49"/>
      <c r="X2122" s="49"/>
      <c r="Y2122" s="49"/>
      <c r="Z2122" s="49"/>
      <c r="AA2122" s="49"/>
      <c r="AB2122" s="49"/>
      <c r="AC2122" s="49"/>
      <c r="AD2122" s="49"/>
      <c r="AE2122" s="49"/>
      <c r="AF2122" s="49"/>
      <c r="AG2122" s="49"/>
      <c r="AH2122" s="49"/>
      <c r="AI2122" s="48"/>
      <c r="AJ2122" s="48"/>
      <c r="AK2122" s="24"/>
      <c r="AL2122" s="50"/>
      <c r="AM2122" s="50"/>
      <c r="AN2122" s="50"/>
      <c r="AO2122" s="50"/>
      <c r="AP2122" s="50"/>
      <c r="AQ2122" s="50"/>
      <c r="AR2122" s="50"/>
      <c r="AS2122" s="50"/>
      <c r="AT2122" s="51"/>
      <c r="AU2122" s="51"/>
      <c r="AV2122" s="51"/>
      <c r="AW2122" s="51"/>
      <c r="AX2122" s="50"/>
      <c r="AY2122" s="50"/>
      <c r="AZ2122" s="50"/>
      <c r="BA2122" s="50"/>
      <c r="BB2122" s="51"/>
      <c r="BC2122" s="51"/>
      <c r="BD2122" s="51"/>
      <c r="BE2122" s="51"/>
      <c r="BF2122" s="47"/>
      <c r="BG2122" s="47"/>
      <c r="BH2122" s="47"/>
      <c r="BI2122" s="47"/>
      <c r="BJ2122" s="47"/>
      <c r="BK2122" s="47"/>
      <c r="BL2122" s="47"/>
      <c r="BM2122" s="47"/>
      <c r="BN2122" s="47"/>
      <c r="BO2122" s="47"/>
      <c r="BP2122" s="47"/>
      <c r="BQ2122" s="47"/>
      <c r="BR2122" s="47"/>
      <c r="BS2122" s="47"/>
      <c r="BT2122" s="47"/>
    </row>
    <row r="2123">
      <c r="A2123" s="24"/>
      <c r="B2123" s="48"/>
      <c r="C2123" s="49"/>
      <c r="D2123" s="24"/>
      <c r="E2123" s="52"/>
      <c r="F2123" s="53"/>
      <c r="G2123" s="48"/>
      <c r="H2123" s="49"/>
      <c r="I2123" s="49"/>
      <c r="J2123" s="48"/>
      <c r="K2123" s="48"/>
      <c r="L2123" s="48"/>
      <c r="M2123" s="48"/>
      <c r="N2123" s="48"/>
      <c r="O2123" s="48"/>
      <c r="P2123" s="48"/>
      <c r="Q2123" s="48"/>
      <c r="R2123" s="48"/>
      <c r="S2123" s="48"/>
      <c r="T2123" s="48"/>
      <c r="U2123" s="48"/>
      <c r="V2123" s="48"/>
      <c r="W2123" s="49"/>
      <c r="X2123" s="49"/>
      <c r="Y2123" s="49"/>
      <c r="Z2123" s="49"/>
      <c r="AA2123" s="49"/>
      <c r="AB2123" s="49"/>
      <c r="AC2123" s="49"/>
      <c r="AD2123" s="49"/>
      <c r="AE2123" s="49"/>
      <c r="AF2123" s="49"/>
      <c r="AG2123" s="49"/>
      <c r="AH2123" s="49"/>
      <c r="AI2123" s="48"/>
      <c r="AJ2123" s="48"/>
      <c r="AK2123" s="24"/>
      <c r="AL2123" s="50"/>
      <c r="AM2123" s="50"/>
      <c r="AN2123" s="50"/>
      <c r="AO2123" s="50"/>
      <c r="AP2123" s="50"/>
      <c r="AQ2123" s="50"/>
      <c r="AR2123" s="50"/>
      <c r="AS2123" s="50"/>
      <c r="AT2123" s="51"/>
      <c r="AU2123" s="51"/>
      <c r="AV2123" s="51"/>
      <c r="AW2123" s="51"/>
      <c r="AX2123" s="50"/>
      <c r="AY2123" s="50"/>
      <c r="AZ2123" s="50"/>
      <c r="BA2123" s="50"/>
      <c r="BB2123" s="51"/>
      <c r="BC2123" s="51"/>
      <c r="BD2123" s="51"/>
      <c r="BE2123" s="51"/>
      <c r="BF2123" s="47"/>
      <c r="BG2123" s="47"/>
      <c r="BH2123" s="47"/>
      <c r="BI2123" s="47"/>
      <c r="BJ2123" s="47"/>
      <c r="BK2123" s="47"/>
      <c r="BL2123" s="47"/>
      <c r="BM2123" s="47"/>
      <c r="BN2123" s="47"/>
      <c r="BO2123" s="47"/>
      <c r="BP2123" s="47"/>
      <c r="BQ2123" s="47"/>
      <c r="BR2123" s="47"/>
      <c r="BS2123" s="47"/>
      <c r="BT2123" s="47"/>
    </row>
    <row r="2124">
      <c r="A2124" s="24"/>
      <c r="B2124" s="48"/>
      <c r="C2124" s="49"/>
      <c r="D2124" s="24"/>
      <c r="E2124" s="52"/>
      <c r="F2124" s="53"/>
      <c r="G2124" s="48"/>
      <c r="H2124" s="49"/>
      <c r="I2124" s="49"/>
      <c r="J2124" s="48"/>
      <c r="K2124" s="48"/>
      <c r="L2124" s="48"/>
      <c r="M2124" s="48"/>
      <c r="N2124" s="48"/>
      <c r="O2124" s="48"/>
      <c r="P2124" s="48"/>
      <c r="Q2124" s="48"/>
      <c r="R2124" s="48"/>
      <c r="S2124" s="48"/>
      <c r="T2124" s="48"/>
      <c r="U2124" s="48"/>
      <c r="V2124" s="48"/>
      <c r="W2124" s="49"/>
      <c r="X2124" s="49"/>
      <c r="Y2124" s="49"/>
      <c r="Z2124" s="49"/>
      <c r="AA2124" s="49"/>
      <c r="AB2124" s="49"/>
      <c r="AC2124" s="49"/>
      <c r="AD2124" s="49"/>
      <c r="AE2124" s="49"/>
      <c r="AF2124" s="49"/>
      <c r="AG2124" s="49"/>
      <c r="AH2124" s="49"/>
      <c r="AI2124" s="48"/>
      <c r="AJ2124" s="48"/>
      <c r="AK2124" s="24"/>
      <c r="AL2124" s="50"/>
      <c r="AM2124" s="50"/>
      <c r="AN2124" s="50"/>
      <c r="AO2124" s="50"/>
      <c r="AP2124" s="50"/>
      <c r="AQ2124" s="50"/>
      <c r="AR2124" s="50"/>
      <c r="AS2124" s="50"/>
      <c r="AT2124" s="51"/>
      <c r="AU2124" s="51"/>
      <c r="AV2124" s="51"/>
      <c r="AW2124" s="51"/>
      <c r="AX2124" s="50"/>
      <c r="AY2124" s="50"/>
      <c r="AZ2124" s="50"/>
      <c r="BA2124" s="50"/>
      <c r="BB2124" s="51"/>
      <c r="BC2124" s="51"/>
      <c r="BD2124" s="51"/>
      <c r="BE2124" s="51"/>
      <c r="BF2124" s="47"/>
      <c r="BG2124" s="47"/>
      <c r="BH2124" s="47"/>
      <c r="BI2124" s="47"/>
      <c r="BJ2124" s="47"/>
      <c r="BK2124" s="47"/>
      <c r="BL2124" s="47"/>
      <c r="BM2124" s="47"/>
      <c r="BN2124" s="47"/>
      <c r="BO2124" s="47"/>
      <c r="BP2124" s="47"/>
      <c r="BQ2124" s="47"/>
      <c r="BR2124" s="47"/>
      <c r="BS2124" s="47"/>
      <c r="BT2124" s="47"/>
    </row>
    <row r="2125">
      <c r="A2125" s="24"/>
      <c r="B2125" s="48"/>
      <c r="C2125" s="49"/>
      <c r="D2125" s="24"/>
      <c r="E2125" s="52"/>
      <c r="F2125" s="53"/>
      <c r="G2125" s="48"/>
      <c r="H2125" s="49"/>
      <c r="I2125" s="49"/>
      <c r="J2125" s="48"/>
      <c r="K2125" s="48"/>
      <c r="L2125" s="48"/>
      <c r="M2125" s="48"/>
      <c r="N2125" s="48"/>
      <c r="O2125" s="48"/>
      <c r="P2125" s="48"/>
      <c r="Q2125" s="48"/>
      <c r="R2125" s="48"/>
      <c r="S2125" s="48"/>
      <c r="T2125" s="48"/>
      <c r="U2125" s="48"/>
      <c r="V2125" s="48"/>
      <c r="W2125" s="49"/>
      <c r="X2125" s="49"/>
      <c r="Y2125" s="49"/>
      <c r="Z2125" s="49"/>
      <c r="AA2125" s="49"/>
      <c r="AB2125" s="49"/>
      <c r="AC2125" s="49"/>
      <c r="AD2125" s="49"/>
      <c r="AE2125" s="49"/>
      <c r="AF2125" s="49"/>
      <c r="AG2125" s="49"/>
      <c r="AH2125" s="49"/>
      <c r="AI2125" s="48"/>
      <c r="AJ2125" s="48"/>
      <c r="AK2125" s="24"/>
      <c r="AL2125" s="50"/>
      <c r="AM2125" s="50"/>
      <c r="AN2125" s="50"/>
      <c r="AO2125" s="50"/>
      <c r="AP2125" s="50"/>
      <c r="AQ2125" s="50"/>
      <c r="AR2125" s="50"/>
      <c r="AS2125" s="50"/>
      <c r="AT2125" s="51"/>
      <c r="AU2125" s="51"/>
      <c r="AV2125" s="51"/>
      <c r="AW2125" s="51"/>
      <c r="AX2125" s="50"/>
      <c r="AY2125" s="50"/>
      <c r="AZ2125" s="50"/>
      <c r="BA2125" s="50"/>
      <c r="BB2125" s="51"/>
      <c r="BC2125" s="51"/>
      <c r="BD2125" s="51"/>
      <c r="BE2125" s="51"/>
      <c r="BF2125" s="47"/>
      <c r="BG2125" s="47"/>
      <c r="BH2125" s="47"/>
      <c r="BI2125" s="47"/>
      <c r="BJ2125" s="47"/>
      <c r="BK2125" s="47"/>
      <c r="BL2125" s="47"/>
      <c r="BM2125" s="47"/>
      <c r="BN2125" s="47"/>
      <c r="BO2125" s="47"/>
      <c r="BP2125" s="47"/>
      <c r="BQ2125" s="47"/>
      <c r="BR2125" s="47"/>
      <c r="BS2125" s="47"/>
      <c r="BT2125" s="47"/>
    </row>
    <row r="2126">
      <c r="A2126" s="24"/>
      <c r="B2126" s="48"/>
      <c r="C2126" s="49"/>
      <c r="D2126" s="24"/>
      <c r="E2126" s="52"/>
      <c r="F2126" s="53"/>
      <c r="G2126" s="48"/>
      <c r="H2126" s="49"/>
      <c r="I2126" s="49"/>
      <c r="J2126" s="48"/>
      <c r="K2126" s="48"/>
      <c r="L2126" s="48"/>
      <c r="M2126" s="48"/>
      <c r="N2126" s="48"/>
      <c r="O2126" s="48"/>
      <c r="P2126" s="48"/>
      <c r="Q2126" s="48"/>
      <c r="R2126" s="48"/>
      <c r="S2126" s="48"/>
      <c r="T2126" s="48"/>
      <c r="U2126" s="48"/>
      <c r="V2126" s="48"/>
      <c r="W2126" s="49"/>
      <c r="X2126" s="49"/>
      <c r="Y2126" s="49"/>
      <c r="Z2126" s="49"/>
      <c r="AA2126" s="49"/>
      <c r="AB2126" s="49"/>
      <c r="AC2126" s="49"/>
      <c r="AD2126" s="49"/>
      <c r="AE2126" s="49"/>
      <c r="AF2126" s="49"/>
      <c r="AG2126" s="49"/>
      <c r="AH2126" s="49"/>
      <c r="AI2126" s="48"/>
      <c r="AJ2126" s="48"/>
      <c r="AK2126" s="24"/>
      <c r="AL2126" s="50"/>
      <c r="AM2126" s="50"/>
      <c r="AN2126" s="50"/>
      <c r="AO2126" s="50"/>
      <c r="AP2126" s="50"/>
      <c r="AQ2126" s="50"/>
      <c r="AR2126" s="50"/>
      <c r="AS2126" s="50"/>
      <c r="AT2126" s="51"/>
      <c r="AU2126" s="51"/>
      <c r="AV2126" s="51"/>
      <c r="AW2126" s="51"/>
      <c r="AX2126" s="50"/>
      <c r="AY2126" s="50"/>
      <c r="AZ2126" s="50"/>
      <c r="BA2126" s="50"/>
      <c r="BB2126" s="51"/>
      <c r="BC2126" s="51"/>
      <c r="BD2126" s="51"/>
      <c r="BE2126" s="51"/>
      <c r="BF2126" s="47"/>
      <c r="BG2126" s="47"/>
      <c r="BH2126" s="47"/>
      <c r="BI2126" s="47"/>
      <c r="BJ2126" s="47"/>
      <c r="BK2126" s="47"/>
      <c r="BL2126" s="47"/>
      <c r="BM2126" s="47"/>
      <c r="BN2126" s="47"/>
      <c r="BO2126" s="47"/>
      <c r="BP2126" s="47"/>
      <c r="BQ2126" s="47"/>
      <c r="BR2126" s="47"/>
      <c r="BS2126" s="47"/>
      <c r="BT2126" s="47"/>
    </row>
    <row r="2127">
      <c r="A2127" s="24"/>
      <c r="B2127" s="48"/>
      <c r="C2127" s="49"/>
      <c r="D2127" s="24"/>
      <c r="E2127" s="52"/>
      <c r="F2127" s="53"/>
      <c r="G2127" s="48"/>
      <c r="H2127" s="49"/>
      <c r="I2127" s="49"/>
      <c r="J2127" s="48"/>
      <c r="K2127" s="48"/>
      <c r="L2127" s="48"/>
      <c r="M2127" s="48"/>
      <c r="N2127" s="48"/>
      <c r="O2127" s="48"/>
      <c r="P2127" s="48"/>
      <c r="Q2127" s="48"/>
      <c r="R2127" s="48"/>
      <c r="S2127" s="48"/>
      <c r="T2127" s="48"/>
      <c r="U2127" s="48"/>
      <c r="V2127" s="48"/>
      <c r="W2127" s="49"/>
      <c r="X2127" s="49"/>
      <c r="Y2127" s="49"/>
      <c r="Z2127" s="49"/>
      <c r="AA2127" s="49"/>
      <c r="AB2127" s="49"/>
      <c r="AC2127" s="49"/>
      <c r="AD2127" s="49"/>
      <c r="AE2127" s="49"/>
      <c r="AF2127" s="49"/>
      <c r="AG2127" s="49"/>
      <c r="AH2127" s="49"/>
      <c r="AI2127" s="48"/>
      <c r="AJ2127" s="48"/>
      <c r="AK2127" s="24"/>
      <c r="AL2127" s="50"/>
      <c r="AM2127" s="50"/>
      <c r="AN2127" s="50"/>
      <c r="AO2127" s="50"/>
      <c r="AP2127" s="50"/>
      <c r="AQ2127" s="50"/>
      <c r="AR2127" s="50"/>
      <c r="AS2127" s="50"/>
      <c r="AT2127" s="51"/>
      <c r="AU2127" s="51"/>
      <c r="AV2127" s="51"/>
      <c r="AW2127" s="51"/>
      <c r="AX2127" s="50"/>
      <c r="AY2127" s="50"/>
      <c r="AZ2127" s="50"/>
      <c r="BA2127" s="50"/>
      <c r="BB2127" s="51"/>
      <c r="BC2127" s="51"/>
      <c r="BD2127" s="51"/>
      <c r="BE2127" s="51"/>
      <c r="BF2127" s="47"/>
      <c r="BG2127" s="47"/>
      <c r="BH2127" s="47"/>
      <c r="BI2127" s="47"/>
      <c r="BJ2127" s="47"/>
      <c r="BK2127" s="47"/>
      <c r="BL2127" s="47"/>
      <c r="BM2127" s="47"/>
      <c r="BN2127" s="47"/>
      <c r="BO2127" s="47"/>
      <c r="BP2127" s="47"/>
      <c r="BQ2127" s="47"/>
      <c r="BR2127" s="47"/>
      <c r="BS2127" s="47"/>
      <c r="BT2127" s="47"/>
    </row>
    <row r="2128">
      <c r="A2128" s="24"/>
      <c r="B2128" s="48"/>
      <c r="C2128" s="49"/>
      <c r="D2128" s="24"/>
      <c r="E2128" s="52"/>
      <c r="F2128" s="53"/>
      <c r="G2128" s="48"/>
      <c r="H2128" s="49"/>
      <c r="I2128" s="49"/>
      <c r="J2128" s="48"/>
      <c r="K2128" s="48"/>
      <c r="L2128" s="48"/>
      <c r="M2128" s="48"/>
      <c r="N2128" s="48"/>
      <c r="O2128" s="48"/>
      <c r="P2128" s="48"/>
      <c r="Q2128" s="48"/>
      <c r="R2128" s="48"/>
      <c r="S2128" s="48"/>
      <c r="T2128" s="48"/>
      <c r="U2128" s="48"/>
      <c r="V2128" s="48"/>
      <c r="W2128" s="49"/>
      <c r="X2128" s="49"/>
      <c r="Y2128" s="49"/>
      <c r="Z2128" s="49"/>
      <c r="AA2128" s="49"/>
      <c r="AB2128" s="49"/>
      <c r="AC2128" s="49"/>
      <c r="AD2128" s="49"/>
      <c r="AE2128" s="49"/>
      <c r="AF2128" s="49"/>
      <c r="AG2128" s="49"/>
      <c r="AH2128" s="49"/>
      <c r="AI2128" s="48"/>
      <c r="AJ2128" s="48"/>
      <c r="AK2128" s="24"/>
      <c r="AL2128" s="50"/>
      <c r="AM2128" s="50"/>
      <c r="AN2128" s="50"/>
      <c r="AO2128" s="50"/>
      <c r="AP2128" s="50"/>
      <c r="AQ2128" s="50"/>
      <c r="AR2128" s="50"/>
      <c r="AS2128" s="50"/>
      <c r="AT2128" s="51"/>
      <c r="AU2128" s="51"/>
      <c r="AV2128" s="51"/>
      <c r="AW2128" s="51"/>
      <c r="AX2128" s="50"/>
      <c r="AY2128" s="50"/>
      <c r="AZ2128" s="50"/>
      <c r="BA2128" s="50"/>
      <c r="BB2128" s="51"/>
      <c r="BC2128" s="51"/>
      <c r="BD2128" s="51"/>
      <c r="BE2128" s="51"/>
      <c r="BF2128" s="47"/>
      <c r="BG2128" s="47"/>
      <c r="BH2128" s="47"/>
      <c r="BI2128" s="47"/>
      <c r="BJ2128" s="47"/>
      <c r="BK2128" s="47"/>
      <c r="BL2128" s="47"/>
      <c r="BM2128" s="47"/>
      <c r="BN2128" s="47"/>
      <c r="BO2128" s="47"/>
      <c r="BP2128" s="47"/>
      <c r="BQ2128" s="47"/>
      <c r="BR2128" s="47"/>
      <c r="BS2128" s="47"/>
      <c r="BT2128" s="47"/>
    </row>
    <row r="2129">
      <c r="A2129" s="24"/>
      <c r="B2129" s="48"/>
      <c r="C2129" s="49"/>
      <c r="D2129" s="24"/>
      <c r="E2129" s="52"/>
      <c r="F2129" s="53"/>
      <c r="G2129" s="48"/>
      <c r="H2129" s="49"/>
      <c r="I2129" s="49"/>
      <c r="J2129" s="48"/>
      <c r="K2129" s="48"/>
      <c r="L2129" s="48"/>
      <c r="M2129" s="48"/>
      <c r="N2129" s="48"/>
      <c r="O2129" s="48"/>
      <c r="P2129" s="48"/>
      <c r="Q2129" s="48"/>
      <c r="R2129" s="48"/>
      <c r="S2129" s="48"/>
      <c r="T2129" s="48"/>
      <c r="U2129" s="48"/>
      <c r="V2129" s="48"/>
      <c r="W2129" s="49"/>
      <c r="X2129" s="49"/>
      <c r="Y2129" s="49"/>
      <c r="Z2129" s="49"/>
      <c r="AA2129" s="49"/>
      <c r="AB2129" s="49"/>
      <c r="AC2129" s="49"/>
      <c r="AD2129" s="49"/>
      <c r="AE2129" s="49"/>
      <c r="AF2129" s="49"/>
      <c r="AG2129" s="49"/>
      <c r="AH2129" s="49"/>
      <c r="AI2129" s="48"/>
      <c r="AJ2129" s="48"/>
      <c r="AK2129" s="24"/>
      <c r="AL2129" s="50"/>
      <c r="AM2129" s="50"/>
      <c r="AN2129" s="50"/>
      <c r="AO2129" s="50"/>
      <c r="AP2129" s="50"/>
      <c r="AQ2129" s="50"/>
      <c r="AR2129" s="50"/>
      <c r="AS2129" s="50"/>
      <c r="AT2129" s="51"/>
      <c r="AU2129" s="51"/>
      <c r="AV2129" s="51"/>
      <c r="AW2129" s="51"/>
      <c r="AX2129" s="50"/>
      <c r="AY2129" s="50"/>
      <c r="AZ2129" s="50"/>
      <c r="BA2129" s="50"/>
      <c r="BB2129" s="51"/>
      <c r="BC2129" s="51"/>
      <c r="BD2129" s="51"/>
      <c r="BE2129" s="51"/>
      <c r="BF2129" s="47"/>
      <c r="BG2129" s="47"/>
      <c r="BH2129" s="47"/>
      <c r="BI2129" s="47"/>
      <c r="BJ2129" s="47"/>
      <c r="BK2129" s="47"/>
      <c r="BL2129" s="47"/>
      <c r="BM2129" s="47"/>
      <c r="BN2129" s="47"/>
      <c r="BO2129" s="47"/>
      <c r="BP2129" s="47"/>
      <c r="BQ2129" s="47"/>
      <c r="BR2129" s="47"/>
      <c r="BS2129" s="47"/>
      <c r="BT2129" s="47"/>
    </row>
    <row r="2130">
      <c r="A2130" s="24"/>
      <c r="B2130" s="48"/>
      <c r="C2130" s="49"/>
      <c r="D2130" s="24"/>
      <c r="E2130" s="52"/>
      <c r="F2130" s="53"/>
      <c r="G2130" s="48"/>
      <c r="H2130" s="49"/>
      <c r="I2130" s="49"/>
      <c r="J2130" s="48"/>
      <c r="K2130" s="48"/>
      <c r="L2130" s="48"/>
      <c r="M2130" s="48"/>
      <c r="N2130" s="48"/>
      <c r="O2130" s="48"/>
      <c r="P2130" s="48"/>
      <c r="Q2130" s="48"/>
      <c r="R2130" s="48"/>
      <c r="S2130" s="48"/>
      <c r="T2130" s="48"/>
      <c r="U2130" s="48"/>
      <c r="V2130" s="48"/>
      <c r="W2130" s="49"/>
      <c r="X2130" s="49"/>
      <c r="Y2130" s="49"/>
      <c r="Z2130" s="49"/>
      <c r="AA2130" s="49"/>
      <c r="AB2130" s="49"/>
      <c r="AC2130" s="49"/>
      <c r="AD2130" s="49"/>
      <c r="AE2130" s="49"/>
      <c r="AF2130" s="49"/>
      <c r="AG2130" s="49"/>
      <c r="AH2130" s="49"/>
      <c r="AI2130" s="48"/>
      <c r="AJ2130" s="48"/>
      <c r="AK2130" s="24"/>
      <c r="AL2130" s="50"/>
      <c r="AM2130" s="50"/>
      <c r="AN2130" s="50"/>
      <c r="AO2130" s="50"/>
      <c r="AP2130" s="50"/>
      <c r="AQ2130" s="50"/>
      <c r="AR2130" s="50"/>
      <c r="AS2130" s="50"/>
      <c r="AT2130" s="51"/>
      <c r="AU2130" s="51"/>
      <c r="AV2130" s="51"/>
      <c r="AW2130" s="51"/>
      <c r="AX2130" s="50"/>
      <c r="AY2130" s="50"/>
      <c r="AZ2130" s="50"/>
      <c r="BA2130" s="50"/>
      <c r="BB2130" s="51"/>
      <c r="BC2130" s="51"/>
      <c r="BD2130" s="51"/>
      <c r="BE2130" s="51"/>
      <c r="BF2130" s="47"/>
      <c r="BG2130" s="47"/>
      <c r="BH2130" s="47"/>
      <c r="BI2130" s="47"/>
      <c r="BJ2130" s="47"/>
      <c r="BK2130" s="47"/>
      <c r="BL2130" s="47"/>
      <c r="BM2130" s="47"/>
      <c r="BN2130" s="47"/>
      <c r="BO2130" s="47"/>
      <c r="BP2130" s="47"/>
      <c r="BQ2130" s="47"/>
      <c r="BR2130" s="47"/>
      <c r="BS2130" s="47"/>
      <c r="BT2130" s="47"/>
    </row>
    <row r="2131">
      <c r="A2131" s="24"/>
      <c r="B2131" s="48"/>
      <c r="C2131" s="49"/>
      <c r="D2131" s="24"/>
      <c r="E2131" s="52"/>
      <c r="F2131" s="53"/>
      <c r="G2131" s="48"/>
      <c r="H2131" s="49"/>
      <c r="I2131" s="49"/>
      <c r="J2131" s="48"/>
      <c r="K2131" s="48"/>
      <c r="L2131" s="48"/>
      <c r="M2131" s="48"/>
      <c r="N2131" s="48"/>
      <c r="O2131" s="48"/>
      <c r="P2131" s="48"/>
      <c r="Q2131" s="48"/>
      <c r="R2131" s="48"/>
      <c r="S2131" s="48"/>
      <c r="T2131" s="48"/>
      <c r="U2131" s="48"/>
      <c r="V2131" s="48"/>
      <c r="W2131" s="49"/>
      <c r="X2131" s="49"/>
      <c r="Y2131" s="49"/>
      <c r="Z2131" s="49"/>
      <c r="AA2131" s="49"/>
      <c r="AB2131" s="49"/>
      <c r="AC2131" s="49"/>
      <c r="AD2131" s="49"/>
      <c r="AE2131" s="49"/>
      <c r="AF2131" s="49"/>
      <c r="AG2131" s="49"/>
      <c r="AH2131" s="49"/>
      <c r="AI2131" s="48"/>
      <c r="AJ2131" s="48"/>
      <c r="AK2131" s="24"/>
      <c r="AL2131" s="50"/>
      <c r="AM2131" s="50"/>
      <c r="AN2131" s="50"/>
      <c r="AO2131" s="50"/>
      <c r="AP2131" s="50"/>
      <c r="AQ2131" s="50"/>
      <c r="AR2131" s="50"/>
      <c r="AS2131" s="50"/>
      <c r="AT2131" s="51"/>
      <c r="AU2131" s="51"/>
      <c r="AV2131" s="51"/>
      <c r="AW2131" s="51"/>
      <c r="AX2131" s="50"/>
      <c r="AY2131" s="50"/>
      <c r="AZ2131" s="50"/>
      <c r="BA2131" s="50"/>
      <c r="BB2131" s="51"/>
      <c r="BC2131" s="51"/>
      <c r="BD2131" s="51"/>
      <c r="BE2131" s="51"/>
      <c r="BF2131" s="47"/>
      <c r="BG2131" s="47"/>
      <c r="BH2131" s="47"/>
      <c r="BI2131" s="47"/>
      <c r="BJ2131" s="47"/>
      <c r="BK2131" s="47"/>
      <c r="BL2131" s="47"/>
      <c r="BM2131" s="47"/>
      <c r="BN2131" s="47"/>
      <c r="BO2131" s="47"/>
      <c r="BP2131" s="47"/>
      <c r="BQ2131" s="47"/>
      <c r="BR2131" s="47"/>
      <c r="BS2131" s="47"/>
      <c r="BT2131" s="47"/>
    </row>
    <row r="2132">
      <c r="A2132" s="24"/>
      <c r="B2132" s="48"/>
      <c r="C2132" s="49"/>
      <c r="D2132" s="24"/>
      <c r="E2132" s="52"/>
      <c r="F2132" s="53"/>
      <c r="G2132" s="48"/>
      <c r="H2132" s="49"/>
      <c r="I2132" s="49"/>
      <c r="J2132" s="48"/>
      <c r="K2132" s="48"/>
      <c r="L2132" s="48"/>
      <c r="M2132" s="48"/>
      <c r="N2132" s="48"/>
      <c r="O2132" s="48"/>
      <c r="P2132" s="48"/>
      <c r="Q2132" s="48"/>
      <c r="R2132" s="48"/>
      <c r="S2132" s="48"/>
      <c r="T2132" s="48"/>
      <c r="U2132" s="48"/>
      <c r="V2132" s="48"/>
      <c r="W2132" s="49"/>
      <c r="X2132" s="49"/>
      <c r="Y2132" s="49"/>
      <c r="Z2132" s="49"/>
      <c r="AA2132" s="49"/>
      <c r="AB2132" s="49"/>
      <c r="AC2132" s="49"/>
      <c r="AD2132" s="49"/>
      <c r="AE2132" s="49"/>
      <c r="AF2132" s="49"/>
      <c r="AG2132" s="49"/>
      <c r="AH2132" s="49"/>
      <c r="AI2132" s="48"/>
      <c r="AJ2132" s="48"/>
      <c r="AK2132" s="24"/>
      <c r="AL2132" s="50"/>
      <c r="AM2132" s="50"/>
      <c r="AN2132" s="50"/>
      <c r="AO2132" s="50"/>
      <c r="AP2132" s="50"/>
      <c r="AQ2132" s="50"/>
      <c r="AR2132" s="50"/>
      <c r="AS2132" s="50"/>
      <c r="AT2132" s="51"/>
      <c r="AU2132" s="51"/>
      <c r="AV2132" s="51"/>
      <c r="AW2132" s="51"/>
      <c r="AX2132" s="50"/>
      <c r="AY2132" s="50"/>
      <c r="AZ2132" s="50"/>
      <c r="BA2132" s="50"/>
      <c r="BB2132" s="51"/>
      <c r="BC2132" s="51"/>
      <c r="BD2132" s="51"/>
      <c r="BE2132" s="51"/>
      <c r="BF2132" s="47"/>
      <c r="BG2132" s="47"/>
      <c r="BH2132" s="47"/>
      <c r="BI2132" s="47"/>
      <c r="BJ2132" s="47"/>
      <c r="BK2132" s="47"/>
      <c r="BL2132" s="47"/>
      <c r="BM2132" s="47"/>
      <c r="BN2132" s="47"/>
      <c r="BO2132" s="47"/>
      <c r="BP2132" s="47"/>
      <c r="BQ2132" s="47"/>
      <c r="BR2132" s="47"/>
      <c r="BS2132" s="47"/>
      <c r="BT2132" s="47"/>
    </row>
    <row r="2133">
      <c r="A2133" s="24"/>
      <c r="B2133" s="48"/>
      <c r="C2133" s="49"/>
      <c r="D2133" s="24"/>
      <c r="E2133" s="52"/>
      <c r="F2133" s="53"/>
      <c r="G2133" s="48"/>
      <c r="H2133" s="49"/>
      <c r="I2133" s="49"/>
      <c r="J2133" s="48"/>
      <c r="K2133" s="48"/>
      <c r="L2133" s="48"/>
      <c r="M2133" s="48"/>
      <c r="N2133" s="48"/>
      <c r="O2133" s="48"/>
      <c r="P2133" s="48"/>
      <c r="Q2133" s="48"/>
      <c r="R2133" s="48"/>
      <c r="S2133" s="48"/>
      <c r="T2133" s="48"/>
      <c r="U2133" s="48"/>
      <c r="V2133" s="48"/>
      <c r="W2133" s="49"/>
      <c r="X2133" s="49"/>
      <c r="Y2133" s="49"/>
      <c r="Z2133" s="49"/>
      <c r="AA2133" s="49"/>
      <c r="AB2133" s="49"/>
      <c r="AC2133" s="49"/>
      <c r="AD2133" s="49"/>
      <c r="AE2133" s="49"/>
      <c r="AF2133" s="49"/>
      <c r="AG2133" s="49"/>
      <c r="AH2133" s="49"/>
      <c r="AI2133" s="48"/>
      <c r="AJ2133" s="48"/>
      <c r="AK2133" s="24"/>
      <c r="AL2133" s="50"/>
      <c r="AM2133" s="50"/>
      <c r="AN2133" s="50"/>
      <c r="AO2133" s="50"/>
      <c r="AP2133" s="50"/>
      <c r="AQ2133" s="50"/>
      <c r="AR2133" s="50"/>
      <c r="AS2133" s="50"/>
      <c r="AT2133" s="51"/>
      <c r="AU2133" s="51"/>
      <c r="AV2133" s="51"/>
      <c r="AW2133" s="51"/>
      <c r="AX2133" s="50"/>
      <c r="AY2133" s="50"/>
      <c r="AZ2133" s="50"/>
      <c r="BA2133" s="50"/>
      <c r="BB2133" s="51"/>
      <c r="BC2133" s="51"/>
      <c r="BD2133" s="51"/>
      <c r="BE2133" s="51"/>
      <c r="BF2133" s="47"/>
      <c r="BG2133" s="47"/>
      <c r="BH2133" s="47"/>
      <c r="BI2133" s="47"/>
      <c r="BJ2133" s="47"/>
      <c r="BK2133" s="47"/>
      <c r="BL2133" s="47"/>
      <c r="BM2133" s="47"/>
      <c r="BN2133" s="47"/>
      <c r="BO2133" s="47"/>
      <c r="BP2133" s="47"/>
      <c r="BQ2133" s="47"/>
      <c r="BR2133" s="47"/>
      <c r="BS2133" s="47"/>
      <c r="BT2133" s="47"/>
    </row>
    <row r="2134">
      <c r="A2134" s="24"/>
      <c r="B2134" s="48"/>
      <c r="C2134" s="49"/>
      <c r="D2134" s="24"/>
      <c r="E2134" s="52"/>
      <c r="F2134" s="53"/>
      <c r="G2134" s="48"/>
      <c r="H2134" s="49"/>
      <c r="I2134" s="49"/>
      <c r="J2134" s="48"/>
      <c r="K2134" s="48"/>
      <c r="L2134" s="48"/>
      <c r="M2134" s="48"/>
      <c r="N2134" s="48"/>
      <c r="O2134" s="48"/>
      <c r="P2134" s="48"/>
      <c r="Q2134" s="48"/>
      <c r="R2134" s="48"/>
      <c r="S2134" s="48"/>
      <c r="T2134" s="48"/>
      <c r="U2134" s="48"/>
      <c r="V2134" s="48"/>
      <c r="W2134" s="49"/>
      <c r="X2134" s="49"/>
      <c r="Y2134" s="49"/>
      <c r="Z2134" s="49"/>
      <c r="AA2134" s="49"/>
      <c r="AB2134" s="49"/>
      <c r="AC2134" s="49"/>
      <c r="AD2134" s="49"/>
      <c r="AE2134" s="49"/>
      <c r="AF2134" s="49"/>
      <c r="AG2134" s="49"/>
      <c r="AH2134" s="49"/>
      <c r="AI2134" s="48"/>
      <c r="AJ2134" s="48"/>
      <c r="AK2134" s="24"/>
      <c r="AL2134" s="50"/>
      <c r="AM2134" s="50"/>
      <c r="AN2134" s="50"/>
      <c r="AO2134" s="50"/>
      <c r="AP2134" s="50"/>
      <c r="AQ2134" s="50"/>
      <c r="AR2134" s="50"/>
      <c r="AS2134" s="50"/>
      <c r="AT2134" s="51"/>
      <c r="AU2134" s="51"/>
      <c r="AV2134" s="51"/>
      <c r="AW2134" s="51"/>
      <c r="AX2134" s="50"/>
      <c r="AY2134" s="50"/>
      <c r="AZ2134" s="50"/>
      <c r="BA2134" s="50"/>
      <c r="BB2134" s="51"/>
      <c r="BC2134" s="51"/>
      <c r="BD2134" s="51"/>
      <c r="BE2134" s="51"/>
      <c r="BF2134" s="47"/>
      <c r="BG2134" s="47"/>
      <c r="BH2134" s="47"/>
      <c r="BI2134" s="47"/>
      <c r="BJ2134" s="47"/>
      <c r="BK2134" s="47"/>
      <c r="BL2134" s="47"/>
      <c r="BM2134" s="47"/>
      <c r="BN2134" s="47"/>
      <c r="BO2134" s="47"/>
      <c r="BP2134" s="47"/>
      <c r="BQ2134" s="47"/>
      <c r="BR2134" s="47"/>
      <c r="BS2134" s="47"/>
      <c r="BT2134" s="47"/>
    </row>
    <row r="2135">
      <c r="A2135" s="24"/>
      <c r="B2135" s="48"/>
      <c r="C2135" s="49"/>
      <c r="D2135" s="24"/>
      <c r="E2135" s="52"/>
      <c r="F2135" s="53"/>
      <c r="G2135" s="48"/>
      <c r="H2135" s="49"/>
      <c r="I2135" s="49"/>
      <c r="J2135" s="48"/>
      <c r="K2135" s="48"/>
      <c r="L2135" s="48"/>
      <c r="M2135" s="48"/>
      <c r="N2135" s="48"/>
      <c r="O2135" s="48"/>
      <c r="P2135" s="48"/>
      <c r="Q2135" s="48"/>
      <c r="R2135" s="48"/>
      <c r="S2135" s="48"/>
      <c r="T2135" s="48"/>
      <c r="U2135" s="48"/>
      <c r="V2135" s="48"/>
      <c r="W2135" s="49"/>
      <c r="X2135" s="49"/>
      <c r="Y2135" s="49"/>
      <c r="Z2135" s="49"/>
      <c r="AA2135" s="49"/>
      <c r="AB2135" s="49"/>
      <c r="AC2135" s="49"/>
      <c r="AD2135" s="49"/>
      <c r="AE2135" s="49"/>
      <c r="AF2135" s="49"/>
      <c r="AG2135" s="49"/>
      <c r="AH2135" s="49"/>
      <c r="AI2135" s="48"/>
      <c r="AJ2135" s="48"/>
      <c r="AK2135" s="24"/>
      <c r="AL2135" s="50"/>
      <c r="AM2135" s="50"/>
      <c r="AN2135" s="50"/>
      <c r="AO2135" s="50"/>
      <c r="AP2135" s="50"/>
      <c r="AQ2135" s="50"/>
      <c r="AR2135" s="50"/>
      <c r="AS2135" s="50"/>
      <c r="AT2135" s="51"/>
      <c r="AU2135" s="51"/>
      <c r="AV2135" s="51"/>
      <c r="AW2135" s="51"/>
      <c r="AX2135" s="50"/>
      <c r="AY2135" s="50"/>
      <c r="AZ2135" s="50"/>
      <c r="BA2135" s="50"/>
      <c r="BB2135" s="51"/>
      <c r="BC2135" s="51"/>
      <c r="BD2135" s="51"/>
      <c r="BE2135" s="51"/>
      <c r="BF2135" s="47"/>
      <c r="BG2135" s="47"/>
      <c r="BH2135" s="47"/>
      <c r="BI2135" s="47"/>
      <c r="BJ2135" s="47"/>
      <c r="BK2135" s="47"/>
      <c r="BL2135" s="47"/>
      <c r="BM2135" s="47"/>
      <c r="BN2135" s="47"/>
      <c r="BO2135" s="47"/>
      <c r="BP2135" s="47"/>
      <c r="BQ2135" s="47"/>
      <c r="BR2135" s="47"/>
      <c r="BS2135" s="47"/>
      <c r="BT2135" s="47"/>
    </row>
    <row r="2136">
      <c r="A2136" s="24"/>
      <c r="B2136" s="48"/>
      <c r="C2136" s="49"/>
      <c r="D2136" s="24"/>
      <c r="E2136" s="52"/>
      <c r="F2136" s="53"/>
      <c r="G2136" s="48"/>
      <c r="H2136" s="49"/>
      <c r="I2136" s="49"/>
      <c r="J2136" s="48"/>
      <c r="K2136" s="48"/>
      <c r="L2136" s="48"/>
      <c r="M2136" s="48"/>
      <c r="N2136" s="48"/>
      <c r="O2136" s="48"/>
      <c r="P2136" s="48"/>
      <c r="Q2136" s="48"/>
      <c r="R2136" s="48"/>
      <c r="S2136" s="48"/>
      <c r="T2136" s="48"/>
      <c r="U2136" s="48"/>
      <c r="V2136" s="48"/>
      <c r="W2136" s="49"/>
      <c r="X2136" s="49"/>
      <c r="Y2136" s="49"/>
      <c r="Z2136" s="49"/>
      <c r="AA2136" s="49"/>
      <c r="AB2136" s="49"/>
      <c r="AC2136" s="49"/>
      <c r="AD2136" s="49"/>
      <c r="AE2136" s="49"/>
      <c r="AF2136" s="49"/>
      <c r="AG2136" s="49"/>
      <c r="AH2136" s="49"/>
      <c r="AI2136" s="48"/>
      <c r="AJ2136" s="48"/>
      <c r="AK2136" s="24"/>
      <c r="AL2136" s="50"/>
      <c r="AM2136" s="50"/>
      <c r="AN2136" s="50"/>
      <c r="AO2136" s="50"/>
      <c r="AP2136" s="50"/>
      <c r="AQ2136" s="50"/>
      <c r="AR2136" s="50"/>
      <c r="AS2136" s="50"/>
      <c r="AT2136" s="51"/>
      <c r="AU2136" s="51"/>
      <c r="AV2136" s="51"/>
      <c r="AW2136" s="51"/>
      <c r="AX2136" s="50"/>
      <c r="AY2136" s="50"/>
      <c r="AZ2136" s="50"/>
      <c r="BA2136" s="50"/>
      <c r="BB2136" s="51"/>
      <c r="BC2136" s="51"/>
      <c r="BD2136" s="51"/>
      <c r="BE2136" s="51"/>
      <c r="BF2136" s="47"/>
      <c r="BG2136" s="47"/>
      <c r="BH2136" s="47"/>
      <c r="BI2136" s="47"/>
      <c r="BJ2136" s="47"/>
      <c r="BK2136" s="47"/>
      <c r="BL2136" s="47"/>
      <c r="BM2136" s="47"/>
      <c r="BN2136" s="47"/>
      <c r="BO2136" s="47"/>
      <c r="BP2136" s="47"/>
      <c r="BQ2136" s="47"/>
      <c r="BR2136" s="47"/>
      <c r="BS2136" s="47"/>
      <c r="BT2136" s="47"/>
    </row>
    <row r="2137">
      <c r="A2137" s="24"/>
      <c r="B2137" s="48"/>
      <c r="C2137" s="49"/>
      <c r="D2137" s="24"/>
      <c r="E2137" s="52"/>
      <c r="F2137" s="53"/>
      <c r="G2137" s="48"/>
      <c r="H2137" s="49"/>
      <c r="I2137" s="49"/>
      <c r="J2137" s="48"/>
      <c r="K2137" s="48"/>
      <c r="L2137" s="48"/>
      <c r="M2137" s="48"/>
      <c r="N2137" s="48"/>
      <c r="O2137" s="48"/>
      <c r="P2137" s="48"/>
      <c r="Q2137" s="48"/>
      <c r="R2137" s="48"/>
      <c r="S2137" s="48"/>
      <c r="T2137" s="48"/>
      <c r="U2137" s="48"/>
      <c r="V2137" s="48"/>
      <c r="W2137" s="49"/>
      <c r="X2137" s="49"/>
      <c r="Y2137" s="49"/>
      <c r="Z2137" s="49"/>
      <c r="AA2137" s="49"/>
      <c r="AB2137" s="49"/>
      <c r="AC2137" s="49"/>
      <c r="AD2137" s="49"/>
      <c r="AE2137" s="49"/>
      <c r="AF2137" s="49"/>
      <c r="AG2137" s="49"/>
      <c r="AH2137" s="49"/>
      <c r="AI2137" s="48"/>
      <c r="AJ2137" s="48"/>
      <c r="AK2137" s="24"/>
      <c r="AL2137" s="50"/>
      <c r="AM2137" s="50"/>
      <c r="AN2137" s="50"/>
      <c r="AO2137" s="50"/>
      <c r="AP2137" s="50"/>
      <c r="AQ2137" s="50"/>
      <c r="AR2137" s="50"/>
      <c r="AS2137" s="50"/>
      <c r="AT2137" s="51"/>
      <c r="AU2137" s="51"/>
      <c r="AV2137" s="51"/>
      <c r="AW2137" s="51"/>
      <c r="AX2137" s="50"/>
      <c r="AY2137" s="50"/>
      <c r="AZ2137" s="50"/>
      <c r="BA2137" s="50"/>
      <c r="BB2137" s="51"/>
      <c r="BC2137" s="51"/>
      <c r="BD2137" s="51"/>
      <c r="BE2137" s="51"/>
      <c r="BF2137" s="47"/>
      <c r="BG2137" s="47"/>
      <c r="BH2137" s="47"/>
      <c r="BI2137" s="47"/>
      <c r="BJ2137" s="47"/>
      <c r="BK2137" s="47"/>
      <c r="BL2137" s="47"/>
      <c r="BM2137" s="47"/>
      <c r="BN2137" s="47"/>
      <c r="BO2137" s="47"/>
      <c r="BP2137" s="47"/>
      <c r="BQ2137" s="47"/>
      <c r="BR2137" s="47"/>
      <c r="BS2137" s="47"/>
      <c r="BT2137" s="47"/>
    </row>
    <row r="2138">
      <c r="A2138" s="24"/>
      <c r="B2138" s="48"/>
      <c r="C2138" s="49"/>
      <c r="D2138" s="24"/>
      <c r="E2138" s="52"/>
      <c r="F2138" s="53"/>
      <c r="G2138" s="48"/>
      <c r="H2138" s="49"/>
      <c r="I2138" s="49"/>
      <c r="J2138" s="48"/>
      <c r="K2138" s="48"/>
      <c r="L2138" s="48"/>
      <c r="M2138" s="48"/>
      <c r="N2138" s="48"/>
      <c r="O2138" s="48"/>
      <c r="P2138" s="48"/>
      <c r="Q2138" s="48"/>
      <c r="R2138" s="48"/>
      <c r="S2138" s="48"/>
      <c r="T2138" s="48"/>
      <c r="U2138" s="48"/>
      <c r="V2138" s="48"/>
      <c r="W2138" s="49"/>
      <c r="X2138" s="49"/>
      <c r="Y2138" s="49"/>
      <c r="Z2138" s="49"/>
      <c r="AA2138" s="49"/>
      <c r="AB2138" s="49"/>
      <c r="AC2138" s="49"/>
      <c r="AD2138" s="49"/>
      <c r="AE2138" s="49"/>
      <c r="AF2138" s="49"/>
      <c r="AG2138" s="49"/>
      <c r="AH2138" s="49"/>
      <c r="AI2138" s="48"/>
      <c r="AJ2138" s="48"/>
      <c r="AK2138" s="24"/>
      <c r="AL2138" s="50"/>
      <c r="AM2138" s="50"/>
      <c r="AN2138" s="50"/>
      <c r="AO2138" s="50"/>
      <c r="AP2138" s="50"/>
      <c r="AQ2138" s="50"/>
      <c r="AR2138" s="50"/>
      <c r="AS2138" s="50"/>
      <c r="AT2138" s="51"/>
      <c r="AU2138" s="51"/>
      <c r="AV2138" s="51"/>
      <c r="AW2138" s="51"/>
      <c r="AX2138" s="50"/>
      <c r="AY2138" s="50"/>
      <c r="AZ2138" s="50"/>
      <c r="BA2138" s="50"/>
      <c r="BB2138" s="51"/>
      <c r="BC2138" s="51"/>
      <c r="BD2138" s="51"/>
      <c r="BE2138" s="51"/>
      <c r="BF2138" s="47"/>
      <c r="BG2138" s="47"/>
      <c r="BH2138" s="47"/>
      <c r="BI2138" s="47"/>
      <c r="BJ2138" s="47"/>
      <c r="BK2138" s="47"/>
      <c r="BL2138" s="47"/>
      <c r="BM2138" s="47"/>
      <c r="BN2138" s="47"/>
      <c r="BO2138" s="47"/>
      <c r="BP2138" s="47"/>
      <c r="BQ2138" s="47"/>
      <c r="BR2138" s="47"/>
      <c r="BS2138" s="47"/>
      <c r="BT2138" s="47"/>
    </row>
    <row r="2139">
      <c r="A2139" s="24"/>
      <c r="B2139" s="48"/>
      <c r="C2139" s="49"/>
      <c r="D2139" s="24"/>
      <c r="E2139" s="52"/>
      <c r="F2139" s="53"/>
      <c r="G2139" s="48"/>
      <c r="H2139" s="49"/>
      <c r="I2139" s="49"/>
      <c r="J2139" s="48"/>
      <c r="K2139" s="48"/>
      <c r="L2139" s="48"/>
      <c r="M2139" s="48"/>
      <c r="N2139" s="48"/>
      <c r="O2139" s="48"/>
      <c r="P2139" s="48"/>
      <c r="Q2139" s="48"/>
      <c r="R2139" s="48"/>
      <c r="S2139" s="48"/>
      <c r="T2139" s="48"/>
      <c r="U2139" s="48"/>
      <c r="V2139" s="48"/>
      <c r="W2139" s="49"/>
      <c r="X2139" s="49"/>
      <c r="Y2139" s="49"/>
      <c r="Z2139" s="49"/>
      <c r="AA2139" s="49"/>
      <c r="AB2139" s="49"/>
      <c r="AC2139" s="49"/>
      <c r="AD2139" s="49"/>
      <c r="AE2139" s="49"/>
      <c r="AF2139" s="49"/>
      <c r="AG2139" s="49"/>
      <c r="AH2139" s="49"/>
      <c r="AI2139" s="48"/>
      <c r="AJ2139" s="48"/>
      <c r="AK2139" s="24"/>
      <c r="AL2139" s="50"/>
      <c r="AM2139" s="50"/>
      <c r="AN2139" s="50"/>
      <c r="AO2139" s="50"/>
      <c r="AP2139" s="50"/>
      <c r="AQ2139" s="50"/>
      <c r="AR2139" s="50"/>
      <c r="AS2139" s="50"/>
      <c r="AT2139" s="51"/>
      <c r="AU2139" s="51"/>
      <c r="AV2139" s="51"/>
      <c r="AW2139" s="51"/>
      <c r="AX2139" s="50"/>
      <c r="AY2139" s="50"/>
      <c r="AZ2139" s="50"/>
      <c r="BA2139" s="50"/>
      <c r="BB2139" s="51"/>
      <c r="BC2139" s="51"/>
      <c r="BD2139" s="51"/>
      <c r="BE2139" s="51"/>
      <c r="BF2139" s="47"/>
      <c r="BG2139" s="47"/>
      <c r="BH2139" s="47"/>
      <c r="BI2139" s="47"/>
      <c r="BJ2139" s="47"/>
      <c r="BK2139" s="47"/>
      <c r="BL2139" s="47"/>
      <c r="BM2139" s="47"/>
      <c r="BN2139" s="47"/>
      <c r="BO2139" s="47"/>
      <c r="BP2139" s="47"/>
      <c r="BQ2139" s="47"/>
      <c r="BR2139" s="47"/>
      <c r="BS2139" s="47"/>
      <c r="BT2139" s="47"/>
    </row>
    <row r="2140">
      <c r="A2140" s="24"/>
      <c r="B2140" s="48"/>
      <c r="C2140" s="49"/>
      <c r="D2140" s="24"/>
      <c r="E2140" s="52"/>
      <c r="F2140" s="53"/>
      <c r="G2140" s="48"/>
      <c r="H2140" s="49"/>
      <c r="I2140" s="49"/>
      <c r="J2140" s="48"/>
      <c r="K2140" s="48"/>
      <c r="L2140" s="48"/>
      <c r="M2140" s="48"/>
      <c r="N2140" s="48"/>
      <c r="O2140" s="48"/>
      <c r="P2140" s="48"/>
      <c r="Q2140" s="48"/>
      <c r="R2140" s="48"/>
      <c r="S2140" s="48"/>
      <c r="T2140" s="48"/>
      <c r="U2140" s="48"/>
      <c r="V2140" s="48"/>
      <c r="W2140" s="49"/>
      <c r="X2140" s="49"/>
      <c r="Y2140" s="49"/>
      <c r="Z2140" s="49"/>
      <c r="AA2140" s="49"/>
      <c r="AB2140" s="49"/>
      <c r="AC2140" s="49"/>
      <c r="AD2140" s="49"/>
      <c r="AE2140" s="49"/>
      <c r="AF2140" s="49"/>
      <c r="AG2140" s="49"/>
      <c r="AH2140" s="49"/>
      <c r="AI2140" s="48"/>
      <c r="AJ2140" s="48"/>
      <c r="AK2140" s="24"/>
      <c r="AL2140" s="50"/>
      <c r="AM2140" s="50"/>
      <c r="AN2140" s="50"/>
      <c r="AO2140" s="50"/>
      <c r="AP2140" s="50"/>
      <c r="AQ2140" s="50"/>
      <c r="AR2140" s="50"/>
      <c r="AS2140" s="50"/>
      <c r="AT2140" s="51"/>
      <c r="AU2140" s="51"/>
      <c r="AV2140" s="51"/>
      <c r="AW2140" s="51"/>
      <c r="AX2140" s="50"/>
      <c r="AY2140" s="50"/>
      <c r="AZ2140" s="50"/>
      <c r="BA2140" s="50"/>
      <c r="BB2140" s="51"/>
      <c r="BC2140" s="51"/>
      <c r="BD2140" s="51"/>
      <c r="BE2140" s="51"/>
      <c r="BF2140" s="47"/>
      <c r="BG2140" s="47"/>
      <c r="BH2140" s="47"/>
      <c r="BI2140" s="47"/>
      <c r="BJ2140" s="47"/>
      <c r="BK2140" s="47"/>
      <c r="BL2140" s="47"/>
      <c r="BM2140" s="47"/>
      <c r="BN2140" s="47"/>
      <c r="BO2140" s="47"/>
      <c r="BP2140" s="47"/>
      <c r="BQ2140" s="47"/>
      <c r="BR2140" s="47"/>
      <c r="BS2140" s="47"/>
      <c r="BT2140" s="47"/>
    </row>
    <row r="2141">
      <c r="A2141" s="24"/>
      <c r="B2141" s="48"/>
      <c r="C2141" s="49"/>
      <c r="D2141" s="24"/>
      <c r="E2141" s="52"/>
      <c r="F2141" s="53"/>
      <c r="G2141" s="48"/>
      <c r="H2141" s="49"/>
      <c r="I2141" s="49"/>
      <c r="J2141" s="48"/>
      <c r="K2141" s="48"/>
      <c r="L2141" s="48"/>
      <c r="M2141" s="48"/>
      <c r="N2141" s="48"/>
      <c r="O2141" s="48"/>
      <c r="P2141" s="48"/>
      <c r="Q2141" s="48"/>
      <c r="R2141" s="48"/>
      <c r="S2141" s="48"/>
      <c r="T2141" s="48"/>
      <c r="U2141" s="48"/>
      <c r="V2141" s="48"/>
      <c r="W2141" s="49"/>
      <c r="X2141" s="49"/>
      <c r="Y2141" s="49"/>
      <c r="Z2141" s="49"/>
      <c r="AA2141" s="49"/>
      <c r="AB2141" s="49"/>
      <c r="AC2141" s="49"/>
      <c r="AD2141" s="49"/>
      <c r="AE2141" s="49"/>
      <c r="AF2141" s="49"/>
      <c r="AG2141" s="49"/>
      <c r="AH2141" s="49"/>
      <c r="AI2141" s="48"/>
      <c r="AJ2141" s="48"/>
      <c r="AK2141" s="24"/>
      <c r="AL2141" s="50"/>
      <c r="AM2141" s="50"/>
      <c r="AN2141" s="50"/>
      <c r="AO2141" s="50"/>
      <c r="AP2141" s="50"/>
      <c r="AQ2141" s="50"/>
      <c r="AR2141" s="50"/>
      <c r="AS2141" s="50"/>
      <c r="AT2141" s="51"/>
      <c r="AU2141" s="51"/>
      <c r="AV2141" s="51"/>
      <c r="AW2141" s="51"/>
      <c r="AX2141" s="50"/>
      <c r="AY2141" s="50"/>
      <c r="AZ2141" s="50"/>
      <c r="BA2141" s="50"/>
      <c r="BB2141" s="51"/>
      <c r="BC2141" s="51"/>
      <c r="BD2141" s="51"/>
      <c r="BE2141" s="51"/>
      <c r="BF2141" s="47"/>
      <c r="BG2141" s="47"/>
      <c r="BH2141" s="47"/>
      <c r="BI2141" s="47"/>
      <c r="BJ2141" s="47"/>
      <c r="BK2141" s="47"/>
      <c r="BL2141" s="47"/>
      <c r="BM2141" s="47"/>
      <c r="BN2141" s="47"/>
      <c r="BO2141" s="47"/>
      <c r="BP2141" s="47"/>
      <c r="BQ2141" s="47"/>
      <c r="BR2141" s="47"/>
      <c r="BS2141" s="47"/>
      <c r="BT2141" s="47"/>
    </row>
    <row r="2142">
      <c r="A2142" s="24"/>
      <c r="B2142" s="48"/>
      <c r="C2142" s="49"/>
      <c r="D2142" s="24"/>
      <c r="E2142" s="52"/>
      <c r="F2142" s="53"/>
      <c r="G2142" s="48"/>
      <c r="H2142" s="49"/>
      <c r="I2142" s="49"/>
      <c r="J2142" s="48"/>
      <c r="K2142" s="48"/>
      <c r="L2142" s="48"/>
      <c r="M2142" s="48"/>
      <c r="N2142" s="48"/>
      <c r="O2142" s="48"/>
      <c r="P2142" s="48"/>
      <c r="Q2142" s="48"/>
      <c r="R2142" s="48"/>
      <c r="S2142" s="48"/>
      <c r="T2142" s="48"/>
      <c r="U2142" s="48"/>
      <c r="V2142" s="48"/>
      <c r="W2142" s="49"/>
      <c r="X2142" s="49"/>
      <c r="Y2142" s="49"/>
      <c r="Z2142" s="49"/>
      <c r="AA2142" s="49"/>
      <c r="AB2142" s="49"/>
      <c r="AC2142" s="49"/>
      <c r="AD2142" s="49"/>
      <c r="AE2142" s="49"/>
      <c r="AF2142" s="49"/>
      <c r="AG2142" s="49"/>
      <c r="AH2142" s="49"/>
      <c r="AI2142" s="48"/>
      <c r="AJ2142" s="48"/>
      <c r="AK2142" s="24"/>
      <c r="AL2142" s="50"/>
      <c r="AM2142" s="50"/>
      <c r="AN2142" s="50"/>
      <c r="AO2142" s="50"/>
      <c r="AP2142" s="50"/>
      <c r="AQ2142" s="50"/>
      <c r="AR2142" s="50"/>
      <c r="AS2142" s="50"/>
      <c r="AT2142" s="51"/>
      <c r="AU2142" s="51"/>
      <c r="AV2142" s="51"/>
      <c r="AW2142" s="51"/>
      <c r="AX2142" s="50"/>
      <c r="AY2142" s="50"/>
      <c r="AZ2142" s="50"/>
      <c r="BA2142" s="50"/>
      <c r="BB2142" s="51"/>
      <c r="BC2142" s="51"/>
      <c r="BD2142" s="51"/>
      <c r="BE2142" s="51"/>
      <c r="BF2142" s="47"/>
      <c r="BG2142" s="47"/>
      <c r="BH2142" s="47"/>
      <c r="BI2142" s="47"/>
      <c r="BJ2142" s="47"/>
      <c r="BK2142" s="47"/>
      <c r="BL2142" s="47"/>
      <c r="BM2142" s="47"/>
      <c r="BN2142" s="47"/>
      <c r="BO2142" s="47"/>
      <c r="BP2142" s="47"/>
      <c r="BQ2142" s="47"/>
      <c r="BR2142" s="47"/>
      <c r="BS2142" s="47"/>
      <c r="BT2142" s="47"/>
    </row>
    <row r="2143">
      <c r="A2143" s="24"/>
      <c r="B2143" s="48"/>
      <c r="C2143" s="49"/>
      <c r="D2143" s="24"/>
      <c r="E2143" s="52"/>
      <c r="F2143" s="53"/>
      <c r="G2143" s="48"/>
      <c r="H2143" s="49"/>
      <c r="I2143" s="49"/>
      <c r="J2143" s="48"/>
      <c r="K2143" s="48"/>
      <c r="L2143" s="48"/>
      <c r="M2143" s="48"/>
      <c r="N2143" s="48"/>
      <c r="O2143" s="48"/>
      <c r="P2143" s="48"/>
      <c r="Q2143" s="48"/>
      <c r="R2143" s="48"/>
      <c r="S2143" s="48"/>
      <c r="T2143" s="48"/>
      <c r="U2143" s="48"/>
      <c r="V2143" s="48"/>
      <c r="W2143" s="49"/>
      <c r="X2143" s="49"/>
      <c r="Y2143" s="49"/>
      <c r="Z2143" s="49"/>
      <c r="AA2143" s="49"/>
      <c r="AB2143" s="49"/>
      <c r="AC2143" s="49"/>
      <c r="AD2143" s="49"/>
      <c r="AE2143" s="49"/>
      <c r="AF2143" s="49"/>
      <c r="AG2143" s="49"/>
      <c r="AH2143" s="49"/>
      <c r="AI2143" s="48"/>
      <c r="AJ2143" s="48"/>
      <c r="AK2143" s="24"/>
      <c r="AL2143" s="50"/>
      <c r="AM2143" s="50"/>
      <c r="AN2143" s="50"/>
      <c r="AO2143" s="50"/>
      <c r="AP2143" s="50"/>
      <c r="AQ2143" s="50"/>
      <c r="AR2143" s="50"/>
      <c r="AS2143" s="50"/>
      <c r="AT2143" s="51"/>
      <c r="AU2143" s="51"/>
      <c r="AV2143" s="51"/>
      <c r="AW2143" s="51"/>
      <c r="AX2143" s="50"/>
      <c r="AY2143" s="50"/>
      <c r="AZ2143" s="50"/>
      <c r="BA2143" s="50"/>
      <c r="BB2143" s="51"/>
      <c r="BC2143" s="51"/>
      <c r="BD2143" s="51"/>
      <c r="BE2143" s="51"/>
      <c r="BF2143" s="47"/>
      <c r="BG2143" s="47"/>
      <c r="BH2143" s="47"/>
      <c r="BI2143" s="47"/>
      <c r="BJ2143" s="47"/>
      <c r="BK2143" s="47"/>
      <c r="BL2143" s="47"/>
      <c r="BM2143" s="47"/>
      <c r="BN2143" s="47"/>
      <c r="BO2143" s="47"/>
      <c r="BP2143" s="47"/>
      <c r="BQ2143" s="47"/>
      <c r="BR2143" s="47"/>
      <c r="BS2143" s="47"/>
      <c r="BT2143" s="47"/>
    </row>
    <row r="2144">
      <c r="A2144" s="24"/>
      <c r="B2144" s="48"/>
      <c r="C2144" s="49"/>
      <c r="D2144" s="24"/>
      <c r="E2144" s="52"/>
      <c r="F2144" s="53"/>
      <c r="G2144" s="48"/>
      <c r="H2144" s="49"/>
      <c r="I2144" s="49"/>
      <c r="J2144" s="48"/>
      <c r="K2144" s="48"/>
      <c r="L2144" s="48"/>
      <c r="M2144" s="48"/>
      <c r="N2144" s="48"/>
      <c r="O2144" s="48"/>
      <c r="P2144" s="48"/>
      <c r="Q2144" s="48"/>
      <c r="R2144" s="48"/>
      <c r="S2144" s="48"/>
      <c r="T2144" s="48"/>
      <c r="U2144" s="48"/>
      <c r="V2144" s="48"/>
      <c r="W2144" s="49"/>
      <c r="X2144" s="49"/>
      <c r="Y2144" s="49"/>
      <c r="Z2144" s="49"/>
      <c r="AA2144" s="49"/>
      <c r="AB2144" s="49"/>
      <c r="AC2144" s="49"/>
      <c r="AD2144" s="49"/>
      <c r="AE2144" s="49"/>
      <c r="AF2144" s="49"/>
      <c r="AG2144" s="49"/>
      <c r="AH2144" s="49"/>
      <c r="AI2144" s="48"/>
      <c r="AJ2144" s="48"/>
      <c r="AK2144" s="24"/>
      <c r="AL2144" s="50"/>
      <c r="AM2144" s="50"/>
      <c r="AN2144" s="50"/>
      <c r="AO2144" s="50"/>
      <c r="AP2144" s="50"/>
      <c r="AQ2144" s="50"/>
      <c r="AR2144" s="50"/>
      <c r="AS2144" s="50"/>
      <c r="AT2144" s="51"/>
      <c r="AU2144" s="51"/>
      <c r="AV2144" s="51"/>
      <c r="AW2144" s="51"/>
      <c r="AX2144" s="50"/>
      <c r="AY2144" s="50"/>
      <c r="AZ2144" s="50"/>
      <c r="BA2144" s="50"/>
      <c r="BB2144" s="51"/>
      <c r="BC2144" s="51"/>
      <c r="BD2144" s="51"/>
      <c r="BE2144" s="51"/>
      <c r="BF2144" s="47"/>
      <c r="BG2144" s="47"/>
      <c r="BH2144" s="47"/>
      <c r="BI2144" s="47"/>
      <c r="BJ2144" s="47"/>
      <c r="BK2144" s="47"/>
      <c r="BL2144" s="47"/>
      <c r="BM2144" s="47"/>
      <c r="BN2144" s="47"/>
      <c r="BO2144" s="47"/>
      <c r="BP2144" s="47"/>
      <c r="BQ2144" s="47"/>
      <c r="BR2144" s="47"/>
      <c r="BS2144" s="47"/>
      <c r="BT2144" s="47"/>
    </row>
    <row r="2145">
      <c r="A2145" s="24"/>
      <c r="B2145" s="48"/>
      <c r="C2145" s="49"/>
      <c r="D2145" s="24"/>
      <c r="E2145" s="52"/>
      <c r="F2145" s="53"/>
      <c r="G2145" s="48"/>
      <c r="H2145" s="49"/>
      <c r="I2145" s="49"/>
      <c r="J2145" s="48"/>
      <c r="K2145" s="48"/>
      <c r="L2145" s="48"/>
      <c r="M2145" s="48"/>
      <c r="N2145" s="48"/>
      <c r="O2145" s="48"/>
      <c r="P2145" s="48"/>
      <c r="Q2145" s="48"/>
      <c r="R2145" s="48"/>
      <c r="S2145" s="48"/>
      <c r="T2145" s="48"/>
      <c r="U2145" s="48"/>
      <c r="V2145" s="48"/>
      <c r="W2145" s="49"/>
      <c r="X2145" s="49"/>
      <c r="Y2145" s="49"/>
      <c r="Z2145" s="49"/>
      <c r="AA2145" s="49"/>
      <c r="AB2145" s="49"/>
      <c r="AC2145" s="49"/>
      <c r="AD2145" s="49"/>
      <c r="AE2145" s="49"/>
      <c r="AF2145" s="49"/>
      <c r="AG2145" s="49"/>
      <c r="AH2145" s="49"/>
      <c r="AI2145" s="48"/>
      <c r="AJ2145" s="48"/>
      <c r="AK2145" s="24"/>
      <c r="AL2145" s="50"/>
      <c r="AM2145" s="50"/>
      <c r="AN2145" s="50"/>
      <c r="AO2145" s="50"/>
      <c r="AP2145" s="50"/>
      <c r="AQ2145" s="50"/>
      <c r="AR2145" s="50"/>
      <c r="AS2145" s="50"/>
      <c r="AT2145" s="51"/>
      <c r="AU2145" s="51"/>
      <c r="AV2145" s="51"/>
      <c r="AW2145" s="51"/>
      <c r="AX2145" s="50"/>
      <c r="AY2145" s="50"/>
      <c r="AZ2145" s="50"/>
      <c r="BA2145" s="50"/>
      <c r="BB2145" s="51"/>
      <c r="BC2145" s="51"/>
      <c r="BD2145" s="51"/>
      <c r="BE2145" s="51"/>
      <c r="BF2145" s="47"/>
      <c r="BG2145" s="47"/>
      <c r="BH2145" s="47"/>
      <c r="BI2145" s="47"/>
      <c r="BJ2145" s="47"/>
      <c r="BK2145" s="47"/>
      <c r="BL2145" s="47"/>
      <c r="BM2145" s="47"/>
      <c r="BN2145" s="47"/>
      <c r="BO2145" s="47"/>
      <c r="BP2145" s="47"/>
      <c r="BQ2145" s="47"/>
      <c r="BR2145" s="47"/>
      <c r="BS2145" s="47"/>
      <c r="BT2145" s="47"/>
    </row>
    <row r="2146">
      <c r="A2146" s="24"/>
      <c r="B2146" s="48"/>
      <c r="C2146" s="49"/>
      <c r="D2146" s="24"/>
      <c r="E2146" s="52"/>
      <c r="F2146" s="53"/>
      <c r="G2146" s="48"/>
      <c r="H2146" s="49"/>
      <c r="I2146" s="49"/>
      <c r="J2146" s="48"/>
      <c r="K2146" s="48"/>
      <c r="L2146" s="48"/>
      <c r="M2146" s="48"/>
      <c r="N2146" s="48"/>
      <c r="O2146" s="48"/>
      <c r="P2146" s="48"/>
      <c r="Q2146" s="48"/>
      <c r="R2146" s="48"/>
      <c r="S2146" s="48"/>
      <c r="T2146" s="48"/>
      <c r="U2146" s="48"/>
      <c r="V2146" s="48"/>
      <c r="W2146" s="49"/>
      <c r="X2146" s="49"/>
      <c r="Y2146" s="49"/>
      <c r="Z2146" s="49"/>
      <c r="AA2146" s="49"/>
      <c r="AB2146" s="49"/>
      <c r="AC2146" s="49"/>
      <c r="AD2146" s="49"/>
      <c r="AE2146" s="49"/>
      <c r="AF2146" s="49"/>
      <c r="AG2146" s="49"/>
      <c r="AH2146" s="49"/>
      <c r="AI2146" s="48"/>
      <c r="AJ2146" s="48"/>
      <c r="AK2146" s="24"/>
      <c r="AL2146" s="50"/>
      <c r="AM2146" s="50"/>
      <c r="AN2146" s="50"/>
      <c r="AO2146" s="50"/>
      <c r="AP2146" s="50"/>
      <c r="AQ2146" s="50"/>
      <c r="AR2146" s="50"/>
      <c r="AS2146" s="50"/>
      <c r="AT2146" s="51"/>
      <c r="AU2146" s="51"/>
      <c r="AV2146" s="51"/>
      <c r="AW2146" s="51"/>
      <c r="AX2146" s="50"/>
      <c r="AY2146" s="50"/>
      <c r="AZ2146" s="50"/>
      <c r="BA2146" s="50"/>
      <c r="BB2146" s="51"/>
      <c r="BC2146" s="51"/>
      <c r="BD2146" s="51"/>
      <c r="BE2146" s="51"/>
      <c r="BF2146" s="47"/>
      <c r="BG2146" s="47"/>
      <c r="BH2146" s="47"/>
      <c r="BI2146" s="47"/>
      <c r="BJ2146" s="47"/>
      <c r="BK2146" s="47"/>
      <c r="BL2146" s="47"/>
      <c r="BM2146" s="47"/>
      <c r="BN2146" s="47"/>
      <c r="BO2146" s="47"/>
      <c r="BP2146" s="47"/>
      <c r="BQ2146" s="47"/>
      <c r="BR2146" s="47"/>
      <c r="BS2146" s="47"/>
      <c r="BT2146" s="47"/>
    </row>
    <row r="2147">
      <c r="A2147" s="24"/>
      <c r="B2147" s="48"/>
      <c r="C2147" s="49"/>
      <c r="D2147" s="24"/>
      <c r="E2147" s="52"/>
      <c r="F2147" s="53"/>
      <c r="G2147" s="48"/>
      <c r="H2147" s="49"/>
      <c r="I2147" s="49"/>
      <c r="J2147" s="48"/>
      <c r="K2147" s="48"/>
      <c r="L2147" s="48"/>
      <c r="M2147" s="48"/>
      <c r="N2147" s="48"/>
      <c r="O2147" s="48"/>
      <c r="P2147" s="48"/>
      <c r="Q2147" s="48"/>
      <c r="R2147" s="48"/>
      <c r="S2147" s="48"/>
      <c r="T2147" s="48"/>
      <c r="U2147" s="48"/>
      <c r="V2147" s="48"/>
      <c r="W2147" s="49"/>
      <c r="X2147" s="49"/>
      <c r="Y2147" s="49"/>
      <c r="Z2147" s="49"/>
      <c r="AA2147" s="49"/>
      <c r="AB2147" s="49"/>
      <c r="AC2147" s="49"/>
      <c r="AD2147" s="49"/>
      <c r="AE2147" s="49"/>
      <c r="AF2147" s="49"/>
      <c r="AG2147" s="49"/>
      <c r="AH2147" s="49"/>
      <c r="AI2147" s="48"/>
      <c r="AJ2147" s="48"/>
      <c r="AK2147" s="24"/>
      <c r="AL2147" s="50"/>
      <c r="AM2147" s="50"/>
      <c r="AN2147" s="50"/>
      <c r="AO2147" s="50"/>
      <c r="AP2147" s="50"/>
      <c r="AQ2147" s="50"/>
      <c r="AR2147" s="50"/>
      <c r="AS2147" s="50"/>
      <c r="AT2147" s="51"/>
      <c r="AU2147" s="51"/>
      <c r="AV2147" s="51"/>
      <c r="AW2147" s="51"/>
      <c r="AX2147" s="50"/>
      <c r="AY2147" s="50"/>
      <c r="AZ2147" s="50"/>
      <c r="BA2147" s="50"/>
      <c r="BB2147" s="51"/>
      <c r="BC2147" s="51"/>
      <c r="BD2147" s="51"/>
      <c r="BE2147" s="51"/>
      <c r="BF2147" s="47"/>
      <c r="BG2147" s="47"/>
      <c r="BH2147" s="47"/>
      <c r="BI2147" s="47"/>
      <c r="BJ2147" s="47"/>
      <c r="BK2147" s="47"/>
      <c r="BL2147" s="47"/>
      <c r="BM2147" s="47"/>
      <c r="BN2147" s="47"/>
      <c r="BO2147" s="47"/>
      <c r="BP2147" s="47"/>
      <c r="BQ2147" s="47"/>
      <c r="BR2147" s="47"/>
      <c r="BS2147" s="47"/>
      <c r="BT2147" s="47"/>
    </row>
    <row r="2148">
      <c r="A2148" s="24"/>
      <c r="B2148" s="48"/>
      <c r="C2148" s="49"/>
      <c r="D2148" s="24"/>
      <c r="E2148" s="52"/>
      <c r="F2148" s="53"/>
      <c r="G2148" s="48"/>
      <c r="H2148" s="49"/>
      <c r="I2148" s="49"/>
      <c r="J2148" s="48"/>
      <c r="K2148" s="48"/>
      <c r="L2148" s="48"/>
      <c r="M2148" s="48"/>
      <c r="N2148" s="48"/>
      <c r="O2148" s="48"/>
      <c r="P2148" s="48"/>
      <c r="Q2148" s="48"/>
      <c r="R2148" s="48"/>
      <c r="S2148" s="48"/>
      <c r="T2148" s="48"/>
      <c r="U2148" s="48"/>
      <c r="V2148" s="48"/>
      <c r="W2148" s="49"/>
      <c r="X2148" s="49"/>
      <c r="Y2148" s="49"/>
      <c r="Z2148" s="49"/>
      <c r="AA2148" s="49"/>
      <c r="AB2148" s="49"/>
      <c r="AC2148" s="49"/>
      <c r="AD2148" s="49"/>
      <c r="AE2148" s="49"/>
      <c r="AF2148" s="49"/>
      <c r="AG2148" s="49"/>
      <c r="AH2148" s="49"/>
      <c r="AI2148" s="48"/>
      <c r="AJ2148" s="48"/>
      <c r="AK2148" s="24"/>
      <c r="AL2148" s="50"/>
      <c r="AM2148" s="50"/>
      <c r="AN2148" s="50"/>
      <c r="AO2148" s="50"/>
      <c r="AP2148" s="50"/>
      <c r="AQ2148" s="50"/>
      <c r="AR2148" s="50"/>
      <c r="AS2148" s="50"/>
      <c r="AT2148" s="51"/>
      <c r="AU2148" s="51"/>
      <c r="AV2148" s="51"/>
      <c r="AW2148" s="51"/>
      <c r="AX2148" s="50"/>
      <c r="AY2148" s="50"/>
      <c r="AZ2148" s="50"/>
      <c r="BA2148" s="50"/>
      <c r="BB2148" s="51"/>
      <c r="BC2148" s="51"/>
      <c r="BD2148" s="51"/>
      <c r="BE2148" s="51"/>
      <c r="BF2148" s="47"/>
      <c r="BG2148" s="47"/>
      <c r="BH2148" s="47"/>
      <c r="BI2148" s="47"/>
      <c r="BJ2148" s="47"/>
      <c r="BK2148" s="47"/>
      <c r="BL2148" s="47"/>
      <c r="BM2148" s="47"/>
      <c r="BN2148" s="47"/>
      <c r="BO2148" s="47"/>
      <c r="BP2148" s="47"/>
      <c r="BQ2148" s="47"/>
      <c r="BR2148" s="47"/>
      <c r="BS2148" s="47"/>
      <c r="BT2148" s="47"/>
    </row>
    <row r="2149">
      <c r="A2149" s="24"/>
      <c r="B2149" s="48"/>
      <c r="C2149" s="49"/>
      <c r="D2149" s="24"/>
      <c r="E2149" s="52"/>
      <c r="F2149" s="53"/>
      <c r="G2149" s="48"/>
      <c r="H2149" s="49"/>
      <c r="I2149" s="49"/>
      <c r="J2149" s="48"/>
      <c r="K2149" s="48"/>
      <c r="L2149" s="48"/>
      <c r="M2149" s="48"/>
      <c r="N2149" s="48"/>
      <c r="O2149" s="48"/>
      <c r="P2149" s="48"/>
      <c r="Q2149" s="48"/>
      <c r="R2149" s="48"/>
      <c r="S2149" s="48"/>
      <c r="T2149" s="48"/>
      <c r="U2149" s="48"/>
      <c r="V2149" s="48"/>
      <c r="W2149" s="49"/>
      <c r="X2149" s="49"/>
      <c r="Y2149" s="49"/>
      <c r="Z2149" s="49"/>
      <c r="AA2149" s="49"/>
      <c r="AB2149" s="49"/>
      <c r="AC2149" s="49"/>
      <c r="AD2149" s="49"/>
      <c r="AE2149" s="49"/>
      <c r="AF2149" s="49"/>
      <c r="AG2149" s="49"/>
      <c r="AH2149" s="49"/>
      <c r="AI2149" s="48"/>
      <c r="AJ2149" s="48"/>
      <c r="AK2149" s="24"/>
      <c r="AL2149" s="50"/>
      <c r="AM2149" s="50"/>
      <c r="AN2149" s="50"/>
      <c r="AO2149" s="50"/>
      <c r="AP2149" s="50"/>
      <c r="AQ2149" s="50"/>
      <c r="AR2149" s="50"/>
      <c r="AS2149" s="50"/>
      <c r="AT2149" s="51"/>
      <c r="AU2149" s="51"/>
      <c r="AV2149" s="51"/>
      <c r="AW2149" s="51"/>
      <c r="AX2149" s="50"/>
      <c r="AY2149" s="50"/>
      <c r="AZ2149" s="50"/>
      <c r="BA2149" s="50"/>
      <c r="BB2149" s="51"/>
      <c r="BC2149" s="51"/>
      <c r="BD2149" s="51"/>
      <c r="BE2149" s="51"/>
      <c r="BF2149" s="47"/>
      <c r="BG2149" s="47"/>
      <c r="BH2149" s="47"/>
      <c r="BI2149" s="47"/>
      <c r="BJ2149" s="47"/>
      <c r="BK2149" s="47"/>
      <c r="BL2149" s="47"/>
      <c r="BM2149" s="47"/>
      <c r="BN2149" s="47"/>
      <c r="BO2149" s="47"/>
      <c r="BP2149" s="47"/>
      <c r="BQ2149" s="47"/>
      <c r="BR2149" s="47"/>
      <c r="BS2149" s="47"/>
      <c r="BT2149" s="47"/>
    </row>
    <row r="2150">
      <c r="A2150" s="24"/>
      <c r="B2150" s="48"/>
      <c r="C2150" s="49"/>
      <c r="D2150" s="24"/>
      <c r="E2150" s="52"/>
      <c r="F2150" s="53"/>
      <c r="G2150" s="48"/>
      <c r="H2150" s="49"/>
      <c r="I2150" s="49"/>
      <c r="J2150" s="48"/>
      <c r="K2150" s="48"/>
      <c r="L2150" s="48"/>
      <c r="M2150" s="48"/>
      <c r="N2150" s="48"/>
      <c r="O2150" s="48"/>
      <c r="P2150" s="48"/>
      <c r="Q2150" s="48"/>
      <c r="R2150" s="48"/>
      <c r="S2150" s="48"/>
      <c r="T2150" s="48"/>
      <c r="U2150" s="48"/>
      <c r="V2150" s="48"/>
      <c r="W2150" s="49"/>
      <c r="X2150" s="49"/>
      <c r="Y2150" s="49"/>
      <c r="Z2150" s="49"/>
      <c r="AA2150" s="49"/>
      <c r="AB2150" s="49"/>
      <c r="AC2150" s="49"/>
      <c r="AD2150" s="49"/>
      <c r="AE2150" s="49"/>
      <c r="AF2150" s="49"/>
      <c r="AG2150" s="49"/>
      <c r="AH2150" s="49"/>
      <c r="AI2150" s="48"/>
      <c r="AJ2150" s="48"/>
      <c r="AK2150" s="24"/>
      <c r="AL2150" s="50"/>
      <c r="AM2150" s="50"/>
      <c r="AN2150" s="50"/>
      <c r="AO2150" s="50"/>
      <c r="AP2150" s="50"/>
      <c r="AQ2150" s="50"/>
      <c r="AR2150" s="50"/>
      <c r="AS2150" s="50"/>
      <c r="AT2150" s="51"/>
      <c r="AU2150" s="51"/>
      <c r="AV2150" s="51"/>
      <c r="AW2150" s="51"/>
      <c r="AX2150" s="50"/>
      <c r="AY2150" s="50"/>
      <c r="AZ2150" s="50"/>
      <c r="BA2150" s="50"/>
      <c r="BB2150" s="51"/>
      <c r="BC2150" s="51"/>
      <c r="BD2150" s="51"/>
      <c r="BE2150" s="51"/>
      <c r="BF2150" s="47"/>
      <c r="BG2150" s="47"/>
      <c r="BH2150" s="47"/>
      <c r="BI2150" s="47"/>
      <c r="BJ2150" s="47"/>
      <c r="BK2150" s="47"/>
      <c r="BL2150" s="47"/>
      <c r="BM2150" s="47"/>
      <c r="BN2150" s="47"/>
      <c r="BO2150" s="47"/>
      <c r="BP2150" s="47"/>
      <c r="BQ2150" s="47"/>
      <c r="BR2150" s="47"/>
      <c r="BS2150" s="47"/>
      <c r="BT2150" s="47"/>
    </row>
    <row r="2151">
      <c r="A2151" s="24"/>
      <c r="B2151" s="48"/>
      <c r="C2151" s="49"/>
      <c r="D2151" s="24"/>
      <c r="E2151" s="52"/>
      <c r="F2151" s="53"/>
      <c r="G2151" s="48"/>
      <c r="H2151" s="49"/>
      <c r="I2151" s="49"/>
      <c r="J2151" s="48"/>
      <c r="K2151" s="48"/>
      <c r="L2151" s="48"/>
      <c r="M2151" s="48"/>
      <c r="N2151" s="48"/>
      <c r="O2151" s="48"/>
      <c r="P2151" s="48"/>
      <c r="Q2151" s="48"/>
      <c r="R2151" s="48"/>
      <c r="S2151" s="48"/>
      <c r="T2151" s="48"/>
      <c r="U2151" s="48"/>
      <c r="V2151" s="48"/>
      <c r="W2151" s="49"/>
      <c r="X2151" s="49"/>
      <c r="Y2151" s="49"/>
      <c r="Z2151" s="49"/>
      <c r="AA2151" s="49"/>
      <c r="AB2151" s="49"/>
      <c r="AC2151" s="49"/>
      <c r="AD2151" s="49"/>
      <c r="AE2151" s="49"/>
      <c r="AF2151" s="49"/>
      <c r="AG2151" s="49"/>
      <c r="AH2151" s="49"/>
      <c r="AI2151" s="48"/>
      <c r="AJ2151" s="48"/>
      <c r="AK2151" s="24"/>
      <c r="AL2151" s="50"/>
      <c r="AM2151" s="50"/>
      <c r="AN2151" s="50"/>
      <c r="AO2151" s="50"/>
      <c r="AP2151" s="50"/>
      <c r="AQ2151" s="50"/>
      <c r="AR2151" s="50"/>
      <c r="AS2151" s="50"/>
      <c r="AT2151" s="51"/>
      <c r="AU2151" s="51"/>
      <c r="AV2151" s="51"/>
      <c r="AW2151" s="51"/>
      <c r="AX2151" s="50"/>
      <c r="AY2151" s="50"/>
      <c r="AZ2151" s="50"/>
      <c r="BA2151" s="50"/>
      <c r="BB2151" s="51"/>
      <c r="BC2151" s="51"/>
      <c r="BD2151" s="51"/>
      <c r="BE2151" s="51"/>
      <c r="BF2151" s="47"/>
      <c r="BG2151" s="47"/>
      <c r="BH2151" s="47"/>
      <c r="BI2151" s="47"/>
      <c r="BJ2151" s="47"/>
      <c r="BK2151" s="47"/>
      <c r="BL2151" s="47"/>
      <c r="BM2151" s="47"/>
      <c r="BN2151" s="47"/>
      <c r="BO2151" s="47"/>
      <c r="BP2151" s="47"/>
      <c r="BQ2151" s="47"/>
      <c r="BR2151" s="47"/>
      <c r="BS2151" s="47"/>
      <c r="BT2151" s="47"/>
    </row>
    <row r="2152">
      <c r="A2152" s="24"/>
      <c r="B2152" s="48"/>
      <c r="C2152" s="49"/>
      <c r="D2152" s="24"/>
      <c r="E2152" s="52"/>
      <c r="F2152" s="53"/>
      <c r="G2152" s="48"/>
      <c r="H2152" s="49"/>
      <c r="I2152" s="49"/>
      <c r="J2152" s="48"/>
      <c r="K2152" s="48"/>
      <c r="L2152" s="48"/>
      <c r="M2152" s="48"/>
      <c r="N2152" s="48"/>
      <c r="O2152" s="48"/>
      <c r="P2152" s="48"/>
      <c r="Q2152" s="48"/>
      <c r="R2152" s="48"/>
      <c r="S2152" s="48"/>
      <c r="T2152" s="48"/>
      <c r="U2152" s="48"/>
      <c r="V2152" s="48"/>
      <c r="W2152" s="49"/>
      <c r="X2152" s="49"/>
      <c r="Y2152" s="49"/>
      <c r="Z2152" s="49"/>
      <c r="AA2152" s="49"/>
      <c r="AB2152" s="49"/>
      <c r="AC2152" s="49"/>
      <c r="AD2152" s="49"/>
      <c r="AE2152" s="49"/>
      <c r="AF2152" s="49"/>
      <c r="AG2152" s="49"/>
      <c r="AH2152" s="49"/>
      <c r="AI2152" s="48"/>
      <c r="AJ2152" s="48"/>
      <c r="AK2152" s="24"/>
      <c r="AL2152" s="50"/>
      <c r="AM2152" s="50"/>
      <c r="AN2152" s="50"/>
      <c r="AO2152" s="50"/>
      <c r="AP2152" s="50"/>
      <c r="AQ2152" s="50"/>
      <c r="AR2152" s="50"/>
      <c r="AS2152" s="50"/>
      <c r="AT2152" s="51"/>
      <c r="AU2152" s="51"/>
      <c r="AV2152" s="51"/>
      <c r="AW2152" s="51"/>
      <c r="AX2152" s="50"/>
      <c r="AY2152" s="50"/>
      <c r="AZ2152" s="50"/>
      <c r="BA2152" s="50"/>
      <c r="BB2152" s="51"/>
      <c r="BC2152" s="51"/>
      <c r="BD2152" s="51"/>
      <c r="BE2152" s="51"/>
      <c r="BF2152" s="47"/>
      <c r="BG2152" s="47"/>
      <c r="BH2152" s="47"/>
      <c r="BI2152" s="47"/>
      <c r="BJ2152" s="47"/>
      <c r="BK2152" s="47"/>
      <c r="BL2152" s="47"/>
      <c r="BM2152" s="47"/>
      <c r="BN2152" s="47"/>
      <c r="BO2152" s="47"/>
      <c r="BP2152" s="47"/>
      <c r="BQ2152" s="47"/>
      <c r="BR2152" s="47"/>
      <c r="BS2152" s="47"/>
      <c r="BT2152" s="47"/>
    </row>
    <row r="2153">
      <c r="A2153" s="24"/>
      <c r="B2153" s="48"/>
      <c r="C2153" s="49"/>
      <c r="D2153" s="24"/>
      <c r="E2153" s="52"/>
      <c r="F2153" s="53"/>
      <c r="G2153" s="48"/>
      <c r="H2153" s="49"/>
      <c r="I2153" s="49"/>
      <c r="J2153" s="48"/>
      <c r="K2153" s="48"/>
      <c r="L2153" s="48"/>
      <c r="M2153" s="48"/>
      <c r="N2153" s="48"/>
      <c r="O2153" s="48"/>
      <c r="P2153" s="48"/>
      <c r="Q2153" s="48"/>
      <c r="R2153" s="48"/>
      <c r="S2153" s="48"/>
      <c r="T2153" s="48"/>
      <c r="U2153" s="48"/>
      <c r="V2153" s="48"/>
      <c r="W2153" s="49"/>
      <c r="X2153" s="49"/>
      <c r="Y2153" s="49"/>
      <c r="Z2153" s="49"/>
      <c r="AA2153" s="49"/>
      <c r="AB2153" s="49"/>
      <c r="AC2153" s="49"/>
      <c r="AD2153" s="49"/>
      <c r="AE2153" s="49"/>
      <c r="AF2153" s="49"/>
      <c r="AG2153" s="49"/>
      <c r="AH2153" s="49"/>
      <c r="AI2153" s="48"/>
      <c r="AJ2153" s="48"/>
      <c r="AK2153" s="24"/>
      <c r="AL2153" s="50"/>
      <c r="AM2153" s="50"/>
      <c r="AN2153" s="50"/>
      <c r="AO2153" s="50"/>
      <c r="AP2153" s="50"/>
      <c r="AQ2153" s="50"/>
      <c r="AR2153" s="50"/>
      <c r="AS2153" s="50"/>
      <c r="AT2153" s="51"/>
      <c r="AU2153" s="51"/>
      <c r="AV2153" s="51"/>
      <c r="AW2153" s="51"/>
      <c r="AX2153" s="50"/>
      <c r="AY2153" s="50"/>
      <c r="AZ2153" s="50"/>
      <c r="BA2153" s="50"/>
      <c r="BB2153" s="51"/>
      <c r="BC2153" s="51"/>
      <c r="BD2153" s="51"/>
      <c r="BE2153" s="51"/>
      <c r="BF2153" s="47"/>
      <c r="BG2153" s="47"/>
      <c r="BH2153" s="47"/>
      <c r="BI2153" s="47"/>
      <c r="BJ2153" s="47"/>
      <c r="BK2153" s="47"/>
      <c r="BL2153" s="47"/>
      <c r="BM2153" s="47"/>
      <c r="BN2153" s="47"/>
      <c r="BO2153" s="47"/>
      <c r="BP2153" s="47"/>
      <c r="BQ2153" s="47"/>
      <c r="BR2153" s="47"/>
      <c r="BS2153" s="47"/>
      <c r="BT2153" s="47"/>
    </row>
    <row r="2154">
      <c r="A2154" s="24"/>
      <c r="B2154" s="48"/>
      <c r="C2154" s="49"/>
      <c r="D2154" s="24"/>
      <c r="E2154" s="52"/>
      <c r="F2154" s="53"/>
      <c r="G2154" s="48"/>
      <c r="H2154" s="49"/>
      <c r="I2154" s="49"/>
      <c r="J2154" s="48"/>
      <c r="K2154" s="48"/>
      <c r="L2154" s="48"/>
      <c r="M2154" s="48"/>
      <c r="N2154" s="48"/>
      <c r="O2154" s="48"/>
      <c r="P2154" s="48"/>
      <c r="Q2154" s="48"/>
      <c r="R2154" s="48"/>
      <c r="S2154" s="48"/>
      <c r="T2154" s="48"/>
      <c r="U2154" s="48"/>
      <c r="V2154" s="48"/>
      <c r="W2154" s="49"/>
      <c r="X2154" s="49"/>
      <c r="Y2154" s="49"/>
      <c r="Z2154" s="49"/>
      <c r="AA2154" s="49"/>
      <c r="AB2154" s="49"/>
      <c r="AC2154" s="49"/>
      <c r="AD2154" s="49"/>
      <c r="AE2154" s="49"/>
      <c r="AF2154" s="49"/>
      <c r="AG2154" s="49"/>
      <c r="AH2154" s="49"/>
      <c r="AI2154" s="48"/>
      <c r="AJ2154" s="48"/>
      <c r="AK2154" s="24"/>
      <c r="AL2154" s="50"/>
      <c r="AM2154" s="50"/>
      <c r="AN2154" s="50"/>
      <c r="AO2154" s="50"/>
      <c r="AP2154" s="50"/>
      <c r="AQ2154" s="50"/>
      <c r="AR2154" s="50"/>
      <c r="AS2154" s="50"/>
      <c r="AT2154" s="51"/>
      <c r="AU2154" s="51"/>
      <c r="AV2154" s="51"/>
      <c r="AW2154" s="51"/>
      <c r="AX2154" s="50"/>
      <c r="AY2154" s="50"/>
      <c r="AZ2154" s="50"/>
      <c r="BA2154" s="50"/>
      <c r="BB2154" s="51"/>
      <c r="BC2154" s="51"/>
      <c r="BD2154" s="51"/>
      <c r="BE2154" s="51"/>
      <c r="BF2154" s="47"/>
      <c r="BG2154" s="47"/>
      <c r="BH2154" s="47"/>
      <c r="BI2154" s="47"/>
      <c r="BJ2154" s="47"/>
      <c r="BK2154" s="47"/>
      <c r="BL2154" s="47"/>
      <c r="BM2154" s="47"/>
      <c r="BN2154" s="47"/>
      <c r="BO2154" s="47"/>
      <c r="BP2154" s="47"/>
      <c r="BQ2154" s="47"/>
      <c r="BR2154" s="47"/>
      <c r="BS2154" s="47"/>
      <c r="BT2154" s="47"/>
    </row>
    <row r="2155">
      <c r="A2155" s="24"/>
      <c r="B2155" s="48"/>
      <c r="C2155" s="49"/>
      <c r="D2155" s="24"/>
      <c r="E2155" s="52"/>
      <c r="F2155" s="53"/>
      <c r="G2155" s="48"/>
      <c r="H2155" s="49"/>
      <c r="I2155" s="49"/>
      <c r="J2155" s="48"/>
      <c r="K2155" s="48"/>
      <c r="L2155" s="48"/>
      <c r="M2155" s="48"/>
      <c r="N2155" s="48"/>
      <c r="O2155" s="48"/>
      <c r="P2155" s="48"/>
      <c r="Q2155" s="48"/>
      <c r="R2155" s="48"/>
      <c r="S2155" s="48"/>
      <c r="T2155" s="48"/>
      <c r="U2155" s="48"/>
      <c r="V2155" s="48"/>
      <c r="W2155" s="49"/>
      <c r="X2155" s="49"/>
      <c r="Y2155" s="49"/>
      <c r="Z2155" s="49"/>
      <c r="AA2155" s="49"/>
      <c r="AB2155" s="49"/>
      <c r="AC2155" s="49"/>
      <c r="AD2155" s="49"/>
      <c r="AE2155" s="49"/>
      <c r="AF2155" s="49"/>
      <c r="AG2155" s="49"/>
      <c r="AH2155" s="49"/>
      <c r="AI2155" s="48"/>
      <c r="AJ2155" s="48"/>
      <c r="AK2155" s="24"/>
      <c r="AL2155" s="50"/>
      <c r="AM2155" s="50"/>
      <c r="AN2155" s="50"/>
      <c r="AO2155" s="50"/>
      <c r="AP2155" s="50"/>
      <c r="AQ2155" s="50"/>
      <c r="AR2155" s="50"/>
      <c r="AS2155" s="50"/>
      <c r="AT2155" s="51"/>
      <c r="AU2155" s="51"/>
      <c r="AV2155" s="51"/>
      <c r="AW2155" s="51"/>
      <c r="AX2155" s="50"/>
      <c r="AY2155" s="50"/>
      <c r="AZ2155" s="50"/>
      <c r="BA2155" s="50"/>
      <c r="BB2155" s="51"/>
      <c r="BC2155" s="51"/>
      <c r="BD2155" s="51"/>
      <c r="BE2155" s="51"/>
      <c r="BF2155" s="47"/>
      <c r="BG2155" s="47"/>
      <c r="BH2155" s="47"/>
      <c r="BI2155" s="47"/>
      <c r="BJ2155" s="47"/>
      <c r="BK2155" s="47"/>
      <c r="BL2155" s="47"/>
      <c r="BM2155" s="47"/>
      <c r="BN2155" s="47"/>
      <c r="BO2155" s="47"/>
      <c r="BP2155" s="47"/>
      <c r="BQ2155" s="47"/>
      <c r="BR2155" s="47"/>
      <c r="BS2155" s="47"/>
      <c r="BT2155" s="47"/>
    </row>
    <row r="2156">
      <c r="A2156" s="24"/>
      <c r="B2156" s="48"/>
      <c r="C2156" s="49"/>
      <c r="D2156" s="24"/>
      <c r="E2156" s="52"/>
      <c r="F2156" s="53"/>
      <c r="G2156" s="48"/>
      <c r="H2156" s="49"/>
      <c r="I2156" s="49"/>
      <c r="J2156" s="48"/>
      <c r="K2156" s="48"/>
      <c r="L2156" s="48"/>
      <c r="M2156" s="48"/>
      <c r="N2156" s="48"/>
      <c r="O2156" s="48"/>
      <c r="P2156" s="48"/>
      <c r="Q2156" s="48"/>
      <c r="R2156" s="48"/>
      <c r="S2156" s="48"/>
      <c r="T2156" s="48"/>
      <c r="U2156" s="48"/>
      <c r="V2156" s="48"/>
      <c r="W2156" s="49"/>
      <c r="X2156" s="49"/>
      <c r="Y2156" s="49"/>
      <c r="Z2156" s="49"/>
      <c r="AA2156" s="49"/>
      <c r="AB2156" s="49"/>
      <c r="AC2156" s="49"/>
      <c r="AD2156" s="49"/>
      <c r="AE2156" s="49"/>
      <c r="AF2156" s="49"/>
      <c r="AG2156" s="49"/>
      <c r="AH2156" s="49"/>
      <c r="AI2156" s="48"/>
      <c r="AJ2156" s="48"/>
      <c r="AK2156" s="24"/>
      <c r="AL2156" s="50"/>
      <c r="AM2156" s="50"/>
      <c r="AN2156" s="50"/>
      <c r="AO2156" s="50"/>
      <c r="AP2156" s="50"/>
      <c r="AQ2156" s="50"/>
      <c r="AR2156" s="50"/>
      <c r="AS2156" s="50"/>
      <c r="AT2156" s="51"/>
      <c r="AU2156" s="51"/>
      <c r="AV2156" s="51"/>
      <c r="AW2156" s="51"/>
      <c r="AX2156" s="50"/>
      <c r="AY2156" s="50"/>
      <c r="AZ2156" s="50"/>
      <c r="BA2156" s="50"/>
      <c r="BB2156" s="51"/>
      <c r="BC2156" s="51"/>
      <c r="BD2156" s="51"/>
      <c r="BE2156" s="51"/>
      <c r="BF2156" s="47"/>
      <c r="BG2156" s="47"/>
      <c r="BH2156" s="47"/>
      <c r="BI2156" s="47"/>
      <c r="BJ2156" s="47"/>
      <c r="BK2156" s="47"/>
      <c r="BL2156" s="47"/>
      <c r="BM2156" s="47"/>
      <c r="BN2156" s="47"/>
      <c r="BO2156" s="47"/>
      <c r="BP2156" s="47"/>
      <c r="BQ2156" s="47"/>
      <c r="BR2156" s="47"/>
      <c r="BS2156" s="47"/>
      <c r="BT2156" s="47"/>
    </row>
    <row r="2157">
      <c r="A2157" s="24"/>
      <c r="B2157" s="48"/>
      <c r="C2157" s="49"/>
      <c r="D2157" s="24"/>
      <c r="E2157" s="52"/>
      <c r="F2157" s="53"/>
      <c r="G2157" s="48"/>
      <c r="H2157" s="49"/>
      <c r="I2157" s="49"/>
      <c r="J2157" s="48"/>
      <c r="K2157" s="48"/>
      <c r="L2157" s="48"/>
      <c r="M2157" s="48"/>
      <c r="N2157" s="48"/>
      <c r="O2157" s="48"/>
      <c r="P2157" s="48"/>
      <c r="Q2157" s="48"/>
      <c r="R2157" s="48"/>
      <c r="S2157" s="48"/>
      <c r="T2157" s="48"/>
      <c r="U2157" s="48"/>
      <c r="V2157" s="48"/>
      <c r="W2157" s="49"/>
      <c r="X2157" s="49"/>
      <c r="Y2157" s="49"/>
      <c r="Z2157" s="49"/>
      <c r="AA2157" s="49"/>
      <c r="AB2157" s="49"/>
      <c r="AC2157" s="49"/>
      <c r="AD2157" s="49"/>
      <c r="AE2157" s="49"/>
      <c r="AF2157" s="49"/>
      <c r="AG2157" s="49"/>
      <c r="AH2157" s="49"/>
      <c r="AI2157" s="48"/>
      <c r="AJ2157" s="48"/>
      <c r="AK2157" s="24"/>
      <c r="AL2157" s="50"/>
      <c r="AM2157" s="50"/>
      <c r="AN2157" s="50"/>
      <c r="AO2157" s="50"/>
      <c r="AP2157" s="50"/>
      <c r="AQ2157" s="50"/>
      <c r="AR2157" s="50"/>
      <c r="AS2157" s="50"/>
      <c r="AT2157" s="51"/>
      <c r="AU2157" s="51"/>
      <c r="AV2157" s="51"/>
      <c r="AW2157" s="51"/>
      <c r="AX2157" s="50"/>
      <c r="AY2157" s="50"/>
      <c r="AZ2157" s="50"/>
      <c r="BA2157" s="50"/>
      <c r="BB2157" s="51"/>
      <c r="BC2157" s="51"/>
      <c r="BD2157" s="51"/>
      <c r="BE2157" s="51"/>
      <c r="BF2157" s="47"/>
      <c r="BG2157" s="47"/>
      <c r="BH2157" s="47"/>
      <c r="BI2157" s="47"/>
      <c r="BJ2157" s="47"/>
      <c r="BK2157" s="47"/>
      <c r="BL2157" s="47"/>
      <c r="BM2157" s="47"/>
      <c r="BN2157" s="47"/>
      <c r="BO2157" s="47"/>
      <c r="BP2157" s="47"/>
      <c r="BQ2157" s="47"/>
      <c r="BR2157" s="47"/>
      <c r="BS2157" s="47"/>
      <c r="BT2157" s="47"/>
    </row>
    <row r="2158">
      <c r="A2158" s="24"/>
      <c r="B2158" s="48"/>
      <c r="C2158" s="49"/>
      <c r="D2158" s="24"/>
      <c r="E2158" s="52"/>
      <c r="F2158" s="53"/>
      <c r="G2158" s="48"/>
      <c r="H2158" s="49"/>
      <c r="I2158" s="49"/>
      <c r="J2158" s="48"/>
      <c r="K2158" s="48"/>
      <c r="L2158" s="48"/>
      <c r="M2158" s="48"/>
      <c r="N2158" s="48"/>
      <c r="O2158" s="48"/>
      <c r="P2158" s="48"/>
      <c r="Q2158" s="48"/>
      <c r="R2158" s="48"/>
      <c r="S2158" s="48"/>
      <c r="T2158" s="48"/>
      <c r="U2158" s="48"/>
      <c r="V2158" s="48"/>
      <c r="W2158" s="49"/>
      <c r="X2158" s="49"/>
      <c r="Y2158" s="49"/>
      <c r="Z2158" s="49"/>
      <c r="AA2158" s="49"/>
      <c r="AB2158" s="49"/>
      <c r="AC2158" s="49"/>
      <c r="AD2158" s="49"/>
      <c r="AE2158" s="49"/>
      <c r="AF2158" s="49"/>
      <c r="AG2158" s="49"/>
      <c r="AH2158" s="49"/>
      <c r="AI2158" s="48"/>
      <c r="AJ2158" s="48"/>
      <c r="AK2158" s="24"/>
      <c r="AL2158" s="50"/>
      <c r="AM2158" s="50"/>
      <c r="AN2158" s="50"/>
      <c r="AO2158" s="50"/>
      <c r="AP2158" s="50"/>
      <c r="AQ2158" s="50"/>
      <c r="AR2158" s="50"/>
      <c r="AS2158" s="50"/>
      <c r="AT2158" s="51"/>
      <c r="AU2158" s="51"/>
      <c r="AV2158" s="51"/>
      <c r="AW2158" s="51"/>
      <c r="AX2158" s="50"/>
      <c r="AY2158" s="50"/>
      <c r="AZ2158" s="50"/>
      <c r="BA2158" s="50"/>
      <c r="BB2158" s="51"/>
      <c r="BC2158" s="51"/>
      <c r="BD2158" s="51"/>
      <c r="BE2158" s="51"/>
      <c r="BF2158" s="47"/>
      <c r="BG2158" s="47"/>
      <c r="BH2158" s="47"/>
      <c r="BI2158" s="47"/>
      <c r="BJ2158" s="47"/>
      <c r="BK2158" s="47"/>
      <c r="BL2158" s="47"/>
      <c r="BM2158" s="47"/>
      <c r="BN2158" s="47"/>
      <c r="BO2158" s="47"/>
      <c r="BP2158" s="47"/>
      <c r="BQ2158" s="47"/>
      <c r="BR2158" s="47"/>
      <c r="BS2158" s="47"/>
      <c r="BT2158" s="47"/>
    </row>
    <row r="2159">
      <c r="A2159" s="24"/>
      <c r="B2159" s="48"/>
      <c r="C2159" s="49"/>
      <c r="D2159" s="24"/>
      <c r="E2159" s="52"/>
      <c r="F2159" s="53"/>
      <c r="G2159" s="48"/>
      <c r="H2159" s="49"/>
      <c r="I2159" s="49"/>
      <c r="J2159" s="48"/>
      <c r="K2159" s="48"/>
      <c r="L2159" s="48"/>
      <c r="M2159" s="48"/>
      <c r="N2159" s="48"/>
      <c r="O2159" s="48"/>
      <c r="P2159" s="48"/>
      <c r="Q2159" s="48"/>
      <c r="R2159" s="48"/>
      <c r="S2159" s="48"/>
      <c r="T2159" s="48"/>
      <c r="U2159" s="48"/>
      <c r="V2159" s="48"/>
      <c r="W2159" s="49"/>
      <c r="X2159" s="49"/>
      <c r="Y2159" s="49"/>
      <c r="Z2159" s="49"/>
      <c r="AA2159" s="49"/>
      <c r="AB2159" s="49"/>
      <c r="AC2159" s="49"/>
      <c r="AD2159" s="49"/>
      <c r="AE2159" s="49"/>
      <c r="AF2159" s="49"/>
      <c r="AG2159" s="49"/>
      <c r="AH2159" s="49"/>
      <c r="AI2159" s="48"/>
      <c r="AJ2159" s="48"/>
      <c r="AK2159" s="24"/>
      <c r="AL2159" s="50"/>
      <c r="AM2159" s="50"/>
      <c r="AN2159" s="50"/>
      <c r="AO2159" s="50"/>
      <c r="AP2159" s="50"/>
      <c r="AQ2159" s="50"/>
      <c r="AR2159" s="50"/>
      <c r="AS2159" s="50"/>
      <c r="AT2159" s="51"/>
      <c r="AU2159" s="51"/>
      <c r="AV2159" s="51"/>
      <c r="AW2159" s="51"/>
      <c r="AX2159" s="50"/>
      <c r="AY2159" s="50"/>
      <c r="AZ2159" s="50"/>
      <c r="BA2159" s="50"/>
      <c r="BB2159" s="51"/>
      <c r="BC2159" s="51"/>
      <c r="BD2159" s="51"/>
      <c r="BE2159" s="51"/>
      <c r="BF2159" s="47"/>
      <c r="BG2159" s="47"/>
      <c r="BH2159" s="47"/>
      <c r="BI2159" s="47"/>
      <c r="BJ2159" s="47"/>
      <c r="BK2159" s="47"/>
      <c r="BL2159" s="47"/>
      <c r="BM2159" s="47"/>
      <c r="BN2159" s="47"/>
      <c r="BO2159" s="47"/>
      <c r="BP2159" s="47"/>
      <c r="BQ2159" s="47"/>
      <c r="BR2159" s="47"/>
      <c r="BS2159" s="47"/>
      <c r="BT2159" s="47"/>
    </row>
    <row r="2160">
      <c r="A2160" s="24"/>
      <c r="B2160" s="48"/>
      <c r="C2160" s="49"/>
      <c r="D2160" s="24"/>
      <c r="E2160" s="52"/>
      <c r="F2160" s="53"/>
      <c r="G2160" s="48"/>
      <c r="H2160" s="49"/>
      <c r="I2160" s="49"/>
      <c r="J2160" s="48"/>
      <c r="K2160" s="48"/>
      <c r="L2160" s="48"/>
      <c r="M2160" s="48"/>
      <c r="N2160" s="48"/>
      <c r="O2160" s="48"/>
      <c r="P2160" s="48"/>
      <c r="Q2160" s="48"/>
      <c r="R2160" s="48"/>
      <c r="S2160" s="48"/>
      <c r="T2160" s="48"/>
      <c r="U2160" s="48"/>
      <c r="V2160" s="48"/>
      <c r="W2160" s="49"/>
      <c r="X2160" s="49"/>
      <c r="Y2160" s="49"/>
      <c r="Z2160" s="49"/>
      <c r="AA2160" s="49"/>
      <c r="AB2160" s="49"/>
      <c r="AC2160" s="49"/>
      <c r="AD2160" s="49"/>
      <c r="AE2160" s="49"/>
      <c r="AF2160" s="49"/>
      <c r="AG2160" s="49"/>
      <c r="AH2160" s="49"/>
      <c r="AI2160" s="48"/>
      <c r="AJ2160" s="48"/>
      <c r="AK2160" s="24"/>
      <c r="AL2160" s="50"/>
      <c r="AM2160" s="50"/>
      <c r="AN2160" s="50"/>
      <c r="AO2160" s="50"/>
      <c r="AP2160" s="50"/>
      <c r="AQ2160" s="50"/>
      <c r="AR2160" s="50"/>
      <c r="AS2160" s="50"/>
      <c r="AT2160" s="51"/>
      <c r="AU2160" s="51"/>
      <c r="AV2160" s="51"/>
      <c r="AW2160" s="51"/>
      <c r="AX2160" s="50"/>
      <c r="AY2160" s="50"/>
      <c r="AZ2160" s="50"/>
      <c r="BA2160" s="50"/>
      <c r="BB2160" s="51"/>
      <c r="BC2160" s="51"/>
      <c r="BD2160" s="51"/>
      <c r="BE2160" s="51"/>
      <c r="BF2160" s="47"/>
      <c r="BG2160" s="47"/>
      <c r="BH2160" s="47"/>
      <c r="BI2160" s="47"/>
      <c r="BJ2160" s="47"/>
      <c r="BK2160" s="47"/>
      <c r="BL2160" s="47"/>
      <c r="BM2160" s="47"/>
      <c r="BN2160" s="47"/>
      <c r="BO2160" s="47"/>
      <c r="BP2160" s="47"/>
      <c r="BQ2160" s="47"/>
      <c r="BR2160" s="47"/>
      <c r="BS2160" s="47"/>
      <c r="BT2160" s="47"/>
    </row>
    <row r="2161">
      <c r="A2161" s="24"/>
      <c r="B2161" s="48"/>
      <c r="C2161" s="49"/>
      <c r="D2161" s="24"/>
      <c r="E2161" s="52"/>
      <c r="F2161" s="53"/>
      <c r="G2161" s="48"/>
      <c r="H2161" s="49"/>
      <c r="I2161" s="49"/>
      <c r="J2161" s="48"/>
      <c r="K2161" s="48"/>
      <c r="L2161" s="48"/>
      <c r="M2161" s="48"/>
      <c r="N2161" s="48"/>
      <c r="O2161" s="48"/>
      <c r="P2161" s="48"/>
      <c r="Q2161" s="48"/>
      <c r="R2161" s="48"/>
      <c r="S2161" s="48"/>
      <c r="T2161" s="48"/>
      <c r="U2161" s="48"/>
      <c r="V2161" s="48"/>
      <c r="W2161" s="49"/>
      <c r="X2161" s="49"/>
      <c r="Y2161" s="49"/>
      <c r="Z2161" s="49"/>
      <c r="AA2161" s="49"/>
      <c r="AB2161" s="49"/>
      <c r="AC2161" s="49"/>
      <c r="AD2161" s="49"/>
      <c r="AE2161" s="49"/>
      <c r="AF2161" s="49"/>
      <c r="AG2161" s="49"/>
      <c r="AH2161" s="49"/>
      <c r="AI2161" s="48"/>
      <c r="AJ2161" s="48"/>
      <c r="AK2161" s="24"/>
      <c r="AL2161" s="50"/>
      <c r="AM2161" s="50"/>
      <c r="AN2161" s="50"/>
      <c r="AO2161" s="50"/>
      <c r="AP2161" s="50"/>
      <c r="AQ2161" s="50"/>
      <c r="AR2161" s="50"/>
      <c r="AS2161" s="50"/>
      <c r="AT2161" s="51"/>
      <c r="AU2161" s="51"/>
      <c r="AV2161" s="51"/>
      <c r="AW2161" s="51"/>
      <c r="AX2161" s="50"/>
      <c r="AY2161" s="50"/>
      <c r="AZ2161" s="50"/>
      <c r="BA2161" s="50"/>
      <c r="BB2161" s="51"/>
      <c r="BC2161" s="51"/>
      <c r="BD2161" s="51"/>
      <c r="BE2161" s="51"/>
      <c r="BF2161" s="47"/>
      <c r="BG2161" s="47"/>
      <c r="BH2161" s="47"/>
      <c r="BI2161" s="47"/>
      <c r="BJ2161" s="47"/>
      <c r="BK2161" s="47"/>
      <c r="BL2161" s="47"/>
      <c r="BM2161" s="47"/>
      <c r="BN2161" s="47"/>
      <c r="BO2161" s="47"/>
      <c r="BP2161" s="47"/>
      <c r="BQ2161" s="47"/>
      <c r="BR2161" s="47"/>
      <c r="BS2161" s="47"/>
      <c r="BT2161" s="47"/>
    </row>
    <row r="2162">
      <c r="A2162" s="24"/>
      <c r="B2162" s="48"/>
      <c r="C2162" s="49"/>
      <c r="D2162" s="24"/>
      <c r="E2162" s="52"/>
      <c r="F2162" s="53"/>
      <c r="G2162" s="48"/>
      <c r="H2162" s="49"/>
      <c r="I2162" s="49"/>
      <c r="J2162" s="48"/>
      <c r="K2162" s="48"/>
      <c r="L2162" s="48"/>
      <c r="M2162" s="48"/>
      <c r="N2162" s="48"/>
      <c r="O2162" s="48"/>
      <c r="P2162" s="48"/>
      <c r="Q2162" s="48"/>
      <c r="R2162" s="48"/>
      <c r="S2162" s="48"/>
      <c r="T2162" s="48"/>
      <c r="U2162" s="48"/>
      <c r="V2162" s="48"/>
      <c r="W2162" s="49"/>
      <c r="X2162" s="49"/>
      <c r="Y2162" s="49"/>
      <c r="Z2162" s="49"/>
      <c r="AA2162" s="49"/>
      <c r="AB2162" s="49"/>
      <c r="AC2162" s="49"/>
      <c r="AD2162" s="49"/>
      <c r="AE2162" s="49"/>
      <c r="AF2162" s="49"/>
      <c r="AG2162" s="49"/>
      <c r="AH2162" s="49"/>
      <c r="AI2162" s="48"/>
      <c r="AJ2162" s="48"/>
      <c r="AK2162" s="24"/>
      <c r="AL2162" s="50"/>
      <c r="AM2162" s="50"/>
      <c r="AN2162" s="50"/>
      <c r="AO2162" s="50"/>
      <c r="AP2162" s="50"/>
      <c r="AQ2162" s="50"/>
      <c r="AR2162" s="50"/>
      <c r="AS2162" s="50"/>
      <c r="AT2162" s="51"/>
      <c r="AU2162" s="51"/>
      <c r="AV2162" s="51"/>
      <c r="AW2162" s="51"/>
      <c r="AX2162" s="50"/>
      <c r="AY2162" s="50"/>
      <c r="AZ2162" s="50"/>
      <c r="BA2162" s="50"/>
      <c r="BB2162" s="51"/>
      <c r="BC2162" s="51"/>
      <c r="BD2162" s="51"/>
      <c r="BE2162" s="51"/>
      <c r="BF2162" s="47"/>
      <c r="BG2162" s="47"/>
      <c r="BH2162" s="47"/>
      <c r="BI2162" s="47"/>
      <c r="BJ2162" s="47"/>
      <c r="BK2162" s="47"/>
      <c r="BL2162" s="47"/>
      <c r="BM2162" s="47"/>
      <c r="BN2162" s="47"/>
      <c r="BO2162" s="47"/>
      <c r="BP2162" s="47"/>
      <c r="BQ2162" s="47"/>
      <c r="BR2162" s="47"/>
      <c r="BS2162" s="47"/>
      <c r="BT2162" s="47"/>
    </row>
    <row r="2163">
      <c r="A2163" s="24"/>
      <c r="B2163" s="48"/>
      <c r="C2163" s="49"/>
      <c r="D2163" s="24"/>
      <c r="E2163" s="52"/>
      <c r="F2163" s="53"/>
      <c r="G2163" s="48"/>
      <c r="H2163" s="49"/>
      <c r="I2163" s="49"/>
      <c r="J2163" s="48"/>
      <c r="K2163" s="48"/>
      <c r="L2163" s="48"/>
      <c r="M2163" s="48"/>
      <c r="N2163" s="48"/>
      <c r="O2163" s="48"/>
      <c r="P2163" s="48"/>
      <c r="Q2163" s="48"/>
      <c r="R2163" s="48"/>
      <c r="S2163" s="48"/>
      <c r="T2163" s="48"/>
      <c r="U2163" s="48"/>
      <c r="V2163" s="48"/>
      <c r="W2163" s="49"/>
      <c r="X2163" s="49"/>
      <c r="Y2163" s="49"/>
      <c r="Z2163" s="49"/>
      <c r="AA2163" s="49"/>
      <c r="AB2163" s="49"/>
      <c r="AC2163" s="49"/>
      <c r="AD2163" s="49"/>
      <c r="AE2163" s="49"/>
      <c r="AF2163" s="49"/>
      <c r="AG2163" s="49"/>
      <c r="AH2163" s="49"/>
      <c r="AI2163" s="48"/>
      <c r="AJ2163" s="48"/>
      <c r="AK2163" s="24"/>
      <c r="AL2163" s="50"/>
      <c r="AM2163" s="50"/>
      <c r="AN2163" s="50"/>
      <c r="AO2163" s="50"/>
      <c r="AP2163" s="50"/>
      <c r="AQ2163" s="50"/>
      <c r="AR2163" s="50"/>
      <c r="AS2163" s="50"/>
      <c r="AT2163" s="51"/>
      <c r="AU2163" s="51"/>
      <c r="AV2163" s="51"/>
      <c r="AW2163" s="51"/>
      <c r="AX2163" s="50"/>
      <c r="AY2163" s="50"/>
      <c r="AZ2163" s="50"/>
      <c r="BA2163" s="50"/>
      <c r="BB2163" s="51"/>
      <c r="BC2163" s="51"/>
      <c r="BD2163" s="51"/>
      <c r="BE2163" s="51"/>
      <c r="BF2163" s="47"/>
      <c r="BG2163" s="47"/>
      <c r="BH2163" s="47"/>
      <c r="BI2163" s="47"/>
      <c r="BJ2163" s="47"/>
      <c r="BK2163" s="47"/>
      <c r="BL2163" s="47"/>
      <c r="BM2163" s="47"/>
      <c r="BN2163" s="47"/>
      <c r="BO2163" s="47"/>
      <c r="BP2163" s="47"/>
      <c r="BQ2163" s="47"/>
      <c r="BR2163" s="47"/>
      <c r="BS2163" s="47"/>
      <c r="BT2163" s="47"/>
    </row>
    <row r="2164">
      <c r="A2164" s="24"/>
      <c r="B2164" s="48"/>
      <c r="C2164" s="49"/>
      <c r="D2164" s="24"/>
      <c r="E2164" s="52"/>
      <c r="F2164" s="53"/>
      <c r="G2164" s="48"/>
      <c r="H2164" s="49"/>
      <c r="I2164" s="49"/>
      <c r="J2164" s="48"/>
      <c r="K2164" s="48"/>
      <c r="L2164" s="48"/>
      <c r="M2164" s="48"/>
      <c r="N2164" s="48"/>
      <c r="O2164" s="48"/>
      <c r="P2164" s="48"/>
      <c r="Q2164" s="48"/>
      <c r="R2164" s="48"/>
      <c r="S2164" s="48"/>
      <c r="T2164" s="48"/>
      <c r="U2164" s="48"/>
      <c r="V2164" s="48"/>
      <c r="W2164" s="49"/>
      <c r="X2164" s="49"/>
      <c r="Y2164" s="49"/>
      <c r="Z2164" s="49"/>
      <c r="AA2164" s="49"/>
      <c r="AB2164" s="49"/>
      <c r="AC2164" s="49"/>
      <c r="AD2164" s="49"/>
      <c r="AE2164" s="49"/>
      <c r="AF2164" s="49"/>
      <c r="AG2164" s="49"/>
      <c r="AH2164" s="49"/>
      <c r="AI2164" s="48"/>
      <c r="AJ2164" s="48"/>
      <c r="AK2164" s="24"/>
      <c r="AL2164" s="50"/>
      <c r="AM2164" s="50"/>
      <c r="AN2164" s="50"/>
      <c r="AO2164" s="50"/>
      <c r="AP2164" s="50"/>
      <c r="AQ2164" s="50"/>
      <c r="AR2164" s="50"/>
      <c r="AS2164" s="50"/>
      <c r="AT2164" s="51"/>
      <c r="AU2164" s="51"/>
      <c r="AV2164" s="51"/>
      <c r="AW2164" s="51"/>
      <c r="AX2164" s="50"/>
      <c r="AY2164" s="50"/>
      <c r="AZ2164" s="50"/>
      <c r="BA2164" s="50"/>
      <c r="BB2164" s="51"/>
      <c r="BC2164" s="51"/>
      <c r="BD2164" s="51"/>
      <c r="BE2164" s="51"/>
      <c r="BF2164" s="47"/>
      <c r="BG2164" s="47"/>
      <c r="BH2164" s="47"/>
      <c r="BI2164" s="47"/>
      <c r="BJ2164" s="47"/>
      <c r="BK2164" s="47"/>
      <c r="BL2164" s="47"/>
      <c r="BM2164" s="47"/>
      <c r="BN2164" s="47"/>
      <c r="BO2164" s="47"/>
      <c r="BP2164" s="47"/>
      <c r="BQ2164" s="47"/>
      <c r="BR2164" s="47"/>
      <c r="BS2164" s="47"/>
      <c r="BT2164" s="47"/>
    </row>
    <row r="2165">
      <c r="A2165" s="24"/>
      <c r="B2165" s="48"/>
      <c r="C2165" s="49"/>
      <c r="D2165" s="24"/>
      <c r="E2165" s="52"/>
      <c r="F2165" s="53"/>
      <c r="G2165" s="48"/>
      <c r="H2165" s="49"/>
      <c r="I2165" s="49"/>
      <c r="J2165" s="48"/>
      <c r="K2165" s="48"/>
      <c r="L2165" s="48"/>
      <c r="M2165" s="48"/>
      <c r="N2165" s="48"/>
      <c r="O2165" s="48"/>
      <c r="P2165" s="48"/>
      <c r="Q2165" s="48"/>
      <c r="R2165" s="48"/>
      <c r="S2165" s="48"/>
      <c r="T2165" s="48"/>
      <c r="U2165" s="48"/>
      <c r="V2165" s="48"/>
      <c r="W2165" s="49"/>
      <c r="X2165" s="49"/>
      <c r="Y2165" s="49"/>
      <c r="Z2165" s="49"/>
      <c r="AA2165" s="49"/>
      <c r="AB2165" s="49"/>
      <c r="AC2165" s="49"/>
      <c r="AD2165" s="49"/>
      <c r="AE2165" s="49"/>
      <c r="AF2165" s="49"/>
      <c r="AG2165" s="49"/>
      <c r="AH2165" s="49"/>
      <c r="AI2165" s="48"/>
      <c r="AJ2165" s="48"/>
      <c r="AK2165" s="24"/>
      <c r="AL2165" s="50"/>
      <c r="AM2165" s="50"/>
      <c r="AN2165" s="50"/>
      <c r="AO2165" s="50"/>
      <c r="AP2165" s="50"/>
      <c r="AQ2165" s="50"/>
      <c r="AR2165" s="50"/>
      <c r="AS2165" s="50"/>
      <c r="AT2165" s="51"/>
      <c r="AU2165" s="51"/>
      <c r="AV2165" s="51"/>
      <c r="AW2165" s="51"/>
      <c r="AX2165" s="50"/>
      <c r="AY2165" s="50"/>
      <c r="AZ2165" s="50"/>
      <c r="BA2165" s="50"/>
      <c r="BB2165" s="51"/>
      <c r="BC2165" s="51"/>
      <c r="BD2165" s="51"/>
      <c r="BE2165" s="51"/>
      <c r="BF2165" s="47"/>
      <c r="BG2165" s="47"/>
      <c r="BH2165" s="47"/>
      <c r="BI2165" s="47"/>
      <c r="BJ2165" s="47"/>
      <c r="BK2165" s="47"/>
      <c r="BL2165" s="47"/>
      <c r="BM2165" s="47"/>
      <c r="BN2165" s="47"/>
      <c r="BO2165" s="47"/>
      <c r="BP2165" s="47"/>
      <c r="BQ2165" s="47"/>
      <c r="BR2165" s="47"/>
      <c r="BS2165" s="47"/>
      <c r="BT2165" s="47"/>
    </row>
    <row r="2166">
      <c r="A2166" s="24"/>
      <c r="B2166" s="48"/>
      <c r="C2166" s="49"/>
      <c r="D2166" s="24"/>
      <c r="E2166" s="52"/>
      <c r="F2166" s="53"/>
      <c r="G2166" s="48"/>
      <c r="H2166" s="49"/>
      <c r="I2166" s="49"/>
      <c r="J2166" s="48"/>
      <c r="K2166" s="48"/>
      <c r="L2166" s="48"/>
      <c r="M2166" s="48"/>
      <c r="N2166" s="48"/>
      <c r="O2166" s="48"/>
      <c r="P2166" s="48"/>
      <c r="Q2166" s="48"/>
      <c r="R2166" s="48"/>
      <c r="S2166" s="48"/>
      <c r="T2166" s="48"/>
      <c r="U2166" s="48"/>
      <c r="V2166" s="48"/>
      <c r="W2166" s="49"/>
      <c r="X2166" s="49"/>
      <c r="Y2166" s="49"/>
      <c r="Z2166" s="49"/>
      <c r="AA2166" s="49"/>
      <c r="AB2166" s="49"/>
      <c r="AC2166" s="49"/>
      <c r="AD2166" s="49"/>
      <c r="AE2166" s="49"/>
      <c r="AF2166" s="49"/>
      <c r="AG2166" s="49"/>
      <c r="AH2166" s="49"/>
      <c r="AI2166" s="48"/>
      <c r="AJ2166" s="48"/>
      <c r="AK2166" s="24"/>
      <c r="AL2166" s="50"/>
      <c r="AM2166" s="50"/>
      <c r="AN2166" s="50"/>
      <c r="AO2166" s="50"/>
      <c r="AP2166" s="50"/>
      <c r="AQ2166" s="50"/>
      <c r="AR2166" s="50"/>
      <c r="AS2166" s="50"/>
      <c r="AT2166" s="51"/>
      <c r="AU2166" s="51"/>
      <c r="AV2166" s="51"/>
      <c r="AW2166" s="51"/>
      <c r="AX2166" s="50"/>
      <c r="AY2166" s="50"/>
      <c r="AZ2166" s="50"/>
      <c r="BA2166" s="50"/>
      <c r="BB2166" s="51"/>
      <c r="BC2166" s="51"/>
      <c r="BD2166" s="51"/>
      <c r="BE2166" s="51"/>
      <c r="BF2166" s="47"/>
      <c r="BG2166" s="47"/>
      <c r="BH2166" s="47"/>
      <c r="BI2166" s="47"/>
      <c r="BJ2166" s="47"/>
      <c r="BK2166" s="47"/>
      <c r="BL2166" s="47"/>
      <c r="BM2166" s="47"/>
      <c r="BN2166" s="47"/>
      <c r="BO2166" s="47"/>
      <c r="BP2166" s="47"/>
      <c r="BQ2166" s="47"/>
      <c r="BR2166" s="47"/>
      <c r="BS2166" s="47"/>
      <c r="BT2166" s="47"/>
    </row>
    <row r="2167">
      <c r="A2167" s="24"/>
      <c r="B2167" s="48"/>
      <c r="C2167" s="49"/>
      <c r="D2167" s="24"/>
      <c r="E2167" s="52"/>
      <c r="F2167" s="53"/>
      <c r="G2167" s="48"/>
      <c r="H2167" s="49"/>
      <c r="I2167" s="49"/>
      <c r="J2167" s="48"/>
      <c r="K2167" s="48"/>
      <c r="L2167" s="48"/>
      <c r="M2167" s="48"/>
      <c r="N2167" s="48"/>
      <c r="O2167" s="48"/>
      <c r="P2167" s="48"/>
      <c r="Q2167" s="48"/>
      <c r="R2167" s="48"/>
      <c r="S2167" s="48"/>
      <c r="T2167" s="48"/>
      <c r="U2167" s="48"/>
      <c r="V2167" s="48"/>
      <c r="W2167" s="49"/>
      <c r="X2167" s="49"/>
      <c r="Y2167" s="49"/>
      <c r="Z2167" s="49"/>
      <c r="AA2167" s="49"/>
      <c r="AB2167" s="49"/>
      <c r="AC2167" s="49"/>
      <c r="AD2167" s="49"/>
      <c r="AE2167" s="49"/>
      <c r="AF2167" s="49"/>
      <c r="AG2167" s="49"/>
      <c r="AH2167" s="49"/>
      <c r="AI2167" s="48"/>
      <c r="AJ2167" s="48"/>
      <c r="AK2167" s="24"/>
      <c r="AL2167" s="50"/>
      <c r="AM2167" s="50"/>
      <c r="AN2167" s="50"/>
      <c r="AO2167" s="50"/>
      <c r="AP2167" s="50"/>
      <c r="AQ2167" s="50"/>
      <c r="AR2167" s="50"/>
      <c r="AS2167" s="50"/>
      <c r="AT2167" s="51"/>
      <c r="AU2167" s="51"/>
      <c r="AV2167" s="51"/>
      <c r="AW2167" s="51"/>
      <c r="AX2167" s="50"/>
      <c r="AY2167" s="50"/>
      <c r="AZ2167" s="50"/>
      <c r="BA2167" s="50"/>
      <c r="BB2167" s="51"/>
      <c r="BC2167" s="51"/>
      <c r="BD2167" s="51"/>
      <c r="BE2167" s="51"/>
      <c r="BF2167" s="47"/>
      <c r="BG2167" s="47"/>
      <c r="BH2167" s="47"/>
      <c r="BI2167" s="47"/>
      <c r="BJ2167" s="47"/>
      <c r="BK2167" s="47"/>
      <c r="BL2167" s="47"/>
      <c r="BM2167" s="47"/>
      <c r="BN2167" s="47"/>
      <c r="BO2167" s="47"/>
      <c r="BP2167" s="47"/>
      <c r="BQ2167" s="47"/>
      <c r="BR2167" s="47"/>
      <c r="BS2167" s="47"/>
      <c r="BT2167" s="47"/>
    </row>
    <row r="2168">
      <c r="A2168" s="24"/>
      <c r="B2168" s="48"/>
      <c r="C2168" s="49"/>
      <c r="D2168" s="24"/>
      <c r="E2168" s="52"/>
      <c r="F2168" s="53"/>
      <c r="G2168" s="48"/>
      <c r="H2168" s="49"/>
      <c r="I2168" s="49"/>
      <c r="J2168" s="48"/>
      <c r="K2168" s="48"/>
      <c r="L2168" s="48"/>
      <c r="M2168" s="48"/>
      <c r="N2168" s="48"/>
      <c r="O2168" s="48"/>
      <c r="P2168" s="48"/>
      <c r="Q2168" s="48"/>
      <c r="R2168" s="48"/>
      <c r="S2168" s="48"/>
      <c r="T2168" s="48"/>
      <c r="U2168" s="48"/>
      <c r="V2168" s="48"/>
      <c r="W2168" s="49"/>
      <c r="X2168" s="49"/>
      <c r="Y2168" s="49"/>
      <c r="Z2168" s="49"/>
      <c r="AA2168" s="49"/>
      <c r="AB2168" s="49"/>
      <c r="AC2168" s="49"/>
      <c r="AD2168" s="49"/>
      <c r="AE2168" s="49"/>
      <c r="AF2168" s="49"/>
      <c r="AG2168" s="49"/>
      <c r="AH2168" s="49"/>
      <c r="AI2168" s="48"/>
      <c r="AJ2168" s="48"/>
      <c r="AK2168" s="24"/>
      <c r="AL2168" s="50"/>
      <c r="AM2168" s="50"/>
      <c r="AN2168" s="50"/>
      <c r="AO2168" s="50"/>
      <c r="AP2168" s="50"/>
      <c r="AQ2168" s="50"/>
      <c r="AR2168" s="50"/>
      <c r="AS2168" s="50"/>
      <c r="AT2168" s="51"/>
      <c r="AU2168" s="51"/>
      <c r="AV2168" s="51"/>
      <c r="AW2168" s="51"/>
      <c r="AX2168" s="50"/>
      <c r="AY2168" s="50"/>
      <c r="AZ2168" s="50"/>
      <c r="BA2168" s="50"/>
      <c r="BB2168" s="51"/>
      <c r="BC2168" s="51"/>
      <c r="BD2168" s="51"/>
      <c r="BE2168" s="51"/>
      <c r="BF2168" s="47"/>
      <c r="BG2168" s="47"/>
      <c r="BH2168" s="47"/>
      <c r="BI2168" s="47"/>
      <c r="BJ2168" s="47"/>
      <c r="BK2168" s="47"/>
      <c r="BL2168" s="47"/>
      <c r="BM2168" s="47"/>
      <c r="BN2168" s="47"/>
      <c r="BO2168" s="47"/>
      <c r="BP2168" s="47"/>
      <c r="BQ2168" s="47"/>
      <c r="BR2168" s="47"/>
      <c r="BS2168" s="47"/>
      <c r="BT2168" s="47"/>
    </row>
    <row r="2169">
      <c r="A2169" s="24"/>
      <c r="B2169" s="48"/>
      <c r="C2169" s="49"/>
      <c r="D2169" s="24"/>
      <c r="E2169" s="52"/>
      <c r="F2169" s="53"/>
      <c r="G2169" s="48"/>
      <c r="H2169" s="49"/>
      <c r="I2169" s="49"/>
      <c r="J2169" s="48"/>
      <c r="K2169" s="48"/>
      <c r="L2169" s="48"/>
      <c r="M2169" s="48"/>
      <c r="N2169" s="48"/>
      <c r="O2169" s="48"/>
      <c r="P2169" s="48"/>
      <c r="Q2169" s="48"/>
      <c r="R2169" s="48"/>
      <c r="S2169" s="48"/>
      <c r="T2169" s="48"/>
      <c r="U2169" s="48"/>
      <c r="V2169" s="48"/>
      <c r="W2169" s="49"/>
      <c r="X2169" s="49"/>
      <c r="Y2169" s="49"/>
      <c r="Z2169" s="49"/>
      <c r="AA2169" s="49"/>
      <c r="AB2169" s="49"/>
      <c r="AC2169" s="49"/>
      <c r="AD2169" s="49"/>
      <c r="AE2169" s="49"/>
      <c r="AF2169" s="49"/>
      <c r="AG2169" s="49"/>
      <c r="AH2169" s="49"/>
      <c r="AI2169" s="48"/>
      <c r="AJ2169" s="48"/>
      <c r="AK2169" s="24"/>
      <c r="AL2169" s="50"/>
      <c r="AM2169" s="50"/>
      <c r="AN2169" s="50"/>
      <c r="AO2169" s="50"/>
      <c r="AP2169" s="50"/>
      <c r="AQ2169" s="50"/>
      <c r="AR2169" s="50"/>
      <c r="AS2169" s="50"/>
      <c r="AT2169" s="51"/>
      <c r="AU2169" s="51"/>
      <c r="AV2169" s="51"/>
      <c r="AW2169" s="51"/>
      <c r="AX2169" s="50"/>
      <c r="AY2169" s="50"/>
      <c r="AZ2169" s="50"/>
      <c r="BA2169" s="50"/>
      <c r="BB2169" s="51"/>
      <c r="BC2169" s="51"/>
      <c r="BD2169" s="51"/>
      <c r="BE2169" s="51"/>
      <c r="BF2169" s="47"/>
      <c r="BG2169" s="47"/>
      <c r="BH2169" s="47"/>
      <c r="BI2169" s="47"/>
      <c r="BJ2169" s="47"/>
      <c r="BK2169" s="47"/>
      <c r="BL2169" s="47"/>
      <c r="BM2169" s="47"/>
      <c r="BN2169" s="47"/>
      <c r="BO2169" s="47"/>
      <c r="BP2169" s="47"/>
      <c r="BQ2169" s="47"/>
      <c r="BR2169" s="47"/>
      <c r="BS2169" s="47"/>
      <c r="BT2169" s="47"/>
    </row>
    <row r="2170">
      <c r="A2170" s="24"/>
      <c r="B2170" s="48"/>
      <c r="C2170" s="49"/>
      <c r="D2170" s="24"/>
      <c r="E2170" s="52"/>
      <c r="F2170" s="53"/>
      <c r="G2170" s="48"/>
      <c r="H2170" s="49"/>
      <c r="I2170" s="49"/>
      <c r="J2170" s="48"/>
      <c r="K2170" s="48"/>
      <c r="L2170" s="48"/>
      <c r="M2170" s="48"/>
      <c r="N2170" s="48"/>
      <c r="O2170" s="48"/>
      <c r="P2170" s="48"/>
      <c r="Q2170" s="48"/>
      <c r="R2170" s="48"/>
      <c r="S2170" s="48"/>
      <c r="T2170" s="48"/>
      <c r="U2170" s="48"/>
      <c r="V2170" s="48"/>
      <c r="W2170" s="49"/>
      <c r="X2170" s="49"/>
      <c r="Y2170" s="49"/>
      <c r="Z2170" s="49"/>
      <c r="AA2170" s="49"/>
      <c r="AB2170" s="49"/>
      <c r="AC2170" s="49"/>
      <c r="AD2170" s="49"/>
      <c r="AE2170" s="49"/>
      <c r="AF2170" s="49"/>
      <c r="AG2170" s="49"/>
      <c r="AH2170" s="49"/>
      <c r="AI2170" s="48"/>
      <c r="AJ2170" s="48"/>
      <c r="AK2170" s="24"/>
      <c r="AL2170" s="50"/>
      <c r="AM2170" s="50"/>
      <c r="AN2170" s="50"/>
      <c r="AO2170" s="50"/>
      <c r="AP2170" s="50"/>
      <c r="AQ2170" s="50"/>
      <c r="AR2170" s="50"/>
      <c r="AS2170" s="50"/>
      <c r="AT2170" s="51"/>
      <c r="AU2170" s="51"/>
      <c r="AV2170" s="51"/>
      <c r="AW2170" s="51"/>
      <c r="AX2170" s="50"/>
      <c r="AY2170" s="50"/>
      <c r="AZ2170" s="50"/>
      <c r="BA2170" s="50"/>
      <c r="BB2170" s="51"/>
      <c r="BC2170" s="51"/>
      <c r="BD2170" s="51"/>
      <c r="BE2170" s="51"/>
      <c r="BF2170" s="47"/>
      <c r="BG2170" s="47"/>
      <c r="BH2170" s="47"/>
      <c r="BI2170" s="47"/>
      <c r="BJ2170" s="47"/>
      <c r="BK2170" s="47"/>
      <c r="BL2170" s="47"/>
      <c r="BM2170" s="47"/>
      <c r="BN2170" s="47"/>
      <c r="BO2170" s="47"/>
      <c r="BP2170" s="47"/>
      <c r="BQ2170" s="47"/>
      <c r="BR2170" s="47"/>
      <c r="BS2170" s="47"/>
      <c r="BT2170" s="47"/>
    </row>
    <row r="2171">
      <c r="A2171" s="24"/>
      <c r="B2171" s="48"/>
      <c r="C2171" s="49"/>
      <c r="D2171" s="24"/>
      <c r="E2171" s="52"/>
      <c r="F2171" s="53"/>
      <c r="G2171" s="48"/>
      <c r="H2171" s="49"/>
      <c r="I2171" s="49"/>
      <c r="J2171" s="48"/>
      <c r="K2171" s="48"/>
      <c r="L2171" s="48"/>
      <c r="M2171" s="48"/>
      <c r="N2171" s="48"/>
      <c r="O2171" s="48"/>
      <c r="P2171" s="48"/>
      <c r="Q2171" s="48"/>
      <c r="R2171" s="48"/>
      <c r="S2171" s="48"/>
      <c r="T2171" s="48"/>
      <c r="U2171" s="48"/>
      <c r="V2171" s="48"/>
      <c r="W2171" s="49"/>
      <c r="X2171" s="49"/>
      <c r="Y2171" s="49"/>
      <c r="Z2171" s="49"/>
      <c r="AA2171" s="49"/>
      <c r="AB2171" s="49"/>
      <c r="AC2171" s="49"/>
      <c r="AD2171" s="49"/>
      <c r="AE2171" s="49"/>
      <c r="AF2171" s="49"/>
      <c r="AG2171" s="49"/>
      <c r="AH2171" s="49"/>
      <c r="AI2171" s="48"/>
      <c r="AJ2171" s="48"/>
      <c r="AK2171" s="24"/>
      <c r="AL2171" s="50"/>
      <c r="AM2171" s="50"/>
      <c r="AN2171" s="50"/>
      <c r="AO2171" s="50"/>
      <c r="AP2171" s="50"/>
      <c r="AQ2171" s="50"/>
      <c r="AR2171" s="50"/>
      <c r="AS2171" s="50"/>
      <c r="AT2171" s="51"/>
      <c r="AU2171" s="51"/>
      <c r="AV2171" s="51"/>
      <c r="AW2171" s="51"/>
      <c r="AX2171" s="50"/>
      <c r="AY2171" s="50"/>
      <c r="AZ2171" s="50"/>
      <c r="BA2171" s="50"/>
      <c r="BB2171" s="51"/>
      <c r="BC2171" s="51"/>
      <c r="BD2171" s="51"/>
      <c r="BE2171" s="51"/>
      <c r="BF2171" s="47"/>
      <c r="BG2171" s="47"/>
      <c r="BH2171" s="47"/>
      <c r="BI2171" s="47"/>
      <c r="BJ2171" s="47"/>
      <c r="BK2171" s="47"/>
      <c r="BL2171" s="47"/>
      <c r="BM2171" s="47"/>
      <c r="BN2171" s="47"/>
      <c r="BO2171" s="47"/>
      <c r="BP2171" s="47"/>
      <c r="BQ2171" s="47"/>
      <c r="BR2171" s="47"/>
      <c r="BS2171" s="47"/>
      <c r="BT2171" s="47"/>
    </row>
    <row r="2172">
      <c r="A2172" s="24"/>
      <c r="B2172" s="48"/>
      <c r="C2172" s="49"/>
      <c r="D2172" s="24"/>
      <c r="E2172" s="52"/>
      <c r="F2172" s="53"/>
      <c r="G2172" s="48"/>
      <c r="H2172" s="49"/>
      <c r="I2172" s="49"/>
      <c r="J2172" s="48"/>
      <c r="K2172" s="48"/>
      <c r="L2172" s="48"/>
      <c r="M2172" s="48"/>
      <c r="N2172" s="48"/>
      <c r="O2172" s="48"/>
      <c r="P2172" s="48"/>
      <c r="Q2172" s="48"/>
      <c r="R2172" s="48"/>
      <c r="S2172" s="48"/>
      <c r="T2172" s="48"/>
      <c r="U2172" s="48"/>
      <c r="V2172" s="48"/>
      <c r="W2172" s="49"/>
      <c r="X2172" s="49"/>
      <c r="Y2172" s="49"/>
      <c r="Z2172" s="49"/>
      <c r="AA2172" s="49"/>
      <c r="AB2172" s="49"/>
      <c r="AC2172" s="49"/>
      <c r="AD2172" s="49"/>
      <c r="AE2172" s="49"/>
      <c r="AF2172" s="49"/>
      <c r="AG2172" s="49"/>
      <c r="AH2172" s="49"/>
      <c r="AI2172" s="48"/>
      <c r="AJ2172" s="48"/>
      <c r="AK2172" s="24"/>
      <c r="AL2172" s="50"/>
      <c r="AM2172" s="50"/>
      <c r="AN2172" s="50"/>
      <c r="AO2172" s="50"/>
      <c r="AP2172" s="50"/>
      <c r="AQ2172" s="50"/>
      <c r="AR2172" s="50"/>
      <c r="AS2172" s="50"/>
      <c r="AT2172" s="51"/>
      <c r="AU2172" s="51"/>
      <c r="AV2172" s="51"/>
      <c r="AW2172" s="51"/>
      <c r="AX2172" s="50"/>
      <c r="AY2172" s="50"/>
      <c r="AZ2172" s="50"/>
      <c r="BA2172" s="50"/>
      <c r="BB2172" s="51"/>
      <c r="BC2172" s="51"/>
      <c r="BD2172" s="51"/>
      <c r="BE2172" s="51"/>
      <c r="BF2172" s="47"/>
      <c r="BG2172" s="47"/>
      <c r="BH2172" s="47"/>
      <c r="BI2172" s="47"/>
      <c r="BJ2172" s="47"/>
      <c r="BK2172" s="47"/>
      <c r="BL2172" s="47"/>
      <c r="BM2172" s="47"/>
      <c r="BN2172" s="47"/>
      <c r="BO2172" s="47"/>
      <c r="BP2172" s="47"/>
      <c r="BQ2172" s="47"/>
      <c r="BR2172" s="47"/>
      <c r="BS2172" s="47"/>
      <c r="BT2172" s="47"/>
    </row>
    <row r="2173">
      <c r="A2173" s="24"/>
      <c r="B2173" s="48"/>
      <c r="C2173" s="49"/>
      <c r="D2173" s="24"/>
      <c r="E2173" s="52"/>
      <c r="F2173" s="53"/>
      <c r="G2173" s="48"/>
      <c r="H2173" s="49"/>
      <c r="I2173" s="49"/>
      <c r="J2173" s="48"/>
      <c r="K2173" s="48"/>
      <c r="L2173" s="48"/>
      <c r="M2173" s="48"/>
      <c r="N2173" s="48"/>
      <c r="O2173" s="48"/>
      <c r="P2173" s="48"/>
      <c r="Q2173" s="48"/>
      <c r="R2173" s="48"/>
      <c r="S2173" s="48"/>
      <c r="T2173" s="48"/>
      <c r="U2173" s="48"/>
      <c r="V2173" s="48"/>
      <c r="W2173" s="49"/>
      <c r="X2173" s="49"/>
      <c r="Y2173" s="49"/>
      <c r="Z2173" s="49"/>
      <c r="AA2173" s="49"/>
      <c r="AB2173" s="49"/>
      <c r="AC2173" s="49"/>
      <c r="AD2173" s="49"/>
      <c r="AE2173" s="49"/>
      <c r="AF2173" s="49"/>
      <c r="AG2173" s="49"/>
      <c r="AH2173" s="49"/>
      <c r="AI2173" s="48"/>
      <c r="AJ2173" s="48"/>
      <c r="AK2173" s="24"/>
      <c r="AL2173" s="50"/>
      <c r="AM2173" s="50"/>
      <c r="AN2173" s="50"/>
      <c r="AO2173" s="50"/>
      <c r="AP2173" s="50"/>
      <c r="AQ2173" s="50"/>
      <c r="AR2173" s="50"/>
      <c r="AS2173" s="50"/>
      <c r="AT2173" s="51"/>
      <c r="AU2173" s="51"/>
      <c r="AV2173" s="51"/>
      <c r="AW2173" s="51"/>
      <c r="AX2173" s="50"/>
      <c r="AY2173" s="50"/>
      <c r="AZ2173" s="50"/>
      <c r="BA2173" s="50"/>
      <c r="BB2173" s="51"/>
      <c r="BC2173" s="51"/>
      <c r="BD2173" s="51"/>
      <c r="BE2173" s="51"/>
      <c r="BF2173" s="47"/>
      <c r="BG2173" s="47"/>
      <c r="BH2173" s="47"/>
      <c r="BI2173" s="47"/>
      <c r="BJ2173" s="47"/>
      <c r="BK2173" s="47"/>
      <c r="BL2173" s="47"/>
      <c r="BM2173" s="47"/>
      <c r="BN2173" s="47"/>
      <c r="BO2173" s="47"/>
      <c r="BP2173" s="47"/>
      <c r="BQ2173" s="47"/>
      <c r="BR2173" s="47"/>
      <c r="BS2173" s="47"/>
      <c r="BT2173" s="47"/>
    </row>
    <row r="2174">
      <c r="A2174" s="24"/>
      <c r="B2174" s="48"/>
      <c r="C2174" s="49"/>
      <c r="D2174" s="24"/>
      <c r="E2174" s="52"/>
      <c r="F2174" s="53"/>
      <c r="G2174" s="48"/>
      <c r="H2174" s="49"/>
      <c r="I2174" s="49"/>
      <c r="J2174" s="48"/>
      <c r="K2174" s="48"/>
      <c r="L2174" s="48"/>
      <c r="M2174" s="48"/>
      <c r="N2174" s="48"/>
      <c r="O2174" s="48"/>
      <c r="P2174" s="48"/>
      <c r="Q2174" s="48"/>
      <c r="R2174" s="48"/>
      <c r="S2174" s="48"/>
      <c r="T2174" s="48"/>
      <c r="U2174" s="48"/>
      <c r="V2174" s="48"/>
      <c r="W2174" s="49"/>
      <c r="X2174" s="49"/>
      <c r="Y2174" s="49"/>
      <c r="Z2174" s="49"/>
      <c r="AA2174" s="49"/>
      <c r="AB2174" s="49"/>
      <c r="AC2174" s="49"/>
      <c r="AD2174" s="49"/>
      <c r="AE2174" s="49"/>
      <c r="AF2174" s="49"/>
      <c r="AG2174" s="49"/>
      <c r="AH2174" s="49"/>
      <c r="AI2174" s="48"/>
      <c r="AJ2174" s="48"/>
      <c r="AK2174" s="24"/>
      <c r="AL2174" s="50"/>
      <c r="AM2174" s="50"/>
      <c r="AN2174" s="50"/>
      <c r="AO2174" s="50"/>
      <c r="AP2174" s="50"/>
      <c r="AQ2174" s="50"/>
      <c r="AR2174" s="50"/>
      <c r="AS2174" s="50"/>
      <c r="AT2174" s="51"/>
      <c r="AU2174" s="51"/>
      <c r="AV2174" s="51"/>
      <c r="AW2174" s="51"/>
      <c r="AX2174" s="50"/>
      <c r="AY2174" s="50"/>
      <c r="AZ2174" s="50"/>
      <c r="BA2174" s="50"/>
      <c r="BB2174" s="51"/>
      <c r="BC2174" s="51"/>
      <c r="BD2174" s="51"/>
      <c r="BE2174" s="51"/>
      <c r="BF2174" s="47"/>
      <c r="BG2174" s="47"/>
      <c r="BH2174" s="47"/>
      <c r="BI2174" s="47"/>
      <c r="BJ2174" s="47"/>
      <c r="BK2174" s="47"/>
      <c r="BL2174" s="47"/>
      <c r="BM2174" s="47"/>
      <c r="BN2174" s="47"/>
      <c r="BO2174" s="47"/>
      <c r="BP2174" s="47"/>
      <c r="BQ2174" s="47"/>
      <c r="BR2174" s="47"/>
      <c r="BS2174" s="47"/>
      <c r="BT2174" s="47"/>
    </row>
    <row r="2175">
      <c r="A2175" s="24"/>
      <c r="B2175" s="48"/>
      <c r="C2175" s="49"/>
      <c r="D2175" s="24"/>
      <c r="E2175" s="52"/>
      <c r="F2175" s="53"/>
      <c r="G2175" s="48"/>
      <c r="H2175" s="49"/>
      <c r="I2175" s="49"/>
      <c r="J2175" s="48"/>
      <c r="K2175" s="48"/>
      <c r="L2175" s="48"/>
      <c r="M2175" s="48"/>
      <c r="N2175" s="48"/>
      <c r="O2175" s="48"/>
      <c r="P2175" s="48"/>
      <c r="Q2175" s="48"/>
      <c r="R2175" s="48"/>
      <c r="S2175" s="48"/>
      <c r="T2175" s="48"/>
      <c r="U2175" s="48"/>
      <c r="V2175" s="48"/>
      <c r="W2175" s="49"/>
      <c r="X2175" s="49"/>
      <c r="Y2175" s="49"/>
      <c r="Z2175" s="49"/>
      <c r="AA2175" s="49"/>
      <c r="AB2175" s="49"/>
      <c r="AC2175" s="49"/>
      <c r="AD2175" s="49"/>
      <c r="AE2175" s="49"/>
      <c r="AF2175" s="49"/>
      <c r="AG2175" s="49"/>
      <c r="AH2175" s="49"/>
      <c r="AI2175" s="48"/>
      <c r="AJ2175" s="48"/>
      <c r="AK2175" s="24"/>
      <c r="AL2175" s="50"/>
      <c r="AM2175" s="50"/>
      <c r="AN2175" s="50"/>
      <c r="AO2175" s="50"/>
      <c r="AP2175" s="50"/>
      <c r="AQ2175" s="50"/>
      <c r="AR2175" s="50"/>
      <c r="AS2175" s="50"/>
      <c r="AT2175" s="51"/>
      <c r="AU2175" s="51"/>
      <c r="AV2175" s="51"/>
      <c r="AW2175" s="51"/>
      <c r="AX2175" s="50"/>
      <c r="AY2175" s="50"/>
      <c r="AZ2175" s="50"/>
      <c r="BA2175" s="50"/>
      <c r="BB2175" s="51"/>
      <c r="BC2175" s="51"/>
      <c r="BD2175" s="51"/>
      <c r="BE2175" s="51"/>
      <c r="BF2175" s="47"/>
      <c r="BG2175" s="47"/>
      <c r="BH2175" s="47"/>
      <c r="BI2175" s="47"/>
      <c r="BJ2175" s="47"/>
      <c r="BK2175" s="47"/>
      <c r="BL2175" s="47"/>
      <c r="BM2175" s="47"/>
      <c r="BN2175" s="47"/>
      <c r="BO2175" s="47"/>
      <c r="BP2175" s="47"/>
      <c r="BQ2175" s="47"/>
      <c r="BR2175" s="47"/>
      <c r="BS2175" s="47"/>
      <c r="BT2175" s="47"/>
    </row>
    <row r="2176">
      <c r="A2176" s="24"/>
      <c r="B2176" s="48"/>
      <c r="C2176" s="49"/>
      <c r="D2176" s="24"/>
      <c r="E2176" s="52"/>
      <c r="F2176" s="53"/>
      <c r="G2176" s="48"/>
      <c r="H2176" s="49"/>
      <c r="I2176" s="49"/>
      <c r="J2176" s="48"/>
      <c r="K2176" s="48"/>
      <c r="L2176" s="48"/>
      <c r="M2176" s="48"/>
      <c r="N2176" s="48"/>
      <c r="O2176" s="48"/>
      <c r="P2176" s="48"/>
      <c r="Q2176" s="48"/>
      <c r="R2176" s="48"/>
      <c r="S2176" s="48"/>
      <c r="T2176" s="48"/>
      <c r="U2176" s="48"/>
      <c r="V2176" s="48"/>
      <c r="W2176" s="49"/>
      <c r="X2176" s="49"/>
      <c r="Y2176" s="49"/>
      <c r="Z2176" s="49"/>
      <c r="AA2176" s="49"/>
      <c r="AB2176" s="49"/>
      <c r="AC2176" s="49"/>
      <c r="AD2176" s="49"/>
      <c r="AE2176" s="49"/>
      <c r="AF2176" s="49"/>
      <c r="AG2176" s="49"/>
      <c r="AH2176" s="49"/>
      <c r="AI2176" s="48"/>
      <c r="AJ2176" s="48"/>
      <c r="AK2176" s="24"/>
      <c r="AL2176" s="50"/>
      <c r="AM2176" s="50"/>
      <c r="AN2176" s="50"/>
      <c r="AO2176" s="50"/>
      <c r="AP2176" s="50"/>
      <c r="AQ2176" s="50"/>
      <c r="AR2176" s="50"/>
      <c r="AS2176" s="50"/>
      <c r="AT2176" s="51"/>
      <c r="AU2176" s="51"/>
      <c r="AV2176" s="51"/>
      <c r="AW2176" s="51"/>
      <c r="AX2176" s="50"/>
      <c r="AY2176" s="50"/>
      <c r="AZ2176" s="50"/>
      <c r="BA2176" s="50"/>
      <c r="BB2176" s="51"/>
      <c r="BC2176" s="51"/>
      <c r="BD2176" s="51"/>
      <c r="BE2176" s="51"/>
      <c r="BF2176" s="47"/>
      <c r="BG2176" s="47"/>
      <c r="BH2176" s="47"/>
      <c r="BI2176" s="47"/>
      <c r="BJ2176" s="47"/>
      <c r="BK2176" s="47"/>
      <c r="BL2176" s="47"/>
      <c r="BM2176" s="47"/>
      <c r="BN2176" s="47"/>
      <c r="BO2176" s="47"/>
      <c r="BP2176" s="47"/>
      <c r="BQ2176" s="47"/>
      <c r="BR2176" s="47"/>
      <c r="BS2176" s="47"/>
      <c r="BT2176" s="47"/>
    </row>
    <row r="2177">
      <c r="A2177" s="24"/>
      <c r="B2177" s="48"/>
      <c r="C2177" s="49"/>
      <c r="D2177" s="24"/>
      <c r="E2177" s="52"/>
      <c r="F2177" s="53"/>
      <c r="G2177" s="48"/>
      <c r="H2177" s="49"/>
      <c r="I2177" s="49"/>
      <c r="J2177" s="48"/>
      <c r="K2177" s="48"/>
      <c r="L2177" s="48"/>
      <c r="M2177" s="48"/>
      <c r="N2177" s="48"/>
      <c r="O2177" s="48"/>
      <c r="P2177" s="48"/>
      <c r="Q2177" s="48"/>
      <c r="R2177" s="48"/>
      <c r="S2177" s="48"/>
      <c r="T2177" s="48"/>
      <c r="U2177" s="48"/>
      <c r="V2177" s="48"/>
      <c r="W2177" s="49"/>
      <c r="X2177" s="49"/>
      <c r="Y2177" s="49"/>
      <c r="Z2177" s="49"/>
      <c r="AA2177" s="49"/>
      <c r="AB2177" s="49"/>
      <c r="AC2177" s="49"/>
      <c r="AD2177" s="49"/>
      <c r="AE2177" s="49"/>
      <c r="AF2177" s="49"/>
      <c r="AG2177" s="49"/>
      <c r="AH2177" s="49"/>
      <c r="AI2177" s="48"/>
      <c r="AJ2177" s="48"/>
      <c r="AK2177" s="24"/>
      <c r="AL2177" s="50"/>
      <c r="AM2177" s="50"/>
      <c r="AN2177" s="50"/>
      <c r="AO2177" s="50"/>
      <c r="AP2177" s="50"/>
      <c r="AQ2177" s="50"/>
      <c r="AR2177" s="50"/>
      <c r="AS2177" s="50"/>
      <c r="AT2177" s="51"/>
      <c r="AU2177" s="51"/>
      <c r="AV2177" s="51"/>
      <c r="AW2177" s="51"/>
      <c r="AX2177" s="50"/>
      <c r="AY2177" s="50"/>
      <c r="AZ2177" s="50"/>
      <c r="BA2177" s="50"/>
      <c r="BB2177" s="51"/>
      <c r="BC2177" s="51"/>
      <c r="BD2177" s="51"/>
      <c r="BE2177" s="51"/>
      <c r="BF2177" s="47"/>
      <c r="BG2177" s="47"/>
      <c r="BH2177" s="47"/>
      <c r="BI2177" s="47"/>
      <c r="BJ2177" s="47"/>
      <c r="BK2177" s="47"/>
      <c r="BL2177" s="47"/>
      <c r="BM2177" s="47"/>
      <c r="BN2177" s="47"/>
      <c r="BO2177" s="47"/>
      <c r="BP2177" s="47"/>
      <c r="BQ2177" s="47"/>
      <c r="BR2177" s="47"/>
      <c r="BS2177" s="47"/>
      <c r="BT2177" s="47"/>
    </row>
    <row r="2178">
      <c r="A2178" s="24"/>
      <c r="B2178" s="48"/>
      <c r="C2178" s="49"/>
      <c r="D2178" s="24"/>
      <c r="E2178" s="52"/>
      <c r="F2178" s="53"/>
      <c r="G2178" s="48"/>
      <c r="H2178" s="49"/>
      <c r="I2178" s="49"/>
      <c r="J2178" s="48"/>
      <c r="K2178" s="48"/>
      <c r="L2178" s="48"/>
      <c r="M2178" s="48"/>
      <c r="N2178" s="48"/>
      <c r="O2178" s="48"/>
      <c r="P2178" s="48"/>
      <c r="Q2178" s="48"/>
      <c r="R2178" s="48"/>
      <c r="S2178" s="48"/>
      <c r="T2178" s="48"/>
      <c r="U2178" s="48"/>
      <c r="V2178" s="48"/>
      <c r="W2178" s="49"/>
      <c r="X2178" s="49"/>
      <c r="Y2178" s="49"/>
      <c r="Z2178" s="49"/>
      <c r="AA2178" s="49"/>
      <c r="AB2178" s="49"/>
      <c r="AC2178" s="49"/>
      <c r="AD2178" s="49"/>
      <c r="AE2178" s="49"/>
      <c r="AF2178" s="49"/>
      <c r="AG2178" s="49"/>
      <c r="AH2178" s="49"/>
      <c r="AI2178" s="48"/>
      <c r="AJ2178" s="48"/>
      <c r="AK2178" s="24"/>
      <c r="AL2178" s="50"/>
      <c r="AM2178" s="50"/>
      <c r="AN2178" s="50"/>
      <c r="AO2178" s="50"/>
      <c r="AP2178" s="50"/>
      <c r="AQ2178" s="50"/>
      <c r="AR2178" s="50"/>
      <c r="AS2178" s="50"/>
      <c r="AT2178" s="51"/>
      <c r="AU2178" s="51"/>
      <c r="AV2178" s="51"/>
      <c r="AW2178" s="51"/>
      <c r="AX2178" s="50"/>
      <c r="AY2178" s="50"/>
      <c r="AZ2178" s="50"/>
      <c r="BA2178" s="50"/>
      <c r="BB2178" s="51"/>
      <c r="BC2178" s="51"/>
      <c r="BD2178" s="51"/>
      <c r="BE2178" s="51"/>
      <c r="BF2178" s="47"/>
      <c r="BG2178" s="47"/>
      <c r="BH2178" s="47"/>
      <c r="BI2178" s="47"/>
      <c r="BJ2178" s="47"/>
      <c r="BK2178" s="47"/>
      <c r="BL2178" s="47"/>
      <c r="BM2178" s="47"/>
      <c r="BN2178" s="47"/>
      <c r="BO2178" s="47"/>
      <c r="BP2178" s="47"/>
      <c r="BQ2178" s="47"/>
      <c r="BR2178" s="47"/>
      <c r="BS2178" s="47"/>
      <c r="BT2178" s="47"/>
    </row>
    <row r="2179">
      <c r="A2179" s="24"/>
      <c r="B2179" s="48"/>
      <c r="C2179" s="49"/>
      <c r="D2179" s="24"/>
      <c r="E2179" s="52"/>
      <c r="F2179" s="53"/>
      <c r="G2179" s="48"/>
      <c r="H2179" s="49"/>
      <c r="I2179" s="49"/>
      <c r="J2179" s="48"/>
      <c r="K2179" s="48"/>
      <c r="L2179" s="48"/>
      <c r="M2179" s="48"/>
      <c r="N2179" s="48"/>
      <c r="O2179" s="48"/>
      <c r="P2179" s="48"/>
      <c r="Q2179" s="48"/>
      <c r="R2179" s="48"/>
      <c r="S2179" s="48"/>
      <c r="T2179" s="48"/>
      <c r="U2179" s="48"/>
      <c r="V2179" s="48"/>
      <c r="W2179" s="49"/>
      <c r="X2179" s="49"/>
      <c r="Y2179" s="49"/>
      <c r="Z2179" s="49"/>
      <c r="AA2179" s="49"/>
      <c r="AB2179" s="49"/>
      <c r="AC2179" s="49"/>
      <c r="AD2179" s="49"/>
      <c r="AE2179" s="49"/>
      <c r="AF2179" s="49"/>
      <c r="AG2179" s="49"/>
      <c r="AH2179" s="49"/>
      <c r="AI2179" s="48"/>
      <c r="AJ2179" s="48"/>
      <c r="AK2179" s="24"/>
      <c r="AL2179" s="50"/>
      <c r="AM2179" s="50"/>
      <c r="AN2179" s="50"/>
      <c r="AO2179" s="50"/>
      <c r="AP2179" s="50"/>
      <c r="AQ2179" s="50"/>
      <c r="AR2179" s="50"/>
      <c r="AS2179" s="50"/>
      <c r="AT2179" s="51"/>
      <c r="AU2179" s="51"/>
      <c r="AV2179" s="51"/>
      <c r="AW2179" s="51"/>
      <c r="AX2179" s="50"/>
      <c r="AY2179" s="50"/>
      <c r="AZ2179" s="50"/>
      <c r="BA2179" s="50"/>
      <c r="BB2179" s="51"/>
      <c r="BC2179" s="51"/>
      <c r="BD2179" s="51"/>
      <c r="BE2179" s="51"/>
      <c r="BF2179" s="47"/>
      <c r="BG2179" s="47"/>
      <c r="BH2179" s="47"/>
      <c r="BI2179" s="47"/>
      <c r="BJ2179" s="47"/>
      <c r="BK2179" s="47"/>
      <c r="BL2179" s="47"/>
      <c r="BM2179" s="47"/>
      <c r="BN2179" s="47"/>
      <c r="BO2179" s="47"/>
      <c r="BP2179" s="47"/>
      <c r="BQ2179" s="47"/>
      <c r="BR2179" s="47"/>
      <c r="BS2179" s="47"/>
      <c r="BT2179" s="47"/>
    </row>
    <row r="2180">
      <c r="A2180" s="24"/>
      <c r="B2180" s="48"/>
      <c r="C2180" s="49"/>
      <c r="D2180" s="24"/>
      <c r="E2180" s="52"/>
      <c r="F2180" s="53"/>
      <c r="G2180" s="48"/>
      <c r="H2180" s="49"/>
      <c r="I2180" s="49"/>
      <c r="J2180" s="48"/>
      <c r="K2180" s="48"/>
      <c r="L2180" s="48"/>
      <c r="M2180" s="48"/>
      <c r="N2180" s="48"/>
      <c r="O2180" s="48"/>
      <c r="P2180" s="48"/>
      <c r="Q2180" s="48"/>
      <c r="R2180" s="48"/>
      <c r="S2180" s="48"/>
      <c r="T2180" s="48"/>
      <c r="U2180" s="48"/>
      <c r="V2180" s="48"/>
      <c r="W2180" s="49"/>
      <c r="X2180" s="49"/>
      <c r="Y2180" s="49"/>
      <c r="Z2180" s="49"/>
      <c r="AA2180" s="49"/>
      <c r="AB2180" s="49"/>
      <c r="AC2180" s="49"/>
      <c r="AD2180" s="49"/>
      <c r="AE2180" s="49"/>
      <c r="AF2180" s="49"/>
      <c r="AG2180" s="49"/>
      <c r="AH2180" s="49"/>
      <c r="AI2180" s="48"/>
      <c r="AJ2180" s="48"/>
      <c r="AK2180" s="24"/>
      <c r="AL2180" s="50"/>
      <c r="AM2180" s="50"/>
      <c r="AN2180" s="50"/>
      <c r="AO2180" s="50"/>
      <c r="AP2180" s="50"/>
      <c r="AQ2180" s="50"/>
      <c r="AR2180" s="50"/>
      <c r="AS2180" s="50"/>
      <c r="AT2180" s="51"/>
      <c r="AU2180" s="51"/>
      <c r="AV2180" s="51"/>
      <c r="AW2180" s="51"/>
      <c r="AX2180" s="50"/>
      <c r="AY2180" s="50"/>
      <c r="AZ2180" s="50"/>
      <c r="BA2180" s="50"/>
      <c r="BB2180" s="51"/>
      <c r="BC2180" s="51"/>
      <c r="BD2180" s="51"/>
      <c r="BE2180" s="51"/>
      <c r="BF2180" s="47"/>
      <c r="BG2180" s="47"/>
      <c r="BH2180" s="47"/>
      <c r="BI2180" s="47"/>
      <c r="BJ2180" s="47"/>
      <c r="BK2180" s="47"/>
      <c r="BL2180" s="47"/>
      <c r="BM2180" s="47"/>
      <c r="BN2180" s="47"/>
      <c r="BO2180" s="47"/>
      <c r="BP2180" s="47"/>
      <c r="BQ2180" s="47"/>
      <c r="BR2180" s="47"/>
      <c r="BS2180" s="47"/>
      <c r="BT2180" s="47"/>
    </row>
    <row r="2181">
      <c r="A2181" s="24"/>
      <c r="B2181" s="48"/>
      <c r="C2181" s="49"/>
      <c r="D2181" s="24"/>
      <c r="E2181" s="52"/>
      <c r="F2181" s="53"/>
      <c r="G2181" s="48"/>
      <c r="H2181" s="49"/>
      <c r="I2181" s="49"/>
      <c r="J2181" s="48"/>
      <c r="K2181" s="48"/>
      <c r="L2181" s="48"/>
      <c r="M2181" s="48"/>
      <c r="N2181" s="48"/>
      <c r="O2181" s="48"/>
      <c r="P2181" s="48"/>
      <c r="Q2181" s="48"/>
      <c r="R2181" s="48"/>
      <c r="S2181" s="48"/>
      <c r="T2181" s="48"/>
      <c r="U2181" s="48"/>
      <c r="V2181" s="48"/>
      <c r="W2181" s="49"/>
      <c r="X2181" s="49"/>
      <c r="Y2181" s="49"/>
      <c r="Z2181" s="49"/>
      <c r="AA2181" s="49"/>
      <c r="AB2181" s="49"/>
      <c r="AC2181" s="49"/>
      <c r="AD2181" s="49"/>
      <c r="AE2181" s="49"/>
      <c r="AF2181" s="49"/>
      <c r="AG2181" s="49"/>
      <c r="AH2181" s="49"/>
      <c r="AI2181" s="48"/>
      <c r="AJ2181" s="48"/>
      <c r="AK2181" s="24"/>
      <c r="AL2181" s="50"/>
      <c r="AM2181" s="50"/>
      <c r="AN2181" s="50"/>
      <c r="AO2181" s="50"/>
      <c r="AP2181" s="50"/>
      <c r="AQ2181" s="50"/>
      <c r="AR2181" s="50"/>
      <c r="AS2181" s="50"/>
      <c r="AT2181" s="51"/>
      <c r="AU2181" s="51"/>
      <c r="AV2181" s="51"/>
      <c r="AW2181" s="51"/>
      <c r="AX2181" s="50"/>
      <c r="AY2181" s="50"/>
      <c r="AZ2181" s="50"/>
      <c r="BA2181" s="50"/>
      <c r="BB2181" s="51"/>
      <c r="BC2181" s="51"/>
      <c r="BD2181" s="51"/>
      <c r="BE2181" s="51"/>
      <c r="BF2181" s="47"/>
      <c r="BG2181" s="47"/>
      <c r="BH2181" s="47"/>
      <c r="BI2181" s="47"/>
      <c r="BJ2181" s="47"/>
      <c r="BK2181" s="47"/>
      <c r="BL2181" s="47"/>
      <c r="BM2181" s="47"/>
      <c r="BN2181" s="47"/>
      <c r="BO2181" s="47"/>
      <c r="BP2181" s="47"/>
      <c r="BQ2181" s="47"/>
      <c r="BR2181" s="47"/>
      <c r="BS2181" s="47"/>
      <c r="BT2181" s="47"/>
    </row>
    <row r="2182">
      <c r="A2182" s="24"/>
      <c r="B2182" s="48"/>
      <c r="C2182" s="49"/>
      <c r="D2182" s="24"/>
      <c r="E2182" s="52"/>
      <c r="F2182" s="53"/>
      <c r="G2182" s="48"/>
      <c r="H2182" s="49"/>
      <c r="I2182" s="49"/>
      <c r="J2182" s="48"/>
      <c r="K2182" s="48"/>
      <c r="L2182" s="48"/>
      <c r="M2182" s="48"/>
      <c r="N2182" s="48"/>
      <c r="O2182" s="48"/>
      <c r="P2182" s="48"/>
      <c r="Q2182" s="48"/>
      <c r="R2182" s="48"/>
      <c r="S2182" s="48"/>
      <c r="T2182" s="48"/>
      <c r="U2182" s="48"/>
      <c r="V2182" s="48"/>
      <c r="W2182" s="49"/>
      <c r="X2182" s="49"/>
      <c r="Y2182" s="49"/>
      <c r="Z2182" s="49"/>
      <c r="AA2182" s="49"/>
      <c r="AB2182" s="49"/>
      <c r="AC2182" s="49"/>
      <c r="AD2182" s="49"/>
      <c r="AE2182" s="49"/>
      <c r="AF2182" s="49"/>
      <c r="AG2182" s="49"/>
      <c r="AH2182" s="49"/>
      <c r="AI2182" s="48"/>
      <c r="AJ2182" s="48"/>
      <c r="AK2182" s="24"/>
      <c r="AL2182" s="50"/>
      <c r="AM2182" s="50"/>
      <c r="AN2182" s="50"/>
      <c r="AO2182" s="50"/>
      <c r="AP2182" s="50"/>
      <c r="AQ2182" s="50"/>
      <c r="AR2182" s="50"/>
      <c r="AS2182" s="50"/>
      <c r="AT2182" s="51"/>
      <c r="AU2182" s="51"/>
      <c r="AV2182" s="51"/>
      <c r="AW2182" s="51"/>
      <c r="AX2182" s="50"/>
      <c r="AY2182" s="50"/>
      <c r="AZ2182" s="50"/>
      <c r="BA2182" s="50"/>
      <c r="BB2182" s="51"/>
      <c r="BC2182" s="51"/>
      <c r="BD2182" s="51"/>
      <c r="BE2182" s="51"/>
      <c r="BF2182" s="47"/>
      <c r="BG2182" s="47"/>
      <c r="BH2182" s="47"/>
      <c r="BI2182" s="47"/>
      <c r="BJ2182" s="47"/>
      <c r="BK2182" s="47"/>
      <c r="BL2182" s="47"/>
      <c r="BM2182" s="47"/>
      <c r="BN2182" s="47"/>
      <c r="BO2182" s="47"/>
      <c r="BP2182" s="47"/>
      <c r="BQ2182" s="47"/>
      <c r="BR2182" s="47"/>
      <c r="BS2182" s="47"/>
      <c r="BT2182" s="47"/>
    </row>
    <row r="2183">
      <c r="A2183" s="24"/>
      <c r="B2183" s="48"/>
      <c r="C2183" s="49"/>
      <c r="D2183" s="24"/>
      <c r="E2183" s="52"/>
      <c r="F2183" s="53"/>
      <c r="G2183" s="48"/>
      <c r="H2183" s="49"/>
      <c r="I2183" s="49"/>
      <c r="J2183" s="48"/>
      <c r="K2183" s="48"/>
      <c r="L2183" s="48"/>
      <c r="M2183" s="48"/>
      <c r="N2183" s="48"/>
      <c r="O2183" s="48"/>
      <c r="P2183" s="48"/>
      <c r="Q2183" s="48"/>
      <c r="R2183" s="48"/>
      <c r="S2183" s="48"/>
      <c r="T2183" s="48"/>
      <c r="U2183" s="48"/>
      <c r="V2183" s="48"/>
      <c r="W2183" s="49"/>
      <c r="X2183" s="49"/>
      <c r="Y2183" s="49"/>
      <c r="Z2183" s="49"/>
      <c r="AA2183" s="49"/>
      <c r="AB2183" s="49"/>
      <c r="AC2183" s="49"/>
      <c r="AD2183" s="49"/>
      <c r="AE2183" s="49"/>
      <c r="AF2183" s="49"/>
      <c r="AG2183" s="49"/>
      <c r="AH2183" s="49"/>
      <c r="AI2183" s="48"/>
      <c r="AJ2183" s="48"/>
      <c r="AK2183" s="24"/>
      <c r="AL2183" s="50"/>
      <c r="AM2183" s="50"/>
      <c r="AN2183" s="50"/>
      <c r="AO2183" s="50"/>
      <c r="AP2183" s="50"/>
      <c r="AQ2183" s="50"/>
      <c r="AR2183" s="50"/>
      <c r="AS2183" s="50"/>
      <c r="AT2183" s="51"/>
      <c r="AU2183" s="51"/>
      <c r="AV2183" s="51"/>
      <c r="AW2183" s="51"/>
      <c r="AX2183" s="50"/>
      <c r="AY2183" s="50"/>
      <c r="AZ2183" s="50"/>
      <c r="BA2183" s="50"/>
      <c r="BB2183" s="51"/>
      <c r="BC2183" s="51"/>
      <c r="BD2183" s="51"/>
      <c r="BE2183" s="51"/>
      <c r="BF2183" s="47"/>
      <c r="BG2183" s="47"/>
      <c r="BH2183" s="47"/>
      <c r="BI2183" s="47"/>
      <c r="BJ2183" s="47"/>
      <c r="BK2183" s="47"/>
      <c r="BL2183" s="47"/>
      <c r="BM2183" s="47"/>
      <c r="BN2183" s="47"/>
      <c r="BO2183" s="47"/>
      <c r="BP2183" s="47"/>
      <c r="BQ2183" s="47"/>
      <c r="BR2183" s="47"/>
      <c r="BS2183" s="47"/>
      <c r="BT2183" s="47"/>
    </row>
    <row r="2184">
      <c r="A2184" s="24"/>
      <c r="B2184" s="48"/>
      <c r="C2184" s="49"/>
      <c r="D2184" s="24"/>
      <c r="E2184" s="52"/>
      <c r="F2184" s="53"/>
      <c r="G2184" s="48"/>
      <c r="H2184" s="49"/>
      <c r="I2184" s="49"/>
      <c r="J2184" s="48"/>
      <c r="K2184" s="48"/>
      <c r="L2184" s="48"/>
      <c r="M2184" s="48"/>
      <c r="N2184" s="48"/>
      <c r="O2184" s="48"/>
      <c r="P2184" s="48"/>
      <c r="Q2184" s="48"/>
      <c r="R2184" s="48"/>
      <c r="S2184" s="48"/>
      <c r="T2184" s="48"/>
      <c r="U2184" s="48"/>
      <c r="V2184" s="48"/>
      <c r="W2184" s="49"/>
      <c r="X2184" s="49"/>
      <c r="Y2184" s="49"/>
      <c r="Z2184" s="49"/>
      <c r="AA2184" s="49"/>
      <c r="AB2184" s="49"/>
      <c r="AC2184" s="49"/>
      <c r="AD2184" s="49"/>
      <c r="AE2184" s="49"/>
      <c r="AF2184" s="49"/>
      <c r="AG2184" s="49"/>
      <c r="AH2184" s="49"/>
      <c r="AI2184" s="48"/>
      <c r="AJ2184" s="48"/>
      <c r="AK2184" s="24"/>
      <c r="AL2184" s="50"/>
      <c r="AM2184" s="50"/>
      <c r="AN2184" s="50"/>
      <c r="AO2184" s="50"/>
      <c r="AP2184" s="50"/>
      <c r="AQ2184" s="50"/>
      <c r="AR2184" s="50"/>
      <c r="AS2184" s="50"/>
      <c r="AT2184" s="51"/>
      <c r="AU2184" s="51"/>
      <c r="AV2184" s="51"/>
      <c r="AW2184" s="51"/>
      <c r="AX2184" s="50"/>
      <c r="AY2184" s="50"/>
      <c r="AZ2184" s="50"/>
      <c r="BA2184" s="50"/>
      <c r="BB2184" s="51"/>
      <c r="BC2184" s="51"/>
      <c r="BD2184" s="51"/>
      <c r="BE2184" s="51"/>
      <c r="BF2184" s="47"/>
      <c r="BG2184" s="47"/>
      <c r="BH2184" s="47"/>
      <c r="BI2184" s="47"/>
      <c r="BJ2184" s="47"/>
      <c r="BK2184" s="47"/>
      <c r="BL2184" s="47"/>
      <c r="BM2184" s="47"/>
      <c r="BN2184" s="47"/>
      <c r="BO2184" s="47"/>
      <c r="BP2184" s="47"/>
      <c r="BQ2184" s="47"/>
      <c r="BR2184" s="47"/>
      <c r="BS2184" s="47"/>
      <c r="BT2184" s="47"/>
    </row>
    <row r="2185">
      <c r="A2185" s="24"/>
      <c r="B2185" s="48"/>
      <c r="C2185" s="49"/>
      <c r="D2185" s="24"/>
      <c r="E2185" s="52"/>
      <c r="F2185" s="53"/>
      <c r="G2185" s="48"/>
      <c r="H2185" s="49"/>
      <c r="I2185" s="49"/>
      <c r="J2185" s="48"/>
      <c r="K2185" s="48"/>
      <c r="L2185" s="48"/>
      <c r="M2185" s="48"/>
      <c r="N2185" s="48"/>
      <c r="O2185" s="48"/>
      <c r="P2185" s="48"/>
      <c r="Q2185" s="48"/>
      <c r="R2185" s="48"/>
      <c r="S2185" s="48"/>
      <c r="T2185" s="48"/>
      <c r="U2185" s="48"/>
      <c r="V2185" s="48"/>
      <c r="W2185" s="49"/>
      <c r="X2185" s="49"/>
      <c r="Y2185" s="49"/>
      <c r="Z2185" s="49"/>
      <c r="AA2185" s="49"/>
      <c r="AB2185" s="49"/>
      <c r="AC2185" s="49"/>
      <c r="AD2185" s="49"/>
      <c r="AE2185" s="49"/>
      <c r="AF2185" s="49"/>
      <c r="AG2185" s="49"/>
      <c r="AH2185" s="49"/>
      <c r="AI2185" s="48"/>
      <c r="AJ2185" s="48"/>
      <c r="AK2185" s="24"/>
      <c r="AL2185" s="50"/>
      <c r="AM2185" s="50"/>
      <c r="AN2185" s="50"/>
      <c r="AO2185" s="50"/>
      <c r="AP2185" s="50"/>
      <c r="AQ2185" s="50"/>
      <c r="AR2185" s="50"/>
      <c r="AS2185" s="50"/>
      <c r="AT2185" s="51"/>
      <c r="AU2185" s="51"/>
      <c r="AV2185" s="51"/>
      <c r="AW2185" s="51"/>
      <c r="AX2185" s="50"/>
      <c r="AY2185" s="50"/>
      <c r="AZ2185" s="50"/>
      <c r="BA2185" s="50"/>
      <c r="BB2185" s="51"/>
      <c r="BC2185" s="51"/>
      <c r="BD2185" s="51"/>
      <c r="BE2185" s="51"/>
      <c r="BF2185" s="47"/>
      <c r="BG2185" s="47"/>
      <c r="BH2185" s="47"/>
      <c r="BI2185" s="47"/>
      <c r="BJ2185" s="47"/>
      <c r="BK2185" s="47"/>
      <c r="BL2185" s="47"/>
      <c r="BM2185" s="47"/>
      <c r="BN2185" s="47"/>
      <c r="BO2185" s="47"/>
      <c r="BP2185" s="47"/>
      <c r="BQ2185" s="47"/>
      <c r="BR2185" s="47"/>
      <c r="BS2185" s="47"/>
      <c r="BT2185" s="47"/>
    </row>
    <row r="2186">
      <c r="A2186" s="24"/>
      <c r="B2186" s="48"/>
      <c r="C2186" s="49"/>
      <c r="D2186" s="24"/>
      <c r="E2186" s="52"/>
      <c r="F2186" s="53"/>
      <c r="G2186" s="48"/>
      <c r="H2186" s="49"/>
      <c r="I2186" s="49"/>
      <c r="J2186" s="48"/>
      <c r="K2186" s="48"/>
      <c r="L2186" s="48"/>
      <c r="M2186" s="48"/>
      <c r="N2186" s="48"/>
      <c r="O2186" s="48"/>
      <c r="P2186" s="48"/>
      <c r="Q2186" s="48"/>
      <c r="R2186" s="48"/>
      <c r="S2186" s="48"/>
      <c r="T2186" s="48"/>
      <c r="U2186" s="48"/>
      <c r="V2186" s="48"/>
      <c r="W2186" s="49"/>
      <c r="X2186" s="49"/>
      <c r="Y2186" s="49"/>
      <c r="Z2186" s="49"/>
      <c r="AA2186" s="49"/>
      <c r="AB2186" s="49"/>
      <c r="AC2186" s="49"/>
      <c r="AD2186" s="49"/>
      <c r="AE2186" s="49"/>
      <c r="AF2186" s="49"/>
      <c r="AG2186" s="49"/>
      <c r="AH2186" s="49"/>
      <c r="AI2186" s="48"/>
      <c r="AJ2186" s="48"/>
      <c r="AK2186" s="24"/>
      <c r="AL2186" s="50"/>
      <c r="AM2186" s="50"/>
      <c r="AN2186" s="50"/>
      <c r="AO2186" s="50"/>
      <c r="AP2186" s="50"/>
      <c r="AQ2186" s="50"/>
      <c r="AR2186" s="50"/>
      <c r="AS2186" s="50"/>
      <c r="AT2186" s="51"/>
      <c r="AU2186" s="51"/>
      <c r="AV2186" s="51"/>
      <c r="AW2186" s="51"/>
      <c r="AX2186" s="50"/>
      <c r="AY2186" s="50"/>
      <c r="AZ2186" s="50"/>
      <c r="BA2186" s="50"/>
      <c r="BB2186" s="51"/>
      <c r="BC2186" s="51"/>
      <c r="BD2186" s="51"/>
      <c r="BE2186" s="51"/>
      <c r="BF2186" s="47"/>
      <c r="BG2186" s="47"/>
      <c r="BH2186" s="47"/>
      <c r="BI2186" s="47"/>
      <c r="BJ2186" s="47"/>
      <c r="BK2186" s="47"/>
      <c r="BL2186" s="47"/>
      <c r="BM2186" s="47"/>
      <c r="BN2186" s="47"/>
      <c r="BO2186" s="47"/>
      <c r="BP2186" s="47"/>
      <c r="BQ2186" s="47"/>
      <c r="BR2186" s="47"/>
      <c r="BS2186" s="47"/>
      <c r="BT2186" s="47"/>
    </row>
    <row r="2187">
      <c r="A2187" s="24"/>
      <c r="B2187" s="48"/>
      <c r="C2187" s="49"/>
      <c r="D2187" s="24"/>
      <c r="E2187" s="52"/>
      <c r="F2187" s="53"/>
      <c r="G2187" s="48"/>
      <c r="H2187" s="49"/>
      <c r="I2187" s="49"/>
      <c r="J2187" s="48"/>
      <c r="K2187" s="48"/>
      <c r="L2187" s="48"/>
      <c r="M2187" s="48"/>
      <c r="N2187" s="48"/>
      <c r="O2187" s="48"/>
      <c r="P2187" s="48"/>
      <c r="Q2187" s="48"/>
      <c r="R2187" s="48"/>
      <c r="S2187" s="48"/>
      <c r="T2187" s="48"/>
      <c r="U2187" s="48"/>
      <c r="V2187" s="48"/>
      <c r="W2187" s="49"/>
      <c r="X2187" s="49"/>
      <c r="Y2187" s="49"/>
      <c r="Z2187" s="49"/>
      <c r="AA2187" s="49"/>
      <c r="AB2187" s="49"/>
      <c r="AC2187" s="49"/>
      <c r="AD2187" s="49"/>
      <c r="AE2187" s="49"/>
      <c r="AF2187" s="49"/>
      <c r="AG2187" s="49"/>
      <c r="AH2187" s="49"/>
      <c r="AI2187" s="48"/>
      <c r="AJ2187" s="48"/>
      <c r="AK2187" s="24"/>
      <c r="AL2187" s="50"/>
      <c r="AM2187" s="50"/>
      <c r="AN2187" s="50"/>
      <c r="AO2187" s="50"/>
      <c r="AP2187" s="50"/>
      <c r="AQ2187" s="50"/>
      <c r="AR2187" s="50"/>
      <c r="AS2187" s="50"/>
      <c r="AT2187" s="51"/>
      <c r="AU2187" s="51"/>
      <c r="AV2187" s="51"/>
      <c r="AW2187" s="51"/>
      <c r="AX2187" s="50"/>
      <c r="AY2187" s="50"/>
      <c r="AZ2187" s="50"/>
      <c r="BA2187" s="50"/>
      <c r="BB2187" s="51"/>
      <c r="BC2187" s="51"/>
      <c r="BD2187" s="51"/>
      <c r="BE2187" s="51"/>
      <c r="BF2187" s="47"/>
      <c r="BG2187" s="47"/>
      <c r="BH2187" s="47"/>
      <c r="BI2187" s="47"/>
      <c r="BJ2187" s="47"/>
      <c r="BK2187" s="47"/>
      <c r="BL2187" s="47"/>
      <c r="BM2187" s="47"/>
      <c r="BN2187" s="47"/>
      <c r="BO2187" s="47"/>
      <c r="BP2187" s="47"/>
      <c r="BQ2187" s="47"/>
      <c r="BR2187" s="47"/>
      <c r="BS2187" s="47"/>
      <c r="BT2187" s="47"/>
    </row>
    <row r="2188">
      <c r="A2188" s="24"/>
      <c r="B2188" s="48"/>
      <c r="C2188" s="49"/>
      <c r="D2188" s="24"/>
      <c r="E2188" s="52"/>
      <c r="F2188" s="53"/>
      <c r="G2188" s="48"/>
      <c r="H2188" s="49"/>
      <c r="I2188" s="49"/>
      <c r="J2188" s="48"/>
      <c r="K2188" s="48"/>
      <c r="L2188" s="48"/>
      <c r="M2188" s="48"/>
      <c r="N2188" s="48"/>
      <c r="O2188" s="48"/>
      <c r="P2188" s="48"/>
      <c r="Q2188" s="48"/>
      <c r="R2188" s="48"/>
      <c r="S2188" s="48"/>
      <c r="T2188" s="48"/>
      <c r="U2188" s="48"/>
      <c r="V2188" s="48"/>
      <c r="W2188" s="49"/>
      <c r="X2188" s="49"/>
      <c r="Y2188" s="49"/>
      <c r="Z2188" s="49"/>
      <c r="AA2188" s="49"/>
      <c r="AB2188" s="49"/>
      <c r="AC2188" s="49"/>
      <c r="AD2188" s="49"/>
      <c r="AE2188" s="49"/>
      <c r="AF2188" s="49"/>
      <c r="AG2188" s="49"/>
      <c r="AH2188" s="49"/>
      <c r="AI2188" s="48"/>
      <c r="AJ2188" s="48"/>
      <c r="AK2188" s="24"/>
      <c r="AL2188" s="50"/>
      <c r="AM2188" s="50"/>
      <c r="AN2188" s="50"/>
      <c r="AO2188" s="50"/>
      <c r="AP2188" s="50"/>
      <c r="AQ2188" s="50"/>
      <c r="AR2188" s="50"/>
      <c r="AS2188" s="50"/>
      <c r="AT2188" s="51"/>
      <c r="AU2188" s="51"/>
      <c r="AV2188" s="51"/>
      <c r="AW2188" s="51"/>
      <c r="AX2188" s="50"/>
      <c r="AY2188" s="50"/>
      <c r="AZ2188" s="50"/>
      <c r="BA2188" s="50"/>
      <c r="BB2188" s="51"/>
      <c r="BC2188" s="51"/>
      <c r="BD2188" s="51"/>
      <c r="BE2188" s="51"/>
      <c r="BF2188" s="47"/>
      <c r="BG2188" s="47"/>
      <c r="BH2188" s="47"/>
      <c r="BI2188" s="47"/>
      <c r="BJ2188" s="47"/>
      <c r="BK2188" s="47"/>
      <c r="BL2188" s="47"/>
      <c r="BM2188" s="47"/>
      <c r="BN2188" s="47"/>
      <c r="BO2188" s="47"/>
      <c r="BP2188" s="47"/>
      <c r="BQ2188" s="47"/>
      <c r="BR2188" s="47"/>
      <c r="BS2188" s="47"/>
      <c r="BT2188" s="47"/>
    </row>
    <row r="2189">
      <c r="A2189" s="24"/>
      <c r="B2189" s="48"/>
      <c r="C2189" s="49"/>
      <c r="D2189" s="24"/>
      <c r="E2189" s="52"/>
      <c r="F2189" s="53"/>
      <c r="G2189" s="48"/>
      <c r="H2189" s="49"/>
      <c r="I2189" s="49"/>
      <c r="J2189" s="48"/>
      <c r="K2189" s="48"/>
      <c r="L2189" s="48"/>
      <c r="M2189" s="48"/>
      <c r="N2189" s="48"/>
      <c r="O2189" s="48"/>
      <c r="P2189" s="48"/>
      <c r="Q2189" s="48"/>
      <c r="R2189" s="48"/>
      <c r="S2189" s="48"/>
      <c r="T2189" s="48"/>
      <c r="U2189" s="48"/>
      <c r="V2189" s="48"/>
      <c r="W2189" s="49"/>
      <c r="X2189" s="49"/>
      <c r="Y2189" s="49"/>
      <c r="Z2189" s="49"/>
      <c r="AA2189" s="49"/>
      <c r="AB2189" s="49"/>
      <c r="AC2189" s="49"/>
      <c r="AD2189" s="49"/>
      <c r="AE2189" s="49"/>
      <c r="AF2189" s="49"/>
      <c r="AG2189" s="49"/>
      <c r="AH2189" s="49"/>
      <c r="AI2189" s="48"/>
      <c r="AJ2189" s="48"/>
      <c r="AK2189" s="24"/>
      <c r="AL2189" s="50"/>
      <c r="AM2189" s="50"/>
      <c r="AN2189" s="50"/>
      <c r="AO2189" s="50"/>
      <c r="AP2189" s="50"/>
      <c r="AQ2189" s="50"/>
      <c r="AR2189" s="50"/>
      <c r="AS2189" s="50"/>
      <c r="AT2189" s="51"/>
      <c r="AU2189" s="51"/>
      <c r="AV2189" s="51"/>
      <c r="AW2189" s="51"/>
      <c r="AX2189" s="50"/>
      <c r="AY2189" s="50"/>
      <c r="AZ2189" s="50"/>
      <c r="BA2189" s="50"/>
      <c r="BB2189" s="51"/>
      <c r="BC2189" s="51"/>
      <c r="BD2189" s="51"/>
      <c r="BE2189" s="51"/>
      <c r="BF2189" s="47"/>
      <c r="BG2189" s="47"/>
      <c r="BH2189" s="47"/>
      <c r="BI2189" s="47"/>
      <c r="BJ2189" s="47"/>
      <c r="BK2189" s="47"/>
      <c r="BL2189" s="47"/>
      <c r="BM2189" s="47"/>
      <c r="BN2189" s="47"/>
      <c r="BO2189" s="47"/>
      <c r="BP2189" s="47"/>
      <c r="BQ2189" s="47"/>
      <c r="BR2189" s="47"/>
      <c r="BS2189" s="47"/>
      <c r="BT2189" s="47"/>
    </row>
    <row r="2190">
      <c r="A2190" s="24"/>
      <c r="B2190" s="48"/>
      <c r="C2190" s="49"/>
      <c r="D2190" s="24"/>
      <c r="E2190" s="52"/>
      <c r="F2190" s="53"/>
      <c r="G2190" s="48"/>
      <c r="H2190" s="49"/>
      <c r="I2190" s="49"/>
      <c r="J2190" s="48"/>
      <c r="K2190" s="48"/>
      <c r="L2190" s="48"/>
      <c r="M2190" s="48"/>
      <c r="N2190" s="48"/>
      <c r="O2190" s="48"/>
      <c r="P2190" s="48"/>
      <c r="Q2190" s="48"/>
      <c r="R2190" s="48"/>
      <c r="S2190" s="48"/>
      <c r="T2190" s="48"/>
      <c r="U2190" s="48"/>
      <c r="V2190" s="48"/>
      <c r="W2190" s="49"/>
      <c r="X2190" s="49"/>
      <c r="Y2190" s="49"/>
      <c r="Z2190" s="49"/>
      <c r="AA2190" s="49"/>
      <c r="AB2190" s="49"/>
      <c r="AC2190" s="49"/>
      <c r="AD2190" s="49"/>
      <c r="AE2190" s="49"/>
      <c r="AF2190" s="49"/>
      <c r="AG2190" s="49"/>
      <c r="AH2190" s="49"/>
      <c r="AI2190" s="48"/>
      <c r="AJ2190" s="48"/>
      <c r="AK2190" s="24"/>
      <c r="AL2190" s="50"/>
      <c r="AM2190" s="50"/>
      <c r="AN2190" s="50"/>
      <c r="AO2190" s="50"/>
      <c r="AP2190" s="50"/>
      <c r="AQ2190" s="50"/>
      <c r="AR2190" s="50"/>
      <c r="AS2190" s="50"/>
      <c r="AT2190" s="51"/>
      <c r="AU2190" s="51"/>
      <c r="AV2190" s="51"/>
      <c r="AW2190" s="51"/>
      <c r="AX2190" s="50"/>
      <c r="AY2190" s="50"/>
      <c r="AZ2190" s="50"/>
      <c r="BA2190" s="50"/>
      <c r="BB2190" s="51"/>
      <c r="BC2190" s="51"/>
      <c r="BD2190" s="51"/>
      <c r="BE2190" s="51"/>
      <c r="BF2190" s="47"/>
      <c r="BG2190" s="47"/>
      <c r="BH2190" s="47"/>
      <c r="BI2190" s="47"/>
      <c r="BJ2190" s="47"/>
      <c r="BK2190" s="47"/>
      <c r="BL2190" s="47"/>
      <c r="BM2190" s="47"/>
      <c r="BN2190" s="47"/>
      <c r="BO2190" s="47"/>
      <c r="BP2190" s="47"/>
      <c r="BQ2190" s="47"/>
      <c r="BR2190" s="47"/>
      <c r="BS2190" s="47"/>
      <c r="BT2190" s="47"/>
    </row>
    <row r="2191">
      <c r="A2191" s="24"/>
      <c r="B2191" s="48"/>
      <c r="C2191" s="49"/>
      <c r="D2191" s="24"/>
      <c r="E2191" s="52"/>
      <c r="F2191" s="53"/>
      <c r="G2191" s="48"/>
      <c r="H2191" s="49"/>
      <c r="I2191" s="49"/>
      <c r="J2191" s="48"/>
      <c r="K2191" s="48"/>
      <c r="L2191" s="48"/>
      <c r="M2191" s="48"/>
      <c r="N2191" s="48"/>
      <c r="O2191" s="48"/>
      <c r="P2191" s="48"/>
      <c r="Q2191" s="48"/>
      <c r="R2191" s="48"/>
      <c r="S2191" s="48"/>
      <c r="T2191" s="48"/>
      <c r="U2191" s="48"/>
      <c r="V2191" s="48"/>
      <c r="W2191" s="49"/>
      <c r="X2191" s="49"/>
      <c r="Y2191" s="49"/>
      <c r="Z2191" s="49"/>
      <c r="AA2191" s="49"/>
      <c r="AB2191" s="49"/>
      <c r="AC2191" s="49"/>
      <c r="AD2191" s="49"/>
      <c r="AE2191" s="49"/>
      <c r="AF2191" s="49"/>
      <c r="AG2191" s="49"/>
      <c r="AH2191" s="49"/>
      <c r="AI2191" s="48"/>
      <c r="AJ2191" s="48"/>
      <c r="AK2191" s="24"/>
      <c r="AL2191" s="50"/>
      <c r="AM2191" s="50"/>
      <c r="AN2191" s="50"/>
      <c r="AO2191" s="50"/>
      <c r="AP2191" s="50"/>
      <c r="AQ2191" s="50"/>
      <c r="AR2191" s="50"/>
      <c r="AS2191" s="50"/>
      <c r="AT2191" s="51"/>
      <c r="AU2191" s="51"/>
      <c r="AV2191" s="51"/>
      <c r="AW2191" s="51"/>
      <c r="AX2191" s="50"/>
      <c r="AY2191" s="50"/>
      <c r="AZ2191" s="50"/>
      <c r="BA2191" s="50"/>
      <c r="BB2191" s="51"/>
      <c r="BC2191" s="51"/>
      <c r="BD2191" s="51"/>
      <c r="BE2191" s="51"/>
      <c r="BF2191" s="47"/>
      <c r="BG2191" s="47"/>
      <c r="BH2191" s="47"/>
      <c r="BI2191" s="47"/>
      <c r="BJ2191" s="47"/>
      <c r="BK2191" s="47"/>
      <c r="BL2191" s="47"/>
      <c r="BM2191" s="47"/>
      <c r="BN2191" s="47"/>
      <c r="BO2191" s="47"/>
      <c r="BP2191" s="47"/>
      <c r="BQ2191" s="47"/>
      <c r="BR2191" s="47"/>
      <c r="BS2191" s="47"/>
      <c r="BT2191" s="47"/>
    </row>
    <row r="2192">
      <c r="A2192" s="24"/>
      <c r="B2192" s="48"/>
      <c r="C2192" s="49"/>
      <c r="D2192" s="24"/>
      <c r="E2192" s="52"/>
      <c r="F2192" s="53"/>
      <c r="G2192" s="48"/>
      <c r="H2192" s="49"/>
      <c r="I2192" s="49"/>
      <c r="J2192" s="48"/>
      <c r="K2192" s="48"/>
      <c r="L2192" s="48"/>
      <c r="M2192" s="48"/>
      <c r="N2192" s="48"/>
      <c r="O2192" s="48"/>
      <c r="P2192" s="48"/>
      <c r="Q2192" s="48"/>
      <c r="R2192" s="48"/>
      <c r="S2192" s="48"/>
      <c r="T2192" s="48"/>
      <c r="U2192" s="48"/>
      <c r="V2192" s="48"/>
      <c r="W2192" s="49"/>
      <c r="X2192" s="49"/>
      <c r="Y2192" s="49"/>
      <c r="Z2192" s="49"/>
      <c r="AA2192" s="49"/>
      <c r="AB2192" s="49"/>
      <c r="AC2192" s="49"/>
      <c r="AD2192" s="49"/>
      <c r="AE2192" s="49"/>
      <c r="AF2192" s="49"/>
      <c r="AG2192" s="49"/>
      <c r="AH2192" s="49"/>
      <c r="AI2192" s="48"/>
      <c r="AJ2192" s="48"/>
      <c r="AK2192" s="24"/>
      <c r="AL2192" s="50"/>
      <c r="AM2192" s="50"/>
      <c r="AN2192" s="50"/>
      <c r="AO2192" s="50"/>
      <c r="AP2192" s="50"/>
      <c r="AQ2192" s="50"/>
      <c r="AR2192" s="50"/>
      <c r="AS2192" s="50"/>
      <c r="AT2192" s="51"/>
      <c r="AU2192" s="51"/>
      <c r="AV2192" s="51"/>
      <c r="AW2192" s="51"/>
      <c r="AX2192" s="50"/>
      <c r="AY2192" s="50"/>
      <c r="AZ2192" s="50"/>
      <c r="BA2192" s="50"/>
      <c r="BB2192" s="51"/>
      <c r="BC2192" s="51"/>
      <c r="BD2192" s="51"/>
      <c r="BE2192" s="51"/>
      <c r="BF2192" s="47"/>
      <c r="BG2192" s="47"/>
      <c r="BH2192" s="47"/>
      <c r="BI2192" s="47"/>
      <c r="BJ2192" s="47"/>
      <c r="BK2192" s="47"/>
      <c r="BL2192" s="47"/>
      <c r="BM2192" s="47"/>
      <c r="BN2192" s="47"/>
      <c r="BO2192" s="47"/>
      <c r="BP2192" s="47"/>
      <c r="BQ2192" s="47"/>
      <c r="BR2192" s="47"/>
      <c r="BS2192" s="47"/>
      <c r="BT2192" s="47"/>
    </row>
    <row r="2193">
      <c r="A2193" s="24"/>
      <c r="B2193" s="48"/>
      <c r="C2193" s="49"/>
      <c r="D2193" s="24"/>
      <c r="E2193" s="52"/>
      <c r="F2193" s="53"/>
      <c r="G2193" s="48"/>
      <c r="H2193" s="49"/>
      <c r="I2193" s="49"/>
      <c r="J2193" s="48"/>
      <c r="K2193" s="48"/>
      <c r="L2193" s="48"/>
      <c r="M2193" s="48"/>
      <c r="N2193" s="48"/>
      <c r="O2193" s="48"/>
      <c r="P2193" s="48"/>
      <c r="Q2193" s="48"/>
      <c r="R2193" s="48"/>
      <c r="S2193" s="48"/>
      <c r="T2193" s="48"/>
      <c r="U2193" s="48"/>
      <c r="V2193" s="48"/>
      <c r="W2193" s="49"/>
      <c r="X2193" s="49"/>
      <c r="Y2193" s="49"/>
      <c r="Z2193" s="49"/>
      <c r="AA2193" s="49"/>
      <c r="AB2193" s="49"/>
      <c r="AC2193" s="49"/>
      <c r="AD2193" s="49"/>
      <c r="AE2193" s="49"/>
      <c r="AF2193" s="49"/>
      <c r="AG2193" s="49"/>
      <c r="AH2193" s="49"/>
      <c r="AI2193" s="48"/>
      <c r="AJ2193" s="48"/>
      <c r="AK2193" s="24"/>
      <c r="AL2193" s="50"/>
      <c r="AM2193" s="50"/>
      <c r="AN2193" s="50"/>
      <c r="AO2193" s="50"/>
      <c r="AP2193" s="50"/>
      <c r="AQ2193" s="50"/>
      <c r="AR2193" s="50"/>
      <c r="AS2193" s="50"/>
      <c r="AT2193" s="51"/>
      <c r="AU2193" s="51"/>
      <c r="AV2193" s="51"/>
      <c r="AW2193" s="51"/>
      <c r="AX2193" s="50"/>
      <c r="AY2193" s="50"/>
      <c r="AZ2193" s="50"/>
      <c r="BA2193" s="50"/>
      <c r="BB2193" s="51"/>
      <c r="BC2193" s="51"/>
      <c r="BD2193" s="51"/>
      <c r="BE2193" s="51"/>
      <c r="BF2193" s="47"/>
      <c r="BG2193" s="47"/>
      <c r="BH2193" s="47"/>
      <c r="BI2193" s="47"/>
      <c r="BJ2193" s="47"/>
      <c r="BK2193" s="47"/>
      <c r="BL2193" s="47"/>
      <c r="BM2193" s="47"/>
      <c r="BN2193" s="47"/>
      <c r="BO2193" s="47"/>
      <c r="BP2193" s="47"/>
      <c r="BQ2193" s="47"/>
      <c r="BR2193" s="47"/>
      <c r="BS2193" s="47"/>
      <c r="BT2193" s="47"/>
    </row>
    <row r="2194">
      <c r="A2194" s="24"/>
      <c r="B2194" s="48"/>
      <c r="C2194" s="49"/>
      <c r="D2194" s="24"/>
      <c r="E2194" s="52"/>
      <c r="F2194" s="53"/>
      <c r="G2194" s="48"/>
      <c r="H2194" s="49"/>
      <c r="I2194" s="49"/>
      <c r="J2194" s="48"/>
      <c r="K2194" s="48"/>
      <c r="L2194" s="48"/>
      <c r="M2194" s="48"/>
      <c r="N2194" s="48"/>
      <c r="O2194" s="48"/>
      <c r="P2194" s="48"/>
      <c r="Q2194" s="48"/>
      <c r="R2194" s="48"/>
      <c r="S2194" s="48"/>
      <c r="T2194" s="48"/>
      <c r="U2194" s="48"/>
      <c r="V2194" s="48"/>
      <c r="W2194" s="49"/>
      <c r="X2194" s="49"/>
      <c r="Y2194" s="49"/>
      <c r="Z2194" s="49"/>
      <c r="AA2194" s="49"/>
      <c r="AB2194" s="49"/>
      <c r="AC2194" s="49"/>
      <c r="AD2194" s="49"/>
      <c r="AE2194" s="49"/>
      <c r="AF2194" s="49"/>
      <c r="AG2194" s="49"/>
      <c r="AH2194" s="49"/>
      <c r="AI2194" s="48"/>
      <c r="AJ2194" s="48"/>
      <c r="AK2194" s="24"/>
      <c r="AL2194" s="50"/>
      <c r="AM2194" s="50"/>
      <c r="AN2194" s="50"/>
      <c r="AO2194" s="50"/>
      <c r="AP2194" s="50"/>
      <c r="AQ2194" s="50"/>
      <c r="AR2194" s="50"/>
      <c r="AS2194" s="50"/>
      <c r="AT2194" s="51"/>
      <c r="AU2194" s="51"/>
      <c r="AV2194" s="51"/>
      <c r="AW2194" s="51"/>
      <c r="AX2194" s="50"/>
      <c r="AY2194" s="50"/>
      <c r="AZ2194" s="50"/>
      <c r="BA2194" s="50"/>
      <c r="BB2194" s="51"/>
      <c r="BC2194" s="51"/>
      <c r="BD2194" s="51"/>
      <c r="BE2194" s="51"/>
      <c r="BF2194" s="47"/>
      <c r="BG2194" s="47"/>
      <c r="BH2194" s="47"/>
      <c r="BI2194" s="47"/>
      <c r="BJ2194" s="47"/>
      <c r="BK2194" s="47"/>
      <c r="BL2194" s="47"/>
      <c r="BM2194" s="47"/>
      <c r="BN2194" s="47"/>
      <c r="BO2194" s="47"/>
      <c r="BP2194" s="47"/>
      <c r="BQ2194" s="47"/>
      <c r="BR2194" s="47"/>
      <c r="BS2194" s="47"/>
      <c r="BT2194" s="47"/>
    </row>
    <row r="2195">
      <c r="A2195" s="24"/>
      <c r="B2195" s="48"/>
      <c r="C2195" s="49"/>
      <c r="D2195" s="24"/>
      <c r="E2195" s="52"/>
      <c r="F2195" s="53"/>
      <c r="G2195" s="48"/>
      <c r="H2195" s="49"/>
      <c r="I2195" s="49"/>
      <c r="J2195" s="48"/>
      <c r="K2195" s="48"/>
      <c r="L2195" s="48"/>
      <c r="M2195" s="48"/>
      <c r="N2195" s="48"/>
      <c r="O2195" s="48"/>
      <c r="P2195" s="48"/>
      <c r="Q2195" s="48"/>
      <c r="R2195" s="48"/>
      <c r="S2195" s="48"/>
      <c r="T2195" s="48"/>
      <c r="U2195" s="48"/>
      <c r="V2195" s="48"/>
      <c r="W2195" s="49"/>
      <c r="X2195" s="49"/>
      <c r="Y2195" s="49"/>
      <c r="Z2195" s="49"/>
      <c r="AA2195" s="49"/>
      <c r="AB2195" s="49"/>
      <c r="AC2195" s="49"/>
      <c r="AD2195" s="49"/>
      <c r="AE2195" s="49"/>
      <c r="AF2195" s="49"/>
      <c r="AG2195" s="49"/>
      <c r="AH2195" s="49"/>
      <c r="AI2195" s="48"/>
      <c r="AJ2195" s="48"/>
      <c r="AK2195" s="24"/>
      <c r="AL2195" s="50"/>
      <c r="AM2195" s="50"/>
      <c r="AN2195" s="50"/>
      <c r="AO2195" s="50"/>
      <c r="AP2195" s="50"/>
      <c r="AQ2195" s="50"/>
      <c r="AR2195" s="50"/>
      <c r="AS2195" s="50"/>
      <c r="AT2195" s="51"/>
      <c r="AU2195" s="51"/>
      <c r="AV2195" s="51"/>
      <c r="AW2195" s="51"/>
      <c r="AX2195" s="50"/>
      <c r="AY2195" s="50"/>
      <c r="AZ2195" s="50"/>
      <c r="BA2195" s="50"/>
      <c r="BB2195" s="51"/>
      <c r="BC2195" s="51"/>
      <c r="BD2195" s="51"/>
      <c r="BE2195" s="51"/>
      <c r="BF2195" s="47"/>
      <c r="BG2195" s="47"/>
      <c r="BH2195" s="47"/>
      <c r="BI2195" s="47"/>
      <c r="BJ2195" s="47"/>
      <c r="BK2195" s="47"/>
      <c r="BL2195" s="47"/>
      <c r="BM2195" s="47"/>
      <c r="BN2195" s="47"/>
      <c r="BO2195" s="47"/>
      <c r="BP2195" s="47"/>
      <c r="BQ2195" s="47"/>
      <c r="BR2195" s="47"/>
      <c r="BS2195" s="47"/>
      <c r="BT2195" s="47"/>
    </row>
    <row r="2196">
      <c r="A2196" s="24"/>
      <c r="B2196" s="48"/>
      <c r="C2196" s="49"/>
      <c r="D2196" s="24"/>
      <c r="E2196" s="52"/>
      <c r="F2196" s="53"/>
      <c r="G2196" s="48"/>
      <c r="H2196" s="49"/>
      <c r="I2196" s="49"/>
      <c r="J2196" s="48"/>
      <c r="K2196" s="48"/>
      <c r="L2196" s="48"/>
      <c r="M2196" s="48"/>
      <c r="N2196" s="48"/>
      <c r="O2196" s="48"/>
      <c r="P2196" s="48"/>
      <c r="Q2196" s="48"/>
      <c r="R2196" s="48"/>
      <c r="S2196" s="48"/>
      <c r="T2196" s="48"/>
      <c r="U2196" s="48"/>
      <c r="V2196" s="48"/>
      <c r="W2196" s="49"/>
      <c r="X2196" s="49"/>
      <c r="Y2196" s="49"/>
      <c r="Z2196" s="49"/>
      <c r="AA2196" s="49"/>
      <c r="AB2196" s="49"/>
      <c r="AC2196" s="49"/>
      <c r="AD2196" s="49"/>
      <c r="AE2196" s="49"/>
      <c r="AF2196" s="49"/>
      <c r="AG2196" s="49"/>
      <c r="AH2196" s="49"/>
      <c r="AI2196" s="48"/>
      <c r="AJ2196" s="48"/>
      <c r="AK2196" s="24"/>
      <c r="AL2196" s="50"/>
      <c r="AM2196" s="50"/>
      <c r="AN2196" s="50"/>
      <c r="AO2196" s="50"/>
      <c r="AP2196" s="50"/>
      <c r="AQ2196" s="50"/>
      <c r="AR2196" s="50"/>
      <c r="AS2196" s="50"/>
      <c r="AT2196" s="51"/>
      <c r="AU2196" s="51"/>
      <c r="AV2196" s="51"/>
      <c r="AW2196" s="51"/>
      <c r="AX2196" s="50"/>
      <c r="AY2196" s="50"/>
      <c r="AZ2196" s="50"/>
      <c r="BA2196" s="50"/>
      <c r="BB2196" s="51"/>
      <c r="BC2196" s="51"/>
      <c r="BD2196" s="51"/>
      <c r="BE2196" s="51"/>
      <c r="BF2196" s="47"/>
      <c r="BG2196" s="47"/>
      <c r="BH2196" s="47"/>
      <c r="BI2196" s="47"/>
      <c r="BJ2196" s="47"/>
      <c r="BK2196" s="47"/>
      <c r="BL2196" s="47"/>
      <c r="BM2196" s="47"/>
      <c r="BN2196" s="47"/>
      <c r="BO2196" s="47"/>
      <c r="BP2196" s="47"/>
      <c r="BQ2196" s="47"/>
      <c r="BR2196" s="47"/>
      <c r="BS2196" s="47"/>
      <c r="BT2196" s="47"/>
    </row>
    <row r="2197">
      <c r="A2197" s="24"/>
      <c r="B2197" s="48"/>
      <c r="C2197" s="49"/>
      <c r="D2197" s="24"/>
      <c r="E2197" s="52"/>
      <c r="F2197" s="53"/>
      <c r="G2197" s="48"/>
      <c r="H2197" s="49"/>
      <c r="I2197" s="49"/>
      <c r="J2197" s="48"/>
      <c r="K2197" s="48"/>
      <c r="L2197" s="48"/>
      <c r="M2197" s="48"/>
      <c r="N2197" s="48"/>
      <c r="O2197" s="48"/>
      <c r="P2197" s="48"/>
      <c r="Q2197" s="48"/>
      <c r="R2197" s="48"/>
      <c r="S2197" s="48"/>
      <c r="T2197" s="48"/>
      <c r="U2197" s="48"/>
      <c r="V2197" s="48"/>
      <c r="W2197" s="49"/>
      <c r="X2197" s="49"/>
      <c r="Y2197" s="49"/>
      <c r="Z2197" s="49"/>
      <c r="AA2197" s="49"/>
      <c r="AB2197" s="49"/>
      <c r="AC2197" s="49"/>
      <c r="AD2197" s="49"/>
      <c r="AE2197" s="49"/>
      <c r="AF2197" s="49"/>
      <c r="AG2197" s="49"/>
      <c r="AH2197" s="49"/>
      <c r="AI2197" s="48"/>
      <c r="AJ2197" s="48"/>
      <c r="AK2197" s="24"/>
      <c r="AL2197" s="50"/>
      <c r="AM2197" s="50"/>
      <c r="AN2197" s="50"/>
      <c r="AO2197" s="50"/>
      <c r="AP2197" s="50"/>
      <c r="AQ2197" s="50"/>
      <c r="AR2197" s="50"/>
      <c r="AS2197" s="50"/>
      <c r="AT2197" s="51"/>
      <c r="AU2197" s="51"/>
      <c r="AV2197" s="51"/>
      <c r="AW2197" s="51"/>
      <c r="AX2197" s="50"/>
      <c r="AY2197" s="50"/>
      <c r="AZ2197" s="50"/>
      <c r="BA2197" s="50"/>
      <c r="BB2197" s="51"/>
      <c r="BC2197" s="51"/>
      <c r="BD2197" s="51"/>
      <c r="BE2197" s="51"/>
      <c r="BF2197" s="47"/>
      <c r="BG2197" s="47"/>
      <c r="BH2197" s="47"/>
      <c r="BI2197" s="47"/>
      <c r="BJ2197" s="47"/>
      <c r="BK2197" s="47"/>
      <c r="BL2197" s="47"/>
      <c r="BM2197" s="47"/>
      <c r="BN2197" s="47"/>
      <c r="BO2197" s="47"/>
      <c r="BP2197" s="47"/>
      <c r="BQ2197" s="47"/>
      <c r="BR2197" s="47"/>
      <c r="BS2197" s="47"/>
      <c r="BT2197" s="47"/>
    </row>
    <row r="2198">
      <c r="A2198" s="24"/>
      <c r="B2198" s="48"/>
      <c r="C2198" s="49"/>
      <c r="D2198" s="24"/>
      <c r="E2198" s="52"/>
      <c r="F2198" s="53"/>
      <c r="G2198" s="48"/>
      <c r="H2198" s="49"/>
      <c r="I2198" s="49"/>
      <c r="J2198" s="48"/>
      <c r="K2198" s="48"/>
      <c r="L2198" s="48"/>
      <c r="M2198" s="48"/>
      <c r="N2198" s="48"/>
      <c r="O2198" s="48"/>
      <c r="P2198" s="48"/>
      <c r="Q2198" s="48"/>
      <c r="R2198" s="48"/>
      <c r="S2198" s="48"/>
      <c r="T2198" s="48"/>
      <c r="U2198" s="48"/>
      <c r="V2198" s="48"/>
      <c r="W2198" s="49"/>
      <c r="X2198" s="49"/>
      <c r="Y2198" s="49"/>
      <c r="Z2198" s="49"/>
      <c r="AA2198" s="49"/>
      <c r="AB2198" s="49"/>
      <c r="AC2198" s="49"/>
      <c r="AD2198" s="49"/>
      <c r="AE2198" s="49"/>
      <c r="AF2198" s="49"/>
      <c r="AG2198" s="49"/>
      <c r="AH2198" s="49"/>
      <c r="AI2198" s="48"/>
      <c r="AJ2198" s="48"/>
      <c r="AK2198" s="24"/>
      <c r="AL2198" s="50"/>
      <c r="AM2198" s="50"/>
      <c r="AN2198" s="50"/>
      <c r="AO2198" s="50"/>
      <c r="AP2198" s="50"/>
      <c r="AQ2198" s="50"/>
      <c r="AR2198" s="50"/>
      <c r="AS2198" s="50"/>
      <c r="AT2198" s="51"/>
      <c r="AU2198" s="51"/>
      <c r="AV2198" s="51"/>
      <c r="AW2198" s="51"/>
      <c r="AX2198" s="50"/>
      <c r="AY2198" s="50"/>
      <c r="AZ2198" s="50"/>
      <c r="BA2198" s="50"/>
      <c r="BB2198" s="51"/>
      <c r="BC2198" s="51"/>
      <c r="BD2198" s="51"/>
      <c r="BE2198" s="51"/>
      <c r="BF2198" s="47"/>
      <c r="BG2198" s="47"/>
      <c r="BH2198" s="47"/>
      <c r="BI2198" s="47"/>
      <c r="BJ2198" s="47"/>
      <c r="BK2198" s="47"/>
      <c r="BL2198" s="47"/>
      <c r="BM2198" s="47"/>
      <c r="BN2198" s="47"/>
      <c r="BO2198" s="47"/>
      <c r="BP2198" s="47"/>
      <c r="BQ2198" s="47"/>
      <c r="BR2198" s="47"/>
      <c r="BS2198" s="47"/>
      <c r="BT2198" s="47"/>
    </row>
    <row r="2199">
      <c r="A2199" s="24"/>
      <c r="B2199" s="48"/>
      <c r="C2199" s="49"/>
      <c r="D2199" s="24"/>
      <c r="E2199" s="52"/>
      <c r="F2199" s="53"/>
      <c r="G2199" s="48"/>
      <c r="H2199" s="49"/>
      <c r="I2199" s="49"/>
      <c r="J2199" s="48"/>
      <c r="K2199" s="48"/>
      <c r="L2199" s="48"/>
      <c r="M2199" s="48"/>
      <c r="N2199" s="48"/>
      <c r="O2199" s="48"/>
      <c r="P2199" s="48"/>
      <c r="Q2199" s="48"/>
      <c r="R2199" s="48"/>
      <c r="S2199" s="48"/>
      <c r="T2199" s="48"/>
      <c r="U2199" s="48"/>
      <c r="V2199" s="48"/>
      <c r="W2199" s="49"/>
      <c r="X2199" s="49"/>
      <c r="Y2199" s="49"/>
      <c r="Z2199" s="49"/>
      <c r="AA2199" s="49"/>
      <c r="AB2199" s="49"/>
      <c r="AC2199" s="49"/>
      <c r="AD2199" s="49"/>
      <c r="AE2199" s="49"/>
      <c r="AF2199" s="49"/>
      <c r="AG2199" s="49"/>
      <c r="AH2199" s="49"/>
      <c r="AI2199" s="48"/>
      <c r="AJ2199" s="48"/>
      <c r="AK2199" s="24"/>
      <c r="AL2199" s="50"/>
      <c r="AM2199" s="50"/>
      <c r="AN2199" s="50"/>
      <c r="AO2199" s="50"/>
      <c r="AP2199" s="50"/>
      <c r="AQ2199" s="50"/>
      <c r="AR2199" s="50"/>
      <c r="AS2199" s="50"/>
      <c r="AT2199" s="51"/>
      <c r="AU2199" s="51"/>
      <c r="AV2199" s="51"/>
      <c r="AW2199" s="51"/>
      <c r="AX2199" s="50"/>
      <c r="AY2199" s="50"/>
      <c r="AZ2199" s="50"/>
      <c r="BA2199" s="50"/>
      <c r="BB2199" s="51"/>
      <c r="BC2199" s="51"/>
      <c r="BD2199" s="51"/>
      <c r="BE2199" s="51"/>
      <c r="BF2199" s="47"/>
      <c r="BG2199" s="47"/>
      <c r="BH2199" s="47"/>
      <c r="BI2199" s="47"/>
      <c r="BJ2199" s="47"/>
      <c r="BK2199" s="47"/>
      <c r="BL2199" s="47"/>
      <c r="BM2199" s="47"/>
      <c r="BN2199" s="47"/>
      <c r="BO2199" s="47"/>
      <c r="BP2199" s="47"/>
      <c r="BQ2199" s="47"/>
      <c r="BR2199" s="47"/>
      <c r="BS2199" s="47"/>
      <c r="BT2199" s="47"/>
    </row>
    <row r="2200">
      <c r="A2200" s="24"/>
      <c r="B2200" s="48"/>
      <c r="C2200" s="49"/>
      <c r="D2200" s="24"/>
      <c r="E2200" s="52"/>
      <c r="F2200" s="53"/>
      <c r="G2200" s="48"/>
      <c r="H2200" s="49"/>
      <c r="I2200" s="49"/>
      <c r="J2200" s="48"/>
      <c r="K2200" s="48"/>
      <c r="L2200" s="48"/>
      <c r="M2200" s="48"/>
      <c r="N2200" s="48"/>
      <c r="O2200" s="48"/>
      <c r="P2200" s="48"/>
      <c r="Q2200" s="48"/>
      <c r="R2200" s="48"/>
      <c r="S2200" s="48"/>
      <c r="T2200" s="48"/>
      <c r="U2200" s="48"/>
      <c r="V2200" s="48"/>
      <c r="W2200" s="49"/>
      <c r="X2200" s="49"/>
      <c r="Y2200" s="49"/>
      <c r="Z2200" s="49"/>
      <c r="AA2200" s="49"/>
      <c r="AB2200" s="49"/>
      <c r="AC2200" s="49"/>
      <c r="AD2200" s="49"/>
      <c r="AE2200" s="49"/>
      <c r="AF2200" s="49"/>
      <c r="AG2200" s="49"/>
      <c r="AH2200" s="49"/>
      <c r="AI2200" s="48"/>
      <c r="AJ2200" s="48"/>
      <c r="AK2200" s="24"/>
      <c r="AL2200" s="50"/>
      <c r="AM2200" s="50"/>
      <c r="AN2200" s="50"/>
      <c r="AO2200" s="50"/>
      <c r="AP2200" s="50"/>
      <c r="AQ2200" s="50"/>
      <c r="AR2200" s="50"/>
      <c r="AS2200" s="50"/>
      <c r="AT2200" s="51"/>
      <c r="AU2200" s="51"/>
      <c r="AV2200" s="51"/>
      <c r="AW2200" s="51"/>
      <c r="AX2200" s="50"/>
      <c r="AY2200" s="50"/>
      <c r="AZ2200" s="50"/>
      <c r="BA2200" s="50"/>
      <c r="BB2200" s="51"/>
      <c r="BC2200" s="51"/>
      <c r="BD2200" s="51"/>
      <c r="BE2200" s="51"/>
      <c r="BF2200" s="47"/>
      <c r="BG2200" s="47"/>
      <c r="BH2200" s="47"/>
      <c r="BI2200" s="47"/>
      <c r="BJ2200" s="47"/>
      <c r="BK2200" s="47"/>
      <c r="BL2200" s="47"/>
      <c r="BM2200" s="47"/>
      <c r="BN2200" s="47"/>
      <c r="BO2200" s="47"/>
      <c r="BP2200" s="47"/>
      <c r="BQ2200" s="47"/>
      <c r="BR2200" s="47"/>
      <c r="BS2200" s="47"/>
      <c r="BT2200" s="47"/>
    </row>
    <row r="2201">
      <c r="A2201" s="24"/>
      <c r="B2201" s="48"/>
      <c r="C2201" s="49"/>
      <c r="D2201" s="24"/>
      <c r="E2201" s="52"/>
      <c r="F2201" s="53"/>
      <c r="G2201" s="48"/>
      <c r="H2201" s="49"/>
      <c r="I2201" s="49"/>
      <c r="J2201" s="48"/>
      <c r="K2201" s="48"/>
      <c r="L2201" s="48"/>
      <c r="M2201" s="48"/>
      <c r="N2201" s="48"/>
      <c r="O2201" s="48"/>
      <c r="P2201" s="48"/>
      <c r="Q2201" s="48"/>
      <c r="R2201" s="48"/>
      <c r="S2201" s="48"/>
      <c r="T2201" s="48"/>
      <c r="U2201" s="48"/>
      <c r="V2201" s="48"/>
      <c r="W2201" s="49"/>
      <c r="X2201" s="49"/>
      <c r="Y2201" s="49"/>
      <c r="Z2201" s="49"/>
      <c r="AA2201" s="49"/>
      <c r="AB2201" s="49"/>
      <c r="AC2201" s="49"/>
      <c r="AD2201" s="49"/>
      <c r="AE2201" s="49"/>
      <c r="AF2201" s="49"/>
      <c r="AG2201" s="49"/>
      <c r="AH2201" s="49"/>
      <c r="AI2201" s="48"/>
      <c r="AJ2201" s="48"/>
      <c r="AK2201" s="24"/>
      <c r="AL2201" s="50"/>
      <c r="AM2201" s="50"/>
      <c r="AN2201" s="50"/>
      <c r="AO2201" s="50"/>
      <c r="AP2201" s="50"/>
      <c r="AQ2201" s="50"/>
      <c r="AR2201" s="50"/>
      <c r="AS2201" s="50"/>
      <c r="AT2201" s="51"/>
      <c r="AU2201" s="51"/>
      <c r="AV2201" s="51"/>
      <c r="AW2201" s="51"/>
      <c r="AX2201" s="50"/>
      <c r="AY2201" s="50"/>
      <c r="AZ2201" s="50"/>
      <c r="BA2201" s="50"/>
      <c r="BB2201" s="51"/>
      <c r="BC2201" s="51"/>
      <c r="BD2201" s="51"/>
      <c r="BE2201" s="51"/>
      <c r="BF2201" s="47"/>
      <c r="BG2201" s="47"/>
      <c r="BH2201" s="47"/>
      <c r="BI2201" s="47"/>
      <c r="BJ2201" s="47"/>
      <c r="BK2201" s="47"/>
      <c r="BL2201" s="47"/>
      <c r="BM2201" s="47"/>
      <c r="BN2201" s="47"/>
      <c r="BO2201" s="47"/>
      <c r="BP2201" s="47"/>
      <c r="BQ2201" s="47"/>
      <c r="BR2201" s="47"/>
      <c r="BS2201" s="47"/>
      <c r="BT2201" s="47"/>
    </row>
    <row r="2202">
      <c r="A2202" s="24"/>
      <c r="B2202" s="48"/>
      <c r="C2202" s="49"/>
      <c r="D2202" s="24"/>
      <c r="E2202" s="52"/>
      <c r="F2202" s="53"/>
      <c r="G2202" s="48"/>
      <c r="H2202" s="49"/>
      <c r="I2202" s="49"/>
      <c r="J2202" s="48"/>
      <c r="K2202" s="48"/>
      <c r="L2202" s="48"/>
      <c r="M2202" s="48"/>
      <c r="N2202" s="48"/>
      <c r="O2202" s="48"/>
      <c r="P2202" s="48"/>
      <c r="Q2202" s="48"/>
      <c r="R2202" s="48"/>
      <c r="S2202" s="48"/>
      <c r="T2202" s="48"/>
      <c r="U2202" s="48"/>
      <c r="V2202" s="48"/>
      <c r="W2202" s="49"/>
      <c r="X2202" s="49"/>
      <c r="Y2202" s="49"/>
      <c r="Z2202" s="49"/>
      <c r="AA2202" s="49"/>
      <c r="AB2202" s="49"/>
      <c r="AC2202" s="49"/>
      <c r="AD2202" s="49"/>
      <c r="AE2202" s="49"/>
      <c r="AF2202" s="49"/>
      <c r="AG2202" s="49"/>
      <c r="AH2202" s="49"/>
      <c r="AI2202" s="48"/>
      <c r="AJ2202" s="48"/>
      <c r="AK2202" s="24"/>
      <c r="AL2202" s="50"/>
      <c r="AM2202" s="50"/>
      <c r="AN2202" s="50"/>
      <c r="AO2202" s="50"/>
      <c r="AP2202" s="50"/>
      <c r="AQ2202" s="50"/>
      <c r="AR2202" s="50"/>
      <c r="AS2202" s="50"/>
      <c r="AT2202" s="51"/>
      <c r="AU2202" s="51"/>
      <c r="AV2202" s="51"/>
      <c r="AW2202" s="51"/>
      <c r="AX2202" s="50"/>
      <c r="AY2202" s="50"/>
      <c r="AZ2202" s="50"/>
      <c r="BA2202" s="50"/>
      <c r="BB2202" s="51"/>
      <c r="BC2202" s="51"/>
      <c r="BD2202" s="51"/>
      <c r="BE2202" s="51"/>
      <c r="BF2202" s="47"/>
      <c r="BG2202" s="47"/>
      <c r="BH2202" s="47"/>
      <c r="BI2202" s="47"/>
      <c r="BJ2202" s="47"/>
      <c r="BK2202" s="47"/>
      <c r="BL2202" s="47"/>
      <c r="BM2202" s="47"/>
      <c r="BN2202" s="47"/>
      <c r="BO2202" s="47"/>
      <c r="BP2202" s="47"/>
      <c r="BQ2202" s="47"/>
      <c r="BR2202" s="47"/>
      <c r="BS2202" s="47"/>
      <c r="BT2202" s="47"/>
    </row>
    <row r="2203">
      <c r="A2203" s="24"/>
      <c r="B2203" s="48"/>
      <c r="C2203" s="49"/>
      <c r="D2203" s="24"/>
      <c r="E2203" s="52"/>
      <c r="F2203" s="53"/>
      <c r="G2203" s="48"/>
      <c r="H2203" s="49"/>
      <c r="I2203" s="49"/>
      <c r="J2203" s="48"/>
      <c r="K2203" s="48"/>
      <c r="L2203" s="48"/>
      <c r="M2203" s="48"/>
      <c r="N2203" s="48"/>
      <c r="O2203" s="48"/>
      <c r="P2203" s="48"/>
      <c r="Q2203" s="48"/>
      <c r="R2203" s="48"/>
      <c r="S2203" s="48"/>
      <c r="T2203" s="48"/>
      <c r="U2203" s="48"/>
      <c r="V2203" s="48"/>
      <c r="W2203" s="49"/>
      <c r="X2203" s="49"/>
      <c r="Y2203" s="49"/>
      <c r="Z2203" s="49"/>
      <c r="AA2203" s="49"/>
      <c r="AB2203" s="49"/>
      <c r="AC2203" s="49"/>
      <c r="AD2203" s="49"/>
      <c r="AE2203" s="49"/>
      <c r="AF2203" s="49"/>
      <c r="AG2203" s="49"/>
      <c r="AH2203" s="49"/>
      <c r="AI2203" s="48"/>
      <c r="AJ2203" s="48"/>
      <c r="AK2203" s="24"/>
      <c r="AL2203" s="50"/>
      <c r="AM2203" s="50"/>
      <c r="AN2203" s="50"/>
      <c r="AO2203" s="50"/>
      <c r="AP2203" s="50"/>
      <c r="AQ2203" s="50"/>
      <c r="AR2203" s="50"/>
      <c r="AS2203" s="50"/>
      <c r="AT2203" s="51"/>
      <c r="AU2203" s="51"/>
      <c r="AV2203" s="51"/>
      <c r="AW2203" s="51"/>
      <c r="AX2203" s="50"/>
      <c r="AY2203" s="50"/>
      <c r="AZ2203" s="50"/>
      <c r="BA2203" s="50"/>
      <c r="BB2203" s="51"/>
      <c r="BC2203" s="51"/>
      <c r="BD2203" s="51"/>
      <c r="BE2203" s="51"/>
      <c r="BF2203" s="47"/>
      <c r="BG2203" s="47"/>
      <c r="BH2203" s="47"/>
      <c r="BI2203" s="47"/>
      <c r="BJ2203" s="47"/>
      <c r="BK2203" s="47"/>
      <c r="BL2203" s="47"/>
      <c r="BM2203" s="47"/>
      <c r="BN2203" s="47"/>
      <c r="BO2203" s="47"/>
      <c r="BP2203" s="47"/>
      <c r="BQ2203" s="47"/>
      <c r="BR2203" s="47"/>
      <c r="BS2203" s="47"/>
      <c r="BT2203" s="47"/>
    </row>
    <row r="2204">
      <c r="A2204" s="24"/>
      <c r="B2204" s="48"/>
      <c r="C2204" s="49"/>
      <c r="D2204" s="24"/>
      <c r="E2204" s="52"/>
      <c r="F2204" s="53"/>
      <c r="G2204" s="48"/>
      <c r="H2204" s="49"/>
      <c r="I2204" s="49"/>
      <c r="J2204" s="48"/>
      <c r="K2204" s="48"/>
      <c r="L2204" s="48"/>
      <c r="M2204" s="48"/>
      <c r="N2204" s="48"/>
      <c r="O2204" s="48"/>
      <c r="P2204" s="48"/>
      <c r="Q2204" s="48"/>
      <c r="R2204" s="48"/>
      <c r="S2204" s="48"/>
      <c r="T2204" s="48"/>
      <c r="U2204" s="48"/>
      <c r="V2204" s="48"/>
      <c r="W2204" s="49"/>
      <c r="X2204" s="49"/>
      <c r="Y2204" s="49"/>
      <c r="Z2204" s="49"/>
      <c r="AA2204" s="49"/>
      <c r="AB2204" s="49"/>
      <c r="AC2204" s="49"/>
      <c r="AD2204" s="49"/>
      <c r="AE2204" s="49"/>
      <c r="AF2204" s="49"/>
      <c r="AG2204" s="49"/>
      <c r="AH2204" s="49"/>
      <c r="AI2204" s="48"/>
      <c r="AJ2204" s="48"/>
      <c r="AK2204" s="24"/>
      <c r="AL2204" s="50"/>
      <c r="AM2204" s="50"/>
      <c r="AN2204" s="50"/>
      <c r="AO2204" s="50"/>
      <c r="AP2204" s="50"/>
      <c r="AQ2204" s="50"/>
      <c r="AR2204" s="50"/>
      <c r="AS2204" s="50"/>
      <c r="AT2204" s="51"/>
      <c r="AU2204" s="51"/>
      <c r="AV2204" s="51"/>
      <c r="AW2204" s="51"/>
      <c r="AX2204" s="50"/>
      <c r="AY2204" s="50"/>
      <c r="AZ2204" s="50"/>
      <c r="BA2204" s="50"/>
      <c r="BB2204" s="51"/>
      <c r="BC2204" s="51"/>
      <c r="BD2204" s="51"/>
      <c r="BE2204" s="51"/>
      <c r="BF2204" s="47"/>
      <c r="BG2204" s="47"/>
      <c r="BH2204" s="47"/>
      <c r="BI2204" s="47"/>
      <c r="BJ2204" s="47"/>
      <c r="BK2204" s="47"/>
      <c r="BL2204" s="47"/>
      <c r="BM2204" s="47"/>
      <c r="BN2204" s="47"/>
      <c r="BO2204" s="47"/>
      <c r="BP2204" s="47"/>
      <c r="BQ2204" s="47"/>
      <c r="BR2204" s="47"/>
      <c r="BS2204" s="47"/>
      <c r="BT2204" s="47"/>
    </row>
    <row r="2205">
      <c r="A2205" s="24"/>
      <c r="B2205" s="48"/>
      <c r="C2205" s="49"/>
      <c r="D2205" s="24"/>
      <c r="E2205" s="52"/>
      <c r="F2205" s="53"/>
      <c r="G2205" s="48"/>
      <c r="H2205" s="49"/>
      <c r="I2205" s="49"/>
      <c r="J2205" s="48"/>
      <c r="K2205" s="48"/>
      <c r="L2205" s="48"/>
      <c r="M2205" s="48"/>
      <c r="N2205" s="48"/>
      <c r="O2205" s="48"/>
      <c r="P2205" s="48"/>
      <c r="Q2205" s="48"/>
      <c r="R2205" s="48"/>
      <c r="S2205" s="48"/>
      <c r="T2205" s="48"/>
      <c r="U2205" s="48"/>
      <c r="V2205" s="48"/>
      <c r="W2205" s="49"/>
      <c r="X2205" s="49"/>
      <c r="Y2205" s="49"/>
      <c r="Z2205" s="49"/>
      <c r="AA2205" s="49"/>
      <c r="AB2205" s="49"/>
      <c r="AC2205" s="49"/>
      <c r="AD2205" s="49"/>
      <c r="AE2205" s="49"/>
      <c r="AF2205" s="49"/>
      <c r="AG2205" s="49"/>
      <c r="AH2205" s="49"/>
      <c r="AI2205" s="48"/>
      <c r="AJ2205" s="48"/>
      <c r="AK2205" s="24"/>
      <c r="AL2205" s="50"/>
      <c r="AM2205" s="50"/>
      <c r="AN2205" s="50"/>
      <c r="AO2205" s="50"/>
      <c r="AP2205" s="50"/>
      <c r="AQ2205" s="50"/>
      <c r="AR2205" s="50"/>
      <c r="AS2205" s="50"/>
      <c r="AT2205" s="51"/>
      <c r="AU2205" s="51"/>
      <c r="AV2205" s="51"/>
      <c r="AW2205" s="51"/>
      <c r="AX2205" s="50"/>
      <c r="AY2205" s="50"/>
      <c r="AZ2205" s="50"/>
      <c r="BA2205" s="50"/>
      <c r="BB2205" s="51"/>
      <c r="BC2205" s="51"/>
      <c r="BD2205" s="51"/>
      <c r="BE2205" s="51"/>
      <c r="BF2205" s="47"/>
      <c r="BG2205" s="47"/>
      <c r="BH2205" s="47"/>
      <c r="BI2205" s="47"/>
      <c r="BJ2205" s="47"/>
      <c r="BK2205" s="47"/>
      <c r="BL2205" s="47"/>
      <c r="BM2205" s="47"/>
      <c r="BN2205" s="47"/>
      <c r="BO2205" s="47"/>
      <c r="BP2205" s="47"/>
      <c r="BQ2205" s="47"/>
      <c r="BR2205" s="47"/>
      <c r="BS2205" s="47"/>
      <c r="BT2205" s="47"/>
    </row>
    <row r="2206">
      <c r="A2206" s="24"/>
      <c r="B2206" s="48"/>
      <c r="C2206" s="49"/>
      <c r="D2206" s="24"/>
      <c r="E2206" s="52"/>
      <c r="F2206" s="53"/>
      <c r="G2206" s="48"/>
      <c r="H2206" s="49"/>
      <c r="I2206" s="49"/>
      <c r="J2206" s="48"/>
      <c r="K2206" s="48"/>
      <c r="L2206" s="48"/>
      <c r="M2206" s="48"/>
      <c r="N2206" s="48"/>
      <c r="O2206" s="48"/>
      <c r="P2206" s="48"/>
      <c r="Q2206" s="48"/>
      <c r="R2206" s="48"/>
      <c r="S2206" s="48"/>
      <c r="T2206" s="48"/>
      <c r="U2206" s="48"/>
      <c r="V2206" s="48"/>
      <c r="W2206" s="49"/>
      <c r="X2206" s="49"/>
      <c r="Y2206" s="49"/>
      <c r="Z2206" s="49"/>
      <c r="AA2206" s="49"/>
      <c r="AB2206" s="49"/>
      <c r="AC2206" s="49"/>
      <c r="AD2206" s="49"/>
      <c r="AE2206" s="49"/>
      <c r="AF2206" s="49"/>
      <c r="AG2206" s="49"/>
      <c r="AH2206" s="49"/>
      <c r="AI2206" s="48"/>
      <c r="AJ2206" s="48"/>
      <c r="AK2206" s="24"/>
      <c r="AL2206" s="50"/>
      <c r="AM2206" s="50"/>
      <c r="AN2206" s="50"/>
      <c r="AO2206" s="50"/>
      <c r="AP2206" s="50"/>
      <c r="AQ2206" s="50"/>
      <c r="AR2206" s="50"/>
      <c r="AS2206" s="50"/>
      <c r="AT2206" s="51"/>
      <c r="AU2206" s="51"/>
      <c r="AV2206" s="51"/>
      <c r="AW2206" s="51"/>
      <c r="AX2206" s="50"/>
      <c r="AY2206" s="50"/>
      <c r="AZ2206" s="50"/>
      <c r="BA2206" s="50"/>
      <c r="BB2206" s="51"/>
      <c r="BC2206" s="51"/>
      <c r="BD2206" s="51"/>
      <c r="BE2206" s="51"/>
      <c r="BF2206" s="47"/>
      <c r="BG2206" s="47"/>
      <c r="BH2206" s="47"/>
      <c r="BI2206" s="47"/>
      <c r="BJ2206" s="47"/>
      <c r="BK2206" s="47"/>
      <c r="BL2206" s="47"/>
      <c r="BM2206" s="47"/>
      <c r="BN2206" s="47"/>
      <c r="BO2206" s="47"/>
      <c r="BP2206" s="47"/>
      <c r="BQ2206" s="47"/>
      <c r="BR2206" s="47"/>
      <c r="BS2206" s="47"/>
      <c r="BT2206" s="47"/>
    </row>
    <row r="2207">
      <c r="A2207" s="24"/>
      <c r="B2207" s="48"/>
      <c r="C2207" s="49"/>
      <c r="D2207" s="24"/>
      <c r="E2207" s="52"/>
      <c r="F2207" s="53"/>
      <c r="G2207" s="48"/>
      <c r="H2207" s="49"/>
      <c r="I2207" s="49"/>
      <c r="J2207" s="48"/>
      <c r="K2207" s="48"/>
      <c r="L2207" s="48"/>
      <c r="M2207" s="48"/>
      <c r="N2207" s="48"/>
      <c r="O2207" s="48"/>
      <c r="P2207" s="48"/>
      <c r="Q2207" s="48"/>
      <c r="R2207" s="48"/>
      <c r="S2207" s="48"/>
      <c r="T2207" s="48"/>
      <c r="U2207" s="48"/>
      <c r="V2207" s="48"/>
      <c r="W2207" s="49"/>
      <c r="X2207" s="49"/>
      <c r="Y2207" s="49"/>
      <c r="Z2207" s="49"/>
      <c r="AA2207" s="49"/>
      <c r="AB2207" s="49"/>
      <c r="AC2207" s="49"/>
      <c r="AD2207" s="49"/>
      <c r="AE2207" s="49"/>
      <c r="AF2207" s="49"/>
      <c r="AG2207" s="49"/>
      <c r="AH2207" s="49"/>
      <c r="AI2207" s="48"/>
      <c r="AJ2207" s="48"/>
      <c r="AK2207" s="24"/>
      <c r="AL2207" s="50"/>
      <c r="AM2207" s="50"/>
      <c r="AN2207" s="50"/>
      <c r="AO2207" s="50"/>
      <c r="AP2207" s="50"/>
      <c r="AQ2207" s="50"/>
      <c r="AR2207" s="50"/>
      <c r="AS2207" s="50"/>
      <c r="AT2207" s="51"/>
      <c r="AU2207" s="51"/>
      <c r="AV2207" s="51"/>
      <c r="AW2207" s="51"/>
      <c r="AX2207" s="50"/>
      <c r="AY2207" s="50"/>
      <c r="AZ2207" s="50"/>
      <c r="BA2207" s="50"/>
      <c r="BB2207" s="51"/>
      <c r="BC2207" s="51"/>
      <c r="BD2207" s="51"/>
      <c r="BE2207" s="51"/>
      <c r="BF2207" s="47"/>
      <c r="BG2207" s="47"/>
      <c r="BH2207" s="47"/>
      <c r="BI2207" s="47"/>
      <c r="BJ2207" s="47"/>
      <c r="BK2207" s="47"/>
      <c r="BL2207" s="47"/>
      <c r="BM2207" s="47"/>
      <c r="BN2207" s="47"/>
      <c r="BO2207" s="47"/>
      <c r="BP2207" s="47"/>
      <c r="BQ2207" s="47"/>
      <c r="BR2207" s="47"/>
      <c r="BS2207" s="47"/>
      <c r="BT2207" s="47"/>
    </row>
    <row r="2208">
      <c r="A2208" s="24"/>
      <c r="B2208" s="48"/>
      <c r="C2208" s="49"/>
      <c r="D2208" s="24"/>
      <c r="E2208" s="52"/>
      <c r="F2208" s="53"/>
      <c r="G2208" s="48"/>
      <c r="H2208" s="49"/>
      <c r="I2208" s="49"/>
      <c r="J2208" s="48"/>
      <c r="K2208" s="48"/>
      <c r="L2208" s="48"/>
      <c r="M2208" s="48"/>
      <c r="N2208" s="48"/>
      <c r="O2208" s="48"/>
      <c r="P2208" s="48"/>
      <c r="Q2208" s="48"/>
      <c r="R2208" s="48"/>
      <c r="S2208" s="48"/>
      <c r="T2208" s="48"/>
      <c r="U2208" s="48"/>
      <c r="V2208" s="48"/>
      <c r="W2208" s="49"/>
      <c r="X2208" s="49"/>
      <c r="Y2208" s="49"/>
      <c r="Z2208" s="49"/>
      <c r="AA2208" s="49"/>
      <c r="AB2208" s="49"/>
      <c r="AC2208" s="49"/>
      <c r="AD2208" s="49"/>
      <c r="AE2208" s="49"/>
      <c r="AF2208" s="49"/>
      <c r="AG2208" s="49"/>
      <c r="AH2208" s="49"/>
      <c r="AI2208" s="48"/>
      <c r="AJ2208" s="48"/>
      <c r="AK2208" s="24"/>
      <c r="AL2208" s="50"/>
      <c r="AM2208" s="50"/>
      <c r="AN2208" s="50"/>
      <c r="AO2208" s="50"/>
      <c r="AP2208" s="50"/>
      <c r="AQ2208" s="50"/>
      <c r="AR2208" s="50"/>
      <c r="AS2208" s="50"/>
      <c r="AT2208" s="51"/>
      <c r="AU2208" s="51"/>
      <c r="AV2208" s="51"/>
      <c r="AW2208" s="51"/>
      <c r="AX2208" s="50"/>
      <c r="AY2208" s="50"/>
      <c r="AZ2208" s="50"/>
      <c r="BA2208" s="50"/>
      <c r="BB2208" s="51"/>
      <c r="BC2208" s="51"/>
      <c r="BD2208" s="51"/>
      <c r="BE2208" s="51"/>
      <c r="BF2208" s="47"/>
      <c r="BG2208" s="47"/>
      <c r="BH2208" s="47"/>
      <c r="BI2208" s="47"/>
      <c r="BJ2208" s="47"/>
      <c r="BK2208" s="47"/>
      <c r="BL2208" s="47"/>
      <c r="BM2208" s="47"/>
      <c r="BN2208" s="47"/>
      <c r="BO2208" s="47"/>
      <c r="BP2208" s="47"/>
      <c r="BQ2208" s="47"/>
      <c r="BR2208" s="47"/>
      <c r="BS2208" s="47"/>
      <c r="BT2208" s="47"/>
    </row>
    <row r="2209">
      <c r="A2209" s="24"/>
      <c r="B2209" s="48"/>
      <c r="C2209" s="49"/>
      <c r="D2209" s="24"/>
      <c r="E2209" s="52"/>
      <c r="F2209" s="53"/>
      <c r="G2209" s="48"/>
      <c r="H2209" s="49"/>
      <c r="I2209" s="49"/>
      <c r="J2209" s="48"/>
      <c r="K2209" s="48"/>
      <c r="L2209" s="48"/>
      <c r="M2209" s="48"/>
      <c r="N2209" s="48"/>
      <c r="O2209" s="48"/>
      <c r="P2209" s="48"/>
      <c r="Q2209" s="48"/>
      <c r="R2209" s="48"/>
      <c r="S2209" s="48"/>
      <c r="T2209" s="48"/>
      <c r="U2209" s="48"/>
      <c r="V2209" s="48"/>
      <c r="W2209" s="49"/>
      <c r="X2209" s="49"/>
      <c r="Y2209" s="49"/>
      <c r="Z2209" s="49"/>
      <c r="AA2209" s="49"/>
      <c r="AB2209" s="49"/>
      <c r="AC2209" s="49"/>
      <c r="AD2209" s="49"/>
      <c r="AE2209" s="49"/>
      <c r="AF2209" s="49"/>
      <c r="AG2209" s="49"/>
      <c r="AH2209" s="49"/>
      <c r="AI2209" s="48"/>
      <c r="AJ2209" s="48"/>
      <c r="AK2209" s="24"/>
      <c r="AL2209" s="50"/>
      <c r="AM2209" s="50"/>
      <c r="AN2209" s="50"/>
      <c r="AO2209" s="50"/>
      <c r="AP2209" s="50"/>
      <c r="AQ2209" s="50"/>
      <c r="AR2209" s="50"/>
      <c r="AS2209" s="50"/>
      <c r="AT2209" s="51"/>
      <c r="AU2209" s="51"/>
      <c r="AV2209" s="51"/>
      <c r="AW2209" s="51"/>
      <c r="AX2209" s="50"/>
      <c r="AY2209" s="50"/>
      <c r="AZ2209" s="50"/>
      <c r="BA2209" s="50"/>
      <c r="BB2209" s="51"/>
      <c r="BC2209" s="51"/>
      <c r="BD2209" s="51"/>
      <c r="BE2209" s="51"/>
      <c r="BF2209" s="47"/>
      <c r="BG2209" s="47"/>
      <c r="BH2209" s="47"/>
      <c r="BI2209" s="47"/>
      <c r="BJ2209" s="47"/>
      <c r="BK2209" s="47"/>
      <c r="BL2209" s="47"/>
      <c r="BM2209" s="47"/>
      <c r="BN2209" s="47"/>
      <c r="BO2209" s="47"/>
      <c r="BP2209" s="47"/>
      <c r="BQ2209" s="47"/>
      <c r="BR2209" s="47"/>
      <c r="BS2209" s="47"/>
      <c r="BT2209" s="47"/>
    </row>
    <row r="2210">
      <c r="A2210" s="24"/>
      <c r="B2210" s="48"/>
      <c r="C2210" s="49"/>
      <c r="D2210" s="24"/>
      <c r="E2210" s="52"/>
      <c r="F2210" s="53"/>
      <c r="G2210" s="48"/>
      <c r="H2210" s="49"/>
      <c r="I2210" s="49"/>
      <c r="J2210" s="48"/>
      <c r="K2210" s="48"/>
      <c r="L2210" s="48"/>
      <c r="M2210" s="48"/>
      <c r="N2210" s="48"/>
      <c r="O2210" s="48"/>
      <c r="P2210" s="48"/>
      <c r="Q2210" s="48"/>
      <c r="R2210" s="48"/>
      <c r="S2210" s="48"/>
      <c r="T2210" s="48"/>
      <c r="U2210" s="48"/>
      <c r="V2210" s="48"/>
      <c r="W2210" s="49"/>
      <c r="X2210" s="49"/>
      <c r="Y2210" s="49"/>
      <c r="Z2210" s="49"/>
      <c r="AA2210" s="49"/>
      <c r="AB2210" s="49"/>
      <c r="AC2210" s="49"/>
      <c r="AD2210" s="49"/>
      <c r="AE2210" s="49"/>
      <c r="AF2210" s="49"/>
      <c r="AG2210" s="49"/>
      <c r="AH2210" s="49"/>
      <c r="AI2210" s="48"/>
      <c r="AJ2210" s="48"/>
      <c r="AK2210" s="24"/>
      <c r="AL2210" s="50"/>
      <c r="AM2210" s="50"/>
      <c r="AN2210" s="50"/>
      <c r="AO2210" s="50"/>
      <c r="AP2210" s="50"/>
      <c r="AQ2210" s="50"/>
      <c r="AR2210" s="50"/>
      <c r="AS2210" s="50"/>
      <c r="AT2210" s="51"/>
      <c r="AU2210" s="51"/>
      <c r="AV2210" s="51"/>
      <c r="AW2210" s="51"/>
      <c r="AX2210" s="50"/>
      <c r="AY2210" s="50"/>
      <c r="AZ2210" s="50"/>
      <c r="BA2210" s="50"/>
      <c r="BB2210" s="51"/>
      <c r="BC2210" s="51"/>
      <c r="BD2210" s="51"/>
      <c r="BE2210" s="51"/>
      <c r="BF2210" s="47"/>
      <c r="BG2210" s="47"/>
      <c r="BH2210" s="47"/>
      <c r="BI2210" s="47"/>
      <c r="BJ2210" s="47"/>
      <c r="BK2210" s="47"/>
      <c r="BL2210" s="47"/>
      <c r="BM2210" s="47"/>
      <c r="BN2210" s="47"/>
      <c r="BO2210" s="47"/>
      <c r="BP2210" s="47"/>
      <c r="BQ2210" s="47"/>
      <c r="BR2210" s="47"/>
      <c r="BS2210" s="47"/>
      <c r="BT2210" s="47"/>
    </row>
    <row r="2211">
      <c r="A2211" s="24"/>
      <c r="B2211" s="48"/>
      <c r="C2211" s="49"/>
      <c r="D2211" s="24"/>
      <c r="E2211" s="52"/>
      <c r="F2211" s="53"/>
      <c r="G2211" s="48"/>
      <c r="H2211" s="49"/>
      <c r="I2211" s="49"/>
      <c r="J2211" s="48"/>
      <c r="K2211" s="48"/>
      <c r="L2211" s="48"/>
      <c r="M2211" s="48"/>
      <c r="N2211" s="48"/>
      <c r="O2211" s="48"/>
      <c r="P2211" s="48"/>
      <c r="Q2211" s="48"/>
      <c r="R2211" s="48"/>
      <c r="S2211" s="48"/>
      <c r="T2211" s="48"/>
      <c r="U2211" s="48"/>
      <c r="V2211" s="48"/>
      <c r="W2211" s="49"/>
      <c r="X2211" s="49"/>
      <c r="Y2211" s="49"/>
      <c r="Z2211" s="49"/>
      <c r="AA2211" s="49"/>
      <c r="AB2211" s="49"/>
      <c r="AC2211" s="49"/>
      <c r="AD2211" s="49"/>
      <c r="AE2211" s="49"/>
      <c r="AF2211" s="49"/>
      <c r="AG2211" s="49"/>
      <c r="AH2211" s="49"/>
      <c r="AI2211" s="48"/>
      <c r="AJ2211" s="48"/>
      <c r="AK2211" s="24"/>
      <c r="AL2211" s="50"/>
      <c r="AM2211" s="50"/>
      <c r="AN2211" s="50"/>
      <c r="AO2211" s="50"/>
      <c r="AP2211" s="50"/>
      <c r="AQ2211" s="50"/>
      <c r="AR2211" s="50"/>
      <c r="AS2211" s="50"/>
      <c r="AT2211" s="51"/>
      <c r="AU2211" s="51"/>
      <c r="AV2211" s="51"/>
      <c r="AW2211" s="51"/>
      <c r="AX2211" s="50"/>
      <c r="AY2211" s="50"/>
      <c r="AZ2211" s="50"/>
      <c r="BA2211" s="50"/>
      <c r="BB2211" s="51"/>
      <c r="BC2211" s="51"/>
      <c r="BD2211" s="51"/>
      <c r="BE2211" s="51"/>
      <c r="BF2211" s="47"/>
      <c r="BG2211" s="47"/>
      <c r="BH2211" s="47"/>
      <c r="BI2211" s="47"/>
      <c r="BJ2211" s="47"/>
      <c r="BK2211" s="47"/>
      <c r="BL2211" s="47"/>
      <c r="BM2211" s="47"/>
      <c r="BN2211" s="47"/>
      <c r="BO2211" s="47"/>
      <c r="BP2211" s="47"/>
      <c r="BQ2211" s="47"/>
      <c r="BR2211" s="47"/>
      <c r="BS2211" s="47"/>
      <c r="BT2211" s="47"/>
    </row>
    <row r="2212">
      <c r="A2212" s="24"/>
      <c r="B2212" s="48"/>
      <c r="C2212" s="49"/>
      <c r="D2212" s="24"/>
      <c r="E2212" s="52"/>
      <c r="F2212" s="53"/>
      <c r="G2212" s="48"/>
      <c r="H2212" s="49"/>
      <c r="I2212" s="49"/>
      <c r="J2212" s="48"/>
      <c r="K2212" s="48"/>
      <c r="L2212" s="48"/>
      <c r="M2212" s="48"/>
      <c r="N2212" s="48"/>
      <c r="O2212" s="48"/>
      <c r="P2212" s="48"/>
      <c r="Q2212" s="48"/>
      <c r="R2212" s="48"/>
      <c r="S2212" s="48"/>
      <c r="T2212" s="48"/>
      <c r="U2212" s="48"/>
      <c r="V2212" s="48"/>
      <c r="W2212" s="49"/>
      <c r="X2212" s="49"/>
      <c r="Y2212" s="49"/>
      <c r="Z2212" s="49"/>
      <c r="AA2212" s="49"/>
      <c r="AB2212" s="49"/>
      <c r="AC2212" s="49"/>
      <c r="AD2212" s="49"/>
      <c r="AE2212" s="49"/>
      <c r="AF2212" s="49"/>
      <c r="AG2212" s="49"/>
      <c r="AH2212" s="49"/>
      <c r="AI2212" s="48"/>
      <c r="AJ2212" s="48"/>
      <c r="AK2212" s="24"/>
      <c r="AL2212" s="50"/>
      <c r="AM2212" s="50"/>
      <c r="AN2212" s="50"/>
      <c r="AO2212" s="50"/>
      <c r="AP2212" s="50"/>
      <c r="AQ2212" s="50"/>
      <c r="AR2212" s="50"/>
      <c r="AS2212" s="50"/>
      <c r="AT2212" s="51"/>
      <c r="AU2212" s="51"/>
      <c r="AV2212" s="51"/>
      <c r="AW2212" s="51"/>
      <c r="AX2212" s="50"/>
      <c r="AY2212" s="50"/>
      <c r="AZ2212" s="50"/>
      <c r="BA2212" s="50"/>
      <c r="BB2212" s="51"/>
      <c r="BC2212" s="51"/>
      <c r="BD2212" s="51"/>
      <c r="BE2212" s="51"/>
      <c r="BF2212" s="47"/>
      <c r="BG2212" s="47"/>
      <c r="BH2212" s="47"/>
      <c r="BI2212" s="47"/>
      <c r="BJ2212" s="47"/>
      <c r="BK2212" s="47"/>
      <c r="BL2212" s="47"/>
      <c r="BM2212" s="47"/>
      <c r="BN2212" s="47"/>
      <c r="BO2212" s="47"/>
      <c r="BP2212" s="47"/>
      <c r="BQ2212" s="47"/>
      <c r="BR2212" s="47"/>
      <c r="BS2212" s="47"/>
      <c r="BT2212" s="47"/>
    </row>
    <row r="2213">
      <c r="A2213" s="24"/>
      <c r="B2213" s="48"/>
      <c r="C2213" s="49"/>
      <c r="D2213" s="24"/>
      <c r="E2213" s="52"/>
      <c r="F2213" s="53"/>
      <c r="G2213" s="48"/>
      <c r="H2213" s="49"/>
      <c r="I2213" s="49"/>
      <c r="J2213" s="48"/>
      <c r="K2213" s="48"/>
      <c r="L2213" s="48"/>
      <c r="M2213" s="48"/>
      <c r="N2213" s="48"/>
      <c r="O2213" s="48"/>
      <c r="P2213" s="48"/>
      <c r="Q2213" s="48"/>
      <c r="R2213" s="48"/>
      <c r="S2213" s="48"/>
      <c r="T2213" s="48"/>
      <c r="U2213" s="48"/>
      <c r="V2213" s="48"/>
      <c r="W2213" s="49"/>
      <c r="X2213" s="49"/>
      <c r="Y2213" s="49"/>
      <c r="Z2213" s="49"/>
      <c r="AA2213" s="49"/>
      <c r="AB2213" s="49"/>
      <c r="AC2213" s="49"/>
      <c r="AD2213" s="49"/>
      <c r="AE2213" s="49"/>
      <c r="AF2213" s="49"/>
      <c r="AG2213" s="49"/>
      <c r="AH2213" s="49"/>
      <c r="AI2213" s="48"/>
      <c r="AJ2213" s="48"/>
      <c r="AK2213" s="24"/>
      <c r="AL2213" s="50"/>
      <c r="AM2213" s="50"/>
      <c r="AN2213" s="50"/>
      <c r="AO2213" s="50"/>
      <c r="AP2213" s="50"/>
      <c r="AQ2213" s="50"/>
      <c r="AR2213" s="50"/>
      <c r="AS2213" s="50"/>
      <c r="AT2213" s="51"/>
      <c r="AU2213" s="51"/>
      <c r="AV2213" s="51"/>
      <c r="AW2213" s="51"/>
      <c r="AX2213" s="50"/>
      <c r="AY2213" s="50"/>
      <c r="AZ2213" s="50"/>
      <c r="BA2213" s="50"/>
      <c r="BB2213" s="51"/>
      <c r="BC2213" s="51"/>
      <c r="BD2213" s="51"/>
      <c r="BE2213" s="51"/>
      <c r="BF2213" s="47"/>
      <c r="BG2213" s="47"/>
      <c r="BH2213" s="47"/>
      <c r="BI2213" s="47"/>
      <c r="BJ2213" s="47"/>
      <c r="BK2213" s="47"/>
      <c r="BL2213" s="47"/>
      <c r="BM2213" s="47"/>
      <c r="BN2213" s="47"/>
      <c r="BO2213" s="47"/>
      <c r="BP2213" s="47"/>
      <c r="BQ2213" s="47"/>
      <c r="BR2213" s="47"/>
      <c r="BS2213" s="47"/>
      <c r="BT2213" s="47"/>
    </row>
    <row r="2214">
      <c r="A2214" s="24"/>
      <c r="B2214" s="48"/>
      <c r="C2214" s="49"/>
      <c r="D2214" s="24"/>
      <c r="E2214" s="52"/>
      <c r="F2214" s="53"/>
      <c r="G2214" s="48"/>
      <c r="H2214" s="49"/>
      <c r="I2214" s="49"/>
      <c r="J2214" s="48"/>
      <c r="K2214" s="48"/>
      <c r="L2214" s="48"/>
      <c r="M2214" s="48"/>
      <c r="N2214" s="48"/>
      <c r="O2214" s="48"/>
      <c r="P2214" s="48"/>
      <c r="Q2214" s="48"/>
      <c r="R2214" s="48"/>
      <c r="S2214" s="48"/>
      <c r="T2214" s="48"/>
      <c r="U2214" s="48"/>
      <c r="V2214" s="48"/>
      <c r="W2214" s="49"/>
      <c r="X2214" s="49"/>
      <c r="Y2214" s="49"/>
      <c r="Z2214" s="49"/>
      <c r="AA2214" s="49"/>
      <c r="AB2214" s="49"/>
      <c r="AC2214" s="49"/>
      <c r="AD2214" s="49"/>
      <c r="AE2214" s="49"/>
      <c r="AF2214" s="49"/>
      <c r="AG2214" s="49"/>
      <c r="AH2214" s="49"/>
      <c r="AI2214" s="48"/>
      <c r="AJ2214" s="48"/>
      <c r="AK2214" s="24"/>
      <c r="AL2214" s="50"/>
      <c r="AM2214" s="50"/>
      <c r="AN2214" s="50"/>
      <c r="AO2214" s="50"/>
      <c r="AP2214" s="50"/>
      <c r="AQ2214" s="50"/>
      <c r="AR2214" s="50"/>
      <c r="AS2214" s="50"/>
      <c r="AT2214" s="51"/>
      <c r="AU2214" s="51"/>
      <c r="AV2214" s="51"/>
      <c r="AW2214" s="51"/>
      <c r="AX2214" s="50"/>
      <c r="AY2214" s="50"/>
      <c r="AZ2214" s="50"/>
      <c r="BA2214" s="50"/>
      <c r="BB2214" s="51"/>
      <c r="BC2214" s="51"/>
      <c r="BD2214" s="51"/>
      <c r="BE2214" s="51"/>
      <c r="BF2214" s="47"/>
      <c r="BG2214" s="47"/>
      <c r="BH2214" s="47"/>
      <c r="BI2214" s="47"/>
      <c r="BJ2214" s="47"/>
      <c r="BK2214" s="47"/>
      <c r="BL2214" s="47"/>
      <c r="BM2214" s="47"/>
      <c r="BN2214" s="47"/>
      <c r="BO2214" s="47"/>
      <c r="BP2214" s="47"/>
      <c r="BQ2214" s="47"/>
      <c r="BR2214" s="47"/>
      <c r="BS2214" s="47"/>
      <c r="BT2214" s="47"/>
    </row>
    <row r="2215">
      <c r="A2215" s="24"/>
      <c r="B2215" s="48"/>
      <c r="C2215" s="49"/>
      <c r="D2215" s="24"/>
      <c r="E2215" s="52"/>
      <c r="F2215" s="53"/>
      <c r="G2215" s="48"/>
      <c r="H2215" s="49"/>
      <c r="I2215" s="49"/>
      <c r="J2215" s="48"/>
      <c r="K2215" s="48"/>
      <c r="L2215" s="48"/>
      <c r="M2215" s="48"/>
      <c r="N2215" s="48"/>
      <c r="O2215" s="48"/>
      <c r="P2215" s="48"/>
      <c r="Q2215" s="48"/>
      <c r="R2215" s="48"/>
      <c r="S2215" s="48"/>
      <c r="T2215" s="48"/>
      <c r="U2215" s="48"/>
      <c r="V2215" s="48"/>
      <c r="W2215" s="49"/>
      <c r="X2215" s="49"/>
      <c r="Y2215" s="49"/>
      <c r="Z2215" s="49"/>
      <c r="AA2215" s="49"/>
      <c r="AB2215" s="49"/>
      <c r="AC2215" s="49"/>
      <c r="AD2215" s="49"/>
      <c r="AE2215" s="49"/>
      <c r="AF2215" s="49"/>
      <c r="AG2215" s="49"/>
      <c r="AH2215" s="49"/>
      <c r="AI2215" s="48"/>
      <c r="AJ2215" s="48"/>
      <c r="AK2215" s="24"/>
      <c r="AL2215" s="50"/>
      <c r="AM2215" s="50"/>
      <c r="AN2215" s="50"/>
      <c r="AO2215" s="50"/>
      <c r="AP2215" s="50"/>
      <c r="AQ2215" s="50"/>
      <c r="AR2215" s="50"/>
      <c r="AS2215" s="50"/>
      <c r="AT2215" s="51"/>
      <c r="AU2215" s="51"/>
      <c r="AV2215" s="51"/>
      <c r="AW2215" s="51"/>
      <c r="AX2215" s="50"/>
      <c r="AY2215" s="50"/>
      <c r="AZ2215" s="50"/>
      <c r="BA2215" s="50"/>
      <c r="BB2215" s="51"/>
      <c r="BC2215" s="51"/>
      <c r="BD2215" s="51"/>
      <c r="BE2215" s="51"/>
      <c r="BF2215" s="47"/>
      <c r="BG2215" s="47"/>
      <c r="BH2215" s="47"/>
      <c r="BI2215" s="47"/>
      <c r="BJ2215" s="47"/>
      <c r="BK2215" s="47"/>
      <c r="BL2215" s="47"/>
      <c r="BM2215" s="47"/>
      <c r="BN2215" s="47"/>
      <c r="BO2215" s="47"/>
      <c r="BP2215" s="47"/>
      <c r="BQ2215" s="47"/>
      <c r="BR2215" s="47"/>
      <c r="BS2215" s="47"/>
      <c r="BT2215" s="47"/>
    </row>
    <row r="2216">
      <c r="A2216" s="24"/>
      <c r="B2216" s="48"/>
      <c r="C2216" s="49"/>
      <c r="D2216" s="24"/>
      <c r="E2216" s="52"/>
      <c r="F2216" s="53"/>
      <c r="G2216" s="48"/>
      <c r="H2216" s="49"/>
      <c r="I2216" s="49"/>
      <c r="J2216" s="48"/>
      <c r="K2216" s="48"/>
      <c r="L2216" s="48"/>
      <c r="M2216" s="48"/>
      <c r="N2216" s="48"/>
      <c r="O2216" s="48"/>
      <c r="P2216" s="48"/>
      <c r="Q2216" s="48"/>
      <c r="R2216" s="48"/>
      <c r="S2216" s="48"/>
      <c r="T2216" s="48"/>
      <c r="U2216" s="48"/>
      <c r="V2216" s="48"/>
      <c r="W2216" s="49"/>
      <c r="X2216" s="49"/>
      <c r="Y2216" s="49"/>
      <c r="Z2216" s="49"/>
      <c r="AA2216" s="49"/>
      <c r="AB2216" s="49"/>
      <c r="AC2216" s="49"/>
      <c r="AD2216" s="49"/>
      <c r="AE2216" s="49"/>
      <c r="AF2216" s="49"/>
      <c r="AG2216" s="49"/>
      <c r="AH2216" s="49"/>
      <c r="AI2216" s="48"/>
      <c r="AJ2216" s="48"/>
      <c r="AK2216" s="24"/>
      <c r="AL2216" s="50"/>
      <c r="AM2216" s="50"/>
      <c r="AN2216" s="50"/>
      <c r="AO2216" s="50"/>
      <c r="AP2216" s="50"/>
      <c r="AQ2216" s="50"/>
      <c r="AR2216" s="50"/>
      <c r="AS2216" s="50"/>
      <c r="AT2216" s="51"/>
      <c r="AU2216" s="51"/>
      <c r="AV2216" s="51"/>
      <c r="AW2216" s="51"/>
      <c r="AX2216" s="50"/>
      <c r="AY2216" s="50"/>
      <c r="AZ2216" s="50"/>
      <c r="BA2216" s="50"/>
      <c r="BB2216" s="51"/>
      <c r="BC2216" s="51"/>
      <c r="BD2216" s="51"/>
      <c r="BE2216" s="51"/>
      <c r="BF2216" s="47"/>
      <c r="BG2216" s="47"/>
      <c r="BH2216" s="47"/>
      <c r="BI2216" s="47"/>
      <c r="BJ2216" s="47"/>
      <c r="BK2216" s="47"/>
      <c r="BL2216" s="47"/>
      <c r="BM2216" s="47"/>
      <c r="BN2216" s="47"/>
      <c r="BO2216" s="47"/>
      <c r="BP2216" s="47"/>
      <c r="BQ2216" s="47"/>
      <c r="BR2216" s="47"/>
      <c r="BS2216" s="47"/>
      <c r="BT2216" s="47"/>
    </row>
    <row r="2217">
      <c r="A2217" s="24"/>
      <c r="B2217" s="48"/>
      <c r="C2217" s="49"/>
      <c r="D2217" s="24"/>
      <c r="E2217" s="52"/>
      <c r="F2217" s="53"/>
      <c r="G2217" s="48"/>
      <c r="H2217" s="49"/>
      <c r="I2217" s="49"/>
      <c r="J2217" s="48"/>
      <c r="K2217" s="48"/>
      <c r="L2217" s="48"/>
      <c r="M2217" s="48"/>
      <c r="N2217" s="48"/>
      <c r="O2217" s="48"/>
      <c r="P2217" s="48"/>
      <c r="Q2217" s="48"/>
      <c r="R2217" s="48"/>
      <c r="S2217" s="48"/>
      <c r="T2217" s="48"/>
      <c r="U2217" s="48"/>
      <c r="V2217" s="48"/>
      <c r="W2217" s="49"/>
      <c r="X2217" s="49"/>
      <c r="Y2217" s="49"/>
      <c r="Z2217" s="49"/>
      <c r="AA2217" s="49"/>
      <c r="AB2217" s="49"/>
      <c r="AC2217" s="49"/>
      <c r="AD2217" s="49"/>
      <c r="AE2217" s="49"/>
      <c r="AF2217" s="49"/>
      <c r="AG2217" s="49"/>
      <c r="AH2217" s="49"/>
      <c r="AI2217" s="48"/>
      <c r="AJ2217" s="48"/>
      <c r="AK2217" s="24"/>
      <c r="AL2217" s="50"/>
      <c r="AM2217" s="50"/>
      <c r="AN2217" s="50"/>
      <c r="AO2217" s="50"/>
      <c r="AP2217" s="50"/>
      <c r="AQ2217" s="50"/>
      <c r="AR2217" s="50"/>
      <c r="AS2217" s="50"/>
      <c r="AT2217" s="51"/>
      <c r="AU2217" s="51"/>
      <c r="AV2217" s="51"/>
      <c r="AW2217" s="51"/>
      <c r="AX2217" s="50"/>
      <c r="AY2217" s="50"/>
      <c r="AZ2217" s="50"/>
      <c r="BA2217" s="50"/>
      <c r="BB2217" s="51"/>
      <c r="BC2217" s="51"/>
      <c r="BD2217" s="51"/>
      <c r="BE2217" s="51"/>
      <c r="BF2217" s="47"/>
      <c r="BG2217" s="47"/>
      <c r="BH2217" s="47"/>
      <c r="BI2217" s="47"/>
      <c r="BJ2217" s="47"/>
      <c r="BK2217" s="47"/>
      <c r="BL2217" s="47"/>
      <c r="BM2217" s="47"/>
      <c r="BN2217" s="47"/>
      <c r="BO2217" s="47"/>
      <c r="BP2217" s="47"/>
      <c r="BQ2217" s="47"/>
      <c r="BR2217" s="47"/>
      <c r="BS2217" s="47"/>
      <c r="BT2217" s="47"/>
    </row>
    <row r="2218">
      <c r="A2218" s="24"/>
      <c r="B2218" s="48"/>
      <c r="C2218" s="49"/>
      <c r="D2218" s="24"/>
      <c r="E2218" s="52"/>
      <c r="F2218" s="53"/>
      <c r="G2218" s="48"/>
      <c r="H2218" s="49"/>
      <c r="I2218" s="49"/>
      <c r="J2218" s="48"/>
      <c r="K2218" s="48"/>
      <c r="L2218" s="48"/>
      <c r="M2218" s="48"/>
      <c r="N2218" s="48"/>
      <c r="O2218" s="48"/>
      <c r="P2218" s="48"/>
      <c r="Q2218" s="48"/>
      <c r="R2218" s="48"/>
      <c r="S2218" s="48"/>
      <c r="T2218" s="48"/>
      <c r="U2218" s="48"/>
      <c r="V2218" s="48"/>
      <c r="W2218" s="49"/>
      <c r="X2218" s="49"/>
      <c r="Y2218" s="49"/>
      <c r="Z2218" s="49"/>
      <c r="AA2218" s="49"/>
      <c r="AB2218" s="49"/>
      <c r="AC2218" s="49"/>
      <c r="AD2218" s="49"/>
      <c r="AE2218" s="49"/>
      <c r="AF2218" s="49"/>
      <c r="AG2218" s="49"/>
      <c r="AH2218" s="49"/>
      <c r="AI2218" s="48"/>
      <c r="AJ2218" s="48"/>
      <c r="AK2218" s="24"/>
      <c r="AL2218" s="50"/>
      <c r="AM2218" s="50"/>
      <c r="AN2218" s="50"/>
      <c r="AO2218" s="50"/>
      <c r="AP2218" s="50"/>
      <c r="AQ2218" s="50"/>
      <c r="AR2218" s="50"/>
      <c r="AS2218" s="50"/>
      <c r="AT2218" s="51"/>
      <c r="AU2218" s="51"/>
      <c r="AV2218" s="51"/>
      <c r="AW2218" s="51"/>
      <c r="AX2218" s="50"/>
      <c r="AY2218" s="50"/>
      <c r="AZ2218" s="50"/>
      <c r="BA2218" s="50"/>
      <c r="BB2218" s="51"/>
      <c r="BC2218" s="51"/>
      <c r="BD2218" s="51"/>
      <c r="BE2218" s="51"/>
      <c r="BF2218" s="47"/>
      <c r="BG2218" s="47"/>
      <c r="BH2218" s="47"/>
      <c r="BI2218" s="47"/>
      <c r="BJ2218" s="47"/>
      <c r="BK2218" s="47"/>
      <c r="BL2218" s="47"/>
      <c r="BM2218" s="47"/>
      <c r="BN2218" s="47"/>
      <c r="BO2218" s="47"/>
      <c r="BP2218" s="47"/>
      <c r="BQ2218" s="47"/>
      <c r="BR2218" s="47"/>
      <c r="BS2218" s="47"/>
      <c r="BT2218" s="47"/>
    </row>
    <row r="2219">
      <c r="A2219" s="24"/>
      <c r="B2219" s="48"/>
      <c r="C2219" s="49"/>
      <c r="D2219" s="24"/>
      <c r="E2219" s="52"/>
      <c r="F2219" s="53"/>
      <c r="G2219" s="48"/>
      <c r="H2219" s="49"/>
      <c r="I2219" s="49"/>
      <c r="J2219" s="48"/>
      <c r="K2219" s="48"/>
      <c r="L2219" s="48"/>
      <c r="M2219" s="48"/>
      <c r="N2219" s="48"/>
      <c r="O2219" s="48"/>
      <c r="P2219" s="48"/>
      <c r="Q2219" s="48"/>
      <c r="R2219" s="48"/>
      <c r="S2219" s="48"/>
      <c r="T2219" s="48"/>
      <c r="U2219" s="48"/>
      <c r="V2219" s="48"/>
      <c r="W2219" s="49"/>
      <c r="X2219" s="49"/>
      <c r="Y2219" s="49"/>
      <c r="Z2219" s="49"/>
      <c r="AA2219" s="49"/>
      <c r="AB2219" s="49"/>
      <c r="AC2219" s="49"/>
      <c r="AD2219" s="49"/>
      <c r="AE2219" s="49"/>
      <c r="AF2219" s="49"/>
      <c r="AG2219" s="49"/>
      <c r="AH2219" s="49"/>
      <c r="AI2219" s="48"/>
      <c r="AJ2219" s="48"/>
      <c r="AK2219" s="24"/>
      <c r="AL2219" s="50"/>
      <c r="AM2219" s="50"/>
      <c r="AN2219" s="50"/>
      <c r="AO2219" s="50"/>
      <c r="AP2219" s="50"/>
      <c r="AQ2219" s="50"/>
      <c r="AR2219" s="50"/>
      <c r="AS2219" s="50"/>
      <c r="AT2219" s="51"/>
      <c r="AU2219" s="51"/>
      <c r="AV2219" s="51"/>
      <c r="AW2219" s="51"/>
      <c r="AX2219" s="50"/>
      <c r="AY2219" s="50"/>
      <c r="AZ2219" s="50"/>
      <c r="BA2219" s="50"/>
      <c r="BB2219" s="51"/>
      <c r="BC2219" s="51"/>
      <c r="BD2219" s="51"/>
      <c r="BE2219" s="51"/>
      <c r="BF2219" s="47"/>
      <c r="BG2219" s="47"/>
      <c r="BH2219" s="47"/>
      <c r="BI2219" s="47"/>
      <c r="BJ2219" s="47"/>
      <c r="BK2219" s="47"/>
      <c r="BL2219" s="47"/>
      <c r="BM2219" s="47"/>
      <c r="BN2219" s="47"/>
      <c r="BO2219" s="47"/>
      <c r="BP2219" s="47"/>
      <c r="BQ2219" s="47"/>
      <c r="BR2219" s="47"/>
      <c r="BS2219" s="47"/>
      <c r="BT2219" s="47"/>
    </row>
    <row r="2220">
      <c r="A2220" s="24"/>
      <c r="B2220" s="48"/>
      <c r="C2220" s="49"/>
      <c r="D2220" s="24"/>
      <c r="E2220" s="52"/>
      <c r="F2220" s="53"/>
      <c r="G2220" s="48"/>
      <c r="H2220" s="49"/>
      <c r="I2220" s="49"/>
      <c r="J2220" s="48"/>
      <c r="K2220" s="48"/>
      <c r="L2220" s="48"/>
      <c r="M2220" s="48"/>
      <c r="N2220" s="48"/>
      <c r="O2220" s="48"/>
      <c r="P2220" s="48"/>
      <c r="Q2220" s="48"/>
      <c r="R2220" s="48"/>
      <c r="S2220" s="48"/>
      <c r="T2220" s="48"/>
      <c r="U2220" s="48"/>
      <c r="V2220" s="48"/>
      <c r="W2220" s="49"/>
      <c r="X2220" s="49"/>
      <c r="Y2220" s="49"/>
      <c r="Z2220" s="49"/>
      <c r="AA2220" s="49"/>
      <c r="AB2220" s="49"/>
      <c r="AC2220" s="49"/>
      <c r="AD2220" s="49"/>
      <c r="AE2220" s="49"/>
      <c r="AF2220" s="49"/>
      <c r="AG2220" s="49"/>
      <c r="AH2220" s="49"/>
      <c r="AI2220" s="48"/>
      <c r="AJ2220" s="48"/>
      <c r="AK2220" s="24"/>
      <c r="AL2220" s="50"/>
      <c r="AM2220" s="50"/>
      <c r="AN2220" s="50"/>
      <c r="AO2220" s="50"/>
      <c r="AP2220" s="50"/>
      <c r="AQ2220" s="50"/>
      <c r="AR2220" s="50"/>
      <c r="AS2220" s="50"/>
      <c r="AT2220" s="51"/>
      <c r="AU2220" s="51"/>
      <c r="AV2220" s="51"/>
      <c r="AW2220" s="51"/>
      <c r="AX2220" s="50"/>
      <c r="AY2220" s="50"/>
      <c r="AZ2220" s="50"/>
      <c r="BA2220" s="50"/>
      <c r="BB2220" s="51"/>
      <c r="BC2220" s="51"/>
      <c r="BD2220" s="51"/>
      <c r="BE2220" s="51"/>
      <c r="BF2220" s="47"/>
      <c r="BG2220" s="47"/>
      <c r="BH2220" s="47"/>
      <c r="BI2220" s="47"/>
      <c r="BJ2220" s="47"/>
      <c r="BK2220" s="47"/>
      <c r="BL2220" s="47"/>
      <c r="BM2220" s="47"/>
      <c r="BN2220" s="47"/>
      <c r="BO2220" s="47"/>
      <c r="BP2220" s="47"/>
      <c r="BQ2220" s="47"/>
      <c r="BR2220" s="47"/>
      <c r="BS2220" s="47"/>
      <c r="BT2220" s="47"/>
    </row>
    <row r="2221">
      <c r="A2221" s="24"/>
      <c r="B2221" s="48"/>
      <c r="C2221" s="49"/>
      <c r="D2221" s="24"/>
      <c r="E2221" s="52"/>
      <c r="F2221" s="53"/>
      <c r="G2221" s="48"/>
      <c r="H2221" s="49"/>
      <c r="I2221" s="49"/>
      <c r="J2221" s="48"/>
      <c r="K2221" s="48"/>
      <c r="L2221" s="48"/>
      <c r="M2221" s="48"/>
      <c r="N2221" s="48"/>
      <c r="O2221" s="48"/>
      <c r="P2221" s="48"/>
      <c r="Q2221" s="48"/>
      <c r="R2221" s="48"/>
      <c r="S2221" s="48"/>
      <c r="T2221" s="48"/>
      <c r="U2221" s="48"/>
      <c r="V2221" s="48"/>
      <c r="W2221" s="49"/>
      <c r="X2221" s="49"/>
      <c r="Y2221" s="49"/>
      <c r="Z2221" s="49"/>
      <c r="AA2221" s="49"/>
      <c r="AB2221" s="49"/>
      <c r="AC2221" s="49"/>
      <c r="AD2221" s="49"/>
      <c r="AE2221" s="49"/>
      <c r="AF2221" s="49"/>
      <c r="AG2221" s="49"/>
      <c r="AH2221" s="49"/>
      <c r="AI2221" s="48"/>
      <c r="AJ2221" s="48"/>
      <c r="AK2221" s="24"/>
      <c r="AL2221" s="50"/>
      <c r="AM2221" s="50"/>
      <c r="AN2221" s="50"/>
      <c r="AO2221" s="50"/>
      <c r="AP2221" s="50"/>
      <c r="AQ2221" s="50"/>
      <c r="AR2221" s="50"/>
      <c r="AS2221" s="50"/>
      <c r="AT2221" s="51"/>
      <c r="AU2221" s="51"/>
      <c r="AV2221" s="51"/>
      <c r="AW2221" s="51"/>
      <c r="AX2221" s="50"/>
      <c r="AY2221" s="50"/>
      <c r="AZ2221" s="50"/>
      <c r="BA2221" s="50"/>
      <c r="BB2221" s="51"/>
      <c r="BC2221" s="51"/>
      <c r="BD2221" s="51"/>
      <c r="BE2221" s="51"/>
      <c r="BF2221" s="47"/>
      <c r="BG2221" s="47"/>
      <c r="BH2221" s="47"/>
      <c r="BI2221" s="47"/>
      <c r="BJ2221" s="47"/>
      <c r="BK2221" s="47"/>
      <c r="BL2221" s="47"/>
      <c r="BM2221" s="47"/>
      <c r="BN2221" s="47"/>
      <c r="BO2221" s="47"/>
      <c r="BP2221" s="47"/>
      <c r="BQ2221" s="47"/>
      <c r="BR2221" s="47"/>
      <c r="BS2221" s="47"/>
      <c r="BT2221" s="47"/>
    </row>
    <row r="2222">
      <c r="A2222" s="24"/>
      <c r="B2222" s="48"/>
      <c r="C2222" s="49"/>
      <c r="D2222" s="24"/>
      <c r="E2222" s="52"/>
      <c r="F2222" s="53"/>
      <c r="G2222" s="48"/>
      <c r="H2222" s="49"/>
      <c r="I2222" s="49"/>
      <c r="J2222" s="48"/>
      <c r="K2222" s="48"/>
      <c r="L2222" s="48"/>
      <c r="M2222" s="48"/>
      <c r="N2222" s="48"/>
      <c r="O2222" s="48"/>
      <c r="P2222" s="48"/>
      <c r="Q2222" s="48"/>
      <c r="R2222" s="48"/>
      <c r="S2222" s="48"/>
      <c r="T2222" s="48"/>
      <c r="U2222" s="48"/>
      <c r="V2222" s="48"/>
      <c r="W2222" s="49"/>
      <c r="X2222" s="49"/>
      <c r="Y2222" s="49"/>
      <c r="Z2222" s="49"/>
      <c r="AA2222" s="49"/>
      <c r="AB2222" s="49"/>
      <c r="AC2222" s="49"/>
      <c r="AD2222" s="49"/>
      <c r="AE2222" s="49"/>
      <c r="AF2222" s="49"/>
      <c r="AG2222" s="49"/>
      <c r="AH2222" s="49"/>
      <c r="AI2222" s="48"/>
      <c r="AJ2222" s="48"/>
      <c r="AK2222" s="24"/>
      <c r="AL2222" s="50"/>
      <c r="AM2222" s="50"/>
      <c r="AN2222" s="50"/>
      <c r="AO2222" s="50"/>
      <c r="AP2222" s="50"/>
      <c r="AQ2222" s="50"/>
      <c r="AR2222" s="50"/>
      <c r="AS2222" s="50"/>
      <c r="AT2222" s="51"/>
      <c r="AU2222" s="51"/>
      <c r="AV2222" s="51"/>
      <c r="AW2222" s="51"/>
      <c r="AX2222" s="50"/>
      <c r="AY2222" s="50"/>
      <c r="AZ2222" s="50"/>
      <c r="BA2222" s="50"/>
      <c r="BB2222" s="51"/>
      <c r="BC2222" s="51"/>
      <c r="BD2222" s="51"/>
      <c r="BE2222" s="51"/>
      <c r="BF2222" s="47"/>
      <c r="BG2222" s="47"/>
      <c r="BH2222" s="47"/>
      <c r="BI2222" s="47"/>
      <c r="BJ2222" s="47"/>
      <c r="BK2222" s="47"/>
      <c r="BL2222" s="47"/>
      <c r="BM2222" s="47"/>
      <c r="BN2222" s="47"/>
      <c r="BO2222" s="47"/>
      <c r="BP2222" s="47"/>
      <c r="BQ2222" s="47"/>
      <c r="BR2222" s="47"/>
      <c r="BS2222" s="47"/>
      <c r="BT2222" s="47"/>
    </row>
    <row r="2223">
      <c r="A2223" s="24"/>
      <c r="B2223" s="48"/>
      <c r="C2223" s="49"/>
      <c r="D2223" s="24"/>
      <c r="E2223" s="52"/>
      <c r="F2223" s="53"/>
      <c r="G2223" s="48"/>
      <c r="H2223" s="49"/>
      <c r="I2223" s="49"/>
      <c r="J2223" s="48"/>
      <c r="K2223" s="48"/>
      <c r="L2223" s="48"/>
      <c r="M2223" s="48"/>
      <c r="N2223" s="48"/>
      <c r="O2223" s="48"/>
      <c r="P2223" s="48"/>
      <c r="Q2223" s="48"/>
      <c r="R2223" s="48"/>
      <c r="S2223" s="48"/>
      <c r="T2223" s="48"/>
      <c r="U2223" s="48"/>
      <c r="V2223" s="48"/>
      <c r="W2223" s="49"/>
      <c r="X2223" s="49"/>
      <c r="Y2223" s="49"/>
      <c r="Z2223" s="49"/>
      <c r="AA2223" s="49"/>
      <c r="AB2223" s="49"/>
      <c r="AC2223" s="49"/>
      <c r="AD2223" s="49"/>
      <c r="AE2223" s="49"/>
      <c r="AF2223" s="49"/>
      <c r="AG2223" s="49"/>
      <c r="AH2223" s="49"/>
      <c r="AI2223" s="48"/>
      <c r="AJ2223" s="48"/>
      <c r="AK2223" s="24"/>
      <c r="AL2223" s="50"/>
      <c r="AM2223" s="50"/>
      <c r="AN2223" s="50"/>
      <c r="AO2223" s="50"/>
      <c r="AP2223" s="50"/>
      <c r="AQ2223" s="50"/>
      <c r="AR2223" s="50"/>
      <c r="AS2223" s="50"/>
      <c r="AT2223" s="51"/>
      <c r="AU2223" s="51"/>
      <c r="AV2223" s="51"/>
      <c r="AW2223" s="51"/>
      <c r="AX2223" s="50"/>
      <c r="AY2223" s="50"/>
      <c r="AZ2223" s="50"/>
      <c r="BA2223" s="50"/>
      <c r="BB2223" s="51"/>
      <c r="BC2223" s="51"/>
      <c r="BD2223" s="51"/>
      <c r="BE2223" s="51"/>
      <c r="BF2223" s="47"/>
      <c r="BG2223" s="47"/>
      <c r="BH2223" s="47"/>
      <c r="BI2223" s="47"/>
      <c r="BJ2223" s="47"/>
      <c r="BK2223" s="47"/>
      <c r="BL2223" s="47"/>
      <c r="BM2223" s="47"/>
      <c r="BN2223" s="47"/>
      <c r="BO2223" s="47"/>
      <c r="BP2223" s="47"/>
      <c r="BQ2223" s="47"/>
      <c r="BR2223" s="47"/>
      <c r="BS2223" s="47"/>
      <c r="BT2223" s="47"/>
    </row>
    <row r="2224">
      <c r="A2224" s="24"/>
      <c r="B2224" s="48"/>
      <c r="C2224" s="49"/>
      <c r="D2224" s="24"/>
      <c r="E2224" s="52"/>
      <c r="F2224" s="53"/>
      <c r="G2224" s="48"/>
      <c r="H2224" s="49"/>
      <c r="I2224" s="49"/>
      <c r="J2224" s="48"/>
      <c r="K2224" s="48"/>
      <c r="L2224" s="48"/>
      <c r="M2224" s="48"/>
      <c r="N2224" s="48"/>
      <c r="O2224" s="48"/>
      <c r="P2224" s="48"/>
      <c r="Q2224" s="48"/>
      <c r="R2224" s="48"/>
      <c r="S2224" s="48"/>
      <c r="T2224" s="48"/>
      <c r="U2224" s="48"/>
      <c r="V2224" s="48"/>
      <c r="W2224" s="49"/>
      <c r="X2224" s="49"/>
      <c r="Y2224" s="49"/>
      <c r="Z2224" s="49"/>
      <c r="AA2224" s="49"/>
      <c r="AB2224" s="49"/>
      <c r="AC2224" s="49"/>
      <c r="AD2224" s="49"/>
      <c r="AE2224" s="49"/>
      <c r="AF2224" s="49"/>
      <c r="AG2224" s="49"/>
      <c r="AH2224" s="49"/>
      <c r="AI2224" s="48"/>
      <c r="AJ2224" s="48"/>
      <c r="AK2224" s="24"/>
      <c r="AL2224" s="50"/>
      <c r="AM2224" s="50"/>
      <c r="AN2224" s="50"/>
      <c r="AO2224" s="50"/>
      <c r="AP2224" s="50"/>
      <c r="AQ2224" s="50"/>
      <c r="AR2224" s="50"/>
      <c r="AS2224" s="50"/>
      <c r="AT2224" s="51"/>
      <c r="AU2224" s="51"/>
      <c r="AV2224" s="51"/>
      <c r="AW2224" s="51"/>
      <c r="AX2224" s="50"/>
      <c r="AY2224" s="50"/>
      <c r="AZ2224" s="50"/>
      <c r="BA2224" s="50"/>
      <c r="BB2224" s="51"/>
      <c r="BC2224" s="51"/>
      <c r="BD2224" s="51"/>
      <c r="BE2224" s="51"/>
      <c r="BF2224" s="47"/>
      <c r="BG2224" s="47"/>
      <c r="BH2224" s="47"/>
      <c r="BI2224" s="47"/>
      <c r="BJ2224" s="47"/>
      <c r="BK2224" s="47"/>
      <c r="BL2224" s="47"/>
      <c r="BM2224" s="47"/>
      <c r="BN2224" s="47"/>
      <c r="BO2224" s="47"/>
      <c r="BP2224" s="47"/>
      <c r="BQ2224" s="47"/>
      <c r="BR2224" s="47"/>
      <c r="BS2224" s="47"/>
      <c r="BT2224" s="47"/>
    </row>
    <row r="2225">
      <c r="A2225" s="24"/>
      <c r="B2225" s="48"/>
      <c r="C2225" s="49"/>
      <c r="D2225" s="24"/>
      <c r="E2225" s="52"/>
      <c r="F2225" s="53"/>
      <c r="G2225" s="48"/>
      <c r="H2225" s="49"/>
      <c r="I2225" s="49"/>
      <c r="J2225" s="48"/>
      <c r="K2225" s="48"/>
      <c r="L2225" s="48"/>
      <c r="M2225" s="48"/>
      <c r="N2225" s="48"/>
      <c r="O2225" s="48"/>
      <c r="P2225" s="48"/>
      <c r="Q2225" s="48"/>
      <c r="R2225" s="48"/>
      <c r="S2225" s="48"/>
      <c r="T2225" s="48"/>
      <c r="U2225" s="48"/>
      <c r="V2225" s="48"/>
      <c r="W2225" s="49"/>
      <c r="X2225" s="49"/>
      <c r="Y2225" s="49"/>
      <c r="Z2225" s="49"/>
      <c r="AA2225" s="49"/>
      <c r="AB2225" s="49"/>
      <c r="AC2225" s="49"/>
      <c r="AD2225" s="49"/>
      <c r="AE2225" s="49"/>
      <c r="AF2225" s="49"/>
      <c r="AG2225" s="49"/>
      <c r="AH2225" s="49"/>
      <c r="AI2225" s="48"/>
      <c r="AJ2225" s="48"/>
      <c r="AK2225" s="24"/>
      <c r="AL2225" s="50"/>
      <c r="AM2225" s="50"/>
      <c r="AN2225" s="50"/>
      <c r="AO2225" s="50"/>
      <c r="AP2225" s="50"/>
      <c r="AQ2225" s="50"/>
      <c r="AR2225" s="50"/>
      <c r="AS2225" s="50"/>
      <c r="AT2225" s="51"/>
      <c r="AU2225" s="51"/>
      <c r="AV2225" s="51"/>
      <c r="AW2225" s="51"/>
      <c r="AX2225" s="50"/>
      <c r="AY2225" s="50"/>
      <c r="AZ2225" s="50"/>
      <c r="BA2225" s="50"/>
      <c r="BB2225" s="51"/>
      <c r="BC2225" s="51"/>
      <c r="BD2225" s="51"/>
      <c r="BE2225" s="51"/>
      <c r="BF2225" s="47"/>
      <c r="BG2225" s="47"/>
      <c r="BH2225" s="47"/>
      <c r="BI2225" s="47"/>
      <c r="BJ2225" s="47"/>
      <c r="BK2225" s="47"/>
      <c r="BL2225" s="47"/>
      <c r="BM2225" s="47"/>
      <c r="BN2225" s="47"/>
      <c r="BO2225" s="47"/>
      <c r="BP2225" s="47"/>
      <c r="BQ2225" s="47"/>
      <c r="BR2225" s="47"/>
      <c r="BS2225" s="47"/>
      <c r="BT2225" s="47"/>
    </row>
    <row r="2226">
      <c r="A2226" s="24"/>
      <c r="B2226" s="48"/>
      <c r="C2226" s="49"/>
      <c r="D2226" s="24"/>
      <c r="E2226" s="52"/>
      <c r="F2226" s="53"/>
      <c r="G2226" s="48"/>
      <c r="H2226" s="49"/>
      <c r="I2226" s="49"/>
      <c r="J2226" s="48"/>
      <c r="K2226" s="48"/>
      <c r="L2226" s="48"/>
      <c r="M2226" s="48"/>
      <c r="N2226" s="48"/>
      <c r="O2226" s="48"/>
      <c r="P2226" s="48"/>
      <c r="Q2226" s="48"/>
      <c r="R2226" s="48"/>
      <c r="S2226" s="48"/>
      <c r="T2226" s="48"/>
      <c r="U2226" s="48"/>
      <c r="V2226" s="48"/>
      <c r="W2226" s="49"/>
      <c r="X2226" s="49"/>
      <c r="Y2226" s="49"/>
      <c r="Z2226" s="49"/>
      <c r="AA2226" s="49"/>
      <c r="AB2226" s="49"/>
      <c r="AC2226" s="49"/>
      <c r="AD2226" s="49"/>
      <c r="AE2226" s="49"/>
      <c r="AF2226" s="49"/>
      <c r="AG2226" s="49"/>
      <c r="AH2226" s="49"/>
      <c r="AI2226" s="48"/>
      <c r="AJ2226" s="48"/>
      <c r="AK2226" s="24"/>
      <c r="AL2226" s="50"/>
      <c r="AM2226" s="50"/>
      <c r="AN2226" s="50"/>
      <c r="AO2226" s="50"/>
      <c r="AP2226" s="50"/>
      <c r="AQ2226" s="50"/>
      <c r="AR2226" s="50"/>
      <c r="AS2226" s="50"/>
      <c r="AT2226" s="51"/>
      <c r="AU2226" s="51"/>
      <c r="AV2226" s="51"/>
      <c r="AW2226" s="51"/>
      <c r="AX2226" s="50"/>
      <c r="AY2226" s="50"/>
      <c r="AZ2226" s="50"/>
      <c r="BA2226" s="50"/>
      <c r="BB2226" s="51"/>
      <c r="BC2226" s="51"/>
      <c r="BD2226" s="51"/>
      <c r="BE2226" s="51"/>
      <c r="BF2226" s="47"/>
      <c r="BG2226" s="47"/>
      <c r="BH2226" s="47"/>
      <c r="BI2226" s="47"/>
      <c r="BJ2226" s="47"/>
      <c r="BK2226" s="47"/>
      <c r="BL2226" s="47"/>
      <c r="BM2226" s="47"/>
      <c r="BN2226" s="47"/>
      <c r="BO2226" s="47"/>
      <c r="BP2226" s="47"/>
      <c r="BQ2226" s="47"/>
      <c r="BR2226" s="47"/>
      <c r="BS2226" s="47"/>
      <c r="BT2226" s="47"/>
    </row>
    <row r="2227">
      <c r="A2227" s="24"/>
      <c r="B2227" s="48"/>
      <c r="C2227" s="49"/>
      <c r="D2227" s="24"/>
      <c r="E2227" s="52"/>
      <c r="F2227" s="53"/>
      <c r="G2227" s="48"/>
      <c r="H2227" s="49"/>
      <c r="I2227" s="49"/>
      <c r="J2227" s="48"/>
      <c r="K2227" s="48"/>
      <c r="L2227" s="48"/>
      <c r="M2227" s="48"/>
      <c r="N2227" s="48"/>
      <c r="O2227" s="48"/>
      <c r="P2227" s="48"/>
      <c r="Q2227" s="48"/>
      <c r="R2227" s="48"/>
      <c r="S2227" s="48"/>
      <c r="T2227" s="48"/>
      <c r="U2227" s="48"/>
      <c r="V2227" s="48"/>
      <c r="W2227" s="49"/>
      <c r="X2227" s="49"/>
      <c r="Y2227" s="49"/>
      <c r="Z2227" s="49"/>
      <c r="AA2227" s="49"/>
      <c r="AB2227" s="49"/>
      <c r="AC2227" s="49"/>
      <c r="AD2227" s="49"/>
      <c r="AE2227" s="49"/>
      <c r="AF2227" s="49"/>
      <c r="AG2227" s="49"/>
      <c r="AH2227" s="49"/>
      <c r="AI2227" s="48"/>
      <c r="AJ2227" s="48"/>
      <c r="AK2227" s="24"/>
      <c r="AL2227" s="50"/>
      <c r="AM2227" s="50"/>
      <c r="AN2227" s="50"/>
      <c r="AO2227" s="50"/>
      <c r="AP2227" s="50"/>
      <c r="AQ2227" s="50"/>
      <c r="AR2227" s="50"/>
      <c r="AS2227" s="50"/>
      <c r="AT2227" s="51"/>
      <c r="AU2227" s="51"/>
      <c r="AV2227" s="51"/>
      <c r="AW2227" s="51"/>
      <c r="AX2227" s="50"/>
      <c r="AY2227" s="50"/>
      <c r="AZ2227" s="50"/>
      <c r="BA2227" s="50"/>
      <c r="BB2227" s="51"/>
      <c r="BC2227" s="51"/>
      <c r="BD2227" s="51"/>
      <c r="BE2227" s="51"/>
      <c r="BF2227" s="47"/>
      <c r="BG2227" s="47"/>
      <c r="BH2227" s="47"/>
      <c r="BI2227" s="47"/>
      <c r="BJ2227" s="47"/>
      <c r="BK2227" s="47"/>
      <c r="BL2227" s="47"/>
      <c r="BM2227" s="47"/>
      <c r="BN2227" s="47"/>
      <c r="BO2227" s="47"/>
      <c r="BP2227" s="47"/>
      <c r="BQ2227" s="47"/>
      <c r="BR2227" s="47"/>
      <c r="BS2227" s="47"/>
      <c r="BT2227" s="47"/>
    </row>
    <row r="2228">
      <c r="A2228" s="24"/>
      <c r="B2228" s="48"/>
      <c r="C2228" s="49"/>
      <c r="D2228" s="24"/>
      <c r="E2228" s="52"/>
      <c r="F2228" s="53"/>
      <c r="G2228" s="48"/>
      <c r="H2228" s="49"/>
      <c r="I2228" s="49"/>
      <c r="J2228" s="48"/>
      <c r="K2228" s="48"/>
      <c r="L2228" s="48"/>
      <c r="M2228" s="48"/>
      <c r="N2228" s="48"/>
      <c r="O2228" s="48"/>
      <c r="P2228" s="48"/>
      <c r="Q2228" s="48"/>
      <c r="R2228" s="48"/>
      <c r="S2228" s="48"/>
      <c r="T2228" s="48"/>
      <c r="U2228" s="48"/>
      <c r="V2228" s="48"/>
      <c r="W2228" s="49"/>
      <c r="X2228" s="49"/>
      <c r="Y2228" s="49"/>
      <c r="Z2228" s="49"/>
      <c r="AA2228" s="49"/>
      <c r="AB2228" s="49"/>
      <c r="AC2228" s="49"/>
      <c r="AD2228" s="49"/>
      <c r="AE2228" s="49"/>
      <c r="AF2228" s="49"/>
      <c r="AG2228" s="49"/>
      <c r="AH2228" s="49"/>
      <c r="AI2228" s="48"/>
      <c r="AJ2228" s="48"/>
      <c r="AK2228" s="24"/>
      <c r="AL2228" s="50"/>
      <c r="AM2228" s="50"/>
      <c r="AN2228" s="50"/>
      <c r="AO2228" s="50"/>
      <c r="AP2228" s="50"/>
      <c r="AQ2228" s="50"/>
      <c r="AR2228" s="50"/>
      <c r="AS2228" s="50"/>
      <c r="AT2228" s="51"/>
      <c r="AU2228" s="51"/>
      <c r="AV2228" s="51"/>
      <c r="AW2228" s="51"/>
      <c r="AX2228" s="50"/>
      <c r="AY2228" s="50"/>
      <c r="AZ2228" s="50"/>
      <c r="BA2228" s="50"/>
      <c r="BB2228" s="51"/>
      <c r="BC2228" s="51"/>
      <c r="BD2228" s="51"/>
      <c r="BE2228" s="51"/>
      <c r="BF2228" s="47"/>
      <c r="BG2228" s="47"/>
      <c r="BH2228" s="47"/>
      <c r="BI2228" s="47"/>
      <c r="BJ2228" s="47"/>
      <c r="BK2228" s="47"/>
      <c r="BL2228" s="47"/>
      <c r="BM2228" s="47"/>
      <c r="BN2228" s="47"/>
      <c r="BO2228" s="47"/>
      <c r="BP2228" s="47"/>
      <c r="BQ2228" s="47"/>
      <c r="BR2228" s="47"/>
      <c r="BS2228" s="47"/>
      <c r="BT2228" s="47"/>
    </row>
    <row r="2229">
      <c r="A2229" s="24"/>
      <c r="B2229" s="48"/>
      <c r="C2229" s="49"/>
      <c r="D2229" s="24"/>
      <c r="E2229" s="52"/>
      <c r="F2229" s="53"/>
      <c r="G2229" s="48"/>
      <c r="H2229" s="49"/>
      <c r="I2229" s="49"/>
      <c r="J2229" s="48"/>
      <c r="K2229" s="48"/>
      <c r="L2229" s="48"/>
      <c r="M2229" s="48"/>
      <c r="N2229" s="48"/>
      <c r="O2229" s="48"/>
      <c r="P2229" s="48"/>
      <c r="Q2229" s="48"/>
      <c r="R2229" s="48"/>
      <c r="S2229" s="48"/>
      <c r="T2229" s="48"/>
      <c r="U2229" s="48"/>
      <c r="V2229" s="48"/>
      <c r="W2229" s="49"/>
      <c r="X2229" s="49"/>
      <c r="Y2229" s="49"/>
      <c r="Z2229" s="49"/>
      <c r="AA2229" s="49"/>
      <c r="AB2229" s="49"/>
      <c r="AC2229" s="49"/>
      <c r="AD2229" s="49"/>
      <c r="AE2229" s="49"/>
      <c r="AF2229" s="49"/>
      <c r="AG2229" s="49"/>
      <c r="AH2229" s="49"/>
      <c r="AI2229" s="48"/>
      <c r="AJ2229" s="48"/>
      <c r="AK2229" s="24"/>
      <c r="AL2229" s="50"/>
      <c r="AM2229" s="50"/>
      <c r="AN2229" s="50"/>
      <c r="AO2229" s="50"/>
      <c r="AP2229" s="50"/>
      <c r="AQ2229" s="50"/>
      <c r="AR2229" s="50"/>
      <c r="AS2229" s="50"/>
      <c r="AT2229" s="51"/>
      <c r="AU2229" s="51"/>
      <c r="AV2229" s="51"/>
      <c r="AW2229" s="51"/>
      <c r="AX2229" s="50"/>
      <c r="AY2229" s="50"/>
      <c r="AZ2229" s="50"/>
      <c r="BA2229" s="50"/>
      <c r="BB2229" s="51"/>
      <c r="BC2229" s="51"/>
      <c r="BD2229" s="51"/>
      <c r="BE2229" s="51"/>
      <c r="BF2229" s="47"/>
      <c r="BG2229" s="47"/>
      <c r="BH2229" s="47"/>
      <c r="BI2229" s="47"/>
      <c r="BJ2229" s="47"/>
      <c r="BK2229" s="47"/>
      <c r="BL2229" s="47"/>
      <c r="BM2229" s="47"/>
      <c r="BN2229" s="47"/>
      <c r="BO2229" s="47"/>
      <c r="BP2229" s="47"/>
      <c r="BQ2229" s="47"/>
      <c r="BR2229" s="47"/>
      <c r="BS2229" s="47"/>
      <c r="BT2229" s="47"/>
    </row>
    <row r="2230">
      <c r="A2230" s="24"/>
      <c r="B2230" s="48"/>
      <c r="C2230" s="49"/>
      <c r="D2230" s="24"/>
      <c r="E2230" s="52"/>
      <c r="F2230" s="53"/>
      <c r="G2230" s="48"/>
      <c r="H2230" s="49"/>
      <c r="I2230" s="49"/>
      <c r="J2230" s="48"/>
      <c r="K2230" s="48"/>
      <c r="L2230" s="48"/>
      <c r="M2230" s="48"/>
      <c r="N2230" s="48"/>
      <c r="O2230" s="48"/>
      <c r="P2230" s="48"/>
      <c r="Q2230" s="48"/>
      <c r="R2230" s="48"/>
      <c r="S2230" s="48"/>
      <c r="T2230" s="48"/>
      <c r="U2230" s="48"/>
      <c r="V2230" s="48"/>
      <c r="W2230" s="49"/>
      <c r="X2230" s="49"/>
      <c r="Y2230" s="49"/>
      <c r="Z2230" s="49"/>
      <c r="AA2230" s="49"/>
      <c r="AB2230" s="49"/>
      <c r="AC2230" s="49"/>
      <c r="AD2230" s="49"/>
      <c r="AE2230" s="49"/>
      <c r="AF2230" s="49"/>
      <c r="AG2230" s="49"/>
      <c r="AH2230" s="49"/>
      <c r="AI2230" s="48"/>
      <c r="AJ2230" s="48"/>
      <c r="AK2230" s="24"/>
      <c r="AL2230" s="50"/>
      <c r="AM2230" s="50"/>
      <c r="AN2230" s="50"/>
      <c r="AO2230" s="50"/>
      <c r="AP2230" s="50"/>
      <c r="AQ2230" s="50"/>
      <c r="AR2230" s="50"/>
      <c r="AS2230" s="50"/>
      <c r="AT2230" s="51"/>
      <c r="AU2230" s="51"/>
      <c r="AV2230" s="51"/>
      <c r="AW2230" s="51"/>
      <c r="AX2230" s="50"/>
      <c r="AY2230" s="50"/>
      <c r="AZ2230" s="50"/>
      <c r="BA2230" s="50"/>
      <c r="BB2230" s="51"/>
      <c r="BC2230" s="51"/>
      <c r="BD2230" s="51"/>
      <c r="BE2230" s="51"/>
      <c r="BF2230" s="47"/>
      <c r="BG2230" s="47"/>
      <c r="BH2230" s="47"/>
      <c r="BI2230" s="47"/>
      <c r="BJ2230" s="47"/>
      <c r="BK2230" s="47"/>
      <c r="BL2230" s="47"/>
      <c r="BM2230" s="47"/>
      <c r="BN2230" s="47"/>
      <c r="BO2230" s="47"/>
      <c r="BP2230" s="47"/>
      <c r="BQ2230" s="47"/>
      <c r="BR2230" s="47"/>
      <c r="BS2230" s="47"/>
      <c r="BT2230" s="47"/>
    </row>
    <row r="2231">
      <c r="A2231" s="24"/>
      <c r="B2231" s="48"/>
      <c r="C2231" s="49"/>
      <c r="D2231" s="24"/>
      <c r="E2231" s="52"/>
      <c r="F2231" s="53"/>
      <c r="G2231" s="48"/>
      <c r="H2231" s="49"/>
      <c r="I2231" s="49"/>
      <c r="J2231" s="48"/>
      <c r="K2231" s="48"/>
      <c r="L2231" s="48"/>
      <c r="M2231" s="48"/>
      <c r="N2231" s="48"/>
      <c r="O2231" s="48"/>
      <c r="P2231" s="48"/>
      <c r="Q2231" s="48"/>
      <c r="R2231" s="48"/>
      <c r="S2231" s="48"/>
      <c r="T2231" s="48"/>
      <c r="U2231" s="48"/>
      <c r="V2231" s="48"/>
      <c r="W2231" s="49"/>
      <c r="X2231" s="49"/>
      <c r="Y2231" s="49"/>
      <c r="Z2231" s="49"/>
      <c r="AA2231" s="49"/>
      <c r="AB2231" s="49"/>
      <c r="AC2231" s="49"/>
      <c r="AD2231" s="49"/>
      <c r="AE2231" s="49"/>
      <c r="AF2231" s="49"/>
      <c r="AG2231" s="49"/>
      <c r="AH2231" s="49"/>
      <c r="AI2231" s="48"/>
      <c r="AJ2231" s="48"/>
      <c r="AK2231" s="24"/>
      <c r="AL2231" s="50"/>
      <c r="AM2231" s="50"/>
      <c r="AN2231" s="50"/>
      <c r="AO2231" s="50"/>
      <c r="AP2231" s="50"/>
      <c r="AQ2231" s="50"/>
      <c r="AR2231" s="50"/>
      <c r="AS2231" s="50"/>
      <c r="AT2231" s="51"/>
      <c r="AU2231" s="51"/>
      <c r="AV2231" s="51"/>
      <c r="AW2231" s="51"/>
      <c r="AX2231" s="50"/>
      <c r="AY2231" s="50"/>
      <c r="AZ2231" s="50"/>
      <c r="BA2231" s="50"/>
      <c r="BB2231" s="51"/>
      <c r="BC2231" s="51"/>
      <c r="BD2231" s="51"/>
      <c r="BE2231" s="51"/>
      <c r="BF2231" s="47"/>
      <c r="BG2231" s="47"/>
      <c r="BH2231" s="47"/>
      <c r="BI2231" s="47"/>
      <c r="BJ2231" s="47"/>
      <c r="BK2231" s="47"/>
      <c r="BL2231" s="47"/>
      <c r="BM2231" s="47"/>
      <c r="BN2231" s="47"/>
      <c r="BO2231" s="47"/>
      <c r="BP2231" s="47"/>
      <c r="BQ2231" s="47"/>
      <c r="BR2231" s="47"/>
      <c r="BS2231" s="47"/>
      <c r="BT2231" s="47"/>
    </row>
    <row r="2232">
      <c r="A2232" s="24"/>
      <c r="B2232" s="48"/>
      <c r="C2232" s="49"/>
      <c r="D2232" s="24"/>
      <c r="E2232" s="52"/>
      <c r="F2232" s="53"/>
      <c r="G2232" s="48"/>
      <c r="H2232" s="49"/>
      <c r="I2232" s="49"/>
      <c r="J2232" s="48"/>
      <c r="K2232" s="48"/>
      <c r="L2232" s="48"/>
      <c r="M2232" s="48"/>
      <c r="N2232" s="48"/>
      <c r="O2232" s="48"/>
      <c r="P2232" s="48"/>
      <c r="Q2232" s="48"/>
      <c r="R2232" s="48"/>
      <c r="S2232" s="48"/>
      <c r="T2232" s="48"/>
      <c r="U2232" s="48"/>
      <c r="V2232" s="48"/>
      <c r="W2232" s="49"/>
      <c r="X2232" s="49"/>
      <c r="Y2232" s="49"/>
      <c r="Z2232" s="49"/>
      <c r="AA2232" s="49"/>
      <c r="AB2232" s="49"/>
      <c r="AC2232" s="49"/>
      <c r="AD2232" s="49"/>
      <c r="AE2232" s="49"/>
      <c r="AF2232" s="49"/>
      <c r="AG2232" s="49"/>
      <c r="AH2232" s="49"/>
      <c r="AI2232" s="48"/>
      <c r="AJ2232" s="48"/>
      <c r="AK2232" s="24"/>
      <c r="AL2232" s="50"/>
      <c r="AM2232" s="50"/>
      <c r="AN2232" s="50"/>
      <c r="AO2232" s="50"/>
      <c r="AP2232" s="50"/>
      <c r="AQ2232" s="50"/>
      <c r="AR2232" s="50"/>
      <c r="AS2232" s="50"/>
      <c r="AT2232" s="51"/>
      <c r="AU2232" s="51"/>
      <c r="AV2232" s="51"/>
      <c r="AW2232" s="51"/>
      <c r="AX2232" s="50"/>
      <c r="AY2232" s="50"/>
      <c r="AZ2232" s="50"/>
      <c r="BA2232" s="50"/>
      <c r="BB2232" s="51"/>
      <c r="BC2232" s="51"/>
      <c r="BD2232" s="51"/>
      <c r="BE2232" s="51"/>
      <c r="BF2232" s="47"/>
      <c r="BG2232" s="47"/>
      <c r="BH2232" s="47"/>
      <c r="BI2232" s="47"/>
      <c r="BJ2232" s="47"/>
      <c r="BK2232" s="47"/>
      <c r="BL2232" s="47"/>
      <c r="BM2232" s="47"/>
      <c r="BN2232" s="47"/>
      <c r="BO2232" s="47"/>
      <c r="BP2232" s="47"/>
      <c r="BQ2232" s="47"/>
      <c r="BR2232" s="47"/>
      <c r="BS2232" s="47"/>
      <c r="BT2232" s="47"/>
    </row>
    <row r="2233">
      <c r="A2233" s="24"/>
      <c r="B2233" s="48"/>
      <c r="C2233" s="49"/>
      <c r="D2233" s="24"/>
      <c r="E2233" s="52"/>
      <c r="F2233" s="53"/>
      <c r="G2233" s="48"/>
      <c r="H2233" s="49"/>
      <c r="I2233" s="49"/>
      <c r="J2233" s="48"/>
      <c r="K2233" s="48"/>
      <c r="L2233" s="48"/>
      <c r="M2233" s="48"/>
      <c r="N2233" s="48"/>
      <c r="O2233" s="48"/>
      <c r="P2233" s="48"/>
      <c r="Q2233" s="48"/>
      <c r="R2233" s="48"/>
      <c r="S2233" s="48"/>
      <c r="T2233" s="48"/>
      <c r="U2233" s="48"/>
      <c r="V2233" s="48"/>
      <c r="W2233" s="49"/>
      <c r="X2233" s="49"/>
      <c r="Y2233" s="49"/>
      <c r="Z2233" s="49"/>
      <c r="AA2233" s="49"/>
      <c r="AB2233" s="49"/>
      <c r="AC2233" s="49"/>
      <c r="AD2233" s="49"/>
      <c r="AE2233" s="49"/>
      <c r="AF2233" s="49"/>
      <c r="AG2233" s="49"/>
      <c r="AH2233" s="49"/>
      <c r="AI2233" s="48"/>
      <c r="AJ2233" s="48"/>
      <c r="AK2233" s="24"/>
      <c r="AL2233" s="50"/>
      <c r="AM2233" s="50"/>
      <c r="AN2233" s="50"/>
      <c r="AO2233" s="50"/>
      <c r="AP2233" s="50"/>
      <c r="AQ2233" s="50"/>
      <c r="AR2233" s="50"/>
      <c r="AS2233" s="50"/>
      <c r="AT2233" s="51"/>
      <c r="AU2233" s="51"/>
      <c r="AV2233" s="51"/>
      <c r="AW2233" s="51"/>
      <c r="AX2233" s="50"/>
      <c r="AY2233" s="50"/>
      <c r="AZ2233" s="50"/>
      <c r="BA2233" s="50"/>
      <c r="BB2233" s="51"/>
      <c r="BC2233" s="51"/>
      <c r="BD2233" s="51"/>
      <c r="BE2233" s="51"/>
      <c r="BF2233" s="47"/>
      <c r="BG2233" s="47"/>
      <c r="BH2233" s="47"/>
      <c r="BI2233" s="47"/>
      <c r="BJ2233" s="47"/>
      <c r="BK2233" s="47"/>
      <c r="BL2233" s="47"/>
      <c r="BM2233" s="47"/>
      <c r="BN2233" s="47"/>
      <c r="BO2233" s="47"/>
      <c r="BP2233" s="47"/>
      <c r="BQ2233" s="47"/>
      <c r="BR2233" s="47"/>
      <c r="BS2233" s="47"/>
      <c r="BT2233" s="47"/>
    </row>
    <row r="2234">
      <c r="A2234" s="24"/>
      <c r="B2234" s="48"/>
      <c r="C2234" s="49"/>
      <c r="D2234" s="24"/>
      <c r="E2234" s="52"/>
      <c r="F2234" s="53"/>
      <c r="G2234" s="48"/>
      <c r="H2234" s="49"/>
      <c r="I2234" s="49"/>
      <c r="J2234" s="48"/>
      <c r="K2234" s="48"/>
      <c r="L2234" s="48"/>
      <c r="M2234" s="48"/>
      <c r="N2234" s="48"/>
      <c r="O2234" s="48"/>
      <c r="P2234" s="48"/>
      <c r="Q2234" s="48"/>
      <c r="R2234" s="48"/>
      <c r="S2234" s="48"/>
      <c r="T2234" s="48"/>
      <c r="U2234" s="48"/>
      <c r="V2234" s="48"/>
      <c r="W2234" s="49"/>
      <c r="X2234" s="49"/>
      <c r="Y2234" s="49"/>
      <c r="Z2234" s="49"/>
      <c r="AA2234" s="49"/>
      <c r="AB2234" s="49"/>
      <c r="AC2234" s="49"/>
      <c r="AD2234" s="49"/>
      <c r="AE2234" s="49"/>
      <c r="AF2234" s="49"/>
      <c r="AG2234" s="49"/>
      <c r="AH2234" s="49"/>
      <c r="AI2234" s="48"/>
      <c r="AJ2234" s="48"/>
      <c r="AK2234" s="24"/>
      <c r="AL2234" s="50"/>
      <c r="AM2234" s="50"/>
      <c r="AN2234" s="50"/>
      <c r="AO2234" s="50"/>
      <c r="AP2234" s="50"/>
      <c r="AQ2234" s="50"/>
      <c r="AR2234" s="50"/>
      <c r="AS2234" s="50"/>
      <c r="AT2234" s="51"/>
      <c r="AU2234" s="51"/>
      <c r="AV2234" s="51"/>
      <c r="AW2234" s="51"/>
      <c r="AX2234" s="50"/>
      <c r="AY2234" s="50"/>
      <c r="AZ2234" s="50"/>
      <c r="BA2234" s="50"/>
      <c r="BB2234" s="51"/>
      <c r="BC2234" s="51"/>
      <c r="BD2234" s="51"/>
      <c r="BE2234" s="51"/>
      <c r="BF2234" s="47"/>
      <c r="BG2234" s="47"/>
      <c r="BH2234" s="47"/>
      <c r="BI2234" s="47"/>
      <c r="BJ2234" s="47"/>
      <c r="BK2234" s="47"/>
      <c r="BL2234" s="47"/>
      <c r="BM2234" s="47"/>
      <c r="BN2234" s="47"/>
      <c r="BO2234" s="47"/>
      <c r="BP2234" s="47"/>
      <c r="BQ2234" s="47"/>
      <c r="BR2234" s="47"/>
      <c r="BS2234" s="47"/>
      <c r="BT2234" s="47"/>
    </row>
    <row r="2235">
      <c r="A2235" s="24"/>
      <c r="B2235" s="48"/>
      <c r="C2235" s="49"/>
      <c r="D2235" s="24"/>
      <c r="E2235" s="52"/>
      <c r="F2235" s="53"/>
      <c r="G2235" s="48"/>
      <c r="H2235" s="49"/>
      <c r="I2235" s="49"/>
      <c r="J2235" s="48"/>
      <c r="K2235" s="48"/>
      <c r="L2235" s="48"/>
      <c r="M2235" s="48"/>
      <c r="N2235" s="48"/>
      <c r="O2235" s="48"/>
      <c r="P2235" s="48"/>
      <c r="Q2235" s="48"/>
      <c r="R2235" s="48"/>
      <c r="S2235" s="48"/>
      <c r="T2235" s="48"/>
      <c r="U2235" s="48"/>
      <c r="V2235" s="48"/>
      <c r="W2235" s="49"/>
      <c r="X2235" s="49"/>
      <c r="Y2235" s="49"/>
      <c r="Z2235" s="49"/>
      <c r="AA2235" s="49"/>
      <c r="AB2235" s="49"/>
      <c r="AC2235" s="49"/>
      <c r="AD2235" s="49"/>
      <c r="AE2235" s="49"/>
      <c r="AF2235" s="49"/>
      <c r="AG2235" s="49"/>
      <c r="AH2235" s="49"/>
      <c r="AI2235" s="48"/>
      <c r="AJ2235" s="48"/>
      <c r="AK2235" s="24"/>
      <c r="AL2235" s="50"/>
      <c r="AM2235" s="50"/>
      <c r="AN2235" s="50"/>
      <c r="AO2235" s="50"/>
      <c r="AP2235" s="50"/>
      <c r="AQ2235" s="50"/>
      <c r="AR2235" s="50"/>
      <c r="AS2235" s="50"/>
      <c r="AT2235" s="51"/>
      <c r="AU2235" s="51"/>
      <c r="AV2235" s="51"/>
      <c r="AW2235" s="51"/>
      <c r="AX2235" s="50"/>
      <c r="AY2235" s="50"/>
      <c r="AZ2235" s="50"/>
      <c r="BA2235" s="50"/>
      <c r="BB2235" s="51"/>
      <c r="BC2235" s="51"/>
      <c r="BD2235" s="51"/>
      <c r="BE2235" s="51"/>
      <c r="BF2235" s="47"/>
      <c r="BG2235" s="47"/>
      <c r="BH2235" s="47"/>
      <c r="BI2235" s="47"/>
      <c r="BJ2235" s="47"/>
      <c r="BK2235" s="47"/>
      <c r="BL2235" s="47"/>
      <c r="BM2235" s="47"/>
      <c r="BN2235" s="47"/>
      <c r="BO2235" s="47"/>
      <c r="BP2235" s="47"/>
      <c r="BQ2235" s="47"/>
      <c r="BR2235" s="47"/>
      <c r="BS2235" s="47"/>
      <c r="BT2235" s="47"/>
    </row>
    <row r="2236">
      <c r="A2236" s="24"/>
      <c r="B2236" s="48"/>
      <c r="C2236" s="49"/>
      <c r="D2236" s="24"/>
      <c r="E2236" s="52"/>
      <c r="F2236" s="53"/>
      <c r="G2236" s="48"/>
      <c r="H2236" s="49"/>
      <c r="I2236" s="49"/>
      <c r="J2236" s="48"/>
      <c r="K2236" s="48"/>
      <c r="L2236" s="48"/>
      <c r="M2236" s="48"/>
      <c r="N2236" s="48"/>
      <c r="O2236" s="48"/>
      <c r="P2236" s="48"/>
      <c r="Q2236" s="48"/>
      <c r="R2236" s="48"/>
      <c r="S2236" s="48"/>
      <c r="T2236" s="48"/>
      <c r="U2236" s="48"/>
      <c r="V2236" s="48"/>
      <c r="W2236" s="49"/>
      <c r="X2236" s="49"/>
      <c r="Y2236" s="49"/>
      <c r="Z2236" s="49"/>
      <c r="AA2236" s="49"/>
      <c r="AB2236" s="49"/>
      <c r="AC2236" s="49"/>
      <c r="AD2236" s="49"/>
      <c r="AE2236" s="49"/>
      <c r="AF2236" s="49"/>
      <c r="AG2236" s="49"/>
      <c r="AH2236" s="49"/>
      <c r="AI2236" s="48"/>
      <c r="AJ2236" s="48"/>
      <c r="AK2236" s="24"/>
      <c r="AL2236" s="50"/>
      <c r="AM2236" s="50"/>
      <c r="AN2236" s="50"/>
      <c r="AO2236" s="50"/>
      <c r="AP2236" s="50"/>
      <c r="AQ2236" s="50"/>
      <c r="AR2236" s="50"/>
      <c r="AS2236" s="50"/>
      <c r="AT2236" s="51"/>
      <c r="AU2236" s="51"/>
      <c r="AV2236" s="51"/>
      <c r="AW2236" s="51"/>
      <c r="AX2236" s="50"/>
      <c r="AY2236" s="50"/>
      <c r="AZ2236" s="50"/>
      <c r="BA2236" s="50"/>
      <c r="BB2236" s="51"/>
      <c r="BC2236" s="51"/>
      <c r="BD2236" s="51"/>
      <c r="BE2236" s="51"/>
      <c r="BF2236" s="47"/>
      <c r="BG2236" s="47"/>
      <c r="BH2236" s="47"/>
      <c r="BI2236" s="47"/>
      <c r="BJ2236" s="47"/>
      <c r="BK2236" s="47"/>
      <c r="BL2236" s="47"/>
      <c r="BM2236" s="47"/>
      <c r="BN2236" s="47"/>
      <c r="BO2236" s="47"/>
      <c r="BP2236" s="47"/>
      <c r="BQ2236" s="47"/>
      <c r="BR2236" s="47"/>
      <c r="BS2236" s="47"/>
      <c r="BT2236" s="47"/>
    </row>
    <row r="2237">
      <c r="A2237" s="24"/>
      <c r="B2237" s="48"/>
      <c r="C2237" s="49"/>
      <c r="D2237" s="24"/>
      <c r="E2237" s="52"/>
      <c r="F2237" s="53"/>
      <c r="G2237" s="48"/>
      <c r="H2237" s="49"/>
      <c r="I2237" s="49"/>
      <c r="J2237" s="48"/>
      <c r="K2237" s="48"/>
      <c r="L2237" s="48"/>
      <c r="M2237" s="48"/>
      <c r="N2237" s="48"/>
      <c r="O2237" s="48"/>
      <c r="P2237" s="48"/>
      <c r="Q2237" s="48"/>
      <c r="R2237" s="48"/>
      <c r="S2237" s="48"/>
      <c r="T2237" s="48"/>
      <c r="U2237" s="48"/>
      <c r="V2237" s="48"/>
      <c r="W2237" s="49"/>
      <c r="X2237" s="49"/>
      <c r="Y2237" s="49"/>
      <c r="Z2237" s="49"/>
      <c r="AA2237" s="49"/>
      <c r="AB2237" s="49"/>
      <c r="AC2237" s="49"/>
      <c r="AD2237" s="49"/>
      <c r="AE2237" s="49"/>
      <c r="AF2237" s="49"/>
      <c r="AG2237" s="49"/>
      <c r="AH2237" s="49"/>
      <c r="AI2237" s="48"/>
      <c r="AJ2237" s="48"/>
      <c r="AK2237" s="24"/>
      <c r="AL2237" s="50"/>
      <c r="AM2237" s="50"/>
      <c r="AN2237" s="50"/>
      <c r="AO2237" s="50"/>
      <c r="AP2237" s="50"/>
      <c r="AQ2237" s="50"/>
      <c r="AR2237" s="50"/>
      <c r="AS2237" s="50"/>
      <c r="AT2237" s="51"/>
      <c r="AU2237" s="51"/>
      <c r="AV2237" s="51"/>
      <c r="AW2237" s="51"/>
      <c r="AX2237" s="50"/>
      <c r="AY2237" s="50"/>
      <c r="AZ2237" s="50"/>
      <c r="BA2237" s="50"/>
      <c r="BB2237" s="51"/>
      <c r="BC2237" s="51"/>
      <c r="BD2237" s="51"/>
      <c r="BE2237" s="51"/>
      <c r="BF2237" s="47"/>
      <c r="BG2237" s="47"/>
      <c r="BH2237" s="47"/>
      <c r="BI2237" s="47"/>
      <c r="BJ2237" s="47"/>
      <c r="BK2237" s="47"/>
      <c r="BL2237" s="47"/>
      <c r="BM2237" s="47"/>
      <c r="BN2237" s="47"/>
      <c r="BO2237" s="47"/>
      <c r="BP2237" s="47"/>
      <c r="BQ2237" s="47"/>
      <c r="BR2237" s="47"/>
      <c r="BS2237" s="47"/>
      <c r="BT2237" s="47"/>
    </row>
    <row r="2238">
      <c r="A2238" s="24"/>
      <c r="B2238" s="48"/>
      <c r="C2238" s="49"/>
      <c r="D2238" s="24"/>
      <c r="E2238" s="52"/>
      <c r="F2238" s="53"/>
      <c r="G2238" s="48"/>
      <c r="H2238" s="49"/>
      <c r="I2238" s="49"/>
      <c r="J2238" s="48"/>
      <c r="K2238" s="48"/>
      <c r="L2238" s="48"/>
      <c r="M2238" s="48"/>
      <c r="N2238" s="48"/>
      <c r="O2238" s="48"/>
      <c r="P2238" s="48"/>
      <c r="Q2238" s="48"/>
      <c r="R2238" s="48"/>
      <c r="S2238" s="48"/>
      <c r="T2238" s="48"/>
      <c r="U2238" s="48"/>
      <c r="V2238" s="48"/>
      <c r="W2238" s="49"/>
      <c r="X2238" s="49"/>
      <c r="Y2238" s="49"/>
      <c r="Z2238" s="49"/>
      <c r="AA2238" s="49"/>
      <c r="AB2238" s="49"/>
      <c r="AC2238" s="49"/>
      <c r="AD2238" s="49"/>
      <c r="AE2238" s="49"/>
      <c r="AF2238" s="49"/>
      <c r="AG2238" s="49"/>
      <c r="AH2238" s="49"/>
      <c r="AI2238" s="48"/>
      <c r="AJ2238" s="48"/>
      <c r="AK2238" s="24"/>
      <c r="AL2238" s="50"/>
      <c r="AM2238" s="50"/>
      <c r="AN2238" s="50"/>
      <c r="AO2238" s="50"/>
      <c r="AP2238" s="50"/>
      <c r="AQ2238" s="50"/>
      <c r="AR2238" s="50"/>
      <c r="AS2238" s="50"/>
      <c r="AT2238" s="51"/>
      <c r="AU2238" s="51"/>
      <c r="AV2238" s="51"/>
      <c r="AW2238" s="51"/>
      <c r="AX2238" s="50"/>
      <c r="AY2238" s="50"/>
      <c r="AZ2238" s="50"/>
      <c r="BA2238" s="50"/>
      <c r="BB2238" s="51"/>
      <c r="BC2238" s="51"/>
      <c r="BD2238" s="51"/>
      <c r="BE2238" s="51"/>
      <c r="BF2238" s="47"/>
      <c r="BG2238" s="47"/>
      <c r="BH2238" s="47"/>
      <c r="BI2238" s="47"/>
      <c r="BJ2238" s="47"/>
      <c r="BK2238" s="47"/>
      <c r="BL2238" s="47"/>
      <c r="BM2238" s="47"/>
      <c r="BN2238" s="47"/>
      <c r="BO2238" s="47"/>
      <c r="BP2238" s="47"/>
      <c r="BQ2238" s="47"/>
      <c r="BR2238" s="47"/>
      <c r="BS2238" s="47"/>
      <c r="BT2238" s="47"/>
    </row>
    <row r="2239">
      <c r="A2239" s="24"/>
      <c r="B2239" s="48"/>
      <c r="C2239" s="49"/>
      <c r="D2239" s="24"/>
      <c r="E2239" s="52"/>
      <c r="F2239" s="53"/>
      <c r="G2239" s="48"/>
      <c r="H2239" s="49"/>
      <c r="I2239" s="49"/>
      <c r="J2239" s="48"/>
      <c r="K2239" s="48"/>
      <c r="L2239" s="48"/>
      <c r="M2239" s="48"/>
      <c r="N2239" s="48"/>
      <c r="O2239" s="48"/>
      <c r="P2239" s="48"/>
      <c r="Q2239" s="48"/>
      <c r="R2239" s="48"/>
      <c r="S2239" s="48"/>
      <c r="T2239" s="48"/>
      <c r="U2239" s="48"/>
      <c r="V2239" s="48"/>
      <c r="W2239" s="49"/>
      <c r="X2239" s="49"/>
      <c r="Y2239" s="49"/>
      <c r="Z2239" s="49"/>
      <c r="AA2239" s="49"/>
      <c r="AB2239" s="49"/>
      <c r="AC2239" s="49"/>
      <c r="AD2239" s="49"/>
      <c r="AE2239" s="49"/>
      <c r="AF2239" s="49"/>
      <c r="AG2239" s="49"/>
      <c r="AH2239" s="49"/>
      <c r="AI2239" s="48"/>
      <c r="AJ2239" s="48"/>
      <c r="AK2239" s="24"/>
      <c r="AL2239" s="50"/>
      <c r="AM2239" s="50"/>
      <c r="AN2239" s="50"/>
      <c r="AO2239" s="50"/>
      <c r="AP2239" s="50"/>
      <c r="AQ2239" s="50"/>
      <c r="AR2239" s="50"/>
      <c r="AS2239" s="50"/>
      <c r="AT2239" s="51"/>
      <c r="AU2239" s="51"/>
      <c r="AV2239" s="51"/>
      <c r="AW2239" s="51"/>
      <c r="AX2239" s="50"/>
      <c r="AY2239" s="50"/>
      <c r="AZ2239" s="50"/>
      <c r="BA2239" s="50"/>
      <c r="BB2239" s="51"/>
      <c r="BC2239" s="51"/>
      <c r="BD2239" s="51"/>
      <c r="BE2239" s="51"/>
      <c r="BF2239" s="47"/>
      <c r="BG2239" s="47"/>
      <c r="BH2239" s="47"/>
      <c r="BI2239" s="47"/>
      <c r="BJ2239" s="47"/>
      <c r="BK2239" s="47"/>
      <c r="BL2239" s="47"/>
      <c r="BM2239" s="47"/>
      <c r="BN2239" s="47"/>
      <c r="BO2239" s="47"/>
      <c r="BP2239" s="47"/>
      <c r="BQ2239" s="47"/>
      <c r="BR2239" s="47"/>
      <c r="BS2239" s="47"/>
      <c r="BT2239" s="47"/>
    </row>
    <row r="2240">
      <c r="A2240" s="24"/>
      <c r="B2240" s="48"/>
      <c r="C2240" s="49"/>
      <c r="D2240" s="24"/>
      <c r="E2240" s="52"/>
      <c r="F2240" s="53"/>
      <c r="G2240" s="48"/>
      <c r="H2240" s="49"/>
      <c r="I2240" s="49"/>
      <c r="J2240" s="48"/>
      <c r="K2240" s="48"/>
      <c r="L2240" s="48"/>
      <c r="M2240" s="48"/>
      <c r="N2240" s="48"/>
      <c r="O2240" s="48"/>
      <c r="P2240" s="48"/>
      <c r="Q2240" s="48"/>
      <c r="R2240" s="48"/>
      <c r="S2240" s="48"/>
      <c r="T2240" s="48"/>
      <c r="U2240" s="48"/>
      <c r="V2240" s="48"/>
      <c r="W2240" s="49"/>
      <c r="X2240" s="49"/>
      <c r="Y2240" s="49"/>
      <c r="Z2240" s="49"/>
      <c r="AA2240" s="49"/>
      <c r="AB2240" s="49"/>
      <c r="AC2240" s="49"/>
      <c r="AD2240" s="49"/>
      <c r="AE2240" s="49"/>
      <c r="AF2240" s="49"/>
      <c r="AG2240" s="49"/>
      <c r="AH2240" s="49"/>
      <c r="AI2240" s="48"/>
      <c r="AJ2240" s="48"/>
      <c r="AK2240" s="24"/>
      <c r="AL2240" s="50"/>
      <c r="AM2240" s="50"/>
      <c r="AN2240" s="50"/>
      <c r="AO2240" s="50"/>
      <c r="AP2240" s="50"/>
      <c r="AQ2240" s="50"/>
      <c r="AR2240" s="50"/>
      <c r="AS2240" s="50"/>
      <c r="AT2240" s="51"/>
      <c r="AU2240" s="51"/>
      <c r="AV2240" s="51"/>
      <c r="AW2240" s="51"/>
      <c r="AX2240" s="50"/>
      <c r="AY2240" s="50"/>
      <c r="AZ2240" s="50"/>
      <c r="BA2240" s="50"/>
      <c r="BB2240" s="51"/>
      <c r="BC2240" s="51"/>
      <c r="BD2240" s="51"/>
      <c r="BE2240" s="51"/>
      <c r="BF2240" s="47"/>
      <c r="BG2240" s="47"/>
      <c r="BH2240" s="47"/>
      <c r="BI2240" s="47"/>
      <c r="BJ2240" s="47"/>
      <c r="BK2240" s="47"/>
      <c r="BL2240" s="47"/>
      <c r="BM2240" s="47"/>
      <c r="BN2240" s="47"/>
      <c r="BO2240" s="47"/>
      <c r="BP2240" s="47"/>
      <c r="BQ2240" s="47"/>
      <c r="BR2240" s="47"/>
      <c r="BS2240" s="47"/>
      <c r="BT2240" s="47"/>
    </row>
    <row r="2241">
      <c r="A2241" s="24"/>
      <c r="B2241" s="48"/>
      <c r="C2241" s="49"/>
      <c r="D2241" s="24"/>
      <c r="E2241" s="52"/>
      <c r="F2241" s="53"/>
      <c r="G2241" s="48"/>
      <c r="H2241" s="49"/>
      <c r="I2241" s="49"/>
      <c r="J2241" s="48"/>
      <c r="K2241" s="48"/>
      <c r="L2241" s="48"/>
      <c r="M2241" s="48"/>
      <c r="N2241" s="48"/>
      <c r="O2241" s="48"/>
      <c r="P2241" s="48"/>
      <c r="Q2241" s="48"/>
      <c r="R2241" s="48"/>
      <c r="S2241" s="48"/>
      <c r="T2241" s="48"/>
      <c r="U2241" s="48"/>
      <c r="V2241" s="48"/>
      <c r="W2241" s="49"/>
      <c r="X2241" s="49"/>
      <c r="Y2241" s="49"/>
      <c r="Z2241" s="49"/>
      <c r="AA2241" s="49"/>
      <c r="AB2241" s="49"/>
      <c r="AC2241" s="49"/>
      <c r="AD2241" s="49"/>
      <c r="AE2241" s="49"/>
      <c r="AF2241" s="49"/>
      <c r="AG2241" s="49"/>
      <c r="AH2241" s="49"/>
      <c r="AI2241" s="48"/>
      <c r="AJ2241" s="48"/>
      <c r="AK2241" s="24"/>
      <c r="AL2241" s="50"/>
      <c r="AM2241" s="50"/>
      <c r="AN2241" s="50"/>
      <c r="AO2241" s="50"/>
      <c r="AP2241" s="50"/>
      <c r="AQ2241" s="50"/>
      <c r="AR2241" s="50"/>
      <c r="AS2241" s="50"/>
      <c r="AT2241" s="51"/>
      <c r="AU2241" s="51"/>
      <c r="AV2241" s="51"/>
      <c r="AW2241" s="51"/>
      <c r="AX2241" s="50"/>
      <c r="AY2241" s="50"/>
      <c r="AZ2241" s="50"/>
      <c r="BA2241" s="50"/>
      <c r="BB2241" s="51"/>
      <c r="BC2241" s="51"/>
      <c r="BD2241" s="51"/>
      <c r="BE2241" s="51"/>
      <c r="BF2241" s="47"/>
      <c r="BG2241" s="47"/>
      <c r="BH2241" s="47"/>
      <c r="BI2241" s="47"/>
      <c r="BJ2241" s="47"/>
      <c r="BK2241" s="47"/>
      <c r="BL2241" s="47"/>
      <c r="BM2241" s="47"/>
      <c r="BN2241" s="47"/>
      <c r="BO2241" s="47"/>
      <c r="BP2241" s="47"/>
      <c r="BQ2241" s="47"/>
      <c r="BR2241" s="47"/>
      <c r="BS2241" s="47"/>
      <c r="BT2241" s="47"/>
    </row>
    <row r="2242">
      <c r="A2242" s="24"/>
      <c r="B2242" s="48"/>
      <c r="C2242" s="49"/>
      <c r="D2242" s="24"/>
      <c r="E2242" s="52"/>
      <c r="F2242" s="53"/>
      <c r="G2242" s="48"/>
      <c r="H2242" s="49"/>
      <c r="I2242" s="49"/>
      <c r="J2242" s="48"/>
      <c r="K2242" s="48"/>
      <c r="L2242" s="48"/>
      <c r="M2242" s="48"/>
      <c r="N2242" s="48"/>
      <c r="O2242" s="48"/>
      <c r="P2242" s="48"/>
      <c r="Q2242" s="48"/>
      <c r="R2242" s="48"/>
      <c r="S2242" s="48"/>
      <c r="T2242" s="48"/>
      <c r="U2242" s="48"/>
      <c r="V2242" s="48"/>
      <c r="W2242" s="49"/>
      <c r="X2242" s="49"/>
      <c r="Y2242" s="49"/>
      <c r="Z2242" s="49"/>
      <c r="AA2242" s="49"/>
      <c r="AB2242" s="49"/>
      <c r="AC2242" s="49"/>
      <c r="AD2242" s="49"/>
      <c r="AE2242" s="49"/>
      <c r="AF2242" s="49"/>
      <c r="AG2242" s="49"/>
      <c r="AH2242" s="49"/>
      <c r="AI2242" s="48"/>
      <c r="AJ2242" s="48"/>
      <c r="AK2242" s="24"/>
      <c r="AL2242" s="50"/>
      <c r="AM2242" s="50"/>
      <c r="AN2242" s="50"/>
      <c r="AO2242" s="50"/>
      <c r="AP2242" s="50"/>
      <c r="AQ2242" s="50"/>
      <c r="AR2242" s="50"/>
      <c r="AS2242" s="50"/>
      <c r="AT2242" s="51"/>
      <c r="AU2242" s="51"/>
      <c r="AV2242" s="51"/>
      <c r="AW2242" s="51"/>
      <c r="AX2242" s="50"/>
      <c r="AY2242" s="50"/>
      <c r="AZ2242" s="50"/>
      <c r="BA2242" s="50"/>
      <c r="BB2242" s="51"/>
      <c r="BC2242" s="51"/>
      <c r="BD2242" s="51"/>
      <c r="BE2242" s="51"/>
      <c r="BF2242" s="47"/>
      <c r="BG2242" s="47"/>
      <c r="BH2242" s="47"/>
      <c r="BI2242" s="47"/>
      <c r="BJ2242" s="47"/>
      <c r="BK2242" s="47"/>
      <c r="BL2242" s="47"/>
      <c r="BM2242" s="47"/>
      <c r="BN2242" s="47"/>
      <c r="BO2242" s="47"/>
      <c r="BP2242" s="47"/>
      <c r="BQ2242" s="47"/>
      <c r="BR2242" s="47"/>
      <c r="BS2242" s="47"/>
      <c r="BT2242" s="47"/>
    </row>
    <row r="2243">
      <c r="A2243" s="24"/>
      <c r="B2243" s="48"/>
      <c r="C2243" s="49"/>
      <c r="D2243" s="24"/>
      <c r="E2243" s="52"/>
      <c r="F2243" s="53"/>
      <c r="G2243" s="48"/>
      <c r="H2243" s="49"/>
      <c r="I2243" s="49"/>
      <c r="J2243" s="48"/>
      <c r="K2243" s="48"/>
      <c r="L2243" s="48"/>
      <c r="M2243" s="48"/>
      <c r="N2243" s="48"/>
      <c r="O2243" s="48"/>
      <c r="P2243" s="48"/>
      <c r="Q2243" s="48"/>
      <c r="R2243" s="48"/>
      <c r="S2243" s="48"/>
      <c r="T2243" s="48"/>
      <c r="U2243" s="48"/>
      <c r="V2243" s="48"/>
      <c r="W2243" s="49"/>
      <c r="X2243" s="49"/>
      <c r="Y2243" s="49"/>
      <c r="Z2243" s="49"/>
      <c r="AA2243" s="49"/>
      <c r="AB2243" s="49"/>
      <c r="AC2243" s="49"/>
      <c r="AD2243" s="49"/>
      <c r="AE2243" s="49"/>
      <c r="AF2243" s="49"/>
      <c r="AG2243" s="49"/>
      <c r="AH2243" s="49"/>
      <c r="AI2243" s="48"/>
      <c r="AJ2243" s="48"/>
      <c r="AK2243" s="24"/>
      <c r="AL2243" s="50"/>
      <c r="AM2243" s="50"/>
      <c r="AN2243" s="50"/>
      <c r="AO2243" s="50"/>
      <c r="AP2243" s="50"/>
      <c r="AQ2243" s="50"/>
      <c r="AR2243" s="50"/>
      <c r="AS2243" s="50"/>
      <c r="AT2243" s="51"/>
      <c r="AU2243" s="51"/>
      <c r="AV2243" s="51"/>
      <c r="AW2243" s="51"/>
      <c r="AX2243" s="50"/>
      <c r="AY2243" s="50"/>
      <c r="AZ2243" s="50"/>
      <c r="BA2243" s="50"/>
      <c r="BB2243" s="51"/>
      <c r="BC2243" s="51"/>
      <c r="BD2243" s="51"/>
      <c r="BE2243" s="51"/>
      <c r="BF2243" s="47"/>
      <c r="BG2243" s="47"/>
      <c r="BH2243" s="47"/>
      <c r="BI2243" s="47"/>
      <c r="BJ2243" s="47"/>
      <c r="BK2243" s="47"/>
      <c r="BL2243" s="47"/>
      <c r="BM2243" s="47"/>
      <c r="BN2243" s="47"/>
      <c r="BO2243" s="47"/>
      <c r="BP2243" s="47"/>
      <c r="BQ2243" s="47"/>
      <c r="BR2243" s="47"/>
      <c r="BS2243" s="47"/>
      <c r="BT2243" s="47"/>
    </row>
    <row r="2244">
      <c r="A2244" s="24"/>
      <c r="B2244" s="48"/>
      <c r="C2244" s="49"/>
      <c r="D2244" s="24"/>
      <c r="E2244" s="52"/>
      <c r="F2244" s="53"/>
      <c r="G2244" s="48"/>
      <c r="H2244" s="49"/>
      <c r="I2244" s="49"/>
      <c r="J2244" s="48"/>
      <c r="K2244" s="48"/>
      <c r="L2244" s="48"/>
      <c r="M2244" s="48"/>
      <c r="N2244" s="48"/>
      <c r="O2244" s="48"/>
      <c r="P2244" s="48"/>
      <c r="Q2244" s="48"/>
      <c r="R2244" s="48"/>
      <c r="S2244" s="48"/>
      <c r="T2244" s="48"/>
      <c r="U2244" s="48"/>
      <c r="V2244" s="48"/>
      <c r="W2244" s="49"/>
      <c r="X2244" s="49"/>
      <c r="Y2244" s="49"/>
      <c r="Z2244" s="49"/>
      <c r="AA2244" s="49"/>
      <c r="AB2244" s="49"/>
      <c r="AC2244" s="49"/>
      <c r="AD2244" s="49"/>
      <c r="AE2244" s="49"/>
      <c r="AF2244" s="49"/>
      <c r="AG2244" s="49"/>
      <c r="AH2244" s="49"/>
      <c r="AI2244" s="48"/>
      <c r="AJ2244" s="48"/>
      <c r="AK2244" s="24"/>
      <c r="AL2244" s="50"/>
      <c r="AM2244" s="50"/>
      <c r="AN2244" s="50"/>
      <c r="AO2244" s="50"/>
      <c r="AP2244" s="50"/>
      <c r="AQ2244" s="50"/>
      <c r="AR2244" s="50"/>
      <c r="AS2244" s="50"/>
      <c r="AT2244" s="51"/>
      <c r="AU2244" s="51"/>
      <c r="AV2244" s="51"/>
      <c r="AW2244" s="51"/>
      <c r="AX2244" s="50"/>
      <c r="AY2244" s="50"/>
      <c r="AZ2244" s="50"/>
      <c r="BA2244" s="50"/>
      <c r="BB2244" s="51"/>
      <c r="BC2244" s="51"/>
      <c r="BD2244" s="51"/>
      <c r="BE2244" s="51"/>
      <c r="BF2244" s="47"/>
      <c r="BG2244" s="47"/>
      <c r="BH2244" s="47"/>
      <c r="BI2244" s="47"/>
      <c r="BJ2244" s="47"/>
      <c r="BK2244" s="47"/>
      <c r="BL2244" s="47"/>
      <c r="BM2244" s="47"/>
      <c r="BN2244" s="47"/>
      <c r="BO2244" s="47"/>
      <c r="BP2244" s="47"/>
      <c r="BQ2244" s="47"/>
      <c r="BR2244" s="47"/>
      <c r="BS2244" s="47"/>
      <c r="BT2244" s="47"/>
    </row>
    <row r="2245">
      <c r="A2245" s="24"/>
      <c r="B2245" s="48"/>
      <c r="C2245" s="49"/>
      <c r="D2245" s="24"/>
      <c r="E2245" s="52"/>
      <c r="F2245" s="53"/>
      <c r="G2245" s="48"/>
      <c r="H2245" s="49"/>
      <c r="I2245" s="49"/>
      <c r="J2245" s="48"/>
      <c r="K2245" s="48"/>
      <c r="L2245" s="48"/>
      <c r="M2245" s="48"/>
      <c r="N2245" s="48"/>
      <c r="O2245" s="48"/>
      <c r="P2245" s="48"/>
      <c r="Q2245" s="48"/>
      <c r="R2245" s="48"/>
      <c r="S2245" s="48"/>
      <c r="T2245" s="48"/>
      <c r="U2245" s="48"/>
      <c r="V2245" s="48"/>
      <c r="W2245" s="49"/>
      <c r="X2245" s="49"/>
      <c r="Y2245" s="49"/>
      <c r="Z2245" s="49"/>
      <c r="AA2245" s="49"/>
      <c r="AB2245" s="49"/>
      <c r="AC2245" s="49"/>
      <c r="AD2245" s="49"/>
      <c r="AE2245" s="49"/>
      <c r="AF2245" s="49"/>
      <c r="AG2245" s="49"/>
      <c r="AH2245" s="49"/>
      <c r="AI2245" s="48"/>
      <c r="AJ2245" s="48"/>
      <c r="AK2245" s="24"/>
      <c r="AL2245" s="50"/>
      <c r="AM2245" s="50"/>
      <c r="AN2245" s="50"/>
      <c r="AO2245" s="50"/>
      <c r="AP2245" s="50"/>
      <c r="AQ2245" s="50"/>
      <c r="AR2245" s="50"/>
      <c r="AS2245" s="50"/>
      <c r="AT2245" s="51"/>
      <c r="AU2245" s="51"/>
      <c r="AV2245" s="51"/>
      <c r="AW2245" s="51"/>
      <c r="AX2245" s="50"/>
      <c r="AY2245" s="50"/>
      <c r="AZ2245" s="50"/>
      <c r="BA2245" s="50"/>
      <c r="BB2245" s="51"/>
      <c r="BC2245" s="51"/>
      <c r="BD2245" s="51"/>
      <c r="BE2245" s="51"/>
      <c r="BF2245" s="47"/>
      <c r="BG2245" s="47"/>
      <c r="BH2245" s="47"/>
      <c r="BI2245" s="47"/>
      <c r="BJ2245" s="47"/>
      <c r="BK2245" s="47"/>
      <c r="BL2245" s="47"/>
      <c r="BM2245" s="47"/>
      <c r="BN2245" s="47"/>
      <c r="BO2245" s="47"/>
      <c r="BP2245" s="47"/>
      <c r="BQ2245" s="47"/>
      <c r="BR2245" s="47"/>
      <c r="BS2245" s="47"/>
      <c r="BT2245" s="47"/>
    </row>
    <row r="2246">
      <c r="A2246" s="24"/>
      <c r="B2246" s="48"/>
      <c r="C2246" s="49"/>
      <c r="D2246" s="24"/>
      <c r="E2246" s="52"/>
      <c r="F2246" s="53"/>
      <c r="G2246" s="48"/>
      <c r="H2246" s="49"/>
      <c r="I2246" s="49"/>
      <c r="J2246" s="48"/>
      <c r="K2246" s="48"/>
      <c r="L2246" s="48"/>
      <c r="M2246" s="48"/>
      <c r="N2246" s="48"/>
      <c r="O2246" s="48"/>
      <c r="P2246" s="48"/>
      <c r="Q2246" s="48"/>
      <c r="R2246" s="48"/>
      <c r="S2246" s="48"/>
      <c r="T2246" s="48"/>
      <c r="U2246" s="48"/>
      <c r="V2246" s="48"/>
      <c r="W2246" s="49"/>
      <c r="X2246" s="49"/>
      <c r="Y2246" s="49"/>
      <c r="Z2246" s="49"/>
      <c r="AA2246" s="49"/>
      <c r="AB2246" s="49"/>
      <c r="AC2246" s="49"/>
      <c r="AD2246" s="49"/>
      <c r="AE2246" s="49"/>
      <c r="AF2246" s="49"/>
      <c r="AG2246" s="49"/>
      <c r="AH2246" s="49"/>
      <c r="AI2246" s="48"/>
      <c r="AJ2246" s="48"/>
      <c r="AK2246" s="24"/>
      <c r="AL2246" s="50"/>
      <c r="AM2246" s="50"/>
      <c r="AN2246" s="50"/>
      <c r="AO2246" s="50"/>
      <c r="AP2246" s="50"/>
      <c r="AQ2246" s="50"/>
      <c r="AR2246" s="50"/>
      <c r="AS2246" s="50"/>
      <c r="AT2246" s="51"/>
      <c r="AU2246" s="51"/>
      <c r="AV2246" s="51"/>
      <c r="AW2246" s="51"/>
      <c r="AX2246" s="50"/>
      <c r="AY2246" s="50"/>
      <c r="AZ2246" s="50"/>
      <c r="BA2246" s="50"/>
      <c r="BB2246" s="51"/>
      <c r="BC2246" s="51"/>
      <c r="BD2246" s="51"/>
      <c r="BE2246" s="51"/>
      <c r="BF2246" s="47"/>
      <c r="BG2246" s="47"/>
      <c r="BH2246" s="47"/>
      <c r="BI2246" s="47"/>
      <c r="BJ2246" s="47"/>
      <c r="BK2246" s="47"/>
      <c r="BL2246" s="47"/>
      <c r="BM2246" s="47"/>
      <c r="BN2246" s="47"/>
      <c r="BO2246" s="47"/>
      <c r="BP2246" s="47"/>
      <c r="BQ2246" s="47"/>
      <c r="BR2246" s="47"/>
      <c r="BS2246" s="47"/>
      <c r="BT2246" s="47"/>
    </row>
    <row r="2247">
      <c r="A2247" s="24"/>
      <c r="B2247" s="48"/>
      <c r="C2247" s="49"/>
      <c r="D2247" s="24"/>
      <c r="E2247" s="52"/>
      <c r="F2247" s="53"/>
      <c r="G2247" s="48"/>
      <c r="H2247" s="49"/>
      <c r="I2247" s="49"/>
      <c r="J2247" s="48"/>
      <c r="K2247" s="48"/>
      <c r="L2247" s="48"/>
      <c r="M2247" s="48"/>
      <c r="N2247" s="48"/>
      <c r="O2247" s="48"/>
      <c r="P2247" s="48"/>
      <c r="Q2247" s="48"/>
      <c r="R2247" s="48"/>
      <c r="S2247" s="48"/>
      <c r="T2247" s="48"/>
      <c r="U2247" s="48"/>
      <c r="V2247" s="48"/>
      <c r="W2247" s="49"/>
      <c r="X2247" s="49"/>
      <c r="Y2247" s="49"/>
      <c r="Z2247" s="49"/>
      <c r="AA2247" s="49"/>
      <c r="AB2247" s="49"/>
      <c r="AC2247" s="49"/>
      <c r="AD2247" s="49"/>
      <c r="AE2247" s="49"/>
      <c r="AF2247" s="49"/>
      <c r="AG2247" s="49"/>
      <c r="AH2247" s="49"/>
      <c r="AI2247" s="48"/>
      <c r="AJ2247" s="48"/>
      <c r="AK2247" s="24"/>
      <c r="AL2247" s="50"/>
      <c r="AM2247" s="50"/>
      <c r="AN2247" s="50"/>
      <c r="AO2247" s="50"/>
      <c r="AP2247" s="50"/>
      <c r="AQ2247" s="50"/>
      <c r="AR2247" s="50"/>
      <c r="AS2247" s="50"/>
      <c r="AT2247" s="51"/>
      <c r="AU2247" s="51"/>
      <c r="AV2247" s="51"/>
      <c r="AW2247" s="51"/>
      <c r="AX2247" s="50"/>
      <c r="AY2247" s="50"/>
      <c r="AZ2247" s="50"/>
      <c r="BA2247" s="50"/>
      <c r="BB2247" s="51"/>
      <c r="BC2247" s="51"/>
      <c r="BD2247" s="51"/>
      <c r="BE2247" s="51"/>
      <c r="BF2247" s="47"/>
      <c r="BG2247" s="47"/>
      <c r="BH2247" s="47"/>
      <c r="BI2247" s="47"/>
      <c r="BJ2247" s="47"/>
      <c r="BK2247" s="47"/>
      <c r="BL2247" s="47"/>
      <c r="BM2247" s="47"/>
      <c r="BN2247" s="47"/>
      <c r="BO2247" s="47"/>
      <c r="BP2247" s="47"/>
      <c r="BQ2247" s="47"/>
      <c r="BR2247" s="47"/>
      <c r="BS2247" s="47"/>
      <c r="BT2247" s="47"/>
    </row>
    <row r="2248">
      <c r="A2248" s="24"/>
      <c r="B2248" s="48"/>
      <c r="C2248" s="49"/>
      <c r="D2248" s="24"/>
      <c r="E2248" s="52"/>
      <c r="F2248" s="53"/>
      <c r="G2248" s="48"/>
      <c r="H2248" s="49"/>
      <c r="I2248" s="49"/>
      <c r="J2248" s="48"/>
      <c r="K2248" s="48"/>
      <c r="L2248" s="48"/>
      <c r="M2248" s="48"/>
      <c r="N2248" s="48"/>
      <c r="O2248" s="48"/>
      <c r="P2248" s="48"/>
      <c r="Q2248" s="48"/>
      <c r="R2248" s="48"/>
      <c r="S2248" s="48"/>
      <c r="T2248" s="48"/>
      <c r="U2248" s="48"/>
      <c r="V2248" s="48"/>
      <c r="W2248" s="49"/>
      <c r="X2248" s="49"/>
      <c r="Y2248" s="49"/>
      <c r="Z2248" s="49"/>
      <c r="AA2248" s="49"/>
      <c r="AB2248" s="49"/>
      <c r="AC2248" s="49"/>
      <c r="AD2248" s="49"/>
      <c r="AE2248" s="49"/>
      <c r="AF2248" s="49"/>
      <c r="AG2248" s="49"/>
      <c r="AH2248" s="49"/>
      <c r="AI2248" s="48"/>
      <c r="AJ2248" s="48"/>
      <c r="AK2248" s="24"/>
      <c r="AL2248" s="50"/>
      <c r="AM2248" s="50"/>
      <c r="AN2248" s="50"/>
      <c r="AO2248" s="50"/>
      <c r="AP2248" s="50"/>
      <c r="AQ2248" s="50"/>
      <c r="AR2248" s="50"/>
      <c r="AS2248" s="50"/>
      <c r="AT2248" s="51"/>
      <c r="AU2248" s="51"/>
      <c r="AV2248" s="51"/>
      <c r="AW2248" s="51"/>
      <c r="AX2248" s="50"/>
      <c r="AY2248" s="50"/>
      <c r="AZ2248" s="50"/>
      <c r="BA2248" s="50"/>
      <c r="BB2248" s="51"/>
      <c r="BC2248" s="51"/>
      <c r="BD2248" s="51"/>
      <c r="BE2248" s="51"/>
      <c r="BF2248" s="47"/>
      <c r="BG2248" s="47"/>
      <c r="BH2248" s="47"/>
      <c r="BI2248" s="47"/>
      <c r="BJ2248" s="47"/>
      <c r="BK2248" s="47"/>
      <c r="BL2248" s="47"/>
      <c r="BM2248" s="47"/>
      <c r="BN2248" s="47"/>
      <c r="BO2248" s="47"/>
      <c r="BP2248" s="47"/>
      <c r="BQ2248" s="47"/>
      <c r="BR2248" s="47"/>
      <c r="BS2248" s="47"/>
      <c r="BT2248" s="47"/>
    </row>
    <row r="2249">
      <c r="A2249" s="24"/>
      <c r="B2249" s="48"/>
      <c r="C2249" s="49"/>
      <c r="D2249" s="24"/>
      <c r="E2249" s="52"/>
      <c r="F2249" s="53"/>
      <c r="G2249" s="48"/>
      <c r="H2249" s="49"/>
      <c r="I2249" s="49"/>
      <c r="J2249" s="48"/>
      <c r="K2249" s="48"/>
      <c r="L2249" s="48"/>
      <c r="M2249" s="48"/>
      <c r="N2249" s="48"/>
      <c r="O2249" s="48"/>
      <c r="P2249" s="48"/>
      <c r="Q2249" s="48"/>
      <c r="R2249" s="48"/>
      <c r="S2249" s="48"/>
      <c r="T2249" s="48"/>
      <c r="U2249" s="48"/>
      <c r="V2249" s="48"/>
      <c r="W2249" s="49"/>
      <c r="X2249" s="49"/>
      <c r="Y2249" s="49"/>
      <c r="Z2249" s="49"/>
      <c r="AA2249" s="49"/>
      <c r="AB2249" s="49"/>
      <c r="AC2249" s="49"/>
      <c r="AD2249" s="49"/>
      <c r="AE2249" s="49"/>
      <c r="AF2249" s="49"/>
      <c r="AG2249" s="49"/>
      <c r="AH2249" s="49"/>
      <c r="AI2249" s="48"/>
      <c r="AJ2249" s="48"/>
      <c r="AK2249" s="24"/>
      <c r="AL2249" s="50"/>
      <c r="AM2249" s="50"/>
      <c r="AN2249" s="50"/>
      <c r="AO2249" s="50"/>
      <c r="AP2249" s="50"/>
      <c r="AQ2249" s="50"/>
      <c r="AR2249" s="50"/>
      <c r="AS2249" s="50"/>
      <c r="AT2249" s="51"/>
      <c r="AU2249" s="51"/>
      <c r="AV2249" s="51"/>
      <c r="AW2249" s="51"/>
      <c r="AX2249" s="50"/>
      <c r="AY2249" s="50"/>
      <c r="AZ2249" s="50"/>
      <c r="BA2249" s="50"/>
      <c r="BB2249" s="51"/>
      <c r="BC2249" s="51"/>
      <c r="BD2249" s="51"/>
      <c r="BE2249" s="51"/>
      <c r="BF2249" s="47"/>
      <c r="BG2249" s="47"/>
      <c r="BH2249" s="47"/>
      <c r="BI2249" s="47"/>
      <c r="BJ2249" s="47"/>
      <c r="BK2249" s="47"/>
      <c r="BL2249" s="47"/>
      <c r="BM2249" s="47"/>
      <c r="BN2249" s="47"/>
      <c r="BO2249" s="47"/>
      <c r="BP2249" s="47"/>
      <c r="BQ2249" s="47"/>
      <c r="BR2249" s="47"/>
      <c r="BS2249" s="47"/>
      <c r="BT2249" s="47"/>
    </row>
    <row r="2250">
      <c r="A2250" s="24"/>
      <c r="B2250" s="48"/>
      <c r="C2250" s="49"/>
      <c r="D2250" s="24"/>
      <c r="E2250" s="52"/>
      <c r="F2250" s="53"/>
      <c r="G2250" s="48"/>
      <c r="H2250" s="49"/>
      <c r="I2250" s="49"/>
      <c r="J2250" s="48"/>
      <c r="K2250" s="48"/>
      <c r="L2250" s="48"/>
      <c r="M2250" s="48"/>
      <c r="N2250" s="48"/>
      <c r="O2250" s="48"/>
      <c r="P2250" s="48"/>
      <c r="Q2250" s="48"/>
      <c r="R2250" s="48"/>
      <c r="S2250" s="48"/>
      <c r="T2250" s="48"/>
      <c r="U2250" s="48"/>
      <c r="V2250" s="48"/>
      <c r="W2250" s="49"/>
      <c r="X2250" s="49"/>
      <c r="Y2250" s="49"/>
      <c r="Z2250" s="49"/>
      <c r="AA2250" s="49"/>
      <c r="AB2250" s="49"/>
      <c r="AC2250" s="49"/>
      <c r="AD2250" s="49"/>
      <c r="AE2250" s="49"/>
      <c r="AF2250" s="49"/>
      <c r="AG2250" s="49"/>
      <c r="AH2250" s="49"/>
      <c r="AI2250" s="48"/>
      <c r="AJ2250" s="48"/>
      <c r="AK2250" s="24"/>
      <c r="AL2250" s="50"/>
      <c r="AM2250" s="50"/>
      <c r="AN2250" s="50"/>
      <c r="AO2250" s="50"/>
      <c r="AP2250" s="50"/>
      <c r="AQ2250" s="50"/>
      <c r="AR2250" s="50"/>
      <c r="AS2250" s="50"/>
      <c r="AT2250" s="51"/>
      <c r="AU2250" s="51"/>
      <c r="AV2250" s="51"/>
      <c r="AW2250" s="51"/>
      <c r="AX2250" s="50"/>
      <c r="AY2250" s="50"/>
      <c r="AZ2250" s="50"/>
      <c r="BA2250" s="50"/>
      <c r="BB2250" s="51"/>
      <c r="BC2250" s="51"/>
      <c r="BD2250" s="51"/>
      <c r="BE2250" s="51"/>
      <c r="BF2250" s="47"/>
      <c r="BG2250" s="47"/>
      <c r="BH2250" s="47"/>
      <c r="BI2250" s="47"/>
      <c r="BJ2250" s="47"/>
      <c r="BK2250" s="47"/>
      <c r="BL2250" s="47"/>
      <c r="BM2250" s="47"/>
      <c r="BN2250" s="47"/>
      <c r="BO2250" s="47"/>
      <c r="BP2250" s="47"/>
      <c r="BQ2250" s="47"/>
      <c r="BR2250" s="47"/>
      <c r="BS2250" s="47"/>
      <c r="BT2250" s="47"/>
    </row>
    <row r="2251">
      <c r="A2251" s="24"/>
      <c r="B2251" s="48"/>
      <c r="C2251" s="49"/>
      <c r="D2251" s="24"/>
      <c r="E2251" s="52"/>
      <c r="F2251" s="53"/>
      <c r="G2251" s="48"/>
      <c r="H2251" s="49"/>
      <c r="I2251" s="49"/>
      <c r="J2251" s="48"/>
      <c r="K2251" s="48"/>
      <c r="L2251" s="48"/>
      <c r="M2251" s="48"/>
      <c r="N2251" s="48"/>
      <c r="O2251" s="48"/>
      <c r="P2251" s="48"/>
      <c r="Q2251" s="48"/>
      <c r="R2251" s="48"/>
      <c r="S2251" s="48"/>
      <c r="T2251" s="48"/>
      <c r="U2251" s="48"/>
      <c r="V2251" s="48"/>
      <c r="W2251" s="49"/>
      <c r="X2251" s="49"/>
      <c r="Y2251" s="49"/>
      <c r="Z2251" s="49"/>
      <c r="AA2251" s="49"/>
      <c r="AB2251" s="49"/>
      <c r="AC2251" s="49"/>
      <c r="AD2251" s="49"/>
      <c r="AE2251" s="49"/>
      <c r="AF2251" s="49"/>
      <c r="AG2251" s="49"/>
      <c r="AH2251" s="49"/>
      <c r="AI2251" s="48"/>
      <c r="AJ2251" s="48"/>
      <c r="AK2251" s="24"/>
      <c r="AL2251" s="50"/>
      <c r="AM2251" s="50"/>
      <c r="AN2251" s="50"/>
      <c r="AO2251" s="50"/>
      <c r="AP2251" s="50"/>
      <c r="AQ2251" s="50"/>
      <c r="AR2251" s="50"/>
      <c r="AS2251" s="50"/>
      <c r="AT2251" s="51"/>
      <c r="AU2251" s="51"/>
      <c r="AV2251" s="51"/>
      <c r="AW2251" s="51"/>
      <c r="AX2251" s="50"/>
      <c r="AY2251" s="50"/>
      <c r="AZ2251" s="50"/>
      <c r="BA2251" s="50"/>
      <c r="BB2251" s="51"/>
      <c r="BC2251" s="51"/>
      <c r="BD2251" s="51"/>
      <c r="BE2251" s="51"/>
      <c r="BF2251" s="47"/>
      <c r="BG2251" s="47"/>
      <c r="BH2251" s="47"/>
      <c r="BI2251" s="47"/>
      <c r="BJ2251" s="47"/>
      <c r="BK2251" s="47"/>
      <c r="BL2251" s="47"/>
      <c r="BM2251" s="47"/>
      <c r="BN2251" s="47"/>
      <c r="BO2251" s="47"/>
      <c r="BP2251" s="47"/>
      <c r="BQ2251" s="47"/>
      <c r="BR2251" s="47"/>
      <c r="BS2251" s="47"/>
      <c r="BT2251" s="47"/>
    </row>
    <row r="2252">
      <c r="A2252" s="24"/>
      <c r="B2252" s="48"/>
      <c r="C2252" s="49"/>
      <c r="D2252" s="24"/>
      <c r="E2252" s="52"/>
      <c r="F2252" s="53"/>
      <c r="G2252" s="48"/>
      <c r="H2252" s="49"/>
      <c r="I2252" s="49"/>
      <c r="J2252" s="48"/>
      <c r="K2252" s="48"/>
      <c r="L2252" s="48"/>
      <c r="M2252" s="48"/>
      <c r="N2252" s="48"/>
      <c r="O2252" s="48"/>
      <c r="P2252" s="48"/>
      <c r="Q2252" s="48"/>
      <c r="R2252" s="48"/>
      <c r="S2252" s="48"/>
      <c r="T2252" s="48"/>
      <c r="U2252" s="48"/>
      <c r="V2252" s="48"/>
      <c r="W2252" s="49"/>
      <c r="X2252" s="49"/>
      <c r="Y2252" s="49"/>
      <c r="Z2252" s="49"/>
      <c r="AA2252" s="49"/>
      <c r="AB2252" s="49"/>
      <c r="AC2252" s="49"/>
      <c r="AD2252" s="49"/>
      <c r="AE2252" s="49"/>
      <c r="AF2252" s="49"/>
      <c r="AG2252" s="49"/>
      <c r="AH2252" s="49"/>
      <c r="AI2252" s="48"/>
      <c r="AJ2252" s="48"/>
      <c r="AK2252" s="24"/>
      <c r="AL2252" s="50"/>
      <c r="AM2252" s="50"/>
      <c r="AN2252" s="50"/>
      <c r="AO2252" s="50"/>
      <c r="AP2252" s="50"/>
      <c r="AQ2252" s="50"/>
      <c r="AR2252" s="50"/>
      <c r="AS2252" s="50"/>
      <c r="AT2252" s="51"/>
      <c r="AU2252" s="51"/>
      <c r="AV2252" s="51"/>
      <c r="AW2252" s="51"/>
      <c r="AX2252" s="50"/>
      <c r="AY2252" s="50"/>
      <c r="AZ2252" s="50"/>
      <c r="BA2252" s="50"/>
      <c r="BB2252" s="51"/>
      <c r="BC2252" s="51"/>
      <c r="BD2252" s="51"/>
      <c r="BE2252" s="51"/>
      <c r="BF2252" s="47"/>
      <c r="BG2252" s="47"/>
      <c r="BH2252" s="47"/>
      <c r="BI2252" s="47"/>
      <c r="BJ2252" s="47"/>
      <c r="BK2252" s="47"/>
      <c r="BL2252" s="47"/>
      <c r="BM2252" s="47"/>
      <c r="BN2252" s="47"/>
      <c r="BO2252" s="47"/>
      <c r="BP2252" s="47"/>
      <c r="BQ2252" s="47"/>
      <c r="BR2252" s="47"/>
      <c r="BS2252" s="47"/>
      <c r="BT2252" s="47"/>
    </row>
    <row r="2253">
      <c r="A2253" s="24"/>
      <c r="B2253" s="48"/>
      <c r="C2253" s="49"/>
      <c r="D2253" s="24"/>
      <c r="E2253" s="52"/>
      <c r="F2253" s="53"/>
      <c r="G2253" s="48"/>
      <c r="H2253" s="49"/>
      <c r="I2253" s="49"/>
      <c r="J2253" s="48"/>
      <c r="K2253" s="48"/>
      <c r="L2253" s="48"/>
      <c r="M2253" s="48"/>
      <c r="N2253" s="48"/>
      <c r="O2253" s="48"/>
      <c r="P2253" s="48"/>
      <c r="Q2253" s="48"/>
      <c r="R2253" s="48"/>
      <c r="S2253" s="48"/>
      <c r="T2253" s="48"/>
      <c r="U2253" s="48"/>
      <c r="V2253" s="48"/>
      <c r="W2253" s="49"/>
      <c r="X2253" s="49"/>
      <c r="Y2253" s="49"/>
      <c r="Z2253" s="49"/>
      <c r="AA2253" s="49"/>
      <c r="AB2253" s="49"/>
      <c r="AC2253" s="49"/>
      <c r="AD2253" s="49"/>
      <c r="AE2253" s="49"/>
      <c r="AF2253" s="49"/>
      <c r="AG2253" s="49"/>
      <c r="AH2253" s="49"/>
      <c r="AI2253" s="48"/>
      <c r="AJ2253" s="48"/>
      <c r="AK2253" s="24"/>
      <c r="AL2253" s="50"/>
      <c r="AM2253" s="50"/>
      <c r="AN2253" s="50"/>
      <c r="AO2253" s="50"/>
      <c r="AP2253" s="50"/>
      <c r="AQ2253" s="50"/>
      <c r="AR2253" s="50"/>
      <c r="AS2253" s="50"/>
      <c r="AT2253" s="51"/>
      <c r="AU2253" s="51"/>
      <c r="AV2253" s="51"/>
      <c r="AW2253" s="51"/>
      <c r="AX2253" s="50"/>
      <c r="AY2253" s="50"/>
      <c r="AZ2253" s="50"/>
      <c r="BA2253" s="50"/>
      <c r="BB2253" s="51"/>
      <c r="BC2253" s="51"/>
      <c r="BD2253" s="51"/>
      <c r="BE2253" s="51"/>
      <c r="BF2253" s="47"/>
      <c r="BG2253" s="47"/>
      <c r="BH2253" s="47"/>
      <c r="BI2253" s="47"/>
      <c r="BJ2253" s="47"/>
      <c r="BK2253" s="47"/>
      <c r="BL2253" s="47"/>
      <c r="BM2253" s="47"/>
      <c r="BN2253" s="47"/>
      <c r="BO2253" s="47"/>
      <c r="BP2253" s="47"/>
      <c r="BQ2253" s="47"/>
      <c r="BR2253" s="47"/>
      <c r="BS2253" s="47"/>
      <c r="BT2253" s="47"/>
    </row>
    <row r="2254">
      <c r="A2254" s="24"/>
      <c r="B2254" s="48"/>
      <c r="C2254" s="49"/>
      <c r="D2254" s="24"/>
      <c r="E2254" s="52"/>
      <c r="F2254" s="53"/>
      <c r="G2254" s="48"/>
      <c r="H2254" s="49"/>
      <c r="I2254" s="49"/>
      <c r="J2254" s="48"/>
      <c r="K2254" s="48"/>
      <c r="L2254" s="48"/>
      <c r="M2254" s="48"/>
      <c r="N2254" s="48"/>
      <c r="O2254" s="48"/>
      <c r="P2254" s="48"/>
      <c r="Q2254" s="48"/>
      <c r="R2254" s="48"/>
      <c r="S2254" s="48"/>
      <c r="T2254" s="48"/>
      <c r="U2254" s="48"/>
      <c r="V2254" s="48"/>
      <c r="W2254" s="49"/>
      <c r="X2254" s="49"/>
      <c r="Y2254" s="49"/>
      <c r="Z2254" s="49"/>
      <c r="AA2254" s="49"/>
      <c r="AB2254" s="49"/>
      <c r="AC2254" s="49"/>
      <c r="AD2254" s="49"/>
      <c r="AE2254" s="49"/>
      <c r="AF2254" s="49"/>
      <c r="AG2254" s="49"/>
      <c r="AH2254" s="49"/>
      <c r="AI2254" s="48"/>
      <c r="AJ2254" s="48"/>
      <c r="AK2254" s="24"/>
      <c r="AL2254" s="50"/>
      <c r="AM2254" s="50"/>
      <c r="AN2254" s="50"/>
      <c r="AO2254" s="50"/>
      <c r="AP2254" s="50"/>
      <c r="AQ2254" s="50"/>
      <c r="AR2254" s="50"/>
      <c r="AS2254" s="50"/>
      <c r="AT2254" s="51"/>
      <c r="AU2254" s="51"/>
      <c r="AV2254" s="51"/>
      <c r="AW2254" s="51"/>
      <c r="AX2254" s="50"/>
      <c r="AY2254" s="50"/>
      <c r="AZ2254" s="50"/>
      <c r="BA2254" s="50"/>
      <c r="BB2254" s="51"/>
      <c r="BC2254" s="51"/>
      <c r="BD2254" s="51"/>
      <c r="BE2254" s="51"/>
      <c r="BF2254" s="47"/>
      <c r="BG2254" s="47"/>
      <c r="BH2254" s="47"/>
      <c r="BI2254" s="47"/>
      <c r="BJ2254" s="47"/>
      <c r="BK2254" s="47"/>
      <c r="BL2254" s="47"/>
      <c r="BM2254" s="47"/>
      <c r="BN2254" s="47"/>
      <c r="BO2254" s="47"/>
      <c r="BP2254" s="47"/>
      <c r="BQ2254" s="47"/>
      <c r="BR2254" s="47"/>
      <c r="BS2254" s="47"/>
      <c r="BT2254" s="47"/>
    </row>
    <row r="2255">
      <c r="A2255" s="24"/>
      <c r="B2255" s="48"/>
      <c r="C2255" s="49"/>
      <c r="D2255" s="24"/>
      <c r="E2255" s="52"/>
      <c r="F2255" s="53"/>
      <c r="G2255" s="48"/>
      <c r="H2255" s="49"/>
      <c r="I2255" s="49"/>
      <c r="J2255" s="48"/>
      <c r="K2255" s="48"/>
      <c r="L2255" s="48"/>
      <c r="M2255" s="48"/>
      <c r="N2255" s="48"/>
      <c r="O2255" s="48"/>
      <c r="P2255" s="48"/>
      <c r="Q2255" s="48"/>
      <c r="R2255" s="48"/>
      <c r="S2255" s="48"/>
      <c r="T2255" s="48"/>
      <c r="U2255" s="48"/>
      <c r="V2255" s="48"/>
      <c r="W2255" s="49"/>
      <c r="X2255" s="49"/>
      <c r="Y2255" s="49"/>
      <c r="Z2255" s="49"/>
      <c r="AA2255" s="49"/>
      <c r="AB2255" s="49"/>
      <c r="AC2255" s="49"/>
      <c r="AD2255" s="49"/>
      <c r="AE2255" s="49"/>
      <c r="AF2255" s="49"/>
      <c r="AG2255" s="49"/>
      <c r="AH2255" s="49"/>
      <c r="AI2255" s="48"/>
      <c r="AJ2255" s="48"/>
      <c r="AK2255" s="24"/>
      <c r="AL2255" s="50"/>
      <c r="AM2255" s="50"/>
      <c r="AN2255" s="50"/>
      <c r="AO2255" s="50"/>
      <c r="AP2255" s="50"/>
      <c r="AQ2255" s="50"/>
      <c r="AR2255" s="50"/>
      <c r="AS2255" s="50"/>
      <c r="AT2255" s="51"/>
      <c r="AU2255" s="51"/>
      <c r="AV2255" s="51"/>
      <c r="AW2255" s="51"/>
      <c r="AX2255" s="50"/>
      <c r="AY2255" s="50"/>
      <c r="AZ2255" s="50"/>
      <c r="BA2255" s="50"/>
      <c r="BB2255" s="51"/>
      <c r="BC2255" s="51"/>
      <c r="BD2255" s="51"/>
      <c r="BE2255" s="51"/>
      <c r="BF2255" s="47"/>
      <c r="BG2255" s="47"/>
      <c r="BH2255" s="47"/>
      <c r="BI2255" s="47"/>
      <c r="BJ2255" s="47"/>
      <c r="BK2255" s="47"/>
      <c r="BL2255" s="47"/>
      <c r="BM2255" s="47"/>
      <c r="BN2255" s="47"/>
      <c r="BO2255" s="47"/>
      <c r="BP2255" s="47"/>
      <c r="BQ2255" s="47"/>
      <c r="BR2255" s="47"/>
      <c r="BS2255" s="47"/>
      <c r="BT2255" s="47"/>
    </row>
    <row r="2256">
      <c r="A2256" s="24"/>
      <c r="B2256" s="48"/>
      <c r="C2256" s="49"/>
      <c r="D2256" s="24"/>
      <c r="E2256" s="52"/>
      <c r="F2256" s="53"/>
      <c r="G2256" s="48"/>
      <c r="H2256" s="49"/>
      <c r="I2256" s="49"/>
      <c r="J2256" s="48"/>
      <c r="K2256" s="48"/>
      <c r="L2256" s="48"/>
      <c r="M2256" s="48"/>
      <c r="N2256" s="48"/>
      <c r="O2256" s="48"/>
      <c r="P2256" s="48"/>
      <c r="Q2256" s="48"/>
      <c r="R2256" s="48"/>
      <c r="S2256" s="48"/>
      <c r="T2256" s="48"/>
      <c r="U2256" s="48"/>
      <c r="V2256" s="48"/>
      <c r="W2256" s="49"/>
      <c r="X2256" s="49"/>
      <c r="Y2256" s="49"/>
      <c r="Z2256" s="49"/>
      <c r="AA2256" s="49"/>
      <c r="AB2256" s="49"/>
      <c r="AC2256" s="49"/>
      <c r="AD2256" s="49"/>
      <c r="AE2256" s="49"/>
      <c r="AF2256" s="49"/>
      <c r="AG2256" s="49"/>
      <c r="AH2256" s="49"/>
      <c r="AI2256" s="48"/>
      <c r="AJ2256" s="48"/>
      <c r="AK2256" s="24"/>
      <c r="AL2256" s="50"/>
      <c r="AM2256" s="50"/>
      <c r="AN2256" s="50"/>
      <c r="AO2256" s="50"/>
      <c r="AP2256" s="50"/>
      <c r="AQ2256" s="50"/>
      <c r="AR2256" s="50"/>
      <c r="AS2256" s="50"/>
      <c r="AT2256" s="51"/>
      <c r="AU2256" s="51"/>
      <c r="AV2256" s="51"/>
      <c r="AW2256" s="51"/>
      <c r="AX2256" s="50"/>
      <c r="AY2256" s="50"/>
      <c r="AZ2256" s="50"/>
      <c r="BA2256" s="50"/>
      <c r="BB2256" s="51"/>
      <c r="BC2256" s="51"/>
      <c r="BD2256" s="51"/>
      <c r="BE2256" s="51"/>
      <c r="BF2256" s="47"/>
      <c r="BG2256" s="47"/>
      <c r="BH2256" s="47"/>
      <c r="BI2256" s="47"/>
      <c r="BJ2256" s="47"/>
      <c r="BK2256" s="47"/>
      <c r="BL2256" s="47"/>
      <c r="BM2256" s="47"/>
      <c r="BN2256" s="47"/>
      <c r="BO2256" s="47"/>
      <c r="BP2256" s="47"/>
      <c r="BQ2256" s="47"/>
      <c r="BR2256" s="47"/>
      <c r="BS2256" s="47"/>
      <c r="BT2256" s="47"/>
    </row>
    <row r="2257">
      <c r="A2257" s="24"/>
      <c r="B2257" s="48"/>
      <c r="C2257" s="49"/>
      <c r="D2257" s="24"/>
      <c r="E2257" s="52"/>
      <c r="F2257" s="53"/>
      <c r="G2257" s="48"/>
      <c r="H2257" s="49"/>
      <c r="I2257" s="49"/>
      <c r="J2257" s="48"/>
      <c r="K2257" s="48"/>
      <c r="L2257" s="48"/>
      <c r="M2257" s="48"/>
      <c r="N2257" s="48"/>
      <c r="O2257" s="48"/>
      <c r="P2257" s="48"/>
      <c r="Q2257" s="48"/>
      <c r="R2257" s="48"/>
      <c r="S2257" s="48"/>
      <c r="T2257" s="48"/>
      <c r="U2257" s="48"/>
      <c r="V2257" s="48"/>
      <c r="W2257" s="49"/>
      <c r="X2257" s="49"/>
      <c r="Y2257" s="49"/>
      <c r="Z2257" s="49"/>
      <c r="AA2257" s="49"/>
      <c r="AB2257" s="49"/>
      <c r="AC2257" s="49"/>
      <c r="AD2257" s="49"/>
      <c r="AE2257" s="49"/>
      <c r="AF2257" s="49"/>
      <c r="AG2257" s="49"/>
      <c r="AH2257" s="49"/>
      <c r="AI2257" s="48"/>
      <c r="AJ2257" s="48"/>
      <c r="AK2257" s="24"/>
      <c r="AL2257" s="50"/>
      <c r="AM2257" s="50"/>
      <c r="AN2257" s="50"/>
      <c r="AO2257" s="50"/>
      <c r="AP2257" s="50"/>
      <c r="AQ2257" s="50"/>
      <c r="AR2257" s="50"/>
      <c r="AS2257" s="50"/>
      <c r="AT2257" s="51"/>
      <c r="AU2257" s="51"/>
      <c r="AV2257" s="51"/>
      <c r="AW2257" s="51"/>
      <c r="AX2257" s="50"/>
      <c r="AY2257" s="50"/>
      <c r="AZ2257" s="50"/>
      <c r="BA2257" s="50"/>
      <c r="BB2257" s="51"/>
      <c r="BC2257" s="51"/>
      <c r="BD2257" s="51"/>
      <c r="BE2257" s="51"/>
      <c r="BF2257" s="47"/>
      <c r="BG2257" s="47"/>
      <c r="BH2257" s="47"/>
      <c r="BI2257" s="47"/>
      <c r="BJ2257" s="47"/>
      <c r="BK2257" s="47"/>
      <c r="BL2257" s="47"/>
      <c r="BM2257" s="47"/>
      <c r="BN2257" s="47"/>
      <c r="BO2257" s="47"/>
      <c r="BP2257" s="47"/>
      <c r="BQ2257" s="47"/>
      <c r="BR2257" s="47"/>
      <c r="BS2257" s="47"/>
      <c r="BT2257" s="47"/>
    </row>
    <row r="2258">
      <c r="A2258" s="24"/>
      <c r="B2258" s="48"/>
      <c r="C2258" s="49"/>
      <c r="D2258" s="24"/>
      <c r="E2258" s="52"/>
      <c r="F2258" s="53"/>
      <c r="G2258" s="48"/>
      <c r="H2258" s="49"/>
      <c r="I2258" s="49"/>
      <c r="J2258" s="48"/>
      <c r="K2258" s="48"/>
      <c r="L2258" s="48"/>
      <c r="M2258" s="48"/>
      <c r="N2258" s="48"/>
      <c r="O2258" s="48"/>
      <c r="P2258" s="48"/>
      <c r="Q2258" s="48"/>
      <c r="R2258" s="48"/>
      <c r="S2258" s="48"/>
      <c r="T2258" s="48"/>
      <c r="U2258" s="48"/>
      <c r="V2258" s="48"/>
      <c r="W2258" s="49"/>
      <c r="X2258" s="49"/>
      <c r="Y2258" s="49"/>
      <c r="Z2258" s="49"/>
      <c r="AA2258" s="49"/>
      <c r="AB2258" s="49"/>
      <c r="AC2258" s="49"/>
      <c r="AD2258" s="49"/>
      <c r="AE2258" s="49"/>
      <c r="AF2258" s="49"/>
      <c r="AG2258" s="49"/>
      <c r="AH2258" s="49"/>
      <c r="AI2258" s="48"/>
      <c r="AJ2258" s="48"/>
      <c r="AK2258" s="24"/>
      <c r="AL2258" s="50"/>
      <c r="AM2258" s="50"/>
      <c r="AN2258" s="50"/>
      <c r="AO2258" s="50"/>
      <c r="AP2258" s="50"/>
      <c r="AQ2258" s="50"/>
      <c r="AR2258" s="50"/>
      <c r="AS2258" s="50"/>
      <c r="AT2258" s="51"/>
      <c r="AU2258" s="51"/>
      <c r="AV2258" s="51"/>
      <c r="AW2258" s="51"/>
      <c r="AX2258" s="50"/>
      <c r="AY2258" s="50"/>
      <c r="AZ2258" s="50"/>
      <c r="BA2258" s="50"/>
      <c r="BB2258" s="51"/>
      <c r="BC2258" s="51"/>
      <c r="BD2258" s="51"/>
      <c r="BE2258" s="51"/>
      <c r="BF2258" s="47"/>
      <c r="BG2258" s="47"/>
      <c r="BH2258" s="47"/>
      <c r="BI2258" s="47"/>
      <c r="BJ2258" s="47"/>
      <c r="BK2258" s="47"/>
      <c r="BL2258" s="47"/>
      <c r="BM2258" s="47"/>
      <c r="BN2258" s="47"/>
      <c r="BO2258" s="47"/>
      <c r="BP2258" s="47"/>
      <c r="BQ2258" s="47"/>
      <c r="BR2258" s="47"/>
      <c r="BS2258" s="47"/>
      <c r="BT2258" s="47"/>
    </row>
    <row r="2259">
      <c r="A2259" s="24"/>
      <c r="B2259" s="48"/>
      <c r="C2259" s="49"/>
      <c r="D2259" s="24"/>
      <c r="E2259" s="52"/>
      <c r="F2259" s="53"/>
      <c r="G2259" s="48"/>
      <c r="H2259" s="49"/>
      <c r="I2259" s="49"/>
      <c r="J2259" s="48"/>
      <c r="K2259" s="48"/>
      <c r="L2259" s="48"/>
      <c r="M2259" s="48"/>
      <c r="N2259" s="48"/>
      <c r="O2259" s="48"/>
      <c r="P2259" s="48"/>
      <c r="Q2259" s="48"/>
      <c r="R2259" s="48"/>
      <c r="S2259" s="48"/>
      <c r="T2259" s="48"/>
      <c r="U2259" s="48"/>
      <c r="V2259" s="48"/>
      <c r="W2259" s="49"/>
      <c r="X2259" s="49"/>
      <c r="Y2259" s="49"/>
      <c r="Z2259" s="49"/>
      <c r="AA2259" s="49"/>
      <c r="AB2259" s="49"/>
      <c r="AC2259" s="49"/>
      <c r="AD2259" s="49"/>
      <c r="AE2259" s="49"/>
      <c r="AF2259" s="49"/>
      <c r="AG2259" s="49"/>
      <c r="AH2259" s="49"/>
      <c r="AI2259" s="48"/>
      <c r="AJ2259" s="48"/>
      <c r="AK2259" s="24"/>
      <c r="AL2259" s="50"/>
      <c r="AM2259" s="50"/>
      <c r="AN2259" s="50"/>
      <c r="AO2259" s="50"/>
      <c r="AP2259" s="50"/>
      <c r="AQ2259" s="50"/>
      <c r="AR2259" s="50"/>
      <c r="AS2259" s="50"/>
      <c r="AT2259" s="51"/>
      <c r="AU2259" s="51"/>
      <c r="AV2259" s="51"/>
      <c r="AW2259" s="51"/>
      <c r="AX2259" s="50"/>
      <c r="AY2259" s="50"/>
      <c r="AZ2259" s="50"/>
      <c r="BA2259" s="50"/>
      <c r="BB2259" s="51"/>
      <c r="BC2259" s="51"/>
      <c r="BD2259" s="51"/>
      <c r="BE2259" s="51"/>
      <c r="BF2259" s="47"/>
      <c r="BG2259" s="47"/>
      <c r="BH2259" s="47"/>
      <c r="BI2259" s="47"/>
      <c r="BJ2259" s="47"/>
      <c r="BK2259" s="47"/>
      <c r="BL2259" s="47"/>
      <c r="BM2259" s="47"/>
      <c r="BN2259" s="47"/>
      <c r="BO2259" s="47"/>
      <c r="BP2259" s="47"/>
      <c r="BQ2259" s="47"/>
      <c r="BR2259" s="47"/>
      <c r="BS2259" s="47"/>
      <c r="BT2259" s="47"/>
    </row>
    <row r="2260">
      <c r="A2260" s="24"/>
      <c r="B2260" s="48"/>
      <c r="C2260" s="49"/>
      <c r="D2260" s="24"/>
      <c r="E2260" s="52"/>
      <c r="F2260" s="53"/>
      <c r="G2260" s="48"/>
      <c r="H2260" s="49"/>
      <c r="I2260" s="49"/>
      <c r="J2260" s="48"/>
      <c r="K2260" s="48"/>
      <c r="L2260" s="48"/>
      <c r="M2260" s="48"/>
      <c r="N2260" s="48"/>
      <c r="O2260" s="48"/>
      <c r="P2260" s="48"/>
      <c r="Q2260" s="48"/>
      <c r="R2260" s="48"/>
      <c r="S2260" s="48"/>
      <c r="T2260" s="48"/>
      <c r="U2260" s="48"/>
      <c r="V2260" s="48"/>
      <c r="W2260" s="49"/>
      <c r="X2260" s="49"/>
      <c r="Y2260" s="49"/>
      <c r="Z2260" s="49"/>
      <c r="AA2260" s="49"/>
      <c r="AB2260" s="49"/>
      <c r="AC2260" s="49"/>
      <c r="AD2260" s="49"/>
      <c r="AE2260" s="49"/>
      <c r="AF2260" s="49"/>
      <c r="AG2260" s="49"/>
      <c r="AH2260" s="49"/>
      <c r="AI2260" s="48"/>
      <c r="AJ2260" s="48"/>
      <c r="AK2260" s="24"/>
      <c r="AL2260" s="50"/>
      <c r="AM2260" s="50"/>
      <c r="AN2260" s="50"/>
      <c r="AO2260" s="50"/>
      <c r="AP2260" s="50"/>
      <c r="AQ2260" s="50"/>
      <c r="AR2260" s="50"/>
      <c r="AS2260" s="50"/>
      <c r="AT2260" s="51"/>
      <c r="AU2260" s="51"/>
      <c r="AV2260" s="51"/>
      <c r="AW2260" s="51"/>
      <c r="AX2260" s="50"/>
      <c r="AY2260" s="50"/>
      <c r="AZ2260" s="50"/>
      <c r="BA2260" s="50"/>
      <c r="BB2260" s="51"/>
      <c r="BC2260" s="51"/>
      <c r="BD2260" s="51"/>
      <c r="BE2260" s="51"/>
      <c r="BF2260" s="47"/>
      <c r="BG2260" s="47"/>
      <c r="BH2260" s="47"/>
      <c r="BI2260" s="47"/>
      <c r="BJ2260" s="47"/>
      <c r="BK2260" s="47"/>
      <c r="BL2260" s="47"/>
      <c r="BM2260" s="47"/>
      <c r="BN2260" s="47"/>
      <c r="BO2260" s="47"/>
      <c r="BP2260" s="47"/>
      <c r="BQ2260" s="47"/>
      <c r="BR2260" s="47"/>
      <c r="BS2260" s="47"/>
      <c r="BT2260" s="47"/>
    </row>
    <row r="2261">
      <c r="A2261" s="24"/>
      <c r="B2261" s="48"/>
      <c r="C2261" s="49"/>
      <c r="D2261" s="24"/>
      <c r="E2261" s="52"/>
      <c r="F2261" s="53"/>
      <c r="G2261" s="48"/>
      <c r="H2261" s="49"/>
      <c r="I2261" s="49"/>
      <c r="J2261" s="48"/>
      <c r="K2261" s="48"/>
      <c r="L2261" s="48"/>
      <c r="M2261" s="48"/>
      <c r="N2261" s="48"/>
      <c r="O2261" s="48"/>
      <c r="P2261" s="48"/>
      <c r="Q2261" s="48"/>
      <c r="R2261" s="48"/>
      <c r="S2261" s="48"/>
      <c r="T2261" s="48"/>
      <c r="U2261" s="48"/>
      <c r="V2261" s="48"/>
      <c r="W2261" s="49"/>
      <c r="X2261" s="49"/>
      <c r="Y2261" s="49"/>
      <c r="Z2261" s="49"/>
      <c r="AA2261" s="49"/>
      <c r="AB2261" s="49"/>
      <c r="AC2261" s="49"/>
      <c r="AD2261" s="49"/>
      <c r="AE2261" s="49"/>
      <c r="AF2261" s="49"/>
      <c r="AG2261" s="49"/>
      <c r="AH2261" s="49"/>
      <c r="AI2261" s="48"/>
      <c r="AJ2261" s="48"/>
      <c r="AK2261" s="24"/>
      <c r="AL2261" s="50"/>
      <c r="AM2261" s="50"/>
      <c r="AN2261" s="50"/>
      <c r="AO2261" s="50"/>
      <c r="AP2261" s="50"/>
      <c r="AQ2261" s="50"/>
      <c r="AR2261" s="50"/>
      <c r="AS2261" s="50"/>
      <c r="AT2261" s="51"/>
      <c r="AU2261" s="51"/>
      <c r="AV2261" s="51"/>
      <c r="AW2261" s="51"/>
      <c r="AX2261" s="50"/>
      <c r="AY2261" s="50"/>
      <c r="AZ2261" s="50"/>
      <c r="BA2261" s="50"/>
      <c r="BB2261" s="51"/>
      <c r="BC2261" s="51"/>
      <c r="BD2261" s="51"/>
      <c r="BE2261" s="51"/>
      <c r="BF2261" s="47"/>
      <c r="BG2261" s="47"/>
      <c r="BH2261" s="47"/>
      <c r="BI2261" s="47"/>
      <c r="BJ2261" s="47"/>
      <c r="BK2261" s="47"/>
      <c r="BL2261" s="47"/>
      <c r="BM2261" s="47"/>
      <c r="BN2261" s="47"/>
      <c r="BO2261" s="47"/>
      <c r="BP2261" s="47"/>
      <c r="BQ2261" s="47"/>
      <c r="BR2261" s="47"/>
      <c r="BS2261" s="47"/>
      <c r="BT2261" s="47"/>
    </row>
    <row r="2262">
      <c r="A2262" s="24"/>
      <c r="B2262" s="48"/>
      <c r="C2262" s="49"/>
      <c r="D2262" s="24"/>
      <c r="E2262" s="52"/>
      <c r="F2262" s="53"/>
      <c r="G2262" s="48"/>
      <c r="H2262" s="49"/>
      <c r="I2262" s="49"/>
      <c r="J2262" s="48"/>
      <c r="K2262" s="48"/>
      <c r="L2262" s="48"/>
      <c r="M2262" s="48"/>
      <c r="N2262" s="48"/>
      <c r="O2262" s="48"/>
      <c r="P2262" s="48"/>
      <c r="Q2262" s="48"/>
      <c r="R2262" s="48"/>
      <c r="S2262" s="48"/>
      <c r="T2262" s="48"/>
      <c r="U2262" s="48"/>
      <c r="V2262" s="48"/>
      <c r="W2262" s="49"/>
      <c r="X2262" s="49"/>
      <c r="Y2262" s="49"/>
      <c r="Z2262" s="49"/>
      <c r="AA2262" s="49"/>
      <c r="AB2262" s="49"/>
      <c r="AC2262" s="49"/>
      <c r="AD2262" s="49"/>
      <c r="AE2262" s="49"/>
      <c r="AF2262" s="49"/>
      <c r="AG2262" s="49"/>
      <c r="AH2262" s="49"/>
      <c r="AI2262" s="48"/>
      <c r="AJ2262" s="48"/>
      <c r="AK2262" s="24"/>
      <c r="AL2262" s="50"/>
      <c r="AM2262" s="50"/>
      <c r="AN2262" s="50"/>
      <c r="AO2262" s="50"/>
      <c r="AP2262" s="50"/>
      <c r="AQ2262" s="50"/>
      <c r="AR2262" s="50"/>
      <c r="AS2262" s="50"/>
      <c r="AT2262" s="51"/>
      <c r="AU2262" s="51"/>
      <c r="AV2262" s="51"/>
      <c r="AW2262" s="51"/>
      <c r="AX2262" s="50"/>
      <c r="AY2262" s="50"/>
      <c r="AZ2262" s="50"/>
      <c r="BA2262" s="50"/>
      <c r="BB2262" s="51"/>
      <c r="BC2262" s="51"/>
      <c r="BD2262" s="51"/>
      <c r="BE2262" s="51"/>
      <c r="BF2262" s="47"/>
      <c r="BG2262" s="47"/>
      <c r="BH2262" s="47"/>
      <c r="BI2262" s="47"/>
      <c r="BJ2262" s="47"/>
      <c r="BK2262" s="47"/>
      <c r="BL2262" s="47"/>
      <c r="BM2262" s="47"/>
      <c r="BN2262" s="47"/>
      <c r="BO2262" s="47"/>
      <c r="BP2262" s="47"/>
      <c r="BQ2262" s="47"/>
      <c r="BR2262" s="47"/>
      <c r="BS2262" s="47"/>
      <c r="BT2262" s="47"/>
    </row>
    <row r="2263">
      <c r="A2263" s="24"/>
      <c r="B2263" s="48"/>
      <c r="C2263" s="49"/>
      <c r="D2263" s="24"/>
      <c r="E2263" s="52"/>
      <c r="F2263" s="53"/>
      <c r="G2263" s="48"/>
      <c r="H2263" s="49"/>
      <c r="I2263" s="49"/>
      <c r="J2263" s="48"/>
      <c r="K2263" s="48"/>
      <c r="L2263" s="48"/>
      <c r="M2263" s="48"/>
      <c r="N2263" s="48"/>
      <c r="O2263" s="48"/>
      <c r="P2263" s="48"/>
      <c r="Q2263" s="48"/>
      <c r="R2263" s="48"/>
      <c r="S2263" s="48"/>
      <c r="T2263" s="48"/>
      <c r="U2263" s="48"/>
      <c r="V2263" s="48"/>
      <c r="W2263" s="49"/>
      <c r="X2263" s="49"/>
      <c r="Y2263" s="49"/>
      <c r="Z2263" s="49"/>
      <c r="AA2263" s="49"/>
      <c r="AB2263" s="49"/>
      <c r="AC2263" s="49"/>
      <c r="AD2263" s="49"/>
      <c r="AE2263" s="49"/>
      <c r="AF2263" s="49"/>
      <c r="AG2263" s="49"/>
      <c r="AH2263" s="49"/>
      <c r="AI2263" s="48"/>
      <c r="AJ2263" s="48"/>
      <c r="AK2263" s="24"/>
      <c r="AL2263" s="50"/>
      <c r="AM2263" s="50"/>
      <c r="AN2263" s="50"/>
      <c r="AO2263" s="50"/>
      <c r="AP2263" s="50"/>
      <c r="AQ2263" s="50"/>
      <c r="AR2263" s="50"/>
      <c r="AS2263" s="50"/>
      <c r="AT2263" s="51"/>
      <c r="AU2263" s="51"/>
      <c r="AV2263" s="51"/>
      <c r="AW2263" s="51"/>
      <c r="AX2263" s="50"/>
      <c r="AY2263" s="50"/>
      <c r="AZ2263" s="50"/>
      <c r="BA2263" s="50"/>
      <c r="BB2263" s="51"/>
      <c r="BC2263" s="51"/>
      <c r="BD2263" s="51"/>
      <c r="BE2263" s="51"/>
      <c r="BF2263" s="47"/>
      <c r="BG2263" s="47"/>
      <c r="BH2263" s="47"/>
      <c r="BI2263" s="47"/>
      <c r="BJ2263" s="47"/>
      <c r="BK2263" s="47"/>
      <c r="BL2263" s="47"/>
      <c r="BM2263" s="47"/>
      <c r="BN2263" s="47"/>
      <c r="BO2263" s="47"/>
      <c r="BP2263" s="47"/>
      <c r="BQ2263" s="47"/>
      <c r="BR2263" s="47"/>
      <c r="BS2263" s="47"/>
      <c r="BT2263" s="47"/>
    </row>
    <row r="2264">
      <c r="A2264" s="24"/>
      <c r="B2264" s="48"/>
      <c r="C2264" s="49"/>
      <c r="D2264" s="24"/>
      <c r="E2264" s="52"/>
      <c r="F2264" s="53"/>
      <c r="G2264" s="48"/>
      <c r="H2264" s="49"/>
      <c r="I2264" s="49"/>
      <c r="J2264" s="48"/>
      <c r="K2264" s="48"/>
      <c r="L2264" s="48"/>
      <c r="M2264" s="48"/>
      <c r="N2264" s="48"/>
      <c r="O2264" s="48"/>
      <c r="P2264" s="48"/>
      <c r="Q2264" s="48"/>
      <c r="R2264" s="48"/>
      <c r="S2264" s="48"/>
      <c r="T2264" s="48"/>
      <c r="U2264" s="48"/>
      <c r="V2264" s="48"/>
      <c r="W2264" s="49"/>
      <c r="X2264" s="49"/>
      <c r="Y2264" s="49"/>
      <c r="Z2264" s="49"/>
      <c r="AA2264" s="49"/>
      <c r="AB2264" s="49"/>
      <c r="AC2264" s="49"/>
      <c r="AD2264" s="49"/>
      <c r="AE2264" s="49"/>
      <c r="AF2264" s="49"/>
      <c r="AG2264" s="49"/>
      <c r="AH2264" s="49"/>
      <c r="AI2264" s="48"/>
      <c r="AJ2264" s="48"/>
      <c r="AK2264" s="24"/>
      <c r="AL2264" s="50"/>
      <c r="AM2264" s="50"/>
      <c r="AN2264" s="50"/>
      <c r="AO2264" s="50"/>
      <c r="AP2264" s="50"/>
      <c r="AQ2264" s="50"/>
      <c r="AR2264" s="50"/>
      <c r="AS2264" s="50"/>
      <c r="AT2264" s="51"/>
      <c r="AU2264" s="51"/>
      <c r="AV2264" s="51"/>
      <c r="AW2264" s="51"/>
      <c r="AX2264" s="50"/>
      <c r="AY2264" s="50"/>
      <c r="AZ2264" s="50"/>
      <c r="BA2264" s="50"/>
      <c r="BB2264" s="51"/>
      <c r="BC2264" s="51"/>
      <c r="BD2264" s="51"/>
      <c r="BE2264" s="51"/>
      <c r="BF2264" s="47"/>
      <c r="BG2264" s="47"/>
      <c r="BH2264" s="47"/>
      <c r="BI2264" s="47"/>
      <c r="BJ2264" s="47"/>
      <c r="BK2264" s="47"/>
      <c r="BL2264" s="47"/>
      <c r="BM2264" s="47"/>
      <c r="BN2264" s="47"/>
      <c r="BO2264" s="47"/>
      <c r="BP2264" s="47"/>
      <c r="BQ2264" s="47"/>
      <c r="BR2264" s="47"/>
      <c r="BS2264" s="47"/>
      <c r="BT2264" s="47"/>
    </row>
    <row r="2265">
      <c r="A2265" s="24"/>
      <c r="B2265" s="48"/>
      <c r="C2265" s="49"/>
      <c r="D2265" s="24"/>
      <c r="E2265" s="52"/>
      <c r="F2265" s="53"/>
      <c r="G2265" s="48"/>
      <c r="H2265" s="49"/>
      <c r="I2265" s="49"/>
      <c r="J2265" s="48"/>
      <c r="K2265" s="48"/>
      <c r="L2265" s="48"/>
      <c r="M2265" s="48"/>
      <c r="N2265" s="48"/>
      <c r="O2265" s="48"/>
      <c r="P2265" s="48"/>
      <c r="Q2265" s="48"/>
      <c r="R2265" s="48"/>
      <c r="S2265" s="48"/>
      <c r="T2265" s="48"/>
      <c r="U2265" s="48"/>
      <c r="V2265" s="48"/>
      <c r="W2265" s="49"/>
      <c r="X2265" s="49"/>
      <c r="Y2265" s="49"/>
      <c r="Z2265" s="49"/>
      <c r="AA2265" s="49"/>
      <c r="AB2265" s="49"/>
      <c r="AC2265" s="49"/>
      <c r="AD2265" s="49"/>
      <c r="AE2265" s="49"/>
      <c r="AF2265" s="49"/>
      <c r="AG2265" s="49"/>
      <c r="AH2265" s="49"/>
      <c r="AI2265" s="48"/>
      <c r="AJ2265" s="48"/>
      <c r="AK2265" s="24"/>
      <c r="AL2265" s="50"/>
      <c r="AM2265" s="50"/>
      <c r="AN2265" s="50"/>
      <c r="AO2265" s="50"/>
      <c r="AP2265" s="50"/>
      <c r="AQ2265" s="50"/>
      <c r="AR2265" s="50"/>
      <c r="AS2265" s="50"/>
      <c r="AT2265" s="51"/>
      <c r="AU2265" s="51"/>
      <c r="AV2265" s="51"/>
      <c r="AW2265" s="51"/>
      <c r="AX2265" s="50"/>
      <c r="AY2265" s="50"/>
      <c r="AZ2265" s="50"/>
      <c r="BA2265" s="50"/>
      <c r="BB2265" s="51"/>
      <c r="BC2265" s="51"/>
      <c r="BD2265" s="51"/>
      <c r="BE2265" s="51"/>
      <c r="BF2265" s="47"/>
      <c r="BG2265" s="47"/>
      <c r="BH2265" s="47"/>
      <c r="BI2265" s="47"/>
      <c r="BJ2265" s="47"/>
      <c r="BK2265" s="47"/>
      <c r="BL2265" s="47"/>
      <c r="BM2265" s="47"/>
      <c r="BN2265" s="47"/>
      <c r="BO2265" s="47"/>
      <c r="BP2265" s="47"/>
      <c r="BQ2265" s="47"/>
      <c r="BR2265" s="47"/>
      <c r="BS2265" s="47"/>
      <c r="BT2265" s="47"/>
    </row>
    <row r="2266">
      <c r="A2266" s="24"/>
      <c r="B2266" s="48"/>
      <c r="C2266" s="49"/>
      <c r="D2266" s="24"/>
      <c r="E2266" s="52"/>
      <c r="F2266" s="53"/>
      <c r="G2266" s="48"/>
      <c r="H2266" s="49"/>
      <c r="I2266" s="49"/>
      <c r="J2266" s="48"/>
      <c r="K2266" s="48"/>
      <c r="L2266" s="48"/>
      <c r="M2266" s="48"/>
      <c r="N2266" s="48"/>
      <c r="O2266" s="48"/>
      <c r="P2266" s="48"/>
      <c r="Q2266" s="48"/>
      <c r="R2266" s="48"/>
      <c r="S2266" s="48"/>
      <c r="T2266" s="48"/>
      <c r="U2266" s="48"/>
      <c r="V2266" s="48"/>
      <c r="W2266" s="49"/>
      <c r="X2266" s="49"/>
      <c r="Y2266" s="49"/>
      <c r="Z2266" s="49"/>
      <c r="AA2266" s="49"/>
      <c r="AB2266" s="49"/>
      <c r="AC2266" s="49"/>
      <c r="AD2266" s="49"/>
      <c r="AE2266" s="49"/>
      <c r="AF2266" s="49"/>
      <c r="AG2266" s="49"/>
      <c r="AH2266" s="49"/>
      <c r="AI2266" s="48"/>
      <c r="AJ2266" s="48"/>
      <c r="AK2266" s="24"/>
      <c r="AL2266" s="50"/>
      <c r="AM2266" s="50"/>
      <c r="AN2266" s="50"/>
      <c r="AO2266" s="50"/>
      <c r="AP2266" s="50"/>
      <c r="AQ2266" s="50"/>
      <c r="AR2266" s="50"/>
      <c r="AS2266" s="50"/>
      <c r="AT2266" s="51"/>
      <c r="AU2266" s="51"/>
      <c r="AV2266" s="51"/>
      <c r="AW2266" s="51"/>
      <c r="AX2266" s="50"/>
      <c r="AY2266" s="50"/>
      <c r="AZ2266" s="50"/>
      <c r="BA2266" s="50"/>
      <c r="BB2266" s="51"/>
      <c r="BC2266" s="51"/>
      <c r="BD2266" s="51"/>
      <c r="BE2266" s="51"/>
      <c r="BF2266" s="47"/>
      <c r="BG2266" s="47"/>
      <c r="BH2266" s="47"/>
      <c r="BI2266" s="47"/>
      <c r="BJ2266" s="47"/>
      <c r="BK2266" s="47"/>
      <c r="BL2266" s="47"/>
      <c r="BM2266" s="47"/>
      <c r="BN2266" s="47"/>
      <c r="BO2266" s="47"/>
      <c r="BP2266" s="47"/>
      <c r="BQ2266" s="47"/>
      <c r="BR2266" s="47"/>
      <c r="BS2266" s="47"/>
      <c r="BT2266" s="47"/>
    </row>
    <row r="2267">
      <c r="A2267" s="24"/>
      <c r="B2267" s="48"/>
      <c r="C2267" s="49"/>
      <c r="D2267" s="24"/>
      <c r="E2267" s="52"/>
      <c r="F2267" s="53"/>
      <c r="G2267" s="48"/>
      <c r="H2267" s="49"/>
      <c r="I2267" s="49"/>
      <c r="J2267" s="48"/>
      <c r="K2267" s="48"/>
      <c r="L2267" s="48"/>
      <c r="M2267" s="48"/>
      <c r="N2267" s="48"/>
      <c r="O2267" s="48"/>
      <c r="P2267" s="48"/>
      <c r="Q2267" s="48"/>
      <c r="R2267" s="48"/>
      <c r="S2267" s="48"/>
      <c r="T2267" s="48"/>
      <c r="U2267" s="48"/>
      <c r="V2267" s="48"/>
      <c r="W2267" s="49"/>
      <c r="X2267" s="49"/>
      <c r="Y2267" s="49"/>
      <c r="Z2267" s="49"/>
      <c r="AA2267" s="49"/>
      <c r="AB2267" s="49"/>
      <c r="AC2267" s="49"/>
      <c r="AD2267" s="49"/>
      <c r="AE2267" s="49"/>
      <c r="AF2267" s="49"/>
      <c r="AG2267" s="49"/>
      <c r="AH2267" s="49"/>
      <c r="AI2267" s="48"/>
      <c r="AJ2267" s="48"/>
      <c r="AK2267" s="24"/>
      <c r="AL2267" s="50"/>
      <c r="AM2267" s="50"/>
      <c r="AN2267" s="50"/>
      <c r="AO2267" s="50"/>
      <c r="AP2267" s="50"/>
      <c r="AQ2267" s="50"/>
      <c r="AR2267" s="50"/>
      <c r="AS2267" s="50"/>
      <c r="AT2267" s="51"/>
      <c r="AU2267" s="51"/>
      <c r="AV2267" s="51"/>
      <c r="AW2267" s="51"/>
      <c r="AX2267" s="50"/>
      <c r="AY2267" s="50"/>
      <c r="AZ2267" s="50"/>
      <c r="BA2267" s="50"/>
      <c r="BB2267" s="51"/>
      <c r="BC2267" s="51"/>
      <c r="BD2267" s="51"/>
      <c r="BE2267" s="51"/>
      <c r="BF2267" s="47"/>
      <c r="BG2267" s="47"/>
      <c r="BH2267" s="47"/>
      <c r="BI2267" s="47"/>
      <c r="BJ2267" s="47"/>
      <c r="BK2267" s="47"/>
      <c r="BL2267" s="47"/>
      <c r="BM2267" s="47"/>
      <c r="BN2267" s="47"/>
      <c r="BO2267" s="47"/>
      <c r="BP2267" s="47"/>
      <c r="BQ2267" s="47"/>
      <c r="BR2267" s="47"/>
      <c r="BS2267" s="47"/>
      <c r="BT2267" s="47"/>
    </row>
    <row r="2268">
      <c r="A2268" s="24"/>
      <c r="B2268" s="48"/>
      <c r="C2268" s="49"/>
      <c r="D2268" s="24"/>
      <c r="E2268" s="52"/>
      <c r="F2268" s="53"/>
      <c r="G2268" s="48"/>
      <c r="H2268" s="49"/>
      <c r="I2268" s="49"/>
      <c r="J2268" s="48"/>
      <c r="K2268" s="48"/>
      <c r="L2268" s="48"/>
      <c r="M2268" s="48"/>
      <c r="N2268" s="48"/>
      <c r="O2268" s="48"/>
      <c r="P2268" s="48"/>
      <c r="Q2268" s="48"/>
      <c r="R2268" s="48"/>
      <c r="S2268" s="48"/>
      <c r="T2268" s="48"/>
      <c r="U2268" s="48"/>
      <c r="V2268" s="48"/>
      <c r="W2268" s="49"/>
      <c r="X2268" s="49"/>
      <c r="Y2268" s="49"/>
      <c r="Z2268" s="49"/>
      <c r="AA2268" s="49"/>
      <c r="AB2268" s="49"/>
      <c r="AC2268" s="49"/>
      <c r="AD2268" s="49"/>
      <c r="AE2268" s="49"/>
      <c r="AF2268" s="49"/>
      <c r="AG2268" s="49"/>
      <c r="AH2268" s="49"/>
      <c r="AI2268" s="48"/>
      <c r="AJ2268" s="48"/>
      <c r="AK2268" s="24"/>
      <c r="AL2268" s="50"/>
      <c r="AM2268" s="50"/>
      <c r="AN2268" s="50"/>
      <c r="AO2268" s="50"/>
      <c r="AP2268" s="50"/>
      <c r="AQ2268" s="50"/>
      <c r="AR2268" s="50"/>
      <c r="AS2268" s="50"/>
      <c r="AT2268" s="51"/>
      <c r="AU2268" s="51"/>
      <c r="AV2268" s="51"/>
      <c r="AW2268" s="51"/>
      <c r="AX2268" s="50"/>
      <c r="AY2268" s="50"/>
      <c r="AZ2268" s="50"/>
      <c r="BA2268" s="50"/>
      <c r="BB2268" s="51"/>
      <c r="BC2268" s="51"/>
      <c r="BD2268" s="51"/>
      <c r="BE2268" s="51"/>
      <c r="BF2268" s="47"/>
      <c r="BG2268" s="47"/>
      <c r="BH2268" s="47"/>
      <c r="BI2268" s="47"/>
      <c r="BJ2268" s="47"/>
      <c r="BK2268" s="47"/>
      <c r="BL2268" s="47"/>
      <c r="BM2268" s="47"/>
      <c r="BN2268" s="47"/>
      <c r="BO2268" s="47"/>
      <c r="BP2268" s="47"/>
      <c r="BQ2268" s="47"/>
      <c r="BR2268" s="47"/>
      <c r="BS2268" s="47"/>
      <c r="BT2268" s="47"/>
    </row>
    <row r="2269">
      <c r="A2269" s="24"/>
      <c r="B2269" s="48"/>
      <c r="C2269" s="49"/>
      <c r="D2269" s="24"/>
      <c r="E2269" s="52"/>
      <c r="F2269" s="53"/>
      <c r="G2269" s="48"/>
      <c r="H2269" s="49"/>
      <c r="I2269" s="49"/>
      <c r="J2269" s="48"/>
      <c r="K2269" s="48"/>
      <c r="L2269" s="48"/>
      <c r="M2269" s="48"/>
      <c r="N2269" s="48"/>
      <c r="O2269" s="48"/>
      <c r="P2269" s="48"/>
      <c r="Q2269" s="48"/>
      <c r="R2269" s="48"/>
      <c r="S2269" s="48"/>
      <c r="T2269" s="48"/>
      <c r="U2269" s="48"/>
      <c r="V2269" s="48"/>
      <c r="W2269" s="49"/>
      <c r="X2269" s="49"/>
      <c r="Y2269" s="49"/>
      <c r="Z2269" s="49"/>
      <c r="AA2269" s="49"/>
      <c r="AB2269" s="49"/>
      <c r="AC2269" s="49"/>
      <c r="AD2269" s="49"/>
      <c r="AE2269" s="49"/>
      <c r="AF2269" s="49"/>
      <c r="AG2269" s="49"/>
      <c r="AH2269" s="49"/>
      <c r="AI2269" s="48"/>
      <c r="AJ2269" s="48"/>
      <c r="AK2269" s="24"/>
      <c r="AL2269" s="50"/>
      <c r="AM2269" s="50"/>
      <c r="AN2269" s="50"/>
      <c r="AO2269" s="50"/>
      <c r="AP2269" s="50"/>
      <c r="AQ2269" s="50"/>
      <c r="AR2269" s="50"/>
      <c r="AS2269" s="50"/>
      <c r="AT2269" s="51"/>
      <c r="AU2269" s="51"/>
      <c r="AV2269" s="51"/>
      <c r="AW2269" s="51"/>
      <c r="AX2269" s="50"/>
      <c r="AY2269" s="50"/>
      <c r="AZ2269" s="50"/>
      <c r="BA2269" s="50"/>
      <c r="BB2269" s="51"/>
      <c r="BC2269" s="51"/>
      <c r="BD2269" s="51"/>
      <c r="BE2269" s="51"/>
      <c r="BF2269" s="47"/>
      <c r="BG2269" s="47"/>
      <c r="BH2269" s="47"/>
      <c r="BI2269" s="47"/>
      <c r="BJ2269" s="47"/>
      <c r="BK2269" s="47"/>
      <c r="BL2269" s="47"/>
      <c r="BM2269" s="47"/>
      <c r="BN2269" s="47"/>
      <c r="BO2269" s="47"/>
      <c r="BP2269" s="47"/>
      <c r="BQ2269" s="47"/>
      <c r="BR2269" s="47"/>
      <c r="BS2269" s="47"/>
      <c r="BT2269" s="47"/>
    </row>
    <row r="2270">
      <c r="A2270" s="24"/>
      <c r="B2270" s="48"/>
      <c r="C2270" s="49"/>
      <c r="D2270" s="24"/>
      <c r="E2270" s="52"/>
      <c r="F2270" s="53"/>
      <c r="G2270" s="48"/>
      <c r="H2270" s="49"/>
      <c r="I2270" s="49"/>
      <c r="J2270" s="48"/>
      <c r="K2270" s="48"/>
      <c r="L2270" s="48"/>
      <c r="M2270" s="48"/>
      <c r="N2270" s="48"/>
      <c r="O2270" s="48"/>
      <c r="P2270" s="48"/>
      <c r="Q2270" s="48"/>
      <c r="R2270" s="48"/>
      <c r="S2270" s="48"/>
      <c r="T2270" s="48"/>
      <c r="U2270" s="48"/>
      <c r="V2270" s="48"/>
      <c r="W2270" s="49"/>
      <c r="X2270" s="49"/>
      <c r="Y2270" s="49"/>
      <c r="Z2270" s="49"/>
      <c r="AA2270" s="49"/>
      <c r="AB2270" s="49"/>
      <c r="AC2270" s="49"/>
      <c r="AD2270" s="49"/>
      <c r="AE2270" s="49"/>
      <c r="AF2270" s="49"/>
      <c r="AG2270" s="49"/>
      <c r="AH2270" s="49"/>
      <c r="AI2270" s="48"/>
      <c r="AJ2270" s="48"/>
      <c r="AK2270" s="24"/>
      <c r="AL2270" s="50"/>
      <c r="AM2270" s="50"/>
      <c r="AN2270" s="50"/>
      <c r="AO2270" s="50"/>
      <c r="AP2270" s="50"/>
      <c r="AQ2270" s="50"/>
      <c r="AR2270" s="50"/>
      <c r="AS2270" s="50"/>
      <c r="AT2270" s="51"/>
      <c r="AU2270" s="51"/>
      <c r="AV2270" s="51"/>
      <c r="AW2270" s="51"/>
      <c r="AX2270" s="50"/>
      <c r="AY2270" s="50"/>
      <c r="AZ2270" s="50"/>
      <c r="BA2270" s="50"/>
      <c r="BB2270" s="51"/>
      <c r="BC2270" s="51"/>
      <c r="BD2270" s="51"/>
      <c r="BE2270" s="51"/>
      <c r="BF2270" s="47"/>
      <c r="BG2270" s="47"/>
      <c r="BH2270" s="47"/>
      <c r="BI2270" s="47"/>
      <c r="BJ2270" s="47"/>
      <c r="BK2270" s="47"/>
      <c r="BL2270" s="47"/>
      <c r="BM2270" s="47"/>
      <c r="BN2270" s="47"/>
      <c r="BO2270" s="47"/>
      <c r="BP2270" s="47"/>
      <c r="BQ2270" s="47"/>
      <c r="BR2270" s="47"/>
      <c r="BS2270" s="47"/>
      <c r="BT2270" s="47"/>
    </row>
    <row r="2271">
      <c r="A2271" s="24"/>
      <c r="B2271" s="48"/>
      <c r="C2271" s="49"/>
      <c r="D2271" s="24"/>
      <c r="E2271" s="52"/>
      <c r="F2271" s="53"/>
      <c r="G2271" s="48"/>
      <c r="H2271" s="49"/>
      <c r="I2271" s="49"/>
      <c r="J2271" s="48"/>
      <c r="K2271" s="48"/>
      <c r="L2271" s="48"/>
      <c r="M2271" s="48"/>
      <c r="N2271" s="48"/>
      <c r="O2271" s="48"/>
      <c r="P2271" s="48"/>
      <c r="Q2271" s="48"/>
      <c r="R2271" s="48"/>
      <c r="S2271" s="48"/>
      <c r="T2271" s="48"/>
      <c r="U2271" s="48"/>
      <c r="V2271" s="48"/>
      <c r="W2271" s="49"/>
      <c r="X2271" s="49"/>
      <c r="Y2271" s="49"/>
      <c r="Z2271" s="49"/>
      <c r="AA2271" s="49"/>
      <c r="AB2271" s="49"/>
      <c r="AC2271" s="49"/>
      <c r="AD2271" s="49"/>
      <c r="AE2271" s="49"/>
      <c r="AF2271" s="49"/>
      <c r="AG2271" s="49"/>
      <c r="AH2271" s="49"/>
      <c r="AI2271" s="48"/>
      <c r="AJ2271" s="48"/>
      <c r="AK2271" s="24"/>
      <c r="AL2271" s="50"/>
      <c r="AM2271" s="50"/>
      <c r="AN2271" s="50"/>
      <c r="AO2271" s="50"/>
      <c r="AP2271" s="50"/>
      <c r="AQ2271" s="50"/>
      <c r="AR2271" s="50"/>
      <c r="AS2271" s="50"/>
      <c r="AT2271" s="51"/>
      <c r="AU2271" s="51"/>
      <c r="AV2271" s="51"/>
      <c r="AW2271" s="51"/>
      <c r="AX2271" s="50"/>
      <c r="AY2271" s="50"/>
      <c r="AZ2271" s="50"/>
      <c r="BA2271" s="50"/>
      <c r="BB2271" s="51"/>
      <c r="BC2271" s="51"/>
      <c r="BD2271" s="51"/>
      <c r="BE2271" s="51"/>
      <c r="BF2271" s="47"/>
      <c r="BG2271" s="47"/>
      <c r="BH2271" s="47"/>
      <c r="BI2271" s="47"/>
      <c r="BJ2271" s="47"/>
      <c r="BK2271" s="47"/>
      <c r="BL2271" s="47"/>
      <c r="BM2271" s="47"/>
      <c r="BN2271" s="47"/>
      <c r="BO2271" s="47"/>
      <c r="BP2271" s="47"/>
      <c r="BQ2271" s="47"/>
      <c r="BR2271" s="47"/>
      <c r="BS2271" s="47"/>
      <c r="BT2271" s="47"/>
    </row>
    <row r="2272">
      <c r="A2272" s="24"/>
      <c r="B2272" s="48"/>
      <c r="C2272" s="49"/>
      <c r="D2272" s="24"/>
      <c r="E2272" s="52"/>
      <c r="F2272" s="53"/>
      <c r="G2272" s="48"/>
      <c r="H2272" s="49"/>
      <c r="I2272" s="49"/>
      <c r="J2272" s="48"/>
      <c r="K2272" s="48"/>
      <c r="L2272" s="48"/>
      <c r="M2272" s="48"/>
      <c r="N2272" s="48"/>
      <c r="O2272" s="48"/>
      <c r="P2272" s="48"/>
      <c r="Q2272" s="48"/>
      <c r="R2272" s="48"/>
      <c r="S2272" s="48"/>
      <c r="T2272" s="48"/>
      <c r="U2272" s="48"/>
      <c r="V2272" s="48"/>
      <c r="W2272" s="49"/>
      <c r="X2272" s="49"/>
      <c r="Y2272" s="49"/>
      <c r="Z2272" s="49"/>
      <c r="AA2272" s="49"/>
      <c r="AB2272" s="49"/>
      <c r="AC2272" s="49"/>
      <c r="AD2272" s="49"/>
      <c r="AE2272" s="49"/>
      <c r="AF2272" s="49"/>
      <c r="AG2272" s="49"/>
      <c r="AH2272" s="49"/>
      <c r="AI2272" s="48"/>
      <c r="AJ2272" s="48"/>
      <c r="AK2272" s="24"/>
      <c r="AL2272" s="50"/>
      <c r="AM2272" s="50"/>
      <c r="AN2272" s="50"/>
      <c r="AO2272" s="50"/>
      <c r="AP2272" s="50"/>
      <c r="AQ2272" s="50"/>
      <c r="AR2272" s="50"/>
      <c r="AS2272" s="50"/>
      <c r="AT2272" s="51"/>
      <c r="AU2272" s="51"/>
      <c r="AV2272" s="51"/>
      <c r="AW2272" s="51"/>
      <c r="AX2272" s="50"/>
      <c r="AY2272" s="50"/>
      <c r="AZ2272" s="50"/>
      <c r="BA2272" s="50"/>
      <c r="BB2272" s="51"/>
      <c r="BC2272" s="51"/>
      <c r="BD2272" s="51"/>
      <c r="BE2272" s="51"/>
      <c r="BF2272" s="47"/>
      <c r="BG2272" s="47"/>
      <c r="BH2272" s="47"/>
      <c r="BI2272" s="47"/>
      <c r="BJ2272" s="47"/>
      <c r="BK2272" s="47"/>
      <c r="BL2272" s="47"/>
      <c r="BM2272" s="47"/>
      <c r="BN2272" s="47"/>
      <c r="BO2272" s="47"/>
      <c r="BP2272" s="47"/>
      <c r="BQ2272" s="47"/>
      <c r="BR2272" s="47"/>
      <c r="BS2272" s="47"/>
      <c r="BT2272" s="47"/>
    </row>
    <row r="2273">
      <c r="A2273" s="24"/>
      <c r="B2273" s="48"/>
      <c r="C2273" s="49"/>
      <c r="D2273" s="24"/>
      <c r="E2273" s="52"/>
      <c r="F2273" s="53"/>
      <c r="G2273" s="48"/>
      <c r="H2273" s="49"/>
      <c r="I2273" s="49"/>
      <c r="J2273" s="48"/>
      <c r="K2273" s="48"/>
      <c r="L2273" s="48"/>
      <c r="M2273" s="48"/>
      <c r="N2273" s="48"/>
      <c r="O2273" s="48"/>
      <c r="P2273" s="48"/>
      <c r="Q2273" s="48"/>
      <c r="R2273" s="48"/>
      <c r="S2273" s="48"/>
      <c r="T2273" s="48"/>
      <c r="U2273" s="48"/>
      <c r="V2273" s="48"/>
      <c r="W2273" s="49"/>
      <c r="X2273" s="49"/>
      <c r="Y2273" s="49"/>
      <c r="Z2273" s="49"/>
      <c r="AA2273" s="49"/>
      <c r="AB2273" s="49"/>
      <c r="AC2273" s="49"/>
      <c r="AD2273" s="49"/>
      <c r="AE2273" s="49"/>
      <c r="AF2273" s="49"/>
      <c r="AG2273" s="49"/>
      <c r="AH2273" s="49"/>
      <c r="AI2273" s="48"/>
      <c r="AJ2273" s="48"/>
      <c r="AK2273" s="24"/>
      <c r="AL2273" s="50"/>
      <c r="AM2273" s="50"/>
      <c r="AN2273" s="50"/>
      <c r="AO2273" s="50"/>
      <c r="AP2273" s="50"/>
      <c r="AQ2273" s="50"/>
      <c r="AR2273" s="50"/>
      <c r="AS2273" s="50"/>
      <c r="AT2273" s="51"/>
      <c r="AU2273" s="51"/>
      <c r="AV2273" s="51"/>
      <c r="AW2273" s="51"/>
      <c r="AX2273" s="50"/>
      <c r="AY2273" s="50"/>
      <c r="AZ2273" s="50"/>
      <c r="BA2273" s="50"/>
      <c r="BB2273" s="51"/>
      <c r="BC2273" s="51"/>
      <c r="BD2273" s="51"/>
      <c r="BE2273" s="51"/>
      <c r="BF2273" s="47"/>
      <c r="BG2273" s="47"/>
      <c r="BH2273" s="47"/>
      <c r="BI2273" s="47"/>
      <c r="BJ2273" s="47"/>
      <c r="BK2273" s="47"/>
      <c r="BL2273" s="47"/>
      <c r="BM2273" s="47"/>
      <c r="BN2273" s="47"/>
      <c r="BO2273" s="47"/>
      <c r="BP2273" s="47"/>
      <c r="BQ2273" s="47"/>
      <c r="BR2273" s="47"/>
      <c r="BS2273" s="47"/>
      <c r="BT2273" s="47"/>
    </row>
    <row r="2274">
      <c r="A2274" s="24"/>
      <c r="B2274" s="48"/>
      <c r="C2274" s="49"/>
      <c r="D2274" s="24"/>
      <c r="E2274" s="52"/>
      <c r="F2274" s="53"/>
      <c r="G2274" s="48"/>
      <c r="H2274" s="49"/>
      <c r="I2274" s="49"/>
      <c r="J2274" s="48"/>
      <c r="K2274" s="48"/>
      <c r="L2274" s="48"/>
      <c r="M2274" s="48"/>
      <c r="N2274" s="48"/>
      <c r="O2274" s="48"/>
      <c r="P2274" s="48"/>
      <c r="Q2274" s="48"/>
      <c r="R2274" s="48"/>
      <c r="S2274" s="48"/>
      <c r="T2274" s="48"/>
      <c r="U2274" s="48"/>
      <c r="V2274" s="48"/>
      <c r="W2274" s="49"/>
      <c r="X2274" s="49"/>
      <c r="Y2274" s="49"/>
      <c r="Z2274" s="49"/>
      <c r="AA2274" s="49"/>
      <c r="AB2274" s="49"/>
      <c r="AC2274" s="49"/>
      <c r="AD2274" s="49"/>
      <c r="AE2274" s="49"/>
      <c r="AF2274" s="49"/>
      <c r="AG2274" s="49"/>
      <c r="AH2274" s="49"/>
      <c r="AI2274" s="48"/>
      <c r="AJ2274" s="48"/>
      <c r="AK2274" s="24"/>
      <c r="AL2274" s="50"/>
      <c r="AM2274" s="50"/>
      <c r="AN2274" s="50"/>
      <c r="AO2274" s="50"/>
      <c r="AP2274" s="50"/>
      <c r="AQ2274" s="50"/>
      <c r="AR2274" s="50"/>
      <c r="AS2274" s="50"/>
      <c r="AT2274" s="51"/>
      <c r="AU2274" s="51"/>
      <c r="AV2274" s="51"/>
      <c r="AW2274" s="51"/>
      <c r="AX2274" s="50"/>
      <c r="AY2274" s="50"/>
      <c r="AZ2274" s="50"/>
      <c r="BA2274" s="50"/>
      <c r="BB2274" s="51"/>
      <c r="BC2274" s="51"/>
      <c r="BD2274" s="51"/>
      <c r="BE2274" s="51"/>
      <c r="BF2274" s="47"/>
      <c r="BG2274" s="47"/>
      <c r="BH2274" s="47"/>
      <c r="BI2274" s="47"/>
      <c r="BJ2274" s="47"/>
      <c r="BK2274" s="47"/>
      <c r="BL2274" s="47"/>
      <c r="BM2274" s="47"/>
      <c r="BN2274" s="47"/>
      <c r="BO2274" s="47"/>
      <c r="BP2274" s="47"/>
      <c r="BQ2274" s="47"/>
      <c r="BR2274" s="47"/>
      <c r="BS2274" s="47"/>
      <c r="BT2274" s="47"/>
    </row>
    <row r="2275">
      <c r="A2275" s="24"/>
      <c r="B2275" s="48"/>
      <c r="C2275" s="49"/>
      <c r="D2275" s="24"/>
      <c r="E2275" s="52"/>
      <c r="F2275" s="53"/>
      <c r="G2275" s="48"/>
      <c r="H2275" s="49"/>
      <c r="I2275" s="49"/>
      <c r="J2275" s="48"/>
      <c r="K2275" s="48"/>
      <c r="L2275" s="48"/>
      <c r="M2275" s="48"/>
      <c r="N2275" s="48"/>
      <c r="O2275" s="48"/>
      <c r="P2275" s="48"/>
      <c r="Q2275" s="48"/>
      <c r="R2275" s="48"/>
      <c r="S2275" s="48"/>
      <c r="T2275" s="48"/>
      <c r="U2275" s="48"/>
      <c r="V2275" s="48"/>
      <c r="W2275" s="49"/>
      <c r="X2275" s="49"/>
      <c r="Y2275" s="49"/>
      <c r="Z2275" s="49"/>
      <c r="AA2275" s="49"/>
      <c r="AB2275" s="49"/>
      <c r="AC2275" s="49"/>
      <c r="AD2275" s="49"/>
      <c r="AE2275" s="49"/>
      <c r="AF2275" s="49"/>
      <c r="AG2275" s="49"/>
      <c r="AH2275" s="49"/>
      <c r="AI2275" s="48"/>
      <c r="AJ2275" s="48"/>
      <c r="AK2275" s="24"/>
      <c r="AL2275" s="50"/>
      <c r="AM2275" s="50"/>
      <c r="AN2275" s="50"/>
      <c r="AO2275" s="50"/>
      <c r="AP2275" s="50"/>
      <c r="AQ2275" s="50"/>
      <c r="AR2275" s="50"/>
      <c r="AS2275" s="50"/>
      <c r="AT2275" s="51"/>
      <c r="AU2275" s="51"/>
      <c r="AV2275" s="51"/>
      <c r="AW2275" s="51"/>
      <c r="AX2275" s="50"/>
      <c r="AY2275" s="50"/>
      <c r="AZ2275" s="50"/>
      <c r="BA2275" s="50"/>
      <c r="BB2275" s="51"/>
      <c r="BC2275" s="51"/>
      <c r="BD2275" s="51"/>
      <c r="BE2275" s="51"/>
      <c r="BF2275" s="47"/>
      <c r="BG2275" s="47"/>
      <c r="BH2275" s="47"/>
      <c r="BI2275" s="47"/>
      <c r="BJ2275" s="47"/>
      <c r="BK2275" s="47"/>
      <c r="BL2275" s="47"/>
      <c r="BM2275" s="47"/>
      <c r="BN2275" s="47"/>
      <c r="BO2275" s="47"/>
      <c r="BP2275" s="47"/>
      <c r="BQ2275" s="47"/>
      <c r="BR2275" s="47"/>
      <c r="BS2275" s="47"/>
      <c r="BT2275" s="47"/>
    </row>
    <row r="2276">
      <c r="A2276" s="24"/>
      <c r="B2276" s="48"/>
      <c r="C2276" s="49"/>
      <c r="D2276" s="24"/>
      <c r="E2276" s="52"/>
      <c r="F2276" s="53"/>
      <c r="G2276" s="48"/>
      <c r="H2276" s="49"/>
      <c r="I2276" s="49"/>
      <c r="J2276" s="48"/>
      <c r="K2276" s="48"/>
      <c r="L2276" s="48"/>
      <c r="M2276" s="48"/>
      <c r="N2276" s="48"/>
      <c r="O2276" s="48"/>
      <c r="P2276" s="48"/>
      <c r="Q2276" s="48"/>
      <c r="R2276" s="48"/>
      <c r="S2276" s="48"/>
      <c r="T2276" s="48"/>
      <c r="U2276" s="48"/>
      <c r="V2276" s="48"/>
      <c r="W2276" s="49"/>
      <c r="X2276" s="49"/>
      <c r="Y2276" s="49"/>
      <c r="Z2276" s="49"/>
      <c r="AA2276" s="49"/>
      <c r="AB2276" s="49"/>
      <c r="AC2276" s="49"/>
      <c r="AD2276" s="49"/>
      <c r="AE2276" s="49"/>
      <c r="AF2276" s="49"/>
      <c r="AG2276" s="49"/>
      <c r="AH2276" s="49"/>
      <c r="AI2276" s="48"/>
      <c r="AJ2276" s="48"/>
      <c r="AK2276" s="24"/>
      <c r="AL2276" s="50"/>
      <c r="AM2276" s="50"/>
      <c r="AN2276" s="50"/>
      <c r="AO2276" s="50"/>
      <c r="AP2276" s="50"/>
      <c r="AQ2276" s="50"/>
      <c r="AR2276" s="50"/>
      <c r="AS2276" s="50"/>
      <c r="AT2276" s="51"/>
      <c r="AU2276" s="51"/>
      <c r="AV2276" s="51"/>
      <c r="AW2276" s="51"/>
      <c r="AX2276" s="50"/>
      <c r="AY2276" s="50"/>
      <c r="AZ2276" s="50"/>
      <c r="BA2276" s="50"/>
      <c r="BB2276" s="51"/>
      <c r="BC2276" s="51"/>
      <c r="BD2276" s="51"/>
      <c r="BE2276" s="51"/>
      <c r="BF2276" s="47"/>
      <c r="BG2276" s="47"/>
      <c r="BH2276" s="47"/>
      <c r="BI2276" s="47"/>
      <c r="BJ2276" s="47"/>
      <c r="BK2276" s="47"/>
      <c r="BL2276" s="47"/>
      <c r="BM2276" s="47"/>
      <c r="BN2276" s="47"/>
      <c r="BO2276" s="47"/>
      <c r="BP2276" s="47"/>
      <c r="BQ2276" s="47"/>
      <c r="BR2276" s="47"/>
      <c r="BS2276" s="47"/>
      <c r="BT2276" s="47"/>
    </row>
    <row r="2277">
      <c r="A2277" s="24"/>
      <c r="B2277" s="48"/>
      <c r="C2277" s="49"/>
      <c r="D2277" s="24"/>
      <c r="E2277" s="52"/>
      <c r="F2277" s="53"/>
      <c r="G2277" s="48"/>
      <c r="H2277" s="49"/>
      <c r="I2277" s="49"/>
      <c r="J2277" s="48"/>
      <c r="K2277" s="48"/>
      <c r="L2277" s="48"/>
      <c r="M2277" s="48"/>
      <c r="N2277" s="48"/>
      <c r="O2277" s="48"/>
      <c r="P2277" s="48"/>
      <c r="Q2277" s="48"/>
      <c r="R2277" s="48"/>
      <c r="S2277" s="48"/>
      <c r="T2277" s="48"/>
      <c r="U2277" s="48"/>
      <c r="V2277" s="48"/>
      <c r="W2277" s="49"/>
      <c r="X2277" s="49"/>
      <c r="Y2277" s="49"/>
      <c r="Z2277" s="49"/>
      <c r="AA2277" s="49"/>
      <c r="AB2277" s="49"/>
      <c r="AC2277" s="49"/>
      <c r="AD2277" s="49"/>
      <c r="AE2277" s="49"/>
      <c r="AF2277" s="49"/>
      <c r="AG2277" s="49"/>
      <c r="AH2277" s="49"/>
      <c r="AI2277" s="48"/>
      <c r="AJ2277" s="48"/>
      <c r="AK2277" s="24"/>
      <c r="AL2277" s="50"/>
      <c r="AM2277" s="50"/>
      <c r="AN2277" s="50"/>
      <c r="AO2277" s="50"/>
      <c r="AP2277" s="50"/>
      <c r="AQ2277" s="50"/>
      <c r="AR2277" s="50"/>
      <c r="AS2277" s="50"/>
      <c r="AT2277" s="51"/>
      <c r="AU2277" s="51"/>
      <c r="AV2277" s="51"/>
      <c r="AW2277" s="51"/>
      <c r="AX2277" s="50"/>
      <c r="AY2277" s="50"/>
      <c r="AZ2277" s="50"/>
      <c r="BA2277" s="50"/>
      <c r="BB2277" s="51"/>
      <c r="BC2277" s="51"/>
      <c r="BD2277" s="51"/>
      <c r="BE2277" s="51"/>
      <c r="BF2277" s="47"/>
      <c r="BG2277" s="47"/>
      <c r="BH2277" s="47"/>
      <c r="BI2277" s="47"/>
      <c r="BJ2277" s="47"/>
      <c r="BK2277" s="47"/>
      <c r="BL2277" s="47"/>
      <c r="BM2277" s="47"/>
      <c r="BN2277" s="47"/>
      <c r="BO2277" s="47"/>
      <c r="BP2277" s="47"/>
      <c r="BQ2277" s="47"/>
      <c r="BR2277" s="47"/>
      <c r="BS2277" s="47"/>
      <c r="BT2277" s="47"/>
    </row>
    <row r="2278">
      <c r="A2278" s="24"/>
      <c r="B2278" s="48"/>
      <c r="C2278" s="49"/>
      <c r="D2278" s="24"/>
      <c r="E2278" s="52"/>
      <c r="F2278" s="53"/>
      <c r="G2278" s="48"/>
      <c r="H2278" s="49"/>
      <c r="I2278" s="49"/>
      <c r="J2278" s="48"/>
      <c r="K2278" s="48"/>
      <c r="L2278" s="48"/>
      <c r="M2278" s="48"/>
      <c r="N2278" s="48"/>
      <c r="O2278" s="48"/>
      <c r="P2278" s="48"/>
      <c r="Q2278" s="48"/>
      <c r="R2278" s="48"/>
      <c r="S2278" s="48"/>
      <c r="T2278" s="48"/>
      <c r="U2278" s="48"/>
      <c r="V2278" s="48"/>
      <c r="W2278" s="49"/>
      <c r="X2278" s="49"/>
      <c r="Y2278" s="49"/>
      <c r="Z2278" s="49"/>
      <c r="AA2278" s="49"/>
      <c r="AB2278" s="49"/>
      <c r="AC2278" s="49"/>
      <c r="AD2278" s="49"/>
      <c r="AE2278" s="49"/>
      <c r="AF2278" s="49"/>
      <c r="AG2278" s="49"/>
      <c r="AH2278" s="49"/>
      <c r="AI2278" s="48"/>
      <c r="AJ2278" s="48"/>
      <c r="AK2278" s="24"/>
      <c r="AL2278" s="50"/>
      <c r="AM2278" s="50"/>
      <c r="AN2278" s="50"/>
      <c r="AO2278" s="50"/>
      <c r="AP2278" s="50"/>
      <c r="AQ2278" s="50"/>
      <c r="AR2278" s="50"/>
      <c r="AS2278" s="50"/>
      <c r="AT2278" s="51"/>
      <c r="AU2278" s="51"/>
      <c r="AV2278" s="51"/>
      <c r="AW2278" s="51"/>
      <c r="AX2278" s="50"/>
      <c r="AY2278" s="50"/>
      <c r="AZ2278" s="50"/>
      <c r="BA2278" s="50"/>
      <c r="BB2278" s="51"/>
      <c r="BC2278" s="51"/>
      <c r="BD2278" s="51"/>
      <c r="BE2278" s="51"/>
      <c r="BF2278" s="47"/>
      <c r="BG2278" s="47"/>
      <c r="BH2278" s="47"/>
      <c r="BI2278" s="47"/>
      <c r="BJ2278" s="47"/>
      <c r="BK2278" s="47"/>
      <c r="BL2278" s="47"/>
      <c r="BM2278" s="47"/>
      <c r="BN2278" s="47"/>
      <c r="BO2278" s="47"/>
      <c r="BP2278" s="47"/>
      <c r="BQ2278" s="47"/>
      <c r="BR2278" s="47"/>
      <c r="BS2278" s="47"/>
      <c r="BT2278" s="47"/>
    </row>
    <row r="2279">
      <c r="A2279" s="24"/>
      <c r="B2279" s="48"/>
      <c r="C2279" s="49"/>
      <c r="D2279" s="24"/>
      <c r="E2279" s="52"/>
      <c r="F2279" s="53"/>
      <c r="G2279" s="48"/>
      <c r="H2279" s="49"/>
      <c r="I2279" s="49"/>
      <c r="J2279" s="48"/>
      <c r="K2279" s="48"/>
      <c r="L2279" s="48"/>
      <c r="M2279" s="48"/>
      <c r="N2279" s="48"/>
      <c r="O2279" s="48"/>
      <c r="P2279" s="48"/>
      <c r="Q2279" s="48"/>
      <c r="R2279" s="48"/>
      <c r="S2279" s="48"/>
      <c r="T2279" s="48"/>
      <c r="U2279" s="48"/>
      <c r="V2279" s="48"/>
      <c r="W2279" s="49"/>
      <c r="X2279" s="49"/>
      <c r="Y2279" s="49"/>
      <c r="Z2279" s="49"/>
      <c r="AA2279" s="49"/>
      <c r="AB2279" s="49"/>
      <c r="AC2279" s="49"/>
      <c r="AD2279" s="49"/>
      <c r="AE2279" s="49"/>
      <c r="AF2279" s="49"/>
      <c r="AG2279" s="49"/>
      <c r="AH2279" s="49"/>
      <c r="AI2279" s="48"/>
      <c r="AJ2279" s="48"/>
      <c r="AK2279" s="24"/>
      <c r="AL2279" s="50"/>
      <c r="AM2279" s="50"/>
      <c r="AN2279" s="50"/>
      <c r="AO2279" s="50"/>
      <c r="AP2279" s="50"/>
      <c r="AQ2279" s="50"/>
      <c r="AR2279" s="50"/>
      <c r="AS2279" s="50"/>
      <c r="AT2279" s="51"/>
      <c r="AU2279" s="51"/>
      <c r="AV2279" s="51"/>
      <c r="AW2279" s="51"/>
      <c r="AX2279" s="50"/>
      <c r="AY2279" s="50"/>
      <c r="AZ2279" s="50"/>
      <c r="BA2279" s="50"/>
      <c r="BB2279" s="51"/>
      <c r="BC2279" s="51"/>
      <c r="BD2279" s="51"/>
      <c r="BE2279" s="51"/>
      <c r="BF2279" s="47"/>
      <c r="BG2279" s="47"/>
      <c r="BH2279" s="47"/>
      <c r="BI2279" s="47"/>
      <c r="BJ2279" s="47"/>
      <c r="BK2279" s="47"/>
      <c r="BL2279" s="47"/>
      <c r="BM2279" s="47"/>
      <c r="BN2279" s="47"/>
      <c r="BO2279" s="47"/>
      <c r="BP2279" s="47"/>
      <c r="BQ2279" s="47"/>
      <c r="BR2279" s="47"/>
      <c r="BS2279" s="47"/>
      <c r="BT2279" s="47"/>
    </row>
    <row r="2280">
      <c r="A2280" s="24"/>
      <c r="B2280" s="48"/>
      <c r="C2280" s="49"/>
      <c r="D2280" s="24"/>
      <c r="E2280" s="52"/>
      <c r="F2280" s="53"/>
      <c r="G2280" s="48"/>
      <c r="H2280" s="49"/>
      <c r="I2280" s="49"/>
      <c r="J2280" s="48"/>
      <c r="K2280" s="48"/>
      <c r="L2280" s="48"/>
      <c r="M2280" s="48"/>
      <c r="N2280" s="48"/>
      <c r="O2280" s="48"/>
      <c r="P2280" s="48"/>
      <c r="Q2280" s="48"/>
      <c r="R2280" s="48"/>
      <c r="S2280" s="48"/>
      <c r="T2280" s="48"/>
      <c r="U2280" s="48"/>
      <c r="V2280" s="48"/>
      <c r="W2280" s="49"/>
      <c r="X2280" s="49"/>
      <c r="Y2280" s="49"/>
      <c r="Z2280" s="49"/>
      <c r="AA2280" s="49"/>
      <c r="AB2280" s="49"/>
      <c r="AC2280" s="49"/>
      <c r="AD2280" s="49"/>
      <c r="AE2280" s="49"/>
      <c r="AF2280" s="49"/>
      <c r="AG2280" s="49"/>
      <c r="AH2280" s="49"/>
      <c r="AI2280" s="48"/>
      <c r="AJ2280" s="48"/>
      <c r="AK2280" s="24"/>
      <c r="AL2280" s="50"/>
      <c r="AM2280" s="50"/>
      <c r="AN2280" s="50"/>
      <c r="AO2280" s="50"/>
      <c r="AP2280" s="50"/>
      <c r="AQ2280" s="50"/>
      <c r="AR2280" s="50"/>
      <c r="AS2280" s="50"/>
      <c r="AT2280" s="51"/>
      <c r="AU2280" s="51"/>
      <c r="AV2280" s="51"/>
      <c r="AW2280" s="51"/>
      <c r="AX2280" s="50"/>
      <c r="AY2280" s="50"/>
      <c r="AZ2280" s="50"/>
      <c r="BA2280" s="50"/>
      <c r="BB2280" s="51"/>
      <c r="BC2280" s="51"/>
      <c r="BD2280" s="51"/>
      <c r="BE2280" s="51"/>
      <c r="BF2280" s="47"/>
      <c r="BG2280" s="47"/>
      <c r="BH2280" s="47"/>
      <c r="BI2280" s="47"/>
      <c r="BJ2280" s="47"/>
      <c r="BK2280" s="47"/>
      <c r="BL2280" s="47"/>
      <c r="BM2280" s="47"/>
      <c r="BN2280" s="47"/>
      <c r="BO2280" s="47"/>
      <c r="BP2280" s="47"/>
      <c r="BQ2280" s="47"/>
      <c r="BR2280" s="47"/>
      <c r="BS2280" s="47"/>
      <c r="BT2280" s="47"/>
    </row>
    <row r="2281">
      <c r="A2281" s="24"/>
      <c r="B2281" s="48"/>
      <c r="C2281" s="49"/>
      <c r="D2281" s="24"/>
      <c r="E2281" s="52"/>
      <c r="F2281" s="53"/>
      <c r="G2281" s="48"/>
      <c r="H2281" s="49"/>
      <c r="I2281" s="49"/>
      <c r="J2281" s="48"/>
      <c r="K2281" s="48"/>
      <c r="L2281" s="48"/>
      <c r="M2281" s="48"/>
      <c r="N2281" s="48"/>
      <c r="O2281" s="48"/>
      <c r="P2281" s="48"/>
      <c r="Q2281" s="48"/>
      <c r="R2281" s="48"/>
      <c r="S2281" s="48"/>
      <c r="T2281" s="48"/>
      <c r="U2281" s="48"/>
      <c r="V2281" s="48"/>
      <c r="W2281" s="49"/>
      <c r="X2281" s="49"/>
      <c r="Y2281" s="49"/>
      <c r="Z2281" s="49"/>
      <c r="AA2281" s="49"/>
      <c r="AB2281" s="49"/>
      <c r="AC2281" s="49"/>
      <c r="AD2281" s="49"/>
      <c r="AE2281" s="49"/>
      <c r="AF2281" s="49"/>
      <c r="AG2281" s="49"/>
      <c r="AH2281" s="49"/>
      <c r="AI2281" s="48"/>
      <c r="AJ2281" s="48"/>
      <c r="AK2281" s="24"/>
      <c r="AL2281" s="50"/>
      <c r="AM2281" s="50"/>
      <c r="AN2281" s="50"/>
      <c r="AO2281" s="50"/>
      <c r="AP2281" s="50"/>
      <c r="AQ2281" s="50"/>
      <c r="AR2281" s="50"/>
      <c r="AS2281" s="50"/>
      <c r="AT2281" s="51"/>
      <c r="AU2281" s="51"/>
      <c r="AV2281" s="51"/>
      <c r="AW2281" s="51"/>
      <c r="AX2281" s="50"/>
      <c r="AY2281" s="50"/>
      <c r="AZ2281" s="50"/>
      <c r="BA2281" s="50"/>
      <c r="BB2281" s="51"/>
      <c r="BC2281" s="51"/>
      <c r="BD2281" s="51"/>
      <c r="BE2281" s="51"/>
      <c r="BF2281" s="47"/>
      <c r="BG2281" s="47"/>
      <c r="BH2281" s="47"/>
      <c r="BI2281" s="47"/>
      <c r="BJ2281" s="47"/>
      <c r="BK2281" s="47"/>
      <c r="BL2281" s="47"/>
      <c r="BM2281" s="47"/>
      <c r="BN2281" s="47"/>
      <c r="BO2281" s="47"/>
      <c r="BP2281" s="47"/>
      <c r="BQ2281" s="47"/>
      <c r="BR2281" s="47"/>
      <c r="BS2281" s="47"/>
      <c r="BT2281" s="47"/>
    </row>
    <row r="2282">
      <c r="A2282" s="24"/>
      <c r="B2282" s="48"/>
      <c r="C2282" s="49"/>
      <c r="D2282" s="24"/>
      <c r="E2282" s="52"/>
      <c r="F2282" s="53"/>
      <c r="G2282" s="48"/>
      <c r="H2282" s="49"/>
      <c r="I2282" s="49"/>
      <c r="J2282" s="48"/>
      <c r="K2282" s="48"/>
      <c r="L2282" s="48"/>
      <c r="M2282" s="48"/>
      <c r="N2282" s="48"/>
      <c r="O2282" s="48"/>
      <c r="P2282" s="48"/>
      <c r="Q2282" s="48"/>
      <c r="R2282" s="48"/>
      <c r="S2282" s="48"/>
      <c r="T2282" s="48"/>
      <c r="U2282" s="48"/>
      <c r="V2282" s="48"/>
      <c r="W2282" s="49"/>
      <c r="X2282" s="49"/>
      <c r="Y2282" s="49"/>
      <c r="Z2282" s="49"/>
      <c r="AA2282" s="49"/>
      <c r="AB2282" s="49"/>
      <c r="AC2282" s="49"/>
      <c r="AD2282" s="49"/>
      <c r="AE2282" s="49"/>
      <c r="AF2282" s="49"/>
      <c r="AG2282" s="49"/>
      <c r="AH2282" s="49"/>
      <c r="AI2282" s="48"/>
      <c r="AJ2282" s="48"/>
      <c r="AK2282" s="24"/>
      <c r="AL2282" s="50"/>
      <c r="AM2282" s="50"/>
      <c r="AN2282" s="50"/>
      <c r="AO2282" s="50"/>
      <c r="AP2282" s="50"/>
      <c r="AQ2282" s="50"/>
      <c r="AR2282" s="50"/>
      <c r="AS2282" s="50"/>
      <c r="AT2282" s="51"/>
      <c r="AU2282" s="51"/>
      <c r="AV2282" s="51"/>
      <c r="AW2282" s="51"/>
      <c r="AX2282" s="50"/>
      <c r="AY2282" s="50"/>
      <c r="AZ2282" s="50"/>
      <c r="BA2282" s="50"/>
      <c r="BB2282" s="51"/>
      <c r="BC2282" s="51"/>
      <c r="BD2282" s="51"/>
      <c r="BE2282" s="51"/>
      <c r="BF2282" s="47"/>
      <c r="BG2282" s="47"/>
      <c r="BH2282" s="47"/>
      <c r="BI2282" s="47"/>
      <c r="BJ2282" s="47"/>
      <c r="BK2282" s="47"/>
      <c r="BL2282" s="47"/>
      <c r="BM2282" s="47"/>
      <c r="BN2282" s="47"/>
      <c r="BO2282" s="47"/>
      <c r="BP2282" s="47"/>
      <c r="BQ2282" s="47"/>
      <c r="BR2282" s="47"/>
      <c r="BS2282" s="47"/>
      <c r="BT2282" s="47"/>
    </row>
    <row r="2283">
      <c r="A2283" s="24"/>
      <c r="B2283" s="48"/>
      <c r="C2283" s="49"/>
      <c r="D2283" s="24"/>
      <c r="E2283" s="52"/>
      <c r="F2283" s="53"/>
      <c r="G2283" s="48"/>
      <c r="H2283" s="49"/>
      <c r="I2283" s="49"/>
      <c r="J2283" s="48"/>
      <c r="K2283" s="48"/>
      <c r="L2283" s="48"/>
      <c r="M2283" s="48"/>
      <c r="N2283" s="48"/>
      <c r="O2283" s="48"/>
      <c r="P2283" s="48"/>
      <c r="Q2283" s="48"/>
      <c r="R2283" s="48"/>
      <c r="S2283" s="48"/>
      <c r="T2283" s="48"/>
      <c r="U2283" s="48"/>
      <c r="V2283" s="48"/>
      <c r="W2283" s="49"/>
      <c r="X2283" s="49"/>
      <c r="Y2283" s="49"/>
      <c r="Z2283" s="49"/>
      <c r="AA2283" s="49"/>
      <c r="AB2283" s="49"/>
      <c r="AC2283" s="49"/>
      <c r="AD2283" s="49"/>
      <c r="AE2283" s="49"/>
      <c r="AF2283" s="49"/>
      <c r="AG2283" s="49"/>
      <c r="AH2283" s="49"/>
      <c r="AI2283" s="48"/>
      <c r="AJ2283" s="48"/>
      <c r="AK2283" s="24"/>
      <c r="AL2283" s="50"/>
      <c r="AM2283" s="50"/>
      <c r="AN2283" s="50"/>
      <c r="AO2283" s="50"/>
      <c r="AP2283" s="50"/>
      <c r="AQ2283" s="50"/>
      <c r="AR2283" s="50"/>
      <c r="AS2283" s="50"/>
      <c r="AT2283" s="51"/>
      <c r="AU2283" s="51"/>
      <c r="AV2283" s="51"/>
      <c r="AW2283" s="51"/>
      <c r="AX2283" s="50"/>
      <c r="AY2283" s="50"/>
      <c r="AZ2283" s="50"/>
      <c r="BA2283" s="50"/>
      <c r="BB2283" s="51"/>
      <c r="BC2283" s="51"/>
      <c r="BD2283" s="51"/>
      <c r="BE2283" s="51"/>
      <c r="BF2283" s="47"/>
      <c r="BG2283" s="47"/>
      <c r="BH2283" s="47"/>
      <c r="BI2283" s="47"/>
      <c r="BJ2283" s="47"/>
      <c r="BK2283" s="47"/>
      <c r="BL2283" s="47"/>
      <c r="BM2283" s="47"/>
      <c r="BN2283" s="47"/>
      <c r="BO2283" s="47"/>
      <c r="BP2283" s="47"/>
      <c r="BQ2283" s="47"/>
      <c r="BR2283" s="47"/>
      <c r="BS2283" s="47"/>
      <c r="BT2283" s="47"/>
    </row>
    <row r="2284">
      <c r="A2284" s="24"/>
      <c r="B2284" s="48"/>
      <c r="C2284" s="49"/>
      <c r="D2284" s="24"/>
      <c r="E2284" s="52"/>
      <c r="F2284" s="53"/>
      <c r="G2284" s="48"/>
      <c r="H2284" s="49"/>
      <c r="I2284" s="49"/>
      <c r="J2284" s="48"/>
      <c r="K2284" s="48"/>
      <c r="L2284" s="48"/>
      <c r="M2284" s="48"/>
      <c r="N2284" s="48"/>
      <c r="O2284" s="48"/>
      <c r="P2284" s="48"/>
      <c r="Q2284" s="48"/>
      <c r="R2284" s="48"/>
      <c r="S2284" s="48"/>
      <c r="T2284" s="48"/>
      <c r="U2284" s="48"/>
      <c r="V2284" s="48"/>
      <c r="W2284" s="49"/>
      <c r="X2284" s="49"/>
      <c r="Y2284" s="49"/>
      <c r="Z2284" s="49"/>
      <c r="AA2284" s="49"/>
      <c r="AB2284" s="49"/>
      <c r="AC2284" s="49"/>
      <c r="AD2284" s="49"/>
      <c r="AE2284" s="49"/>
      <c r="AF2284" s="49"/>
      <c r="AG2284" s="49"/>
      <c r="AH2284" s="49"/>
      <c r="AI2284" s="48"/>
      <c r="AJ2284" s="48"/>
      <c r="AK2284" s="24"/>
      <c r="AL2284" s="50"/>
      <c r="AM2284" s="50"/>
      <c r="AN2284" s="50"/>
      <c r="AO2284" s="50"/>
      <c r="AP2284" s="50"/>
      <c r="AQ2284" s="50"/>
      <c r="AR2284" s="50"/>
      <c r="AS2284" s="50"/>
      <c r="AT2284" s="51"/>
      <c r="AU2284" s="51"/>
      <c r="AV2284" s="51"/>
      <c r="AW2284" s="51"/>
      <c r="AX2284" s="50"/>
      <c r="AY2284" s="50"/>
      <c r="AZ2284" s="50"/>
      <c r="BA2284" s="50"/>
      <c r="BB2284" s="51"/>
      <c r="BC2284" s="51"/>
      <c r="BD2284" s="51"/>
      <c r="BE2284" s="51"/>
      <c r="BF2284" s="47"/>
      <c r="BG2284" s="47"/>
      <c r="BH2284" s="47"/>
      <c r="BI2284" s="47"/>
      <c r="BJ2284" s="47"/>
      <c r="BK2284" s="47"/>
      <c r="BL2284" s="47"/>
      <c r="BM2284" s="47"/>
      <c r="BN2284" s="47"/>
      <c r="BO2284" s="47"/>
      <c r="BP2284" s="47"/>
      <c r="BQ2284" s="47"/>
      <c r="BR2284" s="47"/>
      <c r="BS2284" s="47"/>
      <c r="BT2284" s="47"/>
    </row>
    <row r="2285">
      <c r="A2285" s="24"/>
      <c r="B2285" s="48"/>
      <c r="C2285" s="49"/>
      <c r="D2285" s="24"/>
      <c r="E2285" s="52"/>
      <c r="F2285" s="53"/>
      <c r="G2285" s="48"/>
      <c r="H2285" s="49"/>
      <c r="I2285" s="49"/>
      <c r="J2285" s="48"/>
      <c r="K2285" s="48"/>
      <c r="L2285" s="48"/>
      <c r="M2285" s="48"/>
      <c r="N2285" s="48"/>
      <c r="O2285" s="48"/>
      <c r="P2285" s="48"/>
      <c r="Q2285" s="48"/>
      <c r="R2285" s="48"/>
      <c r="S2285" s="48"/>
      <c r="T2285" s="48"/>
      <c r="U2285" s="48"/>
      <c r="V2285" s="48"/>
      <c r="W2285" s="49"/>
      <c r="X2285" s="49"/>
      <c r="Y2285" s="49"/>
      <c r="Z2285" s="49"/>
      <c r="AA2285" s="49"/>
      <c r="AB2285" s="49"/>
      <c r="AC2285" s="49"/>
      <c r="AD2285" s="49"/>
      <c r="AE2285" s="49"/>
      <c r="AF2285" s="49"/>
      <c r="AG2285" s="49"/>
      <c r="AH2285" s="49"/>
      <c r="AI2285" s="48"/>
      <c r="AJ2285" s="48"/>
      <c r="AK2285" s="24"/>
      <c r="AL2285" s="50"/>
      <c r="AM2285" s="50"/>
      <c r="AN2285" s="50"/>
      <c r="AO2285" s="50"/>
      <c r="AP2285" s="50"/>
      <c r="AQ2285" s="50"/>
      <c r="AR2285" s="50"/>
      <c r="AS2285" s="50"/>
      <c r="AT2285" s="51"/>
      <c r="AU2285" s="51"/>
      <c r="AV2285" s="51"/>
      <c r="AW2285" s="51"/>
      <c r="AX2285" s="50"/>
      <c r="AY2285" s="50"/>
      <c r="AZ2285" s="50"/>
      <c r="BA2285" s="50"/>
      <c r="BB2285" s="51"/>
      <c r="BC2285" s="51"/>
      <c r="BD2285" s="51"/>
      <c r="BE2285" s="51"/>
      <c r="BF2285" s="47"/>
      <c r="BG2285" s="47"/>
      <c r="BH2285" s="47"/>
      <c r="BI2285" s="47"/>
      <c r="BJ2285" s="47"/>
      <c r="BK2285" s="47"/>
      <c r="BL2285" s="47"/>
      <c r="BM2285" s="47"/>
      <c r="BN2285" s="47"/>
      <c r="BO2285" s="47"/>
      <c r="BP2285" s="47"/>
      <c r="BQ2285" s="47"/>
      <c r="BR2285" s="47"/>
      <c r="BS2285" s="47"/>
      <c r="BT2285" s="47"/>
    </row>
    <row r="2286">
      <c r="A2286" s="24"/>
      <c r="B2286" s="48"/>
      <c r="C2286" s="49"/>
      <c r="D2286" s="24"/>
      <c r="E2286" s="52"/>
      <c r="F2286" s="53"/>
      <c r="G2286" s="48"/>
      <c r="H2286" s="49"/>
      <c r="I2286" s="49"/>
      <c r="J2286" s="48"/>
      <c r="K2286" s="48"/>
      <c r="L2286" s="48"/>
      <c r="M2286" s="48"/>
      <c r="N2286" s="48"/>
      <c r="O2286" s="48"/>
      <c r="P2286" s="48"/>
      <c r="Q2286" s="48"/>
      <c r="R2286" s="48"/>
      <c r="S2286" s="48"/>
      <c r="T2286" s="48"/>
      <c r="U2286" s="48"/>
      <c r="V2286" s="48"/>
      <c r="W2286" s="49"/>
      <c r="X2286" s="49"/>
      <c r="Y2286" s="49"/>
      <c r="Z2286" s="49"/>
      <c r="AA2286" s="49"/>
      <c r="AB2286" s="49"/>
      <c r="AC2286" s="49"/>
      <c r="AD2286" s="49"/>
      <c r="AE2286" s="49"/>
      <c r="AF2286" s="49"/>
      <c r="AG2286" s="49"/>
      <c r="AH2286" s="49"/>
      <c r="AI2286" s="48"/>
      <c r="AJ2286" s="48"/>
      <c r="AK2286" s="24"/>
      <c r="AL2286" s="50"/>
      <c r="AM2286" s="50"/>
      <c r="AN2286" s="50"/>
      <c r="AO2286" s="50"/>
      <c r="AP2286" s="50"/>
      <c r="AQ2286" s="50"/>
      <c r="AR2286" s="50"/>
      <c r="AS2286" s="50"/>
      <c r="AT2286" s="51"/>
      <c r="AU2286" s="51"/>
      <c r="AV2286" s="51"/>
      <c r="AW2286" s="51"/>
      <c r="AX2286" s="50"/>
      <c r="AY2286" s="50"/>
      <c r="AZ2286" s="50"/>
      <c r="BA2286" s="50"/>
      <c r="BB2286" s="51"/>
      <c r="BC2286" s="51"/>
      <c r="BD2286" s="51"/>
      <c r="BE2286" s="51"/>
      <c r="BF2286" s="47"/>
      <c r="BG2286" s="47"/>
      <c r="BH2286" s="47"/>
      <c r="BI2286" s="47"/>
      <c r="BJ2286" s="47"/>
      <c r="BK2286" s="47"/>
      <c r="BL2286" s="47"/>
      <c r="BM2286" s="47"/>
      <c r="BN2286" s="47"/>
      <c r="BO2286" s="47"/>
      <c r="BP2286" s="47"/>
      <c r="BQ2286" s="47"/>
      <c r="BR2286" s="47"/>
      <c r="BS2286" s="47"/>
      <c r="BT2286" s="47"/>
    </row>
    <row r="2287">
      <c r="A2287" s="24"/>
      <c r="B2287" s="48"/>
      <c r="C2287" s="49"/>
      <c r="D2287" s="24"/>
      <c r="E2287" s="52"/>
      <c r="F2287" s="53"/>
      <c r="G2287" s="48"/>
      <c r="H2287" s="49"/>
      <c r="I2287" s="49"/>
      <c r="J2287" s="48"/>
      <c r="K2287" s="48"/>
      <c r="L2287" s="48"/>
      <c r="M2287" s="48"/>
      <c r="N2287" s="48"/>
      <c r="O2287" s="48"/>
      <c r="P2287" s="48"/>
      <c r="Q2287" s="48"/>
      <c r="R2287" s="48"/>
      <c r="S2287" s="48"/>
      <c r="T2287" s="48"/>
      <c r="U2287" s="48"/>
      <c r="V2287" s="48"/>
      <c r="W2287" s="49"/>
      <c r="X2287" s="49"/>
      <c r="Y2287" s="49"/>
      <c r="Z2287" s="49"/>
      <c r="AA2287" s="49"/>
      <c r="AB2287" s="49"/>
      <c r="AC2287" s="49"/>
      <c r="AD2287" s="49"/>
      <c r="AE2287" s="49"/>
      <c r="AF2287" s="49"/>
      <c r="AG2287" s="49"/>
      <c r="AH2287" s="49"/>
      <c r="AI2287" s="48"/>
      <c r="AJ2287" s="48"/>
      <c r="AK2287" s="24"/>
      <c r="AL2287" s="50"/>
      <c r="AM2287" s="50"/>
      <c r="AN2287" s="50"/>
      <c r="AO2287" s="50"/>
      <c r="AP2287" s="50"/>
      <c r="AQ2287" s="50"/>
      <c r="AR2287" s="50"/>
      <c r="AS2287" s="50"/>
      <c r="AT2287" s="51"/>
      <c r="AU2287" s="51"/>
      <c r="AV2287" s="51"/>
      <c r="AW2287" s="51"/>
      <c r="AX2287" s="50"/>
      <c r="AY2287" s="50"/>
      <c r="AZ2287" s="50"/>
      <c r="BA2287" s="50"/>
      <c r="BB2287" s="51"/>
      <c r="BC2287" s="51"/>
      <c r="BD2287" s="51"/>
      <c r="BE2287" s="51"/>
      <c r="BF2287" s="47"/>
      <c r="BG2287" s="47"/>
      <c r="BH2287" s="47"/>
      <c r="BI2287" s="47"/>
      <c r="BJ2287" s="47"/>
      <c r="BK2287" s="47"/>
      <c r="BL2287" s="47"/>
      <c r="BM2287" s="47"/>
      <c r="BN2287" s="47"/>
      <c r="BO2287" s="47"/>
      <c r="BP2287" s="47"/>
      <c r="BQ2287" s="47"/>
      <c r="BR2287" s="47"/>
      <c r="BS2287" s="47"/>
      <c r="BT2287" s="47"/>
    </row>
    <row r="2288">
      <c r="A2288" s="24"/>
      <c r="B2288" s="48"/>
      <c r="C2288" s="49"/>
      <c r="D2288" s="24"/>
      <c r="E2288" s="52"/>
      <c r="F2288" s="53"/>
      <c r="G2288" s="48"/>
      <c r="H2288" s="49"/>
      <c r="I2288" s="49"/>
      <c r="J2288" s="48"/>
      <c r="K2288" s="48"/>
      <c r="L2288" s="48"/>
      <c r="M2288" s="48"/>
      <c r="N2288" s="48"/>
      <c r="O2288" s="48"/>
      <c r="P2288" s="48"/>
      <c r="Q2288" s="48"/>
      <c r="R2288" s="48"/>
      <c r="S2288" s="48"/>
      <c r="T2288" s="48"/>
      <c r="U2288" s="48"/>
      <c r="V2288" s="48"/>
      <c r="W2288" s="49"/>
      <c r="X2288" s="49"/>
      <c r="Y2288" s="49"/>
      <c r="Z2288" s="49"/>
      <c r="AA2288" s="49"/>
      <c r="AB2288" s="49"/>
      <c r="AC2288" s="49"/>
      <c r="AD2288" s="49"/>
      <c r="AE2288" s="49"/>
      <c r="AF2288" s="49"/>
      <c r="AG2288" s="49"/>
      <c r="AH2288" s="49"/>
      <c r="AI2288" s="48"/>
      <c r="AJ2288" s="48"/>
      <c r="AK2288" s="24"/>
      <c r="AL2288" s="50"/>
      <c r="AM2288" s="50"/>
      <c r="AN2288" s="50"/>
      <c r="AO2288" s="50"/>
      <c r="AP2288" s="50"/>
      <c r="AQ2288" s="50"/>
      <c r="AR2288" s="50"/>
      <c r="AS2288" s="50"/>
      <c r="AT2288" s="51"/>
      <c r="AU2288" s="51"/>
      <c r="AV2288" s="51"/>
      <c r="AW2288" s="51"/>
      <c r="AX2288" s="50"/>
      <c r="AY2288" s="50"/>
      <c r="AZ2288" s="50"/>
      <c r="BA2288" s="50"/>
      <c r="BB2288" s="51"/>
      <c r="BC2288" s="51"/>
      <c r="BD2288" s="51"/>
      <c r="BE2288" s="51"/>
      <c r="BF2288" s="47"/>
      <c r="BG2288" s="47"/>
      <c r="BH2288" s="47"/>
      <c r="BI2288" s="47"/>
      <c r="BJ2288" s="47"/>
      <c r="BK2288" s="47"/>
      <c r="BL2288" s="47"/>
      <c r="BM2288" s="47"/>
      <c r="BN2288" s="47"/>
      <c r="BO2288" s="47"/>
      <c r="BP2288" s="47"/>
      <c r="BQ2288" s="47"/>
      <c r="BR2288" s="47"/>
      <c r="BS2288" s="47"/>
      <c r="BT2288" s="47"/>
    </row>
    <row r="2289">
      <c r="A2289" s="24"/>
      <c r="B2289" s="48"/>
      <c r="C2289" s="49"/>
      <c r="D2289" s="24"/>
      <c r="E2289" s="52"/>
      <c r="F2289" s="53"/>
      <c r="G2289" s="48"/>
      <c r="H2289" s="49"/>
      <c r="I2289" s="49"/>
      <c r="J2289" s="48"/>
      <c r="K2289" s="48"/>
      <c r="L2289" s="48"/>
      <c r="M2289" s="48"/>
      <c r="N2289" s="48"/>
      <c r="O2289" s="48"/>
      <c r="P2289" s="48"/>
      <c r="Q2289" s="48"/>
      <c r="R2289" s="48"/>
      <c r="S2289" s="48"/>
      <c r="T2289" s="48"/>
      <c r="U2289" s="48"/>
      <c r="V2289" s="48"/>
      <c r="W2289" s="49"/>
      <c r="X2289" s="49"/>
      <c r="Y2289" s="49"/>
      <c r="Z2289" s="49"/>
      <c r="AA2289" s="49"/>
      <c r="AB2289" s="49"/>
      <c r="AC2289" s="49"/>
      <c r="AD2289" s="49"/>
      <c r="AE2289" s="49"/>
      <c r="AF2289" s="49"/>
      <c r="AG2289" s="49"/>
      <c r="AH2289" s="49"/>
      <c r="AI2289" s="48"/>
      <c r="AJ2289" s="48"/>
      <c r="AK2289" s="24"/>
      <c r="AL2289" s="50"/>
      <c r="AM2289" s="50"/>
      <c r="AN2289" s="50"/>
      <c r="AO2289" s="50"/>
      <c r="AP2289" s="50"/>
      <c r="AQ2289" s="50"/>
      <c r="AR2289" s="50"/>
      <c r="AS2289" s="50"/>
      <c r="AT2289" s="51"/>
      <c r="AU2289" s="51"/>
      <c r="AV2289" s="51"/>
      <c r="AW2289" s="51"/>
      <c r="AX2289" s="50"/>
      <c r="AY2289" s="50"/>
      <c r="AZ2289" s="50"/>
      <c r="BA2289" s="50"/>
      <c r="BB2289" s="51"/>
      <c r="BC2289" s="51"/>
      <c r="BD2289" s="51"/>
      <c r="BE2289" s="51"/>
      <c r="BF2289" s="47"/>
      <c r="BG2289" s="47"/>
      <c r="BH2289" s="47"/>
      <c r="BI2289" s="47"/>
      <c r="BJ2289" s="47"/>
      <c r="BK2289" s="47"/>
      <c r="BL2289" s="47"/>
      <c r="BM2289" s="47"/>
      <c r="BN2289" s="47"/>
      <c r="BO2289" s="47"/>
      <c r="BP2289" s="47"/>
      <c r="BQ2289" s="47"/>
      <c r="BR2289" s="47"/>
      <c r="BS2289" s="47"/>
      <c r="BT2289" s="47"/>
    </row>
    <row r="2290">
      <c r="A2290" s="24"/>
      <c r="B2290" s="48"/>
      <c r="C2290" s="49"/>
      <c r="D2290" s="24"/>
      <c r="E2290" s="52"/>
      <c r="F2290" s="53"/>
      <c r="G2290" s="48"/>
      <c r="H2290" s="49"/>
      <c r="I2290" s="49"/>
      <c r="J2290" s="48"/>
      <c r="K2290" s="48"/>
      <c r="L2290" s="48"/>
      <c r="M2290" s="48"/>
      <c r="N2290" s="48"/>
      <c r="O2290" s="48"/>
      <c r="P2290" s="48"/>
      <c r="Q2290" s="48"/>
      <c r="R2290" s="48"/>
      <c r="S2290" s="48"/>
      <c r="T2290" s="48"/>
      <c r="U2290" s="48"/>
      <c r="V2290" s="48"/>
      <c r="W2290" s="49"/>
      <c r="X2290" s="49"/>
      <c r="Y2290" s="49"/>
      <c r="Z2290" s="49"/>
      <c r="AA2290" s="49"/>
      <c r="AB2290" s="49"/>
      <c r="AC2290" s="49"/>
      <c r="AD2290" s="49"/>
      <c r="AE2290" s="49"/>
      <c r="AF2290" s="49"/>
      <c r="AG2290" s="49"/>
      <c r="AH2290" s="49"/>
      <c r="AI2290" s="48"/>
      <c r="AJ2290" s="48"/>
      <c r="AK2290" s="24"/>
      <c r="AL2290" s="50"/>
      <c r="AM2290" s="50"/>
      <c r="AN2290" s="50"/>
      <c r="AO2290" s="50"/>
      <c r="AP2290" s="50"/>
      <c r="AQ2290" s="50"/>
      <c r="AR2290" s="50"/>
      <c r="AS2290" s="50"/>
      <c r="AT2290" s="51"/>
      <c r="AU2290" s="51"/>
      <c r="AV2290" s="51"/>
      <c r="AW2290" s="51"/>
      <c r="AX2290" s="50"/>
      <c r="AY2290" s="50"/>
      <c r="AZ2290" s="50"/>
      <c r="BA2290" s="50"/>
      <c r="BB2290" s="51"/>
      <c r="BC2290" s="51"/>
      <c r="BD2290" s="51"/>
      <c r="BE2290" s="51"/>
      <c r="BF2290" s="47"/>
      <c r="BG2290" s="47"/>
      <c r="BH2290" s="47"/>
      <c r="BI2290" s="47"/>
      <c r="BJ2290" s="47"/>
      <c r="BK2290" s="47"/>
      <c r="BL2290" s="47"/>
      <c r="BM2290" s="47"/>
      <c r="BN2290" s="47"/>
      <c r="BO2290" s="47"/>
      <c r="BP2290" s="47"/>
      <c r="BQ2290" s="47"/>
      <c r="BR2290" s="47"/>
      <c r="BS2290" s="47"/>
      <c r="BT2290" s="47"/>
    </row>
    <row r="2291">
      <c r="A2291" s="24"/>
      <c r="B2291" s="48"/>
      <c r="C2291" s="49"/>
      <c r="D2291" s="24"/>
      <c r="E2291" s="52"/>
      <c r="F2291" s="53"/>
      <c r="G2291" s="48"/>
      <c r="H2291" s="49"/>
      <c r="I2291" s="49"/>
      <c r="J2291" s="48"/>
      <c r="K2291" s="48"/>
      <c r="L2291" s="48"/>
      <c r="M2291" s="48"/>
      <c r="N2291" s="48"/>
      <c r="O2291" s="48"/>
      <c r="P2291" s="48"/>
      <c r="Q2291" s="48"/>
      <c r="R2291" s="48"/>
      <c r="S2291" s="48"/>
      <c r="T2291" s="48"/>
      <c r="U2291" s="48"/>
      <c r="V2291" s="48"/>
      <c r="W2291" s="49"/>
      <c r="X2291" s="49"/>
      <c r="Y2291" s="49"/>
      <c r="Z2291" s="49"/>
      <c r="AA2291" s="49"/>
      <c r="AB2291" s="49"/>
      <c r="AC2291" s="49"/>
      <c r="AD2291" s="49"/>
      <c r="AE2291" s="49"/>
      <c r="AF2291" s="49"/>
      <c r="AG2291" s="49"/>
      <c r="AH2291" s="49"/>
      <c r="AI2291" s="48"/>
      <c r="AJ2291" s="48"/>
      <c r="AK2291" s="24"/>
      <c r="AL2291" s="50"/>
      <c r="AM2291" s="50"/>
      <c r="AN2291" s="50"/>
      <c r="AO2291" s="50"/>
      <c r="AP2291" s="50"/>
      <c r="AQ2291" s="50"/>
      <c r="AR2291" s="50"/>
      <c r="AS2291" s="50"/>
      <c r="AT2291" s="51"/>
      <c r="AU2291" s="51"/>
      <c r="AV2291" s="51"/>
      <c r="AW2291" s="51"/>
      <c r="AX2291" s="50"/>
      <c r="AY2291" s="50"/>
      <c r="AZ2291" s="50"/>
      <c r="BA2291" s="50"/>
      <c r="BB2291" s="51"/>
      <c r="BC2291" s="51"/>
      <c r="BD2291" s="51"/>
      <c r="BE2291" s="51"/>
      <c r="BF2291" s="47"/>
      <c r="BG2291" s="47"/>
      <c r="BH2291" s="47"/>
      <c r="BI2291" s="47"/>
      <c r="BJ2291" s="47"/>
      <c r="BK2291" s="47"/>
      <c r="BL2291" s="47"/>
      <c r="BM2291" s="47"/>
      <c r="BN2291" s="47"/>
      <c r="BO2291" s="47"/>
      <c r="BP2291" s="47"/>
      <c r="BQ2291" s="47"/>
      <c r="BR2291" s="47"/>
      <c r="BS2291" s="47"/>
      <c r="BT2291" s="47"/>
    </row>
    <row r="2292">
      <c r="A2292" s="24"/>
      <c r="B2292" s="48"/>
      <c r="C2292" s="49"/>
      <c r="D2292" s="24"/>
      <c r="E2292" s="52"/>
      <c r="F2292" s="53"/>
      <c r="G2292" s="48"/>
      <c r="H2292" s="49"/>
      <c r="I2292" s="49"/>
      <c r="J2292" s="48"/>
      <c r="K2292" s="48"/>
      <c r="L2292" s="48"/>
      <c r="M2292" s="48"/>
      <c r="N2292" s="48"/>
      <c r="O2292" s="48"/>
      <c r="P2292" s="48"/>
      <c r="Q2292" s="48"/>
      <c r="R2292" s="48"/>
      <c r="S2292" s="48"/>
      <c r="T2292" s="48"/>
      <c r="U2292" s="48"/>
      <c r="V2292" s="48"/>
      <c r="W2292" s="49"/>
      <c r="X2292" s="49"/>
      <c r="Y2292" s="49"/>
      <c r="Z2292" s="49"/>
      <c r="AA2292" s="49"/>
      <c r="AB2292" s="49"/>
      <c r="AC2292" s="49"/>
      <c r="AD2292" s="49"/>
      <c r="AE2292" s="49"/>
      <c r="AF2292" s="49"/>
      <c r="AG2292" s="49"/>
      <c r="AH2292" s="49"/>
      <c r="AI2292" s="48"/>
      <c r="AJ2292" s="48"/>
      <c r="AK2292" s="24"/>
      <c r="AL2292" s="50"/>
      <c r="AM2292" s="50"/>
      <c r="AN2292" s="50"/>
      <c r="AO2292" s="50"/>
      <c r="AP2292" s="50"/>
      <c r="AQ2292" s="50"/>
      <c r="AR2292" s="50"/>
      <c r="AS2292" s="50"/>
      <c r="AT2292" s="51"/>
      <c r="AU2292" s="51"/>
      <c r="AV2292" s="51"/>
      <c r="AW2292" s="51"/>
      <c r="AX2292" s="50"/>
      <c r="AY2292" s="50"/>
      <c r="AZ2292" s="50"/>
      <c r="BA2292" s="50"/>
      <c r="BB2292" s="51"/>
      <c r="BC2292" s="51"/>
      <c r="BD2292" s="51"/>
      <c r="BE2292" s="51"/>
      <c r="BF2292" s="47"/>
      <c r="BG2292" s="47"/>
      <c r="BH2292" s="47"/>
      <c r="BI2292" s="47"/>
      <c r="BJ2292" s="47"/>
      <c r="BK2292" s="47"/>
      <c r="BL2292" s="47"/>
      <c r="BM2292" s="47"/>
      <c r="BN2292" s="47"/>
      <c r="BO2292" s="47"/>
      <c r="BP2292" s="47"/>
      <c r="BQ2292" s="47"/>
      <c r="BR2292" s="47"/>
      <c r="BS2292" s="47"/>
      <c r="BT2292" s="47"/>
    </row>
    <row r="2293">
      <c r="A2293" s="24"/>
      <c r="B2293" s="48"/>
      <c r="C2293" s="49"/>
      <c r="D2293" s="24"/>
      <c r="E2293" s="52"/>
      <c r="F2293" s="53"/>
      <c r="G2293" s="48"/>
      <c r="H2293" s="49"/>
      <c r="I2293" s="49"/>
      <c r="J2293" s="48"/>
      <c r="K2293" s="48"/>
      <c r="L2293" s="48"/>
      <c r="M2293" s="48"/>
      <c r="N2293" s="48"/>
      <c r="O2293" s="48"/>
      <c r="P2293" s="48"/>
      <c r="Q2293" s="48"/>
      <c r="R2293" s="48"/>
      <c r="S2293" s="48"/>
      <c r="T2293" s="48"/>
      <c r="U2293" s="48"/>
      <c r="V2293" s="48"/>
      <c r="W2293" s="49"/>
      <c r="X2293" s="49"/>
      <c r="Y2293" s="49"/>
      <c r="Z2293" s="49"/>
      <c r="AA2293" s="49"/>
      <c r="AB2293" s="49"/>
      <c r="AC2293" s="49"/>
      <c r="AD2293" s="49"/>
      <c r="AE2293" s="49"/>
      <c r="AF2293" s="49"/>
      <c r="AG2293" s="49"/>
      <c r="AH2293" s="49"/>
      <c r="AI2293" s="48"/>
      <c r="AJ2293" s="48"/>
      <c r="AK2293" s="24"/>
      <c r="AL2293" s="50"/>
      <c r="AM2293" s="50"/>
      <c r="AN2293" s="50"/>
      <c r="AO2293" s="50"/>
      <c r="AP2293" s="50"/>
      <c r="AQ2293" s="50"/>
      <c r="AR2293" s="50"/>
      <c r="AS2293" s="50"/>
      <c r="AT2293" s="51"/>
      <c r="AU2293" s="51"/>
      <c r="AV2293" s="51"/>
      <c r="AW2293" s="51"/>
      <c r="AX2293" s="50"/>
      <c r="AY2293" s="50"/>
      <c r="AZ2293" s="50"/>
      <c r="BA2293" s="50"/>
      <c r="BB2293" s="51"/>
      <c r="BC2293" s="51"/>
      <c r="BD2293" s="51"/>
      <c r="BE2293" s="51"/>
      <c r="BF2293" s="47"/>
      <c r="BG2293" s="47"/>
      <c r="BH2293" s="47"/>
      <c r="BI2293" s="47"/>
      <c r="BJ2293" s="47"/>
      <c r="BK2293" s="47"/>
      <c r="BL2293" s="47"/>
      <c r="BM2293" s="47"/>
      <c r="BN2293" s="47"/>
      <c r="BO2293" s="47"/>
      <c r="BP2293" s="47"/>
      <c r="BQ2293" s="47"/>
      <c r="BR2293" s="47"/>
      <c r="BS2293" s="47"/>
      <c r="BT2293" s="47"/>
    </row>
    <row r="2294">
      <c r="A2294" s="24"/>
      <c r="B2294" s="48"/>
      <c r="C2294" s="49"/>
      <c r="D2294" s="24"/>
      <c r="E2294" s="52"/>
      <c r="F2294" s="53"/>
      <c r="G2294" s="48"/>
      <c r="H2294" s="49"/>
      <c r="I2294" s="49"/>
      <c r="J2294" s="48"/>
      <c r="K2294" s="48"/>
      <c r="L2294" s="48"/>
      <c r="M2294" s="48"/>
      <c r="N2294" s="48"/>
      <c r="O2294" s="48"/>
      <c r="P2294" s="48"/>
      <c r="Q2294" s="48"/>
      <c r="R2294" s="48"/>
      <c r="S2294" s="48"/>
      <c r="T2294" s="48"/>
      <c r="U2294" s="48"/>
      <c r="V2294" s="48"/>
      <c r="W2294" s="49"/>
      <c r="X2294" s="49"/>
      <c r="Y2294" s="49"/>
      <c r="Z2294" s="49"/>
      <c r="AA2294" s="49"/>
      <c r="AB2294" s="49"/>
      <c r="AC2294" s="49"/>
      <c r="AD2294" s="49"/>
      <c r="AE2294" s="49"/>
      <c r="AF2294" s="49"/>
      <c r="AG2294" s="49"/>
      <c r="AH2294" s="49"/>
      <c r="AI2294" s="48"/>
      <c r="AJ2294" s="48"/>
      <c r="AK2294" s="24"/>
      <c r="AL2294" s="50"/>
      <c r="AM2294" s="50"/>
      <c r="AN2294" s="50"/>
      <c r="AO2294" s="50"/>
      <c r="AP2294" s="50"/>
      <c r="AQ2294" s="50"/>
      <c r="AR2294" s="50"/>
      <c r="AS2294" s="50"/>
      <c r="AT2294" s="51"/>
      <c r="AU2294" s="51"/>
      <c r="AV2294" s="51"/>
      <c r="AW2294" s="51"/>
      <c r="AX2294" s="50"/>
      <c r="AY2294" s="50"/>
      <c r="AZ2294" s="50"/>
      <c r="BA2294" s="50"/>
      <c r="BB2294" s="51"/>
      <c r="BC2294" s="51"/>
      <c r="BD2294" s="51"/>
      <c r="BE2294" s="51"/>
      <c r="BF2294" s="47"/>
      <c r="BG2294" s="47"/>
      <c r="BH2294" s="47"/>
      <c r="BI2294" s="47"/>
      <c r="BJ2294" s="47"/>
      <c r="BK2294" s="47"/>
      <c r="BL2294" s="47"/>
      <c r="BM2294" s="47"/>
      <c r="BN2294" s="47"/>
      <c r="BO2294" s="47"/>
      <c r="BP2294" s="47"/>
      <c r="BQ2294" s="47"/>
      <c r="BR2294" s="47"/>
      <c r="BS2294" s="47"/>
      <c r="BT2294" s="47"/>
    </row>
    <row r="2295">
      <c r="A2295" s="24"/>
      <c r="B2295" s="48"/>
      <c r="C2295" s="49"/>
      <c r="D2295" s="24"/>
      <c r="E2295" s="52"/>
      <c r="F2295" s="53"/>
      <c r="G2295" s="48"/>
      <c r="H2295" s="49"/>
      <c r="I2295" s="49"/>
      <c r="J2295" s="48"/>
      <c r="K2295" s="48"/>
      <c r="L2295" s="48"/>
      <c r="M2295" s="48"/>
      <c r="N2295" s="48"/>
      <c r="O2295" s="48"/>
      <c r="P2295" s="48"/>
      <c r="Q2295" s="48"/>
      <c r="R2295" s="48"/>
      <c r="S2295" s="48"/>
      <c r="T2295" s="48"/>
      <c r="U2295" s="48"/>
      <c r="V2295" s="48"/>
      <c r="W2295" s="49"/>
      <c r="X2295" s="49"/>
      <c r="Y2295" s="49"/>
      <c r="Z2295" s="49"/>
      <c r="AA2295" s="49"/>
      <c r="AB2295" s="49"/>
      <c r="AC2295" s="49"/>
      <c r="AD2295" s="49"/>
      <c r="AE2295" s="49"/>
      <c r="AF2295" s="49"/>
      <c r="AG2295" s="49"/>
      <c r="AH2295" s="49"/>
      <c r="AI2295" s="48"/>
      <c r="AJ2295" s="48"/>
      <c r="AK2295" s="24"/>
      <c r="AL2295" s="50"/>
      <c r="AM2295" s="50"/>
      <c r="AN2295" s="50"/>
      <c r="AO2295" s="50"/>
      <c r="AP2295" s="50"/>
      <c r="AQ2295" s="50"/>
      <c r="AR2295" s="50"/>
      <c r="AS2295" s="50"/>
      <c r="AT2295" s="51"/>
      <c r="AU2295" s="51"/>
      <c r="AV2295" s="51"/>
      <c r="AW2295" s="51"/>
      <c r="AX2295" s="50"/>
      <c r="AY2295" s="50"/>
      <c r="AZ2295" s="50"/>
      <c r="BA2295" s="50"/>
      <c r="BB2295" s="51"/>
      <c r="BC2295" s="51"/>
      <c r="BD2295" s="51"/>
      <c r="BE2295" s="51"/>
      <c r="BF2295" s="47"/>
      <c r="BG2295" s="47"/>
      <c r="BH2295" s="47"/>
      <c r="BI2295" s="47"/>
      <c r="BJ2295" s="47"/>
      <c r="BK2295" s="47"/>
      <c r="BL2295" s="47"/>
      <c r="BM2295" s="47"/>
      <c r="BN2295" s="47"/>
      <c r="BO2295" s="47"/>
      <c r="BP2295" s="47"/>
      <c r="BQ2295" s="47"/>
      <c r="BR2295" s="47"/>
      <c r="BS2295" s="47"/>
      <c r="BT2295" s="47"/>
    </row>
    <row r="2296">
      <c r="A2296" s="24"/>
      <c r="B2296" s="48"/>
      <c r="C2296" s="49"/>
      <c r="D2296" s="24"/>
      <c r="E2296" s="52"/>
      <c r="F2296" s="53"/>
      <c r="G2296" s="48"/>
      <c r="H2296" s="49"/>
      <c r="I2296" s="49"/>
      <c r="J2296" s="48"/>
      <c r="K2296" s="48"/>
      <c r="L2296" s="48"/>
      <c r="M2296" s="48"/>
      <c r="N2296" s="48"/>
      <c r="O2296" s="48"/>
      <c r="P2296" s="48"/>
      <c r="Q2296" s="48"/>
      <c r="R2296" s="48"/>
      <c r="S2296" s="48"/>
      <c r="T2296" s="48"/>
      <c r="U2296" s="48"/>
      <c r="V2296" s="48"/>
      <c r="W2296" s="49"/>
      <c r="X2296" s="49"/>
      <c r="Y2296" s="49"/>
      <c r="Z2296" s="49"/>
      <c r="AA2296" s="49"/>
      <c r="AB2296" s="49"/>
      <c r="AC2296" s="49"/>
      <c r="AD2296" s="49"/>
      <c r="AE2296" s="49"/>
      <c r="AF2296" s="49"/>
      <c r="AG2296" s="49"/>
      <c r="AH2296" s="49"/>
      <c r="AI2296" s="48"/>
      <c r="AJ2296" s="48"/>
      <c r="AK2296" s="24"/>
      <c r="AL2296" s="50"/>
      <c r="AM2296" s="50"/>
      <c r="AN2296" s="50"/>
      <c r="AO2296" s="50"/>
      <c r="AP2296" s="50"/>
      <c r="AQ2296" s="50"/>
      <c r="AR2296" s="50"/>
      <c r="AS2296" s="50"/>
      <c r="AT2296" s="51"/>
      <c r="AU2296" s="51"/>
      <c r="AV2296" s="51"/>
      <c r="AW2296" s="51"/>
      <c r="AX2296" s="50"/>
      <c r="AY2296" s="50"/>
      <c r="AZ2296" s="50"/>
      <c r="BA2296" s="50"/>
      <c r="BB2296" s="51"/>
      <c r="BC2296" s="51"/>
      <c r="BD2296" s="51"/>
      <c r="BE2296" s="51"/>
      <c r="BF2296" s="47"/>
      <c r="BG2296" s="47"/>
      <c r="BH2296" s="47"/>
      <c r="BI2296" s="47"/>
      <c r="BJ2296" s="47"/>
      <c r="BK2296" s="47"/>
      <c r="BL2296" s="47"/>
      <c r="BM2296" s="47"/>
      <c r="BN2296" s="47"/>
      <c r="BO2296" s="47"/>
      <c r="BP2296" s="47"/>
      <c r="BQ2296" s="47"/>
      <c r="BR2296" s="47"/>
      <c r="BS2296" s="47"/>
      <c r="BT2296" s="47"/>
    </row>
    <row r="2297">
      <c r="A2297" s="24"/>
      <c r="B2297" s="48"/>
      <c r="C2297" s="49"/>
      <c r="D2297" s="24"/>
      <c r="E2297" s="52"/>
      <c r="F2297" s="53"/>
      <c r="G2297" s="48"/>
      <c r="H2297" s="49"/>
      <c r="I2297" s="49"/>
      <c r="J2297" s="48"/>
      <c r="K2297" s="48"/>
      <c r="L2297" s="48"/>
      <c r="M2297" s="48"/>
      <c r="N2297" s="48"/>
      <c r="O2297" s="48"/>
      <c r="P2297" s="48"/>
      <c r="Q2297" s="48"/>
      <c r="R2297" s="48"/>
      <c r="S2297" s="48"/>
      <c r="T2297" s="48"/>
      <c r="U2297" s="48"/>
      <c r="V2297" s="48"/>
      <c r="W2297" s="49"/>
      <c r="X2297" s="49"/>
      <c r="Y2297" s="49"/>
      <c r="Z2297" s="49"/>
      <c r="AA2297" s="49"/>
      <c r="AB2297" s="49"/>
      <c r="AC2297" s="49"/>
      <c r="AD2297" s="49"/>
      <c r="AE2297" s="49"/>
      <c r="AF2297" s="49"/>
      <c r="AG2297" s="49"/>
      <c r="AH2297" s="49"/>
      <c r="AI2297" s="48"/>
      <c r="AJ2297" s="48"/>
      <c r="AK2297" s="24"/>
      <c r="AL2297" s="50"/>
      <c r="AM2297" s="50"/>
      <c r="AN2297" s="50"/>
      <c r="AO2297" s="50"/>
      <c r="AP2297" s="50"/>
      <c r="AQ2297" s="50"/>
      <c r="AR2297" s="50"/>
      <c r="AS2297" s="50"/>
      <c r="AT2297" s="51"/>
      <c r="AU2297" s="51"/>
      <c r="AV2297" s="51"/>
      <c r="AW2297" s="51"/>
      <c r="AX2297" s="50"/>
      <c r="AY2297" s="50"/>
      <c r="AZ2297" s="50"/>
      <c r="BA2297" s="50"/>
      <c r="BB2297" s="51"/>
      <c r="BC2297" s="51"/>
      <c r="BD2297" s="51"/>
      <c r="BE2297" s="51"/>
      <c r="BF2297" s="47"/>
      <c r="BG2297" s="47"/>
      <c r="BH2297" s="47"/>
      <c r="BI2297" s="47"/>
      <c r="BJ2297" s="47"/>
      <c r="BK2297" s="47"/>
      <c r="BL2297" s="47"/>
      <c r="BM2297" s="47"/>
      <c r="BN2297" s="47"/>
      <c r="BO2297" s="47"/>
      <c r="BP2297" s="47"/>
      <c r="BQ2297" s="47"/>
      <c r="BR2297" s="47"/>
      <c r="BS2297" s="47"/>
      <c r="BT2297" s="47"/>
    </row>
    <row r="2298">
      <c r="A2298" s="24"/>
      <c r="B2298" s="48"/>
      <c r="C2298" s="49"/>
      <c r="D2298" s="24"/>
      <c r="E2298" s="52"/>
      <c r="F2298" s="53"/>
      <c r="G2298" s="48"/>
      <c r="H2298" s="49"/>
      <c r="I2298" s="49"/>
      <c r="J2298" s="48"/>
      <c r="K2298" s="48"/>
      <c r="L2298" s="48"/>
      <c r="M2298" s="48"/>
      <c r="N2298" s="48"/>
      <c r="O2298" s="48"/>
      <c r="P2298" s="48"/>
      <c r="Q2298" s="48"/>
      <c r="R2298" s="48"/>
      <c r="S2298" s="48"/>
      <c r="T2298" s="48"/>
      <c r="U2298" s="48"/>
      <c r="V2298" s="48"/>
      <c r="W2298" s="49"/>
      <c r="X2298" s="49"/>
      <c r="Y2298" s="49"/>
      <c r="Z2298" s="49"/>
      <c r="AA2298" s="49"/>
      <c r="AB2298" s="49"/>
      <c r="AC2298" s="49"/>
      <c r="AD2298" s="49"/>
      <c r="AE2298" s="49"/>
      <c r="AF2298" s="49"/>
      <c r="AG2298" s="49"/>
      <c r="AH2298" s="49"/>
      <c r="AI2298" s="48"/>
      <c r="AJ2298" s="48"/>
      <c r="AK2298" s="24"/>
      <c r="AL2298" s="50"/>
      <c r="AM2298" s="50"/>
      <c r="AN2298" s="50"/>
      <c r="AO2298" s="50"/>
      <c r="AP2298" s="50"/>
      <c r="AQ2298" s="50"/>
      <c r="AR2298" s="50"/>
      <c r="AS2298" s="50"/>
      <c r="AT2298" s="51"/>
      <c r="AU2298" s="51"/>
      <c r="AV2298" s="51"/>
      <c r="AW2298" s="51"/>
      <c r="AX2298" s="50"/>
      <c r="AY2298" s="50"/>
      <c r="AZ2298" s="50"/>
      <c r="BA2298" s="50"/>
      <c r="BB2298" s="51"/>
      <c r="BC2298" s="51"/>
      <c r="BD2298" s="51"/>
      <c r="BE2298" s="51"/>
      <c r="BF2298" s="47"/>
      <c r="BG2298" s="47"/>
      <c r="BH2298" s="47"/>
      <c r="BI2298" s="47"/>
      <c r="BJ2298" s="47"/>
      <c r="BK2298" s="47"/>
      <c r="BL2298" s="47"/>
      <c r="BM2298" s="47"/>
      <c r="BN2298" s="47"/>
      <c r="BO2298" s="47"/>
      <c r="BP2298" s="47"/>
      <c r="BQ2298" s="47"/>
      <c r="BR2298" s="47"/>
      <c r="BS2298" s="47"/>
      <c r="BT2298" s="47"/>
    </row>
    <row r="2299">
      <c r="A2299" s="24"/>
      <c r="B2299" s="48"/>
      <c r="C2299" s="49"/>
      <c r="D2299" s="24"/>
      <c r="E2299" s="52"/>
      <c r="F2299" s="53"/>
      <c r="G2299" s="48"/>
      <c r="H2299" s="49"/>
      <c r="I2299" s="49"/>
      <c r="J2299" s="48"/>
      <c r="K2299" s="48"/>
      <c r="L2299" s="48"/>
      <c r="M2299" s="48"/>
      <c r="N2299" s="48"/>
      <c r="O2299" s="48"/>
      <c r="P2299" s="48"/>
      <c r="Q2299" s="48"/>
      <c r="R2299" s="48"/>
      <c r="S2299" s="48"/>
      <c r="T2299" s="48"/>
      <c r="U2299" s="48"/>
      <c r="V2299" s="48"/>
      <c r="W2299" s="49"/>
      <c r="X2299" s="49"/>
      <c r="Y2299" s="49"/>
      <c r="Z2299" s="49"/>
      <c r="AA2299" s="49"/>
      <c r="AB2299" s="49"/>
      <c r="AC2299" s="49"/>
      <c r="AD2299" s="49"/>
      <c r="AE2299" s="49"/>
      <c r="AF2299" s="49"/>
      <c r="AG2299" s="49"/>
      <c r="AH2299" s="49"/>
      <c r="AI2299" s="48"/>
      <c r="AJ2299" s="48"/>
      <c r="AK2299" s="24"/>
      <c r="AL2299" s="50"/>
      <c r="AM2299" s="50"/>
      <c r="AN2299" s="50"/>
      <c r="AO2299" s="50"/>
      <c r="AP2299" s="50"/>
      <c r="AQ2299" s="50"/>
      <c r="AR2299" s="50"/>
      <c r="AS2299" s="50"/>
      <c r="AT2299" s="51"/>
      <c r="AU2299" s="51"/>
      <c r="AV2299" s="51"/>
      <c r="AW2299" s="51"/>
      <c r="AX2299" s="50"/>
      <c r="AY2299" s="50"/>
      <c r="AZ2299" s="50"/>
      <c r="BA2299" s="50"/>
      <c r="BB2299" s="51"/>
      <c r="BC2299" s="51"/>
      <c r="BD2299" s="51"/>
      <c r="BE2299" s="51"/>
      <c r="BF2299" s="47"/>
      <c r="BG2299" s="47"/>
      <c r="BH2299" s="47"/>
      <c r="BI2299" s="47"/>
      <c r="BJ2299" s="47"/>
      <c r="BK2299" s="47"/>
      <c r="BL2299" s="47"/>
      <c r="BM2299" s="47"/>
      <c r="BN2299" s="47"/>
      <c r="BO2299" s="47"/>
      <c r="BP2299" s="47"/>
      <c r="BQ2299" s="47"/>
      <c r="BR2299" s="47"/>
      <c r="BS2299" s="47"/>
      <c r="BT2299" s="47"/>
    </row>
    <row r="2300">
      <c r="A2300" s="24"/>
      <c r="B2300" s="48"/>
      <c r="C2300" s="49"/>
      <c r="D2300" s="24"/>
      <c r="E2300" s="52"/>
      <c r="F2300" s="53"/>
      <c r="G2300" s="48"/>
      <c r="H2300" s="49"/>
      <c r="I2300" s="49"/>
      <c r="J2300" s="48"/>
      <c r="K2300" s="48"/>
      <c r="L2300" s="48"/>
      <c r="M2300" s="48"/>
      <c r="N2300" s="48"/>
      <c r="O2300" s="48"/>
      <c r="P2300" s="48"/>
      <c r="Q2300" s="48"/>
      <c r="R2300" s="48"/>
      <c r="S2300" s="48"/>
      <c r="T2300" s="48"/>
      <c r="U2300" s="48"/>
      <c r="V2300" s="48"/>
      <c r="W2300" s="49"/>
      <c r="X2300" s="49"/>
      <c r="Y2300" s="49"/>
      <c r="Z2300" s="49"/>
      <c r="AA2300" s="49"/>
      <c r="AB2300" s="49"/>
      <c r="AC2300" s="49"/>
      <c r="AD2300" s="49"/>
      <c r="AE2300" s="49"/>
      <c r="AF2300" s="49"/>
      <c r="AG2300" s="49"/>
      <c r="AH2300" s="49"/>
      <c r="AI2300" s="48"/>
      <c r="AJ2300" s="48"/>
      <c r="AK2300" s="24"/>
      <c r="AL2300" s="50"/>
      <c r="AM2300" s="50"/>
      <c r="AN2300" s="50"/>
      <c r="AO2300" s="50"/>
      <c r="AP2300" s="50"/>
      <c r="AQ2300" s="50"/>
      <c r="AR2300" s="50"/>
      <c r="AS2300" s="50"/>
      <c r="AT2300" s="51"/>
      <c r="AU2300" s="51"/>
      <c r="AV2300" s="51"/>
      <c r="AW2300" s="51"/>
      <c r="AX2300" s="50"/>
      <c r="AY2300" s="50"/>
      <c r="AZ2300" s="50"/>
      <c r="BA2300" s="50"/>
      <c r="BB2300" s="51"/>
      <c r="BC2300" s="51"/>
      <c r="BD2300" s="51"/>
      <c r="BE2300" s="51"/>
      <c r="BF2300" s="47"/>
      <c r="BG2300" s="47"/>
      <c r="BH2300" s="47"/>
      <c r="BI2300" s="47"/>
      <c r="BJ2300" s="47"/>
      <c r="BK2300" s="47"/>
      <c r="BL2300" s="47"/>
      <c r="BM2300" s="47"/>
      <c r="BN2300" s="47"/>
      <c r="BO2300" s="47"/>
      <c r="BP2300" s="47"/>
      <c r="BQ2300" s="47"/>
      <c r="BR2300" s="47"/>
      <c r="BS2300" s="47"/>
      <c r="BT2300" s="47"/>
    </row>
    <row r="2301">
      <c r="A2301" s="24"/>
      <c r="B2301" s="48"/>
      <c r="C2301" s="49"/>
      <c r="D2301" s="24"/>
      <c r="E2301" s="52"/>
      <c r="F2301" s="53"/>
      <c r="G2301" s="48"/>
      <c r="H2301" s="49"/>
      <c r="I2301" s="49"/>
      <c r="J2301" s="48"/>
      <c r="K2301" s="48"/>
      <c r="L2301" s="48"/>
      <c r="M2301" s="48"/>
      <c r="N2301" s="48"/>
      <c r="O2301" s="48"/>
      <c r="P2301" s="48"/>
      <c r="Q2301" s="48"/>
      <c r="R2301" s="48"/>
      <c r="S2301" s="48"/>
      <c r="T2301" s="48"/>
      <c r="U2301" s="48"/>
      <c r="V2301" s="48"/>
      <c r="W2301" s="49"/>
      <c r="X2301" s="49"/>
      <c r="Y2301" s="49"/>
      <c r="Z2301" s="49"/>
      <c r="AA2301" s="49"/>
      <c r="AB2301" s="49"/>
      <c r="AC2301" s="49"/>
      <c r="AD2301" s="49"/>
      <c r="AE2301" s="49"/>
      <c r="AF2301" s="49"/>
      <c r="AG2301" s="49"/>
      <c r="AH2301" s="49"/>
      <c r="AI2301" s="48"/>
      <c r="AJ2301" s="48"/>
      <c r="AK2301" s="24"/>
      <c r="AL2301" s="50"/>
      <c r="AM2301" s="50"/>
      <c r="AN2301" s="50"/>
      <c r="AO2301" s="50"/>
      <c r="AP2301" s="50"/>
      <c r="AQ2301" s="50"/>
      <c r="AR2301" s="50"/>
      <c r="AS2301" s="50"/>
      <c r="AT2301" s="51"/>
      <c r="AU2301" s="51"/>
      <c r="AV2301" s="51"/>
      <c r="AW2301" s="51"/>
      <c r="AX2301" s="50"/>
      <c r="AY2301" s="50"/>
      <c r="AZ2301" s="50"/>
      <c r="BA2301" s="50"/>
      <c r="BB2301" s="51"/>
      <c r="BC2301" s="51"/>
      <c r="BD2301" s="51"/>
      <c r="BE2301" s="51"/>
      <c r="BF2301" s="47"/>
      <c r="BG2301" s="47"/>
      <c r="BH2301" s="47"/>
      <c r="BI2301" s="47"/>
      <c r="BJ2301" s="47"/>
      <c r="BK2301" s="47"/>
      <c r="BL2301" s="47"/>
      <c r="BM2301" s="47"/>
      <c r="BN2301" s="47"/>
      <c r="BO2301" s="47"/>
      <c r="BP2301" s="47"/>
      <c r="BQ2301" s="47"/>
      <c r="BR2301" s="47"/>
      <c r="BS2301" s="47"/>
      <c r="BT2301" s="47"/>
    </row>
    <row r="2302">
      <c r="A2302" s="24"/>
      <c r="B2302" s="48"/>
      <c r="C2302" s="49"/>
      <c r="D2302" s="24"/>
      <c r="E2302" s="52"/>
      <c r="F2302" s="53"/>
      <c r="G2302" s="48"/>
      <c r="H2302" s="49"/>
      <c r="I2302" s="49"/>
      <c r="J2302" s="48"/>
      <c r="K2302" s="48"/>
      <c r="L2302" s="48"/>
      <c r="M2302" s="48"/>
      <c r="N2302" s="48"/>
      <c r="O2302" s="48"/>
      <c r="P2302" s="48"/>
      <c r="Q2302" s="48"/>
      <c r="R2302" s="48"/>
      <c r="S2302" s="48"/>
      <c r="T2302" s="48"/>
      <c r="U2302" s="48"/>
      <c r="V2302" s="48"/>
      <c r="W2302" s="49"/>
      <c r="X2302" s="49"/>
      <c r="Y2302" s="49"/>
      <c r="Z2302" s="49"/>
      <c r="AA2302" s="49"/>
      <c r="AB2302" s="49"/>
      <c r="AC2302" s="49"/>
      <c r="AD2302" s="49"/>
      <c r="AE2302" s="49"/>
      <c r="AF2302" s="49"/>
      <c r="AG2302" s="49"/>
      <c r="AH2302" s="49"/>
      <c r="AI2302" s="48"/>
      <c r="AJ2302" s="48"/>
      <c r="AK2302" s="24"/>
      <c r="AL2302" s="50"/>
      <c r="AM2302" s="50"/>
      <c r="AN2302" s="50"/>
      <c r="AO2302" s="50"/>
      <c r="AP2302" s="50"/>
      <c r="AQ2302" s="50"/>
      <c r="AR2302" s="50"/>
      <c r="AS2302" s="50"/>
      <c r="AT2302" s="51"/>
      <c r="AU2302" s="51"/>
      <c r="AV2302" s="51"/>
      <c r="AW2302" s="51"/>
      <c r="AX2302" s="50"/>
      <c r="AY2302" s="50"/>
      <c r="AZ2302" s="50"/>
      <c r="BA2302" s="50"/>
      <c r="BB2302" s="51"/>
      <c r="BC2302" s="51"/>
      <c r="BD2302" s="51"/>
      <c r="BE2302" s="51"/>
      <c r="BF2302" s="47"/>
      <c r="BG2302" s="47"/>
      <c r="BH2302" s="47"/>
      <c r="BI2302" s="47"/>
      <c r="BJ2302" s="47"/>
      <c r="BK2302" s="47"/>
      <c r="BL2302" s="47"/>
      <c r="BM2302" s="47"/>
      <c r="BN2302" s="47"/>
      <c r="BO2302" s="47"/>
      <c r="BP2302" s="47"/>
      <c r="BQ2302" s="47"/>
      <c r="BR2302" s="47"/>
      <c r="BS2302" s="47"/>
      <c r="BT2302" s="47"/>
    </row>
    <row r="2303">
      <c r="A2303" s="24"/>
      <c r="B2303" s="48"/>
      <c r="C2303" s="49"/>
      <c r="D2303" s="24"/>
      <c r="E2303" s="52"/>
      <c r="F2303" s="53"/>
      <c r="G2303" s="48"/>
      <c r="H2303" s="49"/>
      <c r="I2303" s="49"/>
      <c r="J2303" s="48"/>
      <c r="K2303" s="48"/>
      <c r="L2303" s="48"/>
      <c r="M2303" s="48"/>
      <c r="N2303" s="48"/>
      <c r="O2303" s="48"/>
      <c r="P2303" s="48"/>
      <c r="Q2303" s="48"/>
      <c r="R2303" s="48"/>
      <c r="S2303" s="48"/>
      <c r="T2303" s="48"/>
      <c r="U2303" s="48"/>
      <c r="V2303" s="48"/>
      <c r="W2303" s="49"/>
      <c r="X2303" s="49"/>
      <c r="Y2303" s="49"/>
      <c r="Z2303" s="49"/>
      <c r="AA2303" s="49"/>
      <c r="AB2303" s="49"/>
      <c r="AC2303" s="49"/>
      <c r="AD2303" s="49"/>
      <c r="AE2303" s="49"/>
      <c r="AF2303" s="49"/>
      <c r="AG2303" s="49"/>
      <c r="AH2303" s="49"/>
      <c r="AI2303" s="48"/>
      <c r="AJ2303" s="48"/>
      <c r="AK2303" s="24"/>
      <c r="AL2303" s="50"/>
      <c r="AM2303" s="50"/>
      <c r="AN2303" s="50"/>
      <c r="AO2303" s="50"/>
      <c r="AP2303" s="50"/>
      <c r="AQ2303" s="50"/>
      <c r="AR2303" s="50"/>
      <c r="AS2303" s="50"/>
      <c r="AT2303" s="51"/>
      <c r="AU2303" s="51"/>
      <c r="AV2303" s="51"/>
      <c r="AW2303" s="51"/>
      <c r="AX2303" s="50"/>
      <c r="AY2303" s="50"/>
      <c r="AZ2303" s="50"/>
      <c r="BA2303" s="50"/>
      <c r="BB2303" s="51"/>
      <c r="BC2303" s="51"/>
      <c r="BD2303" s="51"/>
      <c r="BE2303" s="51"/>
      <c r="BF2303" s="47"/>
      <c r="BG2303" s="47"/>
      <c r="BH2303" s="47"/>
      <c r="BI2303" s="47"/>
      <c r="BJ2303" s="47"/>
      <c r="BK2303" s="47"/>
      <c r="BL2303" s="47"/>
      <c r="BM2303" s="47"/>
      <c r="BN2303" s="47"/>
      <c r="BO2303" s="47"/>
      <c r="BP2303" s="47"/>
      <c r="BQ2303" s="47"/>
      <c r="BR2303" s="47"/>
      <c r="BS2303" s="47"/>
      <c r="BT2303" s="47"/>
    </row>
    <row r="2304">
      <c r="A2304" s="24"/>
      <c r="B2304" s="48"/>
      <c r="C2304" s="49"/>
      <c r="D2304" s="24"/>
      <c r="E2304" s="52"/>
      <c r="F2304" s="53"/>
      <c r="G2304" s="48"/>
      <c r="H2304" s="49"/>
      <c r="I2304" s="49"/>
      <c r="J2304" s="48"/>
      <c r="K2304" s="48"/>
      <c r="L2304" s="48"/>
      <c r="M2304" s="48"/>
      <c r="N2304" s="48"/>
      <c r="O2304" s="48"/>
      <c r="P2304" s="48"/>
      <c r="Q2304" s="48"/>
      <c r="R2304" s="48"/>
      <c r="S2304" s="48"/>
      <c r="T2304" s="48"/>
      <c r="U2304" s="48"/>
      <c r="V2304" s="48"/>
      <c r="W2304" s="49"/>
      <c r="X2304" s="49"/>
      <c r="Y2304" s="49"/>
      <c r="Z2304" s="49"/>
      <c r="AA2304" s="49"/>
      <c r="AB2304" s="49"/>
      <c r="AC2304" s="49"/>
      <c r="AD2304" s="49"/>
      <c r="AE2304" s="49"/>
      <c r="AF2304" s="49"/>
      <c r="AG2304" s="49"/>
      <c r="AH2304" s="49"/>
      <c r="AI2304" s="48"/>
      <c r="AJ2304" s="48"/>
      <c r="AK2304" s="24"/>
      <c r="AL2304" s="50"/>
      <c r="AM2304" s="50"/>
      <c r="AN2304" s="50"/>
      <c r="AO2304" s="50"/>
      <c r="AP2304" s="50"/>
      <c r="AQ2304" s="50"/>
      <c r="AR2304" s="50"/>
      <c r="AS2304" s="50"/>
      <c r="AT2304" s="51"/>
      <c r="AU2304" s="51"/>
      <c r="AV2304" s="51"/>
      <c r="AW2304" s="51"/>
      <c r="AX2304" s="50"/>
      <c r="AY2304" s="50"/>
      <c r="AZ2304" s="50"/>
      <c r="BA2304" s="50"/>
      <c r="BB2304" s="51"/>
      <c r="BC2304" s="51"/>
      <c r="BD2304" s="51"/>
      <c r="BE2304" s="51"/>
      <c r="BF2304" s="47"/>
      <c r="BG2304" s="47"/>
      <c r="BH2304" s="47"/>
      <c r="BI2304" s="47"/>
      <c r="BJ2304" s="47"/>
      <c r="BK2304" s="47"/>
      <c r="BL2304" s="47"/>
      <c r="BM2304" s="47"/>
      <c r="BN2304" s="47"/>
      <c r="BO2304" s="47"/>
      <c r="BP2304" s="47"/>
      <c r="BQ2304" s="47"/>
      <c r="BR2304" s="47"/>
      <c r="BS2304" s="47"/>
      <c r="BT2304" s="47"/>
    </row>
    <row r="2305">
      <c r="A2305" s="24"/>
      <c r="B2305" s="48"/>
      <c r="C2305" s="49"/>
      <c r="D2305" s="24"/>
      <c r="E2305" s="52"/>
      <c r="F2305" s="53"/>
      <c r="G2305" s="48"/>
      <c r="H2305" s="49"/>
      <c r="I2305" s="49"/>
      <c r="J2305" s="48"/>
      <c r="K2305" s="48"/>
      <c r="L2305" s="48"/>
      <c r="M2305" s="48"/>
      <c r="N2305" s="48"/>
      <c r="O2305" s="48"/>
      <c r="P2305" s="48"/>
      <c r="Q2305" s="48"/>
      <c r="R2305" s="48"/>
      <c r="S2305" s="48"/>
      <c r="T2305" s="48"/>
      <c r="U2305" s="48"/>
      <c r="V2305" s="48"/>
      <c r="W2305" s="49"/>
      <c r="X2305" s="49"/>
      <c r="Y2305" s="49"/>
      <c r="Z2305" s="49"/>
      <c r="AA2305" s="49"/>
      <c r="AB2305" s="49"/>
      <c r="AC2305" s="49"/>
      <c r="AD2305" s="49"/>
      <c r="AE2305" s="49"/>
      <c r="AF2305" s="49"/>
      <c r="AG2305" s="49"/>
      <c r="AH2305" s="49"/>
      <c r="AI2305" s="48"/>
      <c r="AJ2305" s="48"/>
      <c r="AK2305" s="24"/>
      <c r="AL2305" s="50"/>
      <c r="AM2305" s="50"/>
      <c r="AN2305" s="50"/>
      <c r="AO2305" s="50"/>
      <c r="AP2305" s="50"/>
      <c r="AQ2305" s="50"/>
      <c r="AR2305" s="50"/>
      <c r="AS2305" s="50"/>
      <c r="AT2305" s="51"/>
      <c r="AU2305" s="51"/>
      <c r="AV2305" s="51"/>
      <c r="AW2305" s="51"/>
      <c r="AX2305" s="50"/>
      <c r="AY2305" s="50"/>
      <c r="AZ2305" s="50"/>
      <c r="BA2305" s="50"/>
      <c r="BB2305" s="51"/>
      <c r="BC2305" s="51"/>
      <c r="BD2305" s="51"/>
      <c r="BE2305" s="51"/>
      <c r="BF2305" s="47"/>
      <c r="BG2305" s="47"/>
      <c r="BH2305" s="47"/>
      <c r="BI2305" s="47"/>
      <c r="BJ2305" s="47"/>
      <c r="BK2305" s="47"/>
      <c r="BL2305" s="47"/>
      <c r="BM2305" s="47"/>
      <c r="BN2305" s="47"/>
      <c r="BO2305" s="47"/>
      <c r="BP2305" s="47"/>
      <c r="BQ2305" s="47"/>
      <c r="BR2305" s="47"/>
      <c r="BS2305" s="47"/>
      <c r="BT2305" s="47"/>
    </row>
    <row r="2306">
      <c r="A2306" s="24"/>
      <c r="B2306" s="48"/>
      <c r="C2306" s="49"/>
      <c r="D2306" s="24"/>
      <c r="E2306" s="52"/>
      <c r="F2306" s="53"/>
      <c r="G2306" s="48"/>
      <c r="H2306" s="49"/>
      <c r="I2306" s="49"/>
      <c r="J2306" s="48"/>
      <c r="K2306" s="48"/>
      <c r="L2306" s="48"/>
      <c r="M2306" s="48"/>
      <c r="N2306" s="48"/>
      <c r="O2306" s="48"/>
      <c r="P2306" s="48"/>
      <c r="Q2306" s="48"/>
      <c r="R2306" s="48"/>
      <c r="S2306" s="48"/>
      <c r="T2306" s="48"/>
      <c r="U2306" s="48"/>
      <c r="V2306" s="48"/>
      <c r="W2306" s="49"/>
      <c r="X2306" s="49"/>
      <c r="Y2306" s="49"/>
      <c r="Z2306" s="49"/>
      <c r="AA2306" s="49"/>
      <c r="AB2306" s="49"/>
      <c r="AC2306" s="49"/>
      <c r="AD2306" s="49"/>
      <c r="AE2306" s="49"/>
      <c r="AF2306" s="49"/>
      <c r="AG2306" s="49"/>
      <c r="AH2306" s="49"/>
      <c r="AI2306" s="48"/>
      <c r="AJ2306" s="48"/>
      <c r="AK2306" s="24"/>
      <c r="AL2306" s="50"/>
      <c r="AM2306" s="50"/>
      <c r="AN2306" s="50"/>
      <c r="AO2306" s="50"/>
      <c r="AP2306" s="50"/>
      <c r="AQ2306" s="50"/>
      <c r="AR2306" s="50"/>
      <c r="AS2306" s="50"/>
      <c r="AT2306" s="51"/>
      <c r="AU2306" s="51"/>
      <c r="AV2306" s="51"/>
      <c r="AW2306" s="51"/>
      <c r="AX2306" s="50"/>
      <c r="AY2306" s="50"/>
      <c r="AZ2306" s="50"/>
      <c r="BA2306" s="50"/>
      <c r="BB2306" s="51"/>
      <c r="BC2306" s="51"/>
      <c r="BD2306" s="51"/>
      <c r="BE2306" s="51"/>
      <c r="BF2306" s="47"/>
      <c r="BG2306" s="47"/>
      <c r="BH2306" s="47"/>
      <c r="BI2306" s="47"/>
      <c r="BJ2306" s="47"/>
      <c r="BK2306" s="47"/>
      <c r="BL2306" s="47"/>
      <c r="BM2306" s="47"/>
      <c r="BN2306" s="47"/>
      <c r="BO2306" s="47"/>
      <c r="BP2306" s="47"/>
      <c r="BQ2306" s="47"/>
      <c r="BR2306" s="47"/>
      <c r="BS2306" s="47"/>
      <c r="BT2306" s="47"/>
    </row>
    <row r="2307">
      <c r="A2307" s="24"/>
      <c r="B2307" s="48"/>
      <c r="C2307" s="49"/>
      <c r="D2307" s="24"/>
      <c r="E2307" s="52"/>
      <c r="F2307" s="53"/>
      <c r="G2307" s="48"/>
      <c r="H2307" s="49"/>
      <c r="I2307" s="49"/>
      <c r="J2307" s="48"/>
      <c r="K2307" s="48"/>
      <c r="L2307" s="48"/>
      <c r="M2307" s="48"/>
      <c r="N2307" s="48"/>
      <c r="O2307" s="48"/>
      <c r="P2307" s="48"/>
      <c r="Q2307" s="48"/>
      <c r="R2307" s="48"/>
      <c r="S2307" s="48"/>
      <c r="T2307" s="48"/>
      <c r="U2307" s="48"/>
      <c r="V2307" s="48"/>
      <c r="W2307" s="49"/>
      <c r="X2307" s="49"/>
      <c r="Y2307" s="49"/>
      <c r="Z2307" s="49"/>
      <c r="AA2307" s="49"/>
      <c r="AB2307" s="49"/>
      <c r="AC2307" s="49"/>
      <c r="AD2307" s="49"/>
      <c r="AE2307" s="49"/>
      <c r="AF2307" s="49"/>
      <c r="AG2307" s="49"/>
      <c r="AH2307" s="49"/>
      <c r="AI2307" s="48"/>
      <c r="AJ2307" s="48"/>
      <c r="AK2307" s="24"/>
      <c r="AL2307" s="50"/>
      <c r="AM2307" s="50"/>
      <c r="AN2307" s="50"/>
      <c r="AO2307" s="50"/>
      <c r="AP2307" s="50"/>
      <c r="AQ2307" s="50"/>
      <c r="AR2307" s="50"/>
      <c r="AS2307" s="50"/>
      <c r="AT2307" s="51"/>
      <c r="AU2307" s="51"/>
      <c r="AV2307" s="51"/>
      <c r="AW2307" s="51"/>
      <c r="AX2307" s="50"/>
      <c r="AY2307" s="50"/>
      <c r="AZ2307" s="50"/>
      <c r="BA2307" s="50"/>
      <c r="BB2307" s="51"/>
      <c r="BC2307" s="51"/>
      <c r="BD2307" s="51"/>
      <c r="BE2307" s="51"/>
      <c r="BF2307" s="47"/>
      <c r="BG2307" s="47"/>
      <c r="BH2307" s="47"/>
      <c r="BI2307" s="47"/>
      <c r="BJ2307" s="47"/>
      <c r="BK2307" s="47"/>
      <c r="BL2307" s="47"/>
      <c r="BM2307" s="47"/>
      <c r="BN2307" s="47"/>
      <c r="BO2307" s="47"/>
      <c r="BP2307" s="47"/>
      <c r="BQ2307" s="47"/>
      <c r="BR2307" s="47"/>
      <c r="BS2307" s="47"/>
      <c r="BT2307" s="47"/>
    </row>
    <row r="2308">
      <c r="A2308" s="24"/>
      <c r="B2308" s="48"/>
      <c r="C2308" s="49"/>
      <c r="D2308" s="24"/>
      <c r="E2308" s="52"/>
      <c r="F2308" s="53"/>
      <c r="G2308" s="48"/>
      <c r="H2308" s="49"/>
      <c r="I2308" s="49"/>
      <c r="J2308" s="48"/>
      <c r="K2308" s="48"/>
      <c r="L2308" s="48"/>
      <c r="M2308" s="48"/>
      <c r="N2308" s="48"/>
      <c r="O2308" s="48"/>
      <c r="P2308" s="48"/>
      <c r="Q2308" s="48"/>
      <c r="R2308" s="48"/>
      <c r="S2308" s="48"/>
      <c r="T2308" s="48"/>
      <c r="U2308" s="48"/>
      <c r="V2308" s="48"/>
      <c r="W2308" s="49"/>
      <c r="X2308" s="49"/>
      <c r="Y2308" s="49"/>
      <c r="Z2308" s="49"/>
      <c r="AA2308" s="49"/>
      <c r="AB2308" s="49"/>
      <c r="AC2308" s="49"/>
      <c r="AD2308" s="49"/>
      <c r="AE2308" s="49"/>
      <c r="AF2308" s="49"/>
      <c r="AG2308" s="49"/>
      <c r="AH2308" s="49"/>
      <c r="AI2308" s="48"/>
      <c r="AJ2308" s="48"/>
      <c r="AK2308" s="24"/>
      <c r="AL2308" s="50"/>
      <c r="AM2308" s="50"/>
      <c r="AN2308" s="50"/>
      <c r="AO2308" s="50"/>
      <c r="AP2308" s="50"/>
      <c r="AQ2308" s="50"/>
      <c r="AR2308" s="50"/>
      <c r="AS2308" s="50"/>
      <c r="AT2308" s="51"/>
      <c r="AU2308" s="51"/>
      <c r="AV2308" s="51"/>
      <c r="AW2308" s="51"/>
      <c r="AX2308" s="50"/>
      <c r="AY2308" s="50"/>
      <c r="AZ2308" s="50"/>
      <c r="BA2308" s="50"/>
      <c r="BB2308" s="51"/>
      <c r="BC2308" s="51"/>
      <c r="BD2308" s="51"/>
      <c r="BE2308" s="51"/>
      <c r="BF2308" s="47"/>
      <c r="BG2308" s="47"/>
      <c r="BH2308" s="47"/>
      <c r="BI2308" s="47"/>
      <c r="BJ2308" s="47"/>
      <c r="BK2308" s="47"/>
      <c r="BL2308" s="47"/>
      <c r="BM2308" s="47"/>
      <c r="BN2308" s="47"/>
      <c r="BO2308" s="47"/>
      <c r="BP2308" s="47"/>
      <c r="BQ2308" s="47"/>
      <c r="BR2308" s="47"/>
      <c r="BS2308" s="47"/>
      <c r="BT2308" s="47"/>
    </row>
    <row r="2309">
      <c r="A2309" s="24"/>
      <c r="B2309" s="48"/>
      <c r="C2309" s="49"/>
      <c r="D2309" s="24"/>
      <c r="E2309" s="52"/>
      <c r="F2309" s="53"/>
      <c r="G2309" s="48"/>
      <c r="H2309" s="49"/>
      <c r="I2309" s="49"/>
      <c r="J2309" s="48"/>
      <c r="K2309" s="48"/>
      <c r="L2309" s="48"/>
      <c r="M2309" s="48"/>
      <c r="N2309" s="48"/>
      <c r="O2309" s="48"/>
      <c r="P2309" s="48"/>
      <c r="Q2309" s="48"/>
      <c r="R2309" s="48"/>
      <c r="S2309" s="48"/>
      <c r="T2309" s="48"/>
      <c r="U2309" s="48"/>
      <c r="V2309" s="48"/>
      <c r="W2309" s="49"/>
      <c r="X2309" s="49"/>
      <c r="Y2309" s="49"/>
      <c r="Z2309" s="49"/>
      <c r="AA2309" s="49"/>
      <c r="AB2309" s="49"/>
      <c r="AC2309" s="49"/>
      <c r="AD2309" s="49"/>
      <c r="AE2309" s="49"/>
      <c r="AF2309" s="49"/>
      <c r="AG2309" s="49"/>
      <c r="AH2309" s="49"/>
      <c r="AI2309" s="48"/>
      <c r="AJ2309" s="48"/>
      <c r="AK2309" s="24"/>
      <c r="AL2309" s="50"/>
      <c r="AM2309" s="50"/>
      <c r="AN2309" s="50"/>
      <c r="AO2309" s="50"/>
      <c r="AP2309" s="50"/>
      <c r="AQ2309" s="50"/>
      <c r="AR2309" s="50"/>
      <c r="AS2309" s="50"/>
      <c r="AT2309" s="51"/>
      <c r="AU2309" s="51"/>
      <c r="AV2309" s="51"/>
      <c r="AW2309" s="51"/>
      <c r="AX2309" s="50"/>
      <c r="AY2309" s="50"/>
      <c r="AZ2309" s="50"/>
      <c r="BA2309" s="50"/>
      <c r="BB2309" s="51"/>
      <c r="BC2309" s="51"/>
      <c r="BD2309" s="51"/>
      <c r="BE2309" s="51"/>
      <c r="BF2309" s="47"/>
      <c r="BG2309" s="47"/>
      <c r="BH2309" s="47"/>
      <c r="BI2309" s="47"/>
      <c r="BJ2309" s="47"/>
      <c r="BK2309" s="47"/>
      <c r="BL2309" s="47"/>
      <c r="BM2309" s="47"/>
      <c r="BN2309" s="47"/>
      <c r="BO2309" s="47"/>
      <c r="BP2309" s="47"/>
      <c r="BQ2309" s="47"/>
      <c r="BR2309" s="47"/>
      <c r="BS2309" s="47"/>
      <c r="BT2309" s="47"/>
    </row>
    <row r="2310">
      <c r="A2310" s="24"/>
      <c r="B2310" s="48"/>
      <c r="C2310" s="49"/>
      <c r="D2310" s="24"/>
      <c r="E2310" s="52"/>
      <c r="F2310" s="53"/>
      <c r="G2310" s="48"/>
      <c r="H2310" s="49"/>
      <c r="I2310" s="49"/>
      <c r="J2310" s="48"/>
      <c r="K2310" s="48"/>
      <c r="L2310" s="48"/>
      <c r="M2310" s="48"/>
      <c r="N2310" s="48"/>
      <c r="O2310" s="48"/>
      <c r="P2310" s="48"/>
      <c r="Q2310" s="48"/>
      <c r="R2310" s="48"/>
      <c r="S2310" s="48"/>
      <c r="T2310" s="48"/>
      <c r="U2310" s="48"/>
      <c r="V2310" s="48"/>
      <c r="W2310" s="49"/>
      <c r="X2310" s="49"/>
      <c r="Y2310" s="49"/>
      <c r="Z2310" s="49"/>
      <c r="AA2310" s="49"/>
      <c r="AB2310" s="49"/>
      <c r="AC2310" s="49"/>
      <c r="AD2310" s="49"/>
      <c r="AE2310" s="49"/>
      <c r="AF2310" s="49"/>
      <c r="AG2310" s="49"/>
      <c r="AH2310" s="49"/>
      <c r="AI2310" s="48"/>
      <c r="AJ2310" s="48"/>
      <c r="AK2310" s="24"/>
      <c r="AL2310" s="50"/>
      <c r="AM2310" s="50"/>
      <c r="AN2310" s="50"/>
      <c r="AO2310" s="50"/>
      <c r="AP2310" s="50"/>
      <c r="AQ2310" s="50"/>
      <c r="AR2310" s="50"/>
      <c r="AS2310" s="50"/>
      <c r="AT2310" s="51"/>
      <c r="AU2310" s="51"/>
      <c r="AV2310" s="51"/>
      <c r="AW2310" s="51"/>
      <c r="AX2310" s="50"/>
      <c r="AY2310" s="50"/>
      <c r="AZ2310" s="50"/>
      <c r="BA2310" s="50"/>
      <c r="BB2310" s="51"/>
      <c r="BC2310" s="51"/>
      <c r="BD2310" s="51"/>
      <c r="BE2310" s="51"/>
      <c r="BF2310" s="47"/>
      <c r="BG2310" s="47"/>
      <c r="BH2310" s="47"/>
      <c r="BI2310" s="47"/>
      <c r="BJ2310" s="47"/>
      <c r="BK2310" s="47"/>
      <c r="BL2310" s="47"/>
      <c r="BM2310" s="47"/>
      <c r="BN2310" s="47"/>
      <c r="BO2310" s="47"/>
      <c r="BP2310" s="47"/>
      <c r="BQ2310" s="47"/>
      <c r="BR2310" s="47"/>
      <c r="BS2310" s="47"/>
      <c r="BT2310" s="47"/>
    </row>
    <row r="2311">
      <c r="A2311" s="24"/>
      <c r="B2311" s="48"/>
      <c r="C2311" s="49"/>
      <c r="D2311" s="24"/>
      <c r="E2311" s="52"/>
      <c r="F2311" s="53"/>
      <c r="G2311" s="48"/>
      <c r="H2311" s="49"/>
      <c r="I2311" s="49"/>
      <c r="J2311" s="48"/>
      <c r="K2311" s="48"/>
      <c r="L2311" s="48"/>
      <c r="M2311" s="48"/>
      <c r="N2311" s="48"/>
      <c r="O2311" s="48"/>
      <c r="P2311" s="48"/>
      <c r="Q2311" s="48"/>
      <c r="R2311" s="48"/>
      <c r="S2311" s="48"/>
      <c r="T2311" s="48"/>
      <c r="U2311" s="48"/>
      <c r="V2311" s="48"/>
      <c r="W2311" s="49"/>
      <c r="X2311" s="49"/>
      <c r="Y2311" s="49"/>
      <c r="Z2311" s="49"/>
      <c r="AA2311" s="49"/>
      <c r="AB2311" s="49"/>
      <c r="AC2311" s="49"/>
      <c r="AD2311" s="49"/>
      <c r="AE2311" s="49"/>
      <c r="AF2311" s="49"/>
      <c r="AG2311" s="49"/>
      <c r="AH2311" s="49"/>
      <c r="AI2311" s="48"/>
      <c r="AJ2311" s="48"/>
      <c r="AK2311" s="24"/>
      <c r="AL2311" s="50"/>
      <c r="AM2311" s="50"/>
      <c r="AN2311" s="50"/>
      <c r="AO2311" s="50"/>
      <c r="AP2311" s="50"/>
      <c r="AQ2311" s="50"/>
      <c r="AR2311" s="50"/>
      <c r="AS2311" s="50"/>
      <c r="AT2311" s="51"/>
      <c r="AU2311" s="51"/>
      <c r="AV2311" s="51"/>
      <c r="AW2311" s="51"/>
      <c r="AX2311" s="50"/>
      <c r="AY2311" s="50"/>
      <c r="AZ2311" s="50"/>
      <c r="BA2311" s="50"/>
      <c r="BB2311" s="51"/>
      <c r="BC2311" s="51"/>
      <c r="BD2311" s="51"/>
      <c r="BE2311" s="51"/>
      <c r="BF2311" s="47"/>
      <c r="BG2311" s="47"/>
      <c r="BH2311" s="47"/>
      <c r="BI2311" s="47"/>
      <c r="BJ2311" s="47"/>
      <c r="BK2311" s="47"/>
      <c r="BL2311" s="47"/>
      <c r="BM2311" s="47"/>
      <c r="BN2311" s="47"/>
      <c r="BO2311" s="47"/>
      <c r="BP2311" s="47"/>
      <c r="BQ2311" s="47"/>
      <c r="BR2311" s="47"/>
      <c r="BS2311" s="47"/>
      <c r="BT2311" s="47"/>
    </row>
    <row r="2312">
      <c r="A2312" s="24"/>
      <c r="B2312" s="48"/>
      <c r="C2312" s="49"/>
      <c r="D2312" s="24"/>
      <c r="E2312" s="52"/>
      <c r="F2312" s="53"/>
      <c r="G2312" s="48"/>
      <c r="H2312" s="49"/>
      <c r="I2312" s="49"/>
      <c r="J2312" s="48"/>
      <c r="K2312" s="48"/>
      <c r="L2312" s="48"/>
      <c r="M2312" s="48"/>
      <c r="N2312" s="48"/>
      <c r="O2312" s="48"/>
      <c r="P2312" s="48"/>
      <c r="Q2312" s="48"/>
      <c r="R2312" s="48"/>
      <c r="S2312" s="48"/>
      <c r="T2312" s="48"/>
      <c r="U2312" s="48"/>
      <c r="V2312" s="48"/>
      <c r="W2312" s="49"/>
      <c r="X2312" s="49"/>
      <c r="Y2312" s="49"/>
      <c r="Z2312" s="49"/>
      <c r="AA2312" s="49"/>
      <c r="AB2312" s="49"/>
      <c r="AC2312" s="49"/>
      <c r="AD2312" s="49"/>
      <c r="AE2312" s="49"/>
      <c r="AF2312" s="49"/>
      <c r="AG2312" s="49"/>
      <c r="AH2312" s="49"/>
      <c r="AI2312" s="48"/>
      <c r="AJ2312" s="48"/>
      <c r="AK2312" s="24"/>
      <c r="AL2312" s="50"/>
      <c r="AM2312" s="50"/>
      <c r="AN2312" s="50"/>
      <c r="AO2312" s="50"/>
      <c r="AP2312" s="50"/>
      <c r="AQ2312" s="50"/>
      <c r="AR2312" s="50"/>
      <c r="AS2312" s="50"/>
      <c r="AT2312" s="51"/>
      <c r="AU2312" s="51"/>
      <c r="AV2312" s="51"/>
      <c r="AW2312" s="51"/>
      <c r="AX2312" s="50"/>
      <c r="AY2312" s="50"/>
      <c r="AZ2312" s="50"/>
      <c r="BA2312" s="50"/>
      <c r="BB2312" s="51"/>
      <c r="BC2312" s="51"/>
      <c r="BD2312" s="51"/>
      <c r="BE2312" s="51"/>
      <c r="BF2312" s="47"/>
      <c r="BG2312" s="47"/>
      <c r="BH2312" s="47"/>
      <c r="BI2312" s="47"/>
      <c r="BJ2312" s="47"/>
      <c r="BK2312" s="47"/>
      <c r="BL2312" s="47"/>
      <c r="BM2312" s="47"/>
      <c r="BN2312" s="47"/>
      <c r="BO2312" s="47"/>
      <c r="BP2312" s="47"/>
      <c r="BQ2312" s="47"/>
      <c r="BR2312" s="47"/>
      <c r="BS2312" s="47"/>
      <c r="BT2312" s="47"/>
    </row>
    <row r="2313">
      <c r="A2313" s="24"/>
      <c r="B2313" s="48"/>
      <c r="C2313" s="49"/>
      <c r="D2313" s="24"/>
      <c r="E2313" s="52"/>
      <c r="F2313" s="53"/>
      <c r="G2313" s="48"/>
      <c r="H2313" s="49"/>
      <c r="I2313" s="49"/>
      <c r="J2313" s="48"/>
      <c r="K2313" s="48"/>
      <c r="L2313" s="48"/>
      <c r="M2313" s="48"/>
      <c r="N2313" s="48"/>
      <c r="O2313" s="48"/>
      <c r="P2313" s="48"/>
      <c r="Q2313" s="48"/>
      <c r="R2313" s="48"/>
      <c r="S2313" s="48"/>
      <c r="T2313" s="48"/>
      <c r="U2313" s="48"/>
      <c r="V2313" s="48"/>
      <c r="W2313" s="49"/>
      <c r="X2313" s="49"/>
      <c r="Y2313" s="49"/>
      <c r="Z2313" s="49"/>
      <c r="AA2313" s="49"/>
      <c r="AB2313" s="49"/>
      <c r="AC2313" s="49"/>
      <c r="AD2313" s="49"/>
      <c r="AE2313" s="49"/>
      <c r="AF2313" s="49"/>
      <c r="AG2313" s="49"/>
      <c r="AH2313" s="49"/>
      <c r="AI2313" s="48"/>
      <c r="AJ2313" s="48"/>
      <c r="AK2313" s="24"/>
      <c r="AL2313" s="50"/>
      <c r="AM2313" s="50"/>
      <c r="AN2313" s="50"/>
      <c r="AO2313" s="50"/>
      <c r="AP2313" s="50"/>
      <c r="AQ2313" s="50"/>
      <c r="AR2313" s="50"/>
      <c r="AS2313" s="50"/>
      <c r="AT2313" s="51"/>
      <c r="AU2313" s="51"/>
      <c r="AV2313" s="51"/>
      <c r="AW2313" s="51"/>
      <c r="AX2313" s="50"/>
      <c r="AY2313" s="50"/>
      <c r="AZ2313" s="50"/>
      <c r="BA2313" s="50"/>
      <c r="BB2313" s="51"/>
      <c r="BC2313" s="51"/>
      <c r="BD2313" s="51"/>
      <c r="BE2313" s="51"/>
      <c r="BF2313" s="47"/>
      <c r="BG2313" s="47"/>
      <c r="BH2313" s="47"/>
      <c r="BI2313" s="47"/>
      <c r="BJ2313" s="47"/>
      <c r="BK2313" s="47"/>
      <c r="BL2313" s="47"/>
      <c r="BM2313" s="47"/>
      <c r="BN2313" s="47"/>
      <c r="BO2313" s="47"/>
      <c r="BP2313" s="47"/>
      <c r="BQ2313" s="47"/>
      <c r="BR2313" s="47"/>
      <c r="BS2313" s="47"/>
      <c r="BT2313" s="47"/>
    </row>
    <row r="2314">
      <c r="A2314" s="24"/>
      <c r="B2314" s="48"/>
      <c r="C2314" s="49"/>
      <c r="D2314" s="24"/>
      <c r="E2314" s="52"/>
      <c r="F2314" s="53"/>
      <c r="G2314" s="48"/>
      <c r="H2314" s="49"/>
      <c r="I2314" s="49"/>
      <c r="J2314" s="48"/>
      <c r="K2314" s="48"/>
      <c r="L2314" s="48"/>
      <c r="M2314" s="48"/>
      <c r="N2314" s="48"/>
      <c r="O2314" s="48"/>
      <c r="P2314" s="48"/>
      <c r="Q2314" s="48"/>
      <c r="R2314" s="48"/>
      <c r="S2314" s="48"/>
      <c r="T2314" s="48"/>
      <c r="U2314" s="48"/>
      <c r="V2314" s="48"/>
      <c r="W2314" s="49"/>
      <c r="X2314" s="49"/>
      <c r="Y2314" s="49"/>
      <c r="Z2314" s="49"/>
      <c r="AA2314" s="49"/>
      <c r="AB2314" s="49"/>
      <c r="AC2314" s="49"/>
      <c r="AD2314" s="49"/>
      <c r="AE2314" s="49"/>
      <c r="AF2314" s="49"/>
      <c r="AG2314" s="49"/>
      <c r="AH2314" s="49"/>
      <c r="AI2314" s="48"/>
      <c r="AJ2314" s="48"/>
      <c r="AK2314" s="24"/>
      <c r="AL2314" s="50"/>
      <c r="AM2314" s="50"/>
      <c r="AN2314" s="50"/>
      <c r="AO2314" s="50"/>
      <c r="AP2314" s="50"/>
      <c r="AQ2314" s="50"/>
      <c r="AR2314" s="50"/>
      <c r="AS2314" s="50"/>
      <c r="AT2314" s="51"/>
      <c r="AU2314" s="51"/>
      <c r="AV2314" s="51"/>
      <c r="AW2314" s="51"/>
      <c r="AX2314" s="50"/>
      <c r="AY2314" s="50"/>
      <c r="AZ2314" s="50"/>
      <c r="BA2314" s="50"/>
      <c r="BB2314" s="51"/>
      <c r="BC2314" s="51"/>
      <c r="BD2314" s="51"/>
      <c r="BE2314" s="51"/>
      <c r="BF2314" s="47"/>
      <c r="BG2314" s="47"/>
      <c r="BH2314" s="47"/>
      <c r="BI2314" s="47"/>
      <c r="BJ2314" s="47"/>
      <c r="BK2314" s="47"/>
      <c r="BL2314" s="47"/>
      <c r="BM2314" s="47"/>
      <c r="BN2314" s="47"/>
      <c r="BO2314" s="47"/>
      <c r="BP2314" s="47"/>
      <c r="BQ2314" s="47"/>
      <c r="BR2314" s="47"/>
      <c r="BS2314" s="47"/>
      <c r="BT2314" s="47"/>
    </row>
    <row r="2315">
      <c r="A2315" s="24"/>
      <c r="B2315" s="48"/>
      <c r="C2315" s="49"/>
      <c r="D2315" s="24"/>
      <c r="E2315" s="52"/>
      <c r="F2315" s="53"/>
      <c r="G2315" s="48"/>
      <c r="H2315" s="49"/>
      <c r="I2315" s="49"/>
      <c r="J2315" s="48"/>
      <c r="K2315" s="48"/>
      <c r="L2315" s="48"/>
      <c r="M2315" s="48"/>
      <c r="N2315" s="48"/>
      <c r="O2315" s="48"/>
      <c r="P2315" s="48"/>
      <c r="Q2315" s="48"/>
      <c r="R2315" s="48"/>
      <c r="S2315" s="48"/>
      <c r="T2315" s="48"/>
      <c r="U2315" s="48"/>
      <c r="V2315" s="48"/>
      <c r="W2315" s="49"/>
      <c r="X2315" s="49"/>
      <c r="Y2315" s="49"/>
      <c r="Z2315" s="49"/>
      <c r="AA2315" s="49"/>
      <c r="AB2315" s="49"/>
      <c r="AC2315" s="49"/>
      <c r="AD2315" s="49"/>
      <c r="AE2315" s="49"/>
      <c r="AF2315" s="49"/>
      <c r="AG2315" s="49"/>
      <c r="AH2315" s="49"/>
      <c r="AI2315" s="48"/>
      <c r="AJ2315" s="48"/>
      <c r="AK2315" s="24"/>
      <c r="AL2315" s="50"/>
      <c r="AM2315" s="50"/>
      <c r="AN2315" s="50"/>
      <c r="AO2315" s="50"/>
      <c r="AP2315" s="50"/>
      <c r="AQ2315" s="50"/>
      <c r="AR2315" s="50"/>
      <c r="AS2315" s="50"/>
      <c r="AT2315" s="51"/>
      <c r="AU2315" s="51"/>
      <c r="AV2315" s="51"/>
      <c r="AW2315" s="51"/>
      <c r="AX2315" s="50"/>
      <c r="AY2315" s="50"/>
      <c r="AZ2315" s="50"/>
      <c r="BA2315" s="50"/>
      <c r="BB2315" s="51"/>
      <c r="BC2315" s="51"/>
      <c r="BD2315" s="51"/>
      <c r="BE2315" s="51"/>
      <c r="BF2315" s="47"/>
      <c r="BG2315" s="47"/>
      <c r="BH2315" s="47"/>
      <c r="BI2315" s="47"/>
      <c r="BJ2315" s="47"/>
      <c r="BK2315" s="47"/>
      <c r="BL2315" s="47"/>
      <c r="BM2315" s="47"/>
      <c r="BN2315" s="47"/>
      <c r="BO2315" s="47"/>
      <c r="BP2315" s="47"/>
      <c r="BQ2315" s="47"/>
      <c r="BR2315" s="47"/>
      <c r="BS2315" s="47"/>
      <c r="BT2315" s="47"/>
    </row>
    <row r="2316">
      <c r="A2316" s="24"/>
      <c r="B2316" s="48"/>
      <c r="C2316" s="49"/>
      <c r="D2316" s="24"/>
      <c r="E2316" s="52"/>
      <c r="F2316" s="53"/>
      <c r="G2316" s="48"/>
      <c r="H2316" s="49"/>
      <c r="I2316" s="49"/>
      <c r="J2316" s="48"/>
      <c r="K2316" s="48"/>
      <c r="L2316" s="48"/>
      <c r="M2316" s="48"/>
      <c r="N2316" s="48"/>
      <c r="O2316" s="48"/>
      <c r="P2316" s="48"/>
      <c r="Q2316" s="48"/>
      <c r="R2316" s="48"/>
      <c r="S2316" s="48"/>
      <c r="T2316" s="48"/>
      <c r="U2316" s="48"/>
      <c r="V2316" s="48"/>
      <c r="W2316" s="49"/>
      <c r="X2316" s="49"/>
      <c r="Y2316" s="49"/>
      <c r="Z2316" s="49"/>
      <c r="AA2316" s="49"/>
      <c r="AB2316" s="49"/>
      <c r="AC2316" s="49"/>
      <c r="AD2316" s="49"/>
      <c r="AE2316" s="49"/>
      <c r="AF2316" s="49"/>
      <c r="AG2316" s="49"/>
      <c r="AH2316" s="49"/>
      <c r="AI2316" s="48"/>
      <c r="AJ2316" s="48"/>
      <c r="AK2316" s="24"/>
      <c r="AL2316" s="50"/>
      <c r="AM2316" s="50"/>
      <c r="AN2316" s="50"/>
      <c r="AO2316" s="50"/>
      <c r="AP2316" s="50"/>
      <c r="AQ2316" s="50"/>
      <c r="AR2316" s="50"/>
      <c r="AS2316" s="50"/>
      <c r="AT2316" s="51"/>
      <c r="AU2316" s="51"/>
      <c r="AV2316" s="51"/>
      <c r="AW2316" s="51"/>
      <c r="AX2316" s="50"/>
      <c r="AY2316" s="50"/>
      <c r="AZ2316" s="50"/>
      <c r="BA2316" s="50"/>
      <c r="BB2316" s="51"/>
      <c r="BC2316" s="51"/>
      <c r="BD2316" s="51"/>
      <c r="BE2316" s="51"/>
      <c r="BF2316" s="47"/>
      <c r="BG2316" s="47"/>
      <c r="BH2316" s="47"/>
      <c r="BI2316" s="47"/>
      <c r="BJ2316" s="47"/>
      <c r="BK2316" s="47"/>
      <c r="BL2316" s="47"/>
      <c r="BM2316" s="47"/>
      <c r="BN2316" s="47"/>
      <c r="BO2316" s="47"/>
      <c r="BP2316" s="47"/>
      <c r="BQ2316" s="47"/>
      <c r="BR2316" s="47"/>
      <c r="BS2316" s="47"/>
      <c r="BT2316" s="47"/>
    </row>
    <row r="2317">
      <c r="A2317" s="24"/>
      <c r="B2317" s="48"/>
      <c r="C2317" s="49"/>
      <c r="D2317" s="24"/>
      <c r="E2317" s="52"/>
      <c r="F2317" s="53"/>
      <c r="G2317" s="48"/>
      <c r="H2317" s="49"/>
      <c r="I2317" s="49"/>
      <c r="J2317" s="48"/>
      <c r="K2317" s="48"/>
      <c r="L2317" s="48"/>
      <c r="M2317" s="48"/>
      <c r="N2317" s="48"/>
      <c r="O2317" s="48"/>
      <c r="P2317" s="48"/>
      <c r="Q2317" s="48"/>
      <c r="R2317" s="48"/>
      <c r="S2317" s="48"/>
      <c r="T2317" s="48"/>
      <c r="U2317" s="48"/>
      <c r="V2317" s="48"/>
      <c r="W2317" s="49"/>
      <c r="X2317" s="49"/>
      <c r="Y2317" s="49"/>
      <c r="Z2317" s="49"/>
      <c r="AA2317" s="49"/>
      <c r="AB2317" s="49"/>
      <c r="AC2317" s="49"/>
      <c r="AD2317" s="49"/>
      <c r="AE2317" s="49"/>
      <c r="AF2317" s="49"/>
      <c r="AG2317" s="49"/>
      <c r="AH2317" s="49"/>
      <c r="AI2317" s="48"/>
      <c r="AJ2317" s="48"/>
      <c r="AK2317" s="24"/>
      <c r="AL2317" s="50"/>
      <c r="AM2317" s="50"/>
      <c r="AN2317" s="50"/>
      <c r="AO2317" s="50"/>
      <c r="AP2317" s="50"/>
      <c r="AQ2317" s="50"/>
      <c r="AR2317" s="50"/>
      <c r="AS2317" s="50"/>
      <c r="AT2317" s="51"/>
      <c r="AU2317" s="51"/>
      <c r="AV2317" s="51"/>
      <c r="AW2317" s="51"/>
      <c r="AX2317" s="50"/>
      <c r="AY2317" s="50"/>
      <c r="AZ2317" s="50"/>
      <c r="BA2317" s="50"/>
      <c r="BB2317" s="51"/>
      <c r="BC2317" s="51"/>
      <c r="BD2317" s="51"/>
      <c r="BE2317" s="51"/>
      <c r="BF2317" s="47"/>
      <c r="BG2317" s="47"/>
      <c r="BH2317" s="47"/>
      <c r="BI2317" s="47"/>
      <c r="BJ2317" s="47"/>
      <c r="BK2317" s="47"/>
      <c r="BL2317" s="47"/>
      <c r="BM2317" s="47"/>
      <c r="BN2317" s="47"/>
      <c r="BO2317" s="47"/>
      <c r="BP2317" s="47"/>
      <c r="BQ2317" s="47"/>
      <c r="BR2317" s="47"/>
      <c r="BS2317" s="47"/>
      <c r="BT2317" s="47"/>
    </row>
    <row r="2318">
      <c r="A2318" s="24"/>
      <c r="B2318" s="48"/>
      <c r="C2318" s="49"/>
      <c r="D2318" s="24"/>
      <c r="E2318" s="52"/>
      <c r="F2318" s="53"/>
      <c r="G2318" s="48"/>
      <c r="H2318" s="49"/>
      <c r="I2318" s="49"/>
      <c r="J2318" s="48"/>
      <c r="K2318" s="48"/>
      <c r="L2318" s="48"/>
      <c r="M2318" s="48"/>
      <c r="N2318" s="48"/>
      <c r="O2318" s="48"/>
      <c r="P2318" s="48"/>
      <c r="Q2318" s="48"/>
      <c r="R2318" s="48"/>
      <c r="S2318" s="48"/>
      <c r="T2318" s="48"/>
      <c r="U2318" s="48"/>
      <c r="V2318" s="48"/>
      <c r="W2318" s="49"/>
      <c r="X2318" s="49"/>
      <c r="Y2318" s="49"/>
      <c r="Z2318" s="49"/>
      <c r="AA2318" s="49"/>
      <c r="AB2318" s="49"/>
      <c r="AC2318" s="49"/>
      <c r="AD2318" s="49"/>
      <c r="AE2318" s="49"/>
      <c r="AF2318" s="49"/>
      <c r="AG2318" s="49"/>
      <c r="AH2318" s="49"/>
      <c r="AI2318" s="48"/>
      <c r="AJ2318" s="48"/>
      <c r="AK2318" s="24"/>
      <c r="AL2318" s="50"/>
      <c r="AM2318" s="50"/>
      <c r="AN2318" s="50"/>
      <c r="AO2318" s="50"/>
      <c r="AP2318" s="50"/>
      <c r="AQ2318" s="50"/>
      <c r="AR2318" s="50"/>
      <c r="AS2318" s="50"/>
      <c r="AT2318" s="51"/>
      <c r="AU2318" s="51"/>
      <c r="AV2318" s="51"/>
      <c r="AW2318" s="51"/>
      <c r="AX2318" s="50"/>
      <c r="AY2318" s="50"/>
      <c r="AZ2318" s="50"/>
      <c r="BA2318" s="50"/>
      <c r="BB2318" s="51"/>
      <c r="BC2318" s="51"/>
      <c r="BD2318" s="51"/>
      <c r="BE2318" s="51"/>
      <c r="BF2318" s="47"/>
      <c r="BG2318" s="47"/>
      <c r="BH2318" s="47"/>
      <c r="BI2318" s="47"/>
      <c r="BJ2318" s="47"/>
      <c r="BK2318" s="47"/>
      <c r="BL2318" s="47"/>
      <c r="BM2318" s="47"/>
      <c r="BN2318" s="47"/>
      <c r="BO2318" s="47"/>
      <c r="BP2318" s="47"/>
      <c r="BQ2318" s="47"/>
      <c r="BR2318" s="47"/>
      <c r="BS2318" s="47"/>
      <c r="BT2318" s="47"/>
    </row>
    <row r="2319">
      <c r="A2319" s="24"/>
      <c r="B2319" s="48"/>
      <c r="C2319" s="49"/>
      <c r="D2319" s="24"/>
      <c r="E2319" s="52"/>
      <c r="F2319" s="53"/>
      <c r="G2319" s="48"/>
      <c r="H2319" s="49"/>
      <c r="I2319" s="49"/>
      <c r="J2319" s="48"/>
      <c r="K2319" s="48"/>
      <c r="L2319" s="48"/>
      <c r="M2319" s="48"/>
      <c r="N2319" s="48"/>
      <c r="O2319" s="48"/>
      <c r="P2319" s="48"/>
      <c r="Q2319" s="48"/>
      <c r="R2319" s="48"/>
      <c r="S2319" s="48"/>
      <c r="T2319" s="48"/>
      <c r="U2319" s="48"/>
      <c r="V2319" s="48"/>
      <c r="W2319" s="49"/>
      <c r="X2319" s="49"/>
      <c r="Y2319" s="49"/>
      <c r="Z2319" s="49"/>
      <c r="AA2319" s="49"/>
      <c r="AB2319" s="49"/>
      <c r="AC2319" s="49"/>
      <c r="AD2319" s="49"/>
      <c r="AE2319" s="49"/>
      <c r="AF2319" s="49"/>
      <c r="AG2319" s="49"/>
      <c r="AH2319" s="49"/>
      <c r="AI2319" s="48"/>
      <c r="AJ2319" s="48"/>
      <c r="AK2319" s="24"/>
      <c r="AL2319" s="50"/>
      <c r="AM2319" s="50"/>
      <c r="AN2319" s="50"/>
      <c r="AO2319" s="50"/>
      <c r="AP2319" s="50"/>
      <c r="AQ2319" s="50"/>
      <c r="AR2319" s="50"/>
      <c r="AS2319" s="50"/>
      <c r="AT2319" s="51"/>
      <c r="AU2319" s="51"/>
      <c r="AV2319" s="51"/>
      <c r="AW2319" s="51"/>
      <c r="AX2319" s="50"/>
      <c r="AY2319" s="50"/>
      <c r="AZ2319" s="50"/>
      <c r="BA2319" s="50"/>
      <c r="BB2319" s="51"/>
      <c r="BC2319" s="51"/>
      <c r="BD2319" s="51"/>
      <c r="BE2319" s="51"/>
      <c r="BF2319" s="47"/>
      <c r="BG2319" s="47"/>
      <c r="BH2319" s="47"/>
      <c r="BI2319" s="47"/>
      <c r="BJ2319" s="47"/>
      <c r="BK2319" s="47"/>
      <c r="BL2319" s="47"/>
      <c r="BM2319" s="47"/>
      <c r="BN2319" s="47"/>
      <c r="BO2319" s="47"/>
      <c r="BP2319" s="47"/>
      <c r="BQ2319" s="47"/>
      <c r="BR2319" s="47"/>
      <c r="BS2319" s="47"/>
      <c r="BT2319" s="47"/>
    </row>
    <row r="2320">
      <c r="A2320" s="24"/>
      <c r="B2320" s="48"/>
      <c r="C2320" s="49"/>
      <c r="D2320" s="24"/>
      <c r="E2320" s="52"/>
      <c r="F2320" s="53"/>
      <c r="G2320" s="48"/>
      <c r="H2320" s="49"/>
      <c r="I2320" s="49"/>
      <c r="J2320" s="48"/>
      <c r="K2320" s="48"/>
      <c r="L2320" s="48"/>
      <c r="M2320" s="48"/>
      <c r="N2320" s="48"/>
      <c r="O2320" s="48"/>
      <c r="P2320" s="48"/>
      <c r="Q2320" s="48"/>
      <c r="R2320" s="48"/>
      <c r="S2320" s="48"/>
      <c r="T2320" s="48"/>
      <c r="U2320" s="48"/>
      <c r="V2320" s="48"/>
      <c r="W2320" s="49"/>
      <c r="X2320" s="49"/>
      <c r="Y2320" s="49"/>
      <c r="Z2320" s="49"/>
      <c r="AA2320" s="49"/>
      <c r="AB2320" s="49"/>
      <c r="AC2320" s="49"/>
      <c r="AD2320" s="49"/>
      <c r="AE2320" s="49"/>
      <c r="AF2320" s="49"/>
      <c r="AG2320" s="49"/>
      <c r="AH2320" s="49"/>
      <c r="AI2320" s="48"/>
      <c r="AJ2320" s="48"/>
      <c r="AK2320" s="24"/>
      <c r="AL2320" s="50"/>
      <c r="AM2320" s="50"/>
      <c r="AN2320" s="50"/>
      <c r="AO2320" s="50"/>
      <c r="AP2320" s="50"/>
      <c r="AQ2320" s="50"/>
      <c r="AR2320" s="50"/>
      <c r="AS2320" s="50"/>
      <c r="AT2320" s="51"/>
      <c r="AU2320" s="51"/>
      <c r="AV2320" s="51"/>
      <c r="AW2320" s="51"/>
      <c r="AX2320" s="50"/>
      <c r="AY2320" s="50"/>
      <c r="AZ2320" s="50"/>
      <c r="BA2320" s="50"/>
      <c r="BB2320" s="51"/>
      <c r="BC2320" s="51"/>
      <c r="BD2320" s="51"/>
      <c r="BE2320" s="51"/>
      <c r="BF2320" s="47"/>
      <c r="BG2320" s="47"/>
      <c r="BH2320" s="47"/>
      <c r="BI2320" s="47"/>
      <c r="BJ2320" s="47"/>
      <c r="BK2320" s="47"/>
      <c r="BL2320" s="47"/>
      <c r="BM2320" s="47"/>
      <c r="BN2320" s="47"/>
      <c r="BO2320" s="47"/>
      <c r="BP2320" s="47"/>
      <c r="BQ2320" s="47"/>
      <c r="BR2320" s="47"/>
      <c r="BS2320" s="47"/>
      <c r="BT2320" s="47"/>
    </row>
    <row r="2321">
      <c r="A2321" s="24"/>
      <c r="B2321" s="48"/>
      <c r="C2321" s="49"/>
      <c r="D2321" s="24"/>
      <c r="E2321" s="52"/>
      <c r="F2321" s="53"/>
      <c r="G2321" s="48"/>
      <c r="H2321" s="49"/>
      <c r="I2321" s="49"/>
      <c r="J2321" s="48"/>
      <c r="K2321" s="48"/>
      <c r="L2321" s="48"/>
      <c r="M2321" s="48"/>
      <c r="N2321" s="48"/>
      <c r="O2321" s="48"/>
      <c r="P2321" s="48"/>
      <c r="Q2321" s="48"/>
      <c r="R2321" s="48"/>
      <c r="S2321" s="48"/>
      <c r="T2321" s="48"/>
      <c r="U2321" s="48"/>
      <c r="V2321" s="48"/>
      <c r="W2321" s="49"/>
      <c r="X2321" s="49"/>
      <c r="Y2321" s="49"/>
      <c r="Z2321" s="49"/>
      <c r="AA2321" s="49"/>
      <c r="AB2321" s="49"/>
      <c r="AC2321" s="49"/>
      <c r="AD2321" s="49"/>
      <c r="AE2321" s="49"/>
      <c r="AF2321" s="49"/>
      <c r="AG2321" s="49"/>
      <c r="AH2321" s="49"/>
      <c r="AI2321" s="48"/>
      <c r="AJ2321" s="48"/>
      <c r="AK2321" s="24"/>
      <c r="AL2321" s="50"/>
      <c r="AM2321" s="50"/>
      <c r="AN2321" s="50"/>
      <c r="AO2321" s="50"/>
      <c r="AP2321" s="50"/>
      <c r="AQ2321" s="50"/>
      <c r="AR2321" s="50"/>
      <c r="AS2321" s="50"/>
      <c r="AT2321" s="51"/>
      <c r="AU2321" s="51"/>
      <c r="AV2321" s="51"/>
      <c r="AW2321" s="51"/>
      <c r="AX2321" s="50"/>
      <c r="AY2321" s="50"/>
      <c r="AZ2321" s="50"/>
      <c r="BA2321" s="50"/>
      <c r="BB2321" s="51"/>
      <c r="BC2321" s="51"/>
      <c r="BD2321" s="51"/>
      <c r="BE2321" s="51"/>
      <c r="BF2321" s="47"/>
      <c r="BG2321" s="47"/>
      <c r="BH2321" s="47"/>
      <c r="BI2321" s="47"/>
      <c r="BJ2321" s="47"/>
      <c r="BK2321" s="47"/>
      <c r="BL2321" s="47"/>
      <c r="BM2321" s="47"/>
      <c r="BN2321" s="47"/>
      <c r="BO2321" s="47"/>
      <c r="BP2321" s="47"/>
      <c r="BQ2321" s="47"/>
      <c r="BR2321" s="47"/>
      <c r="BS2321" s="47"/>
      <c r="BT2321" s="47"/>
    </row>
    <row r="2322">
      <c r="A2322" s="24"/>
      <c r="B2322" s="48"/>
      <c r="C2322" s="49"/>
      <c r="D2322" s="24"/>
      <c r="E2322" s="52"/>
      <c r="F2322" s="53"/>
      <c r="G2322" s="48"/>
      <c r="H2322" s="49"/>
      <c r="I2322" s="49"/>
      <c r="J2322" s="48"/>
      <c r="K2322" s="48"/>
      <c r="L2322" s="48"/>
      <c r="M2322" s="48"/>
      <c r="N2322" s="48"/>
      <c r="O2322" s="48"/>
      <c r="P2322" s="48"/>
      <c r="Q2322" s="48"/>
      <c r="R2322" s="48"/>
      <c r="S2322" s="48"/>
      <c r="T2322" s="48"/>
      <c r="U2322" s="48"/>
      <c r="V2322" s="48"/>
      <c r="W2322" s="49"/>
      <c r="X2322" s="49"/>
      <c r="Y2322" s="49"/>
      <c r="Z2322" s="49"/>
      <c r="AA2322" s="49"/>
      <c r="AB2322" s="49"/>
      <c r="AC2322" s="49"/>
      <c r="AD2322" s="49"/>
      <c r="AE2322" s="49"/>
      <c r="AF2322" s="49"/>
      <c r="AG2322" s="49"/>
      <c r="AH2322" s="49"/>
      <c r="AI2322" s="48"/>
      <c r="AJ2322" s="48"/>
      <c r="AK2322" s="24"/>
      <c r="AL2322" s="50"/>
      <c r="AM2322" s="50"/>
      <c r="AN2322" s="50"/>
      <c r="AO2322" s="50"/>
      <c r="AP2322" s="50"/>
      <c r="AQ2322" s="50"/>
      <c r="AR2322" s="50"/>
      <c r="AS2322" s="50"/>
      <c r="AT2322" s="51"/>
      <c r="AU2322" s="51"/>
      <c r="AV2322" s="51"/>
      <c r="AW2322" s="51"/>
      <c r="AX2322" s="50"/>
      <c r="AY2322" s="50"/>
      <c r="AZ2322" s="50"/>
      <c r="BA2322" s="50"/>
      <c r="BB2322" s="51"/>
      <c r="BC2322" s="51"/>
      <c r="BD2322" s="51"/>
      <c r="BE2322" s="51"/>
      <c r="BF2322" s="47"/>
      <c r="BG2322" s="47"/>
      <c r="BH2322" s="47"/>
      <c r="BI2322" s="47"/>
      <c r="BJ2322" s="47"/>
      <c r="BK2322" s="47"/>
      <c r="BL2322" s="47"/>
      <c r="BM2322" s="47"/>
      <c r="BN2322" s="47"/>
      <c r="BO2322" s="47"/>
      <c r="BP2322" s="47"/>
      <c r="BQ2322" s="47"/>
      <c r="BR2322" s="47"/>
      <c r="BS2322" s="47"/>
      <c r="BT2322" s="47"/>
    </row>
    <row r="2323">
      <c r="A2323" s="24"/>
      <c r="B2323" s="48"/>
      <c r="C2323" s="49"/>
      <c r="D2323" s="24"/>
      <c r="E2323" s="52"/>
      <c r="F2323" s="53"/>
      <c r="G2323" s="48"/>
      <c r="H2323" s="49"/>
      <c r="I2323" s="49"/>
      <c r="J2323" s="48"/>
      <c r="K2323" s="48"/>
      <c r="L2323" s="48"/>
      <c r="M2323" s="48"/>
      <c r="N2323" s="48"/>
      <c r="O2323" s="48"/>
      <c r="P2323" s="48"/>
      <c r="Q2323" s="48"/>
      <c r="R2323" s="48"/>
      <c r="S2323" s="48"/>
      <c r="T2323" s="48"/>
      <c r="U2323" s="48"/>
      <c r="V2323" s="48"/>
      <c r="W2323" s="49"/>
      <c r="X2323" s="49"/>
      <c r="Y2323" s="49"/>
      <c r="Z2323" s="49"/>
      <c r="AA2323" s="49"/>
      <c r="AB2323" s="49"/>
      <c r="AC2323" s="49"/>
      <c r="AD2323" s="49"/>
      <c r="AE2323" s="49"/>
      <c r="AF2323" s="49"/>
      <c r="AG2323" s="49"/>
      <c r="AH2323" s="49"/>
      <c r="AI2323" s="48"/>
      <c r="AJ2323" s="48"/>
      <c r="AK2323" s="24"/>
      <c r="AL2323" s="50"/>
      <c r="AM2323" s="50"/>
      <c r="AN2323" s="50"/>
      <c r="AO2323" s="50"/>
      <c r="AP2323" s="50"/>
      <c r="AQ2323" s="50"/>
      <c r="AR2323" s="50"/>
      <c r="AS2323" s="50"/>
      <c r="AT2323" s="51"/>
      <c r="AU2323" s="51"/>
      <c r="AV2323" s="51"/>
      <c r="AW2323" s="51"/>
      <c r="AX2323" s="50"/>
      <c r="AY2323" s="50"/>
      <c r="AZ2323" s="50"/>
      <c r="BA2323" s="50"/>
      <c r="BB2323" s="51"/>
      <c r="BC2323" s="51"/>
      <c r="BD2323" s="51"/>
      <c r="BE2323" s="51"/>
      <c r="BF2323" s="47"/>
      <c r="BG2323" s="47"/>
      <c r="BH2323" s="47"/>
      <c r="BI2323" s="47"/>
      <c r="BJ2323" s="47"/>
      <c r="BK2323" s="47"/>
      <c r="BL2323" s="47"/>
      <c r="BM2323" s="47"/>
      <c r="BN2323" s="47"/>
      <c r="BO2323" s="47"/>
      <c r="BP2323" s="47"/>
      <c r="BQ2323" s="47"/>
      <c r="BR2323" s="47"/>
      <c r="BS2323" s="47"/>
      <c r="BT2323" s="47"/>
    </row>
    <row r="2324">
      <c r="A2324" s="24"/>
      <c r="B2324" s="48"/>
      <c r="C2324" s="49"/>
      <c r="D2324" s="24"/>
      <c r="E2324" s="52"/>
      <c r="F2324" s="53"/>
      <c r="G2324" s="48"/>
      <c r="H2324" s="49"/>
      <c r="I2324" s="49"/>
      <c r="J2324" s="48"/>
      <c r="K2324" s="48"/>
      <c r="L2324" s="48"/>
      <c r="M2324" s="48"/>
      <c r="N2324" s="48"/>
      <c r="O2324" s="48"/>
      <c r="P2324" s="48"/>
      <c r="Q2324" s="48"/>
      <c r="R2324" s="48"/>
      <c r="S2324" s="48"/>
      <c r="T2324" s="48"/>
      <c r="U2324" s="48"/>
      <c r="V2324" s="48"/>
      <c r="W2324" s="49"/>
      <c r="X2324" s="49"/>
      <c r="Y2324" s="49"/>
      <c r="Z2324" s="49"/>
      <c r="AA2324" s="49"/>
      <c r="AB2324" s="49"/>
      <c r="AC2324" s="49"/>
      <c r="AD2324" s="49"/>
      <c r="AE2324" s="49"/>
      <c r="AF2324" s="49"/>
      <c r="AG2324" s="49"/>
      <c r="AH2324" s="49"/>
      <c r="AI2324" s="48"/>
      <c r="AJ2324" s="48"/>
      <c r="AK2324" s="24"/>
      <c r="AL2324" s="50"/>
      <c r="AM2324" s="50"/>
      <c r="AN2324" s="50"/>
      <c r="AO2324" s="50"/>
      <c r="AP2324" s="50"/>
      <c r="AQ2324" s="50"/>
      <c r="AR2324" s="50"/>
      <c r="AS2324" s="50"/>
      <c r="AT2324" s="51"/>
      <c r="AU2324" s="51"/>
      <c r="AV2324" s="51"/>
      <c r="AW2324" s="51"/>
      <c r="AX2324" s="50"/>
      <c r="AY2324" s="50"/>
      <c r="AZ2324" s="50"/>
      <c r="BA2324" s="50"/>
      <c r="BB2324" s="51"/>
      <c r="BC2324" s="51"/>
      <c r="BD2324" s="51"/>
      <c r="BE2324" s="51"/>
      <c r="BF2324" s="47"/>
      <c r="BG2324" s="47"/>
      <c r="BH2324" s="47"/>
      <c r="BI2324" s="47"/>
      <c r="BJ2324" s="47"/>
      <c r="BK2324" s="47"/>
      <c r="BL2324" s="47"/>
      <c r="BM2324" s="47"/>
      <c r="BN2324" s="47"/>
      <c r="BO2324" s="47"/>
      <c r="BP2324" s="47"/>
      <c r="BQ2324" s="47"/>
      <c r="BR2324" s="47"/>
      <c r="BS2324" s="47"/>
      <c r="BT2324" s="47"/>
    </row>
    <row r="2325">
      <c r="A2325" s="24"/>
      <c r="B2325" s="48"/>
      <c r="C2325" s="49"/>
      <c r="D2325" s="24"/>
      <c r="E2325" s="52"/>
      <c r="F2325" s="53"/>
      <c r="G2325" s="48"/>
      <c r="H2325" s="49"/>
      <c r="I2325" s="49"/>
      <c r="J2325" s="48"/>
      <c r="K2325" s="48"/>
      <c r="L2325" s="48"/>
      <c r="M2325" s="48"/>
      <c r="N2325" s="48"/>
      <c r="O2325" s="48"/>
      <c r="P2325" s="48"/>
      <c r="Q2325" s="48"/>
      <c r="R2325" s="48"/>
      <c r="S2325" s="48"/>
      <c r="T2325" s="48"/>
      <c r="U2325" s="48"/>
      <c r="V2325" s="48"/>
      <c r="W2325" s="49"/>
      <c r="X2325" s="49"/>
      <c r="Y2325" s="49"/>
      <c r="Z2325" s="49"/>
      <c r="AA2325" s="49"/>
      <c r="AB2325" s="49"/>
      <c r="AC2325" s="49"/>
      <c r="AD2325" s="49"/>
      <c r="AE2325" s="49"/>
      <c r="AF2325" s="49"/>
      <c r="AG2325" s="49"/>
      <c r="AH2325" s="49"/>
      <c r="AI2325" s="48"/>
      <c r="AJ2325" s="48"/>
      <c r="AK2325" s="24"/>
      <c r="AL2325" s="50"/>
      <c r="AM2325" s="50"/>
      <c r="AN2325" s="50"/>
      <c r="AO2325" s="50"/>
      <c r="AP2325" s="50"/>
      <c r="AQ2325" s="50"/>
      <c r="AR2325" s="50"/>
      <c r="AS2325" s="50"/>
      <c r="AT2325" s="51"/>
      <c r="AU2325" s="51"/>
      <c r="AV2325" s="51"/>
      <c r="AW2325" s="51"/>
      <c r="AX2325" s="50"/>
      <c r="AY2325" s="50"/>
      <c r="AZ2325" s="50"/>
      <c r="BA2325" s="50"/>
      <c r="BB2325" s="51"/>
      <c r="BC2325" s="51"/>
      <c r="BD2325" s="51"/>
      <c r="BE2325" s="51"/>
      <c r="BF2325" s="47"/>
      <c r="BG2325" s="47"/>
      <c r="BH2325" s="47"/>
      <c r="BI2325" s="47"/>
      <c r="BJ2325" s="47"/>
      <c r="BK2325" s="47"/>
      <c r="BL2325" s="47"/>
      <c r="BM2325" s="47"/>
      <c r="BN2325" s="47"/>
      <c r="BO2325" s="47"/>
      <c r="BP2325" s="47"/>
      <c r="BQ2325" s="47"/>
      <c r="BR2325" s="47"/>
      <c r="BS2325" s="47"/>
      <c r="BT2325" s="47"/>
    </row>
    <row r="2326">
      <c r="A2326" s="24"/>
      <c r="B2326" s="48"/>
      <c r="C2326" s="49"/>
      <c r="D2326" s="24"/>
      <c r="E2326" s="52"/>
      <c r="F2326" s="53"/>
      <c r="G2326" s="48"/>
      <c r="H2326" s="49"/>
      <c r="I2326" s="49"/>
      <c r="J2326" s="48"/>
      <c r="K2326" s="48"/>
      <c r="L2326" s="48"/>
      <c r="M2326" s="48"/>
      <c r="N2326" s="48"/>
      <c r="O2326" s="48"/>
      <c r="P2326" s="48"/>
      <c r="Q2326" s="48"/>
      <c r="R2326" s="48"/>
      <c r="S2326" s="48"/>
      <c r="T2326" s="48"/>
      <c r="U2326" s="48"/>
      <c r="V2326" s="48"/>
      <c r="W2326" s="49"/>
      <c r="X2326" s="49"/>
      <c r="Y2326" s="49"/>
      <c r="Z2326" s="49"/>
      <c r="AA2326" s="49"/>
      <c r="AB2326" s="49"/>
      <c r="AC2326" s="49"/>
      <c r="AD2326" s="49"/>
      <c r="AE2326" s="49"/>
      <c r="AF2326" s="49"/>
      <c r="AG2326" s="49"/>
      <c r="AH2326" s="49"/>
      <c r="AI2326" s="48"/>
      <c r="AJ2326" s="48"/>
      <c r="AK2326" s="24"/>
      <c r="AL2326" s="50"/>
      <c r="AM2326" s="50"/>
      <c r="AN2326" s="50"/>
      <c r="AO2326" s="50"/>
      <c r="AP2326" s="50"/>
      <c r="AQ2326" s="50"/>
      <c r="AR2326" s="50"/>
      <c r="AS2326" s="50"/>
      <c r="AT2326" s="51"/>
      <c r="AU2326" s="51"/>
      <c r="AV2326" s="51"/>
      <c r="AW2326" s="51"/>
      <c r="AX2326" s="50"/>
      <c r="AY2326" s="50"/>
      <c r="AZ2326" s="50"/>
      <c r="BA2326" s="50"/>
      <c r="BB2326" s="51"/>
      <c r="BC2326" s="51"/>
      <c r="BD2326" s="51"/>
      <c r="BE2326" s="51"/>
      <c r="BF2326" s="47"/>
      <c r="BG2326" s="47"/>
      <c r="BH2326" s="47"/>
      <c r="BI2326" s="47"/>
      <c r="BJ2326" s="47"/>
      <c r="BK2326" s="47"/>
      <c r="BL2326" s="47"/>
      <c r="BM2326" s="47"/>
      <c r="BN2326" s="47"/>
      <c r="BO2326" s="47"/>
      <c r="BP2326" s="47"/>
      <c r="BQ2326" s="47"/>
      <c r="BR2326" s="47"/>
      <c r="BS2326" s="47"/>
      <c r="BT2326" s="47"/>
    </row>
    <row r="2327">
      <c r="A2327" s="24"/>
      <c r="B2327" s="48"/>
      <c r="C2327" s="49"/>
      <c r="D2327" s="24"/>
      <c r="E2327" s="52"/>
      <c r="F2327" s="53"/>
      <c r="G2327" s="48"/>
      <c r="H2327" s="49"/>
      <c r="I2327" s="49"/>
      <c r="J2327" s="48"/>
      <c r="K2327" s="48"/>
      <c r="L2327" s="48"/>
      <c r="M2327" s="48"/>
      <c r="N2327" s="48"/>
      <c r="O2327" s="48"/>
      <c r="P2327" s="48"/>
      <c r="Q2327" s="48"/>
      <c r="R2327" s="48"/>
      <c r="S2327" s="48"/>
      <c r="T2327" s="48"/>
      <c r="U2327" s="48"/>
      <c r="V2327" s="48"/>
      <c r="W2327" s="49"/>
      <c r="X2327" s="49"/>
      <c r="Y2327" s="49"/>
      <c r="Z2327" s="49"/>
      <c r="AA2327" s="49"/>
      <c r="AB2327" s="49"/>
      <c r="AC2327" s="49"/>
      <c r="AD2327" s="49"/>
      <c r="AE2327" s="49"/>
      <c r="AF2327" s="49"/>
      <c r="AG2327" s="49"/>
      <c r="AH2327" s="49"/>
      <c r="AI2327" s="48"/>
      <c r="AJ2327" s="48"/>
      <c r="AK2327" s="24"/>
      <c r="AL2327" s="50"/>
      <c r="AM2327" s="50"/>
      <c r="AN2327" s="50"/>
      <c r="AO2327" s="50"/>
      <c r="AP2327" s="50"/>
      <c r="AQ2327" s="50"/>
      <c r="AR2327" s="50"/>
      <c r="AS2327" s="50"/>
      <c r="AT2327" s="51"/>
      <c r="AU2327" s="51"/>
      <c r="AV2327" s="51"/>
      <c r="AW2327" s="51"/>
      <c r="AX2327" s="50"/>
      <c r="AY2327" s="50"/>
      <c r="AZ2327" s="50"/>
      <c r="BA2327" s="50"/>
      <c r="BB2327" s="51"/>
      <c r="BC2327" s="51"/>
      <c r="BD2327" s="51"/>
      <c r="BE2327" s="51"/>
      <c r="BF2327" s="47"/>
      <c r="BG2327" s="47"/>
      <c r="BH2327" s="47"/>
      <c r="BI2327" s="47"/>
      <c r="BJ2327" s="47"/>
      <c r="BK2327" s="47"/>
      <c r="BL2327" s="47"/>
      <c r="BM2327" s="47"/>
      <c r="BN2327" s="47"/>
      <c r="BO2327" s="47"/>
      <c r="BP2327" s="47"/>
      <c r="BQ2327" s="47"/>
      <c r="BR2327" s="47"/>
      <c r="BS2327" s="47"/>
      <c r="BT2327" s="47"/>
    </row>
    <row r="2328">
      <c r="A2328" s="24"/>
      <c r="B2328" s="48"/>
      <c r="C2328" s="49"/>
      <c r="D2328" s="24"/>
      <c r="E2328" s="52"/>
      <c r="F2328" s="53"/>
      <c r="G2328" s="48"/>
      <c r="H2328" s="49"/>
      <c r="I2328" s="49"/>
      <c r="J2328" s="48"/>
      <c r="K2328" s="48"/>
      <c r="L2328" s="48"/>
      <c r="M2328" s="48"/>
      <c r="N2328" s="48"/>
      <c r="O2328" s="48"/>
      <c r="P2328" s="48"/>
      <c r="Q2328" s="48"/>
      <c r="R2328" s="48"/>
      <c r="S2328" s="48"/>
      <c r="T2328" s="48"/>
      <c r="U2328" s="48"/>
      <c r="V2328" s="48"/>
      <c r="W2328" s="49"/>
      <c r="X2328" s="49"/>
      <c r="Y2328" s="49"/>
      <c r="Z2328" s="49"/>
      <c r="AA2328" s="49"/>
      <c r="AB2328" s="49"/>
      <c r="AC2328" s="49"/>
      <c r="AD2328" s="49"/>
      <c r="AE2328" s="49"/>
      <c r="AF2328" s="49"/>
      <c r="AG2328" s="49"/>
      <c r="AH2328" s="49"/>
      <c r="AI2328" s="48"/>
      <c r="AJ2328" s="48"/>
      <c r="AK2328" s="24"/>
      <c r="AL2328" s="50"/>
      <c r="AM2328" s="50"/>
      <c r="AN2328" s="50"/>
      <c r="AO2328" s="50"/>
      <c r="AP2328" s="50"/>
      <c r="AQ2328" s="50"/>
      <c r="AR2328" s="50"/>
      <c r="AS2328" s="50"/>
      <c r="AT2328" s="51"/>
      <c r="AU2328" s="51"/>
      <c r="AV2328" s="51"/>
      <c r="AW2328" s="51"/>
      <c r="AX2328" s="50"/>
      <c r="AY2328" s="50"/>
      <c r="AZ2328" s="50"/>
      <c r="BA2328" s="50"/>
      <c r="BB2328" s="51"/>
      <c r="BC2328" s="51"/>
      <c r="BD2328" s="51"/>
      <c r="BE2328" s="51"/>
      <c r="BF2328" s="47"/>
      <c r="BG2328" s="47"/>
      <c r="BH2328" s="47"/>
      <c r="BI2328" s="47"/>
      <c r="BJ2328" s="47"/>
      <c r="BK2328" s="47"/>
      <c r="BL2328" s="47"/>
      <c r="BM2328" s="47"/>
      <c r="BN2328" s="47"/>
      <c r="BO2328" s="47"/>
      <c r="BP2328" s="47"/>
      <c r="BQ2328" s="47"/>
      <c r="BR2328" s="47"/>
      <c r="BS2328" s="47"/>
      <c r="BT2328" s="47"/>
    </row>
    <row r="2329">
      <c r="A2329" s="24"/>
      <c r="B2329" s="48"/>
      <c r="C2329" s="49"/>
      <c r="D2329" s="24"/>
      <c r="E2329" s="52"/>
      <c r="F2329" s="53"/>
      <c r="G2329" s="48"/>
      <c r="H2329" s="49"/>
      <c r="I2329" s="49"/>
      <c r="J2329" s="48"/>
      <c r="K2329" s="48"/>
      <c r="L2329" s="48"/>
      <c r="M2329" s="48"/>
      <c r="N2329" s="48"/>
      <c r="O2329" s="48"/>
      <c r="P2329" s="48"/>
      <c r="Q2329" s="48"/>
      <c r="R2329" s="48"/>
      <c r="S2329" s="48"/>
      <c r="T2329" s="48"/>
      <c r="U2329" s="48"/>
      <c r="V2329" s="48"/>
      <c r="W2329" s="49"/>
      <c r="X2329" s="49"/>
      <c r="Y2329" s="49"/>
      <c r="Z2329" s="49"/>
      <c r="AA2329" s="49"/>
      <c r="AB2329" s="49"/>
      <c r="AC2329" s="49"/>
      <c r="AD2329" s="49"/>
      <c r="AE2329" s="49"/>
      <c r="AF2329" s="49"/>
      <c r="AG2329" s="49"/>
      <c r="AH2329" s="49"/>
      <c r="AI2329" s="48"/>
      <c r="AJ2329" s="48"/>
      <c r="AK2329" s="24"/>
      <c r="AL2329" s="50"/>
      <c r="AM2329" s="50"/>
      <c r="AN2329" s="50"/>
      <c r="AO2329" s="50"/>
      <c r="AP2329" s="50"/>
      <c r="AQ2329" s="50"/>
      <c r="AR2329" s="50"/>
      <c r="AS2329" s="50"/>
      <c r="AT2329" s="51"/>
      <c r="AU2329" s="51"/>
      <c r="AV2329" s="51"/>
      <c r="AW2329" s="51"/>
      <c r="AX2329" s="50"/>
      <c r="AY2329" s="50"/>
      <c r="AZ2329" s="50"/>
      <c r="BA2329" s="50"/>
      <c r="BB2329" s="51"/>
      <c r="BC2329" s="51"/>
      <c r="BD2329" s="51"/>
      <c r="BE2329" s="51"/>
      <c r="BF2329" s="47"/>
      <c r="BG2329" s="47"/>
      <c r="BH2329" s="47"/>
      <c r="BI2329" s="47"/>
      <c r="BJ2329" s="47"/>
      <c r="BK2329" s="47"/>
      <c r="BL2329" s="47"/>
      <c r="BM2329" s="47"/>
      <c r="BN2329" s="47"/>
      <c r="BO2329" s="47"/>
      <c r="BP2329" s="47"/>
      <c r="BQ2329" s="47"/>
      <c r="BR2329" s="47"/>
      <c r="BS2329" s="47"/>
      <c r="BT2329" s="47"/>
    </row>
    <row r="2330">
      <c r="A2330" s="24"/>
      <c r="B2330" s="48"/>
      <c r="C2330" s="49"/>
      <c r="D2330" s="24"/>
      <c r="E2330" s="52"/>
      <c r="F2330" s="53"/>
      <c r="G2330" s="48"/>
      <c r="H2330" s="49"/>
      <c r="I2330" s="49"/>
      <c r="J2330" s="48"/>
      <c r="K2330" s="48"/>
      <c r="L2330" s="48"/>
      <c r="M2330" s="48"/>
      <c r="N2330" s="48"/>
      <c r="O2330" s="48"/>
      <c r="P2330" s="48"/>
      <c r="Q2330" s="48"/>
      <c r="R2330" s="48"/>
      <c r="S2330" s="48"/>
      <c r="T2330" s="48"/>
      <c r="U2330" s="48"/>
      <c r="V2330" s="48"/>
      <c r="W2330" s="49"/>
      <c r="X2330" s="49"/>
      <c r="Y2330" s="49"/>
      <c r="Z2330" s="49"/>
      <c r="AA2330" s="49"/>
      <c r="AB2330" s="49"/>
      <c r="AC2330" s="49"/>
      <c r="AD2330" s="49"/>
      <c r="AE2330" s="49"/>
      <c r="AF2330" s="49"/>
      <c r="AG2330" s="49"/>
      <c r="AH2330" s="49"/>
      <c r="AI2330" s="48"/>
      <c r="AJ2330" s="48"/>
      <c r="AK2330" s="24"/>
      <c r="AL2330" s="50"/>
      <c r="AM2330" s="50"/>
      <c r="AN2330" s="50"/>
      <c r="AO2330" s="50"/>
      <c r="AP2330" s="50"/>
      <c r="AQ2330" s="50"/>
      <c r="AR2330" s="50"/>
      <c r="AS2330" s="50"/>
      <c r="AT2330" s="51"/>
      <c r="AU2330" s="51"/>
      <c r="AV2330" s="51"/>
      <c r="AW2330" s="51"/>
      <c r="AX2330" s="50"/>
      <c r="AY2330" s="50"/>
      <c r="AZ2330" s="50"/>
      <c r="BA2330" s="50"/>
      <c r="BB2330" s="51"/>
      <c r="BC2330" s="51"/>
      <c r="BD2330" s="51"/>
      <c r="BE2330" s="51"/>
      <c r="BF2330" s="47"/>
      <c r="BG2330" s="47"/>
      <c r="BH2330" s="47"/>
      <c r="BI2330" s="47"/>
      <c r="BJ2330" s="47"/>
      <c r="BK2330" s="47"/>
      <c r="BL2330" s="47"/>
      <c r="BM2330" s="47"/>
      <c r="BN2330" s="47"/>
      <c r="BO2330" s="47"/>
      <c r="BP2330" s="47"/>
      <c r="BQ2330" s="47"/>
      <c r="BR2330" s="47"/>
      <c r="BS2330" s="47"/>
      <c r="BT2330" s="47"/>
    </row>
    <row r="2331">
      <c r="A2331" s="24"/>
      <c r="B2331" s="48"/>
      <c r="C2331" s="49"/>
      <c r="D2331" s="24"/>
      <c r="E2331" s="52"/>
      <c r="F2331" s="53"/>
      <c r="G2331" s="48"/>
      <c r="H2331" s="49"/>
      <c r="I2331" s="49"/>
      <c r="J2331" s="48"/>
      <c r="K2331" s="48"/>
      <c r="L2331" s="48"/>
      <c r="M2331" s="48"/>
      <c r="N2331" s="48"/>
      <c r="O2331" s="48"/>
      <c r="P2331" s="48"/>
      <c r="Q2331" s="48"/>
      <c r="R2331" s="48"/>
      <c r="S2331" s="48"/>
      <c r="T2331" s="48"/>
      <c r="U2331" s="48"/>
      <c r="V2331" s="48"/>
      <c r="W2331" s="49"/>
      <c r="X2331" s="49"/>
      <c r="Y2331" s="49"/>
      <c r="Z2331" s="49"/>
      <c r="AA2331" s="49"/>
      <c r="AB2331" s="49"/>
      <c r="AC2331" s="49"/>
      <c r="AD2331" s="49"/>
      <c r="AE2331" s="49"/>
      <c r="AF2331" s="49"/>
      <c r="AG2331" s="49"/>
      <c r="AH2331" s="49"/>
      <c r="AI2331" s="48"/>
      <c r="AJ2331" s="48"/>
      <c r="AK2331" s="24"/>
      <c r="AL2331" s="50"/>
      <c r="AM2331" s="50"/>
      <c r="AN2331" s="50"/>
      <c r="AO2331" s="50"/>
      <c r="AP2331" s="50"/>
      <c r="AQ2331" s="50"/>
      <c r="AR2331" s="50"/>
      <c r="AS2331" s="50"/>
      <c r="AT2331" s="51"/>
      <c r="AU2331" s="51"/>
      <c r="AV2331" s="51"/>
      <c r="AW2331" s="51"/>
      <c r="AX2331" s="50"/>
      <c r="AY2331" s="50"/>
      <c r="AZ2331" s="50"/>
      <c r="BA2331" s="50"/>
      <c r="BB2331" s="51"/>
      <c r="BC2331" s="51"/>
      <c r="BD2331" s="51"/>
      <c r="BE2331" s="51"/>
      <c r="BF2331" s="47"/>
      <c r="BG2331" s="47"/>
      <c r="BH2331" s="47"/>
      <c r="BI2331" s="47"/>
      <c r="BJ2331" s="47"/>
      <c r="BK2331" s="47"/>
      <c r="BL2331" s="47"/>
      <c r="BM2331" s="47"/>
      <c r="BN2331" s="47"/>
      <c r="BO2331" s="47"/>
      <c r="BP2331" s="47"/>
      <c r="BQ2331" s="47"/>
      <c r="BR2331" s="47"/>
      <c r="BS2331" s="47"/>
      <c r="BT2331" s="47"/>
    </row>
    <row r="2332">
      <c r="A2332" s="24"/>
      <c r="B2332" s="48"/>
      <c r="C2332" s="49"/>
      <c r="D2332" s="24"/>
      <c r="E2332" s="52"/>
      <c r="F2332" s="53"/>
      <c r="G2332" s="48"/>
      <c r="H2332" s="49"/>
      <c r="I2332" s="49"/>
      <c r="J2332" s="48"/>
      <c r="K2332" s="48"/>
      <c r="L2332" s="48"/>
      <c r="M2332" s="48"/>
      <c r="N2332" s="48"/>
      <c r="O2332" s="48"/>
      <c r="P2332" s="48"/>
      <c r="Q2332" s="48"/>
      <c r="R2332" s="48"/>
      <c r="S2332" s="48"/>
      <c r="T2332" s="48"/>
      <c r="U2332" s="48"/>
      <c r="V2332" s="48"/>
      <c r="W2332" s="49"/>
      <c r="X2332" s="49"/>
      <c r="Y2332" s="49"/>
      <c r="Z2332" s="49"/>
      <c r="AA2332" s="49"/>
      <c r="AB2332" s="49"/>
      <c r="AC2332" s="49"/>
      <c r="AD2332" s="49"/>
      <c r="AE2332" s="49"/>
      <c r="AF2332" s="49"/>
      <c r="AG2332" s="49"/>
      <c r="AH2332" s="49"/>
      <c r="AI2332" s="48"/>
      <c r="AJ2332" s="48"/>
      <c r="AK2332" s="24"/>
      <c r="AL2332" s="50"/>
      <c r="AM2332" s="50"/>
      <c r="AN2332" s="50"/>
      <c r="AO2332" s="50"/>
      <c r="AP2332" s="50"/>
      <c r="AQ2332" s="50"/>
      <c r="AR2332" s="50"/>
      <c r="AS2332" s="50"/>
      <c r="AT2332" s="51"/>
      <c r="AU2332" s="51"/>
      <c r="AV2332" s="51"/>
      <c r="AW2332" s="51"/>
      <c r="AX2332" s="50"/>
      <c r="AY2332" s="50"/>
      <c r="AZ2332" s="50"/>
      <c r="BA2332" s="50"/>
      <c r="BB2332" s="51"/>
      <c r="BC2332" s="51"/>
      <c r="BD2332" s="51"/>
      <c r="BE2332" s="51"/>
      <c r="BF2332" s="47"/>
      <c r="BG2332" s="47"/>
      <c r="BH2332" s="47"/>
      <c r="BI2332" s="47"/>
      <c r="BJ2332" s="47"/>
      <c r="BK2332" s="47"/>
      <c r="BL2332" s="47"/>
      <c r="BM2332" s="47"/>
      <c r="BN2332" s="47"/>
      <c r="BO2332" s="47"/>
      <c r="BP2332" s="47"/>
      <c r="BQ2332" s="47"/>
      <c r="BR2332" s="47"/>
      <c r="BS2332" s="47"/>
      <c r="BT2332" s="47"/>
    </row>
    <row r="2333">
      <c r="A2333" s="24"/>
      <c r="B2333" s="48"/>
      <c r="C2333" s="49"/>
      <c r="D2333" s="24"/>
      <c r="E2333" s="52"/>
      <c r="F2333" s="53"/>
      <c r="G2333" s="48"/>
      <c r="H2333" s="49"/>
      <c r="I2333" s="49"/>
      <c r="J2333" s="48"/>
      <c r="K2333" s="48"/>
      <c r="L2333" s="48"/>
      <c r="M2333" s="48"/>
      <c r="N2333" s="48"/>
      <c r="O2333" s="48"/>
      <c r="P2333" s="48"/>
      <c r="Q2333" s="48"/>
      <c r="R2333" s="48"/>
      <c r="S2333" s="48"/>
      <c r="T2333" s="48"/>
      <c r="U2333" s="48"/>
      <c r="V2333" s="48"/>
      <c r="W2333" s="49"/>
      <c r="X2333" s="49"/>
      <c r="Y2333" s="49"/>
      <c r="Z2333" s="49"/>
      <c r="AA2333" s="49"/>
      <c r="AB2333" s="49"/>
      <c r="AC2333" s="49"/>
      <c r="AD2333" s="49"/>
      <c r="AE2333" s="49"/>
      <c r="AF2333" s="49"/>
      <c r="AG2333" s="49"/>
      <c r="AH2333" s="49"/>
      <c r="AI2333" s="48"/>
      <c r="AJ2333" s="48"/>
      <c r="AK2333" s="24"/>
      <c r="AL2333" s="50"/>
      <c r="AM2333" s="50"/>
      <c r="AN2333" s="50"/>
      <c r="AO2333" s="50"/>
      <c r="AP2333" s="50"/>
      <c r="AQ2333" s="50"/>
      <c r="AR2333" s="50"/>
      <c r="AS2333" s="50"/>
      <c r="AT2333" s="51"/>
      <c r="AU2333" s="51"/>
      <c r="AV2333" s="51"/>
      <c r="AW2333" s="51"/>
      <c r="AX2333" s="50"/>
      <c r="AY2333" s="50"/>
      <c r="AZ2333" s="50"/>
      <c r="BA2333" s="50"/>
      <c r="BB2333" s="51"/>
      <c r="BC2333" s="51"/>
      <c r="BD2333" s="51"/>
      <c r="BE2333" s="51"/>
      <c r="BF2333" s="47"/>
      <c r="BG2333" s="47"/>
      <c r="BH2333" s="47"/>
      <c r="BI2333" s="47"/>
      <c r="BJ2333" s="47"/>
      <c r="BK2333" s="47"/>
      <c r="BL2333" s="47"/>
      <c r="BM2333" s="47"/>
      <c r="BN2333" s="47"/>
      <c r="BO2333" s="47"/>
      <c r="BP2333" s="47"/>
      <c r="BQ2333" s="47"/>
      <c r="BR2333" s="47"/>
      <c r="BS2333" s="47"/>
      <c r="BT2333" s="47"/>
    </row>
    <row r="2334">
      <c r="A2334" s="24"/>
      <c r="B2334" s="48"/>
      <c r="C2334" s="49"/>
      <c r="D2334" s="24"/>
      <c r="E2334" s="52"/>
      <c r="F2334" s="53"/>
      <c r="G2334" s="48"/>
      <c r="H2334" s="49"/>
      <c r="I2334" s="49"/>
      <c r="J2334" s="48"/>
      <c r="K2334" s="48"/>
      <c r="L2334" s="48"/>
      <c r="M2334" s="48"/>
      <c r="N2334" s="48"/>
      <c r="O2334" s="48"/>
      <c r="P2334" s="48"/>
      <c r="Q2334" s="48"/>
      <c r="R2334" s="48"/>
      <c r="S2334" s="48"/>
      <c r="T2334" s="48"/>
      <c r="U2334" s="48"/>
      <c r="V2334" s="48"/>
      <c r="W2334" s="49"/>
      <c r="X2334" s="49"/>
      <c r="Y2334" s="49"/>
      <c r="Z2334" s="49"/>
      <c r="AA2334" s="49"/>
      <c r="AB2334" s="49"/>
      <c r="AC2334" s="49"/>
      <c r="AD2334" s="49"/>
      <c r="AE2334" s="49"/>
      <c r="AF2334" s="49"/>
      <c r="AG2334" s="49"/>
      <c r="AH2334" s="49"/>
      <c r="AI2334" s="48"/>
      <c r="AJ2334" s="48"/>
      <c r="AK2334" s="24"/>
      <c r="AL2334" s="50"/>
      <c r="AM2334" s="50"/>
      <c r="AN2334" s="50"/>
      <c r="AO2334" s="50"/>
      <c r="AP2334" s="50"/>
      <c r="AQ2334" s="50"/>
      <c r="AR2334" s="50"/>
      <c r="AS2334" s="50"/>
      <c r="AT2334" s="51"/>
      <c r="AU2334" s="51"/>
      <c r="AV2334" s="51"/>
      <c r="AW2334" s="51"/>
      <c r="AX2334" s="50"/>
      <c r="AY2334" s="50"/>
      <c r="AZ2334" s="50"/>
      <c r="BA2334" s="50"/>
      <c r="BB2334" s="51"/>
      <c r="BC2334" s="51"/>
      <c r="BD2334" s="51"/>
      <c r="BE2334" s="51"/>
      <c r="BF2334" s="47"/>
      <c r="BG2334" s="47"/>
      <c r="BH2334" s="47"/>
      <c r="BI2334" s="47"/>
      <c r="BJ2334" s="47"/>
      <c r="BK2334" s="47"/>
      <c r="BL2334" s="47"/>
      <c r="BM2334" s="47"/>
      <c r="BN2334" s="47"/>
      <c r="BO2334" s="47"/>
      <c r="BP2334" s="47"/>
      <c r="BQ2334" s="47"/>
      <c r="BR2334" s="47"/>
      <c r="BS2334" s="47"/>
      <c r="BT2334" s="47"/>
    </row>
    <row r="2335">
      <c r="A2335" s="24"/>
      <c r="B2335" s="48"/>
      <c r="C2335" s="49"/>
      <c r="D2335" s="24"/>
      <c r="E2335" s="52"/>
      <c r="F2335" s="53"/>
      <c r="G2335" s="48"/>
      <c r="H2335" s="49"/>
      <c r="I2335" s="49"/>
      <c r="J2335" s="48"/>
      <c r="K2335" s="48"/>
      <c r="L2335" s="48"/>
      <c r="M2335" s="48"/>
      <c r="N2335" s="48"/>
      <c r="O2335" s="48"/>
      <c r="P2335" s="48"/>
      <c r="Q2335" s="48"/>
      <c r="R2335" s="48"/>
      <c r="S2335" s="48"/>
      <c r="T2335" s="48"/>
      <c r="U2335" s="48"/>
      <c r="V2335" s="48"/>
      <c r="W2335" s="49"/>
      <c r="X2335" s="49"/>
      <c r="Y2335" s="49"/>
      <c r="Z2335" s="49"/>
      <c r="AA2335" s="49"/>
      <c r="AB2335" s="49"/>
      <c r="AC2335" s="49"/>
      <c r="AD2335" s="49"/>
      <c r="AE2335" s="49"/>
      <c r="AF2335" s="49"/>
      <c r="AG2335" s="49"/>
      <c r="AH2335" s="49"/>
      <c r="AI2335" s="48"/>
      <c r="AJ2335" s="48"/>
      <c r="AK2335" s="24"/>
      <c r="AL2335" s="50"/>
      <c r="AM2335" s="50"/>
      <c r="AN2335" s="50"/>
      <c r="AO2335" s="50"/>
      <c r="AP2335" s="50"/>
      <c r="AQ2335" s="50"/>
      <c r="AR2335" s="50"/>
      <c r="AS2335" s="50"/>
      <c r="AT2335" s="51"/>
      <c r="AU2335" s="51"/>
      <c r="AV2335" s="51"/>
      <c r="AW2335" s="51"/>
      <c r="AX2335" s="50"/>
      <c r="AY2335" s="50"/>
      <c r="AZ2335" s="50"/>
      <c r="BA2335" s="50"/>
      <c r="BB2335" s="51"/>
      <c r="BC2335" s="51"/>
      <c r="BD2335" s="51"/>
      <c r="BE2335" s="51"/>
      <c r="BF2335" s="47"/>
      <c r="BG2335" s="47"/>
      <c r="BH2335" s="47"/>
      <c r="BI2335" s="47"/>
      <c r="BJ2335" s="47"/>
      <c r="BK2335" s="47"/>
      <c r="BL2335" s="47"/>
      <c r="BM2335" s="47"/>
      <c r="BN2335" s="47"/>
      <c r="BO2335" s="47"/>
      <c r="BP2335" s="47"/>
      <c r="BQ2335" s="47"/>
      <c r="BR2335" s="47"/>
      <c r="BS2335" s="47"/>
      <c r="BT2335" s="47"/>
    </row>
    <row r="2336">
      <c r="A2336" s="24"/>
      <c r="B2336" s="48"/>
      <c r="C2336" s="49"/>
      <c r="D2336" s="24"/>
      <c r="E2336" s="52"/>
      <c r="F2336" s="53"/>
      <c r="G2336" s="48"/>
      <c r="H2336" s="49"/>
      <c r="I2336" s="49"/>
      <c r="J2336" s="48"/>
      <c r="K2336" s="48"/>
      <c r="L2336" s="48"/>
      <c r="M2336" s="48"/>
      <c r="N2336" s="48"/>
      <c r="O2336" s="48"/>
      <c r="P2336" s="48"/>
      <c r="Q2336" s="48"/>
      <c r="R2336" s="48"/>
      <c r="S2336" s="48"/>
      <c r="T2336" s="48"/>
      <c r="U2336" s="48"/>
      <c r="V2336" s="48"/>
      <c r="W2336" s="49"/>
      <c r="X2336" s="49"/>
      <c r="Y2336" s="49"/>
      <c r="Z2336" s="49"/>
      <c r="AA2336" s="49"/>
      <c r="AB2336" s="49"/>
      <c r="AC2336" s="49"/>
      <c r="AD2336" s="49"/>
      <c r="AE2336" s="49"/>
      <c r="AF2336" s="49"/>
      <c r="AG2336" s="49"/>
      <c r="AH2336" s="49"/>
      <c r="AI2336" s="48"/>
      <c r="AJ2336" s="48"/>
      <c r="AK2336" s="24"/>
      <c r="AL2336" s="50"/>
      <c r="AM2336" s="50"/>
      <c r="AN2336" s="50"/>
      <c r="AO2336" s="50"/>
      <c r="AP2336" s="50"/>
      <c r="AQ2336" s="50"/>
      <c r="AR2336" s="50"/>
      <c r="AS2336" s="50"/>
      <c r="AT2336" s="51"/>
      <c r="AU2336" s="51"/>
      <c r="AV2336" s="51"/>
      <c r="AW2336" s="51"/>
      <c r="AX2336" s="50"/>
      <c r="AY2336" s="50"/>
      <c r="AZ2336" s="50"/>
      <c r="BA2336" s="50"/>
      <c r="BB2336" s="51"/>
      <c r="BC2336" s="51"/>
      <c r="BD2336" s="51"/>
      <c r="BE2336" s="51"/>
      <c r="BF2336" s="47"/>
      <c r="BG2336" s="47"/>
      <c r="BH2336" s="47"/>
      <c r="BI2336" s="47"/>
      <c r="BJ2336" s="47"/>
      <c r="BK2336" s="47"/>
      <c r="BL2336" s="47"/>
      <c r="BM2336" s="47"/>
      <c r="BN2336" s="47"/>
      <c r="BO2336" s="47"/>
      <c r="BP2336" s="47"/>
      <c r="BQ2336" s="47"/>
      <c r="BR2336" s="47"/>
      <c r="BS2336" s="47"/>
      <c r="BT2336" s="47"/>
    </row>
    <row r="2337">
      <c r="A2337" s="24"/>
      <c r="B2337" s="48"/>
      <c r="C2337" s="49"/>
      <c r="D2337" s="24"/>
      <c r="E2337" s="52"/>
      <c r="F2337" s="53"/>
      <c r="G2337" s="48"/>
      <c r="H2337" s="49"/>
      <c r="I2337" s="49"/>
      <c r="J2337" s="48"/>
      <c r="K2337" s="48"/>
      <c r="L2337" s="48"/>
      <c r="M2337" s="48"/>
      <c r="N2337" s="48"/>
      <c r="O2337" s="48"/>
      <c r="P2337" s="48"/>
      <c r="Q2337" s="48"/>
      <c r="R2337" s="48"/>
      <c r="S2337" s="48"/>
      <c r="T2337" s="48"/>
      <c r="U2337" s="48"/>
      <c r="V2337" s="48"/>
      <c r="W2337" s="49"/>
      <c r="X2337" s="49"/>
      <c r="Y2337" s="49"/>
      <c r="Z2337" s="49"/>
      <c r="AA2337" s="49"/>
      <c r="AB2337" s="49"/>
      <c r="AC2337" s="49"/>
      <c r="AD2337" s="49"/>
      <c r="AE2337" s="49"/>
      <c r="AF2337" s="49"/>
      <c r="AG2337" s="49"/>
      <c r="AH2337" s="49"/>
      <c r="AI2337" s="48"/>
      <c r="AJ2337" s="48"/>
      <c r="AK2337" s="24"/>
      <c r="AL2337" s="50"/>
      <c r="AM2337" s="50"/>
      <c r="AN2337" s="50"/>
      <c r="AO2337" s="50"/>
      <c r="AP2337" s="50"/>
      <c r="AQ2337" s="50"/>
      <c r="AR2337" s="50"/>
      <c r="AS2337" s="50"/>
      <c r="AT2337" s="51"/>
      <c r="AU2337" s="51"/>
      <c r="AV2337" s="51"/>
      <c r="AW2337" s="51"/>
      <c r="AX2337" s="50"/>
      <c r="AY2337" s="50"/>
      <c r="AZ2337" s="50"/>
      <c r="BA2337" s="50"/>
      <c r="BB2337" s="51"/>
      <c r="BC2337" s="51"/>
      <c r="BD2337" s="51"/>
      <c r="BE2337" s="51"/>
      <c r="BF2337" s="47"/>
      <c r="BG2337" s="47"/>
      <c r="BH2337" s="47"/>
      <c r="BI2337" s="47"/>
      <c r="BJ2337" s="47"/>
      <c r="BK2337" s="47"/>
      <c r="BL2337" s="47"/>
      <c r="BM2337" s="47"/>
      <c r="BN2337" s="47"/>
      <c r="BO2337" s="47"/>
      <c r="BP2337" s="47"/>
      <c r="BQ2337" s="47"/>
      <c r="BR2337" s="47"/>
      <c r="BS2337" s="47"/>
      <c r="BT2337" s="47"/>
    </row>
    <row r="2338">
      <c r="A2338" s="24"/>
      <c r="B2338" s="48"/>
      <c r="C2338" s="49"/>
      <c r="D2338" s="24"/>
      <c r="E2338" s="52"/>
      <c r="F2338" s="53"/>
      <c r="G2338" s="48"/>
      <c r="H2338" s="49"/>
      <c r="I2338" s="49"/>
      <c r="J2338" s="48"/>
      <c r="K2338" s="48"/>
      <c r="L2338" s="48"/>
      <c r="M2338" s="48"/>
      <c r="N2338" s="48"/>
      <c r="O2338" s="48"/>
      <c r="P2338" s="48"/>
      <c r="Q2338" s="48"/>
      <c r="R2338" s="48"/>
      <c r="S2338" s="48"/>
      <c r="T2338" s="48"/>
      <c r="U2338" s="48"/>
      <c r="V2338" s="48"/>
      <c r="W2338" s="49"/>
      <c r="X2338" s="49"/>
      <c r="Y2338" s="49"/>
      <c r="Z2338" s="49"/>
      <c r="AA2338" s="49"/>
      <c r="AB2338" s="49"/>
      <c r="AC2338" s="49"/>
      <c r="AD2338" s="49"/>
      <c r="AE2338" s="49"/>
      <c r="AF2338" s="49"/>
      <c r="AG2338" s="49"/>
      <c r="AH2338" s="49"/>
      <c r="AI2338" s="48"/>
      <c r="AJ2338" s="48"/>
      <c r="AK2338" s="24"/>
      <c r="AL2338" s="50"/>
      <c r="AM2338" s="50"/>
      <c r="AN2338" s="50"/>
      <c r="AO2338" s="50"/>
      <c r="AP2338" s="50"/>
      <c r="AQ2338" s="50"/>
      <c r="AR2338" s="50"/>
      <c r="AS2338" s="50"/>
      <c r="AT2338" s="51"/>
      <c r="AU2338" s="51"/>
      <c r="AV2338" s="51"/>
      <c r="AW2338" s="51"/>
      <c r="AX2338" s="50"/>
      <c r="AY2338" s="50"/>
      <c r="AZ2338" s="50"/>
      <c r="BA2338" s="50"/>
      <c r="BB2338" s="51"/>
      <c r="BC2338" s="51"/>
      <c r="BD2338" s="51"/>
      <c r="BE2338" s="51"/>
      <c r="BF2338" s="47"/>
      <c r="BG2338" s="47"/>
      <c r="BH2338" s="47"/>
      <c r="BI2338" s="47"/>
      <c r="BJ2338" s="47"/>
      <c r="BK2338" s="47"/>
      <c r="BL2338" s="47"/>
      <c r="BM2338" s="47"/>
      <c r="BN2338" s="47"/>
      <c r="BO2338" s="47"/>
      <c r="BP2338" s="47"/>
      <c r="BQ2338" s="47"/>
      <c r="BR2338" s="47"/>
      <c r="BS2338" s="47"/>
      <c r="BT2338" s="47"/>
    </row>
    <row r="2339">
      <c r="A2339" s="24"/>
      <c r="B2339" s="48"/>
      <c r="C2339" s="49"/>
      <c r="D2339" s="24"/>
      <c r="E2339" s="52"/>
      <c r="F2339" s="53"/>
      <c r="G2339" s="48"/>
      <c r="H2339" s="49"/>
      <c r="I2339" s="49"/>
      <c r="J2339" s="48"/>
      <c r="K2339" s="48"/>
      <c r="L2339" s="48"/>
      <c r="M2339" s="48"/>
      <c r="N2339" s="48"/>
      <c r="O2339" s="48"/>
      <c r="P2339" s="48"/>
      <c r="Q2339" s="48"/>
      <c r="R2339" s="48"/>
      <c r="S2339" s="48"/>
      <c r="T2339" s="48"/>
      <c r="U2339" s="48"/>
      <c r="V2339" s="48"/>
      <c r="W2339" s="49"/>
      <c r="X2339" s="49"/>
      <c r="Y2339" s="49"/>
      <c r="Z2339" s="49"/>
      <c r="AA2339" s="49"/>
      <c r="AB2339" s="49"/>
      <c r="AC2339" s="49"/>
      <c r="AD2339" s="49"/>
      <c r="AE2339" s="49"/>
      <c r="AF2339" s="49"/>
      <c r="AG2339" s="49"/>
      <c r="AH2339" s="49"/>
      <c r="AI2339" s="48"/>
      <c r="AJ2339" s="48"/>
      <c r="AK2339" s="24"/>
      <c r="AL2339" s="50"/>
      <c r="AM2339" s="50"/>
      <c r="AN2339" s="50"/>
      <c r="AO2339" s="50"/>
      <c r="AP2339" s="50"/>
      <c r="AQ2339" s="50"/>
      <c r="AR2339" s="50"/>
      <c r="AS2339" s="50"/>
      <c r="AT2339" s="51"/>
      <c r="AU2339" s="51"/>
      <c r="AV2339" s="51"/>
      <c r="AW2339" s="51"/>
      <c r="AX2339" s="50"/>
      <c r="AY2339" s="50"/>
      <c r="AZ2339" s="50"/>
      <c r="BA2339" s="50"/>
      <c r="BB2339" s="51"/>
      <c r="BC2339" s="51"/>
      <c r="BD2339" s="51"/>
      <c r="BE2339" s="51"/>
      <c r="BF2339" s="47"/>
      <c r="BG2339" s="47"/>
      <c r="BH2339" s="47"/>
      <c r="BI2339" s="47"/>
      <c r="BJ2339" s="47"/>
      <c r="BK2339" s="47"/>
      <c r="BL2339" s="47"/>
      <c r="BM2339" s="47"/>
      <c r="BN2339" s="47"/>
      <c r="BO2339" s="47"/>
      <c r="BP2339" s="47"/>
      <c r="BQ2339" s="47"/>
      <c r="BR2339" s="47"/>
      <c r="BS2339" s="47"/>
      <c r="BT2339" s="47"/>
    </row>
    <row r="2340">
      <c r="A2340" s="24"/>
      <c r="B2340" s="48"/>
      <c r="C2340" s="49"/>
      <c r="D2340" s="24"/>
      <c r="E2340" s="52"/>
      <c r="F2340" s="53"/>
      <c r="G2340" s="48"/>
      <c r="H2340" s="49"/>
      <c r="I2340" s="49"/>
      <c r="J2340" s="48"/>
      <c r="K2340" s="48"/>
      <c r="L2340" s="48"/>
      <c r="M2340" s="48"/>
      <c r="N2340" s="48"/>
      <c r="O2340" s="48"/>
      <c r="P2340" s="48"/>
      <c r="Q2340" s="48"/>
      <c r="R2340" s="48"/>
      <c r="S2340" s="48"/>
      <c r="T2340" s="48"/>
      <c r="U2340" s="48"/>
      <c r="V2340" s="48"/>
      <c r="W2340" s="49"/>
      <c r="X2340" s="49"/>
      <c r="Y2340" s="49"/>
      <c r="Z2340" s="49"/>
      <c r="AA2340" s="49"/>
      <c r="AB2340" s="49"/>
      <c r="AC2340" s="49"/>
      <c r="AD2340" s="49"/>
      <c r="AE2340" s="49"/>
      <c r="AF2340" s="49"/>
      <c r="AG2340" s="49"/>
      <c r="AH2340" s="49"/>
      <c r="AI2340" s="48"/>
      <c r="AJ2340" s="48"/>
      <c r="AK2340" s="24"/>
      <c r="AL2340" s="50"/>
      <c r="AM2340" s="50"/>
      <c r="AN2340" s="50"/>
      <c r="AO2340" s="50"/>
      <c r="AP2340" s="50"/>
      <c r="AQ2340" s="50"/>
      <c r="AR2340" s="50"/>
      <c r="AS2340" s="50"/>
      <c r="AT2340" s="51"/>
      <c r="AU2340" s="51"/>
      <c r="AV2340" s="51"/>
      <c r="AW2340" s="51"/>
      <c r="AX2340" s="50"/>
      <c r="AY2340" s="50"/>
      <c r="AZ2340" s="50"/>
      <c r="BA2340" s="50"/>
      <c r="BB2340" s="51"/>
      <c r="BC2340" s="51"/>
      <c r="BD2340" s="51"/>
      <c r="BE2340" s="51"/>
      <c r="BF2340" s="47"/>
      <c r="BG2340" s="47"/>
      <c r="BH2340" s="47"/>
      <c r="BI2340" s="47"/>
      <c r="BJ2340" s="47"/>
      <c r="BK2340" s="47"/>
      <c r="BL2340" s="47"/>
      <c r="BM2340" s="47"/>
      <c r="BN2340" s="47"/>
      <c r="BO2340" s="47"/>
      <c r="BP2340" s="47"/>
      <c r="BQ2340" s="47"/>
      <c r="BR2340" s="47"/>
      <c r="BS2340" s="47"/>
      <c r="BT2340" s="47"/>
    </row>
    <row r="2341">
      <c r="A2341" s="24"/>
      <c r="B2341" s="48"/>
      <c r="C2341" s="49"/>
      <c r="D2341" s="24"/>
      <c r="E2341" s="52"/>
      <c r="F2341" s="53"/>
      <c r="G2341" s="48"/>
      <c r="H2341" s="49"/>
      <c r="I2341" s="49"/>
      <c r="J2341" s="48"/>
      <c r="K2341" s="48"/>
      <c r="L2341" s="48"/>
      <c r="M2341" s="48"/>
      <c r="N2341" s="48"/>
      <c r="O2341" s="48"/>
      <c r="P2341" s="48"/>
      <c r="Q2341" s="48"/>
      <c r="R2341" s="48"/>
      <c r="S2341" s="48"/>
      <c r="T2341" s="48"/>
      <c r="U2341" s="48"/>
      <c r="V2341" s="48"/>
      <c r="W2341" s="49"/>
      <c r="X2341" s="49"/>
      <c r="Y2341" s="49"/>
      <c r="Z2341" s="49"/>
      <c r="AA2341" s="49"/>
      <c r="AB2341" s="49"/>
      <c r="AC2341" s="49"/>
      <c r="AD2341" s="49"/>
      <c r="AE2341" s="49"/>
      <c r="AF2341" s="49"/>
      <c r="AG2341" s="49"/>
      <c r="AH2341" s="49"/>
      <c r="AI2341" s="48"/>
      <c r="AJ2341" s="48"/>
      <c r="AK2341" s="24"/>
      <c r="AL2341" s="50"/>
      <c r="AM2341" s="50"/>
      <c r="AN2341" s="50"/>
      <c r="AO2341" s="50"/>
      <c r="AP2341" s="50"/>
      <c r="AQ2341" s="50"/>
      <c r="AR2341" s="50"/>
      <c r="AS2341" s="50"/>
      <c r="AT2341" s="51"/>
      <c r="AU2341" s="51"/>
      <c r="AV2341" s="51"/>
      <c r="AW2341" s="51"/>
      <c r="AX2341" s="50"/>
      <c r="AY2341" s="50"/>
      <c r="AZ2341" s="50"/>
      <c r="BA2341" s="50"/>
      <c r="BB2341" s="51"/>
      <c r="BC2341" s="51"/>
      <c r="BD2341" s="51"/>
      <c r="BE2341" s="51"/>
      <c r="BF2341" s="47"/>
      <c r="BG2341" s="47"/>
      <c r="BH2341" s="47"/>
      <c r="BI2341" s="47"/>
      <c r="BJ2341" s="47"/>
      <c r="BK2341" s="47"/>
      <c r="BL2341" s="47"/>
      <c r="BM2341" s="47"/>
      <c r="BN2341" s="47"/>
      <c r="BO2341" s="47"/>
      <c r="BP2341" s="47"/>
      <c r="BQ2341" s="47"/>
      <c r="BR2341" s="47"/>
      <c r="BS2341" s="47"/>
      <c r="BT2341" s="47"/>
    </row>
    <row r="2342">
      <c r="A2342" s="24"/>
      <c r="B2342" s="48"/>
      <c r="C2342" s="49"/>
      <c r="D2342" s="24"/>
      <c r="E2342" s="52"/>
      <c r="F2342" s="53"/>
      <c r="G2342" s="48"/>
      <c r="H2342" s="49"/>
      <c r="I2342" s="49"/>
      <c r="J2342" s="48"/>
      <c r="K2342" s="48"/>
      <c r="L2342" s="48"/>
      <c r="M2342" s="48"/>
      <c r="N2342" s="48"/>
      <c r="O2342" s="48"/>
      <c r="P2342" s="48"/>
      <c r="Q2342" s="48"/>
      <c r="R2342" s="48"/>
      <c r="S2342" s="48"/>
      <c r="T2342" s="48"/>
      <c r="U2342" s="48"/>
      <c r="V2342" s="48"/>
      <c r="W2342" s="49"/>
      <c r="X2342" s="49"/>
      <c r="Y2342" s="49"/>
      <c r="Z2342" s="49"/>
      <c r="AA2342" s="49"/>
      <c r="AB2342" s="49"/>
      <c r="AC2342" s="49"/>
      <c r="AD2342" s="49"/>
      <c r="AE2342" s="49"/>
      <c r="AF2342" s="49"/>
      <c r="AG2342" s="49"/>
      <c r="AH2342" s="49"/>
      <c r="AI2342" s="48"/>
      <c r="AJ2342" s="48"/>
      <c r="AK2342" s="24"/>
      <c r="AL2342" s="50"/>
      <c r="AM2342" s="50"/>
      <c r="AN2342" s="50"/>
      <c r="AO2342" s="50"/>
      <c r="AP2342" s="50"/>
      <c r="AQ2342" s="50"/>
      <c r="AR2342" s="50"/>
      <c r="AS2342" s="50"/>
      <c r="AT2342" s="51"/>
      <c r="AU2342" s="51"/>
      <c r="AV2342" s="51"/>
      <c r="AW2342" s="51"/>
      <c r="AX2342" s="50"/>
      <c r="AY2342" s="50"/>
      <c r="AZ2342" s="50"/>
      <c r="BA2342" s="50"/>
      <c r="BB2342" s="51"/>
      <c r="BC2342" s="51"/>
      <c r="BD2342" s="51"/>
      <c r="BE2342" s="51"/>
      <c r="BF2342" s="47"/>
      <c r="BG2342" s="47"/>
      <c r="BH2342" s="47"/>
      <c r="BI2342" s="47"/>
      <c r="BJ2342" s="47"/>
      <c r="BK2342" s="47"/>
      <c r="BL2342" s="47"/>
      <c r="BM2342" s="47"/>
      <c r="BN2342" s="47"/>
      <c r="BO2342" s="47"/>
      <c r="BP2342" s="47"/>
      <c r="BQ2342" s="47"/>
      <c r="BR2342" s="47"/>
      <c r="BS2342" s="47"/>
      <c r="BT2342" s="47"/>
    </row>
    <row r="2343">
      <c r="A2343" s="24"/>
      <c r="B2343" s="48"/>
      <c r="C2343" s="49"/>
      <c r="D2343" s="24"/>
      <c r="E2343" s="52"/>
      <c r="F2343" s="53"/>
      <c r="G2343" s="48"/>
      <c r="H2343" s="49"/>
      <c r="I2343" s="49"/>
      <c r="J2343" s="48"/>
      <c r="K2343" s="48"/>
      <c r="L2343" s="48"/>
      <c r="M2343" s="48"/>
      <c r="N2343" s="48"/>
      <c r="O2343" s="48"/>
      <c r="P2343" s="48"/>
      <c r="Q2343" s="48"/>
      <c r="R2343" s="48"/>
      <c r="S2343" s="48"/>
      <c r="T2343" s="48"/>
      <c r="U2343" s="48"/>
      <c r="V2343" s="48"/>
      <c r="W2343" s="49"/>
      <c r="X2343" s="49"/>
      <c r="Y2343" s="49"/>
      <c r="Z2343" s="49"/>
      <c r="AA2343" s="49"/>
      <c r="AB2343" s="49"/>
      <c r="AC2343" s="49"/>
      <c r="AD2343" s="49"/>
      <c r="AE2343" s="49"/>
      <c r="AF2343" s="49"/>
      <c r="AG2343" s="49"/>
      <c r="AH2343" s="49"/>
      <c r="AI2343" s="48"/>
      <c r="AJ2343" s="48"/>
      <c r="AK2343" s="24"/>
      <c r="AL2343" s="50"/>
      <c r="AM2343" s="50"/>
      <c r="AN2343" s="50"/>
      <c r="AO2343" s="50"/>
      <c r="AP2343" s="50"/>
      <c r="AQ2343" s="50"/>
      <c r="AR2343" s="50"/>
      <c r="AS2343" s="50"/>
      <c r="AT2343" s="51"/>
      <c r="AU2343" s="51"/>
      <c r="AV2343" s="51"/>
      <c r="AW2343" s="51"/>
      <c r="AX2343" s="50"/>
      <c r="AY2343" s="50"/>
      <c r="AZ2343" s="50"/>
      <c r="BA2343" s="50"/>
      <c r="BB2343" s="51"/>
      <c r="BC2343" s="51"/>
      <c r="BD2343" s="51"/>
      <c r="BE2343" s="51"/>
      <c r="BF2343" s="47"/>
      <c r="BG2343" s="47"/>
      <c r="BH2343" s="47"/>
      <c r="BI2343" s="47"/>
      <c r="BJ2343" s="47"/>
      <c r="BK2343" s="47"/>
      <c r="BL2343" s="47"/>
      <c r="BM2343" s="47"/>
      <c r="BN2343" s="47"/>
      <c r="BO2343" s="47"/>
      <c r="BP2343" s="47"/>
      <c r="BQ2343" s="47"/>
      <c r="BR2343" s="47"/>
      <c r="BS2343" s="47"/>
      <c r="BT2343" s="47"/>
    </row>
    <row r="2344">
      <c r="A2344" s="24"/>
      <c r="B2344" s="48"/>
      <c r="C2344" s="49"/>
      <c r="D2344" s="24"/>
      <c r="E2344" s="52"/>
      <c r="F2344" s="53"/>
      <c r="G2344" s="48"/>
      <c r="H2344" s="49"/>
      <c r="I2344" s="49"/>
      <c r="J2344" s="48"/>
      <c r="K2344" s="48"/>
      <c r="L2344" s="48"/>
      <c r="M2344" s="48"/>
      <c r="N2344" s="48"/>
      <c r="O2344" s="48"/>
      <c r="P2344" s="48"/>
      <c r="Q2344" s="48"/>
      <c r="R2344" s="48"/>
      <c r="S2344" s="48"/>
      <c r="T2344" s="48"/>
      <c r="U2344" s="48"/>
      <c r="V2344" s="48"/>
      <c r="W2344" s="49"/>
      <c r="X2344" s="49"/>
      <c r="Y2344" s="49"/>
      <c r="Z2344" s="49"/>
      <c r="AA2344" s="49"/>
      <c r="AB2344" s="49"/>
      <c r="AC2344" s="49"/>
      <c r="AD2344" s="49"/>
      <c r="AE2344" s="49"/>
      <c r="AF2344" s="49"/>
      <c r="AG2344" s="49"/>
      <c r="AH2344" s="49"/>
      <c r="AI2344" s="48"/>
      <c r="AJ2344" s="48"/>
      <c r="AK2344" s="24"/>
      <c r="AL2344" s="50"/>
      <c r="AM2344" s="50"/>
      <c r="AN2344" s="50"/>
      <c r="AO2344" s="50"/>
      <c r="AP2344" s="50"/>
      <c r="AQ2344" s="50"/>
      <c r="AR2344" s="50"/>
      <c r="AS2344" s="50"/>
      <c r="AT2344" s="51"/>
      <c r="AU2344" s="51"/>
      <c r="AV2344" s="51"/>
      <c r="AW2344" s="51"/>
      <c r="AX2344" s="50"/>
      <c r="AY2344" s="50"/>
      <c r="AZ2344" s="50"/>
      <c r="BA2344" s="50"/>
      <c r="BB2344" s="51"/>
      <c r="BC2344" s="51"/>
      <c r="BD2344" s="51"/>
      <c r="BE2344" s="51"/>
      <c r="BF2344" s="47"/>
      <c r="BG2344" s="47"/>
      <c r="BH2344" s="47"/>
      <c r="BI2344" s="47"/>
      <c r="BJ2344" s="47"/>
      <c r="BK2344" s="47"/>
      <c r="BL2344" s="47"/>
      <c r="BM2344" s="47"/>
      <c r="BN2344" s="47"/>
      <c r="BO2344" s="47"/>
      <c r="BP2344" s="47"/>
      <c r="BQ2344" s="47"/>
      <c r="BR2344" s="47"/>
      <c r="BS2344" s="47"/>
      <c r="BT2344" s="47"/>
    </row>
    <row r="2345">
      <c r="A2345" s="24"/>
      <c r="B2345" s="48"/>
      <c r="C2345" s="49"/>
      <c r="D2345" s="24"/>
      <c r="E2345" s="52"/>
      <c r="F2345" s="53"/>
      <c r="G2345" s="48"/>
      <c r="H2345" s="49"/>
      <c r="I2345" s="49"/>
      <c r="J2345" s="48"/>
      <c r="K2345" s="48"/>
      <c r="L2345" s="48"/>
      <c r="M2345" s="48"/>
      <c r="N2345" s="48"/>
      <c r="O2345" s="48"/>
      <c r="P2345" s="48"/>
      <c r="Q2345" s="48"/>
      <c r="R2345" s="48"/>
      <c r="S2345" s="48"/>
      <c r="T2345" s="48"/>
      <c r="U2345" s="48"/>
      <c r="V2345" s="48"/>
      <c r="W2345" s="49"/>
      <c r="X2345" s="49"/>
      <c r="Y2345" s="49"/>
      <c r="Z2345" s="49"/>
      <c r="AA2345" s="49"/>
      <c r="AB2345" s="49"/>
      <c r="AC2345" s="49"/>
      <c r="AD2345" s="49"/>
      <c r="AE2345" s="49"/>
      <c r="AF2345" s="49"/>
      <c r="AG2345" s="49"/>
      <c r="AH2345" s="49"/>
      <c r="AI2345" s="48"/>
      <c r="AJ2345" s="48"/>
      <c r="AK2345" s="24"/>
      <c r="AL2345" s="50"/>
      <c r="AM2345" s="50"/>
      <c r="AN2345" s="50"/>
      <c r="AO2345" s="50"/>
      <c r="AP2345" s="50"/>
      <c r="AQ2345" s="50"/>
      <c r="AR2345" s="50"/>
      <c r="AS2345" s="50"/>
      <c r="AT2345" s="51"/>
      <c r="AU2345" s="51"/>
      <c r="AV2345" s="51"/>
      <c r="AW2345" s="51"/>
      <c r="AX2345" s="50"/>
      <c r="AY2345" s="50"/>
      <c r="AZ2345" s="50"/>
      <c r="BA2345" s="50"/>
      <c r="BB2345" s="51"/>
      <c r="BC2345" s="51"/>
      <c r="BD2345" s="51"/>
      <c r="BE2345" s="51"/>
      <c r="BF2345" s="47"/>
      <c r="BG2345" s="47"/>
      <c r="BH2345" s="47"/>
      <c r="BI2345" s="47"/>
      <c r="BJ2345" s="47"/>
      <c r="BK2345" s="47"/>
      <c r="BL2345" s="47"/>
      <c r="BM2345" s="47"/>
      <c r="BN2345" s="47"/>
      <c r="BO2345" s="47"/>
      <c r="BP2345" s="47"/>
      <c r="BQ2345" s="47"/>
      <c r="BR2345" s="47"/>
      <c r="BS2345" s="47"/>
      <c r="BT2345" s="47"/>
    </row>
    <row r="2346">
      <c r="A2346" s="24"/>
      <c r="B2346" s="48"/>
      <c r="C2346" s="49"/>
      <c r="D2346" s="24"/>
      <c r="E2346" s="52"/>
      <c r="F2346" s="53"/>
      <c r="G2346" s="48"/>
      <c r="H2346" s="49"/>
      <c r="I2346" s="49"/>
      <c r="J2346" s="48"/>
      <c r="K2346" s="48"/>
      <c r="L2346" s="48"/>
      <c r="M2346" s="48"/>
      <c r="N2346" s="48"/>
      <c r="O2346" s="48"/>
      <c r="P2346" s="48"/>
      <c r="Q2346" s="48"/>
      <c r="R2346" s="48"/>
      <c r="S2346" s="48"/>
      <c r="T2346" s="48"/>
      <c r="U2346" s="48"/>
      <c r="V2346" s="48"/>
      <c r="W2346" s="49"/>
      <c r="X2346" s="49"/>
      <c r="Y2346" s="49"/>
      <c r="Z2346" s="49"/>
      <c r="AA2346" s="49"/>
      <c r="AB2346" s="49"/>
      <c r="AC2346" s="49"/>
      <c r="AD2346" s="49"/>
      <c r="AE2346" s="49"/>
      <c r="AF2346" s="49"/>
      <c r="AG2346" s="49"/>
      <c r="AH2346" s="49"/>
      <c r="AI2346" s="48"/>
      <c r="AJ2346" s="48"/>
      <c r="AK2346" s="24"/>
      <c r="AL2346" s="50"/>
      <c r="AM2346" s="50"/>
      <c r="AN2346" s="50"/>
      <c r="AO2346" s="50"/>
      <c r="AP2346" s="50"/>
      <c r="AQ2346" s="50"/>
      <c r="AR2346" s="50"/>
      <c r="AS2346" s="50"/>
      <c r="AT2346" s="51"/>
      <c r="AU2346" s="51"/>
      <c r="AV2346" s="51"/>
      <c r="AW2346" s="51"/>
      <c r="AX2346" s="50"/>
      <c r="AY2346" s="50"/>
      <c r="AZ2346" s="50"/>
      <c r="BA2346" s="50"/>
      <c r="BB2346" s="51"/>
      <c r="BC2346" s="51"/>
      <c r="BD2346" s="51"/>
      <c r="BE2346" s="51"/>
      <c r="BF2346" s="47"/>
      <c r="BG2346" s="47"/>
      <c r="BH2346" s="47"/>
      <c r="BI2346" s="47"/>
      <c r="BJ2346" s="47"/>
      <c r="BK2346" s="47"/>
      <c r="BL2346" s="47"/>
      <c r="BM2346" s="47"/>
      <c r="BN2346" s="47"/>
      <c r="BO2346" s="47"/>
      <c r="BP2346" s="47"/>
      <c r="BQ2346" s="47"/>
      <c r="BR2346" s="47"/>
      <c r="BS2346" s="47"/>
      <c r="BT2346" s="47"/>
    </row>
    <row r="2347">
      <c r="A2347" s="24"/>
      <c r="B2347" s="48"/>
      <c r="C2347" s="49"/>
      <c r="D2347" s="24"/>
      <c r="E2347" s="52"/>
      <c r="F2347" s="53"/>
      <c r="G2347" s="48"/>
      <c r="H2347" s="49"/>
      <c r="I2347" s="49"/>
      <c r="J2347" s="48"/>
      <c r="K2347" s="48"/>
      <c r="L2347" s="48"/>
      <c r="M2347" s="48"/>
      <c r="N2347" s="48"/>
      <c r="O2347" s="48"/>
      <c r="P2347" s="48"/>
      <c r="Q2347" s="48"/>
      <c r="R2347" s="48"/>
      <c r="S2347" s="48"/>
      <c r="T2347" s="48"/>
      <c r="U2347" s="48"/>
      <c r="V2347" s="48"/>
      <c r="W2347" s="49"/>
      <c r="X2347" s="49"/>
      <c r="Y2347" s="49"/>
      <c r="Z2347" s="49"/>
      <c r="AA2347" s="49"/>
      <c r="AB2347" s="49"/>
      <c r="AC2347" s="49"/>
      <c r="AD2347" s="49"/>
      <c r="AE2347" s="49"/>
      <c r="AF2347" s="49"/>
      <c r="AG2347" s="49"/>
      <c r="AH2347" s="49"/>
      <c r="AI2347" s="48"/>
      <c r="AJ2347" s="48"/>
      <c r="AK2347" s="24"/>
      <c r="AL2347" s="50"/>
      <c r="AM2347" s="50"/>
      <c r="AN2347" s="50"/>
      <c r="AO2347" s="50"/>
      <c r="AP2347" s="50"/>
      <c r="AQ2347" s="50"/>
      <c r="AR2347" s="50"/>
      <c r="AS2347" s="50"/>
      <c r="AT2347" s="51"/>
      <c r="AU2347" s="51"/>
      <c r="AV2347" s="51"/>
      <c r="AW2347" s="51"/>
      <c r="AX2347" s="50"/>
      <c r="AY2347" s="50"/>
      <c r="AZ2347" s="50"/>
      <c r="BA2347" s="50"/>
      <c r="BB2347" s="51"/>
      <c r="BC2347" s="51"/>
      <c r="BD2347" s="51"/>
      <c r="BE2347" s="51"/>
      <c r="BF2347" s="47"/>
      <c r="BG2347" s="47"/>
      <c r="BH2347" s="47"/>
      <c r="BI2347" s="47"/>
      <c r="BJ2347" s="47"/>
      <c r="BK2347" s="47"/>
      <c r="BL2347" s="47"/>
      <c r="BM2347" s="47"/>
      <c r="BN2347" s="47"/>
      <c r="BO2347" s="47"/>
      <c r="BP2347" s="47"/>
      <c r="BQ2347" s="47"/>
      <c r="BR2347" s="47"/>
      <c r="BS2347" s="47"/>
      <c r="BT2347" s="47"/>
    </row>
    <row r="2348">
      <c r="A2348" s="24"/>
      <c r="B2348" s="48"/>
      <c r="C2348" s="49"/>
      <c r="D2348" s="24"/>
      <c r="E2348" s="52"/>
      <c r="F2348" s="53"/>
      <c r="G2348" s="48"/>
      <c r="H2348" s="49"/>
      <c r="I2348" s="49"/>
      <c r="J2348" s="48"/>
      <c r="K2348" s="48"/>
      <c r="L2348" s="48"/>
      <c r="M2348" s="48"/>
      <c r="N2348" s="48"/>
      <c r="O2348" s="48"/>
      <c r="P2348" s="48"/>
      <c r="Q2348" s="48"/>
      <c r="R2348" s="48"/>
      <c r="S2348" s="48"/>
      <c r="T2348" s="48"/>
      <c r="U2348" s="48"/>
      <c r="V2348" s="48"/>
      <c r="W2348" s="49"/>
      <c r="X2348" s="49"/>
      <c r="Y2348" s="49"/>
      <c r="Z2348" s="49"/>
      <c r="AA2348" s="49"/>
      <c r="AB2348" s="49"/>
      <c r="AC2348" s="49"/>
      <c r="AD2348" s="49"/>
      <c r="AE2348" s="49"/>
      <c r="AF2348" s="49"/>
      <c r="AG2348" s="49"/>
      <c r="AH2348" s="49"/>
      <c r="AI2348" s="48"/>
      <c r="AJ2348" s="48"/>
      <c r="AK2348" s="24"/>
      <c r="AL2348" s="50"/>
      <c r="AM2348" s="50"/>
      <c r="AN2348" s="50"/>
      <c r="AO2348" s="50"/>
      <c r="AP2348" s="50"/>
      <c r="AQ2348" s="50"/>
      <c r="AR2348" s="50"/>
      <c r="AS2348" s="50"/>
      <c r="AT2348" s="51"/>
      <c r="AU2348" s="51"/>
      <c r="AV2348" s="51"/>
      <c r="AW2348" s="51"/>
      <c r="AX2348" s="50"/>
      <c r="AY2348" s="50"/>
      <c r="AZ2348" s="50"/>
      <c r="BA2348" s="50"/>
      <c r="BB2348" s="51"/>
      <c r="BC2348" s="51"/>
      <c r="BD2348" s="51"/>
      <c r="BE2348" s="51"/>
      <c r="BF2348" s="47"/>
      <c r="BG2348" s="47"/>
      <c r="BH2348" s="47"/>
      <c r="BI2348" s="47"/>
      <c r="BJ2348" s="47"/>
      <c r="BK2348" s="47"/>
      <c r="BL2348" s="47"/>
      <c r="BM2348" s="47"/>
      <c r="BN2348" s="47"/>
      <c r="BO2348" s="47"/>
      <c r="BP2348" s="47"/>
      <c r="BQ2348" s="47"/>
      <c r="BR2348" s="47"/>
      <c r="BS2348" s="47"/>
      <c r="BT2348" s="47"/>
    </row>
    <row r="2349">
      <c r="A2349" s="24"/>
      <c r="B2349" s="48"/>
      <c r="C2349" s="49"/>
      <c r="D2349" s="24"/>
      <c r="E2349" s="52"/>
      <c r="F2349" s="53"/>
      <c r="G2349" s="48"/>
      <c r="H2349" s="49"/>
      <c r="I2349" s="49"/>
      <c r="J2349" s="48"/>
      <c r="K2349" s="48"/>
      <c r="L2349" s="48"/>
      <c r="M2349" s="48"/>
      <c r="N2349" s="48"/>
      <c r="O2349" s="48"/>
      <c r="P2349" s="48"/>
      <c r="Q2349" s="48"/>
      <c r="R2349" s="48"/>
      <c r="S2349" s="48"/>
      <c r="T2349" s="48"/>
      <c r="U2349" s="48"/>
      <c r="V2349" s="48"/>
      <c r="W2349" s="49"/>
      <c r="X2349" s="49"/>
      <c r="Y2349" s="49"/>
      <c r="Z2349" s="49"/>
      <c r="AA2349" s="49"/>
      <c r="AB2349" s="49"/>
      <c r="AC2349" s="49"/>
      <c r="AD2349" s="49"/>
      <c r="AE2349" s="49"/>
      <c r="AF2349" s="49"/>
      <c r="AG2349" s="49"/>
      <c r="AH2349" s="49"/>
      <c r="AI2349" s="48"/>
      <c r="AJ2349" s="48"/>
      <c r="AK2349" s="24"/>
      <c r="AL2349" s="50"/>
      <c r="AM2349" s="50"/>
      <c r="AN2349" s="50"/>
      <c r="AO2349" s="50"/>
      <c r="AP2349" s="50"/>
      <c r="AQ2349" s="50"/>
      <c r="AR2349" s="50"/>
      <c r="AS2349" s="50"/>
      <c r="AT2349" s="51"/>
      <c r="AU2349" s="51"/>
      <c r="AV2349" s="51"/>
      <c r="AW2349" s="51"/>
      <c r="AX2349" s="50"/>
      <c r="AY2349" s="50"/>
      <c r="AZ2349" s="50"/>
      <c r="BA2349" s="50"/>
      <c r="BB2349" s="51"/>
      <c r="BC2349" s="51"/>
      <c r="BD2349" s="51"/>
      <c r="BE2349" s="51"/>
      <c r="BF2349" s="47"/>
      <c r="BG2349" s="47"/>
      <c r="BH2349" s="47"/>
      <c r="BI2349" s="47"/>
      <c r="BJ2349" s="47"/>
      <c r="BK2349" s="47"/>
      <c r="BL2349" s="47"/>
      <c r="BM2349" s="47"/>
      <c r="BN2349" s="47"/>
      <c r="BO2349" s="47"/>
      <c r="BP2349" s="47"/>
      <c r="BQ2349" s="47"/>
      <c r="BR2349" s="47"/>
      <c r="BS2349" s="47"/>
      <c r="BT2349" s="47"/>
    </row>
    <row r="2350">
      <c r="A2350" s="24"/>
      <c r="B2350" s="48"/>
      <c r="C2350" s="49"/>
      <c r="D2350" s="24"/>
      <c r="E2350" s="52"/>
      <c r="F2350" s="53"/>
      <c r="G2350" s="48"/>
      <c r="H2350" s="49"/>
      <c r="I2350" s="49"/>
      <c r="J2350" s="48"/>
      <c r="K2350" s="48"/>
      <c r="L2350" s="48"/>
      <c r="M2350" s="48"/>
      <c r="N2350" s="48"/>
      <c r="O2350" s="48"/>
      <c r="P2350" s="48"/>
      <c r="Q2350" s="48"/>
      <c r="R2350" s="48"/>
      <c r="S2350" s="48"/>
      <c r="T2350" s="48"/>
      <c r="U2350" s="48"/>
      <c r="V2350" s="48"/>
      <c r="W2350" s="49"/>
      <c r="X2350" s="49"/>
      <c r="Y2350" s="49"/>
      <c r="Z2350" s="49"/>
      <c r="AA2350" s="49"/>
      <c r="AB2350" s="49"/>
      <c r="AC2350" s="49"/>
      <c r="AD2350" s="49"/>
      <c r="AE2350" s="49"/>
      <c r="AF2350" s="49"/>
      <c r="AG2350" s="49"/>
      <c r="AH2350" s="49"/>
      <c r="AI2350" s="48"/>
      <c r="AJ2350" s="48"/>
      <c r="AK2350" s="24"/>
      <c r="AL2350" s="50"/>
      <c r="AM2350" s="50"/>
      <c r="AN2350" s="50"/>
      <c r="AO2350" s="50"/>
      <c r="AP2350" s="50"/>
      <c r="AQ2350" s="50"/>
      <c r="AR2350" s="50"/>
      <c r="AS2350" s="50"/>
      <c r="AT2350" s="51"/>
      <c r="AU2350" s="51"/>
      <c r="AV2350" s="51"/>
      <c r="AW2350" s="51"/>
      <c r="AX2350" s="50"/>
      <c r="AY2350" s="50"/>
      <c r="AZ2350" s="50"/>
      <c r="BA2350" s="50"/>
      <c r="BB2350" s="51"/>
      <c r="BC2350" s="51"/>
      <c r="BD2350" s="51"/>
      <c r="BE2350" s="51"/>
      <c r="BF2350" s="47"/>
      <c r="BG2350" s="47"/>
      <c r="BH2350" s="47"/>
      <c r="BI2350" s="47"/>
      <c r="BJ2350" s="47"/>
      <c r="BK2350" s="47"/>
      <c r="BL2350" s="47"/>
      <c r="BM2350" s="47"/>
      <c r="BN2350" s="47"/>
      <c r="BO2350" s="47"/>
      <c r="BP2350" s="47"/>
      <c r="BQ2350" s="47"/>
      <c r="BR2350" s="47"/>
      <c r="BS2350" s="47"/>
      <c r="BT2350" s="47"/>
    </row>
    <row r="2351">
      <c r="A2351" s="24"/>
      <c r="B2351" s="48"/>
      <c r="C2351" s="49"/>
      <c r="D2351" s="24"/>
      <c r="E2351" s="52"/>
      <c r="F2351" s="53"/>
      <c r="G2351" s="48"/>
      <c r="H2351" s="49"/>
      <c r="I2351" s="49"/>
      <c r="J2351" s="48"/>
      <c r="K2351" s="48"/>
      <c r="L2351" s="48"/>
      <c r="M2351" s="48"/>
      <c r="N2351" s="48"/>
      <c r="O2351" s="48"/>
      <c r="P2351" s="48"/>
      <c r="Q2351" s="48"/>
      <c r="R2351" s="48"/>
      <c r="S2351" s="48"/>
      <c r="T2351" s="48"/>
      <c r="U2351" s="48"/>
      <c r="V2351" s="48"/>
      <c r="W2351" s="49"/>
      <c r="X2351" s="49"/>
      <c r="Y2351" s="49"/>
      <c r="Z2351" s="49"/>
      <c r="AA2351" s="49"/>
      <c r="AB2351" s="49"/>
      <c r="AC2351" s="49"/>
      <c r="AD2351" s="49"/>
      <c r="AE2351" s="49"/>
      <c r="AF2351" s="49"/>
      <c r="AG2351" s="49"/>
      <c r="AH2351" s="49"/>
      <c r="AI2351" s="48"/>
      <c r="AJ2351" s="48"/>
      <c r="AK2351" s="24"/>
      <c r="AL2351" s="50"/>
      <c r="AM2351" s="50"/>
      <c r="AN2351" s="50"/>
      <c r="AO2351" s="50"/>
      <c r="AP2351" s="50"/>
      <c r="AQ2351" s="50"/>
      <c r="AR2351" s="50"/>
      <c r="AS2351" s="50"/>
      <c r="AT2351" s="51"/>
      <c r="AU2351" s="51"/>
      <c r="AV2351" s="51"/>
      <c r="AW2351" s="51"/>
      <c r="AX2351" s="50"/>
      <c r="AY2351" s="50"/>
      <c r="AZ2351" s="50"/>
      <c r="BA2351" s="50"/>
      <c r="BB2351" s="51"/>
      <c r="BC2351" s="51"/>
      <c r="BD2351" s="51"/>
      <c r="BE2351" s="51"/>
      <c r="BF2351" s="47"/>
      <c r="BG2351" s="47"/>
      <c r="BH2351" s="47"/>
      <c r="BI2351" s="47"/>
      <c r="BJ2351" s="47"/>
      <c r="BK2351" s="47"/>
      <c r="BL2351" s="47"/>
      <c r="BM2351" s="47"/>
      <c r="BN2351" s="47"/>
      <c r="BO2351" s="47"/>
      <c r="BP2351" s="47"/>
      <c r="BQ2351" s="47"/>
      <c r="BR2351" s="47"/>
      <c r="BS2351" s="47"/>
      <c r="BT2351" s="47"/>
    </row>
    <row r="2352">
      <c r="A2352" s="24"/>
      <c r="B2352" s="48"/>
      <c r="C2352" s="49"/>
      <c r="D2352" s="24"/>
      <c r="E2352" s="52"/>
      <c r="F2352" s="53"/>
      <c r="G2352" s="48"/>
      <c r="H2352" s="49"/>
      <c r="I2352" s="49"/>
      <c r="J2352" s="48"/>
      <c r="K2352" s="48"/>
      <c r="L2352" s="48"/>
      <c r="M2352" s="48"/>
      <c r="N2352" s="48"/>
      <c r="O2352" s="48"/>
      <c r="P2352" s="48"/>
      <c r="Q2352" s="48"/>
      <c r="R2352" s="48"/>
      <c r="S2352" s="48"/>
      <c r="T2352" s="48"/>
      <c r="U2352" s="48"/>
      <c r="V2352" s="48"/>
      <c r="W2352" s="49"/>
      <c r="X2352" s="49"/>
      <c r="Y2352" s="49"/>
      <c r="Z2352" s="49"/>
      <c r="AA2352" s="49"/>
      <c r="AB2352" s="49"/>
      <c r="AC2352" s="49"/>
      <c r="AD2352" s="49"/>
      <c r="AE2352" s="49"/>
      <c r="AF2352" s="49"/>
      <c r="AG2352" s="49"/>
      <c r="AH2352" s="49"/>
      <c r="AI2352" s="48"/>
      <c r="AJ2352" s="48"/>
      <c r="AK2352" s="24"/>
      <c r="AL2352" s="50"/>
      <c r="AM2352" s="50"/>
      <c r="AN2352" s="50"/>
      <c r="AO2352" s="50"/>
      <c r="AP2352" s="50"/>
      <c r="AQ2352" s="50"/>
      <c r="AR2352" s="50"/>
      <c r="AS2352" s="50"/>
      <c r="AT2352" s="51"/>
      <c r="AU2352" s="51"/>
      <c r="AV2352" s="51"/>
      <c r="AW2352" s="51"/>
      <c r="AX2352" s="50"/>
      <c r="AY2352" s="50"/>
      <c r="AZ2352" s="50"/>
      <c r="BA2352" s="50"/>
      <c r="BB2352" s="51"/>
      <c r="BC2352" s="51"/>
      <c r="BD2352" s="51"/>
      <c r="BE2352" s="51"/>
      <c r="BF2352" s="47"/>
      <c r="BG2352" s="47"/>
      <c r="BH2352" s="47"/>
      <c r="BI2352" s="47"/>
      <c r="BJ2352" s="47"/>
      <c r="BK2352" s="47"/>
      <c r="BL2352" s="47"/>
      <c r="BM2352" s="47"/>
      <c r="BN2352" s="47"/>
      <c r="BO2352" s="47"/>
      <c r="BP2352" s="47"/>
      <c r="BQ2352" s="47"/>
      <c r="BR2352" s="47"/>
      <c r="BS2352" s="47"/>
      <c r="BT2352" s="47"/>
    </row>
    <row r="2353">
      <c r="A2353" s="24"/>
      <c r="B2353" s="48"/>
      <c r="C2353" s="49"/>
      <c r="D2353" s="24"/>
      <c r="E2353" s="52"/>
      <c r="F2353" s="53"/>
      <c r="G2353" s="48"/>
      <c r="H2353" s="49"/>
      <c r="I2353" s="49"/>
      <c r="J2353" s="48"/>
      <c r="K2353" s="48"/>
      <c r="L2353" s="48"/>
      <c r="M2353" s="48"/>
      <c r="N2353" s="48"/>
      <c r="O2353" s="48"/>
      <c r="P2353" s="48"/>
      <c r="Q2353" s="48"/>
      <c r="R2353" s="48"/>
      <c r="S2353" s="48"/>
      <c r="T2353" s="48"/>
      <c r="U2353" s="48"/>
      <c r="V2353" s="48"/>
      <c r="W2353" s="49"/>
      <c r="X2353" s="49"/>
      <c r="Y2353" s="49"/>
      <c r="Z2353" s="49"/>
      <c r="AA2353" s="49"/>
      <c r="AB2353" s="49"/>
      <c r="AC2353" s="49"/>
      <c r="AD2353" s="49"/>
      <c r="AE2353" s="49"/>
      <c r="AF2353" s="49"/>
      <c r="AG2353" s="49"/>
      <c r="AH2353" s="49"/>
      <c r="AI2353" s="48"/>
      <c r="AJ2353" s="48"/>
      <c r="AK2353" s="24"/>
      <c r="AL2353" s="50"/>
      <c r="AM2353" s="50"/>
      <c r="AN2353" s="50"/>
      <c r="AO2353" s="50"/>
      <c r="AP2353" s="50"/>
      <c r="AQ2353" s="50"/>
      <c r="AR2353" s="50"/>
      <c r="AS2353" s="50"/>
      <c r="AT2353" s="51"/>
      <c r="AU2353" s="51"/>
      <c r="AV2353" s="51"/>
      <c r="AW2353" s="51"/>
      <c r="AX2353" s="50"/>
      <c r="AY2353" s="50"/>
      <c r="AZ2353" s="50"/>
      <c r="BA2353" s="50"/>
      <c r="BB2353" s="51"/>
      <c r="BC2353" s="51"/>
      <c r="BD2353" s="51"/>
      <c r="BE2353" s="51"/>
      <c r="BF2353" s="47"/>
      <c r="BG2353" s="47"/>
      <c r="BH2353" s="47"/>
      <c r="BI2353" s="47"/>
      <c r="BJ2353" s="47"/>
      <c r="BK2353" s="47"/>
      <c r="BL2353" s="47"/>
      <c r="BM2353" s="47"/>
      <c r="BN2353" s="47"/>
      <c r="BO2353" s="47"/>
      <c r="BP2353" s="47"/>
      <c r="BQ2353" s="47"/>
      <c r="BR2353" s="47"/>
      <c r="BS2353" s="47"/>
      <c r="BT2353" s="47"/>
    </row>
    <row r="2354">
      <c r="A2354" s="24"/>
      <c r="B2354" s="48"/>
      <c r="C2354" s="49"/>
      <c r="D2354" s="24"/>
      <c r="E2354" s="52"/>
      <c r="F2354" s="53"/>
      <c r="G2354" s="48"/>
      <c r="H2354" s="49"/>
      <c r="I2354" s="49"/>
      <c r="J2354" s="48"/>
      <c r="K2354" s="48"/>
      <c r="L2354" s="48"/>
      <c r="M2354" s="48"/>
      <c r="N2354" s="48"/>
      <c r="O2354" s="48"/>
      <c r="P2354" s="48"/>
      <c r="Q2354" s="48"/>
      <c r="R2354" s="48"/>
      <c r="S2354" s="48"/>
      <c r="T2354" s="48"/>
      <c r="U2354" s="48"/>
      <c r="V2354" s="48"/>
      <c r="W2354" s="49"/>
      <c r="X2354" s="49"/>
      <c r="Y2354" s="49"/>
      <c r="Z2354" s="49"/>
      <c r="AA2354" s="49"/>
      <c r="AB2354" s="49"/>
      <c r="AC2354" s="49"/>
      <c r="AD2354" s="49"/>
      <c r="AE2354" s="49"/>
      <c r="AF2354" s="49"/>
      <c r="AG2354" s="49"/>
      <c r="AH2354" s="49"/>
      <c r="AI2354" s="48"/>
      <c r="AJ2354" s="48"/>
      <c r="AK2354" s="24"/>
      <c r="AL2354" s="50"/>
      <c r="AM2354" s="50"/>
      <c r="AN2354" s="50"/>
      <c r="AO2354" s="50"/>
      <c r="AP2354" s="50"/>
      <c r="AQ2354" s="50"/>
      <c r="AR2354" s="50"/>
      <c r="AS2354" s="50"/>
      <c r="AT2354" s="51"/>
      <c r="AU2354" s="51"/>
      <c r="AV2354" s="51"/>
      <c r="AW2354" s="51"/>
      <c r="AX2354" s="50"/>
      <c r="AY2354" s="50"/>
      <c r="AZ2354" s="50"/>
      <c r="BA2354" s="50"/>
      <c r="BB2354" s="51"/>
      <c r="BC2354" s="51"/>
      <c r="BD2354" s="51"/>
      <c r="BE2354" s="51"/>
      <c r="BF2354" s="47"/>
      <c r="BG2354" s="47"/>
      <c r="BH2354" s="47"/>
      <c r="BI2354" s="47"/>
      <c r="BJ2354" s="47"/>
      <c r="BK2354" s="47"/>
      <c r="BL2354" s="47"/>
      <c r="BM2354" s="47"/>
      <c r="BN2354" s="47"/>
      <c r="BO2354" s="47"/>
      <c r="BP2354" s="47"/>
      <c r="BQ2354" s="47"/>
      <c r="BR2354" s="47"/>
      <c r="BS2354" s="47"/>
      <c r="BT2354" s="47"/>
    </row>
    <row r="2355">
      <c r="A2355" s="24"/>
      <c r="B2355" s="48"/>
      <c r="C2355" s="49"/>
      <c r="D2355" s="24"/>
      <c r="E2355" s="52"/>
      <c r="F2355" s="53"/>
      <c r="G2355" s="48"/>
      <c r="H2355" s="49"/>
      <c r="I2355" s="49"/>
      <c r="J2355" s="48"/>
      <c r="K2355" s="48"/>
      <c r="L2355" s="48"/>
      <c r="M2355" s="48"/>
      <c r="N2355" s="48"/>
      <c r="O2355" s="48"/>
      <c r="P2355" s="48"/>
      <c r="Q2355" s="48"/>
      <c r="R2355" s="48"/>
      <c r="S2355" s="48"/>
      <c r="T2355" s="48"/>
      <c r="U2355" s="48"/>
      <c r="V2355" s="48"/>
      <c r="W2355" s="49"/>
      <c r="X2355" s="49"/>
      <c r="Y2355" s="49"/>
      <c r="Z2355" s="49"/>
      <c r="AA2355" s="49"/>
      <c r="AB2355" s="49"/>
      <c r="AC2355" s="49"/>
      <c r="AD2355" s="49"/>
      <c r="AE2355" s="49"/>
      <c r="AF2355" s="49"/>
      <c r="AG2355" s="49"/>
      <c r="AH2355" s="49"/>
      <c r="AI2355" s="48"/>
      <c r="AJ2355" s="48"/>
      <c r="AK2355" s="24"/>
      <c r="AL2355" s="50"/>
      <c r="AM2355" s="50"/>
      <c r="AN2355" s="50"/>
      <c r="AO2355" s="50"/>
      <c r="AP2355" s="50"/>
      <c r="AQ2355" s="50"/>
      <c r="AR2355" s="50"/>
      <c r="AS2355" s="50"/>
      <c r="AT2355" s="51"/>
      <c r="AU2355" s="51"/>
      <c r="AV2355" s="51"/>
      <c r="AW2355" s="51"/>
      <c r="AX2355" s="50"/>
      <c r="AY2355" s="50"/>
      <c r="AZ2355" s="50"/>
      <c r="BA2355" s="50"/>
      <c r="BB2355" s="51"/>
      <c r="BC2355" s="51"/>
      <c r="BD2355" s="51"/>
      <c r="BE2355" s="51"/>
      <c r="BF2355" s="47"/>
      <c r="BG2355" s="47"/>
      <c r="BH2355" s="47"/>
      <c r="BI2355" s="47"/>
      <c r="BJ2355" s="47"/>
      <c r="BK2355" s="47"/>
      <c r="BL2355" s="47"/>
      <c r="BM2355" s="47"/>
      <c r="BN2355" s="47"/>
      <c r="BO2355" s="47"/>
      <c r="BP2355" s="47"/>
      <c r="BQ2355" s="47"/>
      <c r="BR2355" s="47"/>
      <c r="BS2355" s="47"/>
      <c r="BT2355" s="47"/>
    </row>
    <row r="2356">
      <c r="A2356" s="24"/>
      <c r="B2356" s="48"/>
      <c r="C2356" s="49"/>
      <c r="D2356" s="24"/>
      <c r="E2356" s="52"/>
      <c r="F2356" s="53"/>
      <c r="G2356" s="48"/>
      <c r="H2356" s="49"/>
      <c r="I2356" s="49"/>
      <c r="J2356" s="48"/>
      <c r="K2356" s="48"/>
      <c r="L2356" s="48"/>
      <c r="M2356" s="48"/>
      <c r="N2356" s="48"/>
      <c r="O2356" s="48"/>
      <c r="P2356" s="48"/>
      <c r="Q2356" s="48"/>
      <c r="R2356" s="48"/>
      <c r="S2356" s="48"/>
      <c r="T2356" s="48"/>
      <c r="U2356" s="48"/>
      <c r="V2356" s="48"/>
      <c r="W2356" s="49"/>
      <c r="X2356" s="49"/>
      <c r="Y2356" s="49"/>
      <c r="Z2356" s="49"/>
      <c r="AA2356" s="49"/>
      <c r="AB2356" s="49"/>
      <c r="AC2356" s="49"/>
      <c r="AD2356" s="49"/>
      <c r="AE2356" s="49"/>
      <c r="AF2356" s="49"/>
      <c r="AG2356" s="49"/>
      <c r="AH2356" s="49"/>
      <c r="AI2356" s="48"/>
      <c r="AJ2356" s="48"/>
      <c r="AK2356" s="24"/>
      <c r="AL2356" s="50"/>
      <c r="AM2356" s="50"/>
      <c r="AN2356" s="50"/>
      <c r="AO2356" s="50"/>
      <c r="AP2356" s="50"/>
      <c r="AQ2356" s="50"/>
      <c r="AR2356" s="50"/>
      <c r="AS2356" s="50"/>
      <c r="AT2356" s="51"/>
      <c r="AU2356" s="51"/>
      <c r="AV2356" s="51"/>
      <c r="AW2356" s="51"/>
      <c r="AX2356" s="50"/>
      <c r="AY2356" s="50"/>
      <c r="AZ2356" s="50"/>
      <c r="BA2356" s="50"/>
      <c r="BB2356" s="51"/>
      <c r="BC2356" s="51"/>
      <c r="BD2356" s="51"/>
      <c r="BE2356" s="51"/>
      <c r="BF2356" s="47"/>
      <c r="BG2356" s="47"/>
      <c r="BH2356" s="47"/>
      <c r="BI2356" s="47"/>
      <c r="BJ2356" s="47"/>
      <c r="BK2356" s="47"/>
      <c r="BL2356" s="47"/>
      <c r="BM2356" s="47"/>
      <c r="BN2356" s="47"/>
      <c r="BO2356" s="47"/>
      <c r="BP2356" s="47"/>
      <c r="BQ2356" s="47"/>
      <c r="BR2356" s="47"/>
      <c r="BS2356" s="47"/>
      <c r="BT2356" s="47"/>
    </row>
    <row r="2357">
      <c r="A2357" s="24"/>
      <c r="B2357" s="48"/>
      <c r="C2357" s="49"/>
      <c r="D2357" s="24"/>
      <c r="E2357" s="52"/>
      <c r="F2357" s="53"/>
      <c r="G2357" s="48"/>
      <c r="H2357" s="49"/>
      <c r="I2357" s="49"/>
      <c r="J2357" s="48"/>
      <c r="K2357" s="48"/>
      <c r="L2357" s="48"/>
      <c r="M2357" s="48"/>
      <c r="N2357" s="48"/>
      <c r="O2357" s="48"/>
      <c r="P2357" s="48"/>
      <c r="Q2357" s="48"/>
      <c r="R2357" s="48"/>
      <c r="S2357" s="48"/>
      <c r="T2357" s="48"/>
      <c r="U2357" s="48"/>
      <c r="V2357" s="48"/>
      <c r="W2357" s="49"/>
      <c r="X2357" s="49"/>
      <c r="Y2357" s="49"/>
      <c r="Z2357" s="49"/>
      <c r="AA2357" s="49"/>
      <c r="AB2357" s="49"/>
      <c r="AC2357" s="49"/>
      <c r="AD2357" s="49"/>
      <c r="AE2357" s="49"/>
      <c r="AF2357" s="49"/>
      <c r="AG2357" s="49"/>
      <c r="AH2357" s="49"/>
      <c r="AI2357" s="48"/>
      <c r="AJ2357" s="48"/>
      <c r="AK2357" s="24"/>
      <c r="AL2357" s="50"/>
      <c r="AM2357" s="50"/>
      <c r="AN2357" s="50"/>
      <c r="AO2357" s="50"/>
      <c r="AP2357" s="50"/>
      <c r="AQ2357" s="50"/>
      <c r="AR2357" s="50"/>
      <c r="AS2357" s="50"/>
      <c r="AT2357" s="51"/>
      <c r="AU2357" s="51"/>
      <c r="AV2357" s="51"/>
      <c r="AW2357" s="51"/>
      <c r="AX2357" s="50"/>
      <c r="AY2357" s="50"/>
      <c r="AZ2357" s="50"/>
      <c r="BA2357" s="50"/>
      <c r="BB2357" s="51"/>
      <c r="BC2357" s="51"/>
      <c r="BD2357" s="51"/>
      <c r="BE2357" s="51"/>
      <c r="BF2357" s="47"/>
      <c r="BG2357" s="47"/>
      <c r="BH2357" s="47"/>
      <c r="BI2357" s="47"/>
      <c r="BJ2357" s="47"/>
      <c r="BK2357" s="47"/>
      <c r="BL2357" s="47"/>
      <c r="BM2357" s="47"/>
      <c r="BN2357" s="47"/>
      <c r="BO2357" s="47"/>
      <c r="BP2357" s="47"/>
      <c r="BQ2357" s="47"/>
      <c r="BR2357" s="47"/>
      <c r="BS2357" s="47"/>
      <c r="BT2357" s="47"/>
    </row>
    <row r="2358">
      <c r="A2358" s="24"/>
      <c r="B2358" s="48"/>
      <c r="C2358" s="49"/>
      <c r="D2358" s="24"/>
      <c r="E2358" s="52"/>
      <c r="F2358" s="53"/>
      <c r="G2358" s="48"/>
      <c r="H2358" s="49"/>
      <c r="I2358" s="49"/>
      <c r="J2358" s="48"/>
      <c r="K2358" s="48"/>
      <c r="L2358" s="48"/>
      <c r="M2358" s="48"/>
      <c r="N2358" s="48"/>
      <c r="O2358" s="48"/>
      <c r="P2358" s="48"/>
      <c r="Q2358" s="48"/>
      <c r="R2358" s="48"/>
      <c r="S2358" s="48"/>
      <c r="T2358" s="48"/>
      <c r="U2358" s="48"/>
      <c r="V2358" s="48"/>
      <c r="W2358" s="49"/>
      <c r="X2358" s="49"/>
      <c r="Y2358" s="49"/>
      <c r="Z2358" s="49"/>
      <c r="AA2358" s="49"/>
      <c r="AB2358" s="49"/>
      <c r="AC2358" s="49"/>
      <c r="AD2358" s="49"/>
      <c r="AE2358" s="49"/>
      <c r="AF2358" s="49"/>
      <c r="AG2358" s="49"/>
      <c r="AH2358" s="49"/>
      <c r="AI2358" s="48"/>
      <c r="AJ2358" s="48"/>
      <c r="AK2358" s="24"/>
      <c r="AL2358" s="50"/>
      <c r="AM2358" s="50"/>
      <c r="AN2358" s="50"/>
      <c r="AO2358" s="50"/>
      <c r="AP2358" s="50"/>
      <c r="AQ2358" s="50"/>
      <c r="AR2358" s="50"/>
      <c r="AS2358" s="50"/>
      <c r="AT2358" s="51"/>
      <c r="AU2358" s="51"/>
      <c r="AV2358" s="51"/>
      <c r="AW2358" s="51"/>
      <c r="AX2358" s="50"/>
      <c r="AY2358" s="50"/>
      <c r="AZ2358" s="50"/>
      <c r="BA2358" s="50"/>
      <c r="BB2358" s="51"/>
      <c r="BC2358" s="51"/>
      <c r="BD2358" s="51"/>
      <c r="BE2358" s="51"/>
      <c r="BF2358" s="47"/>
      <c r="BG2358" s="47"/>
      <c r="BH2358" s="47"/>
      <c r="BI2358" s="47"/>
      <c r="BJ2358" s="47"/>
      <c r="BK2358" s="47"/>
      <c r="BL2358" s="47"/>
      <c r="BM2358" s="47"/>
      <c r="BN2358" s="47"/>
      <c r="BO2358" s="47"/>
      <c r="BP2358" s="47"/>
      <c r="BQ2358" s="47"/>
      <c r="BR2358" s="47"/>
      <c r="BS2358" s="47"/>
      <c r="BT2358" s="47"/>
    </row>
    <row r="2359">
      <c r="A2359" s="24"/>
      <c r="B2359" s="48"/>
      <c r="C2359" s="49"/>
      <c r="D2359" s="24"/>
      <c r="E2359" s="52"/>
      <c r="F2359" s="53"/>
      <c r="G2359" s="48"/>
      <c r="H2359" s="49"/>
      <c r="I2359" s="49"/>
      <c r="J2359" s="48"/>
      <c r="K2359" s="48"/>
      <c r="L2359" s="48"/>
      <c r="M2359" s="48"/>
      <c r="N2359" s="48"/>
      <c r="O2359" s="48"/>
      <c r="P2359" s="48"/>
      <c r="Q2359" s="48"/>
      <c r="R2359" s="48"/>
      <c r="S2359" s="48"/>
      <c r="T2359" s="48"/>
      <c r="U2359" s="48"/>
      <c r="V2359" s="48"/>
      <c r="W2359" s="49"/>
      <c r="X2359" s="49"/>
      <c r="Y2359" s="49"/>
      <c r="Z2359" s="49"/>
      <c r="AA2359" s="49"/>
      <c r="AB2359" s="49"/>
      <c r="AC2359" s="49"/>
      <c r="AD2359" s="49"/>
      <c r="AE2359" s="49"/>
      <c r="AF2359" s="49"/>
      <c r="AG2359" s="49"/>
      <c r="AH2359" s="49"/>
      <c r="AI2359" s="48"/>
      <c r="AJ2359" s="48"/>
      <c r="AK2359" s="24"/>
      <c r="AL2359" s="50"/>
      <c r="AM2359" s="50"/>
      <c r="AN2359" s="50"/>
      <c r="AO2359" s="50"/>
      <c r="AP2359" s="50"/>
      <c r="AQ2359" s="50"/>
      <c r="AR2359" s="50"/>
      <c r="AS2359" s="50"/>
      <c r="AT2359" s="51"/>
      <c r="AU2359" s="51"/>
      <c r="AV2359" s="51"/>
      <c r="AW2359" s="51"/>
      <c r="AX2359" s="50"/>
      <c r="AY2359" s="50"/>
      <c r="AZ2359" s="50"/>
      <c r="BA2359" s="50"/>
      <c r="BB2359" s="51"/>
      <c r="BC2359" s="51"/>
      <c r="BD2359" s="51"/>
      <c r="BE2359" s="51"/>
      <c r="BF2359" s="47"/>
      <c r="BG2359" s="47"/>
      <c r="BH2359" s="47"/>
      <c r="BI2359" s="47"/>
      <c r="BJ2359" s="47"/>
      <c r="BK2359" s="47"/>
      <c r="BL2359" s="47"/>
      <c r="BM2359" s="47"/>
      <c r="BN2359" s="47"/>
      <c r="BO2359" s="47"/>
      <c r="BP2359" s="47"/>
      <c r="BQ2359" s="47"/>
      <c r="BR2359" s="47"/>
      <c r="BS2359" s="47"/>
      <c r="BT2359" s="47"/>
    </row>
    <row r="2360">
      <c r="A2360" s="24"/>
      <c r="B2360" s="48"/>
      <c r="C2360" s="49"/>
      <c r="D2360" s="24"/>
      <c r="E2360" s="52"/>
      <c r="F2360" s="53"/>
      <c r="G2360" s="48"/>
      <c r="H2360" s="49"/>
      <c r="I2360" s="49"/>
      <c r="J2360" s="48"/>
      <c r="K2360" s="48"/>
      <c r="L2360" s="48"/>
      <c r="M2360" s="48"/>
      <c r="N2360" s="48"/>
      <c r="O2360" s="48"/>
      <c r="P2360" s="48"/>
      <c r="Q2360" s="48"/>
      <c r="R2360" s="48"/>
      <c r="S2360" s="48"/>
      <c r="T2360" s="48"/>
      <c r="U2360" s="48"/>
      <c r="V2360" s="48"/>
      <c r="W2360" s="49"/>
      <c r="X2360" s="49"/>
      <c r="Y2360" s="49"/>
      <c r="Z2360" s="49"/>
      <c r="AA2360" s="49"/>
      <c r="AB2360" s="49"/>
      <c r="AC2360" s="49"/>
      <c r="AD2360" s="49"/>
      <c r="AE2360" s="49"/>
      <c r="AF2360" s="49"/>
      <c r="AG2360" s="49"/>
      <c r="AH2360" s="49"/>
      <c r="AI2360" s="48"/>
      <c r="AJ2360" s="48"/>
      <c r="AK2360" s="24"/>
      <c r="AL2360" s="50"/>
      <c r="AM2360" s="50"/>
      <c r="AN2360" s="50"/>
      <c r="AO2360" s="50"/>
      <c r="AP2360" s="50"/>
      <c r="AQ2360" s="50"/>
      <c r="AR2360" s="50"/>
      <c r="AS2360" s="50"/>
      <c r="AT2360" s="51"/>
      <c r="AU2360" s="51"/>
      <c r="AV2360" s="51"/>
      <c r="AW2360" s="51"/>
      <c r="AX2360" s="50"/>
      <c r="AY2360" s="50"/>
      <c r="AZ2360" s="50"/>
      <c r="BA2360" s="50"/>
      <c r="BB2360" s="51"/>
      <c r="BC2360" s="51"/>
      <c r="BD2360" s="51"/>
      <c r="BE2360" s="51"/>
      <c r="BF2360" s="47"/>
      <c r="BG2360" s="47"/>
      <c r="BH2360" s="47"/>
      <c r="BI2360" s="47"/>
      <c r="BJ2360" s="47"/>
      <c r="BK2360" s="47"/>
      <c r="BL2360" s="47"/>
      <c r="BM2360" s="47"/>
      <c r="BN2360" s="47"/>
      <c r="BO2360" s="47"/>
      <c r="BP2360" s="47"/>
      <c r="BQ2360" s="47"/>
      <c r="BR2360" s="47"/>
      <c r="BS2360" s="47"/>
      <c r="BT2360" s="47"/>
    </row>
    <row r="2361">
      <c r="A2361" s="24"/>
      <c r="B2361" s="48"/>
      <c r="C2361" s="49"/>
      <c r="D2361" s="24"/>
      <c r="E2361" s="52"/>
      <c r="F2361" s="53"/>
      <c r="G2361" s="48"/>
      <c r="H2361" s="49"/>
      <c r="I2361" s="49"/>
      <c r="J2361" s="48"/>
      <c r="K2361" s="48"/>
      <c r="L2361" s="48"/>
      <c r="M2361" s="48"/>
      <c r="N2361" s="48"/>
      <c r="O2361" s="48"/>
      <c r="P2361" s="48"/>
      <c r="Q2361" s="48"/>
      <c r="R2361" s="48"/>
      <c r="S2361" s="48"/>
      <c r="T2361" s="48"/>
      <c r="U2361" s="48"/>
      <c r="V2361" s="48"/>
      <c r="W2361" s="49"/>
      <c r="X2361" s="49"/>
      <c r="Y2361" s="49"/>
      <c r="Z2361" s="49"/>
      <c r="AA2361" s="49"/>
      <c r="AB2361" s="49"/>
      <c r="AC2361" s="49"/>
      <c r="AD2361" s="49"/>
      <c r="AE2361" s="49"/>
      <c r="AF2361" s="49"/>
      <c r="AG2361" s="49"/>
      <c r="AH2361" s="49"/>
      <c r="AI2361" s="48"/>
      <c r="AJ2361" s="48"/>
      <c r="AK2361" s="24"/>
      <c r="AL2361" s="50"/>
      <c r="AM2361" s="50"/>
      <c r="AN2361" s="50"/>
      <c r="AO2361" s="50"/>
      <c r="AP2361" s="50"/>
      <c r="AQ2361" s="50"/>
      <c r="AR2361" s="50"/>
      <c r="AS2361" s="50"/>
      <c r="AT2361" s="51"/>
      <c r="AU2361" s="51"/>
      <c r="AV2361" s="51"/>
      <c r="AW2361" s="51"/>
      <c r="AX2361" s="50"/>
      <c r="AY2361" s="50"/>
      <c r="AZ2361" s="50"/>
      <c r="BA2361" s="50"/>
      <c r="BB2361" s="51"/>
      <c r="BC2361" s="51"/>
      <c r="BD2361" s="51"/>
      <c r="BE2361" s="51"/>
      <c r="BF2361" s="47"/>
      <c r="BG2361" s="47"/>
      <c r="BH2361" s="47"/>
      <c r="BI2361" s="47"/>
      <c r="BJ2361" s="47"/>
      <c r="BK2361" s="47"/>
      <c r="BL2361" s="47"/>
      <c r="BM2361" s="47"/>
      <c r="BN2361" s="47"/>
      <c r="BO2361" s="47"/>
      <c r="BP2361" s="47"/>
      <c r="BQ2361" s="47"/>
      <c r="BR2361" s="47"/>
      <c r="BS2361" s="47"/>
      <c r="BT2361" s="47"/>
    </row>
    <row r="2362">
      <c r="A2362" s="24"/>
      <c r="B2362" s="48"/>
      <c r="C2362" s="49"/>
      <c r="D2362" s="24"/>
      <c r="E2362" s="52"/>
      <c r="F2362" s="53"/>
      <c r="G2362" s="48"/>
      <c r="H2362" s="49"/>
      <c r="I2362" s="49"/>
      <c r="J2362" s="48"/>
      <c r="K2362" s="48"/>
      <c r="L2362" s="48"/>
      <c r="M2362" s="48"/>
      <c r="N2362" s="48"/>
      <c r="O2362" s="48"/>
      <c r="P2362" s="48"/>
      <c r="Q2362" s="48"/>
      <c r="R2362" s="48"/>
      <c r="S2362" s="48"/>
      <c r="T2362" s="48"/>
      <c r="U2362" s="48"/>
      <c r="V2362" s="48"/>
      <c r="W2362" s="49"/>
      <c r="X2362" s="49"/>
      <c r="Y2362" s="49"/>
      <c r="Z2362" s="49"/>
      <c r="AA2362" s="49"/>
      <c r="AB2362" s="49"/>
      <c r="AC2362" s="49"/>
      <c r="AD2362" s="49"/>
      <c r="AE2362" s="49"/>
      <c r="AF2362" s="49"/>
      <c r="AG2362" s="49"/>
      <c r="AH2362" s="49"/>
      <c r="AI2362" s="48"/>
      <c r="AJ2362" s="48"/>
      <c r="AK2362" s="24"/>
      <c r="AL2362" s="50"/>
      <c r="AM2362" s="50"/>
      <c r="AN2362" s="50"/>
      <c r="AO2362" s="50"/>
      <c r="AP2362" s="50"/>
      <c r="AQ2362" s="50"/>
      <c r="AR2362" s="50"/>
      <c r="AS2362" s="50"/>
      <c r="AT2362" s="51"/>
      <c r="AU2362" s="51"/>
      <c r="AV2362" s="51"/>
      <c r="AW2362" s="51"/>
      <c r="AX2362" s="50"/>
      <c r="AY2362" s="50"/>
      <c r="AZ2362" s="50"/>
      <c r="BA2362" s="50"/>
      <c r="BB2362" s="51"/>
      <c r="BC2362" s="51"/>
      <c r="BD2362" s="51"/>
      <c r="BE2362" s="51"/>
      <c r="BF2362" s="47"/>
      <c r="BG2362" s="47"/>
      <c r="BH2362" s="47"/>
      <c r="BI2362" s="47"/>
      <c r="BJ2362" s="47"/>
      <c r="BK2362" s="47"/>
      <c r="BL2362" s="47"/>
      <c r="BM2362" s="47"/>
      <c r="BN2362" s="47"/>
      <c r="BO2362" s="47"/>
      <c r="BP2362" s="47"/>
      <c r="BQ2362" s="47"/>
      <c r="BR2362" s="47"/>
      <c r="BS2362" s="47"/>
      <c r="BT2362" s="47"/>
    </row>
    <row r="2363">
      <c r="A2363" s="24"/>
      <c r="B2363" s="48"/>
      <c r="C2363" s="49"/>
      <c r="D2363" s="24"/>
      <c r="E2363" s="52"/>
      <c r="F2363" s="53"/>
      <c r="G2363" s="48"/>
      <c r="H2363" s="49"/>
      <c r="I2363" s="49"/>
      <c r="J2363" s="48"/>
      <c r="K2363" s="48"/>
      <c r="L2363" s="48"/>
      <c r="M2363" s="48"/>
      <c r="N2363" s="48"/>
      <c r="O2363" s="48"/>
      <c r="P2363" s="48"/>
      <c r="Q2363" s="48"/>
      <c r="R2363" s="48"/>
      <c r="S2363" s="48"/>
      <c r="T2363" s="48"/>
      <c r="U2363" s="48"/>
      <c r="V2363" s="48"/>
      <c r="W2363" s="49"/>
      <c r="X2363" s="49"/>
      <c r="Y2363" s="49"/>
      <c r="Z2363" s="49"/>
      <c r="AA2363" s="49"/>
      <c r="AB2363" s="49"/>
      <c r="AC2363" s="49"/>
      <c r="AD2363" s="49"/>
      <c r="AE2363" s="49"/>
      <c r="AF2363" s="49"/>
      <c r="AG2363" s="49"/>
      <c r="AH2363" s="49"/>
      <c r="AI2363" s="48"/>
      <c r="AJ2363" s="48"/>
      <c r="AK2363" s="24"/>
      <c r="AL2363" s="50"/>
      <c r="AM2363" s="50"/>
      <c r="AN2363" s="50"/>
      <c r="AO2363" s="50"/>
      <c r="AP2363" s="50"/>
      <c r="AQ2363" s="50"/>
      <c r="AR2363" s="50"/>
      <c r="AS2363" s="50"/>
      <c r="AT2363" s="51"/>
      <c r="AU2363" s="51"/>
      <c r="AV2363" s="51"/>
      <c r="AW2363" s="51"/>
      <c r="AX2363" s="50"/>
      <c r="AY2363" s="50"/>
      <c r="AZ2363" s="50"/>
      <c r="BA2363" s="50"/>
      <c r="BB2363" s="51"/>
      <c r="BC2363" s="51"/>
      <c r="BD2363" s="51"/>
      <c r="BE2363" s="51"/>
      <c r="BF2363" s="47"/>
      <c r="BG2363" s="47"/>
      <c r="BH2363" s="47"/>
      <c r="BI2363" s="47"/>
      <c r="BJ2363" s="47"/>
      <c r="BK2363" s="47"/>
      <c r="BL2363" s="47"/>
      <c r="BM2363" s="47"/>
      <c r="BN2363" s="47"/>
      <c r="BO2363" s="47"/>
      <c r="BP2363" s="47"/>
      <c r="BQ2363" s="47"/>
      <c r="BR2363" s="47"/>
      <c r="BS2363" s="47"/>
      <c r="BT2363" s="47"/>
    </row>
    <row r="2364">
      <c r="A2364" s="24"/>
      <c r="B2364" s="48"/>
      <c r="C2364" s="49"/>
      <c r="D2364" s="24"/>
      <c r="E2364" s="52"/>
      <c r="F2364" s="53"/>
      <c r="G2364" s="48"/>
      <c r="H2364" s="49"/>
      <c r="I2364" s="49"/>
      <c r="J2364" s="48"/>
      <c r="K2364" s="48"/>
      <c r="L2364" s="48"/>
      <c r="M2364" s="48"/>
      <c r="N2364" s="48"/>
      <c r="O2364" s="48"/>
      <c r="P2364" s="48"/>
      <c r="Q2364" s="48"/>
      <c r="R2364" s="48"/>
      <c r="S2364" s="48"/>
      <c r="T2364" s="48"/>
      <c r="U2364" s="48"/>
      <c r="V2364" s="48"/>
      <c r="W2364" s="49"/>
      <c r="X2364" s="49"/>
      <c r="Y2364" s="49"/>
      <c r="Z2364" s="49"/>
      <c r="AA2364" s="49"/>
      <c r="AB2364" s="49"/>
      <c r="AC2364" s="49"/>
      <c r="AD2364" s="49"/>
      <c r="AE2364" s="49"/>
      <c r="AF2364" s="49"/>
      <c r="AG2364" s="49"/>
      <c r="AH2364" s="49"/>
      <c r="AI2364" s="48"/>
      <c r="AJ2364" s="48"/>
      <c r="AK2364" s="24"/>
      <c r="AL2364" s="50"/>
      <c r="AM2364" s="50"/>
      <c r="AN2364" s="50"/>
      <c r="AO2364" s="50"/>
      <c r="AP2364" s="50"/>
      <c r="AQ2364" s="50"/>
      <c r="AR2364" s="50"/>
      <c r="AS2364" s="50"/>
      <c r="AT2364" s="51"/>
      <c r="AU2364" s="51"/>
      <c r="AV2364" s="51"/>
      <c r="AW2364" s="51"/>
      <c r="AX2364" s="50"/>
      <c r="AY2364" s="50"/>
      <c r="AZ2364" s="50"/>
      <c r="BA2364" s="50"/>
      <c r="BB2364" s="51"/>
      <c r="BC2364" s="51"/>
      <c r="BD2364" s="51"/>
      <c r="BE2364" s="51"/>
      <c r="BF2364" s="47"/>
      <c r="BG2364" s="47"/>
      <c r="BH2364" s="47"/>
      <c r="BI2364" s="47"/>
      <c r="BJ2364" s="47"/>
      <c r="BK2364" s="47"/>
      <c r="BL2364" s="47"/>
      <c r="BM2364" s="47"/>
      <c r="BN2364" s="47"/>
      <c r="BO2364" s="47"/>
      <c r="BP2364" s="47"/>
      <c r="BQ2364" s="47"/>
      <c r="BR2364" s="47"/>
      <c r="BS2364" s="47"/>
      <c r="BT2364" s="47"/>
    </row>
    <row r="2365">
      <c r="A2365" s="24"/>
      <c r="B2365" s="48"/>
      <c r="C2365" s="49"/>
      <c r="D2365" s="24"/>
      <c r="E2365" s="52"/>
      <c r="F2365" s="53"/>
      <c r="G2365" s="48"/>
      <c r="H2365" s="49"/>
      <c r="I2365" s="49"/>
      <c r="J2365" s="48"/>
      <c r="K2365" s="48"/>
      <c r="L2365" s="48"/>
      <c r="M2365" s="48"/>
      <c r="N2365" s="48"/>
      <c r="O2365" s="48"/>
      <c r="P2365" s="48"/>
      <c r="Q2365" s="48"/>
      <c r="R2365" s="48"/>
      <c r="S2365" s="48"/>
      <c r="T2365" s="48"/>
      <c r="U2365" s="48"/>
      <c r="V2365" s="48"/>
      <c r="W2365" s="49"/>
      <c r="X2365" s="49"/>
      <c r="Y2365" s="49"/>
      <c r="Z2365" s="49"/>
      <c r="AA2365" s="49"/>
      <c r="AB2365" s="49"/>
      <c r="AC2365" s="49"/>
      <c r="AD2365" s="49"/>
      <c r="AE2365" s="49"/>
      <c r="AF2365" s="49"/>
      <c r="AG2365" s="49"/>
      <c r="AH2365" s="49"/>
      <c r="AI2365" s="48"/>
      <c r="AJ2365" s="48"/>
      <c r="AK2365" s="24"/>
      <c r="AL2365" s="50"/>
      <c r="AM2365" s="50"/>
      <c r="AN2365" s="50"/>
      <c r="AO2365" s="50"/>
      <c r="AP2365" s="50"/>
      <c r="AQ2365" s="50"/>
      <c r="AR2365" s="50"/>
      <c r="AS2365" s="50"/>
      <c r="AT2365" s="51"/>
      <c r="AU2365" s="51"/>
      <c r="AV2365" s="51"/>
      <c r="AW2365" s="51"/>
      <c r="AX2365" s="50"/>
      <c r="AY2365" s="50"/>
      <c r="AZ2365" s="50"/>
      <c r="BA2365" s="50"/>
      <c r="BB2365" s="51"/>
      <c r="BC2365" s="51"/>
      <c r="BD2365" s="51"/>
      <c r="BE2365" s="51"/>
      <c r="BF2365" s="47"/>
      <c r="BG2365" s="47"/>
      <c r="BH2365" s="47"/>
      <c r="BI2365" s="47"/>
      <c r="BJ2365" s="47"/>
      <c r="BK2365" s="47"/>
      <c r="BL2365" s="47"/>
      <c r="BM2365" s="47"/>
      <c r="BN2365" s="47"/>
      <c r="BO2365" s="47"/>
      <c r="BP2365" s="47"/>
      <c r="BQ2365" s="47"/>
      <c r="BR2365" s="47"/>
      <c r="BS2365" s="47"/>
      <c r="BT2365" s="47"/>
    </row>
    <row r="2366">
      <c r="A2366" s="24"/>
      <c r="B2366" s="48"/>
      <c r="C2366" s="49"/>
      <c r="D2366" s="24"/>
      <c r="E2366" s="52"/>
      <c r="F2366" s="53"/>
      <c r="G2366" s="48"/>
      <c r="H2366" s="49"/>
      <c r="I2366" s="49"/>
      <c r="J2366" s="48"/>
      <c r="K2366" s="48"/>
      <c r="L2366" s="48"/>
      <c r="M2366" s="48"/>
      <c r="N2366" s="48"/>
      <c r="O2366" s="48"/>
      <c r="P2366" s="48"/>
      <c r="Q2366" s="48"/>
      <c r="R2366" s="48"/>
      <c r="S2366" s="48"/>
      <c r="T2366" s="48"/>
      <c r="U2366" s="48"/>
      <c r="V2366" s="48"/>
      <c r="W2366" s="49"/>
      <c r="X2366" s="49"/>
      <c r="Y2366" s="49"/>
      <c r="Z2366" s="49"/>
      <c r="AA2366" s="49"/>
      <c r="AB2366" s="49"/>
      <c r="AC2366" s="49"/>
      <c r="AD2366" s="49"/>
      <c r="AE2366" s="49"/>
      <c r="AF2366" s="49"/>
      <c r="AG2366" s="49"/>
      <c r="AH2366" s="49"/>
      <c r="AI2366" s="48"/>
      <c r="AJ2366" s="48"/>
      <c r="AK2366" s="24"/>
      <c r="AL2366" s="50"/>
      <c r="AM2366" s="50"/>
      <c r="AN2366" s="50"/>
      <c r="AO2366" s="50"/>
      <c r="AP2366" s="50"/>
      <c r="AQ2366" s="50"/>
      <c r="AR2366" s="50"/>
      <c r="AS2366" s="50"/>
      <c r="AT2366" s="51"/>
      <c r="AU2366" s="51"/>
      <c r="AV2366" s="51"/>
      <c r="AW2366" s="51"/>
      <c r="AX2366" s="50"/>
      <c r="AY2366" s="50"/>
      <c r="AZ2366" s="50"/>
      <c r="BA2366" s="50"/>
      <c r="BB2366" s="51"/>
      <c r="BC2366" s="51"/>
      <c r="BD2366" s="51"/>
      <c r="BE2366" s="51"/>
      <c r="BF2366" s="47"/>
      <c r="BG2366" s="47"/>
      <c r="BH2366" s="47"/>
      <c r="BI2366" s="47"/>
      <c r="BJ2366" s="47"/>
      <c r="BK2366" s="47"/>
      <c r="BL2366" s="47"/>
      <c r="BM2366" s="47"/>
      <c r="BN2366" s="47"/>
      <c r="BO2366" s="47"/>
      <c r="BP2366" s="47"/>
      <c r="BQ2366" s="47"/>
      <c r="BR2366" s="47"/>
      <c r="BS2366" s="47"/>
      <c r="BT2366" s="47"/>
    </row>
    <row r="2367">
      <c r="A2367" s="24"/>
      <c r="B2367" s="48"/>
      <c r="C2367" s="49"/>
      <c r="D2367" s="24"/>
      <c r="E2367" s="52"/>
      <c r="F2367" s="53"/>
      <c r="G2367" s="48"/>
      <c r="H2367" s="49"/>
      <c r="I2367" s="49"/>
      <c r="J2367" s="48"/>
      <c r="K2367" s="48"/>
      <c r="L2367" s="48"/>
      <c r="M2367" s="48"/>
      <c r="N2367" s="48"/>
      <c r="O2367" s="48"/>
      <c r="P2367" s="48"/>
      <c r="Q2367" s="48"/>
      <c r="R2367" s="48"/>
      <c r="S2367" s="48"/>
      <c r="T2367" s="48"/>
      <c r="U2367" s="48"/>
      <c r="V2367" s="48"/>
      <c r="W2367" s="49"/>
      <c r="X2367" s="49"/>
      <c r="Y2367" s="49"/>
      <c r="Z2367" s="49"/>
      <c r="AA2367" s="49"/>
      <c r="AB2367" s="49"/>
      <c r="AC2367" s="49"/>
      <c r="AD2367" s="49"/>
      <c r="AE2367" s="49"/>
      <c r="AF2367" s="49"/>
      <c r="AG2367" s="49"/>
      <c r="AH2367" s="49"/>
      <c r="AI2367" s="48"/>
      <c r="AJ2367" s="48"/>
      <c r="AK2367" s="24"/>
      <c r="AL2367" s="50"/>
      <c r="AM2367" s="50"/>
      <c r="AN2367" s="50"/>
      <c r="AO2367" s="50"/>
      <c r="AP2367" s="50"/>
      <c r="AQ2367" s="50"/>
      <c r="AR2367" s="50"/>
      <c r="AS2367" s="50"/>
      <c r="AT2367" s="51"/>
      <c r="AU2367" s="51"/>
      <c r="AV2367" s="51"/>
      <c r="AW2367" s="51"/>
      <c r="AX2367" s="50"/>
      <c r="AY2367" s="50"/>
      <c r="AZ2367" s="50"/>
      <c r="BA2367" s="50"/>
      <c r="BB2367" s="51"/>
      <c r="BC2367" s="51"/>
      <c r="BD2367" s="51"/>
      <c r="BE2367" s="51"/>
      <c r="BF2367" s="47"/>
      <c r="BG2367" s="47"/>
      <c r="BH2367" s="47"/>
      <c r="BI2367" s="47"/>
      <c r="BJ2367" s="47"/>
      <c r="BK2367" s="47"/>
      <c r="BL2367" s="47"/>
      <c r="BM2367" s="47"/>
      <c r="BN2367" s="47"/>
      <c r="BO2367" s="47"/>
      <c r="BP2367" s="47"/>
      <c r="BQ2367" s="47"/>
      <c r="BR2367" s="47"/>
      <c r="BS2367" s="47"/>
      <c r="BT2367" s="47"/>
    </row>
    <row r="2368">
      <c r="A2368" s="24"/>
      <c r="B2368" s="48"/>
      <c r="C2368" s="49"/>
      <c r="D2368" s="24"/>
      <c r="E2368" s="52"/>
      <c r="F2368" s="53"/>
      <c r="G2368" s="48"/>
      <c r="H2368" s="49"/>
      <c r="I2368" s="49"/>
      <c r="J2368" s="48"/>
      <c r="K2368" s="48"/>
      <c r="L2368" s="48"/>
      <c r="M2368" s="48"/>
      <c r="N2368" s="48"/>
      <c r="O2368" s="48"/>
      <c r="P2368" s="48"/>
      <c r="Q2368" s="48"/>
      <c r="R2368" s="48"/>
      <c r="S2368" s="48"/>
      <c r="T2368" s="48"/>
      <c r="U2368" s="48"/>
      <c r="V2368" s="48"/>
      <c r="W2368" s="49"/>
      <c r="X2368" s="49"/>
      <c r="Y2368" s="49"/>
      <c r="Z2368" s="49"/>
      <c r="AA2368" s="49"/>
      <c r="AB2368" s="49"/>
      <c r="AC2368" s="49"/>
      <c r="AD2368" s="49"/>
      <c r="AE2368" s="49"/>
      <c r="AF2368" s="49"/>
      <c r="AG2368" s="49"/>
      <c r="AH2368" s="49"/>
      <c r="AI2368" s="48"/>
      <c r="AJ2368" s="48"/>
      <c r="AK2368" s="24"/>
      <c r="AL2368" s="50"/>
      <c r="AM2368" s="50"/>
      <c r="AN2368" s="50"/>
      <c r="AO2368" s="50"/>
      <c r="AP2368" s="50"/>
      <c r="AQ2368" s="50"/>
      <c r="AR2368" s="50"/>
      <c r="AS2368" s="50"/>
      <c r="AT2368" s="51"/>
      <c r="AU2368" s="51"/>
      <c r="AV2368" s="51"/>
      <c r="AW2368" s="51"/>
      <c r="AX2368" s="50"/>
      <c r="AY2368" s="50"/>
      <c r="AZ2368" s="50"/>
      <c r="BA2368" s="50"/>
      <c r="BB2368" s="51"/>
      <c r="BC2368" s="51"/>
      <c r="BD2368" s="51"/>
      <c r="BE2368" s="51"/>
      <c r="BF2368" s="47"/>
      <c r="BG2368" s="47"/>
      <c r="BH2368" s="47"/>
      <c r="BI2368" s="47"/>
      <c r="BJ2368" s="47"/>
      <c r="BK2368" s="47"/>
      <c r="BL2368" s="47"/>
      <c r="BM2368" s="47"/>
      <c r="BN2368" s="47"/>
      <c r="BO2368" s="47"/>
      <c r="BP2368" s="47"/>
      <c r="BQ2368" s="47"/>
      <c r="BR2368" s="47"/>
      <c r="BS2368" s="47"/>
      <c r="BT2368" s="47"/>
    </row>
    <row r="2369">
      <c r="A2369" s="24"/>
      <c r="B2369" s="48"/>
      <c r="C2369" s="49"/>
      <c r="D2369" s="24"/>
      <c r="E2369" s="52"/>
      <c r="F2369" s="53"/>
      <c r="G2369" s="48"/>
      <c r="H2369" s="49"/>
      <c r="I2369" s="49"/>
      <c r="J2369" s="48"/>
      <c r="K2369" s="48"/>
      <c r="L2369" s="48"/>
      <c r="M2369" s="48"/>
      <c r="N2369" s="48"/>
      <c r="O2369" s="48"/>
      <c r="P2369" s="48"/>
      <c r="Q2369" s="48"/>
      <c r="R2369" s="48"/>
      <c r="S2369" s="48"/>
      <c r="T2369" s="48"/>
      <c r="U2369" s="48"/>
      <c r="V2369" s="48"/>
      <c r="W2369" s="49"/>
      <c r="X2369" s="49"/>
      <c r="Y2369" s="49"/>
      <c r="Z2369" s="49"/>
      <c r="AA2369" s="49"/>
      <c r="AB2369" s="49"/>
      <c r="AC2369" s="49"/>
      <c r="AD2369" s="49"/>
      <c r="AE2369" s="49"/>
      <c r="AF2369" s="49"/>
      <c r="AG2369" s="49"/>
      <c r="AH2369" s="49"/>
      <c r="AI2369" s="48"/>
      <c r="AJ2369" s="48"/>
      <c r="AK2369" s="24"/>
      <c r="AL2369" s="50"/>
      <c r="AM2369" s="50"/>
      <c r="AN2369" s="50"/>
      <c r="AO2369" s="50"/>
      <c r="AP2369" s="50"/>
      <c r="AQ2369" s="50"/>
      <c r="AR2369" s="50"/>
      <c r="AS2369" s="50"/>
      <c r="AT2369" s="51"/>
      <c r="AU2369" s="51"/>
      <c r="AV2369" s="51"/>
      <c r="AW2369" s="51"/>
      <c r="AX2369" s="50"/>
      <c r="AY2369" s="50"/>
      <c r="AZ2369" s="50"/>
      <c r="BA2369" s="50"/>
      <c r="BB2369" s="51"/>
      <c r="BC2369" s="51"/>
      <c r="BD2369" s="51"/>
      <c r="BE2369" s="51"/>
      <c r="BF2369" s="47"/>
      <c r="BG2369" s="47"/>
      <c r="BH2369" s="47"/>
      <c r="BI2369" s="47"/>
      <c r="BJ2369" s="47"/>
      <c r="BK2369" s="47"/>
      <c r="BL2369" s="47"/>
      <c r="BM2369" s="47"/>
      <c r="BN2369" s="47"/>
      <c r="BO2369" s="47"/>
      <c r="BP2369" s="47"/>
      <c r="BQ2369" s="47"/>
      <c r="BR2369" s="47"/>
      <c r="BS2369" s="47"/>
      <c r="BT2369" s="47"/>
    </row>
    <row r="2370">
      <c r="A2370" s="24"/>
      <c r="B2370" s="48"/>
      <c r="C2370" s="49"/>
      <c r="D2370" s="24"/>
      <c r="E2370" s="52"/>
      <c r="F2370" s="53"/>
      <c r="G2370" s="48"/>
      <c r="H2370" s="49"/>
      <c r="I2370" s="49"/>
      <c r="J2370" s="48"/>
      <c r="K2370" s="48"/>
      <c r="L2370" s="48"/>
      <c r="M2370" s="48"/>
      <c r="N2370" s="48"/>
      <c r="O2370" s="48"/>
      <c r="P2370" s="48"/>
      <c r="Q2370" s="48"/>
      <c r="R2370" s="48"/>
      <c r="S2370" s="48"/>
      <c r="T2370" s="48"/>
      <c r="U2370" s="48"/>
      <c r="V2370" s="48"/>
      <c r="W2370" s="49"/>
      <c r="X2370" s="49"/>
      <c r="Y2370" s="49"/>
      <c r="Z2370" s="49"/>
      <c r="AA2370" s="49"/>
      <c r="AB2370" s="49"/>
      <c r="AC2370" s="49"/>
      <c r="AD2370" s="49"/>
      <c r="AE2370" s="49"/>
      <c r="AF2370" s="49"/>
      <c r="AG2370" s="49"/>
      <c r="AH2370" s="49"/>
      <c r="AI2370" s="48"/>
      <c r="AJ2370" s="48"/>
      <c r="AK2370" s="24"/>
      <c r="AL2370" s="50"/>
      <c r="AM2370" s="50"/>
      <c r="AN2370" s="50"/>
      <c r="AO2370" s="50"/>
      <c r="AP2370" s="50"/>
      <c r="AQ2370" s="50"/>
      <c r="AR2370" s="50"/>
      <c r="AS2370" s="50"/>
      <c r="AT2370" s="51"/>
      <c r="AU2370" s="51"/>
      <c r="AV2370" s="51"/>
      <c r="AW2370" s="51"/>
      <c r="AX2370" s="50"/>
      <c r="AY2370" s="50"/>
      <c r="AZ2370" s="50"/>
      <c r="BA2370" s="50"/>
      <c r="BB2370" s="51"/>
      <c r="BC2370" s="51"/>
      <c r="BD2370" s="51"/>
      <c r="BE2370" s="51"/>
      <c r="BF2370" s="47"/>
      <c r="BG2370" s="47"/>
      <c r="BH2370" s="47"/>
      <c r="BI2370" s="47"/>
      <c r="BJ2370" s="47"/>
      <c r="BK2370" s="47"/>
      <c r="BL2370" s="47"/>
      <c r="BM2370" s="47"/>
      <c r="BN2370" s="47"/>
      <c r="BO2370" s="47"/>
      <c r="BP2370" s="47"/>
      <c r="BQ2370" s="47"/>
      <c r="BR2370" s="47"/>
      <c r="BS2370" s="47"/>
      <c r="BT2370" s="47"/>
    </row>
    <row r="2371">
      <c r="A2371" s="24"/>
      <c r="B2371" s="48"/>
      <c r="C2371" s="49"/>
      <c r="D2371" s="24"/>
      <c r="E2371" s="52"/>
      <c r="F2371" s="53"/>
      <c r="G2371" s="48"/>
      <c r="H2371" s="49"/>
      <c r="I2371" s="49"/>
      <c r="J2371" s="48"/>
      <c r="K2371" s="48"/>
      <c r="L2371" s="48"/>
      <c r="M2371" s="48"/>
      <c r="N2371" s="48"/>
      <c r="O2371" s="48"/>
      <c r="P2371" s="48"/>
      <c r="Q2371" s="48"/>
      <c r="R2371" s="48"/>
      <c r="S2371" s="48"/>
      <c r="T2371" s="48"/>
      <c r="U2371" s="48"/>
      <c r="V2371" s="48"/>
      <c r="W2371" s="49"/>
      <c r="X2371" s="49"/>
      <c r="Y2371" s="49"/>
      <c r="Z2371" s="49"/>
      <c r="AA2371" s="49"/>
      <c r="AB2371" s="49"/>
      <c r="AC2371" s="49"/>
      <c r="AD2371" s="49"/>
      <c r="AE2371" s="49"/>
      <c r="AF2371" s="49"/>
      <c r="AG2371" s="49"/>
      <c r="AH2371" s="49"/>
      <c r="AI2371" s="48"/>
      <c r="AJ2371" s="48"/>
      <c r="AK2371" s="24"/>
      <c r="AL2371" s="50"/>
      <c r="AM2371" s="50"/>
      <c r="AN2371" s="50"/>
      <c r="AO2371" s="50"/>
      <c r="AP2371" s="50"/>
      <c r="AQ2371" s="50"/>
      <c r="AR2371" s="50"/>
      <c r="AS2371" s="50"/>
      <c r="AT2371" s="51"/>
      <c r="AU2371" s="51"/>
      <c r="AV2371" s="51"/>
      <c r="AW2371" s="51"/>
      <c r="AX2371" s="50"/>
      <c r="AY2371" s="50"/>
      <c r="AZ2371" s="50"/>
      <c r="BA2371" s="50"/>
      <c r="BB2371" s="51"/>
      <c r="BC2371" s="51"/>
      <c r="BD2371" s="51"/>
      <c r="BE2371" s="51"/>
      <c r="BF2371" s="47"/>
      <c r="BG2371" s="47"/>
      <c r="BH2371" s="47"/>
      <c r="BI2371" s="47"/>
      <c r="BJ2371" s="47"/>
      <c r="BK2371" s="47"/>
      <c r="BL2371" s="47"/>
      <c r="BM2371" s="47"/>
      <c r="BN2371" s="47"/>
      <c r="BO2371" s="47"/>
      <c r="BP2371" s="47"/>
      <c r="BQ2371" s="47"/>
      <c r="BR2371" s="47"/>
      <c r="BS2371" s="47"/>
      <c r="BT2371" s="47"/>
    </row>
    <row r="2372">
      <c r="A2372" s="24"/>
      <c r="B2372" s="48"/>
      <c r="C2372" s="49"/>
      <c r="D2372" s="24"/>
      <c r="E2372" s="52"/>
      <c r="F2372" s="53"/>
      <c r="G2372" s="48"/>
      <c r="H2372" s="49"/>
      <c r="I2372" s="49"/>
      <c r="J2372" s="48"/>
      <c r="K2372" s="48"/>
      <c r="L2372" s="48"/>
      <c r="M2372" s="48"/>
      <c r="N2372" s="48"/>
      <c r="O2372" s="48"/>
      <c r="P2372" s="48"/>
      <c r="Q2372" s="48"/>
      <c r="R2372" s="48"/>
      <c r="S2372" s="48"/>
      <c r="T2372" s="48"/>
      <c r="U2372" s="48"/>
      <c r="V2372" s="48"/>
      <c r="W2372" s="49"/>
      <c r="X2372" s="49"/>
      <c r="Y2372" s="49"/>
      <c r="Z2372" s="49"/>
      <c r="AA2372" s="49"/>
      <c r="AB2372" s="49"/>
      <c r="AC2372" s="49"/>
      <c r="AD2372" s="49"/>
      <c r="AE2372" s="49"/>
      <c r="AF2372" s="49"/>
      <c r="AG2372" s="49"/>
      <c r="AH2372" s="49"/>
      <c r="AI2372" s="48"/>
      <c r="AJ2372" s="48"/>
      <c r="AK2372" s="24"/>
      <c r="AL2372" s="50"/>
      <c r="AM2372" s="50"/>
      <c r="AN2372" s="50"/>
      <c r="AO2372" s="50"/>
      <c r="AP2372" s="50"/>
      <c r="AQ2372" s="50"/>
      <c r="AR2372" s="50"/>
      <c r="AS2372" s="50"/>
      <c r="AT2372" s="51"/>
      <c r="AU2372" s="51"/>
      <c r="AV2372" s="51"/>
      <c r="AW2372" s="51"/>
      <c r="AX2372" s="50"/>
      <c r="AY2372" s="50"/>
      <c r="AZ2372" s="50"/>
      <c r="BA2372" s="50"/>
      <c r="BB2372" s="51"/>
      <c r="BC2372" s="51"/>
      <c r="BD2372" s="51"/>
      <c r="BE2372" s="51"/>
      <c r="BF2372" s="47"/>
      <c r="BG2372" s="47"/>
      <c r="BH2372" s="47"/>
      <c r="BI2372" s="47"/>
      <c r="BJ2372" s="47"/>
      <c r="BK2372" s="47"/>
      <c r="BL2372" s="47"/>
      <c r="BM2372" s="47"/>
      <c r="BN2372" s="47"/>
      <c r="BO2372" s="47"/>
      <c r="BP2372" s="47"/>
      <c r="BQ2372" s="47"/>
      <c r="BR2372" s="47"/>
      <c r="BS2372" s="47"/>
      <c r="BT2372" s="47"/>
    </row>
    <row r="2373">
      <c r="A2373" s="24"/>
      <c r="B2373" s="48"/>
      <c r="C2373" s="49"/>
      <c r="D2373" s="24"/>
      <c r="E2373" s="52"/>
      <c r="F2373" s="53"/>
      <c r="G2373" s="48"/>
      <c r="H2373" s="49"/>
      <c r="I2373" s="49"/>
      <c r="J2373" s="48"/>
      <c r="K2373" s="48"/>
      <c r="L2373" s="48"/>
      <c r="M2373" s="48"/>
      <c r="N2373" s="48"/>
      <c r="O2373" s="48"/>
      <c r="P2373" s="48"/>
      <c r="Q2373" s="48"/>
      <c r="R2373" s="48"/>
      <c r="S2373" s="48"/>
      <c r="T2373" s="48"/>
      <c r="U2373" s="48"/>
      <c r="V2373" s="48"/>
      <c r="W2373" s="49"/>
      <c r="X2373" s="49"/>
      <c r="Y2373" s="49"/>
      <c r="Z2373" s="49"/>
      <c r="AA2373" s="49"/>
      <c r="AB2373" s="49"/>
      <c r="AC2373" s="49"/>
      <c r="AD2373" s="49"/>
      <c r="AE2373" s="49"/>
      <c r="AF2373" s="49"/>
      <c r="AG2373" s="49"/>
      <c r="AH2373" s="49"/>
      <c r="AI2373" s="48"/>
      <c r="AJ2373" s="48"/>
      <c r="AK2373" s="24"/>
      <c r="AL2373" s="50"/>
      <c r="AM2373" s="50"/>
      <c r="AN2373" s="50"/>
      <c r="AO2373" s="50"/>
      <c r="AP2373" s="50"/>
      <c r="AQ2373" s="50"/>
      <c r="AR2373" s="50"/>
      <c r="AS2373" s="50"/>
      <c r="AT2373" s="51"/>
      <c r="AU2373" s="51"/>
      <c r="AV2373" s="51"/>
      <c r="AW2373" s="51"/>
      <c r="AX2373" s="50"/>
      <c r="AY2373" s="50"/>
      <c r="AZ2373" s="50"/>
      <c r="BA2373" s="50"/>
      <c r="BB2373" s="51"/>
      <c r="BC2373" s="51"/>
      <c r="BD2373" s="51"/>
      <c r="BE2373" s="51"/>
      <c r="BF2373" s="47"/>
      <c r="BG2373" s="47"/>
      <c r="BH2373" s="47"/>
      <c r="BI2373" s="47"/>
      <c r="BJ2373" s="47"/>
      <c r="BK2373" s="47"/>
      <c r="BL2373" s="47"/>
      <c r="BM2373" s="47"/>
      <c r="BN2373" s="47"/>
      <c r="BO2373" s="47"/>
      <c r="BP2373" s="47"/>
      <c r="BQ2373" s="47"/>
      <c r="BR2373" s="47"/>
      <c r="BS2373" s="47"/>
      <c r="BT2373" s="47"/>
    </row>
    <row r="2374">
      <c r="A2374" s="24"/>
      <c r="B2374" s="48"/>
      <c r="C2374" s="49"/>
      <c r="D2374" s="24"/>
      <c r="E2374" s="52"/>
      <c r="F2374" s="53"/>
      <c r="G2374" s="48"/>
      <c r="H2374" s="49"/>
      <c r="I2374" s="49"/>
      <c r="J2374" s="48"/>
      <c r="K2374" s="48"/>
      <c r="L2374" s="48"/>
      <c r="M2374" s="48"/>
      <c r="N2374" s="48"/>
      <c r="O2374" s="48"/>
      <c r="P2374" s="48"/>
      <c r="Q2374" s="48"/>
      <c r="R2374" s="48"/>
      <c r="S2374" s="48"/>
      <c r="T2374" s="48"/>
      <c r="U2374" s="48"/>
      <c r="V2374" s="48"/>
      <c r="W2374" s="49"/>
      <c r="X2374" s="49"/>
      <c r="Y2374" s="49"/>
      <c r="Z2374" s="49"/>
      <c r="AA2374" s="49"/>
      <c r="AB2374" s="49"/>
      <c r="AC2374" s="49"/>
      <c r="AD2374" s="49"/>
      <c r="AE2374" s="49"/>
      <c r="AF2374" s="49"/>
      <c r="AG2374" s="49"/>
      <c r="AH2374" s="49"/>
      <c r="AI2374" s="48"/>
      <c r="AJ2374" s="48"/>
      <c r="AK2374" s="24"/>
      <c r="AL2374" s="50"/>
      <c r="AM2374" s="50"/>
      <c r="AN2374" s="50"/>
      <c r="AO2374" s="50"/>
      <c r="AP2374" s="50"/>
      <c r="AQ2374" s="50"/>
      <c r="AR2374" s="50"/>
      <c r="AS2374" s="50"/>
      <c r="AT2374" s="51"/>
      <c r="AU2374" s="51"/>
      <c r="AV2374" s="51"/>
      <c r="AW2374" s="51"/>
      <c r="AX2374" s="50"/>
      <c r="AY2374" s="50"/>
      <c r="AZ2374" s="50"/>
      <c r="BA2374" s="50"/>
      <c r="BB2374" s="51"/>
      <c r="BC2374" s="51"/>
      <c r="BD2374" s="51"/>
      <c r="BE2374" s="51"/>
      <c r="BF2374" s="47"/>
      <c r="BG2374" s="47"/>
      <c r="BH2374" s="47"/>
      <c r="BI2374" s="47"/>
      <c r="BJ2374" s="47"/>
      <c r="BK2374" s="47"/>
      <c r="BL2374" s="47"/>
      <c r="BM2374" s="47"/>
      <c r="BN2374" s="47"/>
      <c r="BO2374" s="47"/>
      <c r="BP2374" s="47"/>
      <c r="BQ2374" s="47"/>
      <c r="BR2374" s="47"/>
      <c r="BS2374" s="47"/>
      <c r="BT2374" s="47"/>
    </row>
    <row r="2375">
      <c r="A2375" s="24"/>
      <c r="B2375" s="48"/>
      <c r="C2375" s="49"/>
      <c r="D2375" s="24"/>
      <c r="E2375" s="52"/>
      <c r="F2375" s="53"/>
      <c r="G2375" s="48"/>
      <c r="H2375" s="49"/>
      <c r="I2375" s="49"/>
      <c r="J2375" s="48"/>
      <c r="K2375" s="48"/>
      <c r="L2375" s="48"/>
      <c r="M2375" s="48"/>
      <c r="N2375" s="48"/>
      <c r="O2375" s="48"/>
      <c r="P2375" s="48"/>
      <c r="Q2375" s="48"/>
      <c r="R2375" s="48"/>
      <c r="S2375" s="48"/>
      <c r="T2375" s="48"/>
      <c r="U2375" s="48"/>
      <c r="V2375" s="48"/>
      <c r="W2375" s="49"/>
      <c r="X2375" s="49"/>
      <c r="Y2375" s="49"/>
      <c r="Z2375" s="49"/>
      <c r="AA2375" s="49"/>
      <c r="AB2375" s="49"/>
      <c r="AC2375" s="49"/>
      <c r="AD2375" s="49"/>
      <c r="AE2375" s="49"/>
      <c r="AF2375" s="49"/>
      <c r="AG2375" s="49"/>
      <c r="AH2375" s="49"/>
      <c r="AI2375" s="48"/>
      <c r="AJ2375" s="48"/>
      <c r="AK2375" s="24"/>
      <c r="AL2375" s="50"/>
      <c r="AM2375" s="50"/>
      <c r="AN2375" s="50"/>
      <c r="AO2375" s="50"/>
      <c r="AP2375" s="50"/>
      <c r="AQ2375" s="50"/>
      <c r="AR2375" s="50"/>
      <c r="AS2375" s="50"/>
      <c r="AT2375" s="51"/>
      <c r="AU2375" s="51"/>
      <c r="AV2375" s="51"/>
      <c r="AW2375" s="51"/>
      <c r="AX2375" s="50"/>
      <c r="AY2375" s="50"/>
      <c r="AZ2375" s="50"/>
      <c r="BA2375" s="50"/>
      <c r="BB2375" s="51"/>
      <c r="BC2375" s="51"/>
      <c r="BD2375" s="51"/>
      <c r="BE2375" s="51"/>
      <c r="BF2375" s="47"/>
      <c r="BG2375" s="47"/>
      <c r="BH2375" s="47"/>
      <c r="BI2375" s="47"/>
      <c r="BJ2375" s="47"/>
      <c r="BK2375" s="47"/>
      <c r="BL2375" s="47"/>
      <c r="BM2375" s="47"/>
      <c r="BN2375" s="47"/>
      <c r="BO2375" s="47"/>
      <c r="BP2375" s="47"/>
      <c r="BQ2375" s="47"/>
      <c r="BR2375" s="47"/>
      <c r="BS2375" s="47"/>
      <c r="BT2375" s="47"/>
    </row>
    <row r="2376">
      <c r="A2376" s="24"/>
      <c r="B2376" s="48"/>
      <c r="C2376" s="49"/>
      <c r="D2376" s="24"/>
      <c r="E2376" s="52"/>
      <c r="F2376" s="53"/>
      <c r="G2376" s="48"/>
      <c r="H2376" s="49"/>
      <c r="I2376" s="49"/>
      <c r="J2376" s="48"/>
      <c r="K2376" s="48"/>
      <c r="L2376" s="48"/>
      <c r="M2376" s="48"/>
      <c r="N2376" s="48"/>
      <c r="O2376" s="48"/>
      <c r="P2376" s="48"/>
      <c r="Q2376" s="48"/>
      <c r="R2376" s="48"/>
      <c r="S2376" s="48"/>
      <c r="T2376" s="48"/>
      <c r="U2376" s="48"/>
      <c r="V2376" s="48"/>
      <c r="W2376" s="49"/>
      <c r="X2376" s="49"/>
      <c r="Y2376" s="49"/>
      <c r="Z2376" s="49"/>
      <c r="AA2376" s="49"/>
      <c r="AB2376" s="49"/>
      <c r="AC2376" s="49"/>
      <c r="AD2376" s="49"/>
      <c r="AE2376" s="49"/>
      <c r="AF2376" s="49"/>
      <c r="AG2376" s="49"/>
      <c r="AH2376" s="49"/>
      <c r="AI2376" s="48"/>
      <c r="AJ2376" s="48"/>
      <c r="AK2376" s="24"/>
      <c r="AL2376" s="50"/>
      <c r="AM2376" s="50"/>
      <c r="AN2376" s="50"/>
      <c r="AO2376" s="50"/>
      <c r="AP2376" s="50"/>
      <c r="AQ2376" s="50"/>
      <c r="AR2376" s="50"/>
      <c r="AS2376" s="50"/>
      <c r="AT2376" s="51"/>
      <c r="AU2376" s="51"/>
      <c r="AV2376" s="51"/>
      <c r="AW2376" s="51"/>
      <c r="AX2376" s="50"/>
      <c r="AY2376" s="50"/>
      <c r="AZ2376" s="50"/>
      <c r="BA2376" s="50"/>
      <c r="BB2376" s="51"/>
      <c r="BC2376" s="51"/>
      <c r="BD2376" s="51"/>
      <c r="BE2376" s="51"/>
      <c r="BF2376" s="47"/>
      <c r="BG2376" s="47"/>
      <c r="BH2376" s="47"/>
      <c r="BI2376" s="47"/>
      <c r="BJ2376" s="47"/>
      <c r="BK2376" s="47"/>
      <c r="BL2376" s="47"/>
      <c r="BM2376" s="47"/>
      <c r="BN2376" s="47"/>
      <c r="BO2376" s="47"/>
      <c r="BP2376" s="47"/>
      <c r="BQ2376" s="47"/>
      <c r="BR2376" s="47"/>
      <c r="BS2376" s="47"/>
      <c r="BT2376" s="47"/>
    </row>
    <row r="2377">
      <c r="A2377" s="24"/>
      <c r="B2377" s="48"/>
      <c r="C2377" s="49"/>
      <c r="D2377" s="24"/>
      <c r="E2377" s="52"/>
      <c r="F2377" s="53"/>
      <c r="G2377" s="48"/>
      <c r="H2377" s="49"/>
      <c r="I2377" s="49"/>
      <c r="J2377" s="48"/>
      <c r="K2377" s="48"/>
      <c r="L2377" s="48"/>
      <c r="M2377" s="48"/>
      <c r="N2377" s="48"/>
      <c r="O2377" s="48"/>
      <c r="P2377" s="48"/>
      <c r="Q2377" s="48"/>
      <c r="R2377" s="48"/>
      <c r="S2377" s="48"/>
      <c r="T2377" s="48"/>
      <c r="U2377" s="48"/>
      <c r="V2377" s="48"/>
      <c r="W2377" s="49"/>
      <c r="X2377" s="49"/>
      <c r="Y2377" s="49"/>
      <c r="Z2377" s="49"/>
      <c r="AA2377" s="49"/>
      <c r="AB2377" s="49"/>
      <c r="AC2377" s="49"/>
      <c r="AD2377" s="49"/>
      <c r="AE2377" s="49"/>
      <c r="AF2377" s="49"/>
      <c r="AG2377" s="49"/>
      <c r="AH2377" s="49"/>
      <c r="AI2377" s="48"/>
      <c r="AJ2377" s="48"/>
      <c r="AK2377" s="24"/>
      <c r="AL2377" s="50"/>
      <c r="AM2377" s="50"/>
      <c r="AN2377" s="50"/>
      <c r="AO2377" s="50"/>
      <c r="AP2377" s="50"/>
      <c r="AQ2377" s="50"/>
      <c r="AR2377" s="50"/>
      <c r="AS2377" s="50"/>
      <c r="AT2377" s="51"/>
      <c r="AU2377" s="51"/>
      <c r="AV2377" s="51"/>
      <c r="AW2377" s="51"/>
      <c r="AX2377" s="50"/>
      <c r="AY2377" s="50"/>
      <c r="AZ2377" s="50"/>
      <c r="BA2377" s="50"/>
      <c r="BB2377" s="51"/>
      <c r="BC2377" s="51"/>
      <c r="BD2377" s="51"/>
      <c r="BE2377" s="51"/>
      <c r="BF2377" s="47"/>
      <c r="BG2377" s="47"/>
      <c r="BH2377" s="47"/>
      <c r="BI2377" s="47"/>
      <c r="BJ2377" s="47"/>
      <c r="BK2377" s="47"/>
      <c r="BL2377" s="47"/>
      <c r="BM2377" s="47"/>
      <c r="BN2377" s="47"/>
      <c r="BO2377" s="47"/>
      <c r="BP2377" s="47"/>
      <c r="BQ2377" s="47"/>
      <c r="BR2377" s="47"/>
      <c r="BS2377" s="47"/>
      <c r="BT2377" s="47"/>
    </row>
    <row r="2378">
      <c r="A2378" s="24"/>
      <c r="B2378" s="48"/>
      <c r="C2378" s="49"/>
      <c r="D2378" s="24"/>
      <c r="E2378" s="52"/>
      <c r="F2378" s="53"/>
      <c r="G2378" s="48"/>
      <c r="H2378" s="49"/>
      <c r="I2378" s="49"/>
      <c r="J2378" s="48"/>
      <c r="K2378" s="48"/>
      <c r="L2378" s="48"/>
      <c r="M2378" s="48"/>
      <c r="N2378" s="48"/>
      <c r="O2378" s="48"/>
      <c r="P2378" s="48"/>
      <c r="Q2378" s="48"/>
      <c r="R2378" s="48"/>
      <c r="S2378" s="48"/>
      <c r="T2378" s="48"/>
      <c r="U2378" s="48"/>
      <c r="V2378" s="48"/>
      <c r="W2378" s="49"/>
      <c r="X2378" s="49"/>
      <c r="Y2378" s="49"/>
      <c r="Z2378" s="49"/>
      <c r="AA2378" s="49"/>
      <c r="AB2378" s="49"/>
      <c r="AC2378" s="49"/>
      <c r="AD2378" s="49"/>
      <c r="AE2378" s="49"/>
      <c r="AF2378" s="49"/>
      <c r="AG2378" s="49"/>
      <c r="AH2378" s="49"/>
      <c r="AI2378" s="48"/>
      <c r="AJ2378" s="48"/>
      <c r="AK2378" s="24"/>
      <c r="AL2378" s="50"/>
      <c r="AM2378" s="50"/>
      <c r="AN2378" s="50"/>
      <c r="AO2378" s="50"/>
      <c r="AP2378" s="50"/>
      <c r="AQ2378" s="50"/>
      <c r="AR2378" s="50"/>
      <c r="AS2378" s="50"/>
      <c r="AT2378" s="51"/>
      <c r="AU2378" s="51"/>
      <c r="AV2378" s="51"/>
      <c r="AW2378" s="51"/>
      <c r="AX2378" s="50"/>
      <c r="AY2378" s="50"/>
      <c r="AZ2378" s="50"/>
      <c r="BA2378" s="50"/>
      <c r="BB2378" s="51"/>
      <c r="BC2378" s="51"/>
      <c r="BD2378" s="51"/>
      <c r="BE2378" s="51"/>
      <c r="BF2378" s="47"/>
      <c r="BG2378" s="47"/>
      <c r="BH2378" s="47"/>
      <c r="BI2378" s="47"/>
      <c r="BJ2378" s="47"/>
      <c r="BK2378" s="47"/>
      <c r="BL2378" s="47"/>
      <c r="BM2378" s="47"/>
      <c r="BN2378" s="47"/>
      <c r="BO2378" s="47"/>
      <c r="BP2378" s="47"/>
      <c r="BQ2378" s="47"/>
      <c r="BR2378" s="47"/>
      <c r="BS2378" s="47"/>
      <c r="BT2378" s="47"/>
    </row>
    <row r="2379">
      <c r="A2379" s="24"/>
      <c r="B2379" s="48"/>
      <c r="C2379" s="49"/>
      <c r="D2379" s="24"/>
      <c r="E2379" s="52"/>
      <c r="F2379" s="53"/>
      <c r="G2379" s="48"/>
      <c r="H2379" s="49"/>
      <c r="I2379" s="49"/>
      <c r="J2379" s="48"/>
      <c r="K2379" s="48"/>
      <c r="L2379" s="48"/>
      <c r="M2379" s="48"/>
      <c r="N2379" s="48"/>
      <c r="O2379" s="48"/>
      <c r="P2379" s="48"/>
      <c r="Q2379" s="48"/>
      <c r="R2379" s="48"/>
      <c r="S2379" s="48"/>
      <c r="T2379" s="48"/>
      <c r="U2379" s="48"/>
      <c r="V2379" s="48"/>
      <c r="W2379" s="49"/>
      <c r="X2379" s="49"/>
      <c r="Y2379" s="49"/>
      <c r="Z2379" s="49"/>
      <c r="AA2379" s="49"/>
      <c r="AB2379" s="49"/>
      <c r="AC2379" s="49"/>
      <c r="AD2379" s="49"/>
      <c r="AE2379" s="49"/>
      <c r="AF2379" s="49"/>
      <c r="AG2379" s="49"/>
      <c r="AH2379" s="49"/>
      <c r="AI2379" s="48"/>
      <c r="AJ2379" s="48"/>
      <c r="AK2379" s="24"/>
      <c r="AL2379" s="50"/>
      <c r="AM2379" s="50"/>
      <c r="AN2379" s="50"/>
      <c r="AO2379" s="50"/>
      <c r="AP2379" s="50"/>
      <c r="AQ2379" s="50"/>
      <c r="AR2379" s="50"/>
      <c r="AS2379" s="50"/>
      <c r="AT2379" s="51"/>
      <c r="AU2379" s="51"/>
      <c r="AV2379" s="51"/>
      <c r="AW2379" s="51"/>
      <c r="AX2379" s="50"/>
      <c r="AY2379" s="50"/>
      <c r="AZ2379" s="50"/>
      <c r="BA2379" s="50"/>
      <c r="BB2379" s="51"/>
      <c r="BC2379" s="51"/>
      <c r="BD2379" s="51"/>
      <c r="BE2379" s="51"/>
      <c r="BF2379" s="47"/>
      <c r="BG2379" s="47"/>
      <c r="BH2379" s="47"/>
      <c r="BI2379" s="47"/>
      <c r="BJ2379" s="47"/>
      <c r="BK2379" s="47"/>
      <c r="BL2379" s="47"/>
      <c r="BM2379" s="47"/>
      <c r="BN2379" s="47"/>
      <c r="BO2379" s="47"/>
      <c r="BP2379" s="47"/>
      <c r="BQ2379" s="47"/>
      <c r="BR2379" s="47"/>
      <c r="BS2379" s="47"/>
      <c r="BT2379" s="47"/>
    </row>
    <row r="2380">
      <c r="A2380" s="24"/>
      <c r="B2380" s="48"/>
      <c r="C2380" s="49"/>
      <c r="D2380" s="24"/>
      <c r="E2380" s="52"/>
      <c r="F2380" s="53"/>
      <c r="G2380" s="48"/>
      <c r="H2380" s="49"/>
      <c r="I2380" s="49"/>
      <c r="J2380" s="48"/>
      <c r="K2380" s="48"/>
      <c r="L2380" s="48"/>
      <c r="M2380" s="48"/>
      <c r="N2380" s="48"/>
      <c r="O2380" s="48"/>
      <c r="P2380" s="48"/>
      <c r="Q2380" s="48"/>
      <c r="R2380" s="48"/>
      <c r="S2380" s="48"/>
      <c r="T2380" s="48"/>
      <c r="U2380" s="48"/>
      <c r="V2380" s="48"/>
      <c r="W2380" s="49"/>
      <c r="X2380" s="49"/>
      <c r="Y2380" s="49"/>
      <c r="Z2380" s="49"/>
      <c r="AA2380" s="49"/>
      <c r="AB2380" s="49"/>
      <c r="AC2380" s="49"/>
      <c r="AD2380" s="49"/>
      <c r="AE2380" s="49"/>
      <c r="AF2380" s="49"/>
      <c r="AG2380" s="49"/>
      <c r="AH2380" s="49"/>
      <c r="AI2380" s="48"/>
      <c r="AJ2380" s="48"/>
      <c r="AK2380" s="24"/>
      <c r="AL2380" s="50"/>
      <c r="AM2380" s="50"/>
      <c r="AN2380" s="50"/>
      <c r="AO2380" s="50"/>
      <c r="AP2380" s="50"/>
      <c r="AQ2380" s="50"/>
      <c r="AR2380" s="50"/>
      <c r="AS2380" s="50"/>
      <c r="AT2380" s="51"/>
      <c r="AU2380" s="51"/>
      <c r="AV2380" s="51"/>
      <c r="AW2380" s="51"/>
      <c r="AX2380" s="50"/>
      <c r="AY2380" s="50"/>
      <c r="AZ2380" s="50"/>
      <c r="BA2380" s="50"/>
      <c r="BB2380" s="51"/>
      <c r="BC2380" s="51"/>
      <c r="BD2380" s="51"/>
      <c r="BE2380" s="51"/>
      <c r="BF2380" s="47"/>
      <c r="BG2380" s="47"/>
      <c r="BH2380" s="47"/>
      <c r="BI2380" s="47"/>
      <c r="BJ2380" s="47"/>
      <c r="BK2380" s="47"/>
      <c r="BL2380" s="47"/>
      <c r="BM2380" s="47"/>
      <c r="BN2380" s="47"/>
      <c r="BO2380" s="47"/>
      <c r="BP2380" s="47"/>
      <c r="BQ2380" s="47"/>
      <c r="BR2380" s="47"/>
      <c r="BS2380" s="47"/>
      <c r="BT2380" s="47"/>
    </row>
    <row r="2381">
      <c r="A2381" s="24"/>
      <c r="B2381" s="48"/>
      <c r="C2381" s="49"/>
      <c r="D2381" s="24"/>
      <c r="E2381" s="52"/>
      <c r="F2381" s="53"/>
      <c r="G2381" s="48"/>
      <c r="H2381" s="49"/>
      <c r="I2381" s="49"/>
      <c r="J2381" s="48"/>
      <c r="K2381" s="48"/>
      <c r="L2381" s="48"/>
      <c r="M2381" s="48"/>
      <c r="N2381" s="48"/>
      <c r="O2381" s="48"/>
      <c r="P2381" s="48"/>
      <c r="Q2381" s="48"/>
      <c r="R2381" s="48"/>
      <c r="S2381" s="48"/>
      <c r="T2381" s="48"/>
      <c r="U2381" s="48"/>
      <c r="V2381" s="48"/>
      <c r="W2381" s="49"/>
      <c r="X2381" s="49"/>
      <c r="Y2381" s="49"/>
      <c r="Z2381" s="49"/>
      <c r="AA2381" s="49"/>
      <c r="AB2381" s="49"/>
      <c r="AC2381" s="49"/>
      <c r="AD2381" s="49"/>
      <c r="AE2381" s="49"/>
      <c r="AF2381" s="49"/>
      <c r="AG2381" s="49"/>
      <c r="AH2381" s="49"/>
      <c r="AI2381" s="48"/>
      <c r="AJ2381" s="48"/>
      <c r="AK2381" s="24"/>
      <c r="AL2381" s="50"/>
      <c r="AM2381" s="50"/>
      <c r="AN2381" s="50"/>
      <c r="AO2381" s="50"/>
      <c r="AP2381" s="50"/>
      <c r="AQ2381" s="50"/>
      <c r="AR2381" s="50"/>
      <c r="AS2381" s="50"/>
      <c r="AT2381" s="51"/>
      <c r="AU2381" s="51"/>
      <c r="AV2381" s="51"/>
      <c r="AW2381" s="51"/>
      <c r="AX2381" s="50"/>
      <c r="AY2381" s="50"/>
      <c r="AZ2381" s="50"/>
      <c r="BA2381" s="50"/>
      <c r="BB2381" s="51"/>
      <c r="BC2381" s="51"/>
      <c r="BD2381" s="51"/>
      <c r="BE2381" s="51"/>
      <c r="BF2381" s="47"/>
      <c r="BG2381" s="47"/>
      <c r="BH2381" s="47"/>
      <c r="BI2381" s="47"/>
      <c r="BJ2381" s="47"/>
      <c r="BK2381" s="47"/>
      <c r="BL2381" s="47"/>
      <c r="BM2381" s="47"/>
      <c r="BN2381" s="47"/>
      <c r="BO2381" s="47"/>
      <c r="BP2381" s="47"/>
      <c r="BQ2381" s="47"/>
      <c r="BR2381" s="47"/>
      <c r="BS2381" s="47"/>
      <c r="BT2381" s="47"/>
    </row>
    <row r="2382">
      <c r="A2382" s="24"/>
      <c r="B2382" s="48"/>
      <c r="C2382" s="49"/>
      <c r="D2382" s="24"/>
      <c r="E2382" s="52"/>
      <c r="F2382" s="53"/>
      <c r="G2382" s="48"/>
      <c r="H2382" s="49"/>
      <c r="I2382" s="49"/>
      <c r="J2382" s="48"/>
      <c r="K2382" s="48"/>
      <c r="L2382" s="48"/>
      <c r="M2382" s="48"/>
      <c r="N2382" s="48"/>
      <c r="O2382" s="48"/>
      <c r="P2382" s="48"/>
      <c r="Q2382" s="48"/>
      <c r="R2382" s="48"/>
      <c r="S2382" s="48"/>
      <c r="T2382" s="48"/>
      <c r="U2382" s="48"/>
      <c r="V2382" s="48"/>
      <c r="W2382" s="49"/>
      <c r="X2382" s="49"/>
      <c r="Y2382" s="49"/>
      <c r="Z2382" s="49"/>
      <c r="AA2382" s="49"/>
      <c r="AB2382" s="49"/>
      <c r="AC2382" s="49"/>
      <c r="AD2382" s="49"/>
      <c r="AE2382" s="49"/>
      <c r="AF2382" s="49"/>
      <c r="AG2382" s="49"/>
      <c r="AH2382" s="49"/>
      <c r="AI2382" s="48"/>
      <c r="AJ2382" s="48"/>
      <c r="AK2382" s="24"/>
      <c r="AL2382" s="50"/>
      <c r="AM2382" s="50"/>
      <c r="AN2382" s="50"/>
      <c r="AO2382" s="50"/>
      <c r="AP2382" s="50"/>
      <c r="AQ2382" s="50"/>
      <c r="AR2382" s="50"/>
      <c r="AS2382" s="50"/>
      <c r="AT2382" s="51"/>
      <c r="AU2382" s="51"/>
      <c r="AV2382" s="51"/>
      <c r="AW2382" s="51"/>
      <c r="AX2382" s="50"/>
      <c r="AY2382" s="50"/>
      <c r="AZ2382" s="50"/>
      <c r="BA2382" s="50"/>
      <c r="BB2382" s="51"/>
      <c r="BC2382" s="51"/>
      <c r="BD2382" s="51"/>
      <c r="BE2382" s="51"/>
      <c r="BF2382" s="47"/>
      <c r="BG2382" s="47"/>
      <c r="BH2382" s="47"/>
      <c r="BI2382" s="47"/>
      <c r="BJ2382" s="47"/>
      <c r="BK2382" s="47"/>
      <c r="BL2382" s="47"/>
      <c r="BM2382" s="47"/>
      <c r="BN2382" s="47"/>
      <c r="BO2382" s="47"/>
      <c r="BP2382" s="47"/>
      <c r="BQ2382" s="47"/>
      <c r="BR2382" s="47"/>
      <c r="BS2382" s="47"/>
      <c r="BT2382" s="47"/>
    </row>
    <row r="2383">
      <c r="A2383" s="24"/>
      <c r="B2383" s="48"/>
      <c r="C2383" s="49"/>
      <c r="D2383" s="24"/>
      <c r="E2383" s="52"/>
      <c r="F2383" s="53"/>
      <c r="G2383" s="48"/>
      <c r="H2383" s="49"/>
      <c r="I2383" s="49"/>
      <c r="J2383" s="48"/>
      <c r="K2383" s="48"/>
      <c r="L2383" s="48"/>
      <c r="M2383" s="48"/>
      <c r="N2383" s="48"/>
      <c r="O2383" s="48"/>
      <c r="P2383" s="48"/>
      <c r="Q2383" s="48"/>
      <c r="R2383" s="48"/>
      <c r="S2383" s="48"/>
      <c r="T2383" s="48"/>
      <c r="U2383" s="48"/>
      <c r="V2383" s="48"/>
      <c r="W2383" s="49"/>
      <c r="X2383" s="49"/>
      <c r="Y2383" s="49"/>
      <c r="Z2383" s="49"/>
      <c r="AA2383" s="49"/>
      <c r="AB2383" s="49"/>
      <c r="AC2383" s="49"/>
      <c r="AD2383" s="49"/>
      <c r="AE2383" s="49"/>
      <c r="AF2383" s="49"/>
      <c r="AG2383" s="49"/>
      <c r="AH2383" s="49"/>
      <c r="AI2383" s="48"/>
      <c r="AJ2383" s="48"/>
      <c r="AK2383" s="24"/>
      <c r="AL2383" s="50"/>
      <c r="AM2383" s="50"/>
      <c r="AN2383" s="50"/>
      <c r="AO2383" s="50"/>
      <c r="AP2383" s="50"/>
      <c r="AQ2383" s="50"/>
      <c r="AR2383" s="50"/>
      <c r="AS2383" s="50"/>
      <c r="AT2383" s="51"/>
      <c r="AU2383" s="51"/>
      <c r="AV2383" s="51"/>
      <c r="AW2383" s="51"/>
      <c r="AX2383" s="50"/>
      <c r="AY2383" s="50"/>
      <c r="AZ2383" s="50"/>
      <c r="BA2383" s="50"/>
      <c r="BB2383" s="51"/>
      <c r="BC2383" s="51"/>
      <c r="BD2383" s="51"/>
      <c r="BE2383" s="51"/>
      <c r="BF2383" s="47"/>
      <c r="BG2383" s="47"/>
      <c r="BH2383" s="47"/>
      <c r="BI2383" s="47"/>
      <c r="BJ2383" s="47"/>
      <c r="BK2383" s="47"/>
      <c r="BL2383" s="47"/>
      <c r="BM2383" s="47"/>
      <c r="BN2383" s="47"/>
      <c r="BO2383" s="47"/>
      <c r="BP2383" s="47"/>
      <c r="BQ2383" s="47"/>
      <c r="BR2383" s="47"/>
      <c r="BS2383" s="47"/>
      <c r="BT2383" s="47"/>
    </row>
    <row r="2384">
      <c r="A2384" s="24"/>
      <c r="B2384" s="48"/>
      <c r="C2384" s="49"/>
      <c r="D2384" s="24"/>
      <c r="E2384" s="52"/>
      <c r="F2384" s="53"/>
      <c r="G2384" s="48"/>
      <c r="H2384" s="49"/>
      <c r="I2384" s="49"/>
      <c r="J2384" s="48"/>
      <c r="K2384" s="48"/>
      <c r="L2384" s="48"/>
      <c r="M2384" s="48"/>
      <c r="N2384" s="48"/>
      <c r="O2384" s="48"/>
      <c r="P2384" s="48"/>
      <c r="Q2384" s="48"/>
      <c r="R2384" s="48"/>
      <c r="S2384" s="48"/>
      <c r="T2384" s="48"/>
      <c r="U2384" s="48"/>
      <c r="V2384" s="48"/>
      <c r="W2384" s="49"/>
      <c r="X2384" s="49"/>
      <c r="Y2384" s="49"/>
      <c r="Z2384" s="49"/>
      <c r="AA2384" s="49"/>
      <c r="AB2384" s="49"/>
      <c r="AC2384" s="49"/>
      <c r="AD2384" s="49"/>
      <c r="AE2384" s="49"/>
      <c r="AF2384" s="49"/>
      <c r="AG2384" s="49"/>
      <c r="AH2384" s="49"/>
      <c r="AI2384" s="48"/>
      <c r="AJ2384" s="48"/>
      <c r="AK2384" s="24"/>
      <c r="AL2384" s="50"/>
      <c r="AM2384" s="50"/>
      <c r="AN2384" s="50"/>
      <c r="AO2384" s="50"/>
      <c r="AP2384" s="50"/>
      <c r="AQ2384" s="50"/>
      <c r="AR2384" s="50"/>
      <c r="AS2384" s="50"/>
      <c r="AT2384" s="51"/>
      <c r="AU2384" s="51"/>
      <c r="AV2384" s="51"/>
      <c r="AW2384" s="51"/>
      <c r="AX2384" s="50"/>
      <c r="AY2384" s="50"/>
      <c r="AZ2384" s="50"/>
      <c r="BA2384" s="50"/>
      <c r="BB2384" s="51"/>
      <c r="BC2384" s="51"/>
      <c r="BD2384" s="51"/>
      <c r="BE2384" s="51"/>
      <c r="BF2384" s="47"/>
      <c r="BG2384" s="47"/>
      <c r="BH2384" s="47"/>
      <c r="BI2384" s="47"/>
      <c r="BJ2384" s="47"/>
      <c r="BK2384" s="47"/>
      <c r="BL2384" s="47"/>
      <c r="BM2384" s="47"/>
      <c r="BN2384" s="47"/>
      <c r="BO2384" s="47"/>
      <c r="BP2384" s="47"/>
      <c r="BQ2384" s="47"/>
      <c r="BR2384" s="47"/>
      <c r="BS2384" s="47"/>
      <c r="BT2384" s="47"/>
    </row>
    <row r="2385">
      <c r="A2385" s="24"/>
      <c r="B2385" s="48"/>
      <c r="C2385" s="49"/>
      <c r="D2385" s="24"/>
      <c r="E2385" s="52"/>
      <c r="F2385" s="53"/>
      <c r="G2385" s="48"/>
      <c r="H2385" s="49"/>
      <c r="I2385" s="49"/>
      <c r="J2385" s="48"/>
      <c r="K2385" s="48"/>
      <c r="L2385" s="48"/>
      <c r="M2385" s="48"/>
      <c r="N2385" s="48"/>
      <c r="O2385" s="48"/>
      <c r="P2385" s="48"/>
      <c r="Q2385" s="48"/>
      <c r="R2385" s="48"/>
      <c r="S2385" s="48"/>
      <c r="T2385" s="48"/>
      <c r="U2385" s="48"/>
      <c r="V2385" s="48"/>
      <c r="W2385" s="49"/>
      <c r="X2385" s="49"/>
      <c r="Y2385" s="49"/>
      <c r="Z2385" s="49"/>
      <c r="AA2385" s="49"/>
      <c r="AB2385" s="49"/>
      <c r="AC2385" s="49"/>
      <c r="AD2385" s="49"/>
      <c r="AE2385" s="49"/>
      <c r="AF2385" s="49"/>
      <c r="AG2385" s="49"/>
      <c r="AH2385" s="49"/>
      <c r="AI2385" s="48"/>
      <c r="AJ2385" s="48"/>
      <c r="AK2385" s="24"/>
      <c r="AL2385" s="50"/>
      <c r="AM2385" s="50"/>
      <c r="AN2385" s="50"/>
      <c r="AO2385" s="50"/>
      <c r="AP2385" s="50"/>
      <c r="AQ2385" s="50"/>
      <c r="AR2385" s="50"/>
      <c r="AS2385" s="50"/>
      <c r="AT2385" s="51"/>
      <c r="AU2385" s="51"/>
      <c r="AV2385" s="51"/>
      <c r="AW2385" s="51"/>
      <c r="AX2385" s="50"/>
      <c r="AY2385" s="50"/>
      <c r="AZ2385" s="50"/>
      <c r="BA2385" s="50"/>
      <c r="BB2385" s="51"/>
      <c r="BC2385" s="51"/>
      <c r="BD2385" s="51"/>
      <c r="BE2385" s="51"/>
      <c r="BF2385" s="47"/>
      <c r="BG2385" s="47"/>
      <c r="BH2385" s="47"/>
      <c r="BI2385" s="47"/>
      <c r="BJ2385" s="47"/>
      <c r="BK2385" s="47"/>
      <c r="BL2385" s="47"/>
      <c r="BM2385" s="47"/>
      <c r="BN2385" s="47"/>
      <c r="BO2385" s="47"/>
      <c r="BP2385" s="47"/>
      <c r="BQ2385" s="47"/>
      <c r="BR2385" s="47"/>
      <c r="BS2385" s="47"/>
      <c r="BT2385" s="47"/>
    </row>
    <row r="2386">
      <c r="A2386" s="24"/>
      <c r="B2386" s="48"/>
      <c r="C2386" s="49"/>
      <c r="D2386" s="24"/>
      <c r="E2386" s="52"/>
      <c r="F2386" s="53"/>
      <c r="G2386" s="48"/>
      <c r="H2386" s="49"/>
      <c r="I2386" s="49"/>
      <c r="J2386" s="48"/>
      <c r="K2386" s="48"/>
      <c r="L2386" s="48"/>
      <c r="M2386" s="48"/>
      <c r="N2386" s="48"/>
      <c r="O2386" s="48"/>
      <c r="P2386" s="48"/>
      <c r="Q2386" s="48"/>
      <c r="R2386" s="48"/>
      <c r="S2386" s="48"/>
      <c r="T2386" s="48"/>
      <c r="U2386" s="48"/>
      <c r="V2386" s="48"/>
      <c r="W2386" s="49"/>
      <c r="X2386" s="49"/>
      <c r="Y2386" s="49"/>
      <c r="Z2386" s="49"/>
      <c r="AA2386" s="49"/>
      <c r="AB2386" s="49"/>
      <c r="AC2386" s="49"/>
      <c r="AD2386" s="49"/>
      <c r="AE2386" s="49"/>
      <c r="AF2386" s="49"/>
      <c r="AG2386" s="49"/>
      <c r="AH2386" s="49"/>
      <c r="AI2386" s="48"/>
      <c r="AJ2386" s="48"/>
      <c r="AK2386" s="24"/>
      <c r="AL2386" s="50"/>
      <c r="AM2386" s="50"/>
      <c r="AN2386" s="50"/>
      <c r="AO2386" s="50"/>
      <c r="AP2386" s="50"/>
      <c r="AQ2386" s="50"/>
      <c r="AR2386" s="50"/>
      <c r="AS2386" s="50"/>
      <c r="AT2386" s="51"/>
      <c r="AU2386" s="51"/>
      <c r="AV2386" s="51"/>
      <c r="AW2386" s="51"/>
      <c r="AX2386" s="50"/>
      <c r="AY2386" s="50"/>
      <c r="AZ2386" s="50"/>
      <c r="BA2386" s="50"/>
      <c r="BB2386" s="51"/>
      <c r="BC2386" s="51"/>
      <c r="BD2386" s="51"/>
      <c r="BE2386" s="51"/>
      <c r="BF2386" s="47"/>
      <c r="BG2386" s="47"/>
      <c r="BH2386" s="47"/>
      <c r="BI2386" s="47"/>
      <c r="BJ2386" s="47"/>
      <c r="BK2386" s="47"/>
      <c r="BL2386" s="47"/>
      <c r="BM2386" s="47"/>
      <c r="BN2386" s="47"/>
      <c r="BO2386" s="47"/>
      <c r="BP2386" s="47"/>
      <c r="BQ2386" s="47"/>
      <c r="BR2386" s="47"/>
      <c r="BS2386" s="47"/>
      <c r="BT2386" s="47"/>
    </row>
    <row r="2387">
      <c r="A2387" s="24"/>
      <c r="B2387" s="48"/>
      <c r="C2387" s="49"/>
      <c r="D2387" s="24"/>
      <c r="E2387" s="52"/>
      <c r="F2387" s="53"/>
      <c r="G2387" s="48"/>
      <c r="H2387" s="49"/>
      <c r="I2387" s="49"/>
      <c r="J2387" s="48"/>
      <c r="K2387" s="48"/>
      <c r="L2387" s="48"/>
      <c r="M2387" s="48"/>
      <c r="N2387" s="48"/>
      <c r="O2387" s="48"/>
      <c r="P2387" s="48"/>
      <c r="Q2387" s="48"/>
      <c r="R2387" s="48"/>
      <c r="S2387" s="48"/>
      <c r="T2387" s="48"/>
      <c r="U2387" s="48"/>
      <c r="V2387" s="48"/>
      <c r="W2387" s="49"/>
      <c r="X2387" s="49"/>
      <c r="Y2387" s="49"/>
      <c r="Z2387" s="49"/>
      <c r="AA2387" s="49"/>
      <c r="AB2387" s="49"/>
      <c r="AC2387" s="49"/>
      <c r="AD2387" s="49"/>
      <c r="AE2387" s="49"/>
      <c r="AF2387" s="49"/>
      <c r="AG2387" s="49"/>
      <c r="AH2387" s="49"/>
      <c r="AI2387" s="48"/>
      <c r="AJ2387" s="48"/>
      <c r="AK2387" s="24"/>
      <c r="AL2387" s="50"/>
      <c r="AM2387" s="50"/>
      <c r="AN2387" s="50"/>
      <c r="AO2387" s="50"/>
      <c r="AP2387" s="50"/>
      <c r="AQ2387" s="50"/>
      <c r="AR2387" s="50"/>
      <c r="AS2387" s="50"/>
      <c r="AT2387" s="51"/>
      <c r="AU2387" s="51"/>
      <c r="AV2387" s="51"/>
      <c r="AW2387" s="51"/>
      <c r="AX2387" s="50"/>
      <c r="AY2387" s="50"/>
      <c r="AZ2387" s="50"/>
      <c r="BA2387" s="50"/>
      <c r="BB2387" s="51"/>
      <c r="BC2387" s="51"/>
      <c r="BD2387" s="51"/>
      <c r="BE2387" s="51"/>
      <c r="BF2387" s="47"/>
      <c r="BG2387" s="47"/>
      <c r="BH2387" s="47"/>
      <c r="BI2387" s="47"/>
      <c r="BJ2387" s="47"/>
      <c r="BK2387" s="47"/>
      <c r="BL2387" s="47"/>
      <c r="BM2387" s="47"/>
      <c r="BN2387" s="47"/>
      <c r="BO2387" s="47"/>
      <c r="BP2387" s="47"/>
      <c r="BQ2387" s="47"/>
      <c r="BR2387" s="47"/>
      <c r="BS2387" s="47"/>
      <c r="BT2387" s="47"/>
    </row>
    <row r="2388">
      <c r="A2388" s="24"/>
      <c r="B2388" s="48"/>
      <c r="C2388" s="49"/>
      <c r="D2388" s="24"/>
      <c r="E2388" s="52"/>
      <c r="F2388" s="53"/>
      <c r="G2388" s="48"/>
      <c r="H2388" s="49"/>
      <c r="I2388" s="49"/>
      <c r="J2388" s="48"/>
      <c r="K2388" s="48"/>
      <c r="L2388" s="48"/>
      <c r="M2388" s="48"/>
      <c r="N2388" s="48"/>
      <c r="O2388" s="48"/>
      <c r="P2388" s="48"/>
      <c r="Q2388" s="48"/>
      <c r="R2388" s="48"/>
      <c r="S2388" s="48"/>
      <c r="T2388" s="48"/>
      <c r="U2388" s="48"/>
      <c r="V2388" s="48"/>
      <c r="W2388" s="49"/>
      <c r="X2388" s="49"/>
      <c r="Y2388" s="49"/>
      <c r="Z2388" s="49"/>
      <c r="AA2388" s="49"/>
      <c r="AB2388" s="49"/>
      <c r="AC2388" s="49"/>
      <c r="AD2388" s="49"/>
      <c r="AE2388" s="49"/>
      <c r="AF2388" s="49"/>
      <c r="AG2388" s="49"/>
      <c r="AH2388" s="49"/>
      <c r="AI2388" s="48"/>
      <c r="AJ2388" s="48"/>
      <c r="AK2388" s="24"/>
      <c r="AL2388" s="50"/>
      <c r="AM2388" s="50"/>
      <c r="AN2388" s="50"/>
      <c r="AO2388" s="50"/>
      <c r="AP2388" s="50"/>
      <c r="AQ2388" s="50"/>
      <c r="AR2388" s="50"/>
      <c r="AS2388" s="50"/>
      <c r="AT2388" s="51"/>
      <c r="AU2388" s="51"/>
      <c r="AV2388" s="51"/>
      <c r="AW2388" s="51"/>
      <c r="AX2388" s="50"/>
      <c r="AY2388" s="50"/>
      <c r="AZ2388" s="50"/>
      <c r="BA2388" s="50"/>
      <c r="BB2388" s="51"/>
      <c r="BC2388" s="51"/>
      <c r="BD2388" s="51"/>
      <c r="BE2388" s="51"/>
      <c r="BF2388" s="47"/>
      <c r="BG2388" s="47"/>
      <c r="BH2388" s="47"/>
      <c r="BI2388" s="47"/>
      <c r="BJ2388" s="47"/>
      <c r="BK2388" s="47"/>
      <c r="BL2388" s="47"/>
      <c r="BM2388" s="47"/>
      <c r="BN2388" s="47"/>
      <c r="BO2388" s="47"/>
      <c r="BP2388" s="47"/>
      <c r="BQ2388" s="47"/>
      <c r="BR2388" s="47"/>
      <c r="BS2388" s="47"/>
      <c r="BT2388" s="47"/>
    </row>
    <row r="2389">
      <c r="A2389" s="24"/>
      <c r="B2389" s="48"/>
      <c r="C2389" s="49"/>
      <c r="D2389" s="24"/>
      <c r="E2389" s="52"/>
      <c r="F2389" s="53"/>
      <c r="G2389" s="48"/>
      <c r="H2389" s="49"/>
      <c r="I2389" s="49"/>
      <c r="J2389" s="48"/>
      <c r="K2389" s="48"/>
      <c r="L2389" s="48"/>
      <c r="M2389" s="48"/>
      <c r="N2389" s="48"/>
      <c r="O2389" s="48"/>
      <c r="P2389" s="48"/>
      <c r="Q2389" s="48"/>
      <c r="R2389" s="48"/>
      <c r="S2389" s="48"/>
      <c r="T2389" s="48"/>
      <c r="U2389" s="48"/>
      <c r="V2389" s="48"/>
      <c r="W2389" s="49"/>
      <c r="X2389" s="49"/>
      <c r="Y2389" s="49"/>
      <c r="Z2389" s="49"/>
      <c r="AA2389" s="49"/>
      <c r="AB2389" s="49"/>
      <c r="AC2389" s="49"/>
      <c r="AD2389" s="49"/>
      <c r="AE2389" s="49"/>
      <c r="AF2389" s="49"/>
      <c r="AG2389" s="49"/>
      <c r="AH2389" s="49"/>
      <c r="AI2389" s="48"/>
      <c r="AJ2389" s="48"/>
      <c r="AK2389" s="24"/>
      <c r="AL2389" s="50"/>
      <c r="AM2389" s="50"/>
      <c r="AN2389" s="50"/>
      <c r="AO2389" s="50"/>
      <c r="AP2389" s="50"/>
      <c r="AQ2389" s="50"/>
      <c r="AR2389" s="50"/>
      <c r="AS2389" s="50"/>
      <c r="AT2389" s="51"/>
      <c r="AU2389" s="51"/>
      <c r="AV2389" s="51"/>
      <c r="AW2389" s="51"/>
      <c r="AX2389" s="50"/>
      <c r="AY2389" s="50"/>
      <c r="AZ2389" s="50"/>
      <c r="BA2389" s="50"/>
      <c r="BB2389" s="51"/>
      <c r="BC2389" s="51"/>
      <c r="BD2389" s="51"/>
      <c r="BE2389" s="51"/>
      <c r="BF2389" s="47"/>
      <c r="BG2389" s="47"/>
      <c r="BH2389" s="47"/>
      <c r="BI2389" s="47"/>
      <c r="BJ2389" s="47"/>
      <c r="BK2389" s="47"/>
      <c r="BL2389" s="47"/>
      <c r="BM2389" s="47"/>
      <c r="BN2389" s="47"/>
      <c r="BO2389" s="47"/>
      <c r="BP2389" s="47"/>
      <c r="BQ2389" s="47"/>
      <c r="BR2389" s="47"/>
      <c r="BS2389" s="47"/>
      <c r="BT2389" s="47"/>
    </row>
    <row r="2390">
      <c r="A2390" s="24"/>
      <c r="B2390" s="48"/>
      <c r="C2390" s="49"/>
      <c r="D2390" s="24"/>
      <c r="E2390" s="52"/>
      <c r="F2390" s="53"/>
      <c r="G2390" s="48"/>
      <c r="H2390" s="49"/>
      <c r="I2390" s="49"/>
      <c r="J2390" s="48"/>
      <c r="K2390" s="48"/>
      <c r="L2390" s="48"/>
      <c r="M2390" s="48"/>
      <c r="N2390" s="48"/>
      <c r="O2390" s="48"/>
      <c r="P2390" s="48"/>
      <c r="Q2390" s="48"/>
      <c r="R2390" s="48"/>
      <c r="S2390" s="48"/>
      <c r="T2390" s="48"/>
      <c r="U2390" s="48"/>
      <c r="V2390" s="48"/>
      <c r="W2390" s="49"/>
      <c r="X2390" s="49"/>
      <c r="Y2390" s="49"/>
      <c r="Z2390" s="49"/>
      <c r="AA2390" s="49"/>
      <c r="AB2390" s="49"/>
      <c r="AC2390" s="49"/>
      <c r="AD2390" s="49"/>
      <c r="AE2390" s="49"/>
      <c r="AF2390" s="49"/>
      <c r="AG2390" s="49"/>
      <c r="AH2390" s="49"/>
      <c r="AI2390" s="48"/>
      <c r="AJ2390" s="48"/>
      <c r="AK2390" s="24"/>
      <c r="AL2390" s="50"/>
      <c r="AM2390" s="50"/>
      <c r="AN2390" s="50"/>
      <c r="AO2390" s="50"/>
      <c r="AP2390" s="50"/>
      <c r="AQ2390" s="50"/>
      <c r="AR2390" s="50"/>
      <c r="AS2390" s="50"/>
      <c r="AT2390" s="51"/>
      <c r="AU2390" s="51"/>
      <c r="AV2390" s="51"/>
      <c r="AW2390" s="51"/>
      <c r="AX2390" s="50"/>
      <c r="AY2390" s="50"/>
      <c r="AZ2390" s="50"/>
      <c r="BA2390" s="50"/>
      <c r="BB2390" s="51"/>
      <c r="BC2390" s="51"/>
      <c r="BD2390" s="51"/>
      <c r="BE2390" s="51"/>
      <c r="BF2390" s="47"/>
      <c r="BG2390" s="47"/>
      <c r="BH2390" s="47"/>
      <c r="BI2390" s="47"/>
      <c r="BJ2390" s="47"/>
      <c r="BK2390" s="47"/>
      <c r="BL2390" s="47"/>
      <c r="BM2390" s="47"/>
      <c r="BN2390" s="47"/>
      <c r="BO2390" s="47"/>
      <c r="BP2390" s="47"/>
      <c r="BQ2390" s="47"/>
      <c r="BR2390" s="47"/>
      <c r="BS2390" s="47"/>
      <c r="BT2390" s="47"/>
    </row>
    <row r="2391">
      <c r="A2391" s="24"/>
      <c r="B2391" s="48"/>
      <c r="C2391" s="49"/>
      <c r="D2391" s="24"/>
      <c r="E2391" s="52"/>
      <c r="F2391" s="53"/>
      <c r="G2391" s="48"/>
      <c r="H2391" s="49"/>
      <c r="I2391" s="49"/>
      <c r="J2391" s="48"/>
      <c r="K2391" s="48"/>
      <c r="L2391" s="48"/>
      <c r="M2391" s="48"/>
      <c r="N2391" s="48"/>
      <c r="O2391" s="48"/>
      <c r="P2391" s="48"/>
      <c r="Q2391" s="48"/>
      <c r="R2391" s="48"/>
      <c r="S2391" s="48"/>
      <c r="T2391" s="48"/>
      <c r="U2391" s="48"/>
      <c r="V2391" s="48"/>
      <c r="W2391" s="49"/>
      <c r="X2391" s="49"/>
      <c r="Y2391" s="49"/>
      <c r="Z2391" s="49"/>
      <c r="AA2391" s="49"/>
      <c r="AB2391" s="49"/>
      <c r="AC2391" s="49"/>
      <c r="AD2391" s="49"/>
      <c r="AE2391" s="49"/>
      <c r="AF2391" s="49"/>
      <c r="AG2391" s="49"/>
      <c r="AH2391" s="49"/>
      <c r="AI2391" s="48"/>
      <c r="AJ2391" s="48"/>
      <c r="AK2391" s="24"/>
      <c r="AL2391" s="50"/>
      <c r="AM2391" s="50"/>
      <c r="AN2391" s="50"/>
      <c r="AO2391" s="50"/>
      <c r="AP2391" s="50"/>
      <c r="AQ2391" s="50"/>
      <c r="AR2391" s="50"/>
      <c r="AS2391" s="50"/>
      <c r="AT2391" s="51"/>
      <c r="AU2391" s="51"/>
      <c r="AV2391" s="51"/>
      <c r="AW2391" s="51"/>
      <c r="AX2391" s="50"/>
      <c r="AY2391" s="50"/>
      <c r="AZ2391" s="50"/>
      <c r="BA2391" s="50"/>
      <c r="BB2391" s="51"/>
      <c r="BC2391" s="51"/>
      <c r="BD2391" s="51"/>
      <c r="BE2391" s="51"/>
      <c r="BF2391" s="47"/>
      <c r="BG2391" s="47"/>
      <c r="BH2391" s="47"/>
      <c r="BI2391" s="47"/>
      <c r="BJ2391" s="47"/>
      <c r="BK2391" s="47"/>
      <c r="BL2391" s="47"/>
      <c r="BM2391" s="47"/>
      <c r="BN2391" s="47"/>
      <c r="BO2391" s="47"/>
      <c r="BP2391" s="47"/>
      <c r="BQ2391" s="47"/>
      <c r="BR2391" s="47"/>
      <c r="BS2391" s="47"/>
      <c r="BT2391" s="47"/>
    </row>
    <row r="2392">
      <c r="A2392" s="24"/>
      <c r="B2392" s="48"/>
      <c r="C2392" s="49"/>
      <c r="D2392" s="24"/>
      <c r="E2392" s="52"/>
      <c r="F2392" s="53"/>
      <c r="G2392" s="48"/>
      <c r="H2392" s="49"/>
      <c r="I2392" s="49"/>
      <c r="J2392" s="48"/>
      <c r="K2392" s="48"/>
      <c r="L2392" s="48"/>
      <c r="M2392" s="48"/>
      <c r="N2392" s="48"/>
      <c r="O2392" s="48"/>
      <c r="P2392" s="48"/>
      <c r="Q2392" s="48"/>
      <c r="R2392" s="48"/>
      <c r="S2392" s="48"/>
      <c r="T2392" s="48"/>
      <c r="U2392" s="48"/>
      <c r="V2392" s="48"/>
      <c r="W2392" s="49"/>
      <c r="X2392" s="49"/>
      <c r="Y2392" s="49"/>
      <c r="Z2392" s="49"/>
      <c r="AA2392" s="49"/>
      <c r="AB2392" s="49"/>
      <c r="AC2392" s="49"/>
      <c r="AD2392" s="49"/>
      <c r="AE2392" s="49"/>
      <c r="AF2392" s="49"/>
      <c r="AG2392" s="49"/>
      <c r="AH2392" s="49"/>
      <c r="AI2392" s="48"/>
      <c r="AJ2392" s="48"/>
      <c r="AK2392" s="24"/>
      <c r="AL2392" s="50"/>
      <c r="AM2392" s="50"/>
      <c r="AN2392" s="50"/>
      <c r="AO2392" s="50"/>
      <c r="AP2392" s="50"/>
      <c r="AQ2392" s="50"/>
      <c r="AR2392" s="50"/>
      <c r="AS2392" s="50"/>
      <c r="AT2392" s="51"/>
      <c r="AU2392" s="51"/>
      <c r="AV2392" s="51"/>
      <c r="AW2392" s="51"/>
      <c r="AX2392" s="50"/>
      <c r="AY2392" s="50"/>
      <c r="AZ2392" s="50"/>
      <c r="BA2392" s="50"/>
      <c r="BB2392" s="51"/>
      <c r="BC2392" s="51"/>
      <c r="BD2392" s="51"/>
      <c r="BE2392" s="51"/>
      <c r="BF2392" s="47"/>
      <c r="BG2392" s="47"/>
      <c r="BH2392" s="47"/>
      <c r="BI2392" s="47"/>
      <c r="BJ2392" s="47"/>
      <c r="BK2392" s="47"/>
      <c r="BL2392" s="47"/>
      <c r="BM2392" s="47"/>
      <c r="BN2392" s="47"/>
      <c r="BO2392" s="47"/>
      <c r="BP2392" s="47"/>
      <c r="BQ2392" s="47"/>
      <c r="BR2392" s="47"/>
      <c r="BS2392" s="47"/>
      <c r="BT2392" s="47"/>
    </row>
    <row r="2393">
      <c r="A2393" s="24"/>
      <c r="B2393" s="48"/>
      <c r="C2393" s="49"/>
      <c r="D2393" s="24"/>
      <c r="E2393" s="52"/>
      <c r="F2393" s="53"/>
      <c r="G2393" s="48"/>
      <c r="H2393" s="49"/>
      <c r="I2393" s="49"/>
      <c r="J2393" s="48"/>
      <c r="K2393" s="48"/>
      <c r="L2393" s="48"/>
      <c r="M2393" s="48"/>
      <c r="N2393" s="48"/>
      <c r="O2393" s="48"/>
      <c r="P2393" s="48"/>
      <c r="Q2393" s="48"/>
      <c r="R2393" s="48"/>
      <c r="S2393" s="48"/>
      <c r="T2393" s="48"/>
      <c r="U2393" s="48"/>
      <c r="V2393" s="48"/>
      <c r="W2393" s="49"/>
      <c r="X2393" s="49"/>
      <c r="Y2393" s="49"/>
      <c r="Z2393" s="49"/>
      <c r="AA2393" s="49"/>
      <c r="AB2393" s="49"/>
      <c r="AC2393" s="49"/>
      <c r="AD2393" s="49"/>
      <c r="AE2393" s="49"/>
      <c r="AF2393" s="49"/>
      <c r="AG2393" s="49"/>
      <c r="AH2393" s="49"/>
      <c r="AI2393" s="48"/>
      <c r="AJ2393" s="48"/>
      <c r="AK2393" s="24"/>
      <c r="AL2393" s="50"/>
      <c r="AM2393" s="50"/>
      <c r="AN2393" s="50"/>
      <c r="AO2393" s="50"/>
      <c r="AP2393" s="50"/>
      <c r="AQ2393" s="50"/>
      <c r="AR2393" s="50"/>
      <c r="AS2393" s="50"/>
      <c r="AT2393" s="51"/>
      <c r="AU2393" s="51"/>
      <c r="AV2393" s="51"/>
      <c r="AW2393" s="51"/>
      <c r="AX2393" s="50"/>
      <c r="AY2393" s="50"/>
      <c r="AZ2393" s="50"/>
      <c r="BA2393" s="50"/>
      <c r="BB2393" s="51"/>
      <c r="BC2393" s="51"/>
      <c r="BD2393" s="51"/>
      <c r="BE2393" s="51"/>
      <c r="BF2393" s="47"/>
      <c r="BG2393" s="47"/>
      <c r="BH2393" s="47"/>
      <c r="BI2393" s="47"/>
      <c r="BJ2393" s="47"/>
      <c r="BK2393" s="47"/>
      <c r="BL2393" s="47"/>
      <c r="BM2393" s="47"/>
      <c r="BN2393" s="47"/>
      <c r="BO2393" s="47"/>
      <c r="BP2393" s="47"/>
      <c r="BQ2393" s="47"/>
      <c r="BR2393" s="47"/>
      <c r="BS2393" s="47"/>
      <c r="BT2393" s="47"/>
    </row>
    <row r="2394">
      <c r="A2394" s="24"/>
      <c r="B2394" s="48"/>
      <c r="C2394" s="49"/>
      <c r="D2394" s="24"/>
      <c r="E2394" s="52"/>
      <c r="F2394" s="53"/>
      <c r="G2394" s="48"/>
      <c r="H2394" s="49"/>
      <c r="I2394" s="49"/>
      <c r="J2394" s="48"/>
      <c r="K2394" s="48"/>
      <c r="L2394" s="48"/>
      <c r="M2394" s="48"/>
      <c r="N2394" s="48"/>
      <c r="O2394" s="48"/>
      <c r="P2394" s="48"/>
      <c r="Q2394" s="48"/>
      <c r="R2394" s="48"/>
      <c r="S2394" s="48"/>
      <c r="T2394" s="48"/>
      <c r="U2394" s="48"/>
      <c r="V2394" s="48"/>
      <c r="W2394" s="49"/>
      <c r="X2394" s="49"/>
      <c r="Y2394" s="49"/>
      <c r="Z2394" s="49"/>
      <c r="AA2394" s="49"/>
      <c r="AB2394" s="49"/>
      <c r="AC2394" s="49"/>
      <c r="AD2394" s="49"/>
      <c r="AE2394" s="49"/>
      <c r="AF2394" s="49"/>
      <c r="AG2394" s="49"/>
      <c r="AH2394" s="49"/>
      <c r="AI2394" s="48"/>
      <c r="AJ2394" s="48"/>
      <c r="AK2394" s="24"/>
      <c r="AL2394" s="50"/>
      <c r="AM2394" s="50"/>
      <c r="AN2394" s="50"/>
      <c r="AO2394" s="50"/>
      <c r="AP2394" s="50"/>
      <c r="AQ2394" s="50"/>
      <c r="AR2394" s="50"/>
      <c r="AS2394" s="50"/>
      <c r="AT2394" s="51"/>
      <c r="AU2394" s="51"/>
      <c r="AV2394" s="51"/>
      <c r="AW2394" s="51"/>
      <c r="AX2394" s="50"/>
      <c r="AY2394" s="50"/>
      <c r="AZ2394" s="50"/>
      <c r="BA2394" s="50"/>
      <c r="BB2394" s="51"/>
      <c r="BC2394" s="51"/>
      <c r="BD2394" s="51"/>
      <c r="BE2394" s="51"/>
      <c r="BF2394" s="47"/>
      <c r="BG2394" s="47"/>
      <c r="BH2394" s="47"/>
      <c r="BI2394" s="47"/>
      <c r="BJ2394" s="47"/>
      <c r="BK2394" s="47"/>
      <c r="BL2394" s="47"/>
      <c r="BM2394" s="47"/>
      <c r="BN2394" s="47"/>
      <c r="BO2394" s="47"/>
      <c r="BP2394" s="47"/>
      <c r="BQ2394" s="47"/>
      <c r="BR2394" s="47"/>
      <c r="BS2394" s="47"/>
      <c r="BT2394" s="47"/>
    </row>
    <row r="2395">
      <c r="A2395" s="24"/>
      <c r="B2395" s="48"/>
      <c r="C2395" s="49"/>
      <c r="D2395" s="24"/>
      <c r="E2395" s="52"/>
      <c r="F2395" s="53"/>
      <c r="G2395" s="48"/>
      <c r="H2395" s="49"/>
      <c r="I2395" s="49"/>
      <c r="J2395" s="48"/>
      <c r="K2395" s="48"/>
      <c r="L2395" s="48"/>
      <c r="M2395" s="48"/>
      <c r="N2395" s="48"/>
      <c r="O2395" s="48"/>
      <c r="P2395" s="48"/>
      <c r="Q2395" s="48"/>
      <c r="R2395" s="48"/>
      <c r="S2395" s="48"/>
      <c r="T2395" s="48"/>
      <c r="U2395" s="48"/>
      <c r="V2395" s="48"/>
      <c r="W2395" s="49"/>
      <c r="X2395" s="49"/>
      <c r="Y2395" s="49"/>
      <c r="Z2395" s="49"/>
      <c r="AA2395" s="49"/>
      <c r="AB2395" s="49"/>
      <c r="AC2395" s="49"/>
      <c r="AD2395" s="49"/>
      <c r="AE2395" s="49"/>
      <c r="AF2395" s="49"/>
      <c r="AG2395" s="49"/>
      <c r="AH2395" s="49"/>
      <c r="AI2395" s="48"/>
      <c r="AJ2395" s="48"/>
      <c r="AK2395" s="24"/>
      <c r="AL2395" s="50"/>
      <c r="AM2395" s="50"/>
      <c r="AN2395" s="50"/>
      <c r="AO2395" s="50"/>
      <c r="AP2395" s="50"/>
      <c r="AQ2395" s="50"/>
      <c r="AR2395" s="50"/>
      <c r="AS2395" s="50"/>
      <c r="AT2395" s="51"/>
      <c r="AU2395" s="51"/>
      <c r="AV2395" s="51"/>
      <c r="AW2395" s="51"/>
      <c r="AX2395" s="50"/>
      <c r="AY2395" s="50"/>
      <c r="AZ2395" s="50"/>
      <c r="BA2395" s="50"/>
      <c r="BB2395" s="51"/>
      <c r="BC2395" s="51"/>
      <c r="BD2395" s="51"/>
      <c r="BE2395" s="51"/>
      <c r="BF2395" s="47"/>
      <c r="BG2395" s="47"/>
      <c r="BH2395" s="47"/>
      <c r="BI2395" s="47"/>
      <c r="BJ2395" s="47"/>
      <c r="BK2395" s="47"/>
      <c r="BL2395" s="47"/>
      <c r="BM2395" s="47"/>
      <c r="BN2395" s="47"/>
      <c r="BO2395" s="47"/>
      <c r="BP2395" s="47"/>
      <c r="BQ2395" s="47"/>
      <c r="BR2395" s="47"/>
      <c r="BS2395" s="47"/>
      <c r="BT2395" s="47"/>
    </row>
    <row r="2396">
      <c r="A2396" s="24"/>
      <c r="B2396" s="48"/>
      <c r="C2396" s="49"/>
      <c r="D2396" s="24"/>
      <c r="E2396" s="52"/>
      <c r="F2396" s="53"/>
      <c r="G2396" s="48"/>
      <c r="H2396" s="49"/>
      <c r="I2396" s="49"/>
      <c r="J2396" s="48"/>
      <c r="K2396" s="48"/>
      <c r="L2396" s="48"/>
      <c r="M2396" s="48"/>
      <c r="N2396" s="48"/>
      <c r="O2396" s="48"/>
      <c r="P2396" s="48"/>
      <c r="Q2396" s="48"/>
      <c r="R2396" s="48"/>
      <c r="S2396" s="48"/>
      <c r="T2396" s="48"/>
      <c r="U2396" s="48"/>
      <c r="V2396" s="48"/>
      <c r="W2396" s="49"/>
      <c r="X2396" s="49"/>
      <c r="Y2396" s="49"/>
      <c r="Z2396" s="49"/>
      <c r="AA2396" s="49"/>
      <c r="AB2396" s="49"/>
      <c r="AC2396" s="49"/>
      <c r="AD2396" s="49"/>
      <c r="AE2396" s="49"/>
      <c r="AF2396" s="49"/>
      <c r="AG2396" s="49"/>
      <c r="AH2396" s="49"/>
      <c r="AI2396" s="48"/>
      <c r="AJ2396" s="48"/>
      <c r="AK2396" s="24"/>
      <c r="AL2396" s="50"/>
      <c r="AM2396" s="50"/>
      <c r="AN2396" s="50"/>
      <c r="AO2396" s="50"/>
      <c r="AP2396" s="50"/>
      <c r="AQ2396" s="50"/>
      <c r="AR2396" s="50"/>
      <c r="AS2396" s="50"/>
      <c r="AT2396" s="51"/>
      <c r="AU2396" s="51"/>
      <c r="AV2396" s="51"/>
      <c r="AW2396" s="51"/>
      <c r="AX2396" s="50"/>
      <c r="AY2396" s="50"/>
      <c r="AZ2396" s="50"/>
      <c r="BA2396" s="50"/>
      <c r="BB2396" s="51"/>
      <c r="BC2396" s="51"/>
      <c r="BD2396" s="51"/>
      <c r="BE2396" s="51"/>
      <c r="BF2396" s="47"/>
      <c r="BG2396" s="47"/>
      <c r="BH2396" s="47"/>
      <c r="BI2396" s="47"/>
      <c r="BJ2396" s="47"/>
      <c r="BK2396" s="47"/>
      <c r="BL2396" s="47"/>
      <c r="BM2396" s="47"/>
      <c r="BN2396" s="47"/>
      <c r="BO2396" s="47"/>
      <c r="BP2396" s="47"/>
      <c r="BQ2396" s="47"/>
      <c r="BR2396" s="47"/>
      <c r="BS2396" s="47"/>
      <c r="BT2396" s="47"/>
    </row>
    <row r="2397">
      <c r="A2397" s="24"/>
      <c r="B2397" s="48"/>
      <c r="C2397" s="49"/>
      <c r="D2397" s="24"/>
      <c r="E2397" s="52"/>
      <c r="F2397" s="53"/>
      <c r="G2397" s="48"/>
      <c r="H2397" s="49"/>
      <c r="I2397" s="49"/>
      <c r="J2397" s="48"/>
      <c r="K2397" s="48"/>
      <c r="L2397" s="48"/>
      <c r="M2397" s="48"/>
      <c r="N2397" s="48"/>
      <c r="O2397" s="48"/>
      <c r="P2397" s="48"/>
      <c r="Q2397" s="48"/>
      <c r="R2397" s="48"/>
      <c r="S2397" s="48"/>
      <c r="T2397" s="48"/>
      <c r="U2397" s="48"/>
      <c r="V2397" s="48"/>
      <c r="W2397" s="49"/>
      <c r="X2397" s="49"/>
      <c r="Y2397" s="49"/>
      <c r="Z2397" s="49"/>
      <c r="AA2397" s="49"/>
      <c r="AB2397" s="49"/>
      <c r="AC2397" s="49"/>
      <c r="AD2397" s="49"/>
      <c r="AE2397" s="49"/>
      <c r="AF2397" s="49"/>
      <c r="AG2397" s="49"/>
      <c r="AH2397" s="49"/>
      <c r="AI2397" s="48"/>
      <c r="AJ2397" s="48"/>
      <c r="AK2397" s="24"/>
      <c r="AL2397" s="50"/>
      <c r="AM2397" s="50"/>
      <c r="AN2397" s="50"/>
      <c r="AO2397" s="50"/>
      <c r="AP2397" s="50"/>
      <c r="AQ2397" s="50"/>
      <c r="AR2397" s="50"/>
      <c r="AS2397" s="50"/>
      <c r="AT2397" s="51"/>
      <c r="AU2397" s="51"/>
      <c r="AV2397" s="51"/>
      <c r="AW2397" s="51"/>
      <c r="AX2397" s="50"/>
      <c r="AY2397" s="50"/>
      <c r="AZ2397" s="50"/>
      <c r="BA2397" s="50"/>
      <c r="BB2397" s="51"/>
      <c r="BC2397" s="51"/>
      <c r="BD2397" s="51"/>
      <c r="BE2397" s="51"/>
      <c r="BF2397" s="47"/>
      <c r="BG2397" s="47"/>
      <c r="BH2397" s="47"/>
      <c r="BI2397" s="47"/>
      <c r="BJ2397" s="47"/>
      <c r="BK2397" s="47"/>
      <c r="BL2397" s="47"/>
      <c r="BM2397" s="47"/>
      <c r="BN2397" s="47"/>
      <c r="BO2397" s="47"/>
      <c r="BP2397" s="47"/>
      <c r="BQ2397" s="47"/>
      <c r="BR2397" s="47"/>
      <c r="BS2397" s="47"/>
      <c r="BT2397" s="47"/>
    </row>
    <row r="2398">
      <c r="A2398" s="24"/>
      <c r="B2398" s="48"/>
      <c r="C2398" s="49"/>
      <c r="D2398" s="24"/>
      <c r="E2398" s="52"/>
      <c r="F2398" s="53"/>
      <c r="G2398" s="48"/>
      <c r="H2398" s="49"/>
      <c r="I2398" s="49"/>
      <c r="J2398" s="48"/>
      <c r="K2398" s="48"/>
      <c r="L2398" s="48"/>
      <c r="M2398" s="48"/>
      <c r="N2398" s="48"/>
      <c r="O2398" s="48"/>
      <c r="P2398" s="48"/>
      <c r="Q2398" s="48"/>
      <c r="R2398" s="48"/>
      <c r="S2398" s="48"/>
      <c r="T2398" s="48"/>
      <c r="U2398" s="48"/>
      <c r="V2398" s="48"/>
      <c r="W2398" s="49"/>
      <c r="X2398" s="49"/>
      <c r="Y2398" s="49"/>
      <c r="Z2398" s="49"/>
      <c r="AA2398" s="49"/>
      <c r="AB2398" s="49"/>
      <c r="AC2398" s="49"/>
      <c r="AD2398" s="49"/>
      <c r="AE2398" s="49"/>
      <c r="AF2398" s="49"/>
      <c r="AG2398" s="49"/>
      <c r="AH2398" s="49"/>
      <c r="AI2398" s="48"/>
      <c r="AJ2398" s="48"/>
      <c r="AK2398" s="24"/>
      <c r="AL2398" s="50"/>
      <c r="AM2398" s="50"/>
      <c r="AN2398" s="50"/>
      <c r="AO2398" s="50"/>
      <c r="AP2398" s="50"/>
      <c r="AQ2398" s="50"/>
      <c r="AR2398" s="50"/>
      <c r="AS2398" s="50"/>
      <c r="AT2398" s="51"/>
      <c r="AU2398" s="51"/>
      <c r="AV2398" s="51"/>
      <c r="AW2398" s="51"/>
      <c r="AX2398" s="50"/>
      <c r="AY2398" s="50"/>
      <c r="AZ2398" s="50"/>
      <c r="BA2398" s="50"/>
      <c r="BB2398" s="51"/>
      <c r="BC2398" s="51"/>
      <c r="BD2398" s="51"/>
      <c r="BE2398" s="51"/>
      <c r="BF2398" s="47"/>
      <c r="BG2398" s="47"/>
      <c r="BH2398" s="47"/>
      <c r="BI2398" s="47"/>
      <c r="BJ2398" s="47"/>
      <c r="BK2398" s="47"/>
      <c r="BL2398" s="47"/>
      <c r="BM2398" s="47"/>
      <c r="BN2398" s="47"/>
      <c r="BO2398" s="47"/>
      <c r="BP2398" s="47"/>
      <c r="BQ2398" s="47"/>
      <c r="BR2398" s="47"/>
      <c r="BS2398" s="47"/>
      <c r="BT2398" s="47"/>
    </row>
    <row r="2399">
      <c r="A2399" s="24"/>
      <c r="B2399" s="48"/>
      <c r="C2399" s="49"/>
      <c r="D2399" s="24"/>
      <c r="E2399" s="52"/>
      <c r="F2399" s="53"/>
      <c r="G2399" s="48"/>
      <c r="H2399" s="49"/>
      <c r="I2399" s="49"/>
      <c r="J2399" s="48"/>
      <c r="K2399" s="48"/>
      <c r="L2399" s="48"/>
      <c r="M2399" s="48"/>
      <c r="N2399" s="48"/>
      <c r="O2399" s="48"/>
      <c r="P2399" s="48"/>
      <c r="Q2399" s="48"/>
      <c r="R2399" s="48"/>
      <c r="S2399" s="48"/>
      <c r="T2399" s="48"/>
      <c r="U2399" s="48"/>
      <c r="V2399" s="48"/>
      <c r="W2399" s="49"/>
      <c r="X2399" s="49"/>
      <c r="Y2399" s="49"/>
      <c r="Z2399" s="49"/>
      <c r="AA2399" s="49"/>
      <c r="AB2399" s="49"/>
      <c r="AC2399" s="49"/>
      <c r="AD2399" s="49"/>
      <c r="AE2399" s="49"/>
      <c r="AF2399" s="49"/>
      <c r="AG2399" s="49"/>
      <c r="AH2399" s="49"/>
      <c r="AI2399" s="48"/>
      <c r="AJ2399" s="48"/>
      <c r="AK2399" s="24"/>
      <c r="AL2399" s="50"/>
      <c r="AM2399" s="50"/>
      <c r="AN2399" s="50"/>
      <c r="AO2399" s="50"/>
      <c r="AP2399" s="50"/>
      <c r="AQ2399" s="50"/>
      <c r="AR2399" s="50"/>
      <c r="AS2399" s="50"/>
      <c r="AT2399" s="51"/>
      <c r="AU2399" s="51"/>
      <c r="AV2399" s="51"/>
      <c r="AW2399" s="51"/>
      <c r="AX2399" s="50"/>
      <c r="AY2399" s="50"/>
      <c r="AZ2399" s="50"/>
      <c r="BA2399" s="50"/>
      <c r="BB2399" s="51"/>
      <c r="BC2399" s="51"/>
      <c r="BD2399" s="51"/>
      <c r="BE2399" s="51"/>
      <c r="BF2399" s="47"/>
      <c r="BG2399" s="47"/>
      <c r="BH2399" s="47"/>
      <c r="BI2399" s="47"/>
      <c r="BJ2399" s="47"/>
      <c r="BK2399" s="47"/>
      <c r="BL2399" s="47"/>
      <c r="BM2399" s="47"/>
      <c r="BN2399" s="47"/>
      <c r="BO2399" s="47"/>
      <c r="BP2399" s="47"/>
      <c r="BQ2399" s="47"/>
      <c r="BR2399" s="47"/>
      <c r="BS2399" s="47"/>
      <c r="BT2399" s="47"/>
    </row>
    <row r="2400">
      <c r="A2400" s="24"/>
      <c r="B2400" s="48"/>
      <c r="C2400" s="49"/>
      <c r="D2400" s="24"/>
      <c r="E2400" s="52"/>
      <c r="F2400" s="53"/>
      <c r="G2400" s="48"/>
      <c r="H2400" s="49"/>
      <c r="I2400" s="49"/>
      <c r="J2400" s="48"/>
      <c r="K2400" s="48"/>
      <c r="L2400" s="48"/>
      <c r="M2400" s="48"/>
      <c r="N2400" s="48"/>
      <c r="O2400" s="48"/>
      <c r="P2400" s="48"/>
      <c r="Q2400" s="48"/>
      <c r="R2400" s="48"/>
      <c r="S2400" s="48"/>
      <c r="T2400" s="48"/>
      <c r="U2400" s="48"/>
      <c r="V2400" s="48"/>
      <c r="W2400" s="49"/>
      <c r="X2400" s="49"/>
      <c r="Y2400" s="49"/>
      <c r="Z2400" s="49"/>
      <c r="AA2400" s="49"/>
      <c r="AB2400" s="49"/>
      <c r="AC2400" s="49"/>
      <c r="AD2400" s="49"/>
      <c r="AE2400" s="49"/>
      <c r="AF2400" s="49"/>
      <c r="AG2400" s="49"/>
      <c r="AH2400" s="49"/>
      <c r="AI2400" s="48"/>
      <c r="AJ2400" s="48"/>
      <c r="AK2400" s="24"/>
      <c r="AL2400" s="50"/>
      <c r="AM2400" s="50"/>
      <c r="AN2400" s="50"/>
      <c r="AO2400" s="50"/>
      <c r="AP2400" s="50"/>
      <c r="AQ2400" s="50"/>
      <c r="AR2400" s="50"/>
      <c r="AS2400" s="50"/>
      <c r="AT2400" s="51"/>
      <c r="AU2400" s="51"/>
      <c r="AV2400" s="51"/>
      <c r="AW2400" s="51"/>
      <c r="AX2400" s="50"/>
      <c r="AY2400" s="50"/>
      <c r="AZ2400" s="50"/>
      <c r="BA2400" s="50"/>
      <c r="BB2400" s="51"/>
      <c r="BC2400" s="51"/>
      <c r="BD2400" s="51"/>
      <c r="BE2400" s="51"/>
      <c r="BF2400" s="47"/>
      <c r="BG2400" s="47"/>
      <c r="BH2400" s="47"/>
      <c r="BI2400" s="47"/>
      <c r="BJ2400" s="47"/>
      <c r="BK2400" s="47"/>
      <c r="BL2400" s="47"/>
      <c r="BM2400" s="47"/>
      <c r="BN2400" s="47"/>
      <c r="BO2400" s="47"/>
      <c r="BP2400" s="47"/>
      <c r="BQ2400" s="47"/>
      <c r="BR2400" s="47"/>
      <c r="BS2400" s="47"/>
      <c r="BT2400" s="47"/>
    </row>
    <row r="2401">
      <c r="A2401" s="24"/>
      <c r="B2401" s="48"/>
      <c r="C2401" s="49"/>
      <c r="D2401" s="24"/>
      <c r="E2401" s="52"/>
      <c r="F2401" s="53"/>
      <c r="G2401" s="48"/>
      <c r="H2401" s="49"/>
      <c r="I2401" s="49"/>
      <c r="J2401" s="48"/>
      <c r="K2401" s="48"/>
      <c r="L2401" s="48"/>
      <c r="M2401" s="48"/>
      <c r="N2401" s="48"/>
      <c r="O2401" s="48"/>
      <c r="P2401" s="48"/>
      <c r="Q2401" s="48"/>
      <c r="R2401" s="48"/>
      <c r="S2401" s="48"/>
      <c r="T2401" s="48"/>
      <c r="U2401" s="48"/>
      <c r="V2401" s="48"/>
      <c r="W2401" s="49"/>
      <c r="X2401" s="49"/>
      <c r="Y2401" s="49"/>
      <c r="Z2401" s="49"/>
      <c r="AA2401" s="49"/>
      <c r="AB2401" s="49"/>
      <c r="AC2401" s="49"/>
      <c r="AD2401" s="49"/>
      <c r="AE2401" s="49"/>
      <c r="AF2401" s="49"/>
      <c r="AG2401" s="49"/>
      <c r="AH2401" s="49"/>
      <c r="AI2401" s="48"/>
      <c r="AJ2401" s="48"/>
      <c r="AK2401" s="24"/>
      <c r="AL2401" s="50"/>
      <c r="AM2401" s="50"/>
      <c r="AN2401" s="50"/>
      <c r="AO2401" s="50"/>
      <c r="AP2401" s="50"/>
      <c r="AQ2401" s="50"/>
      <c r="AR2401" s="50"/>
      <c r="AS2401" s="50"/>
      <c r="AT2401" s="51"/>
      <c r="AU2401" s="51"/>
      <c r="AV2401" s="51"/>
      <c r="AW2401" s="51"/>
      <c r="AX2401" s="50"/>
      <c r="AY2401" s="50"/>
      <c r="AZ2401" s="50"/>
      <c r="BA2401" s="50"/>
      <c r="BB2401" s="51"/>
      <c r="BC2401" s="51"/>
      <c r="BD2401" s="51"/>
      <c r="BE2401" s="51"/>
      <c r="BF2401" s="47"/>
      <c r="BG2401" s="47"/>
      <c r="BH2401" s="47"/>
      <c r="BI2401" s="47"/>
      <c r="BJ2401" s="47"/>
      <c r="BK2401" s="47"/>
      <c r="BL2401" s="47"/>
      <c r="BM2401" s="47"/>
      <c r="BN2401" s="47"/>
      <c r="BO2401" s="47"/>
      <c r="BP2401" s="47"/>
      <c r="BQ2401" s="47"/>
      <c r="BR2401" s="47"/>
      <c r="BS2401" s="47"/>
      <c r="BT2401" s="47"/>
    </row>
    <row r="2402">
      <c r="A2402" s="24"/>
      <c r="B2402" s="48"/>
      <c r="C2402" s="49"/>
      <c r="D2402" s="24"/>
      <c r="E2402" s="52"/>
      <c r="F2402" s="53"/>
      <c r="G2402" s="48"/>
      <c r="H2402" s="49"/>
      <c r="I2402" s="49"/>
      <c r="J2402" s="48"/>
      <c r="K2402" s="48"/>
      <c r="L2402" s="48"/>
      <c r="M2402" s="48"/>
      <c r="N2402" s="48"/>
      <c r="O2402" s="48"/>
      <c r="P2402" s="48"/>
      <c r="Q2402" s="48"/>
      <c r="R2402" s="48"/>
      <c r="S2402" s="48"/>
      <c r="T2402" s="48"/>
      <c r="U2402" s="48"/>
      <c r="V2402" s="48"/>
      <c r="W2402" s="49"/>
      <c r="X2402" s="49"/>
      <c r="Y2402" s="49"/>
      <c r="Z2402" s="49"/>
      <c r="AA2402" s="49"/>
      <c r="AB2402" s="49"/>
      <c r="AC2402" s="49"/>
      <c r="AD2402" s="49"/>
      <c r="AE2402" s="49"/>
      <c r="AF2402" s="49"/>
      <c r="AG2402" s="49"/>
      <c r="AH2402" s="49"/>
      <c r="AI2402" s="48"/>
      <c r="AJ2402" s="48"/>
      <c r="AK2402" s="24"/>
      <c r="AL2402" s="50"/>
      <c r="AM2402" s="50"/>
      <c r="AN2402" s="50"/>
      <c r="AO2402" s="50"/>
      <c r="AP2402" s="50"/>
      <c r="AQ2402" s="50"/>
      <c r="AR2402" s="50"/>
      <c r="AS2402" s="50"/>
      <c r="AT2402" s="51"/>
      <c r="AU2402" s="51"/>
      <c r="AV2402" s="51"/>
      <c r="AW2402" s="51"/>
      <c r="AX2402" s="50"/>
      <c r="AY2402" s="50"/>
      <c r="AZ2402" s="50"/>
      <c r="BA2402" s="50"/>
      <c r="BB2402" s="51"/>
      <c r="BC2402" s="51"/>
      <c r="BD2402" s="51"/>
      <c r="BE2402" s="51"/>
      <c r="BF2402" s="47"/>
      <c r="BG2402" s="47"/>
      <c r="BH2402" s="47"/>
      <c r="BI2402" s="47"/>
      <c r="BJ2402" s="47"/>
      <c r="BK2402" s="47"/>
      <c r="BL2402" s="47"/>
      <c r="BM2402" s="47"/>
      <c r="BN2402" s="47"/>
      <c r="BO2402" s="47"/>
      <c r="BP2402" s="47"/>
      <c r="BQ2402" s="47"/>
      <c r="BR2402" s="47"/>
      <c r="BS2402" s="47"/>
      <c r="BT2402" s="47"/>
    </row>
    <row r="2403">
      <c r="A2403" s="24"/>
      <c r="B2403" s="48"/>
      <c r="C2403" s="49"/>
      <c r="D2403" s="24"/>
      <c r="E2403" s="52"/>
      <c r="F2403" s="53"/>
      <c r="G2403" s="48"/>
      <c r="H2403" s="49"/>
      <c r="I2403" s="49"/>
      <c r="J2403" s="48"/>
      <c r="K2403" s="48"/>
      <c r="L2403" s="48"/>
      <c r="M2403" s="48"/>
      <c r="N2403" s="48"/>
      <c r="O2403" s="48"/>
      <c r="P2403" s="48"/>
      <c r="Q2403" s="48"/>
      <c r="R2403" s="48"/>
      <c r="S2403" s="48"/>
      <c r="T2403" s="48"/>
      <c r="U2403" s="48"/>
      <c r="V2403" s="48"/>
      <c r="W2403" s="49"/>
      <c r="X2403" s="49"/>
      <c r="Y2403" s="49"/>
      <c r="Z2403" s="49"/>
      <c r="AA2403" s="49"/>
      <c r="AB2403" s="49"/>
      <c r="AC2403" s="49"/>
      <c r="AD2403" s="49"/>
      <c r="AE2403" s="49"/>
      <c r="AF2403" s="49"/>
      <c r="AG2403" s="49"/>
      <c r="AH2403" s="49"/>
      <c r="AI2403" s="48"/>
      <c r="AJ2403" s="48"/>
      <c r="AK2403" s="24"/>
      <c r="AL2403" s="50"/>
      <c r="AM2403" s="50"/>
      <c r="AN2403" s="50"/>
      <c r="AO2403" s="50"/>
      <c r="AP2403" s="50"/>
      <c r="AQ2403" s="50"/>
      <c r="AR2403" s="50"/>
      <c r="AS2403" s="50"/>
      <c r="AT2403" s="51"/>
      <c r="AU2403" s="51"/>
      <c r="AV2403" s="51"/>
      <c r="AW2403" s="51"/>
      <c r="AX2403" s="50"/>
      <c r="AY2403" s="50"/>
      <c r="AZ2403" s="50"/>
      <c r="BA2403" s="50"/>
      <c r="BB2403" s="51"/>
      <c r="BC2403" s="51"/>
      <c r="BD2403" s="51"/>
      <c r="BE2403" s="51"/>
      <c r="BF2403" s="47"/>
      <c r="BG2403" s="47"/>
      <c r="BH2403" s="47"/>
      <c r="BI2403" s="47"/>
      <c r="BJ2403" s="47"/>
      <c r="BK2403" s="47"/>
      <c r="BL2403" s="47"/>
      <c r="BM2403" s="47"/>
      <c r="BN2403" s="47"/>
      <c r="BO2403" s="47"/>
      <c r="BP2403" s="47"/>
      <c r="BQ2403" s="47"/>
      <c r="BR2403" s="47"/>
      <c r="BS2403" s="47"/>
      <c r="BT2403" s="47"/>
    </row>
    <row r="2404">
      <c r="A2404" s="24"/>
      <c r="B2404" s="48"/>
      <c r="C2404" s="49"/>
      <c r="D2404" s="24"/>
      <c r="E2404" s="52"/>
      <c r="F2404" s="53"/>
      <c r="G2404" s="48"/>
      <c r="H2404" s="49"/>
      <c r="I2404" s="49"/>
      <c r="J2404" s="48"/>
      <c r="K2404" s="48"/>
      <c r="L2404" s="48"/>
      <c r="M2404" s="48"/>
      <c r="N2404" s="48"/>
      <c r="O2404" s="48"/>
      <c r="P2404" s="48"/>
      <c r="Q2404" s="48"/>
      <c r="R2404" s="48"/>
      <c r="S2404" s="48"/>
      <c r="T2404" s="48"/>
      <c r="U2404" s="48"/>
      <c r="V2404" s="48"/>
      <c r="W2404" s="49"/>
      <c r="X2404" s="49"/>
      <c r="Y2404" s="49"/>
      <c r="Z2404" s="49"/>
      <c r="AA2404" s="49"/>
      <c r="AB2404" s="49"/>
      <c r="AC2404" s="49"/>
      <c r="AD2404" s="49"/>
      <c r="AE2404" s="49"/>
      <c r="AF2404" s="49"/>
      <c r="AG2404" s="49"/>
      <c r="AH2404" s="49"/>
      <c r="AI2404" s="48"/>
      <c r="AJ2404" s="48"/>
      <c r="AK2404" s="24"/>
      <c r="AL2404" s="50"/>
      <c r="AM2404" s="50"/>
      <c r="AN2404" s="50"/>
      <c r="AO2404" s="50"/>
      <c r="AP2404" s="50"/>
      <c r="AQ2404" s="50"/>
      <c r="AR2404" s="50"/>
      <c r="AS2404" s="50"/>
      <c r="AT2404" s="51"/>
      <c r="AU2404" s="51"/>
      <c r="AV2404" s="51"/>
      <c r="AW2404" s="51"/>
      <c r="AX2404" s="50"/>
      <c r="AY2404" s="50"/>
      <c r="AZ2404" s="50"/>
      <c r="BA2404" s="50"/>
      <c r="BB2404" s="51"/>
      <c r="BC2404" s="51"/>
      <c r="BD2404" s="51"/>
      <c r="BE2404" s="51"/>
      <c r="BF2404" s="47"/>
      <c r="BG2404" s="47"/>
      <c r="BH2404" s="47"/>
      <c r="BI2404" s="47"/>
      <c r="BJ2404" s="47"/>
      <c r="BK2404" s="47"/>
      <c r="BL2404" s="47"/>
      <c r="BM2404" s="47"/>
      <c r="BN2404" s="47"/>
      <c r="BO2404" s="47"/>
      <c r="BP2404" s="47"/>
      <c r="BQ2404" s="47"/>
      <c r="BR2404" s="47"/>
      <c r="BS2404" s="47"/>
      <c r="BT2404" s="47"/>
    </row>
    <row r="2405">
      <c r="A2405" s="24"/>
      <c r="B2405" s="48"/>
      <c r="C2405" s="49"/>
      <c r="D2405" s="24"/>
      <c r="E2405" s="52"/>
      <c r="F2405" s="53"/>
      <c r="G2405" s="48"/>
      <c r="H2405" s="49"/>
      <c r="I2405" s="49"/>
      <c r="J2405" s="48"/>
      <c r="K2405" s="48"/>
      <c r="L2405" s="48"/>
      <c r="M2405" s="48"/>
      <c r="N2405" s="48"/>
      <c r="O2405" s="48"/>
      <c r="P2405" s="48"/>
      <c r="Q2405" s="48"/>
      <c r="R2405" s="48"/>
      <c r="S2405" s="48"/>
      <c r="T2405" s="48"/>
      <c r="U2405" s="48"/>
      <c r="V2405" s="48"/>
      <c r="W2405" s="49"/>
      <c r="X2405" s="49"/>
      <c r="Y2405" s="49"/>
      <c r="Z2405" s="49"/>
      <c r="AA2405" s="49"/>
      <c r="AB2405" s="49"/>
      <c r="AC2405" s="49"/>
      <c r="AD2405" s="49"/>
      <c r="AE2405" s="49"/>
      <c r="AF2405" s="49"/>
      <c r="AG2405" s="49"/>
      <c r="AH2405" s="49"/>
      <c r="AI2405" s="48"/>
      <c r="AJ2405" s="48"/>
      <c r="AK2405" s="24"/>
      <c r="AL2405" s="50"/>
      <c r="AM2405" s="50"/>
      <c r="AN2405" s="50"/>
      <c r="AO2405" s="50"/>
      <c r="AP2405" s="50"/>
      <c r="AQ2405" s="50"/>
      <c r="AR2405" s="50"/>
      <c r="AS2405" s="50"/>
      <c r="AT2405" s="51"/>
      <c r="AU2405" s="51"/>
      <c r="AV2405" s="51"/>
      <c r="AW2405" s="51"/>
      <c r="AX2405" s="50"/>
      <c r="AY2405" s="50"/>
      <c r="AZ2405" s="50"/>
      <c r="BA2405" s="50"/>
      <c r="BB2405" s="51"/>
      <c r="BC2405" s="51"/>
      <c r="BD2405" s="51"/>
      <c r="BE2405" s="51"/>
      <c r="BF2405" s="47"/>
      <c r="BG2405" s="47"/>
      <c r="BH2405" s="47"/>
      <c r="BI2405" s="47"/>
      <c r="BJ2405" s="47"/>
      <c r="BK2405" s="47"/>
      <c r="BL2405" s="47"/>
      <c r="BM2405" s="47"/>
      <c r="BN2405" s="47"/>
      <c r="BO2405" s="47"/>
      <c r="BP2405" s="47"/>
      <c r="BQ2405" s="47"/>
      <c r="BR2405" s="47"/>
      <c r="BS2405" s="47"/>
      <c r="BT2405" s="47"/>
    </row>
    <row r="2406">
      <c r="A2406" s="24"/>
      <c r="B2406" s="48"/>
      <c r="C2406" s="49"/>
      <c r="D2406" s="24"/>
      <c r="E2406" s="52"/>
      <c r="F2406" s="53"/>
      <c r="G2406" s="48"/>
      <c r="H2406" s="49"/>
      <c r="I2406" s="49"/>
      <c r="J2406" s="48"/>
      <c r="K2406" s="48"/>
      <c r="L2406" s="48"/>
      <c r="M2406" s="48"/>
      <c r="N2406" s="48"/>
      <c r="O2406" s="48"/>
      <c r="P2406" s="48"/>
      <c r="Q2406" s="48"/>
      <c r="R2406" s="48"/>
      <c r="S2406" s="48"/>
      <c r="T2406" s="48"/>
      <c r="U2406" s="48"/>
      <c r="V2406" s="48"/>
      <c r="W2406" s="49"/>
      <c r="X2406" s="49"/>
      <c r="Y2406" s="49"/>
      <c r="Z2406" s="49"/>
      <c r="AA2406" s="49"/>
      <c r="AB2406" s="49"/>
      <c r="AC2406" s="49"/>
      <c r="AD2406" s="49"/>
      <c r="AE2406" s="49"/>
      <c r="AF2406" s="49"/>
      <c r="AG2406" s="49"/>
      <c r="AH2406" s="49"/>
      <c r="AI2406" s="48"/>
      <c r="AJ2406" s="48"/>
      <c r="AK2406" s="24"/>
      <c r="AL2406" s="50"/>
      <c r="AM2406" s="50"/>
      <c r="AN2406" s="50"/>
      <c r="AO2406" s="50"/>
      <c r="AP2406" s="50"/>
      <c r="AQ2406" s="50"/>
      <c r="AR2406" s="50"/>
      <c r="AS2406" s="50"/>
      <c r="AT2406" s="51"/>
      <c r="AU2406" s="51"/>
      <c r="AV2406" s="51"/>
      <c r="AW2406" s="51"/>
      <c r="AX2406" s="50"/>
      <c r="AY2406" s="50"/>
      <c r="AZ2406" s="50"/>
      <c r="BA2406" s="50"/>
      <c r="BB2406" s="51"/>
      <c r="BC2406" s="51"/>
      <c r="BD2406" s="51"/>
      <c r="BE2406" s="51"/>
      <c r="BF2406" s="47"/>
      <c r="BG2406" s="47"/>
      <c r="BH2406" s="47"/>
      <c r="BI2406" s="47"/>
      <c r="BJ2406" s="47"/>
      <c r="BK2406" s="47"/>
      <c r="BL2406" s="47"/>
      <c r="BM2406" s="47"/>
      <c r="BN2406" s="47"/>
      <c r="BO2406" s="47"/>
      <c r="BP2406" s="47"/>
      <c r="BQ2406" s="47"/>
      <c r="BR2406" s="47"/>
      <c r="BS2406" s="47"/>
      <c r="BT2406" s="47"/>
    </row>
    <row r="2407">
      <c r="A2407" s="24"/>
      <c r="B2407" s="48"/>
      <c r="C2407" s="49"/>
      <c r="D2407" s="24"/>
      <c r="E2407" s="52"/>
      <c r="F2407" s="53"/>
      <c r="G2407" s="48"/>
      <c r="H2407" s="49"/>
      <c r="I2407" s="49"/>
      <c r="J2407" s="48"/>
      <c r="K2407" s="48"/>
      <c r="L2407" s="48"/>
      <c r="M2407" s="48"/>
      <c r="N2407" s="48"/>
      <c r="O2407" s="48"/>
      <c r="P2407" s="48"/>
      <c r="Q2407" s="48"/>
      <c r="R2407" s="48"/>
      <c r="S2407" s="48"/>
      <c r="T2407" s="48"/>
      <c r="U2407" s="48"/>
      <c r="V2407" s="48"/>
      <c r="W2407" s="49"/>
      <c r="X2407" s="49"/>
      <c r="Y2407" s="49"/>
      <c r="Z2407" s="49"/>
      <c r="AA2407" s="49"/>
      <c r="AB2407" s="49"/>
      <c r="AC2407" s="49"/>
      <c r="AD2407" s="49"/>
      <c r="AE2407" s="49"/>
      <c r="AF2407" s="49"/>
      <c r="AG2407" s="49"/>
      <c r="AH2407" s="49"/>
      <c r="AI2407" s="48"/>
      <c r="AJ2407" s="48"/>
      <c r="AK2407" s="24"/>
      <c r="AL2407" s="50"/>
      <c r="AM2407" s="50"/>
      <c r="AN2407" s="50"/>
      <c r="AO2407" s="50"/>
      <c r="AP2407" s="50"/>
      <c r="AQ2407" s="50"/>
      <c r="AR2407" s="50"/>
      <c r="AS2407" s="50"/>
      <c r="AT2407" s="51"/>
      <c r="AU2407" s="51"/>
      <c r="AV2407" s="51"/>
      <c r="AW2407" s="51"/>
      <c r="AX2407" s="50"/>
      <c r="AY2407" s="50"/>
      <c r="AZ2407" s="50"/>
      <c r="BA2407" s="50"/>
      <c r="BB2407" s="51"/>
      <c r="BC2407" s="51"/>
      <c r="BD2407" s="51"/>
      <c r="BE2407" s="51"/>
      <c r="BF2407" s="47"/>
      <c r="BG2407" s="47"/>
      <c r="BH2407" s="47"/>
      <c r="BI2407" s="47"/>
      <c r="BJ2407" s="47"/>
      <c r="BK2407" s="47"/>
      <c r="BL2407" s="47"/>
      <c r="BM2407" s="47"/>
      <c r="BN2407" s="47"/>
      <c r="BO2407" s="47"/>
      <c r="BP2407" s="47"/>
      <c r="BQ2407" s="47"/>
      <c r="BR2407" s="47"/>
      <c r="BS2407" s="47"/>
      <c r="BT2407" s="47"/>
    </row>
    <row r="2408">
      <c r="A2408" s="24"/>
      <c r="B2408" s="48"/>
      <c r="C2408" s="49"/>
      <c r="D2408" s="24"/>
      <c r="E2408" s="52"/>
      <c r="F2408" s="53"/>
      <c r="G2408" s="48"/>
      <c r="H2408" s="49"/>
      <c r="I2408" s="49"/>
      <c r="J2408" s="48"/>
      <c r="K2408" s="48"/>
      <c r="L2408" s="48"/>
      <c r="M2408" s="48"/>
      <c r="N2408" s="48"/>
      <c r="O2408" s="48"/>
      <c r="P2408" s="48"/>
      <c r="Q2408" s="48"/>
      <c r="R2408" s="48"/>
      <c r="S2408" s="48"/>
      <c r="T2408" s="48"/>
      <c r="U2408" s="48"/>
      <c r="V2408" s="48"/>
      <c r="W2408" s="49"/>
      <c r="X2408" s="49"/>
      <c r="Y2408" s="49"/>
      <c r="Z2408" s="49"/>
      <c r="AA2408" s="49"/>
      <c r="AB2408" s="49"/>
      <c r="AC2408" s="49"/>
      <c r="AD2408" s="49"/>
      <c r="AE2408" s="49"/>
      <c r="AF2408" s="49"/>
      <c r="AG2408" s="49"/>
      <c r="AH2408" s="49"/>
      <c r="AI2408" s="48"/>
      <c r="AJ2408" s="48"/>
      <c r="AK2408" s="24"/>
      <c r="AL2408" s="50"/>
      <c r="AM2408" s="50"/>
      <c r="AN2408" s="50"/>
      <c r="AO2408" s="50"/>
      <c r="AP2408" s="50"/>
      <c r="AQ2408" s="50"/>
      <c r="AR2408" s="50"/>
      <c r="AS2408" s="50"/>
      <c r="AT2408" s="51"/>
      <c r="AU2408" s="51"/>
      <c r="AV2408" s="51"/>
      <c r="AW2408" s="51"/>
      <c r="AX2408" s="50"/>
      <c r="AY2408" s="50"/>
      <c r="AZ2408" s="50"/>
      <c r="BA2408" s="50"/>
      <c r="BB2408" s="51"/>
      <c r="BC2408" s="51"/>
      <c r="BD2408" s="51"/>
      <c r="BE2408" s="51"/>
      <c r="BF2408" s="47"/>
      <c r="BG2408" s="47"/>
      <c r="BH2408" s="47"/>
      <c r="BI2408" s="47"/>
      <c r="BJ2408" s="47"/>
      <c r="BK2408" s="47"/>
      <c r="BL2408" s="47"/>
      <c r="BM2408" s="47"/>
      <c r="BN2408" s="47"/>
      <c r="BO2408" s="47"/>
      <c r="BP2408" s="47"/>
      <c r="BQ2408" s="47"/>
      <c r="BR2408" s="47"/>
      <c r="BS2408" s="47"/>
      <c r="BT2408" s="47"/>
    </row>
    <row r="2409">
      <c r="A2409" s="24"/>
      <c r="B2409" s="48"/>
      <c r="C2409" s="49"/>
      <c r="D2409" s="24"/>
      <c r="E2409" s="52"/>
      <c r="F2409" s="53"/>
      <c r="G2409" s="48"/>
      <c r="H2409" s="49"/>
      <c r="I2409" s="49"/>
      <c r="J2409" s="48"/>
      <c r="K2409" s="48"/>
      <c r="L2409" s="48"/>
      <c r="M2409" s="48"/>
      <c r="N2409" s="48"/>
      <c r="O2409" s="48"/>
      <c r="P2409" s="48"/>
      <c r="Q2409" s="48"/>
      <c r="R2409" s="48"/>
      <c r="S2409" s="48"/>
      <c r="T2409" s="48"/>
      <c r="U2409" s="48"/>
      <c r="V2409" s="48"/>
      <c r="W2409" s="49"/>
      <c r="X2409" s="49"/>
      <c r="Y2409" s="49"/>
      <c r="Z2409" s="49"/>
      <c r="AA2409" s="49"/>
      <c r="AB2409" s="49"/>
      <c r="AC2409" s="49"/>
      <c r="AD2409" s="49"/>
      <c r="AE2409" s="49"/>
      <c r="AF2409" s="49"/>
      <c r="AG2409" s="49"/>
      <c r="AH2409" s="49"/>
      <c r="AI2409" s="48"/>
      <c r="AJ2409" s="48"/>
      <c r="AK2409" s="24"/>
      <c r="AL2409" s="50"/>
      <c r="AM2409" s="50"/>
      <c r="AN2409" s="50"/>
      <c r="AO2409" s="50"/>
      <c r="AP2409" s="50"/>
      <c r="AQ2409" s="50"/>
      <c r="AR2409" s="50"/>
      <c r="AS2409" s="50"/>
      <c r="AT2409" s="51"/>
      <c r="AU2409" s="51"/>
      <c r="AV2409" s="51"/>
      <c r="AW2409" s="51"/>
      <c r="AX2409" s="50"/>
      <c r="AY2409" s="50"/>
      <c r="AZ2409" s="50"/>
      <c r="BA2409" s="50"/>
      <c r="BB2409" s="51"/>
      <c r="BC2409" s="51"/>
      <c r="BD2409" s="51"/>
      <c r="BE2409" s="51"/>
      <c r="BF2409" s="47"/>
      <c r="BG2409" s="47"/>
      <c r="BH2409" s="47"/>
      <c r="BI2409" s="47"/>
      <c r="BJ2409" s="47"/>
      <c r="BK2409" s="47"/>
      <c r="BL2409" s="47"/>
      <c r="BM2409" s="47"/>
      <c r="BN2409" s="47"/>
      <c r="BO2409" s="47"/>
      <c r="BP2409" s="47"/>
      <c r="BQ2409" s="47"/>
      <c r="BR2409" s="47"/>
      <c r="BS2409" s="47"/>
      <c r="BT2409" s="47"/>
    </row>
    <row r="2410">
      <c r="A2410" s="24"/>
      <c r="B2410" s="48"/>
      <c r="C2410" s="49"/>
      <c r="D2410" s="24"/>
      <c r="E2410" s="52"/>
      <c r="F2410" s="53"/>
      <c r="G2410" s="48"/>
      <c r="H2410" s="49"/>
      <c r="I2410" s="49"/>
      <c r="J2410" s="48"/>
      <c r="K2410" s="48"/>
      <c r="L2410" s="48"/>
      <c r="M2410" s="48"/>
      <c r="N2410" s="48"/>
      <c r="O2410" s="48"/>
      <c r="P2410" s="48"/>
      <c r="Q2410" s="48"/>
      <c r="R2410" s="48"/>
      <c r="S2410" s="48"/>
      <c r="T2410" s="48"/>
      <c r="U2410" s="48"/>
      <c r="V2410" s="48"/>
      <c r="W2410" s="49"/>
      <c r="X2410" s="49"/>
      <c r="Y2410" s="49"/>
      <c r="Z2410" s="49"/>
      <c r="AA2410" s="49"/>
      <c r="AB2410" s="49"/>
      <c r="AC2410" s="49"/>
      <c r="AD2410" s="49"/>
      <c r="AE2410" s="49"/>
      <c r="AF2410" s="49"/>
      <c r="AG2410" s="49"/>
      <c r="AH2410" s="49"/>
      <c r="AI2410" s="48"/>
      <c r="AJ2410" s="48"/>
      <c r="AK2410" s="24"/>
      <c r="AL2410" s="50"/>
      <c r="AM2410" s="50"/>
      <c r="AN2410" s="50"/>
      <c r="AO2410" s="50"/>
      <c r="AP2410" s="50"/>
      <c r="AQ2410" s="50"/>
      <c r="AR2410" s="50"/>
      <c r="AS2410" s="50"/>
      <c r="AT2410" s="51"/>
      <c r="AU2410" s="51"/>
      <c r="AV2410" s="51"/>
      <c r="AW2410" s="51"/>
      <c r="AX2410" s="50"/>
      <c r="AY2410" s="50"/>
      <c r="AZ2410" s="50"/>
      <c r="BA2410" s="50"/>
      <c r="BB2410" s="51"/>
      <c r="BC2410" s="51"/>
      <c r="BD2410" s="51"/>
      <c r="BE2410" s="51"/>
      <c r="BF2410" s="47"/>
      <c r="BG2410" s="47"/>
      <c r="BH2410" s="47"/>
      <c r="BI2410" s="47"/>
      <c r="BJ2410" s="47"/>
      <c r="BK2410" s="47"/>
      <c r="BL2410" s="47"/>
      <c r="BM2410" s="47"/>
      <c r="BN2410" s="47"/>
      <c r="BO2410" s="47"/>
      <c r="BP2410" s="47"/>
      <c r="BQ2410" s="47"/>
      <c r="BR2410" s="47"/>
      <c r="BS2410" s="47"/>
      <c r="BT2410" s="47"/>
    </row>
    <row r="2411">
      <c r="A2411" s="24"/>
      <c r="B2411" s="48"/>
      <c r="C2411" s="49"/>
      <c r="D2411" s="24"/>
      <c r="E2411" s="52"/>
      <c r="F2411" s="53"/>
      <c r="G2411" s="48"/>
      <c r="H2411" s="49"/>
      <c r="I2411" s="49"/>
      <c r="J2411" s="48"/>
      <c r="K2411" s="48"/>
      <c r="L2411" s="48"/>
      <c r="M2411" s="48"/>
      <c r="N2411" s="48"/>
      <c r="O2411" s="48"/>
      <c r="P2411" s="48"/>
      <c r="Q2411" s="48"/>
      <c r="R2411" s="48"/>
      <c r="S2411" s="48"/>
      <c r="T2411" s="48"/>
      <c r="U2411" s="48"/>
      <c r="V2411" s="48"/>
      <c r="W2411" s="49"/>
      <c r="X2411" s="49"/>
      <c r="Y2411" s="49"/>
      <c r="Z2411" s="49"/>
      <c r="AA2411" s="49"/>
      <c r="AB2411" s="49"/>
      <c r="AC2411" s="49"/>
      <c r="AD2411" s="49"/>
      <c r="AE2411" s="49"/>
      <c r="AF2411" s="49"/>
      <c r="AG2411" s="49"/>
      <c r="AH2411" s="49"/>
      <c r="AI2411" s="48"/>
      <c r="AJ2411" s="48"/>
      <c r="AK2411" s="24"/>
      <c r="AL2411" s="50"/>
      <c r="AM2411" s="50"/>
      <c r="AN2411" s="50"/>
      <c r="AO2411" s="50"/>
      <c r="AP2411" s="50"/>
      <c r="AQ2411" s="50"/>
      <c r="AR2411" s="50"/>
      <c r="AS2411" s="50"/>
      <c r="AT2411" s="51"/>
      <c r="AU2411" s="51"/>
      <c r="AV2411" s="51"/>
      <c r="AW2411" s="51"/>
      <c r="AX2411" s="50"/>
      <c r="AY2411" s="50"/>
      <c r="AZ2411" s="50"/>
      <c r="BA2411" s="50"/>
      <c r="BB2411" s="51"/>
      <c r="BC2411" s="51"/>
      <c r="BD2411" s="51"/>
      <c r="BE2411" s="51"/>
      <c r="BF2411" s="47"/>
      <c r="BG2411" s="47"/>
      <c r="BH2411" s="47"/>
      <c r="BI2411" s="47"/>
      <c r="BJ2411" s="47"/>
      <c r="BK2411" s="47"/>
      <c r="BL2411" s="47"/>
      <c r="BM2411" s="47"/>
      <c r="BN2411" s="47"/>
      <c r="BO2411" s="47"/>
      <c r="BP2411" s="47"/>
      <c r="BQ2411" s="47"/>
      <c r="BR2411" s="47"/>
      <c r="BS2411" s="47"/>
      <c r="BT2411" s="47"/>
    </row>
    <row r="2412">
      <c r="A2412" s="24"/>
      <c r="B2412" s="48"/>
      <c r="C2412" s="49"/>
      <c r="D2412" s="24"/>
      <c r="E2412" s="52"/>
      <c r="F2412" s="53"/>
      <c r="G2412" s="48"/>
      <c r="H2412" s="49"/>
      <c r="I2412" s="49"/>
      <c r="J2412" s="48"/>
      <c r="K2412" s="48"/>
      <c r="L2412" s="48"/>
      <c r="M2412" s="48"/>
      <c r="N2412" s="48"/>
      <c r="O2412" s="48"/>
      <c r="P2412" s="48"/>
      <c r="Q2412" s="48"/>
      <c r="R2412" s="48"/>
      <c r="S2412" s="48"/>
      <c r="T2412" s="48"/>
      <c r="U2412" s="48"/>
      <c r="V2412" s="48"/>
      <c r="W2412" s="49"/>
      <c r="X2412" s="49"/>
      <c r="Y2412" s="49"/>
      <c r="Z2412" s="49"/>
      <c r="AA2412" s="49"/>
      <c r="AB2412" s="49"/>
      <c r="AC2412" s="49"/>
      <c r="AD2412" s="49"/>
      <c r="AE2412" s="49"/>
      <c r="AF2412" s="49"/>
      <c r="AG2412" s="49"/>
      <c r="AH2412" s="49"/>
      <c r="AI2412" s="48"/>
      <c r="AJ2412" s="48"/>
      <c r="AK2412" s="24"/>
      <c r="AL2412" s="50"/>
      <c r="AM2412" s="50"/>
      <c r="AN2412" s="50"/>
      <c r="AO2412" s="50"/>
      <c r="AP2412" s="50"/>
      <c r="AQ2412" s="50"/>
      <c r="AR2412" s="50"/>
      <c r="AS2412" s="50"/>
      <c r="AT2412" s="51"/>
      <c r="AU2412" s="51"/>
      <c r="AV2412" s="51"/>
      <c r="AW2412" s="51"/>
      <c r="AX2412" s="50"/>
      <c r="AY2412" s="50"/>
      <c r="AZ2412" s="50"/>
      <c r="BA2412" s="50"/>
      <c r="BB2412" s="51"/>
      <c r="BC2412" s="51"/>
      <c r="BD2412" s="51"/>
      <c r="BE2412" s="51"/>
      <c r="BF2412" s="47"/>
      <c r="BG2412" s="47"/>
      <c r="BH2412" s="47"/>
      <c r="BI2412" s="47"/>
      <c r="BJ2412" s="47"/>
      <c r="BK2412" s="47"/>
      <c r="BL2412" s="47"/>
      <c r="BM2412" s="47"/>
      <c r="BN2412" s="47"/>
      <c r="BO2412" s="47"/>
      <c r="BP2412" s="47"/>
      <c r="BQ2412" s="47"/>
      <c r="BR2412" s="47"/>
      <c r="BS2412" s="47"/>
      <c r="BT2412" s="47"/>
    </row>
    <row r="2413">
      <c r="A2413" s="24"/>
      <c r="B2413" s="48"/>
      <c r="C2413" s="49"/>
      <c r="D2413" s="24"/>
      <c r="E2413" s="52"/>
      <c r="F2413" s="53"/>
      <c r="G2413" s="48"/>
      <c r="H2413" s="49"/>
      <c r="I2413" s="49"/>
      <c r="J2413" s="48"/>
      <c r="K2413" s="48"/>
      <c r="L2413" s="48"/>
      <c r="M2413" s="48"/>
      <c r="N2413" s="48"/>
      <c r="O2413" s="48"/>
      <c r="P2413" s="48"/>
      <c r="Q2413" s="48"/>
      <c r="R2413" s="48"/>
      <c r="S2413" s="48"/>
      <c r="T2413" s="48"/>
      <c r="U2413" s="48"/>
      <c r="V2413" s="48"/>
      <c r="W2413" s="49"/>
      <c r="X2413" s="49"/>
      <c r="Y2413" s="49"/>
      <c r="Z2413" s="49"/>
      <c r="AA2413" s="49"/>
      <c r="AB2413" s="49"/>
      <c r="AC2413" s="49"/>
      <c r="AD2413" s="49"/>
      <c r="AE2413" s="49"/>
      <c r="AF2413" s="49"/>
      <c r="AG2413" s="49"/>
      <c r="AH2413" s="49"/>
      <c r="AI2413" s="48"/>
      <c r="AJ2413" s="48"/>
      <c r="AK2413" s="24"/>
      <c r="AL2413" s="50"/>
      <c r="AM2413" s="50"/>
      <c r="AN2413" s="50"/>
      <c r="AO2413" s="50"/>
      <c r="AP2413" s="50"/>
      <c r="AQ2413" s="50"/>
      <c r="AR2413" s="50"/>
      <c r="AS2413" s="50"/>
      <c r="AT2413" s="51"/>
      <c r="AU2413" s="51"/>
      <c r="AV2413" s="51"/>
      <c r="AW2413" s="51"/>
      <c r="AX2413" s="50"/>
      <c r="AY2413" s="50"/>
      <c r="AZ2413" s="50"/>
      <c r="BA2413" s="50"/>
      <c r="BB2413" s="51"/>
      <c r="BC2413" s="51"/>
      <c r="BD2413" s="51"/>
      <c r="BE2413" s="51"/>
      <c r="BF2413" s="47"/>
      <c r="BG2413" s="47"/>
      <c r="BH2413" s="47"/>
      <c r="BI2413" s="47"/>
      <c r="BJ2413" s="47"/>
      <c r="BK2413" s="47"/>
      <c r="BL2413" s="47"/>
      <c r="BM2413" s="47"/>
      <c r="BN2413" s="47"/>
      <c r="BO2413" s="47"/>
      <c r="BP2413" s="47"/>
      <c r="BQ2413" s="47"/>
      <c r="BR2413" s="47"/>
      <c r="BS2413" s="47"/>
      <c r="BT2413" s="47"/>
    </row>
    <row r="2414">
      <c r="A2414" s="24"/>
      <c r="B2414" s="48"/>
      <c r="C2414" s="49"/>
      <c r="D2414" s="24"/>
      <c r="E2414" s="52"/>
      <c r="F2414" s="53"/>
      <c r="G2414" s="48"/>
      <c r="H2414" s="49"/>
      <c r="I2414" s="49"/>
      <c r="J2414" s="48"/>
      <c r="K2414" s="48"/>
      <c r="L2414" s="48"/>
      <c r="M2414" s="48"/>
      <c r="N2414" s="48"/>
      <c r="O2414" s="48"/>
      <c r="P2414" s="48"/>
      <c r="Q2414" s="48"/>
      <c r="R2414" s="48"/>
      <c r="S2414" s="48"/>
      <c r="T2414" s="48"/>
      <c r="U2414" s="48"/>
      <c r="V2414" s="48"/>
      <c r="W2414" s="49"/>
      <c r="X2414" s="49"/>
      <c r="Y2414" s="49"/>
      <c r="Z2414" s="49"/>
      <c r="AA2414" s="49"/>
      <c r="AB2414" s="49"/>
      <c r="AC2414" s="49"/>
      <c r="AD2414" s="49"/>
      <c r="AE2414" s="49"/>
      <c r="AF2414" s="49"/>
      <c r="AG2414" s="49"/>
      <c r="AH2414" s="49"/>
      <c r="AI2414" s="48"/>
      <c r="AJ2414" s="48"/>
      <c r="AK2414" s="24"/>
      <c r="AL2414" s="50"/>
      <c r="AM2414" s="50"/>
      <c r="AN2414" s="50"/>
      <c r="AO2414" s="50"/>
      <c r="AP2414" s="50"/>
      <c r="AQ2414" s="50"/>
      <c r="AR2414" s="50"/>
      <c r="AS2414" s="50"/>
      <c r="AT2414" s="51"/>
      <c r="AU2414" s="51"/>
      <c r="AV2414" s="51"/>
      <c r="AW2414" s="51"/>
      <c r="AX2414" s="50"/>
      <c r="AY2414" s="50"/>
      <c r="AZ2414" s="50"/>
      <c r="BA2414" s="50"/>
      <c r="BB2414" s="51"/>
      <c r="BC2414" s="51"/>
      <c r="BD2414" s="51"/>
      <c r="BE2414" s="51"/>
      <c r="BF2414" s="47"/>
      <c r="BG2414" s="47"/>
      <c r="BH2414" s="47"/>
      <c r="BI2414" s="47"/>
      <c r="BJ2414" s="47"/>
      <c r="BK2414" s="47"/>
      <c r="BL2414" s="47"/>
      <c r="BM2414" s="47"/>
      <c r="BN2414" s="47"/>
      <c r="BO2414" s="47"/>
      <c r="BP2414" s="47"/>
      <c r="BQ2414" s="47"/>
      <c r="BR2414" s="47"/>
      <c r="BS2414" s="47"/>
      <c r="BT2414" s="47"/>
    </row>
    <row r="2415">
      <c r="A2415" s="24"/>
      <c r="B2415" s="48"/>
      <c r="C2415" s="49"/>
      <c r="D2415" s="24"/>
      <c r="E2415" s="52"/>
      <c r="F2415" s="53"/>
      <c r="G2415" s="48"/>
      <c r="H2415" s="49"/>
      <c r="I2415" s="49"/>
      <c r="J2415" s="48"/>
      <c r="K2415" s="48"/>
      <c r="L2415" s="48"/>
      <c r="M2415" s="48"/>
      <c r="N2415" s="48"/>
      <c r="O2415" s="48"/>
      <c r="P2415" s="48"/>
      <c r="Q2415" s="48"/>
      <c r="R2415" s="48"/>
      <c r="S2415" s="48"/>
      <c r="T2415" s="48"/>
      <c r="U2415" s="48"/>
      <c r="V2415" s="48"/>
      <c r="W2415" s="49"/>
      <c r="X2415" s="49"/>
      <c r="Y2415" s="49"/>
      <c r="Z2415" s="49"/>
      <c r="AA2415" s="49"/>
      <c r="AB2415" s="49"/>
      <c r="AC2415" s="49"/>
      <c r="AD2415" s="49"/>
      <c r="AE2415" s="49"/>
      <c r="AF2415" s="49"/>
      <c r="AG2415" s="49"/>
      <c r="AH2415" s="49"/>
      <c r="AI2415" s="48"/>
      <c r="AJ2415" s="48"/>
      <c r="AK2415" s="24"/>
      <c r="AL2415" s="50"/>
      <c r="AM2415" s="50"/>
      <c r="AN2415" s="50"/>
      <c r="AO2415" s="50"/>
      <c r="AP2415" s="50"/>
      <c r="AQ2415" s="50"/>
      <c r="AR2415" s="50"/>
      <c r="AS2415" s="50"/>
      <c r="AT2415" s="51"/>
      <c r="AU2415" s="51"/>
      <c r="AV2415" s="51"/>
      <c r="AW2415" s="51"/>
      <c r="AX2415" s="50"/>
      <c r="AY2415" s="50"/>
      <c r="AZ2415" s="50"/>
      <c r="BA2415" s="50"/>
      <c r="BB2415" s="51"/>
      <c r="BC2415" s="51"/>
      <c r="BD2415" s="51"/>
      <c r="BE2415" s="51"/>
      <c r="BF2415" s="47"/>
      <c r="BG2415" s="47"/>
      <c r="BH2415" s="47"/>
      <c r="BI2415" s="47"/>
      <c r="BJ2415" s="47"/>
      <c r="BK2415" s="47"/>
      <c r="BL2415" s="47"/>
      <c r="BM2415" s="47"/>
      <c r="BN2415" s="47"/>
      <c r="BO2415" s="47"/>
      <c r="BP2415" s="47"/>
      <c r="BQ2415" s="47"/>
      <c r="BR2415" s="47"/>
      <c r="BS2415" s="47"/>
      <c r="BT2415" s="47"/>
    </row>
    <row r="2416">
      <c r="A2416" s="24"/>
      <c r="B2416" s="48"/>
      <c r="C2416" s="49"/>
      <c r="D2416" s="24"/>
      <c r="E2416" s="52"/>
      <c r="F2416" s="53"/>
      <c r="G2416" s="48"/>
      <c r="H2416" s="49"/>
      <c r="I2416" s="49"/>
      <c r="J2416" s="48"/>
      <c r="K2416" s="48"/>
      <c r="L2416" s="48"/>
      <c r="M2416" s="48"/>
      <c r="N2416" s="48"/>
      <c r="O2416" s="48"/>
      <c r="P2416" s="48"/>
      <c r="Q2416" s="48"/>
      <c r="R2416" s="48"/>
      <c r="S2416" s="48"/>
      <c r="T2416" s="48"/>
      <c r="U2416" s="48"/>
      <c r="V2416" s="48"/>
      <c r="W2416" s="49"/>
      <c r="X2416" s="49"/>
      <c r="Y2416" s="49"/>
      <c r="Z2416" s="49"/>
      <c r="AA2416" s="49"/>
      <c r="AB2416" s="49"/>
      <c r="AC2416" s="49"/>
      <c r="AD2416" s="49"/>
      <c r="AE2416" s="49"/>
      <c r="AF2416" s="49"/>
      <c r="AG2416" s="49"/>
      <c r="AH2416" s="49"/>
      <c r="AI2416" s="48"/>
      <c r="AJ2416" s="48"/>
      <c r="AK2416" s="24"/>
      <c r="AL2416" s="50"/>
      <c r="AM2416" s="50"/>
      <c r="AN2416" s="50"/>
      <c r="AO2416" s="50"/>
      <c r="AP2416" s="50"/>
      <c r="AQ2416" s="50"/>
      <c r="AR2416" s="50"/>
      <c r="AS2416" s="50"/>
      <c r="AT2416" s="51"/>
      <c r="AU2416" s="51"/>
      <c r="AV2416" s="51"/>
      <c r="AW2416" s="51"/>
      <c r="AX2416" s="50"/>
      <c r="AY2416" s="50"/>
      <c r="AZ2416" s="50"/>
      <c r="BA2416" s="50"/>
      <c r="BB2416" s="51"/>
      <c r="BC2416" s="51"/>
      <c r="BD2416" s="51"/>
      <c r="BE2416" s="51"/>
      <c r="BF2416" s="47"/>
      <c r="BG2416" s="47"/>
      <c r="BH2416" s="47"/>
      <c r="BI2416" s="47"/>
      <c r="BJ2416" s="47"/>
      <c r="BK2416" s="47"/>
      <c r="BL2416" s="47"/>
      <c r="BM2416" s="47"/>
      <c r="BN2416" s="47"/>
      <c r="BO2416" s="47"/>
      <c r="BP2416" s="47"/>
      <c r="BQ2416" s="47"/>
      <c r="BR2416" s="47"/>
      <c r="BS2416" s="47"/>
      <c r="BT2416" s="47"/>
    </row>
    <row r="2417">
      <c r="A2417" s="24"/>
      <c r="B2417" s="48"/>
      <c r="C2417" s="49"/>
      <c r="D2417" s="24"/>
      <c r="E2417" s="52"/>
      <c r="F2417" s="53"/>
      <c r="G2417" s="48"/>
      <c r="H2417" s="49"/>
      <c r="I2417" s="49"/>
      <c r="J2417" s="48"/>
      <c r="K2417" s="48"/>
      <c r="L2417" s="48"/>
      <c r="M2417" s="48"/>
      <c r="N2417" s="48"/>
      <c r="O2417" s="48"/>
      <c r="P2417" s="48"/>
      <c r="Q2417" s="48"/>
      <c r="R2417" s="48"/>
      <c r="S2417" s="48"/>
      <c r="T2417" s="48"/>
      <c r="U2417" s="48"/>
      <c r="V2417" s="48"/>
      <c r="W2417" s="49"/>
      <c r="X2417" s="49"/>
      <c r="Y2417" s="49"/>
      <c r="Z2417" s="49"/>
      <c r="AA2417" s="49"/>
      <c r="AB2417" s="49"/>
      <c r="AC2417" s="49"/>
      <c r="AD2417" s="49"/>
      <c r="AE2417" s="49"/>
      <c r="AF2417" s="49"/>
      <c r="AG2417" s="49"/>
      <c r="AH2417" s="49"/>
      <c r="AI2417" s="48"/>
      <c r="AJ2417" s="48"/>
      <c r="AK2417" s="24"/>
      <c r="AL2417" s="50"/>
      <c r="AM2417" s="50"/>
      <c r="AN2417" s="50"/>
      <c r="AO2417" s="50"/>
      <c r="AP2417" s="50"/>
      <c r="AQ2417" s="50"/>
      <c r="AR2417" s="50"/>
      <c r="AS2417" s="50"/>
      <c r="AT2417" s="51"/>
      <c r="AU2417" s="51"/>
      <c r="AV2417" s="51"/>
      <c r="AW2417" s="51"/>
      <c r="AX2417" s="50"/>
      <c r="AY2417" s="50"/>
      <c r="AZ2417" s="50"/>
      <c r="BA2417" s="50"/>
      <c r="BB2417" s="51"/>
      <c r="BC2417" s="51"/>
      <c r="BD2417" s="51"/>
      <c r="BE2417" s="51"/>
      <c r="BF2417" s="47"/>
      <c r="BG2417" s="47"/>
      <c r="BH2417" s="47"/>
      <c r="BI2417" s="47"/>
      <c r="BJ2417" s="47"/>
      <c r="BK2417" s="47"/>
      <c r="BL2417" s="47"/>
      <c r="BM2417" s="47"/>
      <c r="BN2417" s="47"/>
      <c r="BO2417" s="47"/>
      <c r="BP2417" s="47"/>
      <c r="BQ2417" s="47"/>
      <c r="BR2417" s="47"/>
      <c r="BS2417" s="47"/>
      <c r="BT2417" s="47"/>
    </row>
    <row r="2418">
      <c r="A2418" s="24"/>
      <c r="B2418" s="48"/>
      <c r="C2418" s="49"/>
      <c r="D2418" s="24"/>
      <c r="E2418" s="52"/>
      <c r="F2418" s="53"/>
      <c r="G2418" s="48"/>
      <c r="H2418" s="49"/>
      <c r="I2418" s="49"/>
      <c r="J2418" s="48"/>
      <c r="K2418" s="48"/>
      <c r="L2418" s="48"/>
      <c r="M2418" s="48"/>
      <c r="N2418" s="48"/>
      <c r="O2418" s="48"/>
      <c r="P2418" s="48"/>
      <c r="Q2418" s="48"/>
      <c r="R2418" s="48"/>
      <c r="S2418" s="48"/>
      <c r="T2418" s="48"/>
      <c r="U2418" s="48"/>
      <c r="V2418" s="48"/>
      <c r="W2418" s="49"/>
      <c r="X2418" s="49"/>
      <c r="Y2418" s="49"/>
      <c r="Z2418" s="49"/>
      <c r="AA2418" s="49"/>
      <c r="AB2418" s="49"/>
      <c r="AC2418" s="49"/>
      <c r="AD2418" s="49"/>
      <c r="AE2418" s="49"/>
      <c r="AF2418" s="49"/>
      <c r="AG2418" s="49"/>
      <c r="AH2418" s="49"/>
      <c r="AI2418" s="48"/>
      <c r="AJ2418" s="48"/>
      <c r="AK2418" s="24"/>
      <c r="AL2418" s="50"/>
      <c r="AM2418" s="50"/>
      <c r="AN2418" s="50"/>
      <c r="AO2418" s="50"/>
      <c r="AP2418" s="50"/>
      <c r="AQ2418" s="50"/>
      <c r="AR2418" s="50"/>
      <c r="AS2418" s="50"/>
      <c r="AT2418" s="51"/>
      <c r="AU2418" s="51"/>
      <c r="AV2418" s="51"/>
      <c r="AW2418" s="51"/>
      <c r="AX2418" s="50"/>
      <c r="AY2418" s="50"/>
      <c r="AZ2418" s="50"/>
      <c r="BA2418" s="50"/>
      <c r="BB2418" s="51"/>
      <c r="BC2418" s="51"/>
      <c r="BD2418" s="51"/>
      <c r="BE2418" s="51"/>
      <c r="BF2418" s="47"/>
      <c r="BG2418" s="47"/>
      <c r="BH2418" s="47"/>
      <c r="BI2418" s="47"/>
      <c r="BJ2418" s="47"/>
      <c r="BK2418" s="47"/>
      <c r="BL2418" s="47"/>
      <c r="BM2418" s="47"/>
      <c r="BN2418" s="47"/>
      <c r="BO2418" s="47"/>
      <c r="BP2418" s="47"/>
      <c r="BQ2418" s="47"/>
      <c r="BR2418" s="47"/>
      <c r="BS2418" s="47"/>
      <c r="BT2418" s="47"/>
    </row>
    <row r="2419">
      <c r="A2419" s="24"/>
      <c r="B2419" s="48"/>
      <c r="C2419" s="49"/>
      <c r="D2419" s="24"/>
      <c r="E2419" s="52"/>
      <c r="F2419" s="53"/>
      <c r="G2419" s="48"/>
      <c r="H2419" s="49"/>
      <c r="I2419" s="49"/>
      <c r="J2419" s="48"/>
      <c r="K2419" s="48"/>
      <c r="L2419" s="48"/>
      <c r="M2419" s="48"/>
      <c r="N2419" s="48"/>
      <c r="O2419" s="48"/>
      <c r="P2419" s="48"/>
      <c r="Q2419" s="48"/>
      <c r="R2419" s="48"/>
      <c r="S2419" s="48"/>
      <c r="T2419" s="48"/>
      <c r="U2419" s="48"/>
      <c r="V2419" s="48"/>
      <c r="W2419" s="49"/>
      <c r="X2419" s="49"/>
      <c r="Y2419" s="49"/>
      <c r="Z2419" s="49"/>
      <c r="AA2419" s="49"/>
      <c r="AB2419" s="49"/>
      <c r="AC2419" s="49"/>
      <c r="AD2419" s="49"/>
      <c r="AE2419" s="49"/>
      <c r="AF2419" s="49"/>
      <c r="AG2419" s="49"/>
      <c r="AH2419" s="49"/>
      <c r="AI2419" s="48"/>
      <c r="AJ2419" s="48"/>
      <c r="AK2419" s="24"/>
      <c r="AL2419" s="50"/>
      <c r="AM2419" s="50"/>
      <c r="AN2419" s="50"/>
      <c r="AO2419" s="50"/>
      <c r="AP2419" s="50"/>
      <c r="AQ2419" s="50"/>
      <c r="AR2419" s="50"/>
      <c r="AS2419" s="50"/>
      <c r="AT2419" s="51"/>
      <c r="AU2419" s="51"/>
      <c r="AV2419" s="51"/>
      <c r="AW2419" s="51"/>
      <c r="AX2419" s="50"/>
      <c r="AY2419" s="50"/>
      <c r="AZ2419" s="50"/>
      <c r="BA2419" s="50"/>
      <c r="BB2419" s="51"/>
      <c r="BC2419" s="51"/>
      <c r="BD2419" s="51"/>
      <c r="BE2419" s="51"/>
      <c r="BF2419" s="47"/>
      <c r="BG2419" s="47"/>
      <c r="BH2419" s="47"/>
      <c r="BI2419" s="47"/>
      <c r="BJ2419" s="47"/>
      <c r="BK2419" s="47"/>
      <c r="BL2419" s="47"/>
      <c r="BM2419" s="47"/>
      <c r="BN2419" s="47"/>
      <c r="BO2419" s="47"/>
      <c r="BP2419" s="47"/>
      <c r="BQ2419" s="47"/>
      <c r="BR2419" s="47"/>
      <c r="BS2419" s="47"/>
      <c r="BT2419" s="47"/>
    </row>
    <row r="2420">
      <c r="A2420" s="24"/>
      <c r="B2420" s="48"/>
      <c r="C2420" s="49"/>
      <c r="D2420" s="24"/>
      <c r="E2420" s="52"/>
      <c r="F2420" s="53"/>
      <c r="G2420" s="48"/>
      <c r="H2420" s="49"/>
      <c r="I2420" s="49"/>
      <c r="J2420" s="48"/>
      <c r="K2420" s="48"/>
      <c r="L2420" s="48"/>
      <c r="M2420" s="48"/>
      <c r="N2420" s="48"/>
      <c r="O2420" s="48"/>
      <c r="P2420" s="48"/>
      <c r="Q2420" s="48"/>
      <c r="R2420" s="48"/>
      <c r="S2420" s="48"/>
      <c r="T2420" s="48"/>
      <c r="U2420" s="48"/>
      <c r="V2420" s="48"/>
      <c r="W2420" s="49"/>
      <c r="X2420" s="49"/>
      <c r="Y2420" s="49"/>
      <c r="Z2420" s="49"/>
      <c r="AA2420" s="49"/>
      <c r="AB2420" s="49"/>
      <c r="AC2420" s="49"/>
      <c r="AD2420" s="49"/>
      <c r="AE2420" s="49"/>
      <c r="AF2420" s="49"/>
      <c r="AG2420" s="49"/>
      <c r="AH2420" s="49"/>
      <c r="AI2420" s="48"/>
      <c r="AJ2420" s="48"/>
      <c r="AK2420" s="24"/>
      <c r="AL2420" s="50"/>
      <c r="AM2420" s="50"/>
      <c r="AN2420" s="50"/>
      <c r="AO2420" s="50"/>
      <c r="AP2420" s="50"/>
      <c r="AQ2420" s="50"/>
      <c r="AR2420" s="50"/>
      <c r="AS2420" s="50"/>
      <c r="AT2420" s="51"/>
      <c r="AU2420" s="51"/>
      <c r="AV2420" s="51"/>
      <c r="AW2420" s="51"/>
      <c r="AX2420" s="50"/>
      <c r="AY2420" s="50"/>
      <c r="AZ2420" s="50"/>
      <c r="BA2420" s="50"/>
      <c r="BB2420" s="51"/>
      <c r="BC2420" s="51"/>
      <c r="BD2420" s="51"/>
      <c r="BE2420" s="51"/>
      <c r="BF2420" s="47"/>
      <c r="BG2420" s="47"/>
      <c r="BH2420" s="47"/>
      <c r="BI2420" s="47"/>
      <c r="BJ2420" s="47"/>
      <c r="BK2420" s="47"/>
      <c r="BL2420" s="47"/>
      <c r="BM2420" s="47"/>
      <c r="BN2420" s="47"/>
      <c r="BO2420" s="47"/>
      <c r="BP2420" s="47"/>
      <c r="BQ2420" s="47"/>
      <c r="BR2420" s="47"/>
      <c r="BS2420" s="47"/>
      <c r="BT2420" s="47"/>
    </row>
    <row r="2421">
      <c r="A2421" s="24"/>
      <c r="B2421" s="48"/>
      <c r="C2421" s="49"/>
      <c r="D2421" s="24"/>
      <c r="E2421" s="52"/>
      <c r="F2421" s="53"/>
      <c r="G2421" s="48"/>
      <c r="H2421" s="49"/>
      <c r="I2421" s="49"/>
      <c r="J2421" s="48"/>
      <c r="K2421" s="48"/>
      <c r="L2421" s="48"/>
      <c r="M2421" s="48"/>
      <c r="N2421" s="48"/>
      <c r="O2421" s="48"/>
      <c r="P2421" s="48"/>
      <c r="Q2421" s="48"/>
      <c r="R2421" s="48"/>
      <c r="S2421" s="48"/>
      <c r="T2421" s="48"/>
      <c r="U2421" s="48"/>
      <c r="V2421" s="48"/>
      <c r="W2421" s="49"/>
      <c r="X2421" s="49"/>
      <c r="Y2421" s="49"/>
      <c r="Z2421" s="49"/>
      <c r="AA2421" s="49"/>
      <c r="AB2421" s="49"/>
      <c r="AC2421" s="49"/>
      <c r="AD2421" s="49"/>
      <c r="AE2421" s="49"/>
      <c r="AF2421" s="49"/>
      <c r="AG2421" s="49"/>
      <c r="AH2421" s="49"/>
      <c r="AI2421" s="48"/>
      <c r="AJ2421" s="48"/>
      <c r="AK2421" s="24"/>
      <c r="AL2421" s="50"/>
      <c r="AM2421" s="50"/>
      <c r="AN2421" s="50"/>
      <c r="AO2421" s="50"/>
      <c r="AP2421" s="50"/>
      <c r="AQ2421" s="50"/>
      <c r="AR2421" s="50"/>
      <c r="AS2421" s="50"/>
      <c r="AT2421" s="51"/>
      <c r="AU2421" s="51"/>
      <c r="AV2421" s="51"/>
      <c r="AW2421" s="51"/>
      <c r="AX2421" s="50"/>
      <c r="AY2421" s="50"/>
      <c r="AZ2421" s="50"/>
      <c r="BA2421" s="50"/>
      <c r="BB2421" s="51"/>
      <c r="BC2421" s="51"/>
      <c r="BD2421" s="51"/>
      <c r="BE2421" s="51"/>
      <c r="BF2421" s="47"/>
      <c r="BG2421" s="47"/>
      <c r="BH2421" s="47"/>
      <c r="BI2421" s="47"/>
      <c r="BJ2421" s="47"/>
      <c r="BK2421" s="47"/>
      <c r="BL2421" s="47"/>
      <c r="BM2421" s="47"/>
      <c r="BN2421" s="47"/>
      <c r="BO2421" s="47"/>
      <c r="BP2421" s="47"/>
      <c r="BQ2421" s="47"/>
      <c r="BR2421" s="47"/>
      <c r="BS2421" s="47"/>
      <c r="BT2421" s="47"/>
    </row>
    <row r="2422">
      <c r="A2422" s="24"/>
      <c r="B2422" s="48"/>
      <c r="C2422" s="49"/>
      <c r="D2422" s="24"/>
      <c r="E2422" s="52"/>
      <c r="F2422" s="53"/>
      <c r="G2422" s="48"/>
      <c r="H2422" s="49"/>
      <c r="I2422" s="49"/>
      <c r="J2422" s="48"/>
      <c r="K2422" s="48"/>
      <c r="L2422" s="48"/>
      <c r="M2422" s="48"/>
      <c r="N2422" s="48"/>
      <c r="O2422" s="48"/>
      <c r="P2422" s="48"/>
      <c r="Q2422" s="48"/>
      <c r="R2422" s="48"/>
      <c r="S2422" s="48"/>
      <c r="T2422" s="48"/>
      <c r="U2422" s="48"/>
      <c r="V2422" s="48"/>
      <c r="W2422" s="49"/>
      <c r="X2422" s="49"/>
      <c r="Y2422" s="49"/>
      <c r="Z2422" s="49"/>
      <c r="AA2422" s="49"/>
      <c r="AB2422" s="49"/>
      <c r="AC2422" s="49"/>
      <c r="AD2422" s="49"/>
      <c r="AE2422" s="49"/>
      <c r="AF2422" s="49"/>
      <c r="AG2422" s="49"/>
      <c r="AH2422" s="49"/>
      <c r="AI2422" s="48"/>
      <c r="AJ2422" s="48"/>
      <c r="AK2422" s="24"/>
      <c r="AL2422" s="50"/>
      <c r="AM2422" s="50"/>
      <c r="AN2422" s="50"/>
      <c r="AO2422" s="50"/>
      <c r="AP2422" s="50"/>
      <c r="AQ2422" s="50"/>
      <c r="AR2422" s="50"/>
      <c r="AS2422" s="50"/>
      <c r="AT2422" s="51"/>
      <c r="AU2422" s="51"/>
      <c r="AV2422" s="51"/>
      <c r="AW2422" s="51"/>
      <c r="AX2422" s="50"/>
      <c r="AY2422" s="50"/>
      <c r="AZ2422" s="50"/>
      <c r="BA2422" s="50"/>
      <c r="BB2422" s="51"/>
      <c r="BC2422" s="51"/>
      <c r="BD2422" s="51"/>
      <c r="BE2422" s="51"/>
      <c r="BF2422" s="47"/>
      <c r="BG2422" s="47"/>
      <c r="BH2422" s="47"/>
      <c r="BI2422" s="47"/>
      <c r="BJ2422" s="47"/>
      <c r="BK2422" s="47"/>
      <c r="BL2422" s="47"/>
      <c r="BM2422" s="47"/>
      <c r="BN2422" s="47"/>
      <c r="BO2422" s="47"/>
      <c r="BP2422" s="47"/>
      <c r="BQ2422" s="47"/>
      <c r="BR2422" s="47"/>
      <c r="BS2422" s="47"/>
      <c r="BT2422" s="47"/>
    </row>
    <row r="2423">
      <c r="A2423" s="24"/>
      <c r="B2423" s="48"/>
      <c r="C2423" s="49"/>
      <c r="D2423" s="24"/>
      <c r="E2423" s="52"/>
      <c r="F2423" s="53"/>
      <c r="G2423" s="48"/>
      <c r="H2423" s="49"/>
      <c r="I2423" s="49"/>
      <c r="J2423" s="48"/>
      <c r="K2423" s="48"/>
      <c r="L2423" s="48"/>
      <c r="M2423" s="48"/>
      <c r="N2423" s="48"/>
      <c r="O2423" s="48"/>
      <c r="P2423" s="48"/>
      <c r="Q2423" s="48"/>
      <c r="R2423" s="48"/>
      <c r="S2423" s="48"/>
      <c r="T2423" s="48"/>
      <c r="U2423" s="48"/>
      <c r="V2423" s="48"/>
      <c r="W2423" s="49"/>
      <c r="X2423" s="49"/>
      <c r="Y2423" s="49"/>
      <c r="Z2423" s="49"/>
      <c r="AA2423" s="49"/>
      <c r="AB2423" s="49"/>
      <c r="AC2423" s="49"/>
      <c r="AD2423" s="49"/>
      <c r="AE2423" s="49"/>
      <c r="AF2423" s="49"/>
      <c r="AG2423" s="49"/>
      <c r="AH2423" s="49"/>
      <c r="AI2423" s="48"/>
      <c r="AJ2423" s="48"/>
      <c r="AK2423" s="24"/>
      <c r="AL2423" s="50"/>
      <c r="AM2423" s="50"/>
      <c r="AN2423" s="50"/>
      <c r="AO2423" s="50"/>
      <c r="AP2423" s="50"/>
      <c r="AQ2423" s="50"/>
      <c r="AR2423" s="50"/>
      <c r="AS2423" s="50"/>
      <c r="AT2423" s="51"/>
      <c r="AU2423" s="51"/>
      <c r="AV2423" s="51"/>
      <c r="AW2423" s="51"/>
      <c r="AX2423" s="50"/>
      <c r="AY2423" s="50"/>
      <c r="AZ2423" s="50"/>
      <c r="BA2423" s="50"/>
      <c r="BB2423" s="51"/>
      <c r="BC2423" s="51"/>
      <c r="BD2423" s="51"/>
      <c r="BE2423" s="51"/>
      <c r="BF2423" s="47"/>
      <c r="BG2423" s="47"/>
      <c r="BH2423" s="47"/>
      <c r="BI2423" s="47"/>
      <c r="BJ2423" s="47"/>
      <c r="BK2423" s="47"/>
      <c r="BL2423" s="47"/>
      <c r="BM2423" s="47"/>
      <c r="BN2423" s="47"/>
      <c r="BO2423" s="47"/>
      <c r="BP2423" s="47"/>
      <c r="BQ2423" s="47"/>
      <c r="BR2423" s="47"/>
      <c r="BS2423" s="47"/>
      <c r="BT2423" s="47"/>
    </row>
    <row r="2424">
      <c r="A2424" s="24"/>
      <c r="B2424" s="48"/>
      <c r="C2424" s="49"/>
      <c r="D2424" s="24"/>
      <c r="E2424" s="52"/>
      <c r="F2424" s="53"/>
      <c r="G2424" s="48"/>
      <c r="H2424" s="49"/>
      <c r="I2424" s="49"/>
      <c r="J2424" s="48"/>
      <c r="K2424" s="48"/>
      <c r="L2424" s="48"/>
      <c r="M2424" s="48"/>
      <c r="N2424" s="48"/>
      <c r="O2424" s="48"/>
      <c r="P2424" s="48"/>
      <c r="Q2424" s="48"/>
      <c r="R2424" s="48"/>
      <c r="S2424" s="48"/>
      <c r="T2424" s="48"/>
      <c r="U2424" s="48"/>
      <c r="V2424" s="48"/>
      <c r="W2424" s="49"/>
      <c r="X2424" s="49"/>
      <c r="Y2424" s="49"/>
      <c r="Z2424" s="49"/>
      <c r="AA2424" s="49"/>
      <c r="AB2424" s="49"/>
      <c r="AC2424" s="49"/>
      <c r="AD2424" s="49"/>
      <c r="AE2424" s="49"/>
      <c r="AF2424" s="49"/>
      <c r="AG2424" s="49"/>
      <c r="AH2424" s="49"/>
      <c r="AI2424" s="48"/>
      <c r="AJ2424" s="48"/>
      <c r="AK2424" s="24"/>
      <c r="AL2424" s="50"/>
      <c r="AM2424" s="50"/>
      <c r="AN2424" s="50"/>
      <c r="AO2424" s="50"/>
      <c r="AP2424" s="50"/>
      <c r="AQ2424" s="50"/>
      <c r="AR2424" s="50"/>
      <c r="AS2424" s="50"/>
      <c r="AT2424" s="51"/>
      <c r="AU2424" s="51"/>
      <c r="AV2424" s="51"/>
      <c r="AW2424" s="51"/>
      <c r="AX2424" s="50"/>
      <c r="AY2424" s="50"/>
      <c r="AZ2424" s="50"/>
      <c r="BA2424" s="50"/>
      <c r="BB2424" s="51"/>
      <c r="BC2424" s="51"/>
      <c r="BD2424" s="51"/>
      <c r="BE2424" s="51"/>
      <c r="BF2424" s="47"/>
      <c r="BG2424" s="47"/>
      <c r="BH2424" s="47"/>
      <c r="BI2424" s="47"/>
      <c r="BJ2424" s="47"/>
      <c r="BK2424" s="47"/>
      <c r="BL2424" s="47"/>
      <c r="BM2424" s="47"/>
      <c r="BN2424" s="47"/>
      <c r="BO2424" s="47"/>
      <c r="BP2424" s="47"/>
      <c r="BQ2424" s="47"/>
      <c r="BR2424" s="47"/>
      <c r="BS2424" s="47"/>
      <c r="BT2424" s="47"/>
    </row>
    <row r="2425">
      <c r="A2425" s="24"/>
      <c r="B2425" s="48"/>
      <c r="C2425" s="49"/>
      <c r="D2425" s="24"/>
      <c r="E2425" s="52"/>
      <c r="F2425" s="53"/>
      <c r="G2425" s="48"/>
      <c r="H2425" s="49"/>
      <c r="I2425" s="49"/>
      <c r="J2425" s="48"/>
      <c r="K2425" s="48"/>
      <c r="L2425" s="48"/>
      <c r="M2425" s="48"/>
      <c r="N2425" s="48"/>
      <c r="O2425" s="48"/>
      <c r="P2425" s="48"/>
      <c r="Q2425" s="48"/>
      <c r="R2425" s="48"/>
      <c r="S2425" s="48"/>
      <c r="T2425" s="48"/>
      <c r="U2425" s="48"/>
      <c r="V2425" s="48"/>
      <c r="W2425" s="49"/>
      <c r="X2425" s="49"/>
      <c r="Y2425" s="49"/>
      <c r="Z2425" s="49"/>
      <c r="AA2425" s="49"/>
      <c r="AB2425" s="49"/>
      <c r="AC2425" s="49"/>
      <c r="AD2425" s="49"/>
      <c r="AE2425" s="49"/>
      <c r="AF2425" s="49"/>
      <c r="AG2425" s="49"/>
      <c r="AH2425" s="49"/>
      <c r="AI2425" s="48"/>
      <c r="AJ2425" s="48"/>
      <c r="AK2425" s="24"/>
      <c r="AL2425" s="50"/>
      <c r="AM2425" s="50"/>
      <c r="AN2425" s="50"/>
      <c r="AO2425" s="50"/>
      <c r="AP2425" s="50"/>
      <c r="AQ2425" s="50"/>
      <c r="AR2425" s="50"/>
      <c r="AS2425" s="50"/>
      <c r="AT2425" s="51"/>
      <c r="AU2425" s="51"/>
      <c r="AV2425" s="51"/>
      <c r="AW2425" s="51"/>
      <c r="AX2425" s="50"/>
      <c r="AY2425" s="50"/>
      <c r="AZ2425" s="50"/>
      <c r="BA2425" s="50"/>
      <c r="BB2425" s="51"/>
      <c r="BC2425" s="51"/>
      <c r="BD2425" s="51"/>
      <c r="BE2425" s="51"/>
      <c r="BF2425" s="47"/>
      <c r="BG2425" s="47"/>
      <c r="BH2425" s="47"/>
      <c r="BI2425" s="47"/>
      <c r="BJ2425" s="47"/>
      <c r="BK2425" s="47"/>
      <c r="BL2425" s="47"/>
      <c r="BM2425" s="47"/>
      <c r="BN2425" s="47"/>
      <c r="BO2425" s="47"/>
      <c r="BP2425" s="47"/>
      <c r="BQ2425" s="47"/>
      <c r="BR2425" s="47"/>
      <c r="BS2425" s="47"/>
      <c r="BT2425" s="47"/>
    </row>
    <row r="2426">
      <c r="A2426" s="24"/>
      <c r="B2426" s="48"/>
      <c r="C2426" s="49"/>
      <c r="D2426" s="24"/>
      <c r="E2426" s="52"/>
      <c r="F2426" s="53"/>
      <c r="G2426" s="48"/>
      <c r="H2426" s="49"/>
      <c r="I2426" s="49"/>
      <c r="J2426" s="48"/>
      <c r="K2426" s="48"/>
      <c r="L2426" s="48"/>
      <c r="M2426" s="48"/>
      <c r="N2426" s="48"/>
      <c r="O2426" s="48"/>
      <c r="P2426" s="48"/>
      <c r="Q2426" s="48"/>
      <c r="R2426" s="48"/>
      <c r="S2426" s="48"/>
      <c r="T2426" s="48"/>
      <c r="U2426" s="48"/>
      <c r="V2426" s="48"/>
      <c r="W2426" s="49"/>
      <c r="X2426" s="49"/>
      <c r="Y2426" s="49"/>
      <c r="Z2426" s="49"/>
      <c r="AA2426" s="49"/>
      <c r="AB2426" s="49"/>
      <c r="AC2426" s="49"/>
      <c r="AD2426" s="49"/>
      <c r="AE2426" s="49"/>
      <c r="AF2426" s="49"/>
      <c r="AG2426" s="49"/>
      <c r="AH2426" s="49"/>
      <c r="AI2426" s="48"/>
      <c r="AJ2426" s="48"/>
      <c r="AK2426" s="24"/>
      <c r="AL2426" s="50"/>
      <c r="AM2426" s="50"/>
      <c r="AN2426" s="50"/>
      <c r="AO2426" s="50"/>
      <c r="AP2426" s="50"/>
      <c r="AQ2426" s="50"/>
      <c r="AR2426" s="50"/>
      <c r="AS2426" s="50"/>
      <c r="AT2426" s="51"/>
      <c r="AU2426" s="51"/>
      <c r="AV2426" s="51"/>
      <c r="AW2426" s="51"/>
      <c r="AX2426" s="50"/>
      <c r="AY2426" s="50"/>
      <c r="AZ2426" s="50"/>
      <c r="BA2426" s="50"/>
      <c r="BB2426" s="51"/>
      <c r="BC2426" s="51"/>
      <c r="BD2426" s="51"/>
      <c r="BE2426" s="51"/>
      <c r="BF2426" s="47"/>
      <c r="BG2426" s="47"/>
      <c r="BH2426" s="47"/>
      <c r="BI2426" s="47"/>
      <c r="BJ2426" s="47"/>
      <c r="BK2426" s="47"/>
      <c r="BL2426" s="47"/>
      <c r="BM2426" s="47"/>
      <c r="BN2426" s="47"/>
      <c r="BO2426" s="47"/>
      <c r="BP2426" s="47"/>
      <c r="BQ2426" s="47"/>
      <c r="BR2426" s="47"/>
      <c r="BS2426" s="47"/>
      <c r="BT2426" s="47"/>
    </row>
    <row r="2427">
      <c r="A2427" s="24"/>
      <c r="B2427" s="48"/>
      <c r="C2427" s="49"/>
      <c r="D2427" s="24"/>
      <c r="E2427" s="52"/>
      <c r="F2427" s="53"/>
      <c r="G2427" s="48"/>
      <c r="H2427" s="49"/>
      <c r="I2427" s="49"/>
      <c r="J2427" s="48"/>
      <c r="K2427" s="48"/>
      <c r="L2427" s="48"/>
      <c r="M2427" s="48"/>
      <c r="N2427" s="48"/>
      <c r="O2427" s="48"/>
      <c r="P2427" s="48"/>
      <c r="Q2427" s="48"/>
      <c r="R2427" s="48"/>
      <c r="S2427" s="48"/>
      <c r="T2427" s="48"/>
      <c r="U2427" s="48"/>
      <c r="V2427" s="48"/>
      <c r="W2427" s="49"/>
      <c r="X2427" s="49"/>
      <c r="Y2427" s="49"/>
      <c r="Z2427" s="49"/>
      <c r="AA2427" s="49"/>
      <c r="AB2427" s="49"/>
      <c r="AC2427" s="49"/>
      <c r="AD2427" s="49"/>
      <c r="AE2427" s="49"/>
      <c r="AF2427" s="49"/>
      <c r="AG2427" s="49"/>
      <c r="AH2427" s="49"/>
      <c r="AI2427" s="48"/>
      <c r="AJ2427" s="48"/>
      <c r="AK2427" s="24"/>
      <c r="AL2427" s="50"/>
      <c r="AM2427" s="50"/>
      <c r="AN2427" s="50"/>
      <c r="AO2427" s="50"/>
      <c r="AP2427" s="50"/>
      <c r="AQ2427" s="50"/>
      <c r="AR2427" s="50"/>
      <c r="AS2427" s="50"/>
      <c r="AT2427" s="51"/>
      <c r="AU2427" s="51"/>
      <c r="AV2427" s="51"/>
      <c r="AW2427" s="51"/>
      <c r="AX2427" s="50"/>
      <c r="AY2427" s="50"/>
      <c r="AZ2427" s="50"/>
      <c r="BA2427" s="50"/>
      <c r="BB2427" s="51"/>
      <c r="BC2427" s="51"/>
      <c r="BD2427" s="51"/>
      <c r="BE2427" s="51"/>
      <c r="BF2427" s="47"/>
      <c r="BG2427" s="47"/>
      <c r="BH2427" s="47"/>
      <c r="BI2427" s="47"/>
      <c r="BJ2427" s="47"/>
      <c r="BK2427" s="47"/>
      <c r="BL2427" s="47"/>
      <c r="BM2427" s="47"/>
      <c r="BN2427" s="47"/>
      <c r="BO2427" s="47"/>
      <c r="BP2427" s="47"/>
      <c r="BQ2427" s="47"/>
      <c r="BR2427" s="47"/>
      <c r="BS2427" s="47"/>
      <c r="BT2427" s="47"/>
    </row>
    <row r="2428">
      <c r="A2428" s="24"/>
      <c r="B2428" s="48"/>
      <c r="C2428" s="49"/>
      <c r="D2428" s="24"/>
      <c r="E2428" s="52"/>
      <c r="F2428" s="53"/>
      <c r="G2428" s="48"/>
      <c r="H2428" s="49"/>
      <c r="I2428" s="49"/>
      <c r="J2428" s="48"/>
      <c r="K2428" s="48"/>
      <c r="L2428" s="48"/>
      <c r="M2428" s="48"/>
      <c r="N2428" s="48"/>
      <c r="O2428" s="48"/>
      <c r="P2428" s="48"/>
      <c r="Q2428" s="48"/>
      <c r="R2428" s="48"/>
      <c r="S2428" s="48"/>
      <c r="T2428" s="48"/>
      <c r="U2428" s="48"/>
      <c r="V2428" s="48"/>
      <c r="W2428" s="49"/>
      <c r="X2428" s="49"/>
      <c r="Y2428" s="49"/>
      <c r="Z2428" s="49"/>
      <c r="AA2428" s="49"/>
      <c r="AB2428" s="49"/>
      <c r="AC2428" s="49"/>
      <c r="AD2428" s="49"/>
      <c r="AE2428" s="49"/>
      <c r="AF2428" s="49"/>
      <c r="AG2428" s="49"/>
      <c r="AH2428" s="49"/>
      <c r="AI2428" s="48"/>
      <c r="AJ2428" s="48"/>
      <c r="AK2428" s="24"/>
      <c r="AL2428" s="50"/>
      <c r="AM2428" s="50"/>
      <c r="AN2428" s="50"/>
      <c r="AO2428" s="50"/>
      <c r="AP2428" s="50"/>
      <c r="AQ2428" s="50"/>
      <c r="AR2428" s="50"/>
      <c r="AS2428" s="50"/>
      <c r="AT2428" s="51"/>
      <c r="AU2428" s="51"/>
      <c r="AV2428" s="51"/>
      <c r="AW2428" s="51"/>
      <c r="AX2428" s="50"/>
      <c r="AY2428" s="50"/>
      <c r="AZ2428" s="50"/>
      <c r="BA2428" s="50"/>
      <c r="BB2428" s="51"/>
      <c r="BC2428" s="51"/>
      <c r="BD2428" s="51"/>
      <c r="BE2428" s="51"/>
      <c r="BF2428" s="47"/>
      <c r="BG2428" s="47"/>
      <c r="BH2428" s="47"/>
      <c r="BI2428" s="47"/>
      <c r="BJ2428" s="47"/>
      <c r="BK2428" s="47"/>
      <c r="BL2428" s="47"/>
      <c r="BM2428" s="47"/>
      <c r="BN2428" s="47"/>
      <c r="BO2428" s="47"/>
      <c r="BP2428" s="47"/>
      <c r="BQ2428" s="47"/>
      <c r="BR2428" s="47"/>
      <c r="BS2428" s="47"/>
      <c r="BT2428" s="47"/>
    </row>
    <row r="2429">
      <c r="A2429" s="24"/>
      <c r="B2429" s="48"/>
      <c r="C2429" s="49"/>
      <c r="D2429" s="24"/>
      <c r="E2429" s="52"/>
      <c r="F2429" s="53"/>
      <c r="G2429" s="48"/>
      <c r="H2429" s="49"/>
      <c r="I2429" s="49"/>
      <c r="J2429" s="48"/>
      <c r="K2429" s="48"/>
      <c r="L2429" s="48"/>
      <c r="M2429" s="48"/>
      <c r="N2429" s="48"/>
      <c r="O2429" s="48"/>
      <c r="P2429" s="48"/>
      <c r="Q2429" s="48"/>
      <c r="R2429" s="48"/>
      <c r="S2429" s="48"/>
      <c r="T2429" s="48"/>
      <c r="U2429" s="48"/>
      <c r="V2429" s="48"/>
      <c r="W2429" s="49"/>
      <c r="X2429" s="49"/>
      <c r="Y2429" s="49"/>
      <c r="Z2429" s="49"/>
      <c r="AA2429" s="49"/>
      <c r="AB2429" s="49"/>
      <c r="AC2429" s="49"/>
      <c r="AD2429" s="49"/>
      <c r="AE2429" s="49"/>
      <c r="AF2429" s="49"/>
      <c r="AG2429" s="49"/>
      <c r="AH2429" s="49"/>
      <c r="AI2429" s="48"/>
      <c r="AJ2429" s="48"/>
      <c r="AK2429" s="24"/>
      <c r="AL2429" s="50"/>
      <c r="AM2429" s="50"/>
      <c r="AN2429" s="50"/>
      <c r="AO2429" s="50"/>
      <c r="AP2429" s="50"/>
      <c r="AQ2429" s="50"/>
      <c r="AR2429" s="50"/>
      <c r="AS2429" s="50"/>
      <c r="AT2429" s="51"/>
      <c r="AU2429" s="51"/>
      <c r="AV2429" s="51"/>
      <c r="AW2429" s="51"/>
      <c r="AX2429" s="50"/>
      <c r="AY2429" s="50"/>
      <c r="AZ2429" s="50"/>
      <c r="BA2429" s="50"/>
      <c r="BB2429" s="51"/>
      <c r="BC2429" s="51"/>
      <c r="BD2429" s="51"/>
      <c r="BE2429" s="51"/>
      <c r="BF2429" s="47"/>
      <c r="BG2429" s="47"/>
      <c r="BH2429" s="47"/>
      <c r="BI2429" s="47"/>
      <c r="BJ2429" s="47"/>
      <c r="BK2429" s="47"/>
      <c r="BL2429" s="47"/>
      <c r="BM2429" s="47"/>
      <c r="BN2429" s="47"/>
      <c r="BO2429" s="47"/>
      <c r="BP2429" s="47"/>
      <c r="BQ2429" s="47"/>
      <c r="BR2429" s="47"/>
      <c r="BS2429" s="47"/>
      <c r="BT2429" s="47"/>
    </row>
    <row r="2430">
      <c r="A2430" s="24"/>
      <c r="B2430" s="48"/>
      <c r="C2430" s="49"/>
      <c r="D2430" s="24"/>
      <c r="E2430" s="52"/>
      <c r="F2430" s="53"/>
      <c r="G2430" s="48"/>
      <c r="H2430" s="49"/>
      <c r="I2430" s="49"/>
      <c r="J2430" s="48"/>
      <c r="K2430" s="48"/>
      <c r="L2430" s="48"/>
      <c r="M2430" s="48"/>
      <c r="N2430" s="48"/>
      <c r="O2430" s="48"/>
      <c r="P2430" s="48"/>
      <c r="Q2430" s="48"/>
      <c r="R2430" s="48"/>
      <c r="S2430" s="48"/>
      <c r="T2430" s="48"/>
      <c r="U2430" s="48"/>
      <c r="V2430" s="48"/>
      <c r="W2430" s="49"/>
      <c r="X2430" s="49"/>
      <c r="Y2430" s="49"/>
      <c r="Z2430" s="49"/>
      <c r="AA2430" s="49"/>
      <c r="AB2430" s="49"/>
      <c r="AC2430" s="49"/>
      <c r="AD2430" s="49"/>
      <c r="AE2430" s="49"/>
      <c r="AF2430" s="49"/>
      <c r="AG2430" s="49"/>
      <c r="AH2430" s="49"/>
      <c r="AI2430" s="48"/>
      <c r="AJ2430" s="48"/>
      <c r="AK2430" s="24"/>
      <c r="AL2430" s="50"/>
      <c r="AM2430" s="50"/>
      <c r="AN2430" s="50"/>
      <c r="AO2430" s="50"/>
      <c r="AP2430" s="50"/>
      <c r="AQ2430" s="50"/>
      <c r="AR2430" s="50"/>
      <c r="AS2430" s="50"/>
      <c r="AT2430" s="51"/>
      <c r="AU2430" s="51"/>
      <c r="AV2430" s="51"/>
      <c r="AW2430" s="51"/>
      <c r="AX2430" s="50"/>
      <c r="AY2430" s="50"/>
      <c r="AZ2430" s="50"/>
      <c r="BA2430" s="50"/>
      <c r="BB2430" s="51"/>
      <c r="BC2430" s="51"/>
      <c r="BD2430" s="51"/>
      <c r="BE2430" s="51"/>
      <c r="BF2430" s="47"/>
      <c r="BG2430" s="47"/>
      <c r="BH2430" s="47"/>
      <c r="BI2430" s="47"/>
      <c r="BJ2430" s="47"/>
      <c r="BK2430" s="47"/>
      <c r="BL2430" s="47"/>
      <c r="BM2430" s="47"/>
      <c r="BN2430" s="47"/>
      <c r="BO2430" s="47"/>
      <c r="BP2430" s="47"/>
      <c r="BQ2430" s="47"/>
      <c r="BR2430" s="47"/>
      <c r="BS2430" s="47"/>
      <c r="BT2430" s="47"/>
    </row>
    <row r="2431">
      <c r="A2431" s="24"/>
      <c r="B2431" s="48"/>
      <c r="C2431" s="49"/>
      <c r="D2431" s="24"/>
      <c r="E2431" s="52"/>
      <c r="F2431" s="53"/>
      <c r="G2431" s="48"/>
      <c r="H2431" s="49"/>
      <c r="I2431" s="49"/>
      <c r="J2431" s="48"/>
      <c r="K2431" s="48"/>
      <c r="L2431" s="48"/>
      <c r="M2431" s="48"/>
      <c r="N2431" s="48"/>
      <c r="O2431" s="48"/>
      <c r="P2431" s="48"/>
      <c r="Q2431" s="48"/>
      <c r="R2431" s="48"/>
      <c r="S2431" s="48"/>
      <c r="T2431" s="48"/>
      <c r="U2431" s="48"/>
      <c r="V2431" s="48"/>
      <c r="W2431" s="49"/>
      <c r="X2431" s="49"/>
      <c r="Y2431" s="49"/>
      <c r="Z2431" s="49"/>
      <c r="AA2431" s="49"/>
      <c r="AB2431" s="49"/>
      <c r="AC2431" s="49"/>
      <c r="AD2431" s="49"/>
      <c r="AE2431" s="49"/>
      <c r="AF2431" s="49"/>
      <c r="AG2431" s="49"/>
      <c r="AH2431" s="49"/>
      <c r="AI2431" s="48"/>
      <c r="AJ2431" s="48"/>
      <c r="AK2431" s="24"/>
      <c r="AL2431" s="50"/>
      <c r="AM2431" s="50"/>
      <c r="AN2431" s="50"/>
      <c r="AO2431" s="50"/>
      <c r="AP2431" s="50"/>
      <c r="AQ2431" s="50"/>
      <c r="AR2431" s="50"/>
      <c r="AS2431" s="50"/>
      <c r="AT2431" s="51"/>
      <c r="AU2431" s="51"/>
      <c r="AV2431" s="51"/>
      <c r="AW2431" s="51"/>
      <c r="AX2431" s="50"/>
      <c r="AY2431" s="50"/>
      <c r="AZ2431" s="50"/>
      <c r="BA2431" s="50"/>
      <c r="BB2431" s="51"/>
      <c r="BC2431" s="51"/>
      <c r="BD2431" s="51"/>
      <c r="BE2431" s="51"/>
      <c r="BF2431" s="47"/>
      <c r="BG2431" s="47"/>
      <c r="BH2431" s="47"/>
      <c r="BI2431" s="47"/>
      <c r="BJ2431" s="47"/>
      <c r="BK2431" s="47"/>
      <c r="BL2431" s="47"/>
      <c r="BM2431" s="47"/>
      <c r="BN2431" s="47"/>
      <c r="BO2431" s="47"/>
      <c r="BP2431" s="47"/>
      <c r="BQ2431" s="47"/>
      <c r="BR2431" s="47"/>
      <c r="BS2431" s="47"/>
      <c r="BT2431" s="47"/>
    </row>
    <row r="2432">
      <c r="A2432" s="24"/>
      <c r="B2432" s="48"/>
      <c r="C2432" s="49"/>
      <c r="D2432" s="24"/>
      <c r="E2432" s="52"/>
      <c r="F2432" s="53"/>
      <c r="G2432" s="48"/>
      <c r="H2432" s="49"/>
      <c r="I2432" s="49"/>
      <c r="J2432" s="48"/>
      <c r="K2432" s="48"/>
      <c r="L2432" s="48"/>
      <c r="M2432" s="48"/>
      <c r="N2432" s="48"/>
      <c r="O2432" s="48"/>
      <c r="P2432" s="48"/>
      <c r="Q2432" s="48"/>
      <c r="R2432" s="48"/>
      <c r="S2432" s="48"/>
      <c r="T2432" s="48"/>
      <c r="U2432" s="48"/>
      <c r="V2432" s="48"/>
      <c r="W2432" s="49"/>
      <c r="X2432" s="49"/>
      <c r="Y2432" s="49"/>
      <c r="Z2432" s="49"/>
      <c r="AA2432" s="49"/>
      <c r="AB2432" s="49"/>
      <c r="AC2432" s="49"/>
      <c r="AD2432" s="49"/>
      <c r="AE2432" s="49"/>
      <c r="AF2432" s="49"/>
      <c r="AG2432" s="49"/>
      <c r="AH2432" s="49"/>
      <c r="AI2432" s="48"/>
      <c r="AJ2432" s="48"/>
      <c r="AK2432" s="24"/>
      <c r="AL2432" s="50"/>
      <c r="AM2432" s="50"/>
      <c r="AN2432" s="50"/>
      <c r="AO2432" s="50"/>
      <c r="AP2432" s="50"/>
      <c r="AQ2432" s="50"/>
      <c r="AR2432" s="50"/>
      <c r="AS2432" s="50"/>
      <c r="AT2432" s="51"/>
      <c r="AU2432" s="51"/>
      <c r="AV2432" s="51"/>
      <c r="AW2432" s="51"/>
      <c r="AX2432" s="50"/>
      <c r="AY2432" s="50"/>
      <c r="AZ2432" s="50"/>
      <c r="BA2432" s="50"/>
      <c r="BB2432" s="51"/>
      <c r="BC2432" s="51"/>
      <c r="BD2432" s="51"/>
      <c r="BE2432" s="51"/>
      <c r="BF2432" s="47"/>
      <c r="BG2432" s="47"/>
      <c r="BH2432" s="47"/>
      <c r="BI2432" s="47"/>
      <c r="BJ2432" s="47"/>
      <c r="BK2432" s="47"/>
      <c r="BL2432" s="47"/>
      <c r="BM2432" s="47"/>
      <c r="BN2432" s="47"/>
      <c r="BO2432" s="47"/>
      <c r="BP2432" s="47"/>
      <c r="BQ2432" s="47"/>
      <c r="BR2432" s="47"/>
      <c r="BS2432" s="47"/>
      <c r="BT2432" s="47"/>
    </row>
    <row r="2433">
      <c r="A2433" s="24"/>
      <c r="B2433" s="48"/>
      <c r="C2433" s="49"/>
      <c r="D2433" s="24"/>
      <c r="E2433" s="52"/>
      <c r="F2433" s="53"/>
      <c r="G2433" s="48"/>
      <c r="H2433" s="49"/>
      <c r="I2433" s="49"/>
      <c r="J2433" s="48"/>
      <c r="K2433" s="48"/>
      <c r="L2433" s="48"/>
      <c r="M2433" s="48"/>
      <c r="N2433" s="48"/>
      <c r="O2433" s="48"/>
      <c r="P2433" s="48"/>
      <c r="Q2433" s="48"/>
      <c r="R2433" s="48"/>
      <c r="S2433" s="48"/>
      <c r="T2433" s="48"/>
      <c r="U2433" s="48"/>
      <c r="V2433" s="48"/>
      <c r="W2433" s="49"/>
      <c r="X2433" s="49"/>
      <c r="Y2433" s="49"/>
      <c r="Z2433" s="49"/>
      <c r="AA2433" s="49"/>
      <c r="AB2433" s="49"/>
      <c r="AC2433" s="49"/>
      <c r="AD2433" s="49"/>
      <c r="AE2433" s="49"/>
      <c r="AF2433" s="49"/>
      <c r="AG2433" s="49"/>
      <c r="AH2433" s="49"/>
      <c r="AI2433" s="48"/>
      <c r="AJ2433" s="48"/>
      <c r="AK2433" s="24"/>
      <c r="AL2433" s="50"/>
      <c r="AM2433" s="50"/>
      <c r="AN2433" s="50"/>
      <c r="AO2433" s="50"/>
      <c r="AP2433" s="50"/>
      <c r="AQ2433" s="50"/>
      <c r="AR2433" s="50"/>
      <c r="AS2433" s="50"/>
      <c r="AT2433" s="51"/>
      <c r="AU2433" s="51"/>
      <c r="AV2433" s="51"/>
      <c r="AW2433" s="51"/>
      <c r="AX2433" s="50"/>
      <c r="AY2433" s="50"/>
      <c r="AZ2433" s="50"/>
      <c r="BA2433" s="50"/>
      <c r="BB2433" s="51"/>
      <c r="BC2433" s="51"/>
      <c r="BD2433" s="51"/>
      <c r="BE2433" s="51"/>
      <c r="BF2433" s="47"/>
      <c r="BG2433" s="47"/>
      <c r="BH2433" s="47"/>
      <c r="BI2433" s="47"/>
      <c r="BJ2433" s="47"/>
      <c r="BK2433" s="47"/>
      <c r="BL2433" s="47"/>
      <c r="BM2433" s="47"/>
      <c r="BN2433" s="47"/>
      <c r="BO2433" s="47"/>
      <c r="BP2433" s="47"/>
      <c r="BQ2433" s="47"/>
      <c r="BR2433" s="47"/>
      <c r="BS2433" s="47"/>
      <c r="BT2433" s="47"/>
    </row>
    <row r="2434">
      <c r="A2434" s="24"/>
      <c r="B2434" s="48"/>
      <c r="C2434" s="49"/>
      <c r="D2434" s="24"/>
      <c r="E2434" s="52"/>
      <c r="F2434" s="53"/>
      <c r="G2434" s="48"/>
      <c r="H2434" s="49"/>
      <c r="I2434" s="49"/>
      <c r="J2434" s="48"/>
      <c r="K2434" s="48"/>
      <c r="L2434" s="48"/>
      <c r="M2434" s="48"/>
      <c r="N2434" s="48"/>
      <c r="O2434" s="48"/>
      <c r="P2434" s="48"/>
      <c r="Q2434" s="48"/>
      <c r="R2434" s="48"/>
      <c r="S2434" s="48"/>
      <c r="T2434" s="48"/>
      <c r="U2434" s="48"/>
      <c r="V2434" s="48"/>
      <c r="W2434" s="49"/>
      <c r="X2434" s="49"/>
      <c r="Y2434" s="49"/>
      <c r="Z2434" s="49"/>
      <c r="AA2434" s="49"/>
      <c r="AB2434" s="49"/>
      <c r="AC2434" s="49"/>
      <c r="AD2434" s="49"/>
      <c r="AE2434" s="49"/>
      <c r="AF2434" s="49"/>
      <c r="AG2434" s="49"/>
      <c r="AH2434" s="49"/>
      <c r="AI2434" s="48"/>
      <c r="AJ2434" s="48"/>
      <c r="AK2434" s="24"/>
      <c r="AL2434" s="50"/>
      <c r="AM2434" s="50"/>
      <c r="AN2434" s="50"/>
      <c r="AO2434" s="50"/>
      <c r="AP2434" s="50"/>
      <c r="AQ2434" s="50"/>
      <c r="AR2434" s="50"/>
      <c r="AS2434" s="50"/>
      <c r="AT2434" s="51"/>
      <c r="AU2434" s="51"/>
      <c r="AV2434" s="51"/>
      <c r="AW2434" s="51"/>
      <c r="AX2434" s="50"/>
      <c r="AY2434" s="50"/>
      <c r="AZ2434" s="50"/>
      <c r="BA2434" s="50"/>
      <c r="BB2434" s="51"/>
      <c r="BC2434" s="51"/>
      <c r="BD2434" s="51"/>
      <c r="BE2434" s="51"/>
      <c r="BF2434" s="47"/>
      <c r="BG2434" s="47"/>
      <c r="BH2434" s="47"/>
      <c r="BI2434" s="47"/>
      <c r="BJ2434" s="47"/>
      <c r="BK2434" s="47"/>
      <c r="BL2434" s="47"/>
      <c r="BM2434" s="47"/>
      <c r="BN2434" s="47"/>
      <c r="BO2434" s="47"/>
      <c r="BP2434" s="47"/>
      <c r="BQ2434" s="47"/>
      <c r="BR2434" s="47"/>
      <c r="BS2434" s="47"/>
      <c r="BT2434" s="47"/>
    </row>
    <row r="2435">
      <c r="A2435" s="24"/>
      <c r="B2435" s="48"/>
      <c r="C2435" s="49"/>
      <c r="D2435" s="24"/>
      <c r="E2435" s="52"/>
      <c r="F2435" s="53"/>
      <c r="G2435" s="48"/>
      <c r="H2435" s="49"/>
      <c r="I2435" s="49"/>
      <c r="J2435" s="48"/>
      <c r="K2435" s="48"/>
      <c r="L2435" s="48"/>
      <c r="M2435" s="48"/>
      <c r="N2435" s="48"/>
      <c r="O2435" s="48"/>
      <c r="P2435" s="48"/>
      <c r="Q2435" s="48"/>
      <c r="R2435" s="48"/>
      <c r="S2435" s="48"/>
      <c r="T2435" s="48"/>
      <c r="U2435" s="48"/>
      <c r="V2435" s="48"/>
      <c r="W2435" s="49"/>
      <c r="X2435" s="49"/>
      <c r="Y2435" s="49"/>
      <c r="Z2435" s="49"/>
      <c r="AA2435" s="49"/>
      <c r="AB2435" s="49"/>
      <c r="AC2435" s="49"/>
      <c r="AD2435" s="49"/>
      <c r="AE2435" s="49"/>
      <c r="AF2435" s="49"/>
      <c r="AG2435" s="49"/>
      <c r="AH2435" s="49"/>
      <c r="AI2435" s="48"/>
      <c r="AJ2435" s="48"/>
      <c r="AK2435" s="24"/>
      <c r="AL2435" s="50"/>
      <c r="AM2435" s="50"/>
      <c r="AN2435" s="50"/>
      <c r="AO2435" s="50"/>
      <c r="AP2435" s="50"/>
      <c r="AQ2435" s="50"/>
      <c r="AR2435" s="50"/>
      <c r="AS2435" s="50"/>
      <c r="AT2435" s="51"/>
      <c r="AU2435" s="51"/>
      <c r="AV2435" s="51"/>
      <c r="AW2435" s="51"/>
      <c r="AX2435" s="50"/>
      <c r="AY2435" s="50"/>
      <c r="AZ2435" s="50"/>
      <c r="BA2435" s="50"/>
      <c r="BB2435" s="51"/>
      <c r="BC2435" s="51"/>
      <c r="BD2435" s="51"/>
      <c r="BE2435" s="51"/>
      <c r="BF2435" s="47"/>
      <c r="BG2435" s="47"/>
      <c r="BH2435" s="47"/>
      <c r="BI2435" s="47"/>
      <c r="BJ2435" s="47"/>
      <c r="BK2435" s="47"/>
      <c r="BL2435" s="47"/>
      <c r="BM2435" s="47"/>
      <c r="BN2435" s="47"/>
      <c r="BO2435" s="47"/>
      <c r="BP2435" s="47"/>
      <c r="BQ2435" s="47"/>
      <c r="BR2435" s="47"/>
      <c r="BS2435" s="47"/>
      <c r="BT2435" s="47"/>
    </row>
    <row r="2436">
      <c r="A2436" s="24"/>
      <c r="B2436" s="48"/>
      <c r="C2436" s="49"/>
      <c r="D2436" s="24"/>
      <c r="E2436" s="52"/>
      <c r="F2436" s="53"/>
      <c r="G2436" s="48"/>
      <c r="H2436" s="49"/>
      <c r="I2436" s="49"/>
      <c r="J2436" s="48"/>
      <c r="K2436" s="48"/>
      <c r="L2436" s="48"/>
      <c r="M2436" s="48"/>
      <c r="N2436" s="48"/>
      <c r="O2436" s="48"/>
      <c r="P2436" s="48"/>
      <c r="Q2436" s="48"/>
      <c r="R2436" s="48"/>
      <c r="S2436" s="48"/>
      <c r="T2436" s="48"/>
      <c r="U2436" s="48"/>
      <c r="V2436" s="48"/>
      <c r="W2436" s="49"/>
      <c r="X2436" s="49"/>
      <c r="Y2436" s="49"/>
      <c r="Z2436" s="49"/>
      <c r="AA2436" s="49"/>
      <c r="AB2436" s="49"/>
      <c r="AC2436" s="49"/>
      <c r="AD2436" s="49"/>
      <c r="AE2436" s="49"/>
      <c r="AF2436" s="49"/>
      <c r="AG2436" s="49"/>
      <c r="AH2436" s="49"/>
      <c r="AI2436" s="48"/>
      <c r="AJ2436" s="48"/>
      <c r="AK2436" s="24"/>
      <c r="AL2436" s="50"/>
      <c r="AM2436" s="50"/>
      <c r="AN2436" s="50"/>
      <c r="AO2436" s="50"/>
      <c r="AP2436" s="50"/>
      <c r="AQ2436" s="50"/>
      <c r="AR2436" s="50"/>
      <c r="AS2436" s="50"/>
      <c r="AT2436" s="51"/>
      <c r="AU2436" s="51"/>
      <c r="AV2436" s="51"/>
      <c r="AW2436" s="51"/>
      <c r="AX2436" s="50"/>
      <c r="AY2436" s="50"/>
      <c r="AZ2436" s="50"/>
      <c r="BA2436" s="50"/>
      <c r="BB2436" s="51"/>
      <c r="BC2436" s="51"/>
      <c r="BD2436" s="51"/>
      <c r="BE2436" s="51"/>
      <c r="BF2436" s="47"/>
      <c r="BG2436" s="47"/>
      <c r="BH2436" s="47"/>
      <c r="BI2436" s="47"/>
      <c r="BJ2436" s="47"/>
      <c r="BK2436" s="47"/>
      <c r="BL2436" s="47"/>
      <c r="BM2436" s="47"/>
      <c r="BN2436" s="47"/>
      <c r="BO2436" s="47"/>
      <c r="BP2436" s="47"/>
      <c r="BQ2436" s="47"/>
      <c r="BR2436" s="47"/>
      <c r="BS2436" s="47"/>
      <c r="BT2436" s="47"/>
    </row>
    <row r="2437">
      <c r="A2437" s="24"/>
      <c r="B2437" s="48"/>
      <c r="C2437" s="49"/>
      <c r="D2437" s="24"/>
      <c r="E2437" s="52"/>
      <c r="F2437" s="53"/>
      <c r="G2437" s="48"/>
      <c r="H2437" s="49"/>
      <c r="I2437" s="49"/>
      <c r="J2437" s="48"/>
      <c r="K2437" s="48"/>
      <c r="L2437" s="48"/>
      <c r="M2437" s="48"/>
      <c r="N2437" s="48"/>
      <c r="O2437" s="48"/>
      <c r="P2437" s="48"/>
      <c r="Q2437" s="48"/>
      <c r="R2437" s="48"/>
      <c r="S2437" s="48"/>
      <c r="T2437" s="48"/>
      <c r="U2437" s="48"/>
      <c r="V2437" s="48"/>
      <c r="W2437" s="49"/>
      <c r="X2437" s="49"/>
      <c r="Y2437" s="49"/>
      <c r="Z2437" s="49"/>
      <c r="AA2437" s="49"/>
      <c r="AB2437" s="49"/>
      <c r="AC2437" s="49"/>
      <c r="AD2437" s="49"/>
      <c r="AE2437" s="49"/>
      <c r="AF2437" s="49"/>
      <c r="AG2437" s="49"/>
      <c r="AH2437" s="49"/>
      <c r="AI2437" s="48"/>
      <c r="AJ2437" s="48"/>
      <c r="AK2437" s="24"/>
      <c r="AL2437" s="50"/>
      <c r="AM2437" s="50"/>
      <c r="AN2437" s="50"/>
      <c r="AO2437" s="50"/>
      <c r="AP2437" s="50"/>
      <c r="AQ2437" s="50"/>
      <c r="AR2437" s="50"/>
      <c r="AS2437" s="50"/>
      <c r="AT2437" s="51"/>
      <c r="AU2437" s="51"/>
      <c r="AV2437" s="51"/>
      <c r="AW2437" s="51"/>
      <c r="AX2437" s="50"/>
      <c r="AY2437" s="50"/>
      <c r="AZ2437" s="50"/>
      <c r="BA2437" s="50"/>
      <c r="BB2437" s="51"/>
      <c r="BC2437" s="51"/>
      <c r="BD2437" s="51"/>
      <c r="BE2437" s="51"/>
      <c r="BF2437" s="47"/>
      <c r="BG2437" s="47"/>
      <c r="BH2437" s="47"/>
      <c r="BI2437" s="47"/>
      <c r="BJ2437" s="47"/>
      <c r="BK2437" s="47"/>
      <c r="BL2437" s="47"/>
      <c r="BM2437" s="47"/>
      <c r="BN2437" s="47"/>
      <c r="BO2437" s="47"/>
      <c r="BP2437" s="47"/>
      <c r="BQ2437" s="47"/>
      <c r="BR2437" s="47"/>
      <c r="BS2437" s="47"/>
      <c r="BT2437" s="47"/>
    </row>
    <row r="2438">
      <c r="A2438" s="24"/>
      <c r="B2438" s="48"/>
      <c r="C2438" s="49"/>
      <c r="D2438" s="24"/>
      <c r="E2438" s="52"/>
      <c r="F2438" s="53"/>
      <c r="G2438" s="48"/>
      <c r="H2438" s="49"/>
      <c r="I2438" s="49"/>
      <c r="J2438" s="48"/>
      <c r="K2438" s="48"/>
      <c r="L2438" s="48"/>
      <c r="M2438" s="48"/>
      <c r="N2438" s="48"/>
      <c r="O2438" s="48"/>
      <c r="P2438" s="48"/>
      <c r="Q2438" s="48"/>
      <c r="R2438" s="48"/>
      <c r="S2438" s="48"/>
      <c r="T2438" s="48"/>
      <c r="U2438" s="48"/>
      <c r="V2438" s="48"/>
      <c r="W2438" s="49"/>
      <c r="X2438" s="49"/>
      <c r="Y2438" s="49"/>
      <c r="Z2438" s="49"/>
      <c r="AA2438" s="49"/>
      <c r="AB2438" s="49"/>
      <c r="AC2438" s="49"/>
      <c r="AD2438" s="49"/>
      <c r="AE2438" s="49"/>
      <c r="AF2438" s="49"/>
      <c r="AG2438" s="49"/>
      <c r="AH2438" s="49"/>
      <c r="AI2438" s="48"/>
      <c r="AJ2438" s="48"/>
      <c r="AK2438" s="24"/>
      <c r="AL2438" s="50"/>
      <c r="AM2438" s="50"/>
      <c r="AN2438" s="50"/>
      <c r="AO2438" s="50"/>
      <c r="AP2438" s="50"/>
      <c r="AQ2438" s="50"/>
      <c r="AR2438" s="50"/>
      <c r="AS2438" s="50"/>
      <c r="AT2438" s="51"/>
      <c r="AU2438" s="51"/>
      <c r="AV2438" s="51"/>
      <c r="AW2438" s="51"/>
      <c r="AX2438" s="50"/>
      <c r="AY2438" s="50"/>
      <c r="AZ2438" s="50"/>
      <c r="BA2438" s="50"/>
      <c r="BB2438" s="51"/>
      <c r="BC2438" s="51"/>
      <c r="BD2438" s="51"/>
      <c r="BE2438" s="51"/>
      <c r="BF2438" s="47"/>
      <c r="BG2438" s="47"/>
      <c r="BH2438" s="47"/>
      <c r="BI2438" s="47"/>
      <c r="BJ2438" s="47"/>
      <c r="BK2438" s="47"/>
      <c r="BL2438" s="47"/>
      <c r="BM2438" s="47"/>
      <c r="BN2438" s="47"/>
      <c r="BO2438" s="47"/>
      <c r="BP2438" s="47"/>
      <c r="BQ2438" s="47"/>
      <c r="BR2438" s="47"/>
      <c r="BS2438" s="47"/>
      <c r="BT2438" s="47"/>
    </row>
    <row r="2439">
      <c r="A2439" s="24"/>
      <c r="B2439" s="48"/>
      <c r="C2439" s="49"/>
      <c r="D2439" s="24"/>
      <c r="E2439" s="52"/>
      <c r="F2439" s="53"/>
      <c r="G2439" s="48"/>
      <c r="H2439" s="49"/>
      <c r="I2439" s="49"/>
      <c r="J2439" s="48"/>
      <c r="K2439" s="48"/>
      <c r="L2439" s="48"/>
      <c r="M2439" s="48"/>
      <c r="N2439" s="48"/>
      <c r="O2439" s="48"/>
      <c r="P2439" s="48"/>
      <c r="Q2439" s="48"/>
      <c r="R2439" s="48"/>
      <c r="S2439" s="48"/>
      <c r="T2439" s="48"/>
      <c r="U2439" s="48"/>
      <c r="V2439" s="48"/>
      <c r="W2439" s="49"/>
      <c r="X2439" s="49"/>
      <c r="Y2439" s="49"/>
      <c r="Z2439" s="49"/>
      <c r="AA2439" s="49"/>
      <c r="AB2439" s="49"/>
      <c r="AC2439" s="49"/>
      <c r="AD2439" s="49"/>
      <c r="AE2439" s="49"/>
      <c r="AF2439" s="49"/>
      <c r="AG2439" s="49"/>
      <c r="AH2439" s="49"/>
      <c r="AI2439" s="48"/>
      <c r="AJ2439" s="48"/>
      <c r="AK2439" s="24"/>
      <c r="AL2439" s="50"/>
      <c r="AM2439" s="50"/>
      <c r="AN2439" s="50"/>
      <c r="AO2439" s="50"/>
      <c r="AP2439" s="50"/>
      <c r="AQ2439" s="50"/>
      <c r="AR2439" s="50"/>
      <c r="AS2439" s="50"/>
      <c r="AT2439" s="51"/>
      <c r="AU2439" s="51"/>
      <c r="AV2439" s="51"/>
      <c r="AW2439" s="51"/>
      <c r="AX2439" s="50"/>
      <c r="AY2439" s="50"/>
      <c r="AZ2439" s="50"/>
      <c r="BA2439" s="50"/>
      <c r="BB2439" s="51"/>
      <c r="BC2439" s="51"/>
      <c r="BD2439" s="51"/>
      <c r="BE2439" s="51"/>
      <c r="BF2439" s="47"/>
      <c r="BG2439" s="47"/>
      <c r="BH2439" s="47"/>
      <c r="BI2439" s="47"/>
      <c r="BJ2439" s="47"/>
      <c r="BK2439" s="47"/>
      <c r="BL2439" s="47"/>
      <c r="BM2439" s="47"/>
      <c r="BN2439" s="47"/>
      <c r="BO2439" s="47"/>
      <c r="BP2439" s="47"/>
      <c r="BQ2439" s="47"/>
      <c r="BR2439" s="47"/>
      <c r="BS2439" s="47"/>
      <c r="BT2439" s="47"/>
    </row>
    <row r="2440">
      <c r="A2440" s="24"/>
      <c r="B2440" s="48"/>
      <c r="C2440" s="49"/>
      <c r="D2440" s="24"/>
      <c r="E2440" s="52"/>
      <c r="F2440" s="53"/>
      <c r="G2440" s="48"/>
      <c r="H2440" s="49"/>
      <c r="I2440" s="49"/>
      <c r="J2440" s="48"/>
      <c r="K2440" s="48"/>
      <c r="L2440" s="48"/>
      <c r="M2440" s="48"/>
      <c r="N2440" s="48"/>
      <c r="O2440" s="48"/>
      <c r="P2440" s="48"/>
      <c r="Q2440" s="48"/>
      <c r="R2440" s="48"/>
      <c r="S2440" s="48"/>
      <c r="T2440" s="48"/>
      <c r="U2440" s="48"/>
      <c r="V2440" s="48"/>
      <c r="W2440" s="49"/>
      <c r="X2440" s="49"/>
      <c r="Y2440" s="49"/>
      <c r="Z2440" s="49"/>
      <c r="AA2440" s="49"/>
      <c r="AB2440" s="49"/>
      <c r="AC2440" s="49"/>
      <c r="AD2440" s="49"/>
      <c r="AE2440" s="49"/>
      <c r="AF2440" s="49"/>
      <c r="AG2440" s="49"/>
      <c r="AH2440" s="49"/>
      <c r="AI2440" s="48"/>
      <c r="AJ2440" s="48"/>
      <c r="AK2440" s="24"/>
      <c r="AL2440" s="50"/>
      <c r="AM2440" s="50"/>
      <c r="AN2440" s="50"/>
      <c r="AO2440" s="50"/>
      <c r="AP2440" s="50"/>
      <c r="AQ2440" s="50"/>
      <c r="AR2440" s="50"/>
      <c r="AS2440" s="50"/>
      <c r="AT2440" s="51"/>
      <c r="AU2440" s="51"/>
      <c r="AV2440" s="51"/>
      <c r="AW2440" s="51"/>
      <c r="AX2440" s="50"/>
      <c r="AY2440" s="50"/>
      <c r="AZ2440" s="50"/>
      <c r="BA2440" s="50"/>
      <c r="BB2440" s="51"/>
      <c r="BC2440" s="51"/>
      <c r="BD2440" s="51"/>
      <c r="BE2440" s="51"/>
      <c r="BF2440" s="47"/>
      <c r="BG2440" s="47"/>
      <c r="BH2440" s="47"/>
      <c r="BI2440" s="47"/>
      <c r="BJ2440" s="47"/>
      <c r="BK2440" s="47"/>
      <c r="BL2440" s="47"/>
      <c r="BM2440" s="47"/>
      <c r="BN2440" s="47"/>
      <c r="BO2440" s="47"/>
      <c r="BP2440" s="47"/>
      <c r="BQ2440" s="47"/>
      <c r="BR2440" s="47"/>
      <c r="BS2440" s="47"/>
      <c r="BT2440" s="47"/>
    </row>
    <row r="2441">
      <c r="A2441" s="24"/>
      <c r="B2441" s="48"/>
      <c r="C2441" s="49"/>
      <c r="D2441" s="24"/>
      <c r="E2441" s="52"/>
      <c r="F2441" s="53"/>
      <c r="G2441" s="48"/>
      <c r="H2441" s="49"/>
      <c r="I2441" s="49"/>
      <c r="J2441" s="48"/>
      <c r="K2441" s="48"/>
      <c r="L2441" s="48"/>
      <c r="M2441" s="48"/>
      <c r="N2441" s="48"/>
      <c r="O2441" s="48"/>
      <c r="P2441" s="48"/>
      <c r="Q2441" s="48"/>
      <c r="R2441" s="48"/>
      <c r="S2441" s="48"/>
      <c r="T2441" s="48"/>
      <c r="U2441" s="48"/>
      <c r="V2441" s="48"/>
      <c r="W2441" s="49"/>
      <c r="X2441" s="49"/>
      <c r="Y2441" s="49"/>
      <c r="Z2441" s="49"/>
      <c r="AA2441" s="49"/>
      <c r="AB2441" s="49"/>
      <c r="AC2441" s="49"/>
      <c r="AD2441" s="49"/>
      <c r="AE2441" s="49"/>
      <c r="AF2441" s="49"/>
      <c r="AG2441" s="49"/>
      <c r="AH2441" s="49"/>
      <c r="AI2441" s="48"/>
      <c r="AJ2441" s="48"/>
      <c r="AK2441" s="24"/>
      <c r="AL2441" s="50"/>
      <c r="AM2441" s="50"/>
      <c r="AN2441" s="50"/>
      <c r="AO2441" s="50"/>
      <c r="AP2441" s="50"/>
      <c r="AQ2441" s="50"/>
      <c r="AR2441" s="50"/>
      <c r="AS2441" s="50"/>
      <c r="AT2441" s="51"/>
      <c r="AU2441" s="51"/>
      <c r="AV2441" s="51"/>
      <c r="AW2441" s="51"/>
      <c r="AX2441" s="50"/>
      <c r="AY2441" s="50"/>
      <c r="AZ2441" s="50"/>
      <c r="BA2441" s="50"/>
      <c r="BB2441" s="51"/>
      <c r="BC2441" s="51"/>
      <c r="BD2441" s="51"/>
      <c r="BE2441" s="51"/>
      <c r="BF2441" s="47"/>
      <c r="BG2441" s="47"/>
      <c r="BH2441" s="47"/>
      <c r="BI2441" s="47"/>
      <c r="BJ2441" s="47"/>
      <c r="BK2441" s="47"/>
      <c r="BL2441" s="47"/>
      <c r="BM2441" s="47"/>
      <c r="BN2441" s="47"/>
      <c r="BO2441" s="47"/>
      <c r="BP2441" s="47"/>
      <c r="BQ2441" s="47"/>
      <c r="BR2441" s="47"/>
      <c r="BS2441" s="47"/>
      <c r="BT2441" s="47"/>
    </row>
    <row r="2442">
      <c r="A2442" s="24"/>
      <c r="B2442" s="48"/>
      <c r="C2442" s="49"/>
      <c r="D2442" s="24"/>
      <c r="E2442" s="52"/>
      <c r="F2442" s="53"/>
      <c r="G2442" s="48"/>
      <c r="H2442" s="49"/>
      <c r="I2442" s="49"/>
      <c r="J2442" s="48"/>
      <c r="K2442" s="48"/>
      <c r="L2442" s="48"/>
      <c r="M2442" s="48"/>
      <c r="N2442" s="48"/>
      <c r="O2442" s="48"/>
      <c r="P2442" s="48"/>
      <c r="Q2442" s="48"/>
      <c r="R2442" s="48"/>
      <c r="S2442" s="48"/>
      <c r="T2442" s="48"/>
      <c r="U2442" s="48"/>
      <c r="V2442" s="48"/>
      <c r="W2442" s="49"/>
      <c r="X2442" s="49"/>
      <c r="Y2442" s="49"/>
      <c r="Z2442" s="49"/>
      <c r="AA2442" s="49"/>
      <c r="AB2442" s="49"/>
      <c r="AC2442" s="49"/>
      <c r="AD2442" s="49"/>
      <c r="AE2442" s="49"/>
      <c r="AF2442" s="49"/>
      <c r="AG2442" s="49"/>
      <c r="AH2442" s="49"/>
      <c r="AI2442" s="48"/>
      <c r="AJ2442" s="48"/>
      <c r="AK2442" s="24"/>
      <c r="AL2442" s="50"/>
      <c r="AM2442" s="50"/>
      <c r="AN2442" s="50"/>
      <c r="AO2442" s="50"/>
      <c r="AP2442" s="50"/>
      <c r="AQ2442" s="50"/>
      <c r="AR2442" s="50"/>
      <c r="AS2442" s="50"/>
      <c r="AT2442" s="51"/>
      <c r="AU2442" s="51"/>
      <c r="AV2442" s="51"/>
      <c r="AW2442" s="51"/>
      <c r="AX2442" s="50"/>
      <c r="AY2442" s="50"/>
      <c r="AZ2442" s="50"/>
      <c r="BA2442" s="50"/>
      <c r="BB2442" s="51"/>
      <c r="BC2442" s="51"/>
      <c r="BD2442" s="51"/>
      <c r="BE2442" s="51"/>
      <c r="BF2442" s="47"/>
      <c r="BG2442" s="47"/>
      <c r="BH2442" s="47"/>
      <c r="BI2442" s="47"/>
      <c r="BJ2442" s="47"/>
      <c r="BK2442" s="47"/>
      <c r="BL2442" s="47"/>
      <c r="BM2442" s="47"/>
      <c r="BN2442" s="47"/>
      <c r="BO2442" s="47"/>
      <c r="BP2442" s="47"/>
      <c r="BQ2442" s="47"/>
      <c r="BR2442" s="47"/>
      <c r="BS2442" s="47"/>
      <c r="BT2442" s="47"/>
    </row>
    <row r="2443">
      <c r="A2443" s="24"/>
      <c r="B2443" s="48"/>
      <c r="C2443" s="49"/>
      <c r="D2443" s="24"/>
      <c r="E2443" s="52"/>
      <c r="F2443" s="53"/>
      <c r="G2443" s="48"/>
      <c r="H2443" s="49"/>
      <c r="I2443" s="49"/>
      <c r="J2443" s="48"/>
      <c r="K2443" s="48"/>
      <c r="L2443" s="48"/>
      <c r="M2443" s="48"/>
      <c r="N2443" s="48"/>
      <c r="O2443" s="48"/>
      <c r="P2443" s="48"/>
      <c r="Q2443" s="48"/>
      <c r="R2443" s="48"/>
      <c r="S2443" s="48"/>
      <c r="T2443" s="48"/>
      <c r="U2443" s="48"/>
      <c r="V2443" s="48"/>
      <c r="W2443" s="49"/>
      <c r="X2443" s="49"/>
      <c r="Y2443" s="49"/>
      <c r="Z2443" s="49"/>
      <c r="AA2443" s="49"/>
      <c r="AB2443" s="49"/>
      <c r="AC2443" s="49"/>
      <c r="AD2443" s="49"/>
      <c r="AE2443" s="49"/>
      <c r="AF2443" s="49"/>
      <c r="AG2443" s="49"/>
      <c r="AH2443" s="49"/>
      <c r="AI2443" s="48"/>
      <c r="AJ2443" s="48"/>
      <c r="AK2443" s="24"/>
      <c r="AL2443" s="50"/>
      <c r="AM2443" s="50"/>
      <c r="AN2443" s="50"/>
      <c r="AO2443" s="50"/>
      <c r="AP2443" s="50"/>
      <c r="AQ2443" s="50"/>
      <c r="AR2443" s="50"/>
      <c r="AS2443" s="50"/>
      <c r="AT2443" s="51"/>
      <c r="AU2443" s="51"/>
      <c r="AV2443" s="51"/>
      <c r="AW2443" s="51"/>
      <c r="AX2443" s="50"/>
      <c r="AY2443" s="50"/>
      <c r="AZ2443" s="50"/>
      <c r="BA2443" s="50"/>
      <c r="BB2443" s="51"/>
      <c r="BC2443" s="51"/>
      <c r="BD2443" s="51"/>
      <c r="BE2443" s="51"/>
      <c r="BF2443" s="47"/>
      <c r="BG2443" s="47"/>
      <c r="BH2443" s="47"/>
      <c r="BI2443" s="47"/>
      <c r="BJ2443" s="47"/>
      <c r="BK2443" s="47"/>
      <c r="BL2443" s="47"/>
      <c r="BM2443" s="47"/>
      <c r="BN2443" s="47"/>
      <c r="BO2443" s="47"/>
      <c r="BP2443" s="47"/>
      <c r="BQ2443" s="47"/>
      <c r="BR2443" s="47"/>
      <c r="BS2443" s="47"/>
      <c r="BT2443" s="47"/>
    </row>
    <row r="2444">
      <c r="A2444" s="24"/>
      <c r="B2444" s="48"/>
      <c r="C2444" s="49"/>
      <c r="D2444" s="24"/>
      <c r="E2444" s="52"/>
      <c r="F2444" s="53"/>
      <c r="G2444" s="48"/>
      <c r="H2444" s="49"/>
      <c r="I2444" s="49"/>
      <c r="J2444" s="48"/>
      <c r="K2444" s="48"/>
      <c r="L2444" s="48"/>
      <c r="M2444" s="48"/>
      <c r="N2444" s="48"/>
      <c r="O2444" s="48"/>
      <c r="P2444" s="48"/>
      <c r="Q2444" s="48"/>
      <c r="R2444" s="48"/>
      <c r="S2444" s="48"/>
      <c r="T2444" s="48"/>
      <c r="U2444" s="48"/>
      <c r="V2444" s="48"/>
      <c r="W2444" s="49"/>
      <c r="X2444" s="49"/>
      <c r="Y2444" s="49"/>
      <c r="Z2444" s="49"/>
      <c r="AA2444" s="49"/>
      <c r="AB2444" s="49"/>
      <c r="AC2444" s="49"/>
      <c r="AD2444" s="49"/>
      <c r="AE2444" s="49"/>
      <c r="AF2444" s="49"/>
      <c r="AG2444" s="49"/>
      <c r="AH2444" s="49"/>
      <c r="AI2444" s="48"/>
      <c r="AJ2444" s="48"/>
      <c r="AK2444" s="24"/>
      <c r="AL2444" s="50"/>
      <c r="AM2444" s="50"/>
      <c r="AN2444" s="50"/>
      <c r="AO2444" s="50"/>
      <c r="AP2444" s="50"/>
      <c r="AQ2444" s="50"/>
      <c r="AR2444" s="50"/>
      <c r="AS2444" s="50"/>
      <c r="AT2444" s="51"/>
      <c r="AU2444" s="51"/>
      <c r="AV2444" s="51"/>
      <c r="AW2444" s="51"/>
      <c r="AX2444" s="50"/>
      <c r="AY2444" s="50"/>
      <c r="AZ2444" s="50"/>
      <c r="BA2444" s="50"/>
      <c r="BB2444" s="51"/>
      <c r="BC2444" s="51"/>
      <c r="BD2444" s="51"/>
      <c r="BE2444" s="51"/>
      <c r="BF2444" s="47"/>
      <c r="BG2444" s="47"/>
      <c r="BH2444" s="47"/>
      <c r="BI2444" s="47"/>
      <c r="BJ2444" s="47"/>
      <c r="BK2444" s="47"/>
      <c r="BL2444" s="47"/>
      <c r="BM2444" s="47"/>
      <c r="BN2444" s="47"/>
      <c r="BO2444" s="47"/>
      <c r="BP2444" s="47"/>
      <c r="BQ2444" s="47"/>
      <c r="BR2444" s="47"/>
      <c r="BS2444" s="47"/>
      <c r="BT2444" s="47"/>
    </row>
    <row r="2445">
      <c r="A2445" s="24"/>
      <c r="B2445" s="48"/>
      <c r="C2445" s="49"/>
      <c r="D2445" s="24"/>
      <c r="E2445" s="52"/>
      <c r="F2445" s="53"/>
      <c r="G2445" s="48"/>
      <c r="H2445" s="49"/>
      <c r="I2445" s="49"/>
      <c r="J2445" s="48"/>
      <c r="K2445" s="48"/>
      <c r="L2445" s="48"/>
      <c r="M2445" s="48"/>
      <c r="N2445" s="48"/>
      <c r="O2445" s="48"/>
      <c r="P2445" s="48"/>
      <c r="Q2445" s="48"/>
      <c r="R2445" s="48"/>
      <c r="S2445" s="48"/>
      <c r="T2445" s="48"/>
      <c r="U2445" s="48"/>
      <c r="V2445" s="48"/>
      <c r="W2445" s="49"/>
      <c r="X2445" s="49"/>
      <c r="Y2445" s="49"/>
      <c r="Z2445" s="49"/>
      <c r="AA2445" s="49"/>
      <c r="AB2445" s="49"/>
      <c r="AC2445" s="49"/>
      <c r="AD2445" s="49"/>
      <c r="AE2445" s="49"/>
      <c r="AF2445" s="49"/>
      <c r="AG2445" s="49"/>
      <c r="AH2445" s="49"/>
      <c r="AI2445" s="48"/>
      <c r="AJ2445" s="48"/>
      <c r="AK2445" s="24"/>
      <c r="AL2445" s="50"/>
      <c r="AM2445" s="50"/>
      <c r="AN2445" s="50"/>
      <c r="AO2445" s="50"/>
      <c r="AP2445" s="50"/>
      <c r="AQ2445" s="50"/>
      <c r="AR2445" s="50"/>
      <c r="AS2445" s="50"/>
      <c r="AT2445" s="51"/>
      <c r="AU2445" s="51"/>
      <c r="AV2445" s="51"/>
      <c r="AW2445" s="51"/>
      <c r="AX2445" s="50"/>
      <c r="AY2445" s="50"/>
      <c r="AZ2445" s="50"/>
      <c r="BA2445" s="50"/>
      <c r="BB2445" s="51"/>
      <c r="BC2445" s="51"/>
      <c r="BD2445" s="51"/>
      <c r="BE2445" s="51"/>
      <c r="BF2445" s="47"/>
      <c r="BG2445" s="47"/>
      <c r="BH2445" s="47"/>
      <c r="BI2445" s="47"/>
      <c r="BJ2445" s="47"/>
      <c r="BK2445" s="47"/>
      <c r="BL2445" s="47"/>
      <c r="BM2445" s="47"/>
      <c r="BN2445" s="47"/>
      <c r="BO2445" s="47"/>
      <c r="BP2445" s="47"/>
      <c r="BQ2445" s="47"/>
      <c r="BR2445" s="47"/>
      <c r="BS2445" s="47"/>
      <c r="BT2445" s="47"/>
    </row>
    <row r="2446">
      <c r="A2446" s="24"/>
      <c r="B2446" s="48"/>
      <c r="C2446" s="49"/>
      <c r="D2446" s="24"/>
      <c r="E2446" s="52"/>
      <c r="F2446" s="53"/>
      <c r="G2446" s="48"/>
      <c r="H2446" s="49"/>
      <c r="I2446" s="49"/>
      <c r="J2446" s="48"/>
      <c r="K2446" s="48"/>
      <c r="L2446" s="48"/>
      <c r="M2446" s="48"/>
      <c r="N2446" s="48"/>
      <c r="O2446" s="48"/>
      <c r="P2446" s="48"/>
      <c r="Q2446" s="48"/>
      <c r="R2446" s="48"/>
      <c r="S2446" s="48"/>
      <c r="T2446" s="48"/>
      <c r="U2446" s="48"/>
      <c r="V2446" s="48"/>
      <c r="W2446" s="49"/>
      <c r="X2446" s="49"/>
      <c r="Y2446" s="49"/>
      <c r="Z2446" s="49"/>
      <c r="AA2446" s="49"/>
      <c r="AB2446" s="49"/>
      <c r="AC2446" s="49"/>
      <c r="AD2446" s="49"/>
      <c r="AE2446" s="49"/>
      <c r="AF2446" s="49"/>
      <c r="AG2446" s="49"/>
      <c r="AH2446" s="49"/>
      <c r="AI2446" s="48"/>
      <c r="AJ2446" s="48"/>
      <c r="AK2446" s="24"/>
      <c r="AL2446" s="50"/>
      <c r="AM2446" s="50"/>
      <c r="AN2446" s="50"/>
      <c r="AO2446" s="50"/>
      <c r="AP2446" s="50"/>
      <c r="AQ2446" s="50"/>
      <c r="AR2446" s="50"/>
      <c r="AS2446" s="50"/>
      <c r="AT2446" s="51"/>
      <c r="AU2446" s="51"/>
      <c r="AV2446" s="51"/>
      <c r="AW2446" s="51"/>
      <c r="AX2446" s="50"/>
      <c r="AY2446" s="50"/>
      <c r="AZ2446" s="50"/>
      <c r="BA2446" s="50"/>
      <c r="BB2446" s="51"/>
      <c r="BC2446" s="51"/>
      <c r="BD2446" s="51"/>
      <c r="BE2446" s="51"/>
      <c r="BF2446" s="47"/>
      <c r="BG2446" s="47"/>
      <c r="BH2446" s="47"/>
      <c r="BI2446" s="47"/>
      <c r="BJ2446" s="47"/>
      <c r="BK2446" s="47"/>
      <c r="BL2446" s="47"/>
      <c r="BM2446" s="47"/>
      <c r="BN2446" s="47"/>
      <c r="BO2446" s="47"/>
      <c r="BP2446" s="47"/>
      <c r="BQ2446" s="47"/>
      <c r="BR2446" s="47"/>
      <c r="BS2446" s="47"/>
      <c r="BT2446" s="47"/>
    </row>
    <row r="2447">
      <c r="A2447" s="24"/>
      <c r="B2447" s="48"/>
      <c r="C2447" s="49"/>
      <c r="D2447" s="24"/>
      <c r="E2447" s="52"/>
      <c r="F2447" s="53"/>
      <c r="G2447" s="48"/>
      <c r="H2447" s="49"/>
      <c r="I2447" s="49"/>
      <c r="J2447" s="48"/>
      <c r="K2447" s="48"/>
      <c r="L2447" s="48"/>
      <c r="M2447" s="48"/>
      <c r="N2447" s="48"/>
      <c r="O2447" s="48"/>
      <c r="P2447" s="48"/>
      <c r="Q2447" s="48"/>
      <c r="R2447" s="48"/>
      <c r="S2447" s="48"/>
      <c r="T2447" s="48"/>
      <c r="U2447" s="48"/>
      <c r="V2447" s="48"/>
      <c r="W2447" s="49"/>
      <c r="X2447" s="49"/>
      <c r="Y2447" s="49"/>
      <c r="Z2447" s="49"/>
      <c r="AA2447" s="49"/>
      <c r="AB2447" s="49"/>
      <c r="AC2447" s="49"/>
      <c r="AD2447" s="49"/>
      <c r="AE2447" s="49"/>
      <c r="AF2447" s="49"/>
      <c r="AG2447" s="49"/>
      <c r="AH2447" s="49"/>
      <c r="AI2447" s="48"/>
      <c r="AJ2447" s="48"/>
      <c r="AK2447" s="24"/>
      <c r="AL2447" s="50"/>
      <c r="AM2447" s="50"/>
      <c r="AN2447" s="50"/>
      <c r="AO2447" s="50"/>
      <c r="AP2447" s="50"/>
      <c r="AQ2447" s="50"/>
      <c r="AR2447" s="50"/>
      <c r="AS2447" s="50"/>
      <c r="AT2447" s="51"/>
      <c r="AU2447" s="51"/>
      <c r="AV2447" s="51"/>
      <c r="AW2447" s="51"/>
      <c r="AX2447" s="50"/>
      <c r="AY2447" s="50"/>
      <c r="AZ2447" s="50"/>
      <c r="BA2447" s="50"/>
      <c r="BB2447" s="51"/>
      <c r="BC2447" s="51"/>
      <c r="BD2447" s="51"/>
      <c r="BE2447" s="51"/>
      <c r="BF2447" s="47"/>
      <c r="BG2447" s="47"/>
      <c r="BH2447" s="47"/>
      <c r="BI2447" s="47"/>
      <c r="BJ2447" s="47"/>
      <c r="BK2447" s="47"/>
      <c r="BL2447" s="47"/>
      <c r="BM2447" s="47"/>
      <c r="BN2447" s="47"/>
      <c r="BO2447" s="47"/>
      <c r="BP2447" s="47"/>
      <c r="BQ2447" s="47"/>
      <c r="BR2447" s="47"/>
      <c r="BS2447" s="47"/>
      <c r="BT2447" s="47"/>
    </row>
    <row r="2448">
      <c r="A2448" s="24"/>
      <c r="B2448" s="48"/>
      <c r="C2448" s="49"/>
      <c r="D2448" s="24"/>
      <c r="E2448" s="52"/>
      <c r="F2448" s="53"/>
      <c r="G2448" s="48"/>
      <c r="H2448" s="49"/>
      <c r="I2448" s="49"/>
      <c r="J2448" s="48"/>
      <c r="K2448" s="48"/>
      <c r="L2448" s="48"/>
      <c r="M2448" s="48"/>
      <c r="N2448" s="48"/>
      <c r="O2448" s="48"/>
      <c r="P2448" s="48"/>
      <c r="Q2448" s="48"/>
      <c r="R2448" s="48"/>
      <c r="S2448" s="48"/>
      <c r="T2448" s="48"/>
      <c r="U2448" s="48"/>
      <c r="V2448" s="48"/>
      <c r="W2448" s="49"/>
      <c r="X2448" s="49"/>
      <c r="Y2448" s="49"/>
      <c r="Z2448" s="49"/>
      <c r="AA2448" s="49"/>
      <c r="AB2448" s="49"/>
      <c r="AC2448" s="49"/>
      <c r="AD2448" s="49"/>
      <c r="AE2448" s="49"/>
      <c r="AF2448" s="49"/>
      <c r="AG2448" s="49"/>
      <c r="AH2448" s="49"/>
      <c r="AI2448" s="48"/>
      <c r="AJ2448" s="48"/>
      <c r="AK2448" s="24"/>
      <c r="AL2448" s="50"/>
      <c r="AM2448" s="50"/>
      <c r="AN2448" s="50"/>
      <c r="AO2448" s="50"/>
      <c r="AP2448" s="50"/>
      <c r="AQ2448" s="50"/>
      <c r="AR2448" s="50"/>
      <c r="AS2448" s="50"/>
      <c r="AT2448" s="51"/>
      <c r="AU2448" s="51"/>
      <c r="AV2448" s="51"/>
      <c r="AW2448" s="51"/>
      <c r="AX2448" s="50"/>
      <c r="AY2448" s="50"/>
      <c r="AZ2448" s="50"/>
      <c r="BA2448" s="50"/>
      <c r="BB2448" s="51"/>
      <c r="BC2448" s="51"/>
      <c r="BD2448" s="51"/>
      <c r="BE2448" s="51"/>
      <c r="BF2448" s="47"/>
      <c r="BG2448" s="47"/>
      <c r="BH2448" s="47"/>
      <c r="BI2448" s="47"/>
      <c r="BJ2448" s="47"/>
      <c r="BK2448" s="47"/>
      <c r="BL2448" s="47"/>
      <c r="BM2448" s="47"/>
      <c r="BN2448" s="47"/>
      <c r="BO2448" s="47"/>
      <c r="BP2448" s="47"/>
      <c r="BQ2448" s="47"/>
      <c r="BR2448" s="47"/>
      <c r="BS2448" s="47"/>
      <c r="BT2448" s="47"/>
    </row>
    <row r="2449">
      <c r="A2449" s="24"/>
      <c r="B2449" s="48"/>
      <c r="C2449" s="49"/>
      <c r="D2449" s="24"/>
      <c r="E2449" s="52"/>
      <c r="F2449" s="53"/>
      <c r="G2449" s="48"/>
      <c r="H2449" s="49"/>
      <c r="I2449" s="49"/>
      <c r="J2449" s="48"/>
      <c r="K2449" s="48"/>
      <c r="L2449" s="48"/>
      <c r="M2449" s="48"/>
      <c r="N2449" s="48"/>
      <c r="O2449" s="48"/>
      <c r="P2449" s="48"/>
      <c r="Q2449" s="48"/>
      <c r="R2449" s="48"/>
      <c r="S2449" s="48"/>
      <c r="T2449" s="48"/>
      <c r="U2449" s="48"/>
      <c r="V2449" s="48"/>
      <c r="W2449" s="49"/>
      <c r="X2449" s="49"/>
      <c r="Y2449" s="49"/>
      <c r="Z2449" s="49"/>
      <c r="AA2449" s="49"/>
      <c r="AB2449" s="49"/>
      <c r="AC2449" s="49"/>
      <c r="AD2449" s="49"/>
      <c r="AE2449" s="49"/>
      <c r="AF2449" s="49"/>
      <c r="AG2449" s="49"/>
      <c r="AH2449" s="49"/>
      <c r="AI2449" s="48"/>
      <c r="AJ2449" s="48"/>
      <c r="AK2449" s="24"/>
      <c r="AL2449" s="50"/>
      <c r="AM2449" s="50"/>
      <c r="AN2449" s="50"/>
      <c r="AO2449" s="50"/>
      <c r="AP2449" s="50"/>
      <c r="AQ2449" s="50"/>
      <c r="AR2449" s="50"/>
      <c r="AS2449" s="50"/>
      <c r="AT2449" s="51"/>
      <c r="AU2449" s="51"/>
      <c r="AV2449" s="51"/>
      <c r="AW2449" s="51"/>
      <c r="AX2449" s="50"/>
      <c r="AY2449" s="50"/>
      <c r="AZ2449" s="50"/>
      <c r="BA2449" s="50"/>
      <c r="BB2449" s="51"/>
      <c r="BC2449" s="51"/>
      <c r="BD2449" s="51"/>
      <c r="BE2449" s="51"/>
      <c r="BF2449" s="47"/>
      <c r="BG2449" s="47"/>
      <c r="BH2449" s="47"/>
      <c r="BI2449" s="47"/>
      <c r="BJ2449" s="47"/>
      <c r="BK2449" s="47"/>
      <c r="BL2449" s="47"/>
      <c r="BM2449" s="47"/>
      <c r="BN2449" s="47"/>
      <c r="BO2449" s="47"/>
      <c r="BP2449" s="47"/>
      <c r="BQ2449" s="47"/>
      <c r="BR2449" s="47"/>
      <c r="BS2449" s="47"/>
      <c r="BT2449" s="47"/>
    </row>
    <row r="2450">
      <c r="A2450" s="24"/>
      <c r="B2450" s="48"/>
      <c r="C2450" s="49"/>
      <c r="D2450" s="24"/>
      <c r="E2450" s="52"/>
      <c r="F2450" s="53"/>
      <c r="G2450" s="48"/>
      <c r="H2450" s="49"/>
      <c r="I2450" s="49"/>
      <c r="J2450" s="48"/>
      <c r="K2450" s="48"/>
      <c r="L2450" s="48"/>
      <c r="M2450" s="48"/>
      <c r="N2450" s="48"/>
      <c r="O2450" s="48"/>
      <c r="P2450" s="48"/>
      <c r="Q2450" s="48"/>
      <c r="R2450" s="48"/>
      <c r="S2450" s="48"/>
      <c r="T2450" s="48"/>
      <c r="U2450" s="48"/>
      <c r="V2450" s="48"/>
      <c r="W2450" s="49"/>
      <c r="X2450" s="49"/>
      <c r="Y2450" s="49"/>
      <c r="Z2450" s="49"/>
      <c r="AA2450" s="49"/>
      <c r="AB2450" s="49"/>
      <c r="AC2450" s="49"/>
      <c r="AD2450" s="49"/>
      <c r="AE2450" s="49"/>
      <c r="AF2450" s="49"/>
      <c r="AG2450" s="49"/>
      <c r="AH2450" s="49"/>
      <c r="AI2450" s="48"/>
      <c r="AJ2450" s="48"/>
      <c r="AK2450" s="24"/>
      <c r="AL2450" s="50"/>
      <c r="AM2450" s="50"/>
      <c r="AN2450" s="50"/>
      <c r="AO2450" s="50"/>
      <c r="AP2450" s="50"/>
      <c r="AQ2450" s="50"/>
      <c r="AR2450" s="50"/>
      <c r="AS2450" s="50"/>
      <c r="AT2450" s="51"/>
      <c r="AU2450" s="51"/>
      <c r="AV2450" s="51"/>
      <c r="AW2450" s="51"/>
      <c r="AX2450" s="50"/>
      <c r="AY2450" s="50"/>
      <c r="AZ2450" s="50"/>
      <c r="BA2450" s="50"/>
      <c r="BB2450" s="51"/>
      <c r="BC2450" s="51"/>
      <c r="BD2450" s="51"/>
      <c r="BE2450" s="51"/>
      <c r="BF2450" s="47"/>
      <c r="BG2450" s="47"/>
      <c r="BH2450" s="47"/>
      <c r="BI2450" s="47"/>
      <c r="BJ2450" s="47"/>
      <c r="BK2450" s="47"/>
      <c r="BL2450" s="47"/>
      <c r="BM2450" s="47"/>
      <c r="BN2450" s="47"/>
      <c r="BO2450" s="47"/>
      <c r="BP2450" s="47"/>
      <c r="BQ2450" s="47"/>
      <c r="BR2450" s="47"/>
      <c r="BS2450" s="47"/>
      <c r="BT2450" s="47"/>
    </row>
    <row r="2451">
      <c r="A2451" s="24"/>
      <c r="B2451" s="48"/>
      <c r="C2451" s="49"/>
      <c r="D2451" s="24"/>
      <c r="E2451" s="52"/>
      <c r="F2451" s="53"/>
      <c r="G2451" s="48"/>
      <c r="H2451" s="49"/>
      <c r="I2451" s="49"/>
      <c r="J2451" s="48"/>
      <c r="K2451" s="48"/>
      <c r="L2451" s="48"/>
      <c r="M2451" s="48"/>
      <c r="N2451" s="48"/>
      <c r="O2451" s="48"/>
      <c r="P2451" s="48"/>
      <c r="Q2451" s="48"/>
      <c r="R2451" s="48"/>
      <c r="S2451" s="48"/>
      <c r="T2451" s="48"/>
      <c r="U2451" s="48"/>
      <c r="V2451" s="48"/>
      <c r="W2451" s="49"/>
      <c r="X2451" s="49"/>
      <c r="Y2451" s="49"/>
      <c r="Z2451" s="49"/>
      <c r="AA2451" s="49"/>
      <c r="AB2451" s="49"/>
      <c r="AC2451" s="49"/>
      <c r="AD2451" s="49"/>
      <c r="AE2451" s="49"/>
      <c r="AF2451" s="49"/>
      <c r="AG2451" s="49"/>
      <c r="AH2451" s="49"/>
      <c r="AI2451" s="48"/>
      <c r="AJ2451" s="48"/>
      <c r="AK2451" s="24"/>
      <c r="AL2451" s="50"/>
      <c r="AM2451" s="50"/>
      <c r="AN2451" s="50"/>
      <c r="AO2451" s="50"/>
      <c r="AP2451" s="50"/>
      <c r="AQ2451" s="50"/>
      <c r="AR2451" s="50"/>
      <c r="AS2451" s="50"/>
      <c r="AT2451" s="51"/>
      <c r="AU2451" s="51"/>
      <c r="AV2451" s="51"/>
      <c r="AW2451" s="51"/>
      <c r="AX2451" s="50"/>
      <c r="AY2451" s="50"/>
      <c r="AZ2451" s="50"/>
      <c r="BA2451" s="50"/>
      <c r="BB2451" s="51"/>
      <c r="BC2451" s="51"/>
      <c r="BD2451" s="51"/>
      <c r="BE2451" s="51"/>
      <c r="BF2451" s="47"/>
      <c r="BG2451" s="47"/>
      <c r="BH2451" s="47"/>
      <c r="BI2451" s="47"/>
      <c r="BJ2451" s="47"/>
      <c r="BK2451" s="47"/>
      <c r="BL2451" s="47"/>
      <c r="BM2451" s="47"/>
      <c r="BN2451" s="47"/>
      <c r="BO2451" s="47"/>
      <c r="BP2451" s="47"/>
      <c r="BQ2451" s="47"/>
      <c r="BR2451" s="47"/>
      <c r="BS2451" s="47"/>
      <c r="BT2451" s="47"/>
    </row>
    <row r="2452">
      <c r="A2452" s="24"/>
      <c r="B2452" s="48"/>
      <c r="C2452" s="49"/>
      <c r="D2452" s="24"/>
      <c r="E2452" s="52"/>
      <c r="F2452" s="53"/>
      <c r="G2452" s="48"/>
      <c r="H2452" s="49"/>
      <c r="I2452" s="49"/>
      <c r="J2452" s="48"/>
      <c r="K2452" s="48"/>
      <c r="L2452" s="48"/>
      <c r="M2452" s="48"/>
      <c r="N2452" s="48"/>
      <c r="O2452" s="48"/>
      <c r="P2452" s="48"/>
      <c r="Q2452" s="48"/>
      <c r="R2452" s="48"/>
      <c r="S2452" s="48"/>
      <c r="T2452" s="48"/>
      <c r="U2452" s="48"/>
      <c r="V2452" s="48"/>
      <c r="W2452" s="49"/>
      <c r="X2452" s="49"/>
      <c r="Y2452" s="49"/>
      <c r="Z2452" s="49"/>
      <c r="AA2452" s="49"/>
      <c r="AB2452" s="49"/>
      <c r="AC2452" s="49"/>
      <c r="AD2452" s="49"/>
      <c r="AE2452" s="49"/>
      <c r="AF2452" s="49"/>
      <c r="AG2452" s="49"/>
      <c r="AH2452" s="49"/>
      <c r="AI2452" s="48"/>
      <c r="AJ2452" s="48"/>
      <c r="AK2452" s="24"/>
      <c r="AL2452" s="50"/>
      <c r="AM2452" s="50"/>
      <c r="AN2452" s="50"/>
      <c r="AO2452" s="50"/>
      <c r="AP2452" s="50"/>
      <c r="AQ2452" s="50"/>
      <c r="AR2452" s="50"/>
      <c r="AS2452" s="50"/>
      <c r="AT2452" s="51"/>
      <c r="AU2452" s="51"/>
      <c r="AV2452" s="51"/>
      <c r="AW2452" s="51"/>
      <c r="AX2452" s="50"/>
      <c r="AY2452" s="50"/>
      <c r="AZ2452" s="50"/>
      <c r="BA2452" s="50"/>
      <c r="BB2452" s="51"/>
      <c r="BC2452" s="51"/>
      <c r="BD2452" s="51"/>
      <c r="BE2452" s="51"/>
      <c r="BF2452" s="47"/>
      <c r="BG2452" s="47"/>
      <c r="BH2452" s="47"/>
      <c r="BI2452" s="47"/>
      <c r="BJ2452" s="47"/>
      <c r="BK2452" s="47"/>
      <c r="BL2452" s="47"/>
      <c r="BM2452" s="47"/>
      <c r="BN2452" s="47"/>
      <c r="BO2452" s="47"/>
      <c r="BP2452" s="47"/>
      <c r="BQ2452" s="47"/>
      <c r="BR2452" s="47"/>
      <c r="BS2452" s="47"/>
      <c r="BT2452" s="47"/>
    </row>
    <row r="2453">
      <c r="A2453" s="24"/>
      <c r="B2453" s="48"/>
      <c r="C2453" s="49"/>
      <c r="D2453" s="24"/>
      <c r="E2453" s="52"/>
      <c r="F2453" s="53"/>
      <c r="G2453" s="48"/>
      <c r="H2453" s="49"/>
      <c r="I2453" s="49"/>
      <c r="J2453" s="48"/>
      <c r="K2453" s="48"/>
      <c r="L2453" s="48"/>
      <c r="M2453" s="48"/>
      <c r="N2453" s="48"/>
      <c r="O2453" s="48"/>
      <c r="P2453" s="48"/>
      <c r="Q2453" s="48"/>
      <c r="R2453" s="48"/>
      <c r="S2453" s="48"/>
      <c r="T2453" s="48"/>
      <c r="U2453" s="48"/>
      <c r="V2453" s="48"/>
      <c r="W2453" s="49"/>
      <c r="X2453" s="49"/>
      <c r="Y2453" s="49"/>
      <c r="Z2453" s="49"/>
      <c r="AA2453" s="49"/>
      <c r="AB2453" s="49"/>
      <c r="AC2453" s="49"/>
      <c r="AD2453" s="49"/>
      <c r="AE2453" s="49"/>
      <c r="AF2453" s="49"/>
      <c r="AG2453" s="49"/>
      <c r="AH2453" s="49"/>
      <c r="AI2453" s="48"/>
      <c r="AJ2453" s="48"/>
      <c r="AK2453" s="24"/>
      <c r="AL2453" s="50"/>
      <c r="AM2453" s="50"/>
      <c r="AN2453" s="50"/>
      <c r="AO2453" s="50"/>
      <c r="AP2453" s="50"/>
      <c r="AQ2453" s="50"/>
      <c r="AR2453" s="50"/>
      <c r="AS2453" s="50"/>
      <c r="AT2453" s="51"/>
      <c r="AU2453" s="51"/>
      <c r="AV2453" s="51"/>
      <c r="AW2453" s="51"/>
      <c r="AX2453" s="50"/>
      <c r="AY2453" s="50"/>
      <c r="AZ2453" s="50"/>
      <c r="BA2453" s="50"/>
      <c r="BB2453" s="51"/>
      <c r="BC2453" s="51"/>
      <c r="BD2453" s="51"/>
      <c r="BE2453" s="51"/>
      <c r="BF2453" s="47"/>
      <c r="BG2453" s="47"/>
      <c r="BH2453" s="47"/>
      <c r="BI2453" s="47"/>
      <c r="BJ2453" s="47"/>
      <c r="BK2453" s="47"/>
      <c r="BL2453" s="47"/>
      <c r="BM2453" s="47"/>
      <c r="BN2453" s="47"/>
      <c r="BO2453" s="47"/>
      <c r="BP2453" s="47"/>
      <c r="BQ2453" s="47"/>
      <c r="BR2453" s="47"/>
      <c r="BS2453" s="47"/>
      <c r="BT2453" s="47"/>
    </row>
    <row r="2454">
      <c r="A2454" s="24"/>
      <c r="B2454" s="48"/>
      <c r="C2454" s="49"/>
      <c r="D2454" s="24"/>
      <c r="E2454" s="52"/>
      <c r="F2454" s="53"/>
      <c r="G2454" s="48"/>
      <c r="H2454" s="49"/>
      <c r="I2454" s="49"/>
      <c r="J2454" s="48"/>
      <c r="K2454" s="48"/>
      <c r="L2454" s="48"/>
      <c r="M2454" s="48"/>
      <c r="N2454" s="48"/>
      <c r="O2454" s="48"/>
      <c r="P2454" s="48"/>
      <c r="Q2454" s="48"/>
      <c r="R2454" s="48"/>
      <c r="S2454" s="48"/>
      <c r="T2454" s="48"/>
      <c r="U2454" s="48"/>
      <c r="V2454" s="48"/>
      <c r="W2454" s="49"/>
      <c r="X2454" s="49"/>
      <c r="Y2454" s="49"/>
      <c r="Z2454" s="49"/>
      <c r="AA2454" s="49"/>
      <c r="AB2454" s="49"/>
      <c r="AC2454" s="49"/>
      <c r="AD2454" s="49"/>
      <c r="AE2454" s="49"/>
      <c r="AF2454" s="49"/>
      <c r="AG2454" s="49"/>
      <c r="AH2454" s="49"/>
      <c r="AI2454" s="48"/>
      <c r="AJ2454" s="48"/>
      <c r="AK2454" s="24"/>
      <c r="AL2454" s="50"/>
      <c r="AM2454" s="50"/>
      <c r="AN2454" s="50"/>
      <c r="AO2454" s="50"/>
      <c r="AP2454" s="50"/>
      <c r="AQ2454" s="50"/>
      <c r="AR2454" s="50"/>
      <c r="AS2454" s="50"/>
      <c r="AT2454" s="51"/>
      <c r="AU2454" s="51"/>
      <c r="AV2454" s="51"/>
      <c r="AW2454" s="51"/>
      <c r="AX2454" s="50"/>
      <c r="AY2454" s="50"/>
      <c r="AZ2454" s="50"/>
      <c r="BA2454" s="50"/>
      <c r="BB2454" s="51"/>
      <c r="BC2454" s="51"/>
      <c r="BD2454" s="51"/>
      <c r="BE2454" s="51"/>
      <c r="BF2454" s="47"/>
      <c r="BG2454" s="47"/>
      <c r="BH2454" s="47"/>
      <c r="BI2454" s="47"/>
      <c r="BJ2454" s="47"/>
      <c r="BK2454" s="47"/>
      <c r="BL2454" s="47"/>
      <c r="BM2454" s="47"/>
      <c r="BN2454" s="47"/>
      <c r="BO2454" s="47"/>
      <c r="BP2454" s="47"/>
      <c r="BQ2454" s="47"/>
      <c r="BR2454" s="47"/>
      <c r="BS2454" s="47"/>
      <c r="BT2454" s="47"/>
    </row>
    <row r="2455">
      <c r="A2455" s="24"/>
      <c r="B2455" s="48"/>
      <c r="C2455" s="49"/>
      <c r="D2455" s="24"/>
      <c r="E2455" s="52"/>
      <c r="F2455" s="53"/>
      <c r="G2455" s="48"/>
      <c r="H2455" s="49"/>
      <c r="I2455" s="49"/>
      <c r="J2455" s="48"/>
      <c r="K2455" s="48"/>
      <c r="L2455" s="48"/>
      <c r="M2455" s="48"/>
      <c r="N2455" s="48"/>
      <c r="O2455" s="48"/>
      <c r="P2455" s="48"/>
      <c r="Q2455" s="48"/>
      <c r="R2455" s="48"/>
      <c r="S2455" s="48"/>
      <c r="T2455" s="48"/>
      <c r="U2455" s="48"/>
      <c r="V2455" s="48"/>
      <c r="W2455" s="49"/>
      <c r="X2455" s="49"/>
      <c r="Y2455" s="49"/>
      <c r="Z2455" s="49"/>
      <c r="AA2455" s="49"/>
      <c r="AB2455" s="49"/>
      <c r="AC2455" s="49"/>
      <c r="AD2455" s="49"/>
      <c r="AE2455" s="49"/>
      <c r="AF2455" s="49"/>
      <c r="AG2455" s="49"/>
      <c r="AH2455" s="49"/>
      <c r="AI2455" s="48"/>
      <c r="AJ2455" s="48"/>
      <c r="AK2455" s="24"/>
      <c r="AL2455" s="50"/>
      <c r="AM2455" s="50"/>
      <c r="AN2455" s="50"/>
      <c r="AO2455" s="50"/>
      <c r="AP2455" s="50"/>
      <c r="AQ2455" s="50"/>
      <c r="AR2455" s="50"/>
      <c r="AS2455" s="50"/>
      <c r="AT2455" s="51"/>
      <c r="AU2455" s="51"/>
      <c r="AV2455" s="51"/>
      <c r="AW2455" s="51"/>
      <c r="AX2455" s="50"/>
      <c r="AY2455" s="50"/>
      <c r="AZ2455" s="50"/>
      <c r="BA2455" s="50"/>
      <c r="BB2455" s="51"/>
      <c r="BC2455" s="51"/>
      <c r="BD2455" s="51"/>
      <c r="BE2455" s="51"/>
      <c r="BF2455" s="47"/>
      <c r="BG2455" s="47"/>
      <c r="BH2455" s="47"/>
      <c r="BI2455" s="47"/>
      <c r="BJ2455" s="47"/>
      <c r="BK2455" s="47"/>
      <c r="BL2455" s="47"/>
      <c r="BM2455" s="47"/>
      <c r="BN2455" s="47"/>
      <c r="BO2455" s="47"/>
      <c r="BP2455" s="47"/>
      <c r="BQ2455" s="47"/>
      <c r="BR2455" s="47"/>
      <c r="BS2455" s="47"/>
      <c r="BT2455" s="47"/>
    </row>
    <row r="2456">
      <c r="A2456" s="24"/>
      <c r="B2456" s="48"/>
      <c r="C2456" s="49"/>
      <c r="D2456" s="24"/>
      <c r="E2456" s="52"/>
      <c r="F2456" s="53"/>
      <c r="G2456" s="48"/>
      <c r="H2456" s="49"/>
      <c r="I2456" s="49"/>
      <c r="J2456" s="48"/>
      <c r="K2456" s="48"/>
      <c r="L2456" s="48"/>
      <c r="M2456" s="48"/>
      <c r="N2456" s="48"/>
      <c r="O2456" s="48"/>
      <c r="P2456" s="48"/>
      <c r="Q2456" s="48"/>
      <c r="R2456" s="48"/>
      <c r="S2456" s="48"/>
      <c r="T2456" s="48"/>
      <c r="U2456" s="48"/>
      <c r="V2456" s="48"/>
      <c r="W2456" s="49"/>
      <c r="X2456" s="49"/>
      <c r="Y2456" s="49"/>
      <c r="Z2456" s="49"/>
      <c r="AA2456" s="49"/>
      <c r="AB2456" s="49"/>
      <c r="AC2456" s="49"/>
      <c r="AD2456" s="49"/>
      <c r="AE2456" s="49"/>
      <c r="AF2456" s="49"/>
      <c r="AG2456" s="49"/>
      <c r="AH2456" s="49"/>
      <c r="AI2456" s="48"/>
      <c r="AJ2456" s="48"/>
      <c r="AK2456" s="24"/>
      <c r="AL2456" s="50"/>
      <c r="AM2456" s="50"/>
      <c r="AN2456" s="50"/>
      <c r="AO2456" s="50"/>
      <c r="AP2456" s="50"/>
      <c r="AQ2456" s="50"/>
      <c r="AR2456" s="50"/>
      <c r="AS2456" s="50"/>
      <c r="AT2456" s="51"/>
      <c r="AU2456" s="51"/>
      <c r="AV2456" s="51"/>
      <c r="AW2456" s="51"/>
      <c r="AX2456" s="50"/>
      <c r="AY2456" s="50"/>
      <c r="AZ2456" s="50"/>
      <c r="BA2456" s="50"/>
      <c r="BB2456" s="51"/>
      <c r="BC2456" s="51"/>
      <c r="BD2456" s="51"/>
      <c r="BE2456" s="51"/>
      <c r="BF2456" s="47"/>
      <c r="BG2456" s="47"/>
      <c r="BH2456" s="47"/>
      <c r="BI2456" s="47"/>
      <c r="BJ2456" s="47"/>
      <c r="BK2456" s="47"/>
      <c r="BL2456" s="47"/>
      <c r="BM2456" s="47"/>
      <c r="BN2456" s="47"/>
      <c r="BO2456" s="47"/>
      <c r="BP2456" s="47"/>
      <c r="BQ2456" s="47"/>
      <c r="BR2456" s="47"/>
      <c r="BS2456" s="47"/>
      <c r="BT2456" s="47"/>
    </row>
    <row r="2457">
      <c r="A2457" s="24"/>
      <c r="B2457" s="48"/>
      <c r="C2457" s="49"/>
      <c r="D2457" s="24"/>
      <c r="E2457" s="52"/>
      <c r="F2457" s="53"/>
      <c r="G2457" s="48"/>
      <c r="H2457" s="49"/>
      <c r="I2457" s="49"/>
      <c r="J2457" s="48"/>
      <c r="K2457" s="48"/>
      <c r="L2457" s="48"/>
      <c r="M2457" s="48"/>
      <c r="N2457" s="48"/>
      <c r="O2457" s="48"/>
      <c r="P2457" s="48"/>
      <c r="Q2457" s="48"/>
      <c r="R2457" s="48"/>
      <c r="S2457" s="48"/>
      <c r="T2457" s="48"/>
      <c r="U2457" s="48"/>
      <c r="V2457" s="48"/>
      <c r="W2457" s="49"/>
      <c r="X2457" s="49"/>
      <c r="Y2457" s="49"/>
      <c r="Z2457" s="49"/>
      <c r="AA2457" s="49"/>
      <c r="AB2457" s="49"/>
      <c r="AC2457" s="49"/>
      <c r="AD2457" s="49"/>
      <c r="AE2457" s="49"/>
      <c r="AF2457" s="49"/>
      <c r="AG2457" s="49"/>
      <c r="AH2457" s="49"/>
      <c r="AI2457" s="48"/>
      <c r="AJ2457" s="48"/>
      <c r="AK2457" s="24"/>
      <c r="AL2457" s="50"/>
      <c r="AM2457" s="50"/>
      <c r="AN2457" s="50"/>
      <c r="AO2457" s="50"/>
      <c r="AP2457" s="50"/>
      <c r="AQ2457" s="50"/>
      <c r="AR2457" s="50"/>
      <c r="AS2457" s="50"/>
      <c r="AT2457" s="51"/>
      <c r="AU2457" s="51"/>
      <c r="AV2457" s="51"/>
      <c r="AW2457" s="51"/>
      <c r="AX2457" s="50"/>
      <c r="AY2457" s="50"/>
      <c r="AZ2457" s="50"/>
      <c r="BA2457" s="50"/>
      <c r="BB2457" s="51"/>
      <c r="BC2457" s="51"/>
      <c r="BD2457" s="51"/>
      <c r="BE2457" s="51"/>
      <c r="BF2457" s="47"/>
      <c r="BG2457" s="47"/>
      <c r="BH2457" s="47"/>
      <c r="BI2457" s="47"/>
      <c r="BJ2457" s="47"/>
      <c r="BK2457" s="47"/>
      <c r="BL2457" s="47"/>
      <c r="BM2457" s="47"/>
      <c r="BN2457" s="47"/>
      <c r="BO2457" s="47"/>
      <c r="BP2457" s="47"/>
      <c r="BQ2457" s="47"/>
      <c r="BR2457" s="47"/>
      <c r="BS2457" s="47"/>
      <c r="BT2457" s="47"/>
    </row>
    <row r="2458">
      <c r="A2458" s="24"/>
      <c r="B2458" s="48"/>
      <c r="C2458" s="49"/>
      <c r="D2458" s="24"/>
      <c r="E2458" s="52"/>
      <c r="F2458" s="53"/>
      <c r="G2458" s="48"/>
      <c r="H2458" s="49"/>
      <c r="I2458" s="49"/>
      <c r="J2458" s="48"/>
      <c r="K2458" s="48"/>
      <c r="L2458" s="48"/>
      <c r="M2458" s="48"/>
      <c r="N2458" s="48"/>
      <c r="O2458" s="48"/>
      <c r="P2458" s="48"/>
      <c r="Q2458" s="48"/>
      <c r="R2458" s="48"/>
      <c r="S2458" s="48"/>
      <c r="T2458" s="48"/>
      <c r="U2458" s="48"/>
      <c r="V2458" s="48"/>
      <c r="W2458" s="49"/>
      <c r="X2458" s="49"/>
      <c r="Y2458" s="49"/>
      <c r="Z2458" s="49"/>
      <c r="AA2458" s="49"/>
      <c r="AB2458" s="49"/>
      <c r="AC2458" s="49"/>
      <c r="AD2458" s="49"/>
      <c r="AE2458" s="49"/>
      <c r="AF2458" s="49"/>
      <c r="AG2458" s="49"/>
      <c r="AH2458" s="49"/>
      <c r="AI2458" s="48"/>
      <c r="AJ2458" s="48"/>
      <c r="AK2458" s="24"/>
      <c r="AL2458" s="50"/>
      <c r="AM2458" s="50"/>
      <c r="AN2458" s="50"/>
      <c r="AO2458" s="50"/>
      <c r="AP2458" s="50"/>
      <c r="AQ2458" s="50"/>
      <c r="AR2458" s="50"/>
      <c r="AS2458" s="50"/>
      <c r="AT2458" s="51"/>
      <c r="AU2458" s="51"/>
      <c r="AV2458" s="51"/>
      <c r="AW2458" s="51"/>
      <c r="AX2458" s="50"/>
      <c r="AY2458" s="50"/>
      <c r="AZ2458" s="50"/>
      <c r="BA2458" s="50"/>
      <c r="BB2458" s="51"/>
      <c r="BC2458" s="51"/>
      <c r="BD2458" s="51"/>
      <c r="BE2458" s="51"/>
      <c r="BF2458" s="47"/>
      <c r="BG2458" s="47"/>
      <c r="BH2458" s="47"/>
      <c r="BI2458" s="47"/>
      <c r="BJ2458" s="47"/>
      <c r="BK2458" s="47"/>
      <c r="BL2458" s="47"/>
      <c r="BM2458" s="47"/>
      <c r="BN2458" s="47"/>
      <c r="BO2458" s="47"/>
      <c r="BP2458" s="47"/>
      <c r="BQ2458" s="47"/>
      <c r="BR2458" s="47"/>
      <c r="BS2458" s="47"/>
      <c r="BT2458" s="47"/>
    </row>
    <row r="2459">
      <c r="A2459" s="24"/>
      <c r="B2459" s="48"/>
      <c r="C2459" s="49"/>
      <c r="D2459" s="24"/>
      <c r="E2459" s="52"/>
      <c r="F2459" s="53"/>
      <c r="G2459" s="48"/>
      <c r="H2459" s="49"/>
      <c r="I2459" s="49"/>
      <c r="J2459" s="48"/>
      <c r="K2459" s="48"/>
      <c r="L2459" s="48"/>
      <c r="M2459" s="48"/>
      <c r="N2459" s="48"/>
      <c r="O2459" s="48"/>
      <c r="P2459" s="48"/>
      <c r="Q2459" s="48"/>
      <c r="R2459" s="48"/>
      <c r="S2459" s="48"/>
      <c r="T2459" s="48"/>
      <c r="U2459" s="48"/>
      <c r="V2459" s="48"/>
      <c r="W2459" s="49"/>
      <c r="X2459" s="49"/>
      <c r="Y2459" s="49"/>
      <c r="Z2459" s="49"/>
      <c r="AA2459" s="49"/>
      <c r="AB2459" s="49"/>
      <c r="AC2459" s="49"/>
      <c r="AD2459" s="49"/>
      <c r="AE2459" s="49"/>
      <c r="AF2459" s="49"/>
      <c r="AG2459" s="49"/>
      <c r="AH2459" s="49"/>
      <c r="AI2459" s="48"/>
      <c r="AJ2459" s="48"/>
      <c r="AK2459" s="24"/>
      <c r="AL2459" s="50"/>
      <c r="AM2459" s="50"/>
      <c r="AN2459" s="50"/>
      <c r="AO2459" s="50"/>
      <c r="AP2459" s="50"/>
      <c r="AQ2459" s="50"/>
      <c r="AR2459" s="50"/>
      <c r="AS2459" s="50"/>
      <c r="AT2459" s="51"/>
      <c r="AU2459" s="51"/>
      <c r="AV2459" s="51"/>
      <c r="AW2459" s="51"/>
      <c r="AX2459" s="50"/>
      <c r="AY2459" s="50"/>
      <c r="AZ2459" s="50"/>
      <c r="BA2459" s="50"/>
      <c r="BB2459" s="51"/>
      <c r="BC2459" s="51"/>
      <c r="BD2459" s="51"/>
      <c r="BE2459" s="51"/>
      <c r="BF2459" s="47"/>
      <c r="BG2459" s="47"/>
      <c r="BH2459" s="47"/>
      <c r="BI2459" s="47"/>
      <c r="BJ2459" s="47"/>
      <c r="BK2459" s="47"/>
      <c r="BL2459" s="47"/>
      <c r="BM2459" s="47"/>
      <c r="BN2459" s="47"/>
      <c r="BO2459" s="47"/>
      <c r="BP2459" s="47"/>
      <c r="BQ2459" s="47"/>
      <c r="BR2459" s="47"/>
      <c r="BS2459" s="47"/>
      <c r="BT2459" s="47"/>
    </row>
    <row r="2460">
      <c r="A2460" s="24"/>
      <c r="B2460" s="48"/>
      <c r="C2460" s="49"/>
      <c r="D2460" s="24"/>
      <c r="E2460" s="52"/>
      <c r="F2460" s="53"/>
      <c r="G2460" s="48"/>
      <c r="H2460" s="49"/>
      <c r="I2460" s="49"/>
      <c r="J2460" s="48"/>
      <c r="K2460" s="48"/>
      <c r="L2460" s="48"/>
      <c r="M2460" s="48"/>
      <c r="N2460" s="48"/>
      <c r="O2460" s="48"/>
      <c r="P2460" s="48"/>
      <c r="Q2460" s="48"/>
      <c r="R2460" s="48"/>
      <c r="S2460" s="48"/>
      <c r="T2460" s="48"/>
      <c r="U2460" s="48"/>
      <c r="V2460" s="48"/>
      <c r="W2460" s="49"/>
      <c r="X2460" s="49"/>
      <c r="Y2460" s="49"/>
      <c r="Z2460" s="49"/>
      <c r="AA2460" s="49"/>
      <c r="AB2460" s="49"/>
      <c r="AC2460" s="49"/>
      <c r="AD2460" s="49"/>
      <c r="AE2460" s="49"/>
      <c r="AF2460" s="49"/>
      <c r="AG2460" s="49"/>
      <c r="AH2460" s="49"/>
      <c r="AI2460" s="48"/>
      <c r="AJ2460" s="48"/>
      <c r="AK2460" s="24"/>
      <c r="AL2460" s="50"/>
      <c r="AM2460" s="50"/>
      <c r="AN2460" s="50"/>
      <c r="AO2460" s="50"/>
      <c r="AP2460" s="50"/>
      <c r="AQ2460" s="50"/>
      <c r="AR2460" s="50"/>
      <c r="AS2460" s="50"/>
      <c r="AT2460" s="51"/>
      <c r="AU2460" s="51"/>
      <c r="AV2460" s="51"/>
      <c r="AW2460" s="51"/>
      <c r="AX2460" s="50"/>
      <c r="AY2460" s="50"/>
      <c r="AZ2460" s="50"/>
      <c r="BA2460" s="50"/>
      <c r="BB2460" s="51"/>
      <c r="BC2460" s="51"/>
      <c r="BD2460" s="51"/>
      <c r="BE2460" s="51"/>
      <c r="BF2460" s="47"/>
      <c r="BG2460" s="47"/>
      <c r="BH2460" s="47"/>
      <c r="BI2460" s="47"/>
      <c r="BJ2460" s="47"/>
      <c r="BK2460" s="47"/>
      <c r="BL2460" s="47"/>
      <c r="BM2460" s="47"/>
      <c r="BN2460" s="47"/>
      <c r="BO2460" s="47"/>
      <c r="BP2460" s="47"/>
      <c r="BQ2460" s="47"/>
      <c r="BR2460" s="47"/>
      <c r="BS2460" s="47"/>
      <c r="BT2460" s="47"/>
    </row>
    <row r="2461">
      <c r="A2461" s="24"/>
      <c r="B2461" s="48"/>
      <c r="C2461" s="49"/>
      <c r="D2461" s="24"/>
      <c r="E2461" s="52"/>
      <c r="F2461" s="53"/>
      <c r="G2461" s="48"/>
      <c r="H2461" s="49"/>
      <c r="I2461" s="49"/>
      <c r="J2461" s="48"/>
      <c r="K2461" s="48"/>
      <c r="L2461" s="48"/>
      <c r="M2461" s="48"/>
      <c r="N2461" s="48"/>
      <c r="O2461" s="48"/>
      <c r="P2461" s="48"/>
      <c r="Q2461" s="48"/>
      <c r="R2461" s="48"/>
      <c r="S2461" s="48"/>
      <c r="T2461" s="48"/>
      <c r="U2461" s="48"/>
      <c r="V2461" s="48"/>
      <c r="W2461" s="49"/>
      <c r="X2461" s="49"/>
      <c r="Y2461" s="49"/>
      <c r="Z2461" s="49"/>
      <c r="AA2461" s="49"/>
      <c r="AB2461" s="49"/>
      <c r="AC2461" s="49"/>
      <c r="AD2461" s="49"/>
      <c r="AE2461" s="49"/>
      <c r="AF2461" s="49"/>
      <c r="AG2461" s="49"/>
      <c r="AH2461" s="49"/>
      <c r="AI2461" s="48"/>
      <c r="AJ2461" s="48"/>
      <c r="AK2461" s="24"/>
      <c r="AL2461" s="50"/>
      <c r="AM2461" s="50"/>
      <c r="AN2461" s="50"/>
      <c r="AO2461" s="50"/>
      <c r="AP2461" s="50"/>
      <c r="AQ2461" s="50"/>
      <c r="AR2461" s="50"/>
      <c r="AS2461" s="50"/>
      <c r="AT2461" s="51"/>
      <c r="AU2461" s="51"/>
      <c r="AV2461" s="51"/>
      <c r="AW2461" s="51"/>
      <c r="AX2461" s="50"/>
      <c r="AY2461" s="50"/>
      <c r="AZ2461" s="50"/>
      <c r="BA2461" s="50"/>
      <c r="BB2461" s="51"/>
      <c r="BC2461" s="51"/>
      <c r="BD2461" s="51"/>
      <c r="BE2461" s="51"/>
      <c r="BF2461" s="47"/>
      <c r="BG2461" s="47"/>
      <c r="BH2461" s="47"/>
      <c r="BI2461" s="47"/>
      <c r="BJ2461" s="47"/>
      <c r="BK2461" s="47"/>
      <c r="BL2461" s="47"/>
      <c r="BM2461" s="47"/>
      <c r="BN2461" s="47"/>
      <c r="BO2461" s="47"/>
      <c r="BP2461" s="47"/>
      <c r="BQ2461" s="47"/>
      <c r="BR2461" s="47"/>
      <c r="BS2461" s="47"/>
      <c r="BT2461" s="47"/>
    </row>
    <row r="2462">
      <c r="A2462" s="24"/>
      <c r="B2462" s="48"/>
      <c r="C2462" s="49"/>
      <c r="D2462" s="24"/>
      <c r="E2462" s="52"/>
      <c r="F2462" s="53"/>
      <c r="G2462" s="48"/>
      <c r="H2462" s="49"/>
      <c r="I2462" s="49"/>
      <c r="J2462" s="48"/>
      <c r="K2462" s="48"/>
      <c r="L2462" s="48"/>
      <c r="M2462" s="48"/>
      <c r="N2462" s="48"/>
      <c r="O2462" s="48"/>
      <c r="P2462" s="48"/>
      <c r="Q2462" s="48"/>
      <c r="R2462" s="48"/>
      <c r="S2462" s="48"/>
      <c r="T2462" s="48"/>
      <c r="U2462" s="48"/>
      <c r="V2462" s="48"/>
      <c r="W2462" s="49"/>
      <c r="X2462" s="49"/>
      <c r="Y2462" s="49"/>
      <c r="Z2462" s="49"/>
      <c r="AA2462" s="49"/>
      <c r="AB2462" s="49"/>
      <c r="AC2462" s="49"/>
      <c r="AD2462" s="49"/>
      <c r="AE2462" s="49"/>
      <c r="AF2462" s="49"/>
      <c r="AG2462" s="49"/>
      <c r="AH2462" s="49"/>
      <c r="AI2462" s="48"/>
      <c r="AJ2462" s="48"/>
      <c r="AK2462" s="24"/>
      <c r="AL2462" s="50"/>
      <c r="AM2462" s="50"/>
      <c r="AN2462" s="50"/>
      <c r="AO2462" s="50"/>
      <c r="AP2462" s="50"/>
      <c r="AQ2462" s="50"/>
      <c r="AR2462" s="50"/>
      <c r="AS2462" s="50"/>
      <c r="AT2462" s="51"/>
      <c r="AU2462" s="51"/>
      <c r="AV2462" s="51"/>
      <c r="AW2462" s="51"/>
      <c r="AX2462" s="50"/>
      <c r="AY2462" s="50"/>
      <c r="AZ2462" s="50"/>
      <c r="BA2462" s="50"/>
      <c r="BB2462" s="51"/>
      <c r="BC2462" s="51"/>
      <c r="BD2462" s="51"/>
      <c r="BE2462" s="51"/>
      <c r="BF2462" s="47"/>
      <c r="BG2462" s="47"/>
      <c r="BH2462" s="47"/>
      <c r="BI2462" s="47"/>
      <c r="BJ2462" s="47"/>
      <c r="BK2462" s="47"/>
      <c r="BL2462" s="47"/>
      <c r="BM2462" s="47"/>
      <c r="BN2462" s="47"/>
      <c r="BO2462" s="47"/>
      <c r="BP2462" s="47"/>
      <c r="BQ2462" s="47"/>
      <c r="BR2462" s="47"/>
      <c r="BS2462" s="47"/>
      <c r="BT2462" s="47"/>
    </row>
    <row r="2463">
      <c r="A2463" s="24"/>
      <c r="B2463" s="48"/>
      <c r="C2463" s="49"/>
      <c r="D2463" s="24"/>
      <c r="E2463" s="52"/>
      <c r="F2463" s="53"/>
      <c r="G2463" s="48"/>
      <c r="H2463" s="49"/>
      <c r="I2463" s="49"/>
      <c r="J2463" s="48"/>
      <c r="K2463" s="48"/>
      <c r="L2463" s="48"/>
      <c r="M2463" s="48"/>
      <c r="N2463" s="48"/>
      <c r="O2463" s="48"/>
      <c r="P2463" s="48"/>
      <c r="Q2463" s="48"/>
      <c r="R2463" s="48"/>
      <c r="S2463" s="48"/>
      <c r="T2463" s="48"/>
      <c r="U2463" s="48"/>
      <c r="V2463" s="48"/>
      <c r="W2463" s="49"/>
      <c r="X2463" s="49"/>
      <c r="Y2463" s="49"/>
      <c r="Z2463" s="49"/>
      <c r="AA2463" s="49"/>
      <c r="AB2463" s="49"/>
      <c r="AC2463" s="49"/>
      <c r="AD2463" s="49"/>
      <c r="AE2463" s="49"/>
      <c r="AF2463" s="49"/>
      <c r="AG2463" s="49"/>
      <c r="AH2463" s="49"/>
      <c r="AI2463" s="48"/>
      <c r="AJ2463" s="48"/>
      <c r="AK2463" s="24"/>
      <c r="AL2463" s="50"/>
      <c r="AM2463" s="50"/>
      <c r="AN2463" s="50"/>
      <c r="AO2463" s="50"/>
      <c r="AP2463" s="50"/>
      <c r="AQ2463" s="50"/>
      <c r="AR2463" s="50"/>
      <c r="AS2463" s="50"/>
      <c r="AT2463" s="51"/>
      <c r="AU2463" s="51"/>
      <c r="AV2463" s="51"/>
      <c r="AW2463" s="51"/>
      <c r="AX2463" s="50"/>
      <c r="AY2463" s="50"/>
      <c r="AZ2463" s="50"/>
      <c r="BA2463" s="50"/>
      <c r="BB2463" s="51"/>
      <c r="BC2463" s="51"/>
      <c r="BD2463" s="51"/>
      <c r="BE2463" s="51"/>
      <c r="BF2463" s="47"/>
      <c r="BG2463" s="47"/>
      <c r="BH2463" s="47"/>
      <c r="BI2463" s="47"/>
      <c r="BJ2463" s="47"/>
      <c r="BK2463" s="47"/>
      <c r="BL2463" s="47"/>
      <c r="BM2463" s="47"/>
      <c r="BN2463" s="47"/>
      <c r="BO2463" s="47"/>
      <c r="BP2463" s="47"/>
      <c r="BQ2463" s="47"/>
      <c r="BR2463" s="47"/>
      <c r="BS2463" s="47"/>
      <c r="BT2463" s="47"/>
    </row>
    <row r="2464">
      <c r="A2464" s="24"/>
      <c r="B2464" s="48"/>
      <c r="C2464" s="49"/>
      <c r="D2464" s="24"/>
      <c r="E2464" s="52"/>
      <c r="F2464" s="53"/>
      <c r="G2464" s="48"/>
      <c r="H2464" s="49"/>
      <c r="I2464" s="49"/>
      <c r="J2464" s="48"/>
      <c r="K2464" s="48"/>
      <c r="L2464" s="48"/>
      <c r="M2464" s="48"/>
      <c r="N2464" s="48"/>
      <c r="O2464" s="48"/>
      <c r="P2464" s="48"/>
      <c r="Q2464" s="48"/>
      <c r="R2464" s="48"/>
      <c r="S2464" s="48"/>
      <c r="T2464" s="48"/>
      <c r="U2464" s="48"/>
      <c r="V2464" s="48"/>
      <c r="W2464" s="49"/>
      <c r="X2464" s="49"/>
      <c r="Y2464" s="49"/>
      <c r="Z2464" s="49"/>
      <c r="AA2464" s="49"/>
      <c r="AB2464" s="49"/>
      <c r="AC2464" s="49"/>
      <c r="AD2464" s="49"/>
      <c r="AE2464" s="49"/>
      <c r="AF2464" s="49"/>
      <c r="AG2464" s="49"/>
      <c r="AH2464" s="49"/>
      <c r="AI2464" s="48"/>
      <c r="AJ2464" s="48"/>
      <c r="AK2464" s="24"/>
      <c r="AL2464" s="50"/>
      <c r="AM2464" s="50"/>
      <c r="AN2464" s="50"/>
      <c r="AO2464" s="50"/>
      <c r="AP2464" s="50"/>
      <c r="AQ2464" s="50"/>
      <c r="AR2464" s="50"/>
      <c r="AS2464" s="50"/>
      <c r="AT2464" s="51"/>
      <c r="AU2464" s="51"/>
      <c r="AV2464" s="51"/>
      <c r="AW2464" s="51"/>
      <c r="AX2464" s="50"/>
      <c r="AY2464" s="50"/>
      <c r="AZ2464" s="50"/>
      <c r="BA2464" s="50"/>
      <c r="BB2464" s="51"/>
      <c r="BC2464" s="51"/>
      <c r="BD2464" s="51"/>
      <c r="BE2464" s="51"/>
      <c r="BF2464" s="47"/>
      <c r="BG2464" s="47"/>
      <c r="BH2464" s="47"/>
      <c r="BI2464" s="47"/>
      <c r="BJ2464" s="47"/>
      <c r="BK2464" s="47"/>
      <c r="BL2464" s="47"/>
      <c r="BM2464" s="47"/>
      <c r="BN2464" s="47"/>
      <c r="BO2464" s="47"/>
      <c r="BP2464" s="47"/>
      <c r="BQ2464" s="47"/>
      <c r="BR2464" s="47"/>
      <c r="BS2464" s="47"/>
      <c r="BT2464" s="47"/>
    </row>
    <row r="2465">
      <c r="A2465" s="24"/>
      <c r="B2465" s="48"/>
      <c r="C2465" s="49"/>
      <c r="D2465" s="24"/>
      <c r="E2465" s="52"/>
      <c r="F2465" s="53"/>
      <c r="G2465" s="48"/>
      <c r="H2465" s="49"/>
      <c r="I2465" s="49"/>
      <c r="J2465" s="48"/>
      <c r="K2465" s="48"/>
      <c r="L2465" s="48"/>
      <c r="M2465" s="48"/>
      <c r="N2465" s="48"/>
      <c r="O2465" s="48"/>
      <c r="P2465" s="48"/>
      <c r="Q2465" s="48"/>
      <c r="R2465" s="48"/>
      <c r="S2465" s="48"/>
      <c r="T2465" s="48"/>
      <c r="U2465" s="48"/>
      <c r="V2465" s="48"/>
      <c r="W2465" s="49"/>
      <c r="X2465" s="49"/>
      <c r="Y2465" s="49"/>
      <c r="Z2465" s="49"/>
      <c r="AA2465" s="49"/>
      <c r="AB2465" s="49"/>
      <c r="AC2465" s="49"/>
      <c r="AD2465" s="49"/>
      <c r="AE2465" s="49"/>
      <c r="AF2465" s="49"/>
      <c r="AG2465" s="49"/>
      <c r="AH2465" s="49"/>
      <c r="AI2465" s="48"/>
      <c r="AJ2465" s="48"/>
      <c r="AK2465" s="24"/>
      <c r="AL2465" s="50"/>
      <c r="AM2465" s="50"/>
      <c r="AN2465" s="50"/>
      <c r="AO2465" s="50"/>
      <c r="AP2465" s="50"/>
      <c r="AQ2465" s="50"/>
      <c r="AR2465" s="50"/>
      <c r="AS2465" s="50"/>
      <c r="AT2465" s="51"/>
      <c r="AU2465" s="51"/>
      <c r="AV2465" s="51"/>
      <c r="AW2465" s="51"/>
      <c r="AX2465" s="50"/>
      <c r="AY2465" s="50"/>
      <c r="AZ2465" s="50"/>
      <c r="BA2465" s="50"/>
      <c r="BB2465" s="51"/>
      <c r="BC2465" s="51"/>
      <c r="BD2465" s="51"/>
      <c r="BE2465" s="51"/>
      <c r="BF2465" s="47"/>
      <c r="BG2465" s="47"/>
      <c r="BH2465" s="47"/>
      <c r="BI2465" s="47"/>
      <c r="BJ2465" s="47"/>
      <c r="BK2465" s="47"/>
      <c r="BL2465" s="47"/>
      <c r="BM2465" s="47"/>
      <c r="BN2465" s="47"/>
      <c r="BO2465" s="47"/>
      <c r="BP2465" s="47"/>
      <c r="BQ2465" s="47"/>
      <c r="BR2465" s="47"/>
      <c r="BS2465" s="47"/>
      <c r="BT2465" s="47"/>
    </row>
    <row r="2466">
      <c r="A2466" s="24"/>
      <c r="B2466" s="48"/>
      <c r="C2466" s="49"/>
      <c r="D2466" s="24"/>
      <c r="E2466" s="52"/>
      <c r="F2466" s="53"/>
      <c r="G2466" s="48"/>
      <c r="H2466" s="49"/>
      <c r="I2466" s="49"/>
      <c r="J2466" s="48"/>
      <c r="K2466" s="48"/>
      <c r="L2466" s="48"/>
      <c r="M2466" s="48"/>
      <c r="N2466" s="48"/>
      <c r="O2466" s="48"/>
      <c r="P2466" s="48"/>
      <c r="Q2466" s="48"/>
      <c r="R2466" s="48"/>
      <c r="S2466" s="48"/>
      <c r="T2466" s="48"/>
      <c r="U2466" s="48"/>
      <c r="V2466" s="48"/>
      <c r="W2466" s="49"/>
      <c r="X2466" s="49"/>
      <c r="Y2466" s="49"/>
      <c r="Z2466" s="49"/>
      <c r="AA2466" s="49"/>
      <c r="AB2466" s="49"/>
      <c r="AC2466" s="49"/>
      <c r="AD2466" s="49"/>
      <c r="AE2466" s="49"/>
      <c r="AF2466" s="49"/>
      <c r="AG2466" s="49"/>
      <c r="AH2466" s="49"/>
      <c r="AI2466" s="48"/>
      <c r="AJ2466" s="48"/>
      <c r="AK2466" s="24"/>
      <c r="AL2466" s="50"/>
      <c r="AM2466" s="50"/>
      <c r="AN2466" s="50"/>
      <c r="AO2466" s="50"/>
      <c r="AP2466" s="50"/>
      <c r="AQ2466" s="50"/>
      <c r="AR2466" s="50"/>
      <c r="AS2466" s="50"/>
      <c r="AT2466" s="51"/>
      <c r="AU2466" s="51"/>
      <c r="AV2466" s="51"/>
      <c r="AW2466" s="51"/>
      <c r="AX2466" s="50"/>
      <c r="AY2466" s="50"/>
      <c r="AZ2466" s="50"/>
      <c r="BA2466" s="50"/>
      <c r="BB2466" s="51"/>
      <c r="BC2466" s="51"/>
      <c r="BD2466" s="51"/>
      <c r="BE2466" s="51"/>
      <c r="BF2466" s="47"/>
      <c r="BG2466" s="47"/>
      <c r="BH2466" s="47"/>
      <c r="BI2466" s="47"/>
      <c r="BJ2466" s="47"/>
      <c r="BK2466" s="47"/>
      <c r="BL2466" s="47"/>
      <c r="BM2466" s="47"/>
      <c r="BN2466" s="47"/>
      <c r="BO2466" s="47"/>
      <c r="BP2466" s="47"/>
      <c r="BQ2466" s="47"/>
      <c r="BR2466" s="47"/>
      <c r="BS2466" s="47"/>
      <c r="BT2466" s="47"/>
    </row>
    <row r="2467">
      <c r="A2467" s="24"/>
      <c r="B2467" s="48"/>
      <c r="C2467" s="49"/>
      <c r="D2467" s="24"/>
      <c r="E2467" s="52"/>
      <c r="F2467" s="53"/>
      <c r="G2467" s="48"/>
      <c r="H2467" s="49"/>
      <c r="I2467" s="49"/>
      <c r="J2467" s="48"/>
      <c r="K2467" s="48"/>
      <c r="L2467" s="48"/>
      <c r="M2467" s="48"/>
      <c r="N2467" s="48"/>
      <c r="O2467" s="48"/>
      <c r="P2467" s="48"/>
      <c r="Q2467" s="48"/>
      <c r="R2467" s="48"/>
      <c r="S2467" s="48"/>
      <c r="T2467" s="48"/>
      <c r="U2467" s="48"/>
      <c r="V2467" s="48"/>
      <c r="W2467" s="49"/>
      <c r="X2467" s="49"/>
      <c r="Y2467" s="49"/>
      <c r="Z2467" s="49"/>
      <c r="AA2467" s="49"/>
      <c r="AB2467" s="49"/>
      <c r="AC2467" s="49"/>
      <c r="AD2467" s="49"/>
      <c r="AE2467" s="49"/>
      <c r="AF2467" s="49"/>
      <c r="AG2467" s="49"/>
      <c r="AH2467" s="49"/>
      <c r="AI2467" s="48"/>
      <c r="AJ2467" s="48"/>
      <c r="AK2467" s="24"/>
      <c r="AL2467" s="50"/>
      <c r="AM2467" s="50"/>
      <c r="AN2467" s="50"/>
      <c r="AO2467" s="50"/>
      <c r="AP2467" s="50"/>
      <c r="AQ2467" s="50"/>
      <c r="AR2467" s="50"/>
      <c r="AS2467" s="50"/>
      <c r="AT2467" s="51"/>
      <c r="AU2467" s="51"/>
      <c r="AV2467" s="51"/>
      <c r="AW2467" s="51"/>
      <c r="AX2467" s="50"/>
      <c r="AY2467" s="50"/>
      <c r="AZ2467" s="50"/>
      <c r="BA2467" s="50"/>
      <c r="BB2467" s="51"/>
      <c r="BC2467" s="51"/>
      <c r="BD2467" s="51"/>
      <c r="BE2467" s="51"/>
      <c r="BF2467" s="47"/>
      <c r="BG2467" s="47"/>
      <c r="BH2467" s="47"/>
      <c r="BI2467" s="47"/>
      <c r="BJ2467" s="47"/>
      <c r="BK2467" s="47"/>
      <c r="BL2467" s="47"/>
      <c r="BM2467" s="47"/>
      <c r="BN2467" s="47"/>
      <c r="BO2467" s="47"/>
      <c r="BP2467" s="47"/>
      <c r="BQ2467" s="47"/>
      <c r="BR2467" s="47"/>
      <c r="BS2467" s="47"/>
      <c r="BT2467" s="47"/>
    </row>
    <row r="2468">
      <c r="A2468" s="24"/>
      <c r="B2468" s="48"/>
      <c r="C2468" s="49"/>
      <c r="D2468" s="24"/>
      <c r="E2468" s="52"/>
      <c r="F2468" s="53"/>
      <c r="G2468" s="48"/>
      <c r="H2468" s="49"/>
      <c r="I2468" s="49"/>
      <c r="J2468" s="48"/>
      <c r="K2468" s="48"/>
      <c r="L2468" s="48"/>
      <c r="M2468" s="48"/>
      <c r="N2468" s="48"/>
      <c r="O2468" s="48"/>
      <c r="P2468" s="48"/>
      <c r="Q2468" s="48"/>
      <c r="R2468" s="48"/>
      <c r="S2468" s="48"/>
      <c r="T2468" s="48"/>
      <c r="U2468" s="48"/>
      <c r="V2468" s="48"/>
      <c r="W2468" s="49"/>
      <c r="X2468" s="49"/>
      <c r="Y2468" s="49"/>
      <c r="Z2468" s="49"/>
      <c r="AA2468" s="49"/>
      <c r="AB2468" s="49"/>
      <c r="AC2468" s="49"/>
      <c r="AD2468" s="49"/>
      <c r="AE2468" s="49"/>
      <c r="AF2468" s="49"/>
      <c r="AG2468" s="49"/>
      <c r="AH2468" s="49"/>
      <c r="AI2468" s="48"/>
      <c r="AJ2468" s="48"/>
      <c r="AK2468" s="24"/>
      <c r="AL2468" s="50"/>
      <c r="AM2468" s="50"/>
      <c r="AN2468" s="50"/>
      <c r="AO2468" s="50"/>
      <c r="AP2468" s="50"/>
      <c r="AQ2468" s="50"/>
      <c r="AR2468" s="50"/>
      <c r="AS2468" s="50"/>
      <c r="AT2468" s="51"/>
      <c r="AU2468" s="51"/>
      <c r="AV2468" s="51"/>
      <c r="AW2468" s="51"/>
      <c r="AX2468" s="50"/>
      <c r="AY2468" s="50"/>
      <c r="AZ2468" s="50"/>
      <c r="BA2468" s="50"/>
      <c r="BB2468" s="51"/>
      <c r="BC2468" s="51"/>
      <c r="BD2468" s="51"/>
      <c r="BE2468" s="51"/>
      <c r="BF2468" s="47"/>
      <c r="BG2468" s="47"/>
      <c r="BH2468" s="47"/>
      <c r="BI2468" s="47"/>
      <c r="BJ2468" s="47"/>
      <c r="BK2468" s="47"/>
      <c r="BL2468" s="47"/>
      <c r="BM2468" s="47"/>
      <c r="BN2468" s="47"/>
      <c r="BO2468" s="47"/>
      <c r="BP2468" s="47"/>
      <c r="BQ2468" s="47"/>
      <c r="BR2468" s="47"/>
      <c r="BS2468" s="47"/>
      <c r="BT2468" s="47"/>
    </row>
    <row r="2469">
      <c r="A2469" s="24"/>
      <c r="B2469" s="48"/>
      <c r="C2469" s="49"/>
      <c r="D2469" s="24"/>
      <c r="E2469" s="52"/>
      <c r="F2469" s="53"/>
      <c r="G2469" s="48"/>
      <c r="H2469" s="49"/>
      <c r="I2469" s="49"/>
      <c r="J2469" s="48"/>
      <c r="K2469" s="48"/>
      <c r="L2469" s="48"/>
      <c r="M2469" s="48"/>
      <c r="N2469" s="48"/>
      <c r="O2469" s="48"/>
      <c r="P2469" s="48"/>
      <c r="Q2469" s="48"/>
      <c r="R2469" s="48"/>
      <c r="S2469" s="48"/>
      <c r="T2469" s="48"/>
      <c r="U2469" s="48"/>
      <c r="V2469" s="48"/>
      <c r="W2469" s="49"/>
      <c r="X2469" s="49"/>
      <c r="Y2469" s="49"/>
      <c r="Z2469" s="49"/>
      <c r="AA2469" s="49"/>
      <c r="AB2469" s="49"/>
      <c r="AC2469" s="49"/>
      <c r="AD2469" s="49"/>
      <c r="AE2469" s="49"/>
      <c r="AF2469" s="49"/>
      <c r="AG2469" s="49"/>
      <c r="AH2469" s="49"/>
      <c r="AI2469" s="48"/>
      <c r="AJ2469" s="48"/>
      <c r="AK2469" s="24"/>
      <c r="AL2469" s="50"/>
      <c r="AM2469" s="50"/>
      <c r="AN2469" s="50"/>
      <c r="AO2469" s="50"/>
      <c r="AP2469" s="50"/>
      <c r="AQ2469" s="50"/>
      <c r="AR2469" s="50"/>
      <c r="AS2469" s="50"/>
      <c r="AT2469" s="51"/>
      <c r="AU2469" s="51"/>
      <c r="AV2469" s="51"/>
      <c r="AW2469" s="51"/>
      <c r="AX2469" s="50"/>
      <c r="AY2469" s="50"/>
      <c r="AZ2469" s="50"/>
      <c r="BA2469" s="50"/>
      <c r="BB2469" s="51"/>
      <c r="BC2469" s="51"/>
      <c r="BD2469" s="51"/>
      <c r="BE2469" s="51"/>
      <c r="BF2469" s="47"/>
      <c r="BG2469" s="47"/>
      <c r="BH2469" s="47"/>
      <c r="BI2469" s="47"/>
      <c r="BJ2469" s="47"/>
      <c r="BK2469" s="47"/>
      <c r="BL2469" s="47"/>
      <c r="BM2469" s="47"/>
      <c r="BN2469" s="47"/>
      <c r="BO2469" s="47"/>
      <c r="BP2469" s="47"/>
      <c r="BQ2469" s="47"/>
      <c r="BR2469" s="47"/>
      <c r="BS2469" s="47"/>
      <c r="BT2469" s="47"/>
    </row>
    <row r="2470">
      <c r="A2470" s="24"/>
      <c r="B2470" s="48"/>
      <c r="C2470" s="49"/>
      <c r="D2470" s="24"/>
      <c r="E2470" s="52"/>
      <c r="F2470" s="53"/>
      <c r="G2470" s="48"/>
      <c r="H2470" s="49"/>
      <c r="I2470" s="49"/>
      <c r="J2470" s="48"/>
      <c r="K2470" s="48"/>
      <c r="L2470" s="48"/>
      <c r="M2470" s="48"/>
      <c r="N2470" s="48"/>
      <c r="O2470" s="48"/>
      <c r="P2470" s="48"/>
      <c r="Q2470" s="48"/>
      <c r="R2470" s="48"/>
      <c r="S2470" s="48"/>
      <c r="T2470" s="48"/>
      <c r="U2470" s="48"/>
      <c r="V2470" s="48"/>
      <c r="W2470" s="49"/>
      <c r="X2470" s="49"/>
      <c r="Y2470" s="49"/>
      <c r="Z2470" s="49"/>
      <c r="AA2470" s="49"/>
      <c r="AB2470" s="49"/>
      <c r="AC2470" s="49"/>
      <c r="AD2470" s="49"/>
      <c r="AE2470" s="49"/>
      <c r="AF2470" s="49"/>
      <c r="AG2470" s="49"/>
      <c r="AH2470" s="49"/>
      <c r="AI2470" s="48"/>
      <c r="AJ2470" s="48"/>
      <c r="AK2470" s="24"/>
      <c r="AL2470" s="50"/>
      <c r="AM2470" s="50"/>
      <c r="AN2470" s="50"/>
      <c r="AO2470" s="50"/>
      <c r="AP2470" s="50"/>
      <c r="AQ2470" s="50"/>
      <c r="AR2470" s="50"/>
      <c r="AS2470" s="50"/>
      <c r="AT2470" s="51"/>
      <c r="AU2470" s="51"/>
      <c r="AV2470" s="51"/>
      <c r="AW2470" s="51"/>
      <c r="AX2470" s="50"/>
      <c r="AY2470" s="50"/>
      <c r="AZ2470" s="50"/>
      <c r="BA2470" s="50"/>
      <c r="BB2470" s="51"/>
      <c r="BC2470" s="51"/>
      <c r="BD2470" s="51"/>
      <c r="BE2470" s="51"/>
      <c r="BF2470" s="47"/>
      <c r="BG2470" s="47"/>
      <c r="BH2470" s="47"/>
      <c r="BI2470" s="47"/>
      <c r="BJ2470" s="47"/>
      <c r="BK2470" s="47"/>
      <c r="BL2470" s="47"/>
      <c r="BM2470" s="47"/>
      <c r="BN2470" s="47"/>
      <c r="BO2470" s="47"/>
      <c r="BP2470" s="47"/>
      <c r="BQ2470" s="47"/>
      <c r="BR2470" s="47"/>
      <c r="BS2470" s="47"/>
      <c r="BT2470" s="47"/>
    </row>
    <row r="2471">
      <c r="A2471" s="24"/>
      <c r="B2471" s="48"/>
      <c r="C2471" s="49"/>
      <c r="D2471" s="24"/>
      <c r="E2471" s="52"/>
      <c r="F2471" s="53"/>
      <c r="G2471" s="48"/>
      <c r="H2471" s="49"/>
      <c r="I2471" s="49"/>
      <c r="J2471" s="48"/>
      <c r="K2471" s="48"/>
      <c r="L2471" s="48"/>
      <c r="M2471" s="48"/>
      <c r="N2471" s="48"/>
      <c r="O2471" s="48"/>
      <c r="P2471" s="48"/>
      <c r="Q2471" s="48"/>
      <c r="R2471" s="48"/>
      <c r="S2471" s="48"/>
      <c r="T2471" s="48"/>
      <c r="U2471" s="48"/>
      <c r="V2471" s="48"/>
      <c r="W2471" s="49"/>
      <c r="X2471" s="49"/>
      <c r="Y2471" s="49"/>
      <c r="Z2471" s="49"/>
      <c r="AA2471" s="49"/>
      <c r="AB2471" s="49"/>
      <c r="AC2471" s="49"/>
      <c r="AD2471" s="49"/>
      <c r="AE2471" s="49"/>
      <c r="AF2471" s="49"/>
      <c r="AG2471" s="49"/>
      <c r="AH2471" s="49"/>
      <c r="AI2471" s="48"/>
      <c r="AJ2471" s="48"/>
      <c r="AK2471" s="24"/>
      <c r="AL2471" s="50"/>
      <c r="AM2471" s="50"/>
      <c r="AN2471" s="50"/>
      <c r="AO2471" s="50"/>
      <c r="AP2471" s="50"/>
      <c r="AQ2471" s="50"/>
      <c r="AR2471" s="50"/>
      <c r="AS2471" s="50"/>
      <c r="AT2471" s="51"/>
      <c r="AU2471" s="51"/>
      <c r="AV2471" s="51"/>
      <c r="AW2471" s="51"/>
      <c r="AX2471" s="50"/>
      <c r="AY2471" s="50"/>
      <c r="AZ2471" s="50"/>
      <c r="BA2471" s="50"/>
      <c r="BB2471" s="51"/>
      <c r="BC2471" s="51"/>
      <c r="BD2471" s="51"/>
      <c r="BE2471" s="51"/>
      <c r="BF2471" s="47"/>
      <c r="BG2471" s="47"/>
      <c r="BH2471" s="47"/>
      <c r="BI2471" s="47"/>
      <c r="BJ2471" s="47"/>
      <c r="BK2471" s="47"/>
      <c r="BL2471" s="47"/>
      <c r="BM2471" s="47"/>
      <c r="BN2471" s="47"/>
      <c r="BO2471" s="47"/>
      <c r="BP2471" s="47"/>
      <c r="BQ2471" s="47"/>
      <c r="BR2471" s="47"/>
      <c r="BS2471" s="47"/>
      <c r="BT2471" s="47"/>
    </row>
    <row r="2472">
      <c r="A2472" s="24"/>
      <c r="B2472" s="48"/>
      <c r="C2472" s="49"/>
      <c r="D2472" s="24"/>
      <c r="E2472" s="52"/>
      <c r="F2472" s="53"/>
      <c r="G2472" s="48"/>
      <c r="H2472" s="49"/>
      <c r="I2472" s="49"/>
      <c r="J2472" s="48"/>
      <c r="K2472" s="48"/>
      <c r="L2472" s="48"/>
      <c r="M2472" s="48"/>
      <c r="N2472" s="48"/>
      <c r="O2472" s="48"/>
      <c r="P2472" s="48"/>
      <c r="Q2472" s="48"/>
      <c r="R2472" s="48"/>
      <c r="S2472" s="48"/>
      <c r="T2472" s="48"/>
      <c r="U2472" s="48"/>
      <c r="V2472" s="48"/>
      <c r="W2472" s="49"/>
      <c r="X2472" s="49"/>
      <c r="Y2472" s="49"/>
      <c r="Z2472" s="49"/>
      <c r="AA2472" s="49"/>
      <c r="AB2472" s="49"/>
      <c r="AC2472" s="49"/>
      <c r="AD2472" s="49"/>
      <c r="AE2472" s="49"/>
      <c r="AF2472" s="49"/>
      <c r="AG2472" s="49"/>
      <c r="AH2472" s="49"/>
      <c r="AI2472" s="48"/>
      <c r="AJ2472" s="48"/>
      <c r="AK2472" s="24"/>
      <c r="AL2472" s="50"/>
      <c r="AM2472" s="50"/>
      <c r="AN2472" s="50"/>
      <c r="AO2472" s="50"/>
      <c r="AP2472" s="50"/>
      <c r="AQ2472" s="50"/>
      <c r="AR2472" s="50"/>
      <c r="AS2472" s="50"/>
      <c r="AT2472" s="51"/>
      <c r="AU2472" s="51"/>
      <c r="AV2472" s="51"/>
      <c r="AW2472" s="51"/>
      <c r="AX2472" s="50"/>
      <c r="AY2472" s="50"/>
      <c r="AZ2472" s="50"/>
      <c r="BA2472" s="50"/>
      <c r="BB2472" s="51"/>
      <c r="BC2472" s="51"/>
      <c r="BD2472" s="51"/>
      <c r="BE2472" s="51"/>
      <c r="BF2472" s="47"/>
      <c r="BG2472" s="47"/>
      <c r="BH2472" s="47"/>
      <c r="BI2472" s="47"/>
      <c r="BJ2472" s="47"/>
      <c r="BK2472" s="47"/>
      <c r="BL2472" s="47"/>
      <c r="BM2472" s="47"/>
      <c r="BN2472" s="47"/>
      <c r="BO2472" s="47"/>
      <c r="BP2472" s="47"/>
      <c r="BQ2472" s="47"/>
      <c r="BR2472" s="47"/>
      <c r="BS2472" s="47"/>
      <c r="BT2472" s="47"/>
    </row>
    <row r="2473">
      <c r="A2473" s="24"/>
      <c r="B2473" s="48"/>
      <c r="C2473" s="49"/>
      <c r="D2473" s="24"/>
      <c r="E2473" s="52"/>
      <c r="F2473" s="53"/>
      <c r="G2473" s="48"/>
      <c r="H2473" s="49"/>
      <c r="I2473" s="49"/>
      <c r="J2473" s="48"/>
      <c r="K2473" s="48"/>
      <c r="L2473" s="48"/>
      <c r="M2473" s="48"/>
      <c r="N2473" s="48"/>
      <c r="O2473" s="48"/>
      <c r="P2473" s="48"/>
      <c r="Q2473" s="48"/>
      <c r="R2473" s="48"/>
      <c r="S2473" s="48"/>
      <c r="T2473" s="48"/>
      <c r="U2473" s="48"/>
      <c r="V2473" s="48"/>
      <c r="W2473" s="49"/>
      <c r="X2473" s="49"/>
      <c r="Y2473" s="49"/>
      <c r="Z2473" s="49"/>
      <c r="AA2473" s="49"/>
      <c r="AB2473" s="49"/>
      <c r="AC2473" s="49"/>
      <c r="AD2473" s="49"/>
      <c r="AE2473" s="49"/>
      <c r="AF2473" s="49"/>
      <c r="AG2473" s="49"/>
      <c r="AH2473" s="49"/>
      <c r="AI2473" s="48"/>
      <c r="AJ2473" s="48"/>
      <c r="AK2473" s="24"/>
      <c r="AL2473" s="50"/>
      <c r="AM2473" s="50"/>
      <c r="AN2473" s="50"/>
      <c r="AO2473" s="50"/>
      <c r="AP2473" s="50"/>
      <c r="AQ2473" s="50"/>
      <c r="AR2473" s="50"/>
      <c r="AS2473" s="50"/>
      <c r="AT2473" s="51"/>
      <c r="AU2473" s="51"/>
      <c r="AV2473" s="51"/>
      <c r="AW2473" s="51"/>
      <c r="AX2473" s="50"/>
      <c r="AY2473" s="50"/>
      <c r="AZ2473" s="50"/>
      <c r="BA2473" s="50"/>
      <c r="BB2473" s="51"/>
      <c r="BC2473" s="51"/>
      <c r="BD2473" s="51"/>
      <c r="BE2473" s="51"/>
      <c r="BF2473" s="47"/>
      <c r="BG2473" s="47"/>
      <c r="BH2473" s="47"/>
      <c r="BI2473" s="47"/>
      <c r="BJ2473" s="47"/>
      <c r="BK2473" s="47"/>
      <c r="BL2473" s="47"/>
      <c r="BM2473" s="47"/>
      <c r="BN2473" s="47"/>
      <c r="BO2473" s="47"/>
      <c r="BP2473" s="47"/>
      <c r="BQ2473" s="47"/>
      <c r="BR2473" s="47"/>
      <c r="BS2473" s="47"/>
      <c r="BT2473" s="47"/>
    </row>
    <row r="2474">
      <c r="A2474" s="24"/>
      <c r="B2474" s="48"/>
      <c r="C2474" s="49"/>
      <c r="D2474" s="24"/>
      <c r="E2474" s="52"/>
      <c r="F2474" s="53"/>
      <c r="G2474" s="48"/>
      <c r="H2474" s="49"/>
      <c r="I2474" s="49"/>
      <c r="J2474" s="48"/>
      <c r="K2474" s="48"/>
      <c r="L2474" s="48"/>
      <c r="M2474" s="48"/>
      <c r="N2474" s="48"/>
      <c r="O2474" s="48"/>
      <c r="P2474" s="48"/>
      <c r="Q2474" s="48"/>
      <c r="R2474" s="48"/>
      <c r="S2474" s="48"/>
      <c r="T2474" s="48"/>
      <c r="U2474" s="48"/>
      <c r="V2474" s="48"/>
      <c r="W2474" s="49"/>
      <c r="X2474" s="49"/>
      <c r="Y2474" s="49"/>
      <c r="Z2474" s="49"/>
      <c r="AA2474" s="49"/>
      <c r="AB2474" s="49"/>
      <c r="AC2474" s="49"/>
      <c r="AD2474" s="49"/>
      <c r="AE2474" s="49"/>
      <c r="AF2474" s="49"/>
      <c r="AG2474" s="49"/>
      <c r="AH2474" s="49"/>
      <c r="AI2474" s="48"/>
      <c r="AJ2474" s="48"/>
      <c r="AK2474" s="24"/>
      <c r="AL2474" s="50"/>
      <c r="AM2474" s="50"/>
      <c r="AN2474" s="50"/>
      <c r="AO2474" s="50"/>
      <c r="AP2474" s="50"/>
      <c r="AQ2474" s="50"/>
      <c r="AR2474" s="50"/>
      <c r="AS2474" s="50"/>
      <c r="AT2474" s="51"/>
      <c r="AU2474" s="51"/>
      <c r="AV2474" s="51"/>
      <c r="AW2474" s="51"/>
      <c r="AX2474" s="50"/>
      <c r="AY2474" s="50"/>
      <c r="AZ2474" s="50"/>
      <c r="BA2474" s="50"/>
      <c r="BB2474" s="51"/>
      <c r="BC2474" s="51"/>
      <c r="BD2474" s="51"/>
      <c r="BE2474" s="51"/>
      <c r="BF2474" s="47"/>
      <c r="BG2474" s="47"/>
      <c r="BH2474" s="47"/>
      <c r="BI2474" s="47"/>
      <c r="BJ2474" s="47"/>
      <c r="BK2474" s="47"/>
      <c r="BL2474" s="47"/>
      <c r="BM2474" s="47"/>
      <c r="BN2474" s="47"/>
      <c r="BO2474" s="47"/>
      <c r="BP2474" s="47"/>
      <c r="BQ2474" s="47"/>
      <c r="BR2474" s="47"/>
      <c r="BS2474" s="47"/>
      <c r="BT2474" s="47"/>
    </row>
    <row r="2475">
      <c r="A2475" s="24"/>
      <c r="B2475" s="48"/>
      <c r="C2475" s="49"/>
      <c r="D2475" s="24"/>
      <c r="E2475" s="52"/>
      <c r="F2475" s="53"/>
      <c r="G2475" s="48"/>
      <c r="H2475" s="49"/>
      <c r="I2475" s="49"/>
      <c r="J2475" s="48"/>
      <c r="K2475" s="48"/>
      <c r="L2475" s="48"/>
      <c r="M2475" s="48"/>
      <c r="N2475" s="48"/>
      <c r="O2475" s="48"/>
      <c r="P2475" s="48"/>
      <c r="Q2475" s="48"/>
      <c r="R2475" s="48"/>
      <c r="S2475" s="48"/>
      <c r="T2475" s="48"/>
      <c r="U2475" s="48"/>
      <c r="V2475" s="48"/>
      <c r="W2475" s="49"/>
      <c r="X2475" s="49"/>
      <c r="Y2475" s="49"/>
      <c r="Z2475" s="49"/>
      <c r="AA2475" s="49"/>
      <c r="AB2475" s="49"/>
      <c r="AC2475" s="49"/>
      <c r="AD2475" s="49"/>
      <c r="AE2475" s="49"/>
      <c r="AF2475" s="49"/>
      <c r="AG2475" s="49"/>
      <c r="AH2475" s="49"/>
      <c r="AI2475" s="48"/>
      <c r="AJ2475" s="48"/>
      <c r="AK2475" s="24"/>
      <c r="AL2475" s="50"/>
      <c r="AM2475" s="50"/>
      <c r="AN2475" s="50"/>
      <c r="AO2475" s="50"/>
      <c r="AP2475" s="50"/>
      <c r="AQ2475" s="50"/>
      <c r="AR2475" s="50"/>
      <c r="AS2475" s="50"/>
      <c r="AT2475" s="51"/>
      <c r="AU2475" s="51"/>
      <c r="AV2475" s="51"/>
      <c r="AW2475" s="51"/>
      <c r="AX2475" s="50"/>
      <c r="AY2475" s="50"/>
      <c r="AZ2475" s="50"/>
      <c r="BA2475" s="50"/>
      <c r="BB2475" s="51"/>
      <c r="BC2475" s="51"/>
      <c r="BD2475" s="51"/>
      <c r="BE2475" s="51"/>
      <c r="BF2475" s="47"/>
      <c r="BG2475" s="47"/>
      <c r="BH2475" s="47"/>
      <c r="BI2475" s="47"/>
      <c r="BJ2475" s="47"/>
      <c r="BK2475" s="47"/>
      <c r="BL2475" s="47"/>
      <c r="BM2475" s="47"/>
      <c r="BN2475" s="47"/>
      <c r="BO2475" s="47"/>
      <c r="BP2475" s="47"/>
      <c r="BQ2475" s="47"/>
      <c r="BR2475" s="47"/>
      <c r="BS2475" s="47"/>
      <c r="BT2475" s="47"/>
    </row>
    <row r="2476">
      <c r="A2476" s="24"/>
      <c r="B2476" s="48"/>
      <c r="C2476" s="49"/>
      <c r="D2476" s="24"/>
      <c r="E2476" s="52"/>
      <c r="F2476" s="53"/>
      <c r="G2476" s="48"/>
      <c r="H2476" s="49"/>
      <c r="I2476" s="49"/>
      <c r="J2476" s="48"/>
      <c r="K2476" s="48"/>
      <c r="L2476" s="48"/>
      <c r="M2476" s="48"/>
      <c r="N2476" s="48"/>
      <c r="O2476" s="48"/>
      <c r="P2476" s="48"/>
      <c r="Q2476" s="48"/>
      <c r="R2476" s="48"/>
      <c r="S2476" s="48"/>
      <c r="T2476" s="48"/>
      <c r="U2476" s="48"/>
      <c r="V2476" s="48"/>
      <c r="W2476" s="49"/>
      <c r="X2476" s="49"/>
      <c r="Y2476" s="49"/>
      <c r="Z2476" s="49"/>
      <c r="AA2476" s="49"/>
      <c r="AB2476" s="49"/>
      <c r="AC2476" s="49"/>
      <c r="AD2476" s="49"/>
      <c r="AE2476" s="49"/>
      <c r="AF2476" s="49"/>
      <c r="AG2476" s="49"/>
      <c r="AH2476" s="49"/>
      <c r="AI2476" s="48"/>
      <c r="AJ2476" s="48"/>
      <c r="AK2476" s="24"/>
      <c r="AL2476" s="50"/>
      <c r="AM2476" s="50"/>
      <c r="AN2476" s="50"/>
      <c r="AO2476" s="50"/>
      <c r="AP2476" s="50"/>
      <c r="AQ2476" s="50"/>
      <c r="AR2476" s="50"/>
      <c r="AS2476" s="50"/>
      <c r="AT2476" s="51"/>
      <c r="AU2476" s="51"/>
      <c r="AV2476" s="51"/>
      <c r="AW2476" s="51"/>
      <c r="AX2476" s="50"/>
      <c r="AY2476" s="50"/>
      <c r="AZ2476" s="50"/>
      <c r="BA2476" s="50"/>
      <c r="BB2476" s="51"/>
      <c r="BC2476" s="51"/>
      <c r="BD2476" s="51"/>
      <c r="BE2476" s="51"/>
      <c r="BF2476" s="47"/>
      <c r="BG2476" s="47"/>
      <c r="BH2476" s="47"/>
      <c r="BI2476" s="47"/>
      <c r="BJ2476" s="47"/>
      <c r="BK2476" s="47"/>
      <c r="BL2476" s="47"/>
      <c r="BM2476" s="47"/>
      <c r="BN2476" s="47"/>
      <c r="BO2476" s="47"/>
      <c r="BP2476" s="47"/>
      <c r="BQ2476" s="47"/>
      <c r="BR2476" s="47"/>
      <c r="BS2476" s="47"/>
      <c r="BT2476" s="47"/>
    </row>
    <row r="2477">
      <c r="A2477" s="24"/>
      <c r="B2477" s="48"/>
      <c r="C2477" s="49"/>
      <c r="D2477" s="24"/>
      <c r="E2477" s="52"/>
      <c r="F2477" s="53"/>
      <c r="G2477" s="48"/>
      <c r="H2477" s="49"/>
      <c r="I2477" s="49"/>
      <c r="J2477" s="48"/>
      <c r="K2477" s="48"/>
      <c r="L2477" s="48"/>
      <c r="M2477" s="48"/>
      <c r="N2477" s="48"/>
      <c r="O2477" s="48"/>
      <c r="P2477" s="48"/>
      <c r="Q2477" s="48"/>
      <c r="R2477" s="48"/>
      <c r="S2477" s="48"/>
      <c r="T2477" s="48"/>
      <c r="U2477" s="48"/>
      <c r="V2477" s="48"/>
      <c r="W2477" s="49"/>
      <c r="X2477" s="49"/>
      <c r="Y2477" s="49"/>
      <c r="Z2477" s="49"/>
      <c r="AA2477" s="49"/>
      <c r="AB2477" s="49"/>
      <c r="AC2477" s="49"/>
      <c r="AD2477" s="49"/>
      <c r="AE2477" s="49"/>
      <c r="AF2477" s="49"/>
      <c r="AG2477" s="49"/>
      <c r="AH2477" s="49"/>
      <c r="AI2477" s="48"/>
      <c r="AJ2477" s="48"/>
      <c r="AK2477" s="24"/>
      <c r="AL2477" s="50"/>
      <c r="AM2477" s="50"/>
      <c r="AN2477" s="50"/>
      <c r="AO2477" s="50"/>
      <c r="AP2477" s="50"/>
      <c r="AQ2477" s="50"/>
      <c r="AR2477" s="50"/>
      <c r="AS2477" s="50"/>
      <c r="AT2477" s="51"/>
      <c r="AU2477" s="51"/>
      <c r="AV2477" s="51"/>
      <c r="AW2477" s="51"/>
      <c r="AX2477" s="50"/>
      <c r="AY2477" s="50"/>
      <c r="AZ2477" s="50"/>
      <c r="BA2477" s="50"/>
      <c r="BB2477" s="51"/>
      <c r="BC2477" s="51"/>
      <c r="BD2477" s="51"/>
      <c r="BE2477" s="51"/>
      <c r="BF2477" s="47"/>
      <c r="BG2477" s="47"/>
      <c r="BH2477" s="47"/>
      <c r="BI2477" s="47"/>
      <c r="BJ2477" s="47"/>
      <c r="BK2477" s="47"/>
      <c r="BL2477" s="47"/>
      <c r="BM2477" s="47"/>
      <c r="BN2477" s="47"/>
      <c r="BO2477" s="47"/>
      <c r="BP2477" s="47"/>
      <c r="BQ2477" s="47"/>
      <c r="BR2477" s="47"/>
      <c r="BS2477" s="47"/>
      <c r="BT2477" s="47"/>
    </row>
    <row r="2478">
      <c r="A2478" s="24"/>
      <c r="B2478" s="48"/>
      <c r="C2478" s="49"/>
      <c r="D2478" s="24"/>
      <c r="E2478" s="52"/>
      <c r="F2478" s="53"/>
      <c r="G2478" s="48"/>
      <c r="H2478" s="49"/>
      <c r="I2478" s="49"/>
      <c r="J2478" s="48"/>
      <c r="K2478" s="48"/>
      <c r="L2478" s="48"/>
      <c r="M2478" s="48"/>
      <c r="N2478" s="48"/>
      <c r="O2478" s="48"/>
      <c r="P2478" s="48"/>
      <c r="Q2478" s="48"/>
      <c r="R2478" s="48"/>
      <c r="S2478" s="48"/>
      <c r="T2478" s="48"/>
      <c r="U2478" s="48"/>
      <c r="V2478" s="48"/>
      <c r="W2478" s="49"/>
      <c r="X2478" s="49"/>
      <c r="Y2478" s="49"/>
      <c r="Z2478" s="49"/>
      <c r="AA2478" s="49"/>
      <c r="AB2478" s="49"/>
      <c r="AC2478" s="49"/>
      <c r="AD2478" s="49"/>
      <c r="AE2478" s="49"/>
      <c r="AF2478" s="49"/>
      <c r="AG2478" s="49"/>
      <c r="AH2478" s="49"/>
      <c r="AI2478" s="48"/>
      <c r="AJ2478" s="48"/>
      <c r="AK2478" s="24"/>
      <c r="AL2478" s="50"/>
      <c r="AM2478" s="50"/>
      <c r="AN2478" s="50"/>
      <c r="AO2478" s="50"/>
      <c r="AP2478" s="50"/>
      <c r="AQ2478" s="50"/>
      <c r="AR2478" s="50"/>
      <c r="AS2478" s="50"/>
      <c r="AT2478" s="51"/>
      <c r="AU2478" s="51"/>
      <c r="AV2478" s="51"/>
      <c r="AW2478" s="51"/>
      <c r="AX2478" s="50"/>
      <c r="AY2478" s="50"/>
      <c r="AZ2478" s="50"/>
      <c r="BA2478" s="50"/>
      <c r="BB2478" s="51"/>
      <c r="BC2478" s="51"/>
      <c r="BD2478" s="51"/>
      <c r="BE2478" s="51"/>
      <c r="BF2478" s="47"/>
      <c r="BG2478" s="47"/>
      <c r="BH2478" s="47"/>
      <c r="BI2478" s="47"/>
      <c r="BJ2478" s="47"/>
      <c r="BK2478" s="47"/>
      <c r="BL2478" s="47"/>
      <c r="BM2478" s="47"/>
      <c r="BN2478" s="47"/>
      <c r="BO2478" s="47"/>
      <c r="BP2478" s="47"/>
      <c r="BQ2478" s="47"/>
      <c r="BR2478" s="47"/>
      <c r="BS2478" s="47"/>
      <c r="BT2478" s="47"/>
    </row>
    <row r="2479">
      <c r="A2479" s="24"/>
      <c r="B2479" s="48"/>
      <c r="C2479" s="49"/>
      <c r="D2479" s="24"/>
      <c r="E2479" s="52"/>
      <c r="F2479" s="53"/>
      <c r="G2479" s="48"/>
      <c r="H2479" s="49"/>
      <c r="I2479" s="49"/>
      <c r="J2479" s="48"/>
      <c r="K2479" s="48"/>
      <c r="L2479" s="48"/>
      <c r="M2479" s="48"/>
      <c r="N2479" s="48"/>
      <c r="O2479" s="48"/>
      <c r="P2479" s="48"/>
      <c r="Q2479" s="48"/>
      <c r="R2479" s="48"/>
      <c r="S2479" s="48"/>
      <c r="T2479" s="48"/>
      <c r="U2479" s="48"/>
      <c r="V2479" s="48"/>
      <c r="W2479" s="49"/>
      <c r="X2479" s="49"/>
      <c r="Y2479" s="49"/>
      <c r="Z2479" s="49"/>
      <c r="AA2479" s="49"/>
      <c r="AB2479" s="49"/>
      <c r="AC2479" s="49"/>
      <c r="AD2479" s="49"/>
      <c r="AE2479" s="49"/>
      <c r="AF2479" s="49"/>
      <c r="AG2479" s="49"/>
      <c r="AH2479" s="49"/>
      <c r="AI2479" s="48"/>
      <c r="AJ2479" s="48"/>
      <c r="AK2479" s="24"/>
      <c r="AL2479" s="50"/>
      <c r="AM2479" s="50"/>
      <c r="AN2479" s="50"/>
      <c r="AO2479" s="50"/>
      <c r="AP2479" s="50"/>
      <c r="AQ2479" s="50"/>
      <c r="AR2479" s="50"/>
      <c r="AS2479" s="50"/>
      <c r="AT2479" s="51"/>
      <c r="AU2479" s="51"/>
      <c r="AV2479" s="51"/>
      <c r="AW2479" s="51"/>
      <c r="AX2479" s="50"/>
      <c r="AY2479" s="50"/>
      <c r="AZ2479" s="50"/>
      <c r="BA2479" s="50"/>
      <c r="BB2479" s="51"/>
      <c r="BC2479" s="51"/>
      <c r="BD2479" s="51"/>
      <c r="BE2479" s="51"/>
      <c r="BF2479" s="47"/>
      <c r="BG2479" s="47"/>
      <c r="BH2479" s="47"/>
      <c r="BI2479" s="47"/>
      <c r="BJ2479" s="47"/>
      <c r="BK2479" s="47"/>
      <c r="BL2479" s="47"/>
      <c r="BM2479" s="47"/>
      <c r="BN2479" s="47"/>
      <c r="BO2479" s="47"/>
      <c r="BP2479" s="47"/>
      <c r="BQ2479" s="47"/>
      <c r="BR2479" s="47"/>
      <c r="BS2479" s="47"/>
      <c r="BT2479" s="47"/>
    </row>
    <row r="2480">
      <c r="A2480" s="24"/>
      <c r="B2480" s="48"/>
      <c r="C2480" s="49"/>
      <c r="D2480" s="24"/>
      <c r="E2480" s="52"/>
      <c r="F2480" s="53"/>
      <c r="G2480" s="48"/>
      <c r="H2480" s="49"/>
      <c r="I2480" s="49"/>
      <c r="J2480" s="48"/>
      <c r="K2480" s="48"/>
      <c r="L2480" s="48"/>
      <c r="M2480" s="48"/>
      <c r="N2480" s="48"/>
      <c r="O2480" s="48"/>
      <c r="P2480" s="48"/>
      <c r="Q2480" s="48"/>
      <c r="R2480" s="48"/>
      <c r="S2480" s="48"/>
      <c r="T2480" s="48"/>
      <c r="U2480" s="48"/>
      <c r="V2480" s="48"/>
      <c r="W2480" s="49"/>
      <c r="X2480" s="49"/>
      <c r="Y2480" s="49"/>
      <c r="Z2480" s="49"/>
      <c r="AA2480" s="49"/>
      <c r="AB2480" s="49"/>
      <c r="AC2480" s="49"/>
      <c r="AD2480" s="49"/>
      <c r="AE2480" s="49"/>
      <c r="AF2480" s="49"/>
      <c r="AG2480" s="49"/>
      <c r="AH2480" s="49"/>
      <c r="AI2480" s="48"/>
      <c r="AJ2480" s="48"/>
      <c r="AK2480" s="24"/>
      <c r="AL2480" s="50"/>
      <c r="AM2480" s="50"/>
      <c r="AN2480" s="50"/>
      <c r="AO2480" s="50"/>
      <c r="AP2480" s="50"/>
      <c r="AQ2480" s="50"/>
      <c r="AR2480" s="50"/>
      <c r="AS2480" s="50"/>
      <c r="AT2480" s="51"/>
      <c r="AU2480" s="51"/>
      <c r="AV2480" s="51"/>
      <c r="AW2480" s="51"/>
      <c r="AX2480" s="50"/>
      <c r="AY2480" s="50"/>
      <c r="AZ2480" s="50"/>
      <c r="BA2480" s="50"/>
      <c r="BB2480" s="51"/>
      <c r="BC2480" s="51"/>
      <c r="BD2480" s="51"/>
      <c r="BE2480" s="51"/>
      <c r="BF2480" s="47"/>
      <c r="BG2480" s="47"/>
      <c r="BH2480" s="47"/>
      <c r="BI2480" s="47"/>
      <c r="BJ2480" s="47"/>
      <c r="BK2480" s="47"/>
      <c r="BL2480" s="47"/>
      <c r="BM2480" s="47"/>
      <c r="BN2480" s="47"/>
      <c r="BO2480" s="47"/>
      <c r="BP2480" s="47"/>
      <c r="BQ2480" s="47"/>
      <c r="BR2480" s="47"/>
      <c r="BS2480" s="47"/>
      <c r="BT2480" s="47"/>
    </row>
    <row r="2481">
      <c r="A2481" s="24"/>
      <c r="B2481" s="48"/>
      <c r="C2481" s="49"/>
      <c r="D2481" s="24"/>
      <c r="E2481" s="52"/>
      <c r="F2481" s="53"/>
      <c r="G2481" s="48"/>
      <c r="H2481" s="49"/>
      <c r="I2481" s="49"/>
      <c r="J2481" s="48"/>
      <c r="K2481" s="48"/>
      <c r="L2481" s="48"/>
      <c r="M2481" s="48"/>
      <c r="N2481" s="48"/>
      <c r="O2481" s="48"/>
      <c r="P2481" s="48"/>
      <c r="Q2481" s="48"/>
      <c r="R2481" s="48"/>
      <c r="S2481" s="48"/>
      <c r="T2481" s="48"/>
      <c r="U2481" s="48"/>
      <c r="V2481" s="48"/>
      <c r="W2481" s="49"/>
      <c r="X2481" s="49"/>
      <c r="Y2481" s="49"/>
      <c r="Z2481" s="49"/>
      <c r="AA2481" s="49"/>
      <c r="AB2481" s="49"/>
      <c r="AC2481" s="49"/>
      <c r="AD2481" s="49"/>
      <c r="AE2481" s="49"/>
      <c r="AF2481" s="49"/>
      <c r="AG2481" s="49"/>
      <c r="AH2481" s="49"/>
      <c r="AI2481" s="48"/>
      <c r="AJ2481" s="48"/>
      <c r="AK2481" s="24"/>
      <c r="AL2481" s="50"/>
      <c r="AM2481" s="50"/>
      <c r="AN2481" s="50"/>
      <c r="AO2481" s="50"/>
      <c r="AP2481" s="50"/>
      <c r="AQ2481" s="50"/>
      <c r="AR2481" s="50"/>
      <c r="AS2481" s="50"/>
      <c r="AT2481" s="51"/>
      <c r="AU2481" s="51"/>
      <c r="AV2481" s="51"/>
      <c r="AW2481" s="51"/>
      <c r="AX2481" s="50"/>
      <c r="AY2481" s="50"/>
      <c r="AZ2481" s="50"/>
      <c r="BA2481" s="50"/>
      <c r="BB2481" s="51"/>
      <c r="BC2481" s="51"/>
      <c r="BD2481" s="51"/>
      <c r="BE2481" s="51"/>
      <c r="BF2481" s="47"/>
      <c r="BG2481" s="47"/>
      <c r="BH2481" s="47"/>
      <c r="BI2481" s="47"/>
      <c r="BJ2481" s="47"/>
      <c r="BK2481" s="47"/>
      <c r="BL2481" s="47"/>
      <c r="BM2481" s="47"/>
      <c r="BN2481" s="47"/>
      <c r="BO2481" s="47"/>
      <c r="BP2481" s="47"/>
      <c r="BQ2481" s="47"/>
      <c r="BR2481" s="47"/>
      <c r="BS2481" s="47"/>
      <c r="BT2481" s="47"/>
    </row>
    <row r="2482">
      <c r="A2482" s="24"/>
      <c r="B2482" s="48"/>
      <c r="C2482" s="49"/>
      <c r="D2482" s="24"/>
      <c r="E2482" s="52"/>
      <c r="F2482" s="53"/>
      <c r="G2482" s="48"/>
      <c r="H2482" s="49"/>
      <c r="I2482" s="49"/>
      <c r="J2482" s="48"/>
      <c r="K2482" s="48"/>
      <c r="L2482" s="48"/>
      <c r="M2482" s="48"/>
      <c r="N2482" s="48"/>
      <c r="O2482" s="48"/>
      <c r="P2482" s="48"/>
      <c r="Q2482" s="48"/>
      <c r="R2482" s="48"/>
      <c r="S2482" s="48"/>
      <c r="T2482" s="48"/>
      <c r="U2482" s="48"/>
      <c r="V2482" s="48"/>
      <c r="W2482" s="49"/>
      <c r="X2482" s="49"/>
      <c r="Y2482" s="49"/>
      <c r="Z2482" s="49"/>
      <c r="AA2482" s="49"/>
      <c r="AB2482" s="49"/>
      <c r="AC2482" s="49"/>
      <c r="AD2482" s="49"/>
      <c r="AE2482" s="49"/>
      <c r="AF2482" s="49"/>
      <c r="AG2482" s="49"/>
      <c r="AH2482" s="49"/>
      <c r="AI2482" s="48"/>
      <c r="AJ2482" s="48"/>
      <c r="AK2482" s="24"/>
      <c r="AL2482" s="50"/>
      <c r="AM2482" s="50"/>
      <c r="AN2482" s="50"/>
      <c r="AO2482" s="50"/>
      <c r="AP2482" s="50"/>
      <c r="AQ2482" s="50"/>
      <c r="AR2482" s="50"/>
      <c r="AS2482" s="50"/>
      <c r="AT2482" s="51"/>
      <c r="AU2482" s="51"/>
      <c r="AV2482" s="51"/>
      <c r="AW2482" s="51"/>
      <c r="AX2482" s="50"/>
      <c r="AY2482" s="50"/>
      <c r="AZ2482" s="50"/>
      <c r="BA2482" s="50"/>
      <c r="BB2482" s="51"/>
      <c r="BC2482" s="51"/>
      <c r="BD2482" s="51"/>
      <c r="BE2482" s="51"/>
      <c r="BF2482" s="47"/>
      <c r="BG2482" s="47"/>
      <c r="BH2482" s="47"/>
      <c r="BI2482" s="47"/>
      <c r="BJ2482" s="47"/>
      <c r="BK2482" s="47"/>
      <c r="BL2482" s="47"/>
      <c r="BM2482" s="47"/>
      <c r="BN2482" s="47"/>
      <c r="BO2482" s="47"/>
      <c r="BP2482" s="47"/>
      <c r="BQ2482" s="47"/>
      <c r="BR2482" s="47"/>
      <c r="BS2482" s="47"/>
      <c r="BT2482" s="47"/>
    </row>
    <row r="2483">
      <c r="A2483" s="24"/>
      <c r="B2483" s="48"/>
      <c r="C2483" s="49"/>
      <c r="D2483" s="24"/>
      <c r="E2483" s="52"/>
      <c r="F2483" s="53"/>
      <c r="G2483" s="48"/>
      <c r="H2483" s="49"/>
      <c r="I2483" s="49"/>
      <c r="J2483" s="48"/>
      <c r="K2483" s="48"/>
      <c r="L2483" s="48"/>
      <c r="M2483" s="48"/>
      <c r="N2483" s="48"/>
      <c r="O2483" s="48"/>
      <c r="P2483" s="48"/>
      <c r="Q2483" s="48"/>
      <c r="R2483" s="48"/>
      <c r="S2483" s="48"/>
      <c r="T2483" s="48"/>
      <c r="U2483" s="48"/>
      <c r="V2483" s="48"/>
      <c r="W2483" s="49"/>
      <c r="X2483" s="49"/>
      <c r="Y2483" s="49"/>
      <c r="Z2483" s="49"/>
      <c r="AA2483" s="49"/>
      <c r="AB2483" s="49"/>
      <c r="AC2483" s="49"/>
      <c r="AD2483" s="49"/>
      <c r="AE2483" s="49"/>
      <c r="AF2483" s="49"/>
      <c r="AG2483" s="49"/>
      <c r="AH2483" s="49"/>
      <c r="AI2483" s="48"/>
      <c r="AJ2483" s="48"/>
      <c r="AK2483" s="24"/>
      <c r="AL2483" s="50"/>
      <c r="AM2483" s="50"/>
      <c r="AN2483" s="50"/>
      <c r="AO2483" s="50"/>
      <c r="AP2483" s="50"/>
      <c r="AQ2483" s="50"/>
      <c r="AR2483" s="50"/>
      <c r="AS2483" s="50"/>
      <c r="AT2483" s="51"/>
      <c r="AU2483" s="51"/>
      <c r="AV2483" s="51"/>
      <c r="AW2483" s="51"/>
      <c r="AX2483" s="50"/>
      <c r="AY2483" s="50"/>
      <c r="AZ2483" s="50"/>
      <c r="BA2483" s="50"/>
      <c r="BB2483" s="51"/>
      <c r="BC2483" s="51"/>
      <c r="BD2483" s="51"/>
      <c r="BE2483" s="51"/>
      <c r="BF2483" s="47"/>
      <c r="BG2483" s="47"/>
      <c r="BH2483" s="47"/>
      <c r="BI2483" s="47"/>
      <c r="BJ2483" s="47"/>
      <c r="BK2483" s="47"/>
      <c r="BL2483" s="47"/>
      <c r="BM2483" s="47"/>
      <c r="BN2483" s="47"/>
      <c r="BO2483" s="47"/>
      <c r="BP2483" s="47"/>
      <c r="BQ2483" s="47"/>
      <c r="BR2483" s="47"/>
      <c r="BS2483" s="47"/>
      <c r="BT2483" s="47"/>
    </row>
    <row r="2484">
      <c r="A2484" s="24"/>
      <c r="B2484" s="48"/>
      <c r="C2484" s="49"/>
      <c r="D2484" s="24"/>
      <c r="E2484" s="52"/>
      <c r="F2484" s="53"/>
      <c r="G2484" s="48"/>
      <c r="H2484" s="49"/>
      <c r="I2484" s="49"/>
      <c r="J2484" s="48"/>
      <c r="K2484" s="48"/>
      <c r="L2484" s="48"/>
      <c r="M2484" s="48"/>
      <c r="N2484" s="48"/>
      <c r="O2484" s="48"/>
      <c r="P2484" s="48"/>
      <c r="Q2484" s="48"/>
      <c r="R2484" s="48"/>
      <c r="S2484" s="48"/>
      <c r="T2484" s="48"/>
      <c r="U2484" s="48"/>
      <c r="V2484" s="48"/>
      <c r="W2484" s="49"/>
      <c r="X2484" s="49"/>
      <c r="Y2484" s="49"/>
      <c r="Z2484" s="49"/>
      <c r="AA2484" s="49"/>
      <c r="AB2484" s="49"/>
      <c r="AC2484" s="49"/>
      <c r="AD2484" s="49"/>
      <c r="AE2484" s="49"/>
      <c r="AF2484" s="49"/>
      <c r="AG2484" s="49"/>
      <c r="AH2484" s="49"/>
      <c r="AI2484" s="48"/>
      <c r="AJ2484" s="48"/>
      <c r="AK2484" s="24"/>
      <c r="AL2484" s="50"/>
      <c r="AM2484" s="50"/>
      <c r="AN2484" s="50"/>
      <c r="AO2484" s="50"/>
      <c r="AP2484" s="50"/>
      <c r="AQ2484" s="50"/>
      <c r="AR2484" s="50"/>
      <c r="AS2484" s="50"/>
      <c r="AT2484" s="51"/>
      <c r="AU2484" s="51"/>
      <c r="AV2484" s="51"/>
      <c r="AW2484" s="51"/>
      <c r="AX2484" s="50"/>
      <c r="AY2484" s="50"/>
      <c r="AZ2484" s="50"/>
      <c r="BA2484" s="50"/>
      <c r="BB2484" s="51"/>
      <c r="BC2484" s="51"/>
      <c r="BD2484" s="51"/>
      <c r="BE2484" s="51"/>
      <c r="BF2484" s="47"/>
      <c r="BG2484" s="47"/>
      <c r="BH2484" s="47"/>
      <c r="BI2484" s="47"/>
      <c r="BJ2484" s="47"/>
      <c r="BK2484" s="47"/>
      <c r="BL2484" s="47"/>
      <c r="BM2484" s="47"/>
      <c r="BN2484" s="47"/>
      <c r="BO2484" s="47"/>
      <c r="BP2484" s="47"/>
      <c r="BQ2484" s="47"/>
      <c r="BR2484" s="47"/>
      <c r="BS2484" s="47"/>
      <c r="BT2484" s="47"/>
    </row>
    <row r="2485">
      <c r="A2485" s="24"/>
      <c r="B2485" s="48"/>
      <c r="C2485" s="49"/>
      <c r="D2485" s="24"/>
      <c r="E2485" s="52"/>
      <c r="F2485" s="53"/>
      <c r="G2485" s="48"/>
      <c r="H2485" s="49"/>
      <c r="I2485" s="49"/>
      <c r="J2485" s="48"/>
      <c r="K2485" s="48"/>
      <c r="L2485" s="48"/>
      <c r="M2485" s="48"/>
      <c r="N2485" s="48"/>
      <c r="O2485" s="48"/>
      <c r="P2485" s="48"/>
      <c r="Q2485" s="48"/>
      <c r="R2485" s="48"/>
      <c r="S2485" s="48"/>
      <c r="T2485" s="48"/>
      <c r="U2485" s="48"/>
      <c r="V2485" s="48"/>
      <c r="W2485" s="49"/>
      <c r="X2485" s="49"/>
      <c r="Y2485" s="49"/>
      <c r="Z2485" s="49"/>
      <c r="AA2485" s="49"/>
      <c r="AB2485" s="49"/>
      <c r="AC2485" s="49"/>
      <c r="AD2485" s="49"/>
      <c r="AE2485" s="49"/>
      <c r="AF2485" s="49"/>
      <c r="AG2485" s="49"/>
      <c r="AH2485" s="49"/>
      <c r="AI2485" s="48"/>
      <c r="AJ2485" s="48"/>
      <c r="AK2485" s="24"/>
      <c r="AL2485" s="50"/>
      <c r="AM2485" s="50"/>
      <c r="AN2485" s="50"/>
      <c r="AO2485" s="50"/>
      <c r="AP2485" s="50"/>
      <c r="AQ2485" s="50"/>
      <c r="AR2485" s="50"/>
      <c r="AS2485" s="50"/>
      <c r="AT2485" s="51"/>
      <c r="AU2485" s="51"/>
      <c r="AV2485" s="51"/>
      <c r="AW2485" s="51"/>
      <c r="AX2485" s="50"/>
      <c r="AY2485" s="50"/>
      <c r="AZ2485" s="50"/>
      <c r="BA2485" s="50"/>
      <c r="BB2485" s="51"/>
      <c r="BC2485" s="51"/>
      <c r="BD2485" s="51"/>
      <c r="BE2485" s="51"/>
      <c r="BF2485" s="47"/>
      <c r="BG2485" s="47"/>
      <c r="BH2485" s="47"/>
      <c r="BI2485" s="47"/>
      <c r="BJ2485" s="47"/>
      <c r="BK2485" s="47"/>
      <c r="BL2485" s="47"/>
      <c r="BM2485" s="47"/>
      <c r="BN2485" s="47"/>
      <c r="BO2485" s="47"/>
      <c r="BP2485" s="47"/>
      <c r="BQ2485" s="47"/>
      <c r="BR2485" s="47"/>
      <c r="BS2485" s="47"/>
      <c r="BT2485" s="47"/>
    </row>
    <row r="2486">
      <c r="A2486" s="24"/>
      <c r="B2486" s="48"/>
      <c r="C2486" s="49"/>
      <c r="D2486" s="24"/>
      <c r="E2486" s="52"/>
      <c r="F2486" s="53"/>
      <c r="G2486" s="48"/>
      <c r="H2486" s="49"/>
      <c r="I2486" s="49"/>
      <c r="J2486" s="48"/>
      <c r="K2486" s="48"/>
      <c r="L2486" s="48"/>
      <c r="M2486" s="48"/>
      <c r="N2486" s="48"/>
      <c r="O2486" s="48"/>
      <c r="P2486" s="48"/>
      <c r="Q2486" s="48"/>
      <c r="R2486" s="48"/>
      <c r="S2486" s="48"/>
      <c r="T2486" s="48"/>
      <c r="U2486" s="48"/>
      <c r="V2486" s="48"/>
      <c r="W2486" s="49"/>
      <c r="X2486" s="49"/>
      <c r="Y2486" s="49"/>
      <c r="Z2486" s="49"/>
      <c r="AA2486" s="49"/>
      <c r="AB2486" s="49"/>
      <c r="AC2486" s="49"/>
      <c r="AD2486" s="49"/>
      <c r="AE2486" s="49"/>
      <c r="AF2486" s="49"/>
      <c r="AG2486" s="49"/>
      <c r="AH2486" s="49"/>
      <c r="AI2486" s="48"/>
      <c r="AJ2486" s="48"/>
      <c r="AK2486" s="24"/>
      <c r="AL2486" s="50"/>
      <c r="AM2486" s="50"/>
      <c r="AN2486" s="50"/>
      <c r="AO2486" s="50"/>
      <c r="AP2486" s="50"/>
      <c r="AQ2486" s="50"/>
      <c r="AR2486" s="50"/>
      <c r="AS2486" s="50"/>
      <c r="AT2486" s="51"/>
      <c r="AU2486" s="51"/>
      <c r="AV2486" s="51"/>
      <c r="AW2486" s="51"/>
      <c r="AX2486" s="50"/>
      <c r="AY2486" s="50"/>
      <c r="AZ2486" s="50"/>
      <c r="BA2486" s="50"/>
      <c r="BB2486" s="51"/>
      <c r="BC2486" s="51"/>
      <c r="BD2486" s="51"/>
      <c r="BE2486" s="51"/>
      <c r="BF2486" s="47"/>
      <c r="BG2486" s="47"/>
      <c r="BH2486" s="47"/>
      <c r="BI2486" s="47"/>
      <c r="BJ2486" s="47"/>
      <c r="BK2486" s="47"/>
      <c r="BL2486" s="47"/>
      <c r="BM2486" s="47"/>
      <c r="BN2486" s="47"/>
      <c r="BO2486" s="47"/>
      <c r="BP2486" s="47"/>
      <c r="BQ2486" s="47"/>
      <c r="BR2486" s="47"/>
      <c r="BS2486" s="47"/>
      <c r="BT2486" s="47"/>
    </row>
    <row r="2487">
      <c r="A2487" s="24"/>
      <c r="B2487" s="48"/>
      <c r="C2487" s="49"/>
      <c r="D2487" s="24"/>
      <c r="E2487" s="52"/>
      <c r="F2487" s="53"/>
      <c r="G2487" s="48"/>
      <c r="H2487" s="49"/>
      <c r="I2487" s="49"/>
      <c r="J2487" s="48"/>
      <c r="K2487" s="48"/>
      <c r="L2487" s="48"/>
      <c r="M2487" s="48"/>
      <c r="N2487" s="48"/>
      <c r="O2487" s="48"/>
      <c r="P2487" s="48"/>
      <c r="Q2487" s="48"/>
      <c r="R2487" s="48"/>
      <c r="S2487" s="48"/>
      <c r="T2487" s="48"/>
      <c r="U2487" s="48"/>
      <c r="V2487" s="48"/>
      <c r="W2487" s="49"/>
      <c r="X2487" s="49"/>
      <c r="Y2487" s="49"/>
      <c r="Z2487" s="49"/>
      <c r="AA2487" s="49"/>
      <c r="AB2487" s="49"/>
      <c r="AC2487" s="49"/>
      <c r="AD2487" s="49"/>
      <c r="AE2487" s="49"/>
      <c r="AF2487" s="49"/>
      <c r="AG2487" s="49"/>
      <c r="AH2487" s="49"/>
      <c r="AI2487" s="48"/>
      <c r="AJ2487" s="48"/>
      <c r="AK2487" s="24"/>
      <c r="AL2487" s="50"/>
      <c r="AM2487" s="50"/>
      <c r="AN2487" s="50"/>
      <c r="AO2487" s="50"/>
      <c r="AP2487" s="50"/>
      <c r="AQ2487" s="50"/>
      <c r="AR2487" s="50"/>
      <c r="AS2487" s="50"/>
      <c r="AT2487" s="51"/>
      <c r="AU2487" s="51"/>
      <c r="AV2487" s="51"/>
      <c r="AW2487" s="51"/>
      <c r="AX2487" s="50"/>
      <c r="AY2487" s="50"/>
      <c r="AZ2487" s="50"/>
      <c r="BA2487" s="50"/>
      <c r="BB2487" s="51"/>
      <c r="BC2487" s="51"/>
      <c r="BD2487" s="51"/>
      <c r="BE2487" s="51"/>
      <c r="BF2487" s="47"/>
      <c r="BG2487" s="47"/>
      <c r="BH2487" s="47"/>
      <c r="BI2487" s="47"/>
      <c r="BJ2487" s="47"/>
      <c r="BK2487" s="47"/>
      <c r="BL2487" s="47"/>
      <c r="BM2487" s="47"/>
      <c r="BN2487" s="47"/>
      <c r="BO2487" s="47"/>
      <c r="BP2487" s="47"/>
      <c r="BQ2487" s="47"/>
      <c r="BR2487" s="47"/>
      <c r="BS2487" s="47"/>
      <c r="BT2487" s="47"/>
    </row>
    <row r="2488">
      <c r="A2488" s="24"/>
      <c r="B2488" s="48"/>
      <c r="C2488" s="49"/>
      <c r="D2488" s="24"/>
      <c r="E2488" s="52"/>
      <c r="F2488" s="53"/>
      <c r="G2488" s="48"/>
      <c r="H2488" s="49"/>
      <c r="I2488" s="49"/>
      <c r="J2488" s="48"/>
      <c r="K2488" s="48"/>
      <c r="L2488" s="48"/>
      <c r="M2488" s="48"/>
      <c r="N2488" s="48"/>
      <c r="O2488" s="48"/>
      <c r="P2488" s="48"/>
      <c r="Q2488" s="48"/>
      <c r="R2488" s="48"/>
      <c r="S2488" s="48"/>
      <c r="T2488" s="48"/>
      <c r="U2488" s="48"/>
      <c r="V2488" s="48"/>
      <c r="W2488" s="49"/>
      <c r="X2488" s="49"/>
      <c r="Y2488" s="49"/>
      <c r="Z2488" s="49"/>
      <c r="AA2488" s="49"/>
      <c r="AB2488" s="49"/>
      <c r="AC2488" s="49"/>
      <c r="AD2488" s="49"/>
      <c r="AE2488" s="49"/>
      <c r="AF2488" s="49"/>
      <c r="AG2488" s="49"/>
      <c r="AH2488" s="49"/>
      <c r="AI2488" s="48"/>
      <c r="AJ2488" s="48"/>
      <c r="AK2488" s="24"/>
      <c r="AL2488" s="50"/>
      <c r="AM2488" s="50"/>
      <c r="AN2488" s="50"/>
      <c r="AO2488" s="50"/>
      <c r="AP2488" s="50"/>
      <c r="AQ2488" s="50"/>
      <c r="AR2488" s="50"/>
      <c r="AS2488" s="50"/>
      <c r="AT2488" s="51"/>
      <c r="AU2488" s="51"/>
      <c r="AV2488" s="51"/>
      <c r="AW2488" s="51"/>
      <c r="AX2488" s="50"/>
      <c r="AY2488" s="50"/>
      <c r="AZ2488" s="50"/>
      <c r="BA2488" s="50"/>
      <c r="BB2488" s="51"/>
      <c r="BC2488" s="51"/>
      <c r="BD2488" s="51"/>
      <c r="BE2488" s="51"/>
      <c r="BF2488" s="47"/>
      <c r="BG2488" s="47"/>
      <c r="BH2488" s="47"/>
      <c r="BI2488" s="47"/>
      <c r="BJ2488" s="47"/>
      <c r="BK2488" s="47"/>
      <c r="BL2488" s="47"/>
      <c r="BM2488" s="47"/>
      <c r="BN2488" s="47"/>
      <c r="BO2488" s="47"/>
      <c r="BP2488" s="47"/>
      <c r="BQ2488" s="47"/>
      <c r="BR2488" s="47"/>
      <c r="BS2488" s="47"/>
      <c r="BT2488" s="47"/>
    </row>
    <row r="2489">
      <c r="A2489" s="24"/>
      <c r="B2489" s="48"/>
      <c r="C2489" s="49"/>
      <c r="D2489" s="24"/>
      <c r="E2489" s="52"/>
      <c r="F2489" s="53"/>
      <c r="G2489" s="48"/>
      <c r="H2489" s="49"/>
      <c r="I2489" s="49"/>
      <c r="J2489" s="48"/>
      <c r="K2489" s="48"/>
      <c r="L2489" s="48"/>
      <c r="M2489" s="48"/>
      <c r="N2489" s="48"/>
      <c r="O2489" s="48"/>
      <c r="P2489" s="48"/>
      <c r="Q2489" s="48"/>
      <c r="R2489" s="48"/>
      <c r="S2489" s="48"/>
      <c r="T2489" s="48"/>
      <c r="U2489" s="48"/>
      <c r="V2489" s="48"/>
      <c r="W2489" s="49"/>
      <c r="X2489" s="49"/>
      <c r="Y2489" s="49"/>
      <c r="Z2489" s="49"/>
      <c r="AA2489" s="49"/>
      <c r="AB2489" s="49"/>
      <c r="AC2489" s="49"/>
      <c r="AD2489" s="49"/>
      <c r="AE2489" s="49"/>
      <c r="AF2489" s="49"/>
      <c r="AG2489" s="49"/>
      <c r="AH2489" s="49"/>
      <c r="AI2489" s="48"/>
      <c r="AJ2489" s="48"/>
      <c r="AK2489" s="24"/>
      <c r="AL2489" s="50"/>
      <c r="AM2489" s="50"/>
      <c r="AN2489" s="50"/>
      <c r="AO2489" s="50"/>
      <c r="AP2489" s="50"/>
      <c r="AQ2489" s="50"/>
      <c r="AR2489" s="50"/>
      <c r="AS2489" s="50"/>
      <c r="AT2489" s="51"/>
      <c r="AU2489" s="51"/>
      <c r="AV2489" s="51"/>
      <c r="AW2489" s="51"/>
      <c r="AX2489" s="50"/>
      <c r="AY2489" s="50"/>
      <c r="AZ2489" s="50"/>
      <c r="BA2489" s="50"/>
      <c r="BB2489" s="51"/>
      <c r="BC2489" s="51"/>
      <c r="BD2489" s="51"/>
      <c r="BE2489" s="51"/>
      <c r="BF2489" s="47"/>
      <c r="BG2489" s="47"/>
      <c r="BH2489" s="47"/>
      <c r="BI2489" s="47"/>
      <c r="BJ2489" s="47"/>
      <c r="BK2489" s="47"/>
      <c r="BL2489" s="47"/>
      <c r="BM2489" s="47"/>
      <c r="BN2489" s="47"/>
      <c r="BO2489" s="47"/>
      <c r="BP2489" s="47"/>
      <c r="BQ2489" s="47"/>
      <c r="BR2489" s="47"/>
      <c r="BS2489" s="47"/>
      <c r="BT2489" s="47"/>
    </row>
    <row r="2490">
      <c r="A2490" s="24"/>
      <c r="B2490" s="48"/>
      <c r="C2490" s="49"/>
      <c r="D2490" s="24"/>
      <c r="E2490" s="52"/>
      <c r="F2490" s="53"/>
      <c r="G2490" s="48"/>
      <c r="H2490" s="49"/>
      <c r="I2490" s="49"/>
      <c r="J2490" s="48"/>
      <c r="K2490" s="48"/>
      <c r="L2490" s="48"/>
      <c r="M2490" s="48"/>
      <c r="N2490" s="48"/>
      <c r="O2490" s="48"/>
      <c r="P2490" s="48"/>
      <c r="Q2490" s="48"/>
      <c r="R2490" s="48"/>
      <c r="S2490" s="48"/>
      <c r="T2490" s="48"/>
      <c r="U2490" s="48"/>
      <c r="V2490" s="48"/>
      <c r="W2490" s="49"/>
      <c r="X2490" s="49"/>
      <c r="Y2490" s="49"/>
      <c r="Z2490" s="49"/>
      <c r="AA2490" s="49"/>
      <c r="AB2490" s="49"/>
      <c r="AC2490" s="49"/>
      <c r="AD2490" s="49"/>
      <c r="AE2490" s="49"/>
      <c r="AF2490" s="49"/>
      <c r="AG2490" s="49"/>
      <c r="AH2490" s="49"/>
      <c r="AI2490" s="48"/>
      <c r="AJ2490" s="48"/>
      <c r="AK2490" s="24"/>
      <c r="AL2490" s="50"/>
      <c r="AM2490" s="50"/>
      <c r="AN2490" s="50"/>
      <c r="AO2490" s="50"/>
      <c r="AP2490" s="50"/>
      <c r="AQ2490" s="50"/>
      <c r="AR2490" s="50"/>
      <c r="AS2490" s="50"/>
      <c r="AT2490" s="51"/>
      <c r="AU2490" s="51"/>
      <c r="AV2490" s="51"/>
      <c r="AW2490" s="51"/>
      <c r="AX2490" s="50"/>
      <c r="AY2490" s="50"/>
      <c r="AZ2490" s="50"/>
      <c r="BA2490" s="50"/>
      <c r="BB2490" s="51"/>
      <c r="BC2490" s="51"/>
      <c r="BD2490" s="51"/>
      <c r="BE2490" s="51"/>
      <c r="BF2490" s="47"/>
      <c r="BG2490" s="47"/>
      <c r="BH2490" s="47"/>
      <c r="BI2490" s="47"/>
      <c r="BJ2490" s="47"/>
      <c r="BK2490" s="47"/>
      <c r="BL2490" s="47"/>
      <c r="BM2490" s="47"/>
      <c r="BN2490" s="47"/>
      <c r="BO2490" s="47"/>
      <c r="BP2490" s="47"/>
      <c r="BQ2490" s="47"/>
      <c r="BR2490" s="47"/>
      <c r="BS2490" s="47"/>
      <c r="BT2490" s="47"/>
    </row>
    <row r="2491">
      <c r="A2491" s="24"/>
      <c r="B2491" s="48"/>
      <c r="C2491" s="49"/>
      <c r="D2491" s="24"/>
      <c r="E2491" s="52"/>
      <c r="F2491" s="53"/>
      <c r="G2491" s="48"/>
      <c r="H2491" s="49"/>
      <c r="I2491" s="49"/>
      <c r="J2491" s="48"/>
      <c r="K2491" s="48"/>
      <c r="L2491" s="48"/>
      <c r="M2491" s="48"/>
      <c r="N2491" s="48"/>
      <c r="O2491" s="48"/>
      <c r="P2491" s="48"/>
      <c r="Q2491" s="48"/>
      <c r="R2491" s="48"/>
      <c r="S2491" s="48"/>
      <c r="T2491" s="48"/>
      <c r="U2491" s="48"/>
      <c r="V2491" s="48"/>
      <c r="W2491" s="49"/>
      <c r="X2491" s="49"/>
      <c r="Y2491" s="49"/>
      <c r="Z2491" s="49"/>
      <c r="AA2491" s="49"/>
      <c r="AB2491" s="49"/>
      <c r="AC2491" s="49"/>
      <c r="AD2491" s="49"/>
      <c r="AE2491" s="49"/>
      <c r="AF2491" s="49"/>
      <c r="AG2491" s="49"/>
      <c r="AH2491" s="49"/>
      <c r="AI2491" s="48"/>
      <c r="AJ2491" s="48"/>
      <c r="AK2491" s="24"/>
      <c r="AL2491" s="50"/>
      <c r="AM2491" s="50"/>
      <c r="AN2491" s="50"/>
      <c r="AO2491" s="50"/>
      <c r="AP2491" s="50"/>
      <c r="AQ2491" s="50"/>
      <c r="AR2491" s="50"/>
      <c r="AS2491" s="50"/>
      <c r="AT2491" s="51"/>
      <c r="AU2491" s="51"/>
      <c r="AV2491" s="51"/>
      <c r="AW2491" s="51"/>
      <c r="AX2491" s="50"/>
      <c r="AY2491" s="50"/>
      <c r="AZ2491" s="50"/>
      <c r="BA2491" s="50"/>
      <c r="BB2491" s="51"/>
      <c r="BC2491" s="51"/>
      <c r="BD2491" s="51"/>
      <c r="BE2491" s="51"/>
      <c r="BF2491" s="47"/>
      <c r="BG2491" s="47"/>
      <c r="BH2491" s="47"/>
      <c r="BI2491" s="47"/>
      <c r="BJ2491" s="47"/>
      <c r="BK2491" s="47"/>
      <c r="BL2491" s="47"/>
      <c r="BM2491" s="47"/>
      <c r="BN2491" s="47"/>
      <c r="BO2491" s="47"/>
      <c r="BP2491" s="47"/>
      <c r="BQ2491" s="47"/>
      <c r="BR2491" s="47"/>
      <c r="BS2491" s="47"/>
      <c r="BT2491" s="47"/>
    </row>
    <row r="2492">
      <c r="A2492" s="24"/>
      <c r="B2492" s="48"/>
      <c r="C2492" s="49"/>
      <c r="D2492" s="24"/>
      <c r="E2492" s="52"/>
      <c r="F2492" s="53"/>
      <c r="G2492" s="48"/>
      <c r="H2492" s="49"/>
      <c r="I2492" s="49"/>
      <c r="J2492" s="48"/>
      <c r="K2492" s="48"/>
      <c r="L2492" s="48"/>
      <c r="M2492" s="48"/>
      <c r="N2492" s="48"/>
      <c r="O2492" s="48"/>
      <c r="P2492" s="48"/>
      <c r="Q2492" s="48"/>
      <c r="R2492" s="48"/>
      <c r="S2492" s="48"/>
      <c r="T2492" s="48"/>
      <c r="U2492" s="48"/>
      <c r="V2492" s="48"/>
      <c r="W2492" s="49"/>
      <c r="X2492" s="49"/>
      <c r="Y2492" s="49"/>
      <c r="Z2492" s="49"/>
      <c r="AA2492" s="49"/>
      <c r="AB2492" s="49"/>
      <c r="AC2492" s="49"/>
      <c r="AD2492" s="49"/>
      <c r="AE2492" s="49"/>
      <c r="AF2492" s="49"/>
      <c r="AG2492" s="49"/>
      <c r="AH2492" s="49"/>
      <c r="AI2492" s="48"/>
      <c r="AJ2492" s="48"/>
      <c r="AK2492" s="24"/>
      <c r="AL2492" s="50"/>
      <c r="AM2492" s="50"/>
      <c r="AN2492" s="50"/>
      <c r="AO2492" s="50"/>
      <c r="AP2492" s="50"/>
      <c r="AQ2492" s="50"/>
      <c r="AR2492" s="50"/>
      <c r="AS2492" s="50"/>
      <c r="AT2492" s="51"/>
      <c r="AU2492" s="51"/>
      <c r="AV2492" s="51"/>
      <c r="AW2492" s="51"/>
      <c r="AX2492" s="50"/>
      <c r="AY2492" s="50"/>
      <c r="AZ2492" s="50"/>
      <c r="BA2492" s="50"/>
      <c r="BB2492" s="51"/>
      <c r="BC2492" s="51"/>
      <c r="BD2492" s="51"/>
      <c r="BE2492" s="51"/>
      <c r="BF2492" s="47"/>
      <c r="BG2492" s="47"/>
      <c r="BH2492" s="47"/>
      <c r="BI2492" s="47"/>
      <c r="BJ2492" s="47"/>
      <c r="BK2492" s="47"/>
      <c r="BL2492" s="47"/>
      <c r="BM2492" s="47"/>
      <c r="BN2492" s="47"/>
      <c r="BO2492" s="47"/>
      <c r="BP2492" s="47"/>
      <c r="BQ2492" s="47"/>
      <c r="BR2492" s="47"/>
      <c r="BS2492" s="47"/>
      <c r="BT2492" s="47"/>
    </row>
    <row r="2493">
      <c r="A2493" s="24"/>
      <c r="B2493" s="48"/>
      <c r="C2493" s="49"/>
      <c r="D2493" s="24"/>
      <c r="E2493" s="52"/>
      <c r="F2493" s="53"/>
      <c r="G2493" s="48"/>
      <c r="H2493" s="49"/>
      <c r="I2493" s="49"/>
      <c r="J2493" s="48"/>
      <c r="K2493" s="48"/>
      <c r="L2493" s="48"/>
      <c r="M2493" s="48"/>
      <c r="N2493" s="48"/>
      <c r="O2493" s="48"/>
      <c r="P2493" s="48"/>
      <c r="Q2493" s="48"/>
      <c r="R2493" s="48"/>
      <c r="S2493" s="48"/>
      <c r="T2493" s="48"/>
      <c r="U2493" s="48"/>
      <c r="V2493" s="48"/>
      <c r="W2493" s="49"/>
      <c r="X2493" s="49"/>
      <c r="Y2493" s="49"/>
      <c r="Z2493" s="49"/>
      <c r="AA2493" s="49"/>
      <c r="AB2493" s="49"/>
      <c r="AC2493" s="49"/>
      <c r="AD2493" s="49"/>
      <c r="AE2493" s="49"/>
      <c r="AF2493" s="49"/>
      <c r="AG2493" s="49"/>
      <c r="AH2493" s="49"/>
      <c r="AI2493" s="48"/>
      <c r="AJ2493" s="48"/>
      <c r="AK2493" s="24"/>
      <c r="AL2493" s="50"/>
      <c r="AM2493" s="50"/>
      <c r="AN2493" s="50"/>
      <c r="AO2493" s="50"/>
      <c r="AP2493" s="50"/>
      <c r="AQ2493" s="50"/>
      <c r="AR2493" s="50"/>
      <c r="AS2493" s="50"/>
      <c r="AT2493" s="51"/>
      <c r="AU2493" s="51"/>
      <c r="AV2493" s="51"/>
      <c r="AW2493" s="51"/>
      <c r="AX2493" s="50"/>
      <c r="AY2493" s="50"/>
      <c r="AZ2493" s="50"/>
      <c r="BA2493" s="50"/>
      <c r="BB2493" s="51"/>
      <c r="BC2493" s="51"/>
      <c r="BD2493" s="51"/>
      <c r="BE2493" s="51"/>
      <c r="BF2493" s="47"/>
      <c r="BG2493" s="47"/>
      <c r="BH2493" s="47"/>
      <c r="BI2493" s="47"/>
      <c r="BJ2493" s="47"/>
      <c r="BK2493" s="47"/>
      <c r="BL2493" s="47"/>
      <c r="BM2493" s="47"/>
      <c r="BN2493" s="47"/>
      <c r="BO2493" s="47"/>
      <c r="BP2493" s="47"/>
      <c r="BQ2493" s="47"/>
      <c r="BR2493" s="47"/>
      <c r="BS2493" s="47"/>
      <c r="BT2493" s="47"/>
    </row>
    <row r="2494">
      <c r="A2494" s="24"/>
      <c r="B2494" s="48"/>
      <c r="C2494" s="49"/>
      <c r="D2494" s="24"/>
      <c r="E2494" s="52"/>
      <c r="F2494" s="53"/>
      <c r="G2494" s="48"/>
      <c r="H2494" s="49"/>
      <c r="I2494" s="49"/>
      <c r="J2494" s="48"/>
      <c r="K2494" s="48"/>
      <c r="L2494" s="48"/>
      <c r="M2494" s="48"/>
      <c r="N2494" s="48"/>
      <c r="O2494" s="48"/>
      <c r="P2494" s="48"/>
      <c r="Q2494" s="48"/>
      <c r="R2494" s="48"/>
      <c r="S2494" s="48"/>
      <c r="T2494" s="48"/>
      <c r="U2494" s="48"/>
      <c r="V2494" s="48"/>
      <c r="W2494" s="49"/>
      <c r="X2494" s="49"/>
      <c r="Y2494" s="49"/>
      <c r="Z2494" s="49"/>
      <c r="AA2494" s="49"/>
      <c r="AB2494" s="49"/>
      <c r="AC2494" s="49"/>
      <c r="AD2494" s="49"/>
      <c r="AE2494" s="49"/>
      <c r="AF2494" s="49"/>
      <c r="AG2494" s="49"/>
      <c r="AH2494" s="49"/>
      <c r="AI2494" s="48"/>
      <c r="AJ2494" s="48"/>
      <c r="AK2494" s="24"/>
      <c r="AL2494" s="50"/>
      <c r="AM2494" s="50"/>
      <c r="AN2494" s="50"/>
      <c r="AO2494" s="50"/>
      <c r="AP2494" s="50"/>
      <c r="AQ2494" s="50"/>
      <c r="AR2494" s="50"/>
      <c r="AS2494" s="50"/>
      <c r="AT2494" s="51"/>
      <c r="AU2494" s="51"/>
      <c r="AV2494" s="51"/>
      <c r="AW2494" s="51"/>
      <c r="AX2494" s="50"/>
      <c r="AY2494" s="50"/>
      <c r="AZ2494" s="50"/>
      <c r="BA2494" s="50"/>
      <c r="BB2494" s="51"/>
      <c r="BC2494" s="51"/>
      <c r="BD2494" s="51"/>
      <c r="BE2494" s="51"/>
      <c r="BF2494" s="47"/>
      <c r="BG2494" s="47"/>
      <c r="BH2494" s="47"/>
      <c r="BI2494" s="47"/>
      <c r="BJ2494" s="47"/>
      <c r="BK2494" s="47"/>
      <c r="BL2494" s="47"/>
      <c r="BM2494" s="47"/>
      <c r="BN2494" s="47"/>
      <c r="BO2494" s="47"/>
      <c r="BP2494" s="47"/>
      <c r="BQ2494" s="47"/>
      <c r="BR2494" s="47"/>
      <c r="BS2494" s="47"/>
      <c r="BT2494" s="47"/>
    </row>
    <row r="2495">
      <c r="A2495" s="24"/>
      <c r="B2495" s="48"/>
      <c r="C2495" s="49"/>
      <c r="D2495" s="24"/>
      <c r="E2495" s="52"/>
      <c r="F2495" s="53"/>
      <c r="G2495" s="48"/>
      <c r="H2495" s="49"/>
      <c r="I2495" s="49"/>
      <c r="J2495" s="48"/>
      <c r="K2495" s="48"/>
      <c r="L2495" s="48"/>
      <c r="M2495" s="48"/>
      <c r="N2495" s="48"/>
      <c r="O2495" s="48"/>
      <c r="P2495" s="48"/>
      <c r="Q2495" s="48"/>
      <c r="R2495" s="48"/>
      <c r="S2495" s="48"/>
      <c r="T2495" s="48"/>
      <c r="U2495" s="48"/>
      <c r="V2495" s="48"/>
      <c r="W2495" s="49"/>
      <c r="X2495" s="49"/>
      <c r="Y2495" s="49"/>
      <c r="Z2495" s="49"/>
      <c r="AA2495" s="49"/>
      <c r="AB2495" s="49"/>
      <c r="AC2495" s="49"/>
      <c r="AD2495" s="49"/>
      <c r="AE2495" s="49"/>
      <c r="AF2495" s="49"/>
      <c r="AG2495" s="49"/>
      <c r="AH2495" s="49"/>
      <c r="AI2495" s="48"/>
      <c r="AJ2495" s="48"/>
      <c r="AK2495" s="24"/>
      <c r="AL2495" s="50"/>
      <c r="AM2495" s="50"/>
      <c r="AN2495" s="50"/>
      <c r="AO2495" s="50"/>
      <c r="AP2495" s="50"/>
      <c r="AQ2495" s="50"/>
      <c r="AR2495" s="50"/>
      <c r="AS2495" s="50"/>
      <c r="AT2495" s="51"/>
      <c r="AU2495" s="51"/>
      <c r="AV2495" s="51"/>
      <c r="AW2495" s="51"/>
      <c r="AX2495" s="50"/>
      <c r="AY2495" s="50"/>
      <c r="AZ2495" s="50"/>
      <c r="BA2495" s="50"/>
      <c r="BB2495" s="51"/>
      <c r="BC2495" s="51"/>
      <c r="BD2495" s="51"/>
      <c r="BE2495" s="51"/>
      <c r="BF2495" s="47"/>
      <c r="BG2495" s="47"/>
      <c r="BH2495" s="47"/>
      <c r="BI2495" s="47"/>
      <c r="BJ2495" s="47"/>
      <c r="BK2495" s="47"/>
      <c r="BL2495" s="47"/>
      <c r="BM2495" s="47"/>
      <c r="BN2495" s="47"/>
      <c r="BO2495" s="47"/>
      <c r="BP2495" s="47"/>
      <c r="BQ2495" s="47"/>
      <c r="BR2495" s="47"/>
      <c r="BS2495" s="47"/>
      <c r="BT2495" s="47"/>
    </row>
    <row r="2496">
      <c r="A2496" s="24"/>
      <c r="B2496" s="48"/>
      <c r="C2496" s="49"/>
      <c r="D2496" s="24"/>
      <c r="E2496" s="52"/>
      <c r="F2496" s="53"/>
      <c r="G2496" s="48"/>
      <c r="H2496" s="49"/>
      <c r="I2496" s="49"/>
      <c r="J2496" s="48"/>
      <c r="K2496" s="48"/>
      <c r="L2496" s="48"/>
      <c r="M2496" s="48"/>
      <c r="N2496" s="48"/>
      <c r="O2496" s="48"/>
      <c r="P2496" s="48"/>
      <c r="Q2496" s="48"/>
      <c r="R2496" s="48"/>
      <c r="S2496" s="48"/>
      <c r="T2496" s="48"/>
      <c r="U2496" s="48"/>
      <c r="V2496" s="48"/>
      <c r="W2496" s="49"/>
      <c r="X2496" s="49"/>
      <c r="Y2496" s="49"/>
      <c r="Z2496" s="49"/>
      <c r="AA2496" s="49"/>
      <c r="AB2496" s="49"/>
      <c r="AC2496" s="49"/>
      <c r="AD2496" s="49"/>
      <c r="AE2496" s="49"/>
      <c r="AF2496" s="49"/>
      <c r="AG2496" s="49"/>
      <c r="AH2496" s="49"/>
      <c r="AI2496" s="48"/>
      <c r="AJ2496" s="48"/>
      <c r="AK2496" s="24"/>
      <c r="AL2496" s="50"/>
      <c r="AM2496" s="50"/>
      <c r="AN2496" s="50"/>
      <c r="AO2496" s="50"/>
      <c r="AP2496" s="50"/>
      <c r="AQ2496" s="50"/>
      <c r="AR2496" s="50"/>
      <c r="AS2496" s="50"/>
      <c r="AT2496" s="51"/>
      <c r="AU2496" s="51"/>
      <c r="AV2496" s="51"/>
      <c r="AW2496" s="51"/>
      <c r="AX2496" s="50"/>
      <c r="AY2496" s="50"/>
      <c r="AZ2496" s="50"/>
      <c r="BA2496" s="50"/>
      <c r="BB2496" s="51"/>
      <c r="BC2496" s="51"/>
      <c r="BD2496" s="51"/>
      <c r="BE2496" s="51"/>
      <c r="BF2496" s="47"/>
      <c r="BG2496" s="47"/>
      <c r="BH2496" s="47"/>
      <c r="BI2496" s="47"/>
      <c r="BJ2496" s="47"/>
      <c r="BK2496" s="47"/>
      <c r="BL2496" s="47"/>
      <c r="BM2496" s="47"/>
      <c r="BN2496" s="47"/>
      <c r="BO2496" s="47"/>
      <c r="BP2496" s="47"/>
      <c r="BQ2496" s="47"/>
      <c r="BR2496" s="47"/>
      <c r="BS2496" s="47"/>
      <c r="BT2496" s="47"/>
    </row>
    <row r="2497">
      <c r="A2497" s="24"/>
      <c r="B2497" s="48"/>
      <c r="C2497" s="49"/>
      <c r="D2497" s="24"/>
      <c r="E2497" s="52"/>
      <c r="F2497" s="53"/>
      <c r="G2497" s="48"/>
      <c r="H2497" s="49"/>
      <c r="I2497" s="49"/>
      <c r="J2497" s="48"/>
      <c r="K2497" s="48"/>
      <c r="L2497" s="48"/>
      <c r="M2497" s="48"/>
      <c r="N2497" s="48"/>
      <c r="O2497" s="48"/>
      <c r="P2497" s="48"/>
      <c r="Q2497" s="48"/>
      <c r="R2497" s="48"/>
      <c r="S2497" s="48"/>
      <c r="T2497" s="48"/>
      <c r="U2497" s="48"/>
      <c r="V2497" s="48"/>
      <c r="W2497" s="49"/>
      <c r="X2497" s="49"/>
      <c r="Y2497" s="49"/>
      <c r="Z2497" s="49"/>
      <c r="AA2497" s="49"/>
      <c r="AB2497" s="49"/>
      <c r="AC2497" s="49"/>
      <c r="AD2497" s="49"/>
      <c r="AE2497" s="49"/>
      <c r="AF2497" s="49"/>
      <c r="AG2497" s="49"/>
      <c r="AH2497" s="49"/>
      <c r="AI2497" s="48"/>
      <c r="AJ2497" s="48"/>
      <c r="AK2497" s="24"/>
      <c r="AL2497" s="50"/>
      <c r="AM2497" s="50"/>
      <c r="AN2497" s="50"/>
      <c r="AO2497" s="50"/>
      <c r="AP2497" s="50"/>
      <c r="AQ2497" s="50"/>
      <c r="AR2497" s="50"/>
      <c r="AS2497" s="50"/>
      <c r="AT2497" s="51"/>
      <c r="AU2497" s="51"/>
      <c r="AV2497" s="51"/>
      <c r="AW2497" s="51"/>
      <c r="AX2497" s="50"/>
      <c r="AY2497" s="50"/>
      <c r="AZ2497" s="50"/>
      <c r="BA2497" s="50"/>
      <c r="BB2497" s="51"/>
      <c r="BC2497" s="51"/>
      <c r="BD2497" s="51"/>
      <c r="BE2497" s="51"/>
      <c r="BF2497" s="47"/>
      <c r="BG2497" s="47"/>
      <c r="BH2497" s="47"/>
      <c r="BI2497" s="47"/>
      <c r="BJ2497" s="47"/>
      <c r="BK2497" s="47"/>
      <c r="BL2497" s="47"/>
      <c r="BM2497" s="47"/>
      <c r="BN2497" s="47"/>
      <c r="BO2497" s="47"/>
      <c r="BP2497" s="47"/>
      <c r="BQ2497" s="47"/>
      <c r="BR2497" s="47"/>
      <c r="BS2497" s="47"/>
      <c r="BT2497" s="47"/>
    </row>
    <row r="2498">
      <c r="A2498" s="24"/>
      <c r="B2498" s="48"/>
      <c r="C2498" s="49"/>
      <c r="D2498" s="24"/>
      <c r="E2498" s="52"/>
      <c r="F2498" s="53"/>
      <c r="G2498" s="48"/>
      <c r="H2498" s="49"/>
      <c r="I2498" s="49"/>
      <c r="J2498" s="48"/>
      <c r="K2498" s="48"/>
      <c r="L2498" s="48"/>
      <c r="M2498" s="48"/>
      <c r="N2498" s="48"/>
      <c r="O2498" s="48"/>
      <c r="P2498" s="48"/>
      <c r="Q2498" s="48"/>
      <c r="R2498" s="48"/>
      <c r="S2498" s="48"/>
      <c r="T2498" s="48"/>
      <c r="U2498" s="48"/>
      <c r="V2498" s="48"/>
      <c r="W2498" s="49"/>
      <c r="X2498" s="49"/>
      <c r="Y2498" s="49"/>
      <c r="Z2498" s="49"/>
      <c r="AA2498" s="49"/>
      <c r="AB2498" s="49"/>
      <c r="AC2498" s="49"/>
      <c r="AD2498" s="49"/>
      <c r="AE2498" s="49"/>
      <c r="AF2498" s="49"/>
      <c r="AG2498" s="49"/>
      <c r="AH2498" s="49"/>
      <c r="AI2498" s="48"/>
      <c r="AJ2498" s="48"/>
      <c r="AK2498" s="24"/>
      <c r="AL2498" s="50"/>
      <c r="AM2498" s="50"/>
      <c r="AN2498" s="50"/>
      <c r="AO2498" s="50"/>
      <c r="AP2498" s="50"/>
      <c r="AQ2498" s="50"/>
      <c r="AR2498" s="50"/>
      <c r="AS2498" s="50"/>
      <c r="AT2498" s="51"/>
      <c r="AU2498" s="51"/>
      <c r="AV2498" s="51"/>
      <c r="AW2498" s="51"/>
      <c r="AX2498" s="50"/>
      <c r="AY2498" s="50"/>
      <c r="AZ2498" s="50"/>
      <c r="BA2498" s="50"/>
      <c r="BB2498" s="51"/>
      <c r="BC2498" s="51"/>
      <c r="BD2498" s="51"/>
      <c r="BE2498" s="51"/>
      <c r="BF2498" s="47"/>
      <c r="BG2498" s="47"/>
      <c r="BH2498" s="47"/>
      <c r="BI2498" s="47"/>
      <c r="BJ2498" s="47"/>
      <c r="BK2498" s="47"/>
      <c r="BL2498" s="47"/>
      <c r="BM2498" s="47"/>
      <c r="BN2498" s="47"/>
      <c r="BO2498" s="47"/>
      <c r="BP2498" s="47"/>
      <c r="BQ2498" s="47"/>
      <c r="BR2498" s="47"/>
      <c r="BS2498" s="47"/>
      <c r="BT2498" s="47"/>
    </row>
    <row r="2499">
      <c r="A2499" s="24"/>
      <c r="B2499" s="48"/>
      <c r="C2499" s="49"/>
      <c r="D2499" s="24"/>
      <c r="E2499" s="52"/>
      <c r="F2499" s="53"/>
      <c r="G2499" s="48"/>
      <c r="H2499" s="49"/>
      <c r="I2499" s="49"/>
      <c r="J2499" s="48"/>
      <c r="K2499" s="48"/>
      <c r="L2499" s="48"/>
      <c r="M2499" s="48"/>
      <c r="N2499" s="48"/>
      <c r="O2499" s="48"/>
      <c r="P2499" s="48"/>
      <c r="Q2499" s="48"/>
      <c r="R2499" s="48"/>
      <c r="S2499" s="48"/>
      <c r="T2499" s="48"/>
      <c r="U2499" s="48"/>
      <c r="V2499" s="48"/>
      <c r="W2499" s="49"/>
      <c r="X2499" s="49"/>
      <c r="Y2499" s="49"/>
      <c r="Z2499" s="49"/>
      <c r="AA2499" s="49"/>
      <c r="AB2499" s="49"/>
      <c r="AC2499" s="49"/>
      <c r="AD2499" s="49"/>
      <c r="AE2499" s="49"/>
      <c r="AF2499" s="49"/>
      <c r="AG2499" s="49"/>
      <c r="AH2499" s="49"/>
      <c r="AI2499" s="48"/>
      <c r="AJ2499" s="48"/>
      <c r="AK2499" s="24"/>
      <c r="AL2499" s="50"/>
      <c r="AM2499" s="50"/>
      <c r="AN2499" s="50"/>
      <c r="AO2499" s="50"/>
      <c r="AP2499" s="50"/>
      <c r="AQ2499" s="50"/>
      <c r="AR2499" s="50"/>
      <c r="AS2499" s="50"/>
      <c r="AT2499" s="51"/>
      <c r="AU2499" s="51"/>
      <c r="AV2499" s="51"/>
      <c r="AW2499" s="51"/>
      <c r="AX2499" s="50"/>
      <c r="AY2499" s="50"/>
      <c r="AZ2499" s="50"/>
      <c r="BA2499" s="50"/>
      <c r="BB2499" s="51"/>
      <c r="BC2499" s="51"/>
      <c r="BD2499" s="51"/>
      <c r="BE2499" s="51"/>
      <c r="BF2499" s="47"/>
      <c r="BG2499" s="47"/>
      <c r="BH2499" s="47"/>
      <c r="BI2499" s="47"/>
      <c r="BJ2499" s="47"/>
      <c r="BK2499" s="47"/>
      <c r="BL2499" s="47"/>
      <c r="BM2499" s="47"/>
      <c r="BN2499" s="47"/>
      <c r="BO2499" s="47"/>
      <c r="BP2499" s="47"/>
      <c r="BQ2499" s="47"/>
      <c r="BR2499" s="47"/>
      <c r="BS2499" s="47"/>
      <c r="BT2499" s="47"/>
    </row>
    <row r="2500">
      <c r="A2500" s="24"/>
      <c r="B2500" s="48"/>
      <c r="C2500" s="49"/>
      <c r="D2500" s="24"/>
      <c r="E2500" s="52"/>
      <c r="F2500" s="53"/>
      <c r="G2500" s="48"/>
      <c r="H2500" s="49"/>
      <c r="I2500" s="49"/>
      <c r="J2500" s="48"/>
      <c r="K2500" s="48"/>
      <c r="L2500" s="48"/>
      <c r="M2500" s="48"/>
      <c r="N2500" s="48"/>
      <c r="O2500" s="48"/>
      <c r="P2500" s="48"/>
      <c r="Q2500" s="48"/>
      <c r="R2500" s="48"/>
      <c r="S2500" s="48"/>
      <c r="T2500" s="48"/>
      <c r="U2500" s="48"/>
      <c r="V2500" s="48"/>
      <c r="W2500" s="49"/>
      <c r="X2500" s="49"/>
      <c r="Y2500" s="49"/>
      <c r="Z2500" s="49"/>
      <c r="AA2500" s="49"/>
      <c r="AB2500" s="49"/>
      <c r="AC2500" s="49"/>
      <c r="AD2500" s="49"/>
      <c r="AE2500" s="49"/>
      <c r="AF2500" s="49"/>
      <c r="AG2500" s="49"/>
      <c r="AH2500" s="49"/>
      <c r="AI2500" s="48"/>
      <c r="AJ2500" s="48"/>
      <c r="AK2500" s="24"/>
      <c r="AL2500" s="50"/>
      <c r="AM2500" s="50"/>
      <c r="AN2500" s="50"/>
      <c r="AO2500" s="50"/>
      <c r="AP2500" s="50"/>
      <c r="AQ2500" s="50"/>
      <c r="AR2500" s="50"/>
      <c r="AS2500" s="50"/>
      <c r="AT2500" s="51"/>
      <c r="AU2500" s="51"/>
      <c r="AV2500" s="51"/>
      <c r="AW2500" s="51"/>
      <c r="AX2500" s="50"/>
      <c r="AY2500" s="50"/>
      <c r="AZ2500" s="50"/>
      <c r="BA2500" s="50"/>
      <c r="BB2500" s="51"/>
      <c r="BC2500" s="51"/>
      <c r="BD2500" s="51"/>
      <c r="BE2500" s="51"/>
      <c r="BF2500" s="47"/>
      <c r="BG2500" s="47"/>
      <c r="BH2500" s="47"/>
      <c r="BI2500" s="47"/>
      <c r="BJ2500" s="47"/>
      <c r="BK2500" s="47"/>
      <c r="BL2500" s="47"/>
      <c r="BM2500" s="47"/>
      <c r="BN2500" s="47"/>
      <c r="BO2500" s="47"/>
      <c r="BP2500" s="47"/>
      <c r="BQ2500" s="47"/>
      <c r="BR2500" s="47"/>
      <c r="BS2500" s="47"/>
      <c r="BT2500" s="47"/>
    </row>
    <row r="2501">
      <c r="A2501" s="24"/>
      <c r="B2501" s="48"/>
      <c r="C2501" s="49"/>
      <c r="D2501" s="24"/>
      <c r="E2501" s="52"/>
      <c r="F2501" s="53"/>
      <c r="G2501" s="48"/>
      <c r="H2501" s="49"/>
      <c r="I2501" s="49"/>
      <c r="J2501" s="48"/>
      <c r="K2501" s="48"/>
      <c r="L2501" s="48"/>
      <c r="M2501" s="48"/>
      <c r="N2501" s="48"/>
      <c r="O2501" s="48"/>
      <c r="P2501" s="48"/>
      <c r="Q2501" s="48"/>
      <c r="R2501" s="48"/>
      <c r="S2501" s="48"/>
      <c r="T2501" s="48"/>
      <c r="U2501" s="48"/>
      <c r="V2501" s="48"/>
      <c r="W2501" s="49"/>
      <c r="X2501" s="49"/>
      <c r="Y2501" s="49"/>
      <c r="Z2501" s="49"/>
      <c r="AA2501" s="49"/>
      <c r="AB2501" s="49"/>
      <c r="AC2501" s="49"/>
      <c r="AD2501" s="49"/>
      <c r="AE2501" s="49"/>
      <c r="AF2501" s="49"/>
      <c r="AG2501" s="49"/>
      <c r="AH2501" s="49"/>
      <c r="AI2501" s="48"/>
      <c r="AJ2501" s="48"/>
      <c r="AK2501" s="24"/>
      <c r="AL2501" s="50"/>
      <c r="AM2501" s="50"/>
      <c r="AN2501" s="50"/>
      <c r="AO2501" s="50"/>
      <c r="AP2501" s="50"/>
      <c r="AQ2501" s="50"/>
      <c r="AR2501" s="50"/>
      <c r="AS2501" s="50"/>
      <c r="AT2501" s="51"/>
      <c r="AU2501" s="51"/>
      <c r="AV2501" s="51"/>
      <c r="AW2501" s="51"/>
      <c r="AX2501" s="50"/>
      <c r="AY2501" s="50"/>
      <c r="AZ2501" s="50"/>
      <c r="BA2501" s="50"/>
      <c r="BB2501" s="51"/>
      <c r="BC2501" s="51"/>
      <c r="BD2501" s="51"/>
      <c r="BE2501" s="51"/>
      <c r="BF2501" s="47"/>
      <c r="BG2501" s="47"/>
      <c r="BH2501" s="47"/>
      <c r="BI2501" s="47"/>
      <c r="BJ2501" s="47"/>
      <c r="BK2501" s="47"/>
      <c r="BL2501" s="47"/>
      <c r="BM2501" s="47"/>
      <c r="BN2501" s="47"/>
      <c r="BO2501" s="47"/>
      <c r="BP2501" s="47"/>
      <c r="BQ2501" s="47"/>
      <c r="BR2501" s="47"/>
      <c r="BS2501" s="47"/>
      <c r="BT2501" s="47"/>
    </row>
    <row r="2502">
      <c r="A2502" s="24"/>
      <c r="B2502" s="48"/>
      <c r="C2502" s="49"/>
      <c r="D2502" s="24"/>
      <c r="E2502" s="52"/>
      <c r="F2502" s="53"/>
      <c r="G2502" s="48"/>
      <c r="H2502" s="49"/>
      <c r="I2502" s="49"/>
      <c r="J2502" s="48"/>
      <c r="K2502" s="48"/>
      <c r="L2502" s="48"/>
      <c r="M2502" s="48"/>
      <c r="N2502" s="48"/>
      <c r="O2502" s="48"/>
      <c r="P2502" s="48"/>
      <c r="Q2502" s="48"/>
      <c r="R2502" s="48"/>
      <c r="S2502" s="48"/>
      <c r="T2502" s="48"/>
      <c r="U2502" s="48"/>
      <c r="V2502" s="48"/>
      <c r="W2502" s="49"/>
      <c r="X2502" s="49"/>
      <c r="Y2502" s="49"/>
      <c r="Z2502" s="49"/>
      <c r="AA2502" s="49"/>
      <c r="AB2502" s="49"/>
      <c r="AC2502" s="49"/>
      <c r="AD2502" s="49"/>
      <c r="AE2502" s="49"/>
      <c r="AF2502" s="49"/>
      <c r="AG2502" s="49"/>
      <c r="AH2502" s="49"/>
      <c r="AI2502" s="48"/>
      <c r="AJ2502" s="48"/>
      <c r="AK2502" s="24"/>
      <c r="AL2502" s="50"/>
      <c r="AM2502" s="50"/>
      <c r="AN2502" s="50"/>
      <c r="AO2502" s="50"/>
      <c r="AP2502" s="50"/>
      <c r="AQ2502" s="50"/>
      <c r="AR2502" s="50"/>
      <c r="AS2502" s="50"/>
      <c r="AT2502" s="51"/>
      <c r="AU2502" s="51"/>
      <c r="AV2502" s="51"/>
      <c r="AW2502" s="51"/>
      <c r="AX2502" s="50"/>
      <c r="AY2502" s="50"/>
      <c r="AZ2502" s="50"/>
      <c r="BA2502" s="50"/>
      <c r="BB2502" s="51"/>
      <c r="BC2502" s="51"/>
      <c r="BD2502" s="51"/>
      <c r="BE2502" s="51"/>
      <c r="BF2502" s="47"/>
      <c r="BG2502" s="47"/>
      <c r="BH2502" s="47"/>
      <c r="BI2502" s="47"/>
      <c r="BJ2502" s="47"/>
      <c r="BK2502" s="47"/>
      <c r="BL2502" s="47"/>
      <c r="BM2502" s="47"/>
      <c r="BN2502" s="47"/>
      <c r="BO2502" s="47"/>
      <c r="BP2502" s="47"/>
      <c r="BQ2502" s="47"/>
      <c r="BR2502" s="47"/>
      <c r="BS2502" s="47"/>
      <c r="BT2502" s="47"/>
    </row>
    <row r="2503">
      <c r="A2503" s="24"/>
      <c r="B2503" s="48"/>
      <c r="C2503" s="49"/>
      <c r="D2503" s="24"/>
      <c r="E2503" s="52"/>
      <c r="F2503" s="53"/>
      <c r="G2503" s="48"/>
      <c r="H2503" s="49"/>
      <c r="I2503" s="49"/>
      <c r="J2503" s="48"/>
      <c r="K2503" s="48"/>
      <c r="L2503" s="48"/>
      <c r="M2503" s="48"/>
      <c r="N2503" s="48"/>
      <c r="O2503" s="48"/>
      <c r="P2503" s="48"/>
      <c r="Q2503" s="48"/>
      <c r="R2503" s="48"/>
      <c r="S2503" s="48"/>
      <c r="T2503" s="48"/>
      <c r="U2503" s="48"/>
      <c r="V2503" s="48"/>
      <c r="W2503" s="49"/>
      <c r="X2503" s="49"/>
      <c r="Y2503" s="49"/>
      <c r="Z2503" s="49"/>
      <c r="AA2503" s="49"/>
      <c r="AB2503" s="49"/>
      <c r="AC2503" s="49"/>
      <c r="AD2503" s="49"/>
      <c r="AE2503" s="49"/>
      <c r="AF2503" s="49"/>
      <c r="AG2503" s="49"/>
      <c r="AH2503" s="49"/>
      <c r="AI2503" s="48"/>
      <c r="AJ2503" s="48"/>
      <c r="AK2503" s="24"/>
      <c r="AL2503" s="50"/>
      <c r="AM2503" s="50"/>
      <c r="AN2503" s="50"/>
      <c r="AO2503" s="50"/>
      <c r="AP2503" s="50"/>
      <c r="AQ2503" s="50"/>
      <c r="AR2503" s="50"/>
      <c r="AS2503" s="50"/>
      <c r="AT2503" s="51"/>
      <c r="AU2503" s="51"/>
      <c r="AV2503" s="51"/>
      <c r="AW2503" s="51"/>
      <c r="AX2503" s="50"/>
      <c r="AY2503" s="50"/>
      <c r="AZ2503" s="50"/>
      <c r="BA2503" s="50"/>
      <c r="BB2503" s="51"/>
      <c r="BC2503" s="51"/>
      <c r="BD2503" s="51"/>
      <c r="BE2503" s="51"/>
      <c r="BF2503" s="47"/>
      <c r="BG2503" s="47"/>
      <c r="BH2503" s="47"/>
      <c r="BI2503" s="47"/>
      <c r="BJ2503" s="47"/>
      <c r="BK2503" s="47"/>
      <c r="BL2503" s="47"/>
      <c r="BM2503" s="47"/>
      <c r="BN2503" s="47"/>
      <c r="BO2503" s="47"/>
      <c r="BP2503" s="47"/>
      <c r="BQ2503" s="47"/>
      <c r="BR2503" s="47"/>
      <c r="BS2503" s="47"/>
      <c r="BT2503" s="47"/>
    </row>
    <row r="2504">
      <c r="A2504" s="24"/>
      <c r="B2504" s="48"/>
      <c r="C2504" s="49"/>
      <c r="D2504" s="24"/>
      <c r="E2504" s="52"/>
      <c r="F2504" s="53"/>
      <c r="G2504" s="48"/>
      <c r="H2504" s="49"/>
      <c r="I2504" s="49"/>
      <c r="J2504" s="48"/>
      <c r="K2504" s="48"/>
      <c r="L2504" s="48"/>
      <c r="M2504" s="48"/>
      <c r="N2504" s="48"/>
      <c r="O2504" s="48"/>
      <c r="P2504" s="48"/>
      <c r="Q2504" s="48"/>
      <c r="R2504" s="48"/>
      <c r="S2504" s="48"/>
      <c r="T2504" s="48"/>
      <c r="U2504" s="48"/>
      <c r="V2504" s="48"/>
      <c r="W2504" s="49"/>
      <c r="X2504" s="49"/>
      <c r="Y2504" s="49"/>
      <c r="Z2504" s="49"/>
      <c r="AA2504" s="49"/>
      <c r="AB2504" s="49"/>
      <c r="AC2504" s="49"/>
      <c r="AD2504" s="49"/>
      <c r="AE2504" s="49"/>
      <c r="AF2504" s="49"/>
      <c r="AG2504" s="49"/>
      <c r="AH2504" s="49"/>
      <c r="AI2504" s="48"/>
      <c r="AJ2504" s="48"/>
      <c r="AK2504" s="24"/>
      <c r="AL2504" s="50"/>
      <c r="AM2504" s="50"/>
      <c r="AN2504" s="50"/>
      <c r="AO2504" s="50"/>
      <c r="AP2504" s="50"/>
      <c r="AQ2504" s="50"/>
      <c r="AR2504" s="50"/>
      <c r="AS2504" s="50"/>
      <c r="AT2504" s="51"/>
      <c r="AU2504" s="51"/>
      <c r="AV2504" s="51"/>
      <c r="AW2504" s="51"/>
      <c r="AX2504" s="50"/>
      <c r="AY2504" s="50"/>
      <c r="AZ2504" s="50"/>
      <c r="BA2504" s="50"/>
      <c r="BB2504" s="51"/>
      <c r="BC2504" s="51"/>
      <c r="BD2504" s="51"/>
      <c r="BE2504" s="51"/>
      <c r="BF2504" s="47"/>
      <c r="BG2504" s="47"/>
      <c r="BH2504" s="47"/>
      <c r="BI2504" s="47"/>
      <c r="BJ2504" s="47"/>
      <c r="BK2504" s="47"/>
      <c r="BL2504" s="47"/>
      <c r="BM2504" s="47"/>
      <c r="BN2504" s="47"/>
      <c r="BO2504" s="47"/>
      <c r="BP2504" s="47"/>
      <c r="BQ2504" s="47"/>
      <c r="BR2504" s="47"/>
      <c r="BS2504" s="47"/>
      <c r="BT2504" s="47"/>
    </row>
    <row r="2505">
      <c r="A2505" s="24"/>
      <c r="B2505" s="48"/>
      <c r="C2505" s="49"/>
      <c r="D2505" s="24"/>
      <c r="E2505" s="52"/>
      <c r="F2505" s="53"/>
      <c r="G2505" s="48"/>
      <c r="H2505" s="49"/>
      <c r="I2505" s="49"/>
      <c r="J2505" s="48"/>
      <c r="K2505" s="48"/>
      <c r="L2505" s="48"/>
      <c r="M2505" s="48"/>
      <c r="N2505" s="48"/>
      <c r="O2505" s="48"/>
      <c r="P2505" s="48"/>
      <c r="Q2505" s="48"/>
      <c r="R2505" s="48"/>
      <c r="S2505" s="48"/>
      <c r="T2505" s="48"/>
      <c r="U2505" s="48"/>
      <c r="V2505" s="48"/>
      <c r="W2505" s="49"/>
      <c r="X2505" s="49"/>
      <c r="Y2505" s="49"/>
      <c r="Z2505" s="49"/>
      <c r="AA2505" s="49"/>
      <c r="AB2505" s="49"/>
      <c r="AC2505" s="49"/>
      <c r="AD2505" s="49"/>
      <c r="AE2505" s="49"/>
      <c r="AF2505" s="49"/>
      <c r="AG2505" s="49"/>
      <c r="AH2505" s="49"/>
      <c r="AI2505" s="48"/>
      <c r="AJ2505" s="48"/>
      <c r="AK2505" s="24"/>
      <c r="AL2505" s="50"/>
      <c r="AM2505" s="50"/>
      <c r="AN2505" s="50"/>
      <c r="AO2505" s="50"/>
      <c r="AP2505" s="50"/>
      <c r="AQ2505" s="50"/>
      <c r="AR2505" s="50"/>
      <c r="AS2505" s="50"/>
      <c r="AT2505" s="51"/>
      <c r="AU2505" s="51"/>
      <c r="AV2505" s="51"/>
      <c r="AW2505" s="51"/>
      <c r="AX2505" s="50"/>
      <c r="AY2505" s="50"/>
      <c r="AZ2505" s="50"/>
      <c r="BA2505" s="50"/>
      <c r="BB2505" s="51"/>
      <c r="BC2505" s="51"/>
      <c r="BD2505" s="51"/>
      <c r="BE2505" s="51"/>
      <c r="BF2505" s="47"/>
      <c r="BG2505" s="47"/>
      <c r="BH2505" s="47"/>
      <c r="BI2505" s="47"/>
      <c r="BJ2505" s="47"/>
      <c r="BK2505" s="47"/>
      <c r="BL2505" s="47"/>
      <c r="BM2505" s="47"/>
      <c r="BN2505" s="47"/>
      <c r="BO2505" s="47"/>
      <c r="BP2505" s="47"/>
      <c r="BQ2505" s="47"/>
      <c r="BR2505" s="47"/>
      <c r="BS2505" s="47"/>
      <c r="BT2505" s="47"/>
    </row>
    <row r="2506">
      <c r="A2506" s="24"/>
      <c r="B2506" s="48"/>
      <c r="C2506" s="49"/>
      <c r="D2506" s="24"/>
      <c r="E2506" s="52"/>
      <c r="F2506" s="53"/>
      <c r="G2506" s="48"/>
      <c r="H2506" s="49"/>
      <c r="I2506" s="49"/>
      <c r="J2506" s="48"/>
      <c r="K2506" s="48"/>
      <c r="L2506" s="48"/>
      <c r="M2506" s="48"/>
      <c r="N2506" s="48"/>
      <c r="O2506" s="48"/>
      <c r="P2506" s="48"/>
      <c r="Q2506" s="48"/>
      <c r="R2506" s="48"/>
      <c r="S2506" s="48"/>
      <c r="T2506" s="48"/>
      <c r="U2506" s="48"/>
      <c r="V2506" s="48"/>
      <c r="W2506" s="49"/>
      <c r="X2506" s="49"/>
      <c r="Y2506" s="49"/>
      <c r="Z2506" s="49"/>
      <c r="AA2506" s="49"/>
      <c r="AB2506" s="49"/>
      <c r="AC2506" s="49"/>
      <c r="AD2506" s="49"/>
      <c r="AE2506" s="49"/>
      <c r="AF2506" s="49"/>
      <c r="AG2506" s="49"/>
      <c r="AH2506" s="49"/>
      <c r="AI2506" s="48"/>
      <c r="AJ2506" s="48"/>
      <c r="AK2506" s="24"/>
      <c r="AL2506" s="50"/>
      <c r="AM2506" s="50"/>
      <c r="AN2506" s="50"/>
      <c r="AO2506" s="50"/>
      <c r="AP2506" s="50"/>
      <c r="AQ2506" s="50"/>
      <c r="AR2506" s="50"/>
      <c r="AS2506" s="50"/>
      <c r="AT2506" s="51"/>
      <c r="AU2506" s="51"/>
      <c r="AV2506" s="51"/>
      <c r="AW2506" s="51"/>
      <c r="AX2506" s="50"/>
      <c r="AY2506" s="50"/>
      <c r="AZ2506" s="50"/>
      <c r="BA2506" s="50"/>
      <c r="BB2506" s="51"/>
      <c r="BC2506" s="51"/>
      <c r="BD2506" s="51"/>
      <c r="BE2506" s="51"/>
      <c r="BF2506" s="47"/>
      <c r="BG2506" s="47"/>
      <c r="BH2506" s="47"/>
      <c r="BI2506" s="47"/>
      <c r="BJ2506" s="47"/>
      <c r="BK2506" s="47"/>
      <c r="BL2506" s="47"/>
      <c r="BM2506" s="47"/>
      <c r="BN2506" s="47"/>
      <c r="BO2506" s="47"/>
      <c r="BP2506" s="47"/>
      <c r="BQ2506" s="47"/>
      <c r="BR2506" s="47"/>
      <c r="BS2506" s="47"/>
      <c r="BT2506" s="47"/>
    </row>
    <row r="2507">
      <c r="A2507" s="24"/>
      <c r="B2507" s="48"/>
      <c r="C2507" s="49"/>
      <c r="D2507" s="24"/>
      <c r="E2507" s="52"/>
      <c r="F2507" s="53"/>
      <c r="G2507" s="48"/>
      <c r="H2507" s="49"/>
      <c r="I2507" s="49"/>
      <c r="J2507" s="48"/>
      <c r="K2507" s="48"/>
      <c r="L2507" s="48"/>
      <c r="M2507" s="48"/>
      <c r="N2507" s="48"/>
      <c r="O2507" s="48"/>
      <c r="P2507" s="48"/>
      <c r="Q2507" s="48"/>
      <c r="R2507" s="48"/>
      <c r="S2507" s="48"/>
      <c r="T2507" s="48"/>
      <c r="U2507" s="48"/>
      <c r="V2507" s="48"/>
      <c r="W2507" s="49"/>
      <c r="X2507" s="49"/>
      <c r="Y2507" s="49"/>
      <c r="Z2507" s="49"/>
      <c r="AA2507" s="49"/>
      <c r="AB2507" s="49"/>
      <c r="AC2507" s="49"/>
      <c r="AD2507" s="49"/>
      <c r="AE2507" s="49"/>
      <c r="AF2507" s="49"/>
      <c r="AG2507" s="49"/>
      <c r="AH2507" s="49"/>
      <c r="AI2507" s="48"/>
      <c r="AJ2507" s="48"/>
      <c r="AK2507" s="24"/>
      <c r="AL2507" s="50"/>
      <c r="AM2507" s="50"/>
      <c r="AN2507" s="50"/>
      <c r="AO2507" s="50"/>
      <c r="AP2507" s="50"/>
      <c r="AQ2507" s="50"/>
      <c r="AR2507" s="50"/>
      <c r="AS2507" s="50"/>
      <c r="AT2507" s="51"/>
      <c r="AU2507" s="51"/>
      <c r="AV2507" s="51"/>
      <c r="AW2507" s="51"/>
      <c r="AX2507" s="50"/>
      <c r="AY2507" s="50"/>
      <c r="AZ2507" s="50"/>
      <c r="BA2507" s="50"/>
      <c r="BB2507" s="51"/>
      <c r="BC2507" s="51"/>
      <c r="BD2507" s="51"/>
      <c r="BE2507" s="51"/>
      <c r="BF2507" s="47"/>
      <c r="BG2507" s="47"/>
      <c r="BH2507" s="47"/>
      <c r="BI2507" s="47"/>
      <c r="BJ2507" s="47"/>
      <c r="BK2507" s="47"/>
      <c r="BL2507" s="47"/>
      <c r="BM2507" s="47"/>
      <c r="BN2507" s="47"/>
      <c r="BO2507" s="47"/>
      <c r="BP2507" s="47"/>
      <c r="BQ2507" s="47"/>
      <c r="BR2507" s="47"/>
      <c r="BS2507" s="47"/>
      <c r="BT2507" s="47"/>
    </row>
    <row r="2508">
      <c r="A2508" s="24"/>
      <c r="B2508" s="48"/>
      <c r="C2508" s="49"/>
      <c r="D2508" s="24"/>
      <c r="E2508" s="52"/>
      <c r="F2508" s="53"/>
      <c r="G2508" s="48"/>
      <c r="H2508" s="49"/>
      <c r="I2508" s="49"/>
      <c r="J2508" s="48"/>
      <c r="K2508" s="48"/>
      <c r="L2508" s="48"/>
      <c r="M2508" s="48"/>
      <c r="N2508" s="48"/>
      <c r="O2508" s="48"/>
      <c r="P2508" s="48"/>
      <c r="Q2508" s="48"/>
      <c r="R2508" s="48"/>
      <c r="S2508" s="48"/>
      <c r="T2508" s="48"/>
      <c r="U2508" s="48"/>
      <c r="V2508" s="48"/>
      <c r="W2508" s="49"/>
      <c r="X2508" s="49"/>
      <c r="Y2508" s="49"/>
      <c r="Z2508" s="49"/>
      <c r="AA2508" s="49"/>
      <c r="AB2508" s="49"/>
      <c r="AC2508" s="49"/>
      <c r="AD2508" s="49"/>
      <c r="AE2508" s="49"/>
      <c r="AF2508" s="49"/>
      <c r="AG2508" s="49"/>
      <c r="AH2508" s="49"/>
      <c r="AI2508" s="48"/>
      <c r="AJ2508" s="48"/>
      <c r="AK2508" s="24"/>
      <c r="AL2508" s="50"/>
      <c r="AM2508" s="50"/>
      <c r="AN2508" s="50"/>
      <c r="AO2508" s="50"/>
      <c r="AP2508" s="50"/>
      <c r="AQ2508" s="50"/>
      <c r="AR2508" s="50"/>
      <c r="AS2508" s="50"/>
      <c r="AT2508" s="51"/>
      <c r="AU2508" s="51"/>
      <c r="AV2508" s="51"/>
      <c r="AW2508" s="51"/>
      <c r="AX2508" s="50"/>
      <c r="AY2508" s="50"/>
      <c r="AZ2508" s="50"/>
      <c r="BA2508" s="50"/>
      <c r="BB2508" s="51"/>
      <c r="BC2508" s="51"/>
      <c r="BD2508" s="51"/>
      <c r="BE2508" s="51"/>
      <c r="BF2508" s="47"/>
      <c r="BG2508" s="47"/>
      <c r="BH2508" s="47"/>
      <c r="BI2508" s="47"/>
      <c r="BJ2508" s="47"/>
      <c r="BK2508" s="47"/>
      <c r="BL2508" s="47"/>
      <c r="BM2508" s="47"/>
      <c r="BN2508" s="47"/>
      <c r="BO2508" s="47"/>
      <c r="BP2508" s="47"/>
      <c r="BQ2508" s="47"/>
      <c r="BR2508" s="47"/>
      <c r="BS2508" s="47"/>
      <c r="BT2508" s="47"/>
    </row>
    <row r="2509">
      <c r="A2509" s="24"/>
      <c r="B2509" s="48"/>
      <c r="C2509" s="49"/>
      <c r="D2509" s="24"/>
      <c r="E2509" s="52"/>
      <c r="F2509" s="53"/>
      <c r="G2509" s="48"/>
      <c r="H2509" s="49"/>
      <c r="I2509" s="49"/>
      <c r="J2509" s="48"/>
      <c r="K2509" s="48"/>
      <c r="L2509" s="48"/>
      <c r="M2509" s="48"/>
      <c r="N2509" s="48"/>
      <c r="O2509" s="48"/>
      <c r="P2509" s="48"/>
      <c r="Q2509" s="48"/>
      <c r="R2509" s="48"/>
      <c r="S2509" s="48"/>
      <c r="T2509" s="48"/>
      <c r="U2509" s="48"/>
      <c r="V2509" s="48"/>
      <c r="W2509" s="49"/>
      <c r="X2509" s="49"/>
      <c r="Y2509" s="49"/>
      <c r="Z2509" s="49"/>
      <c r="AA2509" s="49"/>
      <c r="AB2509" s="49"/>
      <c r="AC2509" s="49"/>
      <c r="AD2509" s="49"/>
      <c r="AE2509" s="49"/>
      <c r="AF2509" s="49"/>
      <c r="AG2509" s="49"/>
      <c r="AH2509" s="49"/>
      <c r="AI2509" s="48"/>
      <c r="AJ2509" s="48"/>
      <c r="AK2509" s="24"/>
      <c r="AL2509" s="50"/>
      <c r="AM2509" s="50"/>
      <c r="AN2509" s="50"/>
      <c r="AO2509" s="50"/>
      <c r="AP2509" s="50"/>
      <c r="AQ2509" s="50"/>
      <c r="AR2509" s="50"/>
      <c r="AS2509" s="50"/>
      <c r="AT2509" s="51"/>
      <c r="AU2509" s="51"/>
      <c r="AV2509" s="51"/>
      <c r="AW2509" s="51"/>
      <c r="AX2509" s="50"/>
      <c r="AY2509" s="50"/>
      <c r="AZ2509" s="50"/>
      <c r="BA2509" s="50"/>
      <c r="BB2509" s="51"/>
      <c r="BC2509" s="51"/>
      <c r="BD2509" s="51"/>
      <c r="BE2509" s="51"/>
      <c r="BF2509" s="47"/>
      <c r="BG2509" s="47"/>
      <c r="BH2509" s="47"/>
      <c r="BI2509" s="47"/>
      <c r="BJ2509" s="47"/>
      <c r="BK2509" s="47"/>
      <c r="BL2509" s="47"/>
      <c r="BM2509" s="47"/>
      <c r="BN2509" s="47"/>
      <c r="BO2509" s="47"/>
      <c r="BP2509" s="47"/>
      <c r="BQ2509" s="47"/>
      <c r="BR2509" s="47"/>
      <c r="BS2509" s="47"/>
      <c r="BT2509" s="47"/>
    </row>
    <row r="2510">
      <c r="A2510" s="24"/>
      <c r="B2510" s="48"/>
      <c r="C2510" s="49"/>
      <c r="D2510" s="24"/>
      <c r="E2510" s="52"/>
      <c r="F2510" s="53"/>
      <c r="G2510" s="48"/>
      <c r="H2510" s="49"/>
      <c r="I2510" s="49"/>
      <c r="J2510" s="48"/>
      <c r="K2510" s="48"/>
      <c r="L2510" s="48"/>
      <c r="M2510" s="48"/>
      <c r="N2510" s="48"/>
      <c r="O2510" s="48"/>
      <c r="P2510" s="48"/>
      <c r="Q2510" s="48"/>
      <c r="R2510" s="48"/>
      <c r="S2510" s="48"/>
      <c r="T2510" s="48"/>
      <c r="U2510" s="48"/>
      <c r="V2510" s="48"/>
      <c r="W2510" s="49"/>
      <c r="X2510" s="49"/>
      <c r="Y2510" s="49"/>
      <c r="Z2510" s="49"/>
      <c r="AA2510" s="49"/>
      <c r="AB2510" s="49"/>
      <c r="AC2510" s="49"/>
      <c r="AD2510" s="49"/>
      <c r="AE2510" s="49"/>
      <c r="AF2510" s="49"/>
      <c r="AG2510" s="49"/>
      <c r="AH2510" s="49"/>
      <c r="AI2510" s="48"/>
      <c r="AJ2510" s="48"/>
      <c r="AK2510" s="24"/>
      <c r="AL2510" s="50"/>
      <c r="AM2510" s="50"/>
      <c r="AN2510" s="50"/>
      <c r="AO2510" s="50"/>
      <c r="AP2510" s="50"/>
      <c r="AQ2510" s="50"/>
      <c r="AR2510" s="50"/>
      <c r="AS2510" s="50"/>
      <c r="AT2510" s="51"/>
      <c r="AU2510" s="51"/>
      <c r="AV2510" s="51"/>
      <c r="AW2510" s="51"/>
      <c r="AX2510" s="50"/>
      <c r="AY2510" s="50"/>
      <c r="AZ2510" s="50"/>
      <c r="BA2510" s="50"/>
      <c r="BB2510" s="51"/>
      <c r="BC2510" s="51"/>
      <c r="BD2510" s="51"/>
      <c r="BE2510" s="51"/>
      <c r="BF2510" s="47"/>
      <c r="BG2510" s="47"/>
      <c r="BH2510" s="47"/>
      <c r="BI2510" s="47"/>
      <c r="BJ2510" s="47"/>
      <c r="BK2510" s="47"/>
      <c r="BL2510" s="47"/>
      <c r="BM2510" s="47"/>
      <c r="BN2510" s="47"/>
      <c r="BO2510" s="47"/>
      <c r="BP2510" s="47"/>
      <c r="BQ2510" s="47"/>
      <c r="BR2510" s="47"/>
      <c r="BS2510" s="47"/>
      <c r="BT2510" s="47"/>
    </row>
    <row r="2511">
      <c r="A2511" s="24"/>
      <c r="B2511" s="48"/>
      <c r="C2511" s="49"/>
      <c r="D2511" s="24"/>
      <c r="E2511" s="52"/>
      <c r="F2511" s="53"/>
      <c r="G2511" s="48"/>
      <c r="H2511" s="49"/>
      <c r="I2511" s="49"/>
      <c r="J2511" s="48"/>
      <c r="K2511" s="48"/>
      <c r="L2511" s="48"/>
      <c r="M2511" s="48"/>
      <c r="N2511" s="48"/>
      <c r="O2511" s="48"/>
      <c r="P2511" s="48"/>
      <c r="Q2511" s="48"/>
      <c r="R2511" s="48"/>
      <c r="S2511" s="48"/>
      <c r="T2511" s="48"/>
      <c r="U2511" s="48"/>
      <c r="V2511" s="48"/>
      <c r="W2511" s="49"/>
      <c r="X2511" s="49"/>
      <c r="Y2511" s="49"/>
      <c r="Z2511" s="49"/>
      <c r="AA2511" s="49"/>
      <c r="AB2511" s="49"/>
      <c r="AC2511" s="49"/>
      <c r="AD2511" s="49"/>
      <c r="AE2511" s="49"/>
      <c r="AF2511" s="49"/>
      <c r="AG2511" s="49"/>
      <c r="AH2511" s="49"/>
      <c r="AI2511" s="48"/>
      <c r="AJ2511" s="48"/>
      <c r="AK2511" s="24"/>
      <c r="AL2511" s="50"/>
      <c r="AM2511" s="50"/>
      <c r="AN2511" s="50"/>
      <c r="AO2511" s="50"/>
      <c r="AP2511" s="50"/>
      <c r="AQ2511" s="50"/>
      <c r="AR2511" s="50"/>
      <c r="AS2511" s="50"/>
      <c r="AT2511" s="51"/>
      <c r="AU2511" s="51"/>
      <c r="AV2511" s="51"/>
      <c r="AW2511" s="51"/>
      <c r="AX2511" s="50"/>
      <c r="AY2511" s="50"/>
      <c r="AZ2511" s="50"/>
      <c r="BA2511" s="50"/>
      <c r="BB2511" s="51"/>
      <c r="BC2511" s="51"/>
      <c r="BD2511" s="51"/>
      <c r="BE2511" s="51"/>
      <c r="BF2511" s="47"/>
      <c r="BG2511" s="47"/>
      <c r="BH2511" s="47"/>
      <c r="BI2511" s="47"/>
      <c r="BJ2511" s="47"/>
      <c r="BK2511" s="47"/>
      <c r="BL2511" s="47"/>
      <c r="BM2511" s="47"/>
      <c r="BN2511" s="47"/>
      <c r="BO2511" s="47"/>
      <c r="BP2511" s="47"/>
      <c r="BQ2511" s="47"/>
      <c r="BR2511" s="47"/>
      <c r="BS2511" s="47"/>
      <c r="BT2511" s="47"/>
    </row>
    <row r="2512">
      <c r="A2512" s="24"/>
      <c r="B2512" s="48"/>
      <c r="C2512" s="49"/>
      <c r="D2512" s="24"/>
      <c r="E2512" s="52"/>
      <c r="F2512" s="53"/>
      <c r="G2512" s="48"/>
      <c r="H2512" s="49"/>
      <c r="I2512" s="49"/>
      <c r="J2512" s="48"/>
      <c r="K2512" s="48"/>
      <c r="L2512" s="48"/>
      <c r="M2512" s="48"/>
      <c r="N2512" s="48"/>
      <c r="O2512" s="48"/>
      <c r="P2512" s="48"/>
      <c r="Q2512" s="48"/>
      <c r="R2512" s="48"/>
      <c r="S2512" s="48"/>
      <c r="T2512" s="48"/>
      <c r="U2512" s="48"/>
      <c r="V2512" s="48"/>
      <c r="W2512" s="49"/>
      <c r="X2512" s="49"/>
      <c r="Y2512" s="49"/>
      <c r="Z2512" s="49"/>
      <c r="AA2512" s="49"/>
      <c r="AB2512" s="49"/>
      <c r="AC2512" s="49"/>
      <c r="AD2512" s="49"/>
      <c r="AE2512" s="49"/>
      <c r="AF2512" s="49"/>
      <c r="AG2512" s="49"/>
      <c r="AH2512" s="49"/>
      <c r="AI2512" s="48"/>
      <c r="AJ2512" s="48"/>
      <c r="AK2512" s="24"/>
      <c r="AL2512" s="50"/>
      <c r="AM2512" s="50"/>
      <c r="AN2512" s="50"/>
      <c r="AO2512" s="50"/>
      <c r="AP2512" s="50"/>
      <c r="AQ2512" s="50"/>
      <c r="AR2512" s="50"/>
      <c r="AS2512" s="50"/>
      <c r="AT2512" s="51"/>
      <c r="AU2512" s="51"/>
      <c r="AV2512" s="51"/>
      <c r="AW2512" s="51"/>
      <c r="AX2512" s="50"/>
      <c r="AY2512" s="50"/>
      <c r="AZ2512" s="50"/>
      <c r="BA2512" s="50"/>
      <c r="BB2512" s="51"/>
      <c r="BC2512" s="51"/>
      <c r="BD2512" s="51"/>
      <c r="BE2512" s="51"/>
      <c r="BF2512" s="47"/>
      <c r="BG2512" s="47"/>
      <c r="BH2512" s="47"/>
      <c r="BI2512" s="47"/>
      <c r="BJ2512" s="47"/>
      <c r="BK2512" s="47"/>
      <c r="BL2512" s="47"/>
      <c r="BM2512" s="47"/>
      <c r="BN2512" s="47"/>
      <c r="BO2512" s="47"/>
      <c r="BP2512" s="47"/>
      <c r="BQ2512" s="47"/>
      <c r="BR2512" s="47"/>
      <c r="BS2512" s="47"/>
      <c r="BT2512" s="47"/>
    </row>
    <row r="2513">
      <c r="A2513" s="24"/>
      <c r="B2513" s="48"/>
      <c r="C2513" s="49"/>
      <c r="D2513" s="24"/>
      <c r="E2513" s="52"/>
      <c r="F2513" s="53"/>
      <c r="G2513" s="48"/>
      <c r="H2513" s="49"/>
      <c r="I2513" s="49"/>
      <c r="J2513" s="48"/>
      <c r="K2513" s="48"/>
      <c r="L2513" s="48"/>
      <c r="M2513" s="48"/>
      <c r="N2513" s="48"/>
      <c r="O2513" s="48"/>
      <c r="P2513" s="48"/>
      <c r="Q2513" s="48"/>
      <c r="R2513" s="48"/>
      <c r="S2513" s="48"/>
      <c r="T2513" s="48"/>
      <c r="U2513" s="48"/>
      <c r="V2513" s="48"/>
      <c r="W2513" s="49"/>
      <c r="X2513" s="49"/>
      <c r="Y2513" s="49"/>
      <c r="Z2513" s="49"/>
      <c r="AA2513" s="49"/>
      <c r="AB2513" s="49"/>
      <c r="AC2513" s="49"/>
      <c r="AD2513" s="49"/>
      <c r="AE2513" s="49"/>
      <c r="AF2513" s="49"/>
      <c r="AG2513" s="49"/>
      <c r="AH2513" s="49"/>
      <c r="AI2513" s="48"/>
      <c r="AJ2513" s="48"/>
      <c r="AK2513" s="24"/>
      <c r="AL2513" s="50"/>
      <c r="AM2513" s="50"/>
      <c r="AN2513" s="50"/>
      <c r="AO2513" s="50"/>
      <c r="AP2513" s="50"/>
      <c r="AQ2513" s="50"/>
      <c r="AR2513" s="50"/>
      <c r="AS2513" s="50"/>
      <c r="AT2513" s="51"/>
      <c r="AU2513" s="51"/>
      <c r="AV2513" s="51"/>
      <c r="AW2513" s="51"/>
      <c r="AX2513" s="50"/>
      <c r="AY2513" s="50"/>
      <c r="AZ2513" s="50"/>
      <c r="BA2513" s="50"/>
      <c r="BB2513" s="51"/>
      <c r="BC2513" s="51"/>
      <c r="BD2513" s="51"/>
      <c r="BE2513" s="51"/>
      <c r="BF2513" s="47"/>
      <c r="BG2513" s="47"/>
      <c r="BH2513" s="47"/>
      <c r="BI2513" s="47"/>
      <c r="BJ2513" s="47"/>
      <c r="BK2513" s="47"/>
      <c r="BL2513" s="47"/>
      <c r="BM2513" s="47"/>
      <c r="BN2513" s="47"/>
      <c r="BO2513" s="47"/>
      <c r="BP2513" s="47"/>
      <c r="BQ2513" s="47"/>
      <c r="BR2513" s="47"/>
      <c r="BS2513" s="47"/>
      <c r="BT2513" s="47"/>
    </row>
    <row r="2514">
      <c r="A2514" s="24"/>
      <c r="B2514" s="48"/>
      <c r="C2514" s="49"/>
      <c r="D2514" s="24"/>
      <c r="E2514" s="52"/>
      <c r="F2514" s="53"/>
      <c r="G2514" s="48"/>
      <c r="H2514" s="49"/>
      <c r="I2514" s="49"/>
      <c r="J2514" s="48"/>
      <c r="K2514" s="48"/>
      <c r="L2514" s="48"/>
      <c r="M2514" s="48"/>
      <c r="N2514" s="48"/>
      <c r="O2514" s="48"/>
      <c r="P2514" s="48"/>
      <c r="Q2514" s="48"/>
      <c r="R2514" s="48"/>
      <c r="S2514" s="48"/>
      <c r="T2514" s="48"/>
      <c r="U2514" s="48"/>
      <c r="V2514" s="48"/>
      <c r="W2514" s="49"/>
      <c r="X2514" s="49"/>
      <c r="Y2514" s="49"/>
      <c r="Z2514" s="49"/>
      <c r="AA2514" s="49"/>
      <c r="AB2514" s="49"/>
      <c r="AC2514" s="49"/>
      <c r="AD2514" s="49"/>
      <c r="AE2514" s="49"/>
      <c r="AF2514" s="49"/>
      <c r="AG2514" s="49"/>
      <c r="AH2514" s="49"/>
      <c r="AI2514" s="48"/>
      <c r="AJ2514" s="48"/>
      <c r="AK2514" s="24"/>
      <c r="AL2514" s="50"/>
      <c r="AM2514" s="50"/>
      <c r="AN2514" s="50"/>
      <c r="AO2514" s="50"/>
      <c r="AP2514" s="50"/>
      <c r="AQ2514" s="50"/>
      <c r="AR2514" s="50"/>
      <c r="AS2514" s="50"/>
      <c r="AT2514" s="51"/>
      <c r="AU2514" s="51"/>
      <c r="AV2514" s="51"/>
      <c r="AW2514" s="51"/>
      <c r="AX2514" s="50"/>
      <c r="AY2514" s="50"/>
      <c r="AZ2514" s="50"/>
      <c r="BA2514" s="50"/>
      <c r="BB2514" s="51"/>
      <c r="BC2514" s="51"/>
      <c r="BD2514" s="51"/>
      <c r="BE2514" s="51"/>
      <c r="BF2514" s="47"/>
      <c r="BG2514" s="47"/>
      <c r="BH2514" s="47"/>
      <c r="BI2514" s="47"/>
      <c r="BJ2514" s="47"/>
      <c r="BK2514" s="47"/>
      <c r="BL2514" s="47"/>
      <c r="BM2514" s="47"/>
      <c r="BN2514" s="47"/>
      <c r="BO2514" s="47"/>
      <c r="BP2514" s="47"/>
      <c r="BQ2514" s="47"/>
      <c r="BR2514" s="47"/>
      <c r="BS2514" s="47"/>
      <c r="BT2514" s="47"/>
    </row>
    <row r="2515">
      <c r="A2515" s="24"/>
      <c r="B2515" s="48"/>
      <c r="C2515" s="49"/>
      <c r="D2515" s="24"/>
      <c r="E2515" s="52"/>
      <c r="F2515" s="53"/>
      <c r="G2515" s="48"/>
      <c r="H2515" s="49"/>
      <c r="I2515" s="49"/>
      <c r="J2515" s="48"/>
      <c r="K2515" s="48"/>
      <c r="L2515" s="48"/>
      <c r="M2515" s="48"/>
      <c r="N2515" s="48"/>
      <c r="O2515" s="48"/>
      <c r="P2515" s="48"/>
      <c r="Q2515" s="48"/>
      <c r="R2515" s="48"/>
      <c r="S2515" s="48"/>
      <c r="T2515" s="48"/>
      <c r="U2515" s="48"/>
      <c r="V2515" s="48"/>
      <c r="W2515" s="49"/>
      <c r="X2515" s="49"/>
      <c r="Y2515" s="49"/>
      <c r="Z2515" s="49"/>
      <c r="AA2515" s="49"/>
      <c r="AB2515" s="49"/>
      <c r="AC2515" s="49"/>
      <c r="AD2515" s="49"/>
      <c r="AE2515" s="49"/>
      <c r="AF2515" s="49"/>
      <c r="AG2515" s="49"/>
      <c r="AH2515" s="49"/>
      <c r="AI2515" s="48"/>
      <c r="AJ2515" s="48"/>
      <c r="AK2515" s="24"/>
      <c r="AL2515" s="50"/>
      <c r="AM2515" s="50"/>
      <c r="AN2515" s="50"/>
      <c r="AO2515" s="50"/>
      <c r="AP2515" s="50"/>
      <c r="AQ2515" s="50"/>
      <c r="AR2515" s="50"/>
      <c r="AS2515" s="50"/>
      <c r="AT2515" s="51"/>
      <c r="AU2515" s="51"/>
      <c r="AV2515" s="51"/>
      <c r="AW2515" s="51"/>
      <c r="AX2515" s="50"/>
      <c r="AY2515" s="50"/>
      <c r="AZ2515" s="50"/>
      <c r="BA2515" s="50"/>
      <c r="BB2515" s="51"/>
      <c r="BC2515" s="51"/>
      <c r="BD2515" s="51"/>
      <c r="BE2515" s="51"/>
      <c r="BF2515" s="47"/>
      <c r="BG2515" s="47"/>
      <c r="BH2515" s="47"/>
      <c r="BI2515" s="47"/>
      <c r="BJ2515" s="47"/>
      <c r="BK2515" s="47"/>
      <c r="BL2515" s="47"/>
      <c r="BM2515" s="47"/>
      <c r="BN2515" s="47"/>
      <c r="BO2515" s="47"/>
      <c r="BP2515" s="47"/>
      <c r="BQ2515" s="47"/>
      <c r="BR2515" s="47"/>
      <c r="BS2515" s="47"/>
      <c r="BT2515" s="47"/>
    </row>
    <row r="2516">
      <c r="A2516" s="24"/>
      <c r="B2516" s="48"/>
      <c r="C2516" s="49"/>
      <c r="D2516" s="24"/>
      <c r="E2516" s="52"/>
      <c r="F2516" s="53"/>
      <c r="G2516" s="48"/>
      <c r="H2516" s="49"/>
      <c r="I2516" s="49"/>
      <c r="J2516" s="48"/>
      <c r="K2516" s="48"/>
      <c r="L2516" s="48"/>
      <c r="M2516" s="48"/>
      <c r="N2516" s="48"/>
      <c r="O2516" s="48"/>
      <c r="P2516" s="48"/>
      <c r="Q2516" s="48"/>
      <c r="R2516" s="48"/>
      <c r="S2516" s="48"/>
      <c r="T2516" s="48"/>
      <c r="U2516" s="48"/>
      <c r="V2516" s="48"/>
      <c r="W2516" s="49"/>
      <c r="X2516" s="49"/>
      <c r="Y2516" s="49"/>
      <c r="Z2516" s="49"/>
      <c r="AA2516" s="49"/>
      <c r="AB2516" s="49"/>
      <c r="AC2516" s="49"/>
      <c r="AD2516" s="49"/>
      <c r="AE2516" s="49"/>
      <c r="AF2516" s="49"/>
      <c r="AG2516" s="49"/>
      <c r="AH2516" s="49"/>
      <c r="AI2516" s="48"/>
      <c r="AJ2516" s="48"/>
      <c r="AK2516" s="24"/>
      <c r="AL2516" s="50"/>
      <c r="AM2516" s="50"/>
      <c r="AN2516" s="50"/>
      <c r="AO2516" s="50"/>
      <c r="AP2516" s="50"/>
      <c r="AQ2516" s="50"/>
      <c r="AR2516" s="50"/>
      <c r="AS2516" s="50"/>
      <c r="AT2516" s="51"/>
      <c r="AU2516" s="51"/>
      <c r="AV2516" s="51"/>
      <c r="AW2516" s="51"/>
      <c r="AX2516" s="50"/>
      <c r="AY2516" s="50"/>
      <c r="AZ2516" s="50"/>
      <c r="BA2516" s="50"/>
      <c r="BB2516" s="51"/>
      <c r="BC2516" s="51"/>
      <c r="BD2516" s="51"/>
      <c r="BE2516" s="51"/>
      <c r="BF2516" s="47"/>
      <c r="BG2516" s="47"/>
      <c r="BH2516" s="47"/>
      <c r="BI2516" s="47"/>
      <c r="BJ2516" s="47"/>
      <c r="BK2516" s="47"/>
      <c r="BL2516" s="47"/>
      <c r="BM2516" s="47"/>
      <c r="BN2516" s="47"/>
      <c r="BO2516" s="47"/>
      <c r="BP2516" s="47"/>
      <c r="BQ2516" s="47"/>
      <c r="BR2516" s="47"/>
      <c r="BS2516" s="47"/>
      <c r="BT2516" s="47"/>
    </row>
    <row r="2517">
      <c r="A2517" s="24"/>
      <c r="B2517" s="48"/>
      <c r="C2517" s="49"/>
      <c r="D2517" s="24"/>
      <c r="E2517" s="52"/>
      <c r="F2517" s="53"/>
      <c r="G2517" s="48"/>
      <c r="H2517" s="49"/>
      <c r="I2517" s="49"/>
      <c r="J2517" s="48"/>
      <c r="K2517" s="48"/>
      <c r="L2517" s="48"/>
      <c r="M2517" s="48"/>
      <c r="N2517" s="48"/>
      <c r="O2517" s="48"/>
      <c r="P2517" s="48"/>
      <c r="Q2517" s="48"/>
      <c r="R2517" s="48"/>
      <c r="S2517" s="48"/>
      <c r="T2517" s="48"/>
      <c r="U2517" s="48"/>
      <c r="V2517" s="48"/>
      <c r="W2517" s="49"/>
      <c r="X2517" s="49"/>
      <c r="Y2517" s="49"/>
      <c r="Z2517" s="49"/>
      <c r="AA2517" s="49"/>
      <c r="AB2517" s="49"/>
      <c r="AC2517" s="49"/>
      <c r="AD2517" s="49"/>
      <c r="AE2517" s="49"/>
      <c r="AF2517" s="49"/>
      <c r="AG2517" s="49"/>
      <c r="AH2517" s="49"/>
      <c r="AI2517" s="48"/>
      <c r="AJ2517" s="48"/>
      <c r="AK2517" s="24"/>
      <c r="AL2517" s="50"/>
      <c r="AM2517" s="50"/>
      <c r="AN2517" s="50"/>
      <c r="AO2517" s="50"/>
      <c r="AP2517" s="50"/>
      <c r="AQ2517" s="50"/>
      <c r="AR2517" s="50"/>
      <c r="AS2517" s="50"/>
      <c r="AT2517" s="51"/>
      <c r="AU2517" s="51"/>
      <c r="AV2517" s="51"/>
      <c r="AW2517" s="51"/>
      <c r="AX2517" s="50"/>
      <c r="AY2517" s="50"/>
      <c r="AZ2517" s="50"/>
      <c r="BA2517" s="50"/>
      <c r="BB2517" s="51"/>
      <c r="BC2517" s="51"/>
      <c r="BD2517" s="51"/>
      <c r="BE2517" s="51"/>
      <c r="BF2517" s="47"/>
      <c r="BG2517" s="47"/>
      <c r="BH2517" s="47"/>
      <c r="BI2517" s="47"/>
      <c r="BJ2517" s="47"/>
      <c r="BK2517" s="47"/>
      <c r="BL2517" s="47"/>
      <c r="BM2517" s="47"/>
      <c r="BN2517" s="47"/>
      <c r="BO2517" s="47"/>
      <c r="BP2517" s="47"/>
      <c r="BQ2517" s="47"/>
      <c r="BR2517" s="47"/>
      <c r="BS2517" s="47"/>
      <c r="BT2517" s="47"/>
    </row>
    <row r="2518">
      <c r="A2518" s="24"/>
      <c r="B2518" s="48"/>
      <c r="C2518" s="49"/>
      <c r="D2518" s="24"/>
      <c r="E2518" s="52"/>
      <c r="F2518" s="53"/>
      <c r="G2518" s="48"/>
      <c r="H2518" s="49"/>
      <c r="I2518" s="49"/>
      <c r="J2518" s="48"/>
      <c r="K2518" s="48"/>
      <c r="L2518" s="48"/>
      <c r="M2518" s="48"/>
      <c r="N2518" s="48"/>
      <c r="O2518" s="48"/>
      <c r="P2518" s="48"/>
      <c r="Q2518" s="48"/>
      <c r="R2518" s="48"/>
      <c r="S2518" s="48"/>
      <c r="T2518" s="48"/>
      <c r="U2518" s="48"/>
      <c r="V2518" s="48"/>
      <c r="W2518" s="49"/>
      <c r="X2518" s="49"/>
      <c r="Y2518" s="49"/>
      <c r="Z2518" s="49"/>
      <c r="AA2518" s="49"/>
      <c r="AB2518" s="49"/>
      <c r="AC2518" s="49"/>
      <c r="AD2518" s="49"/>
      <c r="AE2518" s="49"/>
      <c r="AF2518" s="49"/>
      <c r="AG2518" s="49"/>
      <c r="AH2518" s="49"/>
      <c r="AI2518" s="48"/>
      <c r="AJ2518" s="48"/>
      <c r="AK2518" s="24"/>
      <c r="AL2518" s="50"/>
      <c r="AM2518" s="50"/>
      <c r="AN2518" s="50"/>
      <c r="AO2518" s="50"/>
      <c r="AP2518" s="50"/>
      <c r="AQ2518" s="50"/>
      <c r="AR2518" s="50"/>
      <c r="AS2518" s="50"/>
      <c r="AT2518" s="51"/>
      <c r="AU2518" s="51"/>
      <c r="AV2518" s="51"/>
      <c r="AW2518" s="51"/>
      <c r="AX2518" s="50"/>
      <c r="AY2518" s="50"/>
      <c r="AZ2518" s="50"/>
      <c r="BA2518" s="50"/>
      <c r="BB2518" s="51"/>
      <c r="BC2518" s="51"/>
      <c r="BD2518" s="51"/>
      <c r="BE2518" s="51"/>
      <c r="BF2518" s="47"/>
      <c r="BG2518" s="47"/>
      <c r="BH2518" s="47"/>
      <c r="BI2518" s="47"/>
      <c r="BJ2518" s="47"/>
      <c r="BK2518" s="47"/>
      <c r="BL2518" s="47"/>
      <c r="BM2518" s="47"/>
      <c r="BN2518" s="47"/>
      <c r="BO2518" s="47"/>
      <c r="BP2518" s="47"/>
      <c r="BQ2518" s="47"/>
      <c r="BR2518" s="47"/>
      <c r="BS2518" s="47"/>
      <c r="BT2518" s="47"/>
    </row>
    <row r="2519">
      <c r="A2519" s="24"/>
      <c r="B2519" s="48"/>
      <c r="C2519" s="49"/>
      <c r="D2519" s="24"/>
      <c r="E2519" s="52"/>
      <c r="F2519" s="53"/>
      <c r="G2519" s="48"/>
      <c r="H2519" s="49"/>
      <c r="I2519" s="49"/>
      <c r="J2519" s="48"/>
      <c r="K2519" s="48"/>
      <c r="L2519" s="48"/>
      <c r="M2519" s="48"/>
      <c r="N2519" s="48"/>
      <c r="O2519" s="48"/>
      <c r="P2519" s="48"/>
      <c r="Q2519" s="48"/>
      <c r="R2519" s="48"/>
      <c r="S2519" s="48"/>
      <c r="T2519" s="48"/>
      <c r="U2519" s="48"/>
      <c r="V2519" s="48"/>
      <c r="W2519" s="49"/>
      <c r="X2519" s="49"/>
      <c r="Y2519" s="49"/>
      <c r="Z2519" s="49"/>
      <c r="AA2519" s="49"/>
      <c r="AB2519" s="49"/>
      <c r="AC2519" s="49"/>
      <c r="AD2519" s="49"/>
      <c r="AE2519" s="49"/>
      <c r="AF2519" s="49"/>
      <c r="AG2519" s="49"/>
      <c r="AH2519" s="49"/>
      <c r="AI2519" s="48"/>
      <c r="AJ2519" s="48"/>
      <c r="AK2519" s="24"/>
      <c r="AL2519" s="50"/>
      <c r="AM2519" s="50"/>
      <c r="AN2519" s="50"/>
      <c r="AO2519" s="50"/>
      <c r="AP2519" s="50"/>
      <c r="AQ2519" s="50"/>
      <c r="AR2519" s="50"/>
      <c r="AS2519" s="50"/>
      <c r="AT2519" s="51"/>
      <c r="AU2519" s="51"/>
      <c r="AV2519" s="51"/>
      <c r="AW2519" s="51"/>
      <c r="AX2519" s="50"/>
      <c r="AY2519" s="50"/>
      <c r="AZ2519" s="50"/>
      <c r="BA2519" s="50"/>
      <c r="BB2519" s="51"/>
      <c r="BC2519" s="51"/>
      <c r="BD2519" s="51"/>
      <c r="BE2519" s="51"/>
      <c r="BF2519" s="47"/>
      <c r="BG2519" s="47"/>
      <c r="BH2519" s="47"/>
      <c r="BI2519" s="47"/>
      <c r="BJ2519" s="47"/>
      <c r="BK2519" s="47"/>
      <c r="BL2519" s="47"/>
      <c r="BM2519" s="47"/>
      <c r="BN2519" s="47"/>
      <c r="BO2519" s="47"/>
      <c r="BP2519" s="47"/>
      <c r="BQ2519" s="47"/>
      <c r="BR2519" s="47"/>
      <c r="BS2519" s="47"/>
      <c r="BT2519" s="47"/>
    </row>
    <row r="2520">
      <c r="A2520" s="24"/>
      <c r="B2520" s="48"/>
      <c r="C2520" s="49"/>
      <c r="D2520" s="24"/>
      <c r="E2520" s="52"/>
      <c r="F2520" s="53"/>
      <c r="G2520" s="48"/>
      <c r="H2520" s="49"/>
      <c r="I2520" s="49"/>
      <c r="J2520" s="48"/>
      <c r="K2520" s="48"/>
      <c r="L2520" s="48"/>
      <c r="M2520" s="48"/>
      <c r="N2520" s="48"/>
      <c r="O2520" s="48"/>
      <c r="P2520" s="48"/>
      <c r="Q2520" s="48"/>
      <c r="R2520" s="48"/>
      <c r="S2520" s="48"/>
      <c r="T2520" s="48"/>
      <c r="U2520" s="48"/>
      <c r="V2520" s="48"/>
      <c r="W2520" s="49"/>
      <c r="X2520" s="49"/>
      <c r="Y2520" s="49"/>
      <c r="Z2520" s="49"/>
      <c r="AA2520" s="49"/>
      <c r="AB2520" s="49"/>
      <c r="AC2520" s="49"/>
      <c r="AD2520" s="49"/>
      <c r="AE2520" s="49"/>
      <c r="AF2520" s="49"/>
      <c r="AG2520" s="49"/>
      <c r="AH2520" s="49"/>
      <c r="AI2520" s="48"/>
      <c r="AJ2520" s="48"/>
      <c r="AK2520" s="24"/>
      <c r="AL2520" s="50"/>
      <c r="AM2520" s="50"/>
      <c r="AN2520" s="50"/>
      <c r="AO2520" s="50"/>
      <c r="AP2520" s="50"/>
      <c r="AQ2520" s="50"/>
      <c r="AR2520" s="50"/>
      <c r="AS2520" s="50"/>
      <c r="AT2520" s="51"/>
      <c r="AU2520" s="51"/>
      <c r="AV2520" s="51"/>
      <c r="AW2520" s="51"/>
      <c r="AX2520" s="50"/>
      <c r="AY2520" s="50"/>
      <c r="AZ2520" s="50"/>
      <c r="BA2520" s="50"/>
      <c r="BB2520" s="51"/>
      <c r="BC2520" s="51"/>
      <c r="BD2520" s="51"/>
      <c r="BE2520" s="51"/>
      <c r="BF2520" s="47"/>
      <c r="BG2520" s="47"/>
      <c r="BH2520" s="47"/>
      <c r="BI2520" s="47"/>
      <c r="BJ2520" s="47"/>
      <c r="BK2520" s="47"/>
      <c r="BL2520" s="47"/>
      <c r="BM2520" s="47"/>
      <c r="BN2520" s="47"/>
      <c r="BO2520" s="47"/>
      <c r="BP2520" s="47"/>
      <c r="BQ2520" s="47"/>
      <c r="BR2520" s="47"/>
      <c r="BS2520" s="47"/>
      <c r="BT2520" s="47"/>
    </row>
    <row r="2521">
      <c r="A2521" s="24"/>
      <c r="B2521" s="48"/>
      <c r="C2521" s="49"/>
      <c r="D2521" s="24"/>
      <c r="E2521" s="52"/>
      <c r="F2521" s="53"/>
      <c r="G2521" s="48"/>
      <c r="H2521" s="49"/>
      <c r="I2521" s="49"/>
      <c r="J2521" s="48"/>
      <c r="K2521" s="48"/>
      <c r="L2521" s="48"/>
      <c r="M2521" s="48"/>
      <c r="N2521" s="48"/>
      <c r="O2521" s="48"/>
      <c r="P2521" s="48"/>
      <c r="Q2521" s="48"/>
      <c r="R2521" s="48"/>
      <c r="S2521" s="48"/>
      <c r="T2521" s="48"/>
      <c r="U2521" s="48"/>
      <c r="V2521" s="48"/>
      <c r="W2521" s="49"/>
      <c r="X2521" s="49"/>
      <c r="Y2521" s="49"/>
      <c r="Z2521" s="49"/>
      <c r="AA2521" s="49"/>
      <c r="AB2521" s="49"/>
      <c r="AC2521" s="49"/>
      <c r="AD2521" s="49"/>
      <c r="AE2521" s="49"/>
      <c r="AF2521" s="49"/>
      <c r="AG2521" s="49"/>
      <c r="AH2521" s="49"/>
      <c r="AI2521" s="48"/>
      <c r="AJ2521" s="48"/>
      <c r="AK2521" s="24"/>
      <c r="AL2521" s="50"/>
      <c r="AM2521" s="50"/>
      <c r="AN2521" s="50"/>
      <c r="AO2521" s="50"/>
      <c r="AP2521" s="50"/>
      <c r="AQ2521" s="50"/>
      <c r="AR2521" s="50"/>
      <c r="AS2521" s="50"/>
      <c r="AT2521" s="51"/>
      <c r="AU2521" s="51"/>
      <c r="AV2521" s="51"/>
      <c r="AW2521" s="51"/>
      <c r="AX2521" s="50"/>
      <c r="AY2521" s="50"/>
      <c r="AZ2521" s="50"/>
      <c r="BA2521" s="50"/>
      <c r="BB2521" s="51"/>
      <c r="BC2521" s="51"/>
      <c r="BD2521" s="51"/>
      <c r="BE2521" s="51"/>
      <c r="BF2521" s="47"/>
      <c r="BG2521" s="47"/>
      <c r="BH2521" s="47"/>
      <c r="BI2521" s="47"/>
      <c r="BJ2521" s="47"/>
      <c r="BK2521" s="47"/>
      <c r="BL2521" s="47"/>
      <c r="BM2521" s="47"/>
      <c r="BN2521" s="47"/>
      <c r="BO2521" s="47"/>
      <c r="BP2521" s="47"/>
      <c r="BQ2521" s="47"/>
      <c r="BR2521" s="47"/>
      <c r="BS2521" s="47"/>
      <c r="BT2521" s="47"/>
    </row>
    <row r="2522">
      <c r="A2522" s="24"/>
      <c r="B2522" s="48"/>
      <c r="C2522" s="49"/>
      <c r="D2522" s="24"/>
      <c r="E2522" s="52"/>
      <c r="F2522" s="53"/>
      <c r="G2522" s="48"/>
      <c r="H2522" s="49"/>
      <c r="I2522" s="49"/>
      <c r="J2522" s="48"/>
      <c r="K2522" s="48"/>
      <c r="L2522" s="48"/>
      <c r="M2522" s="48"/>
      <c r="N2522" s="48"/>
      <c r="O2522" s="48"/>
      <c r="P2522" s="48"/>
      <c r="Q2522" s="48"/>
      <c r="R2522" s="48"/>
      <c r="S2522" s="48"/>
      <c r="T2522" s="48"/>
      <c r="U2522" s="48"/>
      <c r="V2522" s="48"/>
      <c r="W2522" s="49"/>
      <c r="X2522" s="49"/>
      <c r="Y2522" s="49"/>
      <c r="Z2522" s="49"/>
      <c r="AA2522" s="49"/>
      <c r="AB2522" s="49"/>
      <c r="AC2522" s="49"/>
      <c r="AD2522" s="49"/>
      <c r="AE2522" s="49"/>
      <c r="AF2522" s="49"/>
      <c r="AG2522" s="49"/>
      <c r="AH2522" s="49"/>
      <c r="AI2522" s="48"/>
      <c r="AJ2522" s="48"/>
      <c r="AK2522" s="24"/>
      <c r="AL2522" s="50"/>
      <c r="AM2522" s="50"/>
      <c r="AN2522" s="50"/>
      <c r="AO2522" s="50"/>
      <c r="AP2522" s="50"/>
      <c r="AQ2522" s="50"/>
      <c r="AR2522" s="50"/>
      <c r="AS2522" s="50"/>
      <c r="AT2522" s="51"/>
      <c r="AU2522" s="51"/>
      <c r="AV2522" s="51"/>
      <c r="AW2522" s="51"/>
      <c r="AX2522" s="50"/>
      <c r="AY2522" s="50"/>
      <c r="AZ2522" s="50"/>
      <c r="BA2522" s="50"/>
      <c r="BB2522" s="51"/>
      <c r="BC2522" s="51"/>
      <c r="BD2522" s="51"/>
      <c r="BE2522" s="51"/>
      <c r="BF2522" s="47"/>
      <c r="BG2522" s="47"/>
      <c r="BH2522" s="47"/>
      <c r="BI2522" s="47"/>
      <c r="BJ2522" s="47"/>
      <c r="BK2522" s="47"/>
      <c r="BL2522" s="47"/>
      <c r="BM2522" s="47"/>
      <c r="BN2522" s="47"/>
      <c r="BO2522" s="47"/>
      <c r="BP2522" s="47"/>
      <c r="BQ2522" s="47"/>
      <c r="BR2522" s="47"/>
      <c r="BS2522" s="47"/>
      <c r="BT2522" s="47"/>
    </row>
    <row r="2523">
      <c r="A2523" s="24"/>
      <c r="B2523" s="48"/>
      <c r="C2523" s="49"/>
      <c r="D2523" s="24"/>
      <c r="E2523" s="52"/>
      <c r="F2523" s="53"/>
      <c r="G2523" s="48"/>
      <c r="H2523" s="49"/>
      <c r="I2523" s="49"/>
      <c r="J2523" s="48"/>
      <c r="K2523" s="48"/>
      <c r="L2523" s="48"/>
      <c r="M2523" s="48"/>
      <c r="N2523" s="48"/>
      <c r="O2523" s="48"/>
      <c r="P2523" s="48"/>
      <c r="Q2523" s="48"/>
      <c r="R2523" s="48"/>
      <c r="S2523" s="48"/>
      <c r="T2523" s="48"/>
      <c r="U2523" s="48"/>
      <c r="V2523" s="48"/>
      <c r="W2523" s="49"/>
      <c r="X2523" s="49"/>
      <c r="Y2523" s="49"/>
      <c r="Z2523" s="49"/>
      <c r="AA2523" s="49"/>
      <c r="AB2523" s="49"/>
      <c r="AC2523" s="49"/>
      <c r="AD2523" s="49"/>
      <c r="AE2523" s="49"/>
      <c r="AF2523" s="49"/>
      <c r="AG2523" s="49"/>
      <c r="AH2523" s="49"/>
      <c r="AI2523" s="48"/>
      <c r="AJ2523" s="48"/>
      <c r="AK2523" s="24"/>
      <c r="AL2523" s="50"/>
      <c r="AM2523" s="50"/>
      <c r="AN2523" s="50"/>
      <c r="AO2523" s="50"/>
      <c r="AP2523" s="50"/>
      <c r="AQ2523" s="50"/>
      <c r="AR2523" s="50"/>
      <c r="AS2523" s="50"/>
      <c r="AT2523" s="51"/>
      <c r="AU2523" s="51"/>
      <c r="AV2523" s="51"/>
      <c r="AW2523" s="51"/>
      <c r="AX2523" s="50"/>
      <c r="AY2523" s="50"/>
      <c r="AZ2523" s="50"/>
      <c r="BA2523" s="50"/>
      <c r="BB2523" s="51"/>
      <c r="BC2523" s="51"/>
      <c r="BD2523" s="51"/>
      <c r="BE2523" s="51"/>
      <c r="BF2523" s="47"/>
      <c r="BG2523" s="47"/>
      <c r="BH2523" s="47"/>
      <c r="BI2523" s="47"/>
      <c r="BJ2523" s="47"/>
      <c r="BK2523" s="47"/>
      <c r="BL2523" s="47"/>
      <c r="BM2523" s="47"/>
      <c r="BN2523" s="47"/>
      <c r="BO2523" s="47"/>
      <c r="BP2523" s="47"/>
      <c r="BQ2523" s="47"/>
      <c r="BR2523" s="47"/>
      <c r="BS2523" s="47"/>
      <c r="BT2523" s="47"/>
    </row>
    <row r="2524">
      <c r="A2524" s="24"/>
      <c r="B2524" s="48"/>
      <c r="C2524" s="49"/>
      <c r="D2524" s="24"/>
      <c r="E2524" s="52"/>
      <c r="F2524" s="53"/>
      <c r="G2524" s="48"/>
      <c r="H2524" s="49"/>
      <c r="I2524" s="49"/>
      <c r="J2524" s="48"/>
      <c r="K2524" s="48"/>
      <c r="L2524" s="48"/>
      <c r="M2524" s="48"/>
      <c r="N2524" s="48"/>
      <c r="O2524" s="48"/>
      <c r="P2524" s="48"/>
      <c r="Q2524" s="48"/>
      <c r="R2524" s="48"/>
      <c r="S2524" s="48"/>
      <c r="T2524" s="48"/>
      <c r="U2524" s="48"/>
      <c r="V2524" s="48"/>
      <c r="W2524" s="49"/>
      <c r="X2524" s="49"/>
      <c r="Y2524" s="49"/>
      <c r="Z2524" s="49"/>
      <c r="AA2524" s="49"/>
      <c r="AB2524" s="49"/>
      <c r="AC2524" s="49"/>
      <c r="AD2524" s="49"/>
      <c r="AE2524" s="49"/>
      <c r="AF2524" s="49"/>
      <c r="AG2524" s="49"/>
      <c r="AH2524" s="49"/>
      <c r="AI2524" s="48"/>
      <c r="AJ2524" s="48"/>
      <c r="AK2524" s="24"/>
      <c r="AL2524" s="50"/>
      <c r="AM2524" s="50"/>
      <c r="AN2524" s="50"/>
      <c r="AO2524" s="50"/>
      <c r="AP2524" s="50"/>
      <c r="AQ2524" s="50"/>
      <c r="AR2524" s="50"/>
      <c r="AS2524" s="50"/>
      <c r="AT2524" s="51"/>
      <c r="AU2524" s="51"/>
      <c r="AV2524" s="51"/>
      <c r="AW2524" s="51"/>
      <c r="AX2524" s="50"/>
      <c r="AY2524" s="50"/>
      <c r="AZ2524" s="50"/>
      <c r="BA2524" s="50"/>
      <c r="BB2524" s="51"/>
      <c r="BC2524" s="51"/>
      <c r="BD2524" s="51"/>
      <c r="BE2524" s="51"/>
      <c r="BF2524" s="47"/>
      <c r="BG2524" s="47"/>
      <c r="BH2524" s="47"/>
      <c r="BI2524" s="47"/>
      <c r="BJ2524" s="47"/>
      <c r="BK2524" s="47"/>
      <c r="BL2524" s="47"/>
      <c r="BM2524" s="47"/>
      <c r="BN2524" s="47"/>
      <c r="BO2524" s="47"/>
      <c r="BP2524" s="47"/>
      <c r="BQ2524" s="47"/>
      <c r="BR2524" s="47"/>
      <c r="BS2524" s="47"/>
      <c r="BT2524" s="47"/>
    </row>
    <row r="2525">
      <c r="A2525" s="24"/>
      <c r="B2525" s="48"/>
      <c r="C2525" s="49"/>
      <c r="D2525" s="24"/>
      <c r="E2525" s="52"/>
      <c r="F2525" s="53"/>
      <c r="G2525" s="48"/>
      <c r="H2525" s="49"/>
      <c r="I2525" s="49"/>
      <c r="J2525" s="48"/>
      <c r="K2525" s="48"/>
      <c r="L2525" s="48"/>
      <c r="M2525" s="48"/>
      <c r="N2525" s="48"/>
      <c r="O2525" s="48"/>
      <c r="P2525" s="48"/>
      <c r="Q2525" s="48"/>
      <c r="R2525" s="48"/>
      <c r="S2525" s="48"/>
      <c r="T2525" s="48"/>
      <c r="U2525" s="48"/>
      <c r="V2525" s="48"/>
      <c r="W2525" s="49"/>
      <c r="X2525" s="49"/>
      <c r="Y2525" s="49"/>
      <c r="Z2525" s="49"/>
      <c r="AA2525" s="49"/>
      <c r="AB2525" s="49"/>
      <c r="AC2525" s="49"/>
      <c r="AD2525" s="49"/>
      <c r="AE2525" s="49"/>
      <c r="AF2525" s="49"/>
      <c r="AG2525" s="49"/>
      <c r="AH2525" s="49"/>
      <c r="AI2525" s="48"/>
      <c r="AJ2525" s="48"/>
      <c r="AK2525" s="24"/>
      <c r="AL2525" s="50"/>
      <c r="AM2525" s="50"/>
      <c r="AN2525" s="50"/>
      <c r="AO2525" s="50"/>
      <c r="AP2525" s="50"/>
      <c r="AQ2525" s="50"/>
      <c r="AR2525" s="50"/>
      <c r="AS2525" s="50"/>
      <c r="AT2525" s="51"/>
      <c r="AU2525" s="51"/>
      <c r="AV2525" s="51"/>
      <c r="AW2525" s="51"/>
      <c r="AX2525" s="50"/>
      <c r="AY2525" s="50"/>
      <c r="AZ2525" s="50"/>
      <c r="BA2525" s="50"/>
      <c r="BB2525" s="51"/>
      <c r="BC2525" s="51"/>
      <c r="BD2525" s="51"/>
      <c r="BE2525" s="51"/>
      <c r="BF2525" s="47"/>
      <c r="BG2525" s="47"/>
      <c r="BH2525" s="47"/>
      <c r="BI2525" s="47"/>
      <c r="BJ2525" s="47"/>
      <c r="BK2525" s="47"/>
      <c r="BL2525" s="47"/>
      <c r="BM2525" s="47"/>
      <c r="BN2525" s="47"/>
      <c r="BO2525" s="47"/>
      <c r="BP2525" s="47"/>
      <c r="BQ2525" s="47"/>
      <c r="BR2525" s="47"/>
      <c r="BS2525" s="47"/>
      <c r="BT2525" s="47"/>
    </row>
    <row r="2526">
      <c r="A2526" s="24"/>
      <c r="B2526" s="48"/>
      <c r="C2526" s="49"/>
      <c r="D2526" s="24"/>
      <c r="E2526" s="52"/>
      <c r="F2526" s="53"/>
      <c r="G2526" s="48"/>
      <c r="H2526" s="49"/>
      <c r="I2526" s="49"/>
      <c r="J2526" s="48"/>
      <c r="K2526" s="48"/>
      <c r="L2526" s="48"/>
      <c r="M2526" s="48"/>
      <c r="N2526" s="48"/>
      <c r="O2526" s="48"/>
      <c r="P2526" s="48"/>
      <c r="Q2526" s="48"/>
      <c r="R2526" s="48"/>
      <c r="S2526" s="48"/>
      <c r="T2526" s="48"/>
      <c r="U2526" s="48"/>
      <c r="V2526" s="48"/>
      <c r="W2526" s="49"/>
      <c r="X2526" s="49"/>
      <c r="Y2526" s="49"/>
      <c r="Z2526" s="49"/>
      <c r="AA2526" s="49"/>
      <c r="AB2526" s="49"/>
      <c r="AC2526" s="49"/>
      <c r="AD2526" s="49"/>
      <c r="AE2526" s="49"/>
      <c r="AF2526" s="49"/>
      <c r="AG2526" s="49"/>
      <c r="AH2526" s="49"/>
      <c r="AI2526" s="48"/>
      <c r="AJ2526" s="48"/>
      <c r="AK2526" s="24"/>
      <c r="AL2526" s="50"/>
      <c r="AM2526" s="50"/>
      <c r="AN2526" s="50"/>
      <c r="AO2526" s="50"/>
      <c r="AP2526" s="50"/>
      <c r="AQ2526" s="50"/>
      <c r="AR2526" s="50"/>
      <c r="AS2526" s="50"/>
      <c r="AT2526" s="51"/>
      <c r="AU2526" s="51"/>
      <c r="AV2526" s="51"/>
      <c r="AW2526" s="51"/>
      <c r="AX2526" s="50"/>
      <c r="AY2526" s="50"/>
      <c r="AZ2526" s="50"/>
      <c r="BA2526" s="50"/>
      <c r="BB2526" s="51"/>
      <c r="BC2526" s="51"/>
      <c r="BD2526" s="51"/>
      <c r="BE2526" s="51"/>
      <c r="BF2526" s="47"/>
      <c r="BG2526" s="47"/>
      <c r="BH2526" s="47"/>
      <c r="BI2526" s="47"/>
      <c r="BJ2526" s="47"/>
      <c r="BK2526" s="47"/>
      <c r="BL2526" s="47"/>
      <c r="BM2526" s="47"/>
      <c r="BN2526" s="47"/>
      <c r="BO2526" s="47"/>
      <c r="BP2526" s="47"/>
      <c r="BQ2526" s="47"/>
      <c r="BR2526" s="47"/>
      <c r="BS2526" s="47"/>
      <c r="BT2526" s="47"/>
    </row>
    <row r="2527">
      <c r="A2527" s="24"/>
      <c r="B2527" s="48"/>
      <c r="C2527" s="49"/>
      <c r="D2527" s="24"/>
      <c r="E2527" s="52"/>
      <c r="F2527" s="53"/>
      <c r="G2527" s="48"/>
      <c r="H2527" s="49"/>
      <c r="I2527" s="49"/>
      <c r="J2527" s="48"/>
      <c r="K2527" s="48"/>
      <c r="L2527" s="48"/>
      <c r="M2527" s="48"/>
      <c r="N2527" s="48"/>
      <c r="O2527" s="48"/>
      <c r="P2527" s="48"/>
      <c r="Q2527" s="48"/>
      <c r="R2527" s="48"/>
      <c r="S2527" s="48"/>
      <c r="T2527" s="48"/>
      <c r="U2527" s="48"/>
      <c r="V2527" s="48"/>
      <c r="W2527" s="49"/>
      <c r="X2527" s="49"/>
      <c r="Y2527" s="49"/>
      <c r="Z2527" s="49"/>
      <c r="AA2527" s="49"/>
      <c r="AB2527" s="49"/>
      <c r="AC2527" s="49"/>
      <c r="AD2527" s="49"/>
      <c r="AE2527" s="49"/>
      <c r="AF2527" s="49"/>
      <c r="AG2527" s="49"/>
      <c r="AH2527" s="49"/>
      <c r="AI2527" s="48"/>
      <c r="AJ2527" s="48"/>
      <c r="AK2527" s="24"/>
      <c r="AL2527" s="50"/>
      <c r="AM2527" s="50"/>
      <c r="AN2527" s="50"/>
      <c r="AO2527" s="50"/>
      <c r="AP2527" s="50"/>
      <c r="AQ2527" s="50"/>
      <c r="AR2527" s="50"/>
      <c r="AS2527" s="50"/>
      <c r="AT2527" s="51"/>
      <c r="AU2527" s="51"/>
      <c r="AV2527" s="51"/>
      <c r="AW2527" s="51"/>
      <c r="AX2527" s="50"/>
      <c r="AY2527" s="50"/>
      <c r="AZ2527" s="50"/>
      <c r="BA2527" s="50"/>
      <c r="BB2527" s="51"/>
      <c r="BC2527" s="51"/>
      <c r="BD2527" s="51"/>
      <c r="BE2527" s="51"/>
      <c r="BF2527" s="47"/>
      <c r="BG2527" s="47"/>
      <c r="BH2527" s="47"/>
      <c r="BI2527" s="47"/>
      <c r="BJ2527" s="47"/>
      <c r="BK2527" s="47"/>
      <c r="BL2527" s="47"/>
      <c r="BM2527" s="47"/>
      <c r="BN2527" s="47"/>
      <c r="BO2527" s="47"/>
      <c r="BP2527" s="47"/>
      <c r="BQ2527" s="47"/>
      <c r="BR2527" s="47"/>
      <c r="BS2527" s="47"/>
      <c r="BT2527" s="47"/>
    </row>
    <row r="2528">
      <c r="A2528" s="24"/>
      <c r="B2528" s="48"/>
      <c r="C2528" s="49"/>
      <c r="D2528" s="24"/>
      <c r="E2528" s="52"/>
      <c r="F2528" s="53"/>
      <c r="G2528" s="48"/>
      <c r="H2528" s="49"/>
      <c r="I2528" s="49"/>
      <c r="J2528" s="48"/>
      <c r="K2528" s="48"/>
      <c r="L2528" s="48"/>
      <c r="M2528" s="48"/>
      <c r="N2528" s="48"/>
      <c r="O2528" s="48"/>
      <c r="P2528" s="48"/>
      <c r="Q2528" s="48"/>
      <c r="R2528" s="48"/>
      <c r="S2528" s="48"/>
      <c r="T2528" s="48"/>
      <c r="U2528" s="48"/>
      <c r="V2528" s="48"/>
      <c r="W2528" s="49"/>
      <c r="X2528" s="49"/>
      <c r="Y2528" s="49"/>
      <c r="Z2528" s="49"/>
      <c r="AA2528" s="49"/>
      <c r="AB2528" s="49"/>
      <c r="AC2528" s="49"/>
      <c r="AD2528" s="49"/>
      <c r="AE2528" s="49"/>
      <c r="AF2528" s="49"/>
      <c r="AG2528" s="49"/>
      <c r="AH2528" s="49"/>
      <c r="AI2528" s="48"/>
      <c r="AJ2528" s="48"/>
      <c r="AK2528" s="24"/>
      <c r="AL2528" s="50"/>
      <c r="AM2528" s="50"/>
      <c r="AN2528" s="50"/>
      <c r="AO2528" s="50"/>
      <c r="AP2528" s="50"/>
      <c r="AQ2528" s="50"/>
      <c r="AR2528" s="50"/>
      <c r="AS2528" s="50"/>
      <c r="AT2528" s="51"/>
      <c r="AU2528" s="51"/>
      <c r="AV2528" s="51"/>
      <c r="AW2528" s="51"/>
      <c r="AX2528" s="50"/>
      <c r="AY2528" s="50"/>
      <c r="AZ2528" s="50"/>
      <c r="BA2528" s="50"/>
      <c r="BB2528" s="51"/>
      <c r="BC2528" s="51"/>
      <c r="BD2528" s="51"/>
      <c r="BE2528" s="51"/>
      <c r="BF2528" s="47"/>
      <c r="BG2528" s="47"/>
      <c r="BH2528" s="47"/>
      <c r="BI2528" s="47"/>
      <c r="BJ2528" s="47"/>
      <c r="BK2528" s="47"/>
      <c r="BL2528" s="47"/>
      <c r="BM2528" s="47"/>
      <c r="BN2528" s="47"/>
      <c r="BO2528" s="47"/>
      <c r="BP2528" s="47"/>
      <c r="BQ2528" s="47"/>
      <c r="BR2528" s="47"/>
      <c r="BS2528" s="47"/>
      <c r="BT2528" s="47"/>
    </row>
    <row r="2529">
      <c r="A2529" s="24"/>
      <c r="B2529" s="48"/>
      <c r="C2529" s="49"/>
      <c r="D2529" s="24"/>
      <c r="E2529" s="52"/>
      <c r="F2529" s="53"/>
      <c r="G2529" s="48"/>
      <c r="H2529" s="49"/>
      <c r="I2529" s="49"/>
      <c r="J2529" s="48"/>
      <c r="K2529" s="48"/>
      <c r="L2529" s="48"/>
      <c r="M2529" s="48"/>
      <c r="N2529" s="48"/>
      <c r="O2529" s="48"/>
      <c r="P2529" s="48"/>
      <c r="Q2529" s="48"/>
      <c r="R2529" s="48"/>
      <c r="S2529" s="48"/>
      <c r="T2529" s="48"/>
      <c r="U2529" s="48"/>
      <c r="V2529" s="48"/>
      <c r="W2529" s="49"/>
      <c r="X2529" s="49"/>
      <c r="Y2529" s="49"/>
      <c r="Z2529" s="49"/>
      <c r="AA2529" s="49"/>
      <c r="AB2529" s="49"/>
      <c r="AC2529" s="49"/>
      <c r="AD2529" s="49"/>
      <c r="AE2529" s="49"/>
      <c r="AF2529" s="49"/>
      <c r="AG2529" s="49"/>
      <c r="AH2529" s="49"/>
      <c r="AI2529" s="48"/>
      <c r="AJ2529" s="48"/>
      <c r="AK2529" s="24"/>
      <c r="AL2529" s="50"/>
      <c r="AM2529" s="50"/>
      <c r="AN2529" s="50"/>
      <c r="AO2529" s="50"/>
      <c r="AP2529" s="50"/>
      <c r="AQ2529" s="50"/>
      <c r="AR2529" s="50"/>
      <c r="AS2529" s="50"/>
      <c r="AT2529" s="51"/>
      <c r="AU2529" s="51"/>
      <c r="AV2529" s="51"/>
      <c r="AW2529" s="51"/>
      <c r="AX2529" s="50"/>
      <c r="AY2529" s="50"/>
      <c r="AZ2529" s="50"/>
      <c r="BA2529" s="50"/>
      <c r="BB2529" s="51"/>
      <c r="BC2529" s="51"/>
      <c r="BD2529" s="51"/>
      <c r="BE2529" s="51"/>
      <c r="BF2529" s="47"/>
      <c r="BG2529" s="47"/>
      <c r="BH2529" s="47"/>
      <c r="BI2529" s="47"/>
      <c r="BJ2529" s="47"/>
      <c r="BK2529" s="47"/>
      <c r="BL2529" s="47"/>
      <c r="BM2529" s="47"/>
      <c r="BN2529" s="47"/>
      <c r="BO2529" s="47"/>
      <c r="BP2529" s="47"/>
      <c r="BQ2529" s="47"/>
      <c r="BR2529" s="47"/>
      <c r="BS2529" s="47"/>
      <c r="BT2529" s="47"/>
    </row>
    <row r="2530">
      <c r="A2530" s="24"/>
      <c r="B2530" s="48"/>
      <c r="C2530" s="49"/>
      <c r="D2530" s="24"/>
      <c r="E2530" s="52"/>
      <c r="F2530" s="53"/>
      <c r="G2530" s="48"/>
      <c r="H2530" s="49"/>
      <c r="I2530" s="49"/>
      <c r="J2530" s="48"/>
      <c r="K2530" s="48"/>
      <c r="L2530" s="48"/>
      <c r="M2530" s="48"/>
      <c r="N2530" s="48"/>
      <c r="O2530" s="48"/>
      <c r="P2530" s="48"/>
      <c r="Q2530" s="48"/>
      <c r="R2530" s="48"/>
      <c r="S2530" s="48"/>
      <c r="T2530" s="48"/>
      <c r="U2530" s="48"/>
      <c r="V2530" s="48"/>
      <c r="W2530" s="49"/>
      <c r="X2530" s="49"/>
      <c r="Y2530" s="49"/>
      <c r="Z2530" s="49"/>
      <c r="AA2530" s="49"/>
      <c r="AB2530" s="49"/>
      <c r="AC2530" s="49"/>
      <c r="AD2530" s="49"/>
      <c r="AE2530" s="49"/>
      <c r="AF2530" s="49"/>
      <c r="AG2530" s="49"/>
      <c r="AH2530" s="49"/>
      <c r="AI2530" s="48"/>
      <c r="AJ2530" s="48"/>
      <c r="AK2530" s="24"/>
      <c r="AL2530" s="50"/>
      <c r="AM2530" s="50"/>
      <c r="AN2530" s="50"/>
      <c r="AO2530" s="50"/>
      <c r="AP2530" s="50"/>
      <c r="AQ2530" s="50"/>
      <c r="AR2530" s="50"/>
      <c r="AS2530" s="50"/>
      <c r="AT2530" s="51"/>
      <c r="AU2530" s="51"/>
      <c r="AV2530" s="51"/>
      <c r="AW2530" s="51"/>
      <c r="AX2530" s="50"/>
      <c r="AY2530" s="50"/>
      <c r="AZ2530" s="50"/>
      <c r="BA2530" s="50"/>
      <c r="BB2530" s="51"/>
      <c r="BC2530" s="51"/>
      <c r="BD2530" s="51"/>
      <c r="BE2530" s="51"/>
      <c r="BF2530" s="47"/>
      <c r="BG2530" s="47"/>
      <c r="BH2530" s="47"/>
      <c r="BI2530" s="47"/>
      <c r="BJ2530" s="47"/>
      <c r="BK2530" s="47"/>
      <c r="BL2530" s="47"/>
      <c r="BM2530" s="47"/>
      <c r="BN2530" s="47"/>
      <c r="BO2530" s="47"/>
      <c r="BP2530" s="47"/>
      <c r="BQ2530" s="47"/>
      <c r="BR2530" s="47"/>
      <c r="BS2530" s="47"/>
      <c r="BT2530" s="47"/>
    </row>
    <row r="2531">
      <c r="A2531" s="24"/>
      <c r="B2531" s="48"/>
      <c r="C2531" s="49"/>
      <c r="D2531" s="24"/>
      <c r="E2531" s="52"/>
      <c r="F2531" s="53"/>
      <c r="G2531" s="48"/>
      <c r="H2531" s="49"/>
      <c r="I2531" s="49"/>
      <c r="J2531" s="48"/>
      <c r="K2531" s="48"/>
      <c r="L2531" s="48"/>
      <c r="M2531" s="48"/>
      <c r="N2531" s="48"/>
      <c r="O2531" s="48"/>
      <c r="P2531" s="48"/>
      <c r="Q2531" s="48"/>
      <c r="R2531" s="48"/>
      <c r="S2531" s="48"/>
      <c r="T2531" s="48"/>
      <c r="U2531" s="48"/>
      <c r="V2531" s="48"/>
      <c r="W2531" s="49"/>
      <c r="X2531" s="49"/>
      <c r="Y2531" s="49"/>
      <c r="Z2531" s="49"/>
      <c r="AA2531" s="49"/>
      <c r="AB2531" s="49"/>
      <c r="AC2531" s="49"/>
      <c r="AD2531" s="49"/>
      <c r="AE2531" s="49"/>
      <c r="AF2531" s="49"/>
      <c r="AG2531" s="49"/>
      <c r="AH2531" s="49"/>
      <c r="AI2531" s="48"/>
      <c r="AJ2531" s="48"/>
      <c r="AK2531" s="24"/>
      <c r="AL2531" s="50"/>
      <c r="AM2531" s="50"/>
      <c r="AN2531" s="50"/>
      <c r="AO2531" s="50"/>
      <c r="AP2531" s="50"/>
      <c r="AQ2531" s="50"/>
      <c r="AR2531" s="50"/>
      <c r="AS2531" s="50"/>
      <c r="AT2531" s="51"/>
      <c r="AU2531" s="51"/>
      <c r="AV2531" s="51"/>
      <c r="AW2531" s="51"/>
      <c r="AX2531" s="50"/>
      <c r="AY2531" s="50"/>
      <c r="AZ2531" s="50"/>
      <c r="BA2531" s="50"/>
      <c r="BB2531" s="51"/>
      <c r="BC2531" s="51"/>
      <c r="BD2531" s="51"/>
      <c r="BE2531" s="51"/>
      <c r="BF2531" s="47"/>
      <c r="BG2531" s="47"/>
      <c r="BH2531" s="47"/>
      <c r="BI2531" s="47"/>
      <c r="BJ2531" s="47"/>
      <c r="BK2531" s="47"/>
      <c r="BL2531" s="47"/>
      <c r="BM2531" s="47"/>
      <c r="BN2531" s="47"/>
      <c r="BO2531" s="47"/>
      <c r="BP2531" s="47"/>
      <c r="BQ2531" s="47"/>
      <c r="BR2531" s="47"/>
      <c r="BS2531" s="47"/>
      <c r="BT2531" s="47"/>
    </row>
    <row r="2532">
      <c r="A2532" s="24"/>
      <c r="B2532" s="48"/>
      <c r="C2532" s="49"/>
      <c r="D2532" s="24"/>
      <c r="E2532" s="52"/>
      <c r="F2532" s="53"/>
      <c r="G2532" s="48"/>
      <c r="H2532" s="49"/>
      <c r="I2532" s="49"/>
      <c r="J2532" s="48"/>
      <c r="K2532" s="48"/>
      <c r="L2532" s="48"/>
      <c r="M2532" s="48"/>
      <c r="N2532" s="48"/>
      <c r="O2532" s="48"/>
      <c r="P2532" s="48"/>
      <c r="Q2532" s="48"/>
      <c r="R2532" s="48"/>
      <c r="S2532" s="48"/>
      <c r="T2532" s="48"/>
      <c r="U2532" s="48"/>
      <c r="V2532" s="48"/>
      <c r="W2532" s="49"/>
      <c r="X2532" s="49"/>
      <c r="Y2532" s="49"/>
      <c r="Z2532" s="49"/>
      <c r="AA2532" s="49"/>
      <c r="AB2532" s="49"/>
      <c r="AC2532" s="49"/>
      <c r="AD2532" s="49"/>
      <c r="AE2532" s="49"/>
      <c r="AF2532" s="49"/>
      <c r="AG2532" s="49"/>
      <c r="AH2532" s="49"/>
      <c r="AI2532" s="48"/>
      <c r="AJ2532" s="48"/>
      <c r="AK2532" s="24"/>
      <c r="AL2532" s="50"/>
      <c r="AM2532" s="50"/>
      <c r="AN2532" s="50"/>
      <c r="AO2532" s="50"/>
      <c r="AP2532" s="50"/>
      <c r="AQ2532" s="50"/>
      <c r="AR2532" s="50"/>
      <c r="AS2532" s="50"/>
      <c r="AT2532" s="51"/>
      <c r="AU2532" s="51"/>
      <c r="AV2532" s="51"/>
      <c r="AW2532" s="51"/>
      <c r="AX2532" s="50"/>
      <c r="AY2532" s="50"/>
      <c r="AZ2532" s="50"/>
      <c r="BA2532" s="50"/>
      <c r="BB2532" s="51"/>
      <c r="BC2532" s="51"/>
      <c r="BD2532" s="51"/>
      <c r="BE2532" s="51"/>
      <c r="BF2532" s="47"/>
      <c r="BG2532" s="47"/>
      <c r="BH2532" s="47"/>
      <c r="BI2532" s="47"/>
      <c r="BJ2532" s="47"/>
      <c r="BK2532" s="47"/>
      <c r="BL2532" s="47"/>
      <c r="BM2532" s="47"/>
      <c r="BN2532" s="47"/>
      <c r="BO2532" s="47"/>
      <c r="BP2532" s="47"/>
      <c r="BQ2532" s="47"/>
      <c r="BR2532" s="47"/>
      <c r="BS2532" s="47"/>
      <c r="BT2532" s="47"/>
    </row>
    <row r="2533">
      <c r="A2533" s="24"/>
      <c r="B2533" s="48"/>
      <c r="C2533" s="49"/>
      <c r="D2533" s="24"/>
      <c r="E2533" s="52"/>
      <c r="F2533" s="53"/>
      <c r="G2533" s="48"/>
      <c r="H2533" s="49"/>
      <c r="I2533" s="49"/>
      <c r="J2533" s="48"/>
      <c r="K2533" s="48"/>
      <c r="L2533" s="48"/>
      <c r="M2533" s="48"/>
      <c r="N2533" s="48"/>
      <c r="O2533" s="48"/>
      <c r="P2533" s="48"/>
      <c r="Q2533" s="48"/>
      <c r="R2533" s="48"/>
      <c r="S2533" s="48"/>
      <c r="T2533" s="48"/>
      <c r="U2533" s="48"/>
      <c r="V2533" s="48"/>
      <c r="W2533" s="49"/>
      <c r="X2533" s="49"/>
      <c r="Y2533" s="49"/>
      <c r="Z2533" s="49"/>
      <c r="AA2533" s="49"/>
      <c r="AB2533" s="49"/>
      <c r="AC2533" s="49"/>
      <c r="AD2533" s="49"/>
      <c r="AE2533" s="49"/>
      <c r="AF2533" s="49"/>
      <c r="AG2533" s="49"/>
      <c r="AH2533" s="49"/>
      <c r="AI2533" s="48"/>
      <c r="AJ2533" s="48"/>
      <c r="AK2533" s="24"/>
      <c r="AL2533" s="50"/>
      <c r="AM2533" s="50"/>
      <c r="AN2533" s="50"/>
      <c r="AO2533" s="50"/>
      <c r="AP2533" s="50"/>
      <c r="AQ2533" s="50"/>
      <c r="AR2533" s="50"/>
      <c r="AS2533" s="50"/>
      <c r="AT2533" s="51"/>
      <c r="AU2533" s="51"/>
      <c r="AV2533" s="51"/>
      <c r="AW2533" s="51"/>
      <c r="AX2533" s="50"/>
      <c r="AY2533" s="50"/>
      <c r="AZ2533" s="50"/>
      <c r="BA2533" s="50"/>
      <c r="BB2533" s="51"/>
      <c r="BC2533" s="51"/>
      <c r="BD2533" s="51"/>
      <c r="BE2533" s="51"/>
      <c r="BF2533" s="47"/>
      <c r="BG2533" s="47"/>
      <c r="BH2533" s="47"/>
      <c r="BI2533" s="47"/>
      <c r="BJ2533" s="47"/>
      <c r="BK2533" s="47"/>
      <c r="BL2533" s="47"/>
      <c r="BM2533" s="47"/>
      <c r="BN2533" s="47"/>
      <c r="BO2533" s="47"/>
      <c r="BP2533" s="47"/>
      <c r="BQ2533" s="47"/>
      <c r="BR2533" s="47"/>
      <c r="BS2533" s="47"/>
      <c r="BT2533" s="47"/>
    </row>
    <row r="2534">
      <c r="A2534" s="24"/>
      <c r="B2534" s="48"/>
      <c r="C2534" s="49"/>
      <c r="D2534" s="24"/>
      <c r="E2534" s="52"/>
      <c r="F2534" s="53"/>
      <c r="G2534" s="48"/>
      <c r="H2534" s="49"/>
      <c r="I2534" s="49"/>
      <c r="J2534" s="48"/>
      <c r="K2534" s="48"/>
      <c r="L2534" s="48"/>
      <c r="M2534" s="48"/>
      <c r="N2534" s="48"/>
      <c r="O2534" s="48"/>
      <c r="P2534" s="48"/>
      <c r="Q2534" s="48"/>
      <c r="R2534" s="48"/>
      <c r="S2534" s="48"/>
      <c r="T2534" s="48"/>
      <c r="U2534" s="48"/>
      <c r="V2534" s="48"/>
      <c r="W2534" s="49"/>
      <c r="X2534" s="49"/>
      <c r="Y2534" s="49"/>
      <c r="Z2534" s="49"/>
      <c r="AA2534" s="49"/>
      <c r="AB2534" s="49"/>
      <c r="AC2534" s="49"/>
      <c r="AD2534" s="49"/>
      <c r="AE2534" s="49"/>
      <c r="AF2534" s="49"/>
      <c r="AG2534" s="49"/>
      <c r="AH2534" s="49"/>
      <c r="AI2534" s="48"/>
      <c r="AJ2534" s="48"/>
      <c r="AK2534" s="24"/>
      <c r="AL2534" s="50"/>
      <c r="AM2534" s="50"/>
      <c r="AN2534" s="50"/>
      <c r="AO2534" s="50"/>
      <c r="AP2534" s="50"/>
      <c r="AQ2534" s="50"/>
      <c r="AR2534" s="50"/>
      <c r="AS2534" s="50"/>
      <c r="AT2534" s="51"/>
      <c r="AU2534" s="51"/>
      <c r="AV2534" s="51"/>
      <c r="AW2534" s="51"/>
      <c r="AX2534" s="50"/>
      <c r="AY2534" s="50"/>
      <c r="AZ2534" s="50"/>
      <c r="BA2534" s="50"/>
      <c r="BB2534" s="51"/>
      <c r="BC2534" s="51"/>
      <c r="BD2534" s="51"/>
      <c r="BE2534" s="51"/>
      <c r="BF2534" s="47"/>
      <c r="BG2534" s="47"/>
      <c r="BH2534" s="47"/>
      <c r="BI2534" s="47"/>
      <c r="BJ2534" s="47"/>
      <c r="BK2534" s="47"/>
      <c r="BL2534" s="47"/>
      <c r="BM2534" s="47"/>
      <c r="BN2534" s="47"/>
      <c r="BO2534" s="47"/>
      <c r="BP2534" s="47"/>
      <c r="BQ2534" s="47"/>
      <c r="BR2534" s="47"/>
      <c r="BS2534" s="47"/>
      <c r="BT2534" s="47"/>
    </row>
    <row r="2535">
      <c r="A2535" s="24"/>
      <c r="B2535" s="48"/>
      <c r="C2535" s="49"/>
      <c r="D2535" s="24"/>
      <c r="E2535" s="52"/>
      <c r="F2535" s="53"/>
      <c r="G2535" s="48"/>
      <c r="H2535" s="49"/>
      <c r="I2535" s="49"/>
      <c r="J2535" s="48"/>
      <c r="K2535" s="48"/>
      <c r="L2535" s="48"/>
      <c r="M2535" s="48"/>
      <c r="N2535" s="48"/>
      <c r="O2535" s="48"/>
      <c r="P2535" s="48"/>
      <c r="Q2535" s="48"/>
      <c r="R2535" s="48"/>
      <c r="S2535" s="48"/>
      <c r="T2535" s="48"/>
      <c r="U2535" s="48"/>
      <c r="V2535" s="48"/>
      <c r="W2535" s="49"/>
      <c r="X2535" s="49"/>
      <c r="Y2535" s="49"/>
      <c r="Z2535" s="49"/>
      <c r="AA2535" s="49"/>
      <c r="AB2535" s="49"/>
      <c r="AC2535" s="49"/>
      <c r="AD2535" s="49"/>
      <c r="AE2535" s="49"/>
      <c r="AF2535" s="49"/>
      <c r="AG2535" s="49"/>
      <c r="AH2535" s="49"/>
      <c r="AI2535" s="48"/>
      <c r="AJ2535" s="48"/>
      <c r="AK2535" s="24"/>
      <c r="AL2535" s="50"/>
      <c r="AM2535" s="50"/>
      <c r="AN2535" s="50"/>
      <c r="AO2535" s="50"/>
      <c r="AP2535" s="50"/>
      <c r="AQ2535" s="50"/>
      <c r="AR2535" s="50"/>
      <c r="AS2535" s="50"/>
      <c r="AT2535" s="51"/>
      <c r="AU2535" s="51"/>
      <c r="AV2535" s="51"/>
      <c r="AW2535" s="51"/>
      <c r="AX2535" s="50"/>
      <c r="AY2535" s="50"/>
      <c r="AZ2535" s="50"/>
      <c r="BA2535" s="50"/>
      <c r="BB2535" s="51"/>
      <c r="BC2535" s="51"/>
      <c r="BD2535" s="51"/>
      <c r="BE2535" s="51"/>
      <c r="BF2535" s="47"/>
      <c r="BG2535" s="47"/>
      <c r="BH2535" s="47"/>
      <c r="BI2535" s="47"/>
      <c r="BJ2535" s="47"/>
      <c r="BK2535" s="47"/>
      <c r="BL2535" s="47"/>
      <c r="BM2535" s="47"/>
      <c r="BN2535" s="47"/>
      <c r="BO2535" s="47"/>
      <c r="BP2535" s="47"/>
      <c r="BQ2535" s="47"/>
      <c r="BR2535" s="47"/>
      <c r="BS2535" s="47"/>
      <c r="BT2535" s="47"/>
    </row>
    <row r="2536">
      <c r="A2536" s="24"/>
      <c r="B2536" s="48"/>
      <c r="C2536" s="49"/>
      <c r="D2536" s="24"/>
      <c r="E2536" s="52"/>
      <c r="F2536" s="53"/>
      <c r="G2536" s="48"/>
      <c r="H2536" s="49"/>
      <c r="I2536" s="49"/>
      <c r="J2536" s="48"/>
      <c r="K2536" s="48"/>
      <c r="L2536" s="48"/>
      <c r="M2536" s="48"/>
      <c r="N2536" s="48"/>
      <c r="O2536" s="48"/>
      <c r="P2536" s="48"/>
      <c r="Q2536" s="48"/>
      <c r="R2536" s="48"/>
      <c r="S2536" s="48"/>
      <c r="T2536" s="48"/>
      <c r="U2536" s="48"/>
      <c r="V2536" s="48"/>
      <c r="W2536" s="49"/>
      <c r="X2536" s="49"/>
      <c r="Y2536" s="49"/>
      <c r="Z2536" s="49"/>
      <c r="AA2536" s="49"/>
      <c r="AB2536" s="49"/>
      <c r="AC2536" s="49"/>
      <c r="AD2536" s="49"/>
      <c r="AE2536" s="49"/>
      <c r="AF2536" s="49"/>
      <c r="AG2536" s="49"/>
      <c r="AH2536" s="49"/>
      <c r="AI2536" s="48"/>
      <c r="AJ2536" s="48"/>
      <c r="AK2536" s="24"/>
      <c r="AL2536" s="50"/>
      <c r="AM2536" s="50"/>
      <c r="AN2536" s="50"/>
      <c r="AO2536" s="50"/>
      <c r="AP2536" s="50"/>
      <c r="AQ2536" s="50"/>
      <c r="AR2536" s="50"/>
      <c r="AS2536" s="50"/>
      <c r="AT2536" s="51"/>
      <c r="AU2536" s="51"/>
      <c r="AV2536" s="51"/>
      <c r="AW2536" s="51"/>
      <c r="AX2536" s="50"/>
      <c r="AY2536" s="50"/>
      <c r="AZ2536" s="50"/>
      <c r="BA2536" s="50"/>
      <c r="BB2536" s="51"/>
      <c r="BC2536" s="51"/>
      <c r="BD2536" s="51"/>
      <c r="BE2536" s="51"/>
      <c r="BF2536" s="47"/>
      <c r="BG2536" s="47"/>
      <c r="BH2536" s="47"/>
      <c r="BI2536" s="47"/>
      <c r="BJ2536" s="47"/>
      <c r="BK2536" s="47"/>
      <c r="BL2536" s="47"/>
      <c r="BM2536" s="47"/>
      <c r="BN2536" s="47"/>
      <c r="BO2536" s="47"/>
      <c r="BP2536" s="47"/>
      <c r="BQ2536" s="47"/>
      <c r="BR2536" s="47"/>
      <c r="BS2536" s="47"/>
      <c r="BT2536" s="47"/>
    </row>
    <row r="2537">
      <c r="A2537" s="24"/>
      <c r="B2537" s="48"/>
      <c r="C2537" s="49"/>
      <c r="D2537" s="24"/>
      <c r="E2537" s="52"/>
      <c r="F2537" s="53"/>
      <c r="G2537" s="48"/>
      <c r="H2537" s="49"/>
      <c r="I2537" s="49"/>
      <c r="J2537" s="48"/>
      <c r="K2537" s="48"/>
      <c r="L2537" s="48"/>
      <c r="M2537" s="48"/>
      <c r="N2537" s="48"/>
      <c r="O2537" s="48"/>
      <c r="P2537" s="48"/>
      <c r="Q2537" s="48"/>
      <c r="R2537" s="48"/>
      <c r="S2537" s="48"/>
      <c r="T2537" s="48"/>
      <c r="U2537" s="48"/>
      <c r="V2537" s="48"/>
      <c r="W2537" s="49"/>
      <c r="X2537" s="49"/>
      <c r="Y2537" s="49"/>
      <c r="Z2537" s="49"/>
      <c r="AA2537" s="49"/>
      <c r="AB2537" s="49"/>
      <c r="AC2537" s="49"/>
      <c r="AD2537" s="49"/>
      <c r="AE2537" s="49"/>
      <c r="AF2537" s="49"/>
      <c r="AG2537" s="49"/>
      <c r="AH2537" s="49"/>
      <c r="AI2537" s="48"/>
      <c r="AJ2537" s="48"/>
      <c r="AK2537" s="24"/>
      <c r="AL2537" s="50"/>
      <c r="AM2537" s="50"/>
      <c r="AN2537" s="50"/>
      <c r="AO2537" s="50"/>
      <c r="AP2537" s="50"/>
      <c r="AQ2537" s="50"/>
      <c r="AR2537" s="50"/>
      <c r="AS2537" s="50"/>
      <c r="AT2537" s="51"/>
      <c r="AU2537" s="51"/>
      <c r="AV2537" s="51"/>
      <c r="AW2537" s="51"/>
      <c r="AX2537" s="50"/>
      <c r="AY2537" s="50"/>
      <c r="AZ2537" s="50"/>
      <c r="BA2537" s="50"/>
      <c r="BB2537" s="51"/>
      <c r="BC2537" s="51"/>
      <c r="BD2537" s="51"/>
      <c r="BE2537" s="51"/>
      <c r="BF2537" s="47"/>
      <c r="BG2537" s="47"/>
      <c r="BH2537" s="47"/>
      <c r="BI2537" s="47"/>
      <c r="BJ2537" s="47"/>
      <c r="BK2537" s="47"/>
      <c r="BL2537" s="47"/>
      <c r="BM2537" s="47"/>
      <c r="BN2537" s="47"/>
      <c r="BO2537" s="47"/>
      <c r="BP2537" s="47"/>
      <c r="BQ2537" s="47"/>
      <c r="BR2537" s="47"/>
      <c r="BS2537" s="47"/>
      <c r="BT2537" s="47"/>
    </row>
    <row r="2538">
      <c r="A2538" s="24"/>
      <c r="B2538" s="48"/>
      <c r="C2538" s="49"/>
      <c r="D2538" s="24"/>
      <c r="E2538" s="52"/>
      <c r="F2538" s="53"/>
      <c r="G2538" s="48"/>
      <c r="H2538" s="49"/>
      <c r="I2538" s="49"/>
      <c r="J2538" s="48"/>
      <c r="K2538" s="48"/>
      <c r="L2538" s="48"/>
      <c r="M2538" s="48"/>
      <c r="N2538" s="48"/>
      <c r="O2538" s="48"/>
      <c r="P2538" s="48"/>
      <c r="Q2538" s="48"/>
      <c r="R2538" s="48"/>
      <c r="S2538" s="48"/>
      <c r="T2538" s="48"/>
      <c r="U2538" s="48"/>
      <c r="V2538" s="48"/>
      <c r="W2538" s="49"/>
      <c r="X2538" s="49"/>
      <c r="Y2538" s="49"/>
      <c r="Z2538" s="49"/>
      <c r="AA2538" s="49"/>
      <c r="AB2538" s="49"/>
      <c r="AC2538" s="49"/>
      <c r="AD2538" s="49"/>
      <c r="AE2538" s="49"/>
      <c r="AF2538" s="49"/>
      <c r="AG2538" s="49"/>
      <c r="AH2538" s="49"/>
      <c r="AI2538" s="48"/>
      <c r="AJ2538" s="48"/>
      <c r="AK2538" s="24"/>
      <c r="AL2538" s="50"/>
      <c r="AM2538" s="50"/>
      <c r="AN2538" s="50"/>
      <c r="AO2538" s="50"/>
      <c r="AP2538" s="50"/>
      <c r="AQ2538" s="50"/>
      <c r="AR2538" s="50"/>
      <c r="AS2538" s="50"/>
      <c r="AT2538" s="51"/>
      <c r="AU2538" s="51"/>
      <c r="AV2538" s="51"/>
      <c r="AW2538" s="51"/>
      <c r="AX2538" s="50"/>
      <c r="AY2538" s="50"/>
      <c r="AZ2538" s="50"/>
      <c r="BA2538" s="50"/>
      <c r="BB2538" s="51"/>
      <c r="BC2538" s="51"/>
      <c r="BD2538" s="51"/>
      <c r="BE2538" s="51"/>
      <c r="BF2538" s="47"/>
      <c r="BG2538" s="47"/>
      <c r="BH2538" s="47"/>
      <c r="BI2538" s="47"/>
      <c r="BJ2538" s="47"/>
      <c r="BK2538" s="47"/>
      <c r="BL2538" s="47"/>
      <c r="BM2538" s="47"/>
      <c r="BN2538" s="47"/>
      <c r="BO2538" s="47"/>
      <c r="BP2538" s="47"/>
      <c r="BQ2538" s="47"/>
      <c r="BR2538" s="47"/>
      <c r="BS2538" s="47"/>
      <c r="BT2538" s="47"/>
    </row>
    <row r="2539">
      <c r="A2539" s="24"/>
      <c r="B2539" s="48"/>
      <c r="C2539" s="49"/>
      <c r="D2539" s="24"/>
      <c r="E2539" s="52"/>
      <c r="F2539" s="53"/>
      <c r="G2539" s="48"/>
      <c r="H2539" s="49"/>
      <c r="I2539" s="49"/>
      <c r="J2539" s="48"/>
      <c r="K2539" s="48"/>
      <c r="L2539" s="48"/>
      <c r="M2539" s="48"/>
      <c r="N2539" s="48"/>
      <c r="O2539" s="48"/>
      <c r="P2539" s="48"/>
      <c r="Q2539" s="48"/>
      <c r="R2539" s="48"/>
      <c r="S2539" s="48"/>
      <c r="T2539" s="48"/>
      <c r="U2539" s="48"/>
      <c r="V2539" s="48"/>
      <c r="W2539" s="49"/>
      <c r="X2539" s="49"/>
      <c r="Y2539" s="49"/>
      <c r="Z2539" s="49"/>
      <c r="AA2539" s="49"/>
      <c r="AB2539" s="49"/>
      <c r="AC2539" s="49"/>
      <c r="AD2539" s="49"/>
      <c r="AE2539" s="49"/>
      <c r="AF2539" s="49"/>
      <c r="AG2539" s="49"/>
      <c r="AH2539" s="49"/>
      <c r="AI2539" s="48"/>
      <c r="AJ2539" s="48"/>
      <c r="AK2539" s="24"/>
      <c r="AL2539" s="50"/>
      <c r="AM2539" s="50"/>
      <c r="AN2539" s="50"/>
      <c r="AO2539" s="50"/>
      <c r="AP2539" s="50"/>
      <c r="AQ2539" s="50"/>
      <c r="AR2539" s="50"/>
      <c r="AS2539" s="50"/>
      <c r="AT2539" s="51"/>
      <c r="AU2539" s="51"/>
      <c r="AV2539" s="51"/>
      <c r="AW2539" s="51"/>
      <c r="AX2539" s="50"/>
      <c r="AY2539" s="50"/>
      <c r="AZ2539" s="50"/>
      <c r="BA2539" s="50"/>
      <c r="BB2539" s="51"/>
      <c r="BC2539" s="51"/>
      <c r="BD2539" s="51"/>
      <c r="BE2539" s="51"/>
      <c r="BF2539" s="47"/>
      <c r="BG2539" s="47"/>
      <c r="BH2539" s="47"/>
      <c r="BI2539" s="47"/>
      <c r="BJ2539" s="47"/>
      <c r="BK2539" s="47"/>
      <c r="BL2539" s="47"/>
      <c r="BM2539" s="47"/>
      <c r="BN2539" s="47"/>
      <c r="BO2539" s="47"/>
      <c r="BP2539" s="47"/>
      <c r="BQ2539" s="47"/>
      <c r="BR2539" s="47"/>
      <c r="BS2539" s="47"/>
      <c r="BT2539" s="47"/>
    </row>
    <row r="2540">
      <c r="A2540" s="24"/>
      <c r="B2540" s="48"/>
      <c r="C2540" s="49"/>
      <c r="D2540" s="24"/>
      <c r="E2540" s="52"/>
      <c r="F2540" s="53"/>
      <c r="G2540" s="48"/>
      <c r="H2540" s="49"/>
      <c r="I2540" s="49"/>
      <c r="J2540" s="48"/>
      <c r="K2540" s="48"/>
      <c r="L2540" s="48"/>
      <c r="M2540" s="48"/>
      <c r="N2540" s="48"/>
      <c r="O2540" s="48"/>
      <c r="P2540" s="48"/>
      <c r="Q2540" s="48"/>
      <c r="R2540" s="48"/>
      <c r="S2540" s="48"/>
      <c r="T2540" s="48"/>
      <c r="U2540" s="48"/>
      <c r="V2540" s="48"/>
      <c r="W2540" s="49"/>
      <c r="X2540" s="49"/>
      <c r="Y2540" s="49"/>
      <c r="Z2540" s="49"/>
      <c r="AA2540" s="49"/>
      <c r="AB2540" s="49"/>
      <c r="AC2540" s="49"/>
      <c r="AD2540" s="49"/>
      <c r="AE2540" s="49"/>
      <c r="AF2540" s="49"/>
      <c r="AG2540" s="49"/>
      <c r="AH2540" s="49"/>
      <c r="AI2540" s="48"/>
      <c r="AJ2540" s="48"/>
      <c r="AK2540" s="24"/>
      <c r="AL2540" s="50"/>
      <c r="AM2540" s="50"/>
      <c r="AN2540" s="50"/>
      <c r="AO2540" s="50"/>
      <c r="AP2540" s="50"/>
      <c r="AQ2540" s="50"/>
      <c r="AR2540" s="50"/>
      <c r="AS2540" s="50"/>
      <c r="AT2540" s="51"/>
      <c r="AU2540" s="51"/>
      <c r="AV2540" s="51"/>
      <c r="AW2540" s="51"/>
      <c r="AX2540" s="50"/>
      <c r="AY2540" s="50"/>
      <c r="AZ2540" s="50"/>
      <c r="BA2540" s="50"/>
      <c r="BB2540" s="51"/>
      <c r="BC2540" s="51"/>
      <c r="BD2540" s="51"/>
      <c r="BE2540" s="51"/>
      <c r="BF2540" s="47"/>
      <c r="BG2540" s="47"/>
      <c r="BH2540" s="47"/>
      <c r="BI2540" s="47"/>
      <c r="BJ2540" s="47"/>
      <c r="BK2540" s="47"/>
      <c r="BL2540" s="47"/>
      <c r="BM2540" s="47"/>
      <c r="BN2540" s="47"/>
      <c r="BO2540" s="47"/>
      <c r="BP2540" s="47"/>
      <c r="BQ2540" s="47"/>
      <c r="BR2540" s="47"/>
      <c r="BS2540" s="47"/>
      <c r="BT2540" s="47"/>
    </row>
    <row r="2541">
      <c r="A2541" s="24"/>
      <c r="B2541" s="48"/>
      <c r="C2541" s="49"/>
      <c r="D2541" s="24"/>
      <c r="E2541" s="52"/>
      <c r="F2541" s="53"/>
      <c r="G2541" s="48"/>
      <c r="H2541" s="49"/>
      <c r="I2541" s="49"/>
      <c r="J2541" s="48"/>
      <c r="K2541" s="48"/>
      <c r="L2541" s="48"/>
      <c r="M2541" s="48"/>
      <c r="N2541" s="48"/>
      <c r="O2541" s="48"/>
      <c r="P2541" s="48"/>
      <c r="Q2541" s="48"/>
      <c r="R2541" s="48"/>
      <c r="S2541" s="48"/>
      <c r="T2541" s="48"/>
      <c r="U2541" s="48"/>
      <c r="V2541" s="48"/>
      <c r="W2541" s="49"/>
      <c r="X2541" s="49"/>
      <c r="Y2541" s="49"/>
      <c r="Z2541" s="49"/>
      <c r="AA2541" s="49"/>
      <c r="AB2541" s="49"/>
      <c r="AC2541" s="49"/>
      <c r="AD2541" s="49"/>
      <c r="AE2541" s="49"/>
      <c r="AF2541" s="49"/>
      <c r="AG2541" s="49"/>
      <c r="AH2541" s="49"/>
      <c r="AI2541" s="48"/>
      <c r="AJ2541" s="48"/>
      <c r="AK2541" s="24"/>
      <c r="AL2541" s="50"/>
      <c r="AM2541" s="50"/>
      <c r="AN2541" s="50"/>
      <c r="AO2541" s="50"/>
      <c r="AP2541" s="50"/>
      <c r="AQ2541" s="50"/>
      <c r="AR2541" s="50"/>
      <c r="AS2541" s="50"/>
      <c r="AT2541" s="51"/>
      <c r="AU2541" s="51"/>
      <c r="AV2541" s="51"/>
      <c r="AW2541" s="51"/>
      <c r="AX2541" s="50"/>
      <c r="AY2541" s="50"/>
      <c r="AZ2541" s="50"/>
      <c r="BA2541" s="50"/>
      <c r="BB2541" s="51"/>
      <c r="BC2541" s="51"/>
      <c r="BD2541" s="51"/>
      <c r="BE2541" s="51"/>
      <c r="BF2541" s="47"/>
      <c r="BG2541" s="47"/>
      <c r="BH2541" s="47"/>
      <c r="BI2541" s="47"/>
      <c r="BJ2541" s="47"/>
      <c r="BK2541" s="47"/>
      <c r="BL2541" s="47"/>
      <c r="BM2541" s="47"/>
      <c r="BN2541" s="47"/>
      <c r="BO2541" s="47"/>
      <c r="BP2541" s="47"/>
      <c r="BQ2541" s="47"/>
      <c r="BR2541" s="47"/>
      <c r="BS2541" s="47"/>
      <c r="BT2541" s="47"/>
    </row>
    <row r="2542">
      <c r="A2542" s="24"/>
      <c r="B2542" s="48"/>
      <c r="C2542" s="49"/>
      <c r="D2542" s="24"/>
      <c r="E2542" s="52"/>
      <c r="F2542" s="53"/>
      <c r="G2542" s="48"/>
      <c r="H2542" s="49"/>
      <c r="I2542" s="49"/>
      <c r="J2542" s="48"/>
      <c r="K2542" s="48"/>
      <c r="L2542" s="48"/>
      <c r="M2542" s="48"/>
      <c r="N2542" s="48"/>
      <c r="O2542" s="48"/>
      <c r="P2542" s="48"/>
      <c r="Q2542" s="48"/>
      <c r="R2542" s="48"/>
      <c r="S2542" s="48"/>
      <c r="T2542" s="48"/>
      <c r="U2542" s="48"/>
      <c r="V2542" s="48"/>
      <c r="W2542" s="49"/>
      <c r="X2542" s="49"/>
      <c r="Y2542" s="49"/>
      <c r="Z2542" s="49"/>
      <c r="AA2542" s="49"/>
      <c r="AB2542" s="49"/>
      <c r="AC2542" s="49"/>
      <c r="AD2542" s="49"/>
      <c r="AE2542" s="49"/>
      <c r="AF2542" s="49"/>
      <c r="AG2542" s="49"/>
      <c r="AH2542" s="49"/>
      <c r="AI2542" s="48"/>
      <c r="AJ2542" s="48"/>
      <c r="AK2542" s="24"/>
      <c r="AL2542" s="50"/>
      <c r="AM2542" s="50"/>
      <c r="AN2542" s="50"/>
      <c r="AO2542" s="50"/>
      <c r="AP2542" s="50"/>
      <c r="AQ2542" s="50"/>
      <c r="AR2542" s="50"/>
      <c r="AS2542" s="50"/>
      <c r="AT2542" s="51"/>
      <c r="AU2542" s="51"/>
      <c r="AV2542" s="51"/>
      <c r="AW2542" s="51"/>
      <c r="AX2542" s="50"/>
      <c r="AY2542" s="50"/>
      <c r="AZ2542" s="50"/>
      <c r="BA2542" s="50"/>
      <c r="BB2542" s="51"/>
      <c r="BC2542" s="51"/>
      <c r="BD2542" s="51"/>
      <c r="BE2542" s="51"/>
      <c r="BF2542" s="47"/>
      <c r="BG2542" s="47"/>
      <c r="BH2542" s="47"/>
      <c r="BI2542" s="47"/>
      <c r="BJ2542" s="47"/>
      <c r="BK2542" s="47"/>
      <c r="BL2542" s="47"/>
      <c r="BM2542" s="47"/>
      <c r="BN2542" s="47"/>
      <c r="BO2542" s="47"/>
      <c r="BP2542" s="47"/>
      <c r="BQ2542" s="47"/>
      <c r="BR2542" s="47"/>
      <c r="BS2542" s="47"/>
      <c r="BT2542" s="47"/>
    </row>
    <row r="2543">
      <c r="A2543" s="24"/>
      <c r="B2543" s="48"/>
      <c r="C2543" s="49"/>
      <c r="D2543" s="24"/>
      <c r="E2543" s="52"/>
      <c r="F2543" s="53"/>
      <c r="G2543" s="48"/>
      <c r="H2543" s="49"/>
      <c r="I2543" s="49"/>
      <c r="J2543" s="48"/>
      <c r="K2543" s="48"/>
      <c r="L2543" s="48"/>
      <c r="M2543" s="48"/>
      <c r="N2543" s="48"/>
      <c r="O2543" s="48"/>
      <c r="P2543" s="48"/>
      <c r="Q2543" s="48"/>
      <c r="R2543" s="48"/>
      <c r="S2543" s="48"/>
      <c r="T2543" s="48"/>
      <c r="U2543" s="48"/>
      <c r="V2543" s="48"/>
      <c r="W2543" s="49"/>
      <c r="X2543" s="49"/>
      <c r="Y2543" s="49"/>
      <c r="Z2543" s="49"/>
      <c r="AA2543" s="49"/>
      <c r="AB2543" s="49"/>
      <c r="AC2543" s="49"/>
      <c r="AD2543" s="49"/>
      <c r="AE2543" s="49"/>
      <c r="AF2543" s="49"/>
      <c r="AG2543" s="49"/>
      <c r="AH2543" s="49"/>
      <c r="AI2543" s="48"/>
      <c r="AJ2543" s="48"/>
      <c r="AK2543" s="24"/>
      <c r="AL2543" s="50"/>
      <c r="AM2543" s="50"/>
      <c r="AN2543" s="50"/>
      <c r="AO2543" s="50"/>
      <c r="AP2543" s="50"/>
      <c r="AQ2543" s="50"/>
      <c r="AR2543" s="50"/>
      <c r="AS2543" s="50"/>
      <c r="AT2543" s="51"/>
      <c r="AU2543" s="51"/>
      <c r="AV2543" s="51"/>
      <c r="AW2543" s="51"/>
      <c r="AX2543" s="50"/>
      <c r="AY2543" s="50"/>
      <c r="AZ2543" s="50"/>
      <c r="BA2543" s="50"/>
      <c r="BB2543" s="51"/>
      <c r="BC2543" s="51"/>
      <c r="BD2543" s="51"/>
      <c r="BE2543" s="51"/>
      <c r="BF2543" s="47"/>
      <c r="BG2543" s="47"/>
      <c r="BH2543" s="47"/>
      <c r="BI2543" s="47"/>
      <c r="BJ2543" s="47"/>
      <c r="BK2543" s="47"/>
      <c r="BL2543" s="47"/>
      <c r="BM2543" s="47"/>
      <c r="BN2543" s="47"/>
      <c r="BO2543" s="47"/>
      <c r="BP2543" s="47"/>
      <c r="BQ2543" s="47"/>
      <c r="BR2543" s="47"/>
      <c r="BS2543" s="47"/>
      <c r="BT2543" s="47"/>
    </row>
    <row r="2544">
      <c r="A2544" s="24"/>
      <c r="B2544" s="48"/>
      <c r="C2544" s="49"/>
      <c r="D2544" s="24"/>
      <c r="E2544" s="52"/>
      <c r="F2544" s="53"/>
      <c r="G2544" s="48"/>
      <c r="H2544" s="49"/>
      <c r="I2544" s="49"/>
      <c r="J2544" s="48"/>
      <c r="K2544" s="48"/>
      <c r="L2544" s="48"/>
      <c r="M2544" s="48"/>
      <c r="N2544" s="48"/>
      <c r="O2544" s="48"/>
      <c r="P2544" s="48"/>
      <c r="Q2544" s="48"/>
      <c r="R2544" s="48"/>
      <c r="S2544" s="48"/>
      <c r="T2544" s="48"/>
      <c r="U2544" s="48"/>
      <c r="V2544" s="48"/>
      <c r="W2544" s="49"/>
      <c r="X2544" s="49"/>
      <c r="Y2544" s="49"/>
      <c r="Z2544" s="49"/>
      <c r="AA2544" s="49"/>
      <c r="AB2544" s="49"/>
      <c r="AC2544" s="49"/>
      <c r="AD2544" s="49"/>
      <c r="AE2544" s="49"/>
      <c r="AF2544" s="49"/>
      <c r="AG2544" s="49"/>
      <c r="AH2544" s="49"/>
      <c r="AI2544" s="48"/>
      <c r="AJ2544" s="48"/>
      <c r="AK2544" s="24"/>
      <c r="AL2544" s="50"/>
      <c r="AM2544" s="50"/>
      <c r="AN2544" s="50"/>
      <c r="AO2544" s="50"/>
      <c r="AP2544" s="50"/>
      <c r="AQ2544" s="50"/>
      <c r="AR2544" s="50"/>
      <c r="AS2544" s="50"/>
      <c r="AT2544" s="51"/>
      <c r="AU2544" s="51"/>
      <c r="AV2544" s="51"/>
      <c r="AW2544" s="51"/>
      <c r="AX2544" s="50"/>
      <c r="AY2544" s="50"/>
      <c r="AZ2544" s="50"/>
      <c r="BA2544" s="50"/>
      <c r="BB2544" s="51"/>
      <c r="BC2544" s="51"/>
      <c r="BD2544" s="51"/>
      <c r="BE2544" s="51"/>
      <c r="BF2544" s="47"/>
      <c r="BG2544" s="47"/>
      <c r="BH2544" s="47"/>
      <c r="BI2544" s="47"/>
      <c r="BJ2544" s="47"/>
      <c r="BK2544" s="47"/>
      <c r="BL2544" s="47"/>
      <c r="BM2544" s="47"/>
      <c r="BN2544" s="47"/>
      <c r="BO2544" s="47"/>
      <c r="BP2544" s="47"/>
      <c r="BQ2544" s="47"/>
      <c r="BR2544" s="47"/>
      <c r="BS2544" s="47"/>
      <c r="BT2544" s="47"/>
    </row>
    <row r="2545">
      <c r="A2545" s="24"/>
      <c r="B2545" s="48"/>
      <c r="C2545" s="49"/>
      <c r="D2545" s="24"/>
      <c r="E2545" s="52"/>
      <c r="F2545" s="53"/>
      <c r="G2545" s="48"/>
      <c r="H2545" s="49"/>
      <c r="I2545" s="49"/>
      <c r="J2545" s="48"/>
      <c r="K2545" s="48"/>
      <c r="L2545" s="48"/>
      <c r="M2545" s="48"/>
      <c r="N2545" s="48"/>
      <c r="O2545" s="48"/>
      <c r="P2545" s="48"/>
      <c r="Q2545" s="48"/>
      <c r="R2545" s="48"/>
      <c r="S2545" s="48"/>
      <c r="T2545" s="48"/>
      <c r="U2545" s="48"/>
      <c r="V2545" s="48"/>
      <c r="W2545" s="49"/>
      <c r="X2545" s="49"/>
      <c r="Y2545" s="49"/>
      <c r="Z2545" s="49"/>
      <c r="AA2545" s="49"/>
      <c r="AB2545" s="49"/>
      <c r="AC2545" s="49"/>
      <c r="AD2545" s="49"/>
      <c r="AE2545" s="49"/>
      <c r="AF2545" s="49"/>
      <c r="AG2545" s="49"/>
      <c r="AH2545" s="49"/>
      <c r="AI2545" s="48"/>
      <c r="AJ2545" s="48"/>
      <c r="AK2545" s="24"/>
      <c r="AL2545" s="50"/>
      <c r="AM2545" s="50"/>
      <c r="AN2545" s="50"/>
      <c r="AO2545" s="50"/>
      <c r="AP2545" s="50"/>
      <c r="AQ2545" s="50"/>
      <c r="AR2545" s="50"/>
      <c r="AS2545" s="50"/>
      <c r="AT2545" s="51"/>
      <c r="AU2545" s="51"/>
      <c r="AV2545" s="51"/>
      <c r="AW2545" s="51"/>
      <c r="AX2545" s="50"/>
      <c r="AY2545" s="50"/>
      <c r="AZ2545" s="50"/>
      <c r="BA2545" s="50"/>
      <c r="BB2545" s="51"/>
      <c r="BC2545" s="51"/>
      <c r="BD2545" s="51"/>
      <c r="BE2545" s="51"/>
      <c r="BF2545" s="47"/>
      <c r="BG2545" s="47"/>
      <c r="BH2545" s="47"/>
      <c r="BI2545" s="47"/>
      <c r="BJ2545" s="47"/>
      <c r="BK2545" s="47"/>
      <c r="BL2545" s="47"/>
      <c r="BM2545" s="47"/>
      <c r="BN2545" s="47"/>
      <c r="BO2545" s="47"/>
      <c r="BP2545" s="47"/>
      <c r="BQ2545" s="47"/>
      <c r="BR2545" s="47"/>
      <c r="BS2545" s="47"/>
      <c r="BT2545" s="47"/>
    </row>
    <row r="2546">
      <c r="A2546" s="24"/>
      <c r="B2546" s="48"/>
      <c r="C2546" s="49"/>
      <c r="D2546" s="24"/>
      <c r="E2546" s="52"/>
      <c r="F2546" s="53"/>
      <c r="G2546" s="48"/>
      <c r="H2546" s="49"/>
      <c r="I2546" s="49"/>
      <c r="J2546" s="48"/>
      <c r="K2546" s="48"/>
      <c r="L2546" s="48"/>
      <c r="M2546" s="48"/>
      <c r="N2546" s="48"/>
      <c r="O2546" s="48"/>
      <c r="P2546" s="48"/>
      <c r="Q2546" s="48"/>
      <c r="R2546" s="48"/>
      <c r="S2546" s="48"/>
      <c r="T2546" s="48"/>
      <c r="U2546" s="48"/>
      <c r="V2546" s="48"/>
      <c r="W2546" s="49"/>
      <c r="X2546" s="49"/>
      <c r="Y2546" s="49"/>
      <c r="Z2546" s="49"/>
      <c r="AA2546" s="49"/>
      <c r="AB2546" s="49"/>
      <c r="AC2546" s="49"/>
      <c r="AD2546" s="49"/>
      <c r="AE2546" s="49"/>
      <c r="AF2546" s="49"/>
      <c r="AG2546" s="49"/>
      <c r="AH2546" s="49"/>
      <c r="AI2546" s="48"/>
      <c r="AJ2546" s="48"/>
      <c r="AK2546" s="24"/>
      <c r="AL2546" s="50"/>
      <c r="AM2546" s="50"/>
      <c r="AN2546" s="50"/>
      <c r="AO2546" s="50"/>
      <c r="AP2546" s="50"/>
      <c r="AQ2546" s="50"/>
      <c r="AR2546" s="50"/>
      <c r="AS2546" s="50"/>
      <c r="AT2546" s="51"/>
      <c r="AU2546" s="51"/>
      <c r="AV2546" s="51"/>
      <c r="AW2546" s="51"/>
      <c r="AX2546" s="50"/>
      <c r="AY2546" s="50"/>
      <c r="AZ2546" s="50"/>
      <c r="BA2546" s="50"/>
      <c r="BB2546" s="51"/>
      <c r="BC2546" s="51"/>
      <c r="BD2546" s="51"/>
      <c r="BE2546" s="51"/>
      <c r="BF2546" s="47"/>
      <c r="BG2546" s="47"/>
      <c r="BH2546" s="47"/>
      <c r="BI2546" s="47"/>
      <c r="BJ2546" s="47"/>
      <c r="BK2546" s="47"/>
      <c r="BL2546" s="47"/>
      <c r="BM2546" s="47"/>
      <c r="BN2546" s="47"/>
      <c r="BO2546" s="47"/>
      <c r="BP2546" s="47"/>
      <c r="BQ2546" s="47"/>
      <c r="BR2546" s="47"/>
      <c r="BS2546" s="47"/>
      <c r="BT2546" s="47"/>
    </row>
    <row r="2547">
      <c r="A2547" s="24"/>
      <c r="B2547" s="48"/>
      <c r="C2547" s="49"/>
      <c r="D2547" s="24"/>
      <c r="E2547" s="52"/>
      <c r="F2547" s="53"/>
      <c r="G2547" s="48"/>
      <c r="H2547" s="49"/>
      <c r="I2547" s="49"/>
      <c r="J2547" s="48"/>
      <c r="K2547" s="48"/>
      <c r="L2547" s="48"/>
      <c r="M2547" s="48"/>
      <c r="N2547" s="48"/>
      <c r="O2547" s="48"/>
      <c r="P2547" s="48"/>
      <c r="Q2547" s="48"/>
      <c r="R2547" s="48"/>
      <c r="S2547" s="48"/>
      <c r="T2547" s="48"/>
      <c r="U2547" s="48"/>
      <c r="V2547" s="48"/>
      <c r="W2547" s="49"/>
      <c r="X2547" s="49"/>
      <c r="Y2547" s="49"/>
      <c r="Z2547" s="49"/>
      <c r="AA2547" s="49"/>
      <c r="AB2547" s="49"/>
      <c r="AC2547" s="49"/>
      <c r="AD2547" s="49"/>
      <c r="AE2547" s="49"/>
      <c r="AF2547" s="49"/>
      <c r="AG2547" s="49"/>
      <c r="AH2547" s="49"/>
      <c r="AI2547" s="48"/>
      <c r="AJ2547" s="48"/>
      <c r="AK2547" s="24"/>
      <c r="AL2547" s="50"/>
      <c r="AM2547" s="50"/>
      <c r="AN2547" s="50"/>
      <c r="AO2547" s="50"/>
      <c r="AP2547" s="50"/>
      <c r="AQ2547" s="50"/>
      <c r="AR2547" s="50"/>
      <c r="AS2547" s="50"/>
      <c r="AT2547" s="51"/>
      <c r="AU2547" s="51"/>
      <c r="AV2547" s="51"/>
      <c r="AW2547" s="51"/>
      <c r="AX2547" s="50"/>
      <c r="AY2547" s="50"/>
      <c r="AZ2547" s="50"/>
      <c r="BA2547" s="50"/>
      <c r="BB2547" s="51"/>
      <c r="BC2547" s="51"/>
      <c r="BD2547" s="51"/>
      <c r="BE2547" s="51"/>
      <c r="BF2547" s="47"/>
      <c r="BG2547" s="47"/>
      <c r="BH2547" s="47"/>
      <c r="BI2547" s="47"/>
      <c r="BJ2547" s="47"/>
      <c r="BK2547" s="47"/>
      <c r="BL2547" s="47"/>
      <c r="BM2547" s="47"/>
      <c r="BN2547" s="47"/>
      <c r="BO2547" s="47"/>
      <c r="BP2547" s="47"/>
      <c r="BQ2547" s="47"/>
      <c r="BR2547" s="47"/>
      <c r="BS2547" s="47"/>
      <c r="BT2547" s="47"/>
    </row>
    <row r="2548">
      <c r="A2548" s="24"/>
      <c r="B2548" s="48"/>
      <c r="C2548" s="49"/>
      <c r="D2548" s="24"/>
      <c r="E2548" s="52"/>
      <c r="F2548" s="53"/>
      <c r="G2548" s="48"/>
      <c r="H2548" s="49"/>
      <c r="I2548" s="49"/>
      <c r="J2548" s="48"/>
      <c r="K2548" s="48"/>
      <c r="L2548" s="48"/>
      <c r="M2548" s="48"/>
      <c r="N2548" s="48"/>
      <c r="O2548" s="48"/>
      <c r="P2548" s="48"/>
      <c r="Q2548" s="48"/>
      <c r="R2548" s="48"/>
      <c r="S2548" s="48"/>
      <c r="T2548" s="48"/>
      <c r="U2548" s="48"/>
      <c r="V2548" s="48"/>
      <c r="W2548" s="49"/>
      <c r="X2548" s="49"/>
      <c r="Y2548" s="49"/>
      <c r="Z2548" s="49"/>
      <c r="AA2548" s="49"/>
      <c r="AB2548" s="49"/>
      <c r="AC2548" s="49"/>
      <c r="AD2548" s="49"/>
      <c r="AE2548" s="49"/>
      <c r="AF2548" s="49"/>
      <c r="AG2548" s="49"/>
      <c r="AH2548" s="49"/>
      <c r="AI2548" s="48"/>
      <c r="AJ2548" s="48"/>
      <c r="AK2548" s="24"/>
      <c r="AL2548" s="50"/>
      <c r="AM2548" s="50"/>
      <c r="AN2548" s="50"/>
      <c r="AO2548" s="50"/>
      <c r="AP2548" s="50"/>
      <c r="AQ2548" s="50"/>
      <c r="AR2548" s="50"/>
      <c r="AS2548" s="50"/>
      <c r="AT2548" s="51"/>
      <c r="AU2548" s="51"/>
      <c r="AV2548" s="51"/>
      <c r="AW2548" s="51"/>
      <c r="AX2548" s="50"/>
      <c r="AY2548" s="50"/>
      <c r="AZ2548" s="50"/>
      <c r="BA2548" s="50"/>
      <c r="BB2548" s="51"/>
      <c r="BC2548" s="51"/>
      <c r="BD2548" s="51"/>
      <c r="BE2548" s="51"/>
      <c r="BF2548" s="47"/>
      <c r="BG2548" s="47"/>
      <c r="BH2548" s="47"/>
      <c r="BI2548" s="47"/>
      <c r="BJ2548" s="47"/>
      <c r="BK2548" s="47"/>
      <c r="BL2548" s="47"/>
      <c r="BM2548" s="47"/>
      <c r="BN2548" s="47"/>
      <c r="BO2548" s="47"/>
      <c r="BP2548" s="47"/>
      <c r="BQ2548" s="47"/>
      <c r="BR2548" s="47"/>
      <c r="BS2548" s="47"/>
      <c r="BT2548" s="47"/>
    </row>
    <row r="2549">
      <c r="A2549" s="24"/>
      <c r="B2549" s="48"/>
      <c r="C2549" s="49"/>
      <c r="D2549" s="24"/>
      <c r="E2549" s="52"/>
      <c r="F2549" s="53"/>
      <c r="G2549" s="48"/>
      <c r="H2549" s="49"/>
      <c r="I2549" s="49"/>
      <c r="J2549" s="48"/>
      <c r="K2549" s="48"/>
      <c r="L2549" s="48"/>
      <c r="M2549" s="48"/>
      <c r="N2549" s="48"/>
      <c r="O2549" s="48"/>
      <c r="P2549" s="48"/>
      <c r="Q2549" s="48"/>
      <c r="R2549" s="48"/>
      <c r="S2549" s="48"/>
      <c r="T2549" s="48"/>
      <c r="U2549" s="48"/>
      <c r="V2549" s="48"/>
      <c r="W2549" s="49"/>
      <c r="X2549" s="49"/>
      <c r="Y2549" s="49"/>
      <c r="Z2549" s="49"/>
      <c r="AA2549" s="49"/>
      <c r="AB2549" s="49"/>
      <c r="AC2549" s="49"/>
      <c r="AD2549" s="49"/>
      <c r="AE2549" s="49"/>
      <c r="AF2549" s="49"/>
      <c r="AG2549" s="49"/>
      <c r="AH2549" s="49"/>
      <c r="AI2549" s="48"/>
      <c r="AJ2549" s="48"/>
      <c r="AK2549" s="24"/>
      <c r="AL2549" s="50"/>
      <c r="AM2549" s="50"/>
      <c r="AN2549" s="50"/>
      <c r="AO2549" s="50"/>
      <c r="AP2549" s="50"/>
      <c r="AQ2549" s="50"/>
      <c r="AR2549" s="50"/>
      <c r="AS2549" s="50"/>
      <c r="AT2549" s="51"/>
      <c r="AU2549" s="51"/>
      <c r="AV2549" s="51"/>
      <c r="AW2549" s="51"/>
      <c r="AX2549" s="50"/>
      <c r="AY2549" s="50"/>
      <c r="AZ2549" s="50"/>
      <c r="BA2549" s="50"/>
      <c r="BB2549" s="51"/>
      <c r="BC2549" s="51"/>
      <c r="BD2549" s="51"/>
      <c r="BE2549" s="51"/>
      <c r="BF2549" s="47"/>
      <c r="BG2549" s="47"/>
      <c r="BH2549" s="47"/>
      <c r="BI2549" s="47"/>
      <c r="BJ2549" s="47"/>
      <c r="BK2549" s="47"/>
      <c r="BL2549" s="47"/>
      <c r="BM2549" s="47"/>
      <c r="BN2549" s="47"/>
      <c r="BO2549" s="47"/>
      <c r="BP2549" s="47"/>
      <c r="BQ2549" s="47"/>
      <c r="BR2549" s="47"/>
      <c r="BS2549" s="47"/>
      <c r="BT2549" s="47"/>
    </row>
    <row r="2550">
      <c r="A2550" s="24"/>
      <c r="B2550" s="48"/>
      <c r="C2550" s="49"/>
      <c r="D2550" s="24"/>
      <c r="E2550" s="52"/>
      <c r="F2550" s="53"/>
      <c r="G2550" s="48"/>
      <c r="H2550" s="49"/>
      <c r="I2550" s="49"/>
      <c r="J2550" s="48"/>
      <c r="K2550" s="48"/>
      <c r="L2550" s="48"/>
      <c r="M2550" s="48"/>
      <c r="N2550" s="48"/>
      <c r="O2550" s="48"/>
      <c r="P2550" s="48"/>
      <c r="Q2550" s="48"/>
      <c r="R2550" s="48"/>
      <c r="S2550" s="48"/>
      <c r="T2550" s="48"/>
      <c r="U2550" s="48"/>
      <c r="V2550" s="48"/>
      <c r="W2550" s="49"/>
      <c r="X2550" s="49"/>
      <c r="Y2550" s="49"/>
      <c r="Z2550" s="49"/>
      <c r="AA2550" s="49"/>
      <c r="AB2550" s="49"/>
      <c r="AC2550" s="49"/>
      <c r="AD2550" s="49"/>
      <c r="AE2550" s="49"/>
      <c r="AF2550" s="49"/>
      <c r="AG2550" s="49"/>
      <c r="AH2550" s="49"/>
      <c r="AI2550" s="48"/>
      <c r="AJ2550" s="48"/>
      <c r="AK2550" s="24"/>
      <c r="AL2550" s="50"/>
      <c r="AM2550" s="50"/>
      <c r="AN2550" s="50"/>
      <c r="AO2550" s="50"/>
      <c r="AP2550" s="50"/>
      <c r="AQ2550" s="50"/>
      <c r="AR2550" s="50"/>
      <c r="AS2550" s="50"/>
      <c r="AT2550" s="51"/>
      <c r="AU2550" s="51"/>
      <c r="AV2550" s="51"/>
      <c r="AW2550" s="51"/>
      <c r="AX2550" s="50"/>
      <c r="AY2550" s="50"/>
      <c r="AZ2550" s="50"/>
      <c r="BA2550" s="50"/>
      <c r="BB2550" s="51"/>
      <c r="BC2550" s="51"/>
      <c r="BD2550" s="51"/>
      <c r="BE2550" s="51"/>
      <c r="BF2550" s="47"/>
      <c r="BG2550" s="47"/>
      <c r="BH2550" s="47"/>
      <c r="BI2550" s="47"/>
      <c r="BJ2550" s="47"/>
      <c r="BK2550" s="47"/>
      <c r="BL2550" s="47"/>
      <c r="BM2550" s="47"/>
      <c r="BN2550" s="47"/>
      <c r="BO2550" s="47"/>
      <c r="BP2550" s="47"/>
      <c r="BQ2550" s="47"/>
      <c r="BR2550" s="47"/>
      <c r="BS2550" s="47"/>
      <c r="BT2550" s="47"/>
    </row>
    <row r="2551">
      <c r="A2551" s="24"/>
      <c r="B2551" s="48"/>
      <c r="C2551" s="49"/>
      <c r="D2551" s="24"/>
      <c r="E2551" s="52"/>
      <c r="F2551" s="53"/>
      <c r="G2551" s="48"/>
      <c r="H2551" s="49"/>
      <c r="I2551" s="49"/>
      <c r="J2551" s="48"/>
      <c r="K2551" s="48"/>
      <c r="L2551" s="48"/>
      <c r="M2551" s="48"/>
      <c r="N2551" s="48"/>
      <c r="O2551" s="48"/>
      <c r="P2551" s="48"/>
      <c r="Q2551" s="48"/>
      <c r="R2551" s="48"/>
      <c r="S2551" s="48"/>
      <c r="T2551" s="48"/>
      <c r="U2551" s="48"/>
      <c r="V2551" s="48"/>
      <c r="W2551" s="49"/>
      <c r="X2551" s="49"/>
      <c r="Y2551" s="49"/>
      <c r="Z2551" s="49"/>
      <c r="AA2551" s="49"/>
      <c r="AB2551" s="49"/>
      <c r="AC2551" s="49"/>
      <c r="AD2551" s="49"/>
      <c r="AE2551" s="49"/>
      <c r="AF2551" s="49"/>
      <c r="AG2551" s="49"/>
      <c r="AH2551" s="49"/>
      <c r="AI2551" s="48"/>
      <c r="AJ2551" s="48"/>
      <c r="AK2551" s="24"/>
      <c r="AL2551" s="50"/>
      <c r="AM2551" s="50"/>
      <c r="AN2551" s="50"/>
      <c r="AO2551" s="50"/>
      <c r="AP2551" s="50"/>
      <c r="AQ2551" s="50"/>
      <c r="AR2551" s="50"/>
      <c r="AS2551" s="50"/>
      <c r="AT2551" s="51"/>
      <c r="AU2551" s="51"/>
      <c r="AV2551" s="51"/>
      <c r="AW2551" s="51"/>
      <c r="AX2551" s="50"/>
      <c r="AY2551" s="50"/>
      <c r="AZ2551" s="50"/>
      <c r="BA2551" s="50"/>
      <c r="BB2551" s="51"/>
      <c r="BC2551" s="51"/>
      <c r="BD2551" s="51"/>
      <c r="BE2551" s="51"/>
      <c r="BF2551" s="47"/>
      <c r="BG2551" s="47"/>
      <c r="BH2551" s="47"/>
      <c r="BI2551" s="47"/>
      <c r="BJ2551" s="47"/>
      <c r="BK2551" s="47"/>
      <c r="BL2551" s="47"/>
      <c r="BM2551" s="47"/>
      <c r="BN2551" s="47"/>
      <c r="BO2551" s="47"/>
      <c r="BP2551" s="47"/>
      <c r="BQ2551" s="47"/>
      <c r="BR2551" s="47"/>
      <c r="BS2551" s="47"/>
      <c r="BT2551" s="47"/>
    </row>
    <row r="2552">
      <c r="A2552" s="24"/>
      <c r="B2552" s="48"/>
      <c r="C2552" s="49"/>
      <c r="D2552" s="24"/>
      <c r="E2552" s="52"/>
      <c r="F2552" s="53"/>
      <c r="G2552" s="48"/>
      <c r="H2552" s="49"/>
      <c r="I2552" s="49"/>
      <c r="J2552" s="48"/>
      <c r="K2552" s="48"/>
      <c r="L2552" s="48"/>
      <c r="M2552" s="48"/>
      <c r="N2552" s="48"/>
      <c r="O2552" s="48"/>
      <c r="P2552" s="48"/>
      <c r="Q2552" s="48"/>
      <c r="R2552" s="48"/>
      <c r="S2552" s="48"/>
      <c r="T2552" s="48"/>
      <c r="U2552" s="48"/>
      <c r="V2552" s="48"/>
      <c r="W2552" s="49"/>
      <c r="X2552" s="49"/>
      <c r="Y2552" s="49"/>
      <c r="Z2552" s="49"/>
      <c r="AA2552" s="49"/>
      <c r="AB2552" s="49"/>
      <c r="AC2552" s="49"/>
      <c r="AD2552" s="49"/>
      <c r="AE2552" s="49"/>
      <c r="AF2552" s="49"/>
      <c r="AG2552" s="49"/>
      <c r="AH2552" s="49"/>
      <c r="AI2552" s="48"/>
      <c r="AJ2552" s="48"/>
      <c r="AK2552" s="24"/>
      <c r="AL2552" s="50"/>
      <c r="AM2552" s="50"/>
      <c r="AN2552" s="50"/>
      <c r="AO2552" s="50"/>
      <c r="AP2552" s="50"/>
      <c r="AQ2552" s="50"/>
      <c r="AR2552" s="50"/>
      <c r="AS2552" s="50"/>
      <c r="AT2552" s="51"/>
      <c r="AU2552" s="51"/>
      <c r="AV2552" s="51"/>
      <c r="AW2552" s="51"/>
      <c r="AX2552" s="50"/>
      <c r="AY2552" s="50"/>
      <c r="AZ2552" s="50"/>
      <c r="BA2552" s="50"/>
      <c r="BB2552" s="51"/>
      <c r="BC2552" s="51"/>
      <c r="BD2552" s="51"/>
      <c r="BE2552" s="51"/>
      <c r="BF2552" s="47"/>
      <c r="BG2552" s="47"/>
      <c r="BH2552" s="47"/>
      <c r="BI2552" s="47"/>
      <c r="BJ2552" s="47"/>
      <c r="BK2552" s="47"/>
      <c r="BL2552" s="47"/>
      <c r="BM2552" s="47"/>
      <c r="BN2552" s="47"/>
      <c r="BO2552" s="47"/>
      <c r="BP2552" s="47"/>
      <c r="BQ2552" s="47"/>
      <c r="BR2552" s="47"/>
      <c r="BS2552" s="47"/>
      <c r="BT2552" s="47"/>
    </row>
    <row r="2553">
      <c r="A2553" s="24"/>
      <c r="B2553" s="48"/>
      <c r="C2553" s="49"/>
      <c r="D2553" s="24"/>
      <c r="E2553" s="52"/>
      <c r="F2553" s="53"/>
      <c r="G2553" s="48"/>
      <c r="H2553" s="49"/>
      <c r="I2553" s="49"/>
      <c r="J2553" s="48"/>
      <c r="K2553" s="48"/>
      <c r="L2553" s="48"/>
      <c r="M2553" s="48"/>
      <c r="N2553" s="48"/>
      <c r="O2553" s="48"/>
      <c r="P2553" s="48"/>
      <c r="Q2553" s="48"/>
      <c r="R2553" s="48"/>
      <c r="S2553" s="48"/>
      <c r="T2553" s="48"/>
      <c r="U2553" s="48"/>
      <c r="V2553" s="48"/>
      <c r="W2553" s="49"/>
      <c r="X2553" s="49"/>
      <c r="Y2553" s="49"/>
      <c r="Z2553" s="49"/>
      <c r="AA2553" s="49"/>
      <c r="AB2553" s="49"/>
      <c r="AC2553" s="49"/>
      <c r="AD2553" s="49"/>
      <c r="AE2553" s="49"/>
      <c r="AF2553" s="49"/>
      <c r="AG2553" s="49"/>
      <c r="AH2553" s="49"/>
      <c r="AI2553" s="48"/>
      <c r="AJ2553" s="48"/>
      <c r="AK2553" s="24"/>
      <c r="AL2553" s="50"/>
      <c r="AM2553" s="50"/>
      <c r="AN2553" s="50"/>
      <c r="AO2553" s="50"/>
      <c r="AP2553" s="50"/>
      <c r="AQ2553" s="50"/>
      <c r="AR2553" s="50"/>
      <c r="AS2553" s="50"/>
      <c r="AT2553" s="51"/>
      <c r="AU2553" s="51"/>
      <c r="AV2553" s="51"/>
      <c r="AW2553" s="51"/>
      <c r="AX2553" s="50"/>
      <c r="AY2553" s="50"/>
      <c r="AZ2553" s="50"/>
      <c r="BA2553" s="50"/>
      <c r="BB2553" s="51"/>
      <c r="BC2553" s="51"/>
      <c r="BD2553" s="51"/>
      <c r="BE2553" s="51"/>
      <c r="BF2553" s="47"/>
      <c r="BG2553" s="47"/>
      <c r="BH2553" s="47"/>
      <c r="BI2553" s="47"/>
      <c r="BJ2553" s="47"/>
      <c r="BK2553" s="47"/>
      <c r="BL2553" s="47"/>
      <c r="BM2553" s="47"/>
      <c r="BN2553" s="47"/>
      <c r="BO2553" s="47"/>
      <c r="BP2553" s="47"/>
      <c r="BQ2553" s="47"/>
      <c r="BR2553" s="47"/>
      <c r="BS2553" s="47"/>
      <c r="BT2553" s="47"/>
    </row>
    <row r="2554">
      <c r="A2554" s="24"/>
      <c r="B2554" s="48"/>
      <c r="C2554" s="49"/>
      <c r="D2554" s="24"/>
      <c r="E2554" s="52"/>
      <c r="F2554" s="53"/>
      <c r="G2554" s="48"/>
      <c r="H2554" s="49"/>
      <c r="I2554" s="49"/>
      <c r="J2554" s="48"/>
      <c r="K2554" s="48"/>
      <c r="L2554" s="48"/>
      <c r="M2554" s="48"/>
      <c r="N2554" s="48"/>
      <c r="O2554" s="48"/>
      <c r="P2554" s="48"/>
      <c r="Q2554" s="48"/>
      <c r="R2554" s="48"/>
      <c r="S2554" s="48"/>
      <c r="T2554" s="48"/>
      <c r="U2554" s="48"/>
      <c r="V2554" s="48"/>
      <c r="W2554" s="49"/>
      <c r="X2554" s="49"/>
      <c r="Y2554" s="49"/>
      <c r="Z2554" s="49"/>
      <c r="AA2554" s="49"/>
      <c r="AB2554" s="49"/>
      <c r="AC2554" s="49"/>
      <c r="AD2554" s="49"/>
      <c r="AE2554" s="49"/>
      <c r="AF2554" s="49"/>
      <c r="AG2554" s="49"/>
      <c r="AH2554" s="49"/>
      <c r="AI2554" s="48"/>
      <c r="AJ2554" s="48"/>
      <c r="AK2554" s="24"/>
      <c r="AL2554" s="50"/>
      <c r="AM2554" s="50"/>
      <c r="AN2554" s="50"/>
      <c r="AO2554" s="50"/>
      <c r="AP2554" s="50"/>
      <c r="AQ2554" s="50"/>
      <c r="AR2554" s="50"/>
      <c r="AS2554" s="50"/>
      <c r="AT2554" s="51"/>
      <c r="AU2554" s="51"/>
      <c r="AV2554" s="51"/>
      <c r="AW2554" s="51"/>
      <c r="AX2554" s="50"/>
      <c r="AY2554" s="50"/>
      <c r="AZ2554" s="50"/>
      <c r="BA2554" s="50"/>
      <c r="BB2554" s="51"/>
      <c r="BC2554" s="51"/>
      <c r="BD2554" s="51"/>
      <c r="BE2554" s="51"/>
      <c r="BF2554" s="47"/>
      <c r="BG2554" s="47"/>
      <c r="BH2554" s="47"/>
      <c r="BI2554" s="47"/>
      <c r="BJ2554" s="47"/>
      <c r="BK2554" s="47"/>
      <c r="BL2554" s="47"/>
      <c r="BM2554" s="47"/>
      <c r="BN2554" s="47"/>
      <c r="BO2554" s="47"/>
      <c r="BP2554" s="47"/>
      <c r="BQ2554" s="47"/>
      <c r="BR2554" s="47"/>
      <c r="BS2554" s="47"/>
      <c r="BT2554" s="47"/>
    </row>
    <row r="2555">
      <c r="A2555" s="24"/>
      <c r="B2555" s="48"/>
      <c r="C2555" s="49"/>
      <c r="D2555" s="24"/>
      <c r="E2555" s="52"/>
      <c r="F2555" s="53"/>
      <c r="G2555" s="48"/>
      <c r="H2555" s="49"/>
      <c r="I2555" s="49"/>
      <c r="J2555" s="48"/>
      <c r="K2555" s="48"/>
      <c r="L2555" s="48"/>
      <c r="M2555" s="48"/>
      <c r="N2555" s="48"/>
      <c r="O2555" s="48"/>
      <c r="P2555" s="48"/>
      <c r="Q2555" s="48"/>
      <c r="R2555" s="48"/>
      <c r="S2555" s="48"/>
      <c r="T2555" s="48"/>
      <c r="U2555" s="48"/>
      <c r="V2555" s="48"/>
      <c r="W2555" s="49"/>
      <c r="X2555" s="49"/>
      <c r="Y2555" s="49"/>
      <c r="Z2555" s="49"/>
      <c r="AA2555" s="49"/>
      <c r="AB2555" s="49"/>
      <c r="AC2555" s="49"/>
      <c r="AD2555" s="49"/>
      <c r="AE2555" s="49"/>
      <c r="AF2555" s="49"/>
      <c r="AG2555" s="49"/>
      <c r="AH2555" s="49"/>
      <c r="AI2555" s="48"/>
      <c r="AJ2555" s="48"/>
      <c r="AK2555" s="24"/>
      <c r="AL2555" s="50"/>
      <c r="AM2555" s="50"/>
      <c r="AN2555" s="50"/>
      <c r="AO2555" s="50"/>
      <c r="AP2555" s="50"/>
      <c r="AQ2555" s="50"/>
      <c r="AR2555" s="50"/>
      <c r="AS2555" s="50"/>
      <c r="AT2555" s="51"/>
      <c r="AU2555" s="51"/>
      <c r="AV2555" s="51"/>
      <c r="AW2555" s="51"/>
      <c r="AX2555" s="50"/>
      <c r="AY2555" s="50"/>
      <c r="AZ2555" s="50"/>
      <c r="BA2555" s="50"/>
      <c r="BB2555" s="51"/>
      <c r="BC2555" s="51"/>
      <c r="BD2555" s="51"/>
      <c r="BE2555" s="51"/>
      <c r="BF2555" s="47"/>
      <c r="BG2555" s="47"/>
      <c r="BH2555" s="47"/>
      <c r="BI2555" s="47"/>
      <c r="BJ2555" s="47"/>
      <c r="BK2555" s="47"/>
      <c r="BL2555" s="47"/>
      <c r="BM2555" s="47"/>
      <c r="BN2555" s="47"/>
      <c r="BO2555" s="47"/>
      <c r="BP2555" s="47"/>
      <c r="BQ2555" s="47"/>
      <c r="BR2555" s="47"/>
      <c r="BS2555" s="47"/>
      <c r="BT2555" s="47"/>
    </row>
    <row r="2556">
      <c r="A2556" s="24"/>
      <c r="B2556" s="48"/>
      <c r="C2556" s="49"/>
      <c r="D2556" s="24"/>
      <c r="E2556" s="52"/>
      <c r="F2556" s="53"/>
      <c r="G2556" s="48"/>
      <c r="H2556" s="49"/>
      <c r="I2556" s="49"/>
      <c r="J2556" s="48"/>
      <c r="K2556" s="48"/>
      <c r="L2556" s="48"/>
      <c r="M2556" s="48"/>
      <c r="N2556" s="48"/>
      <c r="O2556" s="48"/>
      <c r="P2556" s="48"/>
      <c r="Q2556" s="48"/>
      <c r="R2556" s="48"/>
      <c r="S2556" s="48"/>
      <c r="T2556" s="48"/>
      <c r="U2556" s="48"/>
      <c r="V2556" s="48"/>
      <c r="W2556" s="49"/>
      <c r="X2556" s="49"/>
      <c r="Y2556" s="49"/>
      <c r="Z2556" s="49"/>
      <c r="AA2556" s="49"/>
      <c r="AB2556" s="49"/>
      <c r="AC2556" s="49"/>
      <c r="AD2556" s="49"/>
      <c r="AE2556" s="49"/>
      <c r="AF2556" s="49"/>
      <c r="AG2556" s="49"/>
      <c r="AH2556" s="49"/>
      <c r="AI2556" s="48"/>
      <c r="AJ2556" s="48"/>
      <c r="AK2556" s="24"/>
      <c r="AL2556" s="50"/>
      <c r="AM2556" s="50"/>
      <c r="AN2556" s="50"/>
      <c r="AO2556" s="50"/>
      <c r="AP2556" s="50"/>
      <c r="AQ2556" s="50"/>
      <c r="AR2556" s="50"/>
      <c r="AS2556" s="50"/>
      <c r="AT2556" s="51"/>
      <c r="AU2556" s="51"/>
      <c r="AV2556" s="51"/>
      <c r="AW2556" s="51"/>
      <c r="AX2556" s="50"/>
      <c r="AY2556" s="50"/>
      <c r="AZ2556" s="50"/>
      <c r="BA2556" s="50"/>
      <c r="BB2556" s="51"/>
      <c r="BC2556" s="51"/>
      <c r="BD2556" s="51"/>
      <c r="BE2556" s="51"/>
      <c r="BF2556" s="47"/>
      <c r="BG2556" s="47"/>
      <c r="BH2556" s="47"/>
      <c r="BI2556" s="47"/>
      <c r="BJ2556" s="47"/>
      <c r="BK2556" s="47"/>
      <c r="BL2556" s="47"/>
      <c r="BM2556" s="47"/>
      <c r="BN2556" s="47"/>
      <c r="BO2556" s="47"/>
      <c r="BP2556" s="47"/>
      <c r="BQ2556" s="47"/>
      <c r="BR2556" s="47"/>
      <c r="BS2556" s="47"/>
      <c r="BT2556" s="47"/>
    </row>
    <row r="2557">
      <c r="A2557" s="24"/>
      <c r="B2557" s="48"/>
      <c r="C2557" s="49"/>
      <c r="D2557" s="24"/>
      <c r="E2557" s="52"/>
      <c r="F2557" s="53"/>
      <c r="G2557" s="48"/>
      <c r="H2557" s="49"/>
      <c r="I2557" s="49"/>
      <c r="J2557" s="48"/>
      <c r="K2557" s="48"/>
      <c r="L2557" s="48"/>
      <c r="M2557" s="48"/>
      <c r="N2557" s="48"/>
      <c r="O2557" s="48"/>
      <c r="P2557" s="48"/>
      <c r="Q2557" s="48"/>
      <c r="R2557" s="48"/>
      <c r="S2557" s="48"/>
      <c r="T2557" s="48"/>
      <c r="U2557" s="48"/>
      <c r="V2557" s="48"/>
      <c r="W2557" s="49"/>
      <c r="X2557" s="49"/>
      <c r="Y2557" s="49"/>
      <c r="Z2557" s="49"/>
      <c r="AA2557" s="49"/>
      <c r="AB2557" s="49"/>
      <c r="AC2557" s="49"/>
      <c r="AD2557" s="49"/>
      <c r="AE2557" s="49"/>
      <c r="AF2557" s="49"/>
      <c r="AG2557" s="49"/>
      <c r="AH2557" s="49"/>
      <c r="AI2557" s="48"/>
      <c r="AJ2557" s="48"/>
      <c r="AK2557" s="24"/>
      <c r="AL2557" s="50"/>
      <c r="AM2557" s="50"/>
      <c r="AN2557" s="50"/>
      <c r="AO2557" s="50"/>
      <c r="AP2557" s="50"/>
      <c r="AQ2557" s="50"/>
      <c r="AR2557" s="50"/>
      <c r="AS2557" s="50"/>
      <c r="AT2557" s="51"/>
      <c r="AU2557" s="51"/>
      <c r="AV2557" s="51"/>
      <c r="AW2557" s="51"/>
      <c r="AX2557" s="50"/>
      <c r="AY2557" s="50"/>
      <c r="AZ2557" s="50"/>
      <c r="BA2557" s="50"/>
      <c r="BB2557" s="51"/>
      <c r="BC2557" s="51"/>
      <c r="BD2557" s="51"/>
      <c r="BE2557" s="51"/>
      <c r="BF2557" s="47"/>
      <c r="BG2557" s="47"/>
      <c r="BH2557" s="47"/>
      <c r="BI2557" s="47"/>
      <c r="BJ2557" s="47"/>
      <c r="BK2557" s="47"/>
      <c r="BL2557" s="47"/>
      <c r="BM2557" s="47"/>
      <c r="BN2557" s="47"/>
      <c r="BO2557" s="47"/>
      <c r="BP2557" s="47"/>
      <c r="BQ2557" s="47"/>
      <c r="BR2557" s="47"/>
      <c r="BS2557" s="47"/>
      <c r="BT2557" s="47"/>
    </row>
    <row r="2558">
      <c r="A2558" s="24"/>
      <c r="B2558" s="48"/>
      <c r="C2558" s="49"/>
      <c r="D2558" s="24"/>
      <c r="E2558" s="52"/>
      <c r="F2558" s="53"/>
      <c r="G2558" s="48"/>
      <c r="H2558" s="49"/>
      <c r="I2558" s="49"/>
      <c r="J2558" s="48"/>
      <c r="K2558" s="48"/>
      <c r="L2558" s="48"/>
      <c r="M2558" s="48"/>
      <c r="N2558" s="48"/>
      <c r="O2558" s="48"/>
      <c r="P2558" s="48"/>
      <c r="Q2558" s="48"/>
      <c r="R2558" s="48"/>
      <c r="S2558" s="48"/>
      <c r="T2558" s="48"/>
      <c r="U2558" s="48"/>
      <c r="V2558" s="48"/>
      <c r="W2558" s="49"/>
      <c r="X2558" s="49"/>
      <c r="Y2558" s="49"/>
      <c r="Z2558" s="49"/>
      <c r="AA2558" s="49"/>
      <c r="AB2558" s="49"/>
      <c r="AC2558" s="49"/>
      <c r="AD2558" s="49"/>
      <c r="AE2558" s="49"/>
      <c r="AF2558" s="49"/>
      <c r="AG2558" s="49"/>
      <c r="AH2558" s="49"/>
      <c r="AI2558" s="48"/>
      <c r="AJ2558" s="48"/>
      <c r="AK2558" s="24"/>
      <c r="AL2558" s="50"/>
      <c r="AM2558" s="50"/>
      <c r="AN2558" s="50"/>
      <c r="AO2558" s="50"/>
      <c r="AP2558" s="50"/>
      <c r="AQ2558" s="50"/>
      <c r="AR2558" s="50"/>
      <c r="AS2558" s="50"/>
      <c r="AT2558" s="51"/>
      <c r="AU2558" s="51"/>
      <c r="AV2558" s="51"/>
      <c r="AW2558" s="51"/>
      <c r="AX2558" s="50"/>
      <c r="AY2558" s="50"/>
      <c r="AZ2558" s="50"/>
      <c r="BA2558" s="50"/>
      <c r="BB2558" s="51"/>
      <c r="BC2558" s="51"/>
      <c r="BD2558" s="51"/>
      <c r="BE2558" s="51"/>
      <c r="BF2558" s="47"/>
      <c r="BG2558" s="47"/>
      <c r="BH2558" s="47"/>
      <c r="BI2558" s="47"/>
      <c r="BJ2558" s="47"/>
      <c r="BK2558" s="47"/>
      <c r="BL2558" s="47"/>
      <c r="BM2558" s="47"/>
      <c r="BN2558" s="47"/>
      <c r="BO2558" s="47"/>
      <c r="BP2558" s="47"/>
      <c r="BQ2558" s="47"/>
      <c r="BR2558" s="47"/>
      <c r="BS2558" s="47"/>
      <c r="BT2558" s="47"/>
    </row>
    <row r="2559">
      <c r="A2559" s="24"/>
      <c r="B2559" s="48"/>
      <c r="C2559" s="49"/>
      <c r="D2559" s="24"/>
      <c r="E2559" s="52"/>
      <c r="F2559" s="53"/>
      <c r="G2559" s="48"/>
      <c r="H2559" s="49"/>
      <c r="I2559" s="49"/>
      <c r="J2559" s="48"/>
      <c r="K2559" s="48"/>
      <c r="L2559" s="48"/>
      <c r="M2559" s="48"/>
      <c r="N2559" s="48"/>
      <c r="O2559" s="48"/>
      <c r="P2559" s="48"/>
      <c r="Q2559" s="48"/>
      <c r="R2559" s="48"/>
      <c r="S2559" s="48"/>
      <c r="T2559" s="48"/>
      <c r="U2559" s="48"/>
      <c r="V2559" s="48"/>
      <c r="W2559" s="49"/>
      <c r="X2559" s="49"/>
      <c r="Y2559" s="49"/>
      <c r="Z2559" s="49"/>
      <c r="AA2559" s="49"/>
      <c r="AB2559" s="49"/>
      <c r="AC2559" s="49"/>
      <c r="AD2559" s="49"/>
      <c r="AE2559" s="49"/>
      <c r="AF2559" s="49"/>
      <c r="AG2559" s="49"/>
      <c r="AH2559" s="49"/>
      <c r="AI2559" s="48"/>
      <c r="AJ2559" s="48"/>
      <c r="AK2559" s="24"/>
      <c r="AL2559" s="50"/>
      <c r="AM2559" s="50"/>
      <c r="AN2559" s="50"/>
      <c r="AO2559" s="50"/>
      <c r="AP2559" s="50"/>
      <c r="AQ2559" s="50"/>
      <c r="AR2559" s="50"/>
      <c r="AS2559" s="50"/>
      <c r="AT2559" s="51"/>
      <c r="AU2559" s="51"/>
      <c r="AV2559" s="51"/>
      <c r="AW2559" s="51"/>
      <c r="AX2559" s="50"/>
      <c r="AY2559" s="50"/>
      <c r="AZ2559" s="50"/>
      <c r="BA2559" s="50"/>
      <c r="BB2559" s="51"/>
      <c r="BC2559" s="51"/>
      <c r="BD2559" s="51"/>
      <c r="BE2559" s="51"/>
      <c r="BF2559" s="47"/>
      <c r="BG2559" s="47"/>
      <c r="BH2559" s="47"/>
      <c r="BI2559" s="47"/>
      <c r="BJ2559" s="47"/>
      <c r="BK2559" s="47"/>
      <c r="BL2559" s="47"/>
      <c r="BM2559" s="47"/>
      <c r="BN2559" s="47"/>
      <c r="BO2559" s="47"/>
      <c r="BP2559" s="47"/>
      <c r="BQ2559" s="47"/>
      <c r="BR2559" s="47"/>
      <c r="BS2559" s="47"/>
      <c r="BT2559" s="47"/>
    </row>
    <row r="2560">
      <c r="A2560" s="24"/>
      <c r="B2560" s="48"/>
      <c r="C2560" s="49"/>
      <c r="D2560" s="24"/>
      <c r="E2560" s="52"/>
      <c r="F2560" s="53"/>
      <c r="G2560" s="48"/>
      <c r="H2560" s="49"/>
      <c r="I2560" s="49"/>
      <c r="J2560" s="48"/>
      <c r="K2560" s="48"/>
      <c r="L2560" s="48"/>
      <c r="M2560" s="48"/>
      <c r="N2560" s="48"/>
      <c r="O2560" s="48"/>
      <c r="P2560" s="48"/>
      <c r="Q2560" s="48"/>
      <c r="R2560" s="48"/>
      <c r="S2560" s="48"/>
      <c r="T2560" s="48"/>
      <c r="U2560" s="48"/>
      <c r="V2560" s="48"/>
      <c r="W2560" s="49"/>
      <c r="X2560" s="49"/>
      <c r="Y2560" s="49"/>
      <c r="Z2560" s="49"/>
      <c r="AA2560" s="49"/>
      <c r="AB2560" s="49"/>
      <c r="AC2560" s="49"/>
      <c r="AD2560" s="49"/>
      <c r="AE2560" s="49"/>
      <c r="AF2560" s="49"/>
      <c r="AG2560" s="49"/>
      <c r="AH2560" s="49"/>
      <c r="AI2560" s="48"/>
      <c r="AJ2560" s="48"/>
      <c r="AK2560" s="24"/>
      <c r="AL2560" s="50"/>
      <c r="AM2560" s="50"/>
      <c r="AN2560" s="50"/>
      <c r="AO2560" s="50"/>
      <c r="AP2560" s="50"/>
      <c r="AQ2560" s="50"/>
      <c r="AR2560" s="50"/>
      <c r="AS2560" s="50"/>
      <c r="AT2560" s="51"/>
      <c r="AU2560" s="51"/>
      <c r="AV2560" s="51"/>
      <c r="AW2560" s="51"/>
      <c r="AX2560" s="50"/>
      <c r="AY2560" s="50"/>
      <c r="AZ2560" s="50"/>
      <c r="BA2560" s="50"/>
      <c r="BB2560" s="51"/>
      <c r="BC2560" s="51"/>
      <c r="BD2560" s="51"/>
      <c r="BE2560" s="51"/>
      <c r="BF2560" s="47"/>
      <c r="BG2560" s="47"/>
      <c r="BH2560" s="47"/>
      <c r="BI2560" s="47"/>
      <c r="BJ2560" s="47"/>
      <c r="BK2560" s="47"/>
      <c r="BL2560" s="47"/>
      <c r="BM2560" s="47"/>
      <c r="BN2560" s="47"/>
      <c r="BO2560" s="47"/>
      <c r="BP2560" s="47"/>
      <c r="BQ2560" s="47"/>
      <c r="BR2560" s="47"/>
      <c r="BS2560" s="47"/>
      <c r="BT2560" s="47"/>
    </row>
    <row r="2561">
      <c r="A2561" s="24"/>
      <c r="B2561" s="48"/>
      <c r="C2561" s="49"/>
      <c r="D2561" s="24"/>
      <c r="E2561" s="52"/>
      <c r="F2561" s="53"/>
      <c r="G2561" s="48"/>
      <c r="H2561" s="49"/>
      <c r="I2561" s="49"/>
      <c r="J2561" s="48"/>
      <c r="K2561" s="48"/>
      <c r="L2561" s="48"/>
      <c r="M2561" s="48"/>
      <c r="N2561" s="48"/>
      <c r="O2561" s="48"/>
      <c r="P2561" s="48"/>
      <c r="Q2561" s="48"/>
      <c r="R2561" s="48"/>
      <c r="S2561" s="48"/>
      <c r="T2561" s="48"/>
      <c r="U2561" s="48"/>
      <c r="V2561" s="48"/>
      <c r="W2561" s="49"/>
      <c r="X2561" s="49"/>
      <c r="Y2561" s="49"/>
      <c r="Z2561" s="49"/>
      <c r="AA2561" s="49"/>
      <c r="AB2561" s="49"/>
      <c r="AC2561" s="49"/>
      <c r="AD2561" s="49"/>
      <c r="AE2561" s="49"/>
      <c r="AF2561" s="49"/>
      <c r="AG2561" s="49"/>
      <c r="AH2561" s="49"/>
      <c r="AI2561" s="48"/>
      <c r="AJ2561" s="48"/>
      <c r="AK2561" s="24"/>
      <c r="AL2561" s="50"/>
      <c r="AM2561" s="50"/>
      <c r="AN2561" s="50"/>
      <c r="AO2561" s="50"/>
      <c r="AP2561" s="50"/>
      <c r="AQ2561" s="50"/>
      <c r="AR2561" s="50"/>
      <c r="AS2561" s="50"/>
      <c r="AT2561" s="51"/>
      <c r="AU2561" s="51"/>
      <c r="AV2561" s="51"/>
      <c r="AW2561" s="51"/>
      <c r="AX2561" s="50"/>
      <c r="AY2561" s="50"/>
      <c r="AZ2561" s="50"/>
      <c r="BA2561" s="50"/>
      <c r="BB2561" s="51"/>
      <c r="BC2561" s="51"/>
      <c r="BD2561" s="51"/>
      <c r="BE2561" s="51"/>
      <c r="BF2561" s="47"/>
      <c r="BG2561" s="47"/>
      <c r="BH2561" s="47"/>
      <c r="BI2561" s="47"/>
      <c r="BJ2561" s="47"/>
      <c r="BK2561" s="47"/>
      <c r="BL2561" s="47"/>
      <c r="BM2561" s="47"/>
      <c r="BN2561" s="47"/>
      <c r="BO2561" s="47"/>
      <c r="BP2561" s="47"/>
      <c r="BQ2561" s="47"/>
      <c r="BR2561" s="47"/>
      <c r="BS2561" s="47"/>
      <c r="BT2561" s="47"/>
    </row>
    <row r="2562">
      <c r="A2562" s="24"/>
      <c r="B2562" s="48"/>
      <c r="C2562" s="49"/>
      <c r="D2562" s="24"/>
      <c r="E2562" s="52"/>
      <c r="F2562" s="53"/>
      <c r="G2562" s="48"/>
      <c r="H2562" s="49"/>
      <c r="I2562" s="49"/>
      <c r="J2562" s="48"/>
      <c r="K2562" s="48"/>
      <c r="L2562" s="48"/>
      <c r="M2562" s="48"/>
      <c r="N2562" s="48"/>
      <c r="O2562" s="48"/>
      <c r="P2562" s="48"/>
      <c r="Q2562" s="48"/>
      <c r="R2562" s="48"/>
      <c r="S2562" s="48"/>
      <c r="T2562" s="48"/>
      <c r="U2562" s="48"/>
      <c r="V2562" s="48"/>
      <c r="W2562" s="49"/>
      <c r="X2562" s="49"/>
      <c r="Y2562" s="49"/>
      <c r="Z2562" s="49"/>
      <c r="AA2562" s="49"/>
      <c r="AB2562" s="49"/>
      <c r="AC2562" s="49"/>
      <c r="AD2562" s="49"/>
      <c r="AE2562" s="49"/>
      <c r="AF2562" s="49"/>
      <c r="AG2562" s="49"/>
      <c r="AH2562" s="49"/>
      <c r="AI2562" s="48"/>
      <c r="AJ2562" s="48"/>
      <c r="AK2562" s="24"/>
      <c r="AL2562" s="50"/>
      <c r="AM2562" s="50"/>
      <c r="AN2562" s="50"/>
      <c r="AO2562" s="50"/>
      <c r="AP2562" s="50"/>
      <c r="AQ2562" s="50"/>
      <c r="AR2562" s="50"/>
      <c r="AS2562" s="50"/>
      <c r="AT2562" s="51"/>
      <c r="AU2562" s="51"/>
      <c r="AV2562" s="51"/>
      <c r="AW2562" s="51"/>
      <c r="AX2562" s="50"/>
      <c r="AY2562" s="50"/>
      <c r="AZ2562" s="50"/>
      <c r="BA2562" s="50"/>
      <c r="BB2562" s="51"/>
      <c r="BC2562" s="51"/>
      <c r="BD2562" s="51"/>
      <c r="BE2562" s="51"/>
      <c r="BF2562" s="47"/>
      <c r="BG2562" s="47"/>
      <c r="BH2562" s="47"/>
      <c r="BI2562" s="47"/>
      <c r="BJ2562" s="47"/>
      <c r="BK2562" s="47"/>
      <c r="BL2562" s="47"/>
      <c r="BM2562" s="47"/>
      <c r="BN2562" s="47"/>
      <c r="BO2562" s="47"/>
      <c r="BP2562" s="47"/>
      <c r="BQ2562" s="47"/>
      <c r="BR2562" s="47"/>
      <c r="BS2562" s="47"/>
      <c r="BT2562" s="47"/>
    </row>
    <row r="2563">
      <c r="A2563" s="24"/>
      <c r="B2563" s="48"/>
      <c r="C2563" s="49"/>
      <c r="D2563" s="24"/>
      <c r="E2563" s="52"/>
      <c r="F2563" s="53"/>
      <c r="G2563" s="48"/>
      <c r="H2563" s="49"/>
      <c r="I2563" s="49"/>
      <c r="J2563" s="48"/>
      <c r="K2563" s="48"/>
      <c r="L2563" s="48"/>
      <c r="M2563" s="48"/>
      <c r="N2563" s="48"/>
      <c r="O2563" s="48"/>
      <c r="P2563" s="48"/>
      <c r="Q2563" s="48"/>
      <c r="R2563" s="48"/>
      <c r="S2563" s="48"/>
      <c r="T2563" s="48"/>
      <c r="U2563" s="48"/>
      <c r="V2563" s="48"/>
      <c r="W2563" s="49"/>
      <c r="X2563" s="49"/>
      <c r="Y2563" s="49"/>
      <c r="Z2563" s="49"/>
      <c r="AA2563" s="49"/>
      <c r="AB2563" s="49"/>
      <c r="AC2563" s="49"/>
      <c r="AD2563" s="49"/>
      <c r="AE2563" s="49"/>
      <c r="AF2563" s="49"/>
      <c r="AG2563" s="49"/>
      <c r="AH2563" s="49"/>
      <c r="AI2563" s="48"/>
      <c r="AJ2563" s="48"/>
      <c r="AK2563" s="24"/>
      <c r="AL2563" s="50"/>
      <c r="AM2563" s="50"/>
      <c r="AN2563" s="50"/>
      <c r="AO2563" s="50"/>
      <c r="AP2563" s="50"/>
      <c r="AQ2563" s="50"/>
      <c r="AR2563" s="50"/>
      <c r="AS2563" s="50"/>
      <c r="AT2563" s="51"/>
      <c r="AU2563" s="51"/>
      <c r="AV2563" s="51"/>
      <c r="AW2563" s="51"/>
      <c r="AX2563" s="50"/>
      <c r="AY2563" s="50"/>
      <c r="AZ2563" s="50"/>
      <c r="BA2563" s="50"/>
      <c r="BB2563" s="51"/>
      <c r="BC2563" s="51"/>
      <c r="BD2563" s="51"/>
      <c r="BE2563" s="51"/>
      <c r="BF2563" s="47"/>
      <c r="BG2563" s="47"/>
      <c r="BH2563" s="47"/>
      <c r="BI2563" s="47"/>
      <c r="BJ2563" s="47"/>
      <c r="BK2563" s="47"/>
      <c r="BL2563" s="47"/>
      <c r="BM2563" s="47"/>
      <c r="BN2563" s="47"/>
      <c r="BO2563" s="47"/>
      <c r="BP2563" s="47"/>
      <c r="BQ2563" s="47"/>
      <c r="BR2563" s="47"/>
      <c r="BS2563" s="47"/>
      <c r="BT2563" s="47"/>
    </row>
    <row r="2564">
      <c r="A2564" s="24"/>
      <c r="B2564" s="48"/>
      <c r="C2564" s="49"/>
      <c r="D2564" s="24"/>
      <c r="E2564" s="52"/>
      <c r="F2564" s="53"/>
      <c r="G2564" s="48"/>
      <c r="H2564" s="49"/>
      <c r="I2564" s="49"/>
      <c r="J2564" s="48"/>
      <c r="K2564" s="48"/>
      <c r="L2564" s="48"/>
      <c r="M2564" s="48"/>
      <c r="N2564" s="48"/>
      <c r="O2564" s="48"/>
      <c r="P2564" s="48"/>
      <c r="Q2564" s="48"/>
      <c r="R2564" s="48"/>
      <c r="S2564" s="48"/>
      <c r="T2564" s="48"/>
      <c r="U2564" s="48"/>
      <c r="V2564" s="48"/>
      <c r="W2564" s="49"/>
      <c r="X2564" s="49"/>
      <c r="Y2564" s="49"/>
      <c r="Z2564" s="49"/>
      <c r="AA2564" s="49"/>
      <c r="AB2564" s="49"/>
      <c r="AC2564" s="49"/>
      <c r="AD2564" s="49"/>
      <c r="AE2564" s="49"/>
      <c r="AF2564" s="49"/>
      <c r="AG2564" s="49"/>
      <c r="AH2564" s="49"/>
      <c r="AI2564" s="48"/>
      <c r="AJ2564" s="48"/>
      <c r="AK2564" s="24"/>
      <c r="AL2564" s="50"/>
      <c r="AM2564" s="50"/>
      <c r="AN2564" s="50"/>
      <c r="AO2564" s="50"/>
      <c r="AP2564" s="50"/>
      <c r="AQ2564" s="50"/>
      <c r="AR2564" s="50"/>
      <c r="AS2564" s="50"/>
      <c r="AT2564" s="51"/>
      <c r="AU2564" s="51"/>
      <c r="AV2564" s="51"/>
      <c r="AW2564" s="51"/>
      <c r="AX2564" s="50"/>
      <c r="AY2564" s="50"/>
      <c r="AZ2564" s="50"/>
      <c r="BA2564" s="50"/>
      <c r="BB2564" s="51"/>
      <c r="BC2564" s="51"/>
      <c r="BD2564" s="51"/>
      <c r="BE2564" s="51"/>
      <c r="BF2564" s="47"/>
      <c r="BG2564" s="47"/>
      <c r="BH2564" s="47"/>
      <c r="BI2564" s="47"/>
      <c r="BJ2564" s="47"/>
      <c r="BK2564" s="47"/>
      <c r="BL2564" s="47"/>
      <c r="BM2564" s="47"/>
      <c r="BN2564" s="47"/>
      <c r="BO2564" s="47"/>
      <c r="BP2564" s="47"/>
      <c r="BQ2564" s="47"/>
      <c r="BR2564" s="47"/>
      <c r="BS2564" s="47"/>
      <c r="BT2564" s="47"/>
    </row>
    <row r="2565">
      <c r="A2565" s="24"/>
      <c r="B2565" s="48"/>
      <c r="C2565" s="49"/>
      <c r="D2565" s="24"/>
      <c r="E2565" s="52"/>
      <c r="F2565" s="53"/>
      <c r="G2565" s="48"/>
      <c r="H2565" s="49"/>
      <c r="I2565" s="49"/>
      <c r="J2565" s="48"/>
      <c r="K2565" s="48"/>
      <c r="L2565" s="48"/>
      <c r="M2565" s="48"/>
      <c r="N2565" s="48"/>
      <c r="O2565" s="48"/>
      <c r="P2565" s="48"/>
      <c r="Q2565" s="48"/>
      <c r="R2565" s="48"/>
      <c r="S2565" s="48"/>
      <c r="T2565" s="48"/>
      <c r="U2565" s="48"/>
      <c r="V2565" s="48"/>
      <c r="W2565" s="49"/>
      <c r="X2565" s="49"/>
      <c r="Y2565" s="49"/>
      <c r="Z2565" s="49"/>
      <c r="AA2565" s="49"/>
      <c r="AB2565" s="49"/>
      <c r="AC2565" s="49"/>
      <c r="AD2565" s="49"/>
      <c r="AE2565" s="49"/>
      <c r="AF2565" s="49"/>
      <c r="AG2565" s="49"/>
      <c r="AH2565" s="49"/>
      <c r="AI2565" s="48"/>
      <c r="AJ2565" s="48"/>
      <c r="AK2565" s="24"/>
      <c r="AL2565" s="50"/>
      <c r="AM2565" s="50"/>
      <c r="AN2565" s="50"/>
      <c r="AO2565" s="50"/>
      <c r="AP2565" s="50"/>
      <c r="AQ2565" s="50"/>
      <c r="AR2565" s="50"/>
      <c r="AS2565" s="50"/>
      <c r="AT2565" s="51"/>
      <c r="AU2565" s="51"/>
      <c r="AV2565" s="51"/>
      <c r="AW2565" s="51"/>
      <c r="AX2565" s="50"/>
      <c r="AY2565" s="50"/>
      <c r="AZ2565" s="50"/>
      <c r="BA2565" s="50"/>
      <c r="BB2565" s="51"/>
      <c r="BC2565" s="51"/>
      <c r="BD2565" s="51"/>
      <c r="BE2565" s="51"/>
      <c r="BF2565" s="47"/>
      <c r="BG2565" s="47"/>
      <c r="BH2565" s="47"/>
      <c r="BI2565" s="47"/>
      <c r="BJ2565" s="47"/>
      <c r="BK2565" s="47"/>
      <c r="BL2565" s="47"/>
      <c r="BM2565" s="47"/>
      <c r="BN2565" s="47"/>
      <c r="BO2565" s="47"/>
      <c r="BP2565" s="47"/>
      <c r="BQ2565" s="47"/>
      <c r="BR2565" s="47"/>
      <c r="BS2565" s="47"/>
      <c r="BT2565" s="47"/>
    </row>
    <row r="2566">
      <c r="A2566" s="24"/>
      <c r="B2566" s="48"/>
      <c r="C2566" s="49"/>
      <c r="D2566" s="24"/>
      <c r="E2566" s="52"/>
      <c r="F2566" s="53"/>
      <c r="G2566" s="48"/>
      <c r="H2566" s="49"/>
      <c r="I2566" s="49"/>
      <c r="J2566" s="48"/>
      <c r="K2566" s="48"/>
      <c r="L2566" s="48"/>
      <c r="M2566" s="48"/>
      <c r="N2566" s="48"/>
      <c r="O2566" s="48"/>
      <c r="P2566" s="48"/>
      <c r="Q2566" s="48"/>
      <c r="R2566" s="48"/>
      <c r="S2566" s="48"/>
      <c r="T2566" s="48"/>
      <c r="U2566" s="48"/>
      <c r="V2566" s="48"/>
      <c r="W2566" s="49"/>
      <c r="X2566" s="49"/>
      <c r="Y2566" s="49"/>
      <c r="Z2566" s="49"/>
      <c r="AA2566" s="49"/>
      <c r="AB2566" s="49"/>
      <c r="AC2566" s="49"/>
      <c r="AD2566" s="49"/>
      <c r="AE2566" s="49"/>
      <c r="AF2566" s="49"/>
      <c r="AG2566" s="49"/>
      <c r="AH2566" s="49"/>
      <c r="AI2566" s="48"/>
      <c r="AJ2566" s="48"/>
      <c r="AK2566" s="24"/>
      <c r="AL2566" s="50"/>
      <c r="AM2566" s="50"/>
      <c r="AN2566" s="50"/>
      <c r="AO2566" s="50"/>
      <c r="AP2566" s="50"/>
      <c r="AQ2566" s="50"/>
      <c r="AR2566" s="50"/>
      <c r="AS2566" s="50"/>
      <c r="AT2566" s="51"/>
      <c r="AU2566" s="51"/>
      <c r="AV2566" s="51"/>
      <c r="AW2566" s="51"/>
      <c r="AX2566" s="50"/>
      <c r="AY2566" s="50"/>
      <c r="AZ2566" s="50"/>
      <c r="BA2566" s="50"/>
      <c r="BB2566" s="51"/>
      <c r="BC2566" s="51"/>
      <c r="BD2566" s="51"/>
      <c r="BE2566" s="51"/>
      <c r="BF2566" s="47"/>
      <c r="BG2566" s="47"/>
      <c r="BH2566" s="47"/>
      <c r="BI2566" s="47"/>
      <c r="BJ2566" s="47"/>
      <c r="BK2566" s="47"/>
      <c r="BL2566" s="47"/>
      <c r="BM2566" s="47"/>
      <c r="BN2566" s="47"/>
      <c r="BO2566" s="47"/>
      <c r="BP2566" s="47"/>
      <c r="BQ2566" s="47"/>
      <c r="BR2566" s="47"/>
      <c r="BS2566" s="47"/>
      <c r="BT2566" s="47"/>
    </row>
    <row r="2567">
      <c r="A2567" s="24"/>
      <c r="B2567" s="48"/>
      <c r="C2567" s="49"/>
      <c r="D2567" s="24"/>
      <c r="E2567" s="52"/>
      <c r="F2567" s="53"/>
      <c r="G2567" s="48"/>
      <c r="H2567" s="49"/>
      <c r="I2567" s="49"/>
      <c r="J2567" s="48"/>
      <c r="K2567" s="48"/>
      <c r="L2567" s="48"/>
      <c r="M2567" s="48"/>
      <c r="N2567" s="48"/>
      <c r="O2567" s="48"/>
      <c r="P2567" s="48"/>
      <c r="Q2567" s="48"/>
      <c r="R2567" s="48"/>
      <c r="S2567" s="48"/>
      <c r="T2567" s="48"/>
      <c r="U2567" s="48"/>
      <c r="V2567" s="48"/>
      <c r="W2567" s="49"/>
      <c r="X2567" s="49"/>
      <c r="Y2567" s="49"/>
      <c r="Z2567" s="49"/>
      <c r="AA2567" s="49"/>
      <c r="AB2567" s="49"/>
      <c r="AC2567" s="49"/>
      <c r="AD2567" s="49"/>
      <c r="AE2567" s="49"/>
      <c r="AF2567" s="49"/>
      <c r="AG2567" s="49"/>
      <c r="AH2567" s="49"/>
      <c r="AI2567" s="48"/>
      <c r="AJ2567" s="48"/>
      <c r="AK2567" s="24"/>
      <c r="AL2567" s="50"/>
      <c r="AM2567" s="50"/>
      <c r="AN2567" s="50"/>
      <c r="AO2567" s="50"/>
      <c r="AP2567" s="50"/>
      <c r="AQ2567" s="50"/>
      <c r="AR2567" s="50"/>
      <c r="AS2567" s="50"/>
      <c r="AT2567" s="51"/>
      <c r="AU2567" s="51"/>
      <c r="AV2567" s="51"/>
      <c r="AW2567" s="51"/>
      <c r="AX2567" s="50"/>
      <c r="AY2567" s="50"/>
      <c r="AZ2567" s="50"/>
      <c r="BA2567" s="50"/>
      <c r="BB2567" s="51"/>
      <c r="BC2567" s="51"/>
      <c r="BD2567" s="51"/>
      <c r="BE2567" s="51"/>
      <c r="BF2567" s="47"/>
      <c r="BG2567" s="47"/>
      <c r="BH2567" s="47"/>
      <c r="BI2567" s="47"/>
      <c r="BJ2567" s="47"/>
      <c r="BK2567" s="47"/>
      <c r="BL2567" s="47"/>
      <c r="BM2567" s="47"/>
      <c r="BN2567" s="47"/>
      <c r="BO2567" s="47"/>
      <c r="BP2567" s="47"/>
      <c r="BQ2567" s="47"/>
      <c r="BR2567" s="47"/>
      <c r="BS2567" s="47"/>
      <c r="BT2567" s="47"/>
    </row>
    <row r="2568">
      <c r="A2568" s="24"/>
      <c r="B2568" s="48"/>
      <c r="C2568" s="49"/>
      <c r="D2568" s="24"/>
      <c r="E2568" s="52"/>
      <c r="F2568" s="53"/>
      <c r="G2568" s="48"/>
      <c r="H2568" s="49"/>
      <c r="I2568" s="49"/>
      <c r="J2568" s="48"/>
      <c r="K2568" s="48"/>
      <c r="L2568" s="48"/>
      <c r="M2568" s="48"/>
      <c r="N2568" s="48"/>
      <c r="O2568" s="48"/>
      <c r="P2568" s="48"/>
      <c r="Q2568" s="48"/>
      <c r="R2568" s="48"/>
      <c r="S2568" s="48"/>
      <c r="T2568" s="48"/>
      <c r="U2568" s="48"/>
      <c r="V2568" s="48"/>
      <c r="W2568" s="49"/>
      <c r="X2568" s="49"/>
      <c r="Y2568" s="49"/>
      <c r="Z2568" s="49"/>
      <c r="AA2568" s="49"/>
      <c r="AB2568" s="49"/>
      <c r="AC2568" s="49"/>
      <c r="AD2568" s="49"/>
      <c r="AE2568" s="49"/>
      <c r="AF2568" s="49"/>
      <c r="AG2568" s="49"/>
      <c r="AH2568" s="49"/>
      <c r="AI2568" s="48"/>
      <c r="AJ2568" s="48"/>
      <c r="AK2568" s="24"/>
      <c r="AL2568" s="50"/>
      <c r="AM2568" s="50"/>
      <c r="AN2568" s="50"/>
      <c r="AO2568" s="50"/>
      <c r="AP2568" s="50"/>
      <c r="AQ2568" s="50"/>
      <c r="AR2568" s="50"/>
      <c r="AS2568" s="50"/>
      <c r="AT2568" s="51"/>
      <c r="AU2568" s="51"/>
      <c r="AV2568" s="51"/>
      <c r="AW2568" s="51"/>
      <c r="AX2568" s="50"/>
      <c r="AY2568" s="50"/>
      <c r="AZ2568" s="50"/>
      <c r="BA2568" s="50"/>
      <c r="BB2568" s="51"/>
      <c r="BC2568" s="51"/>
      <c r="BD2568" s="51"/>
      <c r="BE2568" s="51"/>
      <c r="BF2568" s="47"/>
      <c r="BG2568" s="47"/>
      <c r="BH2568" s="47"/>
      <c r="BI2568" s="47"/>
      <c r="BJ2568" s="47"/>
      <c r="BK2568" s="47"/>
      <c r="BL2568" s="47"/>
      <c r="BM2568" s="47"/>
      <c r="BN2568" s="47"/>
      <c r="BO2568" s="47"/>
      <c r="BP2568" s="47"/>
      <c r="BQ2568" s="47"/>
      <c r="BR2568" s="47"/>
      <c r="BS2568" s="47"/>
      <c r="BT2568" s="47"/>
    </row>
    <row r="2569">
      <c r="A2569" s="24"/>
      <c r="B2569" s="48"/>
      <c r="C2569" s="49"/>
      <c r="D2569" s="24"/>
      <c r="E2569" s="52"/>
      <c r="F2569" s="53"/>
      <c r="G2569" s="48"/>
      <c r="H2569" s="49"/>
      <c r="I2569" s="49"/>
      <c r="J2569" s="48"/>
      <c r="K2569" s="48"/>
      <c r="L2569" s="48"/>
      <c r="M2569" s="48"/>
      <c r="N2569" s="48"/>
      <c r="O2569" s="48"/>
      <c r="P2569" s="48"/>
      <c r="Q2569" s="48"/>
      <c r="R2569" s="48"/>
      <c r="S2569" s="48"/>
      <c r="T2569" s="48"/>
      <c r="U2569" s="48"/>
      <c r="V2569" s="48"/>
      <c r="W2569" s="49"/>
      <c r="X2569" s="49"/>
      <c r="Y2569" s="49"/>
      <c r="Z2569" s="49"/>
      <c r="AA2569" s="49"/>
      <c r="AB2569" s="49"/>
      <c r="AC2569" s="49"/>
      <c r="AD2569" s="49"/>
      <c r="AE2569" s="49"/>
      <c r="AF2569" s="49"/>
      <c r="AG2569" s="49"/>
      <c r="AH2569" s="49"/>
      <c r="AI2569" s="48"/>
      <c r="AJ2569" s="48"/>
      <c r="AK2569" s="24"/>
      <c r="AL2569" s="50"/>
      <c r="AM2569" s="50"/>
      <c r="AN2569" s="50"/>
      <c r="AO2569" s="50"/>
      <c r="AP2569" s="50"/>
      <c r="AQ2569" s="50"/>
      <c r="AR2569" s="50"/>
      <c r="AS2569" s="50"/>
      <c r="AT2569" s="51"/>
      <c r="AU2569" s="51"/>
      <c r="AV2569" s="51"/>
      <c r="AW2569" s="51"/>
      <c r="AX2569" s="50"/>
      <c r="AY2569" s="50"/>
      <c r="AZ2569" s="50"/>
      <c r="BA2569" s="50"/>
      <c r="BB2569" s="51"/>
      <c r="BC2569" s="51"/>
      <c r="BD2569" s="51"/>
      <c r="BE2569" s="51"/>
      <c r="BF2569" s="47"/>
      <c r="BG2569" s="47"/>
      <c r="BH2569" s="47"/>
      <c r="BI2569" s="47"/>
      <c r="BJ2569" s="47"/>
      <c r="BK2569" s="47"/>
      <c r="BL2569" s="47"/>
      <c r="BM2569" s="47"/>
      <c r="BN2569" s="47"/>
      <c r="BO2569" s="47"/>
      <c r="BP2569" s="47"/>
      <c r="BQ2569" s="47"/>
      <c r="BR2569" s="47"/>
      <c r="BS2569" s="47"/>
      <c r="BT2569" s="47"/>
    </row>
    <row r="2570">
      <c r="A2570" s="24"/>
      <c r="B2570" s="48"/>
      <c r="C2570" s="49"/>
      <c r="D2570" s="24"/>
      <c r="E2570" s="52"/>
      <c r="F2570" s="53"/>
      <c r="G2570" s="48"/>
      <c r="H2570" s="49"/>
      <c r="I2570" s="49"/>
      <c r="J2570" s="48"/>
      <c r="K2570" s="48"/>
      <c r="L2570" s="48"/>
      <c r="M2570" s="48"/>
      <c r="N2570" s="48"/>
      <c r="O2570" s="48"/>
      <c r="P2570" s="48"/>
      <c r="Q2570" s="48"/>
      <c r="R2570" s="48"/>
      <c r="S2570" s="48"/>
      <c r="T2570" s="48"/>
      <c r="U2570" s="48"/>
      <c r="V2570" s="48"/>
      <c r="W2570" s="49"/>
      <c r="X2570" s="49"/>
      <c r="Y2570" s="49"/>
      <c r="Z2570" s="49"/>
      <c r="AA2570" s="49"/>
      <c r="AB2570" s="49"/>
      <c r="AC2570" s="49"/>
      <c r="AD2570" s="49"/>
      <c r="AE2570" s="49"/>
      <c r="AF2570" s="49"/>
      <c r="AG2570" s="49"/>
      <c r="AH2570" s="49"/>
      <c r="AI2570" s="48"/>
      <c r="AJ2570" s="48"/>
      <c r="AK2570" s="24"/>
      <c r="AL2570" s="50"/>
      <c r="AM2570" s="50"/>
      <c r="AN2570" s="50"/>
      <c r="AO2570" s="50"/>
      <c r="AP2570" s="50"/>
      <c r="AQ2570" s="50"/>
      <c r="AR2570" s="50"/>
      <c r="AS2570" s="50"/>
      <c r="AT2570" s="51"/>
      <c r="AU2570" s="51"/>
      <c r="AV2570" s="51"/>
      <c r="AW2570" s="51"/>
      <c r="AX2570" s="50"/>
      <c r="AY2570" s="50"/>
      <c r="AZ2570" s="50"/>
      <c r="BA2570" s="50"/>
      <c r="BB2570" s="51"/>
      <c r="BC2570" s="51"/>
      <c r="BD2570" s="51"/>
      <c r="BE2570" s="51"/>
      <c r="BF2570" s="47"/>
      <c r="BG2570" s="47"/>
      <c r="BH2570" s="47"/>
      <c r="BI2570" s="47"/>
      <c r="BJ2570" s="47"/>
      <c r="BK2570" s="47"/>
      <c r="BL2570" s="47"/>
      <c r="BM2570" s="47"/>
      <c r="BN2570" s="47"/>
      <c r="BO2570" s="47"/>
      <c r="BP2570" s="47"/>
      <c r="BQ2570" s="47"/>
      <c r="BR2570" s="47"/>
      <c r="BS2570" s="47"/>
      <c r="BT2570" s="47"/>
    </row>
    <row r="2571">
      <c r="A2571" s="24"/>
      <c r="B2571" s="48"/>
      <c r="C2571" s="49"/>
      <c r="D2571" s="24"/>
      <c r="E2571" s="52"/>
      <c r="F2571" s="53"/>
      <c r="G2571" s="48"/>
      <c r="H2571" s="49"/>
      <c r="I2571" s="49"/>
      <c r="J2571" s="48"/>
      <c r="K2571" s="48"/>
      <c r="L2571" s="48"/>
      <c r="M2571" s="48"/>
      <c r="N2571" s="48"/>
      <c r="O2571" s="48"/>
      <c r="P2571" s="48"/>
      <c r="Q2571" s="48"/>
      <c r="R2571" s="48"/>
      <c r="S2571" s="48"/>
      <c r="T2571" s="48"/>
      <c r="U2571" s="48"/>
      <c r="V2571" s="48"/>
      <c r="W2571" s="49"/>
      <c r="X2571" s="49"/>
      <c r="Y2571" s="49"/>
      <c r="Z2571" s="49"/>
      <c r="AA2571" s="49"/>
      <c r="AB2571" s="49"/>
      <c r="AC2571" s="49"/>
      <c r="AD2571" s="49"/>
      <c r="AE2571" s="49"/>
      <c r="AF2571" s="49"/>
      <c r="AG2571" s="49"/>
      <c r="AH2571" s="49"/>
      <c r="AI2571" s="48"/>
      <c r="AJ2571" s="48"/>
      <c r="AK2571" s="24"/>
      <c r="AL2571" s="50"/>
      <c r="AM2571" s="50"/>
      <c r="AN2571" s="50"/>
      <c r="AO2571" s="50"/>
      <c r="AP2571" s="50"/>
      <c r="AQ2571" s="50"/>
      <c r="AR2571" s="50"/>
      <c r="AS2571" s="50"/>
      <c r="AT2571" s="51"/>
      <c r="AU2571" s="51"/>
      <c r="AV2571" s="51"/>
      <c r="AW2571" s="51"/>
      <c r="AX2571" s="50"/>
      <c r="AY2571" s="50"/>
      <c r="AZ2571" s="50"/>
      <c r="BA2571" s="50"/>
      <c r="BB2571" s="51"/>
      <c r="BC2571" s="51"/>
      <c r="BD2571" s="51"/>
      <c r="BE2571" s="51"/>
      <c r="BF2571" s="47"/>
      <c r="BG2571" s="47"/>
      <c r="BH2571" s="47"/>
      <c r="BI2571" s="47"/>
      <c r="BJ2571" s="47"/>
      <c r="BK2571" s="47"/>
      <c r="BL2571" s="47"/>
      <c r="BM2571" s="47"/>
      <c r="BN2571" s="47"/>
      <c r="BO2571" s="47"/>
      <c r="BP2571" s="47"/>
      <c r="BQ2571" s="47"/>
      <c r="BR2571" s="47"/>
      <c r="BS2571" s="47"/>
      <c r="BT2571" s="47"/>
    </row>
    <row r="2572">
      <c r="A2572" s="24"/>
      <c r="B2572" s="48"/>
      <c r="C2572" s="49"/>
      <c r="D2572" s="24"/>
      <c r="E2572" s="52"/>
      <c r="F2572" s="53"/>
      <c r="G2572" s="48"/>
      <c r="H2572" s="49"/>
      <c r="I2572" s="49"/>
      <c r="J2572" s="48"/>
      <c r="K2572" s="48"/>
      <c r="L2572" s="48"/>
      <c r="M2572" s="48"/>
      <c r="N2572" s="48"/>
      <c r="O2572" s="48"/>
      <c r="P2572" s="48"/>
      <c r="Q2572" s="48"/>
      <c r="R2572" s="48"/>
      <c r="S2572" s="48"/>
      <c r="T2572" s="48"/>
      <c r="U2572" s="48"/>
      <c r="V2572" s="48"/>
      <c r="W2572" s="49"/>
      <c r="X2572" s="49"/>
      <c r="Y2572" s="49"/>
      <c r="Z2572" s="49"/>
      <c r="AA2572" s="49"/>
      <c r="AB2572" s="49"/>
      <c r="AC2572" s="49"/>
      <c r="AD2572" s="49"/>
      <c r="AE2572" s="49"/>
      <c r="AF2572" s="49"/>
      <c r="AG2572" s="49"/>
      <c r="AH2572" s="49"/>
      <c r="AI2572" s="48"/>
      <c r="AJ2572" s="48"/>
      <c r="AK2572" s="24"/>
      <c r="AL2572" s="50"/>
      <c r="AM2572" s="50"/>
      <c r="AN2572" s="50"/>
      <c r="AO2572" s="50"/>
      <c r="AP2572" s="50"/>
      <c r="AQ2572" s="50"/>
      <c r="AR2572" s="50"/>
      <c r="AS2572" s="50"/>
      <c r="AT2572" s="51"/>
      <c r="AU2572" s="51"/>
      <c r="AV2572" s="51"/>
      <c r="AW2572" s="51"/>
      <c r="AX2572" s="50"/>
      <c r="AY2572" s="50"/>
      <c r="AZ2572" s="50"/>
      <c r="BA2572" s="50"/>
      <c r="BB2572" s="51"/>
      <c r="BC2572" s="51"/>
      <c r="BD2572" s="51"/>
      <c r="BE2572" s="51"/>
      <c r="BF2572" s="47"/>
      <c r="BG2572" s="47"/>
      <c r="BH2572" s="47"/>
      <c r="BI2572" s="47"/>
      <c r="BJ2572" s="47"/>
      <c r="BK2572" s="47"/>
      <c r="BL2572" s="47"/>
      <c r="BM2572" s="47"/>
      <c r="BN2572" s="47"/>
      <c r="BO2572" s="47"/>
      <c r="BP2572" s="47"/>
      <c r="BQ2572" s="47"/>
      <c r="BR2572" s="47"/>
      <c r="BS2572" s="47"/>
      <c r="BT2572" s="47"/>
    </row>
    <row r="2573">
      <c r="A2573" s="24"/>
      <c r="B2573" s="48"/>
      <c r="C2573" s="49"/>
      <c r="D2573" s="24"/>
      <c r="E2573" s="52"/>
      <c r="F2573" s="53"/>
      <c r="G2573" s="48"/>
      <c r="H2573" s="49"/>
      <c r="I2573" s="49"/>
      <c r="J2573" s="48"/>
      <c r="K2573" s="48"/>
      <c r="L2573" s="48"/>
      <c r="M2573" s="48"/>
      <c r="N2573" s="48"/>
      <c r="O2573" s="48"/>
      <c r="P2573" s="48"/>
      <c r="Q2573" s="48"/>
      <c r="R2573" s="48"/>
      <c r="S2573" s="48"/>
      <c r="T2573" s="48"/>
      <c r="U2573" s="48"/>
      <c r="V2573" s="48"/>
      <c r="W2573" s="49"/>
      <c r="X2573" s="49"/>
      <c r="Y2573" s="49"/>
      <c r="Z2573" s="49"/>
      <c r="AA2573" s="49"/>
      <c r="AB2573" s="49"/>
      <c r="AC2573" s="49"/>
      <c r="AD2573" s="49"/>
      <c r="AE2573" s="49"/>
      <c r="AF2573" s="49"/>
      <c r="AG2573" s="49"/>
      <c r="AH2573" s="49"/>
      <c r="AI2573" s="48"/>
      <c r="AJ2573" s="48"/>
      <c r="AK2573" s="24"/>
      <c r="AL2573" s="50"/>
      <c r="AM2573" s="50"/>
      <c r="AN2573" s="50"/>
      <c r="AO2573" s="50"/>
      <c r="AP2573" s="50"/>
      <c r="AQ2573" s="50"/>
      <c r="AR2573" s="50"/>
      <c r="AS2573" s="50"/>
      <c r="AT2573" s="51"/>
      <c r="AU2573" s="51"/>
      <c r="AV2573" s="51"/>
      <c r="AW2573" s="51"/>
      <c r="AX2573" s="50"/>
      <c r="AY2573" s="50"/>
      <c r="AZ2573" s="50"/>
      <c r="BA2573" s="50"/>
      <c r="BB2573" s="51"/>
      <c r="BC2573" s="51"/>
      <c r="BD2573" s="51"/>
      <c r="BE2573" s="51"/>
      <c r="BF2573" s="47"/>
      <c r="BG2573" s="47"/>
      <c r="BH2573" s="47"/>
      <c r="BI2573" s="47"/>
      <c r="BJ2573" s="47"/>
      <c r="BK2573" s="47"/>
      <c r="BL2573" s="47"/>
      <c r="BM2573" s="47"/>
      <c r="BN2573" s="47"/>
      <c r="BO2573" s="47"/>
      <c r="BP2573" s="47"/>
      <c r="BQ2573" s="47"/>
      <c r="BR2573" s="47"/>
      <c r="BS2573" s="47"/>
      <c r="BT2573" s="47"/>
    </row>
    <row r="2574">
      <c r="A2574" s="24"/>
      <c r="B2574" s="48"/>
      <c r="C2574" s="49"/>
      <c r="D2574" s="24"/>
      <c r="E2574" s="52"/>
      <c r="F2574" s="53"/>
      <c r="G2574" s="48"/>
      <c r="H2574" s="49"/>
      <c r="I2574" s="49"/>
      <c r="J2574" s="48"/>
      <c r="K2574" s="48"/>
      <c r="L2574" s="48"/>
      <c r="M2574" s="48"/>
      <c r="N2574" s="48"/>
      <c r="O2574" s="48"/>
      <c r="P2574" s="48"/>
      <c r="Q2574" s="48"/>
      <c r="R2574" s="48"/>
      <c r="S2574" s="48"/>
      <c r="T2574" s="48"/>
      <c r="U2574" s="48"/>
      <c r="V2574" s="48"/>
      <c r="W2574" s="49"/>
      <c r="X2574" s="49"/>
      <c r="Y2574" s="49"/>
      <c r="Z2574" s="49"/>
      <c r="AA2574" s="49"/>
      <c r="AB2574" s="49"/>
      <c r="AC2574" s="49"/>
      <c r="AD2574" s="49"/>
      <c r="AE2574" s="49"/>
      <c r="AF2574" s="49"/>
      <c r="AG2574" s="49"/>
      <c r="AH2574" s="49"/>
      <c r="AI2574" s="48"/>
      <c r="AJ2574" s="48"/>
      <c r="AK2574" s="24"/>
      <c r="AL2574" s="50"/>
      <c r="AM2574" s="50"/>
      <c r="AN2574" s="50"/>
      <c r="AO2574" s="50"/>
      <c r="AP2574" s="50"/>
      <c r="AQ2574" s="50"/>
      <c r="AR2574" s="50"/>
      <c r="AS2574" s="50"/>
      <c r="AT2574" s="51"/>
      <c r="AU2574" s="51"/>
      <c r="AV2574" s="51"/>
      <c r="AW2574" s="51"/>
      <c r="AX2574" s="50"/>
      <c r="AY2574" s="50"/>
      <c r="AZ2574" s="50"/>
      <c r="BA2574" s="50"/>
      <c r="BB2574" s="51"/>
      <c r="BC2574" s="51"/>
      <c r="BD2574" s="51"/>
      <c r="BE2574" s="51"/>
      <c r="BF2574" s="47"/>
      <c r="BG2574" s="47"/>
      <c r="BH2574" s="47"/>
      <c r="BI2574" s="47"/>
      <c r="BJ2574" s="47"/>
      <c r="BK2574" s="47"/>
      <c r="BL2574" s="47"/>
      <c r="BM2574" s="47"/>
      <c r="BN2574" s="47"/>
      <c r="BO2574" s="47"/>
      <c r="BP2574" s="47"/>
      <c r="BQ2574" s="47"/>
      <c r="BR2574" s="47"/>
      <c r="BS2574" s="47"/>
      <c r="BT2574" s="47"/>
    </row>
    <row r="2575">
      <c r="A2575" s="24"/>
      <c r="B2575" s="48"/>
      <c r="C2575" s="49"/>
      <c r="D2575" s="24"/>
      <c r="E2575" s="52"/>
      <c r="F2575" s="53"/>
      <c r="G2575" s="48"/>
      <c r="H2575" s="49"/>
      <c r="I2575" s="49"/>
      <c r="J2575" s="48"/>
      <c r="K2575" s="48"/>
      <c r="L2575" s="48"/>
      <c r="M2575" s="48"/>
      <c r="N2575" s="48"/>
      <c r="O2575" s="48"/>
      <c r="P2575" s="48"/>
      <c r="Q2575" s="48"/>
      <c r="R2575" s="48"/>
      <c r="S2575" s="48"/>
      <c r="T2575" s="48"/>
      <c r="U2575" s="48"/>
      <c r="V2575" s="48"/>
      <c r="W2575" s="49"/>
      <c r="X2575" s="49"/>
      <c r="Y2575" s="49"/>
      <c r="Z2575" s="49"/>
      <c r="AA2575" s="49"/>
      <c r="AB2575" s="49"/>
      <c r="AC2575" s="49"/>
      <c r="AD2575" s="49"/>
      <c r="AE2575" s="49"/>
      <c r="AF2575" s="49"/>
      <c r="AG2575" s="49"/>
      <c r="AH2575" s="49"/>
      <c r="AI2575" s="48"/>
      <c r="AJ2575" s="48"/>
      <c r="AK2575" s="24"/>
      <c r="AL2575" s="50"/>
      <c r="AM2575" s="50"/>
      <c r="AN2575" s="50"/>
      <c r="AO2575" s="50"/>
      <c r="AP2575" s="50"/>
      <c r="AQ2575" s="50"/>
      <c r="AR2575" s="50"/>
      <c r="AS2575" s="50"/>
      <c r="AT2575" s="51"/>
      <c r="AU2575" s="51"/>
      <c r="AV2575" s="51"/>
      <c r="AW2575" s="51"/>
      <c r="AX2575" s="50"/>
      <c r="AY2575" s="50"/>
      <c r="AZ2575" s="50"/>
      <c r="BA2575" s="50"/>
      <c r="BB2575" s="51"/>
      <c r="BC2575" s="51"/>
      <c r="BD2575" s="51"/>
      <c r="BE2575" s="51"/>
      <c r="BF2575" s="47"/>
      <c r="BG2575" s="47"/>
      <c r="BH2575" s="47"/>
      <c r="BI2575" s="47"/>
      <c r="BJ2575" s="47"/>
      <c r="BK2575" s="47"/>
      <c r="BL2575" s="47"/>
      <c r="BM2575" s="47"/>
      <c r="BN2575" s="47"/>
      <c r="BO2575" s="47"/>
      <c r="BP2575" s="47"/>
      <c r="BQ2575" s="47"/>
      <c r="BR2575" s="47"/>
      <c r="BS2575" s="47"/>
      <c r="BT2575" s="47"/>
    </row>
    <row r="2576">
      <c r="A2576" s="24"/>
      <c r="B2576" s="48"/>
      <c r="C2576" s="49"/>
      <c r="D2576" s="24"/>
      <c r="E2576" s="52"/>
      <c r="F2576" s="53"/>
      <c r="G2576" s="48"/>
      <c r="H2576" s="49"/>
      <c r="I2576" s="49"/>
      <c r="J2576" s="48"/>
      <c r="K2576" s="48"/>
      <c r="L2576" s="48"/>
      <c r="M2576" s="48"/>
      <c r="N2576" s="48"/>
      <c r="O2576" s="48"/>
      <c r="P2576" s="48"/>
      <c r="Q2576" s="48"/>
      <c r="R2576" s="48"/>
      <c r="S2576" s="48"/>
      <c r="T2576" s="48"/>
      <c r="U2576" s="48"/>
      <c r="V2576" s="48"/>
      <c r="W2576" s="49"/>
      <c r="X2576" s="49"/>
      <c r="Y2576" s="49"/>
      <c r="Z2576" s="49"/>
      <c r="AA2576" s="49"/>
      <c r="AB2576" s="49"/>
      <c r="AC2576" s="49"/>
      <c r="AD2576" s="49"/>
      <c r="AE2576" s="49"/>
      <c r="AF2576" s="49"/>
      <c r="AG2576" s="49"/>
      <c r="AH2576" s="49"/>
      <c r="AI2576" s="48"/>
      <c r="AJ2576" s="48"/>
      <c r="AK2576" s="24"/>
      <c r="AL2576" s="50"/>
      <c r="AM2576" s="50"/>
      <c r="AN2576" s="50"/>
      <c r="AO2576" s="50"/>
      <c r="AP2576" s="50"/>
      <c r="AQ2576" s="50"/>
      <c r="AR2576" s="50"/>
      <c r="AS2576" s="50"/>
      <c r="AT2576" s="51"/>
      <c r="AU2576" s="51"/>
      <c r="AV2576" s="51"/>
      <c r="AW2576" s="51"/>
      <c r="AX2576" s="50"/>
      <c r="AY2576" s="50"/>
      <c r="AZ2576" s="50"/>
      <c r="BA2576" s="50"/>
      <c r="BB2576" s="51"/>
      <c r="BC2576" s="51"/>
      <c r="BD2576" s="51"/>
      <c r="BE2576" s="51"/>
      <c r="BF2576" s="47"/>
      <c r="BG2576" s="47"/>
      <c r="BH2576" s="47"/>
      <c r="BI2576" s="47"/>
      <c r="BJ2576" s="47"/>
      <c r="BK2576" s="47"/>
      <c r="BL2576" s="47"/>
      <c r="BM2576" s="47"/>
      <c r="BN2576" s="47"/>
      <c r="BO2576" s="47"/>
      <c r="BP2576" s="47"/>
      <c r="BQ2576" s="47"/>
      <c r="BR2576" s="47"/>
      <c r="BS2576" s="47"/>
      <c r="BT2576" s="47"/>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9.43"/>
    <col customWidth="1" min="5" max="5" width="17.71"/>
    <col customWidth="1" min="6" max="6" width="12.29"/>
    <col customWidth="1" min="7" max="7" width="5.57"/>
    <col customWidth="1" min="8" max="8" width="9.29"/>
    <col customWidth="1" min="9" max="9" width="9.86"/>
    <col customWidth="1" min="11" max="11" width="10.14"/>
    <col customWidth="1" min="12" max="12" width="18.57"/>
    <col customWidth="1" min="13" max="13" width="17.57"/>
  </cols>
  <sheetData>
    <row r="1" ht="48.0" customHeight="1">
      <c r="A1" s="1" t="s">
        <v>1</v>
      </c>
      <c r="B1" s="1" t="s">
        <v>2866</v>
      </c>
      <c r="C1" s="1" t="s">
        <v>2867</v>
      </c>
      <c r="D1" s="1" t="s">
        <v>2868</v>
      </c>
      <c r="E1" s="1" t="s">
        <v>2869</v>
      </c>
      <c r="F1" s="1" t="s">
        <v>2870</v>
      </c>
      <c r="G1" s="1" t="s">
        <v>2871</v>
      </c>
      <c r="H1" s="1" t="s">
        <v>2872</v>
      </c>
      <c r="I1" s="1" t="s">
        <v>2873</v>
      </c>
      <c r="J1" s="1" t="s">
        <v>2874</v>
      </c>
      <c r="K1" s="1" t="s">
        <v>2875</v>
      </c>
      <c r="L1" s="1" t="s">
        <v>2876</v>
      </c>
      <c r="M1" s="1" t="s">
        <v>2877</v>
      </c>
      <c r="N1" s="1" t="s">
        <v>2878</v>
      </c>
    </row>
    <row r="2" ht="11.25" customHeight="1">
      <c r="A2" s="1" t="s">
        <v>32</v>
      </c>
      <c r="B2" s="1">
        <v>0.0</v>
      </c>
      <c r="C2" s="1">
        <v>0.0</v>
      </c>
      <c r="D2" s="1">
        <v>132.15</v>
      </c>
      <c r="E2" s="1">
        <v>0.0</v>
      </c>
      <c r="F2" s="54">
        <v>44336.0</v>
      </c>
      <c r="G2" s="1">
        <v>0.0</v>
      </c>
      <c r="H2" s="1">
        <v>148.93</v>
      </c>
      <c r="I2" s="14">
        <v>44393.0</v>
      </c>
      <c r="J2" s="55" t="s">
        <v>2879</v>
      </c>
      <c r="K2" s="15" t="s">
        <v>2880</v>
      </c>
      <c r="L2" s="33" t="str">
        <f t="shared" ref="L2:L701" si="1">if(B2=0,"Not in buy Zone",B2+B2*0.005)</f>
        <v>Not in buy Zone</v>
      </c>
      <c r="M2" s="33" t="str">
        <f t="shared" ref="M2:M701" si="2">if(B2=0,"Not in buy Zone",B2-B2*0.005)</f>
        <v>Not in buy Zone</v>
      </c>
      <c r="N2" s="33" t="str">
        <f t="shared" ref="N2:N701" si="3">if(L2="Not in buy Zone","No","Yes")</f>
        <v>No</v>
      </c>
    </row>
    <row r="3" ht="11.25" customHeight="1">
      <c r="A3" s="1" t="s">
        <v>33</v>
      </c>
      <c r="B3" s="1">
        <v>0.0</v>
      </c>
      <c r="C3" s="1">
        <v>0.0</v>
      </c>
      <c r="D3" s="1">
        <v>0.0</v>
      </c>
      <c r="E3" s="1">
        <v>35.36</v>
      </c>
      <c r="F3" s="54">
        <v>44385.0</v>
      </c>
      <c r="G3" s="1">
        <v>0.0</v>
      </c>
      <c r="H3" s="1">
        <v>32.95</v>
      </c>
      <c r="I3" s="14">
        <v>44393.0</v>
      </c>
      <c r="J3" s="55" t="s">
        <v>2879</v>
      </c>
      <c r="K3" s="15" t="s">
        <v>2881</v>
      </c>
      <c r="L3" s="33" t="str">
        <f t="shared" si="1"/>
        <v>Not in buy Zone</v>
      </c>
      <c r="M3" s="33" t="str">
        <f t="shared" si="2"/>
        <v>Not in buy Zone</v>
      </c>
      <c r="N3" s="33" t="str">
        <f t="shared" si="3"/>
        <v>No</v>
      </c>
    </row>
    <row r="4" ht="11.25" customHeight="1">
      <c r="A4" s="1" t="s">
        <v>34</v>
      </c>
      <c r="B4" s="1">
        <v>0.0</v>
      </c>
      <c r="C4" s="1">
        <v>0.0</v>
      </c>
      <c r="D4" s="1">
        <v>0.0</v>
      </c>
      <c r="E4" s="1">
        <v>20.76</v>
      </c>
      <c r="F4" s="54">
        <v>44328.0</v>
      </c>
      <c r="G4" s="1">
        <v>0.0</v>
      </c>
      <c r="H4" s="1">
        <v>19.79</v>
      </c>
      <c r="I4" s="14">
        <v>44393.0</v>
      </c>
      <c r="J4" s="55" t="s">
        <v>2879</v>
      </c>
      <c r="K4" s="15" t="s">
        <v>2882</v>
      </c>
      <c r="L4" s="33" t="str">
        <f t="shared" si="1"/>
        <v>Not in buy Zone</v>
      </c>
      <c r="M4" s="33" t="str">
        <f t="shared" si="2"/>
        <v>Not in buy Zone</v>
      </c>
      <c r="N4" s="33" t="str">
        <f t="shared" si="3"/>
        <v>No</v>
      </c>
    </row>
    <row r="5" ht="11.25" customHeight="1">
      <c r="A5" s="1" t="s">
        <v>35</v>
      </c>
      <c r="B5" s="1">
        <v>0.0</v>
      </c>
      <c r="C5" s="1">
        <v>0.0</v>
      </c>
      <c r="D5" s="1">
        <v>0.0</v>
      </c>
      <c r="E5" s="1">
        <v>194.39</v>
      </c>
      <c r="F5" s="54">
        <v>44364.0</v>
      </c>
      <c r="G5" s="1">
        <v>0.0</v>
      </c>
      <c r="H5" s="1">
        <v>205.85</v>
      </c>
      <c r="I5" s="14">
        <v>44393.0</v>
      </c>
      <c r="J5" s="55" t="s">
        <v>2879</v>
      </c>
      <c r="K5" s="15" t="s">
        <v>2883</v>
      </c>
      <c r="L5" s="33" t="str">
        <f t="shared" si="1"/>
        <v>Not in buy Zone</v>
      </c>
      <c r="M5" s="33" t="str">
        <f t="shared" si="2"/>
        <v>Not in buy Zone</v>
      </c>
      <c r="N5" s="33" t="str">
        <f t="shared" si="3"/>
        <v>No</v>
      </c>
    </row>
    <row r="6" ht="11.25" customHeight="1">
      <c r="A6" s="1" t="s">
        <v>36</v>
      </c>
      <c r="B6" s="1">
        <v>0.0</v>
      </c>
      <c r="C6" s="1">
        <v>0.0</v>
      </c>
      <c r="D6" s="1">
        <v>127.31</v>
      </c>
      <c r="E6" s="1">
        <v>0.0</v>
      </c>
      <c r="F6" s="54">
        <v>44336.0</v>
      </c>
      <c r="G6" s="1">
        <v>0.0</v>
      </c>
      <c r="H6" s="1">
        <v>146.39</v>
      </c>
      <c r="I6" s="14">
        <v>44393.0</v>
      </c>
      <c r="J6" s="55" t="s">
        <v>2879</v>
      </c>
      <c r="K6" s="15" t="s">
        <v>2884</v>
      </c>
      <c r="L6" s="33" t="str">
        <f t="shared" si="1"/>
        <v>Not in buy Zone</v>
      </c>
      <c r="M6" s="33" t="str">
        <f t="shared" si="2"/>
        <v>Not in buy Zone</v>
      </c>
      <c r="N6" s="33" t="str">
        <f t="shared" si="3"/>
        <v>No</v>
      </c>
    </row>
    <row r="7" ht="11.25" customHeight="1">
      <c r="A7" s="1" t="s">
        <v>37</v>
      </c>
      <c r="B7" s="1">
        <v>0.0</v>
      </c>
      <c r="C7" s="1">
        <v>0.0</v>
      </c>
      <c r="D7" s="1">
        <v>114.26</v>
      </c>
      <c r="E7" s="1">
        <v>0.0</v>
      </c>
      <c r="F7" s="54">
        <v>44378.0</v>
      </c>
      <c r="G7" s="1">
        <v>0.0</v>
      </c>
      <c r="H7" s="1">
        <v>117.5</v>
      </c>
      <c r="I7" s="14">
        <v>44393.0</v>
      </c>
      <c r="J7" s="55" t="s">
        <v>2879</v>
      </c>
      <c r="K7" s="15" t="s">
        <v>2885</v>
      </c>
      <c r="L7" s="33" t="str">
        <f t="shared" si="1"/>
        <v>Not in buy Zone</v>
      </c>
      <c r="M7" s="33" t="str">
        <f t="shared" si="2"/>
        <v>Not in buy Zone</v>
      </c>
      <c r="N7" s="33" t="str">
        <f t="shared" si="3"/>
        <v>No</v>
      </c>
    </row>
    <row r="8" ht="11.25" customHeight="1">
      <c r="A8" s="1" t="s">
        <v>38</v>
      </c>
      <c r="B8" s="1">
        <v>0.0</v>
      </c>
      <c r="C8" s="1">
        <v>0.0</v>
      </c>
      <c r="D8" s="1">
        <v>116.44</v>
      </c>
      <c r="E8" s="1">
        <v>0.0</v>
      </c>
      <c r="F8" s="54">
        <v>44378.0</v>
      </c>
      <c r="G8" s="1">
        <v>0.0</v>
      </c>
      <c r="H8" s="1">
        <v>112.88</v>
      </c>
      <c r="I8" s="14">
        <v>44393.0</v>
      </c>
      <c r="J8" s="55" t="s">
        <v>2879</v>
      </c>
      <c r="K8" s="15" t="s">
        <v>2886</v>
      </c>
      <c r="L8" s="33" t="str">
        <f t="shared" si="1"/>
        <v>Not in buy Zone</v>
      </c>
      <c r="M8" s="33" t="str">
        <f t="shared" si="2"/>
        <v>Not in buy Zone</v>
      </c>
      <c r="N8" s="33" t="str">
        <f t="shared" si="3"/>
        <v>No</v>
      </c>
    </row>
    <row r="9" ht="11.25" customHeight="1">
      <c r="A9" s="1" t="s">
        <v>39</v>
      </c>
      <c r="B9" s="1">
        <v>0.0</v>
      </c>
      <c r="C9" s="1">
        <v>0.0</v>
      </c>
      <c r="D9" s="1">
        <v>0.0</v>
      </c>
      <c r="E9" s="1">
        <v>312.11</v>
      </c>
      <c r="F9" s="54">
        <v>44377.0</v>
      </c>
      <c r="G9" s="1">
        <v>0.0</v>
      </c>
      <c r="H9" s="1">
        <v>317.98</v>
      </c>
      <c r="I9" s="14">
        <v>44393.0</v>
      </c>
      <c r="J9" s="55" t="s">
        <v>2879</v>
      </c>
      <c r="K9" s="15" t="s">
        <v>2887</v>
      </c>
      <c r="L9" s="33" t="str">
        <f t="shared" si="1"/>
        <v>Not in buy Zone</v>
      </c>
      <c r="M9" s="33" t="str">
        <f t="shared" si="2"/>
        <v>Not in buy Zone</v>
      </c>
      <c r="N9" s="33" t="str">
        <f t="shared" si="3"/>
        <v>No</v>
      </c>
    </row>
    <row r="10" ht="11.25" customHeight="1">
      <c r="A10" s="1" t="s">
        <v>40</v>
      </c>
      <c r="B10" s="1">
        <v>0.0</v>
      </c>
      <c r="C10" s="1">
        <v>0.0</v>
      </c>
      <c r="D10" s="1">
        <v>0.0</v>
      </c>
      <c r="E10" s="1">
        <v>117.17</v>
      </c>
      <c r="F10" s="54">
        <v>44391.0</v>
      </c>
      <c r="G10" s="1">
        <v>0.0</v>
      </c>
      <c r="H10" s="1">
        <v>117.51</v>
      </c>
      <c r="I10" s="14">
        <v>44393.0</v>
      </c>
      <c r="J10" s="55" t="s">
        <v>2879</v>
      </c>
      <c r="K10" s="15" t="s">
        <v>2888</v>
      </c>
      <c r="L10" s="33" t="str">
        <f t="shared" si="1"/>
        <v>Not in buy Zone</v>
      </c>
      <c r="M10" s="33" t="str">
        <f t="shared" si="2"/>
        <v>Not in buy Zone</v>
      </c>
      <c r="N10" s="33" t="str">
        <f t="shared" si="3"/>
        <v>No</v>
      </c>
    </row>
    <row r="11" ht="11.25" customHeight="1">
      <c r="A11" s="1" t="s">
        <v>41</v>
      </c>
      <c r="B11" s="1">
        <v>0.0</v>
      </c>
      <c r="C11" s="1">
        <v>0.0</v>
      </c>
      <c r="D11" s="1">
        <v>0.0</v>
      </c>
      <c r="E11" s="1">
        <v>281.25</v>
      </c>
      <c r="F11" s="54">
        <v>44365.0</v>
      </c>
      <c r="G11" s="1">
        <v>0.0</v>
      </c>
      <c r="H11" s="1">
        <v>311.91</v>
      </c>
      <c r="I11" s="14">
        <v>44393.0</v>
      </c>
      <c r="J11" s="55" t="s">
        <v>2879</v>
      </c>
      <c r="K11" s="15" t="s">
        <v>2889</v>
      </c>
      <c r="L11" s="33" t="str">
        <f t="shared" si="1"/>
        <v>Not in buy Zone</v>
      </c>
      <c r="M11" s="33" t="str">
        <f t="shared" si="2"/>
        <v>Not in buy Zone</v>
      </c>
      <c r="N11" s="33" t="str">
        <f t="shared" si="3"/>
        <v>No</v>
      </c>
    </row>
    <row r="12" ht="11.25" customHeight="1">
      <c r="A12" s="1" t="s">
        <v>42</v>
      </c>
      <c r="B12" s="1">
        <v>0.0</v>
      </c>
      <c r="C12" s="1">
        <v>0.0</v>
      </c>
      <c r="D12" s="1">
        <v>0.0</v>
      </c>
      <c r="E12" s="1">
        <v>493.14</v>
      </c>
      <c r="F12" s="54">
        <v>44350.0</v>
      </c>
      <c r="G12" s="1">
        <v>0.0</v>
      </c>
      <c r="H12" s="1">
        <v>606.1</v>
      </c>
      <c r="I12" s="14">
        <v>44393.0</v>
      </c>
      <c r="J12" s="55" t="s">
        <v>2879</v>
      </c>
      <c r="K12" s="15" t="s">
        <v>2890</v>
      </c>
      <c r="L12" s="33" t="str">
        <f t="shared" si="1"/>
        <v>Not in buy Zone</v>
      </c>
      <c r="M12" s="33" t="str">
        <f t="shared" si="2"/>
        <v>Not in buy Zone</v>
      </c>
      <c r="N12" s="33" t="str">
        <f t="shared" si="3"/>
        <v>No</v>
      </c>
    </row>
    <row r="13" ht="11.25" customHeight="1">
      <c r="A13" s="1" t="s">
        <v>43</v>
      </c>
      <c r="B13" s="1">
        <v>0.0</v>
      </c>
      <c r="C13" s="1">
        <v>0.0</v>
      </c>
      <c r="D13" s="1">
        <v>0.0</v>
      </c>
      <c r="E13" s="1">
        <v>165.43</v>
      </c>
      <c r="F13" s="54">
        <v>44384.0</v>
      </c>
      <c r="G13" s="1">
        <v>0.0</v>
      </c>
      <c r="H13" s="1">
        <v>160.44</v>
      </c>
      <c r="I13" s="14">
        <v>44393.0</v>
      </c>
      <c r="J13" s="55" t="s">
        <v>2879</v>
      </c>
      <c r="K13" s="15" t="s">
        <v>2891</v>
      </c>
      <c r="L13" s="33" t="str">
        <f t="shared" si="1"/>
        <v>Not in buy Zone</v>
      </c>
      <c r="M13" s="33" t="str">
        <f t="shared" si="2"/>
        <v>Not in buy Zone</v>
      </c>
      <c r="N13" s="33" t="str">
        <f t="shared" si="3"/>
        <v>No</v>
      </c>
    </row>
    <row r="14" ht="11.25" customHeight="1">
      <c r="A14" s="1" t="s">
        <v>44</v>
      </c>
      <c r="B14" s="1">
        <v>0.0</v>
      </c>
      <c r="C14" s="1">
        <v>0.0</v>
      </c>
      <c r="D14" s="1">
        <v>0.0</v>
      </c>
      <c r="E14" s="1">
        <v>67.23</v>
      </c>
      <c r="F14" s="54">
        <v>44357.0</v>
      </c>
      <c r="G14" s="1">
        <v>0.0</v>
      </c>
      <c r="H14" s="1">
        <v>58.21</v>
      </c>
      <c r="I14" s="14">
        <v>44393.0</v>
      </c>
      <c r="J14" s="55" t="s">
        <v>2879</v>
      </c>
      <c r="K14" s="15" t="s">
        <v>2892</v>
      </c>
      <c r="L14" s="33" t="str">
        <f t="shared" si="1"/>
        <v>Not in buy Zone</v>
      </c>
      <c r="M14" s="33" t="str">
        <f t="shared" si="2"/>
        <v>Not in buy Zone</v>
      </c>
      <c r="N14" s="33" t="str">
        <f t="shared" si="3"/>
        <v>No</v>
      </c>
    </row>
    <row r="15" ht="11.25" customHeight="1">
      <c r="A15" s="1" t="s">
        <v>45</v>
      </c>
      <c r="B15" s="1">
        <v>0.0</v>
      </c>
      <c r="C15" s="1">
        <v>0.0</v>
      </c>
      <c r="D15" s="1">
        <v>197.62</v>
      </c>
      <c r="E15" s="1">
        <v>0.0</v>
      </c>
      <c r="F15" s="54">
        <v>44376.0</v>
      </c>
      <c r="G15" s="1">
        <v>0.0</v>
      </c>
      <c r="H15" s="1">
        <v>205.6</v>
      </c>
      <c r="I15" s="14">
        <v>44393.0</v>
      </c>
      <c r="J15" s="55" t="s">
        <v>2879</v>
      </c>
      <c r="K15" s="15" t="s">
        <v>2893</v>
      </c>
      <c r="L15" s="33" t="str">
        <f t="shared" si="1"/>
        <v>Not in buy Zone</v>
      </c>
      <c r="M15" s="33" t="str">
        <f t="shared" si="2"/>
        <v>Not in buy Zone</v>
      </c>
      <c r="N15" s="33" t="str">
        <f t="shared" si="3"/>
        <v>No</v>
      </c>
    </row>
    <row r="16" ht="11.25" customHeight="1">
      <c r="A16" s="1" t="s">
        <v>46</v>
      </c>
      <c r="B16" s="1">
        <v>0.0</v>
      </c>
      <c r="C16" s="1">
        <v>0.0</v>
      </c>
      <c r="D16" s="1">
        <v>0.0</v>
      </c>
      <c r="E16" s="1">
        <v>291.93</v>
      </c>
      <c r="F16" s="54">
        <v>44389.0</v>
      </c>
      <c r="G16" s="1">
        <v>0.0</v>
      </c>
      <c r="H16" s="1">
        <v>293.33</v>
      </c>
      <c r="I16" s="14">
        <v>44393.0</v>
      </c>
      <c r="J16" s="55" t="s">
        <v>2879</v>
      </c>
      <c r="K16" s="15" t="s">
        <v>2894</v>
      </c>
      <c r="L16" s="33" t="str">
        <f t="shared" si="1"/>
        <v>Not in buy Zone</v>
      </c>
      <c r="M16" s="33" t="str">
        <f t="shared" si="2"/>
        <v>Not in buy Zone</v>
      </c>
      <c r="N16" s="33" t="str">
        <f t="shared" si="3"/>
        <v>No</v>
      </c>
    </row>
    <row r="17" ht="11.25" customHeight="1">
      <c r="A17" s="1" t="s">
        <v>47</v>
      </c>
      <c r="B17" s="1">
        <v>0.0</v>
      </c>
      <c r="C17" s="1">
        <v>0.0</v>
      </c>
      <c r="D17" s="1">
        <v>82.32</v>
      </c>
      <c r="E17" s="1">
        <v>0.0</v>
      </c>
      <c r="F17" s="54">
        <v>44384.0</v>
      </c>
      <c r="G17" s="1">
        <v>0.0</v>
      </c>
      <c r="H17" s="1">
        <v>85.06</v>
      </c>
      <c r="I17" s="14">
        <v>44393.0</v>
      </c>
      <c r="J17" s="55" t="s">
        <v>2879</v>
      </c>
      <c r="K17" s="15" t="s">
        <v>2895</v>
      </c>
      <c r="L17" s="33" t="str">
        <f t="shared" si="1"/>
        <v>Not in buy Zone</v>
      </c>
      <c r="M17" s="33" t="str">
        <f t="shared" si="2"/>
        <v>Not in buy Zone</v>
      </c>
      <c r="N17" s="33" t="str">
        <f t="shared" si="3"/>
        <v>No</v>
      </c>
    </row>
    <row r="18" ht="11.25" customHeight="1">
      <c r="A18" s="1" t="s">
        <v>48</v>
      </c>
      <c r="B18" s="1">
        <v>0.0</v>
      </c>
      <c r="C18" s="1">
        <v>0.0</v>
      </c>
      <c r="D18" s="1">
        <v>0.0</v>
      </c>
      <c r="E18" s="1">
        <v>35.25</v>
      </c>
      <c r="F18" s="54">
        <v>44384.0</v>
      </c>
      <c r="G18" s="1">
        <v>0.0</v>
      </c>
      <c r="H18" s="1">
        <v>33.56</v>
      </c>
      <c r="I18" s="14">
        <v>44393.0</v>
      </c>
      <c r="J18" s="55" t="s">
        <v>2879</v>
      </c>
      <c r="K18" s="15" t="s">
        <v>2896</v>
      </c>
      <c r="L18" s="33" t="str">
        <f t="shared" si="1"/>
        <v>Not in buy Zone</v>
      </c>
      <c r="M18" s="33" t="str">
        <f t="shared" si="2"/>
        <v>Not in buy Zone</v>
      </c>
      <c r="N18" s="33" t="str">
        <f t="shared" si="3"/>
        <v>No</v>
      </c>
    </row>
    <row r="19" ht="11.25" customHeight="1">
      <c r="A19" s="1" t="s">
        <v>4</v>
      </c>
      <c r="B19" s="1">
        <v>0.0</v>
      </c>
      <c r="C19" s="1">
        <v>0.0</v>
      </c>
      <c r="D19" s="1">
        <v>86.57</v>
      </c>
      <c r="E19" s="1">
        <v>0.0</v>
      </c>
      <c r="F19" s="54">
        <v>44340.0</v>
      </c>
      <c r="G19" s="1">
        <v>0.0</v>
      </c>
      <c r="H19" s="1">
        <v>87.49</v>
      </c>
      <c r="I19" s="14">
        <v>44393.0</v>
      </c>
      <c r="J19" s="55" t="s">
        <v>2879</v>
      </c>
      <c r="K19" s="15" t="s">
        <v>2897</v>
      </c>
      <c r="L19" s="33" t="str">
        <f t="shared" si="1"/>
        <v>Not in buy Zone</v>
      </c>
      <c r="M19" s="33" t="str">
        <f t="shared" si="2"/>
        <v>Not in buy Zone</v>
      </c>
      <c r="N19" s="33" t="str">
        <f t="shared" si="3"/>
        <v>No</v>
      </c>
    </row>
    <row r="20" ht="11.25" customHeight="1">
      <c r="A20" s="1" t="s">
        <v>49</v>
      </c>
      <c r="B20" s="1">
        <v>0.0</v>
      </c>
      <c r="C20" s="1">
        <v>0.0</v>
      </c>
      <c r="D20" s="1">
        <v>0.0</v>
      </c>
      <c r="E20" s="1">
        <v>25.19</v>
      </c>
      <c r="F20" s="54">
        <v>44349.0</v>
      </c>
      <c r="G20" s="1">
        <v>0.0</v>
      </c>
      <c r="H20" s="1">
        <v>24.36</v>
      </c>
      <c r="I20" s="14">
        <v>44393.0</v>
      </c>
      <c r="J20" s="55" t="s">
        <v>2879</v>
      </c>
      <c r="K20" s="15" t="s">
        <v>2898</v>
      </c>
      <c r="L20" s="33" t="str">
        <f t="shared" si="1"/>
        <v>Not in buy Zone</v>
      </c>
      <c r="M20" s="33" t="str">
        <f t="shared" si="2"/>
        <v>Not in buy Zone</v>
      </c>
      <c r="N20" s="33" t="str">
        <f t="shared" si="3"/>
        <v>No</v>
      </c>
    </row>
    <row r="21" ht="11.25" customHeight="1">
      <c r="A21" s="1" t="s">
        <v>50</v>
      </c>
      <c r="B21" s="1">
        <v>0.0</v>
      </c>
      <c r="C21" s="1">
        <v>0.0</v>
      </c>
      <c r="D21" s="1">
        <v>54.0</v>
      </c>
      <c r="E21" s="1">
        <v>0.0</v>
      </c>
      <c r="F21" s="54">
        <v>44378.0</v>
      </c>
      <c r="G21" s="1">
        <v>0.0</v>
      </c>
      <c r="H21" s="1">
        <v>53.12</v>
      </c>
      <c r="I21" s="14">
        <v>44393.0</v>
      </c>
      <c r="J21" s="55" t="s">
        <v>2879</v>
      </c>
      <c r="K21" s="15" t="s">
        <v>2899</v>
      </c>
      <c r="L21" s="33" t="str">
        <f t="shared" si="1"/>
        <v>Not in buy Zone</v>
      </c>
      <c r="M21" s="33" t="str">
        <f t="shared" si="2"/>
        <v>Not in buy Zone</v>
      </c>
      <c r="N21" s="33" t="str">
        <f t="shared" si="3"/>
        <v>No</v>
      </c>
    </row>
    <row r="22" ht="11.25" customHeight="1">
      <c r="A22" s="1" t="s">
        <v>51</v>
      </c>
      <c r="B22" s="1">
        <v>0.0</v>
      </c>
      <c r="C22" s="1">
        <v>0.0</v>
      </c>
      <c r="D22" s="1">
        <v>0.0</v>
      </c>
      <c r="E22" s="1">
        <v>114.21</v>
      </c>
      <c r="F22" s="54">
        <v>44350.0</v>
      </c>
      <c r="G22" s="1">
        <v>0.0</v>
      </c>
      <c r="H22" s="1">
        <v>115.9</v>
      </c>
      <c r="I22" s="14">
        <v>44393.0</v>
      </c>
      <c r="J22" s="55" t="s">
        <v>2879</v>
      </c>
      <c r="K22" s="15" t="s">
        <v>2900</v>
      </c>
      <c r="L22" s="33" t="str">
        <f t="shared" si="1"/>
        <v>Not in buy Zone</v>
      </c>
      <c r="M22" s="33" t="str">
        <f t="shared" si="2"/>
        <v>Not in buy Zone</v>
      </c>
      <c r="N22" s="33" t="str">
        <f t="shared" si="3"/>
        <v>No</v>
      </c>
    </row>
    <row r="23" ht="11.25" customHeight="1">
      <c r="A23" s="1" t="s">
        <v>52</v>
      </c>
      <c r="B23" s="1">
        <v>0.0</v>
      </c>
      <c r="C23" s="1">
        <v>0.0</v>
      </c>
      <c r="D23" s="1">
        <v>0.0</v>
      </c>
      <c r="E23" s="1">
        <v>60.53</v>
      </c>
      <c r="F23" s="54">
        <v>44379.0</v>
      </c>
      <c r="G23" s="1">
        <v>0.0</v>
      </c>
      <c r="H23" s="1">
        <v>50.64</v>
      </c>
      <c r="I23" s="14">
        <v>44393.0</v>
      </c>
      <c r="J23" s="55" t="s">
        <v>2879</v>
      </c>
      <c r="K23" s="15" t="s">
        <v>2901</v>
      </c>
      <c r="L23" s="33" t="str">
        <f t="shared" si="1"/>
        <v>Not in buy Zone</v>
      </c>
      <c r="M23" s="33" t="str">
        <f t="shared" si="2"/>
        <v>Not in buy Zone</v>
      </c>
      <c r="N23" s="33" t="str">
        <f t="shared" si="3"/>
        <v>No</v>
      </c>
    </row>
    <row r="24" ht="11.25" customHeight="1">
      <c r="A24" s="1" t="s">
        <v>53</v>
      </c>
      <c r="B24" s="1">
        <v>0.0</v>
      </c>
      <c r="C24" s="1">
        <v>0.0</v>
      </c>
      <c r="D24" s="1">
        <v>48.07</v>
      </c>
      <c r="E24" s="1">
        <v>0.0</v>
      </c>
      <c r="F24" s="54">
        <v>44392.0</v>
      </c>
      <c r="G24" s="1">
        <v>0.0</v>
      </c>
      <c r="H24" s="1">
        <v>46.9</v>
      </c>
      <c r="I24" s="14">
        <v>44393.0</v>
      </c>
      <c r="J24" s="55" t="s">
        <v>2879</v>
      </c>
      <c r="K24" s="15" t="s">
        <v>2902</v>
      </c>
      <c r="L24" s="33" t="str">
        <f t="shared" si="1"/>
        <v>Not in buy Zone</v>
      </c>
      <c r="M24" s="33" t="str">
        <f t="shared" si="2"/>
        <v>Not in buy Zone</v>
      </c>
      <c r="N24" s="33" t="str">
        <f t="shared" si="3"/>
        <v>No</v>
      </c>
    </row>
    <row r="25" ht="11.25" customHeight="1">
      <c r="A25" s="1" t="s">
        <v>54</v>
      </c>
      <c r="B25" s="1">
        <v>0.0</v>
      </c>
      <c r="C25" s="1">
        <v>0.0</v>
      </c>
      <c r="D25" s="1">
        <v>0.0</v>
      </c>
      <c r="E25" s="1">
        <v>154.35</v>
      </c>
      <c r="F25" s="54">
        <v>44385.0</v>
      </c>
      <c r="G25" s="1">
        <v>0.0</v>
      </c>
      <c r="H25" s="1">
        <v>155.76</v>
      </c>
      <c r="I25" s="14">
        <v>44393.0</v>
      </c>
      <c r="J25" s="55" t="s">
        <v>2879</v>
      </c>
      <c r="K25" s="15" t="s">
        <v>2903</v>
      </c>
      <c r="L25" s="33" t="str">
        <f t="shared" si="1"/>
        <v>Not in buy Zone</v>
      </c>
      <c r="M25" s="33" t="str">
        <f t="shared" si="2"/>
        <v>Not in buy Zone</v>
      </c>
      <c r="N25" s="33" t="str">
        <f t="shared" si="3"/>
        <v>No</v>
      </c>
    </row>
    <row r="26" ht="11.25" customHeight="1">
      <c r="A26" s="1" t="s">
        <v>55</v>
      </c>
      <c r="B26" s="1">
        <v>0.0</v>
      </c>
      <c r="C26" s="1">
        <v>0.0</v>
      </c>
      <c r="D26" s="1">
        <v>140.96</v>
      </c>
      <c r="E26" s="1">
        <v>0.0</v>
      </c>
      <c r="F26" s="54">
        <v>44383.0</v>
      </c>
      <c r="G26" s="1">
        <v>0.0</v>
      </c>
      <c r="H26" s="1">
        <v>139.92</v>
      </c>
      <c r="I26" s="14">
        <v>44393.0</v>
      </c>
      <c r="J26" s="55" t="s">
        <v>2879</v>
      </c>
      <c r="K26" s="15" t="s">
        <v>2904</v>
      </c>
      <c r="L26" s="33" t="str">
        <f t="shared" si="1"/>
        <v>Not in buy Zone</v>
      </c>
      <c r="M26" s="33" t="str">
        <f t="shared" si="2"/>
        <v>Not in buy Zone</v>
      </c>
      <c r="N26" s="33" t="str">
        <f t="shared" si="3"/>
        <v>No</v>
      </c>
    </row>
    <row r="27" ht="11.25" customHeight="1">
      <c r="A27" s="1" t="s">
        <v>56</v>
      </c>
      <c r="B27" s="1">
        <v>117.03</v>
      </c>
      <c r="C27" s="1">
        <v>0.0</v>
      </c>
      <c r="D27" s="1">
        <v>0.0</v>
      </c>
      <c r="E27" s="1">
        <v>0.0</v>
      </c>
      <c r="F27" s="54">
        <v>44393.0</v>
      </c>
      <c r="G27" s="1">
        <v>1.0</v>
      </c>
      <c r="H27" s="1">
        <v>117.03</v>
      </c>
      <c r="I27" s="14">
        <v>44393.0</v>
      </c>
      <c r="J27" s="55" t="s">
        <v>2879</v>
      </c>
      <c r="K27" s="15" t="s">
        <v>2905</v>
      </c>
      <c r="L27" s="33">
        <f t="shared" si="1"/>
        <v>117.61515</v>
      </c>
      <c r="M27" s="33">
        <f t="shared" si="2"/>
        <v>116.44485</v>
      </c>
      <c r="N27" s="33" t="str">
        <f t="shared" si="3"/>
        <v>Yes</v>
      </c>
    </row>
    <row r="28" ht="11.25" customHeight="1">
      <c r="A28" s="1" t="s">
        <v>57</v>
      </c>
      <c r="B28" s="1">
        <v>0.0</v>
      </c>
      <c r="C28" s="1">
        <v>0.0</v>
      </c>
      <c r="D28" s="1">
        <v>166.77</v>
      </c>
      <c r="E28" s="1">
        <v>0.0</v>
      </c>
      <c r="F28" s="54">
        <v>44372.0</v>
      </c>
      <c r="G28" s="1">
        <v>0.0</v>
      </c>
      <c r="H28" s="1">
        <v>180.66</v>
      </c>
      <c r="I28" s="14">
        <v>44393.0</v>
      </c>
      <c r="J28" s="55" t="s">
        <v>2879</v>
      </c>
      <c r="K28" s="15" t="s">
        <v>2906</v>
      </c>
      <c r="L28" s="33" t="str">
        <f t="shared" si="1"/>
        <v>Not in buy Zone</v>
      </c>
      <c r="M28" s="33" t="str">
        <f t="shared" si="2"/>
        <v>Not in buy Zone</v>
      </c>
      <c r="N28" s="33" t="str">
        <f t="shared" si="3"/>
        <v>No</v>
      </c>
    </row>
    <row r="29" ht="11.25" customHeight="1">
      <c r="A29" s="1" t="s">
        <v>58</v>
      </c>
      <c r="B29" s="1">
        <v>0.0</v>
      </c>
      <c r="C29" s="1">
        <v>0.0</v>
      </c>
      <c r="D29" s="1">
        <v>0.0</v>
      </c>
      <c r="E29" s="1">
        <v>604.67</v>
      </c>
      <c r="F29" s="54">
        <v>44383.0</v>
      </c>
      <c r="G29" s="1">
        <v>0.0</v>
      </c>
      <c r="H29" s="1">
        <v>616.12</v>
      </c>
      <c r="I29" s="14">
        <v>44393.0</v>
      </c>
      <c r="J29" s="55" t="s">
        <v>2879</v>
      </c>
      <c r="K29" s="15" t="s">
        <v>2907</v>
      </c>
      <c r="L29" s="33" t="str">
        <f t="shared" si="1"/>
        <v>Not in buy Zone</v>
      </c>
      <c r="M29" s="33" t="str">
        <f t="shared" si="2"/>
        <v>Not in buy Zone</v>
      </c>
      <c r="N29" s="33" t="str">
        <f t="shared" si="3"/>
        <v>No</v>
      </c>
    </row>
    <row r="30" ht="11.25" customHeight="1">
      <c r="A30" s="1" t="s">
        <v>59</v>
      </c>
      <c r="B30" s="1">
        <v>0.0</v>
      </c>
      <c r="C30" s="1">
        <v>0.0</v>
      </c>
      <c r="D30" s="1">
        <v>0.0</v>
      </c>
      <c r="E30" s="1">
        <v>67.84</v>
      </c>
      <c r="F30" s="54">
        <v>44349.0</v>
      </c>
      <c r="G30" s="1">
        <v>0.0</v>
      </c>
      <c r="H30" s="1">
        <v>54.62</v>
      </c>
      <c r="I30" s="14">
        <v>44393.0</v>
      </c>
      <c r="J30" s="55" t="s">
        <v>2879</v>
      </c>
      <c r="K30" s="15" t="s">
        <v>2908</v>
      </c>
      <c r="L30" s="33" t="str">
        <f t="shared" si="1"/>
        <v>Not in buy Zone</v>
      </c>
      <c r="M30" s="33" t="str">
        <f t="shared" si="2"/>
        <v>Not in buy Zone</v>
      </c>
      <c r="N30" s="33" t="str">
        <f t="shared" si="3"/>
        <v>No</v>
      </c>
    </row>
    <row r="31" ht="11.25" customHeight="1">
      <c r="A31" s="1" t="s">
        <v>60</v>
      </c>
      <c r="B31" s="1">
        <v>0.0</v>
      </c>
      <c r="C31" s="1">
        <v>0.0</v>
      </c>
      <c r="D31" s="1">
        <v>0.0</v>
      </c>
      <c r="E31" s="1">
        <v>130.49</v>
      </c>
      <c r="F31" s="54">
        <v>44392.0</v>
      </c>
      <c r="G31" s="1">
        <v>0.0</v>
      </c>
      <c r="H31" s="1">
        <v>130.45</v>
      </c>
      <c r="I31" s="14">
        <v>44393.0</v>
      </c>
      <c r="J31" s="55" t="s">
        <v>2879</v>
      </c>
      <c r="K31" s="15" t="s">
        <v>2909</v>
      </c>
      <c r="L31" s="33" t="str">
        <f t="shared" si="1"/>
        <v>Not in buy Zone</v>
      </c>
      <c r="M31" s="33" t="str">
        <f t="shared" si="2"/>
        <v>Not in buy Zone</v>
      </c>
      <c r="N31" s="33" t="str">
        <f t="shared" si="3"/>
        <v>No</v>
      </c>
    </row>
    <row r="32" ht="11.25" customHeight="1">
      <c r="A32" s="1" t="s">
        <v>61</v>
      </c>
      <c r="B32" s="1">
        <v>138.5</v>
      </c>
      <c r="C32" s="1">
        <v>0.0</v>
      </c>
      <c r="D32" s="1">
        <v>0.0</v>
      </c>
      <c r="E32" s="1">
        <v>0.0</v>
      </c>
      <c r="F32" s="54">
        <v>44393.0</v>
      </c>
      <c r="G32" s="1">
        <v>1.0</v>
      </c>
      <c r="H32" s="1">
        <v>138.5</v>
      </c>
      <c r="I32" s="14">
        <v>44393.0</v>
      </c>
      <c r="J32" s="55" t="s">
        <v>2879</v>
      </c>
      <c r="K32" s="15" t="s">
        <v>2910</v>
      </c>
      <c r="L32" s="33">
        <f t="shared" si="1"/>
        <v>139.1925</v>
      </c>
      <c r="M32" s="33">
        <f t="shared" si="2"/>
        <v>137.8075</v>
      </c>
      <c r="N32" s="33" t="str">
        <f t="shared" si="3"/>
        <v>Yes</v>
      </c>
    </row>
    <row r="33" ht="11.25" customHeight="1">
      <c r="A33" s="1" t="s">
        <v>62</v>
      </c>
      <c r="B33" s="1">
        <v>0.0</v>
      </c>
      <c r="C33" s="1">
        <v>50.09</v>
      </c>
      <c r="D33" s="1">
        <v>0.0</v>
      </c>
      <c r="E33" s="1">
        <v>0.0</v>
      </c>
      <c r="F33" s="54">
        <v>44393.0</v>
      </c>
      <c r="G33" s="1">
        <v>-1.0</v>
      </c>
      <c r="H33" s="1">
        <v>50.09</v>
      </c>
      <c r="I33" s="14">
        <v>44393.0</v>
      </c>
      <c r="J33" s="55" t="s">
        <v>2879</v>
      </c>
      <c r="K33" s="15" t="s">
        <v>2911</v>
      </c>
      <c r="L33" s="33" t="str">
        <f t="shared" si="1"/>
        <v>Not in buy Zone</v>
      </c>
      <c r="M33" s="33" t="str">
        <f t="shared" si="2"/>
        <v>Not in buy Zone</v>
      </c>
      <c r="N33" s="33" t="str">
        <f t="shared" si="3"/>
        <v>No</v>
      </c>
    </row>
    <row r="34" ht="11.25" customHeight="1">
      <c r="A34" s="1" t="s">
        <v>63</v>
      </c>
      <c r="B34" s="1">
        <v>0.0</v>
      </c>
      <c r="C34" s="1">
        <v>0.0</v>
      </c>
      <c r="D34" s="1">
        <v>0.0</v>
      </c>
      <c r="E34" s="1">
        <v>151.27</v>
      </c>
      <c r="F34" s="54">
        <v>44273.0</v>
      </c>
      <c r="G34" s="1">
        <v>0.0</v>
      </c>
      <c r="H34" s="1">
        <v>180.03</v>
      </c>
      <c r="I34" s="14">
        <v>44393.0</v>
      </c>
      <c r="J34" s="55" t="s">
        <v>2879</v>
      </c>
      <c r="K34" s="15" t="s">
        <v>2912</v>
      </c>
      <c r="L34" s="33" t="str">
        <f t="shared" si="1"/>
        <v>Not in buy Zone</v>
      </c>
      <c r="M34" s="33" t="str">
        <f t="shared" si="2"/>
        <v>Not in buy Zone</v>
      </c>
      <c r="N34" s="33" t="str">
        <f t="shared" si="3"/>
        <v>No</v>
      </c>
    </row>
    <row r="35" ht="11.25" customHeight="1">
      <c r="A35" s="1" t="s">
        <v>64</v>
      </c>
      <c r="B35" s="1">
        <v>0.0</v>
      </c>
      <c r="C35" s="1">
        <v>0.0</v>
      </c>
      <c r="D35" s="1">
        <v>0.0</v>
      </c>
      <c r="E35" s="1">
        <v>136.78</v>
      </c>
      <c r="F35" s="54">
        <v>44383.0</v>
      </c>
      <c r="G35" s="1">
        <v>0.0</v>
      </c>
      <c r="H35" s="1">
        <v>128.18</v>
      </c>
      <c r="I35" s="14">
        <v>44393.0</v>
      </c>
      <c r="J35" s="55" t="s">
        <v>2879</v>
      </c>
      <c r="K35" s="15" t="s">
        <v>2913</v>
      </c>
      <c r="L35" s="33" t="str">
        <f t="shared" si="1"/>
        <v>Not in buy Zone</v>
      </c>
      <c r="M35" s="33" t="str">
        <f t="shared" si="2"/>
        <v>Not in buy Zone</v>
      </c>
      <c r="N35" s="33" t="str">
        <f t="shared" si="3"/>
        <v>No</v>
      </c>
    </row>
    <row r="36" ht="11.25" customHeight="1">
      <c r="A36" s="1" t="s">
        <v>65</v>
      </c>
      <c r="B36" s="1">
        <v>0.0</v>
      </c>
      <c r="C36" s="1">
        <v>0.0</v>
      </c>
      <c r="D36" s="1">
        <v>0.0</v>
      </c>
      <c r="E36" s="1">
        <v>54.06</v>
      </c>
      <c r="F36" s="54">
        <v>44372.0</v>
      </c>
      <c r="G36" s="1">
        <v>0.0</v>
      </c>
      <c r="H36" s="1">
        <v>34.96</v>
      </c>
      <c r="I36" s="14">
        <v>44393.0</v>
      </c>
      <c r="J36" s="55" t="s">
        <v>2879</v>
      </c>
      <c r="K36" s="15" t="s">
        <v>2914</v>
      </c>
      <c r="L36" s="33" t="str">
        <f t="shared" si="1"/>
        <v>Not in buy Zone</v>
      </c>
      <c r="M36" s="33" t="str">
        <f t="shared" si="2"/>
        <v>Not in buy Zone</v>
      </c>
      <c r="N36" s="33" t="str">
        <f t="shared" si="3"/>
        <v>No</v>
      </c>
    </row>
    <row r="37" ht="11.25" customHeight="1">
      <c r="A37" s="1" t="s">
        <v>66</v>
      </c>
      <c r="B37" s="1">
        <v>0.0</v>
      </c>
      <c r="C37" s="1">
        <v>11.44</v>
      </c>
      <c r="D37" s="1">
        <v>0.0</v>
      </c>
      <c r="E37" s="1">
        <v>0.0</v>
      </c>
      <c r="F37" s="54">
        <v>44393.0</v>
      </c>
      <c r="G37" s="1">
        <v>-1.0</v>
      </c>
      <c r="H37" s="1">
        <v>11.44</v>
      </c>
      <c r="I37" s="14">
        <v>44393.0</v>
      </c>
      <c r="J37" s="55" t="s">
        <v>2879</v>
      </c>
      <c r="K37" s="15" t="s">
        <v>2915</v>
      </c>
      <c r="L37" s="33" t="str">
        <f t="shared" si="1"/>
        <v>Not in buy Zone</v>
      </c>
      <c r="M37" s="33" t="str">
        <f t="shared" si="2"/>
        <v>Not in buy Zone</v>
      </c>
      <c r="N37" s="33" t="str">
        <f t="shared" si="3"/>
        <v>No</v>
      </c>
    </row>
    <row r="38" ht="11.25" customHeight="1">
      <c r="A38" s="1" t="s">
        <v>67</v>
      </c>
      <c r="B38" s="1">
        <v>0.0</v>
      </c>
      <c r="C38" s="1">
        <v>0.0</v>
      </c>
      <c r="D38" s="1">
        <v>0.0</v>
      </c>
      <c r="E38" s="1">
        <v>80.47</v>
      </c>
      <c r="F38" s="54">
        <v>44362.0</v>
      </c>
      <c r="G38" s="1">
        <v>0.0</v>
      </c>
      <c r="H38" s="1">
        <v>85.89</v>
      </c>
      <c r="I38" s="14">
        <v>44393.0</v>
      </c>
      <c r="J38" s="55" t="s">
        <v>2879</v>
      </c>
      <c r="K38" s="15" t="s">
        <v>2916</v>
      </c>
      <c r="L38" s="33" t="str">
        <f t="shared" si="1"/>
        <v>Not in buy Zone</v>
      </c>
      <c r="M38" s="33" t="str">
        <f t="shared" si="2"/>
        <v>Not in buy Zone</v>
      </c>
      <c r="N38" s="33" t="str">
        <f t="shared" si="3"/>
        <v>No</v>
      </c>
    </row>
    <row r="39" ht="11.25" customHeight="1">
      <c r="A39" s="1" t="s">
        <v>68</v>
      </c>
      <c r="B39" s="1">
        <v>0.0</v>
      </c>
      <c r="C39" s="1">
        <v>0.0</v>
      </c>
      <c r="D39" s="1">
        <v>133.94</v>
      </c>
      <c r="E39" s="1">
        <v>0.0</v>
      </c>
      <c r="F39" s="54">
        <v>44378.0</v>
      </c>
      <c r="G39" s="1">
        <v>0.0</v>
      </c>
      <c r="H39" s="1">
        <v>136.23</v>
      </c>
      <c r="I39" s="14">
        <v>44393.0</v>
      </c>
      <c r="J39" s="55" t="s">
        <v>2879</v>
      </c>
      <c r="K39" s="15" t="s">
        <v>2917</v>
      </c>
      <c r="L39" s="33" t="str">
        <f t="shared" si="1"/>
        <v>Not in buy Zone</v>
      </c>
      <c r="M39" s="33" t="str">
        <f t="shared" si="2"/>
        <v>Not in buy Zone</v>
      </c>
      <c r="N39" s="33" t="str">
        <f t="shared" si="3"/>
        <v>No</v>
      </c>
    </row>
    <row r="40" ht="11.25" customHeight="1">
      <c r="A40" s="1" t="s">
        <v>69</v>
      </c>
      <c r="B40" s="1">
        <v>0.0</v>
      </c>
      <c r="C40" s="1">
        <v>0.0</v>
      </c>
      <c r="D40" s="1">
        <v>0.0</v>
      </c>
      <c r="E40" s="1">
        <v>238.68</v>
      </c>
      <c r="F40" s="54">
        <v>44365.0</v>
      </c>
      <c r="G40" s="1">
        <v>0.0</v>
      </c>
      <c r="H40" s="1">
        <v>247.96</v>
      </c>
      <c r="I40" s="14">
        <v>44393.0</v>
      </c>
      <c r="J40" s="55" t="s">
        <v>2879</v>
      </c>
      <c r="K40" s="15" t="s">
        <v>2918</v>
      </c>
      <c r="L40" s="33" t="str">
        <f t="shared" si="1"/>
        <v>Not in buy Zone</v>
      </c>
      <c r="M40" s="33" t="str">
        <f t="shared" si="2"/>
        <v>Not in buy Zone</v>
      </c>
      <c r="N40" s="33" t="str">
        <f t="shared" si="3"/>
        <v>No</v>
      </c>
    </row>
    <row r="41" ht="11.25" customHeight="1">
      <c r="A41" s="1" t="s">
        <v>70</v>
      </c>
      <c r="B41" s="1">
        <v>0.0</v>
      </c>
      <c r="C41" s="1">
        <v>0.0</v>
      </c>
      <c r="D41" s="1">
        <v>36.97</v>
      </c>
      <c r="E41" s="1">
        <v>0.0</v>
      </c>
      <c r="F41" s="54">
        <v>44379.0</v>
      </c>
      <c r="G41" s="1">
        <v>0.0</v>
      </c>
      <c r="H41" s="1">
        <v>33.73</v>
      </c>
      <c r="I41" s="14">
        <v>44393.0</v>
      </c>
      <c r="J41" s="55" t="s">
        <v>2879</v>
      </c>
      <c r="K41" s="15" t="s">
        <v>2919</v>
      </c>
      <c r="L41" s="33" t="str">
        <f t="shared" si="1"/>
        <v>Not in buy Zone</v>
      </c>
      <c r="M41" s="33" t="str">
        <f t="shared" si="2"/>
        <v>Not in buy Zone</v>
      </c>
      <c r="N41" s="33" t="str">
        <f t="shared" si="3"/>
        <v>No</v>
      </c>
    </row>
    <row r="42" ht="11.25" customHeight="1">
      <c r="A42" s="1" t="s">
        <v>71</v>
      </c>
      <c r="B42" s="1">
        <v>0.0</v>
      </c>
      <c r="C42" s="1">
        <v>0.0</v>
      </c>
      <c r="D42" s="1">
        <v>0.0</v>
      </c>
      <c r="E42" s="1">
        <v>241.33</v>
      </c>
      <c r="F42" s="54">
        <v>44385.0</v>
      </c>
      <c r="G42" s="1">
        <v>0.0</v>
      </c>
      <c r="H42" s="1">
        <v>246.78</v>
      </c>
      <c r="I42" s="14">
        <v>44393.0</v>
      </c>
      <c r="J42" s="55" t="s">
        <v>2879</v>
      </c>
      <c r="K42" s="15" t="s">
        <v>2920</v>
      </c>
      <c r="L42" s="33" t="str">
        <f t="shared" si="1"/>
        <v>Not in buy Zone</v>
      </c>
      <c r="M42" s="33" t="str">
        <f t="shared" si="2"/>
        <v>Not in buy Zone</v>
      </c>
      <c r="N42" s="33" t="str">
        <f t="shared" si="3"/>
        <v>No</v>
      </c>
    </row>
    <row r="43" ht="11.25" customHeight="1">
      <c r="A43" s="1" t="s">
        <v>72</v>
      </c>
      <c r="B43" s="1">
        <v>0.0</v>
      </c>
      <c r="C43" s="1">
        <v>0.0</v>
      </c>
      <c r="D43" s="1">
        <v>271.79</v>
      </c>
      <c r="E43" s="1">
        <v>0.0</v>
      </c>
      <c r="F43" s="54">
        <v>44375.0</v>
      </c>
      <c r="G43" s="1">
        <v>0.0</v>
      </c>
      <c r="H43" s="1">
        <v>282.46</v>
      </c>
      <c r="I43" s="14">
        <v>44393.0</v>
      </c>
      <c r="J43" s="55" t="s">
        <v>2879</v>
      </c>
      <c r="K43" s="15" t="s">
        <v>2921</v>
      </c>
      <c r="L43" s="33" t="str">
        <f t="shared" si="1"/>
        <v>Not in buy Zone</v>
      </c>
      <c r="M43" s="33" t="str">
        <f t="shared" si="2"/>
        <v>Not in buy Zone</v>
      </c>
      <c r="N43" s="33" t="str">
        <f t="shared" si="3"/>
        <v>No</v>
      </c>
    </row>
    <row r="44" ht="11.25" customHeight="1">
      <c r="A44" s="1" t="s">
        <v>73</v>
      </c>
      <c r="B44" s="1">
        <v>0.0</v>
      </c>
      <c r="C44" s="1">
        <v>0.0</v>
      </c>
      <c r="D44" s="1">
        <v>0.0</v>
      </c>
      <c r="E44" s="1">
        <v>3223.07</v>
      </c>
      <c r="F44" s="54">
        <v>44344.0</v>
      </c>
      <c r="G44" s="1">
        <v>0.0</v>
      </c>
      <c r="H44" s="1">
        <v>3573.63</v>
      </c>
      <c r="I44" s="14">
        <v>44393.0</v>
      </c>
      <c r="J44" s="55" t="s">
        <v>2879</v>
      </c>
      <c r="K44" s="15" t="s">
        <v>2922</v>
      </c>
      <c r="L44" s="33" t="str">
        <f t="shared" si="1"/>
        <v>Not in buy Zone</v>
      </c>
      <c r="M44" s="33" t="str">
        <f t="shared" si="2"/>
        <v>Not in buy Zone</v>
      </c>
      <c r="N44" s="33" t="str">
        <f t="shared" si="3"/>
        <v>No</v>
      </c>
    </row>
    <row r="45" ht="11.25" customHeight="1">
      <c r="A45" s="1" t="s">
        <v>74</v>
      </c>
      <c r="B45" s="1">
        <v>0.0</v>
      </c>
      <c r="C45" s="1">
        <v>0.0</v>
      </c>
      <c r="D45" s="1">
        <v>0.0</v>
      </c>
      <c r="E45" s="1">
        <v>368.05</v>
      </c>
      <c r="F45" s="54">
        <v>44392.0</v>
      </c>
      <c r="G45" s="1">
        <v>0.0</v>
      </c>
      <c r="H45" s="1">
        <v>363.45</v>
      </c>
      <c r="I45" s="14">
        <v>44393.0</v>
      </c>
      <c r="J45" s="55" t="s">
        <v>2879</v>
      </c>
      <c r="K45" s="15" t="s">
        <v>2923</v>
      </c>
      <c r="L45" s="33" t="str">
        <f t="shared" si="1"/>
        <v>Not in buy Zone</v>
      </c>
      <c r="M45" s="33" t="str">
        <f t="shared" si="2"/>
        <v>Not in buy Zone</v>
      </c>
      <c r="N45" s="33" t="str">
        <f t="shared" si="3"/>
        <v>No</v>
      </c>
    </row>
    <row r="46" ht="11.25" customHeight="1">
      <c r="A46" s="1" t="s">
        <v>75</v>
      </c>
      <c r="B46" s="1">
        <v>0.0</v>
      </c>
      <c r="C46" s="1">
        <v>0.0</v>
      </c>
      <c r="D46" s="1">
        <v>0.0</v>
      </c>
      <c r="E46" s="1">
        <v>329.3</v>
      </c>
      <c r="F46" s="54">
        <v>44350.0</v>
      </c>
      <c r="G46" s="1">
        <v>0.0</v>
      </c>
      <c r="H46" s="1">
        <v>349.79</v>
      </c>
      <c r="I46" s="14">
        <v>44393.0</v>
      </c>
      <c r="J46" s="55" t="s">
        <v>2879</v>
      </c>
      <c r="K46" s="15" t="s">
        <v>2924</v>
      </c>
      <c r="L46" s="33" t="str">
        <f t="shared" si="1"/>
        <v>Not in buy Zone</v>
      </c>
      <c r="M46" s="33" t="str">
        <f t="shared" si="2"/>
        <v>Not in buy Zone</v>
      </c>
      <c r="N46" s="33" t="str">
        <f t="shared" si="3"/>
        <v>No</v>
      </c>
    </row>
    <row r="47" ht="11.25" customHeight="1">
      <c r="A47" s="1" t="s">
        <v>76</v>
      </c>
      <c r="B47" s="1">
        <v>0.0</v>
      </c>
      <c r="C47" s="1">
        <v>0.0</v>
      </c>
      <c r="D47" s="1">
        <v>380.9</v>
      </c>
      <c r="E47" s="1">
        <v>0.0</v>
      </c>
      <c r="F47" s="54">
        <v>44375.0</v>
      </c>
      <c r="G47" s="1">
        <v>0.0</v>
      </c>
      <c r="H47" s="1">
        <v>393.59</v>
      </c>
      <c r="I47" s="14">
        <v>44393.0</v>
      </c>
      <c r="J47" s="55" t="s">
        <v>2879</v>
      </c>
      <c r="K47" s="15" t="s">
        <v>2925</v>
      </c>
      <c r="L47" s="33" t="str">
        <f t="shared" si="1"/>
        <v>Not in buy Zone</v>
      </c>
      <c r="M47" s="33" t="str">
        <f t="shared" si="2"/>
        <v>Not in buy Zone</v>
      </c>
      <c r="N47" s="33" t="str">
        <f t="shared" si="3"/>
        <v>No</v>
      </c>
    </row>
    <row r="48" ht="11.25" customHeight="1">
      <c r="A48" s="1" t="s">
        <v>77</v>
      </c>
      <c r="B48" s="1">
        <v>0.0</v>
      </c>
      <c r="C48" s="1">
        <v>0.0</v>
      </c>
      <c r="D48" s="1">
        <v>253.88</v>
      </c>
      <c r="E48" s="1">
        <v>0.0</v>
      </c>
      <c r="F48" s="54">
        <v>44343.0</v>
      </c>
      <c r="G48" s="1">
        <v>0.0</v>
      </c>
      <c r="H48" s="1">
        <v>231.73</v>
      </c>
      <c r="I48" s="14">
        <v>44393.0</v>
      </c>
      <c r="J48" s="55" t="s">
        <v>2879</v>
      </c>
      <c r="K48" s="15" t="s">
        <v>2926</v>
      </c>
      <c r="L48" s="33" t="str">
        <f t="shared" si="1"/>
        <v>Not in buy Zone</v>
      </c>
      <c r="M48" s="33" t="str">
        <f t="shared" si="2"/>
        <v>Not in buy Zone</v>
      </c>
      <c r="N48" s="33" t="str">
        <f t="shared" si="3"/>
        <v>No</v>
      </c>
    </row>
    <row r="49" ht="11.25" customHeight="1">
      <c r="A49" s="1" t="s">
        <v>78</v>
      </c>
      <c r="B49" s="1">
        <v>0.0</v>
      </c>
      <c r="C49" s="1">
        <v>0.0</v>
      </c>
      <c r="D49" s="1">
        <v>0.0</v>
      </c>
      <c r="E49" s="1">
        <v>70.77</v>
      </c>
      <c r="F49" s="54">
        <v>44392.0</v>
      </c>
      <c r="G49" s="1">
        <v>0.0</v>
      </c>
      <c r="H49" s="1">
        <v>69.91</v>
      </c>
      <c r="I49" s="14">
        <v>44393.0</v>
      </c>
      <c r="J49" s="55" t="s">
        <v>2879</v>
      </c>
      <c r="K49" s="15" t="s">
        <v>2927</v>
      </c>
      <c r="L49" s="33" t="str">
        <f t="shared" si="1"/>
        <v>Not in buy Zone</v>
      </c>
      <c r="M49" s="33" t="str">
        <f t="shared" si="2"/>
        <v>Not in buy Zone</v>
      </c>
      <c r="N49" s="33" t="str">
        <f t="shared" si="3"/>
        <v>No</v>
      </c>
    </row>
    <row r="50" ht="11.25" customHeight="1">
      <c r="A50" s="1" t="s">
        <v>79</v>
      </c>
      <c r="B50" s="1">
        <v>0.0</v>
      </c>
      <c r="C50" s="1">
        <v>0.0</v>
      </c>
      <c r="D50" s="1">
        <v>21.92</v>
      </c>
      <c r="E50" s="1">
        <v>0.0</v>
      </c>
      <c r="F50" s="54">
        <v>44378.0</v>
      </c>
      <c r="G50" s="1">
        <v>0.0</v>
      </c>
      <c r="H50" s="1">
        <v>17.98</v>
      </c>
      <c r="I50" s="14">
        <v>44393.0</v>
      </c>
      <c r="J50" s="55" t="s">
        <v>2879</v>
      </c>
      <c r="K50" s="15" t="s">
        <v>2928</v>
      </c>
      <c r="L50" s="33" t="str">
        <f t="shared" si="1"/>
        <v>Not in buy Zone</v>
      </c>
      <c r="M50" s="33" t="str">
        <f t="shared" si="2"/>
        <v>Not in buy Zone</v>
      </c>
      <c r="N50" s="33" t="str">
        <f t="shared" si="3"/>
        <v>No</v>
      </c>
    </row>
    <row r="51" ht="11.25" customHeight="1">
      <c r="A51" s="1" t="s">
        <v>80</v>
      </c>
      <c r="B51" s="1">
        <v>0.0</v>
      </c>
      <c r="C51" s="1">
        <v>0.0</v>
      </c>
      <c r="D51" s="1">
        <v>301.08</v>
      </c>
      <c r="E51" s="1">
        <v>0.0</v>
      </c>
      <c r="F51" s="54">
        <v>44362.0</v>
      </c>
      <c r="G51" s="1">
        <v>0.0</v>
      </c>
      <c r="H51" s="1">
        <v>285.54</v>
      </c>
      <c r="I51" s="14">
        <v>44393.0</v>
      </c>
      <c r="J51" s="55" t="s">
        <v>2879</v>
      </c>
      <c r="K51" s="15" t="s">
        <v>2929</v>
      </c>
      <c r="L51" s="33" t="str">
        <f t="shared" si="1"/>
        <v>Not in buy Zone</v>
      </c>
      <c r="M51" s="33" t="str">
        <f t="shared" si="2"/>
        <v>Not in buy Zone</v>
      </c>
      <c r="N51" s="33" t="str">
        <f t="shared" si="3"/>
        <v>No</v>
      </c>
    </row>
    <row r="52" ht="11.25" customHeight="1">
      <c r="A52" s="1" t="s">
        <v>81</v>
      </c>
      <c r="B52" s="1">
        <v>0.0</v>
      </c>
      <c r="C52" s="1">
        <v>0.0</v>
      </c>
      <c r="D52" s="1">
        <v>0.0</v>
      </c>
      <c r="E52" s="1">
        <v>69.09</v>
      </c>
      <c r="F52" s="54">
        <v>44392.0</v>
      </c>
      <c r="G52" s="1">
        <v>0.0</v>
      </c>
      <c r="H52" s="1">
        <v>68.03</v>
      </c>
      <c r="I52" s="14">
        <v>44393.0</v>
      </c>
      <c r="J52" s="55" t="s">
        <v>2879</v>
      </c>
      <c r="K52" s="15" t="s">
        <v>2930</v>
      </c>
      <c r="L52" s="33" t="str">
        <f t="shared" si="1"/>
        <v>Not in buy Zone</v>
      </c>
      <c r="M52" s="33" t="str">
        <f t="shared" si="2"/>
        <v>Not in buy Zone</v>
      </c>
      <c r="N52" s="33" t="str">
        <f t="shared" si="3"/>
        <v>No</v>
      </c>
    </row>
    <row r="53" ht="11.25" customHeight="1">
      <c r="A53" s="1" t="s">
        <v>82</v>
      </c>
      <c r="B53" s="1">
        <v>0.0</v>
      </c>
      <c r="C53" s="1">
        <v>0.0</v>
      </c>
      <c r="D53" s="1">
        <v>0.0</v>
      </c>
      <c r="E53" s="1">
        <v>55.76</v>
      </c>
      <c r="F53" s="54">
        <v>44328.0</v>
      </c>
      <c r="G53" s="1">
        <v>0.0</v>
      </c>
      <c r="H53" s="1">
        <v>56.74</v>
      </c>
      <c r="I53" s="14">
        <v>44393.0</v>
      </c>
      <c r="J53" s="55" t="s">
        <v>2879</v>
      </c>
      <c r="K53" s="15" t="s">
        <v>2931</v>
      </c>
      <c r="L53" s="33" t="str">
        <f t="shared" si="1"/>
        <v>Not in buy Zone</v>
      </c>
      <c r="M53" s="33" t="str">
        <f t="shared" si="2"/>
        <v>Not in buy Zone</v>
      </c>
      <c r="N53" s="33" t="str">
        <f t="shared" si="3"/>
        <v>No</v>
      </c>
    </row>
    <row r="54" ht="11.25" customHeight="1">
      <c r="A54" s="1" t="s">
        <v>83</v>
      </c>
      <c r="B54" s="1">
        <v>0.0</v>
      </c>
      <c r="C54" s="1">
        <v>0.0</v>
      </c>
      <c r="D54" s="1">
        <v>0.0</v>
      </c>
      <c r="E54" s="1">
        <v>68.94</v>
      </c>
      <c r="F54" s="54">
        <v>44363.0</v>
      </c>
      <c r="G54" s="1">
        <v>0.0</v>
      </c>
      <c r="H54" s="1">
        <v>59.6</v>
      </c>
      <c r="I54" s="14">
        <v>44393.0</v>
      </c>
      <c r="J54" s="55" t="s">
        <v>2879</v>
      </c>
      <c r="K54" s="15" t="s">
        <v>2932</v>
      </c>
      <c r="L54" s="33" t="str">
        <f t="shared" si="1"/>
        <v>Not in buy Zone</v>
      </c>
      <c r="M54" s="33" t="str">
        <f t="shared" si="2"/>
        <v>Not in buy Zone</v>
      </c>
      <c r="N54" s="33" t="str">
        <f t="shared" si="3"/>
        <v>No</v>
      </c>
    </row>
    <row r="55" ht="11.25" customHeight="1">
      <c r="A55" s="1" t="s">
        <v>84</v>
      </c>
      <c r="B55" s="1">
        <v>0.0</v>
      </c>
      <c r="C55" s="1">
        <v>0.0</v>
      </c>
      <c r="D55" s="1">
        <v>0.0</v>
      </c>
      <c r="E55" s="1">
        <v>154.0</v>
      </c>
      <c r="F55" s="54">
        <v>44384.0</v>
      </c>
      <c r="G55" s="1">
        <v>0.0</v>
      </c>
      <c r="H55" s="1">
        <v>149.75</v>
      </c>
      <c r="I55" s="14">
        <v>44393.0</v>
      </c>
      <c r="J55" s="55" t="s">
        <v>2879</v>
      </c>
      <c r="K55" s="15" t="s">
        <v>2933</v>
      </c>
      <c r="L55" s="33" t="str">
        <f t="shared" si="1"/>
        <v>Not in buy Zone</v>
      </c>
      <c r="M55" s="33" t="str">
        <f t="shared" si="2"/>
        <v>Not in buy Zone</v>
      </c>
      <c r="N55" s="33" t="str">
        <f t="shared" si="3"/>
        <v>No</v>
      </c>
    </row>
    <row r="56" ht="11.25" customHeight="1">
      <c r="A56" s="1" t="s">
        <v>85</v>
      </c>
      <c r="B56" s="1">
        <v>0.0</v>
      </c>
      <c r="C56" s="1">
        <v>0.0</v>
      </c>
      <c r="D56" s="1">
        <v>183.99</v>
      </c>
      <c r="E56" s="1">
        <v>0.0</v>
      </c>
      <c r="F56" s="54">
        <v>44379.0</v>
      </c>
      <c r="G56" s="1">
        <v>0.0</v>
      </c>
      <c r="H56" s="1">
        <v>193.61</v>
      </c>
      <c r="I56" s="14">
        <v>44393.0</v>
      </c>
      <c r="J56" s="55" t="s">
        <v>2879</v>
      </c>
      <c r="K56" s="15" t="s">
        <v>2934</v>
      </c>
      <c r="L56" s="33" t="str">
        <f t="shared" si="1"/>
        <v>Not in buy Zone</v>
      </c>
      <c r="M56" s="33" t="str">
        <f t="shared" si="2"/>
        <v>Not in buy Zone</v>
      </c>
      <c r="N56" s="33" t="str">
        <f t="shared" si="3"/>
        <v>No</v>
      </c>
    </row>
    <row r="57" ht="11.25" customHeight="1">
      <c r="A57" s="1" t="s">
        <v>86</v>
      </c>
      <c r="B57" s="1">
        <v>0.0</v>
      </c>
      <c r="C57" s="1">
        <v>64.98</v>
      </c>
      <c r="D57" s="1">
        <v>0.0</v>
      </c>
      <c r="E57" s="1">
        <v>0.0</v>
      </c>
      <c r="F57" s="54">
        <v>44393.0</v>
      </c>
      <c r="G57" s="1">
        <v>-1.0</v>
      </c>
      <c r="H57" s="1">
        <v>64.98</v>
      </c>
      <c r="I57" s="14">
        <v>44393.0</v>
      </c>
      <c r="J57" s="55" t="s">
        <v>2879</v>
      </c>
      <c r="K57" s="15" t="s">
        <v>2935</v>
      </c>
      <c r="L57" s="33" t="str">
        <f t="shared" si="1"/>
        <v>Not in buy Zone</v>
      </c>
      <c r="M57" s="33" t="str">
        <f t="shared" si="2"/>
        <v>Not in buy Zone</v>
      </c>
      <c r="N57" s="33" t="str">
        <f t="shared" si="3"/>
        <v>No</v>
      </c>
    </row>
    <row r="58" ht="11.25" customHeight="1">
      <c r="A58" s="1" t="s">
        <v>87</v>
      </c>
      <c r="B58" s="1">
        <v>0.0</v>
      </c>
      <c r="C58" s="1">
        <v>0.0</v>
      </c>
      <c r="D58" s="1">
        <v>0.0</v>
      </c>
      <c r="E58" s="1">
        <v>39.51</v>
      </c>
      <c r="F58" s="54">
        <v>44379.0</v>
      </c>
      <c r="G58" s="1">
        <v>0.0</v>
      </c>
      <c r="H58" s="1">
        <v>39.73</v>
      </c>
      <c r="I58" s="14">
        <v>44393.0</v>
      </c>
      <c r="J58" s="55" t="s">
        <v>2879</v>
      </c>
      <c r="K58" s="15" t="s">
        <v>2936</v>
      </c>
      <c r="L58" s="33" t="str">
        <f t="shared" si="1"/>
        <v>Not in buy Zone</v>
      </c>
      <c r="M58" s="33" t="str">
        <f t="shared" si="2"/>
        <v>Not in buy Zone</v>
      </c>
      <c r="N58" s="33" t="str">
        <f t="shared" si="3"/>
        <v>No</v>
      </c>
    </row>
    <row r="59" ht="11.25" customHeight="1">
      <c r="A59" s="1" t="s">
        <v>88</v>
      </c>
      <c r="B59" s="1">
        <v>0.0</v>
      </c>
      <c r="C59" s="1">
        <v>687.42</v>
      </c>
      <c r="D59" s="1">
        <v>0.0</v>
      </c>
      <c r="E59" s="1">
        <v>0.0</v>
      </c>
      <c r="F59" s="54">
        <v>44393.0</v>
      </c>
      <c r="G59" s="1">
        <v>-1.0</v>
      </c>
      <c r="H59" s="1">
        <v>687.42</v>
      </c>
      <c r="I59" s="14">
        <v>44393.0</v>
      </c>
      <c r="J59" s="55" t="s">
        <v>2879</v>
      </c>
      <c r="K59" s="15" t="s">
        <v>2937</v>
      </c>
      <c r="L59" s="33" t="str">
        <f t="shared" si="1"/>
        <v>Not in buy Zone</v>
      </c>
      <c r="M59" s="33" t="str">
        <f t="shared" si="2"/>
        <v>Not in buy Zone</v>
      </c>
      <c r="N59" s="33" t="str">
        <f t="shared" si="3"/>
        <v>No</v>
      </c>
    </row>
    <row r="60" ht="11.25" customHeight="1">
      <c r="A60" s="1" t="s">
        <v>89</v>
      </c>
      <c r="B60" s="1">
        <v>0.0</v>
      </c>
      <c r="C60" s="1">
        <v>0.0</v>
      </c>
      <c r="D60" s="1">
        <v>97.95</v>
      </c>
      <c r="E60" s="1">
        <v>0.0</v>
      </c>
      <c r="F60" s="54">
        <v>44384.0</v>
      </c>
      <c r="G60" s="1">
        <v>0.0</v>
      </c>
      <c r="H60" s="1">
        <v>101.24</v>
      </c>
      <c r="I60" s="14">
        <v>44393.0</v>
      </c>
      <c r="J60" s="55" t="s">
        <v>2879</v>
      </c>
      <c r="K60" s="15" t="s">
        <v>2938</v>
      </c>
      <c r="L60" s="33" t="str">
        <f t="shared" si="1"/>
        <v>Not in buy Zone</v>
      </c>
      <c r="M60" s="33" t="str">
        <f t="shared" si="2"/>
        <v>Not in buy Zone</v>
      </c>
      <c r="N60" s="33" t="str">
        <f t="shared" si="3"/>
        <v>No</v>
      </c>
    </row>
    <row r="61" ht="11.25" customHeight="1">
      <c r="A61" s="1" t="s">
        <v>90</v>
      </c>
      <c r="B61" s="1">
        <v>0.0</v>
      </c>
      <c r="C61" s="1">
        <v>0.0</v>
      </c>
      <c r="D61" s="1">
        <v>0.0</v>
      </c>
      <c r="E61" s="1">
        <v>33.91</v>
      </c>
      <c r="F61" s="54">
        <v>44390.0</v>
      </c>
      <c r="G61" s="1">
        <v>0.0</v>
      </c>
      <c r="H61" s="1">
        <v>33.63</v>
      </c>
      <c r="I61" s="14">
        <v>44393.0</v>
      </c>
      <c r="J61" s="55" t="s">
        <v>2879</v>
      </c>
      <c r="K61" s="15" t="s">
        <v>2939</v>
      </c>
      <c r="L61" s="33" t="str">
        <f t="shared" si="1"/>
        <v>Not in buy Zone</v>
      </c>
      <c r="M61" s="33" t="str">
        <f t="shared" si="2"/>
        <v>Not in buy Zone</v>
      </c>
      <c r="N61" s="33" t="str">
        <f t="shared" si="3"/>
        <v>No</v>
      </c>
    </row>
    <row r="62" ht="11.25" customHeight="1">
      <c r="A62" s="1" t="s">
        <v>91</v>
      </c>
      <c r="B62" s="1">
        <v>0.0</v>
      </c>
      <c r="C62" s="1">
        <v>0.0</v>
      </c>
      <c r="D62" s="1">
        <v>0.0</v>
      </c>
      <c r="E62" s="1">
        <v>92.18</v>
      </c>
      <c r="F62" s="54">
        <v>44385.0</v>
      </c>
      <c r="G62" s="1">
        <v>0.0</v>
      </c>
      <c r="H62" s="1">
        <v>91.8</v>
      </c>
      <c r="I62" s="14">
        <v>44393.0</v>
      </c>
      <c r="J62" s="55" t="s">
        <v>2879</v>
      </c>
      <c r="K62" s="15" t="s">
        <v>2940</v>
      </c>
      <c r="L62" s="33" t="str">
        <f t="shared" si="1"/>
        <v>Not in buy Zone</v>
      </c>
      <c r="M62" s="33" t="str">
        <f t="shared" si="2"/>
        <v>Not in buy Zone</v>
      </c>
      <c r="N62" s="33" t="str">
        <f t="shared" si="3"/>
        <v>No</v>
      </c>
    </row>
    <row r="63" ht="11.25" customHeight="1">
      <c r="A63" s="1" t="s">
        <v>9</v>
      </c>
      <c r="B63" s="1">
        <v>0.0</v>
      </c>
      <c r="C63" s="1">
        <v>0.0</v>
      </c>
      <c r="D63" s="1">
        <v>0.0</v>
      </c>
      <c r="E63" s="1">
        <v>191.65</v>
      </c>
      <c r="F63" s="54">
        <v>44319.0</v>
      </c>
      <c r="G63" s="1">
        <v>0.0</v>
      </c>
      <c r="H63" s="1">
        <v>225.87</v>
      </c>
      <c r="I63" s="14">
        <v>44393.0</v>
      </c>
      <c r="J63" s="55" t="s">
        <v>2879</v>
      </c>
      <c r="K63" s="15" t="s">
        <v>2941</v>
      </c>
      <c r="L63" s="33" t="str">
        <f t="shared" si="1"/>
        <v>Not in buy Zone</v>
      </c>
      <c r="M63" s="33" t="str">
        <f t="shared" si="2"/>
        <v>Not in buy Zone</v>
      </c>
      <c r="N63" s="33" t="str">
        <f t="shared" si="3"/>
        <v>No</v>
      </c>
    </row>
    <row r="64" ht="11.25" customHeight="1">
      <c r="A64" s="1" t="s">
        <v>92</v>
      </c>
      <c r="B64" s="1">
        <v>0.0</v>
      </c>
      <c r="C64" s="1">
        <v>0.0</v>
      </c>
      <c r="D64" s="1">
        <v>0.0</v>
      </c>
      <c r="E64" s="1">
        <v>468.17</v>
      </c>
      <c r="F64" s="54">
        <v>44379.0</v>
      </c>
      <c r="G64" s="1">
        <v>0.0</v>
      </c>
      <c r="H64" s="1">
        <v>468.07</v>
      </c>
      <c r="I64" s="14">
        <v>44393.0</v>
      </c>
      <c r="J64" s="55" t="s">
        <v>2879</v>
      </c>
      <c r="K64" s="15" t="s">
        <v>2942</v>
      </c>
      <c r="L64" s="33" t="str">
        <f t="shared" si="1"/>
        <v>Not in buy Zone</v>
      </c>
      <c r="M64" s="33" t="str">
        <f t="shared" si="2"/>
        <v>Not in buy Zone</v>
      </c>
      <c r="N64" s="33" t="str">
        <f t="shared" si="3"/>
        <v>No</v>
      </c>
    </row>
    <row r="65" ht="11.25" customHeight="1">
      <c r="A65" s="1" t="s">
        <v>93</v>
      </c>
      <c r="B65" s="1">
        <v>0.0</v>
      </c>
      <c r="C65" s="1">
        <v>0.0</v>
      </c>
      <c r="D65" s="1">
        <v>0.0</v>
      </c>
      <c r="E65" s="1">
        <v>31.25</v>
      </c>
      <c r="F65" s="54">
        <v>44349.0</v>
      </c>
      <c r="G65" s="1">
        <v>0.0</v>
      </c>
      <c r="H65" s="1">
        <v>36.35</v>
      </c>
      <c r="I65" s="14">
        <v>44393.0</v>
      </c>
      <c r="J65" s="55" t="s">
        <v>2879</v>
      </c>
      <c r="K65" s="15" t="s">
        <v>2943</v>
      </c>
      <c r="L65" s="33" t="str">
        <f t="shared" si="1"/>
        <v>Not in buy Zone</v>
      </c>
      <c r="M65" s="33" t="str">
        <f t="shared" si="2"/>
        <v>Not in buy Zone</v>
      </c>
      <c r="N65" s="33" t="str">
        <f t="shared" si="3"/>
        <v>No</v>
      </c>
    </row>
    <row r="66" ht="11.25" customHeight="1">
      <c r="A66" s="1" t="s">
        <v>94</v>
      </c>
      <c r="B66" s="1">
        <v>0.0</v>
      </c>
      <c r="C66" s="1">
        <v>0.0</v>
      </c>
      <c r="D66" s="1">
        <v>219.35</v>
      </c>
      <c r="E66" s="1">
        <v>0.0</v>
      </c>
      <c r="F66" s="54">
        <v>44358.0</v>
      </c>
      <c r="G66" s="1">
        <v>0.0</v>
      </c>
      <c r="H66" s="1">
        <v>203.29</v>
      </c>
      <c r="I66" s="14">
        <v>44393.0</v>
      </c>
      <c r="J66" s="55" t="s">
        <v>2879</v>
      </c>
      <c r="K66" s="15" t="s">
        <v>2944</v>
      </c>
      <c r="L66" s="33" t="str">
        <f t="shared" si="1"/>
        <v>Not in buy Zone</v>
      </c>
      <c r="M66" s="33" t="str">
        <f t="shared" si="2"/>
        <v>Not in buy Zone</v>
      </c>
      <c r="N66" s="33" t="str">
        <f t="shared" si="3"/>
        <v>No</v>
      </c>
    </row>
    <row r="67" ht="11.25" customHeight="1">
      <c r="A67" s="1" t="s">
        <v>95</v>
      </c>
      <c r="B67" s="1">
        <v>0.0</v>
      </c>
      <c r="C67" s="1">
        <v>0.0</v>
      </c>
      <c r="D67" s="1">
        <v>159.88</v>
      </c>
      <c r="E67" s="1">
        <v>0.0</v>
      </c>
      <c r="F67" s="54">
        <v>44383.0</v>
      </c>
      <c r="G67" s="1">
        <v>0.0</v>
      </c>
      <c r="H67" s="1">
        <v>168.31</v>
      </c>
      <c r="I67" s="14">
        <v>44393.0</v>
      </c>
      <c r="J67" s="55" t="s">
        <v>2879</v>
      </c>
      <c r="K67" s="15" t="s">
        <v>2945</v>
      </c>
      <c r="L67" s="33" t="str">
        <f t="shared" si="1"/>
        <v>Not in buy Zone</v>
      </c>
      <c r="M67" s="33" t="str">
        <f t="shared" si="2"/>
        <v>Not in buy Zone</v>
      </c>
      <c r="N67" s="33" t="str">
        <f t="shared" si="3"/>
        <v>No</v>
      </c>
    </row>
    <row r="68" ht="11.25" customHeight="1">
      <c r="A68" s="1" t="s">
        <v>96</v>
      </c>
      <c r="B68" s="1">
        <v>0.0</v>
      </c>
      <c r="C68" s="1">
        <v>0.0</v>
      </c>
      <c r="D68" s="1">
        <v>0.0</v>
      </c>
      <c r="E68" s="1">
        <v>145.1</v>
      </c>
      <c r="F68" s="54">
        <v>44306.0</v>
      </c>
      <c r="G68" s="1">
        <v>0.0</v>
      </c>
      <c r="H68" s="1">
        <v>170.01</v>
      </c>
      <c r="I68" s="14">
        <v>44393.0</v>
      </c>
      <c r="J68" s="55" t="s">
        <v>2879</v>
      </c>
      <c r="K68" s="15" t="s">
        <v>2946</v>
      </c>
      <c r="L68" s="33" t="str">
        <f t="shared" si="1"/>
        <v>Not in buy Zone</v>
      </c>
      <c r="M68" s="33" t="str">
        <f t="shared" si="2"/>
        <v>Not in buy Zone</v>
      </c>
      <c r="N68" s="33" t="str">
        <f t="shared" si="3"/>
        <v>No</v>
      </c>
    </row>
    <row r="69" ht="11.25" customHeight="1">
      <c r="A69" s="1" t="s">
        <v>97</v>
      </c>
      <c r="B69" s="1">
        <v>0.0</v>
      </c>
      <c r="C69" s="1">
        <v>0.0</v>
      </c>
      <c r="D69" s="1">
        <v>0.0</v>
      </c>
      <c r="E69" s="1">
        <v>32.1</v>
      </c>
      <c r="F69" s="54">
        <v>44354.0</v>
      </c>
      <c r="G69" s="1">
        <v>0.0</v>
      </c>
      <c r="H69" s="1">
        <v>28.74</v>
      </c>
      <c r="I69" s="14">
        <v>44393.0</v>
      </c>
      <c r="J69" s="55" t="s">
        <v>2879</v>
      </c>
      <c r="K69" s="15" t="s">
        <v>2947</v>
      </c>
      <c r="L69" s="33" t="str">
        <f t="shared" si="1"/>
        <v>Not in buy Zone</v>
      </c>
      <c r="M69" s="33" t="str">
        <f t="shared" si="2"/>
        <v>Not in buy Zone</v>
      </c>
      <c r="N69" s="33" t="str">
        <f t="shared" si="3"/>
        <v>No</v>
      </c>
    </row>
    <row r="70" ht="11.25" customHeight="1">
      <c r="A70" s="1" t="s">
        <v>98</v>
      </c>
      <c r="B70" s="1">
        <v>0.0</v>
      </c>
      <c r="C70" s="1">
        <v>0.0</v>
      </c>
      <c r="D70" s="1">
        <v>1403.04</v>
      </c>
      <c r="E70" s="1">
        <v>0.0</v>
      </c>
      <c r="F70" s="54">
        <v>44362.0</v>
      </c>
      <c r="G70" s="1">
        <v>0.0</v>
      </c>
      <c r="H70" s="1">
        <v>1605.3</v>
      </c>
      <c r="I70" s="14">
        <v>44393.0</v>
      </c>
      <c r="J70" s="55" t="s">
        <v>2879</v>
      </c>
      <c r="K70" s="15" t="s">
        <v>2948</v>
      </c>
      <c r="L70" s="33" t="str">
        <f t="shared" si="1"/>
        <v>Not in buy Zone</v>
      </c>
      <c r="M70" s="33" t="str">
        <f t="shared" si="2"/>
        <v>Not in buy Zone</v>
      </c>
      <c r="N70" s="33" t="str">
        <f t="shared" si="3"/>
        <v>No</v>
      </c>
    </row>
    <row r="71" ht="11.25" customHeight="1">
      <c r="A71" s="1" t="s">
        <v>99</v>
      </c>
      <c r="B71" s="1">
        <v>0.0</v>
      </c>
      <c r="C71" s="1">
        <v>0.0</v>
      </c>
      <c r="D71" s="1">
        <v>250.57</v>
      </c>
      <c r="E71" s="1">
        <v>0.0</v>
      </c>
      <c r="F71" s="54">
        <v>44371.0</v>
      </c>
      <c r="G71" s="1">
        <v>0.0</v>
      </c>
      <c r="H71" s="1">
        <v>217.74</v>
      </c>
      <c r="I71" s="14">
        <v>44393.0</v>
      </c>
      <c r="J71" s="55" t="s">
        <v>2879</v>
      </c>
      <c r="K71" s="15" t="s">
        <v>2949</v>
      </c>
      <c r="L71" s="33" t="str">
        <f t="shared" si="1"/>
        <v>Not in buy Zone</v>
      </c>
      <c r="M71" s="33" t="str">
        <f t="shared" si="2"/>
        <v>Not in buy Zone</v>
      </c>
      <c r="N71" s="33" t="str">
        <f t="shared" si="3"/>
        <v>No</v>
      </c>
    </row>
    <row r="72" ht="11.25" customHeight="1">
      <c r="A72" s="1" t="s">
        <v>100</v>
      </c>
      <c r="B72" s="1">
        <v>0.0</v>
      </c>
      <c r="C72" s="1">
        <v>0.0</v>
      </c>
      <c r="D72" s="1">
        <v>40.63</v>
      </c>
      <c r="E72" s="1">
        <v>0.0</v>
      </c>
      <c r="F72" s="54">
        <v>44389.0</v>
      </c>
      <c r="G72" s="1">
        <v>0.0</v>
      </c>
      <c r="H72" s="1">
        <v>37.92</v>
      </c>
      <c r="I72" s="14">
        <v>44393.0</v>
      </c>
      <c r="J72" s="55" t="s">
        <v>2879</v>
      </c>
      <c r="K72" s="15" t="s">
        <v>2950</v>
      </c>
      <c r="L72" s="33" t="str">
        <f t="shared" si="1"/>
        <v>Not in buy Zone</v>
      </c>
      <c r="M72" s="33" t="str">
        <f t="shared" si="2"/>
        <v>Not in buy Zone</v>
      </c>
      <c r="N72" s="33" t="str">
        <f t="shared" si="3"/>
        <v>No</v>
      </c>
    </row>
    <row r="73" ht="11.25" customHeight="1">
      <c r="A73" s="1" t="s">
        <v>101</v>
      </c>
      <c r="B73" s="1">
        <v>0.0</v>
      </c>
      <c r="C73" s="1">
        <v>0.0</v>
      </c>
      <c r="D73" s="1">
        <v>82.19</v>
      </c>
      <c r="E73" s="1">
        <v>0.0</v>
      </c>
      <c r="F73" s="54">
        <v>44372.0</v>
      </c>
      <c r="G73" s="1">
        <v>0.0</v>
      </c>
      <c r="H73" s="1">
        <v>81.42</v>
      </c>
      <c r="I73" s="14">
        <v>44393.0</v>
      </c>
      <c r="J73" s="55" t="s">
        <v>2879</v>
      </c>
      <c r="K73" s="15" t="s">
        <v>2951</v>
      </c>
      <c r="L73" s="33" t="str">
        <f t="shared" si="1"/>
        <v>Not in buy Zone</v>
      </c>
      <c r="M73" s="33" t="str">
        <f t="shared" si="2"/>
        <v>Not in buy Zone</v>
      </c>
      <c r="N73" s="33" t="str">
        <f t="shared" si="3"/>
        <v>No</v>
      </c>
    </row>
    <row r="74" ht="11.25" customHeight="1">
      <c r="A74" s="1" t="s">
        <v>102</v>
      </c>
      <c r="B74" s="1">
        <v>0.0</v>
      </c>
      <c r="C74" s="1">
        <v>0.0</v>
      </c>
      <c r="D74" s="1">
        <v>0.0</v>
      </c>
      <c r="E74" s="1">
        <v>28.85</v>
      </c>
      <c r="F74" s="54">
        <v>44384.0</v>
      </c>
      <c r="G74" s="1">
        <v>0.0</v>
      </c>
      <c r="H74" s="1">
        <v>27.16</v>
      </c>
      <c r="I74" s="14">
        <v>44393.0</v>
      </c>
      <c r="J74" s="55" t="s">
        <v>2879</v>
      </c>
      <c r="K74" s="15" t="s">
        <v>2952</v>
      </c>
      <c r="L74" s="33" t="str">
        <f t="shared" si="1"/>
        <v>Not in buy Zone</v>
      </c>
      <c r="M74" s="33" t="str">
        <f t="shared" si="2"/>
        <v>Not in buy Zone</v>
      </c>
      <c r="N74" s="33" t="str">
        <f t="shared" si="3"/>
        <v>No</v>
      </c>
    </row>
    <row r="75" ht="11.25" customHeight="1">
      <c r="A75" s="1" t="s">
        <v>103</v>
      </c>
      <c r="B75" s="1">
        <v>0.0</v>
      </c>
      <c r="C75" s="1">
        <v>0.0</v>
      </c>
      <c r="D75" s="1">
        <v>0.0</v>
      </c>
      <c r="E75" s="1">
        <v>110.55</v>
      </c>
      <c r="F75" s="54">
        <v>44383.0</v>
      </c>
      <c r="G75" s="1">
        <v>0.0</v>
      </c>
      <c r="H75" s="1">
        <v>110.59</v>
      </c>
      <c r="I75" s="14">
        <v>44393.0</v>
      </c>
      <c r="J75" s="55" t="s">
        <v>2879</v>
      </c>
      <c r="K75" s="15" t="s">
        <v>2953</v>
      </c>
      <c r="L75" s="33" t="str">
        <f t="shared" si="1"/>
        <v>Not in buy Zone</v>
      </c>
      <c r="M75" s="33" t="str">
        <f t="shared" si="2"/>
        <v>Not in buy Zone</v>
      </c>
      <c r="N75" s="33" t="str">
        <f t="shared" si="3"/>
        <v>No</v>
      </c>
    </row>
    <row r="76" ht="11.25" customHeight="1">
      <c r="A76" s="1" t="s">
        <v>104</v>
      </c>
      <c r="B76" s="1">
        <v>0.0</v>
      </c>
      <c r="C76" s="1">
        <v>0.0</v>
      </c>
      <c r="D76" s="1">
        <v>0.0</v>
      </c>
      <c r="E76" s="1">
        <v>246.0</v>
      </c>
      <c r="F76" s="54">
        <v>44391.0</v>
      </c>
      <c r="G76" s="1">
        <v>0.0</v>
      </c>
      <c r="H76" s="1">
        <v>248.07</v>
      </c>
      <c r="I76" s="14">
        <v>44393.0</v>
      </c>
      <c r="J76" s="55" t="s">
        <v>2879</v>
      </c>
      <c r="K76" s="15" t="s">
        <v>2954</v>
      </c>
      <c r="L76" s="33" t="str">
        <f t="shared" si="1"/>
        <v>Not in buy Zone</v>
      </c>
      <c r="M76" s="33" t="str">
        <f t="shared" si="2"/>
        <v>Not in buy Zone</v>
      </c>
      <c r="N76" s="33" t="str">
        <f t="shared" si="3"/>
        <v>No</v>
      </c>
    </row>
    <row r="77" ht="11.25" customHeight="1">
      <c r="A77" s="1" t="s">
        <v>105</v>
      </c>
      <c r="B77" s="1">
        <v>0.0</v>
      </c>
      <c r="C77" s="1">
        <v>0.0</v>
      </c>
      <c r="D77" s="1">
        <v>32.15</v>
      </c>
      <c r="E77" s="1">
        <v>0.0</v>
      </c>
      <c r="F77" s="54">
        <v>44386.0</v>
      </c>
      <c r="G77" s="1">
        <v>0.0</v>
      </c>
      <c r="H77" s="1">
        <v>29.41</v>
      </c>
      <c r="I77" s="14">
        <v>44393.0</v>
      </c>
      <c r="J77" s="55" t="s">
        <v>2879</v>
      </c>
      <c r="K77" s="15" t="s">
        <v>2955</v>
      </c>
      <c r="L77" s="33" t="str">
        <f t="shared" si="1"/>
        <v>Not in buy Zone</v>
      </c>
      <c r="M77" s="33" t="str">
        <f t="shared" si="2"/>
        <v>Not in buy Zone</v>
      </c>
      <c r="N77" s="33" t="str">
        <f t="shared" si="3"/>
        <v>No</v>
      </c>
    </row>
    <row r="78" ht="11.25" customHeight="1">
      <c r="A78" s="1" t="s">
        <v>106</v>
      </c>
      <c r="B78" s="1">
        <v>0.0</v>
      </c>
      <c r="C78" s="1">
        <v>0.0</v>
      </c>
      <c r="D78" s="1">
        <v>0.0</v>
      </c>
      <c r="E78" s="1">
        <v>186.95</v>
      </c>
      <c r="F78" s="54">
        <v>44383.0</v>
      </c>
      <c r="G78" s="1">
        <v>0.0</v>
      </c>
      <c r="H78" s="1">
        <v>179.58</v>
      </c>
      <c r="I78" s="14">
        <v>44393.0</v>
      </c>
      <c r="J78" s="55" t="s">
        <v>2879</v>
      </c>
      <c r="K78" s="15" t="s">
        <v>2956</v>
      </c>
      <c r="L78" s="33" t="str">
        <f t="shared" si="1"/>
        <v>Not in buy Zone</v>
      </c>
      <c r="M78" s="33" t="str">
        <f t="shared" si="2"/>
        <v>Not in buy Zone</v>
      </c>
      <c r="N78" s="33" t="str">
        <f t="shared" si="3"/>
        <v>No</v>
      </c>
    </row>
    <row r="79" ht="11.25" customHeight="1">
      <c r="A79" s="1" t="s">
        <v>107</v>
      </c>
      <c r="B79" s="1">
        <v>0.0</v>
      </c>
      <c r="C79" s="1">
        <v>0.0</v>
      </c>
      <c r="D79" s="1">
        <v>369.05</v>
      </c>
      <c r="E79" s="1">
        <v>0.0</v>
      </c>
      <c r="F79" s="54">
        <v>44385.0</v>
      </c>
      <c r="G79" s="1">
        <v>0.0</v>
      </c>
      <c r="H79" s="1">
        <v>324.62</v>
      </c>
      <c r="I79" s="14">
        <v>44393.0</v>
      </c>
      <c r="J79" s="55" t="s">
        <v>2879</v>
      </c>
      <c r="K79" s="15" t="s">
        <v>2957</v>
      </c>
      <c r="L79" s="33" t="str">
        <f t="shared" si="1"/>
        <v>Not in buy Zone</v>
      </c>
      <c r="M79" s="33" t="str">
        <f t="shared" si="2"/>
        <v>Not in buy Zone</v>
      </c>
      <c r="N79" s="33" t="str">
        <f t="shared" si="3"/>
        <v>No</v>
      </c>
    </row>
    <row r="80" ht="11.25" customHeight="1">
      <c r="A80" s="1" t="s">
        <v>108</v>
      </c>
      <c r="B80" s="1">
        <v>0.0</v>
      </c>
      <c r="C80" s="1">
        <v>0.0</v>
      </c>
      <c r="D80" s="1">
        <v>598.32</v>
      </c>
      <c r="E80" s="1">
        <v>0.0</v>
      </c>
      <c r="F80" s="54">
        <v>44336.0</v>
      </c>
      <c r="G80" s="1">
        <v>0.0</v>
      </c>
      <c r="H80" s="1">
        <v>674.78</v>
      </c>
      <c r="I80" s="14">
        <v>44393.0</v>
      </c>
      <c r="J80" s="55" t="s">
        <v>2879</v>
      </c>
      <c r="K80" s="15" t="s">
        <v>2958</v>
      </c>
      <c r="L80" s="33" t="str">
        <f t="shared" si="1"/>
        <v>Not in buy Zone</v>
      </c>
      <c r="M80" s="33" t="str">
        <f t="shared" si="2"/>
        <v>Not in buy Zone</v>
      </c>
      <c r="N80" s="33" t="str">
        <f t="shared" si="3"/>
        <v>No</v>
      </c>
    </row>
    <row r="81" ht="11.25" customHeight="1">
      <c r="A81" s="1" t="s">
        <v>109</v>
      </c>
      <c r="B81" s="1">
        <v>0.0</v>
      </c>
      <c r="C81" s="1">
        <v>0.0</v>
      </c>
      <c r="D81" s="1">
        <v>50.28</v>
      </c>
      <c r="E81" s="1">
        <v>0.0</v>
      </c>
      <c r="F81" s="54">
        <v>44389.0</v>
      </c>
      <c r="G81" s="1">
        <v>0.0</v>
      </c>
      <c r="H81" s="1">
        <v>49.38</v>
      </c>
      <c r="I81" s="14">
        <v>44393.0</v>
      </c>
      <c r="J81" s="55" t="s">
        <v>2879</v>
      </c>
      <c r="K81" s="15" t="s">
        <v>2959</v>
      </c>
      <c r="L81" s="33" t="str">
        <f t="shared" si="1"/>
        <v>Not in buy Zone</v>
      </c>
      <c r="M81" s="33" t="str">
        <f t="shared" si="2"/>
        <v>Not in buy Zone</v>
      </c>
      <c r="N81" s="33" t="str">
        <f t="shared" si="3"/>
        <v>No</v>
      </c>
    </row>
    <row r="82" ht="11.25" customHeight="1">
      <c r="A82" s="1" t="s">
        <v>110</v>
      </c>
      <c r="B82" s="1">
        <v>0.0</v>
      </c>
      <c r="C82" s="1">
        <v>0.0</v>
      </c>
      <c r="D82" s="1">
        <v>0.0</v>
      </c>
      <c r="E82" s="1">
        <v>2295.81</v>
      </c>
      <c r="F82" s="54">
        <v>44350.0</v>
      </c>
      <c r="G82" s="1">
        <v>0.0</v>
      </c>
      <c r="H82" s="1">
        <v>2144.72</v>
      </c>
      <c r="I82" s="14">
        <v>44393.0</v>
      </c>
      <c r="J82" s="55" t="s">
        <v>2879</v>
      </c>
      <c r="K82" s="15" t="s">
        <v>2960</v>
      </c>
      <c r="L82" s="33" t="str">
        <f t="shared" si="1"/>
        <v>Not in buy Zone</v>
      </c>
      <c r="M82" s="33" t="str">
        <f t="shared" si="2"/>
        <v>Not in buy Zone</v>
      </c>
      <c r="N82" s="33" t="str">
        <f t="shared" si="3"/>
        <v>No</v>
      </c>
    </row>
    <row r="83" ht="11.25" customHeight="1">
      <c r="A83" s="1" t="s">
        <v>111</v>
      </c>
      <c r="B83" s="1">
        <v>0.0</v>
      </c>
      <c r="C83" s="1">
        <v>0.0</v>
      </c>
      <c r="D83" s="1">
        <v>23.02</v>
      </c>
      <c r="E83" s="1">
        <v>0.0</v>
      </c>
      <c r="F83" s="54">
        <v>44389.0</v>
      </c>
      <c r="G83" s="1">
        <v>0.0</v>
      </c>
      <c r="H83" s="1">
        <v>20.6</v>
      </c>
      <c r="I83" s="14">
        <v>44393.0</v>
      </c>
      <c r="J83" s="55" t="s">
        <v>2879</v>
      </c>
      <c r="K83" s="15" t="s">
        <v>2961</v>
      </c>
      <c r="L83" s="33" t="str">
        <f t="shared" si="1"/>
        <v>Not in buy Zone</v>
      </c>
      <c r="M83" s="33" t="str">
        <f t="shared" si="2"/>
        <v>Not in buy Zone</v>
      </c>
      <c r="N83" s="33" t="str">
        <f t="shared" si="3"/>
        <v>No</v>
      </c>
    </row>
    <row r="84" ht="11.25" customHeight="1">
      <c r="A84" s="1" t="s">
        <v>112</v>
      </c>
      <c r="B84" s="1">
        <v>0.0</v>
      </c>
      <c r="C84" s="1">
        <v>0.0</v>
      </c>
      <c r="D84" s="1">
        <v>43.75</v>
      </c>
      <c r="E84" s="1">
        <v>0.0</v>
      </c>
      <c r="F84" s="54">
        <v>44389.0</v>
      </c>
      <c r="G84" s="1">
        <v>0.0</v>
      </c>
      <c r="H84" s="1">
        <v>40.98</v>
      </c>
      <c r="I84" s="14">
        <v>44393.0</v>
      </c>
      <c r="J84" s="55" t="s">
        <v>2879</v>
      </c>
      <c r="K84" s="15" t="s">
        <v>2962</v>
      </c>
      <c r="L84" s="33" t="str">
        <f t="shared" si="1"/>
        <v>Not in buy Zone</v>
      </c>
      <c r="M84" s="33" t="str">
        <f t="shared" si="2"/>
        <v>Not in buy Zone</v>
      </c>
      <c r="N84" s="33" t="str">
        <f t="shared" si="3"/>
        <v>No</v>
      </c>
    </row>
    <row r="85" ht="11.25" customHeight="1">
      <c r="A85" s="1" t="s">
        <v>113</v>
      </c>
      <c r="B85" s="1">
        <v>0.0</v>
      </c>
      <c r="C85" s="1">
        <v>0.0</v>
      </c>
      <c r="D85" s="1">
        <v>0.0</v>
      </c>
      <c r="E85" s="1">
        <v>880.32</v>
      </c>
      <c r="F85" s="54">
        <v>44391.0</v>
      </c>
      <c r="G85" s="1">
        <v>0.0</v>
      </c>
      <c r="H85" s="1">
        <v>875.02</v>
      </c>
      <c r="I85" s="14">
        <v>44393.0</v>
      </c>
      <c r="J85" s="55" t="s">
        <v>2879</v>
      </c>
      <c r="K85" s="15" t="s">
        <v>2963</v>
      </c>
      <c r="L85" s="33" t="str">
        <f t="shared" si="1"/>
        <v>Not in buy Zone</v>
      </c>
      <c r="M85" s="33" t="str">
        <f t="shared" si="2"/>
        <v>Not in buy Zone</v>
      </c>
      <c r="N85" s="33" t="str">
        <f t="shared" si="3"/>
        <v>No</v>
      </c>
    </row>
    <row r="86" ht="11.25" customHeight="1">
      <c r="A86" s="1" t="s">
        <v>114</v>
      </c>
      <c r="B86" s="1">
        <v>0.0</v>
      </c>
      <c r="C86" s="1">
        <v>0.0</v>
      </c>
      <c r="D86" s="1">
        <v>0.0</v>
      </c>
      <c r="E86" s="1">
        <v>81.02</v>
      </c>
      <c r="F86" s="54">
        <v>44377.0</v>
      </c>
      <c r="G86" s="1">
        <v>0.0</v>
      </c>
      <c r="H86" s="1">
        <v>85.75</v>
      </c>
      <c r="I86" s="14">
        <v>44393.0</v>
      </c>
      <c r="J86" s="55" t="s">
        <v>2879</v>
      </c>
      <c r="K86" s="15" t="s">
        <v>2964</v>
      </c>
      <c r="L86" s="33" t="str">
        <f t="shared" si="1"/>
        <v>Not in buy Zone</v>
      </c>
      <c r="M86" s="33" t="str">
        <f t="shared" si="2"/>
        <v>Not in buy Zone</v>
      </c>
      <c r="N86" s="33" t="str">
        <f t="shared" si="3"/>
        <v>No</v>
      </c>
    </row>
    <row r="87" ht="11.25" customHeight="1">
      <c r="A87" s="1" t="s">
        <v>115</v>
      </c>
      <c r="B87" s="1">
        <v>0.0</v>
      </c>
      <c r="C87" s="1">
        <v>0.0</v>
      </c>
      <c r="D87" s="1">
        <v>0.0</v>
      </c>
      <c r="E87" s="1">
        <v>65.94</v>
      </c>
      <c r="F87" s="54">
        <v>44369.0</v>
      </c>
      <c r="G87" s="1">
        <v>0.0</v>
      </c>
      <c r="H87" s="1">
        <v>67.3</v>
      </c>
      <c r="I87" s="14">
        <v>44393.0</v>
      </c>
      <c r="J87" s="55" t="s">
        <v>2879</v>
      </c>
      <c r="K87" s="15" t="s">
        <v>2965</v>
      </c>
      <c r="L87" s="33" t="str">
        <f t="shared" si="1"/>
        <v>Not in buy Zone</v>
      </c>
      <c r="M87" s="33" t="str">
        <f t="shared" si="2"/>
        <v>Not in buy Zone</v>
      </c>
      <c r="N87" s="33" t="str">
        <f t="shared" si="3"/>
        <v>No</v>
      </c>
    </row>
    <row r="88" ht="11.25" customHeight="1">
      <c r="A88" s="1" t="s">
        <v>116</v>
      </c>
      <c r="B88" s="1">
        <v>0.0</v>
      </c>
      <c r="C88" s="1">
        <v>0.0</v>
      </c>
      <c r="D88" s="1">
        <v>0.0</v>
      </c>
      <c r="E88" s="1">
        <v>85.05</v>
      </c>
      <c r="F88" s="54">
        <v>44350.0</v>
      </c>
      <c r="G88" s="1">
        <v>0.0</v>
      </c>
      <c r="H88" s="1">
        <v>86.32</v>
      </c>
      <c r="I88" s="14">
        <v>44393.0</v>
      </c>
      <c r="J88" s="55" t="s">
        <v>2879</v>
      </c>
      <c r="K88" s="15" t="s">
        <v>2966</v>
      </c>
      <c r="L88" s="33" t="str">
        <f t="shared" si="1"/>
        <v>Not in buy Zone</v>
      </c>
      <c r="M88" s="33" t="str">
        <f t="shared" si="2"/>
        <v>Not in buy Zone</v>
      </c>
      <c r="N88" s="33" t="str">
        <f t="shared" si="3"/>
        <v>No</v>
      </c>
    </row>
    <row r="89" ht="11.25" customHeight="1">
      <c r="A89" s="1" t="s">
        <v>117</v>
      </c>
      <c r="B89" s="1">
        <v>0.0</v>
      </c>
      <c r="C89" s="1">
        <v>0.0</v>
      </c>
      <c r="D89" s="1">
        <v>57.1</v>
      </c>
      <c r="E89" s="1">
        <v>0.0</v>
      </c>
      <c r="F89" s="54">
        <v>44377.0</v>
      </c>
      <c r="G89" s="1">
        <v>0.0</v>
      </c>
      <c r="H89" s="1">
        <v>57.62</v>
      </c>
      <c r="I89" s="14">
        <v>44393.0</v>
      </c>
      <c r="J89" s="55" t="s">
        <v>2879</v>
      </c>
      <c r="K89" s="15" t="s">
        <v>2967</v>
      </c>
      <c r="L89" s="33" t="str">
        <f t="shared" si="1"/>
        <v>Not in buy Zone</v>
      </c>
      <c r="M89" s="33" t="str">
        <f t="shared" si="2"/>
        <v>Not in buy Zone</v>
      </c>
      <c r="N89" s="33" t="str">
        <f t="shared" si="3"/>
        <v>No</v>
      </c>
    </row>
    <row r="90" ht="11.25" customHeight="1">
      <c r="A90" s="1" t="s">
        <v>118</v>
      </c>
      <c r="B90" s="1">
        <v>0.0</v>
      </c>
      <c r="C90" s="1">
        <v>0.0</v>
      </c>
      <c r="D90" s="1">
        <v>0.0</v>
      </c>
      <c r="E90" s="1">
        <v>159.72</v>
      </c>
      <c r="F90" s="54">
        <v>44364.0</v>
      </c>
      <c r="G90" s="1">
        <v>0.0</v>
      </c>
      <c r="H90" s="1">
        <v>169.87</v>
      </c>
      <c r="I90" s="14">
        <v>44393.0</v>
      </c>
      <c r="J90" s="55" t="s">
        <v>2879</v>
      </c>
      <c r="K90" s="15" t="s">
        <v>2968</v>
      </c>
      <c r="L90" s="33" t="str">
        <f t="shared" si="1"/>
        <v>Not in buy Zone</v>
      </c>
      <c r="M90" s="33" t="str">
        <f t="shared" si="2"/>
        <v>Not in buy Zone</v>
      </c>
      <c r="N90" s="33" t="str">
        <f t="shared" si="3"/>
        <v>No</v>
      </c>
    </row>
    <row r="91" ht="11.25" customHeight="1">
      <c r="A91" s="1" t="s">
        <v>119</v>
      </c>
      <c r="B91" s="1">
        <v>0.0</v>
      </c>
      <c r="C91" s="1">
        <v>0.0</v>
      </c>
      <c r="D91" s="1">
        <v>0.0</v>
      </c>
      <c r="E91" s="1">
        <v>82.11</v>
      </c>
      <c r="F91" s="54">
        <v>44390.0</v>
      </c>
      <c r="G91" s="1">
        <v>0.0</v>
      </c>
      <c r="H91" s="1">
        <v>82.18</v>
      </c>
      <c r="I91" s="14">
        <v>44393.0</v>
      </c>
      <c r="J91" s="55" t="s">
        <v>2879</v>
      </c>
      <c r="K91" s="15" t="s">
        <v>2969</v>
      </c>
      <c r="L91" s="33" t="str">
        <f t="shared" si="1"/>
        <v>Not in buy Zone</v>
      </c>
      <c r="M91" s="33" t="str">
        <f t="shared" si="2"/>
        <v>Not in buy Zone</v>
      </c>
      <c r="N91" s="33" t="str">
        <f t="shared" si="3"/>
        <v>No</v>
      </c>
    </row>
    <row r="92" ht="11.25" customHeight="1">
      <c r="A92" s="1" t="s">
        <v>120</v>
      </c>
      <c r="B92" s="1">
        <v>0.0</v>
      </c>
      <c r="C92" s="1">
        <v>0.0</v>
      </c>
      <c r="D92" s="1">
        <v>0.0</v>
      </c>
      <c r="E92" s="1">
        <v>43.23</v>
      </c>
      <c r="F92" s="54">
        <v>44376.0</v>
      </c>
      <c r="G92" s="1">
        <v>0.0</v>
      </c>
      <c r="H92" s="1">
        <v>42.1</v>
      </c>
      <c r="I92" s="14">
        <v>44393.0</v>
      </c>
      <c r="J92" s="55" t="s">
        <v>2879</v>
      </c>
      <c r="K92" s="15" t="s">
        <v>2970</v>
      </c>
      <c r="L92" s="33" t="str">
        <f t="shared" si="1"/>
        <v>Not in buy Zone</v>
      </c>
      <c r="M92" s="33" t="str">
        <f t="shared" si="2"/>
        <v>Not in buy Zone</v>
      </c>
      <c r="N92" s="33" t="str">
        <f t="shared" si="3"/>
        <v>No</v>
      </c>
    </row>
    <row r="93" ht="11.25" customHeight="1">
      <c r="A93" s="1" t="s">
        <v>121</v>
      </c>
      <c r="B93" s="1">
        <v>0.0</v>
      </c>
      <c r="C93" s="1">
        <v>0.0</v>
      </c>
      <c r="D93" s="1">
        <v>49.13</v>
      </c>
      <c r="E93" s="1">
        <v>0.0</v>
      </c>
      <c r="F93" s="54">
        <v>44379.0</v>
      </c>
      <c r="G93" s="1">
        <v>0.0</v>
      </c>
      <c r="H93" s="1">
        <v>45.97</v>
      </c>
      <c r="I93" s="14">
        <v>44393.0</v>
      </c>
      <c r="J93" s="55" t="s">
        <v>2879</v>
      </c>
      <c r="K93" s="15" t="s">
        <v>2971</v>
      </c>
      <c r="L93" s="33" t="str">
        <f t="shared" si="1"/>
        <v>Not in buy Zone</v>
      </c>
      <c r="M93" s="33" t="str">
        <f t="shared" si="2"/>
        <v>Not in buy Zone</v>
      </c>
      <c r="N93" s="33" t="str">
        <f t="shared" si="3"/>
        <v>No</v>
      </c>
    </row>
    <row r="94" ht="11.25" customHeight="1">
      <c r="A94" s="1" t="s">
        <v>122</v>
      </c>
      <c r="B94" s="1">
        <v>0.0</v>
      </c>
      <c r="C94" s="1">
        <v>0.0</v>
      </c>
      <c r="D94" s="1">
        <v>0.0</v>
      </c>
      <c r="E94" s="1">
        <v>98.65</v>
      </c>
      <c r="F94" s="54">
        <v>44391.0</v>
      </c>
      <c r="G94" s="1">
        <v>0.0</v>
      </c>
      <c r="H94" s="1">
        <v>102.2</v>
      </c>
      <c r="I94" s="14">
        <v>44393.0</v>
      </c>
      <c r="J94" s="55" t="s">
        <v>2879</v>
      </c>
      <c r="K94" s="15" t="s">
        <v>2972</v>
      </c>
      <c r="L94" s="33" t="str">
        <f t="shared" si="1"/>
        <v>Not in buy Zone</v>
      </c>
      <c r="M94" s="33" t="str">
        <f t="shared" si="2"/>
        <v>Not in buy Zone</v>
      </c>
      <c r="N94" s="33" t="str">
        <f t="shared" si="3"/>
        <v>No</v>
      </c>
    </row>
    <row r="95" ht="11.25" customHeight="1">
      <c r="A95" s="1" t="s">
        <v>123</v>
      </c>
      <c r="B95" s="1">
        <v>0.0</v>
      </c>
      <c r="C95" s="1">
        <v>0.0</v>
      </c>
      <c r="D95" s="1">
        <v>117.17</v>
      </c>
      <c r="E95" s="1">
        <v>0.0</v>
      </c>
      <c r="F95" s="54">
        <v>44386.0</v>
      </c>
      <c r="G95" s="1">
        <v>0.0</v>
      </c>
      <c r="H95" s="1">
        <v>116.14</v>
      </c>
      <c r="I95" s="14">
        <v>44393.0</v>
      </c>
      <c r="J95" s="55" t="s">
        <v>2879</v>
      </c>
      <c r="K95" s="15" t="s">
        <v>2973</v>
      </c>
      <c r="L95" s="33" t="str">
        <f t="shared" si="1"/>
        <v>Not in buy Zone</v>
      </c>
      <c r="M95" s="33" t="str">
        <f t="shared" si="2"/>
        <v>Not in buy Zone</v>
      </c>
      <c r="N95" s="33" t="str">
        <f t="shared" si="3"/>
        <v>No</v>
      </c>
    </row>
    <row r="96" ht="11.25" customHeight="1">
      <c r="A96" s="1" t="s">
        <v>124</v>
      </c>
      <c r="B96" s="1">
        <v>0.0</v>
      </c>
      <c r="C96" s="1">
        <v>0.0</v>
      </c>
      <c r="D96" s="1">
        <v>0.0</v>
      </c>
      <c r="E96" s="1">
        <v>145.56</v>
      </c>
      <c r="F96" s="54">
        <v>44383.0</v>
      </c>
      <c r="G96" s="1">
        <v>0.0</v>
      </c>
      <c r="H96" s="1">
        <v>124.95</v>
      </c>
      <c r="I96" s="14">
        <v>44393.0</v>
      </c>
      <c r="J96" s="55" t="s">
        <v>2879</v>
      </c>
      <c r="K96" s="15" t="s">
        <v>2974</v>
      </c>
      <c r="L96" s="33" t="str">
        <f t="shared" si="1"/>
        <v>Not in buy Zone</v>
      </c>
      <c r="M96" s="33" t="str">
        <f t="shared" si="2"/>
        <v>Not in buy Zone</v>
      </c>
      <c r="N96" s="33" t="str">
        <f t="shared" si="3"/>
        <v>No</v>
      </c>
    </row>
    <row r="97" ht="11.25" customHeight="1">
      <c r="A97" s="1" t="s">
        <v>125</v>
      </c>
      <c r="B97" s="1">
        <v>0.0</v>
      </c>
      <c r="C97" s="1">
        <v>0.0</v>
      </c>
      <c r="D97" s="1">
        <v>71.01</v>
      </c>
      <c r="E97" s="1">
        <v>0.0</v>
      </c>
      <c r="F97" s="54">
        <v>44378.0</v>
      </c>
      <c r="G97" s="1">
        <v>0.0</v>
      </c>
      <c r="H97" s="1">
        <v>66.9</v>
      </c>
      <c r="I97" s="14">
        <v>44393.0</v>
      </c>
      <c r="J97" s="55" t="s">
        <v>2879</v>
      </c>
      <c r="K97" s="15" t="s">
        <v>2975</v>
      </c>
      <c r="L97" s="33" t="str">
        <f t="shared" si="1"/>
        <v>Not in buy Zone</v>
      </c>
      <c r="M97" s="33" t="str">
        <f t="shared" si="2"/>
        <v>Not in buy Zone</v>
      </c>
      <c r="N97" s="33" t="str">
        <f t="shared" si="3"/>
        <v>No</v>
      </c>
    </row>
    <row r="98" ht="11.25" customHeight="1">
      <c r="A98" s="1" t="s">
        <v>126</v>
      </c>
      <c r="B98" s="1">
        <v>0.0</v>
      </c>
      <c r="C98" s="1">
        <v>0.0</v>
      </c>
      <c r="D98" s="1">
        <v>0.0</v>
      </c>
      <c r="E98" s="1">
        <v>33.98</v>
      </c>
      <c r="F98" s="54">
        <v>44390.0</v>
      </c>
      <c r="G98" s="1">
        <v>0.0</v>
      </c>
      <c r="H98" s="1">
        <v>34.86</v>
      </c>
      <c r="I98" s="14">
        <v>44393.0</v>
      </c>
      <c r="J98" s="55" t="s">
        <v>2879</v>
      </c>
      <c r="K98" s="15" t="s">
        <v>2976</v>
      </c>
      <c r="L98" s="33" t="str">
        <f t="shared" si="1"/>
        <v>Not in buy Zone</v>
      </c>
      <c r="M98" s="33" t="str">
        <f t="shared" si="2"/>
        <v>Not in buy Zone</v>
      </c>
      <c r="N98" s="33" t="str">
        <f t="shared" si="3"/>
        <v>No</v>
      </c>
    </row>
    <row r="99" ht="11.25" customHeight="1">
      <c r="A99" s="1" t="s">
        <v>127</v>
      </c>
      <c r="B99" s="1">
        <v>0.0</v>
      </c>
      <c r="C99" s="1">
        <v>0.0</v>
      </c>
      <c r="D99" s="1">
        <v>57.94</v>
      </c>
      <c r="E99" s="1">
        <v>0.0</v>
      </c>
      <c r="F99" s="54">
        <v>44378.0</v>
      </c>
      <c r="G99" s="1">
        <v>0.0</v>
      </c>
      <c r="H99" s="1">
        <v>56.82</v>
      </c>
      <c r="I99" s="14">
        <v>44393.0</v>
      </c>
      <c r="J99" s="55" t="s">
        <v>2879</v>
      </c>
      <c r="K99" s="15" t="s">
        <v>2977</v>
      </c>
      <c r="L99" s="33" t="str">
        <f t="shared" si="1"/>
        <v>Not in buy Zone</v>
      </c>
      <c r="M99" s="33" t="str">
        <f t="shared" si="2"/>
        <v>Not in buy Zone</v>
      </c>
      <c r="N99" s="33" t="str">
        <f t="shared" si="3"/>
        <v>No</v>
      </c>
    </row>
    <row r="100" ht="11.25" customHeight="1">
      <c r="A100" s="1" t="s">
        <v>128</v>
      </c>
      <c r="B100" s="1">
        <v>0.0</v>
      </c>
      <c r="C100" s="1">
        <v>0.0</v>
      </c>
      <c r="D100" s="1">
        <v>217.63</v>
      </c>
      <c r="E100" s="1">
        <v>0.0</v>
      </c>
      <c r="F100" s="54">
        <v>44377.0</v>
      </c>
      <c r="G100" s="1">
        <v>0.0</v>
      </c>
      <c r="H100" s="1">
        <v>207.95</v>
      </c>
      <c r="I100" s="14">
        <v>44393.0</v>
      </c>
      <c r="J100" s="55" t="s">
        <v>2879</v>
      </c>
      <c r="K100" s="15" t="s">
        <v>2978</v>
      </c>
      <c r="L100" s="33" t="str">
        <f t="shared" si="1"/>
        <v>Not in buy Zone</v>
      </c>
      <c r="M100" s="33" t="str">
        <f t="shared" si="2"/>
        <v>Not in buy Zone</v>
      </c>
      <c r="N100" s="33" t="str">
        <f t="shared" si="3"/>
        <v>No</v>
      </c>
    </row>
    <row r="101" ht="11.25" customHeight="1">
      <c r="A101" s="1" t="s">
        <v>129</v>
      </c>
      <c r="B101" s="1">
        <v>0.0</v>
      </c>
      <c r="C101" s="1">
        <v>0.0</v>
      </c>
      <c r="D101" s="1">
        <v>0.0</v>
      </c>
      <c r="E101" s="1">
        <v>157.95</v>
      </c>
      <c r="F101" s="54">
        <v>44385.0</v>
      </c>
      <c r="G101" s="1">
        <v>0.0</v>
      </c>
      <c r="H101" s="1">
        <v>166.75</v>
      </c>
      <c r="I101" s="14">
        <v>44393.0</v>
      </c>
      <c r="J101" s="55" t="s">
        <v>2879</v>
      </c>
      <c r="K101" s="15" t="s">
        <v>2979</v>
      </c>
      <c r="L101" s="33" t="str">
        <f t="shared" si="1"/>
        <v>Not in buy Zone</v>
      </c>
      <c r="M101" s="33" t="str">
        <f t="shared" si="2"/>
        <v>Not in buy Zone</v>
      </c>
      <c r="N101" s="33" t="str">
        <f t="shared" si="3"/>
        <v>No</v>
      </c>
    </row>
    <row r="102" ht="11.25" customHeight="1">
      <c r="A102" s="1" t="s">
        <v>130</v>
      </c>
      <c r="B102" s="1">
        <v>0.0</v>
      </c>
      <c r="C102" s="1">
        <v>0.0</v>
      </c>
      <c r="D102" s="1">
        <v>0.0</v>
      </c>
      <c r="E102" s="1">
        <v>113.42</v>
      </c>
      <c r="F102" s="54">
        <v>44365.0</v>
      </c>
      <c r="G102" s="1">
        <v>0.0</v>
      </c>
      <c r="H102" s="1">
        <v>116.63</v>
      </c>
      <c r="I102" s="14">
        <v>44393.0</v>
      </c>
      <c r="J102" s="55" t="s">
        <v>2879</v>
      </c>
      <c r="K102" s="15" t="s">
        <v>2980</v>
      </c>
      <c r="L102" s="33" t="str">
        <f t="shared" si="1"/>
        <v>Not in buy Zone</v>
      </c>
      <c r="M102" s="33" t="str">
        <f t="shared" si="2"/>
        <v>Not in buy Zone</v>
      </c>
      <c r="N102" s="33" t="str">
        <f t="shared" si="3"/>
        <v>No</v>
      </c>
    </row>
    <row r="103" ht="11.25" customHeight="1">
      <c r="A103" s="1" t="s">
        <v>131</v>
      </c>
      <c r="B103" s="1">
        <v>0.0</v>
      </c>
      <c r="C103" s="1">
        <v>0.0</v>
      </c>
      <c r="D103" s="1">
        <v>0.0</v>
      </c>
      <c r="E103" s="1">
        <v>84.38</v>
      </c>
      <c r="F103" s="54">
        <v>44328.0</v>
      </c>
      <c r="G103" s="1">
        <v>0.0</v>
      </c>
      <c r="H103" s="1">
        <v>82.96</v>
      </c>
      <c r="I103" s="14">
        <v>44393.0</v>
      </c>
      <c r="J103" s="55" t="s">
        <v>2879</v>
      </c>
      <c r="K103" s="15" t="s">
        <v>2981</v>
      </c>
      <c r="L103" s="33" t="str">
        <f t="shared" si="1"/>
        <v>Not in buy Zone</v>
      </c>
      <c r="M103" s="33" t="str">
        <f t="shared" si="2"/>
        <v>Not in buy Zone</v>
      </c>
      <c r="N103" s="33" t="str">
        <f t="shared" si="3"/>
        <v>No</v>
      </c>
    </row>
    <row r="104" ht="11.25" customHeight="1">
      <c r="A104" s="1" t="s">
        <v>132</v>
      </c>
      <c r="B104" s="1">
        <v>0.0</v>
      </c>
      <c r="C104" s="1">
        <v>0.0</v>
      </c>
      <c r="D104" s="1">
        <v>0.0</v>
      </c>
      <c r="E104" s="1">
        <v>193.95</v>
      </c>
      <c r="F104" s="54">
        <v>44363.0</v>
      </c>
      <c r="G104" s="1">
        <v>0.0</v>
      </c>
      <c r="H104" s="1">
        <v>203.11</v>
      </c>
      <c r="I104" s="14">
        <v>44393.0</v>
      </c>
      <c r="J104" s="55" t="s">
        <v>2879</v>
      </c>
      <c r="K104" s="15" t="s">
        <v>2982</v>
      </c>
      <c r="L104" s="33" t="str">
        <f t="shared" si="1"/>
        <v>Not in buy Zone</v>
      </c>
      <c r="M104" s="33" t="str">
        <f t="shared" si="2"/>
        <v>Not in buy Zone</v>
      </c>
      <c r="N104" s="33" t="str">
        <f t="shared" si="3"/>
        <v>No</v>
      </c>
    </row>
    <row r="105" ht="11.25" customHeight="1">
      <c r="A105" s="1" t="s">
        <v>133</v>
      </c>
      <c r="B105" s="1">
        <v>0.0</v>
      </c>
      <c r="C105" s="1">
        <v>0.0</v>
      </c>
      <c r="D105" s="1">
        <v>0.0</v>
      </c>
      <c r="E105" s="1">
        <v>29.93</v>
      </c>
      <c r="F105" s="54">
        <v>44358.0</v>
      </c>
      <c r="G105" s="1">
        <v>0.0</v>
      </c>
      <c r="H105" s="1">
        <v>20.92</v>
      </c>
      <c r="I105" s="14">
        <v>44393.0</v>
      </c>
      <c r="J105" s="55" t="s">
        <v>2879</v>
      </c>
      <c r="K105" s="15" t="s">
        <v>2983</v>
      </c>
      <c r="L105" s="33" t="str">
        <f t="shared" si="1"/>
        <v>Not in buy Zone</v>
      </c>
      <c r="M105" s="33" t="str">
        <f t="shared" si="2"/>
        <v>Not in buy Zone</v>
      </c>
      <c r="N105" s="33" t="str">
        <f t="shared" si="3"/>
        <v>No</v>
      </c>
    </row>
    <row r="106" ht="11.25" customHeight="1">
      <c r="A106" s="1" t="s">
        <v>134</v>
      </c>
      <c r="B106" s="1">
        <v>0.0</v>
      </c>
      <c r="C106" s="1">
        <v>0.0</v>
      </c>
      <c r="D106" s="1">
        <v>0.0</v>
      </c>
      <c r="E106" s="1">
        <v>124.53</v>
      </c>
      <c r="F106" s="54">
        <v>44349.0</v>
      </c>
      <c r="G106" s="1">
        <v>0.0</v>
      </c>
      <c r="H106" s="1">
        <v>137.67</v>
      </c>
      <c r="I106" s="14">
        <v>44393.0</v>
      </c>
      <c r="J106" s="55" t="s">
        <v>2879</v>
      </c>
      <c r="K106" s="15" t="s">
        <v>2984</v>
      </c>
      <c r="L106" s="33" t="str">
        <f t="shared" si="1"/>
        <v>Not in buy Zone</v>
      </c>
      <c r="M106" s="33" t="str">
        <f t="shared" si="2"/>
        <v>Not in buy Zone</v>
      </c>
      <c r="N106" s="33" t="str">
        <f t="shared" si="3"/>
        <v>No</v>
      </c>
    </row>
    <row r="107" ht="11.25" customHeight="1">
      <c r="A107" s="1" t="s">
        <v>135</v>
      </c>
      <c r="B107" s="1">
        <v>0.0</v>
      </c>
      <c r="C107" s="1">
        <v>0.0</v>
      </c>
      <c r="D107" s="1">
        <v>0.0</v>
      </c>
      <c r="E107" s="1">
        <v>165.78</v>
      </c>
      <c r="F107" s="54">
        <v>44365.0</v>
      </c>
      <c r="G107" s="1">
        <v>0.0</v>
      </c>
      <c r="H107" s="1">
        <v>174.44</v>
      </c>
      <c r="I107" s="14">
        <v>44393.0</v>
      </c>
      <c r="J107" s="55" t="s">
        <v>2879</v>
      </c>
      <c r="K107" s="15" t="s">
        <v>2985</v>
      </c>
      <c r="L107" s="33" t="str">
        <f t="shared" si="1"/>
        <v>Not in buy Zone</v>
      </c>
      <c r="M107" s="33" t="str">
        <f t="shared" si="2"/>
        <v>Not in buy Zone</v>
      </c>
      <c r="N107" s="33" t="str">
        <f t="shared" si="3"/>
        <v>No</v>
      </c>
    </row>
    <row r="108" ht="11.25" customHeight="1">
      <c r="A108" s="1" t="s">
        <v>136</v>
      </c>
      <c r="B108" s="1">
        <v>0.0</v>
      </c>
      <c r="C108" s="1">
        <v>0.0</v>
      </c>
      <c r="D108" s="1">
        <v>0.0</v>
      </c>
      <c r="E108" s="1">
        <v>149.73</v>
      </c>
      <c r="F108" s="54">
        <v>44385.0</v>
      </c>
      <c r="G108" s="1">
        <v>0.0</v>
      </c>
      <c r="H108" s="1">
        <v>152.35</v>
      </c>
      <c r="I108" s="14">
        <v>44393.0</v>
      </c>
      <c r="J108" s="55" t="s">
        <v>2879</v>
      </c>
      <c r="K108" s="15" t="s">
        <v>2986</v>
      </c>
      <c r="L108" s="33" t="str">
        <f t="shared" si="1"/>
        <v>Not in buy Zone</v>
      </c>
      <c r="M108" s="33" t="str">
        <f t="shared" si="2"/>
        <v>Not in buy Zone</v>
      </c>
      <c r="N108" s="33" t="str">
        <f t="shared" si="3"/>
        <v>No</v>
      </c>
    </row>
    <row r="109" ht="11.25" customHeight="1">
      <c r="A109" s="1" t="s">
        <v>137</v>
      </c>
      <c r="B109" s="1">
        <v>0.0</v>
      </c>
      <c r="C109" s="1">
        <v>77.46</v>
      </c>
      <c r="D109" s="1">
        <v>0.0</v>
      </c>
      <c r="E109" s="1">
        <v>0.0</v>
      </c>
      <c r="F109" s="54">
        <v>44393.0</v>
      </c>
      <c r="G109" s="1">
        <v>-1.0</v>
      </c>
      <c r="H109" s="1">
        <v>77.46</v>
      </c>
      <c r="I109" s="14">
        <v>44393.0</v>
      </c>
      <c r="J109" s="55" t="s">
        <v>2879</v>
      </c>
      <c r="K109" s="15" t="s">
        <v>2987</v>
      </c>
      <c r="L109" s="33" t="str">
        <f t="shared" si="1"/>
        <v>Not in buy Zone</v>
      </c>
      <c r="M109" s="33" t="str">
        <f t="shared" si="2"/>
        <v>Not in buy Zone</v>
      </c>
      <c r="N109" s="33" t="str">
        <f t="shared" si="3"/>
        <v>No</v>
      </c>
    </row>
    <row r="110" ht="11.25" customHeight="1">
      <c r="A110" s="1" t="s">
        <v>138</v>
      </c>
      <c r="B110" s="1">
        <v>0.0</v>
      </c>
      <c r="C110" s="1">
        <v>0.0</v>
      </c>
      <c r="D110" s="1">
        <v>51.45</v>
      </c>
      <c r="E110" s="1">
        <v>0.0</v>
      </c>
      <c r="F110" s="54">
        <v>44377.0</v>
      </c>
      <c r="G110" s="1">
        <v>0.0</v>
      </c>
      <c r="H110" s="1">
        <v>47.16</v>
      </c>
      <c r="I110" s="14">
        <v>44393.0</v>
      </c>
      <c r="J110" s="55" t="s">
        <v>2879</v>
      </c>
      <c r="K110" s="15" t="s">
        <v>2988</v>
      </c>
      <c r="L110" s="33" t="str">
        <f t="shared" si="1"/>
        <v>Not in buy Zone</v>
      </c>
      <c r="M110" s="33" t="str">
        <f t="shared" si="2"/>
        <v>Not in buy Zone</v>
      </c>
      <c r="N110" s="33" t="str">
        <f t="shared" si="3"/>
        <v>No</v>
      </c>
    </row>
    <row r="111" ht="11.25" customHeight="1">
      <c r="A111" s="1" t="s">
        <v>139</v>
      </c>
      <c r="B111" s="1">
        <v>0.0</v>
      </c>
      <c r="C111" s="1">
        <v>0.0</v>
      </c>
      <c r="D111" s="1">
        <v>47.33</v>
      </c>
      <c r="E111" s="1">
        <v>0.0</v>
      </c>
      <c r="F111" s="54">
        <v>44372.0</v>
      </c>
      <c r="G111" s="1">
        <v>0.0</v>
      </c>
      <c r="H111" s="1">
        <v>43.0</v>
      </c>
      <c r="I111" s="14">
        <v>44393.0</v>
      </c>
      <c r="J111" s="55" t="s">
        <v>2879</v>
      </c>
      <c r="K111" s="15" t="s">
        <v>2989</v>
      </c>
      <c r="L111" s="33" t="str">
        <f t="shared" si="1"/>
        <v>Not in buy Zone</v>
      </c>
      <c r="M111" s="33" t="str">
        <f t="shared" si="2"/>
        <v>Not in buy Zone</v>
      </c>
      <c r="N111" s="33" t="str">
        <f t="shared" si="3"/>
        <v>No</v>
      </c>
    </row>
    <row r="112" ht="11.25" customHeight="1">
      <c r="A112" s="1" t="s">
        <v>140</v>
      </c>
      <c r="B112" s="1">
        <v>0.0</v>
      </c>
      <c r="C112" s="1">
        <v>0.0</v>
      </c>
      <c r="D112" s="1">
        <v>85.46</v>
      </c>
      <c r="E112" s="1">
        <v>0.0</v>
      </c>
      <c r="F112" s="54">
        <v>44364.0</v>
      </c>
      <c r="G112" s="1">
        <v>0.0</v>
      </c>
      <c r="H112" s="1">
        <v>87.33</v>
      </c>
      <c r="I112" s="14">
        <v>44393.0</v>
      </c>
      <c r="J112" s="55" t="s">
        <v>2879</v>
      </c>
      <c r="K112" s="15" t="s">
        <v>2990</v>
      </c>
      <c r="L112" s="33" t="str">
        <f t="shared" si="1"/>
        <v>Not in buy Zone</v>
      </c>
      <c r="M112" s="33" t="str">
        <f t="shared" si="2"/>
        <v>Not in buy Zone</v>
      </c>
      <c r="N112" s="33" t="str">
        <f t="shared" si="3"/>
        <v>No</v>
      </c>
    </row>
    <row r="113" ht="11.25" customHeight="1">
      <c r="A113" s="1" t="s">
        <v>141</v>
      </c>
      <c r="B113" s="1">
        <v>0.0</v>
      </c>
      <c r="C113" s="1">
        <v>0.0</v>
      </c>
      <c r="D113" s="1">
        <v>118.3</v>
      </c>
      <c r="E113" s="1">
        <v>0.0</v>
      </c>
      <c r="F113" s="54">
        <v>44385.0</v>
      </c>
      <c r="G113" s="1">
        <v>0.0</v>
      </c>
      <c r="H113" s="1">
        <v>122.19</v>
      </c>
      <c r="I113" s="14">
        <v>44393.0</v>
      </c>
      <c r="J113" s="55" t="s">
        <v>2879</v>
      </c>
      <c r="K113" s="15" t="s">
        <v>2991</v>
      </c>
      <c r="L113" s="33" t="str">
        <f t="shared" si="1"/>
        <v>Not in buy Zone</v>
      </c>
      <c r="M113" s="33" t="str">
        <f t="shared" si="2"/>
        <v>Not in buy Zone</v>
      </c>
      <c r="N113" s="33" t="str">
        <f t="shared" si="3"/>
        <v>No</v>
      </c>
    </row>
    <row r="114" ht="11.25" customHeight="1">
      <c r="A114" s="1" t="s">
        <v>142</v>
      </c>
      <c r="B114" s="1">
        <v>0.0</v>
      </c>
      <c r="C114" s="1">
        <v>0.0</v>
      </c>
      <c r="D114" s="1">
        <v>94.65</v>
      </c>
      <c r="E114" s="1">
        <v>0.0</v>
      </c>
      <c r="F114" s="54">
        <v>44391.0</v>
      </c>
      <c r="G114" s="1">
        <v>0.0</v>
      </c>
      <c r="H114" s="1">
        <v>93.3</v>
      </c>
      <c r="I114" s="14">
        <v>44393.0</v>
      </c>
      <c r="J114" s="55" t="s">
        <v>2879</v>
      </c>
      <c r="K114" s="15" t="s">
        <v>2992</v>
      </c>
      <c r="L114" s="33" t="str">
        <f t="shared" si="1"/>
        <v>Not in buy Zone</v>
      </c>
      <c r="M114" s="33" t="str">
        <f t="shared" si="2"/>
        <v>Not in buy Zone</v>
      </c>
      <c r="N114" s="33" t="str">
        <f t="shared" si="3"/>
        <v>No</v>
      </c>
    </row>
    <row r="115" ht="11.25" customHeight="1">
      <c r="A115" s="1" t="s">
        <v>143</v>
      </c>
      <c r="B115" s="1">
        <v>0.0</v>
      </c>
      <c r="C115" s="1">
        <v>0.0</v>
      </c>
      <c r="D115" s="1">
        <v>0.0</v>
      </c>
      <c r="E115" s="1">
        <v>719.8</v>
      </c>
      <c r="F115" s="54">
        <v>44389.0</v>
      </c>
      <c r="G115" s="1">
        <v>0.0</v>
      </c>
      <c r="H115" s="1">
        <v>709.99</v>
      </c>
      <c r="I115" s="14">
        <v>44393.0</v>
      </c>
      <c r="J115" s="55" t="s">
        <v>2879</v>
      </c>
      <c r="K115" s="15" t="s">
        <v>2993</v>
      </c>
      <c r="L115" s="33" t="str">
        <f t="shared" si="1"/>
        <v>Not in buy Zone</v>
      </c>
      <c r="M115" s="33" t="str">
        <f t="shared" si="2"/>
        <v>Not in buy Zone</v>
      </c>
      <c r="N115" s="33" t="str">
        <f t="shared" si="3"/>
        <v>No</v>
      </c>
    </row>
    <row r="116" ht="11.25" customHeight="1">
      <c r="A116" s="1" t="s">
        <v>144</v>
      </c>
      <c r="B116" s="1">
        <v>0.0</v>
      </c>
      <c r="C116" s="1">
        <v>0.0</v>
      </c>
      <c r="D116" s="1">
        <v>0.0</v>
      </c>
      <c r="E116" s="1">
        <v>74.74</v>
      </c>
      <c r="F116" s="54">
        <v>44358.0</v>
      </c>
      <c r="G116" s="1">
        <v>0.0</v>
      </c>
      <c r="H116" s="1">
        <v>76.98</v>
      </c>
      <c r="I116" s="14">
        <v>44393.0</v>
      </c>
      <c r="J116" s="55" t="s">
        <v>2879</v>
      </c>
      <c r="K116" s="15" t="s">
        <v>2994</v>
      </c>
      <c r="L116" s="33" t="str">
        <f t="shared" si="1"/>
        <v>Not in buy Zone</v>
      </c>
      <c r="M116" s="33" t="str">
        <f t="shared" si="2"/>
        <v>Not in buy Zone</v>
      </c>
      <c r="N116" s="33" t="str">
        <f t="shared" si="3"/>
        <v>No</v>
      </c>
    </row>
    <row r="117" ht="11.25" customHeight="1">
      <c r="A117" s="1" t="s">
        <v>145</v>
      </c>
      <c r="B117" s="1">
        <v>0.0</v>
      </c>
      <c r="C117" s="1">
        <v>0.0</v>
      </c>
      <c r="D117" s="1">
        <v>240.04</v>
      </c>
      <c r="E117" s="1">
        <v>0.0</v>
      </c>
      <c r="F117" s="54">
        <v>44375.0</v>
      </c>
      <c r="G117" s="1">
        <v>0.0</v>
      </c>
      <c r="H117" s="1">
        <v>233.83</v>
      </c>
      <c r="I117" s="14">
        <v>44393.0</v>
      </c>
      <c r="J117" s="55" t="s">
        <v>2879</v>
      </c>
      <c r="K117" s="15" t="s">
        <v>2995</v>
      </c>
      <c r="L117" s="33" t="str">
        <f t="shared" si="1"/>
        <v>Not in buy Zone</v>
      </c>
      <c r="M117" s="33" t="str">
        <f t="shared" si="2"/>
        <v>Not in buy Zone</v>
      </c>
      <c r="N117" s="33" t="str">
        <f t="shared" si="3"/>
        <v>No</v>
      </c>
    </row>
    <row r="118" ht="11.25" customHeight="1">
      <c r="A118" s="1" t="s">
        <v>146</v>
      </c>
      <c r="B118" s="1">
        <v>0.0</v>
      </c>
      <c r="C118" s="1">
        <v>0.0</v>
      </c>
      <c r="D118" s="1">
        <v>117.92</v>
      </c>
      <c r="E118" s="1">
        <v>0.0</v>
      </c>
      <c r="F118" s="54">
        <v>44378.0</v>
      </c>
      <c r="G118" s="1">
        <v>0.0</v>
      </c>
      <c r="H118" s="1">
        <v>118.53</v>
      </c>
      <c r="I118" s="14">
        <v>44393.0</v>
      </c>
      <c r="J118" s="55" t="s">
        <v>2879</v>
      </c>
      <c r="K118" s="15" t="s">
        <v>2996</v>
      </c>
      <c r="L118" s="33" t="str">
        <f t="shared" si="1"/>
        <v>Not in buy Zone</v>
      </c>
      <c r="M118" s="33" t="str">
        <f t="shared" si="2"/>
        <v>Not in buy Zone</v>
      </c>
      <c r="N118" s="33" t="str">
        <f t="shared" si="3"/>
        <v>No</v>
      </c>
    </row>
    <row r="119" ht="11.25" customHeight="1">
      <c r="A119" s="1" t="s">
        <v>147</v>
      </c>
      <c r="B119" s="1">
        <v>0.0</v>
      </c>
      <c r="C119" s="1">
        <v>0.0</v>
      </c>
      <c r="D119" s="1">
        <v>81.74</v>
      </c>
      <c r="E119" s="1">
        <v>0.0</v>
      </c>
      <c r="F119" s="54">
        <v>44378.0</v>
      </c>
      <c r="G119" s="1">
        <v>0.0</v>
      </c>
      <c r="H119" s="1">
        <v>84.39</v>
      </c>
      <c r="I119" s="14">
        <v>44393.0</v>
      </c>
      <c r="J119" s="55" t="s">
        <v>2879</v>
      </c>
      <c r="K119" s="15" t="s">
        <v>2997</v>
      </c>
      <c r="L119" s="33" t="str">
        <f t="shared" si="1"/>
        <v>Not in buy Zone</v>
      </c>
      <c r="M119" s="33" t="str">
        <f t="shared" si="2"/>
        <v>Not in buy Zone</v>
      </c>
      <c r="N119" s="33" t="str">
        <f t="shared" si="3"/>
        <v>No</v>
      </c>
    </row>
    <row r="120" ht="11.25" customHeight="1">
      <c r="A120" s="1" t="s">
        <v>148</v>
      </c>
      <c r="B120" s="1">
        <v>0.0</v>
      </c>
      <c r="C120" s="1">
        <v>0.0</v>
      </c>
      <c r="D120" s="1">
        <v>0.0</v>
      </c>
      <c r="E120" s="1">
        <v>178.95</v>
      </c>
      <c r="F120" s="54">
        <v>44390.0</v>
      </c>
      <c r="G120" s="1">
        <v>0.0</v>
      </c>
      <c r="H120" s="1">
        <v>186.32</v>
      </c>
      <c r="I120" s="14">
        <v>44393.0</v>
      </c>
      <c r="J120" s="55" t="s">
        <v>2879</v>
      </c>
      <c r="K120" s="15" t="s">
        <v>2998</v>
      </c>
      <c r="L120" s="33" t="str">
        <f t="shared" si="1"/>
        <v>Not in buy Zone</v>
      </c>
      <c r="M120" s="33" t="str">
        <f t="shared" si="2"/>
        <v>Not in buy Zone</v>
      </c>
      <c r="N120" s="33" t="str">
        <f t="shared" si="3"/>
        <v>No</v>
      </c>
    </row>
    <row r="121" ht="11.25" customHeight="1">
      <c r="A121" s="1" t="s">
        <v>149</v>
      </c>
      <c r="B121" s="1">
        <v>0.0</v>
      </c>
      <c r="C121" s="1">
        <v>0.0</v>
      </c>
      <c r="D121" s="1">
        <v>73.68</v>
      </c>
      <c r="E121" s="1">
        <v>0.0</v>
      </c>
      <c r="F121" s="54">
        <v>44372.0</v>
      </c>
      <c r="G121" s="1">
        <v>0.0</v>
      </c>
      <c r="H121" s="1">
        <v>66.66</v>
      </c>
      <c r="I121" s="14">
        <v>44393.0</v>
      </c>
      <c r="J121" s="55" t="s">
        <v>2879</v>
      </c>
      <c r="K121" s="15" t="s">
        <v>2999</v>
      </c>
      <c r="L121" s="33" t="str">
        <f t="shared" si="1"/>
        <v>Not in buy Zone</v>
      </c>
      <c r="M121" s="33" t="str">
        <f t="shared" si="2"/>
        <v>Not in buy Zone</v>
      </c>
      <c r="N121" s="33" t="str">
        <f t="shared" si="3"/>
        <v>No</v>
      </c>
    </row>
    <row r="122" ht="11.25" customHeight="1">
      <c r="A122" s="1" t="s">
        <v>150</v>
      </c>
      <c r="B122" s="1">
        <v>0.0</v>
      </c>
      <c r="C122" s="1">
        <v>57.55</v>
      </c>
      <c r="D122" s="1">
        <v>0.0</v>
      </c>
      <c r="E122" s="1">
        <v>0.0</v>
      </c>
      <c r="F122" s="54">
        <v>44393.0</v>
      </c>
      <c r="G122" s="1">
        <v>-1.0</v>
      </c>
      <c r="H122" s="1">
        <v>57.55</v>
      </c>
      <c r="I122" s="14">
        <v>44393.0</v>
      </c>
      <c r="J122" s="55" t="s">
        <v>2879</v>
      </c>
      <c r="K122" s="15" t="s">
        <v>3000</v>
      </c>
      <c r="L122" s="33" t="str">
        <f t="shared" si="1"/>
        <v>Not in buy Zone</v>
      </c>
      <c r="M122" s="33" t="str">
        <f t="shared" si="2"/>
        <v>Not in buy Zone</v>
      </c>
      <c r="N122" s="33" t="str">
        <f t="shared" si="3"/>
        <v>No</v>
      </c>
    </row>
    <row r="123" ht="11.25" customHeight="1">
      <c r="A123" s="1" t="s">
        <v>151</v>
      </c>
      <c r="B123" s="1">
        <v>0.0</v>
      </c>
      <c r="C123" s="1">
        <v>0.0</v>
      </c>
      <c r="D123" s="1">
        <v>216.98</v>
      </c>
      <c r="E123" s="1">
        <v>0.0</v>
      </c>
      <c r="F123" s="54">
        <v>44371.0</v>
      </c>
      <c r="G123" s="1">
        <v>0.0</v>
      </c>
      <c r="H123" s="1">
        <v>209.33</v>
      </c>
      <c r="I123" s="14">
        <v>44393.0</v>
      </c>
      <c r="J123" s="55" t="s">
        <v>2879</v>
      </c>
      <c r="K123" s="15" t="s">
        <v>3001</v>
      </c>
      <c r="L123" s="33" t="str">
        <f t="shared" si="1"/>
        <v>Not in buy Zone</v>
      </c>
      <c r="M123" s="33" t="str">
        <f t="shared" si="2"/>
        <v>Not in buy Zone</v>
      </c>
      <c r="N123" s="33" t="str">
        <f t="shared" si="3"/>
        <v>No</v>
      </c>
    </row>
    <row r="124" ht="11.25" customHeight="1">
      <c r="A124" s="1" t="s">
        <v>152</v>
      </c>
      <c r="B124" s="1">
        <v>0.0</v>
      </c>
      <c r="C124" s="1">
        <v>1560.49</v>
      </c>
      <c r="D124" s="1">
        <v>0.0</v>
      </c>
      <c r="E124" s="1">
        <v>0.0</v>
      </c>
      <c r="F124" s="54">
        <v>44393.0</v>
      </c>
      <c r="G124" s="1">
        <v>-1.0</v>
      </c>
      <c r="H124" s="1">
        <v>1560.49</v>
      </c>
      <c r="I124" s="14">
        <v>44393.0</v>
      </c>
      <c r="J124" s="55" t="s">
        <v>2879</v>
      </c>
      <c r="K124" s="15" t="s">
        <v>3002</v>
      </c>
      <c r="L124" s="33" t="str">
        <f t="shared" si="1"/>
        <v>Not in buy Zone</v>
      </c>
      <c r="M124" s="33" t="str">
        <f t="shared" si="2"/>
        <v>Not in buy Zone</v>
      </c>
      <c r="N124" s="33" t="str">
        <f t="shared" si="3"/>
        <v>No</v>
      </c>
    </row>
    <row r="125" ht="11.25" customHeight="1">
      <c r="A125" s="1" t="s">
        <v>153</v>
      </c>
      <c r="B125" s="1">
        <v>0.0</v>
      </c>
      <c r="C125" s="1">
        <v>0.0</v>
      </c>
      <c r="D125" s="1">
        <v>243.81</v>
      </c>
      <c r="E125" s="1">
        <v>0.0</v>
      </c>
      <c r="F125" s="54">
        <v>44377.0</v>
      </c>
      <c r="G125" s="1">
        <v>0.0</v>
      </c>
      <c r="H125" s="1">
        <v>238.62</v>
      </c>
      <c r="I125" s="14">
        <v>44393.0</v>
      </c>
      <c r="J125" s="55" t="s">
        <v>2879</v>
      </c>
      <c r="K125" s="15" t="s">
        <v>3003</v>
      </c>
      <c r="L125" s="33" t="str">
        <f t="shared" si="1"/>
        <v>Not in buy Zone</v>
      </c>
      <c r="M125" s="33" t="str">
        <f t="shared" si="2"/>
        <v>Not in buy Zone</v>
      </c>
      <c r="N125" s="33" t="str">
        <f t="shared" si="3"/>
        <v>No</v>
      </c>
    </row>
    <row r="126" ht="11.25" customHeight="1">
      <c r="A126" s="1" t="s">
        <v>154</v>
      </c>
      <c r="B126" s="1">
        <v>0.0</v>
      </c>
      <c r="C126" s="1">
        <v>0.0</v>
      </c>
      <c r="D126" s="1">
        <v>64.15</v>
      </c>
      <c r="E126" s="1">
        <v>0.0</v>
      </c>
      <c r="F126" s="54">
        <v>44337.0</v>
      </c>
      <c r="G126" s="1">
        <v>0.0</v>
      </c>
      <c r="H126" s="1">
        <v>62.01</v>
      </c>
      <c r="I126" s="14">
        <v>44393.0</v>
      </c>
      <c r="J126" s="55" t="s">
        <v>2879</v>
      </c>
      <c r="K126" s="15" t="s">
        <v>3004</v>
      </c>
      <c r="L126" s="33" t="str">
        <f t="shared" si="1"/>
        <v>Not in buy Zone</v>
      </c>
      <c r="M126" s="33" t="str">
        <f t="shared" si="2"/>
        <v>Not in buy Zone</v>
      </c>
      <c r="N126" s="33" t="str">
        <f t="shared" si="3"/>
        <v>No</v>
      </c>
    </row>
    <row r="127" ht="11.25" customHeight="1">
      <c r="A127" s="1" t="s">
        <v>155</v>
      </c>
      <c r="B127" s="1">
        <v>0.0</v>
      </c>
      <c r="C127" s="1">
        <v>0.0</v>
      </c>
      <c r="D127" s="1">
        <v>0.0</v>
      </c>
      <c r="E127" s="1">
        <v>72.66</v>
      </c>
      <c r="F127" s="54">
        <v>44385.0</v>
      </c>
      <c r="G127" s="1">
        <v>0.0</v>
      </c>
      <c r="H127" s="1">
        <v>72.66</v>
      </c>
      <c r="I127" s="14">
        <v>44393.0</v>
      </c>
      <c r="J127" s="55" t="s">
        <v>2879</v>
      </c>
      <c r="K127" s="15" t="s">
        <v>3005</v>
      </c>
      <c r="L127" s="33" t="str">
        <f t="shared" si="1"/>
        <v>Not in buy Zone</v>
      </c>
      <c r="M127" s="33" t="str">
        <f t="shared" si="2"/>
        <v>Not in buy Zone</v>
      </c>
      <c r="N127" s="33" t="str">
        <f t="shared" si="3"/>
        <v>No</v>
      </c>
    </row>
    <row r="128" ht="11.25" customHeight="1">
      <c r="A128" s="1" t="s">
        <v>156</v>
      </c>
      <c r="B128" s="1">
        <v>0.0</v>
      </c>
      <c r="C128" s="1">
        <v>0.0</v>
      </c>
      <c r="D128" s="1">
        <v>0.0</v>
      </c>
      <c r="E128" s="1">
        <v>24.68</v>
      </c>
      <c r="F128" s="54">
        <v>44390.0</v>
      </c>
      <c r="G128" s="1">
        <v>0.0</v>
      </c>
      <c r="H128" s="1">
        <v>25.59</v>
      </c>
      <c r="I128" s="14">
        <v>44393.0</v>
      </c>
      <c r="J128" s="55" t="s">
        <v>2879</v>
      </c>
      <c r="K128" s="15" t="s">
        <v>3006</v>
      </c>
      <c r="L128" s="33" t="str">
        <f t="shared" si="1"/>
        <v>Not in buy Zone</v>
      </c>
      <c r="M128" s="33" t="str">
        <f t="shared" si="2"/>
        <v>Not in buy Zone</v>
      </c>
      <c r="N128" s="33" t="str">
        <f t="shared" si="3"/>
        <v>No</v>
      </c>
    </row>
    <row r="129" ht="11.25" customHeight="1">
      <c r="A129" s="1" t="s">
        <v>157</v>
      </c>
      <c r="B129" s="1">
        <v>0.0</v>
      </c>
      <c r="C129" s="1">
        <v>157.52</v>
      </c>
      <c r="D129" s="1">
        <v>0.0</v>
      </c>
      <c r="E129" s="1">
        <v>0.0</v>
      </c>
      <c r="F129" s="54">
        <v>44393.0</v>
      </c>
      <c r="G129" s="1">
        <v>-1.0</v>
      </c>
      <c r="H129" s="1">
        <v>157.52</v>
      </c>
      <c r="I129" s="14">
        <v>44393.0</v>
      </c>
      <c r="J129" s="55" t="s">
        <v>2879</v>
      </c>
      <c r="K129" s="15" t="s">
        <v>3007</v>
      </c>
      <c r="L129" s="33" t="str">
        <f t="shared" si="1"/>
        <v>Not in buy Zone</v>
      </c>
      <c r="M129" s="33" t="str">
        <f t="shared" si="2"/>
        <v>Not in buy Zone</v>
      </c>
      <c r="N129" s="33" t="str">
        <f t="shared" si="3"/>
        <v>No</v>
      </c>
    </row>
    <row r="130" ht="11.25" customHeight="1">
      <c r="A130" s="1" t="s">
        <v>158</v>
      </c>
      <c r="B130" s="1">
        <v>0.0</v>
      </c>
      <c r="C130" s="1">
        <v>0.0</v>
      </c>
      <c r="D130" s="1">
        <v>0.0</v>
      </c>
      <c r="E130" s="1">
        <v>16.81</v>
      </c>
      <c r="F130" s="54">
        <v>44391.0</v>
      </c>
      <c r="G130" s="1">
        <v>0.0</v>
      </c>
      <c r="H130" s="1">
        <v>16.16</v>
      </c>
      <c r="I130" s="14">
        <v>44393.0</v>
      </c>
      <c r="J130" s="55" t="s">
        <v>2879</v>
      </c>
      <c r="K130" s="15" t="s">
        <v>3008</v>
      </c>
      <c r="L130" s="33" t="str">
        <f t="shared" si="1"/>
        <v>Not in buy Zone</v>
      </c>
      <c r="M130" s="33" t="str">
        <f t="shared" si="2"/>
        <v>Not in buy Zone</v>
      </c>
      <c r="N130" s="33" t="str">
        <f t="shared" si="3"/>
        <v>No</v>
      </c>
    </row>
    <row r="131" ht="11.25" customHeight="1">
      <c r="A131" s="1" t="s">
        <v>159</v>
      </c>
      <c r="B131" s="1">
        <v>0.0</v>
      </c>
      <c r="C131" s="1">
        <v>0.0</v>
      </c>
      <c r="D131" s="1">
        <v>0.0</v>
      </c>
      <c r="E131" s="1">
        <v>402.76</v>
      </c>
      <c r="F131" s="54">
        <v>44392.0</v>
      </c>
      <c r="G131" s="1">
        <v>0.0</v>
      </c>
      <c r="H131" s="1">
        <v>403.89</v>
      </c>
      <c r="I131" s="14">
        <v>44393.0</v>
      </c>
      <c r="J131" s="55" t="s">
        <v>2879</v>
      </c>
      <c r="K131" s="15" t="s">
        <v>3009</v>
      </c>
      <c r="L131" s="33" t="str">
        <f t="shared" si="1"/>
        <v>Not in buy Zone</v>
      </c>
      <c r="M131" s="33" t="str">
        <f t="shared" si="2"/>
        <v>Not in buy Zone</v>
      </c>
      <c r="N131" s="33" t="str">
        <f t="shared" si="3"/>
        <v>No</v>
      </c>
    </row>
    <row r="132" ht="11.25" customHeight="1">
      <c r="A132" s="1" t="s">
        <v>160</v>
      </c>
      <c r="B132" s="1">
        <v>0.0</v>
      </c>
      <c r="C132" s="1">
        <v>0.0</v>
      </c>
      <c r="D132" s="1">
        <v>0.0</v>
      </c>
      <c r="E132" s="1">
        <v>59.01</v>
      </c>
      <c r="F132" s="54">
        <v>44364.0</v>
      </c>
      <c r="G132" s="1">
        <v>0.0</v>
      </c>
      <c r="H132" s="1">
        <v>55.5</v>
      </c>
      <c r="I132" s="14">
        <v>44393.0</v>
      </c>
      <c r="J132" s="55" t="s">
        <v>2879</v>
      </c>
      <c r="K132" s="15" t="s">
        <v>3010</v>
      </c>
      <c r="L132" s="33" t="str">
        <f t="shared" si="1"/>
        <v>Not in buy Zone</v>
      </c>
      <c r="M132" s="33" t="str">
        <f t="shared" si="2"/>
        <v>Not in buy Zone</v>
      </c>
      <c r="N132" s="33" t="str">
        <f t="shared" si="3"/>
        <v>No</v>
      </c>
    </row>
    <row r="133" ht="11.25" customHeight="1">
      <c r="A133" s="1" t="s">
        <v>161</v>
      </c>
      <c r="B133" s="1">
        <v>0.0</v>
      </c>
      <c r="C133" s="1">
        <v>0.0</v>
      </c>
      <c r="D133" s="1">
        <v>0.0</v>
      </c>
      <c r="E133" s="1">
        <v>322.98</v>
      </c>
      <c r="F133" s="54">
        <v>44273.0</v>
      </c>
      <c r="G133" s="1">
        <v>0.0</v>
      </c>
      <c r="H133" s="1">
        <v>410.37</v>
      </c>
      <c r="I133" s="14">
        <v>44393.0</v>
      </c>
      <c r="J133" s="55" t="s">
        <v>2879</v>
      </c>
      <c r="K133" s="15" t="s">
        <v>3011</v>
      </c>
      <c r="L133" s="33" t="str">
        <f t="shared" si="1"/>
        <v>Not in buy Zone</v>
      </c>
      <c r="M133" s="33" t="str">
        <f t="shared" si="2"/>
        <v>Not in buy Zone</v>
      </c>
      <c r="N133" s="33" t="str">
        <f t="shared" si="3"/>
        <v>No</v>
      </c>
    </row>
    <row r="134" ht="11.25" customHeight="1">
      <c r="A134" s="1" t="s">
        <v>162</v>
      </c>
      <c r="B134" s="1">
        <v>45.53</v>
      </c>
      <c r="C134" s="1">
        <v>0.0</v>
      </c>
      <c r="D134" s="1">
        <v>0.0</v>
      </c>
      <c r="E134" s="1">
        <v>0.0</v>
      </c>
      <c r="F134" s="54">
        <v>44393.0</v>
      </c>
      <c r="G134" s="1">
        <v>1.0</v>
      </c>
      <c r="H134" s="1">
        <v>45.53</v>
      </c>
      <c r="I134" s="14">
        <v>44393.0</v>
      </c>
      <c r="J134" s="55" t="s">
        <v>2879</v>
      </c>
      <c r="K134" s="15" t="s">
        <v>3012</v>
      </c>
      <c r="L134" s="33">
        <f t="shared" si="1"/>
        <v>45.75765</v>
      </c>
      <c r="M134" s="33">
        <f t="shared" si="2"/>
        <v>45.30235</v>
      </c>
      <c r="N134" s="33" t="str">
        <f t="shared" si="3"/>
        <v>Yes</v>
      </c>
    </row>
    <row r="135" ht="11.25" customHeight="1">
      <c r="A135" s="1" t="s">
        <v>163</v>
      </c>
      <c r="B135" s="1">
        <v>0.0</v>
      </c>
      <c r="C135" s="1">
        <v>0.0</v>
      </c>
      <c r="D135" s="1">
        <v>125.68</v>
      </c>
      <c r="E135" s="1">
        <v>0.0</v>
      </c>
      <c r="F135" s="54">
        <v>44361.0</v>
      </c>
      <c r="G135" s="1">
        <v>0.0</v>
      </c>
      <c r="H135" s="1">
        <v>140.14</v>
      </c>
      <c r="I135" s="14">
        <v>44393.0</v>
      </c>
      <c r="J135" s="55" t="s">
        <v>2879</v>
      </c>
      <c r="K135" s="15" t="s">
        <v>3013</v>
      </c>
      <c r="L135" s="33" t="str">
        <f t="shared" si="1"/>
        <v>Not in buy Zone</v>
      </c>
      <c r="M135" s="33" t="str">
        <f t="shared" si="2"/>
        <v>Not in buy Zone</v>
      </c>
      <c r="N135" s="33" t="str">
        <f t="shared" si="3"/>
        <v>No</v>
      </c>
    </row>
    <row r="136" ht="11.25" customHeight="1">
      <c r="A136" s="1" t="s">
        <v>164</v>
      </c>
      <c r="B136" s="1">
        <v>0.0</v>
      </c>
      <c r="C136" s="1">
        <v>0.0</v>
      </c>
      <c r="D136" s="1">
        <v>331.17</v>
      </c>
      <c r="E136" s="1">
        <v>0.0</v>
      </c>
      <c r="F136" s="54">
        <v>44340.0</v>
      </c>
      <c r="G136" s="1">
        <v>0.0</v>
      </c>
      <c r="H136" s="1">
        <v>384.49</v>
      </c>
      <c r="I136" s="14">
        <v>44393.0</v>
      </c>
      <c r="J136" s="55" t="s">
        <v>2879</v>
      </c>
      <c r="K136" s="15" t="s">
        <v>3014</v>
      </c>
      <c r="L136" s="33" t="str">
        <f t="shared" si="1"/>
        <v>Not in buy Zone</v>
      </c>
      <c r="M136" s="33" t="str">
        <f t="shared" si="2"/>
        <v>Not in buy Zone</v>
      </c>
      <c r="N136" s="33" t="str">
        <f t="shared" si="3"/>
        <v>No</v>
      </c>
    </row>
    <row r="137" ht="11.25" customHeight="1">
      <c r="A137" s="1" t="s">
        <v>165</v>
      </c>
      <c r="B137" s="1">
        <v>0.0</v>
      </c>
      <c r="C137" s="1">
        <v>0.0</v>
      </c>
      <c r="D137" s="1">
        <v>0.0</v>
      </c>
      <c r="E137" s="1">
        <v>241.87</v>
      </c>
      <c r="F137" s="54">
        <v>44372.0</v>
      </c>
      <c r="G137" s="1">
        <v>0.0</v>
      </c>
      <c r="H137" s="1">
        <v>238.43</v>
      </c>
      <c r="I137" s="14">
        <v>44393.0</v>
      </c>
      <c r="J137" s="55" t="s">
        <v>2879</v>
      </c>
      <c r="K137" s="15" t="s">
        <v>3015</v>
      </c>
      <c r="L137" s="33" t="str">
        <f t="shared" si="1"/>
        <v>Not in buy Zone</v>
      </c>
      <c r="M137" s="33" t="str">
        <f t="shared" si="2"/>
        <v>Not in buy Zone</v>
      </c>
      <c r="N137" s="33" t="str">
        <f t="shared" si="3"/>
        <v>No</v>
      </c>
    </row>
    <row r="138" ht="11.25" customHeight="1">
      <c r="A138" s="1" t="s">
        <v>166</v>
      </c>
      <c r="B138" s="1">
        <v>0.0</v>
      </c>
      <c r="C138" s="1">
        <v>0.0</v>
      </c>
      <c r="D138" s="1">
        <v>0.0</v>
      </c>
      <c r="E138" s="1">
        <v>32.81</v>
      </c>
      <c r="F138" s="54">
        <v>44378.0</v>
      </c>
      <c r="G138" s="1">
        <v>0.0</v>
      </c>
      <c r="H138" s="1">
        <v>29.33</v>
      </c>
      <c r="I138" s="14">
        <v>44393.0</v>
      </c>
      <c r="J138" s="55" t="s">
        <v>2879</v>
      </c>
      <c r="K138" s="15" t="s">
        <v>3016</v>
      </c>
      <c r="L138" s="33" t="str">
        <f t="shared" si="1"/>
        <v>Not in buy Zone</v>
      </c>
      <c r="M138" s="33" t="str">
        <f t="shared" si="2"/>
        <v>Not in buy Zone</v>
      </c>
      <c r="N138" s="33" t="str">
        <f t="shared" si="3"/>
        <v>No</v>
      </c>
    </row>
    <row r="139" ht="11.25" customHeight="1">
      <c r="A139" s="1" t="s">
        <v>167</v>
      </c>
      <c r="B139" s="1">
        <v>0.0</v>
      </c>
      <c r="C139" s="1">
        <v>0.0</v>
      </c>
      <c r="D139" s="1">
        <v>0.0</v>
      </c>
      <c r="E139" s="1">
        <v>206.94</v>
      </c>
      <c r="F139" s="54">
        <v>44351.0</v>
      </c>
      <c r="G139" s="1">
        <v>0.0</v>
      </c>
      <c r="H139" s="1">
        <v>249.96</v>
      </c>
      <c r="I139" s="14">
        <v>44393.0</v>
      </c>
      <c r="J139" s="55" t="s">
        <v>2879</v>
      </c>
      <c r="K139" s="15" t="s">
        <v>3017</v>
      </c>
      <c r="L139" s="33" t="str">
        <f t="shared" si="1"/>
        <v>Not in buy Zone</v>
      </c>
      <c r="M139" s="33" t="str">
        <f t="shared" si="2"/>
        <v>Not in buy Zone</v>
      </c>
      <c r="N139" s="33" t="str">
        <f t="shared" si="3"/>
        <v>No</v>
      </c>
    </row>
    <row r="140" ht="11.25" customHeight="1">
      <c r="A140" s="1" t="s">
        <v>168</v>
      </c>
      <c r="B140" s="1">
        <v>0.0</v>
      </c>
      <c r="C140" s="1">
        <v>0.0</v>
      </c>
      <c r="D140" s="1">
        <v>53.44</v>
      </c>
      <c r="E140" s="1">
        <v>0.0</v>
      </c>
      <c r="F140" s="54">
        <v>44378.0</v>
      </c>
      <c r="G140" s="1">
        <v>0.0</v>
      </c>
      <c r="H140" s="1">
        <v>53.7</v>
      </c>
      <c r="I140" s="14">
        <v>44393.0</v>
      </c>
      <c r="J140" s="55" t="s">
        <v>2879</v>
      </c>
      <c r="K140" s="15" t="s">
        <v>3018</v>
      </c>
      <c r="L140" s="33" t="str">
        <f t="shared" si="1"/>
        <v>Not in buy Zone</v>
      </c>
      <c r="M140" s="33" t="str">
        <f t="shared" si="2"/>
        <v>Not in buy Zone</v>
      </c>
      <c r="N140" s="33" t="str">
        <f t="shared" si="3"/>
        <v>No</v>
      </c>
    </row>
    <row r="141" ht="11.25" customHeight="1">
      <c r="A141" s="1" t="s">
        <v>169</v>
      </c>
      <c r="B141" s="1">
        <v>0.0</v>
      </c>
      <c r="C141" s="1">
        <v>0.0</v>
      </c>
      <c r="D141" s="1">
        <v>86.28</v>
      </c>
      <c r="E141" s="1">
        <v>0.0</v>
      </c>
      <c r="F141" s="54">
        <v>44386.0</v>
      </c>
      <c r="G141" s="1">
        <v>0.0</v>
      </c>
      <c r="H141" s="1">
        <v>87.35</v>
      </c>
      <c r="I141" s="14">
        <v>44393.0</v>
      </c>
      <c r="J141" s="55" t="s">
        <v>2879</v>
      </c>
      <c r="K141" s="15" t="s">
        <v>3019</v>
      </c>
      <c r="L141" s="33" t="str">
        <f t="shared" si="1"/>
        <v>Not in buy Zone</v>
      </c>
      <c r="M141" s="33" t="str">
        <f t="shared" si="2"/>
        <v>Not in buy Zone</v>
      </c>
      <c r="N141" s="33" t="str">
        <f t="shared" si="3"/>
        <v>No</v>
      </c>
    </row>
    <row r="142" ht="11.25" customHeight="1">
      <c r="A142" s="1" t="s">
        <v>170</v>
      </c>
      <c r="B142" s="1">
        <v>0.0</v>
      </c>
      <c r="C142" s="1">
        <v>0.0</v>
      </c>
      <c r="D142" s="1">
        <v>0.0</v>
      </c>
      <c r="E142" s="1">
        <v>30.95</v>
      </c>
      <c r="F142" s="54">
        <v>44385.0</v>
      </c>
      <c r="G142" s="1">
        <v>0.0</v>
      </c>
      <c r="H142" s="1">
        <v>31.51</v>
      </c>
      <c r="I142" s="14">
        <v>44393.0</v>
      </c>
      <c r="J142" s="55" t="s">
        <v>2879</v>
      </c>
      <c r="K142" s="15" t="s">
        <v>3020</v>
      </c>
      <c r="L142" s="33" t="str">
        <f t="shared" si="1"/>
        <v>Not in buy Zone</v>
      </c>
      <c r="M142" s="33" t="str">
        <f t="shared" si="2"/>
        <v>Not in buy Zone</v>
      </c>
      <c r="N142" s="33" t="str">
        <f t="shared" si="3"/>
        <v>No</v>
      </c>
    </row>
    <row r="143" ht="11.25" customHeight="1">
      <c r="A143" s="1" t="s">
        <v>171</v>
      </c>
      <c r="B143" s="1">
        <v>0.0</v>
      </c>
      <c r="C143" s="1">
        <v>0.0</v>
      </c>
      <c r="D143" s="1">
        <v>0.0</v>
      </c>
      <c r="E143" s="1">
        <v>380.98</v>
      </c>
      <c r="F143" s="54">
        <v>44390.0</v>
      </c>
      <c r="G143" s="1">
        <v>0.0</v>
      </c>
      <c r="H143" s="1">
        <v>386.22</v>
      </c>
      <c r="I143" s="14">
        <v>44393.0</v>
      </c>
      <c r="J143" s="55" t="s">
        <v>2879</v>
      </c>
      <c r="K143" s="15" t="s">
        <v>3021</v>
      </c>
      <c r="L143" s="33" t="str">
        <f t="shared" si="1"/>
        <v>Not in buy Zone</v>
      </c>
      <c r="M143" s="33" t="str">
        <f t="shared" si="2"/>
        <v>Not in buy Zone</v>
      </c>
      <c r="N143" s="33" t="str">
        <f t="shared" si="3"/>
        <v>No</v>
      </c>
    </row>
    <row r="144" ht="11.25" customHeight="1">
      <c r="A144" s="1" t="s">
        <v>172</v>
      </c>
      <c r="B144" s="1">
        <v>0.0</v>
      </c>
      <c r="C144" s="1">
        <v>0.0</v>
      </c>
      <c r="D144" s="1">
        <v>0.0</v>
      </c>
      <c r="E144" s="1">
        <v>109.15</v>
      </c>
      <c r="F144" s="54">
        <v>44376.0</v>
      </c>
      <c r="G144" s="1">
        <v>0.0</v>
      </c>
      <c r="H144" s="1">
        <v>109.17</v>
      </c>
      <c r="I144" s="14">
        <v>44393.0</v>
      </c>
      <c r="J144" s="55" t="s">
        <v>2879</v>
      </c>
      <c r="K144" s="15" t="s">
        <v>3022</v>
      </c>
      <c r="L144" s="33" t="str">
        <f t="shared" si="1"/>
        <v>Not in buy Zone</v>
      </c>
      <c r="M144" s="33" t="str">
        <f t="shared" si="2"/>
        <v>Not in buy Zone</v>
      </c>
      <c r="N144" s="33" t="str">
        <f t="shared" si="3"/>
        <v>No</v>
      </c>
    </row>
    <row r="145" ht="11.25" customHeight="1">
      <c r="A145" s="1" t="s">
        <v>173</v>
      </c>
      <c r="B145" s="1">
        <v>0.0</v>
      </c>
      <c r="C145" s="1">
        <v>0.0</v>
      </c>
      <c r="D145" s="1">
        <v>70.49</v>
      </c>
      <c r="E145" s="1">
        <v>0.0</v>
      </c>
      <c r="F145" s="54">
        <v>44372.0</v>
      </c>
      <c r="G145" s="1">
        <v>0.0</v>
      </c>
      <c r="H145" s="1">
        <v>68.24</v>
      </c>
      <c r="I145" s="14">
        <v>44393.0</v>
      </c>
      <c r="J145" s="55" t="s">
        <v>2879</v>
      </c>
      <c r="K145" s="15" t="s">
        <v>3023</v>
      </c>
      <c r="L145" s="33" t="str">
        <f t="shared" si="1"/>
        <v>Not in buy Zone</v>
      </c>
      <c r="M145" s="33" t="str">
        <f t="shared" si="2"/>
        <v>Not in buy Zone</v>
      </c>
      <c r="N145" s="33" t="str">
        <f t="shared" si="3"/>
        <v>No</v>
      </c>
    </row>
    <row r="146" ht="11.25" customHeight="1">
      <c r="A146" s="1" t="s">
        <v>174</v>
      </c>
      <c r="B146" s="1">
        <v>0.0</v>
      </c>
      <c r="C146" s="1">
        <v>0.0</v>
      </c>
      <c r="D146" s="1">
        <v>0.0</v>
      </c>
      <c r="E146" s="1">
        <v>43.38</v>
      </c>
      <c r="F146" s="54">
        <v>44384.0</v>
      </c>
      <c r="G146" s="1">
        <v>0.0</v>
      </c>
      <c r="H146" s="1">
        <v>41.81</v>
      </c>
      <c r="I146" s="14">
        <v>44393.0</v>
      </c>
      <c r="J146" s="55" t="s">
        <v>2879</v>
      </c>
      <c r="K146" s="15" t="s">
        <v>3024</v>
      </c>
      <c r="L146" s="33" t="str">
        <f t="shared" si="1"/>
        <v>Not in buy Zone</v>
      </c>
      <c r="M146" s="33" t="str">
        <f t="shared" si="2"/>
        <v>Not in buy Zone</v>
      </c>
      <c r="N146" s="33" t="str">
        <f t="shared" si="3"/>
        <v>No</v>
      </c>
    </row>
    <row r="147" ht="11.25" customHeight="1">
      <c r="A147" s="1" t="s">
        <v>175</v>
      </c>
      <c r="B147" s="1">
        <v>0.0</v>
      </c>
      <c r="C147" s="1">
        <v>0.0</v>
      </c>
      <c r="D147" s="1">
        <v>0.0</v>
      </c>
      <c r="E147" s="1">
        <v>116.06</v>
      </c>
      <c r="F147" s="54">
        <v>44383.0</v>
      </c>
      <c r="G147" s="1">
        <v>0.0</v>
      </c>
      <c r="H147" s="1">
        <v>116.24</v>
      </c>
      <c r="I147" s="14">
        <v>44393.0</v>
      </c>
      <c r="J147" s="55" t="s">
        <v>2879</v>
      </c>
      <c r="K147" s="15" t="s">
        <v>3025</v>
      </c>
      <c r="L147" s="33" t="str">
        <f t="shared" si="1"/>
        <v>Not in buy Zone</v>
      </c>
      <c r="M147" s="33" t="str">
        <f t="shared" si="2"/>
        <v>Not in buy Zone</v>
      </c>
      <c r="N147" s="33" t="str">
        <f t="shared" si="3"/>
        <v>No</v>
      </c>
    </row>
    <row r="148" ht="11.25" customHeight="1">
      <c r="A148" s="1" t="s">
        <v>176</v>
      </c>
      <c r="B148" s="1">
        <v>0.0</v>
      </c>
      <c r="C148" s="1">
        <v>0.0</v>
      </c>
      <c r="D148" s="1">
        <v>82.42</v>
      </c>
      <c r="E148" s="1">
        <v>0.0</v>
      </c>
      <c r="F148" s="54">
        <v>44391.0</v>
      </c>
      <c r="G148" s="1">
        <v>0.0</v>
      </c>
      <c r="H148" s="1">
        <v>81.72</v>
      </c>
      <c r="I148" s="14">
        <v>44393.0</v>
      </c>
      <c r="J148" s="55" t="s">
        <v>2879</v>
      </c>
      <c r="K148" s="15" t="s">
        <v>3026</v>
      </c>
      <c r="L148" s="33" t="str">
        <f t="shared" si="1"/>
        <v>Not in buy Zone</v>
      </c>
      <c r="M148" s="33" t="str">
        <f t="shared" si="2"/>
        <v>Not in buy Zone</v>
      </c>
      <c r="N148" s="33" t="str">
        <f t="shared" si="3"/>
        <v>No</v>
      </c>
    </row>
    <row r="149" ht="11.25" customHeight="1">
      <c r="A149" s="1" t="s">
        <v>177</v>
      </c>
      <c r="B149" s="1">
        <v>0.0</v>
      </c>
      <c r="C149" s="1">
        <v>0.0</v>
      </c>
      <c r="D149" s="1">
        <v>0.0</v>
      </c>
      <c r="E149" s="1">
        <v>107.07</v>
      </c>
      <c r="F149" s="54">
        <v>44364.0</v>
      </c>
      <c r="G149" s="1">
        <v>0.0</v>
      </c>
      <c r="H149" s="1">
        <v>98.62</v>
      </c>
      <c r="I149" s="14">
        <v>44393.0</v>
      </c>
      <c r="J149" s="55" t="s">
        <v>2879</v>
      </c>
      <c r="K149" s="15" t="s">
        <v>3027</v>
      </c>
      <c r="L149" s="33" t="str">
        <f t="shared" si="1"/>
        <v>Not in buy Zone</v>
      </c>
      <c r="M149" s="33" t="str">
        <f t="shared" si="2"/>
        <v>Not in buy Zone</v>
      </c>
      <c r="N149" s="33" t="str">
        <f t="shared" si="3"/>
        <v>No</v>
      </c>
    </row>
    <row r="150" ht="11.25" customHeight="1">
      <c r="A150" s="1" t="s">
        <v>178</v>
      </c>
      <c r="B150" s="1">
        <v>0.0</v>
      </c>
      <c r="C150" s="1">
        <v>0.0</v>
      </c>
      <c r="D150" s="1">
        <v>0.0</v>
      </c>
      <c r="E150" s="1">
        <v>88.75</v>
      </c>
      <c r="F150" s="54">
        <v>44305.0</v>
      </c>
      <c r="G150" s="1">
        <v>0.0</v>
      </c>
      <c r="H150" s="1">
        <v>89.9</v>
      </c>
      <c r="I150" s="14">
        <v>44393.0</v>
      </c>
      <c r="J150" s="55" t="s">
        <v>2879</v>
      </c>
      <c r="K150" s="15" t="s">
        <v>3028</v>
      </c>
      <c r="L150" s="33" t="str">
        <f t="shared" si="1"/>
        <v>Not in buy Zone</v>
      </c>
      <c r="M150" s="33" t="str">
        <f t="shared" si="2"/>
        <v>Not in buy Zone</v>
      </c>
      <c r="N150" s="33" t="str">
        <f t="shared" si="3"/>
        <v>No</v>
      </c>
    </row>
    <row r="151" ht="11.25" customHeight="1">
      <c r="A151" s="1" t="s">
        <v>179</v>
      </c>
      <c r="B151" s="1">
        <v>0.0</v>
      </c>
      <c r="C151" s="1">
        <v>0.0</v>
      </c>
      <c r="D151" s="1">
        <v>0.0</v>
      </c>
      <c r="E151" s="1">
        <v>74.5</v>
      </c>
      <c r="F151" s="54">
        <v>44390.0</v>
      </c>
      <c r="G151" s="1">
        <v>0.0</v>
      </c>
      <c r="H151" s="1">
        <v>77.16</v>
      </c>
      <c r="I151" s="14">
        <v>44393.0</v>
      </c>
      <c r="J151" s="55" t="s">
        <v>2879</v>
      </c>
      <c r="K151" s="15" t="s">
        <v>3029</v>
      </c>
      <c r="L151" s="33" t="str">
        <f t="shared" si="1"/>
        <v>Not in buy Zone</v>
      </c>
      <c r="M151" s="33" t="str">
        <f t="shared" si="2"/>
        <v>Not in buy Zone</v>
      </c>
      <c r="N151" s="33" t="str">
        <f t="shared" si="3"/>
        <v>No</v>
      </c>
    </row>
    <row r="152" ht="11.25" customHeight="1">
      <c r="A152" s="1" t="s">
        <v>180</v>
      </c>
      <c r="B152" s="1">
        <v>0.0</v>
      </c>
      <c r="C152" s="1">
        <v>0.0</v>
      </c>
      <c r="D152" s="1">
        <v>0.0</v>
      </c>
      <c r="E152" s="1">
        <v>45.41</v>
      </c>
      <c r="F152" s="54">
        <v>44336.0</v>
      </c>
      <c r="G152" s="1">
        <v>0.0</v>
      </c>
      <c r="H152" s="1">
        <v>40.06</v>
      </c>
      <c r="I152" s="14">
        <v>44393.0</v>
      </c>
      <c r="J152" s="55" t="s">
        <v>2879</v>
      </c>
      <c r="K152" s="15" t="s">
        <v>3030</v>
      </c>
      <c r="L152" s="33" t="str">
        <f t="shared" si="1"/>
        <v>Not in buy Zone</v>
      </c>
      <c r="M152" s="33" t="str">
        <f t="shared" si="2"/>
        <v>Not in buy Zone</v>
      </c>
      <c r="N152" s="33" t="str">
        <f t="shared" si="3"/>
        <v>No</v>
      </c>
    </row>
    <row r="153" ht="11.25" customHeight="1">
      <c r="A153" s="1" t="s">
        <v>181</v>
      </c>
      <c r="B153" s="1">
        <v>0.0</v>
      </c>
      <c r="C153" s="1">
        <v>0.0</v>
      </c>
      <c r="D153" s="1">
        <v>0.0</v>
      </c>
      <c r="E153" s="1">
        <v>66.29</v>
      </c>
      <c r="F153" s="54">
        <v>44391.0</v>
      </c>
      <c r="G153" s="1">
        <v>0.0</v>
      </c>
      <c r="H153" s="1">
        <v>65.58</v>
      </c>
      <c r="I153" s="14">
        <v>44393.0</v>
      </c>
      <c r="J153" s="55" t="s">
        <v>2879</v>
      </c>
      <c r="K153" s="15" t="s">
        <v>3031</v>
      </c>
      <c r="L153" s="33" t="str">
        <f t="shared" si="1"/>
        <v>Not in buy Zone</v>
      </c>
      <c r="M153" s="33" t="str">
        <f t="shared" si="2"/>
        <v>Not in buy Zone</v>
      </c>
      <c r="N153" s="33" t="str">
        <f t="shared" si="3"/>
        <v>No</v>
      </c>
    </row>
    <row r="154" ht="11.25" customHeight="1">
      <c r="A154" s="1" t="s">
        <v>182</v>
      </c>
      <c r="B154" s="1">
        <v>0.0</v>
      </c>
      <c r="C154" s="1">
        <v>0.0</v>
      </c>
      <c r="D154" s="1">
        <v>0.0</v>
      </c>
      <c r="E154" s="1">
        <v>30.5</v>
      </c>
      <c r="F154" s="54">
        <v>44391.0</v>
      </c>
      <c r="G154" s="1">
        <v>0.0</v>
      </c>
      <c r="H154" s="1">
        <v>30.15</v>
      </c>
      <c r="I154" s="14">
        <v>44393.0</v>
      </c>
      <c r="J154" s="55" t="s">
        <v>2879</v>
      </c>
      <c r="K154" s="15" t="s">
        <v>3032</v>
      </c>
      <c r="L154" s="33" t="str">
        <f t="shared" si="1"/>
        <v>Not in buy Zone</v>
      </c>
      <c r="M154" s="33" t="str">
        <f t="shared" si="2"/>
        <v>Not in buy Zone</v>
      </c>
      <c r="N154" s="33" t="str">
        <f t="shared" si="3"/>
        <v>No</v>
      </c>
    </row>
    <row r="155" ht="11.25" customHeight="1">
      <c r="A155" s="1" t="s">
        <v>183</v>
      </c>
      <c r="B155" s="1">
        <v>0.0</v>
      </c>
      <c r="C155" s="1">
        <v>76.21</v>
      </c>
      <c r="D155" s="1">
        <v>0.0</v>
      </c>
      <c r="E155" s="1">
        <v>0.0</v>
      </c>
      <c r="F155" s="54">
        <v>44393.0</v>
      </c>
      <c r="G155" s="1">
        <v>-1.0</v>
      </c>
      <c r="H155" s="1">
        <v>76.21</v>
      </c>
      <c r="I155" s="14">
        <v>44393.0</v>
      </c>
      <c r="J155" s="55" t="s">
        <v>2879</v>
      </c>
      <c r="K155" s="15" t="s">
        <v>3033</v>
      </c>
      <c r="L155" s="33" t="str">
        <f t="shared" si="1"/>
        <v>Not in buy Zone</v>
      </c>
      <c r="M155" s="33" t="str">
        <f t="shared" si="2"/>
        <v>Not in buy Zone</v>
      </c>
      <c r="N155" s="33" t="str">
        <f t="shared" si="3"/>
        <v>No</v>
      </c>
    </row>
    <row r="156" ht="11.25" customHeight="1">
      <c r="A156" s="1" t="s">
        <v>184</v>
      </c>
      <c r="B156" s="1">
        <v>0.0</v>
      </c>
      <c r="C156" s="1">
        <v>0.0</v>
      </c>
      <c r="D156" s="1">
        <v>0.0</v>
      </c>
      <c r="E156" s="1">
        <v>34.05</v>
      </c>
      <c r="F156" s="54">
        <v>44384.0</v>
      </c>
      <c r="G156" s="1">
        <v>0.0</v>
      </c>
      <c r="H156" s="1">
        <v>25.3</v>
      </c>
      <c r="I156" s="14">
        <v>44393.0</v>
      </c>
      <c r="J156" s="55" t="s">
        <v>2879</v>
      </c>
      <c r="K156" s="15" t="s">
        <v>3034</v>
      </c>
      <c r="L156" s="33" t="str">
        <f t="shared" si="1"/>
        <v>Not in buy Zone</v>
      </c>
      <c r="M156" s="33" t="str">
        <f t="shared" si="2"/>
        <v>Not in buy Zone</v>
      </c>
      <c r="N156" s="33" t="str">
        <f t="shared" si="3"/>
        <v>No</v>
      </c>
    </row>
    <row r="157" ht="11.25" customHeight="1">
      <c r="A157" s="1" t="s">
        <v>185</v>
      </c>
      <c r="B157" s="1">
        <v>0.0</v>
      </c>
      <c r="C157" s="1">
        <v>0.0</v>
      </c>
      <c r="D157" s="1">
        <v>0.0</v>
      </c>
      <c r="E157" s="1">
        <v>88.45</v>
      </c>
      <c r="F157" s="54">
        <v>44351.0</v>
      </c>
      <c r="G157" s="1">
        <v>0.0</v>
      </c>
      <c r="H157" s="1">
        <v>104.64</v>
      </c>
      <c r="I157" s="14">
        <v>44393.0</v>
      </c>
      <c r="J157" s="55" t="s">
        <v>2879</v>
      </c>
      <c r="K157" s="15" t="s">
        <v>3035</v>
      </c>
      <c r="L157" s="33" t="str">
        <f t="shared" si="1"/>
        <v>Not in buy Zone</v>
      </c>
      <c r="M157" s="33" t="str">
        <f t="shared" si="2"/>
        <v>Not in buy Zone</v>
      </c>
      <c r="N157" s="33" t="str">
        <f t="shared" si="3"/>
        <v>No</v>
      </c>
    </row>
    <row r="158" ht="11.25" customHeight="1">
      <c r="A158" s="1" t="s">
        <v>186</v>
      </c>
      <c r="B158" s="1">
        <v>0.0</v>
      </c>
      <c r="C158" s="1">
        <v>0.0</v>
      </c>
      <c r="D158" s="1">
        <v>0.0</v>
      </c>
      <c r="E158" s="1">
        <v>343.58</v>
      </c>
      <c r="F158" s="54">
        <v>44385.0</v>
      </c>
      <c r="G158" s="1">
        <v>0.0</v>
      </c>
      <c r="H158" s="1">
        <v>342.49</v>
      </c>
      <c r="I158" s="14">
        <v>44393.0</v>
      </c>
      <c r="J158" s="55" t="s">
        <v>2879</v>
      </c>
      <c r="K158" s="15" t="s">
        <v>3036</v>
      </c>
      <c r="L158" s="33" t="str">
        <f t="shared" si="1"/>
        <v>Not in buy Zone</v>
      </c>
      <c r="M158" s="33" t="str">
        <f t="shared" si="2"/>
        <v>Not in buy Zone</v>
      </c>
      <c r="N158" s="33" t="str">
        <f t="shared" si="3"/>
        <v>No</v>
      </c>
    </row>
    <row r="159" ht="11.25" customHeight="1">
      <c r="A159" s="1" t="s">
        <v>187</v>
      </c>
      <c r="B159" s="1">
        <v>0.0</v>
      </c>
      <c r="C159" s="1">
        <v>0.0</v>
      </c>
      <c r="D159" s="1">
        <v>102.2</v>
      </c>
      <c r="E159" s="1">
        <v>0.0</v>
      </c>
      <c r="F159" s="54">
        <v>44376.0</v>
      </c>
      <c r="G159" s="1">
        <v>0.0</v>
      </c>
      <c r="H159" s="1">
        <v>92.29</v>
      </c>
      <c r="I159" s="14">
        <v>44393.0</v>
      </c>
      <c r="J159" s="55" t="s">
        <v>2879</v>
      </c>
      <c r="K159" s="15" t="s">
        <v>3037</v>
      </c>
      <c r="L159" s="33" t="str">
        <f t="shared" si="1"/>
        <v>Not in buy Zone</v>
      </c>
      <c r="M159" s="33" t="str">
        <f t="shared" si="2"/>
        <v>Not in buy Zone</v>
      </c>
      <c r="N159" s="33" t="str">
        <f t="shared" si="3"/>
        <v>No</v>
      </c>
    </row>
    <row r="160" ht="11.25" customHeight="1">
      <c r="A160" s="1" t="s">
        <v>188</v>
      </c>
      <c r="B160" s="1">
        <v>0.0</v>
      </c>
      <c r="C160" s="1">
        <v>120.43</v>
      </c>
      <c r="D160" s="1">
        <v>0.0</v>
      </c>
      <c r="E160" s="1">
        <v>0.0</v>
      </c>
      <c r="F160" s="54">
        <v>44393.0</v>
      </c>
      <c r="G160" s="1">
        <v>-1.0</v>
      </c>
      <c r="H160" s="1">
        <v>120.43</v>
      </c>
      <c r="I160" s="14">
        <v>44393.0</v>
      </c>
      <c r="J160" s="55" t="s">
        <v>2879</v>
      </c>
      <c r="K160" s="15" t="s">
        <v>3038</v>
      </c>
      <c r="L160" s="33" t="str">
        <f t="shared" si="1"/>
        <v>Not in buy Zone</v>
      </c>
      <c r="M160" s="33" t="str">
        <f t="shared" si="2"/>
        <v>Not in buy Zone</v>
      </c>
      <c r="N160" s="33" t="str">
        <f t="shared" si="3"/>
        <v>No</v>
      </c>
    </row>
    <row r="161" ht="11.25" customHeight="1">
      <c r="A161" s="1" t="s">
        <v>189</v>
      </c>
      <c r="B161" s="1">
        <v>0.0</v>
      </c>
      <c r="C161" s="1">
        <v>0.0</v>
      </c>
      <c r="D161" s="1">
        <v>206.0</v>
      </c>
      <c r="E161" s="1">
        <v>0.0</v>
      </c>
      <c r="F161" s="54">
        <v>44350.0</v>
      </c>
      <c r="G161" s="1">
        <v>0.0</v>
      </c>
      <c r="H161" s="1">
        <v>222.17</v>
      </c>
      <c r="I161" s="14">
        <v>44393.0</v>
      </c>
      <c r="J161" s="55" t="s">
        <v>2879</v>
      </c>
      <c r="K161" s="15" t="s">
        <v>3039</v>
      </c>
      <c r="L161" s="33" t="str">
        <f t="shared" si="1"/>
        <v>Not in buy Zone</v>
      </c>
      <c r="M161" s="33" t="str">
        <f t="shared" si="2"/>
        <v>Not in buy Zone</v>
      </c>
      <c r="N161" s="33" t="str">
        <f t="shared" si="3"/>
        <v>No</v>
      </c>
    </row>
    <row r="162" ht="11.25" customHeight="1">
      <c r="A162" s="1" t="s">
        <v>190</v>
      </c>
      <c r="B162" s="1">
        <v>0.0</v>
      </c>
      <c r="C162" s="1">
        <v>0.0</v>
      </c>
      <c r="D162" s="1">
        <v>129.43</v>
      </c>
      <c r="E162" s="1">
        <v>0.0</v>
      </c>
      <c r="F162" s="54">
        <v>44368.0</v>
      </c>
      <c r="G162" s="1">
        <v>0.0</v>
      </c>
      <c r="H162" s="1">
        <v>134.52</v>
      </c>
      <c r="I162" s="14">
        <v>44393.0</v>
      </c>
      <c r="J162" s="55" t="s">
        <v>2879</v>
      </c>
      <c r="K162" s="15" t="s">
        <v>3040</v>
      </c>
      <c r="L162" s="33" t="str">
        <f t="shared" si="1"/>
        <v>Not in buy Zone</v>
      </c>
      <c r="M162" s="33" t="str">
        <f t="shared" si="2"/>
        <v>Not in buy Zone</v>
      </c>
      <c r="N162" s="33" t="str">
        <f t="shared" si="3"/>
        <v>No</v>
      </c>
    </row>
    <row r="163" ht="11.25" customHeight="1">
      <c r="A163" s="1" t="s">
        <v>191</v>
      </c>
      <c r="B163" s="1">
        <v>0.0</v>
      </c>
      <c r="C163" s="1">
        <v>0.0</v>
      </c>
      <c r="D163" s="1">
        <v>0.0</v>
      </c>
      <c r="E163" s="1">
        <v>89.09</v>
      </c>
      <c r="F163" s="54">
        <v>44385.0</v>
      </c>
      <c r="G163" s="1">
        <v>0.0</v>
      </c>
      <c r="H163" s="1">
        <v>86.3</v>
      </c>
      <c r="I163" s="14">
        <v>44393.0</v>
      </c>
      <c r="J163" s="55" t="s">
        <v>2879</v>
      </c>
      <c r="K163" s="15" t="s">
        <v>3041</v>
      </c>
      <c r="L163" s="33" t="str">
        <f t="shared" si="1"/>
        <v>Not in buy Zone</v>
      </c>
      <c r="M163" s="33" t="str">
        <f t="shared" si="2"/>
        <v>Not in buy Zone</v>
      </c>
      <c r="N163" s="33" t="str">
        <f t="shared" si="3"/>
        <v>No</v>
      </c>
    </row>
    <row r="164" ht="11.25" customHeight="1">
      <c r="A164" s="1" t="s">
        <v>192</v>
      </c>
      <c r="B164" s="1">
        <v>0.0</v>
      </c>
      <c r="C164" s="1">
        <v>0.0</v>
      </c>
      <c r="D164" s="1">
        <v>254.92</v>
      </c>
      <c r="E164" s="1">
        <v>0.0</v>
      </c>
      <c r="F164" s="54">
        <v>44336.0</v>
      </c>
      <c r="G164" s="1">
        <v>0.0</v>
      </c>
      <c r="H164" s="1">
        <v>284.79</v>
      </c>
      <c r="I164" s="14">
        <v>44393.0</v>
      </c>
      <c r="J164" s="55" t="s">
        <v>2879</v>
      </c>
      <c r="K164" s="15" t="s">
        <v>3042</v>
      </c>
      <c r="L164" s="33" t="str">
        <f t="shared" si="1"/>
        <v>Not in buy Zone</v>
      </c>
      <c r="M164" s="33" t="str">
        <f t="shared" si="2"/>
        <v>Not in buy Zone</v>
      </c>
      <c r="N164" s="33" t="str">
        <f t="shared" si="3"/>
        <v>No</v>
      </c>
    </row>
    <row r="165" ht="11.25" customHeight="1">
      <c r="A165" s="1" t="s">
        <v>193</v>
      </c>
      <c r="B165" s="1">
        <v>0.0</v>
      </c>
      <c r="C165" s="1">
        <v>346.74</v>
      </c>
      <c r="D165" s="1">
        <v>0.0</v>
      </c>
      <c r="E165" s="1">
        <v>0.0</v>
      </c>
      <c r="F165" s="54">
        <v>44393.0</v>
      </c>
      <c r="G165" s="1">
        <v>-1.0</v>
      </c>
      <c r="H165" s="1">
        <v>346.74</v>
      </c>
      <c r="I165" s="14">
        <v>44393.0</v>
      </c>
      <c r="J165" s="55" t="s">
        <v>2879</v>
      </c>
      <c r="K165" s="15" t="s">
        <v>3043</v>
      </c>
      <c r="L165" s="33" t="str">
        <f t="shared" si="1"/>
        <v>Not in buy Zone</v>
      </c>
      <c r="M165" s="33" t="str">
        <f t="shared" si="2"/>
        <v>Not in buy Zone</v>
      </c>
      <c r="N165" s="33" t="str">
        <f t="shared" si="3"/>
        <v>No</v>
      </c>
    </row>
    <row r="166" ht="11.25" customHeight="1">
      <c r="A166" s="1" t="s">
        <v>194</v>
      </c>
      <c r="B166" s="1">
        <v>0.0</v>
      </c>
      <c r="C166" s="1">
        <v>0.0</v>
      </c>
      <c r="D166" s="1">
        <v>177.93</v>
      </c>
      <c r="E166" s="1">
        <v>0.0</v>
      </c>
      <c r="F166" s="54">
        <v>44371.0</v>
      </c>
      <c r="G166" s="1">
        <v>0.0</v>
      </c>
      <c r="H166" s="1">
        <v>179.31</v>
      </c>
      <c r="I166" s="14">
        <v>44393.0</v>
      </c>
      <c r="J166" s="55" t="s">
        <v>2879</v>
      </c>
      <c r="K166" s="15" t="s">
        <v>3044</v>
      </c>
      <c r="L166" s="33" t="str">
        <f t="shared" si="1"/>
        <v>Not in buy Zone</v>
      </c>
      <c r="M166" s="33" t="str">
        <f t="shared" si="2"/>
        <v>Not in buy Zone</v>
      </c>
      <c r="N166" s="33" t="str">
        <f t="shared" si="3"/>
        <v>No</v>
      </c>
    </row>
    <row r="167" ht="11.25" customHeight="1">
      <c r="A167" s="1" t="s">
        <v>195</v>
      </c>
      <c r="B167" s="1">
        <v>0.0</v>
      </c>
      <c r="C167" s="1">
        <v>0.0</v>
      </c>
      <c r="D167" s="1">
        <v>0.0</v>
      </c>
      <c r="E167" s="1">
        <v>29.56</v>
      </c>
      <c r="F167" s="54">
        <v>44384.0</v>
      </c>
      <c r="G167" s="1">
        <v>0.0</v>
      </c>
      <c r="H167" s="1">
        <v>28.18</v>
      </c>
      <c r="I167" s="14">
        <v>44393.0</v>
      </c>
      <c r="J167" s="55" t="s">
        <v>2879</v>
      </c>
      <c r="K167" s="15" t="s">
        <v>3045</v>
      </c>
      <c r="L167" s="33" t="str">
        <f t="shared" si="1"/>
        <v>Not in buy Zone</v>
      </c>
      <c r="M167" s="33" t="str">
        <f t="shared" si="2"/>
        <v>Not in buy Zone</v>
      </c>
      <c r="N167" s="33" t="str">
        <f t="shared" si="3"/>
        <v>No</v>
      </c>
    </row>
    <row r="168" ht="11.25" customHeight="1">
      <c r="A168" s="1" t="s">
        <v>196</v>
      </c>
      <c r="B168" s="1">
        <v>0.0</v>
      </c>
      <c r="C168" s="1">
        <v>0.0</v>
      </c>
      <c r="D168" s="1">
        <v>0.0</v>
      </c>
      <c r="E168" s="1">
        <v>40.91</v>
      </c>
      <c r="F168" s="54">
        <v>44384.0</v>
      </c>
      <c r="G168" s="1">
        <v>0.0</v>
      </c>
      <c r="H168" s="1">
        <v>39.45</v>
      </c>
      <c r="I168" s="14">
        <v>44393.0</v>
      </c>
      <c r="J168" s="55" t="s">
        <v>2879</v>
      </c>
      <c r="K168" s="15" t="s">
        <v>3046</v>
      </c>
      <c r="L168" s="33" t="str">
        <f t="shared" si="1"/>
        <v>Not in buy Zone</v>
      </c>
      <c r="M168" s="33" t="str">
        <f t="shared" si="2"/>
        <v>Not in buy Zone</v>
      </c>
      <c r="N168" s="33" t="str">
        <f t="shared" si="3"/>
        <v>No</v>
      </c>
    </row>
    <row r="169" ht="11.25" customHeight="1">
      <c r="A169" s="1" t="s">
        <v>197</v>
      </c>
      <c r="B169" s="1">
        <v>0.0</v>
      </c>
      <c r="C169" s="1">
        <v>0.0</v>
      </c>
      <c r="D169" s="1">
        <v>0.0</v>
      </c>
      <c r="E169" s="1">
        <v>48.75</v>
      </c>
      <c r="F169" s="54">
        <v>44384.0</v>
      </c>
      <c r="G169" s="1">
        <v>0.0</v>
      </c>
      <c r="H169" s="1">
        <v>43.79</v>
      </c>
      <c r="I169" s="14">
        <v>44393.0</v>
      </c>
      <c r="J169" s="55" t="s">
        <v>2879</v>
      </c>
      <c r="K169" s="15" t="s">
        <v>3047</v>
      </c>
      <c r="L169" s="33" t="str">
        <f t="shared" si="1"/>
        <v>Not in buy Zone</v>
      </c>
      <c r="M169" s="33" t="str">
        <f t="shared" si="2"/>
        <v>Not in buy Zone</v>
      </c>
      <c r="N169" s="33" t="str">
        <f t="shared" si="3"/>
        <v>No</v>
      </c>
    </row>
    <row r="170" ht="11.25" customHeight="1">
      <c r="A170" s="1" t="s">
        <v>198</v>
      </c>
      <c r="B170" s="1">
        <v>0.0</v>
      </c>
      <c r="C170" s="1">
        <v>0.0</v>
      </c>
      <c r="D170" s="1">
        <v>153.89</v>
      </c>
      <c r="E170" s="1">
        <v>0.0</v>
      </c>
      <c r="F170" s="54">
        <v>44384.0</v>
      </c>
      <c r="G170" s="1">
        <v>0.0</v>
      </c>
      <c r="H170" s="1">
        <v>157.32</v>
      </c>
      <c r="I170" s="14">
        <v>44393.0</v>
      </c>
      <c r="J170" s="55" t="s">
        <v>2879</v>
      </c>
      <c r="K170" s="15" t="s">
        <v>3048</v>
      </c>
      <c r="L170" s="33" t="str">
        <f t="shared" si="1"/>
        <v>Not in buy Zone</v>
      </c>
      <c r="M170" s="33" t="str">
        <f t="shared" si="2"/>
        <v>Not in buy Zone</v>
      </c>
      <c r="N170" s="33" t="str">
        <f t="shared" si="3"/>
        <v>No</v>
      </c>
    </row>
    <row r="171" ht="11.25" customHeight="1">
      <c r="A171" s="1" t="s">
        <v>199</v>
      </c>
      <c r="B171" s="1">
        <v>0.0</v>
      </c>
      <c r="C171" s="1">
        <v>0.0</v>
      </c>
      <c r="D171" s="1">
        <v>0.0</v>
      </c>
      <c r="E171" s="1">
        <v>99.34</v>
      </c>
      <c r="F171" s="54">
        <v>44371.0</v>
      </c>
      <c r="G171" s="1">
        <v>0.0</v>
      </c>
      <c r="H171" s="1">
        <v>98.19</v>
      </c>
      <c r="I171" s="14">
        <v>44393.0</v>
      </c>
      <c r="J171" s="55" t="s">
        <v>2879</v>
      </c>
      <c r="K171" s="15" t="s">
        <v>3049</v>
      </c>
      <c r="L171" s="33" t="str">
        <f t="shared" si="1"/>
        <v>Not in buy Zone</v>
      </c>
      <c r="M171" s="33" t="str">
        <f t="shared" si="2"/>
        <v>Not in buy Zone</v>
      </c>
      <c r="N171" s="33" t="str">
        <f t="shared" si="3"/>
        <v>No</v>
      </c>
    </row>
    <row r="172" ht="11.25" customHeight="1">
      <c r="A172" s="1" t="s">
        <v>200</v>
      </c>
      <c r="B172" s="1">
        <v>0.0</v>
      </c>
      <c r="C172" s="1">
        <v>0.0</v>
      </c>
      <c r="D172" s="1">
        <v>0.0</v>
      </c>
      <c r="E172" s="1">
        <v>275.43</v>
      </c>
      <c r="F172" s="54">
        <v>44391.0</v>
      </c>
      <c r="G172" s="1">
        <v>0.0</v>
      </c>
      <c r="H172" s="1">
        <v>282.05</v>
      </c>
      <c r="I172" s="14">
        <v>44393.0</v>
      </c>
      <c r="J172" s="55" t="s">
        <v>2879</v>
      </c>
      <c r="K172" s="15" t="s">
        <v>3050</v>
      </c>
      <c r="L172" s="33" t="str">
        <f t="shared" si="1"/>
        <v>Not in buy Zone</v>
      </c>
      <c r="M172" s="33" t="str">
        <f t="shared" si="2"/>
        <v>Not in buy Zone</v>
      </c>
      <c r="N172" s="33" t="str">
        <f t="shared" si="3"/>
        <v>No</v>
      </c>
    </row>
    <row r="173" ht="11.25" customHeight="1">
      <c r="A173" s="1" t="s">
        <v>201</v>
      </c>
      <c r="B173" s="1">
        <v>0.0</v>
      </c>
      <c r="C173" s="1">
        <v>0.0</v>
      </c>
      <c r="D173" s="1">
        <v>149.31</v>
      </c>
      <c r="E173" s="1">
        <v>0.0</v>
      </c>
      <c r="F173" s="54">
        <v>44372.0</v>
      </c>
      <c r="G173" s="1">
        <v>0.0</v>
      </c>
      <c r="H173" s="1">
        <v>154.95</v>
      </c>
      <c r="I173" s="14">
        <v>44393.0</v>
      </c>
      <c r="J173" s="55" t="s">
        <v>2879</v>
      </c>
      <c r="K173" s="15" t="s">
        <v>3051</v>
      </c>
      <c r="L173" s="33" t="str">
        <f t="shared" si="1"/>
        <v>Not in buy Zone</v>
      </c>
      <c r="M173" s="33" t="str">
        <f t="shared" si="2"/>
        <v>Not in buy Zone</v>
      </c>
      <c r="N173" s="33" t="str">
        <f t="shared" si="3"/>
        <v>No</v>
      </c>
    </row>
    <row r="174" ht="11.25" customHeight="1">
      <c r="A174" s="1" t="s">
        <v>202</v>
      </c>
      <c r="B174" s="1">
        <v>0.0</v>
      </c>
      <c r="C174" s="1">
        <v>0.0</v>
      </c>
      <c r="D174" s="1">
        <v>63.08</v>
      </c>
      <c r="E174" s="1">
        <v>0.0</v>
      </c>
      <c r="F174" s="54">
        <v>44386.0</v>
      </c>
      <c r="G174" s="1">
        <v>0.0</v>
      </c>
      <c r="H174" s="1">
        <v>60.01</v>
      </c>
      <c r="I174" s="14">
        <v>44393.0</v>
      </c>
      <c r="J174" s="55" t="s">
        <v>2879</v>
      </c>
      <c r="K174" s="15" t="s">
        <v>3052</v>
      </c>
      <c r="L174" s="33" t="str">
        <f t="shared" si="1"/>
        <v>Not in buy Zone</v>
      </c>
      <c r="M174" s="33" t="str">
        <f t="shared" si="2"/>
        <v>Not in buy Zone</v>
      </c>
      <c r="N174" s="33" t="str">
        <f t="shared" si="3"/>
        <v>No</v>
      </c>
    </row>
    <row r="175" ht="11.25" customHeight="1">
      <c r="A175" s="1" t="s">
        <v>203</v>
      </c>
      <c r="B175" s="1">
        <v>0.0</v>
      </c>
      <c r="C175" s="1">
        <v>0.0</v>
      </c>
      <c r="D175" s="1">
        <v>426.87</v>
      </c>
      <c r="E175" s="1">
        <v>0.0</v>
      </c>
      <c r="F175" s="54">
        <v>44344.0</v>
      </c>
      <c r="G175" s="1">
        <v>0.0</v>
      </c>
      <c r="H175" s="1">
        <v>482.68</v>
      </c>
      <c r="I175" s="14">
        <v>44393.0</v>
      </c>
      <c r="J175" s="55" t="s">
        <v>2879</v>
      </c>
      <c r="K175" s="15" t="s">
        <v>3053</v>
      </c>
      <c r="L175" s="33" t="str">
        <f t="shared" si="1"/>
        <v>Not in buy Zone</v>
      </c>
      <c r="M175" s="33" t="str">
        <f t="shared" si="2"/>
        <v>Not in buy Zone</v>
      </c>
      <c r="N175" s="33" t="str">
        <f t="shared" si="3"/>
        <v>No</v>
      </c>
    </row>
    <row r="176" ht="11.25" customHeight="1">
      <c r="A176" s="1" t="s">
        <v>204</v>
      </c>
      <c r="B176" s="1">
        <v>0.0</v>
      </c>
      <c r="C176" s="1">
        <v>0.0</v>
      </c>
      <c r="D176" s="1">
        <v>48.38</v>
      </c>
      <c r="E176" s="1">
        <v>0.0</v>
      </c>
      <c r="F176" s="54">
        <v>44383.0</v>
      </c>
      <c r="G176" s="1">
        <v>0.0</v>
      </c>
      <c r="H176" s="1">
        <v>50.4</v>
      </c>
      <c r="I176" s="14">
        <v>44393.0</v>
      </c>
      <c r="J176" s="55" t="s">
        <v>2879</v>
      </c>
      <c r="K176" s="15" t="s">
        <v>3054</v>
      </c>
      <c r="L176" s="33" t="str">
        <f t="shared" si="1"/>
        <v>Not in buy Zone</v>
      </c>
      <c r="M176" s="33" t="str">
        <f t="shared" si="2"/>
        <v>Not in buy Zone</v>
      </c>
      <c r="N176" s="33" t="str">
        <f t="shared" si="3"/>
        <v>No</v>
      </c>
    </row>
    <row r="177" ht="11.25" customHeight="1">
      <c r="A177" s="1" t="s">
        <v>205</v>
      </c>
      <c r="B177" s="1">
        <v>0.0</v>
      </c>
      <c r="C177" s="1">
        <v>0.0</v>
      </c>
      <c r="D177" s="1">
        <v>0.0</v>
      </c>
      <c r="E177" s="1">
        <v>144.81</v>
      </c>
      <c r="F177" s="54">
        <v>44392.0</v>
      </c>
      <c r="G177" s="1">
        <v>0.0</v>
      </c>
      <c r="H177" s="1">
        <v>141.74</v>
      </c>
      <c r="I177" s="14">
        <v>44393.0</v>
      </c>
      <c r="J177" s="55" t="s">
        <v>2879</v>
      </c>
      <c r="K177" s="15" t="s">
        <v>3055</v>
      </c>
      <c r="L177" s="33" t="str">
        <f t="shared" si="1"/>
        <v>Not in buy Zone</v>
      </c>
      <c r="M177" s="33" t="str">
        <f t="shared" si="2"/>
        <v>Not in buy Zone</v>
      </c>
      <c r="N177" s="33" t="str">
        <f t="shared" si="3"/>
        <v>No</v>
      </c>
    </row>
    <row r="178" ht="11.25" customHeight="1">
      <c r="A178" s="1" t="s">
        <v>206</v>
      </c>
      <c r="B178" s="1">
        <v>0.0</v>
      </c>
      <c r="C178" s="1">
        <v>0.0</v>
      </c>
      <c r="D178" s="1">
        <v>138.99</v>
      </c>
      <c r="E178" s="1">
        <v>0.0</v>
      </c>
      <c r="F178" s="54">
        <v>44356.0</v>
      </c>
      <c r="G178" s="1">
        <v>0.0</v>
      </c>
      <c r="H178" s="1">
        <v>117.05</v>
      </c>
      <c r="I178" s="14">
        <v>44393.0</v>
      </c>
      <c r="J178" s="55" t="s">
        <v>2879</v>
      </c>
      <c r="K178" s="15" t="s">
        <v>3056</v>
      </c>
      <c r="L178" s="33" t="str">
        <f t="shared" si="1"/>
        <v>Not in buy Zone</v>
      </c>
      <c r="M178" s="33" t="str">
        <f t="shared" si="2"/>
        <v>Not in buy Zone</v>
      </c>
      <c r="N178" s="33" t="str">
        <f t="shared" si="3"/>
        <v>No</v>
      </c>
    </row>
    <row r="179" ht="11.25" customHeight="1">
      <c r="A179" s="1" t="s">
        <v>207</v>
      </c>
      <c r="B179" s="1">
        <v>0.0</v>
      </c>
      <c r="C179" s="1">
        <v>0.0</v>
      </c>
      <c r="D179" s="1">
        <v>100.37</v>
      </c>
      <c r="E179" s="1">
        <v>0.0</v>
      </c>
      <c r="F179" s="54">
        <v>44384.0</v>
      </c>
      <c r="G179" s="1">
        <v>0.0</v>
      </c>
      <c r="H179" s="1">
        <v>104.76</v>
      </c>
      <c r="I179" s="14">
        <v>44393.0</v>
      </c>
      <c r="J179" s="55" t="s">
        <v>2879</v>
      </c>
      <c r="K179" s="15" t="s">
        <v>3057</v>
      </c>
      <c r="L179" s="33" t="str">
        <f t="shared" si="1"/>
        <v>Not in buy Zone</v>
      </c>
      <c r="M179" s="33" t="str">
        <f t="shared" si="2"/>
        <v>Not in buy Zone</v>
      </c>
      <c r="N179" s="33" t="str">
        <f t="shared" si="3"/>
        <v>No</v>
      </c>
    </row>
    <row r="180" ht="11.25" customHeight="1">
      <c r="A180" s="1" t="s">
        <v>208</v>
      </c>
      <c r="B180" s="1">
        <v>0.0</v>
      </c>
      <c r="C180" s="1">
        <v>0.0</v>
      </c>
      <c r="D180" s="1">
        <v>122.33</v>
      </c>
      <c r="E180" s="1">
        <v>0.0</v>
      </c>
      <c r="F180" s="54">
        <v>44378.0</v>
      </c>
      <c r="G180" s="1">
        <v>0.0</v>
      </c>
      <c r="H180" s="1">
        <v>119.37</v>
      </c>
      <c r="I180" s="14">
        <v>44393.0</v>
      </c>
      <c r="J180" s="55" t="s">
        <v>2879</v>
      </c>
      <c r="K180" s="15" t="s">
        <v>3058</v>
      </c>
      <c r="L180" s="33" t="str">
        <f t="shared" si="1"/>
        <v>Not in buy Zone</v>
      </c>
      <c r="M180" s="33" t="str">
        <f t="shared" si="2"/>
        <v>Not in buy Zone</v>
      </c>
      <c r="N180" s="33" t="str">
        <f t="shared" si="3"/>
        <v>No</v>
      </c>
    </row>
    <row r="181" ht="11.25" customHeight="1">
      <c r="A181" s="1" t="s">
        <v>209</v>
      </c>
      <c r="B181" s="1">
        <v>0.0</v>
      </c>
      <c r="C181" s="1">
        <v>0.0</v>
      </c>
      <c r="D181" s="1">
        <v>29.74</v>
      </c>
      <c r="E181" s="1">
        <v>0.0</v>
      </c>
      <c r="F181" s="54">
        <v>44371.0</v>
      </c>
      <c r="G181" s="1">
        <v>0.0</v>
      </c>
      <c r="H181" s="1">
        <v>25.78</v>
      </c>
      <c r="I181" s="14">
        <v>44393.0</v>
      </c>
      <c r="J181" s="55" t="s">
        <v>2879</v>
      </c>
      <c r="K181" s="15" t="s">
        <v>3059</v>
      </c>
      <c r="L181" s="33" t="str">
        <f t="shared" si="1"/>
        <v>Not in buy Zone</v>
      </c>
      <c r="M181" s="33" t="str">
        <f t="shared" si="2"/>
        <v>Not in buy Zone</v>
      </c>
      <c r="N181" s="33" t="str">
        <f t="shared" si="3"/>
        <v>No</v>
      </c>
    </row>
    <row r="182" ht="11.25" customHeight="1">
      <c r="A182" s="1" t="s">
        <v>210</v>
      </c>
      <c r="B182" s="1">
        <v>0.0</v>
      </c>
      <c r="C182" s="1">
        <v>0.0</v>
      </c>
      <c r="D182" s="1">
        <v>0.0</v>
      </c>
      <c r="E182" s="1">
        <v>39.31</v>
      </c>
      <c r="F182" s="54">
        <v>44392.0</v>
      </c>
      <c r="G182" s="1">
        <v>0.0</v>
      </c>
      <c r="H182" s="1">
        <v>38.29</v>
      </c>
      <c r="I182" s="14">
        <v>44393.0</v>
      </c>
      <c r="J182" s="55" t="s">
        <v>2879</v>
      </c>
      <c r="K182" s="15" t="s">
        <v>3060</v>
      </c>
      <c r="L182" s="33" t="str">
        <f t="shared" si="1"/>
        <v>Not in buy Zone</v>
      </c>
      <c r="M182" s="33" t="str">
        <f t="shared" si="2"/>
        <v>Not in buy Zone</v>
      </c>
      <c r="N182" s="33" t="str">
        <f t="shared" si="3"/>
        <v>No</v>
      </c>
    </row>
    <row r="183" ht="11.25" customHeight="1">
      <c r="A183" s="1" t="s">
        <v>211</v>
      </c>
      <c r="B183" s="1">
        <v>0.0</v>
      </c>
      <c r="C183" s="1">
        <v>0.0</v>
      </c>
      <c r="D183" s="1">
        <v>355.39</v>
      </c>
      <c r="E183" s="1">
        <v>0.0</v>
      </c>
      <c r="F183" s="54">
        <v>44340.0</v>
      </c>
      <c r="G183" s="1">
        <v>0.0</v>
      </c>
      <c r="H183" s="1">
        <v>448.69</v>
      </c>
      <c r="I183" s="14">
        <v>44393.0</v>
      </c>
      <c r="J183" s="55" t="s">
        <v>2879</v>
      </c>
      <c r="K183" s="15" t="s">
        <v>3061</v>
      </c>
      <c r="L183" s="33" t="str">
        <f t="shared" si="1"/>
        <v>Not in buy Zone</v>
      </c>
      <c r="M183" s="33" t="str">
        <f t="shared" si="2"/>
        <v>Not in buy Zone</v>
      </c>
      <c r="N183" s="33" t="str">
        <f t="shared" si="3"/>
        <v>No</v>
      </c>
    </row>
    <row r="184" ht="11.25" customHeight="1">
      <c r="A184" s="1" t="s">
        <v>212</v>
      </c>
      <c r="B184" s="1">
        <v>0.0</v>
      </c>
      <c r="C184" s="1">
        <v>0.0</v>
      </c>
      <c r="D184" s="1">
        <v>0.0</v>
      </c>
      <c r="E184" s="1">
        <v>140.45</v>
      </c>
      <c r="F184" s="54">
        <v>44385.0</v>
      </c>
      <c r="G184" s="1">
        <v>0.0</v>
      </c>
      <c r="H184" s="1">
        <v>143.1</v>
      </c>
      <c r="I184" s="14">
        <v>44393.0</v>
      </c>
      <c r="J184" s="55" t="s">
        <v>2879</v>
      </c>
      <c r="K184" s="15" t="s">
        <v>3062</v>
      </c>
      <c r="L184" s="33" t="str">
        <f t="shared" si="1"/>
        <v>Not in buy Zone</v>
      </c>
      <c r="M184" s="33" t="str">
        <f t="shared" si="2"/>
        <v>Not in buy Zone</v>
      </c>
      <c r="N184" s="33" t="str">
        <f t="shared" si="3"/>
        <v>No</v>
      </c>
    </row>
    <row r="185" ht="11.25" customHeight="1">
      <c r="A185" s="1" t="s">
        <v>213</v>
      </c>
      <c r="B185" s="1">
        <v>0.0</v>
      </c>
      <c r="C185" s="1">
        <v>0.0</v>
      </c>
      <c r="D185" s="1">
        <v>0.0</v>
      </c>
      <c r="E185" s="1">
        <v>68.74</v>
      </c>
      <c r="F185" s="54">
        <v>44390.0</v>
      </c>
      <c r="G185" s="1">
        <v>0.0</v>
      </c>
      <c r="H185" s="1">
        <v>68.18</v>
      </c>
      <c r="I185" s="14">
        <v>44393.0</v>
      </c>
      <c r="J185" s="55" t="s">
        <v>2879</v>
      </c>
      <c r="K185" s="15" t="s">
        <v>3063</v>
      </c>
      <c r="L185" s="33" t="str">
        <f t="shared" si="1"/>
        <v>Not in buy Zone</v>
      </c>
      <c r="M185" s="33" t="str">
        <f t="shared" si="2"/>
        <v>Not in buy Zone</v>
      </c>
      <c r="N185" s="33" t="str">
        <f t="shared" si="3"/>
        <v>No</v>
      </c>
    </row>
    <row r="186" ht="11.25" customHeight="1">
      <c r="A186" s="1" t="s">
        <v>214</v>
      </c>
      <c r="B186" s="1">
        <v>0.0</v>
      </c>
      <c r="C186" s="1">
        <v>0.0</v>
      </c>
      <c r="D186" s="1">
        <v>214.5</v>
      </c>
      <c r="E186" s="1">
        <v>0.0</v>
      </c>
      <c r="F186" s="54">
        <v>44358.0</v>
      </c>
      <c r="G186" s="1">
        <v>0.0</v>
      </c>
      <c r="H186" s="1">
        <v>215.28</v>
      </c>
      <c r="I186" s="14">
        <v>44393.0</v>
      </c>
      <c r="J186" s="55" t="s">
        <v>2879</v>
      </c>
      <c r="K186" s="15" t="s">
        <v>3064</v>
      </c>
      <c r="L186" s="33" t="str">
        <f t="shared" si="1"/>
        <v>Not in buy Zone</v>
      </c>
      <c r="M186" s="33" t="str">
        <f t="shared" si="2"/>
        <v>Not in buy Zone</v>
      </c>
      <c r="N186" s="33" t="str">
        <f t="shared" si="3"/>
        <v>No</v>
      </c>
    </row>
    <row r="187" ht="11.25" customHeight="1">
      <c r="A187" s="1" t="s">
        <v>215</v>
      </c>
      <c r="B187" s="1">
        <v>0.0</v>
      </c>
      <c r="C187" s="1">
        <v>0.0</v>
      </c>
      <c r="D187" s="1">
        <v>77.23</v>
      </c>
      <c r="E187" s="1">
        <v>0.0</v>
      </c>
      <c r="F187" s="54">
        <v>44358.0</v>
      </c>
      <c r="G187" s="1">
        <v>0.0</v>
      </c>
      <c r="H187" s="1">
        <v>74.93</v>
      </c>
      <c r="I187" s="14">
        <v>44393.0</v>
      </c>
      <c r="J187" s="55" t="s">
        <v>2879</v>
      </c>
      <c r="K187" s="15" t="s">
        <v>3065</v>
      </c>
      <c r="L187" s="33" t="str">
        <f t="shared" si="1"/>
        <v>Not in buy Zone</v>
      </c>
      <c r="M187" s="33" t="str">
        <f t="shared" si="2"/>
        <v>Not in buy Zone</v>
      </c>
      <c r="N187" s="33" t="str">
        <f t="shared" si="3"/>
        <v>No</v>
      </c>
    </row>
    <row r="188" ht="11.25" customHeight="1">
      <c r="A188" s="1" t="s">
        <v>216</v>
      </c>
      <c r="B188" s="1">
        <v>0.0</v>
      </c>
      <c r="C188" s="1">
        <v>0.0</v>
      </c>
      <c r="D188" s="1">
        <v>0.0</v>
      </c>
      <c r="E188" s="1">
        <v>54.84</v>
      </c>
      <c r="F188" s="54">
        <v>44378.0</v>
      </c>
      <c r="G188" s="1">
        <v>0.0</v>
      </c>
      <c r="H188" s="1">
        <v>53.59</v>
      </c>
      <c r="I188" s="14">
        <v>44393.0</v>
      </c>
      <c r="J188" s="55" t="s">
        <v>2879</v>
      </c>
      <c r="K188" s="15" t="s">
        <v>3066</v>
      </c>
      <c r="L188" s="33" t="str">
        <f t="shared" si="1"/>
        <v>Not in buy Zone</v>
      </c>
      <c r="M188" s="33" t="str">
        <f t="shared" si="2"/>
        <v>Not in buy Zone</v>
      </c>
      <c r="N188" s="33" t="str">
        <f t="shared" si="3"/>
        <v>No</v>
      </c>
    </row>
    <row r="189" ht="11.25" customHeight="1">
      <c r="A189" s="1" t="s">
        <v>217</v>
      </c>
      <c r="B189" s="1">
        <v>0.0</v>
      </c>
      <c r="C189" s="1">
        <v>0.0</v>
      </c>
      <c r="D189" s="1">
        <v>0.0</v>
      </c>
      <c r="E189" s="1">
        <v>78.9</v>
      </c>
      <c r="F189" s="54">
        <v>44392.0</v>
      </c>
      <c r="G189" s="1">
        <v>0.0</v>
      </c>
      <c r="H189" s="1">
        <v>78.32</v>
      </c>
      <c r="I189" s="14">
        <v>44393.0</v>
      </c>
      <c r="J189" s="55" t="s">
        <v>2879</v>
      </c>
      <c r="K189" s="15" t="s">
        <v>3067</v>
      </c>
      <c r="L189" s="33" t="str">
        <f t="shared" si="1"/>
        <v>Not in buy Zone</v>
      </c>
      <c r="M189" s="33" t="str">
        <f t="shared" si="2"/>
        <v>Not in buy Zone</v>
      </c>
      <c r="N189" s="33" t="str">
        <f t="shared" si="3"/>
        <v>No</v>
      </c>
    </row>
    <row r="190" ht="11.25" customHeight="1">
      <c r="A190" s="1" t="s">
        <v>218</v>
      </c>
      <c r="B190" s="1">
        <v>0.0</v>
      </c>
      <c r="C190" s="1">
        <v>0.0</v>
      </c>
      <c r="D190" s="1">
        <v>231.43</v>
      </c>
      <c r="E190" s="1">
        <v>0.0</v>
      </c>
      <c r="F190" s="54">
        <v>44362.0</v>
      </c>
      <c r="G190" s="1">
        <v>0.0</v>
      </c>
      <c r="H190" s="1">
        <v>254.63</v>
      </c>
      <c r="I190" s="14">
        <v>44393.0</v>
      </c>
      <c r="J190" s="55" t="s">
        <v>2879</v>
      </c>
      <c r="K190" s="15" t="s">
        <v>3068</v>
      </c>
      <c r="L190" s="33" t="str">
        <f t="shared" si="1"/>
        <v>Not in buy Zone</v>
      </c>
      <c r="M190" s="33" t="str">
        <f t="shared" si="2"/>
        <v>Not in buy Zone</v>
      </c>
      <c r="N190" s="33" t="str">
        <f t="shared" si="3"/>
        <v>No</v>
      </c>
    </row>
    <row r="191" ht="11.25" customHeight="1">
      <c r="A191" s="1" t="s">
        <v>219</v>
      </c>
      <c r="B191" s="1">
        <v>0.0</v>
      </c>
      <c r="C191" s="1">
        <v>0.0</v>
      </c>
      <c r="D191" s="1">
        <v>0.0</v>
      </c>
      <c r="E191" s="1">
        <v>57.24</v>
      </c>
      <c r="F191" s="54">
        <v>44391.0</v>
      </c>
      <c r="G191" s="1">
        <v>0.0</v>
      </c>
      <c r="H191" s="1">
        <v>57.99</v>
      </c>
      <c r="I191" s="14">
        <v>44393.0</v>
      </c>
      <c r="J191" s="55" t="s">
        <v>2879</v>
      </c>
      <c r="K191" s="15" t="s">
        <v>3069</v>
      </c>
      <c r="L191" s="33" t="str">
        <f t="shared" si="1"/>
        <v>Not in buy Zone</v>
      </c>
      <c r="M191" s="33" t="str">
        <f t="shared" si="2"/>
        <v>Not in buy Zone</v>
      </c>
      <c r="N191" s="33" t="str">
        <f t="shared" si="3"/>
        <v>No</v>
      </c>
    </row>
    <row r="192" ht="11.25" customHeight="1">
      <c r="A192" s="1" t="s">
        <v>220</v>
      </c>
      <c r="B192" s="1">
        <v>0.0</v>
      </c>
      <c r="C192" s="1">
        <v>0.0</v>
      </c>
      <c r="D192" s="1">
        <v>303.22</v>
      </c>
      <c r="E192" s="1">
        <v>0.0</v>
      </c>
      <c r="F192" s="54">
        <v>44361.0</v>
      </c>
      <c r="G192" s="1">
        <v>0.0</v>
      </c>
      <c r="H192" s="1">
        <v>324.49</v>
      </c>
      <c r="I192" s="14">
        <v>44393.0</v>
      </c>
      <c r="J192" s="55" t="s">
        <v>2879</v>
      </c>
      <c r="K192" s="15" t="s">
        <v>3070</v>
      </c>
      <c r="L192" s="33" t="str">
        <f t="shared" si="1"/>
        <v>Not in buy Zone</v>
      </c>
      <c r="M192" s="33" t="str">
        <f t="shared" si="2"/>
        <v>Not in buy Zone</v>
      </c>
      <c r="N192" s="33" t="str">
        <f t="shared" si="3"/>
        <v>No</v>
      </c>
    </row>
    <row r="193" ht="11.25" customHeight="1">
      <c r="A193" s="1" t="s">
        <v>221</v>
      </c>
      <c r="B193" s="1">
        <v>0.0</v>
      </c>
      <c r="C193" s="1">
        <v>0.0</v>
      </c>
      <c r="D193" s="1">
        <v>35.02</v>
      </c>
      <c r="E193" s="1">
        <v>0.0</v>
      </c>
      <c r="F193" s="54">
        <v>44389.0</v>
      </c>
      <c r="G193" s="1">
        <v>0.0</v>
      </c>
      <c r="H193" s="1">
        <v>34.26</v>
      </c>
      <c r="I193" s="14">
        <v>44393.0</v>
      </c>
      <c r="J193" s="55" t="s">
        <v>2879</v>
      </c>
      <c r="K193" s="15" t="s">
        <v>3071</v>
      </c>
      <c r="L193" s="33" t="str">
        <f t="shared" si="1"/>
        <v>Not in buy Zone</v>
      </c>
      <c r="M193" s="33" t="str">
        <f t="shared" si="2"/>
        <v>Not in buy Zone</v>
      </c>
      <c r="N193" s="33" t="str">
        <f t="shared" si="3"/>
        <v>No</v>
      </c>
    </row>
    <row r="194" ht="11.25" customHeight="1">
      <c r="A194" s="1" t="s">
        <v>222</v>
      </c>
      <c r="B194" s="1">
        <v>0.0</v>
      </c>
      <c r="C194" s="1">
        <v>0.0</v>
      </c>
      <c r="D194" s="1">
        <v>0.0</v>
      </c>
      <c r="E194" s="1">
        <v>35.31</v>
      </c>
      <c r="F194" s="54">
        <v>44351.0</v>
      </c>
      <c r="G194" s="1">
        <v>0.0</v>
      </c>
      <c r="H194" s="1">
        <v>29.81</v>
      </c>
      <c r="I194" s="14">
        <v>44393.0</v>
      </c>
      <c r="J194" s="55" t="s">
        <v>2879</v>
      </c>
      <c r="K194" s="15" t="s">
        <v>3072</v>
      </c>
      <c r="L194" s="33" t="str">
        <f t="shared" si="1"/>
        <v>Not in buy Zone</v>
      </c>
      <c r="M194" s="33" t="str">
        <f t="shared" si="2"/>
        <v>Not in buy Zone</v>
      </c>
      <c r="N194" s="33" t="str">
        <f t="shared" si="3"/>
        <v>No</v>
      </c>
    </row>
    <row r="195" ht="11.25" customHeight="1">
      <c r="A195" s="1" t="s">
        <v>223</v>
      </c>
      <c r="B195" s="1">
        <v>0.0</v>
      </c>
      <c r="C195" s="1">
        <v>0.0</v>
      </c>
      <c r="D195" s="1">
        <v>112.3</v>
      </c>
      <c r="E195" s="1">
        <v>0.0</v>
      </c>
      <c r="F195" s="54">
        <v>44391.0</v>
      </c>
      <c r="G195" s="1">
        <v>0.0</v>
      </c>
      <c r="H195" s="1">
        <v>112.5</v>
      </c>
      <c r="I195" s="14">
        <v>44393.0</v>
      </c>
      <c r="J195" s="55" t="s">
        <v>2879</v>
      </c>
      <c r="K195" s="15" t="s">
        <v>3073</v>
      </c>
      <c r="L195" s="33" t="str">
        <f t="shared" si="1"/>
        <v>Not in buy Zone</v>
      </c>
      <c r="M195" s="33" t="str">
        <f t="shared" si="2"/>
        <v>Not in buy Zone</v>
      </c>
      <c r="N195" s="33" t="str">
        <f t="shared" si="3"/>
        <v>No</v>
      </c>
    </row>
    <row r="196" ht="11.25" customHeight="1">
      <c r="A196" s="1" t="s">
        <v>224</v>
      </c>
      <c r="B196" s="1">
        <v>0.0</v>
      </c>
      <c r="C196" s="1">
        <v>0.0</v>
      </c>
      <c r="D196" s="1">
        <v>0.0</v>
      </c>
      <c r="E196" s="1">
        <v>124.97</v>
      </c>
      <c r="F196" s="54">
        <v>44357.0</v>
      </c>
      <c r="G196" s="1">
        <v>0.0</v>
      </c>
      <c r="H196" s="1">
        <v>109.2</v>
      </c>
      <c r="I196" s="14">
        <v>44393.0</v>
      </c>
      <c r="J196" s="55" t="s">
        <v>2879</v>
      </c>
      <c r="K196" s="15" t="s">
        <v>3074</v>
      </c>
      <c r="L196" s="33" t="str">
        <f t="shared" si="1"/>
        <v>Not in buy Zone</v>
      </c>
      <c r="M196" s="33" t="str">
        <f t="shared" si="2"/>
        <v>Not in buy Zone</v>
      </c>
      <c r="N196" s="33" t="str">
        <f t="shared" si="3"/>
        <v>No</v>
      </c>
    </row>
    <row r="197" ht="11.25" customHeight="1">
      <c r="A197" s="1" t="s">
        <v>225</v>
      </c>
      <c r="B197" s="1">
        <v>0.0</v>
      </c>
      <c r="C197" s="1">
        <v>0.0</v>
      </c>
      <c r="D197" s="1">
        <v>96.24</v>
      </c>
      <c r="E197" s="1">
        <v>0.0</v>
      </c>
      <c r="F197" s="54">
        <v>44377.0</v>
      </c>
      <c r="G197" s="1">
        <v>0.0</v>
      </c>
      <c r="H197" s="1">
        <v>97.26</v>
      </c>
      <c r="I197" s="14">
        <v>44393.0</v>
      </c>
      <c r="J197" s="55" t="s">
        <v>2879</v>
      </c>
      <c r="K197" s="15" t="s">
        <v>3075</v>
      </c>
      <c r="L197" s="33" t="str">
        <f t="shared" si="1"/>
        <v>Not in buy Zone</v>
      </c>
      <c r="M197" s="33" t="str">
        <f t="shared" si="2"/>
        <v>Not in buy Zone</v>
      </c>
      <c r="N197" s="33" t="str">
        <f t="shared" si="3"/>
        <v>No</v>
      </c>
    </row>
    <row r="198" ht="11.25" customHeight="1">
      <c r="A198" s="1" t="s">
        <v>226</v>
      </c>
      <c r="B198" s="1">
        <v>0.0</v>
      </c>
      <c r="C198" s="1">
        <v>0.0</v>
      </c>
      <c r="D198" s="1">
        <v>0.0</v>
      </c>
      <c r="E198" s="1">
        <v>134.13</v>
      </c>
      <c r="F198" s="54">
        <v>44350.0</v>
      </c>
      <c r="G198" s="1">
        <v>0.0</v>
      </c>
      <c r="H198" s="1">
        <v>163.45</v>
      </c>
      <c r="I198" s="14">
        <v>44393.0</v>
      </c>
      <c r="J198" s="55" t="s">
        <v>2879</v>
      </c>
      <c r="K198" s="15" t="s">
        <v>3076</v>
      </c>
      <c r="L198" s="33" t="str">
        <f t="shared" si="1"/>
        <v>Not in buy Zone</v>
      </c>
      <c r="M198" s="33" t="str">
        <f t="shared" si="2"/>
        <v>Not in buy Zone</v>
      </c>
      <c r="N198" s="33" t="str">
        <f t="shared" si="3"/>
        <v>No</v>
      </c>
    </row>
    <row r="199" ht="11.25" customHeight="1">
      <c r="A199" s="1" t="s">
        <v>227</v>
      </c>
      <c r="B199" s="1">
        <v>0.0</v>
      </c>
      <c r="C199" s="1">
        <v>0.0</v>
      </c>
      <c r="D199" s="1">
        <v>85.7</v>
      </c>
      <c r="E199" s="1">
        <v>0.0</v>
      </c>
      <c r="F199" s="54">
        <v>44370.0</v>
      </c>
      <c r="G199" s="1">
        <v>0.0</v>
      </c>
      <c r="H199" s="1">
        <v>73.91</v>
      </c>
      <c r="I199" s="14">
        <v>44393.0</v>
      </c>
      <c r="J199" s="55" t="s">
        <v>2879</v>
      </c>
      <c r="K199" s="15" t="s">
        <v>3077</v>
      </c>
      <c r="L199" s="33" t="str">
        <f t="shared" si="1"/>
        <v>Not in buy Zone</v>
      </c>
      <c r="M199" s="33" t="str">
        <f t="shared" si="2"/>
        <v>Not in buy Zone</v>
      </c>
      <c r="N199" s="33" t="str">
        <f t="shared" si="3"/>
        <v>No</v>
      </c>
    </row>
    <row r="200" ht="11.25" customHeight="1">
      <c r="A200" s="1" t="s">
        <v>228</v>
      </c>
      <c r="B200" s="1">
        <v>0.0</v>
      </c>
      <c r="C200" s="1">
        <v>0.0</v>
      </c>
      <c r="D200" s="1">
        <v>31.9</v>
      </c>
      <c r="E200" s="1">
        <v>0.0</v>
      </c>
      <c r="F200" s="54">
        <v>44362.0</v>
      </c>
      <c r="G200" s="1">
        <v>0.0</v>
      </c>
      <c r="H200" s="1">
        <v>28.83</v>
      </c>
      <c r="I200" s="14">
        <v>44393.0</v>
      </c>
      <c r="J200" s="55" t="s">
        <v>2879</v>
      </c>
      <c r="K200" s="15" t="s">
        <v>3078</v>
      </c>
      <c r="L200" s="33" t="str">
        <f t="shared" si="1"/>
        <v>Not in buy Zone</v>
      </c>
      <c r="M200" s="33" t="str">
        <f t="shared" si="2"/>
        <v>Not in buy Zone</v>
      </c>
      <c r="N200" s="33" t="str">
        <f t="shared" si="3"/>
        <v>No</v>
      </c>
    </row>
    <row r="201" ht="11.25" customHeight="1">
      <c r="A201" s="1" t="s">
        <v>229</v>
      </c>
      <c r="B201" s="1">
        <v>0.0</v>
      </c>
      <c r="C201" s="1">
        <v>0.0</v>
      </c>
      <c r="D201" s="1">
        <v>819.11</v>
      </c>
      <c r="E201" s="1">
        <v>0.0</v>
      </c>
      <c r="F201" s="54">
        <v>44383.0</v>
      </c>
      <c r="G201" s="1">
        <v>0.0</v>
      </c>
      <c r="H201" s="1">
        <v>831.47</v>
      </c>
      <c r="I201" s="14">
        <v>44393.0</v>
      </c>
      <c r="J201" s="55" t="s">
        <v>2879</v>
      </c>
      <c r="K201" s="15" t="s">
        <v>3079</v>
      </c>
      <c r="L201" s="33" t="str">
        <f t="shared" si="1"/>
        <v>Not in buy Zone</v>
      </c>
      <c r="M201" s="33" t="str">
        <f t="shared" si="2"/>
        <v>Not in buy Zone</v>
      </c>
      <c r="N201" s="33" t="str">
        <f t="shared" si="3"/>
        <v>No</v>
      </c>
    </row>
    <row r="202" ht="11.25" customHeight="1">
      <c r="A202" s="1" t="s">
        <v>230</v>
      </c>
      <c r="B202" s="1">
        <v>0.0</v>
      </c>
      <c r="C202" s="1">
        <v>0.0</v>
      </c>
      <c r="D202" s="1">
        <v>78.91</v>
      </c>
      <c r="E202" s="1">
        <v>0.0</v>
      </c>
      <c r="F202" s="54">
        <v>44383.0</v>
      </c>
      <c r="G202" s="1">
        <v>0.0</v>
      </c>
      <c r="H202" s="1">
        <v>83.76</v>
      </c>
      <c r="I202" s="14">
        <v>44393.0</v>
      </c>
      <c r="J202" s="55" t="s">
        <v>2879</v>
      </c>
      <c r="K202" s="15" t="s">
        <v>3080</v>
      </c>
      <c r="L202" s="33" t="str">
        <f t="shared" si="1"/>
        <v>Not in buy Zone</v>
      </c>
      <c r="M202" s="33" t="str">
        <f t="shared" si="2"/>
        <v>Not in buy Zone</v>
      </c>
      <c r="N202" s="33" t="str">
        <f t="shared" si="3"/>
        <v>No</v>
      </c>
    </row>
    <row r="203" ht="11.25" customHeight="1">
      <c r="A203" s="1" t="s">
        <v>231</v>
      </c>
      <c r="B203" s="1">
        <v>0.0</v>
      </c>
      <c r="C203" s="1">
        <v>0.0</v>
      </c>
      <c r="D203" s="1">
        <v>81.46</v>
      </c>
      <c r="E203" s="1">
        <v>0.0</v>
      </c>
      <c r="F203" s="54">
        <v>44375.0</v>
      </c>
      <c r="G203" s="1">
        <v>0.0</v>
      </c>
      <c r="H203" s="1">
        <v>87.36</v>
      </c>
      <c r="I203" s="14">
        <v>44393.0</v>
      </c>
      <c r="J203" s="55" t="s">
        <v>2879</v>
      </c>
      <c r="K203" s="15" t="s">
        <v>3081</v>
      </c>
      <c r="L203" s="33" t="str">
        <f t="shared" si="1"/>
        <v>Not in buy Zone</v>
      </c>
      <c r="M203" s="33" t="str">
        <f t="shared" si="2"/>
        <v>Not in buy Zone</v>
      </c>
      <c r="N203" s="33" t="str">
        <f t="shared" si="3"/>
        <v>No</v>
      </c>
    </row>
    <row r="204" ht="11.25" customHeight="1">
      <c r="A204" s="1" t="s">
        <v>232</v>
      </c>
      <c r="B204" s="1">
        <v>0.0</v>
      </c>
      <c r="C204" s="1">
        <v>0.0</v>
      </c>
      <c r="D204" s="1">
        <v>308.81</v>
      </c>
      <c r="E204" s="1">
        <v>0.0</v>
      </c>
      <c r="F204" s="54">
        <v>44383.0</v>
      </c>
      <c r="G204" s="1">
        <v>0.0</v>
      </c>
      <c r="H204" s="1">
        <v>328.33</v>
      </c>
      <c r="I204" s="14">
        <v>44393.0</v>
      </c>
      <c r="J204" s="55" t="s">
        <v>2879</v>
      </c>
      <c r="K204" s="15" t="s">
        <v>3082</v>
      </c>
      <c r="L204" s="33" t="str">
        <f t="shared" si="1"/>
        <v>Not in buy Zone</v>
      </c>
      <c r="M204" s="33" t="str">
        <f t="shared" si="2"/>
        <v>Not in buy Zone</v>
      </c>
      <c r="N204" s="33" t="str">
        <f t="shared" si="3"/>
        <v>No</v>
      </c>
    </row>
    <row r="205" ht="11.25" customHeight="1">
      <c r="A205" s="1" t="s">
        <v>233</v>
      </c>
      <c r="B205" s="1">
        <v>0.0</v>
      </c>
      <c r="C205" s="1">
        <v>0.0</v>
      </c>
      <c r="D205" s="1">
        <v>145.65</v>
      </c>
      <c r="E205" s="1">
        <v>0.0</v>
      </c>
      <c r="F205" s="54">
        <v>44371.0</v>
      </c>
      <c r="G205" s="1">
        <v>0.0</v>
      </c>
      <c r="H205" s="1">
        <v>152.74</v>
      </c>
      <c r="I205" s="14">
        <v>44393.0</v>
      </c>
      <c r="J205" s="55" t="s">
        <v>2879</v>
      </c>
      <c r="K205" s="15" t="s">
        <v>3083</v>
      </c>
      <c r="L205" s="33" t="str">
        <f t="shared" si="1"/>
        <v>Not in buy Zone</v>
      </c>
      <c r="M205" s="33" t="str">
        <f t="shared" si="2"/>
        <v>Not in buy Zone</v>
      </c>
      <c r="N205" s="33" t="str">
        <f t="shared" si="3"/>
        <v>No</v>
      </c>
    </row>
    <row r="206" ht="11.25" customHeight="1">
      <c r="A206" s="1" t="s">
        <v>234</v>
      </c>
      <c r="B206" s="1">
        <v>0.0</v>
      </c>
      <c r="C206" s="1">
        <v>0.0</v>
      </c>
      <c r="D206" s="1">
        <v>0.0</v>
      </c>
      <c r="E206" s="1">
        <v>101.66</v>
      </c>
      <c r="F206" s="54">
        <v>44390.0</v>
      </c>
      <c r="G206" s="1">
        <v>0.0</v>
      </c>
      <c r="H206" s="1">
        <v>104.72</v>
      </c>
      <c r="I206" s="14">
        <v>44393.0</v>
      </c>
      <c r="J206" s="55" t="s">
        <v>2879</v>
      </c>
      <c r="K206" s="15" t="s">
        <v>3084</v>
      </c>
      <c r="L206" s="33" t="str">
        <f t="shared" si="1"/>
        <v>Not in buy Zone</v>
      </c>
      <c r="M206" s="33" t="str">
        <f t="shared" si="2"/>
        <v>Not in buy Zone</v>
      </c>
      <c r="N206" s="33" t="str">
        <f t="shared" si="3"/>
        <v>No</v>
      </c>
    </row>
    <row r="207" ht="11.25" customHeight="1">
      <c r="A207" s="1" t="s">
        <v>235</v>
      </c>
      <c r="B207" s="1">
        <v>0.0</v>
      </c>
      <c r="C207" s="1">
        <v>0.0</v>
      </c>
      <c r="D207" s="1">
        <v>0.0</v>
      </c>
      <c r="E207" s="1">
        <v>188.5</v>
      </c>
      <c r="F207" s="54">
        <v>44390.0</v>
      </c>
      <c r="G207" s="1">
        <v>0.0</v>
      </c>
      <c r="H207" s="1">
        <v>184.42</v>
      </c>
      <c r="I207" s="14">
        <v>44393.0</v>
      </c>
      <c r="J207" s="55" t="s">
        <v>2879</v>
      </c>
      <c r="K207" s="15" t="s">
        <v>3085</v>
      </c>
      <c r="L207" s="33" t="str">
        <f t="shared" si="1"/>
        <v>Not in buy Zone</v>
      </c>
      <c r="M207" s="33" t="str">
        <f t="shared" si="2"/>
        <v>Not in buy Zone</v>
      </c>
      <c r="N207" s="33" t="str">
        <f t="shared" si="3"/>
        <v>No</v>
      </c>
    </row>
    <row r="208" ht="11.25" customHeight="1">
      <c r="A208" s="1" t="s">
        <v>236</v>
      </c>
      <c r="B208" s="1">
        <v>0.0</v>
      </c>
      <c r="C208" s="1">
        <v>0.0</v>
      </c>
      <c r="D208" s="1">
        <v>61.81</v>
      </c>
      <c r="E208" s="1">
        <v>0.0</v>
      </c>
      <c r="F208" s="54">
        <v>44385.0</v>
      </c>
      <c r="G208" s="1">
        <v>0.0</v>
      </c>
      <c r="H208" s="1">
        <v>64.56</v>
      </c>
      <c r="I208" s="14">
        <v>44393.0</v>
      </c>
      <c r="J208" s="55" t="s">
        <v>2879</v>
      </c>
      <c r="K208" s="15" t="s">
        <v>3086</v>
      </c>
      <c r="L208" s="33" t="str">
        <f t="shared" si="1"/>
        <v>Not in buy Zone</v>
      </c>
      <c r="M208" s="33" t="str">
        <f t="shared" si="2"/>
        <v>Not in buy Zone</v>
      </c>
      <c r="N208" s="33" t="str">
        <f t="shared" si="3"/>
        <v>No</v>
      </c>
    </row>
    <row r="209" ht="11.25" customHeight="1">
      <c r="A209" s="1" t="s">
        <v>237</v>
      </c>
      <c r="B209" s="1">
        <v>0.0</v>
      </c>
      <c r="C209" s="1">
        <v>0.0</v>
      </c>
      <c r="D209" s="1">
        <v>92.8</v>
      </c>
      <c r="E209" s="1">
        <v>0.0</v>
      </c>
      <c r="F209" s="54">
        <v>44336.0</v>
      </c>
      <c r="G209" s="1">
        <v>0.0</v>
      </c>
      <c r="H209" s="1">
        <v>106.92</v>
      </c>
      <c r="I209" s="14">
        <v>44393.0</v>
      </c>
      <c r="J209" s="55" t="s">
        <v>2879</v>
      </c>
      <c r="K209" s="15" t="s">
        <v>3087</v>
      </c>
      <c r="L209" s="33" t="str">
        <f t="shared" si="1"/>
        <v>Not in buy Zone</v>
      </c>
      <c r="M209" s="33" t="str">
        <f t="shared" si="2"/>
        <v>Not in buy Zone</v>
      </c>
      <c r="N209" s="33" t="str">
        <f t="shared" si="3"/>
        <v>No</v>
      </c>
    </row>
    <row r="210" ht="11.25" customHeight="1">
      <c r="A210" s="1" t="s">
        <v>238</v>
      </c>
      <c r="B210" s="1">
        <v>0.0</v>
      </c>
      <c r="C210" s="1">
        <v>0.0</v>
      </c>
      <c r="D210" s="1">
        <v>37.7</v>
      </c>
      <c r="E210" s="1">
        <v>0.0</v>
      </c>
      <c r="F210" s="54">
        <v>44372.0</v>
      </c>
      <c r="G210" s="1">
        <v>0.0</v>
      </c>
      <c r="H210" s="1">
        <v>36.33</v>
      </c>
      <c r="I210" s="14">
        <v>44393.0</v>
      </c>
      <c r="J210" s="55" t="s">
        <v>2879</v>
      </c>
      <c r="K210" s="15" t="s">
        <v>3088</v>
      </c>
      <c r="L210" s="33" t="str">
        <f t="shared" si="1"/>
        <v>Not in buy Zone</v>
      </c>
      <c r="M210" s="33" t="str">
        <f t="shared" si="2"/>
        <v>Not in buy Zone</v>
      </c>
      <c r="N210" s="33" t="str">
        <f t="shared" si="3"/>
        <v>No</v>
      </c>
    </row>
    <row r="211" ht="11.25" customHeight="1">
      <c r="A211" s="1" t="s">
        <v>239</v>
      </c>
      <c r="B211" s="1">
        <v>0.0</v>
      </c>
      <c r="C211" s="1">
        <v>0.0</v>
      </c>
      <c r="D211" s="1">
        <v>0.0</v>
      </c>
      <c r="E211" s="1">
        <v>34.59</v>
      </c>
      <c r="F211" s="54">
        <v>44392.0</v>
      </c>
      <c r="G211" s="1">
        <v>0.0</v>
      </c>
      <c r="H211" s="1">
        <v>34.31</v>
      </c>
      <c r="I211" s="14">
        <v>44393.0</v>
      </c>
      <c r="J211" s="55" t="s">
        <v>2879</v>
      </c>
      <c r="K211" s="15" t="s">
        <v>3089</v>
      </c>
      <c r="L211" s="33" t="str">
        <f t="shared" si="1"/>
        <v>Not in buy Zone</v>
      </c>
      <c r="M211" s="33" t="str">
        <f t="shared" si="2"/>
        <v>Not in buy Zone</v>
      </c>
      <c r="N211" s="33" t="str">
        <f t="shared" si="3"/>
        <v>No</v>
      </c>
    </row>
    <row r="212" ht="11.25" customHeight="1">
      <c r="A212" s="1" t="s">
        <v>240</v>
      </c>
      <c r="B212" s="1">
        <v>0.0</v>
      </c>
      <c r="C212" s="1">
        <v>0.0</v>
      </c>
      <c r="D212" s="1">
        <v>27.03</v>
      </c>
      <c r="E212" s="1">
        <v>0.0</v>
      </c>
      <c r="F212" s="54">
        <v>44372.0</v>
      </c>
      <c r="G212" s="1">
        <v>0.0</v>
      </c>
      <c r="H212" s="1">
        <v>26.86</v>
      </c>
      <c r="I212" s="14">
        <v>44393.0</v>
      </c>
      <c r="J212" s="55" t="s">
        <v>2879</v>
      </c>
      <c r="K212" s="15" t="s">
        <v>3090</v>
      </c>
      <c r="L212" s="33" t="str">
        <f t="shared" si="1"/>
        <v>Not in buy Zone</v>
      </c>
      <c r="M212" s="33" t="str">
        <f t="shared" si="2"/>
        <v>Not in buy Zone</v>
      </c>
      <c r="N212" s="33" t="str">
        <f t="shared" si="3"/>
        <v>No</v>
      </c>
    </row>
    <row r="213" ht="11.25" customHeight="1">
      <c r="A213" s="1" t="s">
        <v>241</v>
      </c>
      <c r="B213" s="1">
        <v>0.0</v>
      </c>
      <c r="C213" s="1">
        <v>0.0</v>
      </c>
      <c r="D213" s="1">
        <v>0.0</v>
      </c>
      <c r="E213" s="1">
        <v>67.91</v>
      </c>
      <c r="F213" s="54">
        <v>44392.0</v>
      </c>
      <c r="G213" s="1">
        <v>0.0</v>
      </c>
      <c r="H213" s="1">
        <v>67.22</v>
      </c>
      <c r="I213" s="14">
        <v>44393.0</v>
      </c>
      <c r="J213" s="55" t="s">
        <v>2879</v>
      </c>
      <c r="K213" s="15" t="s">
        <v>3091</v>
      </c>
      <c r="L213" s="33" t="str">
        <f t="shared" si="1"/>
        <v>Not in buy Zone</v>
      </c>
      <c r="M213" s="33" t="str">
        <f t="shared" si="2"/>
        <v>Not in buy Zone</v>
      </c>
      <c r="N213" s="33" t="str">
        <f t="shared" si="3"/>
        <v>No</v>
      </c>
    </row>
    <row r="214" ht="11.25" customHeight="1">
      <c r="A214" s="1" t="s">
        <v>242</v>
      </c>
      <c r="B214" s="1">
        <v>0.0</v>
      </c>
      <c r="C214" s="1">
        <v>0.0</v>
      </c>
      <c r="D214" s="1">
        <v>63.26</v>
      </c>
      <c r="E214" s="1">
        <v>0.0</v>
      </c>
      <c r="F214" s="54">
        <v>44371.0</v>
      </c>
      <c r="G214" s="1">
        <v>0.0</v>
      </c>
      <c r="H214" s="1">
        <v>64.44</v>
      </c>
      <c r="I214" s="14">
        <v>44393.0</v>
      </c>
      <c r="J214" s="55" t="s">
        <v>2879</v>
      </c>
      <c r="K214" s="15" t="s">
        <v>3092</v>
      </c>
      <c r="L214" s="33" t="str">
        <f t="shared" si="1"/>
        <v>Not in buy Zone</v>
      </c>
      <c r="M214" s="33" t="str">
        <f t="shared" si="2"/>
        <v>Not in buy Zone</v>
      </c>
      <c r="N214" s="33" t="str">
        <f t="shared" si="3"/>
        <v>No</v>
      </c>
    </row>
    <row r="215" ht="11.25" customHeight="1">
      <c r="A215" s="1" t="s">
        <v>243</v>
      </c>
      <c r="B215" s="1">
        <v>0.0</v>
      </c>
      <c r="C215" s="1">
        <v>0.0</v>
      </c>
      <c r="D215" s="1">
        <v>0.0</v>
      </c>
      <c r="E215" s="1">
        <v>32.6</v>
      </c>
      <c r="F215" s="54">
        <v>44392.0</v>
      </c>
      <c r="G215" s="1">
        <v>0.0</v>
      </c>
      <c r="H215" s="1">
        <v>32.31</v>
      </c>
      <c r="I215" s="14">
        <v>44393.0</v>
      </c>
      <c r="J215" s="55" t="s">
        <v>2879</v>
      </c>
      <c r="K215" s="15" t="s">
        <v>3093</v>
      </c>
      <c r="L215" s="33" t="str">
        <f t="shared" si="1"/>
        <v>Not in buy Zone</v>
      </c>
      <c r="M215" s="33" t="str">
        <f t="shared" si="2"/>
        <v>Not in buy Zone</v>
      </c>
      <c r="N215" s="33" t="str">
        <f t="shared" si="3"/>
        <v>No</v>
      </c>
    </row>
    <row r="216" ht="11.25" customHeight="1">
      <c r="A216" s="1" t="s">
        <v>244</v>
      </c>
      <c r="B216" s="1">
        <v>0.0</v>
      </c>
      <c r="C216" s="1">
        <v>0.0</v>
      </c>
      <c r="D216" s="1">
        <v>0.0</v>
      </c>
      <c r="E216" s="1">
        <v>92.6</v>
      </c>
      <c r="F216" s="54">
        <v>44378.0</v>
      </c>
      <c r="G216" s="1">
        <v>0.0</v>
      </c>
      <c r="H216" s="1">
        <v>90.71</v>
      </c>
      <c r="I216" s="14">
        <v>44393.0</v>
      </c>
      <c r="J216" s="55" t="s">
        <v>2879</v>
      </c>
      <c r="K216" s="15" t="s">
        <v>3094</v>
      </c>
      <c r="L216" s="33" t="str">
        <f t="shared" si="1"/>
        <v>Not in buy Zone</v>
      </c>
      <c r="M216" s="33" t="str">
        <f t="shared" si="2"/>
        <v>Not in buy Zone</v>
      </c>
      <c r="N216" s="33" t="str">
        <f t="shared" si="3"/>
        <v>No</v>
      </c>
    </row>
    <row r="217" ht="11.25" customHeight="1">
      <c r="A217" s="1" t="s">
        <v>245</v>
      </c>
      <c r="B217" s="1">
        <v>0.0</v>
      </c>
      <c r="C217" s="1">
        <v>0.0</v>
      </c>
      <c r="D217" s="1">
        <v>40.28</v>
      </c>
      <c r="E217" s="1">
        <v>0.0</v>
      </c>
      <c r="F217" s="54">
        <v>44391.0</v>
      </c>
      <c r="G217" s="1">
        <v>0.0</v>
      </c>
      <c r="H217" s="1">
        <v>39.29</v>
      </c>
      <c r="I217" s="14">
        <v>44393.0</v>
      </c>
      <c r="J217" s="55" t="s">
        <v>2879</v>
      </c>
      <c r="K217" s="15" t="s">
        <v>3095</v>
      </c>
      <c r="L217" s="33" t="str">
        <f t="shared" si="1"/>
        <v>Not in buy Zone</v>
      </c>
      <c r="M217" s="33" t="str">
        <f t="shared" si="2"/>
        <v>Not in buy Zone</v>
      </c>
      <c r="N217" s="33" t="str">
        <f t="shared" si="3"/>
        <v>No</v>
      </c>
    </row>
    <row r="218" ht="11.25" customHeight="1">
      <c r="A218" s="1" t="s">
        <v>246</v>
      </c>
      <c r="B218" s="1">
        <v>0.0</v>
      </c>
      <c r="C218" s="1">
        <v>0.0</v>
      </c>
      <c r="D218" s="1">
        <v>45.13</v>
      </c>
      <c r="E218" s="1">
        <v>0.0</v>
      </c>
      <c r="F218" s="54">
        <v>44379.0</v>
      </c>
      <c r="G218" s="1">
        <v>0.0</v>
      </c>
      <c r="H218" s="1">
        <v>45.99</v>
      </c>
      <c r="I218" s="14">
        <v>44393.0</v>
      </c>
      <c r="J218" s="55" t="s">
        <v>2879</v>
      </c>
      <c r="K218" s="15" t="s">
        <v>3096</v>
      </c>
      <c r="L218" s="33" t="str">
        <f t="shared" si="1"/>
        <v>Not in buy Zone</v>
      </c>
      <c r="M218" s="33" t="str">
        <f t="shared" si="2"/>
        <v>Not in buy Zone</v>
      </c>
      <c r="N218" s="33" t="str">
        <f t="shared" si="3"/>
        <v>No</v>
      </c>
    </row>
    <row r="219" ht="11.25" customHeight="1">
      <c r="A219" s="1" t="s">
        <v>247</v>
      </c>
      <c r="B219" s="1">
        <v>0.0</v>
      </c>
      <c r="C219" s="1">
        <v>126.8</v>
      </c>
      <c r="D219" s="1">
        <v>0.0</v>
      </c>
      <c r="E219" s="1">
        <v>0.0</v>
      </c>
      <c r="F219" s="54">
        <v>44393.0</v>
      </c>
      <c r="G219" s="1">
        <v>-1.0</v>
      </c>
      <c r="H219" s="1">
        <v>126.8</v>
      </c>
      <c r="I219" s="14">
        <v>44393.0</v>
      </c>
      <c r="J219" s="55" t="s">
        <v>2879</v>
      </c>
      <c r="K219" s="15" t="s">
        <v>3097</v>
      </c>
      <c r="L219" s="33" t="str">
        <f t="shared" si="1"/>
        <v>Not in buy Zone</v>
      </c>
      <c r="M219" s="33" t="str">
        <f t="shared" si="2"/>
        <v>Not in buy Zone</v>
      </c>
      <c r="N219" s="33" t="str">
        <f t="shared" si="3"/>
        <v>No</v>
      </c>
    </row>
    <row r="220" ht="11.25" customHeight="1">
      <c r="A220" s="1" t="s">
        <v>248</v>
      </c>
      <c r="B220" s="1">
        <v>0.0</v>
      </c>
      <c r="C220" s="1">
        <v>0.0</v>
      </c>
      <c r="D220" s="1">
        <v>170.05</v>
      </c>
      <c r="E220" s="1">
        <v>0.0</v>
      </c>
      <c r="F220" s="54">
        <v>44371.0</v>
      </c>
      <c r="G220" s="1">
        <v>0.0</v>
      </c>
      <c r="H220" s="1">
        <v>157.61</v>
      </c>
      <c r="I220" s="14">
        <v>44393.0</v>
      </c>
      <c r="J220" s="55" t="s">
        <v>2879</v>
      </c>
      <c r="K220" s="15" t="s">
        <v>3098</v>
      </c>
      <c r="L220" s="33" t="str">
        <f t="shared" si="1"/>
        <v>Not in buy Zone</v>
      </c>
      <c r="M220" s="33" t="str">
        <f t="shared" si="2"/>
        <v>Not in buy Zone</v>
      </c>
      <c r="N220" s="33" t="str">
        <f t="shared" si="3"/>
        <v>No</v>
      </c>
    </row>
    <row r="221" ht="11.25" customHeight="1">
      <c r="A221" s="1" t="s">
        <v>249</v>
      </c>
      <c r="B221" s="1">
        <v>0.0</v>
      </c>
      <c r="C221" s="1">
        <v>0.0</v>
      </c>
      <c r="D221" s="1">
        <v>146.04</v>
      </c>
      <c r="E221" s="1">
        <v>0.0</v>
      </c>
      <c r="F221" s="54">
        <v>44336.0</v>
      </c>
      <c r="G221" s="1">
        <v>0.0</v>
      </c>
      <c r="H221" s="1">
        <v>171.94</v>
      </c>
      <c r="I221" s="14">
        <v>44393.0</v>
      </c>
      <c r="J221" s="55" t="s">
        <v>2879</v>
      </c>
      <c r="K221" s="15" t="s">
        <v>3099</v>
      </c>
      <c r="L221" s="33" t="str">
        <f t="shared" si="1"/>
        <v>Not in buy Zone</v>
      </c>
      <c r="M221" s="33" t="str">
        <f t="shared" si="2"/>
        <v>Not in buy Zone</v>
      </c>
      <c r="N221" s="33" t="str">
        <f t="shared" si="3"/>
        <v>No</v>
      </c>
    </row>
    <row r="222" ht="11.25" customHeight="1">
      <c r="A222" s="1" t="s">
        <v>250</v>
      </c>
      <c r="B222" s="1">
        <v>0.0</v>
      </c>
      <c r="C222" s="1">
        <v>0.0</v>
      </c>
      <c r="D222" s="1">
        <v>49.73</v>
      </c>
      <c r="E222" s="1">
        <v>0.0</v>
      </c>
      <c r="F222" s="54">
        <v>44389.0</v>
      </c>
      <c r="G222" s="1">
        <v>0.0</v>
      </c>
      <c r="H222" s="1">
        <v>48.58</v>
      </c>
      <c r="I222" s="14">
        <v>44393.0</v>
      </c>
      <c r="J222" s="55" t="s">
        <v>2879</v>
      </c>
      <c r="K222" s="15" t="s">
        <v>3100</v>
      </c>
      <c r="L222" s="33" t="str">
        <f t="shared" si="1"/>
        <v>Not in buy Zone</v>
      </c>
      <c r="M222" s="33" t="str">
        <f t="shared" si="2"/>
        <v>Not in buy Zone</v>
      </c>
      <c r="N222" s="33" t="str">
        <f t="shared" si="3"/>
        <v>No</v>
      </c>
    </row>
    <row r="223" ht="11.25" customHeight="1">
      <c r="A223" s="1" t="s">
        <v>251</v>
      </c>
      <c r="B223" s="1">
        <v>0.0</v>
      </c>
      <c r="C223" s="1">
        <v>0.0</v>
      </c>
      <c r="D223" s="1">
        <v>15.42</v>
      </c>
      <c r="E223" s="1">
        <v>0.0</v>
      </c>
      <c r="F223" s="54">
        <v>44370.0</v>
      </c>
      <c r="G223" s="1">
        <v>0.0</v>
      </c>
      <c r="H223" s="1">
        <v>13.61</v>
      </c>
      <c r="I223" s="14">
        <v>44393.0</v>
      </c>
      <c r="J223" s="55" t="s">
        <v>2879</v>
      </c>
      <c r="K223" s="15" t="s">
        <v>3101</v>
      </c>
      <c r="L223" s="33" t="str">
        <f t="shared" si="1"/>
        <v>Not in buy Zone</v>
      </c>
      <c r="M223" s="33" t="str">
        <f t="shared" si="2"/>
        <v>Not in buy Zone</v>
      </c>
      <c r="N223" s="33" t="str">
        <f t="shared" si="3"/>
        <v>No</v>
      </c>
    </row>
    <row r="224" ht="11.25" customHeight="1">
      <c r="A224" s="1" t="s">
        <v>252</v>
      </c>
      <c r="B224" s="1">
        <v>0.0</v>
      </c>
      <c r="C224" s="1">
        <v>0.0</v>
      </c>
      <c r="D224" s="1">
        <v>0.0</v>
      </c>
      <c r="E224" s="1">
        <v>86.89</v>
      </c>
      <c r="F224" s="54">
        <v>44364.0</v>
      </c>
      <c r="G224" s="1">
        <v>0.0</v>
      </c>
      <c r="H224" s="1">
        <v>78.36</v>
      </c>
      <c r="I224" s="14">
        <v>44393.0</v>
      </c>
      <c r="J224" s="55" t="s">
        <v>2879</v>
      </c>
      <c r="K224" s="15" t="s">
        <v>3102</v>
      </c>
      <c r="L224" s="33" t="str">
        <f t="shared" si="1"/>
        <v>Not in buy Zone</v>
      </c>
      <c r="M224" s="33" t="str">
        <f t="shared" si="2"/>
        <v>Not in buy Zone</v>
      </c>
      <c r="N224" s="33" t="str">
        <f t="shared" si="3"/>
        <v>No</v>
      </c>
    </row>
    <row r="225" ht="11.25" customHeight="1">
      <c r="A225" s="1" t="s">
        <v>253</v>
      </c>
      <c r="B225" s="1">
        <v>0.0</v>
      </c>
      <c r="C225" s="1">
        <v>0.0</v>
      </c>
      <c r="D225" s="1">
        <v>52.91</v>
      </c>
      <c r="E225" s="1">
        <v>0.0</v>
      </c>
      <c r="F225" s="54">
        <v>44342.0</v>
      </c>
      <c r="G225" s="1">
        <v>0.0</v>
      </c>
      <c r="H225" s="1">
        <v>53.59</v>
      </c>
      <c r="I225" s="14">
        <v>44393.0</v>
      </c>
      <c r="J225" s="55" t="s">
        <v>2879</v>
      </c>
      <c r="K225" s="15" t="s">
        <v>3103</v>
      </c>
      <c r="L225" s="33" t="str">
        <f t="shared" si="1"/>
        <v>Not in buy Zone</v>
      </c>
      <c r="M225" s="33" t="str">
        <f t="shared" si="2"/>
        <v>Not in buy Zone</v>
      </c>
      <c r="N225" s="33" t="str">
        <f t="shared" si="3"/>
        <v>No</v>
      </c>
    </row>
    <row r="226" ht="11.25" customHeight="1">
      <c r="A226" s="1" t="s">
        <v>254</v>
      </c>
      <c r="B226" s="1">
        <v>0.0</v>
      </c>
      <c r="C226" s="1">
        <v>0.0</v>
      </c>
      <c r="D226" s="1">
        <v>0.0</v>
      </c>
      <c r="E226" s="1">
        <v>331.08</v>
      </c>
      <c r="F226" s="54">
        <v>44363.0</v>
      </c>
      <c r="G226" s="1">
        <v>0.0</v>
      </c>
      <c r="H226" s="1">
        <v>341.16</v>
      </c>
      <c r="I226" s="14">
        <v>44393.0</v>
      </c>
      <c r="J226" s="55" t="s">
        <v>2879</v>
      </c>
      <c r="K226" s="15" t="s">
        <v>3104</v>
      </c>
      <c r="L226" s="33" t="str">
        <f t="shared" si="1"/>
        <v>Not in buy Zone</v>
      </c>
      <c r="M226" s="33" t="str">
        <f t="shared" si="2"/>
        <v>Not in buy Zone</v>
      </c>
      <c r="N226" s="33" t="str">
        <f t="shared" si="3"/>
        <v>No</v>
      </c>
    </row>
    <row r="227" ht="11.25" customHeight="1">
      <c r="A227" s="1" t="s">
        <v>255</v>
      </c>
      <c r="B227" s="1">
        <v>0.0</v>
      </c>
      <c r="C227" s="1">
        <v>0.0</v>
      </c>
      <c r="D227" s="1">
        <v>0.0</v>
      </c>
      <c r="E227" s="1">
        <v>97.26</v>
      </c>
      <c r="F227" s="54">
        <v>44383.0</v>
      </c>
      <c r="G227" s="1">
        <v>0.0</v>
      </c>
      <c r="H227" s="1">
        <v>95.41</v>
      </c>
      <c r="I227" s="14">
        <v>44393.0</v>
      </c>
      <c r="J227" s="55" t="s">
        <v>2879</v>
      </c>
      <c r="K227" s="15" t="s">
        <v>3105</v>
      </c>
      <c r="L227" s="33" t="str">
        <f t="shared" si="1"/>
        <v>Not in buy Zone</v>
      </c>
      <c r="M227" s="33" t="str">
        <f t="shared" si="2"/>
        <v>Not in buy Zone</v>
      </c>
      <c r="N227" s="33" t="str">
        <f t="shared" si="3"/>
        <v>No</v>
      </c>
    </row>
    <row r="228" ht="11.25" customHeight="1">
      <c r="A228" s="1" t="s">
        <v>256</v>
      </c>
      <c r="B228" s="1">
        <v>0.0</v>
      </c>
      <c r="C228" s="1">
        <v>0.0</v>
      </c>
      <c r="D228" s="1">
        <v>37.09</v>
      </c>
      <c r="E228" s="1">
        <v>0.0</v>
      </c>
      <c r="F228" s="54">
        <v>44378.0</v>
      </c>
      <c r="G228" s="1">
        <v>0.0</v>
      </c>
      <c r="H228" s="1">
        <v>33.2</v>
      </c>
      <c r="I228" s="14">
        <v>44393.0</v>
      </c>
      <c r="J228" s="55" t="s">
        <v>2879</v>
      </c>
      <c r="K228" s="15" t="s">
        <v>3106</v>
      </c>
      <c r="L228" s="33" t="str">
        <f t="shared" si="1"/>
        <v>Not in buy Zone</v>
      </c>
      <c r="M228" s="33" t="str">
        <f t="shared" si="2"/>
        <v>Not in buy Zone</v>
      </c>
      <c r="N228" s="33" t="str">
        <f t="shared" si="3"/>
        <v>No</v>
      </c>
    </row>
    <row r="229" ht="11.25" customHeight="1">
      <c r="A229" s="1" t="s">
        <v>257</v>
      </c>
      <c r="B229" s="1">
        <v>0.0</v>
      </c>
      <c r="C229" s="1">
        <v>0.0</v>
      </c>
      <c r="D229" s="1">
        <v>299.67</v>
      </c>
      <c r="E229" s="1">
        <v>0.0</v>
      </c>
      <c r="F229" s="54">
        <v>44389.0</v>
      </c>
      <c r="G229" s="1">
        <v>0.0</v>
      </c>
      <c r="H229" s="1">
        <v>292.49</v>
      </c>
      <c r="I229" s="14">
        <v>44393.0</v>
      </c>
      <c r="J229" s="55" t="s">
        <v>2879</v>
      </c>
      <c r="K229" s="15" t="s">
        <v>3107</v>
      </c>
      <c r="L229" s="33" t="str">
        <f t="shared" si="1"/>
        <v>Not in buy Zone</v>
      </c>
      <c r="M229" s="33" t="str">
        <f t="shared" si="2"/>
        <v>Not in buy Zone</v>
      </c>
      <c r="N229" s="33" t="str">
        <f t="shared" si="3"/>
        <v>No</v>
      </c>
    </row>
    <row r="230" ht="11.25" customHeight="1">
      <c r="A230" s="1" t="s">
        <v>258</v>
      </c>
      <c r="B230" s="1">
        <v>0.0</v>
      </c>
      <c r="C230" s="1">
        <v>0.0</v>
      </c>
      <c r="D230" s="1">
        <v>38.06</v>
      </c>
      <c r="E230" s="1">
        <v>0.0</v>
      </c>
      <c r="F230" s="54">
        <v>44375.0</v>
      </c>
      <c r="G230" s="1">
        <v>0.0</v>
      </c>
      <c r="H230" s="1">
        <v>37.79</v>
      </c>
      <c r="I230" s="14">
        <v>44393.0</v>
      </c>
      <c r="J230" s="55" t="s">
        <v>2879</v>
      </c>
      <c r="K230" s="15" t="s">
        <v>3108</v>
      </c>
      <c r="L230" s="33" t="str">
        <f t="shared" si="1"/>
        <v>Not in buy Zone</v>
      </c>
      <c r="M230" s="33" t="str">
        <f t="shared" si="2"/>
        <v>Not in buy Zone</v>
      </c>
      <c r="N230" s="33" t="str">
        <f t="shared" si="3"/>
        <v>No</v>
      </c>
    </row>
    <row r="231" ht="11.25" customHeight="1">
      <c r="A231" s="1" t="s">
        <v>259</v>
      </c>
      <c r="B231" s="1">
        <v>0.0</v>
      </c>
      <c r="C231" s="1">
        <v>0.0</v>
      </c>
      <c r="D231" s="1">
        <v>189.76</v>
      </c>
      <c r="E231" s="1">
        <v>0.0</v>
      </c>
      <c r="F231" s="54">
        <v>44372.0</v>
      </c>
      <c r="G231" s="1">
        <v>0.0</v>
      </c>
      <c r="H231" s="1">
        <v>185.63</v>
      </c>
      <c r="I231" s="14">
        <v>44393.0</v>
      </c>
      <c r="J231" s="55" t="s">
        <v>2879</v>
      </c>
      <c r="K231" s="15" t="s">
        <v>3109</v>
      </c>
      <c r="L231" s="33" t="str">
        <f t="shared" si="1"/>
        <v>Not in buy Zone</v>
      </c>
      <c r="M231" s="33" t="str">
        <f t="shared" si="2"/>
        <v>Not in buy Zone</v>
      </c>
      <c r="N231" s="33" t="str">
        <f t="shared" si="3"/>
        <v>No</v>
      </c>
    </row>
    <row r="232" ht="11.25" customHeight="1">
      <c r="A232" s="1" t="s">
        <v>260</v>
      </c>
      <c r="B232" s="1">
        <v>0.0</v>
      </c>
      <c r="C232" s="1">
        <v>0.0</v>
      </c>
      <c r="D232" s="1">
        <v>145.93</v>
      </c>
      <c r="E232" s="1">
        <v>0.0</v>
      </c>
      <c r="F232" s="54">
        <v>44369.0</v>
      </c>
      <c r="G232" s="1">
        <v>0.0</v>
      </c>
      <c r="H232" s="1">
        <v>148.54</v>
      </c>
      <c r="I232" s="14">
        <v>44393.0</v>
      </c>
      <c r="J232" s="55" t="s">
        <v>2879</v>
      </c>
      <c r="K232" s="15" t="s">
        <v>3110</v>
      </c>
      <c r="L232" s="33" t="str">
        <f t="shared" si="1"/>
        <v>Not in buy Zone</v>
      </c>
      <c r="M232" s="33" t="str">
        <f t="shared" si="2"/>
        <v>Not in buy Zone</v>
      </c>
      <c r="N232" s="33" t="str">
        <f t="shared" si="3"/>
        <v>No</v>
      </c>
    </row>
    <row r="233" ht="11.25" customHeight="1">
      <c r="A233" s="1" t="s">
        <v>261</v>
      </c>
      <c r="B233" s="1">
        <v>0.0</v>
      </c>
      <c r="C233" s="1">
        <v>0.0</v>
      </c>
      <c r="D233" s="1">
        <v>0.0</v>
      </c>
      <c r="E233" s="1">
        <v>107.74</v>
      </c>
      <c r="F233" s="54">
        <v>44385.0</v>
      </c>
      <c r="G233" s="1">
        <v>0.0</v>
      </c>
      <c r="H233" s="1">
        <v>111.2</v>
      </c>
      <c r="I233" s="14">
        <v>44393.0</v>
      </c>
      <c r="J233" s="55" t="s">
        <v>2879</v>
      </c>
      <c r="K233" s="15" t="s">
        <v>3111</v>
      </c>
      <c r="L233" s="33" t="str">
        <f t="shared" si="1"/>
        <v>Not in buy Zone</v>
      </c>
      <c r="M233" s="33" t="str">
        <f t="shared" si="2"/>
        <v>Not in buy Zone</v>
      </c>
      <c r="N233" s="33" t="str">
        <f t="shared" si="3"/>
        <v>No</v>
      </c>
    </row>
    <row r="234" ht="11.25" customHeight="1">
      <c r="A234" s="1" t="s">
        <v>262</v>
      </c>
      <c r="B234" s="1">
        <v>0.0</v>
      </c>
      <c r="C234" s="1">
        <v>0.0</v>
      </c>
      <c r="D234" s="1">
        <v>39.5</v>
      </c>
      <c r="E234" s="1">
        <v>0.0</v>
      </c>
      <c r="F234" s="54">
        <v>44372.0</v>
      </c>
      <c r="G234" s="1">
        <v>0.0</v>
      </c>
      <c r="H234" s="1">
        <v>36.4</v>
      </c>
      <c r="I234" s="14">
        <v>44393.0</v>
      </c>
      <c r="J234" s="55" t="s">
        <v>2879</v>
      </c>
      <c r="K234" s="15" t="s">
        <v>3112</v>
      </c>
      <c r="L234" s="33" t="str">
        <f t="shared" si="1"/>
        <v>Not in buy Zone</v>
      </c>
      <c r="M234" s="33" t="str">
        <f t="shared" si="2"/>
        <v>Not in buy Zone</v>
      </c>
      <c r="N234" s="33" t="str">
        <f t="shared" si="3"/>
        <v>No</v>
      </c>
    </row>
    <row r="235" ht="11.25" customHeight="1">
      <c r="A235" s="1" t="s">
        <v>263</v>
      </c>
      <c r="B235" s="1">
        <v>0.0</v>
      </c>
      <c r="C235" s="1">
        <v>0.0</v>
      </c>
      <c r="D235" s="1">
        <v>256.73</v>
      </c>
      <c r="E235" s="1">
        <v>0.0</v>
      </c>
      <c r="F235" s="54">
        <v>44391.0</v>
      </c>
      <c r="G235" s="1">
        <v>0.0</v>
      </c>
      <c r="H235" s="1">
        <v>255.18</v>
      </c>
      <c r="I235" s="14">
        <v>44393.0</v>
      </c>
      <c r="J235" s="55" t="s">
        <v>2879</v>
      </c>
      <c r="K235" s="15" t="s">
        <v>3113</v>
      </c>
      <c r="L235" s="33" t="str">
        <f t="shared" si="1"/>
        <v>Not in buy Zone</v>
      </c>
      <c r="M235" s="33" t="str">
        <f t="shared" si="2"/>
        <v>Not in buy Zone</v>
      </c>
      <c r="N235" s="33" t="str">
        <f t="shared" si="3"/>
        <v>No</v>
      </c>
    </row>
    <row r="236" ht="11.25" customHeight="1">
      <c r="A236" s="1" t="s">
        <v>264</v>
      </c>
      <c r="B236" s="1">
        <v>0.0</v>
      </c>
      <c r="C236" s="1">
        <v>0.0</v>
      </c>
      <c r="D236" s="1">
        <v>0.0</v>
      </c>
      <c r="E236" s="1">
        <v>117.4</v>
      </c>
      <c r="F236" s="54">
        <v>44363.0</v>
      </c>
      <c r="G236" s="1">
        <v>0.0</v>
      </c>
      <c r="H236" s="1">
        <v>105.14</v>
      </c>
      <c r="I236" s="14">
        <v>44393.0</v>
      </c>
      <c r="J236" s="55" t="s">
        <v>2879</v>
      </c>
      <c r="K236" s="15" t="s">
        <v>3114</v>
      </c>
      <c r="L236" s="33" t="str">
        <f t="shared" si="1"/>
        <v>Not in buy Zone</v>
      </c>
      <c r="M236" s="33" t="str">
        <f t="shared" si="2"/>
        <v>Not in buy Zone</v>
      </c>
      <c r="N236" s="33" t="str">
        <f t="shared" si="3"/>
        <v>No</v>
      </c>
    </row>
    <row r="237" ht="11.25" customHeight="1">
      <c r="A237" s="1" t="s">
        <v>265</v>
      </c>
      <c r="B237" s="1">
        <v>0.0</v>
      </c>
      <c r="C237" s="1">
        <v>0.0</v>
      </c>
      <c r="D237" s="1">
        <v>0.0</v>
      </c>
      <c r="E237" s="1">
        <v>35.44</v>
      </c>
      <c r="F237" s="54">
        <v>44364.0</v>
      </c>
      <c r="G237" s="1">
        <v>0.0</v>
      </c>
      <c r="H237" s="1">
        <v>33.37</v>
      </c>
      <c r="I237" s="14">
        <v>44393.0</v>
      </c>
      <c r="J237" s="55" t="s">
        <v>2879</v>
      </c>
      <c r="K237" s="15" t="s">
        <v>3115</v>
      </c>
      <c r="L237" s="33" t="str">
        <f t="shared" si="1"/>
        <v>Not in buy Zone</v>
      </c>
      <c r="M237" s="33" t="str">
        <f t="shared" si="2"/>
        <v>Not in buy Zone</v>
      </c>
      <c r="N237" s="33" t="str">
        <f t="shared" si="3"/>
        <v>No</v>
      </c>
    </row>
    <row r="238" ht="11.25" customHeight="1">
      <c r="A238" s="1" t="s">
        <v>266</v>
      </c>
      <c r="B238" s="1">
        <v>0.0</v>
      </c>
      <c r="C238" s="1">
        <v>0.0</v>
      </c>
      <c r="D238" s="1">
        <v>0.0</v>
      </c>
      <c r="E238" s="1">
        <v>37.15</v>
      </c>
      <c r="F238" s="54">
        <v>44364.0</v>
      </c>
      <c r="G238" s="1">
        <v>0.0</v>
      </c>
      <c r="H238" s="1">
        <v>35.28</v>
      </c>
      <c r="I238" s="14">
        <v>44393.0</v>
      </c>
      <c r="J238" s="55" t="s">
        <v>2879</v>
      </c>
      <c r="K238" s="15" t="s">
        <v>3116</v>
      </c>
      <c r="L238" s="33" t="str">
        <f t="shared" si="1"/>
        <v>Not in buy Zone</v>
      </c>
      <c r="M238" s="33" t="str">
        <f t="shared" si="2"/>
        <v>Not in buy Zone</v>
      </c>
      <c r="N238" s="33" t="str">
        <f t="shared" si="3"/>
        <v>No</v>
      </c>
    </row>
    <row r="239" ht="11.25" customHeight="1">
      <c r="A239" s="1" t="s">
        <v>267</v>
      </c>
      <c r="B239" s="1">
        <v>0.0</v>
      </c>
      <c r="C239" s="1">
        <v>0.0</v>
      </c>
      <c r="D239" s="1">
        <v>188.65</v>
      </c>
      <c r="E239" s="1">
        <v>0.0</v>
      </c>
      <c r="F239" s="54">
        <v>44372.0</v>
      </c>
      <c r="G239" s="1">
        <v>0.0</v>
      </c>
      <c r="H239" s="1">
        <v>195.53</v>
      </c>
      <c r="I239" s="14">
        <v>44393.0</v>
      </c>
      <c r="J239" s="55" t="s">
        <v>2879</v>
      </c>
      <c r="K239" s="15" t="s">
        <v>3117</v>
      </c>
      <c r="L239" s="33" t="str">
        <f t="shared" si="1"/>
        <v>Not in buy Zone</v>
      </c>
      <c r="M239" s="33" t="str">
        <f t="shared" si="2"/>
        <v>Not in buy Zone</v>
      </c>
      <c r="N239" s="33" t="str">
        <f t="shared" si="3"/>
        <v>No</v>
      </c>
    </row>
    <row r="240" ht="11.25" customHeight="1">
      <c r="A240" s="1" t="s">
        <v>268</v>
      </c>
      <c r="B240" s="1">
        <v>0.0</v>
      </c>
      <c r="C240" s="1">
        <v>0.0</v>
      </c>
      <c r="D240" s="1">
        <v>118.05</v>
      </c>
      <c r="E240" s="1">
        <v>0.0</v>
      </c>
      <c r="F240" s="54">
        <v>44386.0</v>
      </c>
      <c r="G240" s="1">
        <v>0.0</v>
      </c>
      <c r="H240" s="1">
        <v>117.15</v>
      </c>
      <c r="I240" s="14">
        <v>44393.0</v>
      </c>
      <c r="J240" s="55" t="s">
        <v>2879</v>
      </c>
      <c r="K240" s="15" t="s">
        <v>3118</v>
      </c>
      <c r="L240" s="33" t="str">
        <f t="shared" si="1"/>
        <v>Not in buy Zone</v>
      </c>
      <c r="M240" s="33" t="str">
        <f t="shared" si="2"/>
        <v>Not in buy Zone</v>
      </c>
      <c r="N240" s="33" t="str">
        <f t="shared" si="3"/>
        <v>No</v>
      </c>
    </row>
    <row r="241" ht="11.25" customHeight="1">
      <c r="A241" s="1" t="s">
        <v>269</v>
      </c>
      <c r="B241" s="1">
        <v>0.0</v>
      </c>
      <c r="C241" s="1">
        <v>0.0</v>
      </c>
      <c r="D241" s="1">
        <v>0.0</v>
      </c>
      <c r="E241" s="1">
        <v>75.01</v>
      </c>
      <c r="F241" s="54">
        <v>44354.0</v>
      </c>
      <c r="G241" s="1">
        <v>0.0</v>
      </c>
      <c r="H241" s="1">
        <v>83.49</v>
      </c>
      <c r="I241" s="14">
        <v>44393.0</v>
      </c>
      <c r="J241" s="55" t="s">
        <v>2879</v>
      </c>
      <c r="K241" s="15" t="s">
        <v>3119</v>
      </c>
      <c r="L241" s="33" t="str">
        <f t="shared" si="1"/>
        <v>Not in buy Zone</v>
      </c>
      <c r="M241" s="33" t="str">
        <f t="shared" si="2"/>
        <v>Not in buy Zone</v>
      </c>
      <c r="N241" s="33" t="str">
        <f t="shared" si="3"/>
        <v>No</v>
      </c>
    </row>
    <row r="242" ht="11.25" customHeight="1">
      <c r="A242" s="1" t="s">
        <v>270</v>
      </c>
      <c r="B242" s="1">
        <v>0.0</v>
      </c>
      <c r="C242" s="1">
        <v>0.0</v>
      </c>
      <c r="D242" s="1">
        <v>0.0</v>
      </c>
      <c r="E242" s="1">
        <v>56.47</v>
      </c>
      <c r="F242" s="54">
        <v>44379.0</v>
      </c>
      <c r="G242" s="1">
        <v>0.0</v>
      </c>
      <c r="H242" s="1">
        <v>49.99</v>
      </c>
      <c r="I242" s="14">
        <v>44393.0</v>
      </c>
      <c r="J242" s="55" t="s">
        <v>2879</v>
      </c>
      <c r="K242" s="15" t="s">
        <v>3120</v>
      </c>
      <c r="L242" s="33" t="str">
        <f t="shared" si="1"/>
        <v>Not in buy Zone</v>
      </c>
      <c r="M242" s="33" t="str">
        <f t="shared" si="2"/>
        <v>Not in buy Zone</v>
      </c>
      <c r="N242" s="33" t="str">
        <f t="shared" si="3"/>
        <v>No</v>
      </c>
    </row>
    <row r="243" ht="11.25" customHeight="1">
      <c r="A243" s="1" t="s">
        <v>271</v>
      </c>
      <c r="B243" s="1">
        <v>0.0</v>
      </c>
      <c r="C243" s="1">
        <v>0.0</v>
      </c>
      <c r="D243" s="1">
        <v>0.0</v>
      </c>
      <c r="E243" s="1">
        <v>163.93</v>
      </c>
      <c r="F243" s="54">
        <v>44259.0</v>
      </c>
      <c r="G243" s="1">
        <v>0.0</v>
      </c>
      <c r="H243" s="1">
        <v>258.44</v>
      </c>
      <c r="I243" s="14">
        <v>44393.0</v>
      </c>
      <c r="J243" s="55" t="s">
        <v>2879</v>
      </c>
      <c r="K243" s="15" t="s">
        <v>3121</v>
      </c>
      <c r="L243" s="33" t="str">
        <f t="shared" si="1"/>
        <v>Not in buy Zone</v>
      </c>
      <c r="M243" s="33" t="str">
        <f t="shared" si="2"/>
        <v>Not in buy Zone</v>
      </c>
      <c r="N243" s="33" t="str">
        <f t="shared" si="3"/>
        <v>No</v>
      </c>
    </row>
    <row r="244" ht="11.25" customHeight="1">
      <c r="A244" s="1" t="s">
        <v>272</v>
      </c>
      <c r="B244" s="1">
        <v>0.0</v>
      </c>
      <c r="C244" s="1">
        <v>69.91</v>
      </c>
      <c r="D244" s="1">
        <v>0.0</v>
      </c>
      <c r="E244" s="1">
        <v>0.0</v>
      </c>
      <c r="F244" s="54">
        <v>44393.0</v>
      </c>
      <c r="G244" s="1">
        <v>-1.0</v>
      </c>
      <c r="H244" s="1">
        <v>69.91</v>
      </c>
      <c r="I244" s="14">
        <v>44393.0</v>
      </c>
      <c r="J244" s="55" t="s">
        <v>2879</v>
      </c>
      <c r="K244" s="15" t="s">
        <v>3122</v>
      </c>
      <c r="L244" s="33" t="str">
        <f t="shared" si="1"/>
        <v>Not in buy Zone</v>
      </c>
      <c r="M244" s="33" t="str">
        <f t="shared" si="2"/>
        <v>Not in buy Zone</v>
      </c>
      <c r="N244" s="33" t="str">
        <f t="shared" si="3"/>
        <v>No</v>
      </c>
    </row>
    <row r="245" ht="11.25" customHeight="1">
      <c r="A245" s="1" t="s">
        <v>273</v>
      </c>
      <c r="B245" s="1">
        <v>0.0</v>
      </c>
      <c r="C245" s="1">
        <v>0.0</v>
      </c>
      <c r="D245" s="1">
        <v>0.0</v>
      </c>
      <c r="E245" s="1">
        <v>30.96</v>
      </c>
      <c r="F245" s="54">
        <v>44378.0</v>
      </c>
      <c r="G245" s="1">
        <v>0.0</v>
      </c>
      <c r="H245" s="1">
        <v>25.97</v>
      </c>
      <c r="I245" s="14">
        <v>44393.0</v>
      </c>
      <c r="J245" s="55" t="s">
        <v>2879</v>
      </c>
      <c r="K245" s="15" t="s">
        <v>3123</v>
      </c>
      <c r="L245" s="33" t="str">
        <f t="shared" si="1"/>
        <v>Not in buy Zone</v>
      </c>
      <c r="M245" s="33" t="str">
        <f t="shared" si="2"/>
        <v>Not in buy Zone</v>
      </c>
      <c r="N245" s="33" t="str">
        <f t="shared" si="3"/>
        <v>No</v>
      </c>
    </row>
    <row r="246" ht="11.25" customHeight="1">
      <c r="A246" s="1" t="s">
        <v>274</v>
      </c>
      <c r="B246" s="1">
        <v>0.0</v>
      </c>
      <c r="C246" s="1">
        <v>0.0</v>
      </c>
      <c r="D246" s="1">
        <v>0.0</v>
      </c>
      <c r="E246" s="1">
        <v>45.49</v>
      </c>
      <c r="F246" s="54">
        <v>44379.0</v>
      </c>
      <c r="G246" s="1">
        <v>0.0</v>
      </c>
      <c r="H246" s="1">
        <v>44.4</v>
      </c>
      <c r="I246" s="14">
        <v>44393.0</v>
      </c>
      <c r="J246" s="55" t="s">
        <v>2879</v>
      </c>
      <c r="K246" s="15" t="s">
        <v>3124</v>
      </c>
      <c r="L246" s="33" t="str">
        <f t="shared" si="1"/>
        <v>Not in buy Zone</v>
      </c>
      <c r="M246" s="33" t="str">
        <f t="shared" si="2"/>
        <v>Not in buy Zone</v>
      </c>
      <c r="N246" s="33" t="str">
        <f t="shared" si="3"/>
        <v>No</v>
      </c>
    </row>
    <row r="247" ht="11.25" customHeight="1">
      <c r="A247" s="1" t="s">
        <v>275</v>
      </c>
      <c r="B247" s="1">
        <v>0.0</v>
      </c>
      <c r="C247" s="1">
        <v>0.0</v>
      </c>
      <c r="D247" s="1">
        <v>31.13</v>
      </c>
      <c r="E247" s="1">
        <v>0.0</v>
      </c>
      <c r="F247" s="54">
        <v>44376.0</v>
      </c>
      <c r="G247" s="1">
        <v>0.0</v>
      </c>
      <c r="H247" s="1">
        <v>25.52</v>
      </c>
      <c r="I247" s="14">
        <v>44392.0</v>
      </c>
      <c r="J247" s="55" t="s">
        <v>2879</v>
      </c>
      <c r="K247" s="15" t="s">
        <v>3125</v>
      </c>
      <c r="L247" s="33" t="str">
        <f t="shared" si="1"/>
        <v>Not in buy Zone</v>
      </c>
      <c r="M247" s="33" t="str">
        <f t="shared" si="2"/>
        <v>Not in buy Zone</v>
      </c>
      <c r="N247" s="33" t="str">
        <f t="shared" si="3"/>
        <v>No</v>
      </c>
    </row>
    <row r="248" ht="11.25" customHeight="1">
      <c r="A248" s="1" t="s">
        <v>276</v>
      </c>
      <c r="B248" s="1">
        <v>0.0</v>
      </c>
      <c r="C248" s="1">
        <v>0.0</v>
      </c>
      <c r="D248" s="1">
        <v>189.79</v>
      </c>
      <c r="E248" s="1">
        <v>0.0</v>
      </c>
      <c r="F248" s="54">
        <v>44384.0</v>
      </c>
      <c r="G248" s="1">
        <v>0.0</v>
      </c>
      <c r="H248" s="1">
        <v>189.28</v>
      </c>
      <c r="I248" s="14">
        <v>44393.0</v>
      </c>
      <c r="J248" s="55" t="s">
        <v>2879</v>
      </c>
      <c r="K248" s="15" t="s">
        <v>3126</v>
      </c>
      <c r="L248" s="33" t="str">
        <f t="shared" si="1"/>
        <v>Not in buy Zone</v>
      </c>
      <c r="M248" s="33" t="str">
        <f t="shared" si="2"/>
        <v>Not in buy Zone</v>
      </c>
      <c r="N248" s="33" t="str">
        <f t="shared" si="3"/>
        <v>No</v>
      </c>
    </row>
    <row r="249" ht="11.25" customHeight="1">
      <c r="A249" s="1" t="s">
        <v>277</v>
      </c>
      <c r="B249" s="1">
        <v>0.0</v>
      </c>
      <c r="C249" s="1">
        <v>0.0</v>
      </c>
      <c r="D249" s="1">
        <v>34.52</v>
      </c>
      <c r="E249" s="1">
        <v>0.0</v>
      </c>
      <c r="F249" s="54">
        <v>44383.0</v>
      </c>
      <c r="G249" s="1">
        <v>0.0</v>
      </c>
      <c r="H249" s="1">
        <v>33.92</v>
      </c>
      <c r="I249" s="14">
        <v>44393.0</v>
      </c>
      <c r="J249" s="55" t="s">
        <v>2879</v>
      </c>
      <c r="K249" s="15" t="s">
        <v>3127</v>
      </c>
      <c r="L249" s="33" t="str">
        <f t="shared" si="1"/>
        <v>Not in buy Zone</v>
      </c>
      <c r="M249" s="33" t="str">
        <f t="shared" si="2"/>
        <v>Not in buy Zone</v>
      </c>
      <c r="N249" s="33" t="str">
        <f t="shared" si="3"/>
        <v>No</v>
      </c>
    </row>
    <row r="250" ht="11.25" customHeight="1">
      <c r="A250" s="1" t="s">
        <v>278</v>
      </c>
      <c r="B250" s="1">
        <v>0.0</v>
      </c>
      <c r="C250" s="1">
        <v>0.0</v>
      </c>
      <c r="D250" s="1">
        <v>13.46</v>
      </c>
      <c r="E250" s="1">
        <v>0.0</v>
      </c>
      <c r="F250" s="54">
        <v>44377.0</v>
      </c>
      <c r="G250" s="1">
        <v>0.0</v>
      </c>
      <c r="H250" s="1">
        <v>12.55</v>
      </c>
      <c r="I250" s="14">
        <v>44393.0</v>
      </c>
      <c r="J250" s="55" t="s">
        <v>2879</v>
      </c>
      <c r="K250" s="15" t="s">
        <v>3128</v>
      </c>
      <c r="L250" s="33" t="str">
        <f t="shared" si="1"/>
        <v>Not in buy Zone</v>
      </c>
      <c r="M250" s="33" t="str">
        <f t="shared" si="2"/>
        <v>Not in buy Zone</v>
      </c>
      <c r="N250" s="33" t="str">
        <f t="shared" si="3"/>
        <v>No</v>
      </c>
    </row>
    <row r="251" ht="11.25" customHeight="1">
      <c r="A251" s="1" t="s">
        <v>279</v>
      </c>
      <c r="B251" s="1">
        <v>0.0</v>
      </c>
      <c r="C251" s="1">
        <v>0.0</v>
      </c>
      <c r="D251" s="1">
        <v>0.0</v>
      </c>
      <c r="E251" s="1">
        <v>67.69</v>
      </c>
      <c r="F251" s="54">
        <v>44385.0</v>
      </c>
      <c r="G251" s="1">
        <v>0.0</v>
      </c>
      <c r="H251" s="1">
        <v>68.63</v>
      </c>
      <c r="I251" s="14">
        <v>44393.0</v>
      </c>
      <c r="J251" s="55" t="s">
        <v>2879</v>
      </c>
      <c r="K251" s="15" t="s">
        <v>3129</v>
      </c>
      <c r="L251" s="33" t="str">
        <f t="shared" si="1"/>
        <v>Not in buy Zone</v>
      </c>
      <c r="M251" s="33" t="str">
        <f t="shared" si="2"/>
        <v>Not in buy Zone</v>
      </c>
      <c r="N251" s="33" t="str">
        <f t="shared" si="3"/>
        <v>No</v>
      </c>
    </row>
    <row r="252" ht="11.25" customHeight="1">
      <c r="A252" s="1" t="s">
        <v>280</v>
      </c>
      <c r="B252" s="1">
        <v>0.0</v>
      </c>
      <c r="C252" s="1">
        <v>0.0</v>
      </c>
      <c r="D252" s="1">
        <v>60.93</v>
      </c>
      <c r="E252" s="1">
        <v>0.0</v>
      </c>
      <c r="F252" s="54">
        <v>44377.0</v>
      </c>
      <c r="G252" s="1">
        <v>0.0</v>
      </c>
      <c r="H252" s="1">
        <v>60.05</v>
      </c>
      <c r="I252" s="14">
        <v>44393.0</v>
      </c>
      <c r="J252" s="55" t="s">
        <v>2879</v>
      </c>
      <c r="K252" s="15" t="s">
        <v>3130</v>
      </c>
      <c r="L252" s="33" t="str">
        <f t="shared" si="1"/>
        <v>Not in buy Zone</v>
      </c>
      <c r="M252" s="33" t="str">
        <f t="shared" si="2"/>
        <v>Not in buy Zone</v>
      </c>
      <c r="N252" s="33" t="str">
        <f t="shared" si="3"/>
        <v>No</v>
      </c>
    </row>
    <row r="253" ht="11.25" customHeight="1">
      <c r="A253" s="1" t="s">
        <v>281</v>
      </c>
      <c r="B253" s="1">
        <v>0.0</v>
      </c>
      <c r="C253" s="1">
        <v>0.0</v>
      </c>
      <c r="D253" s="1">
        <v>0.0</v>
      </c>
      <c r="E253" s="1">
        <v>97.98</v>
      </c>
      <c r="F253" s="54">
        <v>44294.0</v>
      </c>
      <c r="G253" s="1">
        <v>0.0</v>
      </c>
      <c r="H253" s="1">
        <v>94.05</v>
      </c>
      <c r="I253" s="14">
        <v>44393.0</v>
      </c>
      <c r="J253" s="55" t="s">
        <v>2879</v>
      </c>
      <c r="K253" s="15" t="s">
        <v>3131</v>
      </c>
      <c r="L253" s="33" t="str">
        <f t="shared" si="1"/>
        <v>Not in buy Zone</v>
      </c>
      <c r="M253" s="33" t="str">
        <f t="shared" si="2"/>
        <v>Not in buy Zone</v>
      </c>
      <c r="N253" s="33" t="str">
        <f t="shared" si="3"/>
        <v>No</v>
      </c>
    </row>
    <row r="254" ht="11.25" customHeight="1">
      <c r="A254" s="1" t="s">
        <v>282</v>
      </c>
      <c r="B254" s="1">
        <v>0.0</v>
      </c>
      <c r="C254" s="1">
        <v>0.0</v>
      </c>
      <c r="D254" s="1">
        <v>167.29</v>
      </c>
      <c r="E254" s="1">
        <v>0.0</v>
      </c>
      <c r="F254" s="54">
        <v>44379.0</v>
      </c>
      <c r="G254" s="1">
        <v>0.0</v>
      </c>
      <c r="H254" s="1">
        <v>169.41</v>
      </c>
      <c r="I254" s="14">
        <v>44393.0</v>
      </c>
      <c r="J254" s="55" t="s">
        <v>2879</v>
      </c>
      <c r="K254" s="15" t="s">
        <v>3132</v>
      </c>
      <c r="L254" s="33" t="str">
        <f t="shared" si="1"/>
        <v>Not in buy Zone</v>
      </c>
      <c r="M254" s="33" t="str">
        <f t="shared" si="2"/>
        <v>Not in buy Zone</v>
      </c>
      <c r="N254" s="33" t="str">
        <f t="shared" si="3"/>
        <v>No</v>
      </c>
    </row>
    <row r="255" ht="11.25" customHeight="1">
      <c r="A255" s="1" t="s">
        <v>283</v>
      </c>
      <c r="B255" s="1">
        <v>0.0</v>
      </c>
      <c r="C255" s="1">
        <v>0.0</v>
      </c>
      <c r="D255" s="1">
        <v>0.0</v>
      </c>
      <c r="E255" s="1">
        <v>40.42</v>
      </c>
      <c r="F255" s="54">
        <v>44383.0</v>
      </c>
      <c r="G255" s="1">
        <v>0.0</v>
      </c>
      <c r="H255" s="1">
        <v>39.82</v>
      </c>
      <c r="I255" s="14">
        <v>44393.0</v>
      </c>
      <c r="J255" s="55" t="s">
        <v>2879</v>
      </c>
      <c r="K255" s="15" t="s">
        <v>3133</v>
      </c>
      <c r="L255" s="33" t="str">
        <f t="shared" si="1"/>
        <v>Not in buy Zone</v>
      </c>
      <c r="M255" s="33" t="str">
        <f t="shared" si="2"/>
        <v>Not in buy Zone</v>
      </c>
      <c r="N255" s="33" t="str">
        <f t="shared" si="3"/>
        <v>No</v>
      </c>
    </row>
    <row r="256" ht="11.25" customHeight="1">
      <c r="A256" s="1" t="s">
        <v>284</v>
      </c>
      <c r="B256" s="1">
        <v>0.0</v>
      </c>
      <c r="C256" s="1">
        <v>0.0</v>
      </c>
      <c r="D256" s="1">
        <v>58.76</v>
      </c>
      <c r="E256" s="1">
        <v>0.0</v>
      </c>
      <c r="F256" s="54">
        <v>44386.0</v>
      </c>
      <c r="G256" s="1">
        <v>0.0</v>
      </c>
      <c r="H256" s="1">
        <v>55.46</v>
      </c>
      <c r="I256" s="14">
        <v>44393.0</v>
      </c>
      <c r="J256" s="55" t="s">
        <v>2879</v>
      </c>
      <c r="K256" s="15" t="s">
        <v>3134</v>
      </c>
      <c r="L256" s="33" t="str">
        <f t="shared" si="1"/>
        <v>Not in buy Zone</v>
      </c>
      <c r="M256" s="33" t="str">
        <f t="shared" si="2"/>
        <v>Not in buy Zone</v>
      </c>
      <c r="N256" s="33" t="str">
        <f t="shared" si="3"/>
        <v>No</v>
      </c>
    </row>
    <row r="257" ht="11.25" customHeight="1">
      <c r="A257" s="1" t="s">
        <v>285</v>
      </c>
      <c r="B257" s="1">
        <v>0.0</v>
      </c>
      <c r="C257" s="1">
        <v>0.0</v>
      </c>
      <c r="D257" s="1">
        <v>0.0</v>
      </c>
      <c r="E257" s="1">
        <v>220.39</v>
      </c>
      <c r="F257" s="54">
        <v>44357.0</v>
      </c>
      <c r="G257" s="1">
        <v>0.0</v>
      </c>
      <c r="H257" s="1">
        <v>169.04</v>
      </c>
      <c r="I257" s="14">
        <v>44393.0</v>
      </c>
      <c r="J257" s="55" t="s">
        <v>2879</v>
      </c>
      <c r="K257" s="15" t="s">
        <v>3135</v>
      </c>
      <c r="L257" s="33" t="str">
        <f t="shared" si="1"/>
        <v>Not in buy Zone</v>
      </c>
      <c r="M257" s="33" t="str">
        <f t="shared" si="2"/>
        <v>Not in buy Zone</v>
      </c>
      <c r="N257" s="33" t="str">
        <f t="shared" si="3"/>
        <v>No</v>
      </c>
    </row>
    <row r="258" ht="11.25" customHeight="1">
      <c r="A258" s="1" t="s">
        <v>286</v>
      </c>
      <c r="B258" s="1">
        <v>0.0</v>
      </c>
      <c r="C258" s="1">
        <v>0.0</v>
      </c>
      <c r="D258" s="1">
        <v>330.58</v>
      </c>
      <c r="E258" s="1">
        <v>0.0</v>
      </c>
      <c r="F258" s="54">
        <v>44309.0</v>
      </c>
      <c r="G258" s="1">
        <v>0.0</v>
      </c>
      <c r="H258" s="1">
        <v>430.34</v>
      </c>
      <c r="I258" s="14">
        <v>44393.0</v>
      </c>
      <c r="J258" s="55" t="s">
        <v>2879</v>
      </c>
      <c r="K258" s="15" t="s">
        <v>3136</v>
      </c>
      <c r="L258" s="33" t="str">
        <f t="shared" si="1"/>
        <v>Not in buy Zone</v>
      </c>
      <c r="M258" s="33" t="str">
        <f t="shared" si="2"/>
        <v>Not in buy Zone</v>
      </c>
      <c r="N258" s="33" t="str">
        <f t="shared" si="3"/>
        <v>No</v>
      </c>
    </row>
    <row r="259" ht="11.25" customHeight="1">
      <c r="A259" s="1" t="s">
        <v>287</v>
      </c>
      <c r="B259" s="1">
        <v>0.0</v>
      </c>
      <c r="C259" s="1">
        <v>0.0</v>
      </c>
      <c r="D259" s="1">
        <v>0.0</v>
      </c>
      <c r="E259" s="1">
        <v>2520.37</v>
      </c>
      <c r="F259" s="54">
        <v>44376.0</v>
      </c>
      <c r="G259" s="1">
        <v>0.0</v>
      </c>
      <c r="H259" s="1">
        <v>2636.91</v>
      </c>
      <c r="I259" s="14">
        <v>44393.0</v>
      </c>
      <c r="J259" s="55" t="s">
        <v>2879</v>
      </c>
      <c r="K259" s="15" t="s">
        <v>3137</v>
      </c>
      <c r="L259" s="33" t="str">
        <f t="shared" si="1"/>
        <v>Not in buy Zone</v>
      </c>
      <c r="M259" s="33" t="str">
        <f t="shared" si="2"/>
        <v>Not in buy Zone</v>
      </c>
      <c r="N259" s="33" t="str">
        <f t="shared" si="3"/>
        <v>No</v>
      </c>
    </row>
    <row r="260" ht="11.25" customHeight="1">
      <c r="A260" s="1" t="s">
        <v>288</v>
      </c>
      <c r="B260" s="1">
        <v>0.0</v>
      </c>
      <c r="C260" s="1">
        <v>0.0</v>
      </c>
      <c r="D260" s="1">
        <v>0.0</v>
      </c>
      <c r="E260" s="1">
        <v>2402.22</v>
      </c>
      <c r="F260" s="54">
        <v>44365.0</v>
      </c>
      <c r="G260" s="1">
        <v>0.0</v>
      </c>
      <c r="H260" s="1">
        <v>2539.4</v>
      </c>
      <c r="I260" s="14">
        <v>44393.0</v>
      </c>
      <c r="J260" s="55" t="s">
        <v>2879</v>
      </c>
      <c r="K260" s="15" t="s">
        <v>3138</v>
      </c>
      <c r="L260" s="33" t="str">
        <f t="shared" si="1"/>
        <v>Not in buy Zone</v>
      </c>
      <c r="M260" s="33" t="str">
        <f t="shared" si="2"/>
        <v>Not in buy Zone</v>
      </c>
      <c r="N260" s="33" t="str">
        <f t="shared" si="3"/>
        <v>No</v>
      </c>
    </row>
    <row r="261" ht="11.25" customHeight="1">
      <c r="A261" s="1" t="s">
        <v>289</v>
      </c>
      <c r="B261" s="1">
        <v>0.0</v>
      </c>
      <c r="C261" s="1">
        <v>0.0</v>
      </c>
      <c r="D261" s="1">
        <v>0.0</v>
      </c>
      <c r="E261" s="1">
        <v>26.32</v>
      </c>
      <c r="F261" s="54">
        <v>44350.0</v>
      </c>
      <c r="G261" s="1">
        <v>0.0</v>
      </c>
      <c r="H261" s="1">
        <v>26.775</v>
      </c>
      <c r="I261" s="14">
        <v>44393.0</v>
      </c>
      <c r="J261" s="55" t="s">
        <v>2879</v>
      </c>
      <c r="K261" s="15" t="s">
        <v>3139</v>
      </c>
      <c r="L261" s="33" t="str">
        <f t="shared" si="1"/>
        <v>Not in buy Zone</v>
      </c>
      <c r="M261" s="33" t="str">
        <f t="shared" si="2"/>
        <v>Not in buy Zone</v>
      </c>
      <c r="N261" s="33" t="str">
        <f t="shared" si="3"/>
        <v>No</v>
      </c>
    </row>
    <row r="262" ht="11.25" customHeight="1">
      <c r="A262" s="1" t="s">
        <v>290</v>
      </c>
      <c r="B262" s="1">
        <v>0.0</v>
      </c>
      <c r="C262" s="1">
        <v>127.61</v>
      </c>
      <c r="D262" s="1">
        <v>0.0</v>
      </c>
      <c r="E262" s="1">
        <v>0.0</v>
      </c>
      <c r="F262" s="54">
        <v>44393.0</v>
      </c>
      <c r="G262" s="1">
        <v>-1.0</v>
      </c>
      <c r="H262" s="1">
        <v>127.61</v>
      </c>
      <c r="I262" s="14">
        <v>44393.0</v>
      </c>
      <c r="J262" s="55" t="s">
        <v>2879</v>
      </c>
      <c r="K262" s="15" t="s">
        <v>3140</v>
      </c>
      <c r="L262" s="33" t="str">
        <f t="shared" si="1"/>
        <v>Not in buy Zone</v>
      </c>
      <c r="M262" s="33" t="str">
        <f t="shared" si="2"/>
        <v>Not in buy Zone</v>
      </c>
      <c r="N262" s="33" t="str">
        <f t="shared" si="3"/>
        <v>No</v>
      </c>
    </row>
    <row r="263" ht="11.25" customHeight="1">
      <c r="A263" s="1" t="s">
        <v>291</v>
      </c>
      <c r="B263" s="1">
        <v>0.0</v>
      </c>
      <c r="C263" s="1">
        <v>0.0</v>
      </c>
      <c r="D263" s="1">
        <v>0.0</v>
      </c>
      <c r="E263" s="1">
        <v>188.12</v>
      </c>
      <c r="F263" s="54">
        <v>44385.0</v>
      </c>
      <c r="G263" s="1">
        <v>0.0</v>
      </c>
      <c r="H263" s="1">
        <v>194.73</v>
      </c>
      <c r="I263" s="14">
        <v>44393.0</v>
      </c>
      <c r="J263" s="55" t="s">
        <v>2879</v>
      </c>
      <c r="K263" s="15" t="s">
        <v>3141</v>
      </c>
      <c r="L263" s="33" t="str">
        <f t="shared" si="1"/>
        <v>Not in buy Zone</v>
      </c>
      <c r="M263" s="33" t="str">
        <f t="shared" si="2"/>
        <v>Not in buy Zone</v>
      </c>
      <c r="N263" s="33" t="str">
        <f t="shared" si="3"/>
        <v>No</v>
      </c>
    </row>
    <row r="264" ht="11.25" customHeight="1">
      <c r="A264" s="1" t="s">
        <v>292</v>
      </c>
      <c r="B264" s="1">
        <v>0.0</v>
      </c>
      <c r="C264" s="1">
        <v>0.0</v>
      </c>
      <c r="D264" s="1">
        <v>0.0</v>
      </c>
      <c r="E264" s="1">
        <v>32.29</v>
      </c>
      <c r="F264" s="54">
        <v>44383.0</v>
      </c>
      <c r="G264" s="1">
        <v>0.0</v>
      </c>
      <c r="H264" s="1">
        <v>28.32</v>
      </c>
      <c r="I264" s="14">
        <v>44393.0</v>
      </c>
      <c r="J264" s="55" t="s">
        <v>2879</v>
      </c>
      <c r="K264" s="15" t="s">
        <v>3142</v>
      </c>
      <c r="L264" s="33" t="str">
        <f t="shared" si="1"/>
        <v>Not in buy Zone</v>
      </c>
      <c r="M264" s="33" t="str">
        <f t="shared" si="2"/>
        <v>Not in buy Zone</v>
      </c>
      <c r="N264" s="33" t="str">
        <f t="shared" si="3"/>
        <v>No</v>
      </c>
    </row>
    <row r="265" ht="11.25" customHeight="1">
      <c r="A265" s="1" t="s">
        <v>293</v>
      </c>
      <c r="B265" s="1">
        <v>0.0</v>
      </c>
      <c r="C265" s="1">
        <v>0.0</v>
      </c>
      <c r="D265" s="1">
        <v>143.04</v>
      </c>
      <c r="E265" s="1">
        <v>0.0</v>
      </c>
      <c r="F265" s="54">
        <v>44371.0</v>
      </c>
      <c r="G265" s="1">
        <v>0.0</v>
      </c>
      <c r="H265" s="1">
        <v>149.39</v>
      </c>
      <c r="I265" s="14">
        <v>44393.0</v>
      </c>
      <c r="J265" s="55" t="s">
        <v>2879</v>
      </c>
      <c r="K265" s="15" t="s">
        <v>3143</v>
      </c>
      <c r="L265" s="33" t="str">
        <f t="shared" si="1"/>
        <v>Not in buy Zone</v>
      </c>
      <c r="M265" s="33" t="str">
        <f t="shared" si="2"/>
        <v>Not in buy Zone</v>
      </c>
      <c r="N265" s="33" t="str">
        <f t="shared" si="3"/>
        <v>No</v>
      </c>
    </row>
    <row r="266" ht="11.25" customHeight="1">
      <c r="A266" s="1" t="s">
        <v>294</v>
      </c>
      <c r="B266" s="1">
        <v>0.0</v>
      </c>
      <c r="C266" s="1">
        <v>0.0</v>
      </c>
      <c r="D266" s="1">
        <v>0.0</v>
      </c>
      <c r="E266" s="1">
        <v>358.94</v>
      </c>
      <c r="F266" s="54">
        <v>44385.0</v>
      </c>
      <c r="G266" s="1">
        <v>0.0</v>
      </c>
      <c r="H266" s="1">
        <v>364.8</v>
      </c>
      <c r="I266" s="14">
        <v>44393.0</v>
      </c>
      <c r="J266" s="55" t="s">
        <v>2879</v>
      </c>
      <c r="K266" s="15" t="s">
        <v>3144</v>
      </c>
      <c r="L266" s="33" t="str">
        <f t="shared" si="1"/>
        <v>Not in buy Zone</v>
      </c>
      <c r="M266" s="33" t="str">
        <f t="shared" si="2"/>
        <v>Not in buy Zone</v>
      </c>
      <c r="N266" s="33" t="str">
        <f t="shared" si="3"/>
        <v>No</v>
      </c>
    </row>
    <row r="267" ht="11.25" customHeight="1">
      <c r="A267" s="1" t="s">
        <v>295</v>
      </c>
      <c r="B267" s="1">
        <v>0.0</v>
      </c>
      <c r="C267" s="1">
        <v>0.0</v>
      </c>
      <c r="D267" s="1">
        <v>448.31</v>
      </c>
      <c r="E267" s="1">
        <v>0.0</v>
      </c>
      <c r="F267" s="54">
        <v>44376.0</v>
      </c>
      <c r="G267" s="1">
        <v>0.0</v>
      </c>
      <c r="H267" s="1">
        <v>453.19</v>
      </c>
      <c r="I267" s="14">
        <v>44393.0</v>
      </c>
      <c r="J267" s="55" t="s">
        <v>2879</v>
      </c>
      <c r="K267" s="15" t="s">
        <v>3145</v>
      </c>
      <c r="L267" s="33" t="str">
        <f t="shared" si="1"/>
        <v>Not in buy Zone</v>
      </c>
      <c r="M267" s="33" t="str">
        <f t="shared" si="2"/>
        <v>Not in buy Zone</v>
      </c>
      <c r="N267" s="33" t="str">
        <f t="shared" si="3"/>
        <v>No</v>
      </c>
    </row>
    <row r="268" ht="11.25" customHeight="1">
      <c r="A268" s="1" t="s">
        <v>296</v>
      </c>
      <c r="B268" s="1">
        <v>0.0</v>
      </c>
      <c r="C268" s="1">
        <v>0.0</v>
      </c>
      <c r="D268" s="1">
        <v>23.8</v>
      </c>
      <c r="E268" s="1">
        <v>0.0</v>
      </c>
      <c r="F268" s="54">
        <v>44371.0</v>
      </c>
      <c r="G268" s="1">
        <v>0.0</v>
      </c>
      <c r="H268" s="1">
        <v>20.06</v>
      </c>
      <c r="I268" s="14">
        <v>44393.0</v>
      </c>
      <c r="J268" s="55" t="s">
        <v>2879</v>
      </c>
      <c r="K268" s="15" t="s">
        <v>3146</v>
      </c>
      <c r="L268" s="33" t="str">
        <f t="shared" si="1"/>
        <v>Not in buy Zone</v>
      </c>
      <c r="M268" s="33" t="str">
        <f t="shared" si="2"/>
        <v>Not in buy Zone</v>
      </c>
      <c r="N268" s="33" t="str">
        <f t="shared" si="3"/>
        <v>No</v>
      </c>
    </row>
    <row r="269" ht="11.25" customHeight="1">
      <c r="A269" s="1" t="s">
        <v>297</v>
      </c>
      <c r="B269" s="1">
        <v>0.0</v>
      </c>
      <c r="C269" s="1">
        <v>0.0</v>
      </c>
      <c r="D269" s="1">
        <v>0.0</v>
      </c>
      <c r="E269" s="1">
        <v>94.8</v>
      </c>
      <c r="F269" s="54">
        <v>44392.0</v>
      </c>
      <c r="G269" s="1">
        <v>0.0</v>
      </c>
      <c r="H269" s="1">
        <v>94.04</v>
      </c>
      <c r="I269" s="14">
        <v>44393.0</v>
      </c>
      <c r="J269" s="55" t="s">
        <v>2879</v>
      </c>
      <c r="K269" s="15" t="s">
        <v>3147</v>
      </c>
      <c r="L269" s="33" t="str">
        <f t="shared" si="1"/>
        <v>Not in buy Zone</v>
      </c>
      <c r="M269" s="33" t="str">
        <f t="shared" si="2"/>
        <v>Not in buy Zone</v>
      </c>
      <c r="N269" s="33" t="str">
        <f t="shared" si="3"/>
        <v>No</v>
      </c>
    </row>
    <row r="270" ht="11.25" customHeight="1">
      <c r="A270" s="1" t="s">
        <v>298</v>
      </c>
      <c r="B270" s="1">
        <v>0.0</v>
      </c>
      <c r="C270" s="1">
        <v>0.0</v>
      </c>
      <c r="D270" s="1">
        <v>0.0</v>
      </c>
      <c r="E270" s="1">
        <v>13.97</v>
      </c>
      <c r="F270" s="54">
        <v>44383.0</v>
      </c>
      <c r="G270" s="1">
        <v>0.0</v>
      </c>
      <c r="H270" s="1">
        <v>13.85</v>
      </c>
      <c r="I270" s="14">
        <v>44393.0</v>
      </c>
      <c r="J270" s="55" t="s">
        <v>2879</v>
      </c>
      <c r="K270" s="15" t="s">
        <v>3148</v>
      </c>
      <c r="L270" s="33" t="str">
        <f t="shared" si="1"/>
        <v>Not in buy Zone</v>
      </c>
      <c r="M270" s="33" t="str">
        <f t="shared" si="2"/>
        <v>Not in buy Zone</v>
      </c>
      <c r="N270" s="33" t="str">
        <f t="shared" si="3"/>
        <v>No</v>
      </c>
    </row>
    <row r="271" ht="11.25" customHeight="1">
      <c r="A271" s="1" t="s">
        <v>299</v>
      </c>
      <c r="B271" s="1">
        <v>0.0</v>
      </c>
      <c r="C271" s="1">
        <v>0.0</v>
      </c>
      <c r="D271" s="1">
        <v>18.78</v>
      </c>
      <c r="E271" s="1">
        <v>0.0</v>
      </c>
      <c r="F271" s="54">
        <v>44378.0</v>
      </c>
      <c r="G271" s="1">
        <v>0.0</v>
      </c>
      <c r="H271" s="1">
        <v>17.42</v>
      </c>
      <c r="I271" s="14">
        <v>44393.0</v>
      </c>
      <c r="J271" s="55" t="s">
        <v>2879</v>
      </c>
      <c r="K271" s="15" t="s">
        <v>3149</v>
      </c>
      <c r="L271" s="33" t="str">
        <f t="shared" si="1"/>
        <v>Not in buy Zone</v>
      </c>
      <c r="M271" s="33" t="str">
        <f t="shared" si="2"/>
        <v>Not in buy Zone</v>
      </c>
      <c r="N271" s="33" t="str">
        <f t="shared" si="3"/>
        <v>No</v>
      </c>
    </row>
    <row r="272" ht="11.25" customHeight="1">
      <c r="A272" s="1" t="s">
        <v>300</v>
      </c>
      <c r="B272" s="1">
        <v>0.0</v>
      </c>
      <c r="C272" s="1">
        <v>0.0</v>
      </c>
      <c r="D272" s="1">
        <v>209.84</v>
      </c>
      <c r="E272" s="1">
        <v>0.0</v>
      </c>
      <c r="F272" s="54">
        <v>44369.0</v>
      </c>
      <c r="G272" s="1">
        <v>0.0</v>
      </c>
      <c r="H272" s="1">
        <v>219.2</v>
      </c>
      <c r="I272" s="14">
        <v>44393.0</v>
      </c>
      <c r="J272" s="55" t="s">
        <v>2879</v>
      </c>
      <c r="K272" s="15" t="s">
        <v>3150</v>
      </c>
      <c r="L272" s="33" t="str">
        <f t="shared" si="1"/>
        <v>Not in buy Zone</v>
      </c>
      <c r="M272" s="33" t="str">
        <f t="shared" si="2"/>
        <v>Not in buy Zone</v>
      </c>
      <c r="N272" s="33" t="str">
        <f t="shared" si="3"/>
        <v>No</v>
      </c>
    </row>
    <row r="273" ht="11.25" customHeight="1">
      <c r="A273" s="1" t="s">
        <v>301</v>
      </c>
      <c r="B273" s="1">
        <v>0.0</v>
      </c>
      <c r="C273" s="1">
        <v>0.0</v>
      </c>
      <c r="D273" s="1">
        <v>0.0</v>
      </c>
      <c r="E273" s="1">
        <v>317.05</v>
      </c>
      <c r="F273" s="54">
        <v>44390.0</v>
      </c>
      <c r="G273" s="1">
        <v>0.0</v>
      </c>
      <c r="H273" s="1">
        <v>321.54</v>
      </c>
      <c r="I273" s="14">
        <v>44393.0</v>
      </c>
      <c r="J273" s="55" t="s">
        <v>2879</v>
      </c>
      <c r="K273" s="15" t="s">
        <v>3151</v>
      </c>
      <c r="L273" s="33" t="str">
        <f t="shared" si="1"/>
        <v>Not in buy Zone</v>
      </c>
      <c r="M273" s="33" t="str">
        <f t="shared" si="2"/>
        <v>Not in buy Zone</v>
      </c>
      <c r="N273" s="33" t="str">
        <f t="shared" si="3"/>
        <v>No</v>
      </c>
    </row>
    <row r="274" ht="11.25" customHeight="1">
      <c r="A274" s="1" t="s">
        <v>302</v>
      </c>
      <c r="B274" s="1">
        <v>0.0</v>
      </c>
      <c r="C274" s="1">
        <v>0.0</v>
      </c>
      <c r="D274" s="1">
        <v>0.0</v>
      </c>
      <c r="E274" s="1">
        <v>81.94</v>
      </c>
      <c r="F274" s="54">
        <v>44337.0</v>
      </c>
      <c r="G274" s="1">
        <v>0.0</v>
      </c>
      <c r="H274" s="1">
        <v>76.37</v>
      </c>
      <c r="I274" s="14">
        <v>44393.0</v>
      </c>
      <c r="J274" s="55" t="s">
        <v>2879</v>
      </c>
      <c r="K274" s="15" t="s">
        <v>3152</v>
      </c>
      <c r="L274" s="33" t="str">
        <f t="shared" si="1"/>
        <v>Not in buy Zone</v>
      </c>
      <c r="M274" s="33" t="str">
        <f t="shared" si="2"/>
        <v>Not in buy Zone</v>
      </c>
      <c r="N274" s="33" t="str">
        <f t="shared" si="3"/>
        <v>No</v>
      </c>
    </row>
    <row r="275" ht="11.25" customHeight="1">
      <c r="A275" s="1" t="s">
        <v>303</v>
      </c>
      <c r="B275" s="1">
        <v>0.0</v>
      </c>
      <c r="C275" s="1">
        <v>0.0</v>
      </c>
      <c r="D275" s="1">
        <v>34.69</v>
      </c>
      <c r="E275" s="1">
        <v>0.0</v>
      </c>
      <c r="F275" s="54">
        <v>44372.0</v>
      </c>
      <c r="G275" s="1">
        <v>0.0</v>
      </c>
      <c r="H275" s="1">
        <v>28.81</v>
      </c>
      <c r="I275" s="14">
        <v>44393.0</v>
      </c>
      <c r="J275" s="55" t="s">
        <v>2879</v>
      </c>
      <c r="K275" s="15" t="s">
        <v>3153</v>
      </c>
      <c r="L275" s="33" t="str">
        <f t="shared" si="1"/>
        <v>Not in buy Zone</v>
      </c>
      <c r="M275" s="33" t="str">
        <f t="shared" si="2"/>
        <v>Not in buy Zone</v>
      </c>
      <c r="N275" s="33" t="str">
        <f t="shared" si="3"/>
        <v>No</v>
      </c>
    </row>
    <row r="276" ht="11.25" customHeight="1">
      <c r="A276" s="1" t="s">
        <v>304</v>
      </c>
      <c r="B276" s="1">
        <v>0.0</v>
      </c>
      <c r="C276" s="1">
        <v>0.0</v>
      </c>
      <c r="D276" s="1">
        <v>63.31</v>
      </c>
      <c r="E276" s="1">
        <v>0.0</v>
      </c>
      <c r="F276" s="54">
        <v>44389.0</v>
      </c>
      <c r="G276" s="1">
        <v>0.0</v>
      </c>
      <c r="H276" s="1">
        <v>63.32</v>
      </c>
      <c r="I276" s="14">
        <v>44393.0</v>
      </c>
      <c r="J276" s="55" t="s">
        <v>2879</v>
      </c>
      <c r="K276" s="15" t="s">
        <v>3154</v>
      </c>
      <c r="L276" s="33" t="str">
        <f t="shared" si="1"/>
        <v>Not in buy Zone</v>
      </c>
      <c r="M276" s="33" t="str">
        <f t="shared" si="2"/>
        <v>Not in buy Zone</v>
      </c>
      <c r="N276" s="33" t="str">
        <f t="shared" si="3"/>
        <v>No</v>
      </c>
    </row>
    <row r="277" ht="11.25" customHeight="1">
      <c r="A277" s="1" t="s">
        <v>305</v>
      </c>
      <c r="B277" s="1">
        <v>0.0</v>
      </c>
      <c r="C277" s="1">
        <v>0.0</v>
      </c>
      <c r="D277" s="1">
        <v>0.0</v>
      </c>
      <c r="E277" s="1">
        <v>216.79</v>
      </c>
      <c r="F277" s="54">
        <v>44363.0</v>
      </c>
      <c r="G277" s="1">
        <v>0.0</v>
      </c>
      <c r="H277" s="1">
        <v>200.74</v>
      </c>
      <c r="I277" s="14">
        <v>44393.0</v>
      </c>
      <c r="J277" s="55" t="s">
        <v>2879</v>
      </c>
      <c r="K277" s="15" t="s">
        <v>3155</v>
      </c>
      <c r="L277" s="33" t="str">
        <f t="shared" si="1"/>
        <v>Not in buy Zone</v>
      </c>
      <c r="M277" s="33" t="str">
        <f t="shared" si="2"/>
        <v>Not in buy Zone</v>
      </c>
      <c r="N277" s="33" t="str">
        <f t="shared" si="3"/>
        <v>No</v>
      </c>
    </row>
    <row r="278" ht="11.25" customHeight="1">
      <c r="A278" s="1" t="s">
        <v>306</v>
      </c>
      <c r="B278" s="1">
        <v>0.0</v>
      </c>
      <c r="C278" s="1">
        <v>0.0</v>
      </c>
      <c r="D278" s="1">
        <v>126.81</v>
      </c>
      <c r="E278" s="1">
        <v>0.0</v>
      </c>
      <c r="F278" s="54">
        <v>44379.0</v>
      </c>
      <c r="G278" s="1">
        <v>0.0</v>
      </c>
      <c r="H278" s="1">
        <v>119.75</v>
      </c>
      <c r="I278" s="14">
        <v>44393.0</v>
      </c>
      <c r="J278" s="55" t="s">
        <v>2879</v>
      </c>
      <c r="K278" s="15" t="s">
        <v>3156</v>
      </c>
      <c r="L278" s="33" t="str">
        <f t="shared" si="1"/>
        <v>Not in buy Zone</v>
      </c>
      <c r="M278" s="33" t="str">
        <f t="shared" si="2"/>
        <v>Not in buy Zone</v>
      </c>
      <c r="N278" s="33" t="str">
        <f t="shared" si="3"/>
        <v>No</v>
      </c>
    </row>
    <row r="279" ht="11.25" customHeight="1">
      <c r="A279" s="1" t="s">
        <v>307</v>
      </c>
      <c r="B279" s="1">
        <v>0.0</v>
      </c>
      <c r="C279" s="1">
        <v>0.0</v>
      </c>
      <c r="D279" s="1">
        <v>47.09</v>
      </c>
      <c r="E279" s="1">
        <v>0.0</v>
      </c>
      <c r="F279" s="54">
        <v>44371.0</v>
      </c>
      <c r="G279" s="1">
        <v>0.0</v>
      </c>
      <c r="H279" s="1">
        <v>43.04</v>
      </c>
      <c r="I279" s="14">
        <v>44393.0</v>
      </c>
      <c r="J279" s="55" t="s">
        <v>2879</v>
      </c>
      <c r="K279" s="15" t="s">
        <v>3157</v>
      </c>
      <c r="L279" s="33" t="str">
        <f t="shared" si="1"/>
        <v>Not in buy Zone</v>
      </c>
      <c r="M279" s="33" t="str">
        <f t="shared" si="2"/>
        <v>Not in buy Zone</v>
      </c>
      <c r="N279" s="33" t="str">
        <f t="shared" si="3"/>
        <v>No</v>
      </c>
    </row>
    <row r="280" ht="11.25" customHeight="1">
      <c r="A280" s="1" t="s">
        <v>308</v>
      </c>
      <c r="B280" s="1">
        <v>0.0</v>
      </c>
      <c r="C280" s="1">
        <v>0.0</v>
      </c>
      <c r="D280" s="1">
        <v>0.0</v>
      </c>
      <c r="E280" s="1">
        <v>61.89</v>
      </c>
      <c r="F280" s="54">
        <v>44363.0</v>
      </c>
      <c r="G280" s="1">
        <v>0.0</v>
      </c>
      <c r="H280" s="1">
        <v>69.54</v>
      </c>
      <c r="I280" s="14">
        <v>44393.0</v>
      </c>
      <c r="J280" s="55" t="s">
        <v>2879</v>
      </c>
      <c r="K280" s="15" t="s">
        <v>3158</v>
      </c>
      <c r="L280" s="33" t="str">
        <f t="shared" si="1"/>
        <v>Not in buy Zone</v>
      </c>
      <c r="M280" s="33" t="str">
        <f t="shared" si="2"/>
        <v>Not in buy Zone</v>
      </c>
      <c r="N280" s="33" t="str">
        <f t="shared" si="3"/>
        <v>No</v>
      </c>
    </row>
    <row r="281" ht="11.25" customHeight="1">
      <c r="A281" s="1" t="s">
        <v>309</v>
      </c>
      <c r="B281" s="1">
        <v>0.0</v>
      </c>
      <c r="C281" s="1">
        <v>0.0</v>
      </c>
      <c r="D281" s="1">
        <v>36.87</v>
      </c>
      <c r="E281" s="1">
        <v>0.0</v>
      </c>
      <c r="F281" s="54">
        <v>44392.0</v>
      </c>
      <c r="G281" s="1">
        <v>0.0</v>
      </c>
      <c r="H281" s="1">
        <v>36.91</v>
      </c>
      <c r="I281" s="14">
        <v>44393.0</v>
      </c>
      <c r="J281" s="55" t="s">
        <v>2879</v>
      </c>
      <c r="K281" s="15" t="s">
        <v>3159</v>
      </c>
      <c r="L281" s="33" t="str">
        <f t="shared" si="1"/>
        <v>Not in buy Zone</v>
      </c>
      <c r="M281" s="33" t="str">
        <f t="shared" si="2"/>
        <v>Not in buy Zone</v>
      </c>
      <c r="N281" s="33" t="str">
        <f t="shared" si="3"/>
        <v>No</v>
      </c>
    </row>
    <row r="282" ht="11.25" customHeight="1">
      <c r="A282" s="1" t="s">
        <v>310</v>
      </c>
      <c r="B282" s="1">
        <v>0.0</v>
      </c>
      <c r="C282" s="1">
        <v>0.0</v>
      </c>
      <c r="D282" s="1">
        <v>219.35</v>
      </c>
      <c r="E282" s="1">
        <v>0.0</v>
      </c>
      <c r="F282" s="54">
        <v>44377.0</v>
      </c>
      <c r="G282" s="1">
        <v>0.0</v>
      </c>
      <c r="H282" s="1">
        <v>230.33</v>
      </c>
      <c r="I282" s="14">
        <v>44393.0</v>
      </c>
      <c r="J282" s="55" t="s">
        <v>2879</v>
      </c>
      <c r="K282" s="15" t="s">
        <v>3160</v>
      </c>
      <c r="L282" s="33" t="str">
        <f t="shared" si="1"/>
        <v>Not in buy Zone</v>
      </c>
      <c r="M282" s="33" t="str">
        <f t="shared" si="2"/>
        <v>Not in buy Zone</v>
      </c>
      <c r="N282" s="33" t="str">
        <f t="shared" si="3"/>
        <v>No</v>
      </c>
    </row>
    <row r="283" ht="11.25" customHeight="1">
      <c r="A283" s="1" t="s">
        <v>311</v>
      </c>
      <c r="B283" s="1">
        <v>0.0</v>
      </c>
      <c r="C283" s="1">
        <v>0.0</v>
      </c>
      <c r="D283" s="1">
        <v>16.37</v>
      </c>
      <c r="E283" s="1">
        <v>0.0</v>
      </c>
      <c r="F283" s="54">
        <v>44322.0</v>
      </c>
      <c r="G283" s="1">
        <v>0.0</v>
      </c>
      <c r="H283" s="1">
        <v>13.86</v>
      </c>
      <c r="I283" s="14">
        <v>44393.0</v>
      </c>
      <c r="J283" s="55" t="s">
        <v>2879</v>
      </c>
      <c r="K283" s="15" t="s">
        <v>3161</v>
      </c>
      <c r="L283" s="33" t="str">
        <f t="shared" si="1"/>
        <v>Not in buy Zone</v>
      </c>
      <c r="M283" s="33" t="str">
        <f t="shared" si="2"/>
        <v>Not in buy Zone</v>
      </c>
      <c r="N283" s="33" t="str">
        <f t="shared" si="3"/>
        <v>No</v>
      </c>
    </row>
    <row r="284" ht="11.25" customHeight="1">
      <c r="A284" s="1" t="s">
        <v>312</v>
      </c>
      <c r="B284" s="1">
        <v>0.0</v>
      </c>
      <c r="C284" s="1">
        <v>0.0</v>
      </c>
      <c r="D284" s="1">
        <v>0.0</v>
      </c>
      <c r="E284" s="1">
        <v>29.21</v>
      </c>
      <c r="F284" s="54">
        <v>44389.0</v>
      </c>
      <c r="G284" s="1">
        <v>0.0</v>
      </c>
      <c r="H284" s="1">
        <v>27.52</v>
      </c>
      <c r="I284" s="14">
        <v>44393.0</v>
      </c>
      <c r="J284" s="55" t="s">
        <v>2879</v>
      </c>
      <c r="K284" s="15" t="s">
        <v>3162</v>
      </c>
      <c r="L284" s="33" t="str">
        <f t="shared" si="1"/>
        <v>Not in buy Zone</v>
      </c>
      <c r="M284" s="33" t="str">
        <f t="shared" si="2"/>
        <v>Not in buy Zone</v>
      </c>
      <c r="N284" s="33" t="str">
        <f t="shared" si="3"/>
        <v>No</v>
      </c>
    </row>
    <row r="285" ht="11.25" customHeight="1">
      <c r="A285" s="1" t="s">
        <v>313</v>
      </c>
      <c r="B285" s="1">
        <v>0.0</v>
      </c>
      <c r="C285" s="1">
        <v>0.0</v>
      </c>
      <c r="D285" s="1">
        <v>48.91</v>
      </c>
      <c r="E285" s="1">
        <v>0.0</v>
      </c>
      <c r="F285" s="54">
        <v>44361.0</v>
      </c>
      <c r="G285" s="1">
        <v>0.0</v>
      </c>
      <c r="H285" s="1">
        <v>48.27</v>
      </c>
      <c r="I285" s="14">
        <v>44393.0</v>
      </c>
      <c r="J285" s="55" t="s">
        <v>2879</v>
      </c>
      <c r="K285" s="15" t="s">
        <v>3163</v>
      </c>
      <c r="L285" s="33" t="str">
        <f t="shared" si="1"/>
        <v>Not in buy Zone</v>
      </c>
      <c r="M285" s="33" t="str">
        <f t="shared" si="2"/>
        <v>Not in buy Zone</v>
      </c>
      <c r="N285" s="33" t="str">
        <f t="shared" si="3"/>
        <v>No</v>
      </c>
    </row>
    <row r="286" ht="11.25" customHeight="1">
      <c r="A286" s="1" t="s">
        <v>314</v>
      </c>
      <c r="B286" s="1">
        <v>0.0</v>
      </c>
      <c r="C286" s="1">
        <v>0.0</v>
      </c>
      <c r="D286" s="1">
        <v>0.0</v>
      </c>
      <c r="E286" s="1">
        <v>75.34</v>
      </c>
      <c r="F286" s="54">
        <v>44392.0</v>
      </c>
      <c r="G286" s="1">
        <v>0.0</v>
      </c>
      <c r="H286" s="1">
        <v>75.12</v>
      </c>
      <c r="I286" s="14">
        <v>44393.0</v>
      </c>
      <c r="J286" s="55" t="s">
        <v>2879</v>
      </c>
      <c r="K286" s="15" t="s">
        <v>3164</v>
      </c>
      <c r="L286" s="33" t="str">
        <f t="shared" si="1"/>
        <v>Not in buy Zone</v>
      </c>
      <c r="M286" s="33" t="str">
        <f t="shared" si="2"/>
        <v>Not in buy Zone</v>
      </c>
      <c r="N286" s="33" t="str">
        <f t="shared" si="3"/>
        <v>No</v>
      </c>
    </row>
    <row r="287" ht="11.25" customHeight="1">
      <c r="A287" s="1" t="s">
        <v>315</v>
      </c>
      <c r="B287" s="1">
        <v>0.0</v>
      </c>
      <c r="C287" s="1">
        <v>0.0</v>
      </c>
      <c r="D287" s="1">
        <v>0.0</v>
      </c>
      <c r="E287" s="1">
        <v>17.14</v>
      </c>
      <c r="F287" s="54">
        <v>44365.0</v>
      </c>
      <c r="G287" s="1">
        <v>0.0</v>
      </c>
      <c r="H287" s="1">
        <v>15.98</v>
      </c>
      <c r="I287" s="14">
        <v>44393.0</v>
      </c>
      <c r="J287" s="55" t="s">
        <v>2879</v>
      </c>
      <c r="K287" s="15" t="s">
        <v>3165</v>
      </c>
      <c r="L287" s="33" t="str">
        <f t="shared" si="1"/>
        <v>Not in buy Zone</v>
      </c>
      <c r="M287" s="33" t="str">
        <f t="shared" si="2"/>
        <v>Not in buy Zone</v>
      </c>
      <c r="N287" s="33" t="str">
        <f t="shared" si="3"/>
        <v>No</v>
      </c>
    </row>
    <row r="288" ht="11.25" customHeight="1">
      <c r="A288" s="1" t="s">
        <v>316</v>
      </c>
      <c r="B288" s="1">
        <v>0.0</v>
      </c>
      <c r="C288" s="1">
        <v>0.0</v>
      </c>
      <c r="D288" s="1">
        <v>175.12</v>
      </c>
      <c r="E288" s="1">
        <v>0.0</v>
      </c>
      <c r="F288" s="54">
        <v>44372.0</v>
      </c>
      <c r="G288" s="1">
        <v>0.0</v>
      </c>
      <c r="H288" s="1">
        <v>179.99</v>
      </c>
      <c r="I288" s="14">
        <v>44393.0</v>
      </c>
      <c r="J288" s="55" t="s">
        <v>2879</v>
      </c>
      <c r="K288" s="15" t="s">
        <v>3166</v>
      </c>
      <c r="L288" s="33" t="str">
        <f t="shared" si="1"/>
        <v>Not in buy Zone</v>
      </c>
      <c r="M288" s="33" t="str">
        <f t="shared" si="2"/>
        <v>Not in buy Zone</v>
      </c>
      <c r="N288" s="33" t="str">
        <f t="shared" si="3"/>
        <v>No</v>
      </c>
    </row>
    <row r="289" ht="11.25" customHeight="1">
      <c r="A289" s="1" t="s">
        <v>317</v>
      </c>
      <c r="B289" s="1">
        <v>0.0</v>
      </c>
      <c r="C289" s="1">
        <v>0.0</v>
      </c>
      <c r="D289" s="1">
        <v>428.12</v>
      </c>
      <c r="E289" s="1">
        <v>0.0</v>
      </c>
      <c r="F289" s="54">
        <v>44363.0</v>
      </c>
      <c r="G289" s="1">
        <v>0.0</v>
      </c>
      <c r="H289" s="1">
        <v>470.9</v>
      </c>
      <c r="I289" s="14">
        <v>44393.0</v>
      </c>
      <c r="J289" s="55" t="s">
        <v>2879</v>
      </c>
      <c r="K289" s="15" t="s">
        <v>3167</v>
      </c>
      <c r="L289" s="33" t="str">
        <f t="shared" si="1"/>
        <v>Not in buy Zone</v>
      </c>
      <c r="M289" s="33" t="str">
        <f t="shared" si="2"/>
        <v>Not in buy Zone</v>
      </c>
      <c r="N289" s="33" t="str">
        <f t="shared" si="3"/>
        <v>No</v>
      </c>
    </row>
    <row r="290" ht="11.25" customHeight="1">
      <c r="A290" s="1" t="s">
        <v>318</v>
      </c>
      <c r="B290" s="1">
        <v>0.0</v>
      </c>
      <c r="C290" s="1">
        <v>0.0</v>
      </c>
      <c r="D290" s="1">
        <v>0.0</v>
      </c>
      <c r="E290" s="1">
        <v>26.21</v>
      </c>
      <c r="F290" s="54">
        <v>44383.0</v>
      </c>
      <c r="G290" s="1">
        <v>0.0</v>
      </c>
      <c r="H290" s="1">
        <v>25.81</v>
      </c>
      <c r="I290" s="14">
        <v>44393.0</v>
      </c>
      <c r="J290" s="55" t="s">
        <v>2879</v>
      </c>
      <c r="K290" s="15" t="s">
        <v>3168</v>
      </c>
      <c r="L290" s="33" t="str">
        <f t="shared" si="1"/>
        <v>Not in buy Zone</v>
      </c>
      <c r="M290" s="33" t="str">
        <f t="shared" si="2"/>
        <v>Not in buy Zone</v>
      </c>
      <c r="N290" s="33" t="str">
        <f t="shared" si="3"/>
        <v>No</v>
      </c>
    </row>
    <row r="291" ht="11.25" customHeight="1">
      <c r="A291" s="1" t="s">
        <v>319</v>
      </c>
      <c r="B291" s="1">
        <v>0.0</v>
      </c>
      <c r="C291" s="1">
        <v>0.0</v>
      </c>
      <c r="D291" s="1">
        <v>34.84</v>
      </c>
      <c r="E291" s="1">
        <v>0.0</v>
      </c>
      <c r="F291" s="54">
        <v>44372.0</v>
      </c>
      <c r="G291" s="1">
        <v>0.0</v>
      </c>
      <c r="H291" s="1">
        <v>31.66</v>
      </c>
      <c r="I291" s="14">
        <v>44393.0</v>
      </c>
      <c r="J291" s="55" t="s">
        <v>2879</v>
      </c>
      <c r="K291" s="15" t="s">
        <v>3169</v>
      </c>
      <c r="L291" s="33" t="str">
        <f t="shared" si="1"/>
        <v>Not in buy Zone</v>
      </c>
      <c r="M291" s="33" t="str">
        <f t="shared" si="2"/>
        <v>Not in buy Zone</v>
      </c>
      <c r="N291" s="33" t="str">
        <f t="shared" si="3"/>
        <v>No</v>
      </c>
    </row>
    <row r="292" ht="11.25" customHeight="1">
      <c r="A292" s="1" t="s">
        <v>320</v>
      </c>
      <c r="B292" s="1">
        <v>0.0</v>
      </c>
      <c r="C292" s="1">
        <v>0.0</v>
      </c>
      <c r="D292" s="1">
        <v>0.0</v>
      </c>
      <c r="E292" s="1">
        <v>87.08</v>
      </c>
      <c r="F292" s="54">
        <v>44350.0</v>
      </c>
      <c r="G292" s="1">
        <v>0.0</v>
      </c>
      <c r="H292" s="1">
        <v>87.67</v>
      </c>
      <c r="I292" s="14">
        <v>44393.0</v>
      </c>
      <c r="J292" s="55" t="s">
        <v>2879</v>
      </c>
      <c r="K292" s="15" t="s">
        <v>3170</v>
      </c>
      <c r="L292" s="33" t="str">
        <f t="shared" si="1"/>
        <v>Not in buy Zone</v>
      </c>
      <c r="M292" s="33" t="str">
        <f t="shared" si="2"/>
        <v>Not in buy Zone</v>
      </c>
      <c r="N292" s="33" t="str">
        <f t="shared" si="3"/>
        <v>No</v>
      </c>
    </row>
    <row r="293" ht="11.25" customHeight="1">
      <c r="A293" s="1" t="s">
        <v>321</v>
      </c>
      <c r="B293" s="1">
        <v>0.0</v>
      </c>
      <c r="C293" s="1">
        <v>0.0</v>
      </c>
      <c r="D293" s="1">
        <v>0.0</v>
      </c>
      <c r="E293" s="1">
        <v>39.92</v>
      </c>
      <c r="F293" s="54">
        <v>44350.0</v>
      </c>
      <c r="G293" s="1">
        <v>0.0</v>
      </c>
      <c r="H293" s="1">
        <v>40.15</v>
      </c>
      <c r="I293" s="14">
        <v>44393.0</v>
      </c>
      <c r="J293" s="55" t="s">
        <v>2879</v>
      </c>
      <c r="K293" s="15" t="s">
        <v>3171</v>
      </c>
      <c r="L293" s="33" t="str">
        <f t="shared" si="1"/>
        <v>Not in buy Zone</v>
      </c>
      <c r="M293" s="33" t="str">
        <f t="shared" si="2"/>
        <v>Not in buy Zone</v>
      </c>
      <c r="N293" s="33" t="str">
        <f t="shared" si="3"/>
        <v>No</v>
      </c>
    </row>
    <row r="294" ht="11.25" customHeight="1">
      <c r="A294" s="1" t="s">
        <v>322</v>
      </c>
      <c r="B294" s="1">
        <v>0.0</v>
      </c>
      <c r="C294" s="1">
        <v>0.0</v>
      </c>
      <c r="D294" s="1">
        <v>34.04</v>
      </c>
      <c r="E294" s="1">
        <v>0.0</v>
      </c>
      <c r="F294" s="54">
        <v>44379.0</v>
      </c>
      <c r="G294" s="1">
        <v>0.0</v>
      </c>
      <c r="H294" s="1">
        <v>34.48</v>
      </c>
      <c r="I294" s="14">
        <v>44393.0</v>
      </c>
      <c r="J294" s="55" t="s">
        <v>2879</v>
      </c>
      <c r="K294" s="15" t="s">
        <v>3172</v>
      </c>
      <c r="L294" s="33" t="str">
        <f t="shared" si="1"/>
        <v>Not in buy Zone</v>
      </c>
      <c r="M294" s="33" t="str">
        <f t="shared" si="2"/>
        <v>Not in buy Zone</v>
      </c>
      <c r="N294" s="33" t="str">
        <f t="shared" si="3"/>
        <v>No</v>
      </c>
    </row>
    <row r="295" ht="11.25" customHeight="1">
      <c r="A295" s="1" t="s">
        <v>323</v>
      </c>
      <c r="B295" s="1">
        <v>0.0</v>
      </c>
      <c r="C295" s="1">
        <v>0.0</v>
      </c>
      <c r="D295" s="1">
        <v>0.0</v>
      </c>
      <c r="E295" s="1">
        <v>161.43</v>
      </c>
      <c r="F295" s="54">
        <v>44384.0</v>
      </c>
      <c r="G295" s="1">
        <v>0.0</v>
      </c>
      <c r="H295" s="1">
        <v>160.68</v>
      </c>
      <c r="I295" s="14">
        <v>44393.0</v>
      </c>
      <c r="J295" s="55" t="s">
        <v>2879</v>
      </c>
      <c r="K295" s="15" t="s">
        <v>3173</v>
      </c>
      <c r="L295" s="33" t="str">
        <f t="shared" si="1"/>
        <v>Not in buy Zone</v>
      </c>
      <c r="M295" s="33" t="str">
        <f t="shared" si="2"/>
        <v>Not in buy Zone</v>
      </c>
      <c r="N295" s="33" t="str">
        <f t="shared" si="3"/>
        <v>No</v>
      </c>
    </row>
    <row r="296" ht="11.25" customHeight="1">
      <c r="A296" s="1" t="s">
        <v>324</v>
      </c>
      <c r="B296" s="1">
        <v>0.0</v>
      </c>
      <c r="C296" s="1">
        <v>0.0</v>
      </c>
      <c r="D296" s="1">
        <v>146.84</v>
      </c>
      <c r="E296" s="1">
        <v>0.0</v>
      </c>
      <c r="F296" s="54">
        <v>44378.0</v>
      </c>
      <c r="G296" s="1">
        <v>0.0</v>
      </c>
      <c r="H296" s="1">
        <v>138.9</v>
      </c>
      <c r="I296" s="14">
        <v>44393.0</v>
      </c>
      <c r="J296" s="55" t="s">
        <v>2879</v>
      </c>
      <c r="K296" s="15" t="s">
        <v>3174</v>
      </c>
      <c r="L296" s="33" t="str">
        <f t="shared" si="1"/>
        <v>Not in buy Zone</v>
      </c>
      <c r="M296" s="33" t="str">
        <f t="shared" si="2"/>
        <v>Not in buy Zone</v>
      </c>
      <c r="N296" s="33" t="str">
        <f t="shared" si="3"/>
        <v>No</v>
      </c>
    </row>
    <row r="297" ht="11.25" customHeight="1">
      <c r="A297" s="1" t="s">
        <v>325</v>
      </c>
      <c r="B297" s="1">
        <v>0.0</v>
      </c>
      <c r="C297" s="1">
        <v>0.0</v>
      </c>
      <c r="D297" s="1">
        <v>0.0</v>
      </c>
      <c r="E297" s="1">
        <v>118.18</v>
      </c>
      <c r="F297" s="54">
        <v>44391.0</v>
      </c>
      <c r="G297" s="1">
        <v>0.0</v>
      </c>
      <c r="H297" s="1">
        <v>118.06</v>
      </c>
      <c r="I297" s="14">
        <v>44393.0</v>
      </c>
      <c r="J297" s="55" t="s">
        <v>2879</v>
      </c>
      <c r="K297" s="15" t="s">
        <v>3175</v>
      </c>
      <c r="L297" s="33" t="str">
        <f t="shared" si="1"/>
        <v>Not in buy Zone</v>
      </c>
      <c r="M297" s="33" t="str">
        <f t="shared" si="2"/>
        <v>Not in buy Zone</v>
      </c>
      <c r="N297" s="33" t="str">
        <f t="shared" si="3"/>
        <v>No</v>
      </c>
    </row>
    <row r="298" ht="11.25" customHeight="1">
      <c r="A298" s="1" t="s">
        <v>326</v>
      </c>
      <c r="B298" s="1">
        <v>0.0</v>
      </c>
      <c r="C298" s="1">
        <v>0.0</v>
      </c>
      <c r="D298" s="1">
        <v>539.24</v>
      </c>
      <c r="E298" s="1">
        <v>0.0</v>
      </c>
      <c r="F298" s="54">
        <v>44336.0</v>
      </c>
      <c r="G298" s="1">
        <v>0.0</v>
      </c>
      <c r="H298" s="1">
        <v>667.76</v>
      </c>
      <c r="I298" s="14">
        <v>44393.0</v>
      </c>
      <c r="J298" s="55" t="s">
        <v>2879</v>
      </c>
      <c r="K298" s="15" t="s">
        <v>3176</v>
      </c>
      <c r="L298" s="33" t="str">
        <f t="shared" si="1"/>
        <v>Not in buy Zone</v>
      </c>
      <c r="M298" s="33" t="str">
        <f t="shared" si="2"/>
        <v>Not in buy Zone</v>
      </c>
      <c r="N298" s="33" t="str">
        <f t="shared" si="3"/>
        <v>No</v>
      </c>
    </row>
    <row r="299" ht="11.25" customHeight="1">
      <c r="A299" s="1" t="s">
        <v>327</v>
      </c>
      <c r="B299" s="1">
        <v>0.0</v>
      </c>
      <c r="C299" s="1">
        <v>0.0</v>
      </c>
      <c r="D299" s="1">
        <v>0.0</v>
      </c>
      <c r="E299" s="1">
        <v>114.14</v>
      </c>
      <c r="F299" s="54">
        <v>44350.0</v>
      </c>
      <c r="G299" s="1">
        <v>0.0</v>
      </c>
      <c r="H299" s="1">
        <v>116.96</v>
      </c>
      <c r="I299" s="14">
        <v>44393.0</v>
      </c>
      <c r="J299" s="55" t="s">
        <v>2879</v>
      </c>
      <c r="K299" s="15" t="s">
        <v>3177</v>
      </c>
      <c r="L299" s="33" t="str">
        <f t="shared" si="1"/>
        <v>Not in buy Zone</v>
      </c>
      <c r="M299" s="33" t="str">
        <f t="shared" si="2"/>
        <v>Not in buy Zone</v>
      </c>
      <c r="N299" s="33" t="str">
        <f t="shared" si="3"/>
        <v>No</v>
      </c>
    </row>
    <row r="300" ht="11.25" customHeight="1">
      <c r="A300" s="1" t="s">
        <v>328</v>
      </c>
      <c r="B300" s="1">
        <v>0.0</v>
      </c>
      <c r="C300" s="1">
        <v>0.0</v>
      </c>
      <c r="D300" s="1">
        <v>0.0</v>
      </c>
      <c r="E300" s="1">
        <v>74.91</v>
      </c>
      <c r="F300" s="54">
        <v>44392.0</v>
      </c>
      <c r="G300" s="1">
        <v>0.0</v>
      </c>
      <c r="H300" s="1">
        <v>74.35</v>
      </c>
      <c r="I300" s="14">
        <v>44393.0</v>
      </c>
      <c r="J300" s="55" t="s">
        <v>2879</v>
      </c>
      <c r="K300" s="15" t="s">
        <v>3178</v>
      </c>
      <c r="L300" s="33" t="str">
        <f t="shared" si="1"/>
        <v>Not in buy Zone</v>
      </c>
      <c r="M300" s="33" t="str">
        <f t="shared" si="2"/>
        <v>Not in buy Zone</v>
      </c>
      <c r="N300" s="33" t="str">
        <f t="shared" si="3"/>
        <v>No</v>
      </c>
    </row>
    <row r="301" ht="11.25" customHeight="1">
      <c r="A301" s="1" t="s">
        <v>329</v>
      </c>
      <c r="B301" s="1">
        <v>0.0</v>
      </c>
      <c r="C301" s="1">
        <v>0.0</v>
      </c>
      <c r="D301" s="1">
        <v>0.0</v>
      </c>
      <c r="E301" s="1">
        <v>66.67</v>
      </c>
      <c r="F301" s="54">
        <v>44378.0</v>
      </c>
      <c r="G301" s="1">
        <v>0.0</v>
      </c>
      <c r="H301" s="1">
        <v>65.37</v>
      </c>
      <c r="I301" s="14">
        <v>44393.0</v>
      </c>
      <c r="J301" s="55" t="s">
        <v>2879</v>
      </c>
      <c r="K301" s="15" t="s">
        <v>3179</v>
      </c>
      <c r="L301" s="33" t="str">
        <f t="shared" si="1"/>
        <v>Not in buy Zone</v>
      </c>
      <c r="M301" s="33" t="str">
        <f t="shared" si="2"/>
        <v>Not in buy Zone</v>
      </c>
      <c r="N301" s="33" t="str">
        <f t="shared" si="3"/>
        <v>No</v>
      </c>
    </row>
    <row r="302" ht="11.25" customHeight="1">
      <c r="A302" s="1" t="s">
        <v>330</v>
      </c>
      <c r="B302" s="1">
        <v>0.0</v>
      </c>
      <c r="C302" s="1">
        <v>0.0</v>
      </c>
      <c r="D302" s="1">
        <v>222.46</v>
      </c>
      <c r="E302" s="1">
        <v>0.0</v>
      </c>
      <c r="F302" s="54">
        <v>44362.0</v>
      </c>
      <c r="G302" s="1">
        <v>0.0</v>
      </c>
      <c r="H302" s="1">
        <v>226.67</v>
      </c>
      <c r="I302" s="14">
        <v>44393.0</v>
      </c>
      <c r="J302" s="55" t="s">
        <v>2879</v>
      </c>
      <c r="K302" s="15" t="s">
        <v>3180</v>
      </c>
      <c r="L302" s="33" t="str">
        <f t="shared" si="1"/>
        <v>Not in buy Zone</v>
      </c>
      <c r="M302" s="33" t="str">
        <f t="shared" si="2"/>
        <v>Not in buy Zone</v>
      </c>
      <c r="N302" s="33" t="str">
        <f t="shared" si="3"/>
        <v>No</v>
      </c>
    </row>
    <row r="303" ht="11.25" customHeight="1">
      <c r="A303" s="1" t="s">
        <v>331</v>
      </c>
      <c r="B303" s="1">
        <v>0.0</v>
      </c>
      <c r="C303" s="1">
        <v>0.0</v>
      </c>
      <c r="D303" s="1">
        <v>0.0</v>
      </c>
      <c r="E303" s="1">
        <v>144.86</v>
      </c>
      <c r="F303" s="54">
        <v>44365.0</v>
      </c>
      <c r="G303" s="1">
        <v>0.0</v>
      </c>
      <c r="H303" s="1">
        <v>143.42</v>
      </c>
      <c r="I303" s="14">
        <v>44393.0</v>
      </c>
      <c r="J303" s="55" t="s">
        <v>2879</v>
      </c>
      <c r="K303" s="15" t="s">
        <v>3181</v>
      </c>
      <c r="L303" s="33" t="str">
        <f t="shared" si="1"/>
        <v>Not in buy Zone</v>
      </c>
      <c r="M303" s="33" t="str">
        <f t="shared" si="2"/>
        <v>Not in buy Zone</v>
      </c>
      <c r="N303" s="33" t="str">
        <f t="shared" si="3"/>
        <v>No</v>
      </c>
    </row>
    <row r="304" ht="11.25" customHeight="1">
      <c r="A304" s="1" t="s">
        <v>332</v>
      </c>
      <c r="B304" s="1">
        <v>0.0</v>
      </c>
      <c r="C304" s="1">
        <v>0.0</v>
      </c>
      <c r="D304" s="1">
        <v>113.94</v>
      </c>
      <c r="E304" s="1">
        <v>0.0</v>
      </c>
      <c r="F304" s="54">
        <v>44371.0</v>
      </c>
      <c r="G304" s="1">
        <v>0.0</v>
      </c>
      <c r="H304" s="1">
        <v>106.67</v>
      </c>
      <c r="I304" s="14">
        <v>44393.0</v>
      </c>
      <c r="J304" s="55" t="s">
        <v>2879</v>
      </c>
      <c r="K304" s="15" t="s">
        <v>3182</v>
      </c>
      <c r="L304" s="33" t="str">
        <f t="shared" si="1"/>
        <v>Not in buy Zone</v>
      </c>
      <c r="M304" s="33" t="str">
        <f t="shared" si="2"/>
        <v>Not in buy Zone</v>
      </c>
      <c r="N304" s="33" t="str">
        <f t="shared" si="3"/>
        <v>No</v>
      </c>
    </row>
    <row r="305" ht="11.25" customHeight="1">
      <c r="A305" s="1" t="s">
        <v>333</v>
      </c>
      <c r="B305" s="1">
        <v>0.0</v>
      </c>
      <c r="C305" s="1">
        <v>0.0</v>
      </c>
      <c r="D305" s="1">
        <v>0.0</v>
      </c>
      <c r="E305" s="1">
        <v>460.92</v>
      </c>
      <c r="F305" s="54">
        <v>44391.0</v>
      </c>
      <c r="G305" s="1">
        <v>0.0</v>
      </c>
      <c r="H305" s="1">
        <v>465.46</v>
      </c>
      <c r="I305" s="14">
        <v>44393.0</v>
      </c>
      <c r="J305" s="55" t="s">
        <v>2879</v>
      </c>
      <c r="K305" s="15" t="s">
        <v>3183</v>
      </c>
      <c r="L305" s="33" t="str">
        <f t="shared" si="1"/>
        <v>Not in buy Zone</v>
      </c>
      <c r="M305" s="33" t="str">
        <f t="shared" si="2"/>
        <v>Not in buy Zone</v>
      </c>
      <c r="N305" s="33" t="str">
        <f t="shared" si="3"/>
        <v>No</v>
      </c>
    </row>
    <row r="306" ht="11.25" customHeight="1">
      <c r="A306" s="1" t="s">
        <v>334</v>
      </c>
      <c r="B306" s="1">
        <v>0.0</v>
      </c>
      <c r="C306" s="1">
        <v>0.0</v>
      </c>
      <c r="D306" s="1">
        <v>0.0</v>
      </c>
      <c r="E306" s="1">
        <v>84.13</v>
      </c>
      <c r="F306" s="54">
        <v>44377.0</v>
      </c>
      <c r="G306" s="1">
        <v>0.0</v>
      </c>
      <c r="H306" s="1">
        <v>78.33</v>
      </c>
      <c r="I306" s="14">
        <v>44393.0</v>
      </c>
      <c r="J306" s="55" t="s">
        <v>2879</v>
      </c>
      <c r="K306" s="15" t="s">
        <v>3184</v>
      </c>
      <c r="L306" s="33" t="str">
        <f t="shared" si="1"/>
        <v>Not in buy Zone</v>
      </c>
      <c r="M306" s="33" t="str">
        <f t="shared" si="2"/>
        <v>Not in buy Zone</v>
      </c>
      <c r="N306" s="33" t="str">
        <f t="shared" si="3"/>
        <v>No</v>
      </c>
    </row>
    <row r="307" ht="11.25" customHeight="1">
      <c r="A307" s="1" t="s">
        <v>335</v>
      </c>
      <c r="B307" s="1">
        <v>0.0</v>
      </c>
      <c r="C307" s="1">
        <v>0.0</v>
      </c>
      <c r="D307" s="1">
        <v>44.33</v>
      </c>
      <c r="E307" s="1">
        <v>0.0</v>
      </c>
      <c r="F307" s="54">
        <v>44386.0</v>
      </c>
      <c r="G307" s="1">
        <v>0.0</v>
      </c>
      <c r="H307" s="1">
        <v>44.23</v>
      </c>
      <c r="I307" s="14">
        <v>44393.0</v>
      </c>
      <c r="J307" s="55" t="s">
        <v>2879</v>
      </c>
      <c r="K307" s="15" t="s">
        <v>3185</v>
      </c>
      <c r="L307" s="33" t="str">
        <f t="shared" si="1"/>
        <v>Not in buy Zone</v>
      </c>
      <c r="M307" s="33" t="str">
        <f t="shared" si="2"/>
        <v>Not in buy Zone</v>
      </c>
      <c r="N307" s="33" t="str">
        <f t="shared" si="3"/>
        <v>No</v>
      </c>
    </row>
    <row r="308" ht="11.25" customHeight="1">
      <c r="A308" s="1" t="s">
        <v>336</v>
      </c>
      <c r="B308" s="1">
        <v>0.0</v>
      </c>
      <c r="C308" s="1">
        <v>0.0</v>
      </c>
      <c r="D308" s="1">
        <v>0.0</v>
      </c>
      <c r="E308" s="1">
        <v>103.97</v>
      </c>
      <c r="F308" s="54">
        <v>44348.0</v>
      </c>
      <c r="G308" s="1">
        <v>0.0</v>
      </c>
      <c r="H308" s="1">
        <v>114.06</v>
      </c>
      <c r="I308" s="14">
        <v>44393.0</v>
      </c>
      <c r="J308" s="55" t="s">
        <v>2879</v>
      </c>
      <c r="K308" s="15" t="s">
        <v>3186</v>
      </c>
      <c r="L308" s="33" t="str">
        <f t="shared" si="1"/>
        <v>Not in buy Zone</v>
      </c>
      <c r="M308" s="33" t="str">
        <f t="shared" si="2"/>
        <v>Not in buy Zone</v>
      </c>
      <c r="N308" s="33" t="str">
        <f t="shared" si="3"/>
        <v>No</v>
      </c>
    </row>
    <row r="309" ht="11.25" customHeight="1">
      <c r="A309" s="1" t="s">
        <v>337</v>
      </c>
      <c r="B309" s="1">
        <v>0.0</v>
      </c>
      <c r="C309" s="1">
        <v>0.0</v>
      </c>
      <c r="D309" s="1">
        <v>57.48</v>
      </c>
      <c r="E309" s="1">
        <v>0.0</v>
      </c>
      <c r="F309" s="54">
        <v>44375.0</v>
      </c>
      <c r="G309" s="1">
        <v>0.0</v>
      </c>
      <c r="H309" s="1">
        <v>54.97</v>
      </c>
      <c r="I309" s="14">
        <v>44393.0</v>
      </c>
      <c r="J309" s="55" t="s">
        <v>2879</v>
      </c>
      <c r="K309" s="15" t="s">
        <v>3187</v>
      </c>
      <c r="L309" s="33" t="str">
        <f t="shared" si="1"/>
        <v>Not in buy Zone</v>
      </c>
      <c r="M309" s="33" t="str">
        <f t="shared" si="2"/>
        <v>Not in buy Zone</v>
      </c>
      <c r="N309" s="33" t="str">
        <f t="shared" si="3"/>
        <v>No</v>
      </c>
    </row>
    <row r="310" ht="11.25" customHeight="1">
      <c r="A310" s="1" t="s">
        <v>338</v>
      </c>
      <c r="B310" s="1">
        <v>0.0</v>
      </c>
      <c r="C310" s="1">
        <v>0.0</v>
      </c>
      <c r="D310" s="1">
        <v>417.26</v>
      </c>
      <c r="E310" s="1">
        <v>0.0</v>
      </c>
      <c r="F310" s="54">
        <v>44330.0</v>
      </c>
      <c r="G310" s="1">
        <v>0.0</v>
      </c>
      <c r="H310" s="1">
        <v>501.51</v>
      </c>
      <c r="I310" s="14">
        <v>44393.0</v>
      </c>
      <c r="J310" s="55" t="s">
        <v>2879</v>
      </c>
      <c r="K310" s="15" t="s">
        <v>3188</v>
      </c>
      <c r="L310" s="33" t="str">
        <f t="shared" si="1"/>
        <v>Not in buy Zone</v>
      </c>
      <c r="M310" s="33" t="str">
        <f t="shared" si="2"/>
        <v>Not in buy Zone</v>
      </c>
      <c r="N310" s="33" t="str">
        <f t="shared" si="3"/>
        <v>No</v>
      </c>
    </row>
    <row r="311" ht="11.25" customHeight="1">
      <c r="A311" s="1" t="s">
        <v>339</v>
      </c>
      <c r="B311" s="1">
        <v>0.0</v>
      </c>
      <c r="C311" s="1">
        <v>0.0</v>
      </c>
      <c r="D311" s="1">
        <v>0.0</v>
      </c>
      <c r="E311" s="1">
        <v>34.25</v>
      </c>
      <c r="F311" s="54">
        <v>44328.0</v>
      </c>
      <c r="G311" s="1">
        <v>0.0</v>
      </c>
      <c r="H311" s="1">
        <v>39.97</v>
      </c>
      <c r="I311" s="14">
        <v>44393.0</v>
      </c>
      <c r="J311" s="55" t="s">
        <v>2879</v>
      </c>
      <c r="K311" s="15" t="s">
        <v>3189</v>
      </c>
      <c r="L311" s="33" t="str">
        <f t="shared" si="1"/>
        <v>Not in buy Zone</v>
      </c>
      <c r="M311" s="33" t="str">
        <f t="shared" si="2"/>
        <v>Not in buy Zone</v>
      </c>
      <c r="N311" s="33" t="str">
        <f t="shared" si="3"/>
        <v>No</v>
      </c>
    </row>
    <row r="312" ht="11.25" customHeight="1">
      <c r="A312" s="1" t="s">
        <v>340</v>
      </c>
      <c r="B312" s="1">
        <v>0.0</v>
      </c>
      <c r="C312" s="1">
        <v>0.0</v>
      </c>
      <c r="D312" s="1">
        <v>0.0</v>
      </c>
      <c r="E312" s="1">
        <v>59.89</v>
      </c>
      <c r="F312" s="54">
        <v>44392.0</v>
      </c>
      <c r="G312" s="1">
        <v>0.0</v>
      </c>
      <c r="H312" s="1">
        <v>59.13</v>
      </c>
      <c r="I312" s="14">
        <v>44393.0</v>
      </c>
      <c r="J312" s="55" t="s">
        <v>2879</v>
      </c>
      <c r="K312" s="15" t="s">
        <v>3190</v>
      </c>
      <c r="L312" s="33" t="str">
        <f t="shared" si="1"/>
        <v>Not in buy Zone</v>
      </c>
      <c r="M312" s="33" t="str">
        <f t="shared" si="2"/>
        <v>Not in buy Zone</v>
      </c>
      <c r="N312" s="33" t="str">
        <f t="shared" si="3"/>
        <v>No</v>
      </c>
    </row>
    <row r="313" ht="11.25" customHeight="1">
      <c r="A313" s="1" t="s">
        <v>341</v>
      </c>
      <c r="B313" s="1">
        <v>0.0</v>
      </c>
      <c r="C313" s="1">
        <v>0.0</v>
      </c>
      <c r="D313" s="1">
        <v>33.15</v>
      </c>
      <c r="E313" s="1">
        <v>0.0</v>
      </c>
      <c r="F313" s="54">
        <v>44378.0</v>
      </c>
      <c r="G313" s="1">
        <v>0.0</v>
      </c>
      <c r="H313" s="1">
        <v>31.44</v>
      </c>
      <c r="I313" s="14">
        <v>44393.0</v>
      </c>
      <c r="J313" s="55" t="s">
        <v>2879</v>
      </c>
      <c r="K313" s="15" t="s">
        <v>3191</v>
      </c>
      <c r="L313" s="33" t="str">
        <f t="shared" si="1"/>
        <v>Not in buy Zone</v>
      </c>
      <c r="M313" s="33" t="str">
        <f t="shared" si="2"/>
        <v>Not in buy Zone</v>
      </c>
      <c r="N313" s="33" t="str">
        <f t="shared" si="3"/>
        <v>No</v>
      </c>
    </row>
    <row r="314" ht="11.25" customHeight="1">
      <c r="A314" s="1" t="s">
        <v>342</v>
      </c>
      <c r="B314" s="1">
        <v>0.0</v>
      </c>
      <c r="C314" s="1">
        <v>0.0</v>
      </c>
      <c r="D314" s="1">
        <v>0.0</v>
      </c>
      <c r="E314" s="1">
        <v>207.71</v>
      </c>
      <c r="F314" s="54">
        <v>44384.0</v>
      </c>
      <c r="G314" s="1">
        <v>0.0</v>
      </c>
      <c r="H314" s="1">
        <v>205.88</v>
      </c>
      <c r="I314" s="14">
        <v>44393.0</v>
      </c>
      <c r="J314" s="55" t="s">
        <v>2879</v>
      </c>
      <c r="K314" s="15" t="s">
        <v>3192</v>
      </c>
      <c r="L314" s="33" t="str">
        <f t="shared" si="1"/>
        <v>Not in buy Zone</v>
      </c>
      <c r="M314" s="33" t="str">
        <f t="shared" si="2"/>
        <v>Not in buy Zone</v>
      </c>
      <c r="N314" s="33" t="str">
        <f t="shared" si="3"/>
        <v>No</v>
      </c>
    </row>
    <row r="315" ht="11.25" customHeight="1">
      <c r="A315" s="1" t="s">
        <v>343</v>
      </c>
      <c r="B315" s="1">
        <v>0.0</v>
      </c>
      <c r="C315" s="1">
        <v>0.0</v>
      </c>
      <c r="D315" s="1">
        <v>0.0</v>
      </c>
      <c r="E315" s="1">
        <v>240.89</v>
      </c>
      <c r="F315" s="54">
        <v>44371.0</v>
      </c>
      <c r="G315" s="1">
        <v>0.0</v>
      </c>
      <c r="H315" s="1">
        <v>247.7</v>
      </c>
      <c r="I315" s="14">
        <v>44393.0</v>
      </c>
      <c r="J315" s="55" t="s">
        <v>2879</v>
      </c>
      <c r="K315" s="15" t="s">
        <v>3193</v>
      </c>
      <c r="L315" s="33" t="str">
        <f t="shared" si="1"/>
        <v>Not in buy Zone</v>
      </c>
      <c r="M315" s="33" t="str">
        <f t="shared" si="2"/>
        <v>Not in buy Zone</v>
      </c>
      <c r="N315" s="33" t="str">
        <f t="shared" si="3"/>
        <v>No</v>
      </c>
    </row>
    <row r="316" ht="11.25" customHeight="1">
      <c r="A316" s="1" t="s">
        <v>344</v>
      </c>
      <c r="B316" s="1">
        <v>0.0</v>
      </c>
      <c r="C316" s="1">
        <v>0.0</v>
      </c>
      <c r="D316" s="1">
        <v>0.0</v>
      </c>
      <c r="E316" s="1">
        <v>48.07</v>
      </c>
      <c r="F316" s="54">
        <v>44391.0</v>
      </c>
      <c r="G316" s="1">
        <v>0.0</v>
      </c>
      <c r="H316" s="1">
        <v>48.16</v>
      </c>
      <c r="I316" s="14">
        <v>44393.0</v>
      </c>
      <c r="J316" s="55" t="s">
        <v>2879</v>
      </c>
      <c r="K316" s="15" t="s">
        <v>3194</v>
      </c>
      <c r="L316" s="33" t="str">
        <f t="shared" si="1"/>
        <v>Not in buy Zone</v>
      </c>
      <c r="M316" s="33" t="str">
        <f t="shared" si="2"/>
        <v>Not in buy Zone</v>
      </c>
      <c r="N316" s="33" t="str">
        <f t="shared" si="3"/>
        <v>No</v>
      </c>
    </row>
    <row r="317" ht="11.25" customHeight="1">
      <c r="A317" s="1" t="s">
        <v>345</v>
      </c>
      <c r="B317" s="1">
        <v>0.0</v>
      </c>
      <c r="C317" s="1">
        <v>0.0</v>
      </c>
      <c r="D317" s="1">
        <v>43.74</v>
      </c>
      <c r="E317" s="1">
        <v>0.0</v>
      </c>
      <c r="F317" s="54">
        <v>44386.0</v>
      </c>
      <c r="G317" s="1">
        <v>0.0</v>
      </c>
      <c r="H317" s="1">
        <v>43.32</v>
      </c>
      <c r="I317" s="14">
        <v>44393.0</v>
      </c>
      <c r="J317" s="55" t="s">
        <v>2879</v>
      </c>
      <c r="K317" s="15" t="s">
        <v>3195</v>
      </c>
      <c r="L317" s="33" t="str">
        <f t="shared" si="1"/>
        <v>Not in buy Zone</v>
      </c>
      <c r="M317" s="33" t="str">
        <f t="shared" si="2"/>
        <v>Not in buy Zone</v>
      </c>
      <c r="N317" s="33" t="str">
        <f t="shared" si="3"/>
        <v>No</v>
      </c>
    </row>
    <row r="318" ht="11.25" customHeight="1">
      <c r="A318" s="1" t="s">
        <v>346</v>
      </c>
      <c r="B318" s="1">
        <v>0.0</v>
      </c>
      <c r="C318" s="1">
        <v>0.0</v>
      </c>
      <c r="D318" s="1">
        <v>0.0</v>
      </c>
      <c r="E318" s="1">
        <v>821.54</v>
      </c>
      <c r="F318" s="54">
        <v>44349.0</v>
      </c>
      <c r="G318" s="1">
        <v>0.0</v>
      </c>
      <c r="H318" s="1">
        <v>950.11</v>
      </c>
      <c r="I318" s="14">
        <v>44393.0</v>
      </c>
      <c r="J318" s="55" t="s">
        <v>2879</v>
      </c>
      <c r="K318" s="15" t="s">
        <v>3196</v>
      </c>
      <c r="L318" s="33" t="str">
        <f t="shared" si="1"/>
        <v>Not in buy Zone</v>
      </c>
      <c r="M318" s="33" t="str">
        <f t="shared" si="2"/>
        <v>Not in buy Zone</v>
      </c>
      <c r="N318" s="33" t="str">
        <f t="shared" si="3"/>
        <v>No</v>
      </c>
    </row>
    <row r="319" ht="11.25" customHeight="1">
      <c r="A319" s="1" t="s">
        <v>347</v>
      </c>
      <c r="B319" s="1">
        <v>0.0</v>
      </c>
      <c r="C319" s="1">
        <v>0.0</v>
      </c>
      <c r="D319" s="1">
        <v>232.99</v>
      </c>
      <c r="E319" s="1">
        <v>0.0</v>
      </c>
      <c r="F319" s="54">
        <v>44358.0</v>
      </c>
      <c r="G319" s="1">
        <v>0.0</v>
      </c>
      <c r="H319" s="1">
        <v>253.36</v>
      </c>
      <c r="I319" s="14">
        <v>44393.0</v>
      </c>
      <c r="J319" s="55" t="s">
        <v>2879</v>
      </c>
      <c r="K319" s="15" t="s">
        <v>3197</v>
      </c>
      <c r="L319" s="33" t="str">
        <f t="shared" si="1"/>
        <v>Not in buy Zone</v>
      </c>
      <c r="M319" s="33" t="str">
        <f t="shared" si="2"/>
        <v>Not in buy Zone</v>
      </c>
      <c r="N319" s="33" t="str">
        <f t="shared" si="3"/>
        <v>No</v>
      </c>
    </row>
    <row r="320" ht="11.25" customHeight="1">
      <c r="A320" s="1" t="s">
        <v>348</v>
      </c>
      <c r="B320" s="1">
        <v>0.0</v>
      </c>
      <c r="C320" s="1">
        <v>0.0</v>
      </c>
      <c r="D320" s="1">
        <v>225.6</v>
      </c>
      <c r="E320" s="1">
        <v>0.0</v>
      </c>
      <c r="F320" s="54">
        <v>44379.0</v>
      </c>
      <c r="G320" s="1">
        <v>0.0</v>
      </c>
      <c r="H320" s="1">
        <v>228.39</v>
      </c>
      <c r="I320" s="14">
        <v>44393.0</v>
      </c>
      <c r="J320" s="55" t="s">
        <v>2879</v>
      </c>
      <c r="K320" s="15" t="s">
        <v>3198</v>
      </c>
      <c r="L320" s="33" t="str">
        <f t="shared" si="1"/>
        <v>Not in buy Zone</v>
      </c>
      <c r="M320" s="33" t="str">
        <f t="shared" si="2"/>
        <v>Not in buy Zone</v>
      </c>
      <c r="N320" s="33" t="str">
        <f t="shared" si="3"/>
        <v>No</v>
      </c>
    </row>
    <row r="321" ht="11.25" customHeight="1">
      <c r="A321" s="1" t="s">
        <v>349</v>
      </c>
      <c r="B321" s="1">
        <v>0.0</v>
      </c>
      <c r="C321" s="1">
        <v>433.27</v>
      </c>
      <c r="D321" s="1">
        <v>0.0</v>
      </c>
      <c r="E321" s="1">
        <v>0.0</v>
      </c>
      <c r="F321" s="54">
        <v>44393.0</v>
      </c>
      <c r="G321" s="1">
        <v>-1.0</v>
      </c>
      <c r="H321" s="1">
        <v>433.27</v>
      </c>
      <c r="I321" s="14">
        <v>44393.0</v>
      </c>
      <c r="J321" s="55" t="s">
        <v>2879</v>
      </c>
      <c r="K321" s="15" t="s">
        <v>3199</v>
      </c>
      <c r="L321" s="33" t="str">
        <f t="shared" si="1"/>
        <v>Not in buy Zone</v>
      </c>
      <c r="M321" s="33" t="str">
        <f t="shared" si="2"/>
        <v>Not in buy Zone</v>
      </c>
      <c r="N321" s="33" t="str">
        <f t="shared" si="3"/>
        <v>No</v>
      </c>
    </row>
    <row r="322" ht="11.25" customHeight="1">
      <c r="A322" s="1" t="s">
        <v>350</v>
      </c>
      <c r="B322" s="1">
        <v>0.0</v>
      </c>
      <c r="C322" s="1">
        <v>0.0</v>
      </c>
      <c r="D322" s="1">
        <v>26.71</v>
      </c>
      <c r="E322" s="1">
        <v>0.0</v>
      </c>
      <c r="F322" s="54">
        <v>44389.0</v>
      </c>
      <c r="G322" s="1">
        <v>0.0</v>
      </c>
      <c r="H322" s="1">
        <v>25.02</v>
      </c>
      <c r="I322" s="14">
        <v>44393.0</v>
      </c>
      <c r="J322" s="55" t="s">
        <v>2879</v>
      </c>
      <c r="K322" s="15" t="s">
        <v>3200</v>
      </c>
      <c r="L322" s="33" t="str">
        <f t="shared" si="1"/>
        <v>Not in buy Zone</v>
      </c>
      <c r="M322" s="33" t="str">
        <f t="shared" si="2"/>
        <v>Not in buy Zone</v>
      </c>
      <c r="N322" s="33" t="str">
        <f t="shared" si="3"/>
        <v>No</v>
      </c>
    </row>
    <row r="323" ht="11.25" customHeight="1">
      <c r="A323" s="1" t="s">
        <v>351</v>
      </c>
      <c r="B323" s="1">
        <v>0.0</v>
      </c>
      <c r="C323" s="1">
        <v>0.0</v>
      </c>
      <c r="D323" s="1">
        <v>0.0</v>
      </c>
      <c r="E323" s="1">
        <v>157.34</v>
      </c>
      <c r="F323" s="54">
        <v>44385.0</v>
      </c>
      <c r="G323" s="1">
        <v>0.0</v>
      </c>
      <c r="H323" s="1">
        <v>157.47</v>
      </c>
      <c r="I323" s="14">
        <v>44393.0</v>
      </c>
      <c r="J323" s="55" t="s">
        <v>2879</v>
      </c>
      <c r="K323" s="15" t="s">
        <v>3201</v>
      </c>
      <c r="L323" s="33" t="str">
        <f t="shared" si="1"/>
        <v>Not in buy Zone</v>
      </c>
      <c r="M323" s="33" t="str">
        <f t="shared" si="2"/>
        <v>Not in buy Zone</v>
      </c>
      <c r="N323" s="33" t="str">
        <f t="shared" si="3"/>
        <v>No</v>
      </c>
    </row>
    <row r="324" ht="11.25" customHeight="1">
      <c r="A324" s="1" t="s">
        <v>352</v>
      </c>
      <c r="B324" s="1">
        <v>0.0</v>
      </c>
      <c r="C324" s="1">
        <v>0.0</v>
      </c>
      <c r="D324" s="1">
        <v>0.0</v>
      </c>
      <c r="E324" s="1">
        <v>225.86</v>
      </c>
      <c r="F324" s="54">
        <v>44383.0</v>
      </c>
      <c r="G324" s="1">
        <v>0.0</v>
      </c>
      <c r="H324" s="1">
        <v>214.95</v>
      </c>
      <c r="I324" s="14">
        <v>44393.0</v>
      </c>
      <c r="J324" s="55" t="s">
        <v>2879</v>
      </c>
      <c r="K324" s="15" t="s">
        <v>3202</v>
      </c>
      <c r="L324" s="33" t="str">
        <f t="shared" si="1"/>
        <v>Not in buy Zone</v>
      </c>
      <c r="M324" s="33" t="str">
        <f t="shared" si="2"/>
        <v>Not in buy Zone</v>
      </c>
      <c r="N324" s="33" t="str">
        <f t="shared" si="3"/>
        <v>No</v>
      </c>
    </row>
    <row r="325" ht="11.25" customHeight="1">
      <c r="A325" s="1" t="s">
        <v>353</v>
      </c>
      <c r="B325" s="1">
        <v>0.0</v>
      </c>
      <c r="C325" s="1">
        <v>0.0</v>
      </c>
      <c r="D325" s="1">
        <v>103.46</v>
      </c>
      <c r="E325" s="1">
        <v>0.0</v>
      </c>
      <c r="F325" s="54">
        <v>44383.0</v>
      </c>
      <c r="G325" s="1">
        <v>0.0</v>
      </c>
      <c r="H325" s="1">
        <v>105.78</v>
      </c>
      <c r="I325" s="14">
        <v>44393.0</v>
      </c>
      <c r="J325" s="55" t="s">
        <v>2879</v>
      </c>
      <c r="K325" s="15" t="s">
        <v>3203</v>
      </c>
      <c r="L325" s="33" t="str">
        <f t="shared" si="1"/>
        <v>Not in buy Zone</v>
      </c>
      <c r="M325" s="33" t="str">
        <f t="shared" si="2"/>
        <v>Not in buy Zone</v>
      </c>
      <c r="N325" s="33" t="str">
        <f t="shared" si="3"/>
        <v>No</v>
      </c>
    </row>
    <row r="326" ht="11.25" customHeight="1">
      <c r="A326" s="1" t="s">
        <v>354</v>
      </c>
      <c r="B326" s="1">
        <v>0.0</v>
      </c>
      <c r="C326" s="1">
        <v>0.0</v>
      </c>
      <c r="D326" s="1">
        <v>136.84</v>
      </c>
      <c r="E326" s="1">
        <v>0.0</v>
      </c>
      <c r="F326" s="54">
        <v>44372.0</v>
      </c>
      <c r="G326" s="1">
        <v>0.0</v>
      </c>
      <c r="H326" s="1">
        <v>132.04</v>
      </c>
      <c r="I326" s="14">
        <v>44393.0</v>
      </c>
      <c r="J326" s="55" t="s">
        <v>2879</v>
      </c>
      <c r="K326" s="15" t="s">
        <v>3204</v>
      </c>
      <c r="L326" s="33" t="str">
        <f t="shared" si="1"/>
        <v>Not in buy Zone</v>
      </c>
      <c r="M326" s="33" t="str">
        <f t="shared" si="2"/>
        <v>Not in buy Zone</v>
      </c>
      <c r="N326" s="33" t="str">
        <f t="shared" si="3"/>
        <v>No</v>
      </c>
    </row>
    <row r="327" ht="11.25" customHeight="1">
      <c r="A327" s="1" t="s">
        <v>355</v>
      </c>
      <c r="B327" s="1">
        <v>0.0</v>
      </c>
      <c r="C327" s="1">
        <v>164.95</v>
      </c>
      <c r="D327" s="1">
        <v>0.0</v>
      </c>
      <c r="E327" s="1">
        <v>0.0</v>
      </c>
      <c r="F327" s="54">
        <v>44393.0</v>
      </c>
      <c r="G327" s="1">
        <v>-1.0</v>
      </c>
      <c r="H327" s="1">
        <v>164.95</v>
      </c>
      <c r="I327" s="14">
        <v>44393.0</v>
      </c>
      <c r="J327" s="55" t="s">
        <v>2879</v>
      </c>
      <c r="K327" s="15" t="s">
        <v>3205</v>
      </c>
      <c r="L327" s="33" t="str">
        <f t="shared" si="1"/>
        <v>Not in buy Zone</v>
      </c>
      <c r="M327" s="33" t="str">
        <f t="shared" si="2"/>
        <v>Not in buy Zone</v>
      </c>
      <c r="N327" s="33" t="str">
        <f t="shared" si="3"/>
        <v>No</v>
      </c>
    </row>
    <row r="328" ht="11.25" customHeight="1">
      <c r="A328" s="1" t="s">
        <v>356</v>
      </c>
      <c r="B328" s="1">
        <v>0.0</v>
      </c>
      <c r="C328" s="1">
        <v>0.0</v>
      </c>
      <c r="D328" s="1">
        <v>0.0</v>
      </c>
      <c r="E328" s="1">
        <v>66.16</v>
      </c>
      <c r="F328" s="54">
        <v>44361.0</v>
      </c>
      <c r="G328" s="1">
        <v>0.0</v>
      </c>
      <c r="H328" s="1">
        <v>69.73</v>
      </c>
      <c r="I328" s="14">
        <v>44393.0</v>
      </c>
      <c r="J328" s="55" t="s">
        <v>2879</v>
      </c>
      <c r="K328" s="15" t="s">
        <v>3206</v>
      </c>
      <c r="L328" s="33" t="str">
        <f t="shared" si="1"/>
        <v>Not in buy Zone</v>
      </c>
      <c r="M328" s="33" t="str">
        <f t="shared" si="2"/>
        <v>Not in buy Zone</v>
      </c>
      <c r="N328" s="33" t="str">
        <f t="shared" si="3"/>
        <v>No</v>
      </c>
    </row>
    <row r="329" ht="11.25" customHeight="1">
      <c r="A329" s="1" t="s">
        <v>357</v>
      </c>
      <c r="B329" s="1">
        <v>0.0</v>
      </c>
      <c r="C329" s="1">
        <v>0.0</v>
      </c>
      <c r="D329" s="1">
        <v>76.52</v>
      </c>
      <c r="E329" s="1">
        <v>0.0</v>
      </c>
      <c r="F329" s="54">
        <v>44390.0</v>
      </c>
      <c r="G329" s="1">
        <v>0.0</v>
      </c>
      <c r="H329" s="1">
        <v>75.59</v>
      </c>
      <c r="I329" s="14">
        <v>44393.0</v>
      </c>
      <c r="J329" s="55" t="s">
        <v>2879</v>
      </c>
      <c r="K329" s="15" t="s">
        <v>3207</v>
      </c>
      <c r="L329" s="33" t="str">
        <f t="shared" si="1"/>
        <v>Not in buy Zone</v>
      </c>
      <c r="M329" s="33" t="str">
        <f t="shared" si="2"/>
        <v>Not in buy Zone</v>
      </c>
      <c r="N329" s="33" t="str">
        <f t="shared" si="3"/>
        <v>No</v>
      </c>
    </row>
    <row r="330" ht="11.25" customHeight="1">
      <c r="A330" s="1" t="s">
        <v>358</v>
      </c>
      <c r="B330" s="1">
        <v>0.0</v>
      </c>
      <c r="C330" s="1">
        <v>0.0</v>
      </c>
      <c r="D330" s="1">
        <v>33.64</v>
      </c>
      <c r="E330" s="1">
        <v>0.0</v>
      </c>
      <c r="F330" s="54">
        <v>44391.0</v>
      </c>
      <c r="G330" s="1">
        <v>0.0</v>
      </c>
      <c r="H330" s="1">
        <v>33.37</v>
      </c>
      <c r="I330" s="14">
        <v>44393.0</v>
      </c>
      <c r="J330" s="55" t="s">
        <v>2879</v>
      </c>
      <c r="K330" s="15" t="s">
        <v>3208</v>
      </c>
      <c r="L330" s="33" t="str">
        <f t="shared" si="1"/>
        <v>Not in buy Zone</v>
      </c>
      <c r="M330" s="33" t="str">
        <f t="shared" si="2"/>
        <v>Not in buy Zone</v>
      </c>
      <c r="N330" s="33" t="str">
        <f t="shared" si="3"/>
        <v>No</v>
      </c>
    </row>
    <row r="331" ht="11.25" customHeight="1">
      <c r="A331" s="1" t="s">
        <v>359</v>
      </c>
      <c r="B331" s="1">
        <v>0.0</v>
      </c>
      <c r="C331" s="1">
        <v>0.0</v>
      </c>
      <c r="D331" s="1">
        <v>0.0</v>
      </c>
      <c r="E331" s="1">
        <v>163.51</v>
      </c>
      <c r="F331" s="54">
        <v>44377.0</v>
      </c>
      <c r="G331" s="1">
        <v>0.0</v>
      </c>
      <c r="H331" s="1">
        <v>171.67</v>
      </c>
      <c r="I331" s="14">
        <v>44393.0</v>
      </c>
      <c r="J331" s="55" t="s">
        <v>2879</v>
      </c>
      <c r="K331" s="15" t="s">
        <v>3209</v>
      </c>
      <c r="L331" s="33" t="str">
        <f t="shared" si="1"/>
        <v>Not in buy Zone</v>
      </c>
      <c r="M331" s="33" t="str">
        <f t="shared" si="2"/>
        <v>Not in buy Zone</v>
      </c>
      <c r="N331" s="33" t="str">
        <f t="shared" si="3"/>
        <v>No</v>
      </c>
    </row>
    <row r="332" ht="11.25" customHeight="1">
      <c r="A332" s="1" t="s">
        <v>360</v>
      </c>
      <c r="B332" s="1">
        <v>0.0</v>
      </c>
      <c r="C332" s="1">
        <v>0.0</v>
      </c>
      <c r="D332" s="1">
        <v>164.74</v>
      </c>
      <c r="E332" s="1">
        <v>0.0</v>
      </c>
      <c r="F332" s="54">
        <v>44377.0</v>
      </c>
      <c r="G332" s="1">
        <v>0.0</v>
      </c>
      <c r="H332" s="1">
        <v>168.1</v>
      </c>
      <c r="I332" s="14">
        <v>44393.0</v>
      </c>
      <c r="J332" s="55" t="s">
        <v>2879</v>
      </c>
      <c r="K332" s="15" t="s">
        <v>3210</v>
      </c>
      <c r="L332" s="33" t="str">
        <f t="shared" si="1"/>
        <v>Not in buy Zone</v>
      </c>
      <c r="M332" s="33" t="str">
        <f t="shared" si="2"/>
        <v>Not in buy Zone</v>
      </c>
      <c r="N332" s="33" t="str">
        <f t="shared" si="3"/>
        <v>No</v>
      </c>
    </row>
    <row r="333" ht="11.25" customHeight="1">
      <c r="A333" s="1" t="s">
        <v>361</v>
      </c>
      <c r="B333" s="1">
        <v>0.0</v>
      </c>
      <c r="C333" s="1">
        <v>0.0</v>
      </c>
      <c r="D333" s="1">
        <v>0.0</v>
      </c>
      <c r="E333" s="1">
        <v>109.65</v>
      </c>
      <c r="F333" s="54">
        <v>44390.0</v>
      </c>
      <c r="G333" s="1">
        <v>0.0</v>
      </c>
      <c r="H333" s="1">
        <v>109.57</v>
      </c>
      <c r="I333" s="14">
        <v>44393.0</v>
      </c>
      <c r="J333" s="55" t="s">
        <v>2879</v>
      </c>
      <c r="K333" s="15" t="s">
        <v>3211</v>
      </c>
      <c r="L333" s="33" t="str">
        <f t="shared" si="1"/>
        <v>Not in buy Zone</v>
      </c>
      <c r="M333" s="33" t="str">
        <f t="shared" si="2"/>
        <v>Not in buy Zone</v>
      </c>
      <c r="N333" s="33" t="str">
        <f t="shared" si="3"/>
        <v>No</v>
      </c>
    </row>
    <row r="334" ht="11.25" customHeight="1">
      <c r="A334" s="1" t="s">
        <v>362</v>
      </c>
      <c r="B334" s="1">
        <v>0.0</v>
      </c>
      <c r="C334" s="1">
        <v>0.0</v>
      </c>
      <c r="D334" s="1">
        <v>27.62</v>
      </c>
      <c r="E334" s="1">
        <v>0.0</v>
      </c>
      <c r="F334" s="54">
        <v>44386.0</v>
      </c>
      <c r="G334" s="1">
        <v>0.0</v>
      </c>
      <c r="H334" s="1">
        <v>27.61</v>
      </c>
      <c r="I334" s="14">
        <v>44393.0</v>
      </c>
      <c r="J334" s="55" t="s">
        <v>2879</v>
      </c>
      <c r="K334" s="15" t="s">
        <v>3212</v>
      </c>
      <c r="L334" s="33" t="str">
        <f t="shared" si="1"/>
        <v>Not in buy Zone</v>
      </c>
      <c r="M334" s="33" t="str">
        <f t="shared" si="2"/>
        <v>Not in buy Zone</v>
      </c>
      <c r="N334" s="33" t="str">
        <f t="shared" si="3"/>
        <v>No</v>
      </c>
    </row>
    <row r="335" ht="11.25" customHeight="1">
      <c r="A335" s="1" t="s">
        <v>363</v>
      </c>
      <c r="B335" s="1">
        <v>0.0</v>
      </c>
      <c r="C335" s="1">
        <v>0.0</v>
      </c>
      <c r="D335" s="1">
        <v>0.0</v>
      </c>
      <c r="E335" s="1">
        <v>150.94</v>
      </c>
      <c r="F335" s="54">
        <v>44385.0</v>
      </c>
      <c r="G335" s="1">
        <v>0.0</v>
      </c>
      <c r="H335" s="1">
        <v>151.91</v>
      </c>
      <c r="I335" s="14">
        <v>44393.0</v>
      </c>
      <c r="J335" s="55" t="s">
        <v>2879</v>
      </c>
      <c r="K335" s="15" t="s">
        <v>3213</v>
      </c>
      <c r="L335" s="33" t="str">
        <f t="shared" si="1"/>
        <v>Not in buy Zone</v>
      </c>
      <c r="M335" s="33" t="str">
        <f t="shared" si="2"/>
        <v>Not in buy Zone</v>
      </c>
      <c r="N335" s="33" t="str">
        <f t="shared" si="3"/>
        <v>No</v>
      </c>
    </row>
    <row r="336" ht="11.25" customHeight="1">
      <c r="A336" s="1" t="s">
        <v>364</v>
      </c>
      <c r="B336" s="1">
        <v>0.0</v>
      </c>
      <c r="C336" s="1">
        <v>0.0</v>
      </c>
      <c r="D336" s="1">
        <v>50.735</v>
      </c>
      <c r="E336" s="1">
        <v>0.0</v>
      </c>
      <c r="F336" s="54">
        <v>44376.0</v>
      </c>
      <c r="G336" s="1">
        <v>0.0</v>
      </c>
      <c r="H336" s="1">
        <v>50.72</v>
      </c>
      <c r="I336" s="14">
        <v>44393.0</v>
      </c>
      <c r="J336" s="55" t="s">
        <v>2879</v>
      </c>
      <c r="K336" s="15" t="s">
        <v>3214</v>
      </c>
      <c r="L336" s="33" t="str">
        <f t="shared" si="1"/>
        <v>Not in buy Zone</v>
      </c>
      <c r="M336" s="33" t="str">
        <f t="shared" si="2"/>
        <v>Not in buy Zone</v>
      </c>
      <c r="N336" s="33" t="str">
        <f t="shared" si="3"/>
        <v>No</v>
      </c>
    </row>
    <row r="337" ht="11.25" customHeight="1">
      <c r="A337" s="1" t="s">
        <v>365</v>
      </c>
      <c r="B337" s="1">
        <v>0.0</v>
      </c>
      <c r="C337" s="1">
        <v>0.0</v>
      </c>
      <c r="D337" s="1">
        <v>0.0</v>
      </c>
      <c r="E337" s="1">
        <v>34.8</v>
      </c>
      <c r="F337" s="54">
        <v>44384.0</v>
      </c>
      <c r="G337" s="1">
        <v>0.0</v>
      </c>
      <c r="H337" s="1">
        <v>32.7</v>
      </c>
      <c r="I337" s="14">
        <v>44393.0</v>
      </c>
      <c r="J337" s="55" t="s">
        <v>2879</v>
      </c>
      <c r="K337" s="15" t="s">
        <v>3215</v>
      </c>
      <c r="L337" s="33" t="str">
        <f t="shared" si="1"/>
        <v>Not in buy Zone</v>
      </c>
      <c r="M337" s="33" t="str">
        <f t="shared" si="2"/>
        <v>Not in buy Zone</v>
      </c>
      <c r="N337" s="33" t="str">
        <f t="shared" si="3"/>
        <v>No</v>
      </c>
    </row>
    <row r="338" ht="11.25" customHeight="1">
      <c r="A338" s="1" t="s">
        <v>366</v>
      </c>
      <c r="B338" s="1">
        <v>0.0</v>
      </c>
      <c r="C338" s="1">
        <v>0.0</v>
      </c>
      <c r="D338" s="1">
        <v>64.41</v>
      </c>
      <c r="E338" s="1">
        <v>0.0</v>
      </c>
      <c r="F338" s="54">
        <v>44375.0</v>
      </c>
      <c r="G338" s="1">
        <v>0.0</v>
      </c>
      <c r="H338" s="1">
        <v>64.26</v>
      </c>
      <c r="I338" s="14">
        <v>44393.0</v>
      </c>
      <c r="J338" s="55" t="s">
        <v>2879</v>
      </c>
      <c r="K338" s="15" t="s">
        <v>3216</v>
      </c>
      <c r="L338" s="33" t="str">
        <f t="shared" si="1"/>
        <v>Not in buy Zone</v>
      </c>
      <c r="M338" s="33" t="str">
        <f t="shared" si="2"/>
        <v>Not in buy Zone</v>
      </c>
      <c r="N338" s="33" t="str">
        <f t="shared" si="3"/>
        <v>No</v>
      </c>
    </row>
    <row r="339" ht="11.25" customHeight="1">
      <c r="A339" s="1" t="s">
        <v>367</v>
      </c>
      <c r="B339" s="1">
        <v>0.0</v>
      </c>
      <c r="C339" s="1">
        <v>0.0</v>
      </c>
      <c r="D339" s="1">
        <v>52.86</v>
      </c>
      <c r="E339" s="1">
        <v>0.0</v>
      </c>
      <c r="F339" s="54">
        <v>44372.0</v>
      </c>
      <c r="G339" s="1">
        <v>0.0</v>
      </c>
      <c r="H339" s="1">
        <v>48.9</v>
      </c>
      <c r="I339" s="14">
        <v>44393.0</v>
      </c>
      <c r="J339" s="55" t="s">
        <v>2879</v>
      </c>
      <c r="K339" s="15" t="s">
        <v>3217</v>
      </c>
      <c r="L339" s="33" t="str">
        <f t="shared" si="1"/>
        <v>Not in buy Zone</v>
      </c>
      <c r="M339" s="33" t="str">
        <f t="shared" si="2"/>
        <v>Not in buy Zone</v>
      </c>
      <c r="N339" s="33" t="str">
        <f t="shared" si="3"/>
        <v>No</v>
      </c>
    </row>
    <row r="340" ht="11.25" customHeight="1">
      <c r="A340" s="1" t="s">
        <v>368</v>
      </c>
      <c r="B340" s="1">
        <v>0.0</v>
      </c>
      <c r="C340" s="1">
        <v>0.0</v>
      </c>
      <c r="D340" s="1">
        <v>0.0</v>
      </c>
      <c r="E340" s="1">
        <v>34.77</v>
      </c>
      <c r="F340" s="54">
        <v>44385.0</v>
      </c>
      <c r="G340" s="1">
        <v>0.0</v>
      </c>
      <c r="H340" s="1">
        <v>35.88</v>
      </c>
      <c r="I340" s="14">
        <v>44393.0</v>
      </c>
      <c r="J340" s="55" t="s">
        <v>2879</v>
      </c>
      <c r="K340" s="15" t="s">
        <v>3218</v>
      </c>
      <c r="L340" s="33" t="str">
        <f t="shared" si="1"/>
        <v>Not in buy Zone</v>
      </c>
      <c r="M340" s="33" t="str">
        <f t="shared" si="2"/>
        <v>Not in buy Zone</v>
      </c>
      <c r="N340" s="33" t="str">
        <f t="shared" si="3"/>
        <v>No</v>
      </c>
    </row>
    <row r="341" ht="11.25" customHeight="1">
      <c r="A341" s="1" t="s">
        <v>369</v>
      </c>
      <c r="B341" s="1">
        <v>0.0</v>
      </c>
      <c r="C341" s="1">
        <v>0.0</v>
      </c>
      <c r="D341" s="1">
        <v>20.89</v>
      </c>
      <c r="E341" s="1">
        <v>0.0</v>
      </c>
      <c r="F341" s="54">
        <v>44378.0</v>
      </c>
      <c r="G341" s="1">
        <v>0.0</v>
      </c>
      <c r="H341" s="1">
        <v>19.35</v>
      </c>
      <c r="I341" s="14">
        <v>44393.0</v>
      </c>
      <c r="J341" s="55" t="s">
        <v>2879</v>
      </c>
      <c r="K341" s="15" t="s">
        <v>3219</v>
      </c>
      <c r="L341" s="33" t="str">
        <f t="shared" si="1"/>
        <v>Not in buy Zone</v>
      </c>
      <c r="M341" s="33" t="str">
        <f t="shared" si="2"/>
        <v>Not in buy Zone</v>
      </c>
      <c r="N341" s="33" t="str">
        <f t="shared" si="3"/>
        <v>No</v>
      </c>
    </row>
    <row r="342" ht="11.25" customHeight="1">
      <c r="A342" s="1" t="s">
        <v>370</v>
      </c>
      <c r="B342" s="1">
        <v>0.0</v>
      </c>
      <c r="C342" s="1">
        <v>155.01</v>
      </c>
      <c r="D342" s="1">
        <v>0.0</v>
      </c>
      <c r="E342" s="1">
        <v>0.0</v>
      </c>
      <c r="F342" s="54">
        <v>44393.0</v>
      </c>
      <c r="G342" s="1">
        <v>-1.0</v>
      </c>
      <c r="H342" s="1">
        <v>155.01</v>
      </c>
      <c r="I342" s="14">
        <v>44393.0</v>
      </c>
      <c r="J342" s="55" t="s">
        <v>2879</v>
      </c>
      <c r="K342" s="15" t="s">
        <v>3220</v>
      </c>
      <c r="L342" s="33" t="str">
        <f t="shared" si="1"/>
        <v>Not in buy Zone</v>
      </c>
      <c r="M342" s="33" t="str">
        <f t="shared" si="2"/>
        <v>Not in buy Zone</v>
      </c>
      <c r="N342" s="33" t="str">
        <f t="shared" si="3"/>
        <v>No</v>
      </c>
    </row>
    <row r="343" ht="11.25" customHeight="1">
      <c r="A343" s="1" t="s">
        <v>371</v>
      </c>
      <c r="B343" s="1">
        <v>0.0</v>
      </c>
      <c r="C343" s="1">
        <v>0.0</v>
      </c>
      <c r="D343" s="1">
        <v>0.0</v>
      </c>
      <c r="E343" s="1">
        <v>43.43</v>
      </c>
      <c r="F343" s="54">
        <v>44343.0</v>
      </c>
      <c r="G343" s="1">
        <v>0.0</v>
      </c>
      <c r="H343" s="1">
        <v>39.3</v>
      </c>
      <c r="I343" s="14">
        <v>44393.0</v>
      </c>
      <c r="J343" s="55" t="s">
        <v>2879</v>
      </c>
      <c r="K343" s="15" t="s">
        <v>3221</v>
      </c>
      <c r="L343" s="33" t="str">
        <f t="shared" si="1"/>
        <v>Not in buy Zone</v>
      </c>
      <c r="M343" s="33" t="str">
        <f t="shared" si="2"/>
        <v>Not in buy Zone</v>
      </c>
      <c r="N343" s="33" t="str">
        <f t="shared" si="3"/>
        <v>No</v>
      </c>
    </row>
    <row r="344" ht="11.25" customHeight="1">
      <c r="A344" s="1" t="s">
        <v>372</v>
      </c>
      <c r="B344" s="1">
        <v>0.0</v>
      </c>
      <c r="C344" s="1">
        <v>0.0</v>
      </c>
      <c r="D344" s="1">
        <v>21.08</v>
      </c>
      <c r="E344" s="1">
        <v>0.0</v>
      </c>
      <c r="F344" s="54">
        <v>44378.0</v>
      </c>
      <c r="G344" s="1">
        <v>0.0</v>
      </c>
      <c r="H344" s="1">
        <v>21.12</v>
      </c>
      <c r="I344" s="14">
        <v>44393.0</v>
      </c>
      <c r="J344" s="55" t="s">
        <v>2879</v>
      </c>
      <c r="K344" s="15" t="s">
        <v>3222</v>
      </c>
      <c r="L344" s="33" t="str">
        <f t="shared" si="1"/>
        <v>Not in buy Zone</v>
      </c>
      <c r="M344" s="33" t="str">
        <f t="shared" si="2"/>
        <v>Not in buy Zone</v>
      </c>
      <c r="N344" s="33" t="str">
        <f t="shared" si="3"/>
        <v>No</v>
      </c>
    </row>
    <row r="345" ht="11.25" customHeight="1">
      <c r="A345" s="1" t="s">
        <v>373</v>
      </c>
      <c r="B345" s="1">
        <v>0.0</v>
      </c>
      <c r="C345" s="1">
        <v>0.0</v>
      </c>
      <c r="D345" s="1">
        <v>0.0</v>
      </c>
      <c r="E345" s="1">
        <v>58.03</v>
      </c>
      <c r="F345" s="54">
        <v>44385.0</v>
      </c>
      <c r="G345" s="1">
        <v>0.0</v>
      </c>
      <c r="H345" s="1">
        <v>58.24</v>
      </c>
      <c r="I345" s="14">
        <v>44393.0</v>
      </c>
      <c r="J345" s="55" t="s">
        <v>2879</v>
      </c>
      <c r="K345" s="15" t="s">
        <v>3223</v>
      </c>
      <c r="L345" s="33" t="str">
        <f t="shared" si="1"/>
        <v>Not in buy Zone</v>
      </c>
      <c r="M345" s="33" t="str">
        <f t="shared" si="2"/>
        <v>Not in buy Zone</v>
      </c>
      <c r="N345" s="33" t="str">
        <f t="shared" si="3"/>
        <v>No</v>
      </c>
    </row>
    <row r="346" ht="11.25" customHeight="1">
      <c r="A346" s="1" t="s">
        <v>374</v>
      </c>
      <c r="B346" s="1">
        <v>0.0</v>
      </c>
      <c r="C346" s="1">
        <v>0.0</v>
      </c>
      <c r="D346" s="1">
        <v>314.02</v>
      </c>
      <c r="E346" s="1">
        <v>0.0</v>
      </c>
      <c r="F346" s="54">
        <v>44389.0</v>
      </c>
      <c r="G346" s="1">
        <v>0.0</v>
      </c>
      <c r="H346" s="1">
        <v>293.22</v>
      </c>
      <c r="I346" s="14">
        <v>44393.0</v>
      </c>
      <c r="J346" s="55" t="s">
        <v>2879</v>
      </c>
      <c r="K346" s="15" t="s">
        <v>3224</v>
      </c>
      <c r="L346" s="33" t="str">
        <f t="shared" si="1"/>
        <v>Not in buy Zone</v>
      </c>
      <c r="M346" s="33" t="str">
        <f t="shared" si="2"/>
        <v>Not in buy Zone</v>
      </c>
      <c r="N346" s="33" t="str">
        <f t="shared" si="3"/>
        <v>No</v>
      </c>
    </row>
    <row r="347" ht="11.25" customHeight="1">
      <c r="A347" s="1" t="s">
        <v>375</v>
      </c>
      <c r="B347" s="1">
        <v>0.0</v>
      </c>
      <c r="C347" s="1">
        <v>0.0</v>
      </c>
      <c r="D347" s="1">
        <v>130.08</v>
      </c>
      <c r="E347" s="1">
        <v>0.0</v>
      </c>
      <c r="F347" s="54">
        <v>44364.0</v>
      </c>
      <c r="G347" s="1">
        <v>0.0</v>
      </c>
      <c r="H347" s="1">
        <v>138.52</v>
      </c>
      <c r="I347" s="14">
        <v>44393.0</v>
      </c>
      <c r="J347" s="55" t="s">
        <v>2879</v>
      </c>
      <c r="K347" s="15" t="s">
        <v>3225</v>
      </c>
      <c r="L347" s="33" t="str">
        <f t="shared" si="1"/>
        <v>Not in buy Zone</v>
      </c>
      <c r="M347" s="33" t="str">
        <f t="shared" si="2"/>
        <v>Not in buy Zone</v>
      </c>
      <c r="N347" s="33" t="str">
        <f t="shared" si="3"/>
        <v>No</v>
      </c>
    </row>
    <row r="348" ht="11.25" customHeight="1">
      <c r="A348" s="1" t="s">
        <v>376</v>
      </c>
      <c r="B348" s="1">
        <v>0.0</v>
      </c>
      <c r="C348" s="1">
        <v>0.0</v>
      </c>
      <c r="D348" s="1">
        <v>0.0</v>
      </c>
      <c r="E348" s="1">
        <v>18.17</v>
      </c>
      <c r="F348" s="54">
        <v>44385.0</v>
      </c>
      <c r="G348" s="1">
        <v>0.0</v>
      </c>
      <c r="H348" s="1">
        <v>17.64</v>
      </c>
      <c r="I348" s="14">
        <v>44393.0</v>
      </c>
      <c r="J348" s="55" t="s">
        <v>2879</v>
      </c>
      <c r="K348" s="15" t="s">
        <v>3226</v>
      </c>
      <c r="L348" s="33" t="str">
        <f t="shared" si="1"/>
        <v>Not in buy Zone</v>
      </c>
      <c r="M348" s="33" t="str">
        <f t="shared" si="2"/>
        <v>Not in buy Zone</v>
      </c>
      <c r="N348" s="33" t="str">
        <f t="shared" si="3"/>
        <v>No</v>
      </c>
    </row>
    <row r="349" ht="11.25" customHeight="1">
      <c r="A349" s="1" t="s">
        <v>377</v>
      </c>
      <c r="B349" s="1">
        <v>0.0</v>
      </c>
      <c r="C349" s="1">
        <v>0.0</v>
      </c>
      <c r="D349" s="1">
        <v>0.0</v>
      </c>
      <c r="E349" s="1">
        <v>113.16</v>
      </c>
      <c r="F349" s="54">
        <v>44365.0</v>
      </c>
      <c r="G349" s="1">
        <v>0.0</v>
      </c>
      <c r="H349" s="1">
        <v>130.95</v>
      </c>
      <c r="I349" s="14">
        <v>44393.0</v>
      </c>
      <c r="J349" s="55" t="s">
        <v>2879</v>
      </c>
      <c r="K349" s="15" t="s">
        <v>3227</v>
      </c>
      <c r="L349" s="33" t="str">
        <f t="shared" si="1"/>
        <v>Not in buy Zone</v>
      </c>
      <c r="M349" s="33" t="str">
        <f t="shared" si="2"/>
        <v>Not in buy Zone</v>
      </c>
      <c r="N349" s="33" t="str">
        <f t="shared" si="3"/>
        <v>No</v>
      </c>
    </row>
    <row r="350" ht="11.25" customHeight="1">
      <c r="A350" s="1" t="s">
        <v>378</v>
      </c>
      <c r="B350" s="1">
        <v>0.0</v>
      </c>
      <c r="C350" s="1">
        <v>0.0</v>
      </c>
      <c r="D350" s="1">
        <v>54.32</v>
      </c>
      <c r="E350" s="1">
        <v>0.0</v>
      </c>
      <c r="F350" s="54">
        <v>44384.0</v>
      </c>
      <c r="G350" s="1">
        <v>0.0</v>
      </c>
      <c r="H350" s="1">
        <v>56.4</v>
      </c>
      <c r="I350" s="14">
        <v>44393.0</v>
      </c>
      <c r="J350" s="55" t="s">
        <v>2879</v>
      </c>
      <c r="K350" s="15" t="s">
        <v>3228</v>
      </c>
      <c r="L350" s="33" t="str">
        <f t="shared" si="1"/>
        <v>Not in buy Zone</v>
      </c>
      <c r="M350" s="33" t="str">
        <f t="shared" si="2"/>
        <v>Not in buy Zone</v>
      </c>
      <c r="N350" s="33" t="str">
        <f t="shared" si="3"/>
        <v>No</v>
      </c>
    </row>
    <row r="351" ht="11.25" customHeight="1">
      <c r="A351" s="1" t="s">
        <v>379</v>
      </c>
      <c r="B351" s="1">
        <v>0.0</v>
      </c>
      <c r="C351" s="1">
        <v>0.0</v>
      </c>
      <c r="D351" s="1">
        <v>38.84</v>
      </c>
      <c r="E351" s="1">
        <v>0.0</v>
      </c>
      <c r="F351" s="54">
        <v>44392.0</v>
      </c>
      <c r="G351" s="1">
        <v>0.0</v>
      </c>
      <c r="H351" s="1">
        <v>39.36</v>
      </c>
      <c r="I351" s="14">
        <v>44393.0</v>
      </c>
      <c r="J351" s="55" t="s">
        <v>2879</v>
      </c>
      <c r="K351" s="15" t="s">
        <v>3229</v>
      </c>
      <c r="L351" s="33" t="str">
        <f t="shared" si="1"/>
        <v>Not in buy Zone</v>
      </c>
      <c r="M351" s="33" t="str">
        <f t="shared" si="2"/>
        <v>Not in buy Zone</v>
      </c>
      <c r="N351" s="33" t="str">
        <f t="shared" si="3"/>
        <v>No</v>
      </c>
    </row>
    <row r="352" ht="11.25" customHeight="1">
      <c r="A352" s="1" t="s">
        <v>380</v>
      </c>
      <c r="B352" s="1">
        <v>0.0</v>
      </c>
      <c r="C352" s="1">
        <v>0.0</v>
      </c>
      <c r="D352" s="1">
        <v>67.64</v>
      </c>
      <c r="E352" s="1">
        <v>0.0</v>
      </c>
      <c r="F352" s="54">
        <v>44372.0</v>
      </c>
      <c r="G352" s="1">
        <v>0.0</v>
      </c>
      <c r="H352" s="1">
        <v>62.01</v>
      </c>
      <c r="I352" s="14">
        <v>44393.0</v>
      </c>
      <c r="J352" s="55" t="s">
        <v>2879</v>
      </c>
      <c r="K352" s="15" t="s">
        <v>3230</v>
      </c>
      <c r="L352" s="33" t="str">
        <f t="shared" si="1"/>
        <v>Not in buy Zone</v>
      </c>
      <c r="M352" s="33" t="str">
        <f t="shared" si="2"/>
        <v>Not in buy Zone</v>
      </c>
      <c r="N352" s="33" t="str">
        <f t="shared" si="3"/>
        <v>No</v>
      </c>
    </row>
    <row r="353" ht="11.25" customHeight="1">
      <c r="A353" s="1" t="s">
        <v>381</v>
      </c>
      <c r="B353" s="1">
        <v>0.0</v>
      </c>
      <c r="C353" s="1">
        <v>0.0</v>
      </c>
      <c r="D353" s="1">
        <v>0.0</v>
      </c>
      <c r="E353" s="1">
        <v>53.83</v>
      </c>
      <c r="F353" s="54">
        <v>44383.0</v>
      </c>
      <c r="G353" s="1">
        <v>0.0</v>
      </c>
      <c r="H353" s="1">
        <v>49.41</v>
      </c>
      <c r="I353" s="14">
        <v>44393.0</v>
      </c>
      <c r="J353" s="55" t="s">
        <v>2879</v>
      </c>
      <c r="K353" s="15" t="s">
        <v>3231</v>
      </c>
      <c r="L353" s="33" t="str">
        <f t="shared" si="1"/>
        <v>Not in buy Zone</v>
      </c>
      <c r="M353" s="33" t="str">
        <f t="shared" si="2"/>
        <v>Not in buy Zone</v>
      </c>
      <c r="N353" s="33" t="str">
        <f t="shared" si="3"/>
        <v>No</v>
      </c>
    </row>
    <row r="354" ht="11.25" customHeight="1">
      <c r="A354" s="1" t="s">
        <v>382</v>
      </c>
      <c r="B354" s="1">
        <v>0.0</v>
      </c>
      <c r="C354" s="1">
        <v>0.0</v>
      </c>
      <c r="D354" s="1">
        <v>285.25</v>
      </c>
      <c r="E354" s="1">
        <v>0.0</v>
      </c>
      <c r="F354" s="54">
        <v>44384.0</v>
      </c>
      <c r="G354" s="1">
        <v>0.0</v>
      </c>
      <c r="H354" s="1">
        <v>266.33</v>
      </c>
      <c r="I354" s="14">
        <v>44393.0</v>
      </c>
      <c r="J354" s="55" t="s">
        <v>2879</v>
      </c>
      <c r="K354" s="15" t="s">
        <v>3232</v>
      </c>
      <c r="L354" s="33" t="str">
        <f t="shared" si="1"/>
        <v>Not in buy Zone</v>
      </c>
      <c r="M354" s="33" t="str">
        <f t="shared" si="2"/>
        <v>Not in buy Zone</v>
      </c>
      <c r="N354" s="33" t="str">
        <f t="shared" si="3"/>
        <v>No</v>
      </c>
    </row>
    <row r="355" ht="11.25" customHeight="1">
      <c r="A355" s="1" t="s">
        <v>383</v>
      </c>
      <c r="B355" s="1">
        <v>0.0</v>
      </c>
      <c r="C355" s="1">
        <v>0.0</v>
      </c>
      <c r="D355" s="1">
        <v>0.0</v>
      </c>
      <c r="E355" s="1">
        <v>68.27</v>
      </c>
      <c r="F355" s="54">
        <v>44378.0</v>
      </c>
      <c r="G355" s="1">
        <v>0.0</v>
      </c>
      <c r="H355" s="1">
        <v>61.81</v>
      </c>
      <c r="I355" s="14">
        <v>44393.0</v>
      </c>
      <c r="J355" s="55" t="s">
        <v>2879</v>
      </c>
      <c r="K355" s="15" t="s">
        <v>3233</v>
      </c>
      <c r="L355" s="33" t="str">
        <f t="shared" si="1"/>
        <v>Not in buy Zone</v>
      </c>
      <c r="M355" s="33" t="str">
        <f t="shared" si="2"/>
        <v>Not in buy Zone</v>
      </c>
      <c r="N355" s="33" t="str">
        <f t="shared" si="3"/>
        <v>No</v>
      </c>
    </row>
    <row r="356" ht="11.25" customHeight="1">
      <c r="A356" s="1" t="s">
        <v>384</v>
      </c>
      <c r="B356" s="1">
        <v>0.0</v>
      </c>
      <c r="C356" s="1">
        <v>0.0</v>
      </c>
      <c r="D356" s="1">
        <v>55.62</v>
      </c>
      <c r="E356" s="1">
        <v>0.0</v>
      </c>
      <c r="F356" s="54">
        <v>44372.0</v>
      </c>
      <c r="G356" s="1">
        <v>0.0</v>
      </c>
      <c r="H356" s="1">
        <v>54.02</v>
      </c>
      <c r="I356" s="14">
        <v>44393.0</v>
      </c>
      <c r="J356" s="55" t="s">
        <v>2879</v>
      </c>
      <c r="K356" s="15" t="s">
        <v>3234</v>
      </c>
      <c r="L356" s="33" t="str">
        <f t="shared" si="1"/>
        <v>Not in buy Zone</v>
      </c>
      <c r="M356" s="33" t="str">
        <f t="shared" si="2"/>
        <v>Not in buy Zone</v>
      </c>
      <c r="N356" s="33" t="str">
        <f t="shared" si="3"/>
        <v>No</v>
      </c>
    </row>
    <row r="357" ht="11.25" customHeight="1">
      <c r="A357" s="1" t="s">
        <v>385</v>
      </c>
      <c r="B357" s="1">
        <v>0.0</v>
      </c>
      <c r="C357" s="1">
        <v>72.75</v>
      </c>
      <c r="D357" s="1">
        <v>0.0</v>
      </c>
      <c r="E357" s="1">
        <v>0.0</v>
      </c>
      <c r="F357" s="54">
        <v>44393.0</v>
      </c>
      <c r="G357" s="1">
        <v>-1.0</v>
      </c>
      <c r="H357" s="1">
        <v>72.75</v>
      </c>
      <c r="I357" s="14">
        <v>44393.0</v>
      </c>
      <c r="J357" s="55" t="s">
        <v>2879</v>
      </c>
      <c r="K357" s="15" t="s">
        <v>3235</v>
      </c>
      <c r="L357" s="33" t="str">
        <f t="shared" si="1"/>
        <v>Not in buy Zone</v>
      </c>
      <c r="M357" s="33" t="str">
        <f t="shared" si="2"/>
        <v>Not in buy Zone</v>
      </c>
      <c r="N357" s="33" t="str">
        <f t="shared" si="3"/>
        <v>No</v>
      </c>
    </row>
    <row r="358" ht="11.25" customHeight="1">
      <c r="A358" s="1" t="s">
        <v>386</v>
      </c>
      <c r="B358" s="1">
        <v>0.0</v>
      </c>
      <c r="C358" s="1">
        <v>0.0</v>
      </c>
      <c r="D358" s="1">
        <v>103.99</v>
      </c>
      <c r="E358" s="1">
        <v>0.0</v>
      </c>
      <c r="F358" s="54">
        <v>44384.0</v>
      </c>
      <c r="G358" s="1">
        <v>0.0</v>
      </c>
      <c r="H358" s="1">
        <v>106.28</v>
      </c>
      <c r="I358" s="14">
        <v>44393.0</v>
      </c>
      <c r="J358" s="55" t="s">
        <v>2879</v>
      </c>
      <c r="K358" s="15" t="s">
        <v>3236</v>
      </c>
      <c r="L358" s="33" t="str">
        <f t="shared" si="1"/>
        <v>Not in buy Zone</v>
      </c>
      <c r="M358" s="33" t="str">
        <f t="shared" si="2"/>
        <v>Not in buy Zone</v>
      </c>
      <c r="N358" s="33" t="str">
        <f t="shared" si="3"/>
        <v>No</v>
      </c>
    </row>
    <row r="359" ht="11.25" customHeight="1">
      <c r="A359" s="1" t="s">
        <v>387</v>
      </c>
      <c r="B359" s="1">
        <v>0.0</v>
      </c>
      <c r="C359" s="1">
        <v>0.0</v>
      </c>
      <c r="D359" s="1">
        <v>55.7</v>
      </c>
      <c r="E359" s="1">
        <v>0.0</v>
      </c>
      <c r="F359" s="54">
        <v>44348.0</v>
      </c>
      <c r="G359" s="1">
        <v>0.0</v>
      </c>
      <c r="H359" s="1">
        <v>48.25</v>
      </c>
      <c r="I359" s="14">
        <v>44393.0</v>
      </c>
      <c r="J359" s="55" t="s">
        <v>2879</v>
      </c>
      <c r="K359" s="15" t="s">
        <v>3237</v>
      </c>
      <c r="L359" s="33" t="str">
        <f t="shared" si="1"/>
        <v>Not in buy Zone</v>
      </c>
      <c r="M359" s="33" t="str">
        <f t="shared" si="2"/>
        <v>Not in buy Zone</v>
      </c>
      <c r="N359" s="33" t="str">
        <f t="shared" si="3"/>
        <v>No</v>
      </c>
    </row>
    <row r="360" ht="11.25" customHeight="1">
      <c r="A360" s="1" t="s">
        <v>388</v>
      </c>
      <c r="B360" s="1">
        <v>0.0</v>
      </c>
      <c r="C360" s="1">
        <v>0.0</v>
      </c>
      <c r="D360" s="1">
        <v>0.0</v>
      </c>
      <c r="E360" s="1">
        <v>98.47</v>
      </c>
      <c r="F360" s="54">
        <v>44385.0</v>
      </c>
      <c r="G360" s="1">
        <v>0.0</v>
      </c>
      <c r="H360" s="1">
        <v>95.96</v>
      </c>
      <c r="I360" s="14">
        <v>44393.0</v>
      </c>
      <c r="J360" s="55" t="s">
        <v>2879</v>
      </c>
      <c r="K360" s="15" t="s">
        <v>3238</v>
      </c>
      <c r="L360" s="33" t="str">
        <f t="shared" si="1"/>
        <v>Not in buy Zone</v>
      </c>
      <c r="M360" s="33" t="str">
        <f t="shared" si="2"/>
        <v>Not in buy Zone</v>
      </c>
      <c r="N360" s="33" t="str">
        <f t="shared" si="3"/>
        <v>No</v>
      </c>
    </row>
    <row r="361" ht="11.25" customHeight="1">
      <c r="A361" s="1" t="s">
        <v>389</v>
      </c>
      <c r="B361" s="1">
        <v>0.0</v>
      </c>
      <c r="C361" s="1">
        <v>0.0</v>
      </c>
      <c r="D361" s="1">
        <v>0.0</v>
      </c>
      <c r="E361" s="1">
        <v>26.13</v>
      </c>
      <c r="F361" s="54">
        <v>44383.0</v>
      </c>
      <c r="G361" s="1">
        <v>0.0</v>
      </c>
      <c r="H361" s="1">
        <v>24.8</v>
      </c>
      <c r="I361" s="14">
        <v>44393.0</v>
      </c>
      <c r="J361" s="55" t="s">
        <v>2879</v>
      </c>
      <c r="K361" s="15" t="s">
        <v>3239</v>
      </c>
      <c r="L361" s="33" t="str">
        <f t="shared" si="1"/>
        <v>Not in buy Zone</v>
      </c>
      <c r="M361" s="33" t="str">
        <f t="shared" si="2"/>
        <v>Not in buy Zone</v>
      </c>
      <c r="N361" s="33" t="str">
        <f t="shared" si="3"/>
        <v>No</v>
      </c>
    </row>
    <row r="362" ht="11.25" customHeight="1">
      <c r="A362" s="1" t="s">
        <v>390</v>
      </c>
      <c r="B362" s="1">
        <v>0.0</v>
      </c>
      <c r="C362" s="1">
        <v>0.0</v>
      </c>
      <c r="D362" s="1">
        <v>0.0</v>
      </c>
      <c r="E362" s="1">
        <v>276.95</v>
      </c>
      <c r="F362" s="54">
        <v>44392.0</v>
      </c>
      <c r="G362" s="1">
        <v>0.0</v>
      </c>
      <c r="H362" s="1">
        <v>276.45</v>
      </c>
      <c r="I362" s="14">
        <v>44393.0</v>
      </c>
      <c r="J362" s="55" t="s">
        <v>2879</v>
      </c>
      <c r="K362" s="15" t="s">
        <v>3240</v>
      </c>
      <c r="L362" s="33" t="str">
        <f t="shared" si="1"/>
        <v>Not in buy Zone</v>
      </c>
      <c r="M362" s="33" t="str">
        <f t="shared" si="2"/>
        <v>Not in buy Zone</v>
      </c>
      <c r="N362" s="33" t="str">
        <f t="shared" si="3"/>
        <v>No</v>
      </c>
    </row>
    <row r="363" ht="11.25" customHeight="1">
      <c r="A363" s="1" t="s">
        <v>391</v>
      </c>
      <c r="B363" s="1">
        <v>0.0</v>
      </c>
      <c r="C363" s="1">
        <v>0.0</v>
      </c>
      <c r="D363" s="1">
        <v>224.0</v>
      </c>
      <c r="E363" s="1">
        <v>0.0</v>
      </c>
      <c r="F363" s="54">
        <v>44384.0</v>
      </c>
      <c r="G363" s="1">
        <v>0.0</v>
      </c>
      <c r="H363" s="1">
        <v>223.76</v>
      </c>
      <c r="I363" s="14">
        <v>44393.0</v>
      </c>
      <c r="J363" s="55" t="s">
        <v>2879</v>
      </c>
      <c r="K363" s="15" t="s">
        <v>3241</v>
      </c>
      <c r="L363" s="33" t="str">
        <f t="shared" si="1"/>
        <v>Not in buy Zone</v>
      </c>
      <c r="M363" s="33" t="str">
        <f t="shared" si="2"/>
        <v>Not in buy Zone</v>
      </c>
      <c r="N363" s="33" t="str">
        <f t="shared" si="3"/>
        <v>No</v>
      </c>
    </row>
    <row r="364" ht="11.25" customHeight="1">
      <c r="A364" s="1" t="s">
        <v>392</v>
      </c>
      <c r="B364" s="1">
        <v>0.0</v>
      </c>
      <c r="C364" s="1">
        <v>0.0</v>
      </c>
      <c r="D364" s="1">
        <v>0.0</v>
      </c>
      <c r="E364" s="1">
        <v>286.99</v>
      </c>
      <c r="F364" s="54">
        <v>44385.0</v>
      </c>
      <c r="G364" s="1">
        <v>0.0</v>
      </c>
      <c r="H364" s="1">
        <v>290.07</v>
      </c>
      <c r="I364" s="14">
        <v>44393.0</v>
      </c>
      <c r="J364" s="55" t="s">
        <v>2879</v>
      </c>
      <c r="K364" s="15" t="s">
        <v>3242</v>
      </c>
      <c r="L364" s="33" t="str">
        <f t="shared" si="1"/>
        <v>Not in buy Zone</v>
      </c>
      <c r="M364" s="33" t="str">
        <f t="shared" si="2"/>
        <v>Not in buy Zone</v>
      </c>
      <c r="N364" s="33" t="str">
        <f t="shared" si="3"/>
        <v>No</v>
      </c>
    </row>
    <row r="365" ht="11.25" customHeight="1">
      <c r="A365" s="1" t="s">
        <v>393</v>
      </c>
      <c r="B365" s="1">
        <v>0.0</v>
      </c>
      <c r="C365" s="1">
        <v>0.0</v>
      </c>
      <c r="D365" s="1">
        <v>0.0</v>
      </c>
      <c r="E365" s="1">
        <v>49.97</v>
      </c>
      <c r="F365" s="54">
        <v>44392.0</v>
      </c>
      <c r="G365" s="1">
        <v>0.0</v>
      </c>
      <c r="H365" s="1">
        <v>49.47</v>
      </c>
      <c r="I365" s="14">
        <v>44393.0</v>
      </c>
      <c r="J365" s="55" t="s">
        <v>2879</v>
      </c>
      <c r="K365" s="15" t="s">
        <v>3243</v>
      </c>
      <c r="L365" s="33" t="str">
        <f t="shared" si="1"/>
        <v>Not in buy Zone</v>
      </c>
      <c r="M365" s="33" t="str">
        <f t="shared" si="2"/>
        <v>Not in buy Zone</v>
      </c>
      <c r="N365" s="33" t="str">
        <f t="shared" si="3"/>
        <v>No</v>
      </c>
    </row>
    <row r="366" ht="11.25" customHeight="1">
      <c r="A366" s="1" t="s">
        <v>394</v>
      </c>
      <c r="B366" s="1">
        <v>0.0</v>
      </c>
      <c r="C366" s="1">
        <v>0.0</v>
      </c>
      <c r="D366" s="1">
        <v>0.0</v>
      </c>
      <c r="E366" s="1">
        <v>217.1</v>
      </c>
      <c r="F366" s="54">
        <v>44370.0</v>
      </c>
      <c r="G366" s="1">
        <v>0.0</v>
      </c>
      <c r="H366" s="1">
        <v>232.46</v>
      </c>
      <c r="I366" s="14">
        <v>44393.0</v>
      </c>
      <c r="J366" s="55" t="s">
        <v>2879</v>
      </c>
      <c r="K366" s="15" t="s">
        <v>3244</v>
      </c>
      <c r="L366" s="33" t="str">
        <f t="shared" si="1"/>
        <v>Not in buy Zone</v>
      </c>
      <c r="M366" s="33" t="str">
        <f t="shared" si="2"/>
        <v>Not in buy Zone</v>
      </c>
      <c r="N366" s="33" t="str">
        <f t="shared" si="3"/>
        <v>No</v>
      </c>
    </row>
    <row r="367" ht="11.25" customHeight="1">
      <c r="A367" s="1" t="s">
        <v>395</v>
      </c>
      <c r="B367" s="1">
        <v>0.0</v>
      </c>
      <c r="C367" s="1">
        <v>0.0</v>
      </c>
      <c r="D367" s="1">
        <v>0.0</v>
      </c>
      <c r="E367" s="1">
        <v>96.38</v>
      </c>
      <c r="F367" s="54">
        <v>44362.0</v>
      </c>
      <c r="G367" s="1">
        <v>0.0</v>
      </c>
      <c r="H367" s="1">
        <v>84.25</v>
      </c>
      <c r="I367" s="14">
        <v>44393.0</v>
      </c>
      <c r="J367" s="55" t="s">
        <v>2879</v>
      </c>
      <c r="K367" s="15" t="s">
        <v>3245</v>
      </c>
      <c r="L367" s="33" t="str">
        <f t="shared" si="1"/>
        <v>Not in buy Zone</v>
      </c>
      <c r="M367" s="33" t="str">
        <f t="shared" si="2"/>
        <v>Not in buy Zone</v>
      </c>
      <c r="N367" s="33" t="str">
        <f t="shared" si="3"/>
        <v>No</v>
      </c>
    </row>
    <row r="368" ht="11.25" customHeight="1">
      <c r="A368" s="1" t="s">
        <v>396</v>
      </c>
      <c r="B368" s="1">
        <v>0.0</v>
      </c>
      <c r="C368" s="1">
        <v>0.0</v>
      </c>
      <c r="D368" s="1">
        <v>381.49</v>
      </c>
      <c r="E368" s="1">
        <v>0.0</v>
      </c>
      <c r="F368" s="54">
        <v>44379.0</v>
      </c>
      <c r="G368" s="1">
        <v>0.0</v>
      </c>
      <c r="H368" s="1">
        <v>377.14</v>
      </c>
      <c r="I368" s="14">
        <v>44393.0</v>
      </c>
      <c r="J368" s="55" t="s">
        <v>2879</v>
      </c>
      <c r="K368" s="15" t="s">
        <v>3246</v>
      </c>
      <c r="L368" s="33" t="str">
        <f t="shared" si="1"/>
        <v>Not in buy Zone</v>
      </c>
      <c r="M368" s="33" t="str">
        <f t="shared" si="2"/>
        <v>Not in buy Zone</v>
      </c>
      <c r="N368" s="33" t="str">
        <f t="shared" si="3"/>
        <v>No</v>
      </c>
    </row>
    <row r="369" ht="11.25" customHeight="1">
      <c r="A369" s="1" t="s">
        <v>397</v>
      </c>
      <c r="B369" s="1">
        <v>0.0</v>
      </c>
      <c r="C369" s="1">
        <v>0.0</v>
      </c>
      <c r="D369" s="1">
        <v>65.58</v>
      </c>
      <c r="E369" s="1">
        <v>0.0</v>
      </c>
      <c r="F369" s="54">
        <v>44372.0</v>
      </c>
      <c r="G369" s="1">
        <v>0.0</v>
      </c>
      <c r="H369" s="1">
        <v>59.69</v>
      </c>
      <c r="I369" s="14">
        <v>44393.0</v>
      </c>
      <c r="J369" s="55" t="s">
        <v>2879</v>
      </c>
      <c r="K369" s="15" t="s">
        <v>3247</v>
      </c>
      <c r="L369" s="33" t="str">
        <f t="shared" si="1"/>
        <v>Not in buy Zone</v>
      </c>
      <c r="M369" s="33" t="str">
        <f t="shared" si="2"/>
        <v>Not in buy Zone</v>
      </c>
      <c r="N369" s="33" t="str">
        <f t="shared" si="3"/>
        <v>No</v>
      </c>
    </row>
    <row r="370" ht="11.25" customHeight="1">
      <c r="A370" s="1" t="s">
        <v>398</v>
      </c>
      <c r="B370" s="1">
        <v>0.0</v>
      </c>
      <c r="C370" s="1">
        <v>0.0</v>
      </c>
      <c r="D370" s="1">
        <v>0.0</v>
      </c>
      <c r="E370" s="1">
        <v>56.53</v>
      </c>
      <c r="F370" s="54">
        <v>44390.0</v>
      </c>
      <c r="G370" s="1">
        <v>0.0</v>
      </c>
      <c r="H370" s="1">
        <v>58.55</v>
      </c>
      <c r="I370" s="14">
        <v>44393.0</v>
      </c>
      <c r="J370" s="55" t="s">
        <v>2879</v>
      </c>
      <c r="K370" s="15" t="s">
        <v>3248</v>
      </c>
      <c r="L370" s="33" t="str">
        <f t="shared" si="1"/>
        <v>Not in buy Zone</v>
      </c>
      <c r="M370" s="33" t="str">
        <f t="shared" si="2"/>
        <v>Not in buy Zone</v>
      </c>
      <c r="N370" s="33" t="str">
        <f t="shared" si="3"/>
        <v>No</v>
      </c>
    </row>
    <row r="371" ht="11.25" customHeight="1">
      <c r="A371" s="1" t="s">
        <v>399</v>
      </c>
      <c r="B371" s="1">
        <v>0.0</v>
      </c>
      <c r="C371" s="1">
        <v>0.0</v>
      </c>
      <c r="D371" s="1">
        <v>0.0</v>
      </c>
      <c r="E371" s="1">
        <v>192.8</v>
      </c>
      <c r="F371" s="54">
        <v>44385.0</v>
      </c>
      <c r="G371" s="1">
        <v>0.0</v>
      </c>
      <c r="H371" s="1">
        <v>196.14</v>
      </c>
      <c r="I371" s="14">
        <v>44393.0</v>
      </c>
      <c r="J371" s="55" t="s">
        <v>2879</v>
      </c>
      <c r="K371" s="15" t="s">
        <v>3249</v>
      </c>
      <c r="L371" s="33" t="str">
        <f t="shared" si="1"/>
        <v>Not in buy Zone</v>
      </c>
      <c r="M371" s="33" t="str">
        <f t="shared" si="2"/>
        <v>Not in buy Zone</v>
      </c>
      <c r="N371" s="33" t="str">
        <f t="shared" si="3"/>
        <v>No</v>
      </c>
    </row>
    <row r="372" ht="11.25" customHeight="1">
      <c r="A372" s="1" t="s">
        <v>400</v>
      </c>
      <c r="B372" s="1">
        <v>0.0</v>
      </c>
      <c r="C372" s="1">
        <v>0.0</v>
      </c>
      <c r="D372" s="1">
        <v>60.29</v>
      </c>
      <c r="E372" s="1">
        <v>0.0</v>
      </c>
      <c r="F372" s="54">
        <v>44377.0</v>
      </c>
      <c r="G372" s="1">
        <v>0.0</v>
      </c>
      <c r="H372" s="1">
        <v>52.73</v>
      </c>
      <c r="I372" s="14">
        <v>44393.0</v>
      </c>
      <c r="J372" s="55" t="s">
        <v>2879</v>
      </c>
      <c r="K372" s="15" t="s">
        <v>3250</v>
      </c>
      <c r="L372" s="33" t="str">
        <f t="shared" si="1"/>
        <v>Not in buy Zone</v>
      </c>
      <c r="M372" s="33" t="str">
        <f t="shared" si="2"/>
        <v>Not in buy Zone</v>
      </c>
      <c r="N372" s="33" t="str">
        <f t="shared" si="3"/>
        <v>No</v>
      </c>
    </row>
    <row r="373" ht="11.25" customHeight="1">
      <c r="A373" s="1" t="s">
        <v>401</v>
      </c>
      <c r="B373" s="1">
        <v>0.0</v>
      </c>
      <c r="C373" s="1">
        <v>0.0</v>
      </c>
      <c r="D373" s="1">
        <v>0.0</v>
      </c>
      <c r="E373" s="1">
        <v>131.16</v>
      </c>
      <c r="F373" s="54">
        <v>44350.0</v>
      </c>
      <c r="G373" s="1">
        <v>0.0</v>
      </c>
      <c r="H373" s="1">
        <v>134.97</v>
      </c>
      <c r="I373" s="14">
        <v>44393.0</v>
      </c>
      <c r="J373" s="55" t="s">
        <v>2879</v>
      </c>
      <c r="K373" s="15" t="s">
        <v>3251</v>
      </c>
      <c r="L373" s="33" t="str">
        <f t="shared" si="1"/>
        <v>Not in buy Zone</v>
      </c>
      <c r="M373" s="33" t="str">
        <f t="shared" si="2"/>
        <v>Not in buy Zone</v>
      </c>
      <c r="N373" s="33" t="str">
        <f t="shared" si="3"/>
        <v>No</v>
      </c>
    </row>
    <row r="374" ht="11.25" customHeight="1">
      <c r="A374" s="1" t="s">
        <v>402</v>
      </c>
      <c r="B374" s="1">
        <v>0.0</v>
      </c>
      <c r="C374" s="1">
        <v>0.0</v>
      </c>
      <c r="D374" s="1">
        <v>650.24</v>
      </c>
      <c r="E374" s="1">
        <v>0.0</v>
      </c>
      <c r="F374" s="54">
        <v>44361.0</v>
      </c>
      <c r="G374" s="1">
        <v>0.0</v>
      </c>
      <c r="H374" s="1">
        <v>588.48</v>
      </c>
      <c r="I374" s="14">
        <v>44393.0</v>
      </c>
      <c r="J374" s="55" t="s">
        <v>2879</v>
      </c>
      <c r="K374" s="15" t="s">
        <v>3252</v>
      </c>
      <c r="L374" s="33" t="str">
        <f t="shared" si="1"/>
        <v>Not in buy Zone</v>
      </c>
      <c r="M374" s="33" t="str">
        <f t="shared" si="2"/>
        <v>Not in buy Zone</v>
      </c>
      <c r="N374" s="33" t="str">
        <f t="shared" si="3"/>
        <v>No</v>
      </c>
    </row>
    <row r="375" ht="11.25" customHeight="1">
      <c r="A375" s="1" t="s">
        <v>403</v>
      </c>
      <c r="B375" s="1">
        <v>0.0</v>
      </c>
      <c r="C375" s="1">
        <v>0.0</v>
      </c>
      <c r="D375" s="1">
        <v>0.0</v>
      </c>
      <c r="E375" s="1">
        <v>317.36</v>
      </c>
      <c r="F375" s="54">
        <v>44350.0</v>
      </c>
      <c r="G375" s="1">
        <v>0.0</v>
      </c>
      <c r="H375" s="1">
        <v>371.69</v>
      </c>
      <c r="I375" s="14">
        <v>44393.0</v>
      </c>
      <c r="J375" s="55" t="s">
        <v>2879</v>
      </c>
      <c r="K375" s="15" t="s">
        <v>3253</v>
      </c>
      <c r="L375" s="33" t="str">
        <f t="shared" si="1"/>
        <v>Not in buy Zone</v>
      </c>
      <c r="M375" s="33" t="str">
        <f t="shared" si="2"/>
        <v>Not in buy Zone</v>
      </c>
      <c r="N375" s="33" t="str">
        <f t="shared" si="3"/>
        <v>No</v>
      </c>
    </row>
    <row r="376" ht="11.25" customHeight="1">
      <c r="A376" s="1" t="s">
        <v>404</v>
      </c>
      <c r="B376" s="1">
        <v>0.0</v>
      </c>
      <c r="C376" s="1">
        <v>0.0</v>
      </c>
      <c r="D376" s="1">
        <v>0.0</v>
      </c>
      <c r="E376" s="1">
        <v>14.63</v>
      </c>
      <c r="F376" s="54">
        <v>44363.0</v>
      </c>
      <c r="G376" s="1">
        <v>0.0</v>
      </c>
      <c r="H376" s="1">
        <v>12.74</v>
      </c>
      <c r="I376" s="14">
        <v>44393.0</v>
      </c>
      <c r="J376" s="55" t="s">
        <v>2879</v>
      </c>
      <c r="K376" s="15" t="s">
        <v>3254</v>
      </c>
      <c r="L376" s="33" t="str">
        <f t="shared" si="1"/>
        <v>Not in buy Zone</v>
      </c>
      <c r="M376" s="33" t="str">
        <f t="shared" si="2"/>
        <v>Not in buy Zone</v>
      </c>
      <c r="N376" s="33" t="str">
        <f t="shared" si="3"/>
        <v>No</v>
      </c>
    </row>
    <row r="377" ht="11.25" customHeight="1">
      <c r="A377" s="1" t="s">
        <v>405</v>
      </c>
      <c r="B377" s="1">
        <v>0.0</v>
      </c>
      <c r="C377" s="1">
        <v>0.0</v>
      </c>
      <c r="D377" s="1">
        <v>0.0</v>
      </c>
      <c r="E377" s="1">
        <v>60.87</v>
      </c>
      <c r="F377" s="54">
        <v>44349.0</v>
      </c>
      <c r="G377" s="1">
        <v>0.0</v>
      </c>
      <c r="H377" s="1">
        <v>49.91</v>
      </c>
      <c r="I377" s="14">
        <v>44393.0</v>
      </c>
      <c r="J377" s="55" t="s">
        <v>2879</v>
      </c>
      <c r="K377" s="15" t="s">
        <v>3255</v>
      </c>
      <c r="L377" s="33" t="str">
        <f t="shared" si="1"/>
        <v>Not in buy Zone</v>
      </c>
      <c r="M377" s="33" t="str">
        <f t="shared" si="2"/>
        <v>Not in buy Zone</v>
      </c>
      <c r="N377" s="33" t="str">
        <f t="shared" si="3"/>
        <v>No</v>
      </c>
    </row>
    <row r="378" ht="11.25" customHeight="1">
      <c r="A378" s="1" t="s">
        <v>406</v>
      </c>
      <c r="B378" s="1">
        <v>0.0</v>
      </c>
      <c r="C378" s="1">
        <v>0.0</v>
      </c>
      <c r="D378" s="1">
        <v>0.0</v>
      </c>
      <c r="E378" s="1">
        <v>56.76</v>
      </c>
      <c r="F378" s="54">
        <v>44350.0</v>
      </c>
      <c r="G378" s="1">
        <v>0.0</v>
      </c>
      <c r="H378" s="1">
        <v>47.82</v>
      </c>
      <c r="I378" s="14">
        <v>44393.0</v>
      </c>
      <c r="J378" s="55" t="s">
        <v>2879</v>
      </c>
      <c r="K378" s="15" t="s">
        <v>3256</v>
      </c>
      <c r="L378" s="33" t="str">
        <f t="shared" si="1"/>
        <v>Not in buy Zone</v>
      </c>
      <c r="M378" s="33" t="str">
        <f t="shared" si="2"/>
        <v>Not in buy Zone</v>
      </c>
      <c r="N378" s="33" t="str">
        <f t="shared" si="3"/>
        <v>No</v>
      </c>
    </row>
    <row r="379" ht="11.25" customHeight="1">
      <c r="A379" s="1" t="s">
        <v>407</v>
      </c>
      <c r="B379" s="1">
        <v>0.0</v>
      </c>
      <c r="C379" s="1">
        <v>0.0</v>
      </c>
      <c r="D379" s="1">
        <v>80.66</v>
      </c>
      <c r="E379" s="1">
        <v>0.0</v>
      </c>
      <c r="F379" s="54">
        <v>44377.0</v>
      </c>
      <c r="G379" s="1">
        <v>0.0</v>
      </c>
      <c r="H379" s="1">
        <v>77.65</v>
      </c>
      <c r="I379" s="14">
        <v>44393.0</v>
      </c>
      <c r="J379" s="55" t="s">
        <v>2879</v>
      </c>
      <c r="K379" s="15" t="s">
        <v>3257</v>
      </c>
      <c r="L379" s="33" t="str">
        <f t="shared" si="1"/>
        <v>Not in buy Zone</v>
      </c>
      <c r="M379" s="33" t="str">
        <f t="shared" si="2"/>
        <v>Not in buy Zone</v>
      </c>
      <c r="N379" s="33" t="str">
        <f t="shared" si="3"/>
        <v>No</v>
      </c>
    </row>
    <row r="380" ht="11.25" customHeight="1">
      <c r="A380" s="1" t="s">
        <v>408</v>
      </c>
      <c r="B380" s="1">
        <v>0.0</v>
      </c>
      <c r="C380" s="1">
        <v>0.0</v>
      </c>
      <c r="D380" s="1">
        <v>103.61</v>
      </c>
      <c r="E380" s="1">
        <v>0.0</v>
      </c>
      <c r="F380" s="54">
        <v>44379.0</v>
      </c>
      <c r="G380" s="1">
        <v>0.0</v>
      </c>
      <c r="H380" s="1">
        <v>96.14</v>
      </c>
      <c r="I380" s="14">
        <v>44393.0</v>
      </c>
      <c r="J380" s="55" t="s">
        <v>2879</v>
      </c>
      <c r="K380" s="15" t="s">
        <v>3258</v>
      </c>
      <c r="L380" s="33" t="str">
        <f t="shared" si="1"/>
        <v>Not in buy Zone</v>
      </c>
      <c r="M380" s="33" t="str">
        <f t="shared" si="2"/>
        <v>Not in buy Zone</v>
      </c>
      <c r="N380" s="33" t="str">
        <f t="shared" si="3"/>
        <v>No</v>
      </c>
    </row>
    <row r="381" ht="11.25" customHeight="1">
      <c r="A381" s="1" t="s">
        <v>409</v>
      </c>
      <c r="B381" s="1">
        <v>0.0</v>
      </c>
      <c r="C381" s="1">
        <v>0.0</v>
      </c>
      <c r="D381" s="1">
        <v>0.0</v>
      </c>
      <c r="E381" s="1">
        <v>55.38</v>
      </c>
      <c r="F381" s="54">
        <v>44356.0</v>
      </c>
      <c r="G381" s="1">
        <v>0.0</v>
      </c>
      <c r="H381" s="1">
        <v>53.4</v>
      </c>
      <c r="I381" s="14">
        <v>44393.0</v>
      </c>
      <c r="J381" s="55" t="s">
        <v>2879</v>
      </c>
      <c r="K381" s="15" t="s">
        <v>3259</v>
      </c>
      <c r="L381" s="33" t="str">
        <f t="shared" si="1"/>
        <v>Not in buy Zone</v>
      </c>
      <c r="M381" s="33" t="str">
        <f t="shared" si="2"/>
        <v>Not in buy Zone</v>
      </c>
      <c r="N381" s="33" t="str">
        <f t="shared" si="3"/>
        <v>No</v>
      </c>
    </row>
    <row r="382" ht="11.25" customHeight="1">
      <c r="A382" s="1" t="s">
        <v>410</v>
      </c>
      <c r="B382" s="1">
        <v>0.0</v>
      </c>
      <c r="C382" s="1">
        <v>0.0</v>
      </c>
      <c r="D382" s="1">
        <v>0.0</v>
      </c>
      <c r="E382" s="1">
        <v>88.29</v>
      </c>
      <c r="F382" s="54">
        <v>44375.0</v>
      </c>
      <c r="G382" s="1">
        <v>0.0</v>
      </c>
      <c r="H382" s="1">
        <v>78.53</v>
      </c>
      <c r="I382" s="14">
        <v>44393.0</v>
      </c>
      <c r="J382" s="55" t="s">
        <v>2879</v>
      </c>
      <c r="K382" s="15" t="s">
        <v>3260</v>
      </c>
      <c r="L382" s="33" t="str">
        <f t="shared" si="1"/>
        <v>Not in buy Zone</v>
      </c>
      <c r="M382" s="33" t="str">
        <f t="shared" si="2"/>
        <v>Not in buy Zone</v>
      </c>
      <c r="N382" s="33" t="str">
        <f t="shared" si="3"/>
        <v>No</v>
      </c>
    </row>
    <row r="383" ht="11.25" customHeight="1">
      <c r="A383" s="1" t="s">
        <v>411</v>
      </c>
      <c r="B383" s="1">
        <v>0.0</v>
      </c>
      <c r="C383" s="1">
        <v>0.0</v>
      </c>
      <c r="D383" s="1">
        <v>0.0</v>
      </c>
      <c r="E383" s="1">
        <v>367.68</v>
      </c>
      <c r="F383" s="54">
        <v>44375.0</v>
      </c>
      <c r="G383" s="1">
        <v>0.0</v>
      </c>
      <c r="H383" s="1">
        <v>387.12</v>
      </c>
      <c r="I383" s="14">
        <v>44393.0</v>
      </c>
      <c r="J383" s="55" t="s">
        <v>2879</v>
      </c>
      <c r="K383" s="15" t="s">
        <v>3261</v>
      </c>
      <c r="L383" s="33" t="str">
        <f t="shared" si="1"/>
        <v>Not in buy Zone</v>
      </c>
      <c r="M383" s="33" t="str">
        <f t="shared" si="2"/>
        <v>Not in buy Zone</v>
      </c>
      <c r="N383" s="33" t="str">
        <f t="shared" si="3"/>
        <v>No</v>
      </c>
    </row>
    <row r="384" ht="11.25" customHeight="1">
      <c r="A384" s="1" t="s">
        <v>412</v>
      </c>
      <c r="B384" s="1">
        <v>0.0</v>
      </c>
      <c r="C384" s="1">
        <v>0.0</v>
      </c>
      <c r="D384" s="1">
        <v>170.95</v>
      </c>
      <c r="E384" s="1">
        <v>0.0</v>
      </c>
      <c r="F384" s="54">
        <v>44379.0</v>
      </c>
      <c r="G384" s="1">
        <v>0.0</v>
      </c>
      <c r="H384" s="1">
        <v>184.72</v>
      </c>
      <c r="I384" s="14">
        <v>44393.0</v>
      </c>
      <c r="J384" s="55" t="s">
        <v>2879</v>
      </c>
      <c r="K384" s="15" t="s">
        <v>3262</v>
      </c>
      <c r="L384" s="33" t="str">
        <f t="shared" si="1"/>
        <v>Not in buy Zone</v>
      </c>
      <c r="M384" s="33" t="str">
        <f t="shared" si="2"/>
        <v>Not in buy Zone</v>
      </c>
      <c r="N384" s="33" t="str">
        <f t="shared" si="3"/>
        <v>No</v>
      </c>
    </row>
    <row r="385" ht="11.25" customHeight="1">
      <c r="A385" s="1" t="s">
        <v>413</v>
      </c>
      <c r="B385" s="1">
        <v>0.0</v>
      </c>
      <c r="C385" s="1">
        <v>0.0</v>
      </c>
      <c r="D385" s="1">
        <v>141.26</v>
      </c>
      <c r="E385" s="1">
        <v>0.0</v>
      </c>
      <c r="F385" s="54">
        <v>44379.0</v>
      </c>
      <c r="G385" s="1">
        <v>0.0</v>
      </c>
      <c r="H385" s="1">
        <v>135.05</v>
      </c>
      <c r="I385" s="14">
        <v>44393.0</v>
      </c>
      <c r="J385" s="55" t="s">
        <v>2879</v>
      </c>
      <c r="K385" s="15" t="s">
        <v>3263</v>
      </c>
      <c r="L385" s="33" t="str">
        <f t="shared" si="1"/>
        <v>Not in buy Zone</v>
      </c>
      <c r="M385" s="33" t="str">
        <f t="shared" si="2"/>
        <v>Not in buy Zone</v>
      </c>
      <c r="N385" s="33" t="str">
        <f t="shared" si="3"/>
        <v>No</v>
      </c>
    </row>
    <row r="386" ht="11.25" customHeight="1">
      <c r="A386" s="1" t="s">
        <v>414</v>
      </c>
      <c r="B386" s="1">
        <v>0.0</v>
      </c>
      <c r="C386" s="1">
        <v>0.0</v>
      </c>
      <c r="D386" s="1">
        <v>0.0</v>
      </c>
      <c r="E386" s="1">
        <v>23.64</v>
      </c>
      <c r="F386" s="54">
        <v>44355.0</v>
      </c>
      <c r="G386" s="1">
        <v>0.0</v>
      </c>
      <c r="H386" s="1">
        <v>23.33</v>
      </c>
      <c r="I386" s="14">
        <v>44393.0</v>
      </c>
      <c r="J386" s="55" t="s">
        <v>2879</v>
      </c>
      <c r="K386" s="15" t="s">
        <v>3264</v>
      </c>
      <c r="L386" s="33" t="str">
        <f t="shared" si="1"/>
        <v>Not in buy Zone</v>
      </c>
      <c r="M386" s="33" t="str">
        <f t="shared" si="2"/>
        <v>Not in buy Zone</v>
      </c>
      <c r="N386" s="33" t="str">
        <f t="shared" si="3"/>
        <v>No</v>
      </c>
    </row>
    <row r="387" ht="11.25" customHeight="1">
      <c r="A387" s="1" t="s">
        <v>415</v>
      </c>
      <c r="B387" s="1">
        <v>0.0</v>
      </c>
      <c r="C387" s="1">
        <v>0.0</v>
      </c>
      <c r="D387" s="1">
        <v>58.91</v>
      </c>
      <c r="E387" s="1">
        <v>0.0</v>
      </c>
      <c r="F387" s="54">
        <v>44377.0</v>
      </c>
      <c r="G387" s="1">
        <v>0.0</v>
      </c>
      <c r="H387" s="1">
        <v>59.14</v>
      </c>
      <c r="I387" s="14">
        <v>44393.0</v>
      </c>
      <c r="J387" s="55" t="s">
        <v>2879</v>
      </c>
      <c r="K387" s="15" t="s">
        <v>3265</v>
      </c>
      <c r="L387" s="33" t="str">
        <f t="shared" si="1"/>
        <v>Not in buy Zone</v>
      </c>
      <c r="M387" s="33" t="str">
        <f t="shared" si="2"/>
        <v>Not in buy Zone</v>
      </c>
      <c r="N387" s="33" t="str">
        <f t="shared" si="3"/>
        <v>No</v>
      </c>
    </row>
    <row r="388" ht="11.25" customHeight="1">
      <c r="A388" s="1" t="s">
        <v>416</v>
      </c>
      <c r="B388" s="1">
        <v>0.0</v>
      </c>
      <c r="C388" s="1">
        <v>0.0</v>
      </c>
      <c r="D388" s="1">
        <v>233.63</v>
      </c>
      <c r="E388" s="1">
        <v>0.0</v>
      </c>
      <c r="F388" s="54">
        <v>44379.0</v>
      </c>
      <c r="G388" s="1">
        <v>0.0</v>
      </c>
      <c r="H388" s="1">
        <v>234.75</v>
      </c>
      <c r="I388" s="14">
        <v>44393.0</v>
      </c>
      <c r="J388" s="55" t="s">
        <v>2879</v>
      </c>
      <c r="K388" s="15" t="s">
        <v>3266</v>
      </c>
      <c r="L388" s="33" t="str">
        <f t="shared" si="1"/>
        <v>Not in buy Zone</v>
      </c>
      <c r="M388" s="33" t="str">
        <f t="shared" si="2"/>
        <v>Not in buy Zone</v>
      </c>
      <c r="N388" s="33" t="str">
        <f t="shared" si="3"/>
        <v>No</v>
      </c>
    </row>
    <row r="389" ht="11.25" customHeight="1">
      <c r="A389" s="1" t="s">
        <v>417</v>
      </c>
      <c r="B389" s="1">
        <v>0.0</v>
      </c>
      <c r="C389" s="1">
        <v>0.0</v>
      </c>
      <c r="D389" s="1">
        <v>0.0</v>
      </c>
      <c r="E389" s="1">
        <v>80.57</v>
      </c>
      <c r="F389" s="54">
        <v>44379.0</v>
      </c>
      <c r="G389" s="1">
        <v>0.0</v>
      </c>
      <c r="H389" s="1">
        <v>78.01</v>
      </c>
      <c r="I389" s="14">
        <v>44393.0</v>
      </c>
      <c r="J389" s="55" t="s">
        <v>2879</v>
      </c>
      <c r="K389" s="15" t="s">
        <v>3267</v>
      </c>
      <c r="L389" s="33" t="str">
        <f t="shared" si="1"/>
        <v>Not in buy Zone</v>
      </c>
      <c r="M389" s="33" t="str">
        <f t="shared" si="2"/>
        <v>Not in buy Zone</v>
      </c>
      <c r="N389" s="33" t="str">
        <f t="shared" si="3"/>
        <v>No</v>
      </c>
    </row>
    <row r="390" ht="11.25" customHeight="1">
      <c r="A390" s="1" t="s">
        <v>418</v>
      </c>
      <c r="B390" s="1">
        <v>0.0</v>
      </c>
      <c r="C390" s="1">
        <v>0.0</v>
      </c>
      <c r="D390" s="1">
        <v>155.76</v>
      </c>
      <c r="E390" s="1">
        <v>0.0</v>
      </c>
      <c r="F390" s="54">
        <v>44361.0</v>
      </c>
      <c r="G390" s="1">
        <v>0.0</v>
      </c>
      <c r="H390" s="1">
        <v>133.76</v>
      </c>
      <c r="I390" s="14">
        <v>44393.0</v>
      </c>
      <c r="J390" s="55" t="s">
        <v>2879</v>
      </c>
      <c r="K390" s="15" t="s">
        <v>3268</v>
      </c>
      <c r="L390" s="33" t="str">
        <f t="shared" si="1"/>
        <v>Not in buy Zone</v>
      </c>
      <c r="M390" s="33" t="str">
        <f t="shared" si="2"/>
        <v>Not in buy Zone</v>
      </c>
      <c r="N390" s="33" t="str">
        <f t="shared" si="3"/>
        <v>No</v>
      </c>
    </row>
    <row r="391" ht="11.25" customHeight="1">
      <c r="A391" s="1" t="s">
        <v>419</v>
      </c>
      <c r="B391" s="1">
        <v>0.0</v>
      </c>
      <c r="C391" s="1">
        <v>0.0</v>
      </c>
      <c r="D391" s="1">
        <v>0.0</v>
      </c>
      <c r="E391" s="1">
        <v>189.34</v>
      </c>
      <c r="F391" s="54">
        <v>44383.0</v>
      </c>
      <c r="G391" s="1">
        <v>0.0</v>
      </c>
      <c r="H391" s="1">
        <v>189.22</v>
      </c>
      <c r="I391" s="14">
        <v>44393.0</v>
      </c>
      <c r="J391" s="55" t="s">
        <v>2879</v>
      </c>
      <c r="K391" s="15" t="s">
        <v>3269</v>
      </c>
      <c r="L391" s="33" t="str">
        <f t="shared" si="1"/>
        <v>Not in buy Zone</v>
      </c>
      <c r="M391" s="33" t="str">
        <f t="shared" si="2"/>
        <v>Not in buy Zone</v>
      </c>
      <c r="N391" s="33" t="str">
        <f t="shared" si="3"/>
        <v>No</v>
      </c>
    </row>
    <row r="392" ht="11.25" customHeight="1">
      <c r="A392" s="1" t="s">
        <v>420</v>
      </c>
      <c r="B392" s="1">
        <v>0.0</v>
      </c>
      <c r="C392" s="1">
        <v>0.0</v>
      </c>
      <c r="D392" s="1">
        <v>0.0</v>
      </c>
      <c r="E392" s="1">
        <v>287.61</v>
      </c>
      <c r="F392" s="54">
        <v>44273.0</v>
      </c>
      <c r="G392" s="1">
        <v>0.0</v>
      </c>
      <c r="H392" s="1">
        <v>377.96</v>
      </c>
      <c r="I392" s="14">
        <v>44393.0</v>
      </c>
      <c r="J392" s="55" t="s">
        <v>2879</v>
      </c>
      <c r="K392" s="15" t="s">
        <v>3270</v>
      </c>
      <c r="L392" s="33" t="str">
        <f t="shared" si="1"/>
        <v>Not in buy Zone</v>
      </c>
      <c r="M392" s="33" t="str">
        <f t="shared" si="2"/>
        <v>Not in buy Zone</v>
      </c>
      <c r="N392" s="33" t="str">
        <f t="shared" si="3"/>
        <v>No</v>
      </c>
    </row>
    <row r="393" ht="11.25" customHeight="1">
      <c r="A393" s="1" t="s">
        <v>421</v>
      </c>
      <c r="B393" s="1">
        <v>0.0</v>
      </c>
      <c r="C393" s="1">
        <v>0.0</v>
      </c>
      <c r="D393" s="1">
        <v>63.18</v>
      </c>
      <c r="E393" s="1">
        <v>0.0</v>
      </c>
      <c r="F393" s="54">
        <v>44372.0</v>
      </c>
      <c r="G393" s="1">
        <v>0.0</v>
      </c>
      <c r="H393" s="1">
        <v>64.26</v>
      </c>
      <c r="I393" s="14">
        <v>44393.0</v>
      </c>
      <c r="J393" s="55" t="s">
        <v>2879</v>
      </c>
      <c r="K393" s="15" t="s">
        <v>3271</v>
      </c>
      <c r="L393" s="33" t="str">
        <f t="shared" si="1"/>
        <v>Not in buy Zone</v>
      </c>
      <c r="M393" s="33" t="str">
        <f t="shared" si="2"/>
        <v>Not in buy Zone</v>
      </c>
      <c r="N393" s="33" t="str">
        <f t="shared" si="3"/>
        <v>No</v>
      </c>
    </row>
    <row r="394" ht="11.25" customHeight="1">
      <c r="A394" s="1" t="s">
        <v>422</v>
      </c>
      <c r="B394" s="1">
        <v>0.0</v>
      </c>
      <c r="C394" s="1">
        <v>0.0</v>
      </c>
      <c r="D394" s="1">
        <v>0.0</v>
      </c>
      <c r="E394" s="1">
        <v>123.74</v>
      </c>
      <c r="F394" s="54">
        <v>44375.0</v>
      </c>
      <c r="G394" s="1">
        <v>0.0</v>
      </c>
      <c r="H394" s="1">
        <v>125.8</v>
      </c>
      <c r="I394" s="14">
        <v>44393.0</v>
      </c>
      <c r="J394" s="55" t="s">
        <v>2879</v>
      </c>
      <c r="K394" s="15" t="s">
        <v>3272</v>
      </c>
      <c r="L394" s="33" t="str">
        <f t="shared" si="1"/>
        <v>Not in buy Zone</v>
      </c>
      <c r="M394" s="33" t="str">
        <f t="shared" si="2"/>
        <v>Not in buy Zone</v>
      </c>
      <c r="N394" s="33" t="str">
        <f t="shared" si="3"/>
        <v>No</v>
      </c>
    </row>
    <row r="395" ht="11.25" customHeight="1">
      <c r="A395" s="1" t="s">
        <v>423</v>
      </c>
      <c r="B395" s="1">
        <v>0.0</v>
      </c>
      <c r="C395" s="1">
        <v>0.0</v>
      </c>
      <c r="D395" s="1">
        <v>0.0</v>
      </c>
      <c r="E395" s="1">
        <v>1526.93</v>
      </c>
      <c r="F395" s="54">
        <v>44385.0</v>
      </c>
      <c r="G395" s="1">
        <v>0.0</v>
      </c>
      <c r="H395" s="1">
        <v>1512.51</v>
      </c>
      <c r="I395" s="14">
        <v>44393.0</v>
      </c>
      <c r="J395" s="55" t="s">
        <v>2879</v>
      </c>
      <c r="K395" s="15" t="s">
        <v>3273</v>
      </c>
      <c r="L395" s="33" t="str">
        <f t="shared" si="1"/>
        <v>Not in buy Zone</v>
      </c>
      <c r="M395" s="33" t="str">
        <f t="shared" si="2"/>
        <v>Not in buy Zone</v>
      </c>
      <c r="N395" s="33" t="str">
        <f t="shared" si="3"/>
        <v>No</v>
      </c>
    </row>
    <row r="396" ht="11.25" customHeight="1">
      <c r="A396" s="1" t="s">
        <v>424</v>
      </c>
      <c r="B396" s="1">
        <v>0.0</v>
      </c>
      <c r="C396" s="1">
        <v>0.0</v>
      </c>
      <c r="D396" s="1">
        <v>60.42</v>
      </c>
      <c r="E396" s="1">
        <v>0.0</v>
      </c>
      <c r="F396" s="54">
        <v>44379.0</v>
      </c>
      <c r="G396" s="1">
        <v>0.0</v>
      </c>
      <c r="H396" s="1">
        <v>57.58</v>
      </c>
      <c r="I396" s="14">
        <v>44393.0</v>
      </c>
      <c r="J396" s="55" t="s">
        <v>2879</v>
      </c>
      <c r="K396" s="15" t="s">
        <v>3274</v>
      </c>
      <c r="L396" s="33" t="str">
        <f t="shared" si="1"/>
        <v>Not in buy Zone</v>
      </c>
      <c r="M396" s="33" t="str">
        <f t="shared" si="2"/>
        <v>Not in buy Zone</v>
      </c>
      <c r="N396" s="33" t="str">
        <f t="shared" si="3"/>
        <v>No</v>
      </c>
    </row>
    <row r="397" ht="11.25" customHeight="1">
      <c r="A397" s="1" t="s">
        <v>425</v>
      </c>
      <c r="B397" s="1">
        <v>0.0</v>
      </c>
      <c r="C397" s="1">
        <v>0.0</v>
      </c>
      <c r="D397" s="1">
        <v>43.12</v>
      </c>
      <c r="E397" s="1">
        <v>0.0</v>
      </c>
      <c r="F397" s="54">
        <v>44370.0</v>
      </c>
      <c r="G397" s="1">
        <v>0.0</v>
      </c>
      <c r="H397" s="1">
        <v>37.93</v>
      </c>
      <c r="I397" s="14">
        <v>44393.0</v>
      </c>
      <c r="J397" s="55" t="s">
        <v>2879</v>
      </c>
      <c r="K397" s="15" t="s">
        <v>3275</v>
      </c>
      <c r="L397" s="33" t="str">
        <f t="shared" si="1"/>
        <v>Not in buy Zone</v>
      </c>
      <c r="M397" s="33" t="str">
        <f t="shared" si="2"/>
        <v>Not in buy Zone</v>
      </c>
      <c r="N397" s="33" t="str">
        <f t="shared" si="3"/>
        <v>No</v>
      </c>
    </row>
    <row r="398" ht="11.25" customHeight="1">
      <c r="A398" s="1" t="s">
        <v>426</v>
      </c>
      <c r="B398" s="1">
        <v>0.0</v>
      </c>
      <c r="C398" s="1">
        <v>0.0</v>
      </c>
      <c r="D398" s="1">
        <v>0.0</v>
      </c>
      <c r="E398" s="1">
        <v>28.77</v>
      </c>
      <c r="F398" s="54">
        <v>44351.0</v>
      </c>
      <c r="G398" s="1">
        <v>0.0</v>
      </c>
      <c r="H398" s="1">
        <v>28.53</v>
      </c>
      <c r="I398" s="14">
        <v>44393.0</v>
      </c>
      <c r="J398" s="55" t="s">
        <v>2879</v>
      </c>
      <c r="K398" s="15" t="s">
        <v>3276</v>
      </c>
      <c r="L398" s="33" t="str">
        <f t="shared" si="1"/>
        <v>Not in buy Zone</v>
      </c>
      <c r="M398" s="33" t="str">
        <f t="shared" si="2"/>
        <v>Not in buy Zone</v>
      </c>
      <c r="N398" s="33" t="str">
        <f t="shared" si="3"/>
        <v>No</v>
      </c>
    </row>
    <row r="399" ht="11.25" customHeight="1">
      <c r="A399" s="1" t="s">
        <v>427</v>
      </c>
      <c r="B399" s="1">
        <v>0.0</v>
      </c>
      <c r="C399" s="1">
        <v>0.0</v>
      </c>
      <c r="D399" s="1">
        <v>0.0</v>
      </c>
      <c r="E399" s="1">
        <v>194.32</v>
      </c>
      <c r="F399" s="54">
        <v>44391.0</v>
      </c>
      <c r="G399" s="1">
        <v>0.0</v>
      </c>
      <c r="H399" s="1">
        <v>186.16</v>
      </c>
      <c r="I399" s="14">
        <v>44393.0</v>
      </c>
      <c r="J399" s="55" t="s">
        <v>2879</v>
      </c>
      <c r="K399" s="15" t="s">
        <v>3277</v>
      </c>
      <c r="L399" s="33" t="str">
        <f t="shared" si="1"/>
        <v>Not in buy Zone</v>
      </c>
      <c r="M399" s="33" t="str">
        <f t="shared" si="2"/>
        <v>Not in buy Zone</v>
      </c>
      <c r="N399" s="33" t="str">
        <f t="shared" si="3"/>
        <v>No</v>
      </c>
    </row>
    <row r="400" ht="11.25" customHeight="1">
      <c r="A400" s="1" t="s">
        <v>428</v>
      </c>
      <c r="B400" s="1">
        <v>87.9</v>
      </c>
      <c r="C400" s="1">
        <v>0.0</v>
      </c>
      <c r="D400" s="1">
        <v>0.0</v>
      </c>
      <c r="E400" s="1">
        <v>0.0</v>
      </c>
      <c r="F400" s="54">
        <v>44393.0</v>
      </c>
      <c r="G400" s="1">
        <v>1.0</v>
      </c>
      <c r="H400" s="1">
        <v>87.9</v>
      </c>
      <c r="I400" s="14">
        <v>44393.0</v>
      </c>
      <c r="J400" s="55" t="s">
        <v>2879</v>
      </c>
      <c r="K400" s="15" t="s">
        <v>3278</v>
      </c>
      <c r="L400" s="33">
        <f t="shared" si="1"/>
        <v>88.3395</v>
      </c>
      <c r="M400" s="33">
        <f t="shared" si="2"/>
        <v>87.4605</v>
      </c>
      <c r="N400" s="33" t="str">
        <f t="shared" si="3"/>
        <v>Yes</v>
      </c>
    </row>
    <row r="401" ht="11.25" customHeight="1">
      <c r="A401" s="1" t="s">
        <v>429</v>
      </c>
      <c r="B401" s="1">
        <v>0.0</v>
      </c>
      <c r="C401" s="1">
        <v>0.0</v>
      </c>
      <c r="D401" s="1">
        <v>0.0</v>
      </c>
      <c r="E401" s="1">
        <v>450.08</v>
      </c>
      <c r="F401" s="54">
        <v>44384.0</v>
      </c>
      <c r="G401" s="1">
        <v>0.0</v>
      </c>
      <c r="H401" s="1">
        <v>459.09</v>
      </c>
      <c r="I401" s="14">
        <v>44393.0</v>
      </c>
      <c r="J401" s="55" t="s">
        <v>2879</v>
      </c>
      <c r="K401" s="15" t="s">
        <v>3279</v>
      </c>
      <c r="L401" s="33" t="str">
        <f t="shared" si="1"/>
        <v>Not in buy Zone</v>
      </c>
      <c r="M401" s="33" t="str">
        <f t="shared" si="2"/>
        <v>Not in buy Zone</v>
      </c>
      <c r="N401" s="33" t="str">
        <f t="shared" si="3"/>
        <v>No</v>
      </c>
    </row>
    <row r="402" ht="11.25" customHeight="1">
      <c r="A402" s="1" t="s">
        <v>430</v>
      </c>
      <c r="B402" s="1">
        <v>0.0</v>
      </c>
      <c r="C402" s="1">
        <v>0.0</v>
      </c>
      <c r="D402" s="1">
        <v>0.0</v>
      </c>
      <c r="E402" s="1">
        <v>348.54</v>
      </c>
      <c r="F402" s="54">
        <v>44383.0</v>
      </c>
      <c r="G402" s="1">
        <v>0.0</v>
      </c>
      <c r="H402" s="1">
        <v>351.49</v>
      </c>
      <c r="I402" s="14">
        <v>44393.0</v>
      </c>
      <c r="J402" s="55" t="s">
        <v>2879</v>
      </c>
      <c r="K402" s="15" t="s">
        <v>3280</v>
      </c>
      <c r="L402" s="33" t="str">
        <f t="shared" si="1"/>
        <v>Not in buy Zone</v>
      </c>
      <c r="M402" s="33" t="str">
        <f t="shared" si="2"/>
        <v>Not in buy Zone</v>
      </c>
      <c r="N402" s="33" t="str">
        <f t="shared" si="3"/>
        <v>No</v>
      </c>
    </row>
    <row r="403" ht="11.25" customHeight="1">
      <c r="A403" s="1" t="s">
        <v>431</v>
      </c>
      <c r="B403" s="1">
        <v>0.0</v>
      </c>
      <c r="C403" s="1">
        <v>0.0</v>
      </c>
      <c r="D403" s="1">
        <v>0.0</v>
      </c>
      <c r="E403" s="1">
        <v>140.96</v>
      </c>
      <c r="F403" s="54">
        <v>44391.0</v>
      </c>
      <c r="G403" s="1">
        <v>0.0</v>
      </c>
      <c r="H403" s="1">
        <v>141.33</v>
      </c>
      <c r="I403" s="14">
        <v>44393.0</v>
      </c>
      <c r="J403" s="55" t="s">
        <v>2879</v>
      </c>
      <c r="K403" s="15" t="s">
        <v>3281</v>
      </c>
      <c r="L403" s="33" t="str">
        <f t="shared" si="1"/>
        <v>Not in buy Zone</v>
      </c>
      <c r="M403" s="33" t="str">
        <f t="shared" si="2"/>
        <v>Not in buy Zone</v>
      </c>
      <c r="N403" s="33" t="str">
        <f t="shared" si="3"/>
        <v>No</v>
      </c>
    </row>
    <row r="404" ht="11.25" customHeight="1">
      <c r="A404" s="1" t="s">
        <v>432</v>
      </c>
      <c r="B404" s="1">
        <v>0.0</v>
      </c>
      <c r="C404" s="1">
        <v>0.0</v>
      </c>
      <c r="D404" s="1">
        <v>198.63</v>
      </c>
      <c r="E404" s="1">
        <v>0.0</v>
      </c>
      <c r="F404" s="54">
        <v>44377.0</v>
      </c>
      <c r="G404" s="1">
        <v>0.0</v>
      </c>
      <c r="H404" s="1">
        <v>199.37</v>
      </c>
      <c r="I404" s="14">
        <v>44393.0</v>
      </c>
      <c r="J404" s="55" t="s">
        <v>2879</v>
      </c>
      <c r="K404" s="15" t="s">
        <v>3282</v>
      </c>
      <c r="L404" s="33" t="str">
        <f t="shared" si="1"/>
        <v>Not in buy Zone</v>
      </c>
      <c r="M404" s="33" t="str">
        <f t="shared" si="2"/>
        <v>Not in buy Zone</v>
      </c>
      <c r="N404" s="33" t="str">
        <f t="shared" si="3"/>
        <v>No</v>
      </c>
    </row>
    <row r="405" ht="11.25" customHeight="1">
      <c r="A405" s="1" t="s">
        <v>433</v>
      </c>
      <c r="B405" s="1">
        <v>0.0</v>
      </c>
      <c r="C405" s="1">
        <v>0.0</v>
      </c>
      <c r="D405" s="1">
        <v>91.17</v>
      </c>
      <c r="E405" s="1">
        <v>0.0</v>
      </c>
      <c r="F405" s="54">
        <v>44389.0</v>
      </c>
      <c r="G405" s="1">
        <v>0.0</v>
      </c>
      <c r="H405" s="1">
        <v>93.07</v>
      </c>
      <c r="I405" s="14">
        <v>44393.0</v>
      </c>
      <c r="J405" s="55" t="s">
        <v>2879</v>
      </c>
      <c r="K405" s="15" t="s">
        <v>3283</v>
      </c>
      <c r="L405" s="33" t="str">
        <f t="shared" si="1"/>
        <v>Not in buy Zone</v>
      </c>
      <c r="M405" s="33" t="str">
        <f t="shared" si="2"/>
        <v>Not in buy Zone</v>
      </c>
      <c r="N405" s="33" t="str">
        <f t="shared" si="3"/>
        <v>No</v>
      </c>
    </row>
    <row r="406" ht="11.25" customHeight="1">
      <c r="A406" s="1" t="s">
        <v>434</v>
      </c>
      <c r="B406" s="1">
        <v>0.0</v>
      </c>
      <c r="C406" s="1">
        <v>0.0</v>
      </c>
      <c r="D406" s="1">
        <v>47.68</v>
      </c>
      <c r="E406" s="1">
        <v>0.0</v>
      </c>
      <c r="F406" s="54">
        <v>44377.0</v>
      </c>
      <c r="G406" s="1">
        <v>0.0</v>
      </c>
      <c r="H406" s="1">
        <v>47.31</v>
      </c>
      <c r="I406" s="14">
        <v>44393.0</v>
      </c>
      <c r="J406" s="55" t="s">
        <v>2879</v>
      </c>
      <c r="K406" s="15" t="s">
        <v>3284</v>
      </c>
      <c r="L406" s="33" t="str">
        <f t="shared" si="1"/>
        <v>Not in buy Zone</v>
      </c>
      <c r="M406" s="33" t="str">
        <f t="shared" si="2"/>
        <v>Not in buy Zone</v>
      </c>
      <c r="N406" s="33" t="str">
        <f t="shared" si="3"/>
        <v>No</v>
      </c>
    </row>
    <row r="407" ht="11.25" customHeight="1">
      <c r="A407" s="1" t="s">
        <v>435</v>
      </c>
      <c r="B407" s="1">
        <v>0.0</v>
      </c>
      <c r="C407" s="1">
        <v>0.0</v>
      </c>
      <c r="D407" s="1">
        <v>31.91</v>
      </c>
      <c r="E407" s="1">
        <v>0.0</v>
      </c>
      <c r="F407" s="54">
        <v>44377.0</v>
      </c>
      <c r="G407" s="1">
        <v>0.0</v>
      </c>
      <c r="H407" s="1">
        <v>29.59</v>
      </c>
      <c r="I407" s="14">
        <v>44393.0</v>
      </c>
      <c r="J407" s="55" t="s">
        <v>2879</v>
      </c>
      <c r="K407" s="15" t="s">
        <v>3285</v>
      </c>
      <c r="L407" s="33" t="str">
        <f t="shared" si="1"/>
        <v>Not in buy Zone</v>
      </c>
      <c r="M407" s="33" t="str">
        <f t="shared" si="2"/>
        <v>Not in buy Zone</v>
      </c>
      <c r="N407" s="33" t="str">
        <f t="shared" si="3"/>
        <v>No</v>
      </c>
    </row>
    <row r="408" ht="11.25" customHeight="1">
      <c r="A408" s="1" t="s">
        <v>436</v>
      </c>
      <c r="B408" s="1">
        <v>0.0</v>
      </c>
      <c r="C408" s="1">
        <v>0.0</v>
      </c>
      <c r="D408" s="1">
        <v>0.0</v>
      </c>
      <c r="E408" s="1">
        <v>30.81</v>
      </c>
      <c r="F408" s="54">
        <v>44365.0</v>
      </c>
      <c r="G408" s="1">
        <v>0.0</v>
      </c>
      <c r="H408" s="1">
        <v>33.09</v>
      </c>
      <c r="I408" s="14">
        <v>44393.0</v>
      </c>
      <c r="J408" s="55" t="s">
        <v>2879</v>
      </c>
      <c r="K408" s="15" t="s">
        <v>3286</v>
      </c>
      <c r="L408" s="33" t="str">
        <f t="shared" si="1"/>
        <v>Not in buy Zone</v>
      </c>
      <c r="M408" s="33" t="str">
        <f t="shared" si="2"/>
        <v>Not in buy Zone</v>
      </c>
      <c r="N408" s="33" t="str">
        <f t="shared" si="3"/>
        <v>No</v>
      </c>
    </row>
    <row r="409" ht="11.25" customHeight="1">
      <c r="A409" s="1" t="s">
        <v>437</v>
      </c>
      <c r="B409" s="1">
        <v>0.0</v>
      </c>
      <c r="C409" s="1">
        <v>0.0</v>
      </c>
      <c r="D409" s="1">
        <v>62.55</v>
      </c>
      <c r="E409" s="1">
        <v>0.0</v>
      </c>
      <c r="F409" s="54">
        <v>44372.0</v>
      </c>
      <c r="G409" s="1">
        <v>0.0</v>
      </c>
      <c r="H409" s="1">
        <v>53.26</v>
      </c>
      <c r="I409" s="14">
        <v>44393.0</v>
      </c>
      <c r="J409" s="55" t="s">
        <v>2879</v>
      </c>
      <c r="K409" s="15" t="s">
        <v>3287</v>
      </c>
      <c r="L409" s="33" t="str">
        <f t="shared" si="1"/>
        <v>Not in buy Zone</v>
      </c>
      <c r="M409" s="33" t="str">
        <f t="shared" si="2"/>
        <v>Not in buy Zone</v>
      </c>
      <c r="N409" s="33" t="str">
        <f t="shared" si="3"/>
        <v>No</v>
      </c>
    </row>
    <row r="410" ht="11.25" customHeight="1">
      <c r="A410" s="1" t="s">
        <v>438</v>
      </c>
      <c r="B410" s="1">
        <v>0.0</v>
      </c>
      <c r="C410" s="1">
        <v>0.0</v>
      </c>
      <c r="D410" s="1">
        <v>30.03</v>
      </c>
      <c r="E410" s="1">
        <v>0.0</v>
      </c>
      <c r="F410" s="54">
        <v>44379.0</v>
      </c>
      <c r="G410" s="1">
        <v>0.0</v>
      </c>
      <c r="H410" s="1">
        <v>27.42</v>
      </c>
      <c r="I410" s="14">
        <v>44393.0</v>
      </c>
      <c r="J410" s="55" t="s">
        <v>2879</v>
      </c>
      <c r="K410" s="15" t="s">
        <v>3288</v>
      </c>
      <c r="L410" s="33" t="str">
        <f t="shared" si="1"/>
        <v>Not in buy Zone</v>
      </c>
      <c r="M410" s="33" t="str">
        <f t="shared" si="2"/>
        <v>Not in buy Zone</v>
      </c>
      <c r="N410" s="33" t="str">
        <f t="shared" si="3"/>
        <v>No</v>
      </c>
    </row>
    <row r="411" ht="11.25" customHeight="1">
      <c r="A411" s="1" t="s">
        <v>439</v>
      </c>
      <c r="B411" s="1">
        <v>0.0</v>
      </c>
      <c r="C411" s="1">
        <v>0.0</v>
      </c>
      <c r="D411" s="1">
        <v>331.97</v>
      </c>
      <c r="E411" s="1">
        <v>0.0</v>
      </c>
      <c r="F411" s="54">
        <v>44336.0</v>
      </c>
      <c r="G411" s="1">
        <v>0.0</v>
      </c>
      <c r="H411" s="1">
        <v>379.46</v>
      </c>
      <c r="I411" s="14">
        <v>44393.0</v>
      </c>
      <c r="J411" s="55" t="s">
        <v>2879</v>
      </c>
      <c r="K411" s="15" t="s">
        <v>3289</v>
      </c>
      <c r="L411" s="33" t="str">
        <f t="shared" si="1"/>
        <v>Not in buy Zone</v>
      </c>
      <c r="M411" s="33" t="str">
        <f t="shared" si="2"/>
        <v>Not in buy Zone</v>
      </c>
      <c r="N411" s="33" t="str">
        <f t="shared" si="3"/>
        <v>No</v>
      </c>
    </row>
    <row r="412" ht="11.25" customHeight="1">
      <c r="A412" s="1" t="s">
        <v>440</v>
      </c>
      <c r="B412" s="1">
        <v>0.0</v>
      </c>
      <c r="C412" s="1">
        <v>0.0</v>
      </c>
      <c r="D412" s="1">
        <v>0.0</v>
      </c>
      <c r="E412" s="1">
        <v>197.84</v>
      </c>
      <c r="F412" s="54">
        <v>44363.0</v>
      </c>
      <c r="G412" s="1">
        <v>0.0</v>
      </c>
      <c r="H412" s="1">
        <v>286.43</v>
      </c>
      <c r="I412" s="14">
        <v>44393.0</v>
      </c>
      <c r="J412" s="55" t="s">
        <v>2879</v>
      </c>
      <c r="K412" s="15" t="s">
        <v>3290</v>
      </c>
      <c r="L412" s="33" t="str">
        <f t="shared" si="1"/>
        <v>Not in buy Zone</v>
      </c>
      <c r="M412" s="33" t="str">
        <f t="shared" si="2"/>
        <v>Not in buy Zone</v>
      </c>
      <c r="N412" s="33" t="str">
        <f t="shared" si="3"/>
        <v>No</v>
      </c>
    </row>
    <row r="413" ht="11.25" customHeight="1">
      <c r="A413" s="1" t="s">
        <v>441</v>
      </c>
      <c r="B413" s="1">
        <v>0.0</v>
      </c>
      <c r="C413" s="1">
        <v>0.0</v>
      </c>
      <c r="D413" s="1">
        <v>0.0</v>
      </c>
      <c r="E413" s="1">
        <v>11.07</v>
      </c>
      <c r="F413" s="54">
        <v>44329.0</v>
      </c>
      <c r="G413" s="1">
        <v>0.0</v>
      </c>
      <c r="H413" s="1">
        <v>11.75</v>
      </c>
      <c r="I413" s="14">
        <v>44393.0</v>
      </c>
      <c r="J413" s="55" t="s">
        <v>2879</v>
      </c>
      <c r="K413" s="15" t="s">
        <v>3291</v>
      </c>
      <c r="L413" s="33" t="str">
        <f t="shared" si="1"/>
        <v>Not in buy Zone</v>
      </c>
      <c r="M413" s="33" t="str">
        <f t="shared" si="2"/>
        <v>Not in buy Zone</v>
      </c>
      <c r="N413" s="33" t="str">
        <f t="shared" si="3"/>
        <v>No</v>
      </c>
    </row>
    <row r="414" ht="11.25" customHeight="1">
      <c r="A414" s="1" t="s">
        <v>442</v>
      </c>
      <c r="B414" s="1">
        <v>0.0</v>
      </c>
      <c r="C414" s="1">
        <v>0.0</v>
      </c>
      <c r="D414" s="1">
        <v>0.0</v>
      </c>
      <c r="E414" s="1">
        <v>56.27</v>
      </c>
      <c r="F414" s="54">
        <v>44385.0</v>
      </c>
      <c r="G414" s="1">
        <v>0.0</v>
      </c>
      <c r="H414" s="1">
        <v>53.97</v>
      </c>
      <c r="I414" s="14">
        <v>44393.0</v>
      </c>
      <c r="J414" s="55" t="s">
        <v>2879</v>
      </c>
      <c r="K414" s="15" t="s">
        <v>3292</v>
      </c>
      <c r="L414" s="33" t="str">
        <f t="shared" si="1"/>
        <v>Not in buy Zone</v>
      </c>
      <c r="M414" s="33" t="str">
        <f t="shared" si="2"/>
        <v>Not in buy Zone</v>
      </c>
      <c r="N414" s="33" t="str">
        <f t="shared" si="3"/>
        <v>No</v>
      </c>
    </row>
    <row r="415" ht="11.25" customHeight="1">
      <c r="A415" s="1" t="s">
        <v>443</v>
      </c>
      <c r="B415" s="1">
        <v>0.0</v>
      </c>
      <c r="C415" s="1">
        <v>0.0</v>
      </c>
      <c r="D415" s="1">
        <v>0.0</v>
      </c>
      <c r="E415" s="1">
        <v>87.64</v>
      </c>
      <c r="F415" s="54">
        <v>44385.0</v>
      </c>
      <c r="G415" s="1">
        <v>0.0</v>
      </c>
      <c r="H415" s="1">
        <v>91.25</v>
      </c>
      <c r="I415" s="14">
        <v>44393.0</v>
      </c>
      <c r="J415" s="55" t="s">
        <v>2879</v>
      </c>
      <c r="K415" s="15" t="s">
        <v>3293</v>
      </c>
      <c r="L415" s="33" t="str">
        <f t="shared" si="1"/>
        <v>Not in buy Zone</v>
      </c>
      <c r="M415" s="33" t="str">
        <f t="shared" si="2"/>
        <v>Not in buy Zone</v>
      </c>
      <c r="N415" s="33" t="str">
        <f t="shared" si="3"/>
        <v>No</v>
      </c>
    </row>
    <row r="416" ht="11.25" customHeight="1">
      <c r="A416" s="1" t="s">
        <v>444</v>
      </c>
      <c r="B416" s="1">
        <v>0.0</v>
      </c>
      <c r="C416" s="1">
        <v>0.0</v>
      </c>
      <c r="D416" s="1">
        <v>464.61</v>
      </c>
      <c r="E416" s="1">
        <v>0.0</v>
      </c>
      <c r="F416" s="54">
        <v>44341.0</v>
      </c>
      <c r="G416" s="1">
        <v>0.0</v>
      </c>
      <c r="H416" s="1">
        <v>564.83</v>
      </c>
      <c r="I416" s="14">
        <v>44393.0</v>
      </c>
      <c r="J416" s="55" t="s">
        <v>2879</v>
      </c>
      <c r="K416" s="15" t="s">
        <v>3294</v>
      </c>
      <c r="L416" s="33" t="str">
        <f t="shared" si="1"/>
        <v>Not in buy Zone</v>
      </c>
      <c r="M416" s="33" t="str">
        <f t="shared" si="2"/>
        <v>Not in buy Zone</v>
      </c>
      <c r="N416" s="33" t="str">
        <f t="shared" si="3"/>
        <v>No</v>
      </c>
    </row>
    <row r="417" ht="11.25" customHeight="1">
      <c r="A417" s="1" t="s">
        <v>445</v>
      </c>
      <c r="B417" s="1">
        <v>0.0</v>
      </c>
      <c r="C417" s="1">
        <v>0.0</v>
      </c>
      <c r="D417" s="1">
        <v>0.0</v>
      </c>
      <c r="E417" s="1">
        <v>245.71</v>
      </c>
      <c r="F417" s="54">
        <v>44350.0</v>
      </c>
      <c r="G417" s="1">
        <v>0.0</v>
      </c>
      <c r="H417" s="1">
        <v>280.75</v>
      </c>
      <c r="I417" s="14">
        <v>44393.0</v>
      </c>
      <c r="J417" s="55" t="s">
        <v>2879</v>
      </c>
      <c r="K417" s="15" t="s">
        <v>3295</v>
      </c>
      <c r="L417" s="33" t="str">
        <f t="shared" si="1"/>
        <v>Not in buy Zone</v>
      </c>
      <c r="M417" s="33" t="str">
        <f t="shared" si="2"/>
        <v>Not in buy Zone</v>
      </c>
      <c r="N417" s="33" t="str">
        <f t="shared" si="3"/>
        <v>No</v>
      </c>
    </row>
    <row r="418" ht="11.25" customHeight="1">
      <c r="A418" s="1" t="s">
        <v>446</v>
      </c>
      <c r="B418" s="1">
        <v>0.0</v>
      </c>
      <c r="C418" s="1">
        <v>0.0</v>
      </c>
      <c r="D418" s="1">
        <v>0.0</v>
      </c>
      <c r="E418" s="1">
        <v>186.56</v>
      </c>
      <c r="F418" s="54">
        <v>44320.0</v>
      </c>
      <c r="G418" s="1">
        <v>0.0</v>
      </c>
      <c r="H418" s="1">
        <v>219.99</v>
      </c>
      <c r="I418" s="14">
        <v>44393.0</v>
      </c>
      <c r="J418" s="55" t="s">
        <v>2879</v>
      </c>
      <c r="K418" s="15" t="s">
        <v>3296</v>
      </c>
      <c r="L418" s="33" t="str">
        <f t="shared" si="1"/>
        <v>Not in buy Zone</v>
      </c>
      <c r="M418" s="33" t="str">
        <f t="shared" si="2"/>
        <v>Not in buy Zone</v>
      </c>
      <c r="N418" s="33" t="str">
        <f t="shared" si="3"/>
        <v>No</v>
      </c>
    </row>
    <row r="419" ht="11.25" customHeight="1">
      <c r="A419" s="1" t="s">
        <v>447</v>
      </c>
      <c r="B419" s="1">
        <v>0.0</v>
      </c>
      <c r="C419" s="1">
        <v>0.0</v>
      </c>
      <c r="D419" s="1">
        <v>162.07</v>
      </c>
      <c r="E419" s="1">
        <v>0.0</v>
      </c>
      <c r="F419" s="54">
        <v>44348.0</v>
      </c>
      <c r="G419" s="1">
        <v>0.0</v>
      </c>
      <c r="H419" s="1">
        <v>136.82</v>
      </c>
      <c r="I419" s="14">
        <v>44393.0</v>
      </c>
      <c r="J419" s="55" t="s">
        <v>2879</v>
      </c>
      <c r="K419" s="15" t="s">
        <v>3297</v>
      </c>
      <c r="L419" s="33" t="str">
        <f t="shared" si="1"/>
        <v>Not in buy Zone</v>
      </c>
      <c r="M419" s="33" t="str">
        <f t="shared" si="2"/>
        <v>Not in buy Zone</v>
      </c>
      <c r="N419" s="33" t="str">
        <f t="shared" si="3"/>
        <v>No</v>
      </c>
    </row>
    <row r="420" ht="11.25" customHeight="1">
      <c r="A420" s="1" t="s">
        <v>448</v>
      </c>
      <c r="B420" s="1">
        <v>0.0</v>
      </c>
      <c r="C420" s="1">
        <v>0.0</v>
      </c>
      <c r="D420" s="1">
        <v>0.0</v>
      </c>
      <c r="E420" s="1">
        <v>139.43</v>
      </c>
      <c r="F420" s="54">
        <v>44349.0</v>
      </c>
      <c r="G420" s="1">
        <v>0.0</v>
      </c>
      <c r="H420" s="1">
        <v>161.17</v>
      </c>
      <c r="I420" s="14">
        <v>44393.0</v>
      </c>
      <c r="J420" s="55" t="s">
        <v>2879</v>
      </c>
      <c r="K420" s="15" t="s">
        <v>3298</v>
      </c>
      <c r="L420" s="33" t="str">
        <f t="shared" si="1"/>
        <v>Not in buy Zone</v>
      </c>
      <c r="M420" s="33" t="str">
        <f t="shared" si="2"/>
        <v>Not in buy Zone</v>
      </c>
      <c r="N420" s="33" t="str">
        <f t="shared" si="3"/>
        <v>No</v>
      </c>
    </row>
    <row r="421" ht="11.25" customHeight="1">
      <c r="A421" s="1" t="s">
        <v>449</v>
      </c>
      <c r="B421" s="1">
        <v>0.0</v>
      </c>
      <c r="C421" s="1">
        <v>0.0</v>
      </c>
      <c r="D421" s="1">
        <v>1300.39</v>
      </c>
      <c r="E421" s="1">
        <v>0.0</v>
      </c>
      <c r="F421" s="54">
        <v>44357.0</v>
      </c>
      <c r="G421" s="1">
        <v>0.0</v>
      </c>
      <c r="H421" s="1">
        <v>1448.99</v>
      </c>
      <c r="I421" s="14">
        <v>44393.0</v>
      </c>
      <c r="J421" s="55" t="s">
        <v>2879</v>
      </c>
      <c r="K421" s="15" t="s">
        <v>3299</v>
      </c>
      <c r="L421" s="33" t="str">
        <f t="shared" si="1"/>
        <v>Not in buy Zone</v>
      </c>
      <c r="M421" s="33" t="str">
        <f t="shared" si="2"/>
        <v>Not in buy Zone</v>
      </c>
      <c r="N421" s="33" t="str">
        <f t="shared" si="3"/>
        <v>No</v>
      </c>
    </row>
    <row r="422" ht="11.25" customHeight="1">
      <c r="A422" s="1" t="s">
        <v>450</v>
      </c>
      <c r="B422" s="1">
        <v>0.0</v>
      </c>
      <c r="C422" s="1">
        <v>0.0</v>
      </c>
      <c r="D422" s="1">
        <v>0.0</v>
      </c>
      <c r="E422" s="1">
        <v>80.11</v>
      </c>
      <c r="F422" s="54">
        <v>44378.0</v>
      </c>
      <c r="G422" s="1">
        <v>0.0</v>
      </c>
      <c r="H422" s="1">
        <v>75.01</v>
      </c>
      <c r="I422" s="14">
        <v>44393.0</v>
      </c>
      <c r="J422" s="55" t="s">
        <v>2879</v>
      </c>
      <c r="K422" s="15" t="s">
        <v>3300</v>
      </c>
      <c r="L422" s="33" t="str">
        <f t="shared" si="1"/>
        <v>Not in buy Zone</v>
      </c>
      <c r="M422" s="33" t="str">
        <f t="shared" si="2"/>
        <v>Not in buy Zone</v>
      </c>
      <c r="N422" s="33" t="str">
        <f t="shared" si="3"/>
        <v>No</v>
      </c>
    </row>
    <row r="423" ht="11.25" customHeight="1">
      <c r="A423" s="1" t="s">
        <v>451</v>
      </c>
      <c r="B423" s="1">
        <v>0.0</v>
      </c>
      <c r="C423" s="1">
        <v>0.0</v>
      </c>
      <c r="D423" s="1">
        <v>0.0</v>
      </c>
      <c r="E423" s="1">
        <v>102.56</v>
      </c>
      <c r="F423" s="54">
        <v>44383.0</v>
      </c>
      <c r="G423" s="1">
        <v>0.0</v>
      </c>
      <c r="H423" s="1">
        <v>97.1</v>
      </c>
      <c r="I423" s="14">
        <v>44393.0</v>
      </c>
      <c r="J423" s="55" t="s">
        <v>2879</v>
      </c>
      <c r="K423" s="15" t="s">
        <v>3301</v>
      </c>
      <c r="L423" s="33" t="str">
        <f t="shared" si="1"/>
        <v>Not in buy Zone</v>
      </c>
      <c r="M423" s="33" t="str">
        <f t="shared" si="2"/>
        <v>Not in buy Zone</v>
      </c>
      <c r="N423" s="33" t="str">
        <f t="shared" si="3"/>
        <v>No</v>
      </c>
    </row>
    <row r="424" ht="11.25" customHeight="1">
      <c r="A424" s="1" t="s">
        <v>452</v>
      </c>
      <c r="B424" s="1">
        <v>0.0</v>
      </c>
      <c r="C424" s="1">
        <v>0.0</v>
      </c>
      <c r="D424" s="1">
        <v>0.0</v>
      </c>
      <c r="E424" s="1">
        <v>32.23</v>
      </c>
      <c r="F424" s="54">
        <v>44358.0</v>
      </c>
      <c r="G424" s="1">
        <v>0.0</v>
      </c>
      <c r="H424" s="1">
        <v>23.14</v>
      </c>
      <c r="I424" s="14">
        <v>44393.0</v>
      </c>
      <c r="J424" s="55" t="s">
        <v>2879</v>
      </c>
      <c r="K424" s="15" t="s">
        <v>3302</v>
      </c>
      <c r="L424" s="33" t="str">
        <f t="shared" si="1"/>
        <v>Not in buy Zone</v>
      </c>
      <c r="M424" s="33" t="str">
        <f t="shared" si="2"/>
        <v>Not in buy Zone</v>
      </c>
      <c r="N424" s="33" t="str">
        <f t="shared" si="3"/>
        <v>No</v>
      </c>
    </row>
    <row r="425" ht="11.25" customHeight="1">
      <c r="A425" s="1" t="s">
        <v>453</v>
      </c>
      <c r="B425" s="1">
        <v>0.0</v>
      </c>
      <c r="C425" s="1">
        <v>0.0</v>
      </c>
      <c r="D425" s="1">
        <v>179.65</v>
      </c>
      <c r="E425" s="1">
        <v>0.0</v>
      </c>
      <c r="F425" s="54">
        <v>44389.0</v>
      </c>
      <c r="G425" s="1">
        <v>0.0</v>
      </c>
      <c r="H425" s="1">
        <v>178.55</v>
      </c>
      <c r="I425" s="14">
        <v>44393.0</v>
      </c>
      <c r="J425" s="55" t="s">
        <v>2879</v>
      </c>
      <c r="K425" s="15" t="s">
        <v>3303</v>
      </c>
      <c r="L425" s="33" t="str">
        <f t="shared" si="1"/>
        <v>Not in buy Zone</v>
      </c>
      <c r="M425" s="33" t="str">
        <f t="shared" si="2"/>
        <v>Not in buy Zone</v>
      </c>
      <c r="N425" s="33" t="str">
        <f t="shared" si="3"/>
        <v>No</v>
      </c>
    </row>
    <row r="426" ht="11.25" customHeight="1">
      <c r="A426" s="1" t="s">
        <v>454</v>
      </c>
      <c r="B426" s="1">
        <v>0.0</v>
      </c>
      <c r="C426" s="1">
        <v>0.0</v>
      </c>
      <c r="D426" s="1">
        <v>0.0</v>
      </c>
      <c r="E426" s="1">
        <v>72.88</v>
      </c>
      <c r="F426" s="54">
        <v>44371.0</v>
      </c>
      <c r="G426" s="1">
        <v>0.0</v>
      </c>
      <c r="H426" s="1">
        <v>77.92</v>
      </c>
      <c r="I426" s="14">
        <v>44393.0</v>
      </c>
      <c r="J426" s="55" t="s">
        <v>2879</v>
      </c>
      <c r="K426" s="15" t="s">
        <v>3304</v>
      </c>
      <c r="L426" s="33" t="str">
        <f t="shared" si="1"/>
        <v>Not in buy Zone</v>
      </c>
      <c r="M426" s="33" t="str">
        <f t="shared" si="2"/>
        <v>Not in buy Zone</v>
      </c>
      <c r="N426" s="33" t="str">
        <f t="shared" si="3"/>
        <v>No</v>
      </c>
    </row>
    <row r="427" ht="11.25" customHeight="1">
      <c r="A427" s="1" t="s">
        <v>455</v>
      </c>
      <c r="B427" s="1">
        <v>0.0</v>
      </c>
      <c r="C427" s="1">
        <v>61.73</v>
      </c>
      <c r="D427" s="1">
        <v>0.0</v>
      </c>
      <c r="E427" s="1">
        <v>0.0</v>
      </c>
      <c r="F427" s="54">
        <v>44393.0</v>
      </c>
      <c r="G427" s="1">
        <v>-1.0</v>
      </c>
      <c r="H427" s="1">
        <v>61.73</v>
      </c>
      <c r="I427" s="14">
        <v>44393.0</v>
      </c>
      <c r="J427" s="55" t="s">
        <v>2879</v>
      </c>
      <c r="K427" s="15" t="s">
        <v>3305</v>
      </c>
      <c r="L427" s="33" t="str">
        <f t="shared" si="1"/>
        <v>Not in buy Zone</v>
      </c>
      <c r="M427" s="33" t="str">
        <f t="shared" si="2"/>
        <v>Not in buy Zone</v>
      </c>
      <c r="N427" s="33" t="str">
        <f t="shared" si="3"/>
        <v>No</v>
      </c>
    </row>
    <row r="428" ht="11.25" customHeight="1">
      <c r="A428" s="1" t="s">
        <v>456</v>
      </c>
      <c r="B428" s="1">
        <v>0.0</v>
      </c>
      <c r="C428" s="1">
        <v>0.0</v>
      </c>
      <c r="D428" s="1">
        <v>0.0</v>
      </c>
      <c r="E428" s="1">
        <v>106.51</v>
      </c>
      <c r="F428" s="54">
        <v>44390.0</v>
      </c>
      <c r="G428" s="1">
        <v>0.0</v>
      </c>
      <c r="H428" s="1">
        <v>102.66</v>
      </c>
      <c r="I428" s="14">
        <v>44393.0</v>
      </c>
      <c r="J428" s="55" t="s">
        <v>2879</v>
      </c>
      <c r="K428" s="15" t="s">
        <v>3306</v>
      </c>
      <c r="L428" s="33" t="str">
        <f t="shared" si="1"/>
        <v>Not in buy Zone</v>
      </c>
      <c r="M428" s="33" t="str">
        <f t="shared" si="2"/>
        <v>Not in buy Zone</v>
      </c>
      <c r="N428" s="33" t="str">
        <f t="shared" si="3"/>
        <v>No</v>
      </c>
    </row>
    <row r="429" ht="11.25" customHeight="1">
      <c r="A429" s="1" t="s">
        <v>457</v>
      </c>
      <c r="B429" s="1">
        <v>0.0</v>
      </c>
      <c r="C429" s="1">
        <v>530.31</v>
      </c>
      <c r="D429" s="1">
        <v>0.0</v>
      </c>
      <c r="E429" s="1">
        <v>0.0</v>
      </c>
      <c r="F429" s="54">
        <v>44393.0</v>
      </c>
      <c r="G429" s="1">
        <v>-1.0</v>
      </c>
      <c r="H429" s="1">
        <v>530.31</v>
      </c>
      <c r="I429" s="14">
        <v>44393.0</v>
      </c>
      <c r="J429" s="55" t="s">
        <v>2879</v>
      </c>
      <c r="K429" s="15" t="s">
        <v>3307</v>
      </c>
      <c r="L429" s="33" t="str">
        <f t="shared" si="1"/>
        <v>Not in buy Zone</v>
      </c>
      <c r="M429" s="33" t="str">
        <f t="shared" si="2"/>
        <v>Not in buy Zone</v>
      </c>
      <c r="N429" s="33" t="str">
        <f t="shared" si="3"/>
        <v>No</v>
      </c>
    </row>
    <row r="430" ht="11.25" customHeight="1">
      <c r="A430" s="1" t="s">
        <v>458</v>
      </c>
      <c r="B430" s="1">
        <v>0.0</v>
      </c>
      <c r="C430" s="1">
        <v>0.0</v>
      </c>
      <c r="D430" s="1">
        <v>25.03</v>
      </c>
      <c r="E430" s="1">
        <v>0.0</v>
      </c>
      <c r="F430" s="54">
        <v>44384.0</v>
      </c>
      <c r="G430" s="1">
        <v>0.0</v>
      </c>
      <c r="H430" s="1">
        <v>25.75</v>
      </c>
      <c r="I430" s="14">
        <v>44393.0</v>
      </c>
      <c r="J430" s="55" t="s">
        <v>2879</v>
      </c>
      <c r="K430" s="15" t="s">
        <v>3308</v>
      </c>
      <c r="L430" s="33" t="str">
        <f t="shared" si="1"/>
        <v>Not in buy Zone</v>
      </c>
      <c r="M430" s="33" t="str">
        <f t="shared" si="2"/>
        <v>Not in buy Zone</v>
      </c>
      <c r="N430" s="33" t="str">
        <f t="shared" si="3"/>
        <v>No</v>
      </c>
    </row>
    <row r="431" ht="11.25" customHeight="1">
      <c r="A431" s="1" t="s">
        <v>459</v>
      </c>
      <c r="B431" s="1">
        <v>0.0</v>
      </c>
      <c r="C431" s="1">
        <v>0.0</v>
      </c>
      <c r="D431" s="1">
        <v>136.89</v>
      </c>
      <c r="E431" s="1">
        <v>0.0</v>
      </c>
      <c r="F431" s="54">
        <v>44342.0</v>
      </c>
      <c r="G431" s="1">
        <v>0.0</v>
      </c>
      <c r="H431" s="1">
        <v>159.85</v>
      </c>
      <c r="I431" s="14">
        <v>44393.0</v>
      </c>
      <c r="J431" s="55" t="s">
        <v>2879</v>
      </c>
      <c r="K431" s="15" t="s">
        <v>3309</v>
      </c>
      <c r="L431" s="33" t="str">
        <f t="shared" si="1"/>
        <v>Not in buy Zone</v>
      </c>
      <c r="M431" s="33" t="str">
        <f t="shared" si="2"/>
        <v>Not in buy Zone</v>
      </c>
      <c r="N431" s="33" t="str">
        <f t="shared" si="3"/>
        <v>No</v>
      </c>
    </row>
    <row r="432" ht="11.25" customHeight="1">
      <c r="A432" s="1" t="s">
        <v>460</v>
      </c>
      <c r="B432" s="1">
        <v>0.0</v>
      </c>
      <c r="C432" s="1">
        <v>0.0</v>
      </c>
      <c r="D432" s="1">
        <v>27.73</v>
      </c>
      <c r="E432" s="1">
        <v>0.0</v>
      </c>
      <c r="F432" s="54">
        <v>44383.0</v>
      </c>
      <c r="G432" s="1">
        <v>0.0</v>
      </c>
      <c r="H432" s="1">
        <v>26.01</v>
      </c>
      <c r="I432" s="14">
        <v>44393.0</v>
      </c>
      <c r="J432" s="55" t="s">
        <v>2879</v>
      </c>
      <c r="K432" s="15" t="s">
        <v>3310</v>
      </c>
      <c r="L432" s="33" t="str">
        <f t="shared" si="1"/>
        <v>Not in buy Zone</v>
      </c>
      <c r="M432" s="33" t="str">
        <f t="shared" si="2"/>
        <v>Not in buy Zone</v>
      </c>
      <c r="N432" s="33" t="str">
        <f t="shared" si="3"/>
        <v>No</v>
      </c>
    </row>
    <row r="433" ht="11.25" customHeight="1">
      <c r="A433" s="1" t="s">
        <v>461</v>
      </c>
      <c r="B433" s="1">
        <v>0.0</v>
      </c>
      <c r="C433" s="1">
        <v>0.0</v>
      </c>
      <c r="D433" s="1">
        <v>27.55</v>
      </c>
      <c r="E433" s="1">
        <v>0.0</v>
      </c>
      <c r="F433" s="54">
        <v>44348.0</v>
      </c>
      <c r="G433" s="1">
        <v>0.0</v>
      </c>
      <c r="H433" s="1">
        <v>23.76</v>
      </c>
      <c r="I433" s="14">
        <v>44393.0</v>
      </c>
      <c r="J433" s="55" t="s">
        <v>2879</v>
      </c>
      <c r="K433" s="15" t="s">
        <v>3311</v>
      </c>
      <c r="L433" s="33" t="str">
        <f t="shared" si="1"/>
        <v>Not in buy Zone</v>
      </c>
      <c r="M433" s="33" t="str">
        <f t="shared" si="2"/>
        <v>Not in buy Zone</v>
      </c>
      <c r="N433" s="33" t="str">
        <f t="shared" si="3"/>
        <v>No</v>
      </c>
    </row>
    <row r="434" ht="11.25" customHeight="1">
      <c r="A434" s="1" t="s">
        <v>462</v>
      </c>
      <c r="B434" s="1">
        <v>0.0</v>
      </c>
      <c r="C434" s="1">
        <v>0.0</v>
      </c>
      <c r="D434" s="1">
        <v>0.0</v>
      </c>
      <c r="E434" s="1">
        <v>367.39</v>
      </c>
      <c r="F434" s="54">
        <v>44390.0</v>
      </c>
      <c r="G434" s="1">
        <v>0.0</v>
      </c>
      <c r="H434" s="1">
        <v>362.81</v>
      </c>
      <c r="I434" s="14">
        <v>44393.0</v>
      </c>
      <c r="J434" s="55" t="s">
        <v>2879</v>
      </c>
      <c r="K434" s="15" t="s">
        <v>3312</v>
      </c>
      <c r="L434" s="33" t="str">
        <f t="shared" si="1"/>
        <v>Not in buy Zone</v>
      </c>
      <c r="M434" s="33" t="str">
        <f t="shared" si="2"/>
        <v>Not in buy Zone</v>
      </c>
      <c r="N434" s="33" t="str">
        <f t="shared" si="3"/>
        <v>No</v>
      </c>
    </row>
    <row r="435" ht="11.25" customHeight="1">
      <c r="A435" s="1" t="s">
        <v>463</v>
      </c>
      <c r="B435" s="1">
        <v>0.0</v>
      </c>
      <c r="C435" s="1">
        <v>0.0</v>
      </c>
      <c r="D435" s="1">
        <v>0.0</v>
      </c>
      <c r="E435" s="1">
        <v>16.81</v>
      </c>
      <c r="F435" s="54">
        <v>44361.0</v>
      </c>
      <c r="G435" s="1">
        <v>0.0</v>
      </c>
      <c r="H435" s="1">
        <v>13.62</v>
      </c>
      <c r="I435" s="14">
        <v>44393.0</v>
      </c>
      <c r="J435" s="55" t="s">
        <v>2879</v>
      </c>
      <c r="K435" s="15" t="s">
        <v>3313</v>
      </c>
      <c r="L435" s="33" t="str">
        <f t="shared" si="1"/>
        <v>Not in buy Zone</v>
      </c>
      <c r="M435" s="33" t="str">
        <f t="shared" si="2"/>
        <v>Not in buy Zone</v>
      </c>
      <c r="N435" s="33" t="str">
        <f t="shared" si="3"/>
        <v>No</v>
      </c>
    </row>
    <row r="436" ht="11.25" customHeight="1">
      <c r="A436" s="1" t="s">
        <v>464</v>
      </c>
      <c r="B436" s="1">
        <v>0.0</v>
      </c>
      <c r="C436" s="1">
        <v>0.0</v>
      </c>
      <c r="D436" s="1">
        <v>0.0</v>
      </c>
      <c r="E436" s="1">
        <v>27.81</v>
      </c>
      <c r="F436" s="54">
        <v>44350.0</v>
      </c>
      <c r="G436" s="1">
        <v>0.0</v>
      </c>
      <c r="H436" s="1">
        <v>33.24</v>
      </c>
      <c r="I436" s="14">
        <v>44393.0</v>
      </c>
      <c r="J436" s="55" t="s">
        <v>2879</v>
      </c>
      <c r="K436" s="15" t="s">
        <v>3314</v>
      </c>
      <c r="L436" s="33" t="str">
        <f t="shared" si="1"/>
        <v>Not in buy Zone</v>
      </c>
      <c r="M436" s="33" t="str">
        <f t="shared" si="2"/>
        <v>Not in buy Zone</v>
      </c>
      <c r="N436" s="33" t="str">
        <f t="shared" si="3"/>
        <v>No</v>
      </c>
    </row>
    <row r="437" ht="11.25" customHeight="1">
      <c r="A437" s="1" t="s">
        <v>465</v>
      </c>
      <c r="B437" s="1">
        <v>0.0</v>
      </c>
      <c r="C437" s="1">
        <v>556.36</v>
      </c>
      <c r="D437" s="1">
        <v>0.0</v>
      </c>
      <c r="E437" s="1">
        <v>0.0</v>
      </c>
      <c r="F437" s="54">
        <v>44393.0</v>
      </c>
      <c r="G437" s="1">
        <v>-1.0</v>
      </c>
      <c r="H437" s="1">
        <v>556.36</v>
      </c>
      <c r="I437" s="14">
        <v>44393.0</v>
      </c>
      <c r="J437" s="55" t="s">
        <v>2879</v>
      </c>
      <c r="K437" s="15" t="s">
        <v>3315</v>
      </c>
      <c r="L437" s="33" t="str">
        <f t="shared" si="1"/>
        <v>Not in buy Zone</v>
      </c>
      <c r="M437" s="33" t="str">
        <f t="shared" si="2"/>
        <v>Not in buy Zone</v>
      </c>
      <c r="N437" s="33" t="str">
        <f t="shared" si="3"/>
        <v>No</v>
      </c>
    </row>
    <row r="438" ht="11.25" customHeight="1">
      <c r="A438" s="1" t="s">
        <v>466</v>
      </c>
      <c r="B438" s="1">
        <v>0.0</v>
      </c>
      <c r="C438" s="1">
        <v>0.0</v>
      </c>
      <c r="D438" s="1">
        <v>0.0</v>
      </c>
      <c r="E438" s="1">
        <v>40.24</v>
      </c>
      <c r="F438" s="54">
        <v>44392.0</v>
      </c>
      <c r="G438" s="1">
        <v>0.0</v>
      </c>
      <c r="H438" s="1">
        <v>40.54</v>
      </c>
      <c r="I438" s="14">
        <v>44393.0</v>
      </c>
      <c r="J438" s="55" t="s">
        <v>2879</v>
      </c>
      <c r="K438" s="15" t="s">
        <v>3316</v>
      </c>
      <c r="L438" s="33" t="str">
        <f t="shared" si="1"/>
        <v>Not in buy Zone</v>
      </c>
      <c r="M438" s="33" t="str">
        <f t="shared" si="2"/>
        <v>Not in buy Zone</v>
      </c>
      <c r="N438" s="33" t="str">
        <f t="shared" si="3"/>
        <v>No</v>
      </c>
    </row>
    <row r="439" ht="11.25" customHeight="1">
      <c r="A439" s="1" t="s">
        <v>467</v>
      </c>
      <c r="B439" s="1">
        <v>0.0</v>
      </c>
      <c r="C439" s="1">
        <v>0.0</v>
      </c>
      <c r="D439" s="1">
        <v>0.0</v>
      </c>
      <c r="E439" s="1">
        <v>253.78</v>
      </c>
      <c r="F439" s="54">
        <v>44385.0</v>
      </c>
      <c r="G439" s="1">
        <v>0.0</v>
      </c>
      <c r="H439" s="1">
        <v>260.55</v>
      </c>
      <c r="I439" s="14">
        <v>44393.0</v>
      </c>
      <c r="J439" s="55" t="s">
        <v>2879</v>
      </c>
      <c r="K439" s="15" t="s">
        <v>3317</v>
      </c>
      <c r="L439" s="33" t="str">
        <f t="shared" si="1"/>
        <v>Not in buy Zone</v>
      </c>
      <c r="M439" s="33" t="str">
        <f t="shared" si="2"/>
        <v>Not in buy Zone</v>
      </c>
      <c r="N439" s="33" t="str">
        <f t="shared" si="3"/>
        <v>No</v>
      </c>
    </row>
    <row r="440" ht="11.25" customHeight="1">
      <c r="A440" s="1" t="s">
        <v>468</v>
      </c>
      <c r="B440" s="1">
        <v>0.0</v>
      </c>
      <c r="C440" s="1">
        <v>0.0</v>
      </c>
      <c r="D440" s="1">
        <v>0.0</v>
      </c>
      <c r="E440" s="1">
        <v>80.18</v>
      </c>
      <c r="F440" s="54">
        <v>44390.0</v>
      </c>
      <c r="G440" s="1">
        <v>0.0</v>
      </c>
      <c r="H440" s="1">
        <v>77.37</v>
      </c>
      <c r="I440" s="14">
        <v>44393.0</v>
      </c>
      <c r="J440" s="55" t="s">
        <v>2879</v>
      </c>
      <c r="K440" s="15" t="s">
        <v>3318</v>
      </c>
      <c r="L440" s="33" t="str">
        <f t="shared" si="1"/>
        <v>Not in buy Zone</v>
      </c>
      <c r="M440" s="33" t="str">
        <f t="shared" si="2"/>
        <v>Not in buy Zone</v>
      </c>
      <c r="N440" s="33" t="str">
        <f t="shared" si="3"/>
        <v>No</v>
      </c>
    </row>
    <row r="441" ht="11.25" customHeight="1">
      <c r="A441" s="1" t="s">
        <v>469</v>
      </c>
      <c r="B441" s="1">
        <v>0.0</v>
      </c>
      <c r="C441" s="1">
        <v>0.0</v>
      </c>
      <c r="D441" s="1">
        <v>112.17</v>
      </c>
      <c r="E441" s="1">
        <v>0.0</v>
      </c>
      <c r="F441" s="54">
        <v>44390.0</v>
      </c>
      <c r="G441" s="1">
        <v>0.0</v>
      </c>
      <c r="H441" s="1">
        <v>112.1</v>
      </c>
      <c r="I441" s="14">
        <v>44393.0</v>
      </c>
      <c r="J441" s="55" t="s">
        <v>2879</v>
      </c>
      <c r="K441" s="15" t="s">
        <v>3319</v>
      </c>
      <c r="L441" s="33" t="str">
        <f t="shared" si="1"/>
        <v>Not in buy Zone</v>
      </c>
      <c r="M441" s="33" t="str">
        <f t="shared" si="2"/>
        <v>Not in buy Zone</v>
      </c>
      <c r="N441" s="33" t="str">
        <f t="shared" si="3"/>
        <v>No</v>
      </c>
    </row>
    <row r="442" ht="11.25" customHeight="1">
      <c r="A442" s="1" t="s">
        <v>470</v>
      </c>
      <c r="B442" s="1">
        <v>0.0</v>
      </c>
      <c r="C442" s="1">
        <v>0.0</v>
      </c>
      <c r="D442" s="1">
        <v>0.0</v>
      </c>
      <c r="E442" s="1">
        <v>141.06</v>
      </c>
      <c r="F442" s="54">
        <v>44391.0</v>
      </c>
      <c r="G442" s="1">
        <v>0.0</v>
      </c>
      <c r="H442" s="1">
        <v>135.25</v>
      </c>
      <c r="I442" s="14">
        <v>44393.0</v>
      </c>
      <c r="J442" s="55" t="s">
        <v>2879</v>
      </c>
      <c r="K442" s="15" t="s">
        <v>3320</v>
      </c>
      <c r="L442" s="33" t="str">
        <f t="shared" si="1"/>
        <v>Not in buy Zone</v>
      </c>
      <c r="M442" s="33" t="str">
        <f t="shared" si="2"/>
        <v>Not in buy Zone</v>
      </c>
      <c r="N442" s="33" t="str">
        <f t="shared" si="3"/>
        <v>No</v>
      </c>
    </row>
    <row r="443" ht="11.25" customHeight="1">
      <c r="A443" s="1" t="s">
        <v>471</v>
      </c>
      <c r="B443" s="1">
        <v>0.0</v>
      </c>
      <c r="C443" s="1">
        <v>0.0</v>
      </c>
      <c r="D443" s="1">
        <v>0.0</v>
      </c>
      <c r="E443" s="1">
        <v>26.76</v>
      </c>
      <c r="F443" s="54">
        <v>44328.0</v>
      </c>
      <c r="G443" s="1">
        <v>0.0</v>
      </c>
      <c r="H443" s="1">
        <v>33.94</v>
      </c>
      <c r="I443" s="14">
        <v>44393.0</v>
      </c>
      <c r="J443" s="55" t="s">
        <v>2879</v>
      </c>
      <c r="K443" s="15" t="s">
        <v>3321</v>
      </c>
      <c r="L443" s="33" t="str">
        <f t="shared" si="1"/>
        <v>Not in buy Zone</v>
      </c>
      <c r="M443" s="33" t="str">
        <f t="shared" si="2"/>
        <v>Not in buy Zone</v>
      </c>
      <c r="N443" s="33" t="str">
        <f t="shared" si="3"/>
        <v>No</v>
      </c>
    </row>
    <row r="444" ht="11.25" customHeight="1">
      <c r="A444" s="1" t="s">
        <v>472</v>
      </c>
      <c r="B444" s="1">
        <v>0.0</v>
      </c>
      <c r="C444" s="1">
        <v>0.0</v>
      </c>
      <c r="D444" s="1">
        <v>0.0</v>
      </c>
      <c r="E444" s="1">
        <v>114.37</v>
      </c>
      <c r="F444" s="54">
        <v>44383.0</v>
      </c>
      <c r="G444" s="1">
        <v>0.0</v>
      </c>
      <c r="H444" s="1">
        <v>113.15</v>
      </c>
      <c r="I444" s="14">
        <v>44393.0</v>
      </c>
      <c r="J444" s="55" t="s">
        <v>2879</v>
      </c>
      <c r="K444" s="15" t="s">
        <v>3322</v>
      </c>
      <c r="L444" s="33" t="str">
        <f t="shared" si="1"/>
        <v>Not in buy Zone</v>
      </c>
      <c r="M444" s="33" t="str">
        <f t="shared" si="2"/>
        <v>Not in buy Zone</v>
      </c>
      <c r="N444" s="33" t="str">
        <f t="shared" si="3"/>
        <v>No</v>
      </c>
    </row>
    <row r="445" ht="11.25" customHeight="1">
      <c r="A445" s="1" t="s">
        <v>473</v>
      </c>
      <c r="B445" s="1">
        <v>0.0</v>
      </c>
      <c r="C445" s="1">
        <v>0.0</v>
      </c>
      <c r="D445" s="1">
        <v>54.56</v>
      </c>
      <c r="E445" s="1">
        <v>0.0</v>
      </c>
      <c r="F445" s="54">
        <v>44378.0</v>
      </c>
      <c r="G445" s="1">
        <v>0.0</v>
      </c>
      <c r="H445" s="1">
        <v>55.0</v>
      </c>
      <c r="I445" s="14">
        <v>44393.0</v>
      </c>
      <c r="J445" s="55" t="s">
        <v>2879</v>
      </c>
      <c r="K445" s="15" t="s">
        <v>3323</v>
      </c>
      <c r="L445" s="33" t="str">
        <f t="shared" si="1"/>
        <v>Not in buy Zone</v>
      </c>
      <c r="M445" s="33" t="str">
        <f t="shared" si="2"/>
        <v>Not in buy Zone</v>
      </c>
      <c r="N445" s="33" t="str">
        <f t="shared" si="3"/>
        <v>No</v>
      </c>
    </row>
    <row r="446" ht="11.25" customHeight="1">
      <c r="A446" s="1" t="s">
        <v>474</v>
      </c>
      <c r="B446" s="1">
        <v>0.0</v>
      </c>
      <c r="C446" s="1">
        <v>0.0</v>
      </c>
      <c r="D446" s="1">
        <v>96.52</v>
      </c>
      <c r="E446" s="1">
        <v>0.0</v>
      </c>
      <c r="F446" s="54">
        <v>44379.0</v>
      </c>
      <c r="G446" s="1">
        <v>0.0</v>
      </c>
      <c r="H446" s="1">
        <v>92.04</v>
      </c>
      <c r="I446" s="14">
        <v>44393.0</v>
      </c>
      <c r="J446" s="55" t="s">
        <v>2879</v>
      </c>
      <c r="K446" s="15" t="s">
        <v>3324</v>
      </c>
      <c r="L446" s="33" t="str">
        <f t="shared" si="1"/>
        <v>Not in buy Zone</v>
      </c>
      <c r="M446" s="33" t="str">
        <f t="shared" si="2"/>
        <v>Not in buy Zone</v>
      </c>
      <c r="N446" s="33" t="str">
        <f t="shared" si="3"/>
        <v>No</v>
      </c>
    </row>
    <row r="447" ht="11.25" customHeight="1">
      <c r="A447" s="1" t="s">
        <v>475</v>
      </c>
      <c r="B447" s="1">
        <v>0.0</v>
      </c>
      <c r="C447" s="1">
        <v>0.0</v>
      </c>
      <c r="D447" s="1">
        <v>0.0</v>
      </c>
      <c r="E447" s="1">
        <v>185.78</v>
      </c>
      <c r="F447" s="54">
        <v>44384.0</v>
      </c>
      <c r="G447" s="1">
        <v>0.0</v>
      </c>
      <c r="H447" s="1">
        <v>186.65</v>
      </c>
      <c r="I447" s="14">
        <v>44393.0</v>
      </c>
      <c r="J447" s="55" t="s">
        <v>2879</v>
      </c>
      <c r="K447" s="15" t="s">
        <v>3325</v>
      </c>
      <c r="L447" s="33" t="str">
        <f t="shared" si="1"/>
        <v>Not in buy Zone</v>
      </c>
      <c r="M447" s="33" t="str">
        <f t="shared" si="2"/>
        <v>Not in buy Zone</v>
      </c>
      <c r="N447" s="33" t="str">
        <f t="shared" si="3"/>
        <v>No</v>
      </c>
    </row>
    <row r="448" ht="11.25" customHeight="1">
      <c r="A448" s="1" t="s">
        <v>476</v>
      </c>
      <c r="B448" s="1">
        <v>0.0</v>
      </c>
      <c r="C448" s="1">
        <v>0.0</v>
      </c>
      <c r="D448" s="1">
        <v>0.0</v>
      </c>
      <c r="E448" s="1">
        <v>793.66</v>
      </c>
      <c r="F448" s="54">
        <v>44391.0</v>
      </c>
      <c r="G448" s="1">
        <v>0.0</v>
      </c>
      <c r="H448" s="1">
        <v>726.44</v>
      </c>
      <c r="I448" s="14">
        <v>44393.0</v>
      </c>
      <c r="J448" s="55" t="s">
        <v>2879</v>
      </c>
      <c r="K448" s="15" t="s">
        <v>3326</v>
      </c>
      <c r="L448" s="33" t="str">
        <f t="shared" si="1"/>
        <v>Not in buy Zone</v>
      </c>
      <c r="M448" s="33" t="str">
        <f t="shared" si="2"/>
        <v>Not in buy Zone</v>
      </c>
      <c r="N448" s="33" t="str">
        <f t="shared" si="3"/>
        <v>No</v>
      </c>
    </row>
    <row r="449" ht="11.25" customHeight="1">
      <c r="A449" s="1" t="s">
        <v>477</v>
      </c>
      <c r="B449" s="1">
        <v>0.0</v>
      </c>
      <c r="C449" s="1">
        <v>0.0</v>
      </c>
      <c r="D449" s="1">
        <v>0.0</v>
      </c>
      <c r="E449" s="1">
        <v>4961.67</v>
      </c>
      <c r="F449" s="54">
        <v>44389.0</v>
      </c>
      <c r="G449" s="1">
        <v>0.0</v>
      </c>
      <c r="H449" s="1">
        <v>4800.0</v>
      </c>
      <c r="I449" s="14">
        <v>44393.0</v>
      </c>
      <c r="J449" s="55" t="s">
        <v>2879</v>
      </c>
      <c r="K449" s="15" t="s">
        <v>3327</v>
      </c>
      <c r="L449" s="33" t="str">
        <f t="shared" si="1"/>
        <v>Not in buy Zone</v>
      </c>
      <c r="M449" s="33" t="str">
        <f t="shared" si="2"/>
        <v>Not in buy Zone</v>
      </c>
      <c r="N449" s="33" t="str">
        <f t="shared" si="3"/>
        <v>No</v>
      </c>
    </row>
    <row r="450" ht="11.25" customHeight="1">
      <c r="A450" s="1" t="s">
        <v>478</v>
      </c>
      <c r="B450" s="1">
        <v>0.0</v>
      </c>
      <c r="C450" s="1">
        <v>0.0</v>
      </c>
      <c r="D450" s="1">
        <v>0.0</v>
      </c>
      <c r="E450" s="1">
        <v>27.02</v>
      </c>
      <c r="F450" s="54">
        <v>44350.0</v>
      </c>
      <c r="G450" s="1">
        <v>0.0</v>
      </c>
      <c r="H450" s="1">
        <v>28.48</v>
      </c>
      <c r="I450" s="14">
        <v>44393.0</v>
      </c>
      <c r="J450" s="55" t="s">
        <v>2879</v>
      </c>
      <c r="K450" s="15" t="s">
        <v>3328</v>
      </c>
      <c r="L450" s="33" t="str">
        <f t="shared" si="1"/>
        <v>Not in buy Zone</v>
      </c>
      <c r="M450" s="33" t="str">
        <f t="shared" si="2"/>
        <v>Not in buy Zone</v>
      </c>
      <c r="N450" s="33" t="str">
        <f t="shared" si="3"/>
        <v>No</v>
      </c>
    </row>
    <row r="451" ht="11.25" customHeight="1">
      <c r="A451" s="1" t="s">
        <v>479</v>
      </c>
      <c r="B451" s="1">
        <v>0.0</v>
      </c>
      <c r="C451" s="1">
        <v>0.0</v>
      </c>
      <c r="D451" s="1">
        <v>0.0</v>
      </c>
      <c r="E451" s="1">
        <v>26.51</v>
      </c>
      <c r="F451" s="54">
        <v>44383.0</v>
      </c>
      <c r="G451" s="1">
        <v>0.0</v>
      </c>
      <c r="H451" s="1">
        <v>27.04</v>
      </c>
      <c r="I451" s="14">
        <v>44393.0</v>
      </c>
      <c r="J451" s="55" t="s">
        <v>2879</v>
      </c>
      <c r="K451" s="15" t="s">
        <v>3329</v>
      </c>
      <c r="L451" s="33" t="str">
        <f t="shared" si="1"/>
        <v>Not in buy Zone</v>
      </c>
      <c r="M451" s="33" t="str">
        <f t="shared" si="2"/>
        <v>Not in buy Zone</v>
      </c>
      <c r="N451" s="33" t="str">
        <f t="shared" si="3"/>
        <v>No</v>
      </c>
    </row>
    <row r="452" ht="11.25" customHeight="1">
      <c r="A452" s="1" t="s">
        <v>480</v>
      </c>
      <c r="B452" s="1">
        <v>0.0</v>
      </c>
      <c r="C452" s="1">
        <v>0.0</v>
      </c>
      <c r="D452" s="1">
        <v>25.28</v>
      </c>
      <c r="E452" s="1">
        <v>0.0</v>
      </c>
      <c r="F452" s="54">
        <v>44355.0</v>
      </c>
      <c r="G452" s="1">
        <v>0.0</v>
      </c>
      <c r="H452" s="1">
        <v>22.99</v>
      </c>
      <c r="I452" s="14">
        <v>44393.0</v>
      </c>
      <c r="J452" s="55" t="s">
        <v>2879</v>
      </c>
      <c r="K452" s="15" t="s">
        <v>3330</v>
      </c>
      <c r="L452" s="33" t="str">
        <f t="shared" si="1"/>
        <v>Not in buy Zone</v>
      </c>
      <c r="M452" s="33" t="str">
        <f t="shared" si="2"/>
        <v>Not in buy Zone</v>
      </c>
      <c r="N452" s="33" t="str">
        <f t="shared" si="3"/>
        <v>No</v>
      </c>
    </row>
    <row r="453" ht="11.25" customHeight="1">
      <c r="A453" s="1" t="s">
        <v>481</v>
      </c>
      <c r="B453" s="1">
        <v>0.0</v>
      </c>
      <c r="C453" s="1">
        <v>0.0</v>
      </c>
      <c r="D453" s="1">
        <v>27.44</v>
      </c>
      <c r="E453" s="1">
        <v>0.0</v>
      </c>
      <c r="F453" s="54">
        <v>44323.0</v>
      </c>
      <c r="G453" s="1">
        <v>0.0</v>
      </c>
      <c r="H453" s="1">
        <v>24.22</v>
      </c>
      <c r="I453" s="14">
        <v>44393.0</v>
      </c>
      <c r="J453" s="55" t="s">
        <v>2879</v>
      </c>
      <c r="K453" s="15" t="s">
        <v>3331</v>
      </c>
      <c r="L453" s="33" t="str">
        <f t="shared" si="1"/>
        <v>Not in buy Zone</v>
      </c>
      <c r="M453" s="33" t="str">
        <f t="shared" si="2"/>
        <v>Not in buy Zone</v>
      </c>
      <c r="N453" s="33" t="str">
        <f t="shared" si="3"/>
        <v>No</v>
      </c>
    </row>
    <row r="454" ht="11.25" customHeight="1">
      <c r="A454" s="1" t="s">
        <v>482</v>
      </c>
      <c r="B454" s="1">
        <v>0.0</v>
      </c>
      <c r="C454" s="1">
        <v>0.0</v>
      </c>
      <c r="D454" s="1">
        <v>0.0</v>
      </c>
      <c r="E454" s="1">
        <v>198.35</v>
      </c>
      <c r="F454" s="54">
        <v>44384.0</v>
      </c>
      <c r="G454" s="1">
        <v>0.0</v>
      </c>
      <c r="H454" s="1">
        <v>190.11</v>
      </c>
      <c r="I454" s="14">
        <v>44393.0</v>
      </c>
      <c r="J454" s="55" t="s">
        <v>2879</v>
      </c>
      <c r="K454" s="15" t="s">
        <v>3332</v>
      </c>
      <c r="L454" s="33" t="str">
        <f t="shared" si="1"/>
        <v>Not in buy Zone</v>
      </c>
      <c r="M454" s="33" t="str">
        <f t="shared" si="2"/>
        <v>Not in buy Zone</v>
      </c>
      <c r="N454" s="33" t="str">
        <f t="shared" si="3"/>
        <v>No</v>
      </c>
    </row>
    <row r="455" ht="11.25" customHeight="1">
      <c r="A455" s="1" t="s">
        <v>483</v>
      </c>
      <c r="B455" s="1">
        <v>0.0</v>
      </c>
      <c r="C455" s="1">
        <v>0.0</v>
      </c>
      <c r="D455" s="1">
        <v>68.25</v>
      </c>
      <c r="E455" s="1">
        <v>0.0</v>
      </c>
      <c r="F455" s="54">
        <v>44383.0</v>
      </c>
      <c r="G455" s="1">
        <v>0.0</v>
      </c>
      <c r="H455" s="1">
        <v>69.56</v>
      </c>
      <c r="I455" s="14">
        <v>44393.0</v>
      </c>
      <c r="J455" s="55" t="s">
        <v>2879</v>
      </c>
      <c r="K455" s="15" t="s">
        <v>3333</v>
      </c>
      <c r="L455" s="33" t="str">
        <f t="shared" si="1"/>
        <v>Not in buy Zone</v>
      </c>
      <c r="M455" s="33" t="str">
        <f t="shared" si="2"/>
        <v>Not in buy Zone</v>
      </c>
      <c r="N455" s="33" t="str">
        <f t="shared" si="3"/>
        <v>No</v>
      </c>
    </row>
    <row r="456" ht="11.25" customHeight="1">
      <c r="A456" s="1" t="s">
        <v>484</v>
      </c>
      <c r="B456" s="1">
        <v>0.0</v>
      </c>
      <c r="C456" s="1">
        <v>253.94</v>
      </c>
      <c r="D456" s="1">
        <v>0.0</v>
      </c>
      <c r="E456" s="1">
        <v>0.0</v>
      </c>
      <c r="F456" s="54">
        <v>44393.0</v>
      </c>
      <c r="G456" s="1">
        <v>-1.0</v>
      </c>
      <c r="H456" s="1">
        <v>253.94</v>
      </c>
      <c r="I456" s="14">
        <v>44393.0</v>
      </c>
      <c r="J456" s="55" t="s">
        <v>2879</v>
      </c>
      <c r="K456" s="15" t="s">
        <v>3334</v>
      </c>
      <c r="L456" s="33" t="str">
        <f t="shared" si="1"/>
        <v>Not in buy Zone</v>
      </c>
      <c r="M456" s="33" t="str">
        <f t="shared" si="2"/>
        <v>Not in buy Zone</v>
      </c>
      <c r="N456" s="33" t="str">
        <f t="shared" si="3"/>
        <v>No</v>
      </c>
    </row>
    <row r="457" ht="11.25" customHeight="1">
      <c r="A457" s="1" t="s">
        <v>485</v>
      </c>
      <c r="B457" s="1">
        <v>0.0</v>
      </c>
      <c r="C457" s="1">
        <v>0.0</v>
      </c>
      <c r="D457" s="1">
        <v>34.23</v>
      </c>
      <c r="E457" s="1">
        <v>0.0</v>
      </c>
      <c r="F457" s="54">
        <v>44379.0</v>
      </c>
      <c r="G457" s="1">
        <v>0.0</v>
      </c>
      <c r="H457" s="1">
        <v>34.23</v>
      </c>
      <c r="I457" s="14">
        <v>44393.0</v>
      </c>
      <c r="J457" s="55" t="s">
        <v>2879</v>
      </c>
      <c r="K457" s="15" t="s">
        <v>3335</v>
      </c>
      <c r="L457" s="33" t="str">
        <f t="shared" si="1"/>
        <v>Not in buy Zone</v>
      </c>
      <c r="M457" s="33" t="str">
        <f t="shared" si="2"/>
        <v>Not in buy Zone</v>
      </c>
      <c r="N457" s="33" t="str">
        <f t="shared" si="3"/>
        <v>No</v>
      </c>
    </row>
    <row r="458" ht="11.25" customHeight="1">
      <c r="A458" s="1" t="s">
        <v>486</v>
      </c>
      <c r="B458" s="1">
        <v>0.0</v>
      </c>
      <c r="C458" s="1">
        <v>0.0</v>
      </c>
      <c r="D458" s="1">
        <v>0.0</v>
      </c>
      <c r="E458" s="1">
        <v>54.16</v>
      </c>
      <c r="F458" s="54">
        <v>44364.0</v>
      </c>
      <c r="G458" s="1">
        <v>0.0</v>
      </c>
      <c r="H458" s="1">
        <v>53.31</v>
      </c>
      <c r="I458" s="14">
        <v>44393.0</v>
      </c>
      <c r="J458" s="55" t="s">
        <v>2879</v>
      </c>
      <c r="K458" s="15" t="s">
        <v>3336</v>
      </c>
      <c r="L458" s="33" t="str">
        <f t="shared" si="1"/>
        <v>Not in buy Zone</v>
      </c>
      <c r="M458" s="33" t="str">
        <f t="shared" si="2"/>
        <v>Not in buy Zone</v>
      </c>
      <c r="N458" s="33" t="str">
        <f t="shared" si="3"/>
        <v>No</v>
      </c>
    </row>
    <row r="459" ht="11.25" customHeight="1">
      <c r="A459" s="1" t="s">
        <v>487</v>
      </c>
      <c r="B459" s="1">
        <v>0.0</v>
      </c>
      <c r="C459" s="1">
        <v>0.0</v>
      </c>
      <c r="D459" s="1">
        <v>0.0</v>
      </c>
      <c r="E459" s="1">
        <v>245.55</v>
      </c>
      <c r="F459" s="54">
        <v>44389.0</v>
      </c>
      <c r="G459" s="1">
        <v>0.0</v>
      </c>
      <c r="H459" s="1">
        <v>235.67</v>
      </c>
      <c r="I459" s="14">
        <v>44393.0</v>
      </c>
      <c r="J459" s="55" t="s">
        <v>2879</v>
      </c>
      <c r="K459" s="15" t="s">
        <v>3337</v>
      </c>
      <c r="L459" s="33" t="str">
        <f t="shared" si="1"/>
        <v>Not in buy Zone</v>
      </c>
      <c r="M459" s="33" t="str">
        <f t="shared" si="2"/>
        <v>Not in buy Zone</v>
      </c>
      <c r="N459" s="33" t="str">
        <f t="shared" si="3"/>
        <v>No</v>
      </c>
    </row>
    <row r="460" ht="11.25" customHeight="1">
      <c r="A460" s="1" t="s">
        <v>488</v>
      </c>
      <c r="B460" s="1">
        <v>0.0</v>
      </c>
      <c r="C460" s="1">
        <v>0.0</v>
      </c>
      <c r="D460" s="1">
        <v>81.0</v>
      </c>
      <c r="E460" s="1">
        <v>0.0</v>
      </c>
      <c r="F460" s="54">
        <v>44378.0</v>
      </c>
      <c r="G460" s="1">
        <v>0.0</v>
      </c>
      <c r="H460" s="1">
        <v>77.45</v>
      </c>
      <c r="I460" s="14">
        <v>44393.0</v>
      </c>
      <c r="J460" s="55" t="s">
        <v>2879</v>
      </c>
      <c r="K460" s="15" t="s">
        <v>3338</v>
      </c>
      <c r="L460" s="33" t="str">
        <f t="shared" si="1"/>
        <v>Not in buy Zone</v>
      </c>
      <c r="M460" s="33" t="str">
        <f t="shared" si="2"/>
        <v>Not in buy Zone</v>
      </c>
      <c r="N460" s="33" t="str">
        <f t="shared" si="3"/>
        <v>No</v>
      </c>
    </row>
    <row r="461" ht="11.25" customHeight="1">
      <c r="A461" s="1" t="s">
        <v>489</v>
      </c>
      <c r="B461" s="1">
        <v>0.0</v>
      </c>
      <c r="C461" s="1">
        <v>0.0</v>
      </c>
      <c r="D461" s="1">
        <v>0.0</v>
      </c>
      <c r="E461" s="1">
        <v>37.07</v>
      </c>
      <c r="F461" s="54">
        <v>44384.0</v>
      </c>
      <c r="G461" s="1">
        <v>0.0</v>
      </c>
      <c r="H461" s="1">
        <v>35.15</v>
      </c>
      <c r="I461" s="14">
        <v>44393.0</v>
      </c>
      <c r="J461" s="55" t="s">
        <v>2879</v>
      </c>
      <c r="K461" s="15" t="s">
        <v>3339</v>
      </c>
      <c r="L461" s="33" t="str">
        <f t="shared" si="1"/>
        <v>Not in buy Zone</v>
      </c>
      <c r="M461" s="33" t="str">
        <f t="shared" si="2"/>
        <v>Not in buy Zone</v>
      </c>
      <c r="N461" s="33" t="str">
        <f t="shared" si="3"/>
        <v>No</v>
      </c>
    </row>
    <row r="462" ht="11.25" customHeight="1">
      <c r="A462" s="1" t="s">
        <v>490</v>
      </c>
      <c r="B462" s="1">
        <v>0.0</v>
      </c>
      <c r="C462" s="1">
        <v>0.0</v>
      </c>
      <c r="D462" s="1">
        <v>79.54</v>
      </c>
      <c r="E462" s="1">
        <v>0.0</v>
      </c>
      <c r="F462" s="54">
        <v>44378.0</v>
      </c>
      <c r="G462" s="1">
        <v>0.0</v>
      </c>
      <c r="H462" s="1">
        <v>87.49</v>
      </c>
      <c r="I462" s="14">
        <v>44393.0</v>
      </c>
      <c r="J462" s="55" t="s">
        <v>2879</v>
      </c>
      <c r="K462" s="15" t="s">
        <v>3340</v>
      </c>
      <c r="L462" s="33" t="str">
        <f t="shared" si="1"/>
        <v>Not in buy Zone</v>
      </c>
      <c r="M462" s="33" t="str">
        <f t="shared" si="2"/>
        <v>Not in buy Zone</v>
      </c>
      <c r="N462" s="33" t="str">
        <f t="shared" si="3"/>
        <v>No</v>
      </c>
    </row>
    <row r="463" ht="11.25" customHeight="1">
      <c r="A463" s="1" t="s">
        <v>491</v>
      </c>
      <c r="B463" s="1">
        <v>0.0</v>
      </c>
      <c r="C463" s="1">
        <v>0.0</v>
      </c>
      <c r="D463" s="1">
        <v>534.76</v>
      </c>
      <c r="E463" s="1">
        <v>0.0</v>
      </c>
      <c r="F463" s="54">
        <v>44358.0</v>
      </c>
      <c r="G463" s="1">
        <v>0.0</v>
      </c>
      <c r="H463" s="1">
        <v>601.3</v>
      </c>
      <c r="I463" s="14">
        <v>44393.0</v>
      </c>
      <c r="J463" s="55" t="s">
        <v>2879</v>
      </c>
      <c r="K463" s="15" t="s">
        <v>3341</v>
      </c>
      <c r="L463" s="33" t="str">
        <f t="shared" si="1"/>
        <v>Not in buy Zone</v>
      </c>
      <c r="M463" s="33" t="str">
        <f t="shared" si="2"/>
        <v>Not in buy Zone</v>
      </c>
      <c r="N463" s="33" t="str">
        <f t="shared" si="3"/>
        <v>No</v>
      </c>
    </row>
    <row r="464" ht="11.25" customHeight="1">
      <c r="A464" s="1" t="s">
        <v>492</v>
      </c>
      <c r="B464" s="1">
        <v>0.0</v>
      </c>
      <c r="C464" s="1">
        <v>0.0</v>
      </c>
      <c r="D464" s="1">
        <v>0.0</v>
      </c>
      <c r="E464" s="1">
        <v>30.19</v>
      </c>
      <c r="F464" s="54">
        <v>44383.0</v>
      </c>
      <c r="G464" s="1">
        <v>0.0</v>
      </c>
      <c r="H464" s="1">
        <v>26.09</v>
      </c>
      <c r="I464" s="14">
        <v>44393.0</v>
      </c>
      <c r="J464" s="55" t="s">
        <v>2879</v>
      </c>
      <c r="K464" s="15" t="s">
        <v>3342</v>
      </c>
      <c r="L464" s="33" t="str">
        <f t="shared" si="1"/>
        <v>Not in buy Zone</v>
      </c>
      <c r="M464" s="33" t="str">
        <f t="shared" si="2"/>
        <v>Not in buy Zone</v>
      </c>
      <c r="N464" s="33" t="str">
        <f t="shared" si="3"/>
        <v>No</v>
      </c>
    </row>
    <row r="465" ht="11.25" customHeight="1">
      <c r="A465" s="1" t="s">
        <v>493</v>
      </c>
      <c r="B465" s="1">
        <v>0.0</v>
      </c>
      <c r="C465" s="1">
        <v>0.0</v>
      </c>
      <c r="D465" s="1">
        <v>0.0</v>
      </c>
      <c r="E465" s="1">
        <v>28.22</v>
      </c>
      <c r="F465" s="54">
        <v>44364.0</v>
      </c>
      <c r="G465" s="1">
        <v>0.0</v>
      </c>
      <c r="H465" s="1">
        <v>25.94</v>
      </c>
      <c r="I465" s="14">
        <v>44393.0</v>
      </c>
      <c r="J465" s="55" t="s">
        <v>2879</v>
      </c>
      <c r="K465" s="15" t="s">
        <v>3343</v>
      </c>
      <c r="L465" s="33" t="str">
        <f t="shared" si="1"/>
        <v>Not in buy Zone</v>
      </c>
      <c r="M465" s="33" t="str">
        <f t="shared" si="2"/>
        <v>Not in buy Zone</v>
      </c>
      <c r="N465" s="33" t="str">
        <f t="shared" si="3"/>
        <v>No</v>
      </c>
    </row>
    <row r="466" ht="11.25" customHeight="1">
      <c r="A466" s="1" t="s">
        <v>494</v>
      </c>
      <c r="B466" s="1">
        <v>0.0</v>
      </c>
      <c r="C466" s="1">
        <v>0.0</v>
      </c>
      <c r="D466" s="1">
        <v>0.0</v>
      </c>
      <c r="E466" s="1">
        <v>25.47</v>
      </c>
      <c r="F466" s="54">
        <v>44350.0</v>
      </c>
      <c r="G466" s="1">
        <v>0.0</v>
      </c>
      <c r="H466" s="1">
        <v>26.48</v>
      </c>
      <c r="I466" s="14">
        <v>44393.0</v>
      </c>
      <c r="J466" s="55" t="s">
        <v>2879</v>
      </c>
      <c r="K466" s="15" t="s">
        <v>3344</v>
      </c>
      <c r="L466" s="33" t="str">
        <f t="shared" si="1"/>
        <v>Not in buy Zone</v>
      </c>
      <c r="M466" s="33" t="str">
        <f t="shared" si="2"/>
        <v>Not in buy Zone</v>
      </c>
      <c r="N466" s="33" t="str">
        <f t="shared" si="3"/>
        <v>No</v>
      </c>
    </row>
    <row r="467" ht="11.25" customHeight="1">
      <c r="A467" s="1" t="s">
        <v>495</v>
      </c>
      <c r="B467" s="1">
        <v>0.0</v>
      </c>
      <c r="C467" s="1">
        <v>0.0</v>
      </c>
      <c r="D467" s="1">
        <v>0.0</v>
      </c>
      <c r="E467" s="1">
        <v>372.02</v>
      </c>
      <c r="F467" s="54">
        <v>44390.0</v>
      </c>
      <c r="G467" s="1">
        <v>0.0</v>
      </c>
      <c r="H467" s="1">
        <v>372.85</v>
      </c>
      <c r="I467" s="14">
        <v>44393.0</v>
      </c>
      <c r="J467" s="55" t="s">
        <v>2879</v>
      </c>
      <c r="K467" s="15" t="s">
        <v>3345</v>
      </c>
      <c r="L467" s="33" t="str">
        <f t="shared" si="1"/>
        <v>Not in buy Zone</v>
      </c>
      <c r="M467" s="33" t="str">
        <f t="shared" si="2"/>
        <v>Not in buy Zone</v>
      </c>
      <c r="N467" s="33" t="str">
        <f t="shared" si="3"/>
        <v>No</v>
      </c>
    </row>
    <row r="468" ht="11.25" customHeight="1">
      <c r="A468" s="1" t="s">
        <v>496</v>
      </c>
      <c r="B468" s="1">
        <v>0.0</v>
      </c>
      <c r="C468" s="1">
        <v>0.0</v>
      </c>
      <c r="D468" s="1">
        <v>0.0</v>
      </c>
      <c r="E468" s="1">
        <v>97.49</v>
      </c>
      <c r="F468" s="54">
        <v>44316.0</v>
      </c>
      <c r="G468" s="1">
        <v>0.0</v>
      </c>
      <c r="H468" s="1">
        <v>111.85</v>
      </c>
      <c r="I468" s="14">
        <v>44393.0</v>
      </c>
      <c r="J468" s="55" t="s">
        <v>2879</v>
      </c>
      <c r="K468" s="15" t="s">
        <v>3346</v>
      </c>
      <c r="L468" s="33" t="str">
        <f t="shared" si="1"/>
        <v>Not in buy Zone</v>
      </c>
      <c r="M468" s="33" t="str">
        <f t="shared" si="2"/>
        <v>Not in buy Zone</v>
      </c>
      <c r="N468" s="33" t="str">
        <f t="shared" si="3"/>
        <v>No</v>
      </c>
    </row>
    <row r="469" ht="11.25" customHeight="1">
      <c r="A469" s="1" t="s">
        <v>497</v>
      </c>
      <c r="B469" s="1">
        <v>0.0</v>
      </c>
      <c r="C469" s="1">
        <v>0.0</v>
      </c>
      <c r="D469" s="1">
        <v>17.86</v>
      </c>
      <c r="E469" s="1">
        <v>0.0</v>
      </c>
      <c r="F469" s="54">
        <v>44372.0</v>
      </c>
      <c r="G469" s="1">
        <v>0.0</v>
      </c>
      <c r="H469" s="1">
        <v>16.03</v>
      </c>
      <c r="I469" s="14">
        <v>44393.0</v>
      </c>
      <c r="J469" s="55" t="s">
        <v>2879</v>
      </c>
      <c r="K469" s="15" t="s">
        <v>3347</v>
      </c>
      <c r="L469" s="33" t="str">
        <f t="shared" si="1"/>
        <v>Not in buy Zone</v>
      </c>
      <c r="M469" s="33" t="str">
        <f t="shared" si="2"/>
        <v>Not in buy Zone</v>
      </c>
      <c r="N469" s="33" t="str">
        <f t="shared" si="3"/>
        <v>No</v>
      </c>
    </row>
    <row r="470" ht="11.25" customHeight="1">
      <c r="A470" s="1" t="s">
        <v>498</v>
      </c>
      <c r="B470" s="1">
        <v>0.0</v>
      </c>
      <c r="C470" s="1">
        <v>0.0</v>
      </c>
      <c r="D470" s="1">
        <v>88.31</v>
      </c>
      <c r="E470" s="1">
        <v>0.0</v>
      </c>
      <c r="F470" s="54">
        <v>44389.0</v>
      </c>
      <c r="G470" s="1">
        <v>0.0</v>
      </c>
      <c r="H470" s="1">
        <v>87.61</v>
      </c>
      <c r="I470" s="14">
        <v>44393.0</v>
      </c>
      <c r="J470" s="55" t="s">
        <v>2879</v>
      </c>
      <c r="K470" s="15" t="s">
        <v>3348</v>
      </c>
      <c r="L470" s="33" t="str">
        <f t="shared" si="1"/>
        <v>Not in buy Zone</v>
      </c>
      <c r="M470" s="33" t="str">
        <f t="shared" si="2"/>
        <v>Not in buy Zone</v>
      </c>
      <c r="N470" s="33" t="str">
        <f t="shared" si="3"/>
        <v>No</v>
      </c>
    </row>
    <row r="471" ht="11.25" customHeight="1">
      <c r="A471" s="1" t="s">
        <v>499</v>
      </c>
      <c r="B471" s="1">
        <v>0.0</v>
      </c>
      <c r="C471" s="1">
        <v>0.0</v>
      </c>
      <c r="D471" s="1">
        <v>0.0</v>
      </c>
      <c r="E471" s="1">
        <v>121.84</v>
      </c>
      <c r="F471" s="54">
        <v>44378.0</v>
      </c>
      <c r="G471" s="1">
        <v>0.0</v>
      </c>
      <c r="H471" s="1">
        <v>107.45</v>
      </c>
      <c r="I471" s="14">
        <v>44393.0</v>
      </c>
      <c r="J471" s="55" t="s">
        <v>2879</v>
      </c>
      <c r="K471" s="15" t="s">
        <v>3349</v>
      </c>
      <c r="L471" s="33" t="str">
        <f t="shared" si="1"/>
        <v>Not in buy Zone</v>
      </c>
      <c r="M471" s="33" t="str">
        <f t="shared" si="2"/>
        <v>Not in buy Zone</v>
      </c>
      <c r="N471" s="33" t="str">
        <f t="shared" si="3"/>
        <v>No</v>
      </c>
    </row>
    <row r="472" ht="11.25" customHeight="1">
      <c r="A472" s="1" t="s">
        <v>500</v>
      </c>
      <c r="B472" s="1">
        <v>0.0</v>
      </c>
      <c r="C472" s="1">
        <v>0.0</v>
      </c>
      <c r="D472" s="1">
        <v>33.97</v>
      </c>
      <c r="E472" s="1">
        <v>0.0</v>
      </c>
      <c r="F472" s="54">
        <v>44383.0</v>
      </c>
      <c r="G472" s="1">
        <v>0.0</v>
      </c>
      <c r="H472" s="1">
        <v>35.56</v>
      </c>
      <c r="I472" s="14">
        <v>44393.0</v>
      </c>
      <c r="J472" s="55" t="s">
        <v>2879</v>
      </c>
      <c r="K472" s="15" t="s">
        <v>3350</v>
      </c>
      <c r="L472" s="33" t="str">
        <f t="shared" si="1"/>
        <v>Not in buy Zone</v>
      </c>
      <c r="M472" s="33" t="str">
        <f t="shared" si="2"/>
        <v>Not in buy Zone</v>
      </c>
      <c r="N472" s="33" t="str">
        <f t="shared" si="3"/>
        <v>No</v>
      </c>
    </row>
    <row r="473" ht="11.25" customHeight="1">
      <c r="A473" s="1" t="s">
        <v>501</v>
      </c>
      <c r="B473" s="1">
        <v>0.0</v>
      </c>
      <c r="C473" s="1">
        <v>0.0</v>
      </c>
      <c r="D473" s="1">
        <v>0.0</v>
      </c>
      <c r="E473" s="1">
        <v>59.83</v>
      </c>
      <c r="F473" s="54">
        <v>44390.0</v>
      </c>
      <c r="G473" s="1">
        <v>0.0</v>
      </c>
      <c r="H473" s="1">
        <v>61.74</v>
      </c>
      <c r="I473" s="14">
        <v>44393.0</v>
      </c>
      <c r="J473" s="55" t="s">
        <v>2879</v>
      </c>
      <c r="K473" s="15" t="s">
        <v>3351</v>
      </c>
      <c r="L473" s="33" t="str">
        <f t="shared" si="1"/>
        <v>Not in buy Zone</v>
      </c>
      <c r="M473" s="33" t="str">
        <f t="shared" si="2"/>
        <v>Not in buy Zone</v>
      </c>
      <c r="N473" s="33" t="str">
        <f t="shared" si="3"/>
        <v>No</v>
      </c>
    </row>
    <row r="474" ht="11.25" customHeight="1">
      <c r="A474" s="1" t="s">
        <v>502</v>
      </c>
      <c r="B474" s="1">
        <v>0.0</v>
      </c>
      <c r="C474" s="1">
        <v>0.0</v>
      </c>
      <c r="D474" s="1">
        <v>0.0</v>
      </c>
      <c r="E474" s="1">
        <v>79.68</v>
      </c>
      <c r="F474" s="54">
        <v>44350.0</v>
      </c>
      <c r="G474" s="1">
        <v>0.0</v>
      </c>
      <c r="H474" s="1">
        <v>66.21</v>
      </c>
      <c r="I474" s="14">
        <v>44393.0</v>
      </c>
      <c r="J474" s="55" t="s">
        <v>2879</v>
      </c>
      <c r="K474" s="15" t="s">
        <v>3352</v>
      </c>
      <c r="L474" s="33" t="str">
        <f t="shared" si="1"/>
        <v>Not in buy Zone</v>
      </c>
      <c r="M474" s="33" t="str">
        <f t="shared" si="2"/>
        <v>Not in buy Zone</v>
      </c>
      <c r="N474" s="33" t="str">
        <f t="shared" si="3"/>
        <v>No</v>
      </c>
    </row>
    <row r="475" ht="11.25" customHeight="1">
      <c r="A475" s="1" t="s">
        <v>503</v>
      </c>
      <c r="B475" s="1">
        <v>0.0</v>
      </c>
      <c r="C475" s="1">
        <v>0.0</v>
      </c>
      <c r="D475" s="1">
        <v>147.04</v>
      </c>
      <c r="E475" s="1">
        <v>0.0</v>
      </c>
      <c r="F475" s="54">
        <v>44375.0</v>
      </c>
      <c r="G475" s="1">
        <v>0.0</v>
      </c>
      <c r="H475" s="1">
        <v>155.82</v>
      </c>
      <c r="I475" s="14">
        <v>44393.0</v>
      </c>
      <c r="J475" s="55" t="s">
        <v>2879</v>
      </c>
      <c r="K475" s="15" t="s">
        <v>3353</v>
      </c>
      <c r="L475" s="33" t="str">
        <f t="shared" si="1"/>
        <v>Not in buy Zone</v>
      </c>
      <c r="M475" s="33" t="str">
        <f t="shared" si="2"/>
        <v>Not in buy Zone</v>
      </c>
      <c r="N475" s="33" t="str">
        <f t="shared" si="3"/>
        <v>No</v>
      </c>
    </row>
    <row r="476" ht="11.25" customHeight="1">
      <c r="A476" s="1" t="s">
        <v>504</v>
      </c>
      <c r="B476" s="1">
        <v>0.0</v>
      </c>
      <c r="C476" s="1">
        <v>0.0</v>
      </c>
      <c r="D476" s="1">
        <v>0.0</v>
      </c>
      <c r="E476" s="1">
        <v>39.25</v>
      </c>
      <c r="F476" s="54">
        <v>44385.0</v>
      </c>
      <c r="G476" s="1">
        <v>0.0</v>
      </c>
      <c r="H476" s="1">
        <v>40.35</v>
      </c>
      <c r="I476" s="14">
        <v>44393.0</v>
      </c>
      <c r="J476" s="55" t="s">
        <v>2879</v>
      </c>
      <c r="K476" s="15" t="s">
        <v>3354</v>
      </c>
      <c r="L476" s="33" t="str">
        <f t="shared" si="1"/>
        <v>Not in buy Zone</v>
      </c>
      <c r="M476" s="33" t="str">
        <f t="shared" si="2"/>
        <v>Not in buy Zone</v>
      </c>
      <c r="N476" s="33" t="str">
        <f t="shared" si="3"/>
        <v>No</v>
      </c>
    </row>
    <row r="477" ht="11.25" customHeight="1">
      <c r="A477" s="1" t="s">
        <v>505</v>
      </c>
      <c r="B477" s="1">
        <v>0.0</v>
      </c>
      <c r="C477" s="1">
        <v>0.0</v>
      </c>
      <c r="D477" s="1">
        <v>0.0</v>
      </c>
      <c r="E477" s="1">
        <v>39.15</v>
      </c>
      <c r="F477" s="54">
        <v>44390.0</v>
      </c>
      <c r="G477" s="1">
        <v>0.0</v>
      </c>
      <c r="H477" s="1">
        <v>39.06</v>
      </c>
      <c r="I477" s="14">
        <v>44393.0</v>
      </c>
      <c r="J477" s="55" t="s">
        <v>2879</v>
      </c>
      <c r="K477" s="15" t="s">
        <v>3355</v>
      </c>
      <c r="L477" s="33" t="str">
        <f t="shared" si="1"/>
        <v>Not in buy Zone</v>
      </c>
      <c r="M477" s="33" t="str">
        <f t="shared" si="2"/>
        <v>Not in buy Zone</v>
      </c>
      <c r="N477" s="33" t="str">
        <f t="shared" si="3"/>
        <v>No</v>
      </c>
    </row>
    <row r="478" ht="11.25" customHeight="1">
      <c r="A478" s="1" t="s">
        <v>506</v>
      </c>
      <c r="B478" s="1">
        <v>0.0</v>
      </c>
      <c r="C478" s="1">
        <v>0.0</v>
      </c>
      <c r="D478" s="1">
        <v>64.36</v>
      </c>
      <c r="E478" s="1">
        <v>0.0</v>
      </c>
      <c r="F478" s="54">
        <v>44372.0</v>
      </c>
      <c r="G478" s="1">
        <v>0.0</v>
      </c>
      <c r="H478" s="1">
        <v>60.99</v>
      </c>
      <c r="I478" s="14">
        <v>44393.0</v>
      </c>
      <c r="J478" s="55" t="s">
        <v>2879</v>
      </c>
      <c r="K478" s="15" t="s">
        <v>3356</v>
      </c>
      <c r="L478" s="33" t="str">
        <f t="shared" si="1"/>
        <v>Not in buy Zone</v>
      </c>
      <c r="M478" s="33" t="str">
        <f t="shared" si="2"/>
        <v>Not in buy Zone</v>
      </c>
      <c r="N478" s="33" t="str">
        <f t="shared" si="3"/>
        <v>No</v>
      </c>
    </row>
    <row r="479" ht="11.25" customHeight="1">
      <c r="A479" s="1" t="s">
        <v>507</v>
      </c>
      <c r="B479" s="1">
        <v>0.0</v>
      </c>
      <c r="C479" s="1">
        <v>0.0</v>
      </c>
      <c r="D479" s="1">
        <v>136.42</v>
      </c>
      <c r="E479" s="1">
        <v>0.0</v>
      </c>
      <c r="F479" s="54">
        <v>44354.0</v>
      </c>
      <c r="G479" s="1">
        <v>0.0</v>
      </c>
      <c r="H479" s="1">
        <v>140.51</v>
      </c>
      <c r="I479" s="14">
        <v>44393.0</v>
      </c>
      <c r="J479" s="55" t="s">
        <v>2879</v>
      </c>
      <c r="K479" s="15" t="s">
        <v>3357</v>
      </c>
      <c r="L479" s="33" t="str">
        <f t="shared" si="1"/>
        <v>Not in buy Zone</v>
      </c>
      <c r="M479" s="33" t="str">
        <f t="shared" si="2"/>
        <v>Not in buy Zone</v>
      </c>
      <c r="N479" s="33" t="str">
        <f t="shared" si="3"/>
        <v>No</v>
      </c>
    </row>
    <row r="480" ht="11.25" customHeight="1">
      <c r="A480" s="1" t="s">
        <v>508</v>
      </c>
      <c r="B480" s="1">
        <v>0.0</v>
      </c>
      <c r="C480" s="1">
        <v>0.0</v>
      </c>
      <c r="D480" s="1">
        <v>0.0</v>
      </c>
      <c r="E480" s="1">
        <v>97.79</v>
      </c>
      <c r="F480" s="54">
        <v>44390.0</v>
      </c>
      <c r="G480" s="1">
        <v>0.0</v>
      </c>
      <c r="H480" s="1">
        <v>96.18</v>
      </c>
      <c r="I480" s="14">
        <v>44393.0</v>
      </c>
      <c r="J480" s="55" t="s">
        <v>2879</v>
      </c>
      <c r="K480" s="15" t="s">
        <v>3358</v>
      </c>
      <c r="L480" s="33" t="str">
        <f t="shared" si="1"/>
        <v>Not in buy Zone</v>
      </c>
      <c r="M480" s="33" t="str">
        <f t="shared" si="2"/>
        <v>Not in buy Zone</v>
      </c>
      <c r="N480" s="33" t="str">
        <f t="shared" si="3"/>
        <v>No</v>
      </c>
    </row>
    <row r="481" ht="11.25" customHeight="1">
      <c r="A481" s="1" t="s">
        <v>509</v>
      </c>
      <c r="B481" s="1">
        <v>0.0</v>
      </c>
      <c r="C481" s="1">
        <v>0.0</v>
      </c>
      <c r="D481" s="1">
        <v>0.0</v>
      </c>
      <c r="E481" s="1">
        <v>306.24</v>
      </c>
      <c r="F481" s="54">
        <v>44392.0</v>
      </c>
      <c r="G481" s="1">
        <v>0.0</v>
      </c>
      <c r="H481" s="1">
        <v>300.0</v>
      </c>
      <c r="I481" s="14">
        <v>44393.0</v>
      </c>
      <c r="J481" s="55" t="s">
        <v>2879</v>
      </c>
      <c r="K481" s="15" t="s">
        <v>3359</v>
      </c>
      <c r="L481" s="33" t="str">
        <f t="shared" si="1"/>
        <v>Not in buy Zone</v>
      </c>
      <c r="M481" s="33" t="str">
        <f t="shared" si="2"/>
        <v>Not in buy Zone</v>
      </c>
      <c r="N481" s="33" t="str">
        <f t="shared" si="3"/>
        <v>No</v>
      </c>
    </row>
    <row r="482" ht="11.25" customHeight="1">
      <c r="A482" s="1" t="s">
        <v>510</v>
      </c>
      <c r="B482" s="1">
        <v>0.0</v>
      </c>
      <c r="C482" s="1">
        <v>0.0</v>
      </c>
      <c r="D482" s="1">
        <v>0.0</v>
      </c>
      <c r="E482" s="1">
        <v>53.92</v>
      </c>
      <c r="F482" s="54">
        <v>44383.0</v>
      </c>
      <c r="G482" s="1">
        <v>0.0</v>
      </c>
      <c r="H482" s="1">
        <v>51.0</v>
      </c>
      <c r="I482" s="14">
        <v>44393.0</v>
      </c>
      <c r="J482" s="55" t="s">
        <v>2879</v>
      </c>
      <c r="K482" s="15" t="s">
        <v>3360</v>
      </c>
      <c r="L482" s="33" t="str">
        <f t="shared" si="1"/>
        <v>Not in buy Zone</v>
      </c>
      <c r="M482" s="33" t="str">
        <f t="shared" si="2"/>
        <v>Not in buy Zone</v>
      </c>
      <c r="N482" s="33" t="str">
        <f t="shared" si="3"/>
        <v>No</v>
      </c>
    </row>
    <row r="483" ht="11.25" customHeight="1">
      <c r="A483" s="1" t="s">
        <v>511</v>
      </c>
      <c r="B483" s="1">
        <v>0.0</v>
      </c>
      <c r="C483" s="1">
        <v>0.0</v>
      </c>
      <c r="D483" s="1">
        <v>0.0</v>
      </c>
      <c r="E483" s="1">
        <v>75.88</v>
      </c>
      <c r="F483" s="54">
        <v>44385.0</v>
      </c>
      <c r="G483" s="1">
        <v>0.0</v>
      </c>
      <c r="H483" s="1">
        <v>68.73</v>
      </c>
      <c r="I483" s="14">
        <v>44393.0</v>
      </c>
      <c r="J483" s="55" t="s">
        <v>2879</v>
      </c>
      <c r="K483" s="15" t="s">
        <v>3361</v>
      </c>
      <c r="L483" s="33" t="str">
        <f t="shared" si="1"/>
        <v>Not in buy Zone</v>
      </c>
      <c r="M483" s="33" t="str">
        <f t="shared" si="2"/>
        <v>Not in buy Zone</v>
      </c>
      <c r="N483" s="33" t="str">
        <f t="shared" si="3"/>
        <v>No</v>
      </c>
    </row>
    <row r="484" ht="11.25" customHeight="1">
      <c r="A484" s="1" t="s">
        <v>512</v>
      </c>
      <c r="B484" s="1">
        <v>0.0</v>
      </c>
      <c r="C484" s="1">
        <v>134.92</v>
      </c>
      <c r="D484" s="1">
        <v>0.0</v>
      </c>
      <c r="E484" s="1">
        <v>0.0</v>
      </c>
      <c r="F484" s="54">
        <v>44393.0</v>
      </c>
      <c r="G484" s="1">
        <v>-1.0</v>
      </c>
      <c r="H484" s="1">
        <v>134.92</v>
      </c>
      <c r="I484" s="14">
        <v>44393.0</v>
      </c>
      <c r="J484" s="55" t="s">
        <v>2879</v>
      </c>
      <c r="K484" s="15" t="s">
        <v>3362</v>
      </c>
      <c r="L484" s="33" t="str">
        <f t="shared" si="1"/>
        <v>Not in buy Zone</v>
      </c>
      <c r="M484" s="33" t="str">
        <f t="shared" si="2"/>
        <v>Not in buy Zone</v>
      </c>
      <c r="N484" s="33" t="str">
        <f t="shared" si="3"/>
        <v>No</v>
      </c>
    </row>
    <row r="485" ht="11.25" customHeight="1">
      <c r="A485" s="1" t="s">
        <v>513</v>
      </c>
      <c r="B485" s="1">
        <v>0.0</v>
      </c>
      <c r="C485" s="1">
        <v>0.0</v>
      </c>
      <c r="D485" s="1">
        <v>0.0</v>
      </c>
      <c r="E485" s="1">
        <v>153.93</v>
      </c>
      <c r="F485" s="54">
        <v>44385.0</v>
      </c>
      <c r="G485" s="1">
        <v>0.0</v>
      </c>
      <c r="H485" s="1">
        <v>154.1</v>
      </c>
      <c r="I485" s="14">
        <v>44393.0</v>
      </c>
      <c r="J485" s="55" t="s">
        <v>2879</v>
      </c>
      <c r="K485" s="15" t="s">
        <v>3363</v>
      </c>
      <c r="L485" s="33" t="str">
        <f t="shared" si="1"/>
        <v>Not in buy Zone</v>
      </c>
      <c r="M485" s="33" t="str">
        <f t="shared" si="2"/>
        <v>Not in buy Zone</v>
      </c>
      <c r="N485" s="33" t="str">
        <f t="shared" si="3"/>
        <v>No</v>
      </c>
    </row>
    <row r="486" ht="11.25" customHeight="1">
      <c r="A486" s="1" t="s">
        <v>514</v>
      </c>
      <c r="B486" s="1">
        <v>0.0</v>
      </c>
      <c r="C486" s="1">
        <v>0.0</v>
      </c>
      <c r="D486" s="1">
        <v>54.45</v>
      </c>
      <c r="E486" s="1">
        <v>0.0</v>
      </c>
      <c r="F486" s="54">
        <v>44390.0</v>
      </c>
      <c r="G486" s="1">
        <v>0.0</v>
      </c>
      <c r="H486" s="1">
        <v>53.59</v>
      </c>
      <c r="I486" s="14">
        <v>44393.0</v>
      </c>
      <c r="J486" s="55" t="s">
        <v>2879</v>
      </c>
      <c r="K486" s="15" t="s">
        <v>3364</v>
      </c>
      <c r="L486" s="33" t="str">
        <f t="shared" si="1"/>
        <v>Not in buy Zone</v>
      </c>
      <c r="M486" s="33" t="str">
        <f t="shared" si="2"/>
        <v>Not in buy Zone</v>
      </c>
      <c r="N486" s="33" t="str">
        <f t="shared" si="3"/>
        <v>No</v>
      </c>
    </row>
    <row r="487" ht="11.25" customHeight="1">
      <c r="A487" s="1" t="s">
        <v>515</v>
      </c>
      <c r="B487" s="1">
        <v>0.0</v>
      </c>
      <c r="C487" s="1">
        <v>0.0</v>
      </c>
      <c r="D487" s="1">
        <v>122.54</v>
      </c>
      <c r="E487" s="1">
        <v>0.0</v>
      </c>
      <c r="F487" s="54">
        <v>44383.0</v>
      </c>
      <c r="G487" s="1">
        <v>0.0</v>
      </c>
      <c r="H487" s="1">
        <v>127.28</v>
      </c>
      <c r="I487" s="14">
        <v>44393.0</v>
      </c>
      <c r="J487" s="55" t="s">
        <v>2879</v>
      </c>
      <c r="K487" s="15" t="s">
        <v>3365</v>
      </c>
      <c r="L487" s="33" t="str">
        <f t="shared" si="1"/>
        <v>Not in buy Zone</v>
      </c>
      <c r="M487" s="33" t="str">
        <f t="shared" si="2"/>
        <v>Not in buy Zone</v>
      </c>
      <c r="N487" s="33" t="str">
        <f t="shared" si="3"/>
        <v>No</v>
      </c>
    </row>
    <row r="488" ht="11.25" customHeight="1">
      <c r="A488" s="1" t="s">
        <v>516</v>
      </c>
      <c r="B488" s="1">
        <v>0.0</v>
      </c>
      <c r="C488" s="1">
        <v>0.0</v>
      </c>
      <c r="D488" s="1">
        <v>0.0</v>
      </c>
      <c r="E488" s="1">
        <v>30.17</v>
      </c>
      <c r="F488" s="54">
        <v>44384.0</v>
      </c>
      <c r="G488" s="1">
        <v>0.0</v>
      </c>
      <c r="H488" s="1">
        <v>26.01</v>
      </c>
      <c r="I488" s="14">
        <v>44393.0</v>
      </c>
      <c r="J488" s="55" t="s">
        <v>2879</v>
      </c>
      <c r="K488" s="15" t="s">
        <v>3366</v>
      </c>
      <c r="L488" s="33" t="str">
        <f t="shared" si="1"/>
        <v>Not in buy Zone</v>
      </c>
      <c r="M488" s="33" t="str">
        <f t="shared" si="2"/>
        <v>Not in buy Zone</v>
      </c>
      <c r="N488" s="33" t="str">
        <f t="shared" si="3"/>
        <v>No</v>
      </c>
    </row>
    <row r="489" ht="11.25" customHeight="1">
      <c r="A489" s="1" t="s">
        <v>517</v>
      </c>
      <c r="B489" s="1">
        <v>0.0</v>
      </c>
      <c r="C489" s="1">
        <v>0.0</v>
      </c>
      <c r="D489" s="1">
        <v>99.89</v>
      </c>
      <c r="E489" s="1">
        <v>0.0</v>
      </c>
      <c r="F489" s="54">
        <v>44378.0</v>
      </c>
      <c r="G489" s="1">
        <v>0.0</v>
      </c>
      <c r="H489" s="1">
        <v>98.9</v>
      </c>
      <c r="I489" s="14">
        <v>44393.0</v>
      </c>
      <c r="J489" s="55" t="s">
        <v>2879</v>
      </c>
      <c r="K489" s="15" t="s">
        <v>3367</v>
      </c>
      <c r="L489" s="33" t="str">
        <f t="shared" si="1"/>
        <v>Not in buy Zone</v>
      </c>
      <c r="M489" s="33" t="str">
        <f t="shared" si="2"/>
        <v>Not in buy Zone</v>
      </c>
      <c r="N489" s="33" t="str">
        <f t="shared" si="3"/>
        <v>No</v>
      </c>
    </row>
    <row r="490" ht="11.25" customHeight="1">
      <c r="A490" s="1" t="s">
        <v>518</v>
      </c>
      <c r="B490" s="1">
        <v>0.0</v>
      </c>
      <c r="C490" s="1">
        <v>0.0</v>
      </c>
      <c r="D490" s="1">
        <v>0.0</v>
      </c>
      <c r="E490" s="1">
        <v>187.96</v>
      </c>
      <c r="F490" s="54">
        <v>44383.0</v>
      </c>
      <c r="G490" s="1">
        <v>0.0</v>
      </c>
      <c r="H490" s="1">
        <v>183.43</v>
      </c>
      <c r="I490" s="14">
        <v>44393.0</v>
      </c>
      <c r="J490" s="55" t="s">
        <v>2879</v>
      </c>
      <c r="K490" s="15" t="s">
        <v>3368</v>
      </c>
      <c r="L490" s="33" t="str">
        <f t="shared" si="1"/>
        <v>Not in buy Zone</v>
      </c>
      <c r="M490" s="33" t="str">
        <f t="shared" si="2"/>
        <v>Not in buy Zone</v>
      </c>
      <c r="N490" s="33" t="str">
        <f t="shared" si="3"/>
        <v>No</v>
      </c>
    </row>
    <row r="491" ht="11.25" customHeight="1">
      <c r="A491" s="1" t="s">
        <v>519</v>
      </c>
      <c r="B491" s="1">
        <v>0.0</v>
      </c>
      <c r="C491" s="1">
        <v>0.0</v>
      </c>
      <c r="D491" s="1">
        <v>66.73</v>
      </c>
      <c r="E491" s="1">
        <v>0.0</v>
      </c>
      <c r="F491" s="54">
        <v>44372.0</v>
      </c>
      <c r="G491" s="1">
        <v>0.0</v>
      </c>
      <c r="H491" s="1">
        <v>69.09</v>
      </c>
      <c r="I491" s="14">
        <v>44393.0</v>
      </c>
      <c r="J491" s="55" t="s">
        <v>2879</v>
      </c>
      <c r="K491" s="15" t="s">
        <v>3369</v>
      </c>
      <c r="L491" s="33" t="str">
        <f t="shared" si="1"/>
        <v>Not in buy Zone</v>
      </c>
      <c r="M491" s="33" t="str">
        <f t="shared" si="2"/>
        <v>Not in buy Zone</v>
      </c>
      <c r="N491" s="33" t="str">
        <f t="shared" si="3"/>
        <v>No</v>
      </c>
    </row>
    <row r="492" ht="11.25" customHeight="1">
      <c r="A492" s="1" t="s">
        <v>520</v>
      </c>
      <c r="B492" s="1">
        <v>0.0</v>
      </c>
      <c r="C492" s="1">
        <v>0.0</v>
      </c>
      <c r="D492" s="1">
        <v>83.47</v>
      </c>
      <c r="E492" s="1">
        <v>0.0</v>
      </c>
      <c r="F492" s="54">
        <v>44383.0</v>
      </c>
      <c r="G492" s="1">
        <v>0.0</v>
      </c>
      <c r="H492" s="1">
        <v>86.39</v>
      </c>
      <c r="I492" s="14">
        <v>44393.0</v>
      </c>
      <c r="J492" s="55" t="s">
        <v>2879</v>
      </c>
      <c r="K492" s="15" t="s">
        <v>3370</v>
      </c>
      <c r="L492" s="33" t="str">
        <f t="shared" si="1"/>
        <v>Not in buy Zone</v>
      </c>
      <c r="M492" s="33" t="str">
        <f t="shared" si="2"/>
        <v>Not in buy Zone</v>
      </c>
      <c r="N492" s="33" t="str">
        <f t="shared" si="3"/>
        <v>No</v>
      </c>
    </row>
    <row r="493" ht="11.25" customHeight="1">
      <c r="A493" s="1" t="s">
        <v>521</v>
      </c>
      <c r="B493" s="1">
        <v>0.0</v>
      </c>
      <c r="C493" s="1">
        <v>0.0</v>
      </c>
      <c r="D493" s="1">
        <v>0.0</v>
      </c>
      <c r="E493" s="1">
        <v>459.82</v>
      </c>
      <c r="F493" s="54">
        <v>44392.0</v>
      </c>
      <c r="G493" s="1">
        <v>0.0</v>
      </c>
      <c r="H493" s="1">
        <v>458.89</v>
      </c>
      <c r="I493" s="14">
        <v>44393.0</v>
      </c>
      <c r="J493" s="55" t="s">
        <v>2879</v>
      </c>
      <c r="K493" s="15" t="s">
        <v>3371</v>
      </c>
      <c r="L493" s="33" t="str">
        <f t="shared" si="1"/>
        <v>Not in buy Zone</v>
      </c>
      <c r="M493" s="33" t="str">
        <f t="shared" si="2"/>
        <v>Not in buy Zone</v>
      </c>
      <c r="N493" s="33" t="str">
        <f t="shared" si="3"/>
        <v>No</v>
      </c>
    </row>
    <row r="494" ht="11.25" customHeight="1">
      <c r="A494" s="1" t="s">
        <v>522</v>
      </c>
      <c r="B494" s="1">
        <v>0.0</v>
      </c>
      <c r="C494" s="1">
        <v>170.2</v>
      </c>
      <c r="D494" s="1">
        <v>0.0</v>
      </c>
      <c r="E494" s="1">
        <v>0.0</v>
      </c>
      <c r="F494" s="54">
        <v>44393.0</v>
      </c>
      <c r="G494" s="1">
        <v>-1.0</v>
      </c>
      <c r="H494" s="1">
        <v>170.2</v>
      </c>
      <c r="I494" s="14">
        <v>44393.0</v>
      </c>
      <c r="J494" s="55" t="s">
        <v>2879</v>
      </c>
      <c r="K494" s="15" t="s">
        <v>3372</v>
      </c>
      <c r="L494" s="33" t="str">
        <f t="shared" si="1"/>
        <v>Not in buy Zone</v>
      </c>
      <c r="M494" s="33" t="str">
        <f t="shared" si="2"/>
        <v>Not in buy Zone</v>
      </c>
      <c r="N494" s="33" t="str">
        <f t="shared" si="3"/>
        <v>No</v>
      </c>
    </row>
    <row r="495" ht="11.25" customHeight="1">
      <c r="A495" s="1" t="s">
        <v>523</v>
      </c>
      <c r="B495" s="1">
        <v>0.0</v>
      </c>
      <c r="C495" s="1">
        <v>0.0</v>
      </c>
      <c r="D495" s="1">
        <v>0.0</v>
      </c>
      <c r="E495" s="1">
        <v>27.93</v>
      </c>
      <c r="F495" s="54">
        <v>44390.0</v>
      </c>
      <c r="G495" s="1">
        <v>0.0</v>
      </c>
      <c r="H495" s="1">
        <v>28.59</v>
      </c>
      <c r="I495" s="14">
        <v>44393.0</v>
      </c>
      <c r="J495" s="55" t="s">
        <v>2879</v>
      </c>
      <c r="K495" s="15" t="s">
        <v>3373</v>
      </c>
      <c r="L495" s="33" t="str">
        <f t="shared" si="1"/>
        <v>Not in buy Zone</v>
      </c>
      <c r="M495" s="33" t="str">
        <f t="shared" si="2"/>
        <v>Not in buy Zone</v>
      </c>
      <c r="N495" s="33" t="str">
        <f t="shared" si="3"/>
        <v>No</v>
      </c>
    </row>
    <row r="496" ht="11.25" customHeight="1">
      <c r="A496" s="1" t="s">
        <v>524</v>
      </c>
      <c r="B496" s="1">
        <v>0.0</v>
      </c>
      <c r="C496" s="1">
        <v>0.0</v>
      </c>
      <c r="D496" s="1">
        <v>0.0</v>
      </c>
      <c r="E496" s="1">
        <v>46.53</v>
      </c>
      <c r="F496" s="54">
        <v>44389.0</v>
      </c>
      <c r="G496" s="1">
        <v>0.0</v>
      </c>
      <c r="H496" s="1">
        <v>45.72</v>
      </c>
      <c r="I496" s="14">
        <v>44393.0</v>
      </c>
      <c r="J496" s="55" t="s">
        <v>2879</v>
      </c>
      <c r="K496" s="15" t="s">
        <v>3374</v>
      </c>
      <c r="L496" s="33" t="str">
        <f t="shared" si="1"/>
        <v>Not in buy Zone</v>
      </c>
      <c r="M496" s="33" t="str">
        <f t="shared" si="2"/>
        <v>Not in buy Zone</v>
      </c>
      <c r="N496" s="33" t="str">
        <f t="shared" si="3"/>
        <v>No</v>
      </c>
    </row>
    <row r="497" ht="11.25" customHeight="1">
      <c r="A497" s="1" t="s">
        <v>525</v>
      </c>
      <c r="B497" s="1">
        <v>0.0</v>
      </c>
      <c r="C497" s="1">
        <v>0.0</v>
      </c>
      <c r="D497" s="1">
        <v>29.1</v>
      </c>
      <c r="E497" s="1">
        <v>0.0</v>
      </c>
      <c r="F497" s="54">
        <v>44270.0</v>
      </c>
      <c r="G497" s="1">
        <v>0.0</v>
      </c>
      <c r="H497" s="1">
        <v>29.34</v>
      </c>
      <c r="I497" s="14">
        <v>44322.0</v>
      </c>
      <c r="J497" s="55" t="s">
        <v>2879</v>
      </c>
      <c r="K497" s="15" t="s">
        <v>3375</v>
      </c>
      <c r="L497" s="33" t="str">
        <f t="shared" si="1"/>
        <v>Not in buy Zone</v>
      </c>
      <c r="M497" s="33" t="str">
        <f t="shared" si="2"/>
        <v>Not in buy Zone</v>
      </c>
      <c r="N497" s="33" t="str">
        <f t="shared" si="3"/>
        <v>No</v>
      </c>
    </row>
    <row r="498" ht="11.25" customHeight="1">
      <c r="A498" s="1" t="s">
        <v>526</v>
      </c>
      <c r="B498" s="1">
        <v>0.0</v>
      </c>
      <c r="C498" s="1">
        <v>0.0</v>
      </c>
      <c r="D498" s="1">
        <v>104.33</v>
      </c>
      <c r="E498" s="1">
        <v>0.0</v>
      </c>
      <c r="F498" s="54">
        <v>44372.0</v>
      </c>
      <c r="G498" s="1">
        <v>0.0</v>
      </c>
      <c r="H498" s="1">
        <v>98.73</v>
      </c>
      <c r="I498" s="14">
        <v>44393.0</v>
      </c>
      <c r="J498" s="55" t="s">
        <v>2879</v>
      </c>
      <c r="K498" s="15" t="s">
        <v>3376</v>
      </c>
      <c r="L498" s="33" t="str">
        <f t="shared" si="1"/>
        <v>Not in buy Zone</v>
      </c>
      <c r="M498" s="33" t="str">
        <f t="shared" si="2"/>
        <v>Not in buy Zone</v>
      </c>
      <c r="N498" s="33" t="str">
        <f t="shared" si="3"/>
        <v>No</v>
      </c>
    </row>
    <row r="499" ht="11.25" customHeight="1">
      <c r="A499" s="1" t="s">
        <v>527</v>
      </c>
      <c r="B499" s="1">
        <v>0.0</v>
      </c>
      <c r="C499" s="1">
        <v>0.0</v>
      </c>
      <c r="D499" s="1">
        <v>276.58</v>
      </c>
      <c r="E499" s="1">
        <v>0.0</v>
      </c>
      <c r="F499" s="54">
        <v>44333.0</v>
      </c>
      <c r="G499" s="1">
        <v>0.0</v>
      </c>
      <c r="H499" s="1">
        <v>313.94</v>
      </c>
      <c r="I499" s="14">
        <v>44393.0</v>
      </c>
      <c r="J499" s="55" t="s">
        <v>2879</v>
      </c>
      <c r="K499" s="15" t="s">
        <v>3377</v>
      </c>
      <c r="L499" s="33" t="str">
        <f t="shared" si="1"/>
        <v>Not in buy Zone</v>
      </c>
      <c r="M499" s="33" t="str">
        <f t="shared" si="2"/>
        <v>Not in buy Zone</v>
      </c>
      <c r="N499" s="33" t="str">
        <f t="shared" si="3"/>
        <v>No</v>
      </c>
    </row>
    <row r="500" ht="11.25" customHeight="1">
      <c r="A500" s="1" t="s">
        <v>528</v>
      </c>
      <c r="B500" s="1">
        <v>0.0</v>
      </c>
      <c r="C500" s="1">
        <v>0.0</v>
      </c>
      <c r="D500" s="1">
        <v>90.04</v>
      </c>
      <c r="E500" s="1">
        <v>0.0</v>
      </c>
      <c r="F500" s="54">
        <v>44372.0</v>
      </c>
      <c r="G500" s="1">
        <v>0.0</v>
      </c>
      <c r="H500" s="1">
        <v>74.48</v>
      </c>
      <c r="I500" s="14">
        <v>44393.0</v>
      </c>
      <c r="J500" s="55" t="s">
        <v>2879</v>
      </c>
      <c r="K500" s="15" t="s">
        <v>3378</v>
      </c>
      <c r="L500" s="33" t="str">
        <f t="shared" si="1"/>
        <v>Not in buy Zone</v>
      </c>
      <c r="M500" s="33" t="str">
        <f t="shared" si="2"/>
        <v>Not in buy Zone</v>
      </c>
      <c r="N500" s="33" t="str">
        <f t="shared" si="3"/>
        <v>No</v>
      </c>
    </row>
    <row r="501" ht="11.25" customHeight="1">
      <c r="A501" s="1" t="s">
        <v>529</v>
      </c>
      <c r="B501" s="1">
        <v>0.0</v>
      </c>
      <c r="C501" s="1">
        <v>0.0</v>
      </c>
      <c r="D501" s="1">
        <v>0.0</v>
      </c>
      <c r="E501" s="1">
        <v>129.58</v>
      </c>
      <c r="F501" s="54">
        <v>44350.0</v>
      </c>
      <c r="G501" s="1">
        <v>0.0</v>
      </c>
      <c r="H501" s="1">
        <v>140.2</v>
      </c>
      <c r="I501" s="14">
        <v>44393.0</v>
      </c>
      <c r="J501" s="55" t="s">
        <v>2879</v>
      </c>
      <c r="K501" s="15" t="s">
        <v>3379</v>
      </c>
      <c r="L501" s="33" t="str">
        <f t="shared" si="1"/>
        <v>Not in buy Zone</v>
      </c>
      <c r="M501" s="33" t="str">
        <f t="shared" si="2"/>
        <v>Not in buy Zone</v>
      </c>
      <c r="N501" s="33" t="str">
        <f t="shared" si="3"/>
        <v>No</v>
      </c>
    </row>
    <row r="502" ht="11.25" customHeight="1">
      <c r="A502" s="1" t="s">
        <v>530</v>
      </c>
      <c r="B502" s="1">
        <v>0.0</v>
      </c>
      <c r="C502" s="1">
        <v>0.0</v>
      </c>
      <c r="D502" s="1">
        <v>0.0</v>
      </c>
      <c r="E502" s="1">
        <v>106.08</v>
      </c>
      <c r="F502" s="54">
        <v>44357.0</v>
      </c>
      <c r="G502" s="1">
        <v>0.0</v>
      </c>
      <c r="H502" s="1">
        <v>110.54</v>
      </c>
      <c r="I502" s="14">
        <v>44393.0</v>
      </c>
      <c r="J502" s="55" t="s">
        <v>2879</v>
      </c>
      <c r="K502" s="15" t="s">
        <v>3380</v>
      </c>
      <c r="L502" s="33" t="str">
        <f t="shared" si="1"/>
        <v>Not in buy Zone</v>
      </c>
      <c r="M502" s="33" t="str">
        <f t="shared" si="2"/>
        <v>Not in buy Zone</v>
      </c>
      <c r="N502" s="33" t="str">
        <f t="shared" si="3"/>
        <v>No</v>
      </c>
    </row>
    <row r="503" ht="11.25" customHeight="1">
      <c r="A503" s="1" t="s">
        <v>531</v>
      </c>
      <c r="B503" s="1">
        <v>0.0</v>
      </c>
      <c r="C503" s="1">
        <v>0.0</v>
      </c>
      <c r="D503" s="1">
        <v>112.92</v>
      </c>
      <c r="E503" s="1">
        <v>0.0</v>
      </c>
      <c r="F503" s="54">
        <v>44355.0</v>
      </c>
      <c r="G503" s="1">
        <v>0.0</v>
      </c>
      <c r="H503" s="1">
        <v>98.0</v>
      </c>
      <c r="I503" s="14">
        <v>44393.0</v>
      </c>
      <c r="J503" s="55" t="s">
        <v>2879</v>
      </c>
      <c r="K503" s="15" t="s">
        <v>3381</v>
      </c>
      <c r="L503" s="33" t="str">
        <f t="shared" si="1"/>
        <v>Not in buy Zone</v>
      </c>
      <c r="M503" s="33" t="str">
        <f t="shared" si="2"/>
        <v>Not in buy Zone</v>
      </c>
      <c r="N503" s="33" t="str">
        <f t="shared" si="3"/>
        <v>No</v>
      </c>
    </row>
    <row r="504" ht="11.25" customHeight="1">
      <c r="A504" s="1" t="s">
        <v>532</v>
      </c>
      <c r="B504" s="1">
        <v>0.0</v>
      </c>
      <c r="C504" s="1">
        <v>0.0</v>
      </c>
      <c r="D504" s="1">
        <v>90.63</v>
      </c>
      <c r="E504" s="1">
        <v>0.0</v>
      </c>
      <c r="F504" s="54">
        <v>44389.0</v>
      </c>
      <c r="G504" s="1">
        <v>0.0</v>
      </c>
      <c r="H504" s="1">
        <v>87.94</v>
      </c>
      <c r="I504" s="14">
        <v>44393.0</v>
      </c>
      <c r="J504" s="55" t="s">
        <v>2879</v>
      </c>
      <c r="K504" s="15" t="s">
        <v>3382</v>
      </c>
      <c r="L504" s="33" t="str">
        <f t="shared" si="1"/>
        <v>Not in buy Zone</v>
      </c>
      <c r="M504" s="33" t="str">
        <f t="shared" si="2"/>
        <v>Not in buy Zone</v>
      </c>
      <c r="N504" s="33" t="str">
        <f t="shared" si="3"/>
        <v>No</v>
      </c>
    </row>
    <row r="505" ht="11.25" customHeight="1">
      <c r="A505" s="1" t="s">
        <v>533</v>
      </c>
      <c r="B505" s="1">
        <v>0.0</v>
      </c>
      <c r="C505" s="1">
        <v>0.0</v>
      </c>
      <c r="D505" s="1">
        <v>164.25</v>
      </c>
      <c r="E505" s="1">
        <v>0.0</v>
      </c>
      <c r="F505" s="54">
        <v>44370.0</v>
      </c>
      <c r="G505" s="1">
        <v>0.0</v>
      </c>
      <c r="H505" s="1">
        <v>140.94</v>
      </c>
      <c r="I505" s="14">
        <v>44393.0</v>
      </c>
      <c r="J505" s="55" t="s">
        <v>2879</v>
      </c>
      <c r="K505" s="15" t="s">
        <v>3383</v>
      </c>
      <c r="L505" s="33" t="str">
        <f t="shared" si="1"/>
        <v>Not in buy Zone</v>
      </c>
      <c r="M505" s="33" t="str">
        <f t="shared" si="2"/>
        <v>Not in buy Zone</v>
      </c>
      <c r="N505" s="33" t="str">
        <f t="shared" si="3"/>
        <v>No</v>
      </c>
    </row>
    <row r="506" ht="11.25" customHeight="1">
      <c r="A506" s="1" t="s">
        <v>534</v>
      </c>
      <c r="B506" s="1">
        <v>0.0</v>
      </c>
      <c r="C506" s="1">
        <v>294.63</v>
      </c>
      <c r="D506" s="1">
        <v>0.0</v>
      </c>
      <c r="E506" s="1">
        <v>0.0</v>
      </c>
      <c r="F506" s="54">
        <v>44393.0</v>
      </c>
      <c r="G506" s="1">
        <v>-1.0</v>
      </c>
      <c r="H506" s="1">
        <v>294.63</v>
      </c>
      <c r="I506" s="14">
        <v>44393.0</v>
      </c>
      <c r="J506" s="55" t="s">
        <v>2879</v>
      </c>
      <c r="K506" s="15" t="s">
        <v>3384</v>
      </c>
      <c r="L506" s="33" t="str">
        <f t="shared" si="1"/>
        <v>Not in buy Zone</v>
      </c>
      <c r="M506" s="33" t="str">
        <f t="shared" si="2"/>
        <v>Not in buy Zone</v>
      </c>
      <c r="N506" s="33" t="str">
        <f t="shared" si="3"/>
        <v>No</v>
      </c>
    </row>
    <row r="507" ht="11.25" customHeight="1">
      <c r="A507" s="1" t="s">
        <v>535</v>
      </c>
      <c r="B507" s="1">
        <v>0.0</v>
      </c>
      <c r="C507" s="1">
        <v>0.0</v>
      </c>
      <c r="D507" s="1">
        <v>0.0</v>
      </c>
      <c r="E507" s="1">
        <v>131.78</v>
      </c>
      <c r="F507" s="54">
        <v>44350.0</v>
      </c>
      <c r="G507" s="1">
        <v>0.0</v>
      </c>
      <c r="H507" s="1">
        <v>139.71</v>
      </c>
      <c r="I507" s="14">
        <v>44393.0</v>
      </c>
      <c r="J507" s="55" t="s">
        <v>2879</v>
      </c>
      <c r="K507" s="15" t="s">
        <v>3385</v>
      </c>
      <c r="L507" s="33" t="str">
        <f t="shared" si="1"/>
        <v>Not in buy Zone</v>
      </c>
      <c r="M507" s="33" t="str">
        <f t="shared" si="2"/>
        <v>Not in buy Zone</v>
      </c>
      <c r="N507" s="33" t="str">
        <f t="shared" si="3"/>
        <v>No</v>
      </c>
    </row>
    <row r="508" ht="11.25" customHeight="1">
      <c r="A508" s="1" t="s">
        <v>536</v>
      </c>
      <c r="B508" s="1">
        <v>0.0</v>
      </c>
      <c r="C508" s="1">
        <v>73.0</v>
      </c>
      <c r="D508" s="1">
        <v>0.0</v>
      </c>
      <c r="E508" s="1">
        <v>0.0</v>
      </c>
      <c r="F508" s="54">
        <v>44393.0</v>
      </c>
      <c r="G508" s="1">
        <v>-1.0</v>
      </c>
      <c r="H508" s="1">
        <v>73.0</v>
      </c>
      <c r="I508" s="14">
        <v>44393.0</v>
      </c>
      <c r="J508" s="55" t="s">
        <v>2879</v>
      </c>
      <c r="K508" s="15" t="s">
        <v>3386</v>
      </c>
      <c r="L508" s="33" t="str">
        <f t="shared" si="1"/>
        <v>Not in buy Zone</v>
      </c>
      <c r="M508" s="33" t="str">
        <f t="shared" si="2"/>
        <v>Not in buy Zone</v>
      </c>
      <c r="N508" s="33" t="str">
        <f t="shared" si="3"/>
        <v>No</v>
      </c>
    </row>
    <row r="509" ht="11.25" customHeight="1">
      <c r="A509" s="1" t="s">
        <v>537</v>
      </c>
      <c r="B509" s="1">
        <v>0.0</v>
      </c>
      <c r="C509" s="1">
        <v>357.6</v>
      </c>
      <c r="D509" s="1">
        <v>0.0</v>
      </c>
      <c r="E509" s="1">
        <v>0.0</v>
      </c>
      <c r="F509" s="54">
        <v>44393.0</v>
      </c>
      <c r="G509" s="1">
        <v>-1.0</v>
      </c>
      <c r="H509" s="1">
        <v>357.6</v>
      </c>
      <c r="I509" s="14">
        <v>44393.0</v>
      </c>
      <c r="J509" s="55" t="s">
        <v>2879</v>
      </c>
      <c r="K509" s="15" t="s">
        <v>3387</v>
      </c>
      <c r="L509" s="33" t="str">
        <f t="shared" si="1"/>
        <v>Not in buy Zone</v>
      </c>
      <c r="M509" s="33" t="str">
        <f t="shared" si="2"/>
        <v>Not in buy Zone</v>
      </c>
      <c r="N509" s="33" t="str">
        <f t="shared" si="3"/>
        <v>No</v>
      </c>
    </row>
    <row r="510" ht="11.25" customHeight="1">
      <c r="A510" s="1" t="s">
        <v>538</v>
      </c>
      <c r="B510" s="1">
        <v>0.0</v>
      </c>
      <c r="C510" s="1">
        <v>0.0</v>
      </c>
      <c r="D510" s="1">
        <v>0.0</v>
      </c>
      <c r="E510" s="1">
        <v>190.95</v>
      </c>
      <c r="F510" s="54">
        <v>44392.0</v>
      </c>
      <c r="G510" s="1">
        <v>0.0</v>
      </c>
      <c r="H510" s="1">
        <v>187.68</v>
      </c>
      <c r="I510" s="14">
        <v>44393.0</v>
      </c>
      <c r="J510" s="55" t="s">
        <v>2879</v>
      </c>
      <c r="K510" s="15" t="s">
        <v>3388</v>
      </c>
      <c r="L510" s="33" t="str">
        <f t="shared" si="1"/>
        <v>Not in buy Zone</v>
      </c>
      <c r="M510" s="33" t="str">
        <f t="shared" si="2"/>
        <v>Not in buy Zone</v>
      </c>
      <c r="N510" s="33" t="str">
        <f t="shared" si="3"/>
        <v>No</v>
      </c>
    </row>
    <row r="511" ht="11.25" customHeight="1">
      <c r="A511" s="1" t="s">
        <v>539</v>
      </c>
      <c r="B511" s="1">
        <v>0.0</v>
      </c>
      <c r="C511" s="1">
        <v>0.0</v>
      </c>
      <c r="D511" s="1">
        <v>89.22</v>
      </c>
      <c r="E511" s="1">
        <v>0.0</v>
      </c>
      <c r="F511" s="54">
        <v>44372.0</v>
      </c>
      <c r="G511" s="1">
        <v>0.0</v>
      </c>
      <c r="H511" s="1">
        <v>72.39</v>
      </c>
      <c r="I511" s="14">
        <v>44393.0</v>
      </c>
      <c r="J511" s="55" t="s">
        <v>2879</v>
      </c>
      <c r="K511" s="15" t="s">
        <v>3389</v>
      </c>
      <c r="L511" s="33" t="str">
        <f t="shared" si="1"/>
        <v>Not in buy Zone</v>
      </c>
      <c r="M511" s="33" t="str">
        <f t="shared" si="2"/>
        <v>Not in buy Zone</v>
      </c>
      <c r="N511" s="33" t="str">
        <f t="shared" si="3"/>
        <v>No</v>
      </c>
    </row>
    <row r="512" ht="11.25" customHeight="1">
      <c r="A512" s="1" t="s">
        <v>540</v>
      </c>
      <c r="B512" s="1">
        <v>0.0</v>
      </c>
      <c r="C512" s="1">
        <v>0.0</v>
      </c>
      <c r="D512" s="1">
        <v>0.0</v>
      </c>
      <c r="E512" s="1">
        <v>248.38</v>
      </c>
      <c r="F512" s="54">
        <v>44383.0</v>
      </c>
      <c r="G512" s="1">
        <v>0.0</v>
      </c>
      <c r="H512" s="1">
        <v>246.78</v>
      </c>
      <c r="I512" s="14">
        <v>44393.0</v>
      </c>
      <c r="J512" s="55" t="s">
        <v>2879</v>
      </c>
      <c r="K512" s="15" t="s">
        <v>3390</v>
      </c>
      <c r="L512" s="33" t="str">
        <f t="shared" si="1"/>
        <v>Not in buy Zone</v>
      </c>
      <c r="M512" s="33" t="str">
        <f t="shared" si="2"/>
        <v>Not in buy Zone</v>
      </c>
      <c r="N512" s="33" t="str">
        <f t="shared" si="3"/>
        <v>No</v>
      </c>
    </row>
    <row r="513" ht="11.25" customHeight="1">
      <c r="A513" s="1" t="s">
        <v>541</v>
      </c>
      <c r="B513" s="1">
        <v>0.0</v>
      </c>
      <c r="C513" s="1">
        <v>0.0</v>
      </c>
      <c r="D513" s="1">
        <v>65.01</v>
      </c>
      <c r="E513" s="1">
        <v>0.0</v>
      </c>
      <c r="F513" s="54">
        <v>44386.0</v>
      </c>
      <c r="G513" s="1">
        <v>0.0</v>
      </c>
      <c r="H513" s="1">
        <v>64.7</v>
      </c>
      <c r="I513" s="14">
        <v>44393.0</v>
      </c>
      <c r="J513" s="55" t="s">
        <v>2879</v>
      </c>
      <c r="K513" s="15" t="s">
        <v>3391</v>
      </c>
      <c r="L513" s="33" t="str">
        <f t="shared" si="1"/>
        <v>Not in buy Zone</v>
      </c>
      <c r="M513" s="33" t="str">
        <f t="shared" si="2"/>
        <v>Not in buy Zone</v>
      </c>
      <c r="N513" s="33" t="str">
        <f t="shared" si="3"/>
        <v>No</v>
      </c>
    </row>
    <row r="514" ht="11.25" customHeight="1">
      <c r="A514" s="1" t="s">
        <v>542</v>
      </c>
      <c r="B514" s="1">
        <v>0.0</v>
      </c>
      <c r="C514" s="1">
        <v>0.0</v>
      </c>
      <c r="D514" s="1">
        <v>511.89</v>
      </c>
      <c r="E514" s="1">
        <v>0.0</v>
      </c>
      <c r="F514" s="54">
        <v>44351.0</v>
      </c>
      <c r="G514" s="1">
        <v>0.0</v>
      </c>
      <c r="H514" s="1">
        <v>583.24</v>
      </c>
      <c r="I514" s="14">
        <v>44393.0</v>
      </c>
      <c r="J514" s="55" t="s">
        <v>2879</v>
      </c>
      <c r="K514" s="15" t="s">
        <v>3392</v>
      </c>
      <c r="L514" s="33" t="str">
        <f t="shared" si="1"/>
        <v>Not in buy Zone</v>
      </c>
      <c r="M514" s="33" t="str">
        <f t="shared" si="2"/>
        <v>Not in buy Zone</v>
      </c>
      <c r="N514" s="33" t="str">
        <f t="shared" si="3"/>
        <v>No</v>
      </c>
    </row>
    <row r="515" ht="11.25" customHeight="1">
      <c r="A515" s="1" t="s">
        <v>543</v>
      </c>
      <c r="B515" s="1">
        <v>0.0</v>
      </c>
      <c r="C515" s="1">
        <v>0.0</v>
      </c>
      <c r="D515" s="1">
        <v>20.43</v>
      </c>
      <c r="E515" s="1">
        <v>0.0</v>
      </c>
      <c r="F515" s="54">
        <v>44378.0</v>
      </c>
      <c r="G515" s="1">
        <v>0.0</v>
      </c>
      <c r="H515" s="1">
        <v>19.01</v>
      </c>
      <c r="I515" s="14">
        <v>44393.0</v>
      </c>
      <c r="J515" s="55" t="s">
        <v>2879</v>
      </c>
      <c r="K515" s="15" t="s">
        <v>3393</v>
      </c>
      <c r="L515" s="33" t="str">
        <f t="shared" si="1"/>
        <v>Not in buy Zone</v>
      </c>
      <c r="M515" s="33" t="str">
        <f t="shared" si="2"/>
        <v>Not in buy Zone</v>
      </c>
      <c r="N515" s="33" t="str">
        <f t="shared" si="3"/>
        <v>No</v>
      </c>
    </row>
    <row r="516" ht="11.25" customHeight="1">
      <c r="A516" s="1" t="s">
        <v>544</v>
      </c>
      <c r="B516" s="1">
        <v>0.0</v>
      </c>
      <c r="C516" s="1">
        <v>0.0</v>
      </c>
      <c r="D516" s="1">
        <v>89.69</v>
      </c>
      <c r="E516" s="1">
        <v>0.0</v>
      </c>
      <c r="F516" s="54">
        <v>44372.0</v>
      </c>
      <c r="G516" s="1">
        <v>0.0</v>
      </c>
      <c r="H516" s="1">
        <v>85.98</v>
      </c>
      <c r="I516" s="14">
        <v>44393.0</v>
      </c>
      <c r="J516" s="55" t="s">
        <v>2879</v>
      </c>
      <c r="K516" s="15" t="s">
        <v>3394</v>
      </c>
      <c r="L516" s="33" t="str">
        <f t="shared" si="1"/>
        <v>Not in buy Zone</v>
      </c>
      <c r="M516" s="33" t="str">
        <f t="shared" si="2"/>
        <v>Not in buy Zone</v>
      </c>
      <c r="N516" s="33" t="str">
        <f t="shared" si="3"/>
        <v>No</v>
      </c>
    </row>
    <row r="517" ht="11.25" customHeight="1">
      <c r="A517" s="1" t="s">
        <v>545</v>
      </c>
      <c r="B517" s="1">
        <v>0.0</v>
      </c>
      <c r="C517" s="1">
        <v>0.0</v>
      </c>
      <c r="D517" s="1">
        <v>0.0</v>
      </c>
      <c r="E517" s="1">
        <v>33.72</v>
      </c>
      <c r="F517" s="54">
        <v>44385.0</v>
      </c>
      <c r="G517" s="1">
        <v>0.0</v>
      </c>
      <c r="H517" s="1">
        <v>27.28</v>
      </c>
      <c r="I517" s="14">
        <v>44393.0</v>
      </c>
      <c r="J517" s="55" t="s">
        <v>2879</v>
      </c>
      <c r="K517" s="15" t="s">
        <v>3395</v>
      </c>
      <c r="L517" s="33" t="str">
        <f t="shared" si="1"/>
        <v>Not in buy Zone</v>
      </c>
      <c r="M517" s="33" t="str">
        <f t="shared" si="2"/>
        <v>Not in buy Zone</v>
      </c>
      <c r="N517" s="33" t="str">
        <f t="shared" si="3"/>
        <v>No</v>
      </c>
    </row>
    <row r="518" ht="11.25" customHeight="1">
      <c r="A518" s="1" t="s">
        <v>546</v>
      </c>
      <c r="B518" s="1">
        <v>0.0</v>
      </c>
      <c r="C518" s="1">
        <v>0.0</v>
      </c>
      <c r="D518" s="1">
        <v>0.0</v>
      </c>
      <c r="E518" s="1">
        <v>127.25</v>
      </c>
      <c r="F518" s="54">
        <v>44385.0</v>
      </c>
      <c r="G518" s="1">
        <v>0.0</v>
      </c>
      <c r="H518" s="1">
        <v>128.65</v>
      </c>
      <c r="I518" s="14">
        <v>44393.0</v>
      </c>
      <c r="J518" s="55" t="s">
        <v>2879</v>
      </c>
      <c r="K518" s="15" t="s">
        <v>3396</v>
      </c>
      <c r="L518" s="33" t="str">
        <f t="shared" si="1"/>
        <v>Not in buy Zone</v>
      </c>
      <c r="M518" s="33" t="str">
        <f t="shared" si="2"/>
        <v>Not in buy Zone</v>
      </c>
      <c r="N518" s="33" t="str">
        <f t="shared" si="3"/>
        <v>No</v>
      </c>
    </row>
    <row r="519" ht="11.25" customHeight="1">
      <c r="A519" s="1" t="s">
        <v>547</v>
      </c>
      <c r="B519" s="1">
        <v>0.0</v>
      </c>
      <c r="C519" s="1">
        <v>0.0</v>
      </c>
      <c r="D519" s="1">
        <v>122.73</v>
      </c>
      <c r="E519" s="1">
        <v>0.0</v>
      </c>
      <c r="F519" s="54">
        <v>44358.0</v>
      </c>
      <c r="G519" s="1">
        <v>0.0</v>
      </c>
      <c r="H519" s="1">
        <v>108.68</v>
      </c>
      <c r="I519" s="14">
        <v>44393.0</v>
      </c>
      <c r="J519" s="55" t="s">
        <v>2879</v>
      </c>
      <c r="K519" s="15" t="s">
        <v>3397</v>
      </c>
      <c r="L519" s="33" t="str">
        <f t="shared" si="1"/>
        <v>Not in buy Zone</v>
      </c>
      <c r="M519" s="33" t="str">
        <f t="shared" si="2"/>
        <v>Not in buy Zone</v>
      </c>
      <c r="N519" s="33" t="str">
        <f t="shared" si="3"/>
        <v>No</v>
      </c>
    </row>
    <row r="520" ht="11.25" customHeight="1">
      <c r="A520" s="1" t="s">
        <v>548</v>
      </c>
      <c r="B520" s="1">
        <v>0.0</v>
      </c>
      <c r="C520" s="1">
        <v>0.0</v>
      </c>
      <c r="D520" s="1">
        <v>193.86</v>
      </c>
      <c r="E520" s="1">
        <v>0.0</v>
      </c>
      <c r="F520" s="54">
        <v>44335.0</v>
      </c>
      <c r="G520" s="1">
        <v>0.0</v>
      </c>
      <c r="H520" s="1">
        <v>253.19</v>
      </c>
      <c r="I520" s="14">
        <v>44393.0</v>
      </c>
      <c r="J520" s="55" t="s">
        <v>2879</v>
      </c>
      <c r="K520" s="15" t="s">
        <v>3398</v>
      </c>
      <c r="L520" s="33" t="str">
        <f t="shared" si="1"/>
        <v>Not in buy Zone</v>
      </c>
      <c r="M520" s="33" t="str">
        <f t="shared" si="2"/>
        <v>Not in buy Zone</v>
      </c>
      <c r="N520" s="33" t="str">
        <f t="shared" si="3"/>
        <v>No</v>
      </c>
    </row>
    <row r="521" ht="11.25" customHeight="1">
      <c r="A521" s="1" t="s">
        <v>549</v>
      </c>
      <c r="B521" s="1">
        <v>0.0</v>
      </c>
      <c r="C521" s="1">
        <v>0.0</v>
      </c>
      <c r="D521" s="1">
        <v>0.0</v>
      </c>
      <c r="E521" s="1">
        <v>270.99</v>
      </c>
      <c r="F521" s="54">
        <v>44364.0</v>
      </c>
      <c r="G521" s="1">
        <v>0.0</v>
      </c>
      <c r="H521" s="1">
        <v>293.92</v>
      </c>
      <c r="I521" s="14">
        <v>44393.0</v>
      </c>
      <c r="J521" s="55" t="s">
        <v>2879</v>
      </c>
      <c r="K521" s="15" t="s">
        <v>3399</v>
      </c>
      <c r="L521" s="33" t="str">
        <f t="shared" si="1"/>
        <v>Not in buy Zone</v>
      </c>
      <c r="M521" s="33" t="str">
        <f t="shared" si="2"/>
        <v>Not in buy Zone</v>
      </c>
      <c r="N521" s="33" t="str">
        <f t="shared" si="3"/>
        <v>No</v>
      </c>
    </row>
    <row r="522" ht="11.25" customHeight="1">
      <c r="A522" s="1" t="s">
        <v>550</v>
      </c>
      <c r="B522" s="1">
        <v>0.0</v>
      </c>
      <c r="C522" s="1">
        <v>0.0</v>
      </c>
      <c r="D522" s="1">
        <v>0.0</v>
      </c>
      <c r="E522" s="1">
        <v>323.8</v>
      </c>
      <c r="F522" s="54">
        <v>44350.0</v>
      </c>
      <c r="G522" s="1">
        <v>0.0</v>
      </c>
      <c r="H522" s="1">
        <v>399.99</v>
      </c>
      <c r="I522" s="14">
        <v>44393.0</v>
      </c>
      <c r="J522" s="55" t="s">
        <v>2879</v>
      </c>
      <c r="K522" s="15" t="s">
        <v>3400</v>
      </c>
      <c r="L522" s="33" t="str">
        <f t="shared" si="1"/>
        <v>Not in buy Zone</v>
      </c>
      <c r="M522" s="33" t="str">
        <f t="shared" si="2"/>
        <v>Not in buy Zone</v>
      </c>
      <c r="N522" s="33" t="str">
        <f t="shared" si="3"/>
        <v>No</v>
      </c>
    </row>
    <row r="523" ht="11.25" customHeight="1">
      <c r="A523" s="1" t="s">
        <v>551</v>
      </c>
      <c r="B523" s="1">
        <v>0.0</v>
      </c>
      <c r="C523" s="1">
        <v>0.0</v>
      </c>
      <c r="D523" s="1">
        <v>33.64</v>
      </c>
      <c r="E523" s="1">
        <v>0.0</v>
      </c>
      <c r="F523" s="54">
        <v>44361.0</v>
      </c>
      <c r="G523" s="1">
        <v>0.0</v>
      </c>
      <c r="H523" s="1">
        <v>35.97</v>
      </c>
      <c r="I523" s="14">
        <v>44393.0</v>
      </c>
      <c r="J523" s="55" t="s">
        <v>2879</v>
      </c>
      <c r="K523" s="15" t="s">
        <v>3401</v>
      </c>
      <c r="L523" s="33" t="str">
        <f t="shared" si="1"/>
        <v>Not in buy Zone</v>
      </c>
      <c r="M523" s="33" t="str">
        <f t="shared" si="2"/>
        <v>Not in buy Zone</v>
      </c>
      <c r="N523" s="33" t="str">
        <f t="shared" si="3"/>
        <v>No</v>
      </c>
    </row>
    <row r="524" ht="11.25" customHeight="1">
      <c r="A524" s="1" t="s">
        <v>552</v>
      </c>
      <c r="B524" s="1">
        <v>0.0</v>
      </c>
      <c r="C524" s="1">
        <v>0.0</v>
      </c>
      <c r="D524" s="1">
        <v>0.0</v>
      </c>
      <c r="E524" s="1">
        <v>449.41</v>
      </c>
      <c r="F524" s="54">
        <v>44365.0</v>
      </c>
      <c r="G524" s="1">
        <v>0.0</v>
      </c>
      <c r="H524" s="1">
        <v>485.98</v>
      </c>
      <c r="I524" s="14">
        <v>44393.0</v>
      </c>
      <c r="J524" s="55" t="s">
        <v>2879</v>
      </c>
      <c r="K524" s="15" t="s">
        <v>3402</v>
      </c>
      <c r="L524" s="33" t="str">
        <f t="shared" si="1"/>
        <v>Not in buy Zone</v>
      </c>
      <c r="M524" s="33" t="str">
        <f t="shared" si="2"/>
        <v>Not in buy Zone</v>
      </c>
      <c r="N524" s="33" t="str">
        <f t="shared" si="3"/>
        <v>No</v>
      </c>
    </row>
    <row r="525" ht="11.25" customHeight="1">
      <c r="A525" s="1" t="s">
        <v>553</v>
      </c>
      <c r="B525" s="1">
        <v>0.0</v>
      </c>
      <c r="C525" s="1">
        <v>0.0</v>
      </c>
      <c r="D525" s="1">
        <v>0.0</v>
      </c>
      <c r="E525" s="1">
        <v>121.67</v>
      </c>
      <c r="F525" s="54">
        <v>44385.0</v>
      </c>
      <c r="G525" s="1">
        <v>0.0</v>
      </c>
      <c r="H525" s="1">
        <v>119.49</v>
      </c>
      <c r="I525" s="14">
        <v>44393.0</v>
      </c>
      <c r="J525" s="55" t="s">
        <v>2879</v>
      </c>
      <c r="K525" s="15" t="s">
        <v>3403</v>
      </c>
      <c r="L525" s="33" t="str">
        <f t="shared" si="1"/>
        <v>Not in buy Zone</v>
      </c>
      <c r="M525" s="33" t="str">
        <f t="shared" si="2"/>
        <v>Not in buy Zone</v>
      </c>
      <c r="N525" s="33" t="str">
        <f t="shared" si="3"/>
        <v>No</v>
      </c>
    </row>
    <row r="526" ht="11.25" customHeight="1">
      <c r="A526" s="1" t="s">
        <v>554</v>
      </c>
      <c r="B526" s="1">
        <v>0.0</v>
      </c>
      <c r="C526" s="1">
        <v>0.0</v>
      </c>
      <c r="D526" s="1">
        <v>109.68</v>
      </c>
      <c r="E526" s="1">
        <v>0.0</v>
      </c>
      <c r="F526" s="54">
        <v>44376.0</v>
      </c>
      <c r="G526" s="1">
        <v>0.0</v>
      </c>
      <c r="H526" s="1">
        <v>115.24</v>
      </c>
      <c r="I526" s="14">
        <v>44393.0</v>
      </c>
      <c r="J526" s="55" t="s">
        <v>2879</v>
      </c>
      <c r="K526" s="15" t="s">
        <v>3404</v>
      </c>
      <c r="L526" s="33" t="str">
        <f t="shared" si="1"/>
        <v>Not in buy Zone</v>
      </c>
      <c r="M526" s="33" t="str">
        <f t="shared" si="2"/>
        <v>Not in buy Zone</v>
      </c>
      <c r="N526" s="33" t="str">
        <f t="shared" si="3"/>
        <v>No</v>
      </c>
    </row>
    <row r="527" ht="11.25" customHeight="1">
      <c r="A527" s="1" t="s">
        <v>555</v>
      </c>
      <c r="B527" s="1">
        <v>0.0</v>
      </c>
      <c r="C527" s="1">
        <v>0.0</v>
      </c>
      <c r="D527" s="1">
        <v>0.0</v>
      </c>
      <c r="E527" s="1">
        <v>149.87</v>
      </c>
      <c r="F527" s="54">
        <v>44385.0</v>
      </c>
      <c r="G527" s="1">
        <v>0.0</v>
      </c>
      <c r="H527" s="1">
        <v>149.31</v>
      </c>
      <c r="I527" s="14">
        <v>44393.0</v>
      </c>
      <c r="J527" s="55" t="s">
        <v>2879</v>
      </c>
      <c r="K527" s="15" t="s">
        <v>3405</v>
      </c>
      <c r="L527" s="33" t="str">
        <f t="shared" si="1"/>
        <v>Not in buy Zone</v>
      </c>
      <c r="M527" s="33" t="str">
        <f t="shared" si="2"/>
        <v>Not in buy Zone</v>
      </c>
      <c r="N527" s="33" t="str">
        <f t="shared" si="3"/>
        <v>No</v>
      </c>
    </row>
    <row r="528" ht="11.25" customHeight="1">
      <c r="A528" s="1" t="s">
        <v>556</v>
      </c>
      <c r="B528" s="1">
        <v>0.0</v>
      </c>
      <c r="C528" s="1">
        <v>0.0</v>
      </c>
      <c r="D528" s="1">
        <v>86.38</v>
      </c>
      <c r="E528" s="1">
        <v>0.0</v>
      </c>
      <c r="F528" s="54">
        <v>44386.0</v>
      </c>
      <c r="G528" s="1">
        <v>0.0</v>
      </c>
      <c r="H528" s="1">
        <v>83.53</v>
      </c>
      <c r="I528" s="14">
        <v>44393.0</v>
      </c>
      <c r="J528" s="55" t="s">
        <v>2879</v>
      </c>
      <c r="K528" s="15" t="s">
        <v>3406</v>
      </c>
      <c r="L528" s="33" t="str">
        <f t="shared" si="1"/>
        <v>Not in buy Zone</v>
      </c>
      <c r="M528" s="33" t="str">
        <f t="shared" si="2"/>
        <v>Not in buy Zone</v>
      </c>
      <c r="N528" s="33" t="str">
        <f t="shared" si="3"/>
        <v>No</v>
      </c>
    </row>
    <row r="529" ht="11.25" customHeight="1">
      <c r="A529" s="1" t="s">
        <v>557</v>
      </c>
      <c r="B529" s="1">
        <v>0.0</v>
      </c>
      <c r="C529" s="1">
        <v>0.0</v>
      </c>
      <c r="D529" s="1">
        <v>0.0</v>
      </c>
      <c r="E529" s="1">
        <v>53.69</v>
      </c>
      <c r="F529" s="54">
        <v>44384.0</v>
      </c>
      <c r="G529" s="1">
        <v>0.0</v>
      </c>
      <c r="H529" s="1">
        <v>46.35</v>
      </c>
      <c r="I529" s="14">
        <v>44393.0</v>
      </c>
      <c r="J529" s="55" t="s">
        <v>2879</v>
      </c>
      <c r="K529" s="15" t="s">
        <v>3407</v>
      </c>
      <c r="L529" s="33" t="str">
        <f t="shared" si="1"/>
        <v>Not in buy Zone</v>
      </c>
      <c r="M529" s="33" t="str">
        <f t="shared" si="2"/>
        <v>Not in buy Zone</v>
      </c>
      <c r="N529" s="33" t="str">
        <f t="shared" si="3"/>
        <v>No</v>
      </c>
    </row>
    <row r="530" ht="11.25" customHeight="1">
      <c r="A530" s="1" t="s">
        <v>558</v>
      </c>
      <c r="B530" s="1">
        <v>0.0</v>
      </c>
      <c r="C530" s="1">
        <v>0.0</v>
      </c>
      <c r="D530" s="1">
        <v>0.0</v>
      </c>
      <c r="E530" s="1">
        <v>82.43</v>
      </c>
      <c r="F530" s="54">
        <v>44392.0</v>
      </c>
      <c r="G530" s="1">
        <v>0.0</v>
      </c>
      <c r="H530" s="1">
        <v>80.09</v>
      </c>
      <c r="I530" s="14">
        <v>44393.0</v>
      </c>
      <c r="J530" s="55" t="s">
        <v>2879</v>
      </c>
      <c r="K530" s="15" t="s">
        <v>3408</v>
      </c>
      <c r="L530" s="33" t="str">
        <f t="shared" si="1"/>
        <v>Not in buy Zone</v>
      </c>
      <c r="M530" s="33" t="str">
        <f t="shared" si="2"/>
        <v>Not in buy Zone</v>
      </c>
      <c r="N530" s="33" t="str">
        <f t="shared" si="3"/>
        <v>No</v>
      </c>
    </row>
    <row r="531" ht="11.25" customHeight="1">
      <c r="A531" s="1" t="s">
        <v>559</v>
      </c>
      <c r="B531" s="1">
        <v>0.0</v>
      </c>
      <c r="C531" s="1">
        <v>0.0</v>
      </c>
      <c r="D531" s="1">
        <v>0.0</v>
      </c>
      <c r="E531" s="1">
        <v>35.33</v>
      </c>
      <c r="F531" s="54">
        <v>44351.0</v>
      </c>
      <c r="G531" s="1">
        <v>0.0</v>
      </c>
      <c r="H531" s="1">
        <v>26.36</v>
      </c>
      <c r="I531" s="14">
        <v>44393.0</v>
      </c>
      <c r="J531" s="55" t="s">
        <v>2879</v>
      </c>
      <c r="K531" s="15" t="s">
        <v>3409</v>
      </c>
      <c r="L531" s="33" t="str">
        <f t="shared" si="1"/>
        <v>Not in buy Zone</v>
      </c>
      <c r="M531" s="33" t="str">
        <f t="shared" si="2"/>
        <v>Not in buy Zone</v>
      </c>
      <c r="N531" s="33" t="str">
        <f t="shared" si="3"/>
        <v>No</v>
      </c>
    </row>
    <row r="532" ht="11.25" customHeight="1">
      <c r="A532" s="1" t="s">
        <v>560</v>
      </c>
      <c r="B532" s="1">
        <v>0.0</v>
      </c>
      <c r="C532" s="1">
        <v>0.0</v>
      </c>
      <c r="D532" s="1">
        <v>0.0</v>
      </c>
      <c r="E532" s="1">
        <v>317.22</v>
      </c>
      <c r="F532" s="54">
        <v>44370.0</v>
      </c>
      <c r="G532" s="1">
        <v>0.0</v>
      </c>
      <c r="H532" s="1">
        <v>334.11</v>
      </c>
      <c r="I532" s="14">
        <v>44393.0</v>
      </c>
      <c r="J532" s="55" t="s">
        <v>2879</v>
      </c>
      <c r="K532" s="15" t="s">
        <v>3410</v>
      </c>
      <c r="L532" s="33" t="str">
        <f t="shared" si="1"/>
        <v>Not in buy Zone</v>
      </c>
      <c r="M532" s="33" t="str">
        <f t="shared" si="2"/>
        <v>Not in buy Zone</v>
      </c>
      <c r="N532" s="33" t="str">
        <f t="shared" si="3"/>
        <v>No</v>
      </c>
    </row>
    <row r="533" ht="11.25" customHeight="1">
      <c r="A533" s="1" t="s">
        <v>561</v>
      </c>
      <c r="B533" s="1">
        <v>0.0</v>
      </c>
      <c r="C533" s="1">
        <v>0.0</v>
      </c>
      <c r="D533" s="1">
        <v>112.56</v>
      </c>
      <c r="E533" s="1">
        <v>0.0</v>
      </c>
      <c r="F533" s="54">
        <v>44358.0</v>
      </c>
      <c r="G533" s="1">
        <v>0.0</v>
      </c>
      <c r="H533" s="1">
        <v>118.73</v>
      </c>
      <c r="I533" s="14">
        <v>44393.0</v>
      </c>
      <c r="J533" s="55" t="s">
        <v>2879</v>
      </c>
      <c r="K533" s="15" t="s">
        <v>3411</v>
      </c>
      <c r="L533" s="33" t="str">
        <f t="shared" si="1"/>
        <v>Not in buy Zone</v>
      </c>
      <c r="M533" s="33" t="str">
        <f t="shared" si="2"/>
        <v>Not in buy Zone</v>
      </c>
      <c r="N533" s="33" t="str">
        <f t="shared" si="3"/>
        <v>No</v>
      </c>
    </row>
    <row r="534" ht="11.25" customHeight="1">
      <c r="A534" s="1" t="s">
        <v>562</v>
      </c>
      <c r="B534" s="1">
        <v>0.0</v>
      </c>
      <c r="C534" s="1">
        <v>0.0</v>
      </c>
      <c r="D534" s="1">
        <v>39.67</v>
      </c>
      <c r="E534" s="1">
        <v>0.0</v>
      </c>
      <c r="F534" s="54">
        <v>44386.0</v>
      </c>
      <c r="G534" s="1">
        <v>0.0</v>
      </c>
      <c r="H534" s="1">
        <v>39.08</v>
      </c>
      <c r="I534" s="14">
        <v>44393.0</v>
      </c>
      <c r="J534" s="55" t="s">
        <v>2879</v>
      </c>
      <c r="K534" s="15" t="s">
        <v>3412</v>
      </c>
      <c r="L534" s="33" t="str">
        <f t="shared" si="1"/>
        <v>Not in buy Zone</v>
      </c>
      <c r="M534" s="33" t="str">
        <f t="shared" si="2"/>
        <v>Not in buy Zone</v>
      </c>
      <c r="N534" s="33" t="str">
        <f t="shared" si="3"/>
        <v>No</v>
      </c>
    </row>
    <row r="535" ht="11.25" customHeight="1">
      <c r="A535" s="1" t="s">
        <v>563</v>
      </c>
      <c r="B535" s="1">
        <v>0.0</v>
      </c>
      <c r="C535" s="1">
        <v>0.0</v>
      </c>
      <c r="D535" s="1">
        <v>0.0</v>
      </c>
      <c r="E535" s="1">
        <v>62.25</v>
      </c>
      <c r="F535" s="54">
        <v>44378.0</v>
      </c>
      <c r="G535" s="1">
        <v>0.0</v>
      </c>
      <c r="H535" s="1">
        <v>63.1</v>
      </c>
      <c r="I535" s="14">
        <v>44393.0</v>
      </c>
      <c r="J535" s="55" t="s">
        <v>2879</v>
      </c>
      <c r="K535" s="15" t="s">
        <v>3413</v>
      </c>
      <c r="L535" s="33" t="str">
        <f t="shared" si="1"/>
        <v>Not in buy Zone</v>
      </c>
      <c r="M535" s="33" t="str">
        <f t="shared" si="2"/>
        <v>Not in buy Zone</v>
      </c>
      <c r="N535" s="33" t="str">
        <f t="shared" si="3"/>
        <v>No</v>
      </c>
    </row>
    <row r="536" ht="11.25" customHeight="1">
      <c r="A536" s="1" t="s">
        <v>564</v>
      </c>
      <c r="B536" s="1">
        <v>0.0</v>
      </c>
      <c r="C536" s="1">
        <v>0.0</v>
      </c>
      <c r="D536" s="1">
        <v>0.0</v>
      </c>
      <c r="E536" s="1">
        <v>72.8</v>
      </c>
      <c r="F536" s="54">
        <v>44379.0</v>
      </c>
      <c r="G536" s="1">
        <v>0.0</v>
      </c>
      <c r="H536" s="1">
        <v>68.89</v>
      </c>
      <c r="I536" s="14">
        <v>44393.0</v>
      </c>
      <c r="J536" s="55" t="s">
        <v>2879</v>
      </c>
      <c r="K536" s="15" t="s">
        <v>3414</v>
      </c>
      <c r="L536" s="33" t="str">
        <f t="shared" si="1"/>
        <v>Not in buy Zone</v>
      </c>
      <c r="M536" s="33" t="str">
        <f t="shared" si="2"/>
        <v>Not in buy Zone</v>
      </c>
      <c r="N536" s="33" t="str">
        <f t="shared" si="3"/>
        <v>No</v>
      </c>
    </row>
    <row r="537" ht="11.25" customHeight="1">
      <c r="A537" s="1" t="s">
        <v>565</v>
      </c>
      <c r="B537" s="1">
        <v>0.0</v>
      </c>
      <c r="C537" s="1">
        <v>0.0</v>
      </c>
      <c r="D537" s="1">
        <v>0.0</v>
      </c>
      <c r="E537" s="1">
        <v>44.97</v>
      </c>
      <c r="F537" s="54">
        <v>44274.0</v>
      </c>
      <c r="G537" s="1">
        <v>0.0</v>
      </c>
      <c r="H537" s="1">
        <v>55.99</v>
      </c>
      <c r="I537" s="14">
        <v>44393.0</v>
      </c>
      <c r="J537" s="55" t="s">
        <v>2879</v>
      </c>
      <c r="K537" s="15" t="s">
        <v>3415</v>
      </c>
      <c r="L537" s="33" t="str">
        <f t="shared" si="1"/>
        <v>Not in buy Zone</v>
      </c>
      <c r="M537" s="33" t="str">
        <f t="shared" si="2"/>
        <v>Not in buy Zone</v>
      </c>
      <c r="N537" s="33" t="str">
        <f t="shared" si="3"/>
        <v>No</v>
      </c>
    </row>
    <row r="538" ht="11.25" customHeight="1">
      <c r="A538" s="1" t="s">
        <v>566</v>
      </c>
      <c r="B538" s="1">
        <v>0.0</v>
      </c>
      <c r="C538" s="1">
        <v>0.0</v>
      </c>
      <c r="D538" s="1">
        <v>26.54</v>
      </c>
      <c r="E538" s="1">
        <v>0.0</v>
      </c>
      <c r="F538" s="54">
        <v>44386.0</v>
      </c>
      <c r="G538" s="1">
        <v>0.0</v>
      </c>
      <c r="H538" s="1">
        <v>25.71</v>
      </c>
      <c r="I538" s="14">
        <v>44393.0</v>
      </c>
      <c r="J538" s="55" t="s">
        <v>2879</v>
      </c>
      <c r="K538" s="15" t="s">
        <v>3416</v>
      </c>
      <c r="L538" s="33" t="str">
        <f t="shared" si="1"/>
        <v>Not in buy Zone</v>
      </c>
      <c r="M538" s="33" t="str">
        <f t="shared" si="2"/>
        <v>Not in buy Zone</v>
      </c>
      <c r="N538" s="33" t="str">
        <f t="shared" si="3"/>
        <v>No</v>
      </c>
    </row>
    <row r="539" ht="11.25" customHeight="1">
      <c r="A539" s="1" t="s">
        <v>567</v>
      </c>
      <c r="B539" s="1">
        <v>0.0</v>
      </c>
      <c r="C539" s="1">
        <v>0.0</v>
      </c>
      <c r="D539" s="1">
        <v>0.0</v>
      </c>
      <c r="E539" s="1">
        <v>148.16</v>
      </c>
      <c r="F539" s="54">
        <v>44349.0</v>
      </c>
      <c r="G539" s="1">
        <v>0.0</v>
      </c>
      <c r="H539" s="1">
        <v>146.39</v>
      </c>
      <c r="I539" s="14">
        <v>44393.0</v>
      </c>
      <c r="J539" s="55" t="s">
        <v>2879</v>
      </c>
      <c r="K539" s="15" t="s">
        <v>3417</v>
      </c>
      <c r="L539" s="33" t="str">
        <f t="shared" si="1"/>
        <v>Not in buy Zone</v>
      </c>
      <c r="M539" s="33" t="str">
        <f t="shared" si="2"/>
        <v>Not in buy Zone</v>
      </c>
      <c r="N539" s="33" t="str">
        <f t="shared" si="3"/>
        <v>No</v>
      </c>
    </row>
    <row r="540" ht="11.25" customHeight="1">
      <c r="A540" s="1" t="s">
        <v>568</v>
      </c>
      <c r="B540" s="1">
        <v>0.0</v>
      </c>
      <c r="C540" s="1">
        <v>0.0</v>
      </c>
      <c r="D540" s="1">
        <v>273.99</v>
      </c>
      <c r="E540" s="1">
        <v>0.0</v>
      </c>
      <c r="F540" s="54">
        <v>44372.0</v>
      </c>
      <c r="G540" s="1">
        <v>0.0</v>
      </c>
      <c r="H540" s="1">
        <v>282.41</v>
      </c>
      <c r="I540" s="14">
        <v>44393.0</v>
      </c>
      <c r="J540" s="55" t="s">
        <v>2879</v>
      </c>
      <c r="K540" s="15" t="s">
        <v>3418</v>
      </c>
      <c r="L540" s="33" t="str">
        <f t="shared" si="1"/>
        <v>Not in buy Zone</v>
      </c>
      <c r="M540" s="33" t="str">
        <f t="shared" si="2"/>
        <v>Not in buy Zone</v>
      </c>
      <c r="N540" s="33" t="str">
        <f t="shared" si="3"/>
        <v>No</v>
      </c>
    </row>
    <row r="541" ht="11.25" customHeight="1">
      <c r="A541" s="1" t="s">
        <v>569</v>
      </c>
      <c r="B541" s="1">
        <v>0.0</v>
      </c>
      <c r="C541" s="1">
        <v>0.0</v>
      </c>
      <c r="D541" s="1">
        <v>0.0</v>
      </c>
      <c r="E541" s="1">
        <v>86.13</v>
      </c>
      <c r="F541" s="54">
        <v>44390.0</v>
      </c>
      <c r="G541" s="1">
        <v>0.0</v>
      </c>
      <c r="H541" s="1">
        <v>86.19</v>
      </c>
      <c r="I541" s="14">
        <v>44393.0</v>
      </c>
      <c r="J541" s="55" t="s">
        <v>2879</v>
      </c>
      <c r="K541" s="15" t="s">
        <v>3419</v>
      </c>
      <c r="L541" s="33" t="str">
        <f t="shared" si="1"/>
        <v>Not in buy Zone</v>
      </c>
      <c r="M541" s="33" t="str">
        <f t="shared" si="2"/>
        <v>Not in buy Zone</v>
      </c>
      <c r="N541" s="33" t="str">
        <f t="shared" si="3"/>
        <v>No</v>
      </c>
    </row>
    <row r="542" ht="11.25" customHeight="1">
      <c r="A542" s="1" t="s">
        <v>570</v>
      </c>
      <c r="B542" s="1">
        <v>0.0</v>
      </c>
      <c r="C542" s="1">
        <v>0.0</v>
      </c>
      <c r="D542" s="1">
        <v>0.0</v>
      </c>
      <c r="E542" s="1">
        <v>6.46</v>
      </c>
      <c r="F542" s="54">
        <v>44385.0</v>
      </c>
      <c r="G542" s="1">
        <v>0.0</v>
      </c>
      <c r="H542" s="1">
        <v>6.39</v>
      </c>
      <c r="I542" s="14">
        <v>44393.0</v>
      </c>
      <c r="J542" s="55" t="s">
        <v>2879</v>
      </c>
      <c r="K542" s="15" t="s">
        <v>3420</v>
      </c>
      <c r="L542" s="33" t="str">
        <f t="shared" si="1"/>
        <v>Not in buy Zone</v>
      </c>
      <c r="M542" s="33" t="str">
        <f t="shared" si="2"/>
        <v>Not in buy Zone</v>
      </c>
      <c r="N542" s="33" t="str">
        <f t="shared" si="3"/>
        <v>No</v>
      </c>
    </row>
    <row r="543" ht="11.25" customHeight="1">
      <c r="A543" s="1" t="s">
        <v>571</v>
      </c>
      <c r="B543" s="1">
        <v>0.0</v>
      </c>
      <c r="C543" s="1">
        <v>0.0</v>
      </c>
      <c r="D543" s="1">
        <v>0.0</v>
      </c>
      <c r="E543" s="1">
        <v>550.01</v>
      </c>
      <c r="F543" s="54">
        <v>44383.0</v>
      </c>
      <c r="G543" s="1">
        <v>0.0</v>
      </c>
      <c r="H543" s="1">
        <v>561.76</v>
      </c>
      <c r="I543" s="14">
        <v>44393.0</v>
      </c>
      <c r="J543" s="55" t="s">
        <v>2879</v>
      </c>
      <c r="K543" s="15" t="s">
        <v>3421</v>
      </c>
      <c r="L543" s="33" t="str">
        <f t="shared" si="1"/>
        <v>Not in buy Zone</v>
      </c>
      <c r="M543" s="33" t="str">
        <f t="shared" si="2"/>
        <v>Not in buy Zone</v>
      </c>
      <c r="N543" s="33" t="str">
        <f t="shared" si="3"/>
        <v>No</v>
      </c>
    </row>
    <row r="544" ht="11.25" customHeight="1">
      <c r="A544" s="1" t="s">
        <v>572</v>
      </c>
      <c r="B544" s="1">
        <v>0.0</v>
      </c>
      <c r="C544" s="1">
        <v>0.0</v>
      </c>
      <c r="D544" s="1">
        <v>130.85</v>
      </c>
      <c r="E544" s="1">
        <v>0.0</v>
      </c>
      <c r="F544" s="54">
        <v>44386.0</v>
      </c>
      <c r="G544" s="1">
        <v>0.0</v>
      </c>
      <c r="H544" s="1">
        <v>133.1</v>
      </c>
      <c r="I544" s="14">
        <v>44393.0</v>
      </c>
      <c r="J544" s="55" t="s">
        <v>2879</v>
      </c>
      <c r="K544" s="15" t="s">
        <v>3422</v>
      </c>
      <c r="L544" s="33" t="str">
        <f t="shared" si="1"/>
        <v>Not in buy Zone</v>
      </c>
      <c r="M544" s="33" t="str">
        <f t="shared" si="2"/>
        <v>Not in buy Zone</v>
      </c>
      <c r="N544" s="33" t="str">
        <f t="shared" si="3"/>
        <v>No</v>
      </c>
    </row>
    <row r="545" ht="11.25" customHeight="1">
      <c r="A545" s="1" t="s">
        <v>573</v>
      </c>
      <c r="B545" s="1">
        <v>0.0</v>
      </c>
      <c r="C545" s="1">
        <v>0.0</v>
      </c>
      <c r="D545" s="1">
        <v>0.0</v>
      </c>
      <c r="E545" s="1">
        <v>27.5</v>
      </c>
      <c r="F545" s="54">
        <v>44378.0</v>
      </c>
      <c r="G545" s="1">
        <v>0.0</v>
      </c>
      <c r="H545" s="1">
        <v>27.45</v>
      </c>
      <c r="I545" s="14">
        <v>44393.0</v>
      </c>
      <c r="J545" s="55" t="s">
        <v>2879</v>
      </c>
      <c r="K545" s="15" t="s">
        <v>3423</v>
      </c>
      <c r="L545" s="33" t="str">
        <f t="shared" si="1"/>
        <v>Not in buy Zone</v>
      </c>
      <c r="M545" s="33" t="str">
        <f t="shared" si="2"/>
        <v>Not in buy Zone</v>
      </c>
      <c r="N545" s="33" t="str">
        <f t="shared" si="3"/>
        <v>No</v>
      </c>
    </row>
    <row r="546" ht="11.25" customHeight="1">
      <c r="A546" s="1" t="s">
        <v>574</v>
      </c>
      <c r="B546" s="1">
        <v>0.0</v>
      </c>
      <c r="C546" s="1">
        <v>0.0</v>
      </c>
      <c r="D546" s="1">
        <v>33.07</v>
      </c>
      <c r="E546" s="1">
        <v>0.0</v>
      </c>
      <c r="F546" s="54">
        <v>44378.0</v>
      </c>
      <c r="G546" s="1">
        <v>0.0</v>
      </c>
      <c r="H546" s="1">
        <v>27.87</v>
      </c>
      <c r="I546" s="14">
        <v>44393.0</v>
      </c>
      <c r="J546" s="55" t="s">
        <v>2879</v>
      </c>
      <c r="K546" s="15" t="s">
        <v>3424</v>
      </c>
      <c r="L546" s="33" t="str">
        <f t="shared" si="1"/>
        <v>Not in buy Zone</v>
      </c>
      <c r="M546" s="33" t="str">
        <f t="shared" si="2"/>
        <v>Not in buy Zone</v>
      </c>
      <c r="N546" s="33" t="str">
        <f t="shared" si="3"/>
        <v>No</v>
      </c>
    </row>
    <row r="547" ht="11.25" customHeight="1">
      <c r="A547" s="1" t="s">
        <v>575</v>
      </c>
      <c r="B547" s="1">
        <v>0.0</v>
      </c>
      <c r="C547" s="1">
        <v>0.0</v>
      </c>
      <c r="D547" s="1">
        <v>0.0</v>
      </c>
      <c r="E547" s="1">
        <v>246.93</v>
      </c>
      <c r="F547" s="54">
        <v>44365.0</v>
      </c>
      <c r="G547" s="1">
        <v>0.0</v>
      </c>
      <c r="H547" s="1">
        <v>246.85</v>
      </c>
      <c r="I547" s="14">
        <v>44393.0</v>
      </c>
      <c r="J547" s="55" t="s">
        <v>2879</v>
      </c>
      <c r="K547" s="15" t="s">
        <v>3425</v>
      </c>
      <c r="L547" s="33" t="str">
        <f t="shared" si="1"/>
        <v>Not in buy Zone</v>
      </c>
      <c r="M547" s="33" t="str">
        <f t="shared" si="2"/>
        <v>Not in buy Zone</v>
      </c>
      <c r="N547" s="33" t="str">
        <f t="shared" si="3"/>
        <v>No</v>
      </c>
    </row>
    <row r="548" ht="11.25" customHeight="1">
      <c r="A548" s="1" t="s">
        <v>576</v>
      </c>
      <c r="B548" s="1">
        <v>0.0</v>
      </c>
      <c r="C548" s="1">
        <v>219.8</v>
      </c>
      <c r="D548" s="1">
        <v>0.0</v>
      </c>
      <c r="E548" s="1">
        <v>0.0</v>
      </c>
      <c r="F548" s="54">
        <v>44393.0</v>
      </c>
      <c r="G548" s="1">
        <v>-1.0</v>
      </c>
      <c r="H548" s="1">
        <v>219.8</v>
      </c>
      <c r="I548" s="14">
        <v>44393.0</v>
      </c>
      <c r="J548" s="55" t="s">
        <v>2879</v>
      </c>
      <c r="K548" s="15" t="s">
        <v>3426</v>
      </c>
      <c r="L548" s="33" t="str">
        <f t="shared" si="1"/>
        <v>Not in buy Zone</v>
      </c>
      <c r="M548" s="33" t="str">
        <f t="shared" si="2"/>
        <v>Not in buy Zone</v>
      </c>
      <c r="N548" s="33" t="str">
        <f t="shared" si="3"/>
        <v>No</v>
      </c>
    </row>
    <row r="549" ht="11.25" customHeight="1">
      <c r="A549" s="1" t="s">
        <v>577</v>
      </c>
      <c r="B549" s="1">
        <v>0.0</v>
      </c>
      <c r="C549" s="1">
        <v>0.0</v>
      </c>
      <c r="D549" s="1">
        <v>0.0</v>
      </c>
      <c r="E549" s="1">
        <v>60.2</v>
      </c>
      <c r="F549" s="54">
        <v>44363.0</v>
      </c>
      <c r="G549" s="1">
        <v>0.0</v>
      </c>
      <c r="H549" s="1">
        <v>59.31</v>
      </c>
      <c r="I549" s="14">
        <v>44393.0</v>
      </c>
      <c r="J549" s="55" t="s">
        <v>2879</v>
      </c>
      <c r="K549" s="15" t="s">
        <v>3427</v>
      </c>
      <c r="L549" s="33" t="str">
        <f t="shared" si="1"/>
        <v>Not in buy Zone</v>
      </c>
      <c r="M549" s="33" t="str">
        <f t="shared" si="2"/>
        <v>Not in buy Zone</v>
      </c>
      <c r="N549" s="33" t="str">
        <f t="shared" si="3"/>
        <v>No</v>
      </c>
    </row>
    <row r="550" ht="11.25" customHeight="1">
      <c r="A550" s="1" t="s">
        <v>578</v>
      </c>
      <c r="B550" s="1">
        <v>0.0</v>
      </c>
      <c r="C550" s="1">
        <v>0.0</v>
      </c>
      <c r="D550" s="1">
        <v>248.75</v>
      </c>
      <c r="E550" s="1">
        <v>0.0</v>
      </c>
      <c r="F550" s="54">
        <v>44384.0</v>
      </c>
      <c r="G550" s="1">
        <v>0.0</v>
      </c>
      <c r="H550" s="1">
        <v>250.82</v>
      </c>
      <c r="I550" s="14">
        <v>44393.0</v>
      </c>
      <c r="J550" s="55" t="s">
        <v>2879</v>
      </c>
      <c r="K550" s="15" t="s">
        <v>3428</v>
      </c>
      <c r="L550" s="33" t="str">
        <f t="shared" si="1"/>
        <v>Not in buy Zone</v>
      </c>
      <c r="M550" s="33" t="str">
        <f t="shared" si="2"/>
        <v>Not in buy Zone</v>
      </c>
      <c r="N550" s="33" t="str">
        <f t="shared" si="3"/>
        <v>No</v>
      </c>
    </row>
    <row r="551" ht="11.25" customHeight="1">
      <c r="A551" s="1" t="s">
        <v>579</v>
      </c>
      <c r="B551" s="1">
        <v>0.0</v>
      </c>
      <c r="C551" s="1">
        <v>276.56</v>
      </c>
      <c r="D551" s="1">
        <v>0.0</v>
      </c>
      <c r="E551" s="1">
        <v>0.0</v>
      </c>
      <c r="F551" s="54">
        <v>44393.0</v>
      </c>
      <c r="G551" s="1">
        <v>-1.0</v>
      </c>
      <c r="H551" s="1">
        <v>276.56</v>
      </c>
      <c r="I551" s="14">
        <v>44393.0</v>
      </c>
      <c r="J551" s="55" t="s">
        <v>2879</v>
      </c>
      <c r="K551" s="15" t="s">
        <v>3429</v>
      </c>
      <c r="L551" s="33" t="str">
        <f t="shared" si="1"/>
        <v>Not in buy Zone</v>
      </c>
      <c r="M551" s="33" t="str">
        <f t="shared" si="2"/>
        <v>Not in buy Zone</v>
      </c>
      <c r="N551" s="33" t="str">
        <f t="shared" si="3"/>
        <v>No</v>
      </c>
    </row>
    <row r="552" ht="11.25" customHeight="1">
      <c r="A552" s="1" t="s">
        <v>580</v>
      </c>
      <c r="B552" s="1">
        <v>0.0</v>
      </c>
      <c r="C552" s="1">
        <v>0.0</v>
      </c>
      <c r="D552" s="1">
        <v>0.0</v>
      </c>
      <c r="E552" s="1">
        <v>61.34</v>
      </c>
      <c r="F552" s="54">
        <v>44390.0</v>
      </c>
      <c r="G552" s="1">
        <v>0.0</v>
      </c>
      <c r="H552" s="1">
        <v>63.11</v>
      </c>
      <c r="I552" s="14">
        <v>44393.0</v>
      </c>
      <c r="J552" s="55" t="s">
        <v>2879</v>
      </c>
      <c r="K552" s="15" t="s">
        <v>3430</v>
      </c>
      <c r="L552" s="33" t="str">
        <f t="shared" si="1"/>
        <v>Not in buy Zone</v>
      </c>
      <c r="M552" s="33" t="str">
        <f t="shared" si="2"/>
        <v>Not in buy Zone</v>
      </c>
      <c r="N552" s="33" t="str">
        <f t="shared" si="3"/>
        <v>No</v>
      </c>
    </row>
    <row r="553" ht="11.25" customHeight="1">
      <c r="A553" s="1" t="s">
        <v>581</v>
      </c>
      <c r="B553" s="1">
        <v>0.0</v>
      </c>
      <c r="C553" s="1">
        <v>0.0</v>
      </c>
      <c r="D553" s="1">
        <v>0.0</v>
      </c>
      <c r="E553" s="1">
        <v>34.19</v>
      </c>
      <c r="F553" s="54">
        <v>44384.0</v>
      </c>
      <c r="G553" s="1">
        <v>0.0</v>
      </c>
      <c r="H553" s="1">
        <v>32.4</v>
      </c>
      <c r="I553" s="14">
        <v>44393.0</v>
      </c>
      <c r="J553" s="55" t="s">
        <v>2879</v>
      </c>
      <c r="K553" s="15" t="s">
        <v>3431</v>
      </c>
      <c r="L553" s="33" t="str">
        <f t="shared" si="1"/>
        <v>Not in buy Zone</v>
      </c>
      <c r="M553" s="33" t="str">
        <f t="shared" si="2"/>
        <v>Not in buy Zone</v>
      </c>
      <c r="N553" s="33" t="str">
        <f t="shared" si="3"/>
        <v>No</v>
      </c>
    </row>
    <row r="554" ht="11.25" customHeight="1">
      <c r="A554" s="1" t="s">
        <v>582</v>
      </c>
      <c r="B554" s="1">
        <v>0.0</v>
      </c>
      <c r="C554" s="1">
        <v>0.0</v>
      </c>
      <c r="D554" s="1">
        <v>0.0</v>
      </c>
      <c r="E554" s="1">
        <v>40.69</v>
      </c>
      <c r="F554" s="54">
        <v>44389.0</v>
      </c>
      <c r="G554" s="1">
        <v>0.0</v>
      </c>
      <c r="H554" s="1">
        <v>30.2</v>
      </c>
      <c r="I554" s="14">
        <v>44393.0</v>
      </c>
      <c r="J554" s="55" t="s">
        <v>2879</v>
      </c>
      <c r="K554" s="15" t="s">
        <v>3432</v>
      </c>
      <c r="L554" s="33" t="str">
        <f t="shared" si="1"/>
        <v>Not in buy Zone</v>
      </c>
      <c r="M554" s="33" t="str">
        <f t="shared" si="2"/>
        <v>Not in buy Zone</v>
      </c>
      <c r="N554" s="33" t="str">
        <f t="shared" si="3"/>
        <v>No</v>
      </c>
    </row>
    <row r="555" ht="11.25" customHeight="1">
      <c r="A555" s="1" t="s">
        <v>583</v>
      </c>
      <c r="B555" s="1">
        <v>0.0</v>
      </c>
      <c r="C555" s="1">
        <v>0.0</v>
      </c>
      <c r="D555" s="1">
        <v>132.21</v>
      </c>
      <c r="E555" s="1">
        <v>0.0</v>
      </c>
      <c r="F555" s="54">
        <v>44370.0</v>
      </c>
      <c r="G555" s="1">
        <v>0.0</v>
      </c>
      <c r="H555" s="1">
        <v>124.5</v>
      </c>
      <c r="I555" s="14">
        <v>44393.0</v>
      </c>
      <c r="J555" s="55" t="s">
        <v>2879</v>
      </c>
      <c r="K555" s="15" t="s">
        <v>3433</v>
      </c>
      <c r="L555" s="33" t="str">
        <f t="shared" si="1"/>
        <v>Not in buy Zone</v>
      </c>
      <c r="M555" s="33" t="str">
        <f t="shared" si="2"/>
        <v>Not in buy Zone</v>
      </c>
      <c r="N555" s="33" t="str">
        <f t="shared" si="3"/>
        <v>No</v>
      </c>
    </row>
    <row r="556" ht="11.25" customHeight="1">
      <c r="A556" s="1" t="s">
        <v>584</v>
      </c>
      <c r="B556" s="1">
        <v>414.42</v>
      </c>
      <c r="C556" s="1">
        <v>0.0</v>
      </c>
      <c r="D556" s="1">
        <v>0.0</v>
      </c>
      <c r="E556" s="1">
        <v>0.0</v>
      </c>
      <c r="F556" s="54">
        <v>44393.0</v>
      </c>
      <c r="G556" s="1">
        <v>1.0</v>
      </c>
      <c r="H556" s="1">
        <v>414.42</v>
      </c>
      <c r="I556" s="14">
        <v>44393.0</v>
      </c>
      <c r="J556" s="55" t="s">
        <v>2879</v>
      </c>
      <c r="K556" s="15" t="s">
        <v>3434</v>
      </c>
      <c r="L556" s="33">
        <f t="shared" si="1"/>
        <v>416.4921</v>
      </c>
      <c r="M556" s="33">
        <f t="shared" si="2"/>
        <v>412.3479</v>
      </c>
      <c r="N556" s="33" t="str">
        <f t="shared" si="3"/>
        <v>Yes</v>
      </c>
    </row>
    <row r="557" ht="11.25" customHeight="1">
      <c r="A557" s="1" t="s">
        <v>585</v>
      </c>
      <c r="B557" s="1">
        <v>0.0</v>
      </c>
      <c r="C557" s="1">
        <v>0.0</v>
      </c>
      <c r="D557" s="1">
        <v>0.0</v>
      </c>
      <c r="E557" s="1">
        <v>36.67</v>
      </c>
      <c r="F557" s="54">
        <v>44390.0</v>
      </c>
      <c r="G557" s="1">
        <v>0.0</v>
      </c>
      <c r="H557" s="1">
        <v>36.77</v>
      </c>
      <c r="I557" s="14">
        <v>44393.0</v>
      </c>
      <c r="J557" s="55" t="s">
        <v>2879</v>
      </c>
      <c r="K557" s="15" t="s">
        <v>3435</v>
      </c>
      <c r="L557" s="33" t="str">
        <f t="shared" si="1"/>
        <v>Not in buy Zone</v>
      </c>
      <c r="M557" s="33" t="str">
        <f t="shared" si="2"/>
        <v>Not in buy Zone</v>
      </c>
      <c r="N557" s="33" t="str">
        <f t="shared" si="3"/>
        <v>No</v>
      </c>
    </row>
    <row r="558" ht="11.25" customHeight="1">
      <c r="A558" s="1" t="s">
        <v>586</v>
      </c>
      <c r="B558" s="1">
        <v>0.0</v>
      </c>
      <c r="C558" s="1">
        <v>0.0</v>
      </c>
      <c r="D558" s="1">
        <v>0.0</v>
      </c>
      <c r="E558" s="1">
        <v>138.53</v>
      </c>
      <c r="F558" s="54">
        <v>44385.0</v>
      </c>
      <c r="G558" s="1">
        <v>0.0</v>
      </c>
      <c r="H558" s="1">
        <v>134.39</v>
      </c>
      <c r="I558" s="14">
        <v>44393.0</v>
      </c>
      <c r="J558" s="55" t="s">
        <v>2879</v>
      </c>
      <c r="K558" s="15" t="s">
        <v>3436</v>
      </c>
      <c r="L558" s="33" t="str">
        <f t="shared" si="1"/>
        <v>Not in buy Zone</v>
      </c>
      <c r="M558" s="33" t="str">
        <f t="shared" si="2"/>
        <v>Not in buy Zone</v>
      </c>
      <c r="N558" s="33" t="str">
        <f t="shared" si="3"/>
        <v>No</v>
      </c>
    </row>
    <row r="559" ht="11.25" customHeight="1">
      <c r="A559" s="1" t="s">
        <v>587</v>
      </c>
      <c r="B559" s="1">
        <v>0.0</v>
      </c>
      <c r="C559" s="1">
        <v>0.0</v>
      </c>
      <c r="D559" s="1">
        <v>60.99</v>
      </c>
      <c r="E559" s="1">
        <v>0.0</v>
      </c>
      <c r="F559" s="54">
        <v>44372.0</v>
      </c>
      <c r="G559" s="1">
        <v>0.0</v>
      </c>
      <c r="H559" s="1">
        <v>62.74</v>
      </c>
      <c r="I559" s="14">
        <v>44393.0</v>
      </c>
      <c r="J559" s="55" t="s">
        <v>2879</v>
      </c>
      <c r="K559" s="15" t="s">
        <v>3437</v>
      </c>
      <c r="L559" s="33" t="str">
        <f t="shared" si="1"/>
        <v>Not in buy Zone</v>
      </c>
      <c r="M559" s="33" t="str">
        <f t="shared" si="2"/>
        <v>Not in buy Zone</v>
      </c>
      <c r="N559" s="33" t="str">
        <f t="shared" si="3"/>
        <v>No</v>
      </c>
    </row>
    <row r="560" ht="11.25" customHeight="1">
      <c r="A560" s="1" t="s">
        <v>588</v>
      </c>
      <c r="B560" s="1">
        <v>0.0</v>
      </c>
      <c r="C560" s="1">
        <v>0.0</v>
      </c>
      <c r="D560" s="1">
        <v>0.0</v>
      </c>
      <c r="E560" s="1">
        <v>22.55</v>
      </c>
      <c r="F560" s="54">
        <v>44350.0</v>
      </c>
      <c r="G560" s="1">
        <v>0.0</v>
      </c>
      <c r="H560" s="1">
        <v>22.65</v>
      </c>
      <c r="I560" s="14">
        <v>44393.0</v>
      </c>
      <c r="J560" s="55" t="s">
        <v>2879</v>
      </c>
      <c r="K560" s="15" t="s">
        <v>3438</v>
      </c>
      <c r="L560" s="33" t="str">
        <f t="shared" si="1"/>
        <v>Not in buy Zone</v>
      </c>
      <c r="M560" s="33" t="str">
        <f t="shared" si="2"/>
        <v>Not in buy Zone</v>
      </c>
      <c r="N560" s="33" t="str">
        <f t="shared" si="3"/>
        <v>No</v>
      </c>
    </row>
    <row r="561" ht="11.25" customHeight="1">
      <c r="A561" s="1" t="s">
        <v>589</v>
      </c>
      <c r="B561" s="1">
        <v>0.0</v>
      </c>
      <c r="C561" s="1">
        <v>0.0</v>
      </c>
      <c r="D561" s="1">
        <v>0.0</v>
      </c>
      <c r="E561" s="1">
        <v>389.5</v>
      </c>
      <c r="F561" s="54">
        <v>44278.0</v>
      </c>
      <c r="G561" s="1">
        <v>0.0</v>
      </c>
      <c r="H561" s="1">
        <v>431.34</v>
      </c>
      <c r="I561" s="14">
        <v>44393.0</v>
      </c>
      <c r="J561" s="55" t="s">
        <v>2879</v>
      </c>
      <c r="K561" s="15" t="s">
        <v>3439</v>
      </c>
      <c r="L561" s="33" t="str">
        <f t="shared" si="1"/>
        <v>Not in buy Zone</v>
      </c>
      <c r="M561" s="33" t="str">
        <f t="shared" si="2"/>
        <v>Not in buy Zone</v>
      </c>
      <c r="N561" s="33" t="str">
        <f t="shared" si="3"/>
        <v>No</v>
      </c>
    </row>
    <row r="562" ht="11.25" customHeight="1">
      <c r="A562" s="1" t="s">
        <v>590</v>
      </c>
      <c r="B562" s="1">
        <v>0.0</v>
      </c>
      <c r="C562" s="1">
        <v>0.0</v>
      </c>
      <c r="D562" s="1">
        <v>0.0</v>
      </c>
      <c r="E562" s="1">
        <v>39.21</v>
      </c>
      <c r="F562" s="54">
        <v>44385.0</v>
      </c>
      <c r="G562" s="1">
        <v>0.0</v>
      </c>
      <c r="H562" s="1">
        <v>39.29</v>
      </c>
      <c r="I562" s="14">
        <v>44393.0</v>
      </c>
      <c r="J562" s="55" t="s">
        <v>2879</v>
      </c>
      <c r="K562" s="15" t="s">
        <v>3440</v>
      </c>
      <c r="L562" s="33" t="str">
        <f t="shared" si="1"/>
        <v>Not in buy Zone</v>
      </c>
      <c r="M562" s="33" t="str">
        <f t="shared" si="2"/>
        <v>Not in buy Zone</v>
      </c>
      <c r="N562" s="33" t="str">
        <f t="shared" si="3"/>
        <v>No</v>
      </c>
    </row>
    <row r="563" ht="11.25" customHeight="1">
      <c r="A563" s="1" t="s">
        <v>591</v>
      </c>
      <c r="B563" s="1">
        <v>0.0</v>
      </c>
      <c r="C563" s="1">
        <v>0.0</v>
      </c>
      <c r="D563" s="1">
        <v>0.0</v>
      </c>
      <c r="E563" s="1">
        <v>211.43</v>
      </c>
      <c r="F563" s="54">
        <v>44350.0</v>
      </c>
      <c r="G563" s="1">
        <v>0.0</v>
      </c>
      <c r="H563" s="1">
        <v>237.52</v>
      </c>
      <c r="I563" s="14">
        <v>44393.0</v>
      </c>
      <c r="J563" s="55" t="s">
        <v>2879</v>
      </c>
      <c r="K563" s="15" t="s">
        <v>3441</v>
      </c>
      <c r="L563" s="33" t="str">
        <f t="shared" si="1"/>
        <v>Not in buy Zone</v>
      </c>
      <c r="M563" s="33" t="str">
        <f t="shared" si="2"/>
        <v>Not in buy Zone</v>
      </c>
      <c r="N563" s="33" t="str">
        <f t="shared" si="3"/>
        <v>No</v>
      </c>
    </row>
    <row r="564" ht="11.25" customHeight="1">
      <c r="A564" s="1" t="s">
        <v>592</v>
      </c>
      <c r="B564" s="1">
        <v>134.2</v>
      </c>
      <c r="C564" s="1">
        <v>0.0</v>
      </c>
      <c r="D564" s="1">
        <v>0.0</v>
      </c>
      <c r="E564" s="1">
        <v>0.0</v>
      </c>
      <c r="F564" s="54">
        <v>44393.0</v>
      </c>
      <c r="G564" s="1">
        <v>1.0</v>
      </c>
      <c r="H564" s="1">
        <v>134.2</v>
      </c>
      <c r="I564" s="14">
        <v>44393.0</v>
      </c>
      <c r="J564" s="55" t="s">
        <v>2879</v>
      </c>
      <c r="K564" s="15" t="s">
        <v>3442</v>
      </c>
      <c r="L564" s="33">
        <f t="shared" si="1"/>
        <v>134.871</v>
      </c>
      <c r="M564" s="33">
        <f t="shared" si="2"/>
        <v>133.529</v>
      </c>
      <c r="N564" s="33" t="str">
        <f t="shared" si="3"/>
        <v>Yes</v>
      </c>
    </row>
    <row r="565" ht="11.25" customHeight="1">
      <c r="A565" s="1" t="s">
        <v>593</v>
      </c>
      <c r="B565" s="1">
        <v>0.0</v>
      </c>
      <c r="C565" s="1">
        <v>0.0</v>
      </c>
      <c r="D565" s="1">
        <v>0.0</v>
      </c>
      <c r="E565" s="1">
        <v>208.0</v>
      </c>
      <c r="F565" s="54">
        <v>44391.0</v>
      </c>
      <c r="G565" s="1">
        <v>0.0</v>
      </c>
      <c r="H565" s="1">
        <v>207.7</v>
      </c>
      <c r="I565" s="14">
        <v>44393.0</v>
      </c>
      <c r="J565" s="55" t="s">
        <v>2879</v>
      </c>
      <c r="K565" s="15" t="s">
        <v>3443</v>
      </c>
      <c r="L565" s="33" t="str">
        <f t="shared" si="1"/>
        <v>Not in buy Zone</v>
      </c>
      <c r="M565" s="33" t="str">
        <f t="shared" si="2"/>
        <v>Not in buy Zone</v>
      </c>
      <c r="N565" s="33" t="str">
        <f t="shared" si="3"/>
        <v>No</v>
      </c>
    </row>
    <row r="566" ht="11.25" customHeight="1">
      <c r="A566" s="1" t="s">
        <v>594</v>
      </c>
      <c r="B566" s="1">
        <v>0.0</v>
      </c>
      <c r="C566" s="1">
        <v>0.0</v>
      </c>
      <c r="D566" s="1">
        <v>0.0</v>
      </c>
      <c r="E566" s="1">
        <v>34.11</v>
      </c>
      <c r="F566" s="54">
        <v>44384.0</v>
      </c>
      <c r="G566" s="1">
        <v>0.0</v>
      </c>
      <c r="H566" s="1">
        <v>25.98</v>
      </c>
      <c r="I566" s="14">
        <v>44393.0</v>
      </c>
      <c r="J566" s="55" t="s">
        <v>2879</v>
      </c>
      <c r="K566" s="15" t="s">
        <v>3444</v>
      </c>
      <c r="L566" s="33" t="str">
        <f t="shared" si="1"/>
        <v>Not in buy Zone</v>
      </c>
      <c r="M566" s="33" t="str">
        <f t="shared" si="2"/>
        <v>Not in buy Zone</v>
      </c>
      <c r="N566" s="33" t="str">
        <f t="shared" si="3"/>
        <v>No</v>
      </c>
    </row>
    <row r="567" ht="11.25" customHeight="1">
      <c r="A567" s="1" t="s">
        <v>595</v>
      </c>
      <c r="B567" s="1">
        <v>0.0</v>
      </c>
      <c r="C567" s="1">
        <v>59.88</v>
      </c>
      <c r="D567" s="1">
        <v>0.0</v>
      </c>
      <c r="E567" s="1">
        <v>0.0</v>
      </c>
      <c r="F567" s="54">
        <v>44393.0</v>
      </c>
      <c r="G567" s="1">
        <v>-1.0</v>
      </c>
      <c r="H567" s="1">
        <v>59.88</v>
      </c>
      <c r="I567" s="14">
        <v>44393.0</v>
      </c>
      <c r="J567" s="55" t="s">
        <v>2879</v>
      </c>
      <c r="K567" s="15" t="s">
        <v>3445</v>
      </c>
      <c r="L567" s="33" t="str">
        <f t="shared" si="1"/>
        <v>Not in buy Zone</v>
      </c>
      <c r="M567" s="33" t="str">
        <f t="shared" si="2"/>
        <v>Not in buy Zone</v>
      </c>
      <c r="N567" s="33" t="str">
        <f t="shared" si="3"/>
        <v>No</v>
      </c>
    </row>
    <row r="568" ht="11.25" customHeight="1">
      <c r="A568" s="1" t="s">
        <v>596</v>
      </c>
      <c r="B568" s="1">
        <v>0.0</v>
      </c>
      <c r="C568" s="1">
        <v>0.0</v>
      </c>
      <c r="D568" s="1">
        <v>87.21</v>
      </c>
      <c r="E568" s="1">
        <v>0.0</v>
      </c>
      <c r="F568" s="54">
        <v>44363.0</v>
      </c>
      <c r="G568" s="1">
        <v>0.0</v>
      </c>
      <c r="H568" s="1">
        <v>84.34</v>
      </c>
      <c r="I568" s="14">
        <v>44393.0</v>
      </c>
      <c r="J568" s="55" t="s">
        <v>2879</v>
      </c>
      <c r="K568" s="15" t="s">
        <v>3446</v>
      </c>
      <c r="L568" s="33" t="str">
        <f t="shared" si="1"/>
        <v>Not in buy Zone</v>
      </c>
      <c r="M568" s="33" t="str">
        <f t="shared" si="2"/>
        <v>Not in buy Zone</v>
      </c>
      <c r="N568" s="33" t="str">
        <f t="shared" si="3"/>
        <v>No</v>
      </c>
    </row>
    <row r="569" ht="11.25" customHeight="1">
      <c r="A569" s="1" t="s">
        <v>597</v>
      </c>
      <c r="B569" s="1">
        <v>0.0</v>
      </c>
      <c r="C569" s="1">
        <v>0.0</v>
      </c>
      <c r="D569" s="1">
        <v>0.0</v>
      </c>
      <c r="E569" s="1">
        <v>86.15</v>
      </c>
      <c r="F569" s="54">
        <v>44392.0</v>
      </c>
      <c r="G569" s="1">
        <v>0.0</v>
      </c>
      <c r="H569" s="1">
        <v>84.46</v>
      </c>
      <c r="I569" s="14">
        <v>44393.0</v>
      </c>
      <c r="J569" s="55" t="s">
        <v>2879</v>
      </c>
      <c r="K569" s="15" t="s">
        <v>3447</v>
      </c>
      <c r="L569" s="33" t="str">
        <f t="shared" si="1"/>
        <v>Not in buy Zone</v>
      </c>
      <c r="M569" s="33" t="str">
        <f t="shared" si="2"/>
        <v>Not in buy Zone</v>
      </c>
      <c r="N569" s="33" t="str">
        <f t="shared" si="3"/>
        <v>No</v>
      </c>
    </row>
    <row r="570" ht="11.25" customHeight="1">
      <c r="A570" s="1" t="s">
        <v>598</v>
      </c>
      <c r="B570" s="1">
        <v>0.0</v>
      </c>
      <c r="C570" s="1">
        <v>0.0</v>
      </c>
      <c r="D570" s="1">
        <v>0.0</v>
      </c>
      <c r="E570" s="1">
        <v>227.08</v>
      </c>
      <c r="F570" s="54">
        <v>44384.0</v>
      </c>
      <c r="G570" s="1">
        <v>0.0</v>
      </c>
      <c r="H570" s="1">
        <v>224.01</v>
      </c>
      <c r="I570" s="14">
        <v>44393.0</v>
      </c>
      <c r="J570" s="55" t="s">
        <v>2879</v>
      </c>
      <c r="K570" s="15" t="s">
        <v>3448</v>
      </c>
      <c r="L570" s="33" t="str">
        <f t="shared" si="1"/>
        <v>Not in buy Zone</v>
      </c>
      <c r="M570" s="33" t="str">
        <f t="shared" si="2"/>
        <v>Not in buy Zone</v>
      </c>
      <c r="N570" s="33" t="str">
        <f t="shared" si="3"/>
        <v>No</v>
      </c>
    </row>
    <row r="571" ht="11.25" customHeight="1">
      <c r="A571" s="1" t="s">
        <v>599</v>
      </c>
      <c r="B571" s="1">
        <v>0.0</v>
      </c>
      <c r="C571" s="1">
        <v>0.0</v>
      </c>
      <c r="D571" s="1">
        <v>0.0</v>
      </c>
      <c r="E571" s="1">
        <v>205.96</v>
      </c>
      <c r="F571" s="54">
        <v>44391.0</v>
      </c>
      <c r="G571" s="1">
        <v>0.0</v>
      </c>
      <c r="H571" s="1">
        <v>203.05</v>
      </c>
      <c r="I571" s="14">
        <v>44393.0</v>
      </c>
      <c r="J571" s="55" t="s">
        <v>2879</v>
      </c>
      <c r="K571" s="15" t="s">
        <v>3449</v>
      </c>
      <c r="L571" s="33" t="str">
        <f t="shared" si="1"/>
        <v>Not in buy Zone</v>
      </c>
      <c r="M571" s="33" t="str">
        <f t="shared" si="2"/>
        <v>Not in buy Zone</v>
      </c>
      <c r="N571" s="33" t="str">
        <f t="shared" si="3"/>
        <v>No</v>
      </c>
    </row>
    <row r="572" ht="11.25" customHeight="1">
      <c r="A572" s="1" t="s">
        <v>600</v>
      </c>
      <c r="B572" s="1">
        <v>0.0</v>
      </c>
      <c r="C572" s="1">
        <v>0.0</v>
      </c>
      <c r="D572" s="1">
        <v>0.0</v>
      </c>
      <c r="E572" s="1">
        <v>167.23</v>
      </c>
      <c r="F572" s="54">
        <v>44350.0</v>
      </c>
      <c r="G572" s="1">
        <v>0.0</v>
      </c>
      <c r="H572" s="1">
        <v>188.11</v>
      </c>
      <c r="I572" s="14">
        <v>44393.0</v>
      </c>
      <c r="J572" s="55" t="s">
        <v>2879</v>
      </c>
      <c r="K572" s="15" t="s">
        <v>3450</v>
      </c>
      <c r="L572" s="33" t="str">
        <f t="shared" si="1"/>
        <v>Not in buy Zone</v>
      </c>
      <c r="M572" s="33" t="str">
        <f t="shared" si="2"/>
        <v>Not in buy Zone</v>
      </c>
      <c r="N572" s="33" t="str">
        <f t="shared" si="3"/>
        <v>No</v>
      </c>
    </row>
    <row r="573" ht="11.25" customHeight="1">
      <c r="A573" s="1" t="s">
        <v>601</v>
      </c>
      <c r="B573" s="1">
        <v>0.0</v>
      </c>
      <c r="C573" s="1">
        <v>0.0</v>
      </c>
      <c r="D573" s="1">
        <v>49.0</v>
      </c>
      <c r="E573" s="1">
        <v>0.0</v>
      </c>
      <c r="F573" s="54">
        <v>44371.0</v>
      </c>
      <c r="G573" s="1">
        <v>0.0</v>
      </c>
      <c r="H573" s="1">
        <v>46.73</v>
      </c>
      <c r="I573" s="14">
        <v>44393.0</v>
      </c>
      <c r="J573" s="55" t="s">
        <v>2879</v>
      </c>
      <c r="K573" s="15" t="s">
        <v>3451</v>
      </c>
      <c r="L573" s="33" t="str">
        <f t="shared" si="1"/>
        <v>Not in buy Zone</v>
      </c>
      <c r="M573" s="33" t="str">
        <f t="shared" si="2"/>
        <v>Not in buy Zone</v>
      </c>
      <c r="N573" s="33" t="str">
        <f t="shared" si="3"/>
        <v>No</v>
      </c>
    </row>
    <row r="574" ht="11.25" customHeight="1">
      <c r="A574" s="1" t="s">
        <v>602</v>
      </c>
      <c r="B574" s="1">
        <v>0.0</v>
      </c>
      <c r="C574" s="1">
        <v>0.0</v>
      </c>
      <c r="D574" s="1">
        <v>0.0</v>
      </c>
      <c r="E574" s="1">
        <v>261.6</v>
      </c>
      <c r="F574" s="54">
        <v>44390.0</v>
      </c>
      <c r="G574" s="1">
        <v>0.0</v>
      </c>
      <c r="H574" s="1">
        <v>257.59</v>
      </c>
      <c r="I574" s="14">
        <v>44393.0</v>
      </c>
      <c r="J574" s="55" t="s">
        <v>2879</v>
      </c>
      <c r="K574" s="15" t="s">
        <v>3452</v>
      </c>
      <c r="L574" s="33" t="str">
        <f t="shared" si="1"/>
        <v>Not in buy Zone</v>
      </c>
      <c r="M574" s="33" t="str">
        <f t="shared" si="2"/>
        <v>Not in buy Zone</v>
      </c>
      <c r="N574" s="33" t="str">
        <f t="shared" si="3"/>
        <v>No</v>
      </c>
    </row>
    <row r="575" ht="11.25" customHeight="1">
      <c r="A575" s="1" t="s">
        <v>603</v>
      </c>
      <c r="B575" s="1">
        <v>0.0</v>
      </c>
      <c r="C575" s="1">
        <v>0.0</v>
      </c>
      <c r="D575" s="1">
        <v>77.75</v>
      </c>
      <c r="E575" s="1">
        <v>0.0</v>
      </c>
      <c r="F575" s="54">
        <v>44377.0</v>
      </c>
      <c r="G575" s="1">
        <v>0.0</v>
      </c>
      <c r="H575" s="1">
        <v>71.58</v>
      </c>
      <c r="I575" s="14">
        <v>44393.0</v>
      </c>
      <c r="J575" s="55" t="s">
        <v>2879</v>
      </c>
      <c r="K575" s="15" t="s">
        <v>3453</v>
      </c>
      <c r="L575" s="33" t="str">
        <f t="shared" si="1"/>
        <v>Not in buy Zone</v>
      </c>
      <c r="M575" s="33" t="str">
        <f t="shared" si="2"/>
        <v>Not in buy Zone</v>
      </c>
      <c r="N575" s="33" t="str">
        <f t="shared" si="3"/>
        <v>No</v>
      </c>
    </row>
    <row r="576" ht="11.25" customHeight="1">
      <c r="A576" s="1" t="s">
        <v>604</v>
      </c>
      <c r="B576" s="1">
        <v>0.0</v>
      </c>
      <c r="C576" s="1">
        <v>0.0</v>
      </c>
      <c r="D576" s="1">
        <v>0.0</v>
      </c>
      <c r="E576" s="1">
        <v>28.18</v>
      </c>
      <c r="F576" s="54">
        <v>44385.0</v>
      </c>
      <c r="G576" s="1">
        <v>0.0</v>
      </c>
      <c r="H576" s="1">
        <v>28.34</v>
      </c>
      <c r="I576" s="14">
        <v>44393.0</v>
      </c>
      <c r="J576" s="55" t="s">
        <v>2879</v>
      </c>
      <c r="K576" s="15" t="s">
        <v>3454</v>
      </c>
      <c r="L576" s="33" t="str">
        <f t="shared" si="1"/>
        <v>Not in buy Zone</v>
      </c>
      <c r="M576" s="33" t="str">
        <f t="shared" si="2"/>
        <v>Not in buy Zone</v>
      </c>
      <c r="N576" s="33" t="str">
        <f t="shared" si="3"/>
        <v>No</v>
      </c>
    </row>
    <row r="577" ht="11.25" customHeight="1">
      <c r="A577" s="1" t="s">
        <v>605</v>
      </c>
      <c r="B577" s="1">
        <v>0.0</v>
      </c>
      <c r="C577" s="1">
        <v>0.0</v>
      </c>
      <c r="D577" s="1">
        <v>0.0</v>
      </c>
      <c r="E577" s="1">
        <v>58.14</v>
      </c>
      <c r="F577" s="54">
        <v>44362.0</v>
      </c>
      <c r="G577" s="1">
        <v>0.0</v>
      </c>
      <c r="H577" s="1">
        <v>50.49</v>
      </c>
      <c r="I577" s="14">
        <v>44393.0</v>
      </c>
      <c r="J577" s="55" t="s">
        <v>2879</v>
      </c>
      <c r="K577" s="15" t="s">
        <v>3455</v>
      </c>
      <c r="L577" s="33" t="str">
        <f t="shared" si="1"/>
        <v>Not in buy Zone</v>
      </c>
      <c r="M577" s="33" t="str">
        <f t="shared" si="2"/>
        <v>Not in buy Zone</v>
      </c>
      <c r="N577" s="33" t="str">
        <f t="shared" si="3"/>
        <v>No</v>
      </c>
    </row>
    <row r="578" ht="11.25" customHeight="1">
      <c r="A578" s="1" t="s">
        <v>606</v>
      </c>
      <c r="B578" s="1">
        <v>0.0</v>
      </c>
      <c r="C578" s="1">
        <v>0.0</v>
      </c>
      <c r="D578" s="1">
        <v>0.0</v>
      </c>
      <c r="E578" s="1">
        <v>39.68</v>
      </c>
      <c r="F578" s="54">
        <v>44349.0</v>
      </c>
      <c r="G578" s="1">
        <v>0.0</v>
      </c>
      <c r="H578" s="1">
        <v>30.22</v>
      </c>
      <c r="I578" s="14">
        <v>44393.0</v>
      </c>
      <c r="J578" s="55" t="s">
        <v>2879</v>
      </c>
      <c r="K578" s="15" t="s">
        <v>3456</v>
      </c>
      <c r="L578" s="33" t="str">
        <f t="shared" si="1"/>
        <v>Not in buy Zone</v>
      </c>
      <c r="M578" s="33" t="str">
        <f t="shared" si="2"/>
        <v>Not in buy Zone</v>
      </c>
      <c r="N578" s="33" t="str">
        <f t="shared" si="3"/>
        <v>No</v>
      </c>
    </row>
    <row r="579" ht="11.25" customHeight="1">
      <c r="A579" s="1" t="s">
        <v>607</v>
      </c>
      <c r="B579" s="1">
        <v>0.0</v>
      </c>
      <c r="C579" s="1">
        <v>0.0</v>
      </c>
      <c r="D579" s="1">
        <v>0.0</v>
      </c>
      <c r="E579" s="1">
        <v>654.93</v>
      </c>
      <c r="F579" s="54">
        <v>44365.0</v>
      </c>
      <c r="G579" s="1">
        <v>0.0</v>
      </c>
      <c r="H579" s="1">
        <v>633.58</v>
      </c>
      <c r="I579" s="14">
        <v>44393.0</v>
      </c>
      <c r="J579" s="55" t="s">
        <v>2879</v>
      </c>
      <c r="K579" s="15" t="s">
        <v>3457</v>
      </c>
      <c r="L579" s="33" t="str">
        <f t="shared" si="1"/>
        <v>Not in buy Zone</v>
      </c>
      <c r="M579" s="33" t="str">
        <f t="shared" si="2"/>
        <v>Not in buy Zone</v>
      </c>
      <c r="N579" s="33" t="str">
        <f t="shared" si="3"/>
        <v>No</v>
      </c>
    </row>
    <row r="580" ht="11.25" customHeight="1">
      <c r="A580" s="1" t="s">
        <v>608</v>
      </c>
      <c r="B580" s="1">
        <v>0.0</v>
      </c>
      <c r="C580" s="1">
        <v>0.0</v>
      </c>
      <c r="D580" s="1">
        <v>0.0</v>
      </c>
      <c r="E580" s="1">
        <v>158.26</v>
      </c>
      <c r="F580" s="54">
        <v>44384.0</v>
      </c>
      <c r="G580" s="1">
        <v>0.0</v>
      </c>
      <c r="H580" s="1">
        <v>146.78</v>
      </c>
      <c r="I580" s="14">
        <v>44393.0</v>
      </c>
      <c r="J580" s="55" t="s">
        <v>2879</v>
      </c>
      <c r="K580" s="15" t="s">
        <v>3458</v>
      </c>
      <c r="L580" s="33" t="str">
        <f t="shared" si="1"/>
        <v>Not in buy Zone</v>
      </c>
      <c r="M580" s="33" t="str">
        <f t="shared" si="2"/>
        <v>Not in buy Zone</v>
      </c>
      <c r="N580" s="33" t="str">
        <f t="shared" si="3"/>
        <v>No</v>
      </c>
    </row>
    <row r="581" ht="11.25" customHeight="1">
      <c r="A581" s="1" t="s">
        <v>609</v>
      </c>
      <c r="B581" s="1">
        <v>0.0</v>
      </c>
      <c r="C581" s="1">
        <v>0.0</v>
      </c>
      <c r="D581" s="1">
        <v>427.03</v>
      </c>
      <c r="E581" s="1">
        <v>0.0</v>
      </c>
      <c r="F581" s="54">
        <v>44384.0</v>
      </c>
      <c r="G581" s="1">
        <v>0.0</v>
      </c>
      <c r="H581" s="1">
        <v>434.86</v>
      </c>
      <c r="I581" s="14">
        <v>44393.0</v>
      </c>
      <c r="J581" s="55" t="s">
        <v>2879</v>
      </c>
      <c r="K581" s="15" t="s">
        <v>3459</v>
      </c>
      <c r="L581" s="33" t="str">
        <f t="shared" si="1"/>
        <v>Not in buy Zone</v>
      </c>
      <c r="M581" s="33" t="str">
        <f t="shared" si="2"/>
        <v>Not in buy Zone</v>
      </c>
      <c r="N581" s="33" t="str">
        <f t="shared" si="3"/>
        <v>No</v>
      </c>
    </row>
    <row r="582" ht="11.25" customHeight="1">
      <c r="A582" s="1" t="s">
        <v>610</v>
      </c>
      <c r="B582" s="1">
        <v>0.0</v>
      </c>
      <c r="C582" s="1">
        <v>0.0</v>
      </c>
      <c r="D582" s="1">
        <v>0.0</v>
      </c>
      <c r="E582" s="1">
        <v>221.37</v>
      </c>
      <c r="F582" s="54">
        <v>44350.0</v>
      </c>
      <c r="G582" s="1">
        <v>0.0</v>
      </c>
      <c r="H582" s="1">
        <v>260.64</v>
      </c>
      <c r="I582" s="14">
        <v>44393.0</v>
      </c>
      <c r="J582" s="55" t="s">
        <v>2879</v>
      </c>
      <c r="K582" s="15" t="s">
        <v>3460</v>
      </c>
      <c r="L582" s="33" t="str">
        <f t="shared" si="1"/>
        <v>Not in buy Zone</v>
      </c>
      <c r="M582" s="33" t="str">
        <f t="shared" si="2"/>
        <v>Not in buy Zone</v>
      </c>
      <c r="N582" s="33" t="str">
        <f t="shared" si="3"/>
        <v>No</v>
      </c>
    </row>
    <row r="583" ht="11.25" customHeight="1">
      <c r="A583" s="1" t="s">
        <v>611</v>
      </c>
      <c r="B583" s="1">
        <v>0.0</v>
      </c>
      <c r="C583" s="1">
        <v>134.31</v>
      </c>
      <c r="D583" s="1">
        <v>0.0</v>
      </c>
      <c r="E583" s="1">
        <v>0.0</v>
      </c>
      <c r="F583" s="54">
        <v>44393.0</v>
      </c>
      <c r="G583" s="1">
        <v>-1.0</v>
      </c>
      <c r="H583" s="1">
        <v>134.31</v>
      </c>
      <c r="I583" s="14">
        <v>44393.0</v>
      </c>
      <c r="J583" s="55" t="s">
        <v>2879</v>
      </c>
      <c r="K583" s="15" t="s">
        <v>3461</v>
      </c>
      <c r="L583" s="33" t="str">
        <f t="shared" si="1"/>
        <v>Not in buy Zone</v>
      </c>
      <c r="M583" s="33" t="str">
        <f t="shared" si="2"/>
        <v>Not in buy Zone</v>
      </c>
      <c r="N583" s="33" t="str">
        <f t="shared" si="3"/>
        <v>No</v>
      </c>
    </row>
    <row r="584" ht="11.25" customHeight="1">
      <c r="A584" s="1" t="s">
        <v>612</v>
      </c>
      <c r="B584" s="1">
        <v>0.0</v>
      </c>
      <c r="C584" s="1">
        <v>0.0</v>
      </c>
      <c r="D584" s="1">
        <v>0.0</v>
      </c>
      <c r="E584" s="1">
        <v>129.38</v>
      </c>
      <c r="F584" s="54">
        <v>44378.0</v>
      </c>
      <c r="G584" s="1">
        <v>0.0</v>
      </c>
      <c r="H584" s="1">
        <v>119.89</v>
      </c>
      <c r="I584" s="14">
        <v>44393.0</v>
      </c>
      <c r="J584" s="55" t="s">
        <v>2879</v>
      </c>
      <c r="K584" s="15" t="s">
        <v>3462</v>
      </c>
      <c r="L584" s="33" t="str">
        <f t="shared" si="1"/>
        <v>Not in buy Zone</v>
      </c>
      <c r="M584" s="33" t="str">
        <f t="shared" si="2"/>
        <v>Not in buy Zone</v>
      </c>
      <c r="N584" s="33" t="str">
        <f t="shared" si="3"/>
        <v>No</v>
      </c>
    </row>
    <row r="585" ht="11.25" customHeight="1">
      <c r="A585" s="1" t="s">
        <v>613</v>
      </c>
      <c r="B585" s="1">
        <v>0.0</v>
      </c>
      <c r="C585" s="1">
        <v>0.0</v>
      </c>
      <c r="D585" s="1">
        <v>56.3</v>
      </c>
      <c r="E585" s="1">
        <v>0.0</v>
      </c>
      <c r="F585" s="54">
        <v>44378.0</v>
      </c>
      <c r="G585" s="1">
        <v>0.0</v>
      </c>
      <c r="H585" s="1">
        <v>54.39</v>
      </c>
      <c r="I585" s="14">
        <v>44393.0</v>
      </c>
      <c r="J585" s="55" t="s">
        <v>2879</v>
      </c>
      <c r="K585" s="15" t="s">
        <v>3463</v>
      </c>
      <c r="L585" s="33" t="str">
        <f t="shared" si="1"/>
        <v>Not in buy Zone</v>
      </c>
      <c r="M585" s="33" t="str">
        <f t="shared" si="2"/>
        <v>Not in buy Zone</v>
      </c>
      <c r="N585" s="33" t="str">
        <f t="shared" si="3"/>
        <v>No</v>
      </c>
    </row>
    <row r="586" ht="11.25" customHeight="1">
      <c r="A586" s="1" t="s">
        <v>614</v>
      </c>
      <c r="B586" s="1">
        <v>0.0</v>
      </c>
      <c r="C586" s="1">
        <v>0.0</v>
      </c>
      <c r="D586" s="1">
        <v>0.0</v>
      </c>
      <c r="E586" s="1">
        <v>376.2</v>
      </c>
      <c r="F586" s="54">
        <v>44392.0</v>
      </c>
      <c r="G586" s="1">
        <v>0.0</v>
      </c>
      <c r="H586" s="1">
        <v>390.32</v>
      </c>
      <c r="I586" s="14">
        <v>44393.0</v>
      </c>
      <c r="J586" s="55" t="s">
        <v>2879</v>
      </c>
      <c r="K586" s="15" t="s">
        <v>3464</v>
      </c>
      <c r="L586" s="33" t="str">
        <f t="shared" si="1"/>
        <v>Not in buy Zone</v>
      </c>
      <c r="M586" s="33" t="str">
        <f t="shared" si="2"/>
        <v>Not in buy Zone</v>
      </c>
      <c r="N586" s="33" t="str">
        <f t="shared" si="3"/>
        <v>No</v>
      </c>
    </row>
    <row r="587" ht="11.25" customHeight="1">
      <c r="A587" s="1" t="s">
        <v>615</v>
      </c>
      <c r="B587" s="1">
        <v>0.0</v>
      </c>
      <c r="C587" s="1">
        <v>0.0</v>
      </c>
      <c r="D587" s="1">
        <v>0.0</v>
      </c>
      <c r="E587" s="1">
        <v>205.57</v>
      </c>
      <c r="F587" s="54">
        <v>44308.0</v>
      </c>
      <c r="G587" s="1">
        <v>0.0</v>
      </c>
      <c r="H587" s="1">
        <v>251.15</v>
      </c>
      <c r="I587" s="14">
        <v>44393.0</v>
      </c>
      <c r="J587" s="55" t="s">
        <v>2879</v>
      </c>
      <c r="K587" s="15" t="s">
        <v>3465</v>
      </c>
      <c r="L587" s="33" t="str">
        <f t="shared" si="1"/>
        <v>Not in buy Zone</v>
      </c>
      <c r="M587" s="33" t="str">
        <f t="shared" si="2"/>
        <v>Not in buy Zone</v>
      </c>
      <c r="N587" s="33" t="str">
        <f t="shared" si="3"/>
        <v>No</v>
      </c>
    </row>
    <row r="588" ht="11.25" customHeight="1">
      <c r="A588" s="1" t="s">
        <v>616</v>
      </c>
      <c r="B588" s="1">
        <v>0.0</v>
      </c>
      <c r="C588" s="1">
        <v>0.0</v>
      </c>
      <c r="D588" s="1">
        <v>0.0</v>
      </c>
      <c r="E588" s="1">
        <v>127.3</v>
      </c>
      <c r="F588" s="54">
        <v>44378.0</v>
      </c>
      <c r="G588" s="1">
        <v>0.0</v>
      </c>
      <c r="H588" s="1">
        <v>129.0</v>
      </c>
      <c r="I588" s="14">
        <v>44393.0</v>
      </c>
      <c r="J588" s="55" t="s">
        <v>2879</v>
      </c>
      <c r="K588" s="15" t="s">
        <v>3466</v>
      </c>
      <c r="L588" s="33" t="str">
        <f t="shared" si="1"/>
        <v>Not in buy Zone</v>
      </c>
      <c r="M588" s="33" t="str">
        <f t="shared" si="2"/>
        <v>Not in buy Zone</v>
      </c>
      <c r="N588" s="33" t="str">
        <f t="shared" si="3"/>
        <v>No</v>
      </c>
    </row>
    <row r="589" ht="11.25" customHeight="1">
      <c r="A589" s="1" t="s">
        <v>617</v>
      </c>
      <c r="B589" s="1">
        <v>0.0</v>
      </c>
      <c r="C589" s="1">
        <v>67.41</v>
      </c>
      <c r="D589" s="1">
        <v>0.0</v>
      </c>
      <c r="E589" s="1">
        <v>0.0</v>
      </c>
      <c r="F589" s="54">
        <v>44393.0</v>
      </c>
      <c r="G589" s="1">
        <v>-1.0</v>
      </c>
      <c r="H589" s="1">
        <v>67.41</v>
      </c>
      <c r="I589" s="14">
        <v>44393.0</v>
      </c>
      <c r="J589" s="55" t="s">
        <v>2879</v>
      </c>
      <c r="K589" s="15" t="s">
        <v>3467</v>
      </c>
      <c r="L589" s="33" t="str">
        <f t="shared" si="1"/>
        <v>Not in buy Zone</v>
      </c>
      <c r="M589" s="33" t="str">
        <f t="shared" si="2"/>
        <v>Not in buy Zone</v>
      </c>
      <c r="N589" s="33" t="str">
        <f t="shared" si="3"/>
        <v>No</v>
      </c>
    </row>
    <row r="590" ht="11.25" customHeight="1">
      <c r="A590" s="1" t="s">
        <v>618</v>
      </c>
      <c r="B590" s="1">
        <v>0.0</v>
      </c>
      <c r="C590" s="1">
        <v>0.0</v>
      </c>
      <c r="D590" s="1">
        <v>0.0</v>
      </c>
      <c r="E590" s="1">
        <v>142.01</v>
      </c>
      <c r="F590" s="54">
        <v>44372.0</v>
      </c>
      <c r="G590" s="1">
        <v>0.0</v>
      </c>
      <c r="H590" s="1">
        <v>148.21</v>
      </c>
      <c r="I590" s="14">
        <v>44393.0</v>
      </c>
      <c r="J590" s="55" t="s">
        <v>2879</v>
      </c>
      <c r="K590" s="15" t="s">
        <v>3468</v>
      </c>
      <c r="L590" s="33" t="str">
        <f t="shared" si="1"/>
        <v>Not in buy Zone</v>
      </c>
      <c r="M590" s="33" t="str">
        <f t="shared" si="2"/>
        <v>Not in buy Zone</v>
      </c>
      <c r="N590" s="33" t="str">
        <f t="shared" si="3"/>
        <v>No</v>
      </c>
    </row>
    <row r="591" ht="11.25" customHeight="1">
      <c r="A591" s="1" t="s">
        <v>619</v>
      </c>
      <c r="B591" s="1">
        <v>0.0</v>
      </c>
      <c r="C591" s="1">
        <v>0.0</v>
      </c>
      <c r="D591" s="1">
        <v>464.91</v>
      </c>
      <c r="E591" s="1">
        <v>0.0</v>
      </c>
      <c r="F591" s="54">
        <v>44357.0</v>
      </c>
      <c r="G591" s="1">
        <v>0.0</v>
      </c>
      <c r="H591" s="1">
        <v>519.79</v>
      </c>
      <c r="I591" s="14">
        <v>44393.0</v>
      </c>
      <c r="J591" s="55" t="s">
        <v>2879</v>
      </c>
      <c r="K591" s="15" t="s">
        <v>3469</v>
      </c>
      <c r="L591" s="33" t="str">
        <f t="shared" si="1"/>
        <v>Not in buy Zone</v>
      </c>
      <c r="M591" s="33" t="str">
        <f t="shared" si="2"/>
        <v>Not in buy Zone</v>
      </c>
      <c r="N591" s="33" t="str">
        <f t="shared" si="3"/>
        <v>No</v>
      </c>
    </row>
    <row r="592" ht="11.25" customHeight="1">
      <c r="A592" s="1" t="s">
        <v>620</v>
      </c>
      <c r="B592" s="1">
        <v>0.0</v>
      </c>
      <c r="C592" s="1">
        <v>0.0</v>
      </c>
      <c r="D592" s="1">
        <v>145.34</v>
      </c>
      <c r="E592" s="1">
        <v>0.0</v>
      </c>
      <c r="F592" s="54">
        <v>44378.0</v>
      </c>
      <c r="G592" s="1">
        <v>0.0</v>
      </c>
      <c r="H592" s="1">
        <v>149.41</v>
      </c>
      <c r="I592" s="14">
        <v>44393.0</v>
      </c>
      <c r="J592" s="55" t="s">
        <v>2879</v>
      </c>
      <c r="K592" s="15" t="s">
        <v>3470</v>
      </c>
      <c r="L592" s="33" t="str">
        <f t="shared" si="1"/>
        <v>Not in buy Zone</v>
      </c>
      <c r="M592" s="33" t="str">
        <f t="shared" si="2"/>
        <v>Not in buy Zone</v>
      </c>
      <c r="N592" s="33" t="str">
        <f t="shared" si="3"/>
        <v>No</v>
      </c>
    </row>
    <row r="593" ht="11.25" customHeight="1">
      <c r="A593" s="1" t="s">
        <v>621</v>
      </c>
      <c r="B593" s="1">
        <v>0.0</v>
      </c>
      <c r="C593" s="1">
        <v>0.0</v>
      </c>
      <c r="D593" s="1">
        <v>47.37</v>
      </c>
      <c r="E593" s="1">
        <v>0.0</v>
      </c>
      <c r="F593" s="54">
        <v>44333.0</v>
      </c>
      <c r="G593" s="1">
        <v>0.0</v>
      </c>
      <c r="H593" s="1">
        <v>39.06</v>
      </c>
      <c r="I593" s="14">
        <v>44393.0</v>
      </c>
      <c r="J593" s="55" t="s">
        <v>2879</v>
      </c>
      <c r="K593" s="15" t="s">
        <v>3471</v>
      </c>
      <c r="L593" s="33" t="str">
        <f t="shared" si="1"/>
        <v>Not in buy Zone</v>
      </c>
      <c r="M593" s="33" t="str">
        <f t="shared" si="2"/>
        <v>Not in buy Zone</v>
      </c>
      <c r="N593" s="33" t="str">
        <f t="shared" si="3"/>
        <v>No</v>
      </c>
    </row>
    <row r="594" ht="11.25" customHeight="1">
      <c r="A594" s="1" t="s">
        <v>622</v>
      </c>
      <c r="B594" s="1">
        <v>0.0</v>
      </c>
      <c r="C594" s="1">
        <v>125.53</v>
      </c>
      <c r="D594" s="1">
        <v>0.0</v>
      </c>
      <c r="E594" s="1">
        <v>0.0</v>
      </c>
      <c r="F594" s="54">
        <v>44393.0</v>
      </c>
      <c r="G594" s="1">
        <v>-1.0</v>
      </c>
      <c r="H594" s="1">
        <v>125.53</v>
      </c>
      <c r="I594" s="14">
        <v>44393.0</v>
      </c>
      <c r="J594" s="55" t="s">
        <v>2879</v>
      </c>
      <c r="K594" s="15" t="s">
        <v>3472</v>
      </c>
      <c r="L594" s="33" t="str">
        <f t="shared" si="1"/>
        <v>Not in buy Zone</v>
      </c>
      <c r="M594" s="33" t="str">
        <f t="shared" si="2"/>
        <v>Not in buy Zone</v>
      </c>
      <c r="N594" s="33" t="str">
        <f t="shared" si="3"/>
        <v>No</v>
      </c>
    </row>
    <row r="595" ht="11.25" customHeight="1">
      <c r="A595" s="1" t="s">
        <v>623</v>
      </c>
      <c r="B595" s="1">
        <v>0.0</v>
      </c>
      <c r="C595" s="1">
        <v>0.0</v>
      </c>
      <c r="D595" s="1">
        <v>45.04</v>
      </c>
      <c r="E595" s="1">
        <v>0.0</v>
      </c>
      <c r="F595" s="54">
        <v>44386.0</v>
      </c>
      <c r="G595" s="1">
        <v>0.0</v>
      </c>
      <c r="H595" s="1">
        <v>41.33</v>
      </c>
      <c r="I595" s="14">
        <v>44393.0</v>
      </c>
      <c r="J595" s="55" t="s">
        <v>2879</v>
      </c>
      <c r="K595" s="15" t="s">
        <v>3473</v>
      </c>
      <c r="L595" s="33" t="str">
        <f t="shared" si="1"/>
        <v>Not in buy Zone</v>
      </c>
      <c r="M595" s="33" t="str">
        <f t="shared" si="2"/>
        <v>Not in buy Zone</v>
      </c>
      <c r="N595" s="33" t="str">
        <f t="shared" si="3"/>
        <v>No</v>
      </c>
    </row>
    <row r="596" ht="11.25" customHeight="1">
      <c r="A596" s="1" t="s">
        <v>624</v>
      </c>
      <c r="B596" s="1">
        <v>0.0</v>
      </c>
      <c r="C596" s="1">
        <v>0.0</v>
      </c>
      <c r="D596" s="1">
        <v>41.45</v>
      </c>
      <c r="E596" s="1">
        <v>0.0</v>
      </c>
      <c r="F596" s="54">
        <v>44370.0</v>
      </c>
      <c r="G596" s="1">
        <v>0.0</v>
      </c>
      <c r="H596" s="1">
        <v>35.28</v>
      </c>
      <c r="I596" s="14">
        <v>44393.0</v>
      </c>
      <c r="J596" s="55" t="s">
        <v>2879</v>
      </c>
      <c r="K596" s="15" t="s">
        <v>3474</v>
      </c>
      <c r="L596" s="33" t="str">
        <f t="shared" si="1"/>
        <v>Not in buy Zone</v>
      </c>
      <c r="M596" s="33" t="str">
        <f t="shared" si="2"/>
        <v>Not in buy Zone</v>
      </c>
      <c r="N596" s="33" t="str">
        <f t="shared" si="3"/>
        <v>No</v>
      </c>
    </row>
    <row r="597" ht="11.25" customHeight="1">
      <c r="A597" s="1" t="s">
        <v>625</v>
      </c>
      <c r="B597" s="1">
        <v>0.0</v>
      </c>
      <c r="C597" s="1">
        <v>0.0</v>
      </c>
      <c r="D597" s="1">
        <v>0.0</v>
      </c>
      <c r="E597" s="1">
        <v>80.94</v>
      </c>
      <c r="F597" s="54">
        <v>44392.0</v>
      </c>
      <c r="G597" s="1">
        <v>0.0</v>
      </c>
      <c r="H597" s="1">
        <v>79.22</v>
      </c>
      <c r="I597" s="14">
        <v>44393.0</v>
      </c>
      <c r="J597" s="55" t="s">
        <v>2879</v>
      </c>
      <c r="K597" s="15" t="s">
        <v>3475</v>
      </c>
      <c r="L597" s="33" t="str">
        <f t="shared" si="1"/>
        <v>Not in buy Zone</v>
      </c>
      <c r="M597" s="33" t="str">
        <f t="shared" si="2"/>
        <v>Not in buy Zone</v>
      </c>
      <c r="N597" s="33" t="str">
        <f t="shared" si="3"/>
        <v>No</v>
      </c>
    </row>
    <row r="598" ht="11.25" customHeight="1">
      <c r="A598" s="1" t="s">
        <v>626</v>
      </c>
      <c r="B598" s="1">
        <v>0.0</v>
      </c>
      <c r="C598" s="1">
        <v>0.0</v>
      </c>
      <c r="D598" s="1">
        <v>0.0</v>
      </c>
      <c r="E598" s="1">
        <v>174.92</v>
      </c>
      <c r="F598" s="54">
        <v>44300.0</v>
      </c>
      <c r="G598" s="1">
        <v>0.0</v>
      </c>
      <c r="H598" s="1">
        <v>203.41</v>
      </c>
      <c r="I598" s="14">
        <v>44393.0</v>
      </c>
      <c r="J598" s="55" t="s">
        <v>2879</v>
      </c>
      <c r="K598" s="15" t="s">
        <v>3476</v>
      </c>
      <c r="L598" s="33" t="str">
        <f t="shared" si="1"/>
        <v>Not in buy Zone</v>
      </c>
      <c r="M598" s="33" t="str">
        <f t="shared" si="2"/>
        <v>Not in buy Zone</v>
      </c>
      <c r="N598" s="33" t="str">
        <f t="shared" si="3"/>
        <v>No</v>
      </c>
    </row>
    <row r="599" ht="11.25" customHeight="1">
      <c r="A599" s="1" t="s">
        <v>627</v>
      </c>
      <c r="B599" s="1">
        <v>0.0</v>
      </c>
      <c r="C599" s="1">
        <v>0.0</v>
      </c>
      <c r="D599" s="1">
        <v>0.0</v>
      </c>
      <c r="E599" s="1">
        <v>148.52</v>
      </c>
      <c r="F599" s="54">
        <v>44385.0</v>
      </c>
      <c r="G599" s="1">
        <v>0.0</v>
      </c>
      <c r="H599" s="1">
        <v>156.39</v>
      </c>
      <c r="I599" s="14">
        <v>44393.0</v>
      </c>
      <c r="J599" s="55" t="s">
        <v>2879</v>
      </c>
      <c r="K599" s="15" t="s">
        <v>3477</v>
      </c>
      <c r="L599" s="33" t="str">
        <f t="shared" si="1"/>
        <v>Not in buy Zone</v>
      </c>
      <c r="M599" s="33" t="str">
        <f t="shared" si="2"/>
        <v>Not in buy Zone</v>
      </c>
      <c r="N599" s="33" t="str">
        <f t="shared" si="3"/>
        <v>No</v>
      </c>
    </row>
    <row r="600" ht="11.25" customHeight="1">
      <c r="A600" s="1" t="s">
        <v>628</v>
      </c>
      <c r="B600" s="1">
        <v>0.0</v>
      </c>
      <c r="C600" s="1">
        <v>0.0</v>
      </c>
      <c r="D600" s="1">
        <v>184.19</v>
      </c>
      <c r="E600" s="1">
        <v>0.0</v>
      </c>
      <c r="F600" s="54">
        <v>44358.0</v>
      </c>
      <c r="G600" s="1">
        <v>0.0</v>
      </c>
      <c r="H600" s="1">
        <v>189.0</v>
      </c>
      <c r="I600" s="14">
        <v>44393.0</v>
      </c>
      <c r="J600" s="55" t="s">
        <v>2879</v>
      </c>
      <c r="K600" s="15" t="s">
        <v>3478</v>
      </c>
      <c r="L600" s="33" t="str">
        <f t="shared" si="1"/>
        <v>Not in buy Zone</v>
      </c>
      <c r="M600" s="33" t="str">
        <f t="shared" si="2"/>
        <v>Not in buy Zone</v>
      </c>
      <c r="N600" s="33" t="str">
        <f t="shared" si="3"/>
        <v>No</v>
      </c>
    </row>
    <row r="601" ht="11.25" customHeight="1">
      <c r="A601" s="1" t="s">
        <v>629</v>
      </c>
      <c r="B601" s="1">
        <v>0.0</v>
      </c>
      <c r="C601" s="1">
        <v>0.0</v>
      </c>
      <c r="D601" s="1">
        <v>0.0</v>
      </c>
      <c r="E601" s="1">
        <v>572.84</v>
      </c>
      <c r="F601" s="54">
        <v>44350.0</v>
      </c>
      <c r="G601" s="1">
        <v>0.0</v>
      </c>
      <c r="H601" s="1">
        <v>644.22</v>
      </c>
      <c r="I601" s="14">
        <v>44393.0</v>
      </c>
      <c r="J601" s="55" t="s">
        <v>2879</v>
      </c>
      <c r="K601" s="15" t="s">
        <v>3479</v>
      </c>
      <c r="L601" s="33" t="str">
        <f t="shared" si="1"/>
        <v>Not in buy Zone</v>
      </c>
      <c r="M601" s="33" t="str">
        <f t="shared" si="2"/>
        <v>Not in buy Zone</v>
      </c>
      <c r="N601" s="33" t="str">
        <f t="shared" si="3"/>
        <v>No</v>
      </c>
    </row>
    <row r="602" ht="11.25" customHeight="1">
      <c r="A602" s="1" t="s">
        <v>630</v>
      </c>
      <c r="B602" s="1">
        <v>0.0</v>
      </c>
      <c r="C602" s="1">
        <v>0.0</v>
      </c>
      <c r="D602" s="1">
        <v>0.0</v>
      </c>
      <c r="E602" s="1">
        <v>79.6</v>
      </c>
      <c r="F602" s="54">
        <v>44342.0</v>
      </c>
      <c r="G602" s="1">
        <v>0.0</v>
      </c>
      <c r="H602" s="1">
        <v>71.4</v>
      </c>
      <c r="I602" s="14">
        <v>44393.0</v>
      </c>
      <c r="J602" s="55" t="s">
        <v>2879</v>
      </c>
      <c r="K602" s="15" t="s">
        <v>3480</v>
      </c>
      <c r="L602" s="33" t="str">
        <f t="shared" si="1"/>
        <v>Not in buy Zone</v>
      </c>
      <c r="M602" s="33" t="str">
        <f t="shared" si="2"/>
        <v>Not in buy Zone</v>
      </c>
      <c r="N602" s="33" t="str">
        <f t="shared" si="3"/>
        <v>No</v>
      </c>
    </row>
    <row r="603" ht="11.25" customHeight="1">
      <c r="A603" s="1" t="s">
        <v>631</v>
      </c>
      <c r="B603" s="1">
        <v>0.0</v>
      </c>
      <c r="C603" s="1">
        <v>0.0</v>
      </c>
      <c r="D603" s="1">
        <v>182.74</v>
      </c>
      <c r="E603" s="1">
        <v>0.0</v>
      </c>
      <c r="F603" s="54">
        <v>44375.0</v>
      </c>
      <c r="G603" s="1">
        <v>0.0</v>
      </c>
      <c r="H603" s="1">
        <v>192.26</v>
      </c>
      <c r="I603" s="14">
        <v>44393.0</v>
      </c>
      <c r="J603" s="55" t="s">
        <v>2879</v>
      </c>
      <c r="K603" s="15" t="s">
        <v>3481</v>
      </c>
      <c r="L603" s="33" t="str">
        <f t="shared" si="1"/>
        <v>Not in buy Zone</v>
      </c>
      <c r="M603" s="33" t="str">
        <f t="shared" si="2"/>
        <v>Not in buy Zone</v>
      </c>
      <c r="N603" s="33" t="str">
        <f t="shared" si="3"/>
        <v>No</v>
      </c>
    </row>
    <row r="604" ht="11.25" customHeight="1">
      <c r="A604" s="1" t="s">
        <v>632</v>
      </c>
      <c r="B604" s="1">
        <v>0.0</v>
      </c>
      <c r="C604" s="1">
        <v>0.0</v>
      </c>
      <c r="D604" s="1">
        <v>0.0</v>
      </c>
      <c r="E604" s="1">
        <v>58.576</v>
      </c>
      <c r="F604" s="54">
        <v>44362.0</v>
      </c>
      <c r="G604" s="1">
        <v>0.0</v>
      </c>
      <c r="H604" s="1">
        <v>70.62</v>
      </c>
      <c r="I604" s="14">
        <v>44393.0</v>
      </c>
      <c r="J604" s="55" t="s">
        <v>2879</v>
      </c>
      <c r="K604" s="15" t="s">
        <v>3482</v>
      </c>
      <c r="L604" s="33" t="str">
        <f t="shared" si="1"/>
        <v>Not in buy Zone</v>
      </c>
      <c r="M604" s="33" t="str">
        <f t="shared" si="2"/>
        <v>Not in buy Zone</v>
      </c>
      <c r="N604" s="33" t="str">
        <f t="shared" si="3"/>
        <v>No</v>
      </c>
    </row>
    <row r="605" ht="11.25" customHeight="1">
      <c r="A605" s="1" t="s">
        <v>633</v>
      </c>
      <c r="B605" s="1">
        <v>0.0</v>
      </c>
      <c r="C605" s="1">
        <v>0.0</v>
      </c>
      <c r="D605" s="1">
        <v>0.0</v>
      </c>
      <c r="E605" s="1">
        <v>174.07</v>
      </c>
      <c r="F605" s="54">
        <v>44383.0</v>
      </c>
      <c r="G605" s="1">
        <v>0.0</v>
      </c>
      <c r="H605" s="1">
        <v>170.52</v>
      </c>
      <c r="I605" s="14">
        <v>44393.0</v>
      </c>
      <c r="J605" s="55" t="s">
        <v>2879</v>
      </c>
      <c r="K605" s="15" t="s">
        <v>3483</v>
      </c>
      <c r="L605" s="33" t="str">
        <f t="shared" si="1"/>
        <v>Not in buy Zone</v>
      </c>
      <c r="M605" s="33" t="str">
        <f t="shared" si="2"/>
        <v>Not in buy Zone</v>
      </c>
      <c r="N605" s="33" t="str">
        <f t="shared" si="3"/>
        <v>No</v>
      </c>
    </row>
    <row r="606" ht="11.25" customHeight="1">
      <c r="A606" s="1" t="s">
        <v>634</v>
      </c>
      <c r="B606" s="1">
        <v>0.0</v>
      </c>
      <c r="C606" s="1">
        <v>0.0</v>
      </c>
      <c r="D606" s="1">
        <v>0.0</v>
      </c>
      <c r="E606" s="1">
        <v>384.85</v>
      </c>
      <c r="F606" s="54">
        <v>44385.0</v>
      </c>
      <c r="G606" s="1">
        <v>0.0</v>
      </c>
      <c r="H606" s="1">
        <v>374.98</v>
      </c>
      <c r="I606" s="14">
        <v>44393.0</v>
      </c>
      <c r="J606" s="55" t="s">
        <v>2879</v>
      </c>
      <c r="K606" s="15" t="s">
        <v>3484</v>
      </c>
      <c r="L606" s="33" t="str">
        <f t="shared" si="1"/>
        <v>Not in buy Zone</v>
      </c>
      <c r="M606" s="33" t="str">
        <f t="shared" si="2"/>
        <v>Not in buy Zone</v>
      </c>
      <c r="N606" s="33" t="str">
        <f t="shared" si="3"/>
        <v>No</v>
      </c>
    </row>
    <row r="607" ht="11.25" customHeight="1">
      <c r="A607" s="1" t="s">
        <v>635</v>
      </c>
      <c r="B607" s="1">
        <v>0.0</v>
      </c>
      <c r="C607" s="1">
        <v>0.0</v>
      </c>
      <c r="D607" s="1">
        <v>0.0</v>
      </c>
      <c r="E607" s="1">
        <v>66.83</v>
      </c>
      <c r="F607" s="54">
        <v>44385.0</v>
      </c>
      <c r="G607" s="1">
        <v>0.0</v>
      </c>
      <c r="H607" s="1">
        <v>66.41</v>
      </c>
      <c r="I607" s="14">
        <v>44393.0</v>
      </c>
      <c r="J607" s="55" t="s">
        <v>2879</v>
      </c>
      <c r="K607" s="15" t="s">
        <v>3485</v>
      </c>
      <c r="L607" s="33" t="str">
        <f t="shared" si="1"/>
        <v>Not in buy Zone</v>
      </c>
      <c r="M607" s="33" t="str">
        <f t="shared" si="2"/>
        <v>Not in buy Zone</v>
      </c>
      <c r="N607" s="33" t="str">
        <f t="shared" si="3"/>
        <v>No</v>
      </c>
    </row>
    <row r="608" ht="11.25" customHeight="1">
      <c r="A608" s="1" t="s">
        <v>636</v>
      </c>
      <c r="B608" s="1">
        <v>0.0</v>
      </c>
      <c r="C608" s="1">
        <v>0.0</v>
      </c>
      <c r="D608" s="1">
        <v>0.0</v>
      </c>
      <c r="E608" s="1">
        <v>188.24</v>
      </c>
      <c r="F608" s="54">
        <v>44385.0</v>
      </c>
      <c r="G608" s="1">
        <v>0.0</v>
      </c>
      <c r="H608" s="1">
        <v>186.12</v>
      </c>
      <c r="I608" s="14">
        <v>44393.0</v>
      </c>
      <c r="J608" s="55" t="s">
        <v>2879</v>
      </c>
      <c r="K608" s="15" t="s">
        <v>3486</v>
      </c>
      <c r="L608" s="33" t="str">
        <f t="shared" si="1"/>
        <v>Not in buy Zone</v>
      </c>
      <c r="M608" s="33" t="str">
        <f t="shared" si="2"/>
        <v>Not in buy Zone</v>
      </c>
      <c r="N608" s="33" t="str">
        <f t="shared" si="3"/>
        <v>No</v>
      </c>
    </row>
    <row r="609" ht="11.25" customHeight="1">
      <c r="A609" s="1" t="s">
        <v>637</v>
      </c>
      <c r="B609" s="1">
        <v>0.0</v>
      </c>
      <c r="C609" s="1">
        <v>0.0</v>
      </c>
      <c r="D609" s="1">
        <v>0.0</v>
      </c>
      <c r="E609" s="1">
        <v>50.34</v>
      </c>
      <c r="F609" s="54">
        <v>44253.0</v>
      </c>
      <c r="G609" s="1">
        <v>0.0</v>
      </c>
      <c r="H609" s="1">
        <v>66.28</v>
      </c>
      <c r="I609" s="14">
        <v>44393.0</v>
      </c>
      <c r="J609" s="55" t="s">
        <v>2879</v>
      </c>
      <c r="K609" s="15" t="s">
        <v>3487</v>
      </c>
      <c r="L609" s="33" t="str">
        <f t="shared" si="1"/>
        <v>Not in buy Zone</v>
      </c>
      <c r="M609" s="33" t="str">
        <f t="shared" si="2"/>
        <v>Not in buy Zone</v>
      </c>
      <c r="N609" s="33" t="str">
        <f t="shared" si="3"/>
        <v>No</v>
      </c>
    </row>
    <row r="610" ht="11.25" customHeight="1">
      <c r="A610" s="1" t="s">
        <v>638</v>
      </c>
      <c r="B610" s="1">
        <v>0.0</v>
      </c>
      <c r="C610" s="1">
        <v>0.0</v>
      </c>
      <c r="D610" s="1">
        <v>0.0</v>
      </c>
      <c r="E610" s="1">
        <v>395.29</v>
      </c>
      <c r="F610" s="54">
        <v>44350.0</v>
      </c>
      <c r="G610" s="1">
        <v>0.0</v>
      </c>
      <c r="H610" s="1">
        <v>473.43</v>
      </c>
      <c r="I610" s="14">
        <v>44393.0</v>
      </c>
      <c r="J610" s="55" t="s">
        <v>2879</v>
      </c>
      <c r="K610" s="15" t="s">
        <v>3488</v>
      </c>
      <c r="L610" s="33" t="str">
        <f t="shared" si="1"/>
        <v>Not in buy Zone</v>
      </c>
      <c r="M610" s="33" t="str">
        <f t="shared" si="2"/>
        <v>Not in buy Zone</v>
      </c>
      <c r="N610" s="33" t="str">
        <f t="shared" si="3"/>
        <v>No</v>
      </c>
    </row>
    <row r="611" ht="11.25" customHeight="1">
      <c r="A611" s="1" t="s">
        <v>639</v>
      </c>
      <c r="B611" s="1">
        <v>0.0</v>
      </c>
      <c r="C611" s="1">
        <v>0.0</v>
      </c>
      <c r="D611" s="1">
        <v>0.0</v>
      </c>
      <c r="E611" s="1">
        <v>18.31</v>
      </c>
      <c r="F611" s="54">
        <v>44384.0</v>
      </c>
      <c r="G611" s="1">
        <v>0.0</v>
      </c>
      <c r="H611" s="1">
        <v>17.05</v>
      </c>
      <c r="I611" s="14">
        <v>44393.0</v>
      </c>
      <c r="J611" s="55" t="s">
        <v>2879</v>
      </c>
      <c r="K611" s="15" t="s">
        <v>3489</v>
      </c>
      <c r="L611" s="33" t="str">
        <f t="shared" si="1"/>
        <v>Not in buy Zone</v>
      </c>
      <c r="M611" s="33" t="str">
        <f t="shared" si="2"/>
        <v>Not in buy Zone</v>
      </c>
      <c r="N611" s="33" t="str">
        <f t="shared" si="3"/>
        <v>No</v>
      </c>
    </row>
    <row r="612" ht="11.25" customHeight="1">
      <c r="A612" s="1" t="s">
        <v>640</v>
      </c>
      <c r="B612" s="1">
        <v>0.0</v>
      </c>
      <c r="C612" s="1">
        <v>0.0</v>
      </c>
      <c r="D612" s="1">
        <v>0.0</v>
      </c>
      <c r="E612" s="1">
        <v>20.68</v>
      </c>
      <c r="F612" s="54">
        <v>44384.0</v>
      </c>
      <c r="G612" s="1">
        <v>0.0</v>
      </c>
      <c r="H612" s="1">
        <v>19.26</v>
      </c>
      <c r="I612" s="14">
        <v>44393.0</v>
      </c>
      <c r="J612" s="55" t="s">
        <v>2879</v>
      </c>
      <c r="K612" s="15" t="s">
        <v>3490</v>
      </c>
      <c r="L612" s="33" t="str">
        <f t="shared" si="1"/>
        <v>Not in buy Zone</v>
      </c>
      <c r="M612" s="33" t="str">
        <f t="shared" si="2"/>
        <v>Not in buy Zone</v>
      </c>
      <c r="N612" s="33" t="str">
        <f t="shared" si="3"/>
        <v>No</v>
      </c>
    </row>
    <row r="613" ht="11.25" customHeight="1">
      <c r="A613" s="1" t="s">
        <v>641</v>
      </c>
      <c r="B613" s="1">
        <v>0.0</v>
      </c>
      <c r="C613" s="1">
        <v>0.0</v>
      </c>
      <c r="D613" s="1">
        <v>0.0</v>
      </c>
      <c r="E613" s="1">
        <v>56.93</v>
      </c>
      <c r="F613" s="54">
        <v>44351.0</v>
      </c>
      <c r="G613" s="1">
        <v>0.0</v>
      </c>
      <c r="H613" s="1">
        <v>46.01</v>
      </c>
      <c r="I613" s="14">
        <v>44393.0</v>
      </c>
      <c r="J613" s="55" t="s">
        <v>2879</v>
      </c>
      <c r="K613" s="15" t="s">
        <v>3491</v>
      </c>
      <c r="L613" s="33" t="str">
        <f t="shared" si="1"/>
        <v>Not in buy Zone</v>
      </c>
      <c r="M613" s="33" t="str">
        <f t="shared" si="2"/>
        <v>Not in buy Zone</v>
      </c>
      <c r="N613" s="33" t="str">
        <f t="shared" si="3"/>
        <v>No</v>
      </c>
    </row>
    <row r="614" ht="11.25" customHeight="1">
      <c r="A614" s="1" t="s">
        <v>642</v>
      </c>
      <c r="B614" s="1">
        <v>0.0</v>
      </c>
      <c r="C614" s="1">
        <v>0.0</v>
      </c>
      <c r="D614" s="1">
        <v>0.0</v>
      </c>
      <c r="E614" s="1">
        <v>48.68</v>
      </c>
      <c r="F614" s="54">
        <v>44384.0</v>
      </c>
      <c r="G614" s="1">
        <v>0.0</v>
      </c>
      <c r="H614" s="1">
        <v>46.19</v>
      </c>
      <c r="I614" s="14">
        <v>44393.0</v>
      </c>
      <c r="J614" s="55" t="s">
        <v>2879</v>
      </c>
      <c r="K614" s="15" t="s">
        <v>3492</v>
      </c>
      <c r="L614" s="33" t="str">
        <f t="shared" si="1"/>
        <v>Not in buy Zone</v>
      </c>
      <c r="M614" s="33" t="str">
        <f t="shared" si="2"/>
        <v>Not in buy Zone</v>
      </c>
      <c r="N614" s="33" t="str">
        <f t="shared" si="3"/>
        <v>No</v>
      </c>
    </row>
    <row r="615" ht="11.25" customHeight="1">
      <c r="A615" s="1" t="s">
        <v>643</v>
      </c>
      <c r="B615" s="1">
        <v>0.0</v>
      </c>
      <c r="C615" s="1">
        <v>0.0</v>
      </c>
      <c r="D615" s="1">
        <v>0.0</v>
      </c>
      <c r="E615" s="1">
        <v>43.86</v>
      </c>
      <c r="F615" s="54">
        <v>44286.0</v>
      </c>
      <c r="G615" s="1">
        <v>0.0</v>
      </c>
      <c r="H615" s="1">
        <v>53.25</v>
      </c>
      <c r="I615" s="14">
        <v>44393.0</v>
      </c>
      <c r="J615" s="55" t="s">
        <v>2879</v>
      </c>
      <c r="K615" s="15" t="s">
        <v>3493</v>
      </c>
      <c r="L615" s="33" t="str">
        <f t="shared" si="1"/>
        <v>Not in buy Zone</v>
      </c>
      <c r="M615" s="33" t="str">
        <f t="shared" si="2"/>
        <v>Not in buy Zone</v>
      </c>
      <c r="N615" s="33" t="str">
        <f t="shared" si="3"/>
        <v>No</v>
      </c>
    </row>
    <row r="616" ht="11.25" customHeight="1">
      <c r="A616" s="1" t="s">
        <v>644</v>
      </c>
      <c r="B616" s="1">
        <v>0.0</v>
      </c>
      <c r="C616" s="1">
        <v>0.0</v>
      </c>
      <c r="D616" s="1">
        <v>151.14</v>
      </c>
      <c r="E616" s="1">
        <v>0.0</v>
      </c>
      <c r="F616" s="54">
        <v>44379.0</v>
      </c>
      <c r="G616" s="1">
        <v>0.0</v>
      </c>
      <c r="H616" s="1">
        <v>151.33</v>
      </c>
      <c r="I616" s="14">
        <v>44393.0</v>
      </c>
      <c r="J616" s="55" t="s">
        <v>2879</v>
      </c>
      <c r="K616" s="15" t="s">
        <v>3494</v>
      </c>
      <c r="L616" s="33" t="str">
        <f t="shared" si="1"/>
        <v>Not in buy Zone</v>
      </c>
      <c r="M616" s="33" t="str">
        <f t="shared" si="2"/>
        <v>Not in buy Zone</v>
      </c>
      <c r="N616" s="33" t="str">
        <f t="shared" si="3"/>
        <v>No</v>
      </c>
    </row>
    <row r="617" ht="11.25" customHeight="1">
      <c r="A617" s="1" t="s">
        <v>645</v>
      </c>
      <c r="B617" s="1">
        <v>0.0</v>
      </c>
      <c r="C617" s="1">
        <v>0.0</v>
      </c>
      <c r="D617" s="1">
        <v>0.0</v>
      </c>
      <c r="E617" s="1">
        <v>340.8</v>
      </c>
      <c r="F617" s="54">
        <v>44384.0</v>
      </c>
      <c r="G617" s="1">
        <v>0.0</v>
      </c>
      <c r="H617" s="1">
        <v>332.12</v>
      </c>
      <c r="I617" s="14">
        <v>44393.0</v>
      </c>
      <c r="J617" s="55" t="s">
        <v>2879</v>
      </c>
      <c r="K617" s="15" t="s">
        <v>3495</v>
      </c>
      <c r="L617" s="33" t="str">
        <f t="shared" si="1"/>
        <v>Not in buy Zone</v>
      </c>
      <c r="M617" s="33" t="str">
        <f t="shared" si="2"/>
        <v>Not in buy Zone</v>
      </c>
      <c r="N617" s="33" t="str">
        <f t="shared" si="3"/>
        <v>No</v>
      </c>
    </row>
    <row r="618" ht="11.25" customHeight="1">
      <c r="A618" s="1" t="s">
        <v>646</v>
      </c>
      <c r="B618" s="1">
        <v>0.0</v>
      </c>
      <c r="C618" s="1">
        <v>0.0</v>
      </c>
      <c r="D618" s="1">
        <v>398.87</v>
      </c>
      <c r="E618" s="1">
        <v>0.0</v>
      </c>
      <c r="F618" s="54">
        <v>44371.0</v>
      </c>
      <c r="G618" s="1">
        <v>0.0</v>
      </c>
      <c r="H618" s="1">
        <v>419.7</v>
      </c>
      <c r="I618" s="14">
        <v>44393.0</v>
      </c>
      <c r="J618" s="55" t="s">
        <v>2879</v>
      </c>
      <c r="K618" s="15" t="s">
        <v>3496</v>
      </c>
      <c r="L618" s="33" t="str">
        <f t="shared" si="1"/>
        <v>Not in buy Zone</v>
      </c>
      <c r="M618" s="33" t="str">
        <f t="shared" si="2"/>
        <v>Not in buy Zone</v>
      </c>
      <c r="N618" s="33" t="str">
        <f t="shared" si="3"/>
        <v>No</v>
      </c>
    </row>
    <row r="619" ht="11.25" customHeight="1">
      <c r="A619" s="1" t="s">
        <v>647</v>
      </c>
      <c r="B619" s="1">
        <v>0.0</v>
      </c>
      <c r="C619" s="1">
        <v>0.0</v>
      </c>
      <c r="D619" s="1">
        <v>28.83</v>
      </c>
      <c r="E619" s="1">
        <v>0.0</v>
      </c>
      <c r="F619" s="54">
        <v>44378.0</v>
      </c>
      <c r="G619" s="1">
        <v>0.0</v>
      </c>
      <c r="H619" s="1">
        <v>27.04</v>
      </c>
      <c r="I619" s="14">
        <v>44393.0</v>
      </c>
      <c r="J619" s="55" t="s">
        <v>2879</v>
      </c>
      <c r="K619" s="15" t="s">
        <v>3497</v>
      </c>
      <c r="L619" s="33" t="str">
        <f t="shared" si="1"/>
        <v>Not in buy Zone</v>
      </c>
      <c r="M619" s="33" t="str">
        <f t="shared" si="2"/>
        <v>Not in buy Zone</v>
      </c>
      <c r="N619" s="33" t="str">
        <f t="shared" si="3"/>
        <v>No</v>
      </c>
    </row>
    <row r="620" ht="11.25" customHeight="1">
      <c r="A620" s="1" t="s">
        <v>648</v>
      </c>
      <c r="B620" s="1">
        <v>0.0</v>
      </c>
      <c r="C620" s="1">
        <v>0.0</v>
      </c>
      <c r="D620" s="1">
        <v>0.0</v>
      </c>
      <c r="E620" s="1">
        <v>218.34</v>
      </c>
      <c r="F620" s="54">
        <v>44385.0</v>
      </c>
      <c r="G620" s="1">
        <v>0.0</v>
      </c>
      <c r="H620" s="1">
        <v>218.42</v>
      </c>
      <c r="I620" s="14">
        <v>44393.0</v>
      </c>
      <c r="J620" s="55" t="s">
        <v>2879</v>
      </c>
      <c r="K620" s="15" t="s">
        <v>3498</v>
      </c>
      <c r="L620" s="33" t="str">
        <f t="shared" si="1"/>
        <v>Not in buy Zone</v>
      </c>
      <c r="M620" s="33" t="str">
        <f t="shared" si="2"/>
        <v>Not in buy Zone</v>
      </c>
      <c r="N620" s="33" t="str">
        <f t="shared" si="3"/>
        <v>No</v>
      </c>
    </row>
    <row r="621" ht="11.25" customHeight="1">
      <c r="A621" s="1" t="s">
        <v>649</v>
      </c>
      <c r="B621" s="1">
        <v>0.0</v>
      </c>
      <c r="C621" s="1">
        <v>210.57</v>
      </c>
      <c r="D621" s="1">
        <v>0.0</v>
      </c>
      <c r="E621" s="1">
        <v>0.0</v>
      </c>
      <c r="F621" s="54">
        <v>44393.0</v>
      </c>
      <c r="G621" s="1">
        <v>-1.0</v>
      </c>
      <c r="H621" s="1">
        <v>210.57</v>
      </c>
      <c r="I621" s="14">
        <v>44393.0</v>
      </c>
      <c r="J621" s="55" t="s">
        <v>2879</v>
      </c>
      <c r="K621" s="15" t="s">
        <v>3499</v>
      </c>
      <c r="L621" s="33" t="str">
        <f t="shared" si="1"/>
        <v>Not in buy Zone</v>
      </c>
      <c r="M621" s="33" t="str">
        <f t="shared" si="2"/>
        <v>Not in buy Zone</v>
      </c>
      <c r="N621" s="33" t="str">
        <f t="shared" si="3"/>
        <v>No</v>
      </c>
    </row>
    <row r="622" ht="11.25" customHeight="1">
      <c r="A622" s="1" t="s">
        <v>650</v>
      </c>
      <c r="B622" s="1">
        <v>0.0</v>
      </c>
      <c r="C622" s="1">
        <v>0.0</v>
      </c>
      <c r="D622" s="1">
        <v>124.9</v>
      </c>
      <c r="E622" s="1">
        <v>0.0</v>
      </c>
      <c r="F622" s="54">
        <v>44377.0</v>
      </c>
      <c r="G622" s="1">
        <v>0.0</v>
      </c>
      <c r="H622" s="1">
        <v>113.79</v>
      </c>
      <c r="I622" s="14">
        <v>44393.0</v>
      </c>
      <c r="J622" s="55" t="s">
        <v>2879</v>
      </c>
      <c r="K622" s="15" t="s">
        <v>3500</v>
      </c>
      <c r="L622" s="33" t="str">
        <f t="shared" si="1"/>
        <v>Not in buy Zone</v>
      </c>
      <c r="M622" s="33" t="str">
        <f t="shared" si="2"/>
        <v>Not in buy Zone</v>
      </c>
      <c r="N622" s="33" t="str">
        <f t="shared" si="3"/>
        <v>No</v>
      </c>
    </row>
    <row r="623" ht="11.25" customHeight="1">
      <c r="A623" s="1" t="s">
        <v>651</v>
      </c>
      <c r="B623" s="1">
        <v>0.0</v>
      </c>
      <c r="C623" s="1">
        <v>0.0</v>
      </c>
      <c r="D623" s="1">
        <v>0.0</v>
      </c>
      <c r="E623" s="1">
        <v>306.22</v>
      </c>
      <c r="F623" s="54">
        <v>44385.0</v>
      </c>
      <c r="G623" s="1">
        <v>0.0</v>
      </c>
      <c r="H623" s="1">
        <v>306.08</v>
      </c>
      <c r="I623" s="14">
        <v>44393.0</v>
      </c>
      <c r="J623" s="55" t="s">
        <v>2879</v>
      </c>
      <c r="K623" s="15" t="s">
        <v>3501</v>
      </c>
      <c r="L623" s="33" t="str">
        <f t="shared" si="1"/>
        <v>Not in buy Zone</v>
      </c>
      <c r="M623" s="33" t="str">
        <f t="shared" si="2"/>
        <v>Not in buy Zone</v>
      </c>
      <c r="N623" s="33" t="str">
        <f t="shared" si="3"/>
        <v>No</v>
      </c>
    </row>
    <row r="624" ht="11.25" customHeight="1">
      <c r="A624" s="1" t="s">
        <v>652</v>
      </c>
      <c r="B624" s="1">
        <v>0.0</v>
      </c>
      <c r="C624" s="1">
        <v>0.0</v>
      </c>
      <c r="D624" s="1">
        <v>57.85</v>
      </c>
      <c r="E624" s="1">
        <v>0.0</v>
      </c>
      <c r="F624" s="54">
        <v>44372.0</v>
      </c>
      <c r="G624" s="1">
        <v>0.0</v>
      </c>
      <c r="H624" s="1">
        <v>57.17</v>
      </c>
      <c r="I624" s="14">
        <v>44393.0</v>
      </c>
      <c r="J624" s="55" t="s">
        <v>2879</v>
      </c>
      <c r="K624" s="15" t="s">
        <v>3502</v>
      </c>
      <c r="L624" s="33" t="str">
        <f t="shared" si="1"/>
        <v>Not in buy Zone</v>
      </c>
      <c r="M624" s="33" t="str">
        <f t="shared" si="2"/>
        <v>Not in buy Zone</v>
      </c>
      <c r="N624" s="33" t="str">
        <f t="shared" si="3"/>
        <v>No</v>
      </c>
    </row>
    <row r="625" ht="11.25" customHeight="1">
      <c r="A625" s="1" t="s">
        <v>653</v>
      </c>
      <c r="B625" s="1">
        <v>0.0</v>
      </c>
      <c r="C625" s="1">
        <v>0.0</v>
      </c>
      <c r="D625" s="1">
        <v>72.98</v>
      </c>
      <c r="E625" s="1">
        <v>0.0</v>
      </c>
      <c r="F625" s="54">
        <v>44369.0</v>
      </c>
      <c r="G625" s="1">
        <v>0.0</v>
      </c>
      <c r="H625" s="1">
        <v>75.28</v>
      </c>
      <c r="I625" s="14">
        <v>44393.0</v>
      </c>
      <c r="J625" s="55" t="s">
        <v>2879</v>
      </c>
      <c r="K625" s="15" t="s">
        <v>3503</v>
      </c>
      <c r="L625" s="33" t="str">
        <f t="shared" si="1"/>
        <v>Not in buy Zone</v>
      </c>
      <c r="M625" s="33" t="str">
        <f t="shared" si="2"/>
        <v>Not in buy Zone</v>
      </c>
      <c r="N625" s="33" t="str">
        <f t="shared" si="3"/>
        <v>No</v>
      </c>
    </row>
    <row r="626" ht="11.25" customHeight="1">
      <c r="A626" s="1" t="s">
        <v>654</v>
      </c>
      <c r="B626" s="1">
        <v>0.0</v>
      </c>
      <c r="C626" s="1">
        <v>0.0</v>
      </c>
      <c r="D626" s="1">
        <v>0.0</v>
      </c>
      <c r="E626" s="1">
        <v>43.81</v>
      </c>
      <c r="F626" s="54">
        <v>44329.0</v>
      </c>
      <c r="G626" s="1">
        <v>0.0</v>
      </c>
      <c r="H626" s="1">
        <v>49.14</v>
      </c>
      <c r="I626" s="14">
        <v>44393.0</v>
      </c>
      <c r="J626" s="55" t="s">
        <v>2879</v>
      </c>
      <c r="K626" s="15" t="s">
        <v>3504</v>
      </c>
      <c r="L626" s="33" t="str">
        <f t="shared" si="1"/>
        <v>Not in buy Zone</v>
      </c>
      <c r="M626" s="33" t="str">
        <f t="shared" si="2"/>
        <v>Not in buy Zone</v>
      </c>
      <c r="N626" s="33" t="str">
        <f t="shared" si="3"/>
        <v>No</v>
      </c>
    </row>
    <row r="627" ht="11.25" customHeight="1">
      <c r="A627" s="1" t="s">
        <v>655</v>
      </c>
      <c r="B627" s="1">
        <v>0.0</v>
      </c>
      <c r="C627" s="1">
        <v>0.0</v>
      </c>
      <c r="D627" s="1">
        <v>0.0</v>
      </c>
      <c r="E627" s="1">
        <v>229.6</v>
      </c>
      <c r="F627" s="54">
        <v>44363.0</v>
      </c>
      <c r="G627" s="1">
        <v>0.0</v>
      </c>
      <c r="H627" s="1">
        <v>248.12</v>
      </c>
      <c r="I627" s="14">
        <v>44393.0</v>
      </c>
      <c r="J627" s="55" t="s">
        <v>2879</v>
      </c>
      <c r="K627" s="15" t="s">
        <v>3505</v>
      </c>
      <c r="L627" s="33" t="str">
        <f t="shared" si="1"/>
        <v>Not in buy Zone</v>
      </c>
      <c r="M627" s="33" t="str">
        <f t="shared" si="2"/>
        <v>Not in buy Zone</v>
      </c>
      <c r="N627" s="33" t="str">
        <f t="shared" si="3"/>
        <v>No</v>
      </c>
    </row>
    <row r="628" ht="11.25" customHeight="1">
      <c r="A628" s="1" t="s">
        <v>656</v>
      </c>
      <c r="B628" s="1">
        <v>0.0</v>
      </c>
      <c r="C628" s="1">
        <v>0.0</v>
      </c>
      <c r="D628" s="1">
        <v>0.0</v>
      </c>
      <c r="E628" s="1">
        <v>93.71</v>
      </c>
      <c r="F628" s="54">
        <v>44313.0</v>
      </c>
      <c r="G628" s="1">
        <v>0.0</v>
      </c>
      <c r="H628" s="1">
        <v>95.49</v>
      </c>
      <c r="I628" s="14">
        <v>44393.0</v>
      </c>
      <c r="J628" s="55" t="s">
        <v>2879</v>
      </c>
      <c r="K628" s="15" t="s">
        <v>3506</v>
      </c>
      <c r="L628" s="33" t="str">
        <f t="shared" si="1"/>
        <v>Not in buy Zone</v>
      </c>
      <c r="M628" s="33" t="str">
        <f t="shared" si="2"/>
        <v>Not in buy Zone</v>
      </c>
      <c r="N628" s="33" t="str">
        <f t="shared" si="3"/>
        <v>No</v>
      </c>
    </row>
    <row r="629" ht="11.25" customHeight="1">
      <c r="A629" s="1" t="s">
        <v>657</v>
      </c>
      <c r="B629" s="1">
        <v>0.0</v>
      </c>
      <c r="C629" s="1">
        <v>0.0</v>
      </c>
      <c r="D629" s="1">
        <v>0.0</v>
      </c>
      <c r="E629" s="1">
        <v>82.6</v>
      </c>
      <c r="F629" s="54">
        <v>44390.0</v>
      </c>
      <c r="G629" s="1">
        <v>0.0</v>
      </c>
      <c r="H629" s="1">
        <v>82.66</v>
      </c>
      <c r="I629" s="14">
        <v>44393.0</v>
      </c>
      <c r="J629" s="55" t="s">
        <v>2879</v>
      </c>
      <c r="K629" s="15" t="s">
        <v>3507</v>
      </c>
      <c r="L629" s="33" t="str">
        <f t="shared" si="1"/>
        <v>Not in buy Zone</v>
      </c>
      <c r="M629" s="33" t="str">
        <f t="shared" si="2"/>
        <v>Not in buy Zone</v>
      </c>
      <c r="N629" s="33" t="str">
        <f t="shared" si="3"/>
        <v>No</v>
      </c>
    </row>
    <row r="630" ht="11.25" customHeight="1">
      <c r="A630" s="1" t="s">
        <v>658</v>
      </c>
      <c r="B630" s="1">
        <v>0.0</v>
      </c>
      <c r="C630" s="1">
        <v>0.0</v>
      </c>
      <c r="D630" s="1">
        <v>0.0</v>
      </c>
      <c r="E630" s="1">
        <v>51.47</v>
      </c>
      <c r="F630" s="54">
        <v>44392.0</v>
      </c>
      <c r="G630" s="1">
        <v>0.0</v>
      </c>
      <c r="H630" s="1">
        <v>51.07</v>
      </c>
      <c r="I630" s="14">
        <v>44393.0</v>
      </c>
      <c r="J630" s="55" t="s">
        <v>2879</v>
      </c>
      <c r="K630" s="15" t="s">
        <v>3508</v>
      </c>
      <c r="L630" s="33" t="str">
        <f t="shared" si="1"/>
        <v>Not in buy Zone</v>
      </c>
      <c r="M630" s="33" t="str">
        <f t="shared" si="2"/>
        <v>Not in buy Zone</v>
      </c>
      <c r="N630" s="33" t="str">
        <f t="shared" si="3"/>
        <v>No</v>
      </c>
    </row>
    <row r="631" ht="11.25" customHeight="1">
      <c r="A631" s="1" t="s">
        <v>659</v>
      </c>
      <c r="B631" s="1">
        <v>0.0</v>
      </c>
      <c r="C631" s="1">
        <v>0.0</v>
      </c>
      <c r="D631" s="1">
        <v>47.03</v>
      </c>
      <c r="E631" s="1">
        <v>0.0</v>
      </c>
      <c r="F631" s="54">
        <v>44383.0</v>
      </c>
      <c r="G631" s="1">
        <v>0.0</v>
      </c>
      <c r="H631" s="1">
        <v>48.41</v>
      </c>
      <c r="I631" s="14">
        <v>44393.0</v>
      </c>
      <c r="J631" s="55" t="s">
        <v>2879</v>
      </c>
      <c r="K631" s="15" t="s">
        <v>3509</v>
      </c>
      <c r="L631" s="33" t="str">
        <f t="shared" si="1"/>
        <v>Not in buy Zone</v>
      </c>
      <c r="M631" s="33" t="str">
        <f t="shared" si="2"/>
        <v>Not in buy Zone</v>
      </c>
      <c r="N631" s="33" t="str">
        <f t="shared" si="3"/>
        <v>No</v>
      </c>
    </row>
    <row r="632" ht="11.25" customHeight="1">
      <c r="A632" s="1" t="s">
        <v>660</v>
      </c>
      <c r="B632" s="1">
        <v>0.0</v>
      </c>
      <c r="C632" s="1">
        <v>0.0</v>
      </c>
      <c r="D632" s="1">
        <v>0.0</v>
      </c>
      <c r="E632" s="1">
        <v>60.36</v>
      </c>
      <c r="F632" s="54">
        <v>44278.0</v>
      </c>
      <c r="G632" s="1">
        <v>0.0</v>
      </c>
      <c r="H632" s="1">
        <v>62.51</v>
      </c>
      <c r="I632" s="14">
        <v>44393.0</v>
      </c>
      <c r="J632" s="55" t="s">
        <v>2879</v>
      </c>
      <c r="K632" s="15" t="s">
        <v>3510</v>
      </c>
      <c r="L632" s="33" t="str">
        <f t="shared" si="1"/>
        <v>Not in buy Zone</v>
      </c>
      <c r="M632" s="33" t="str">
        <f t="shared" si="2"/>
        <v>Not in buy Zone</v>
      </c>
      <c r="N632" s="33" t="str">
        <f t="shared" si="3"/>
        <v>No</v>
      </c>
    </row>
    <row r="633" ht="11.25" customHeight="1">
      <c r="A633" s="1" t="s">
        <v>661</v>
      </c>
      <c r="B633" s="1">
        <v>0.0</v>
      </c>
      <c r="C633" s="1">
        <v>0.0</v>
      </c>
      <c r="D633" s="1">
        <v>0.0</v>
      </c>
      <c r="E633" s="1">
        <v>79.67</v>
      </c>
      <c r="F633" s="54">
        <v>44365.0</v>
      </c>
      <c r="G633" s="1">
        <v>0.0</v>
      </c>
      <c r="H633" s="1">
        <v>77.42</v>
      </c>
      <c r="I633" s="14">
        <v>44393.0</v>
      </c>
      <c r="J633" s="55" t="s">
        <v>2879</v>
      </c>
      <c r="K633" s="15" t="s">
        <v>3511</v>
      </c>
      <c r="L633" s="33" t="str">
        <f t="shared" si="1"/>
        <v>Not in buy Zone</v>
      </c>
      <c r="M633" s="33" t="str">
        <f t="shared" si="2"/>
        <v>Not in buy Zone</v>
      </c>
      <c r="N633" s="33" t="str">
        <f t="shared" si="3"/>
        <v>No</v>
      </c>
    </row>
    <row r="634" ht="11.25" customHeight="1">
      <c r="A634" s="1" t="s">
        <v>662</v>
      </c>
      <c r="B634" s="1">
        <v>0.0</v>
      </c>
      <c r="C634" s="1">
        <v>0.0</v>
      </c>
      <c r="D634" s="1">
        <v>0.0</v>
      </c>
      <c r="E634" s="1">
        <v>67.31</v>
      </c>
      <c r="F634" s="54">
        <v>44392.0</v>
      </c>
      <c r="G634" s="1">
        <v>0.0</v>
      </c>
      <c r="H634" s="1">
        <v>66.86</v>
      </c>
      <c r="I634" s="14">
        <v>44393.0</v>
      </c>
      <c r="J634" s="55" t="s">
        <v>2879</v>
      </c>
      <c r="K634" s="15" t="s">
        <v>3512</v>
      </c>
      <c r="L634" s="33" t="str">
        <f t="shared" si="1"/>
        <v>Not in buy Zone</v>
      </c>
      <c r="M634" s="33" t="str">
        <f t="shared" si="2"/>
        <v>Not in buy Zone</v>
      </c>
      <c r="N634" s="33" t="str">
        <f t="shared" si="3"/>
        <v>No</v>
      </c>
    </row>
    <row r="635" ht="11.25" customHeight="1">
      <c r="A635" s="1" t="s">
        <v>663</v>
      </c>
      <c r="B635" s="1">
        <v>0.0</v>
      </c>
      <c r="C635" s="1">
        <v>0.0</v>
      </c>
      <c r="D635" s="1">
        <v>0.0</v>
      </c>
      <c r="E635" s="1">
        <v>42.8</v>
      </c>
      <c r="F635" s="54">
        <v>44384.0</v>
      </c>
      <c r="G635" s="1">
        <v>0.0</v>
      </c>
      <c r="H635" s="1">
        <v>40.29</v>
      </c>
      <c r="I635" s="14">
        <v>44393.0</v>
      </c>
      <c r="J635" s="55" t="s">
        <v>2879</v>
      </c>
      <c r="K635" s="15" t="s">
        <v>3513</v>
      </c>
      <c r="L635" s="33" t="str">
        <f t="shared" si="1"/>
        <v>Not in buy Zone</v>
      </c>
      <c r="M635" s="33" t="str">
        <f t="shared" si="2"/>
        <v>Not in buy Zone</v>
      </c>
      <c r="N635" s="33" t="str">
        <f t="shared" si="3"/>
        <v>No</v>
      </c>
    </row>
    <row r="636" ht="11.25" customHeight="1">
      <c r="A636" s="1" t="s">
        <v>664</v>
      </c>
      <c r="B636" s="1">
        <v>0.0</v>
      </c>
      <c r="C636" s="1">
        <v>31.14</v>
      </c>
      <c r="D636" s="1">
        <v>0.0</v>
      </c>
      <c r="E636" s="1">
        <v>0.0</v>
      </c>
      <c r="F636" s="54">
        <v>44393.0</v>
      </c>
      <c r="G636" s="1">
        <v>-1.0</v>
      </c>
      <c r="H636" s="1">
        <v>31.14</v>
      </c>
      <c r="I636" s="14">
        <v>44393.0</v>
      </c>
      <c r="J636" s="55" t="s">
        <v>2879</v>
      </c>
      <c r="K636" s="15" t="s">
        <v>3514</v>
      </c>
      <c r="L636" s="33" t="str">
        <f t="shared" si="1"/>
        <v>Not in buy Zone</v>
      </c>
      <c r="M636" s="33" t="str">
        <f t="shared" si="2"/>
        <v>Not in buy Zone</v>
      </c>
      <c r="N636" s="33" t="str">
        <f t="shared" si="3"/>
        <v>No</v>
      </c>
    </row>
    <row r="637" ht="11.25" customHeight="1">
      <c r="A637" s="1" t="s">
        <v>665</v>
      </c>
      <c r="B637" s="1">
        <v>0.0</v>
      </c>
      <c r="C637" s="1">
        <v>0.0</v>
      </c>
      <c r="D637" s="1">
        <v>81.73</v>
      </c>
      <c r="E637" s="1">
        <v>0.0</v>
      </c>
      <c r="F637" s="54">
        <v>44371.0</v>
      </c>
      <c r="G637" s="1">
        <v>0.0</v>
      </c>
      <c r="H637" s="1">
        <v>64.88</v>
      </c>
      <c r="I637" s="14">
        <v>44393.0</v>
      </c>
      <c r="J637" s="55" t="s">
        <v>2879</v>
      </c>
      <c r="K637" s="15" t="s">
        <v>3515</v>
      </c>
      <c r="L637" s="33" t="str">
        <f t="shared" si="1"/>
        <v>Not in buy Zone</v>
      </c>
      <c r="M637" s="33" t="str">
        <f t="shared" si="2"/>
        <v>Not in buy Zone</v>
      </c>
      <c r="N637" s="33" t="str">
        <f t="shared" si="3"/>
        <v>No</v>
      </c>
    </row>
    <row r="638" ht="11.25" customHeight="1">
      <c r="A638" s="1" t="s">
        <v>666</v>
      </c>
      <c r="B638" s="1">
        <v>0.0</v>
      </c>
      <c r="C638" s="1">
        <v>0.0</v>
      </c>
      <c r="D638" s="1">
        <v>0.0</v>
      </c>
      <c r="E638" s="1">
        <v>170.98</v>
      </c>
      <c r="F638" s="54">
        <v>44379.0</v>
      </c>
      <c r="G638" s="1">
        <v>0.0</v>
      </c>
      <c r="H638" s="1">
        <v>175.35</v>
      </c>
      <c r="I638" s="14">
        <v>44393.0</v>
      </c>
      <c r="J638" s="55" t="s">
        <v>2879</v>
      </c>
      <c r="K638" s="15" t="s">
        <v>3516</v>
      </c>
      <c r="L638" s="33" t="str">
        <f t="shared" si="1"/>
        <v>Not in buy Zone</v>
      </c>
      <c r="M638" s="33" t="str">
        <f t="shared" si="2"/>
        <v>Not in buy Zone</v>
      </c>
      <c r="N638" s="33" t="str">
        <f t="shared" si="3"/>
        <v>No</v>
      </c>
    </row>
    <row r="639" ht="11.25" customHeight="1">
      <c r="A639" s="1" t="s">
        <v>667</v>
      </c>
      <c r="B639" s="1">
        <v>0.0</v>
      </c>
      <c r="C639" s="1">
        <v>0.0</v>
      </c>
      <c r="D639" s="1">
        <v>47.1</v>
      </c>
      <c r="E639" s="1">
        <v>0.0</v>
      </c>
      <c r="F639" s="54">
        <v>44389.0</v>
      </c>
      <c r="G639" s="1">
        <v>0.0</v>
      </c>
      <c r="H639" s="1">
        <v>45.21</v>
      </c>
      <c r="I639" s="14">
        <v>44393.0</v>
      </c>
      <c r="J639" s="55" t="s">
        <v>2879</v>
      </c>
      <c r="K639" s="15" t="s">
        <v>3517</v>
      </c>
      <c r="L639" s="33" t="str">
        <f t="shared" si="1"/>
        <v>Not in buy Zone</v>
      </c>
      <c r="M639" s="33" t="str">
        <f t="shared" si="2"/>
        <v>Not in buy Zone</v>
      </c>
      <c r="N639" s="33" t="str">
        <f t="shared" si="3"/>
        <v>No</v>
      </c>
    </row>
    <row r="640" ht="11.25" customHeight="1">
      <c r="A640" s="1" t="s">
        <v>668</v>
      </c>
      <c r="B640" s="1">
        <v>0.0</v>
      </c>
      <c r="C640" s="1">
        <v>0.0</v>
      </c>
      <c r="D640" s="1">
        <v>103.29</v>
      </c>
      <c r="E640" s="1">
        <v>0.0</v>
      </c>
      <c r="F640" s="54">
        <v>44383.0</v>
      </c>
      <c r="G640" s="1">
        <v>0.0</v>
      </c>
      <c r="H640" s="1">
        <v>105.31</v>
      </c>
      <c r="I640" s="14">
        <v>44393.0</v>
      </c>
      <c r="J640" s="55" t="s">
        <v>2879</v>
      </c>
      <c r="K640" s="15" t="s">
        <v>3518</v>
      </c>
      <c r="L640" s="33" t="str">
        <f t="shared" si="1"/>
        <v>Not in buy Zone</v>
      </c>
      <c r="M640" s="33" t="str">
        <f t="shared" si="2"/>
        <v>Not in buy Zone</v>
      </c>
      <c r="N640" s="33" t="str">
        <f t="shared" si="3"/>
        <v>No</v>
      </c>
    </row>
    <row r="641" ht="11.25" customHeight="1">
      <c r="A641" s="1" t="s">
        <v>669</v>
      </c>
      <c r="B641" s="1">
        <v>0.0</v>
      </c>
      <c r="C641" s="1">
        <v>0.0</v>
      </c>
      <c r="D641" s="1">
        <v>0.0</v>
      </c>
      <c r="E641" s="1">
        <v>357.42</v>
      </c>
      <c r="F641" s="54">
        <v>44279.0</v>
      </c>
      <c r="G641" s="1">
        <v>0.0</v>
      </c>
      <c r="H641" s="1">
        <v>396.61</v>
      </c>
      <c r="I641" s="14">
        <v>44393.0</v>
      </c>
      <c r="J641" s="55" t="s">
        <v>2879</v>
      </c>
      <c r="K641" s="15" t="s">
        <v>3519</v>
      </c>
      <c r="L641" s="33" t="str">
        <f t="shared" si="1"/>
        <v>Not in buy Zone</v>
      </c>
      <c r="M641" s="33" t="str">
        <f t="shared" si="2"/>
        <v>Not in buy Zone</v>
      </c>
      <c r="N641" s="33" t="str">
        <f t="shared" si="3"/>
        <v>No</v>
      </c>
    </row>
    <row r="642" ht="11.25" customHeight="1">
      <c r="A642" s="1" t="s">
        <v>670</v>
      </c>
      <c r="B642" s="1">
        <v>0.0</v>
      </c>
      <c r="C642" s="1">
        <v>0.0</v>
      </c>
      <c r="D642" s="1">
        <v>44.24</v>
      </c>
      <c r="E642" s="1">
        <v>0.0</v>
      </c>
      <c r="F642" s="54">
        <v>44358.0</v>
      </c>
      <c r="G642" s="1">
        <v>0.0</v>
      </c>
      <c r="H642" s="1">
        <v>38.15</v>
      </c>
      <c r="I642" s="14">
        <v>44393.0</v>
      </c>
      <c r="J642" s="55" t="s">
        <v>2879</v>
      </c>
      <c r="K642" s="15" t="s">
        <v>3520</v>
      </c>
      <c r="L642" s="33" t="str">
        <f t="shared" si="1"/>
        <v>Not in buy Zone</v>
      </c>
      <c r="M642" s="33" t="str">
        <f t="shared" si="2"/>
        <v>Not in buy Zone</v>
      </c>
      <c r="N642" s="33" t="str">
        <f t="shared" si="3"/>
        <v>No</v>
      </c>
    </row>
    <row r="643" ht="11.25" customHeight="1">
      <c r="A643" s="1" t="s">
        <v>671</v>
      </c>
      <c r="B643" s="1">
        <v>0.0</v>
      </c>
      <c r="C643" s="1">
        <v>0.0</v>
      </c>
      <c r="D643" s="1">
        <v>172.2</v>
      </c>
      <c r="E643" s="1">
        <v>0.0</v>
      </c>
      <c r="F643" s="54">
        <v>44358.0</v>
      </c>
      <c r="G643" s="1">
        <v>0.0</v>
      </c>
      <c r="H643" s="1">
        <v>186.99</v>
      </c>
      <c r="I643" s="14">
        <v>44393.0</v>
      </c>
      <c r="J643" s="55" t="s">
        <v>2879</v>
      </c>
      <c r="K643" s="15" t="s">
        <v>3521</v>
      </c>
      <c r="L643" s="33" t="str">
        <f t="shared" si="1"/>
        <v>Not in buy Zone</v>
      </c>
      <c r="M643" s="33" t="str">
        <f t="shared" si="2"/>
        <v>Not in buy Zone</v>
      </c>
      <c r="N643" s="33" t="str">
        <f t="shared" si="3"/>
        <v>No</v>
      </c>
    </row>
    <row r="644" ht="11.25" customHeight="1">
      <c r="A644" s="1" t="s">
        <v>672</v>
      </c>
      <c r="B644" s="1">
        <v>0.0</v>
      </c>
      <c r="C644" s="1">
        <v>0.0</v>
      </c>
      <c r="D644" s="1">
        <v>0.0</v>
      </c>
      <c r="E644" s="1">
        <v>218.8</v>
      </c>
      <c r="F644" s="54">
        <v>44363.0</v>
      </c>
      <c r="G644" s="1">
        <v>0.0</v>
      </c>
      <c r="H644" s="1">
        <v>229.74</v>
      </c>
      <c r="I644" s="14">
        <v>44393.0</v>
      </c>
      <c r="J644" s="55" t="s">
        <v>2879</v>
      </c>
      <c r="K644" s="15" t="s">
        <v>3522</v>
      </c>
      <c r="L644" s="33" t="str">
        <f t="shared" si="1"/>
        <v>Not in buy Zone</v>
      </c>
      <c r="M644" s="33" t="str">
        <f t="shared" si="2"/>
        <v>Not in buy Zone</v>
      </c>
      <c r="N644" s="33" t="str">
        <f t="shared" si="3"/>
        <v>No</v>
      </c>
    </row>
    <row r="645" ht="11.25" customHeight="1">
      <c r="A645" s="1" t="s">
        <v>673</v>
      </c>
      <c r="B645" s="1">
        <v>0.0</v>
      </c>
      <c r="C645" s="1">
        <v>0.0</v>
      </c>
      <c r="D645" s="1">
        <v>0.0</v>
      </c>
      <c r="E645" s="1">
        <v>21.77</v>
      </c>
      <c r="F645" s="54">
        <v>44309.0</v>
      </c>
      <c r="G645" s="1">
        <v>0.0</v>
      </c>
      <c r="H645" s="1">
        <v>26.56</v>
      </c>
      <c r="I645" s="14">
        <v>44393.0</v>
      </c>
      <c r="J645" s="55" t="s">
        <v>2879</v>
      </c>
      <c r="K645" s="15" t="s">
        <v>3523</v>
      </c>
      <c r="L645" s="33" t="str">
        <f t="shared" si="1"/>
        <v>Not in buy Zone</v>
      </c>
      <c r="M645" s="33" t="str">
        <f t="shared" si="2"/>
        <v>Not in buy Zone</v>
      </c>
      <c r="N645" s="33" t="str">
        <f t="shared" si="3"/>
        <v>No</v>
      </c>
    </row>
    <row r="646" ht="11.25" customHeight="1">
      <c r="A646" s="1" t="s">
        <v>674</v>
      </c>
      <c r="B646" s="1">
        <v>0.0</v>
      </c>
      <c r="C646" s="1">
        <v>0.0</v>
      </c>
      <c r="D646" s="1">
        <v>0.0</v>
      </c>
      <c r="E646" s="1">
        <v>197.89</v>
      </c>
      <c r="F646" s="54">
        <v>44391.0</v>
      </c>
      <c r="G646" s="1">
        <v>0.0</v>
      </c>
      <c r="H646" s="1">
        <v>202.28</v>
      </c>
      <c r="I646" s="14">
        <v>44393.0</v>
      </c>
      <c r="J646" s="55" t="s">
        <v>2879</v>
      </c>
      <c r="K646" s="15" t="s">
        <v>3524</v>
      </c>
      <c r="L646" s="33" t="str">
        <f t="shared" si="1"/>
        <v>Not in buy Zone</v>
      </c>
      <c r="M646" s="33" t="str">
        <f t="shared" si="2"/>
        <v>Not in buy Zone</v>
      </c>
      <c r="N646" s="33" t="str">
        <f t="shared" si="3"/>
        <v>No</v>
      </c>
    </row>
    <row r="647" ht="11.25" customHeight="1">
      <c r="A647" s="1" t="s">
        <v>675</v>
      </c>
      <c r="B647" s="1">
        <v>0.0</v>
      </c>
      <c r="C647" s="1">
        <v>0.0</v>
      </c>
      <c r="D647" s="1">
        <v>0.0</v>
      </c>
      <c r="E647" s="1">
        <v>102.97</v>
      </c>
      <c r="F647" s="54">
        <v>44385.0</v>
      </c>
      <c r="G647" s="1">
        <v>0.0</v>
      </c>
      <c r="H647" s="1">
        <v>103.08</v>
      </c>
      <c r="I647" s="14">
        <v>44393.0</v>
      </c>
      <c r="J647" s="55" t="s">
        <v>2879</v>
      </c>
      <c r="K647" s="15" t="s">
        <v>3525</v>
      </c>
      <c r="L647" s="33" t="str">
        <f t="shared" si="1"/>
        <v>Not in buy Zone</v>
      </c>
      <c r="M647" s="33" t="str">
        <f t="shared" si="2"/>
        <v>Not in buy Zone</v>
      </c>
      <c r="N647" s="33" t="str">
        <f t="shared" si="3"/>
        <v>No</v>
      </c>
    </row>
    <row r="648" ht="11.25" customHeight="1">
      <c r="A648" s="1" t="s">
        <v>676</v>
      </c>
      <c r="B648" s="1">
        <v>0.0</v>
      </c>
      <c r="C648" s="1">
        <v>0.0</v>
      </c>
      <c r="D648" s="1">
        <v>0.0</v>
      </c>
      <c r="E648" s="1">
        <v>219.47</v>
      </c>
      <c r="F648" s="54">
        <v>44364.0</v>
      </c>
      <c r="G648" s="1">
        <v>0.0</v>
      </c>
      <c r="H648" s="1">
        <v>222.39</v>
      </c>
      <c r="I648" s="14">
        <v>44393.0</v>
      </c>
      <c r="J648" s="55" t="s">
        <v>2879</v>
      </c>
      <c r="K648" s="15" t="s">
        <v>3526</v>
      </c>
      <c r="L648" s="33" t="str">
        <f t="shared" si="1"/>
        <v>Not in buy Zone</v>
      </c>
      <c r="M648" s="33" t="str">
        <f t="shared" si="2"/>
        <v>Not in buy Zone</v>
      </c>
      <c r="N648" s="33" t="str">
        <f t="shared" si="3"/>
        <v>No</v>
      </c>
    </row>
    <row r="649" ht="11.25" customHeight="1">
      <c r="A649" s="1" t="s">
        <v>677</v>
      </c>
      <c r="B649" s="1">
        <v>0.0</v>
      </c>
      <c r="C649" s="1">
        <v>0.0</v>
      </c>
      <c r="D649" s="1">
        <v>52.21</v>
      </c>
      <c r="E649" s="1">
        <v>0.0</v>
      </c>
      <c r="F649" s="54">
        <v>44390.0</v>
      </c>
      <c r="G649" s="1">
        <v>0.0</v>
      </c>
      <c r="H649" s="1">
        <v>52.28</v>
      </c>
      <c r="I649" s="14">
        <v>44393.0</v>
      </c>
      <c r="J649" s="55" t="s">
        <v>2879</v>
      </c>
      <c r="K649" s="15" t="s">
        <v>3527</v>
      </c>
      <c r="L649" s="33" t="str">
        <f t="shared" si="1"/>
        <v>Not in buy Zone</v>
      </c>
      <c r="M649" s="33" t="str">
        <f t="shared" si="2"/>
        <v>Not in buy Zone</v>
      </c>
      <c r="N649" s="33" t="str">
        <f t="shared" si="3"/>
        <v>No</v>
      </c>
    </row>
    <row r="650" ht="11.25" customHeight="1">
      <c r="A650" s="1" t="s">
        <v>678</v>
      </c>
      <c r="B650" s="1">
        <v>0.0</v>
      </c>
      <c r="C650" s="1">
        <v>0.0</v>
      </c>
      <c r="D650" s="1">
        <v>58.64</v>
      </c>
      <c r="E650" s="1">
        <v>0.0</v>
      </c>
      <c r="F650" s="54">
        <v>44386.0</v>
      </c>
      <c r="G650" s="1">
        <v>0.0</v>
      </c>
      <c r="H650" s="1">
        <v>59.62</v>
      </c>
      <c r="I650" s="14">
        <v>44393.0</v>
      </c>
      <c r="J650" s="55" t="s">
        <v>2879</v>
      </c>
      <c r="K650" s="15" t="s">
        <v>3528</v>
      </c>
      <c r="L650" s="33" t="str">
        <f t="shared" si="1"/>
        <v>Not in buy Zone</v>
      </c>
      <c r="M650" s="33" t="str">
        <f t="shared" si="2"/>
        <v>Not in buy Zone</v>
      </c>
      <c r="N650" s="33" t="str">
        <f t="shared" si="3"/>
        <v>No</v>
      </c>
    </row>
    <row r="651" ht="11.25" customHeight="1">
      <c r="A651" s="1" t="s">
        <v>679</v>
      </c>
      <c r="B651" s="1">
        <v>0.0</v>
      </c>
      <c r="C651" s="1">
        <v>0.0</v>
      </c>
      <c r="D651" s="1">
        <v>14.75</v>
      </c>
      <c r="E651" s="1">
        <v>0.0</v>
      </c>
      <c r="F651" s="54">
        <v>44378.0</v>
      </c>
      <c r="G651" s="1">
        <v>0.0</v>
      </c>
      <c r="H651" s="1">
        <v>13.76</v>
      </c>
      <c r="I651" s="14">
        <v>44393.0</v>
      </c>
      <c r="J651" s="55" t="s">
        <v>2879</v>
      </c>
      <c r="K651" s="15" t="s">
        <v>3529</v>
      </c>
      <c r="L651" s="33" t="str">
        <f t="shared" si="1"/>
        <v>Not in buy Zone</v>
      </c>
      <c r="M651" s="33" t="str">
        <f t="shared" si="2"/>
        <v>Not in buy Zone</v>
      </c>
      <c r="N651" s="33" t="str">
        <f t="shared" si="3"/>
        <v>No</v>
      </c>
    </row>
    <row r="652" ht="11.25" customHeight="1">
      <c r="A652" s="1" t="s">
        <v>680</v>
      </c>
      <c r="B652" s="1">
        <v>0.0</v>
      </c>
      <c r="C652" s="1">
        <v>0.0</v>
      </c>
      <c r="D652" s="1">
        <v>0.0</v>
      </c>
      <c r="E652" s="1">
        <v>136.53</v>
      </c>
      <c r="F652" s="54">
        <v>44385.0</v>
      </c>
      <c r="G652" s="1">
        <v>0.0</v>
      </c>
      <c r="H652" s="1">
        <v>136.99</v>
      </c>
      <c r="I652" s="14">
        <v>44393.0</v>
      </c>
      <c r="J652" s="55" t="s">
        <v>2879</v>
      </c>
      <c r="K652" s="15" t="s">
        <v>3530</v>
      </c>
      <c r="L652" s="33" t="str">
        <f t="shared" si="1"/>
        <v>Not in buy Zone</v>
      </c>
      <c r="M652" s="33" t="str">
        <f t="shared" si="2"/>
        <v>Not in buy Zone</v>
      </c>
      <c r="N652" s="33" t="str">
        <f t="shared" si="3"/>
        <v>No</v>
      </c>
    </row>
    <row r="653" ht="11.25" customHeight="1">
      <c r="A653" s="1" t="s">
        <v>681</v>
      </c>
      <c r="B653" s="1">
        <v>0.0</v>
      </c>
      <c r="C653" s="1">
        <v>0.0</v>
      </c>
      <c r="D653" s="1">
        <v>0.0</v>
      </c>
      <c r="E653" s="1">
        <v>54.02</v>
      </c>
      <c r="F653" s="54">
        <v>44378.0</v>
      </c>
      <c r="G653" s="1">
        <v>0.0</v>
      </c>
      <c r="H653" s="1">
        <v>52.99</v>
      </c>
      <c r="I653" s="14">
        <v>44393.0</v>
      </c>
      <c r="J653" s="55" t="s">
        <v>2879</v>
      </c>
      <c r="K653" s="15" t="s">
        <v>3531</v>
      </c>
      <c r="L653" s="33" t="str">
        <f t="shared" si="1"/>
        <v>Not in buy Zone</v>
      </c>
      <c r="M653" s="33" t="str">
        <f t="shared" si="2"/>
        <v>Not in buy Zone</v>
      </c>
      <c r="N653" s="33" t="str">
        <f t="shared" si="3"/>
        <v>No</v>
      </c>
    </row>
    <row r="654" ht="11.25" customHeight="1">
      <c r="A654" s="1" t="s">
        <v>682</v>
      </c>
      <c r="B654" s="1">
        <v>0.0</v>
      </c>
      <c r="C654" s="1">
        <v>0.0</v>
      </c>
      <c r="D654" s="1">
        <v>65.75</v>
      </c>
      <c r="E654" s="1">
        <v>0.0</v>
      </c>
      <c r="F654" s="54">
        <v>44389.0</v>
      </c>
      <c r="G654" s="1">
        <v>0.0</v>
      </c>
      <c r="H654" s="1">
        <v>64.83</v>
      </c>
      <c r="I654" s="14">
        <v>44393.0</v>
      </c>
      <c r="J654" s="55" t="s">
        <v>2879</v>
      </c>
      <c r="K654" s="15" t="s">
        <v>3532</v>
      </c>
      <c r="L654" s="33" t="str">
        <f t="shared" si="1"/>
        <v>Not in buy Zone</v>
      </c>
      <c r="M654" s="33" t="str">
        <f t="shared" si="2"/>
        <v>Not in buy Zone</v>
      </c>
      <c r="N654" s="33" t="str">
        <f t="shared" si="3"/>
        <v>No</v>
      </c>
    </row>
    <row r="655" ht="11.25" customHeight="1">
      <c r="A655" s="1" t="s">
        <v>683</v>
      </c>
      <c r="B655" s="1">
        <v>0.0</v>
      </c>
      <c r="C655" s="1">
        <v>0.0</v>
      </c>
      <c r="D655" s="1">
        <v>56.44</v>
      </c>
      <c r="E655" s="1">
        <v>0.0</v>
      </c>
      <c r="F655" s="54">
        <v>44379.0</v>
      </c>
      <c r="G655" s="1">
        <v>0.0</v>
      </c>
      <c r="H655" s="1">
        <v>56.46</v>
      </c>
      <c r="I655" s="14">
        <v>44393.0</v>
      </c>
      <c r="J655" s="55" t="s">
        <v>2879</v>
      </c>
      <c r="K655" s="15" t="s">
        <v>3533</v>
      </c>
      <c r="L655" s="33" t="str">
        <f t="shared" si="1"/>
        <v>Not in buy Zone</v>
      </c>
      <c r="M655" s="33" t="str">
        <f t="shared" si="2"/>
        <v>Not in buy Zone</v>
      </c>
      <c r="N655" s="33" t="str">
        <f t="shared" si="3"/>
        <v>No</v>
      </c>
    </row>
    <row r="656" ht="11.25" customHeight="1">
      <c r="A656" s="1" t="s">
        <v>684</v>
      </c>
      <c r="B656" s="1">
        <v>0.0</v>
      </c>
      <c r="C656" s="1">
        <v>0.0</v>
      </c>
      <c r="D656" s="1">
        <v>0.0</v>
      </c>
      <c r="E656" s="1">
        <v>80.3</v>
      </c>
      <c r="F656" s="54">
        <v>44383.0</v>
      </c>
      <c r="G656" s="1">
        <v>0.0</v>
      </c>
      <c r="H656" s="1">
        <v>81.61</v>
      </c>
      <c r="I656" s="14">
        <v>44393.0</v>
      </c>
      <c r="J656" s="55" t="s">
        <v>2879</v>
      </c>
      <c r="K656" s="15" t="s">
        <v>3534</v>
      </c>
      <c r="L656" s="33" t="str">
        <f t="shared" si="1"/>
        <v>Not in buy Zone</v>
      </c>
      <c r="M656" s="33" t="str">
        <f t="shared" si="2"/>
        <v>Not in buy Zone</v>
      </c>
      <c r="N656" s="33" t="str">
        <f t="shared" si="3"/>
        <v>No</v>
      </c>
    </row>
    <row r="657" ht="11.25" customHeight="1">
      <c r="A657" s="1" t="s">
        <v>685</v>
      </c>
      <c r="B657" s="1">
        <v>0.0</v>
      </c>
      <c r="C657" s="1">
        <v>0.0</v>
      </c>
      <c r="D657" s="1">
        <v>0.0</v>
      </c>
      <c r="E657" s="1">
        <v>296.27</v>
      </c>
      <c r="F657" s="54">
        <v>44306.0</v>
      </c>
      <c r="G657" s="1">
        <v>0.0</v>
      </c>
      <c r="H657" s="1">
        <v>370.69</v>
      </c>
      <c r="I657" s="14">
        <v>44393.0</v>
      </c>
      <c r="J657" s="55" t="s">
        <v>2879</v>
      </c>
      <c r="K657" s="15" t="s">
        <v>3535</v>
      </c>
      <c r="L657" s="33" t="str">
        <f t="shared" si="1"/>
        <v>Not in buy Zone</v>
      </c>
      <c r="M657" s="33" t="str">
        <f t="shared" si="2"/>
        <v>Not in buy Zone</v>
      </c>
      <c r="N657" s="33" t="str">
        <f t="shared" si="3"/>
        <v>No</v>
      </c>
    </row>
    <row r="658" ht="11.25" customHeight="1">
      <c r="A658" s="1" t="s">
        <v>686</v>
      </c>
      <c r="B658" s="1">
        <v>0.0</v>
      </c>
      <c r="C658" s="1">
        <v>0.0</v>
      </c>
      <c r="D658" s="1">
        <v>0.0</v>
      </c>
      <c r="E658" s="1">
        <v>53.43</v>
      </c>
      <c r="F658" s="54">
        <v>44356.0</v>
      </c>
      <c r="G658" s="1">
        <v>0.0</v>
      </c>
      <c r="H658" s="1">
        <v>46.02</v>
      </c>
      <c r="I658" s="14">
        <v>44393.0</v>
      </c>
      <c r="J658" s="55" t="s">
        <v>2879</v>
      </c>
      <c r="K658" s="15" t="s">
        <v>3536</v>
      </c>
      <c r="L658" s="33" t="str">
        <f t="shared" si="1"/>
        <v>Not in buy Zone</v>
      </c>
      <c r="M658" s="33" t="str">
        <f t="shared" si="2"/>
        <v>Not in buy Zone</v>
      </c>
      <c r="N658" s="33" t="str">
        <f t="shared" si="3"/>
        <v>No</v>
      </c>
    </row>
    <row r="659" ht="11.25" customHeight="1">
      <c r="A659" s="1" t="s">
        <v>687</v>
      </c>
      <c r="B659" s="1">
        <v>0.0</v>
      </c>
      <c r="C659" s="1">
        <v>0.0</v>
      </c>
      <c r="D659" s="1">
        <v>0.0</v>
      </c>
      <c r="E659" s="1">
        <v>235.51</v>
      </c>
      <c r="F659" s="54">
        <v>44378.0</v>
      </c>
      <c r="G659" s="1">
        <v>0.0</v>
      </c>
      <c r="H659" s="1">
        <v>227.53</v>
      </c>
      <c r="I659" s="14">
        <v>44393.0</v>
      </c>
      <c r="J659" s="55" t="s">
        <v>2879</v>
      </c>
      <c r="K659" s="15" t="s">
        <v>3537</v>
      </c>
      <c r="L659" s="33" t="str">
        <f t="shared" si="1"/>
        <v>Not in buy Zone</v>
      </c>
      <c r="M659" s="33" t="str">
        <f t="shared" si="2"/>
        <v>Not in buy Zone</v>
      </c>
      <c r="N659" s="33" t="str">
        <f t="shared" si="3"/>
        <v>No</v>
      </c>
    </row>
    <row r="660" ht="11.25" customHeight="1">
      <c r="A660" s="1" t="s">
        <v>688</v>
      </c>
      <c r="B660" s="1">
        <v>0.0</v>
      </c>
      <c r="C660" s="1">
        <v>0.0</v>
      </c>
      <c r="D660" s="1">
        <v>70.17</v>
      </c>
      <c r="E660" s="1">
        <v>0.0</v>
      </c>
      <c r="F660" s="54">
        <v>44386.0</v>
      </c>
      <c r="G660" s="1">
        <v>0.0</v>
      </c>
      <c r="H660" s="1">
        <v>64.2</v>
      </c>
      <c r="I660" s="14">
        <v>44393.0</v>
      </c>
      <c r="J660" s="55" t="s">
        <v>2879</v>
      </c>
      <c r="K660" s="15" t="s">
        <v>3538</v>
      </c>
      <c r="L660" s="33" t="str">
        <f t="shared" si="1"/>
        <v>Not in buy Zone</v>
      </c>
      <c r="M660" s="33" t="str">
        <f t="shared" si="2"/>
        <v>Not in buy Zone</v>
      </c>
      <c r="N660" s="33" t="str">
        <f t="shared" si="3"/>
        <v>No</v>
      </c>
    </row>
    <row r="661" ht="11.25" customHeight="1">
      <c r="A661" s="1" t="s">
        <v>689</v>
      </c>
      <c r="B661" s="1">
        <v>0.0</v>
      </c>
      <c r="C661" s="1">
        <v>0.0</v>
      </c>
      <c r="D661" s="1">
        <v>90.7</v>
      </c>
      <c r="E661" s="1">
        <v>0.0</v>
      </c>
      <c r="F661" s="54">
        <v>44383.0</v>
      </c>
      <c r="G661" s="1">
        <v>0.0</v>
      </c>
      <c r="H661" s="1">
        <v>95.44</v>
      </c>
      <c r="I661" s="14">
        <v>44393.0</v>
      </c>
      <c r="J661" s="55" t="s">
        <v>2879</v>
      </c>
      <c r="K661" s="15" t="s">
        <v>3539</v>
      </c>
      <c r="L661" s="33" t="str">
        <f t="shared" si="1"/>
        <v>Not in buy Zone</v>
      </c>
      <c r="M661" s="33" t="str">
        <f t="shared" si="2"/>
        <v>Not in buy Zone</v>
      </c>
      <c r="N661" s="33" t="str">
        <f t="shared" si="3"/>
        <v>No</v>
      </c>
    </row>
    <row r="662" ht="11.25" customHeight="1">
      <c r="A662" s="1" t="s">
        <v>690</v>
      </c>
      <c r="B662" s="1">
        <v>0.0</v>
      </c>
      <c r="C662" s="1">
        <v>0.0</v>
      </c>
      <c r="D662" s="1">
        <v>0.0</v>
      </c>
      <c r="E662" s="1">
        <v>78.51</v>
      </c>
      <c r="F662" s="54">
        <v>44365.0</v>
      </c>
      <c r="G662" s="1">
        <v>0.0</v>
      </c>
      <c r="H662" s="1">
        <v>89.68</v>
      </c>
      <c r="I662" s="14">
        <v>44393.0</v>
      </c>
      <c r="J662" s="55" t="s">
        <v>2879</v>
      </c>
      <c r="K662" s="15" t="s">
        <v>3540</v>
      </c>
      <c r="L662" s="33" t="str">
        <f t="shared" si="1"/>
        <v>Not in buy Zone</v>
      </c>
      <c r="M662" s="33" t="str">
        <f t="shared" si="2"/>
        <v>Not in buy Zone</v>
      </c>
      <c r="N662" s="33" t="str">
        <f t="shared" si="3"/>
        <v>No</v>
      </c>
    </row>
    <row r="663" ht="11.25" customHeight="1">
      <c r="A663" s="1" t="s">
        <v>691</v>
      </c>
      <c r="B663" s="1">
        <v>0.0</v>
      </c>
      <c r="C663" s="1">
        <v>0.0</v>
      </c>
      <c r="D663" s="1">
        <v>44.95</v>
      </c>
      <c r="E663" s="1">
        <v>0.0</v>
      </c>
      <c r="F663" s="54">
        <v>44391.0</v>
      </c>
      <c r="G663" s="1">
        <v>0.0</v>
      </c>
      <c r="H663" s="1">
        <v>44.28</v>
      </c>
      <c r="I663" s="14">
        <v>44393.0</v>
      </c>
      <c r="J663" s="55" t="s">
        <v>2879</v>
      </c>
      <c r="K663" s="15" t="s">
        <v>3541</v>
      </c>
      <c r="L663" s="33" t="str">
        <f t="shared" si="1"/>
        <v>Not in buy Zone</v>
      </c>
      <c r="M663" s="33" t="str">
        <f t="shared" si="2"/>
        <v>Not in buy Zone</v>
      </c>
      <c r="N663" s="33" t="str">
        <f t="shared" si="3"/>
        <v>No</v>
      </c>
    </row>
    <row r="664" ht="11.25" customHeight="1">
      <c r="A664" s="1" t="s">
        <v>692</v>
      </c>
      <c r="B664" s="1">
        <v>0.0</v>
      </c>
      <c r="C664" s="1">
        <v>0.0</v>
      </c>
      <c r="D664" s="1">
        <v>0.0</v>
      </c>
      <c r="E664" s="1">
        <v>218.74</v>
      </c>
      <c r="F664" s="54">
        <v>44390.0</v>
      </c>
      <c r="G664" s="1">
        <v>0.0</v>
      </c>
      <c r="H664" s="1">
        <v>219.86</v>
      </c>
      <c r="I664" s="14">
        <v>44393.0</v>
      </c>
      <c r="J664" s="55" t="s">
        <v>2879</v>
      </c>
      <c r="K664" s="15" t="s">
        <v>3542</v>
      </c>
      <c r="L664" s="33" t="str">
        <f t="shared" si="1"/>
        <v>Not in buy Zone</v>
      </c>
      <c r="M664" s="33" t="str">
        <f t="shared" si="2"/>
        <v>Not in buy Zone</v>
      </c>
      <c r="N664" s="33" t="str">
        <f t="shared" si="3"/>
        <v>No</v>
      </c>
    </row>
    <row r="665" ht="11.25" customHeight="1">
      <c r="A665" s="1" t="s">
        <v>693</v>
      </c>
      <c r="B665" s="1">
        <v>0.0</v>
      </c>
      <c r="C665" s="1">
        <v>0.0</v>
      </c>
      <c r="D665" s="1">
        <v>0.0</v>
      </c>
      <c r="E665" s="1">
        <v>261.86</v>
      </c>
      <c r="F665" s="54">
        <v>44335.0</v>
      </c>
      <c r="G665" s="1">
        <v>0.0</v>
      </c>
      <c r="H665" s="1">
        <v>222.36</v>
      </c>
      <c r="I665" s="14">
        <v>44393.0</v>
      </c>
      <c r="J665" s="55" t="s">
        <v>2879</v>
      </c>
      <c r="K665" s="15" t="s">
        <v>3543</v>
      </c>
      <c r="L665" s="33" t="str">
        <f t="shared" si="1"/>
        <v>Not in buy Zone</v>
      </c>
      <c r="M665" s="33" t="str">
        <f t="shared" si="2"/>
        <v>Not in buy Zone</v>
      </c>
      <c r="N665" s="33" t="str">
        <f t="shared" si="3"/>
        <v>No</v>
      </c>
    </row>
    <row r="666" ht="11.25" customHeight="1">
      <c r="A666" s="1" t="s">
        <v>694</v>
      </c>
      <c r="B666" s="1">
        <v>0.0</v>
      </c>
      <c r="C666" s="1">
        <v>0.0</v>
      </c>
      <c r="D666" s="1">
        <v>141.11</v>
      </c>
      <c r="E666" s="1">
        <v>0.0</v>
      </c>
      <c r="F666" s="54">
        <v>44340.0</v>
      </c>
      <c r="G666" s="1">
        <v>0.0</v>
      </c>
      <c r="H666" s="1">
        <v>145.8</v>
      </c>
      <c r="I666" s="14">
        <v>44393.0</v>
      </c>
      <c r="J666" s="55" t="s">
        <v>2879</v>
      </c>
      <c r="K666" s="15" t="s">
        <v>3544</v>
      </c>
      <c r="L666" s="33" t="str">
        <f t="shared" si="1"/>
        <v>Not in buy Zone</v>
      </c>
      <c r="M666" s="33" t="str">
        <f t="shared" si="2"/>
        <v>Not in buy Zone</v>
      </c>
      <c r="N666" s="33" t="str">
        <f t="shared" si="3"/>
        <v>No</v>
      </c>
    </row>
    <row r="667" ht="11.25" customHeight="1">
      <c r="A667" s="1" t="s">
        <v>695</v>
      </c>
      <c r="B667" s="1">
        <v>0.0</v>
      </c>
      <c r="C667" s="1">
        <v>0.0</v>
      </c>
      <c r="D667" s="1">
        <v>26.94</v>
      </c>
      <c r="E667" s="1">
        <v>0.0</v>
      </c>
      <c r="F667" s="54">
        <v>44379.0</v>
      </c>
      <c r="G667" s="1">
        <v>0.0</v>
      </c>
      <c r="H667" s="1">
        <v>25.28</v>
      </c>
      <c r="I667" s="14">
        <v>44393.0</v>
      </c>
      <c r="J667" s="55" t="s">
        <v>2879</v>
      </c>
      <c r="K667" s="15" t="s">
        <v>3545</v>
      </c>
      <c r="L667" s="33" t="str">
        <f t="shared" si="1"/>
        <v>Not in buy Zone</v>
      </c>
      <c r="M667" s="33" t="str">
        <f t="shared" si="2"/>
        <v>Not in buy Zone</v>
      </c>
      <c r="N667" s="33" t="str">
        <f t="shared" si="3"/>
        <v>No</v>
      </c>
    </row>
    <row r="668" ht="11.25" customHeight="1">
      <c r="A668" s="1" t="s">
        <v>696</v>
      </c>
      <c r="B668" s="1">
        <v>0.0</v>
      </c>
      <c r="C668" s="1">
        <v>0.0</v>
      </c>
      <c r="D668" s="1">
        <v>138.53</v>
      </c>
      <c r="E668" s="1">
        <v>0.0</v>
      </c>
      <c r="F668" s="54">
        <v>44372.0</v>
      </c>
      <c r="G668" s="1">
        <v>0.0</v>
      </c>
      <c r="H668" s="1">
        <v>141.56</v>
      </c>
      <c r="I668" s="14">
        <v>44393.0</v>
      </c>
      <c r="J668" s="55" t="s">
        <v>2879</v>
      </c>
      <c r="K668" s="15" t="s">
        <v>3546</v>
      </c>
      <c r="L668" s="33" t="str">
        <f t="shared" si="1"/>
        <v>Not in buy Zone</v>
      </c>
      <c r="M668" s="33" t="str">
        <f t="shared" si="2"/>
        <v>Not in buy Zone</v>
      </c>
      <c r="N668" s="33" t="str">
        <f t="shared" si="3"/>
        <v>No</v>
      </c>
    </row>
    <row r="669" ht="11.25" customHeight="1">
      <c r="A669" s="1" t="s">
        <v>697</v>
      </c>
      <c r="B669" s="1">
        <v>0.0</v>
      </c>
      <c r="C669" s="1">
        <v>0.0</v>
      </c>
      <c r="D669" s="1">
        <v>44.55</v>
      </c>
      <c r="E669" s="1">
        <v>0.0</v>
      </c>
      <c r="F669" s="54">
        <v>44375.0</v>
      </c>
      <c r="G669" s="1">
        <v>0.0</v>
      </c>
      <c r="H669" s="1">
        <v>44.7</v>
      </c>
      <c r="I669" s="14">
        <v>44393.0</v>
      </c>
      <c r="J669" s="55" t="s">
        <v>2879</v>
      </c>
      <c r="K669" s="15" t="s">
        <v>3547</v>
      </c>
      <c r="L669" s="33" t="str">
        <f t="shared" si="1"/>
        <v>Not in buy Zone</v>
      </c>
      <c r="M669" s="33" t="str">
        <f t="shared" si="2"/>
        <v>Not in buy Zone</v>
      </c>
      <c r="N669" s="33" t="str">
        <f t="shared" si="3"/>
        <v>No</v>
      </c>
    </row>
    <row r="670" ht="11.25" customHeight="1">
      <c r="A670" s="1" t="s">
        <v>698</v>
      </c>
      <c r="B670" s="1">
        <v>0.0</v>
      </c>
      <c r="C670" s="1">
        <v>0.0</v>
      </c>
      <c r="D670" s="1">
        <v>0.0</v>
      </c>
      <c r="E670" s="1">
        <v>74.07</v>
      </c>
      <c r="F670" s="54">
        <v>44385.0</v>
      </c>
      <c r="G670" s="1">
        <v>0.0</v>
      </c>
      <c r="H670" s="1">
        <v>76.73</v>
      </c>
      <c r="I670" s="14">
        <v>44393.0</v>
      </c>
      <c r="J670" s="55" t="s">
        <v>2879</v>
      </c>
      <c r="K670" s="15" t="s">
        <v>3548</v>
      </c>
      <c r="L670" s="33" t="str">
        <f t="shared" si="1"/>
        <v>Not in buy Zone</v>
      </c>
      <c r="M670" s="33" t="str">
        <f t="shared" si="2"/>
        <v>Not in buy Zone</v>
      </c>
      <c r="N670" s="33" t="str">
        <f t="shared" si="3"/>
        <v>No</v>
      </c>
    </row>
    <row r="671" ht="11.25" customHeight="1">
      <c r="A671" s="1" t="s">
        <v>699</v>
      </c>
      <c r="B671" s="1">
        <v>0.0</v>
      </c>
      <c r="C671" s="1">
        <v>0.0</v>
      </c>
      <c r="D671" s="1">
        <v>59.45</v>
      </c>
      <c r="E671" s="1">
        <v>0.0</v>
      </c>
      <c r="F671" s="54">
        <v>44348.0</v>
      </c>
      <c r="G671" s="1">
        <v>0.0</v>
      </c>
      <c r="H671" s="1">
        <v>49.01</v>
      </c>
      <c r="I671" s="14">
        <v>44393.0</v>
      </c>
      <c r="J671" s="55" t="s">
        <v>2879</v>
      </c>
      <c r="K671" s="15" t="s">
        <v>3549</v>
      </c>
      <c r="L671" s="33" t="str">
        <f t="shared" si="1"/>
        <v>Not in buy Zone</v>
      </c>
      <c r="M671" s="33" t="str">
        <f t="shared" si="2"/>
        <v>Not in buy Zone</v>
      </c>
      <c r="N671" s="33" t="str">
        <f t="shared" si="3"/>
        <v>No</v>
      </c>
    </row>
    <row r="672" ht="11.25" customHeight="1">
      <c r="A672" s="1" t="s">
        <v>700</v>
      </c>
      <c r="B672" s="1">
        <v>0.0</v>
      </c>
      <c r="C672" s="1">
        <v>0.0</v>
      </c>
      <c r="D672" s="1">
        <v>0.0</v>
      </c>
      <c r="E672" s="1">
        <v>27.66</v>
      </c>
      <c r="F672" s="54">
        <v>44392.0</v>
      </c>
      <c r="G672" s="1">
        <v>0.0</v>
      </c>
      <c r="H672" s="1">
        <v>27.12</v>
      </c>
      <c r="I672" s="14">
        <v>44393.0</v>
      </c>
      <c r="J672" s="55" t="s">
        <v>2879</v>
      </c>
      <c r="K672" s="15" t="s">
        <v>3550</v>
      </c>
      <c r="L672" s="33" t="str">
        <f t="shared" si="1"/>
        <v>Not in buy Zone</v>
      </c>
      <c r="M672" s="33" t="str">
        <f t="shared" si="2"/>
        <v>Not in buy Zone</v>
      </c>
      <c r="N672" s="33" t="str">
        <f t="shared" si="3"/>
        <v>No</v>
      </c>
    </row>
    <row r="673" ht="11.25" customHeight="1">
      <c r="A673" s="1" t="s">
        <v>701</v>
      </c>
      <c r="B673" s="1">
        <v>0.0</v>
      </c>
      <c r="C673" s="1">
        <v>0.0</v>
      </c>
      <c r="D673" s="1">
        <v>343.78</v>
      </c>
      <c r="E673" s="1">
        <v>0.0</v>
      </c>
      <c r="F673" s="54">
        <v>44357.0</v>
      </c>
      <c r="G673" s="1">
        <v>0.0</v>
      </c>
      <c r="H673" s="1">
        <v>373.66</v>
      </c>
      <c r="I673" s="14">
        <v>44393.0</v>
      </c>
      <c r="J673" s="55" t="s">
        <v>2879</v>
      </c>
      <c r="K673" s="15" t="s">
        <v>3551</v>
      </c>
      <c r="L673" s="33" t="str">
        <f t="shared" si="1"/>
        <v>Not in buy Zone</v>
      </c>
      <c r="M673" s="33" t="str">
        <f t="shared" si="2"/>
        <v>Not in buy Zone</v>
      </c>
      <c r="N673" s="33" t="str">
        <f t="shared" si="3"/>
        <v>No</v>
      </c>
    </row>
    <row r="674" ht="11.25" customHeight="1">
      <c r="A674" s="1" t="s">
        <v>702</v>
      </c>
      <c r="B674" s="1">
        <v>0.0</v>
      </c>
      <c r="C674" s="1">
        <v>0.0</v>
      </c>
      <c r="D674" s="1">
        <v>23.23</v>
      </c>
      <c r="E674" s="1">
        <v>0.0</v>
      </c>
      <c r="F674" s="54">
        <v>44384.0</v>
      </c>
      <c r="G674" s="1">
        <v>0.0</v>
      </c>
      <c r="H674" s="1">
        <v>23.5</v>
      </c>
      <c r="I674" s="14">
        <v>44393.0</v>
      </c>
      <c r="J674" s="55" t="s">
        <v>2879</v>
      </c>
      <c r="K674" s="15" t="s">
        <v>3552</v>
      </c>
      <c r="L674" s="33" t="str">
        <f t="shared" si="1"/>
        <v>Not in buy Zone</v>
      </c>
      <c r="M674" s="33" t="str">
        <f t="shared" si="2"/>
        <v>Not in buy Zone</v>
      </c>
      <c r="N674" s="33" t="str">
        <f t="shared" si="3"/>
        <v>No</v>
      </c>
    </row>
    <row r="675" ht="11.25" customHeight="1">
      <c r="A675" s="1" t="s">
        <v>703</v>
      </c>
      <c r="B675" s="1">
        <v>0.0</v>
      </c>
      <c r="C675" s="1">
        <v>34.02</v>
      </c>
      <c r="D675" s="1">
        <v>0.0</v>
      </c>
      <c r="E675" s="1">
        <v>0.0</v>
      </c>
      <c r="F675" s="54">
        <v>44393.0</v>
      </c>
      <c r="G675" s="1">
        <v>-1.0</v>
      </c>
      <c r="H675" s="1">
        <v>34.02</v>
      </c>
      <c r="I675" s="14">
        <v>44393.0</v>
      </c>
      <c r="J675" s="55" t="s">
        <v>2879</v>
      </c>
      <c r="K675" s="15" t="s">
        <v>3553</v>
      </c>
      <c r="L675" s="33" t="str">
        <f t="shared" si="1"/>
        <v>Not in buy Zone</v>
      </c>
      <c r="M675" s="33" t="str">
        <f t="shared" si="2"/>
        <v>Not in buy Zone</v>
      </c>
      <c r="N675" s="33" t="str">
        <f t="shared" si="3"/>
        <v>No</v>
      </c>
    </row>
    <row r="676" ht="11.25" customHeight="1">
      <c r="A676" s="1" t="s">
        <v>704</v>
      </c>
      <c r="B676" s="1">
        <v>0.0</v>
      </c>
      <c r="C676" s="1">
        <v>0.0</v>
      </c>
      <c r="D676" s="1">
        <v>127.61</v>
      </c>
      <c r="E676" s="1">
        <v>0.0</v>
      </c>
      <c r="F676" s="54">
        <v>44368.0</v>
      </c>
      <c r="G676" s="1">
        <v>0.0</v>
      </c>
      <c r="H676" s="1">
        <v>104.7</v>
      </c>
      <c r="I676" s="14">
        <v>44393.0</v>
      </c>
      <c r="J676" s="55" t="s">
        <v>2879</v>
      </c>
      <c r="K676" s="15" t="s">
        <v>3554</v>
      </c>
      <c r="L676" s="33" t="str">
        <f t="shared" si="1"/>
        <v>Not in buy Zone</v>
      </c>
      <c r="M676" s="33" t="str">
        <f t="shared" si="2"/>
        <v>Not in buy Zone</v>
      </c>
      <c r="N676" s="33" t="str">
        <f t="shared" si="3"/>
        <v>No</v>
      </c>
    </row>
    <row r="677" ht="11.25" customHeight="1">
      <c r="A677" s="1" t="s">
        <v>705</v>
      </c>
      <c r="B677" s="1">
        <v>0.0</v>
      </c>
      <c r="C677" s="1">
        <v>0.0</v>
      </c>
      <c r="D677" s="1">
        <v>0.0</v>
      </c>
      <c r="E677" s="1">
        <v>133.59</v>
      </c>
      <c r="F677" s="54">
        <v>44383.0</v>
      </c>
      <c r="G677" s="1">
        <v>0.0</v>
      </c>
      <c r="H677" s="1">
        <v>125.94</v>
      </c>
      <c r="I677" s="14">
        <v>44393.0</v>
      </c>
      <c r="J677" s="55" t="s">
        <v>2879</v>
      </c>
      <c r="K677" s="15" t="s">
        <v>3555</v>
      </c>
      <c r="L677" s="33" t="str">
        <f t="shared" si="1"/>
        <v>Not in buy Zone</v>
      </c>
      <c r="M677" s="33" t="str">
        <f t="shared" si="2"/>
        <v>Not in buy Zone</v>
      </c>
      <c r="N677" s="33" t="str">
        <f t="shared" si="3"/>
        <v>No</v>
      </c>
    </row>
    <row r="678" ht="11.25" customHeight="1">
      <c r="A678" s="1" t="s">
        <v>706</v>
      </c>
      <c r="B678" s="1">
        <v>0.0</v>
      </c>
      <c r="C678" s="1">
        <v>0.0</v>
      </c>
      <c r="D678" s="1">
        <v>67.07</v>
      </c>
      <c r="E678" s="1">
        <v>0.0</v>
      </c>
      <c r="F678" s="54">
        <v>44383.0</v>
      </c>
      <c r="G678" s="1">
        <v>0.0</v>
      </c>
      <c r="H678" s="1">
        <v>69.13</v>
      </c>
      <c r="I678" s="14">
        <v>44393.0</v>
      </c>
      <c r="J678" s="55" t="s">
        <v>2879</v>
      </c>
      <c r="K678" s="15" t="s">
        <v>3556</v>
      </c>
      <c r="L678" s="33" t="str">
        <f t="shared" si="1"/>
        <v>Not in buy Zone</v>
      </c>
      <c r="M678" s="33" t="str">
        <f t="shared" si="2"/>
        <v>Not in buy Zone</v>
      </c>
      <c r="N678" s="33" t="str">
        <f t="shared" si="3"/>
        <v>No</v>
      </c>
    </row>
    <row r="679" ht="11.25" customHeight="1">
      <c r="A679" s="1" t="s">
        <v>707</v>
      </c>
      <c r="B679" s="1">
        <v>0.0</v>
      </c>
      <c r="C679" s="1">
        <v>0.0</v>
      </c>
      <c r="D679" s="1">
        <v>82.76</v>
      </c>
      <c r="E679" s="1">
        <v>0.0</v>
      </c>
      <c r="F679" s="54">
        <v>44378.0</v>
      </c>
      <c r="G679" s="1">
        <v>0.0</v>
      </c>
      <c r="H679" s="1">
        <v>81.09</v>
      </c>
      <c r="I679" s="14">
        <v>44393.0</v>
      </c>
      <c r="J679" s="55" t="s">
        <v>2879</v>
      </c>
      <c r="K679" s="15" t="s">
        <v>3557</v>
      </c>
      <c r="L679" s="33" t="str">
        <f t="shared" si="1"/>
        <v>Not in buy Zone</v>
      </c>
      <c r="M679" s="33" t="str">
        <f t="shared" si="2"/>
        <v>Not in buy Zone</v>
      </c>
      <c r="N679" s="33" t="str">
        <f t="shared" si="3"/>
        <v>No</v>
      </c>
    </row>
    <row r="680" ht="11.25" customHeight="1">
      <c r="A680" s="1" t="s">
        <v>708</v>
      </c>
      <c r="B680" s="1">
        <v>0.0</v>
      </c>
      <c r="C680" s="1">
        <v>0.0</v>
      </c>
      <c r="D680" s="1">
        <v>0.0</v>
      </c>
      <c r="E680" s="1">
        <v>79.18</v>
      </c>
      <c r="F680" s="54">
        <v>44363.0</v>
      </c>
      <c r="G680" s="1">
        <v>0.0</v>
      </c>
      <c r="H680" s="1">
        <v>80.86</v>
      </c>
      <c r="I680" s="14">
        <v>44393.0</v>
      </c>
      <c r="J680" s="55" t="s">
        <v>2879</v>
      </c>
      <c r="K680" s="15" t="s">
        <v>3558</v>
      </c>
      <c r="L680" s="33" t="str">
        <f t="shared" si="1"/>
        <v>Not in buy Zone</v>
      </c>
      <c r="M680" s="33" t="str">
        <f t="shared" si="2"/>
        <v>Not in buy Zone</v>
      </c>
      <c r="N680" s="33" t="str">
        <f t="shared" si="3"/>
        <v>No</v>
      </c>
    </row>
    <row r="681" ht="11.25" customHeight="1">
      <c r="A681" s="1" t="s">
        <v>709</v>
      </c>
      <c r="B681" s="1">
        <v>0.0</v>
      </c>
      <c r="C681" s="1">
        <v>0.0</v>
      </c>
      <c r="D681" s="1">
        <v>55.05</v>
      </c>
      <c r="E681" s="1">
        <v>0.0</v>
      </c>
      <c r="F681" s="54">
        <v>44371.0</v>
      </c>
      <c r="G681" s="1">
        <v>0.0</v>
      </c>
      <c r="H681" s="1">
        <v>48.68</v>
      </c>
      <c r="I681" s="14">
        <v>44393.0</v>
      </c>
      <c r="J681" s="55" t="s">
        <v>2879</v>
      </c>
      <c r="K681" s="15" t="s">
        <v>3559</v>
      </c>
      <c r="L681" s="33" t="str">
        <f t="shared" si="1"/>
        <v>Not in buy Zone</v>
      </c>
      <c r="M681" s="33" t="str">
        <f t="shared" si="2"/>
        <v>Not in buy Zone</v>
      </c>
      <c r="N681" s="33" t="str">
        <f t="shared" si="3"/>
        <v>No</v>
      </c>
    </row>
    <row r="682" ht="11.25" customHeight="1">
      <c r="A682" s="1" t="s">
        <v>710</v>
      </c>
      <c r="B682" s="1">
        <v>0.0</v>
      </c>
      <c r="C682" s="1">
        <v>0.0</v>
      </c>
      <c r="D682" s="1">
        <v>36.93</v>
      </c>
      <c r="E682" s="1">
        <v>0.0</v>
      </c>
      <c r="F682" s="54">
        <v>44372.0</v>
      </c>
      <c r="G682" s="1">
        <v>0.0</v>
      </c>
      <c r="H682" s="1">
        <v>36.12</v>
      </c>
      <c r="I682" s="14">
        <v>44393.0</v>
      </c>
      <c r="J682" s="55" t="s">
        <v>2879</v>
      </c>
      <c r="K682" s="15" t="s">
        <v>3560</v>
      </c>
      <c r="L682" s="33" t="str">
        <f t="shared" si="1"/>
        <v>Not in buy Zone</v>
      </c>
      <c r="M682" s="33" t="str">
        <f t="shared" si="2"/>
        <v>Not in buy Zone</v>
      </c>
      <c r="N682" s="33" t="str">
        <f t="shared" si="3"/>
        <v>No</v>
      </c>
    </row>
    <row r="683" ht="11.25" customHeight="1">
      <c r="A683" s="1" t="s">
        <v>711</v>
      </c>
      <c r="B683" s="1">
        <v>0.0</v>
      </c>
      <c r="C683" s="1">
        <v>0.0</v>
      </c>
      <c r="D683" s="1">
        <v>0.0</v>
      </c>
      <c r="E683" s="1">
        <v>101.88</v>
      </c>
      <c r="F683" s="54">
        <v>44385.0</v>
      </c>
      <c r="G683" s="1">
        <v>0.0</v>
      </c>
      <c r="H683" s="1">
        <v>101.91</v>
      </c>
      <c r="I683" s="14">
        <v>44393.0</v>
      </c>
      <c r="J683" s="55" t="s">
        <v>2879</v>
      </c>
      <c r="K683" s="15" t="s">
        <v>3561</v>
      </c>
      <c r="L683" s="33" t="str">
        <f t="shared" si="1"/>
        <v>Not in buy Zone</v>
      </c>
      <c r="M683" s="33" t="str">
        <f t="shared" si="2"/>
        <v>Not in buy Zone</v>
      </c>
      <c r="N683" s="33" t="str">
        <f t="shared" si="3"/>
        <v>No</v>
      </c>
    </row>
    <row r="684" ht="11.25" customHeight="1">
      <c r="A684" s="1" t="s">
        <v>712</v>
      </c>
      <c r="B684" s="1">
        <v>0.0</v>
      </c>
      <c r="C684" s="1">
        <v>0.0</v>
      </c>
      <c r="D684" s="1">
        <v>136.94</v>
      </c>
      <c r="E684" s="1">
        <v>0.0</v>
      </c>
      <c r="F684" s="54">
        <v>44336.0</v>
      </c>
      <c r="G684" s="1">
        <v>0.0</v>
      </c>
      <c r="H684" s="1">
        <v>150.3</v>
      </c>
      <c r="I684" s="14">
        <v>44393.0</v>
      </c>
      <c r="J684" s="55" t="s">
        <v>2879</v>
      </c>
      <c r="K684" s="15" t="s">
        <v>3562</v>
      </c>
      <c r="L684" s="33" t="str">
        <f t="shared" si="1"/>
        <v>Not in buy Zone</v>
      </c>
      <c r="M684" s="33" t="str">
        <f t="shared" si="2"/>
        <v>Not in buy Zone</v>
      </c>
      <c r="N684" s="33" t="str">
        <f t="shared" si="3"/>
        <v>No</v>
      </c>
    </row>
    <row r="685" ht="11.25" customHeight="1">
      <c r="A685" s="1" t="s">
        <v>713</v>
      </c>
      <c r="B685" s="1">
        <v>0.0</v>
      </c>
      <c r="C685" s="1">
        <v>0.0</v>
      </c>
      <c r="D685" s="1">
        <v>0.0</v>
      </c>
      <c r="E685" s="1">
        <v>127.04</v>
      </c>
      <c r="F685" s="54">
        <v>44362.0</v>
      </c>
      <c r="G685" s="1">
        <v>0.0</v>
      </c>
      <c r="H685" s="1">
        <v>128.63</v>
      </c>
      <c r="I685" s="14">
        <v>44393.0</v>
      </c>
      <c r="J685" s="55" t="s">
        <v>2879</v>
      </c>
      <c r="K685" s="15" t="s">
        <v>3563</v>
      </c>
      <c r="L685" s="33" t="str">
        <f t="shared" si="1"/>
        <v>Not in buy Zone</v>
      </c>
      <c r="M685" s="33" t="str">
        <f t="shared" si="2"/>
        <v>Not in buy Zone</v>
      </c>
      <c r="N685" s="33" t="str">
        <f t="shared" si="3"/>
        <v>No</v>
      </c>
    </row>
    <row r="686" ht="11.25" customHeight="1">
      <c r="A686" s="1" t="s">
        <v>714</v>
      </c>
      <c r="B686" s="1">
        <v>0.0</v>
      </c>
      <c r="C686" s="1">
        <v>0.0</v>
      </c>
      <c r="D686" s="1">
        <v>69.97</v>
      </c>
      <c r="E686" s="1">
        <v>0.0</v>
      </c>
      <c r="F686" s="54">
        <v>44377.0</v>
      </c>
      <c r="G686" s="1">
        <v>0.0</v>
      </c>
      <c r="H686" s="1">
        <v>71.04</v>
      </c>
      <c r="I686" s="14">
        <v>44393.0</v>
      </c>
      <c r="J686" s="55" t="s">
        <v>2879</v>
      </c>
      <c r="K686" s="15" t="s">
        <v>3564</v>
      </c>
      <c r="L686" s="33" t="str">
        <f t="shared" si="1"/>
        <v>Not in buy Zone</v>
      </c>
      <c r="M686" s="33" t="str">
        <f t="shared" si="2"/>
        <v>Not in buy Zone</v>
      </c>
      <c r="N686" s="33" t="str">
        <f t="shared" si="3"/>
        <v>No</v>
      </c>
    </row>
    <row r="687" ht="11.25" customHeight="1">
      <c r="A687" s="1" t="s">
        <v>715</v>
      </c>
      <c r="B687" s="1">
        <v>0.0</v>
      </c>
      <c r="C687" s="1">
        <v>0.0</v>
      </c>
      <c r="D687" s="1">
        <v>44.72</v>
      </c>
      <c r="E687" s="1">
        <v>0.0</v>
      </c>
      <c r="F687" s="54">
        <v>44379.0</v>
      </c>
      <c r="G687" s="1">
        <v>0.0</v>
      </c>
      <c r="H687" s="1">
        <v>46.23</v>
      </c>
      <c r="I687" s="14">
        <v>44393.0</v>
      </c>
      <c r="J687" s="55" t="s">
        <v>2879</v>
      </c>
      <c r="K687" s="15" t="s">
        <v>3565</v>
      </c>
      <c r="L687" s="33" t="str">
        <f t="shared" si="1"/>
        <v>Not in buy Zone</v>
      </c>
      <c r="M687" s="33" t="str">
        <f t="shared" si="2"/>
        <v>Not in buy Zone</v>
      </c>
      <c r="N687" s="33" t="str">
        <f t="shared" si="3"/>
        <v>No</v>
      </c>
    </row>
    <row r="688" ht="11.25" customHeight="1">
      <c r="A688" s="1" t="s">
        <v>716</v>
      </c>
      <c r="B688" s="1">
        <v>0.0</v>
      </c>
      <c r="C688" s="1">
        <v>0.0</v>
      </c>
      <c r="D688" s="1">
        <v>64.29</v>
      </c>
      <c r="E688" s="1">
        <v>0.0</v>
      </c>
      <c r="F688" s="54">
        <v>44383.0</v>
      </c>
      <c r="G688" s="1">
        <v>0.0</v>
      </c>
      <c r="H688" s="1">
        <v>66.27</v>
      </c>
      <c r="I688" s="14">
        <v>44393.0</v>
      </c>
      <c r="J688" s="55" t="s">
        <v>2879</v>
      </c>
      <c r="K688" s="15" t="s">
        <v>3566</v>
      </c>
      <c r="L688" s="33" t="str">
        <f t="shared" si="1"/>
        <v>Not in buy Zone</v>
      </c>
      <c r="M688" s="33" t="str">
        <f t="shared" si="2"/>
        <v>Not in buy Zone</v>
      </c>
      <c r="N688" s="33" t="str">
        <f t="shared" si="3"/>
        <v>No</v>
      </c>
    </row>
    <row r="689" ht="11.25" customHeight="1">
      <c r="A689" s="1" t="s">
        <v>717</v>
      </c>
      <c r="B689" s="1">
        <v>0.0</v>
      </c>
      <c r="C689" s="1">
        <v>0.0</v>
      </c>
      <c r="D689" s="1">
        <v>123.33</v>
      </c>
      <c r="E689" s="1">
        <v>0.0</v>
      </c>
      <c r="F689" s="54">
        <v>44356.0</v>
      </c>
      <c r="G689" s="1">
        <v>0.0</v>
      </c>
      <c r="H689" s="1">
        <v>128.62</v>
      </c>
      <c r="I689" s="14">
        <v>44393.0</v>
      </c>
      <c r="J689" s="55" t="s">
        <v>2879</v>
      </c>
      <c r="K689" s="15" t="s">
        <v>3567</v>
      </c>
      <c r="L689" s="33" t="str">
        <f t="shared" si="1"/>
        <v>Not in buy Zone</v>
      </c>
      <c r="M689" s="33" t="str">
        <f t="shared" si="2"/>
        <v>Not in buy Zone</v>
      </c>
      <c r="N689" s="33" t="str">
        <f t="shared" si="3"/>
        <v>No</v>
      </c>
    </row>
    <row r="690" ht="11.25" customHeight="1">
      <c r="A690" s="1" t="s">
        <v>718</v>
      </c>
      <c r="B690" s="1">
        <v>0.0</v>
      </c>
      <c r="C690" s="1">
        <v>0.0</v>
      </c>
      <c r="D690" s="1">
        <v>0.0</v>
      </c>
      <c r="E690" s="1">
        <v>169.67</v>
      </c>
      <c r="F690" s="54">
        <v>44350.0</v>
      </c>
      <c r="G690" s="1">
        <v>0.0</v>
      </c>
      <c r="H690" s="1">
        <v>178.01</v>
      </c>
      <c r="I690" s="14">
        <v>44393.0</v>
      </c>
      <c r="J690" s="55" t="s">
        <v>2879</v>
      </c>
      <c r="K690" s="15" t="s">
        <v>3568</v>
      </c>
      <c r="L690" s="33" t="str">
        <f t="shared" si="1"/>
        <v>Not in buy Zone</v>
      </c>
      <c r="M690" s="33" t="str">
        <f t="shared" si="2"/>
        <v>Not in buy Zone</v>
      </c>
      <c r="N690" s="33" t="str">
        <f t="shared" si="3"/>
        <v>No</v>
      </c>
    </row>
    <row r="691" ht="11.25" customHeight="1">
      <c r="A691" s="1" t="s">
        <v>719</v>
      </c>
      <c r="B691" s="1">
        <v>0.0</v>
      </c>
      <c r="C691" s="1">
        <v>0.0</v>
      </c>
      <c r="D691" s="1">
        <v>0.0</v>
      </c>
      <c r="E691" s="1">
        <v>60.4</v>
      </c>
      <c r="F691" s="54">
        <v>44365.0</v>
      </c>
      <c r="G691" s="1">
        <v>0.0</v>
      </c>
      <c r="H691" s="1">
        <v>57.32</v>
      </c>
      <c r="I691" s="14">
        <v>44393.0</v>
      </c>
      <c r="J691" s="55" t="s">
        <v>2879</v>
      </c>
      <c r="K691" s="15" t="s">
        <v>3569</v>
      </c>
      <c r="L691" s="33" t="str">
        <f t="shared" si="1"/>
        <v>Not in buy Zone</v>
      </c>
      <c r="M691" s="33" t="str">
        <f t="shared" si="2"/>
        <v>Not in buy Zone</v>
      </c>
      <c r="N691" s="33" t="str">
        <f t="shared" si="3"/>
        <v>No</v>
      </c>
    </row>
    <row r="692" ht="11.25" customHeight="1">
      <c r="A692" s="1" t="s">
        <v>720</v>
      </c>
      <c r="B692" s="1">
        <v>0.0</v>
      </c>
      <c r="C692" s="1">
        <v>0.0</v>
      </c>
      <c r="D692" s="1">
        <v>97.03</v>
      </c>
      <c r="E692" s="1">
        <v>0.0</v>
      </c>
      <c r="F692" s="54">
        <v>44370.0</v>
      </c>
      <c r="G692" s="1">
        <v>0.0</v>
      </c>
      <c r="H692" s="1">
        <v>82.32</v>
      </c>
      <c r="I692" s="14">
        <v>44393.0</v>
      </c>
      <c r="J692" s="55" t="s">
        <v>2879</v>
      </c>
      <c r="K692" s="15" t="s">
        <v>3570</v>
      </c>
      <c r="L692" s="33" t="str">
        <f t="shared" si="1"/>
        <v>Not in buy Zone</v>
      </c>
      <c r="M692" s="33" t="str">
        <f t="shared" si="2"/>
        <v>Not in buy Zone</v>
      </c>
      <c r="N692" s="33" t="str">
        <f t="shared" si="3"/>
        <v>No</v>
      </c>
    </row>
    <row r="693" ht="11.25" customHeight="1">
      <c r="A693" s="1" t="s">
        <v>721</v>
      </c>
      <c r="B693" s="1">
        <v>0.0</v>
      </c>
      <c r="C693" s="1">
        <v>0.0</v>
      </c>
      <c r="D693" s="1">
        <v>67.36</v>
      </c>
      <c r="E693" s="1">
        <v>0.0</v>
      </c>
      <c r="F693" s="54">
        <v>44348.0</v>
      </c>
      <c r="G693" s="1">
        <v>0.0</v>
      </c>
      <c r="H693" s="1">
        <v>61.16</v>
      </c>
      <c r="I693" s="14">
        <v>44393.0</v>
      </c>
      <c r="J693" s="55" t="s">
        <v>2879</v>
      </c>
      <c r="K693" s="15" t="s">
        <v>3571</v>
      </c>
      <c r="L693" s="33" t="str">
        <f t="shared" si="1"/>
        <v>Not in buy Zone</v>
      </c>
      <c r="M693" s="33" t="str">
        <f t="shared" si="2"/>
        <v>Not in buy Zone</v>
      </c>
      <c r="N693" s="33" t="str">
        <f t="shared" si="3"/>
        <v>No</v>
      </c>
    </row>
    <row r="694" ht="11.25" customHeight="1">
      <c r="A694" s="1" t="s">
        <v>722</v>
      </c>
      <c r="B694" s="1">
        <v>0.0</v>
      </c>
      <c r="C694" s="1">
        <v>0.0</v>
      </c>
      <c r="D694" s="1">
        <v>0.0</v>
      </c>
      <c r="E694" s="1">
        <v>120.01</v>
      </c>
      <c r="F694" s="54">
        <v>44392.0</v>
      </c>
      <c r="G694" s="1">
        <v>0.0</v>
      </c>
      <c r="H694" s="1">
        <v>119.36</v>
      </c>
      <c r="I694" s="14">
        <v>44393.0</v>
      </c>
      <c r="J694" s="55" t="s">
        <v>2879</v>
      </c>
      <c r="K694" s="15" t="s">
        <v>3572</v>
      </c>
      <c r="L694" s="33" t="str">
        <f t="shared" si="1"/>
        <v>Not in buy Zone</v>
      </c>
      <c r="M694" s="33" t="str">
        <f t="shared" si="2"/>
        <v>Not in buy Zone</v>
      </c>
      <c r="N694" s="33" t="str">
        <f t="shared" si="3"/>
        <v>No</v>
      </c>
    </row>
    <row r="695" ht="11.25" customHeight="1">
      <c r="A695" s="1" t="s">
        <v>723</v>
      </c>
      <c r="B695" s="1">
        <v>0.0</v>
      </c>
      <c r="C695" s="1">
        <v>115.85</v>
      </c>
      <c r="D695" s="1">
        <v>0.0</v>
      </c>
      <c r="E695" s="1">
        <v>0.0</v>
      </c>
      <c r="F695" s="54">
        <v>44393.0</v>
      </c>
      <c r="G695" s="1">
        <v>-1.0</v>
      </c>
      <c r="H695" s="1">
        <v>115.85</v>
      </c>
      <c r="I695" s="14">
        <v>44393.0</v>
      </c>
      <c r="J695" s="55" t="s">
        <v>2879</v>
      </c>
      <c r="K695" s="15" t="s">
        <v>3573</v>
      </c>
      <c r="L695" s="33" t="str">
        <f t="shared" si="1"/>
        <v>Not in buy Zone</v>
      </c>
      <c r="M695" s="33" t="str">
        <f t="shared" si="2"/>
        <v>Not in buy Zone</v>
      </c>
      <c r="N695" s="33" t="str">
        <f t="shared" si="3"/>
        <v>No</v>
      </c>
    </row>
    <row r="696" ht="11.25" customHeight="1">
      <c r="A696" s="1" t="s">
        <v>724</v>
      </c>
      <c r="B696" s="1">
        <v>0.0</v>
      </c>
      <c r="C696" s="1">
        <v>0.0</v>
      </c>
      <c r="D696" s="1">
        <v>0.0</v>
      </c>
      <c r="E696" s="1">
        <v>111.73</v>
      </c>
      <c r="F696" s="54">
        <v>44349.0</v>
      </c>
      <c r="G696" s="1">
        <v>0.0</v>
      </c>
      <c r="H696" s="1">
        <v>104.15</v>
      </c>
      <c r="I696" s="14">
        <v>44393.0</v>
      </c>
      <c r="J696" s="55" t="s">
        <v>2879</v>
      </c>
      <c r="K696" s="15" t="s">
        <v>3574</v>
      </c>
      <c r="L696" s="33" t="str">
        <f t="shared" si="1"/>
        <v>Not in buy Zone</v>
      </c>
      <c r="M696" s="33" t="str">
        <f t="shared" si="2"/>
        <v>Not in buy Zone</v>
      </c>
      <c r="N696" s="33" t="str">
        <f t="shared" si="3"/>
        <v>No</v>
      </c>
    </row>
    <row r="697" ht="11.25" customHeight="1">
      <c r="A697" s="1" t="s">
        <v>725</v>
      </c>
      <c r="B697" s="1">
        <v>0.0</v>
      </c>
      <c r="C697" s="1">
        <v>0.0</v>
      </c>
      <c r="D697" s="1">
        <v>0.0</v>
      </c>
      <c r="E697" s="1">
        <v>161.18</v>
      </c>
      <c r="F697" s="54">
        <v>44376.0</v>
      </c>
      <c r="G697" s="1">
        <v>0.0</v>
      </c>
      <c r="H697" s="1">
        <v>153.4</v>
      </c>
      <c r="I697" s="14">
        <v>44393.0</v>
      </c>
      <c r="J697" s="55" t="s">
        <v>2879</v>
      </c>
      <c r="K697" s="15" t="s">
        <v>3575</v>
      </c>
      <c r="L697" s="33" t="str">
        <f t="shared" si="1"/>
        <v>Not in buy Zone</v>
      </c>
      <c r="M697" s="33" t="str">
        <f t="shared" si="2"/>
        <v>Not in buy Zone</v>
      </c>
      <c r="N697" s="33" t="str">
        <f t="shared" si="3"/>
        <v>No</v>
      </c>
    </row>
    <row r="698" ht="11.25" customHeight="1">
      <c r="A698" s="1" t="s">
        <v>726</v>
      </c>
      <c r="B698" s="1">
        <v>0.0</v>
      </c>
      <c r="C698" s="1">
        <v>0.0</v>
      </c>
      <c r="D698" s="1">
        <v>0.0</v>
      </c>
      <c r="E698" s="1">
        <v>502.09</v>
      </c>
      <c r="F698" s="54">
        <v>44364.0</v>
      </c>
      <c r="G698" s="1">
        <v>0.0</v>
      </c>
      <c r="H698" s="1">
        <v>518.33</v>
      </c>
      <c r="I698" s="14">
        <v>44393.0</v>
      </c>
      <c r="J698" s="55" t="s">
        <v>2879</v>
      </c>
      <c r="K698" s="15" t="s">
        <v>3576</v>
      </c>
      <c r="L698" s="33" t="str">
        <f t="shared" si="1"/>
        <v>Not in buy Zone</v>
      </c>
      <c r="M698" s="33" t="str">
        <f t="shared" si="2"/>
        <v>Not in buy Zone</v>
      </c>
      <c r="N698" s="33" t="str">
        <f t="shared" si="3"/>
        <v>No</v>
      </c>
    </row>
    <row r="699" ht="11.25" customHeight="1">
      <c r="A699" s="1" t="s">
        <v>727</v>
      </c>
      <c r="B699" s="1">
        <v>0.0</v>
      </c>
      <c r="C699" s="1">
        <v>0.0</v>
      </c>
      <c r="D699" s="1">
        <v>55.48</v>
      </c>
      <c r="E699" s="1">
        <v>0.0</v>
      </c>
      <c r="F699" s="54">
        <v>44372.0</v>
      </c>
      <c r="G699" s="1">
        <v>0.0</v>
      </c>
      <c r="H699" s="1">
        <v>49.6</v>
      </c>
      <c r="I699" s="14">
        <v>44393.0</v>
      </c>
      <c r="J699" s="55" t="s">
        <v>2879</v>
      </c>
      <c r="K699" s="15" t="s">
        <v>3577</v>
      </c>
      <c r="L699" s="33" t="str">
        <f t="shared" si="1"/>
        <v>Not in buy Zone</v>
      </c>
      <c r="M699" s="33" t="str">
        <f t="shared" si="2"/>
        <v>Not in buy Zone</v>
      </c>
      <c r="N699" s="33" t="str">
        <f t="shared" si="3"/>
        <v>No</v>
      </c>
    </row>
    <row r="700" ht="11.25" customHeight="1">
      <c r="A700" s="1" t="s">
        <v>728</v>
      </c>
      <c r="B700" s="1">
        <v>0.0</v>
      </c>
      <c r="C700" s="1">
        <v>0.0</v>
      </c>
      <c r="D700" s="1">
        <v>0.0</v>
      </c>
      <c r="E700" s="1">
        <v>319.01</v>
      </c>
      <c r="F700" s="54">
        <v>44350.0</v>
      </c>
      <c r="G700" s="1">
        <v>0.0</v>
      </c>
      <c r="H700" s="1">
        <v>361.97</v>
      </c>
      <c r="I700" s="14">
        <v>44393.0</v>
      </c>
      <c r="J700" s="55" t="s">
        <v>2879</v>
      </c>
      <c r="K700" s="15" t="s">
        <v>3578</v>
      </c>
      <c r="L700" s="33" t="str">
        <f t="shared" si="1"/>
        <v>Not in buy Zone</v>
      </c>
      <c r="M700" s="33" t="str">
        <f t="shared" si="2"/>
        <v>Not in buy Zone</v>
      </c>
      <c r="N700" s="33" t="str">
        <f t="shared" si="3"/>
        <v>No</v>
      </c>
    </row>
    <row r="701" ht="11.25" customHeight="1">
      <c r="A701" s="1" t="s">
        <v>729</v>
      </c>
      <c r="B701" s="1">
        <v>0.0</v>
      </c>
      <c r="C701" s="1">
        <v>0.0</v>
      </c>
      <c r="D701" s="1">
        <v>0.0</v>
      </c>
      <c r="E701" s="1">
        <v>172.95</v>
      </c>
      <c r="F701" s="54">
        <v>44349.0</v>
      </c>
      <c r="G701" s="1">
        <v>0.0</v>
      </c>
      <c r="H701" s="1">
        <v>199.68</v>
      </c>
      <c r="I701" s="14">
        <v>44393.0</v>
      </c>
      <c r="J701" s="55" t="s">
        <v>2879</v>
      </c>
      <c r="K701" s="15" t="s">
        <v>3579</v>
      </c>
      <c r="L701" s="33" t="str">
        <f t="shared" si="1"/>
        <v>Not in buy Zone</v>
      </c>
      <c r="M701" s="33" t="str">
        <f t="shared" si="2"/>
        <v>Not in buy Zone</v>
      </c>
      <c r="N701" s="33" t="str">
        <f t="shared" si="3"/>
        <v>No</v>
      </c>
    </row>
  </sheetData>
  <hyperlinks>
    <hyperlink r:id="rId1" ref="K2"/>
    <hyperlink r:id="rId2" ref="K3"/>
    <hyperlink r:id="rId3" ref="K4"/>
    <hyperlink r:id="rId4" ref="K5"/>
    <hyperlink r:id="rId5" ref="K6"/>
    <hyperlink r:id="rId6" ref="K7"/>
    <hyperlink r:id="rId7" ref="K8"/>
    <hyperlink r:id="rId8" ref="K9"/>
    <hyperlink r:id="rId9" ref="K10"/>
    <hyperlink r:id="rId10" ref="K11"/>
    <hyperlink r:id="rId11" ref="K12"/>
    <hyperlink r:id="rId12" ref="K13"/>
    <hyperlink r:id="rId13" ref="K14"/>
    <hyperlink r:id="rId14" ref="K15"/>
    <hyperlink r:id="rId15" ref="K16"/>
    <hyperlink r:id="rId16" ref="K17"/>
    <hyperlink r:id="rId17" ref="K18"/>
    <hyperlink r:id="rId18" ref="K19"/>
    <hyperlink r:id="rId19" ref="K20"/>
    <hyperlink r:id="rId20" ref="K21"/>
    <hyperlink r:id="rId21" ref="K22"/>
    <hyperlink r:id="rId22" ref="K23"/>
    <hyperlink r:id="rId23" ref="K24"/>
    <hyperlink r:id="rId24" ref="K25"/>
    <hyperlink r:id="rId25" ref="K26"/>
    <hyperlink r:id="rId26" ref="K27"/>
    <hyperlink r:id="rId27" ref="K28"/>
    <hyperlink r:id="rId28" ref="K29"/>
    <hyperlink r:id="rId29" ref="K30"/>
    <hyperlink r:id="rId30" ref="K31"/>
    <hyperlink r:id="rId31" ref="K32"/>
    <hyperlink r:id="rId32" ref="K33"/>
    <hyperlink r:id="rId33" ref="K34"/>
    <hyperlink r:id="rId34" ref="K35"/>
    <hyperlink r:id="rId35" ref="K36"/>
    <hyperlink r:id="rId36" ref="K37"/>
    <hyperlink r:id="rId37" ref="K38"/>
    <hyperlink r:id="rId38" ref="K39"/>
    <hyperlink r:id="rId39" ref="K40"/>
    <hyperlink r:id="rId40" ref="K41"/>
    <hyperlink r:id="rId41" ref="K42"/>
    <hyperlink r:id="rId42" ref="K43"/>
    <hyperlink r:id="rId43" ref="K44"/>
    <hyperlink r:id="rId44" ref="K45"/>
    <hyperlink r:id="rId45" ref="K46"/>
    <hyperlink r:id="rId46" ref="K47"/>
    <hyperlink r:id="rId47" ref="K48"/>
    <hyperlink r:id="rId48" ref="K49"/>
    <hyperlink r:id="rId49" ref="K50"/>
    <hyperlink r:id="rId50" ref="K51"/>
    <hyperlink r:id="rId51" ref="K52"/>
    <hyperlink r:id="rId52" ref="K53"/>
    <hyperlink r:id="rId53" ref="K54"/>
    <hyperlink r:id="rId54" ref="K55"/>
    <hyperlink r:id="rId55" ref="K56"/>
    <hyperlink r:id="rId56" ref="K57"/>
    <hyperlink r:id="rId57" ref="K58"/>
    <hyperlink r:id="rId58" ref="K59"/>
    <hyperlink r:id="rId59" ref="K60"/>
    <hyperlink r:id="rId60" ref="K61"/>
    <hyperlink r:id="rId61" ref="K62"/>
    <hyperlink r:id="rId62" ref="K63"/>
    <hyperlink r:id="rId63" ref="K64"/>
    <hyperlink r:id="rId64" ref="K65"/>
    <hyperlink r:id="rId65" ref="K66"/>
    <hyperlink r:id="rId66" ref="K67"/>
    <hyperlink r:id="rId67" ref="K68"/>
    <hyperlink r:id="rId68" ref="K69"/>
    <hyperlink r:id="rId69" ref="K70"/>
    <hyperlink r:id="rId70" ref="K71"/>
    <hyperlink r:id="rId71" ref="K72"/>
    <hyperlink r:id="rId72" ref="K73"/>
    <hyperlink r:id="rId73" ref="K74"/>
    <hyperlink r:id="rId74" ref="K75"/>
    <hyperlink r:id="rId75" ref="K76"/>
    <hyperlink r:id="rId76" ref="K77"/>
    <hyperlink r:id="rId77" ref="K78"/>
    <hyperlink r:id="rId78" ref="K79"/>
    <hyperlink r:id="rId79" ref="K80"/>
    <hyperlink r:id="rId80" ref="K81"/>
    <hyperlink r:id="rId81" ref="K82"/>
    <hyperlink r:id="rId82" ref="K83"/>
    <hyperlink r:id="rId83" ref="K84"/>
    <hyperlink r:id="rId84" ref="K85"/>
    <hyperlink r:id="rId85" ref="K86"/>
    <hyperlink r:id="rId86" ref="K87"/>
    <hyperlink r:id="rId87" ref="K88"/>
    <hyperlink r:id="rId88" ref="K89"/>
    <hyperlink r:id="rId89" ref="K90"/>
    <hyperlink r:id="rId90" ref="K91"/>
    <hyperlink r:id="rId91" ref="K92"/>
    <hyperlink r:id="rId92" ref="K93"/>
    <hyperlink r:id="rId93" ref="K94"/>
    <hyperlink r:id="rId94" ref="K95"/>
    <hyperlink r:id="rId95" ref="K96"/>
    <hyperlink r:id="rId96" ref="K97"/>
    <hyperlink r:id="rId97" ref="K98"/>
    <hyperlink r:id="rId98" ref="K99"/>
    <hyperlink r:id="rId99" ref="K100"/>
    <hyperlink r:id="rId100" ref="K101"/>
    <hyperlink r:id="rId101" ref="K102"/>
    <hyperlink r:id="rId102" ref="K103"/>
    <hyperlink r:id="rId103" ref="K104"/>
    <hyperlink r:id="rId104" ref="K105"/>
    <hyperlink r:id="rId105" ref="K106"/>
    <hyperlink r:id="rId106" ref="K107"/>
    <hyperlink r:id="rId107" ref="K108"/>
    <hyperlink r:id="rId108" ref="K109"/>
    <hyperlink r:id="rId109" ref="K110"/>
    <hyperlink r:id="rId110" ref="K111"/>
    <hyperlink r:id="rId111" ref="K112"/>
    <hyperlink r:id="rId112" ref="K113"/>
    <hyperlink r:id="rId113" ref="K114"/>
    <hyperlink r:id="rId114" ref="K115"/>
    <hyperlink r:id="rId115" ref="K116"/>
    <hyperlink r:id="rId116" ref="K117"/>
    <hyperlink r:id="rId117" ref="K118"/>
    <hyperlink r:id="rId118" ref="K119"/>
    <hyperlink r:id="rId119" ref="K120"/>
    <hyperlink r:id="rId120" ref="K121"/>
    <hyperlink r:id="rId121" ref="K122"/>
    <hyperlink r:id="rId122" ref="K123"/>
    <hyperlink r:id="rId123" ref="K124"/>
    <hyperlink r:id="rId124" ref="K125"/>
    <hyperlink r:id="rId125" ref="K126"/>
    <hyperlink r:id="rId126" ref="K127"/>
    <hyperlink r:id="rId127" ref="K128"/>
    <hyperlink r:id="rId128" ref="K129"/>
    <hyperlink r:id="rId129" ref="K130"/>
    <hyperlink r:id="rId130" ref="K131"/>
    <hyperlink r:id="rId131" ref="K132"/>
    <hyperlink r:id="rId132" ref="K133"/>
    <hyperlink r:id="rId133" ref="K134"/>
    <hyperlink r:id="rId134" ref="K135"/>
    <hyperlink r:id="rId135" ref="K136"/>
    <hyperlink r:id="rId136" ref="K137"/>
    <hyperlink r:id="rId137" ref="K138"/>
    <hyperlink r:id="rId138" ref="K139"/>
    <hyperlink r:id="rId139" ref="K140"/>
    <hyperlink r:id="rId140" ref="K141"/>
    <hyperlink r:id="rId141" ref="K142"/>
    <hyperlink r:id="rId142" ref="K143"/>
    <hyperlink r:id="rId143" ref="K144"/>
    <hyperlink r:id="rId144" ref="K145"/>
    <hyperlink r:id="rId145" ref="K146"/>
    <hyperlink r:id="rId146" ref="K147"/>
    <hyperlink r:id="rId147" ref="K148"/>
    <hyperlink r:id="rId148" ref="K149"/>
    <hyperlink r:id="rId149" ref="K150"/>
    <hyperlink r:id="rId150" ref="K151"/>
    <hyperlink r:id="rId151" ref="K152"/>
    <hyperlink r:id="rId152" ref="K153"/>
    <hyperlink r:id="rId153" ref="K154"/>
    <hyperlink r:id="rId154" ref="K155"/>
    <hyperlink r:id="rId155" ref="K156"/>
    <hyperlink r:id="rId156" ref="K157"/>
    <hyperlink r:id="rId157" ref="K158"/>
    <hyperlink r:id="rId158" ref="K159"/>
    <hyperlink r:id="rId159" ref="K160"/>
    <hyperlink r:id="rId160" ref="K161"/>
    <hyperlink r:id="rId161" ref="K162"/>
    <hyperlink r:id="rId162" ref="K163"/>
    <hyperlink r:id="rId163" ref="K164"/>
    <hyperlink r:id="rId164" ref="K165"/>
    <hyperlink r:id="rId165" ref="K166"/>
    <hyperlink r:id="rId166" ref="K167"/>
    <hyperlink r:id="rId167" ref="K168"/>
    <hyperlink r:id="rId168" ref="K169"/>
    <hyperlink r:id="rId169" ref="K170"/>
    <hyperlink r:id="rId170" ref="K171"/>
    <hyperlink r:id="rId171" ref="K172"/>
    <hyperlink r:id="rId172" ref="K173"/>
    <hyperlink r:id="rId173" ref="K174"/>
    <hyperlink r:id="rId174" ref="K175"/>
    <hyperlink r:id="rId175" ref="K176"/>
    <hyperlink r:id="rId176" ref="K177"/>
    <hyperlink r:id="rId177" ref="K178"/>
    <hyperlink r:id="rId178" ref="K179"/>
    <hyperlink r:id="rId179" ref="K180"/>
    <hyperlink r:id="rId180" ref="K181"/>
    <hyperlink r:id="rId181" ref="K182"/>
    <hyperlink r:id="rId182" ref="K183"/>
    <hyperlink r:id="rId183" ref="K184"/>
    <hyperlink r:id="rId184" ref="K185"/>
    <hyperlink r:id="rId185" ref="K186"/>
    <hyperlink r:id="rId186" ref="K187"/>
    <hyperlink r:id="rId187" ref="K188"/>
    <hyperlink r:id="rId188" ref="K189"/>
    <hyperlink r:id="rId189" ref="K190"/>
    <hyperlink r:id="rId190" ref="K191"/>
    <hyperlink r:id="rId191" ref="K192"/>
    <hyperlink r:id="rId192" ref="K193"/>
    <hyperlink r:id="rId193" ref="K194"/>
    <hyperlink r:id="rId194" ref="K195"/>
    <hyperlink r:id="rId195" ref="K196"/>
    <hyperlink r:id="rId196" ref="K197"/>
    <hyperlink r:id="rId197" ref="K198"/>
    <hyperlink r:id="rId198" ref="K199"/>
    <hyperlink r:id="rId199" ref="K200"/>
    <hyperlink r:id="rId200" ref="K201"/>
    <hyperlink r:id="rId201" ref="K202"/>
    <hyperlink r:id="rId202" ref="K203"/>
    <hyperlink r:id="rId203" ref="K204"/>
    <hyperlink r:id="rId204" ref="K205"/>
    <hyperlink r:id="rId205" ref="K206"/>
    <hyperlink r:id="rId206" ref="K207"/>
    <hyperlink r:id="rId207" ref="K208"/>
    <hyperlink r:id="rId208" ref="K209"/>
    <hyperlink r:id="rId209" ref="K210"/>
    <hyperlink r:id="rId210" ref="K211"/>
    <hyperlink r:id="rId211" ref="K212"/>
    <hyperlink r:id="rId212" ref="K213"/>
    <hyperlink r:id="rId213" ref="K214"/>
    <hyperlink r:id="rId214" ref="K215"/>
    <hyperlink r:id="rId215" ref="K216"/>
    <hyperlink r:id="rId216" ref="K217"/>
    <hyperlink r:id="rId217" ref="K218"/>
    <hyperlink r:id="rId218" ref="K219"/>
    <hyperlink r:id="rId219" ref="K220"/>
    <hyperlink r:id="rId220" ref="K221"/>
    <hyperlink r:id="rId221" ref="K222"/>
    <hyperlink r:id="rId222" ref="K223"/>
    <hyperlink r:id="rId223" ref="K224"/>
    <hyperlink r:id="rId224" ref="K225"/>
    <hyperlink r:id="rId225" ref="K226"/>
    <hyperlink r:id="rId226" ref="K227"/>
    <hyperlink r:id="rId227" ref="K228"/>
    <hyperlink r:id="rId228" ref="K229"/>
    <hyperlink r:id="rId229" ref="K230"/>
    <hyperlink r:id="rId230" ref="K231"/>
    <hyperlink r:id="rId231" ref="K232"/>
    <hyperlink r:id="rId232" ref="K233"/>
    <hyperlink r:id="rId233" ref="K234"/>
    <hyperlink r:id="rId234" ref="K235"/>
    <hyperlink r:id="rId235" ref="K236"/>
    <hyperlink r:id="rId236" ref="K237"/>
    <hyperlink r:id="rId237" ref="K238"/>
    <hyperlink r:id="rId238" ref="K239"/>
    <hyperlink r:id="rId239" ref="K240"/>
    <hyperlink r:id="rId240" ref="K241"/>
    <hyperlink r:id="rId241" ref="K242"/>
    <hyperlink r:id="rId242" ref="K243"/>
    <hyperlink r:id="rId243" ref="K244"/>
    <hyperlink r:id="rId244" ref="K245"/>
    <hyperlink r:id="rId245" ref="K246"/>
    <hyperlink r:id="rId246" ref="K247"/>
    <hyperlink r:id="rId247" ref="K248"/>
    <hyperlink r:id="rId248" ref="K249"/>
    <hyperlink r:id="rId249" ref="K250"/>
    <hyperlink r:id="rId250" ref="K251"/>
    <hyperlink r:id="rId251" ref="K252"/>
    <hyperlink r:id="rId252" ref="K253"/>
    <hyperlink r:id="rId253" ref="K254"/>
    <hyperlink r:id="rId254" ref="K255"/>
    <hyperlink r:id="rId255" ref="K256"/>
    <hyperlink r:id="rId256" ref="K257"/>
    <hyperlink r:id="rId257" ref="K258"/>
    <hyperlink r:id="rId258" ref="K259"/>
    <hyperlink r:id="rId259" ref="K260"/>
    <hyperlink r:id="rId260" ref="K261"/>
    <hyperlink r:id="rId261" ref="K262"/>
    <hyperlink r:id="rId262" ref="K263"/>
    <hyperlink r:id="rId263" ref="K264"/>
    <hyperlink r:id="rId264" ref="K265"/>
    <hyperlink r:id="rId265" ref="K266"/>
    <hyperlink r:id="rId266" ref="K267"/>
    <hyperlink r:id="rId267" ref="K268"/>
    <hyperlink r:id="rId268" ref="K269"/>
    <hyperlink r:id="rId269" ref="K270"/>
    <hyperlink r:id="rId270" ref="K271"/>
    <hyperlink r:id="rId271" ref="K272"/>
    <hyperlink r:id="rId272" ref="K273"/>
    <hyperlink r:id="rId273" ref="K274"/>
    <hyperlink r:id="rId274" ref="K275"/>
    <hyperlink r:id="rId275" ref="K276"/>
    <hyperlink r:id="rId276" ref="K277"/>
    <hyperlink r:id="rId277" ref="K278"/>
    <hyperlink r:id="rId278" ref="K279"/>
    <hyperlink r:id="rId279" ref="K280"/>
    <hyperlink r:id="rId280" ref="K281"/>
    <hyperlink r:id="rId281" ref="K282"/>
    <hyperlink r:id="rId282" ref="K283"/>
    <hyperlink r:id="rId283" ref="K284"/>
    <hyperlink r:id="rId284" ref="K285"/>
    <hyperlink r:id="rId285" ref="K286"/>
    <hyperlink r:id="rId286" ref="K287"/>
    <hyperlink r:id="rId287" ref="K288"/>
    <hyperlink r:id="rId288" ref="K289"/>
    <hyperlink r:id="rId289" ref="K290"/>
    <hyperlink r:id="rId290" ref="K291"/>
    <hyperlink r:id="rId291" ref="K292"/>
    <hyperlink r:id="rId292" ref="K293"/>
    <hyperlink r:id="rId293" ref="K294"/>
    <hyperlink r:id="rId294" ref="K295"/>
    <hyperlink r:id="rId295" ref="K296"/>
    <hyperlink r:id="rId296" ref="K297"/>
    <hyperlink r:id="rId297" ref="K298"/>
    <hyperlink r:id="rId298" ref="K299"/>
    <hyperlink r:id="rId299" ref="K300"/>
    <hyperlink r:id="rId300" ref="K301"/>
    <hyperlink r:id="rId301" ref="K302"/>
    <hyperlink r:id="rId302" ref="K303"/>
    <hyperlink r:id="rId303" ref="K304"/>
    <hyperlink r:id="rId304" ref="K305"/>
    <hyperlink r:id="rId305" ref="K306"/>
    <hyperlink r:id="rId306" ref="K307"/>
    <hyperlink r:id="rId307" ref="K308"/>
    <hyperlink r:id="rId308" ref="K309"/>
    <hyperlink r:id="rId309" ref="K310"/>
    <hyperlink r:id="rId310" ref="K311"/>
    <hyperlink r:id="rId311" ref="K312"/>
    <hyperlink r:id="rId312" ref="K313"/>
    <hyperlink r:id="rId313" ref="K314"/>
    <hyperlink r:id="rId314" ref="K315"/>
    <hyperlink r:id="rId315" ref="K316"/>
    <hyperlink r:id="rId316" ref="K317"/>
    <hyperlink r:id="rId317" ref="K318"/>
    <hyperlink r:id="rId318" ref="K319"/>
    <hyperlink r:id="rId319" ref="K320"/>
    <hyperlink r:id="rId320" ref="K321"/>
    <hyperlink r:id="rId321" ref="K322"/>
    <hyperlink r:id="rId322" ref="K323"/>
    <hyperlink r:id="rId323" ref="K324"/>
    <hyperlink r:id="rId324" ref="K325"/>
    <hyperlink r:id="rId325" ref="K326"/>
    <hyperlink r:id="rId326" ref="K327"/>
    <hyperlink r:id="rId327" ref="K328"/>
    <hyperlink r:id="rId328" ref="K329"/>
    <hyperlink r:id="rId329" ref="K330"/>
    <hyperlink r:id="rId330" ref="K331"/>
    <hyperlink r:id="rId331" ref="K332"/>
    <hyperlink r:id="rId332" ref="K333"/>
    <hyperlink r:id="rId333" ref="K334"/>
    <hyperlink r:id="rId334" ref="K335"/>
    <hyperlink r:id="rId335" ref="K336"/>
    <hyperlink r:id="rId336" ref="K337"/>
    <hyperlink r:id="rId337" ref="K338"/>
    <hyperlink r:id="rId338" ref="K339"/>
    <hyperlink r:id="rId339" ref="K340"/>
    <hyperlink r:id="rId340" ref="K341"/>
    <hyperlink r:id="rId341" ref="K342"/>
    <hyperlink r:id="rId342" ref="K343"/>
    <hyperlink r:id="rId343" ref="K344"/>
    <hyperlink r:id="rId344" ref="K345"/>
    <hyperlink r:id="rId345" ref="K346"/>
    <hyperlink r:id="rId346" ref="K347"/>
    <hyperlink r:id="rId347" ref="K348"/>
    <hyperlink r:id="rId348" ref="K349"/>
    <hyperlink r:id="rId349" ref="K350"/>
    <hyperlink r:id="rId350" ref="K351"/>
    <hyperlink r:id="rId351" ref="K352"/>
    <hyperlink r:id="rId352" ref="K353"/>
    <hyperlink r:id="rId353" ref="K354"/>
    <hyperlink r:id="rId354" ref="K355"/>
    <hyperlink r:id="rId355" ref="K356"/>
    <hyperlink r:id="rId356" ref="K357"/>
    <hyperlink r:id="rId357" ref="K358"/>
    <hyperlink r:id="rId358" ref="K359"/>
    <hyperlink r:id="rId359" ref="K360"/>
    <hyperlink r:id="rId360" ref="K361"/>
    <hyperlink r:id="rId361" ref="K362"/>
    <hyperlink r:id="rId362" ref="K363"/>
    <hyperlink r:id="rId363" ref="K364"/>
    <hyperlink r:id="rId364" ref="K365"/>
    <hyperlink r:id="rId365" ref="K366"/>
    <hyperlink r:id="rId366" ref="K367"/>
    <hyperlink r:id="rId367" ref="K368"/>
    <hyperlink r:id="rId368" ref="K369"/>
    <hyperlink r:id="rId369" ref="K370"/>
    <hyperlink r:id="rId370" ref="K371"/>
    <hyperlink r:id="rId371" ref="K372"/>
    <hyperlink r:id="rId372" ref="K373"/>
    <hyperlink r:id="rId373" ref="K374"/>
    <hyperlink r:id="rId374" ref="K375"/>
    <hyperlink r:id="rId375" ref="K376"/>
    <hyperlink r:id="rId376" ref="K377"/>
    <hyperlink r:id="rId377" ref="K378"/>
    <hyperlink r:id="rId378" ref="K379"/>
    <hyperlink r:id="rId379" ref="K380"/>
    <hyperlink r:id="rId380" ref="K381"/>
    <hyperlink r:id="rId381" ref="K382"/>
    <hyperlink r:id="rId382" ref="K383"/>
    <hyperlink r:id="rId383" ref="K384"/>
    <hyperlink r:id="rId384" ref="K385"/>
    <hyperlink r:id="rId385" ref="K386"/>
    <hyperlink r:id="rId386" ref="K387"/>
    <hyperlink r:id="rId387" ref="K388"/>
    <hyperlink r:id="rId388" ref="K389"/>
    <hyperlink r:id="rId389" ref="K390"/>
    <hyperlink r:id="rId390" ref="K391"/>
    <hyperlink r:id="rId391" ref="K392"/>
    <hyperlink r:id="rId392" ref="K393"/>
    <hyperlink r:id="rId393" ref="K394"/>
    <hyperlink r:id="rId394" ref="K395"/>
    <hyperlink r:id="rId395" ref="K396"/>
    <hyperlink r:id="rId396" ref="K397"/>
    <hyperlink r:id="rId397" ref="K398"/>
    <hyperlink r:id="rId398" ref="K399"/>
    <hyperlink r:id="rId399" ref="K400"/>
    <hyperlink r:id="rId400" ref="K401"/>
    <hyperlink r:id="rId401" ref="K402"/>
    <hyperlink r:id="rId402" ref="K403"/>
    <hyperlink r:id="rId403" ref="K404"/>
    <hyperlink r:id="rId404" ref="K405"/>
    <hyperlink r:id="rId405" ref="K406"/>
    <hyperlink r:id="rId406" ref="K407"/>
    <hyperlink r:id="rId407" ref="K408"/>
    <hyperlink r:id="rId408" ref="K409"/>
    <hyperlink r:id="rId409" ref="K410"/>
    <hyperlink r:id="rId410" ref="K411"/>
    <hyperlink r:id="rId411" ref="K412"/>
    <hyperlink r:id="rId412" ref="K413"/>
    <hyperlink r:id="rId413" ref="K414"/>
    <hyperlink r:id="rId414" ref="K415"/>
    <hyperlink r:id="rId415" ref="K416"/>
    <hyperlink r:id="rId416" ref="K417"/>
    <hyperlink r:id="rId417" ref="K418"/>
    <hyperlink r:id="rId418" ref="K419"/>
    <hyperlink r:id="rId419" ref="K420"/>
    <hyperlink r:id="rId420" ref="K421"/>
    <hyperlink r:id="rId421" ref="K422"/>
    <hyperlink r:id="rId422" ref="K423"/>
    <hyperlink r:id="rId423" ref="K424"/>
    <hyperlink r:id="rId424" ref="K425"/>
    <hyperlink r:id="rId425" ref="K426"/>
    <hyperlink r:id="rId426" ref="K427"/>
    <hyperlink r:id="rId427" ref="K428"/>
    <hyperlink r:id="rId428" ref="K429"/>
    <hyperlink r:id="rId429" ref="K430"/>
    <hyperlink r:id="rId430" ref="K431"/>
    <hyperlink r:id="rId431" ref="K432"/>
    <hyperlink r:id="rId432" ref="K433"/>
    <hyperlink r:id="rId433" ref="K434"/>
    <hyperlink r:id="rId434" ref="K435"/>
    <hyperlink r:id="rId435" ref="K436"/>
    <hyperlink r:id="rId436" ref="K437"/>
    <hyperlink r:id="rId437" ref="K438"/>
    <hyperlink r:id="rId438" ref="K439"/>
    <hyperlink r:id="rId439" ref="K440"/>
    <hyperlink r:id="rId440" ref="K441"/>
    <hyperlink r:id="rId441" ref="K442"/>
    <hyperlink r:id="rId442" ref="K443"/>
    <hyperlink r:id="rId443" ref="K444"/>
    <hyperlink r:id="rId444" ref="K445"/>
    <hyperlink r:id="rId445" ref="K446"/>
    <hyperlink r:id="rId446" ref="K447"/>
    <hyperlink r:id="rId447" ref="K448"/>
    <hyperlink r:id="rId448" ref="K449"/>
    <hyperlink r:id="rId449" ref="K450"/>
    <hyperlink r:id="rId450" ref="K451"/>
    <hyperlink r:id="rId451" ref="K452"/>
    <hyperlink r:id="rId452" ref="K453"/>
    <hyperlink r:id="rId453" ref="K454"/>
    <hyperlink r:id="rId454" ref="K455"/>
    <hyperlink r:id="rId455" ref="K456"/>
    <hyperlink r:id="rId456" ref="K457"/>
    <hyperlink r:id="rId457" ref="K458"/>
    <hyperlink r:id="rId458" ref="K459"/>
    <hyperlink r:id="rId459" ref="K460"/>
    <hyperlink r:id="rId460" ref="K461"/>
    <hyperlink r:id="rId461" ref="K462"/>
    <hyperlink r:id="rId462" ref="K463"/>
    <hyperlink r:id="rId463" ref="K464"/>
    <hyperlink r:id="rId464" ref="K465"/>
    <hyperlink r:id="rId465" ref="K466"/>
    <hyperlink r:id="rId466" ref="K467"/>
    <hyperlink r:id="rId467" ref="K468"/>
    <hyperlink r:id="rId468" ref="K469"/>
    <hyperlink r:id="rId469" ref="K470"/>
    <hyperlink r:id="rId470" ref="K471"/>
    <hyperlink r:id="rId471" ref="K472"/>
    <hyperlink r:id="rId472" ref="K473"/>
    <hyperlink r:id="rId473" ref="K474"/>
    <hyperlink r:id="rId474" ref="K475"/>
    <hyperlink r:id="rId475" ref="K476"/>
    <hyperlink r:id="rId476" ref="K477"/>
    <hyperlink r:id="rId477" ref="K478"/>
    <hyperlink r:id="rId478" ref="K479"/>
    <hyperlink r:id="rId479" ref="K480"/>
    <hyperlink r:id="rId480" ref="K481"/>
    <hyperlink r:id="rId481" ref="K482"/>
    <hyperlink r:id="rId482" ref="K483"/>
    <hyperlink r:id="rId483" ref="K484"/>
    <hyperlink r:id="rId484" ref="K485"/>
    <hyperlink r:id="rId485" ref="K486"/>
    <hyperlink r:id="rId486" ref="K487"/>
    <hyperlink r:id="rId487" ref="K488"/>
    <hyperlink r:id="rId488" ref="K489"/>
    <hyperlink r:id="rId489" ref="K490"/>
    <hyperlink r:id="rId490" ref="K491"/>
    <hyperlink r:id="rId491" ref="K492"/>
    <hyperlink r:id="rId492" ref="K493"/>
    <hyperlink r:id="rId493" ref="K494"/>
    <hyperlink r:id="rId494" ref="K495"/>
    <hyperlink r:id="rId495" ref="K496"/>
    <hyperlink r:id="rId496" ref="K497"/>
    <hyperlink r:id="rId497" ref="K498"/>
    <hyperlink r:id="rId498" ref="K499"/>
    <hyperlink r:id="rId499" ref="K500"/>
    <hyperlink r:id="rId500" ref="K501"/>
    <hyperlink r:id="rId501" ref="K502"/>
    <hyperlink r:id="rId502" ref="K503"/>
    <hyperlink r:id="rId503" ref="K504"/>
    <hyperlink r:id="rId504" ref="K505"/>
    <hyperlink r:id="rId505" ref="K506"/>
    <hyperlink r:id="rId506" ref="K507"/>
    <hyperlink r:id="rId507" ref="K508"/>
    <hyperlink r:id="rId508" ref="K509"/>
    <hyperlink r:id="rId509" ref="K510"/>
    <hyperlink r:id="rId510" ref="K511"/>
    <hyperlink r:id="rId511" ref="K512"/>
    <hyperlink r:id="rId512" ref="K513"/>
    <hyperlink r:id="rId513" ref="K514"/>
    <hyperlink r:id="rId514" ref="K515"/>
    <hyperlink r:id="rId515" ref="K516"/>
    <hyperlink r:id="rId516" ref="K517"/>
    <hyperlink r:id="rId517" ref="K518"/>
    <hyperlink r:id="rId518" ref="K519"/>
    <hyperlink r:id="rId519" ref="K520"/>
    <hyperlink r:id="rId520" ref="K521"/>
    <hyperlink r:id="rId521" ref="K522"/>
    <hyperlink r:id="rId522" ref="K523"/>
    <hyperlink r:id="rId523" ref="K524"/>
    <hyperlink r:id="rId524" ref="K525"/>
    <hyperlink r:id="rId525" ref="K526"/>
    <hyperlink r:id="rId526" ref="K527"/>
    <hyperlink r:id="rId527" ref="K528"/>
    <hyperlink r:id="rId528" ref="K529"/>
    <hyperlink r:id="rId529" ref="K530"/>
    <hyperlink r:id="rId530" ref="K531"/>
    <hyperlink r:id="rId531" ref="K532"/>
    <hyperlink r:id="rId532" ref="K533"/>
    <hyperlink r:id="rId533" ref="K534"/>
    <hyperlink r:id="rId534" ref="K535"/>
    <hyperlink r:id="rId535" ref="K536"/>
    <hyperlink r:id="rId536" ref="K537"/>
    <hyperlink r:id="rId537" ref="K538"/>
    <hyperlink r:id="rId538" ref="K539"/>
    <hyperlink r:id="rId539" ref="K540"/>
    <hyperlink r:id="rId540" ref="K541"/>
    <hyperlink r:id="rId541" ref="K542"/>
    <hyperlink r:id="rId542" ref="K543"/>
    <hyperlink r:id="rId543" ref="K544"/>
    <hyperlink r:id="rId544" ref="K545"/>
    <hyperlink r:id="rId545" ref="K546"/>
    <hyperlink r:id="rId546" ref="K547"/>
    <hyperlink r:id="rId547" ref="K548"/>
    <hyperlink r:id="rId548" ref="K549"/>
    <hyperlink r:id="rId549" ref="K550"/>
    <hyperlink r:id="rId550" ref="K551"/>
    <hyperlink r:id="rId551" ref="K552"/>
    <hyperlink r:id="rId552" ref="K553"/>
    <hyperlink r:id="rId553" ref="K554"/>
    <hyperlink r:id="rId554" ref="K555"/>
    <hyperlink r:id="rId555" ref="K556"/>
    <hyperlink r:id="rId556" ref="K557"/>
    <hyperlink r:id="rId557" ref="K558"/>
    <hyperlink r:id="rId558" ref="K559"/>
    <hyperlink r:id="rId559" ref="K560"/>
    <hyperlink r:id="rId560" ref="K561"/>
    <hyperlink r:id="rId561" ref="K562"/>
    <hyperlink r:id="rId562" ref="K563"/>
    <hyperlink r:id="rId563" ref="K564"/>
    <hyperlink r:id="rId564" ref="K565"/>
    <hyperlink r:id="rId565" ref="K566"/>
    <hyperlink r:id="rId566" ref="K567"/>
    <hyperlink r:id="rId567" ref="K568"/>
    <hyperlink r:id="rId568" ref="K569"/>
    <hyperlink r:id="rId569" ref="K570"/>
    <hyperlink r:id="rId570" ref="K571"/>
    <hyperlink r:id="rId571" ref="K572"/>
    <hyperlink r:id="rId572" ref="K573"/>
    <hyperlink r:id="rId573" ref="K574"/>
    <hyperlink r:id="rId574" ref="K575"/>
    <hyperlink r:id="rId575" ref="K576"/>
    <hyperlink r:id="rId576" ref="K577"/>
    <hyperlink r:id="rId577" ref="K578"/>
    <hyperlink r:id="rId578" ref="K579"/>
    <hyperlink r:id="rId579" ref="K580"/>
    <hyperlink r:id="rId580" ref="K581"/>
    <hyperlink r:id="rId581" ref="K582"/>
    <hyperlink r:id="rId582" ref="K583"/>
    <hyperlink r:id="rId583" ref="K584"/>
    <hyperlink r:id="rId584" ref="K585"/>
    <hyperlink r:id="rId585" ref="K586"/>
    <hyperlink r:id="rId586" ref="K587"/>
    <hyperlink r:id="rId587" ref="K588"/>
    <hyperlink r:id="rId588" ref="K589"/>
    <hyperlink r:id="rId589" ref="K590"/>
    <hyperlink r:id="rId590" ref="K591"/>
    <hyperlink r:id="rId591" ref="K592"/>
    <hyperlink r:id="rId592" ref="K593"/>
    <hyperlink r:id="rId593" ref="K594"/>
    <hyperlink r:id="rId594" ref="K595"/>
    <hyperlink r:id="rId595" ref="K596"/>
    <hyperlink r:id="rId596" ref="K597"/>
    <hyperlink r:id="rId597" ref="K598"/>
    <hyperlink r:id="rId598" ref="K599"/>
    <hyperlink r:id="rId599" ref="K600"/>
    <hyperlink r:id="rId600" ref="K601"/>
    <hyperlink r:id="rId601" ref="K602"/>
    <hyperlink r:id="rId602" ref="K603"/>
    <hyperlink r:id="rId603" ref="K604"/>
    <hyperlink r:id="rId604" ref="K605"/>
    <hyperlink r:id="rId605" ref="K606"/>
    <hyperlink r:id="rId606" ref="K607"/>
    <hyperlink r:id="rId607" ref="K608"/>
    <hyperlink r:id="rId608" ref="K609"/>
    <hyperlink r:id="rId609" ref="K610"/>
    <hyperlink r:id="rId610" ref="K611"/>
    <hyperlink r:id="rId611" ref="K612"/>
    <hyperlink r:id="rId612" ref="K613"/>
    <hyperlink r:id="rId613" ref="K614"/>
    <hyperlink r:id="rId614" ref="K615"/>
    <hyperlink r:id="rId615" ref="K616"/>
    <hyperlink r:id="rId616" ref="K617"/>
    <hyperlink r:id="rId617" ref="K618"/>
    <hyperlink r:id="rId618" ref="K619"/>
    <hyperlink r:id="rId619" ref="K620"/>
    <hyperlink r:id="rId620" ref="K621"/>
    <hyperlink r:id="rId621" ref="K622"/>
    <hyperlink r:id="rId622" ref="K623"/>
    <hyperlink r:id="rId623" ref="K624"/>
    <hyperlink r:id="rId624" ref="K625"/>
    <hyperlink r:id="rId625" ref="K626"/>
    <hyperlink r:id="rId626" ref="K627"/>
    <hyperlink r:id="rId627" ref="K628"/>
    <hyperlink r:id="rId628" ref="K629"/>
    <hyperlink r:id="rId629" ref="K630"/>
    <hyperlink r:id="rId630" ref="K631"/>
    <hyperlink r:id="rId631" ref="K632"/>
    <hyperlink r:id="rId632" ref="K633"/>
    <hyperlink r:id="rId633" ref="K634"/>
    <hyperlink r:id="rId634" ref="K635"/>
    <hyperlink r:id="rId635" ref="K636"/>
    <hyperlink r:id="rId636" ref="K637"/>
    <hyperlink r:id="rId637" ref="K638"/>
    <hyperlink r:id="rId638" ref="K639"/>
    <hyperlink r:id="rId639" ref="K640"/>
    <hyperlink r:id="rId640" ref="K641"/>
    <hyperlink r:id="rId641" ref="K642"/>
    <hyperlink r:id="rId642" ref="K643"/>
    <hyperlink r:id="rId643" ref="K644"/>
    <hyperlink r:id="rId644" ref="K645"/>
    <hyperlink r:id="rId645" ref="K646"/>
    <hyperlink r:id="rId646" ref="K647"/>
    <hyperlink r:id="rId647" ref="K648"/>
    <hyperlink r:id="rId648" ref="K649"/>
    <hyperlink r:id="rId649" ref="K650"/>
    <hyperlink r:id="rId650" ref="K651"/>
    <hyperlink r:id="rId651" ref="K652"/>
    <hyperlink r:id="rId652" ref="K653"/>
    <hyperlink r:id="rId653" ref="K654"/>
    <hyperlink r:id="rId654" ref="K655"/>
    <hyperlink r:id="rId655" ref="K656"/>
    <hyperlink r:id="rId656" ref="K657"/>
    <hyperlink r:id="rId657" ref="K658"/>
    <hyperlink r:id="rId658" ref="K659"/>
    <hyperlink r:id="rId659" ref="K660"/>
    <hyperlink r:id="rId660" ref="K661"/>
    <hyperlink r:id="rId661" ref="K662"/>
    <hyperlink r:id="rId662" ref="K663"/>
    <hyperlink r:id="rId663" ref="K664"/>
    <hyperlink r:id="rId664" ref="K665"/>
    <hyperlink r:id="rId665" ref="K666"/>
    <hyperlink r:id="rId666" ref="K667"/>
    <hyperlink r:id="rId667" ref="K668"/>
    <hyperlink r:id="rId668" ref="K669"/>
    <hyperlink r:id="rId669" ref="K670"/>
    <hyperlink r:id="rId670" ref="K671"/>
    <hyperlink r:id="rId671" ref="K672"/>
    <hyperlink r:id="rId672" ref="K673"/>
    <hyperlink r:id="rId673" ref="K674"/>
    <hyperlink r:id="rId674" ref="K675"/>
    <hyperlink r:id="rId675" ref="K676"/>
    <hyperlink r:id="rId676" ref="K677"/>
    <hyperlink r:id="rId677" ref="K678"/>
    <hyperlink r:id="rId678" ref="K679"/>
    <hyperlink r:id="rId679" ref="K680"/>
    <hyperlink r:id="rId680" ref="K681"/>
    <hyperlink r:id="rId681" ref="K682"/>
    <hyperlink r:id="rId682" ref="K683"/>
    <hyperlink r:id="rId683" ref="K684"/>
    <hyperlink r:id="rId684" ref="K685"/>
    <hyperlink r:id="rId685" ref="K686"/>
    <hyperlink r:id="rId686" ref="K687"/>
    <hyperlink r:id="rId687" ref="K688"/>
    <hyperlink r:id="rId688" ref="K689"/>
    <hyperlink r:id="rId689" ref="K690"/>
    <hyperlink r:id="rId690" ref="K691"/>
    <hyperlink r:id="rId691" ref="K692"/>
    <hyperlink r:id="rId692" ref="K693"/>
    <hyperlink r:id="rId693" ref="K694"/>
    <hyperlink r:id="rId694" ref="K695"/>
    <hyperlink r:id="rId695" ref="K696"/>
    <hyperlink r:id="rId696" ref="K697"/>
    <hyperlink r:id="rId697" ref="K698"/>
    <hyperlink r:id="rId698" ref="K699"/>
    <hyperlink r:id="rId699" ref="K700"/>
    <hyperlink r:id="rId700" ref="K701"/>
  </hyperlinks>
  <drawing r:id="rId701"/>
</worksheet>
</file>